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0.xml" ContentType="application/vnd.openxmlformats-officedocument.drawing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1.xml" ContentType="application/vnd.openxmlformats-officedocument.drawing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drawings/drawing22.xml" ContentType="application/vnd.openxmlformats-officedocument.drawing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drawings/drawing23.xml" ContentType="application/vnd.openxmlformats-officedocument.drawing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drawings/drawing24.xml" ContentType="application/vnd.openxmlformats-officedocument.drawing+xml"/>
  <Override PartName="/xl/comments20.xml" ContentType="application/vnd.openxmlformats-officedocument.spreadsheetml.comments+xml"/>
  <Override PartName="/xl/threadedComments/threadedComment20.xml" ContentType="application/vnd.ms-excel.threadedcomments+xml"/>
  <Override PartName="/xl/comments21.xml" ContentType="application/vnd.openxmlformats-officedocument.spreadsheetml.comments+xml"/>
  <Override PartName="/xl/threadedComments/threadedComment21.xml" ContentType="application/vnd.ms-excel.threadedcomment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omments22.xml" ContentType="application/vnd.openxmlformats-officedocument.spreadsheetml.comments+xml"/>
  <Override PartName="/xl/threadedComments/threadedComment22.xml" ContentType="application/vnd.ms-excel.threadedcomments+xml"/>
  <Override PartName="/xl/drawings/drawing28.xml" ContentType="application/vnd.openxmlformats-officedocument.drawing+xml"/>
  <Override PartName="/xl/comments23.xml" ContentType="application/vnd.openxmlformats-officedocument.spreadsheetml.comments+xml"/>
  <Override PartName="/xl/drawings/drawing29.xml" ContentType="application/vnd.openxmlformats-officedocument.drawing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drawings/drawing30.xml" ContentType="application/vnd.openxmlformats-officedocument.drawing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drawings/drawing31.xml" ContentType="application/vnd.openxmlformats-officedocument.drawing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drawings/drawing32.xml" ContentType="application/vnd.openxmlformats-officedocument.drawing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drawings/drawing33.xml" ContentType="application/vnd.openxmlformats-officedocument.drawing+xml"/>
  <Override PartName="/xl/comments24.xml" ContentType="application/vnd.openxmlformats-officedocument.spreadsheetml.comments+xml"/>
  <Override PartName="/xl/threadedComments/threadedComment23.xml" ContentType="application/vnd.ms-excel.threadedcomments+xml"/>
  <Override PartName="/xl/comments25.xml" ContentType="application/vnd.openxmlformats-officedocument.spreadsheetml.comments+xml"/>
  <Override PartName="/xl/threadedComments/threadedComment24.xml" ContentType="application/vnd.ms-excel.threadedcomments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trlProps/ctrlProp2.xml" ContentType="application/vnd.ms-excel.controlpropertie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36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xl/attachedToolbars.bin" ContentType="application/vnd.ms-excel.attachedToolbar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saveExternalLinkValues="0" updateLinks="always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joseealonsoarnedo/Desktop/ENTRENOS 2025_2026/"/>
    </mc:Choice>
  </mc:AlternateContent>
  <xr:revisionPtr revIDLastSave="0" documentId="13_ncr:1_{63E4B57F-2200-4A4E-B3DF-97015DCB557E}" xr6:coauthVersionLast="46" xr6:coauthVersionMax="46" xr10:uidLastSave="{00000000-0000-0000-0000-000000000000}"/>
  <bookViews>
    <workbookView xWindow="4080" yWindow="1460" windowWidth="38400" windowHeight="21100" tabRatio="858" activeTab="12" xr2:uid="{00000000-000D-0000-FFFF-FFFF00000000}"/>
  </bookViews>
  <sheets>
    <sheet name="RITMOS" sheetId="479" r:id="rId1"/>
    <sheet name="Ejercicios" sheetId="15" r:id="rId2"/>
    <sheet name="Portada" sheetId="46" r:id="rId3"/>
    <sheet name="Hoja1 (2)" sheetId="493" r:id="rId4"/>
    <sheet name="Ficha" sheetId="2" r:id="rId5"/>
    <sheet name="Test" sheetId="4" r:id="rId6"/>
    <sheet name="A0" sheetId="394" r:id="rId7"/>
    <sheet name="A1" sheetId="395" r:id="rId8"/>
    <sheet name="A2" sheetId="563" r:id="rId9"/>
    <sheet name="Hoja1" sheetId="564" r:id="rId10"/>
    <sheet name="A3" sheetId="396" r:id="rId11"/>
    <sheet name="A4" sheetId="398" r:id="rId12"/>
    <sheet name="A5Maider" sheetId="565" r:id="rId13"/>
    <sheet name="A5" sheetId="399" r:id="rId14"/>
    <sheet name="A6" sheetId="401" r:id="rId15"/>
    <sheet name="Hoja5" sheetId="557" r:id="rId16"/>
    <sheet name="DIBUJO EN COLUMNA" sheetId="547" r:id="rId17"/>
    <sheet name="Calculo A1-A6" sheetId="463" r:id="rId18"/>
    <sheet name="Calculo A7-A10" sheetId="558" r:id="rId19"/>
    <sheet name="A7" sheetId="400" r:id="rId20"/>
    <sheet name="A8" sheetId="402" r:id="rId21"/>
    <sheet name="A9" sheetId="548" r:id="rId22"/>
    <sheet name="A10" sheetId="549" r:id="rId23"/>
    <sheet name="A11" sheetId="553" r:id="rId24"/>
    <sheet name="A12" sheetId="404" r:id="rId25"/>
    <sheet name="Hoja3" sheetId="489" r:id="rId26"/>
    <sheet name="Hoja4" sheetId="490" r:id="rId27"/>
    <sheet name="A9-2" sheetId="467" r:id="rId28"/>
    <sheet name="CalculoA9.A16" sheetId="403" r:id="rId29"/>
    <sheet name="Hoja2" sheetId="556" r:id="rId30"/>
    <sheet name="A13" sheetId="406" r:id="rId31"/>
    <sheet name="A14" sheetId="407" r:id="rId32"/>
    <sheet name="A15" sheetId="426" r:id="rId33"/>
    <sheet name="A16" sheetId="550" r:id="rId34"/>
    <sheet name="A17" sheetId="552" r:id="rId35"/>
    <sheet name="CALEN 24" sheetId="562" r:id="rId36"/>
    <sheet name="Medios 2" sheetId="397" r:id="rId37"/>
    <sheet name="Calendario" sheetId="9" r:id="rId38"/>
    <sheet name="Plan" sheetId="3" r:id="rId39"/>
    <sheet name="Calculo A23.A30" sheetId="559" r:id="rId40"/>
    <sheet name="Microc." sheetId="8" r:id="rId41"/>
    <sheet name="A18" sheetId="551" r:id="rId42"/>
    <sheet name="Diseño de los Micriciclos" sheetId="509" r:id="rId43"/>
    <sheet name="A19" sheetId="507" r:id="rId44"/>
    <sheet name="A20" sheetId="560" r:id="rId45"/>
    <sheet name="A21" sheetId="514" r:id="rId46"/>
    <sheet name="A22" sheetId="515" r:id="rId47"/>
    <sheet name="A23" sheetId="423" r:id="rId48"/>
    <sheet name="A24" sheetId="516" r:id="rId49"/>
    <sheet name="A25" sheetId="517" r:id="rId50"/>
    <sheet name="A26" sheetId="518" r:id="rId51"/>
    <sheet name="A27C" sheetId="519" r:id="rId52"/>
    <sheet name="A28C" sheetId="554" r:id="rId53"/>
    <sheet name="A29" sheetId="526" r:id="rId54"/>
    <sheet name="Previsional 200X" sheetId="527" r:id="rId55"/>
    <sheet name="A30" sheetId="524" r:id="rId56"/>
    <sheet name="A31" sheetId="555" r:id="rId57"/>
    <sheet name="A32" sheetId="525" r:id="rId58"/>
    <sheet name="Hoja7" sheetId="535" r:id="rId59"/>
    <sheet name="V1" sheetId="412" r:id="rId60"/>
    <sheet name="V2" sheetId="528" r:id="rId61"/>
    <sheet name="V3" sheetId="529" r:id="rId62"/>
    <sheet name="V4" sheetId="536" r:id="rId63"/>
    <sheet name="V5" sheetId="530" r:id="rId64"/>
    <sheet name="V4-5Andorra Mc2" sheetId="531" r:id="rId65"/>
    <sheet name="V4-V5AndorraMc3" sheetId="532" r:id="rId66"/>
    <sheet name="V4-V5aclimatacion SS" sheetId="533" r:id="rId67"/>
    <sheet name="V6" sheetId="534" r:id="rId68"/>
    <sheet name="V7" sheetId="418" r:id="rId69"/>
    <sheet name="V8_PE1" sheetId="540" r:id="rId70"/>
    <sheet name="V9_PE2" sheetId="541" r:id="rId71"/>
    <sheet name="V10_PE3" sheetId="543" r:id="rId72"/>
    <sheet name="VB11_PE4" sheetId="544" r:id="rId73"/>
    <sheet name="V12PE5" sheetId="545" r:id="rId74"/>
    <sheet name="V13_14PE6" sheetId="546" r:id="rId75"/>
    <sheet name="100M  por tramos" sheetId="539" r:id="rId76"/>
    <sheet name="Calculo de distribución" sheetId="14" r:id="rId77"/>
    <sheet name="Alactico R" sheetId="502" r:id="rId78"/>
    <sheet name="Hoja explicativa" sheetId="481" r:id="rId79"/>
    <sheet name="DECALOGO" sheetId="476" r:id="rId80"/>
    <sheet name="RESUMEN" sheetId="38" r:id="rId81"/>
    <sheet name="CERT. MED." sheetId="486" r:id="rId82"/>
    <sheet name="Flotabilidad" sheetId="488" r:id="rId83"/>
    <sheet name="Módulos" sheetId="39" state="veryHidden" r:id="rId84"/>
    <sheet name="Módulo3" sheetId="375" state="veryHidden" r:id="rId85"/>
  </sheets>
  <externalReferences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</externalReferences>
  <definedNames>
    <definedName name="_1_22_Módulo1_.Ritmos">[0]!_1_22_Módulo1_.Ritmos</definedName>
    <definedName name="_xlnm.Print_Area" localSheetId="6">A0!$A$1:$R$48</definedName>
    <definedName name="_xlnm.Print_Area" localSheetId="7">'A1'!$A$1:$R$71</definedName>
    <definedName name="_xlnm.Print_Area" localSheetId="22">'A10'!$A$1:$R$76</definedName>
    <definedName name="_xlnm.Print_Area" localSheetId="23">'A11'!$A$1:$R$59</definedName>
    <definedName name="_xlnm.Print_Area" localSheetId="24">'A12'!$A$1:$R$63</definedName>
    <definedName name="_xlnm.Print_Area" localSheetId="30">'A13'!$A$1:$R$71</definedName>
    <definedName name="_xlnm.Print_Area" localSheetId="31">'A14'!$A$1:$R$54</definedName>
    <definedName name="_xlnm.Print_Area" localSheetId="32">'A15'!$A$1:$R$46</definedName>
    <definedName name="_xlnm.Print_Area" localSheetId="33">'A16'!$A$1:$R$67</definedName>
    <definedName name="_xlnm.Print_Area" localSheetId="34">'A17'!$A$1:$R$37</definedName>
    <definedName name="_xlnm.Print_Area" localSheetId="41">'A18'!$A$1:$R$33</definedName>
    <definedName name="_xlnm.Print_Area" localSheetId="43">'A19'!$A$1:$R$86</definedName>
    <definedName name="_xlnm.Print_Area" localSheetId="8">'A2'!$A$1:$R$38</definedName>
    <definedName name="_xlnm.Print_Area" localSheetId="44">'A20'!$A$31:$R$72</definedName>
    <definedName name="_xlnm.Print_Area" localSheetId="45">'A21'!$A$1:$R$72</definedName>
    <definedName name="_xlnm.Print_Area" localSheetId="46">'A22'!$A$46:$R$72</definedName>
    <definedName name="_xlnm.Print_Area" localSheetId="47">'A23'!$A$1:$R$67</definedName>
    <definedName name="_xlnm.Print_Area" localSheetId="48">'A24'!$A$2:$R$84</definedName>
    <definedName name="_xlnm.Print_Area" localSheetId="49">'A25'!$A$2:$R$73</definedName>
    <definedName name="_xlnm.Print_Area" localSheetId="50">'A26'!$A$3:$R$74</definedName>
    <definedName name="_xlnm.Print_Area" localSheetId="51">A27C!$A$1:$S$81</definedName>
    <definedName name="_xlnm.Print_Area" localSheetId="52">A28C!$B$12:$S$71</definedName>
    <definedName name="_xlnm.Print_Area" localSheetId="53">'A29'!$A$1:$R$88</definedName>
    <definedName name="_xlnm.Print_Area" localSheetId="10">'A3'!$A$1:$R$40</definedName>
    <definedName name="_xlnm.Print_Area" localSheetId="55">'A30'!$A$102:$R$112</definedName>
    <definedName name="_xlnm.Print_Area" localSheetId="56">'A31'!$A$1:$R$58</definedName>
    <definedName name="_xlnm.Print_Area" localSheetId="57">'A32'!$A$1:$R$61</definedName>
    <definedName name="_xlnm.Print_Area" localSheetId="11">'A4'!$A$1:$R$68</definedName>
    <definedName name="_xlnm.Print_Area" localSheetId="13">'A5'!$A$1:$R$65</definedName>
    <definedName name="_xlnm.Print_Area" localSheetId="12">A5Maider!$A$1:$R$51</definedName>
    <definedName name="_xlnm.Print_Area" localSheetId="14">'A6'!$A$1:$R$67</definedName>
    <definedName name="_xlnm.Print_Area" localSheetId="19">'A7'!$A$1:$R$45</definedName>
    <definedName name="_xlnm.Print_Area" localSheetId="20">'A8'!$A$1:$R$76</definedName>
    <definedName name="_xlnm.Print_Area" localSheetId="21">'A9'!$A$19:$R$35</definedName>
    <definedName name="_xlnm.Print_Area" localSheetId="27">'A9-2'!$A$1:$R$37</definedName>
    <definedName name="_xlnm.Print_Area" localSheetId="77">'Alactico R'!$A$1:$O$23</definedName>
    <definedName name="_xlnm.Print_Area" localSheetId="76">'Calculo de distribución'!$A$1:$M$20</definedName>
    <definedName name="_xlnm.Print_Area" localSheetId="37">Calendario!$A$1:$O$36</definedName>
    <definedName name="_xlnm.Print_Area" localSheetId="79">DECALOGO!$A$1:$N$27</definedName>
    <definedName name="_xlnm.Print_Area" localSheetId="42">'Diseño de los Micriciclos'!$A$1:$X$33</definedName>
    <definedName name="_xlnm.Print_Area" localSheetId="1">Ejercicios!$J$146:$P$158</definedName>
    <definedName name="_xlnm.Print_Area" localSheetId="4">Ficha!$A$1:$Q$36</definedName>
    <definedName name="_xlnm.Print_Area" localSheetId="9">Hoja1!$A$1:$O$37</definedName>
    <definedName name="_xlnm.Print_Area" localSheetId="29">Hoja2!$B$1:$P$8</definedName>
    <definedName name="_xlnm.Print_Area" localSheetId="25">Hoja3!$F$41:$J$43</definedName>
    <definedName name="_xlnm.Print_Area" localSheetId="26">Hoja4!$A$1:$F$23</definedName>
    <definedName name="_xlnm.Print_Area" localSheetId="40">Microc.!$A$1:$L$38</definedName>
    <definedName name="_xlnm.Print_Area" localSheetId="38">Plan!$A$1:$V$62</definedName>
    <definedName name="_xlnm.Print_Area" localSheetId="2">Portada!$A$1:$K$21</definedName>
    <definedName name="_xlnm.Print_Area" localSheetId="54">'Previsional 200X'!$A$1:$R$37</definedName>
    <definedName name="_xlnm.Print_Area" localSheetId="80">RESUMEN!$L$15:$AB$47</definedName>
    <definedName name="_xlnm.Print_Area" localSheetId="5">Test!$A$1:$AE$59</definedName>
    <definedName name="_xlnm.Print_Area" localSheetId="59">'V1'!$A$1:$R$64</definedName>
    <definedName name="_xlnm.Print_Area" localSheetId="71">V10_PE3!$A$1:$R$69</definedName>
    <definedName name="_xlnm.Print_Area" localSheetId="73">V12PE5!$A$1:$R$55</definedName>
    <definedName name="_xlnm.Print_Area" localSheetId="74">V13_14PE6!$A$2:$R$84</definedName>
    <definedName name="_xlnm.Print_Area" localSheetId="60">'V2'!$A$1:$R$60</definedName>
    <definedName name="_xlnm.Print_Area" localSheetId="61">'V3'!$A$1:$R$64</definedName>
    <definedName name="_xlnm.Print_Area" localSheetId="62">'V4'!$A$1:$R$46</definedName>
    <definedName name="_xlnm.Print_Area" localSheetId="66">'V4-V5aclimatacion SS'!$A$1:$R$42</definedName>
    <definedName name="_xlnm.Print_Area" localSheetId="63">'V5'!$A$42:$R$68</definedName>
    <definedName name="_xlnm.Print_Area" localSheetId="67">'V6'!$A$1:$R$42</definedName>
    <definedName name="_xlnm.Print_Area" localSheetId="68">'V7'!$A$1:$R$63</definedName>
    <definedName name="_xlnm.Print_Area" localSheetId="69">V8_PE1!$A$46:$R$77</definedName>
    <definedName name="_xlnm.Print_Area" localSheetId="70">V9_PE2!$A$1:$R$91</definedName>
    <definedName name="_xlnm.Print_Area" localSheetId="72">VB11_PE4!$A$2:$R$73</definedName>
    <definedName name="ENTREGAR" localSheetId="3">'Hoja1 (2)'!ENTREGAR</definedName>
    <definedName name="ENTREGAR">[0]!ENTREGAR</definedName>
    <definedName name="MACROS.RITMOS" localSheetId="3">'Hoja1 (2)'!MACROS.RITMOS</definedName>
    <definedName name="MACROS.RITMOS">[0]!MACROS.RITMOS</definedName>
    <definedName name="MIcroc" localSheetId="3">'Hoja1 (2)'!MIcroc</definedName>
    <definedName name="MIcroc">[0]!MIcroc</definedName>
    <definedName name="Ritmos" localSheetId="3">'Hoja1 (2)'!Ritmos</definedName>
    <definedName name="Ritmos" localSheetId="5">[0]!Ritmos</definedName>
    <definedName name="Ritmos">Test!Ritmos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40" i="565" l="1"/>
  <c r="Q40" i="565"/>
  <c r="R24" i="565"/>
  <c r="R23" i="565"/>
  <c r="AA182" i="565"/>
  <c r="AA184" i="565" s="1"/>
  <c r="Z182" i="565"/>
  <c r="Z184" i="565" s="1"/>
  <c r="Y182" i="565"/>
  <c r="Y184" i="565" s="1"/>
  <c r="X182" i="565"/>
  <c r="X184" i="565" s="1"/>
  <c r="W182" i="565"/>
  <c r="W184" i="565" s="1"/>
  <c r="V182" i="565"/>
  <c r="V184" i="565" s="1"/>
  <c r="U182" i="565"/>
  <c r="U184" i="565" s="1"/>
  <c r="AA139" i="565"/>
  <c r="Z139" i="565"/>
  <c r="Y139" i="565"/>
  <c r="X139" i="565"/>
  <c r="W139" i="565"/>
  <c r="V139" i="565"/>
  <c r="U139" i="565"/>
  <c r="AD128" i="565"/>
  <c r="AC128" i="565"/>
  <c r="AB128" i="565"/>
  <c r="S50" i="565"/>
  <c r="R50" i="565"/>
  <c r="S49" i="565"/>
  <c r="R49" i="565"/>
  <c r="S48" i="565"/>
  <c r="R48" i="565"/>
  <c r="S47" i="565"/>
  <c r="R47" i="565"/>
  <c r="N47" i="565"/>
  <c r="S46" i="565"/>
  <c r="R46" i="565"/>
  <c r="T45" i="565"/>
  <c r="S45" i="565"/>
  <c r="S44" i="565"/>
  <c r="R44" i="565"/>
  <c r="S43" i="565"/>
  <c r="R43" i="565"/>
  <c r="S42" i="565"/>
  <c r="R42" i="565"/>
  <c r="Q42" i="565"/>
  <c r="S41" i="565"/>
  <c r="R41" i="565"/>
  <c r="S40" i="565"/>
  <c r="T39" i="565"/>
  <c r="S39" i="565"/>
  <c r="S38" i="565"/>
  <c r="R38" i="565"/>
  <c r="Q38" i="565" s="1"/>
  <c r="S37" i="565"/>
  <c r="R37" i="565"/>
  <c r="Q37" i="565"/>
  <c r="S36" i="565"/>
  <c r="R36" i="565"/>
  <c r="Q36" i="565"/>
  <c r="S35" i="565"/>
  <c r="R35" i="565"/>
  <c r="Q35" i="565"/>
  <c r="S34" i="565"/>
  <c r="R34" i="565"/>
  <c r="Q34" i="565"/>
  <c r="T33" i="565"/>
  <c r="S33" i="565"/>
  <c r="S32" i="565"/>
  <c r="R32" i="565"/>
  <c r="S31" i="565"/>
  <c r="R31" i="565"/>
  <c r="S30" i="565"/>
  <c r="R30" i="565"/>
  <c r="S29" i="565"/>
  <c r="R29" i="565"/>
  <c r="T28" i="565"/>
  <c r="S28" i="565"/>
  <c r="S27" i="565"/>
  <c r="R27" i="565"/>
  <c r="S26" i="565"/>
  <c r="R26" i="565"/>
  <c r="S25" i="565"/>
  <c r="R25" i="565"/>
  <c r="S24" i="565"/>
  <c r="S23" i="565"/>
  <c r="S22" i="565"/>
  <c r="R22" i="565"/>
  <c r="S21" i="565"/>
  <c r="R21" i="565"/>
  <c r="AA19" i="565"/>
  <c r="Z19" i="565"/>
  <c r="Y19" i="565"/>
  <c r="X19" i="565"/>
  <c r="W19" i="565"/>
  <c r="V19" i="565"/>
  <c r="U19" i="565"/>
  <c r="R60" i="398"/>
  <c r="R52" i="398"/>
  <c r="U34" i="398"/>
  <c r="V34" i="398"/>
  <c r="W34" i="398"/>
  <c r="X34" i="398"/>
  <c r="Y34" i="398"/>
  <c r="Z34" i="398"/>
  <c r="AA34" i="398"/>
  <c r="U35" i="398"/>
  <c r="V35" i="398"/>
  <c r="W35" i="398"/>
  <c r="X35" i="398"/>
  <c r="Y35" i="398"/>
  <c r="Z35" i="398"/>
  <c r="AA35" i="398"/>
  <c r="U36" i="398"/>
  <c r="V36" i="398"/>
  <c r="W36" i="398"/>
  <c r="X36" i="398"/>
  <c r="Y36" i="398"/>
  <c r="Z36" i="398"/>
  <c r="AA36" i="398"/>
  <c r="U37" i="398"/>
  <c r="V37" i="398"/>
  <c r="W37" i="398"/>
  <c r="X37" i="398"/>
  <c r="Y37" i="398"/>
  <c r="Z37" i="398"/>
  <c r="AA37" i="398"/>
  <c r="U38" i="398"/>
  <c r="V38" i="398"/>
  <c r="W38" i="398"/>
  <c r="X38" i="398"/>
  <c r="Y38" i="398"/>
  <c r="Z38" i="398"/>
  <c r="AA38" i="398"/>
  <c r="U39" i="398"/>
  <c r="V39" i="398"/>
  <c r="W39" i="398"/>
  <c r="X39" i="398"/>
  <c r="Y39" i="398"/>
  <c r="Z39" i="398"/>
  <c r="AA39" i="398"/>
  <c r="R39" i="398"/>
  <c r="L39" i="398"/>
  <c r="C39" i="398"/>
  <c r="R38" i="398"/>
  <c r="C38" i="398"/>
  <c r="O38" i="398" s="1"/>
  <c r="P38" i="398" s="1"/>
  <c r="N38" i="398" s="1"/>
  <c r="R37" i="398"/>
  <c r="C37" i="398"/>
  <c r="O37" i="398" s="1"/>
  <c r="P37" i="398" s="1"/>
  <c r="N37" i="398" s="1"/>
  <c r="R36" i="398"/>
  <c r="Q36" i="398"/>
  <c r="O36" i="398"/>
  <c r="P36" i="398" s="1"/>
  <c r="N36" i="398" s="1"/>
  <c r="C36" i="398"/>
  <c r="R35" i="398"/>
  <c r="O35" i="398"/>
  <c r="P35" i="398" s="1"/>
  <c r="N35" i="398" s="1"/>
  <c r="C35" i="398"/>
  <c r="R34" i="398"/>
  <c r="C34" i="398"/>
  <c r="O34" i="398" s="1"/>
  <c r="P34" i="398" s="1"/>
  <c r="N34" i="398" s="1"/>
  <c r="L35" i="398" s="1"/>
  <c r="S7" i="398"/>
  <c r="S8" i="398"/>
  <c r="S9" i="398"/>
  <c r="S10" i="398"/>
  <c r="S11" i="398"/>
  <c r="S12" i="398"/>
  <c r="T12" i="398"/>
  <c r="S13" i="398"/>
  <c r="S14" i="398"/>
  <c r="S15" i="398"/>
  <c r="S16" i="398"/>
  <c r="S17" i="398"/>
  <c r="S18" i="398"/>
  <c r="S19" i="398"/>
  <c r="T19" i="398"/>
  <c r="S20" i="398"/>
  <c r="S21" i="398"/>
  <c r="S22" i="398"/>
  <c r="S23" i="398"/>
  <c r="S24" i="398"/>
  <c r="S25" i="398"/>
  <c r="S26" i="398"/>
  <c r="T26" i="398"/>
  <c r="S27" i="398"/>
  <c r="S28" i="398"/>
  <c r="S29" i="398"/>
  <c r="S30" i="398"/>
  <c r="S31" i="398"/>
  <c r="S32" i="398"/>
  <c r="S33" i="398"/>
  <c r="T33" i="398"/>
  <c r="S39" i="398"/>
  <c r="S40" i="398"/>
  <c r="S41" i="398"/>
  <c r="S42" i="398"/>
  <c r="S43" i="398"/>
  <c r="S44" i="398"/>
  <c r="S45" i="398"/>
  <c r="S46" i="398"/>
  <c r="T46" i="398"/>
  <c r="S47" i="398"/>
  <c r="S48" i="398"/>
  <c r="S49" i="398"/>
  <c r="S50" i="398"/>
  <c r="S51" i="398"/>
  <c r="S52" i="398"/>
  <c r="T52" i="398"/>
  <c r="S53" i="398"/>
  <c r="S54" i="398"/>
  <c r="S55" i="398"/>
  <c r="S56" i="398"/>
  <c r="S57" i="398"/>
  <c r="S58" i="398"/>
  <c r="S59" i="398"/>
  <c r="S60" i="398"/>
  <c r="T60" i="398"/>
  <c r="S61" i="398"/>
  <c r="S62" i="398"/>
  <c r="S63" i="398"/>
  <c r="S64" i="398"/>
  <c r="S65" i="398"/>
  <c r="S66" i="398"/>
  <c r="T66" i="398"/>
  <c r="AB40" i="396"/>
  <c r="S6" i="396"/>
  <c r="T6" i="396"/>
  <c r="U6" i="396"/>
  <c r="V6" i="396"/>
  <c r="W6" i="396"/>
  <c r="X6" i="396"/>
  <c r="Y6" i="396"/>
  <c r="Z6" i="396"/>
  <c r="AA6" i="396"/>
  <c r="S7" i="396"/>
  <c r="T7" i="396"/>
  <c r="U7" i="396"/>
  <c r="V7" i="396"/>
  <c r="W7" i="396"/>
  <c r="X7" i="396"/>
  <c r="Y7" i="396"/>
  <c r="Z7" i="396"/>
  <c r="AA7" i="396"/>
  <c r="S8" i="396"/>
  <c r="T8" i="396"/>
  <c r="U8" i="396"/>
  <c r="V8" i="396"/>
  <c r="W8" i="396"/>
  <c r="X8" i="396"/>
  <c r="Y8" i="396"/>
  <c r="Z8" i="396"/>
  <c r="AA8" i="396"/>
  <c r="S9" i="396"/>
  <c r="T9" i="396"/>
  <c r="U9" i="396"/>
  <c r="V9" i="396"/>
  <c r="W9" i="396"/>
  <c r="X9" i="396"/>
  <c r="Y9" i="396"/>
  <c r="Z9" i="396"/>
  <c r="AA9" i="396"/>
  <c r="S10" i="396"/>
  <c r="T10" i="396"/>
  <c r="U10" i="396"/>
  <c r="V10" i="396"/>
  <c r="W10" i="396"/>
  <c r="X10" i="396"/>
  <c r="Y10" i="396"/>
  <c r="Z10" i="396"/>
  <c r="AA10" i="396"/>
  <c r="S11" i="396"/>
  <c r="T11" i="396"/>
  <c r="U11" i="396"/>
  <c r="V11" i="396"/>
  <c r="W11" i="396"/>
  <c r="X11" i="396"/>
  <c r="Y11" i="396"/>
  <c r="Z11" i="396"/>
  <c r="AA11" i="396"/>
  <c r="S12" i="396"/>
  <c r="T12" i="396"/>
  <c r="U12" i="396"/>
  <c r="V12" i="396"/>
  <c r="W12" i="396"/>
  <c r="X12" i="396"/>
  <c r="Y12" i="396"/>
  <c r="Z12" i="396"/>
  <c r="AA12" i="396"/>
  <c r="S13" i="396"/>
  <c r="U13" i="396" s="1"/>
  <c r="T13" i="396"/>
  <c r="V13" i="396"/>
  <c r="W13" i="396"/>
  <c r="X13" i="396"/>
  <c r="Y13" i="396"/>
  <c r="Z13" i="396"/>
  <c r="AA13" i="396"/>
  <c r="S14" i="396"/>
  <c r="T14" i="396"/>
  <c r="U14" i="396"/>
  <c r="V14" i="396"/>
  <c r="W14" i="396"/>
  <c r="X14" i="396"/>
  <c r="Y14" i="396"/>
  <c r="Z14" i="396"/>
  <c r="AA14" i="396"/>
  <c r="S15" i="396"/>
  <c r="X15" i="396" s="1"/>
  <c r="T15" i="396"/>
  <c r="U15" i="396"/>
  <c r="V15" i="396"/>
  <c r="W15" i="396"/>
  <c r="Y15" i="396"/>
  <c r="Z15" i="396"/>
  <c r="AA15" i="396"/>
  <c r="S16" i="396"/>
  <c r="T16" i="396"/>
  <c r="U16" i="396"/>
  <c r="V16" i="396"/>
  <c r="W16" i="396"/>
  <c r="X16" i="396"/>
  <c r="Y16" i="396"/>
  <c r="Z16" i="396"/>
  <c r="AA16" i="396"/>
  <c r="S17" i="396"/>
  <c r="T17" i="396"/>
  <c r="U17" i="396"/>
  <c r="V17" i="396"/>
  <c r="W17" i="396"/>
  <c r="X17" i="396"/>
  <c r="Y17" i="396"/>
  <c r="Z17" i="396"/>
  <c r="AA17" i="396"/>
  <c r="S18" i="396"/>
  <c r="T18" i="396"/>
  <c r="U18" i="396"/>
  <c r="V18" i="396"/>
  <c r="W18" i="396"/>
  <c r="X18" i="396"/>
  <c r="Y18" i="396"/>
  <c r="Z18" i="396"/>
  <c r="AA18" i="396"/>
  <c r="S19" i="396"/>
  <c r="T19" i="396"/>
  <c r="U19" i="396"/>
  <c r="V19" i="396"/>
  <c r="W19" i="396"/>
  <c r="X19" i="396"/>
  <c r="Y19" i="396"/>
  <c r="Z19" i="396"/>
  <c r="AA19" i="396"/>
  <c r="S20" i="396"/>
  <c r="T20" i="396"/>
  <c r="U20" i="396"/>
  <c r="V20" i="396"/>
  <c r="W20" i="396"/>
  <c r="X20" i="396"/>
  <c r="Y20" i="396"/>
  <c r="Z20" i="396"/>
  <c r="AA20" i="396"/>
  <c r="S21" i="396"/>
  <c r="U21" i="396" s="1"/>
  <c r="T21" i="396"/>
  <c r="V21" i="396"/>
  <c r="W21" i="396"/>
  <c r="X21" i="396"/>
  <c r="Y21" i="396"/>
  <c r="Z21" i="396"/>
  <c r="AA21" i="396"/>
  <c r="S22" i="396"/>
  <c r="T22" i="396"/>
  <c r="U22" i="396"/>
  <c r="V22" i="396"/>
  <c r="W22" i="396"/>
  <c r="X22" i="396"/>
  <c r="Y22" i="396"/>
  <c r="Z22" i="396"/>
  <c r="AA22" i="396"/>
  <c r="S23" i="396"/>
  <c r="T23" i="396"/>
  <c r="U23" i="396"/>
  <c r="V23" i="396"/>
  <c r="W23" i="396"/>
  <c r="X23" i="396"/>
  <c r="Y23" i="396"/>
  <c r="Z23" i="396"/>
  <c r="AA23" i="396"/>
  <c r="S24" i="396"/>
  <c r="T24" i="396"/>
  <c r="U24" i="396"/>
  <c r="V24" i="396"/>
  <c r="W24" i="396"/>
  <c r="X24" i="396"/>
  <c r="Y24" i="396"/>
  <c r="Z24" i="396"/>
  <c r="AA24" i="396"/>
  <c r="S25" i="396"/>
  <c r="X25" i="396" s="1"/>
  <c r="T25" i="396"/>
  <c r="U25" i="396"/>
  <c r="V25" i="396"/>
  <c r="W25" i="396"/>
  <c r="Y25" i="396"/>
  <c r="Z25" i="396"/>
  <c r="AA25" i="396"/>
  <c r="S26" i="396"/>
  <c r="T26" i="396"/>
  <c r="U26" i="396"/>
  <c r="V26" i="396"/>
  <c r="W26" i="396"/>
  <c r="X26" i="396"/>
  <c r="Y26" i="396"/>
  <c r="Z26" i="396"/>
  <c r="AA26" i="396"/>
  <c r="S27" i="396"/>
  <c r="T27" i="396"/>
  <c r="U27" i="396"/>
  <c r="V27" i="396"/>
  <c r="W27" i="396"/>
  <c r="X27" i="396"/>
  <c r="Y27" i="396"/>
  <c r="Z27" i="396"/>
  <c r="AA27" i="396"/>
  <c r="S28" i="396"/>
  <c r="T28" i="396"/>
  <c r="U28" i="396"/>
  <c r="V28" i="396"/>
  <c r="W28" i="396"/>
  <c r="X28" i="396"/>
  <c r="Y28" i="396"/>
  <c r="Z28" i="396"/>
  <c r="AA28" i="396"/>
  <c r="S29" i="396"/>
  <c r="V29" i="396" s="1"/>
  <c r="T29" i="396"/>
  <c r="U29" i="396"/>
  <c r="W29" i="396"/>
  <c r="X29" i="396"/>
  <c r="Y29" i="396"/>
  <c r="Z29" i="396"/>
  <c r="AA29" i="396"/>
  <c r="S30" i="396"/>
  <c r="T30" i="396"/>
  <c r="U30" i="396"/>
  <c r="V30" i="396"/>
  <c r="W30" i="396"/>
  <c r="X30" i="396"/>
  <c r="Y30" i="396"/>
  <c r="Z30" i="396"/>
  <c r="AA30" i="396"/>
  <c r="S31" i="396"/>
  <c r="T31" i="396"/>
  <c r="U31" i="396"/>
  <c r="V31" i="396"/>
  <c r="W31" i="396"/>
  <c r="X31" i="396"/>
  <c r="Y31" i="396"/>
  <c r="Z31" i="396"/>
  <c r="AA31" i="396"/>
  <c r="S32" i="396"/>
  <c r="T32" i="396"/>
  <c r="U32" i="396"/>
  <c r="V32" i="396"/>
  <c r="W32" i="396"/>
  <c r="X32" i="396"/>
  <c r="Y32" i="396"/>
  <c r="Z32" i="396"/>
  <c r="AA32" i="396"/>
  <c r="S33" i="396"/>
  <c r="U33" i="396" s="1"/>
  <c r="T33" i="396"/>
  <c r="V33" i="396"/>
  <c r="W33" i="396"/>
  <c r="X33" i="396"/>
  <c r="Y33" i="396"/>
  <c r="Z33" i="396"/>
  <c r="AA33" i="396"/>
  <c r="S34" i="396"/>
  <c r="T34" i="396"/>
  <c r="U34" i="396"/>
  <c r="V34" i="396"/>
  <c r="W34" i="396"/>
  <c r="X34" i="396"/>
  <c r="Y34" i="396"/>
  <c r="Z34" i="396"/>
  <c r="AA34" i="396"/>
  <c r="S35" i="396"/>
  <c r="T35" i="396"/>
  <c r="U35" i="396"/>
  <c r="V35" i="396"/>
  <c r="W35" i="396"/>
  <c r="X35" i="396"/>
  <c r="Y35" i="396"/>
  <c r="Z35" i="396"/>
  <c r="AA35" i="396"/>
  <c r="S36" i="396"/>
  <c r="T36" i="396"/>
  <c r="U36" i="396"/>
  <c r="V36" i="396"/>
  <c r="W36" i="396"/>
  <c r="X36" i="396"/>
  <c r="Y36" i="396"/>
  <c r="Z36" i="396"/>
  <c r="AA36" i="396"/>
  <c r="S37" i="396"/>
  <c r="Z37" i="396" s="1"/>
  <c r="T37" i="396"/>
  <c r="U37" i="396"/>
  <c r="V37" i="396"/>
  <c r="W37" i="396"/>
  <c r="X37" i="396"/>
  <c r="Y37" i="396"/>
  <c r="AA37" i="396"/>
  <c r="S38" i="396"/>
  <c r="T38" i="396"/>
  <c r="U38" i="396"/>
  <c r="V38" i="396"/>
  <c r="W38" i="396"/>
  <c r="X38" i="396"/>
  <c r="Y38" i="396"/>
  <c r="Z38" i="396"/>
  <c r="AA38" i="396"/>
  <c r="S39" i="396"/>
  <c r="T39" i="396"/>
  <c r="U39" i="396"/>
  <c r="V39" i="396"/>
  <c r="W39" i="396"/>
  <c r="X39" i="396"/>
  <c r="Y39" i="396"/>
  <c r="Z39" i="396"/>
  <c r="AA39" i="396"/>
  <c r="R19" i="396"/>
  <c r="Q19" i="396"/>
  <c r="R18" i="396"/>
  <c r="Q18" i="396"/>
  <c r="R17" i="396"/>
  <c r="R39" i="563"/>
  <c r="V39" i="563"/>
  <c r="W39" i="563"/>
  <c r="X39" i="563"/>
  <c r="Y39" i="563"/>
  <c r="Z39" i="563"/>
  <c r="AA39" i="563"/>
  <c r="U39" i="563"/>
  <c r="S6" i="563"/>
  <c r="T6" i="563"/>
  <c r="U6" i="563"/>
  <c r="V6" i="563"/>
  <c r="W6" i="563"/>
  <c r="X6" i="563"/>
  <c r="Y6" i="563"/>
  <c r="Z6" i="563"/>
  <c r="AA6" i="563"/>
  <c r="S7" i="563"/>
  <c r="T7" i="563"/>
  <c r="U7" i="563"/>
  <c r="V7" i="563"/>
  <c r="W7" i="563"/>
  <c r="X7" i="563"/>
  <c r="Y7" i="563"/>
  <c r="Z7" i="563"/>
  <c r="AA7" i="563"/>
  <c r="S8" i="563"/>
  <c r="T8" i="563"/>
  <c r="U8" i="563"/>
  <c r="V8" i="563"/>
  <c r="W8" i="563"/>
  <c r="X8" i="563"/>
  <c r="Y8" i="563"/>
  <c r="Z8" i="563"/>
  <c r="AA8" i="563"/>
  <c r="S9" i="563"/>
  <c r="T9" i="563"/>
  <c r="U9" i="563"/>
  <c r="V9" i="563"/>
  <c r="W9" i="563"/>
  <c r="X9" i="563"/>
  <c r="Y9" i="563"/>
  <c r="Z9" i="563"/>
  <c r="AA9" i="563"/>
  <c r="S10" i="563"/>
  <c r="T10" i="563"/>
  <c r="U10" i="563"/>
  <c r="V10" i="563"/>
  <c r="W10" i="563"/>
  <c r="X10" i="563"/>
  <c r="Y10" i="563"/>
  <c r="Z10" i="563"/>
  <c r="AA10" i="563"/>
  <c r="S11" i="563"/>
  <c r="T11" i="563"/>
  <c r="U11" i="563"/>
  <c r="V11" i="563"/>
  <c r="W11" i="563"/>
  <c r="X11" i="563"/>
  <c r="Y11" i="563"/>
  <c r="Z11" i="563"/>
  <c r="AA11" i="563"/>
  <c r="S12" i="563"/>
  <c r="T12" i="563"/>
  <c r="U12" i="563"/>
  <c r="V12" i="563"/>
  <c r="W12" i="563"/>
  <c r="X12" i="563"/>
  <c r="Y12" i="563"/>
  <c r="Z12" i="563"/>
  <c r="AA12" i="563"/>
  <c r="S13" i="563"/>
  <c r="T13" i="563"/>
  <c r="U13" i="563"/>
  <c r="V13" i="563"/>
  <c r="W13" i="563"/>
  <c r="X13" i="563"/>
  <c r="Y13" i="563"/>
  <c r="Z13" i="563"/>
  <c r="AA13" i="563"/>
  <c r="S14" i="563"/>
  <c r="T14" i="563"/>
  <c r="U14" i="563"/>
  <c r="V14" i="563"/>
  <c r="W14" i="563"/>
  <c r="X14" i="563"/>
  <c r="Y14" i="563"/>
  <c r="Z14" i="563"/>
  <c r="AA14" i="563"/>
  <c r="S15" i="563"/>
  <c r="T15" i="563"/>
  <c r="U15" i="563"/>
  <c r="V15" i="563"/>
  <c r="W15" i="563"/>
  <c r="X15" i="563"/>
  <c r="Y15" i="563"/>
  <c r="Z15" i="563"/>
  <c r="AA15" i="563"/>
  <c r="S16" i="563"/>
  <c r="T16" i="563"/>
  <c r="U16" i="563"/>
  <c r="V16" i="563"/>
  <c r="W16" i="563"/>
  <c r="X16" i="563"/>
  <c r="Y16" i="563"/>
  <c r="Z16" i="563"/>
  <c r="AA16" i="563"/>
  <c r="S17" i="563"/>
  <c r="T17" i="563"/>
  <c r="U17" i="563"/>
  <c r="V17" i="563"/>
  <c r="W17" i="563"/>
  <c r="X17" i="563"/>
  <c r="Y17" i="563"/>
  <c r="Z17" i="563"/>
  <c r="AA17" i="563"/>
  <c r="S18" i="563"/>
  <c r="U18" i="563" s="1"/>
  <c r="T18" i="563"/>
  <c r="V18" i="563"/>
  <c r="W18" i="563"/>
  <c r="X18" i="563"/>
  <c r="Y18" i="563"/>
  <c r="Z18" i="563"/>
  <c r="AA18" i="563"/>
  <c r="S19" i="563"/>
  <c r="T19" i="563"/>
  <c r="U19" i="563"/>
  <c r="V19" i="563"/>
  <c r="W19" i="563"/>
  <c r="X19" i="563"/>
  <c r="Y19" i="563"/>
  <c r="Z19" i="563"/>
  <c r="AA19" i="563"/>
  <c r="S20" i="563"/>
  <c r="T20" i="563"/>
  <c r="U20" i="563"/>
  <c r="V20" i="563"/>
  <c r="W20" i="563"/>
  <c r="X20" i="563"/>
  <c r="Y20" i="563"/>
  <c r="Z20" i="563"/>
  <c r="AA20" i="563"/>
  <c r="S21" i="563"/>
  <c r="T21" i="563"/>
  <c r="U21" i="563"/>
  <c r="V21" i="563"/>
  <c r="W21" i="563"/>
  <c r="X21" i="563"/>
  <c r="Y21" i="563"/>
  <c r="Z21" i="563"/>
  <c r="AA21" i="563"/>
  <c r="S22" i="563"/>
  <c r="T22" i="563"/>
  <c r="U22" i="563"/>
  <c r="V22" i="563"/>
  <c r="W22" i="563"/>
  <c r="X22" i="563"/>
  <c r="Y22" i="563"/>
  <c r="Z22" i="563"/>
  <c r="AA22" i="563"/>
  <c r="S23" i="563"/>
  <c r="T23" i="563"/>
  <c r="U23" i="563"/>
  <c r="V23" i="563"/>
  <c r="W23" i="563"/>
  <c r="X23" i="563"/>
  <c r="Y23" i="563"/>
  <c r="Z23" i="563"/>
  <c r="AA23" i="563"/>
  <c r="S24" i="563"/>
  <c r="T24" i="563"/>
  <c r="U24" i="563"/>
  <c r="V24" i="563"/>
  <c r="W24" i="563"/>
  <c r="X24" i="563"/>
  <c r="Y24" i="563"/>
  <c r="Z24" i="563"/>
  <c r="AA24" i="563"/>
  <c r="S25" i="563"/>
  <c r="U25" i="563" s="1"/>
  <c r="T25" i="563"/>
  <c r="V25" i="563"/>
  <c r="W25" i="563"/>
  <c r="X25" i="563"/>
  <c r="Y25" i="563"/>
  <c r="Z25" i="563"/>
  <c r="AA25" i="563"/>
  <c r="S26" i="563"/>
  <c r="T26" i="563"/>
  <c r="U26" i="563"/>
  <c r="V26" i="563"/>
  <c r="W26" i="563"/>
  <c r="X26" i="563"/>
  <c r="Y26" i="563"/>
  <c r="Z26" i="563"/>
  <c r="AA26" i="563"/>
  <c r="S27" i="563"/>
  <c r="T27" i="563"/>
  <c r="U27" i="563"/>
  <c r="V27" i="563"/>
  <c r="W27" i="563"/>
  <c r="X27" i="563"/>
  <c r="Y27" i="563"/>
  <c r="Z27" i="563"/>
  <c r="AA27" i="563"/>
  <c r="S28" i="563"/>
  <c r="T28" i="563"/>
  <c r="U28" i="563"/>
  <c r="V28" i="563"/>
  <c r="W28" i="563"/>
  <c r="X28" i="563"/>
  <c r="Y28" i="563"/>
  <c r="Z28" i="563"/>
  <c r="AA28" i="563"/>
  <c r="S29" i="563"/>
  <c r="T29" i="563"/>
  <c r="U29" i="563"/>
  <c r="V29" i="563"/>
  <c r="W29" i="563"/>
  <c r="X29" i="563"/>
  <c r="Y29" i="563"/>
  <c r="Z29" i="563"/>
  <c r="AA29" i="563"/>
  <c r="S30" i="563"/>
  <c r="T30" i="563"/>
  <c r="U30" i="563"/>
  <c r="V30" i="563"/>
  <c r="W30" i="563"/>
  <c r="X30" i="563"/>
  <c r="Y30" i="563"/>
  <c r="Z30" i="563"/>
  <c r="AA30" i="563"/>
  <c r="S31" i="563"/>
  <c r="T31" i="563"/>
  <c r="U31" i="563"/>
  <c r="V31" i="563"/>
  <c r="W31" i="563"/>
  <c r="X31" i="563"/>
  <c r="Y31" i="563"/>
  <c r="Z31" i="563"/>
  <c r="AA31" i="563"/>
  <c r="S32" i="563"/>
  <c r="T32" i="563"/>
  <c r="U32" i="563"/>
  <c r="V32" i="563"/>
  <c r="W32" i="563"/>
  <c r="X32" i="563"/>
  <c r="Y32" i="563"/>
  <c r="Z32" i="563"/>
  <c r="AA32" i="563"/>
  <c r="S33" i="563"/>
  <c r="T33" i="563"/>
  <c r="U33" i="563"/>
  <c r="V33" i="563"/>
  <c r="W33" i="563"/>
  <c r="X33" i="563"/>
  <c r="Y33" i="563"/>
  <c r="Z33" i="563"/>
  <c r="AA33" i="563"/>
  <c r="S34" i="563"/>
  <c r="T34" i="563"/>
  <c r="U34" i="563"/>
  <c r="V34" i="563"/>
  <c r="W34" i="563"/>
  <c r="X34" i="563"/>
  <c r="Y34" i="563"/>
  <c r="Z34" i="563"/>
  <c r="AA34" i="563"/>
  <c r="S35" i="563"/>
  <c r="T35" i="563"/>
  <c r="U35" i="563"/>
  <c r="V35" i="563"/>
  <c r="W35" i="563"/>
  <c r="X35" i="563"/>
  <c r="Y35" i="563"/>
  <c r="Z35" i="563"/>
  <c r="AA35" i="563"/>
  <c r="S36" i="563"/>
  <c r="T36" i="563"/>
  <c r="U36" i="563"/>
  <c r="V36" i="563"/>
  <c r="W36" i="563"/>
  <c r="X36" i="563"/>
  <c r="Y36" i="563"/>
  <c r="Z36" i="563"/>
  <c r="AA36" i="563"/>
  <c r="S37" i="563"/>
  <c r="T37" i="563"/>
  <c r="U37" i="563"/>
  <c r="V37" i="563"/>
  <c r="W37" i="563"/>
  <c r="X37" i="563"/>
  <c r="Y37" i="563"/>
  <c r="Z37" i="563"/>
  <c r="AA37" i="563"/>
  <c r="S38" i="563"/>
  <c r="T38" i="563"/>
  <c r="U38" i="563"/>
  <c r="V38" i="563"/>
  <c r="W38" i="563"/>
  <c r="X38" i="563"/>
  <c r="Y38" i="563"/>
  <c r="Z38" i="563"/>
  <c r="AA38" i="563"/>
  <c r="R33" i="563"/>
  <c r="Q33" i="563"/>
  <c r="R37" i="563"/>
  <c r="Q37" i="563"/>
  <c r="R36" i="563"/>
  <c r="Q36" i="563"/>
  <c r="R35" i="563"/>
  <c r="Q35" i="563"/>
  <c r="R34" i="563"/>
  <c r="Q34" i="563"/>
  <c r="R27" i="563"/>
  <c r="Q27" i="563"/>
  <c r="R16" i="563"/>
  <c r="Q16" i="563"/>
  <c r="C11" i="563"/>
  <c r="R15" i="563"/>
  <c r="Q15" i="563"/>
  <c r="R10" i="563"/>
  <c r="Q10" i="563" s="1"/>
  <c r="R5" i="563"/>
  <c r="Q5" i="563"/>
  <c r="R6" i="563"/>
  <c r="Q6" i="563"/>
  <c r="AA182" i="563"/>
  <c r="AA184" i="563" s="1"/>
  <c r="Z182" i="563"/>
  <c r="Z184" i="563" s="1"/>
  <c r="Y182" i="563"/>
  <c r="Y184" i="563" s="1"/>
  <c r="X182" i="563"/>
  <c r="X184" i="563" s="1"/>
  <c r="W182" i="563"/>
  <c r="W184" i="563" s="1"/>
  <c r="V182" i="563"/>
  <c r="V184" i="563" s="1"/>
  <c r="U182" i="563"/>
  <c r="U184" i="563" s="1"/>
  <c r="AA139" i="563"/>
  <c r="Z139" i="563"/>
  <c r="Y139" i="563"/>
  <c r="X139" i="563"/>
  <c r="W139" i="563"/>
  <c r="V139" i="563"/>
  <c r="U139" i="563"/>
  <c r="AD128" i="563"/>
  <c r="AC128" i="563"/>
  <c r="AB128" i="563"/>
  <c r="AA40" i="563"/>
  <c r="AA41" i="563" s="1"/>
  <c r="AA42" i="563" s="1"/>
  <c r="AA43" i="563" s="1"/>
  <c r="AA44" i="563" s="1"/>
  <c r="AA45" i="563" s="1"/>
  <c r="AA46" i="563" s="1"/>
  <c r="AA47" i="563" s="1"/>
  <c r="AA48" i="563" s="1"/>
  <c r="AA49" i="563" s="1"/>
  <c r="AA50" i="563" s="1"/>
  <c r="AA51" i="563" s="1"/>
  <c r="AA52" i="563" s="1"/>
  <c r="AA53" i="563" s="1"/>
  <c r="AA54" i="563" s="1"/>
  <c r="AA55" i="563" s="1"/>
  <c r="AA56" i="563" s="1"/>
  <c r="AA57" i="563" s="1"/>
  <c r="AA58" i="563" s="1"/>
  <c r="AA59" i="563" s="1"/>
  <c r="AA60" i="563" s="1"/>
  <c r="AA61" i="563" s="1"/>
  <c r="AA62" i="563" s="1"/>
  <c r="AA63" i="563" s="1"/>
  <c r="AA64" i="563" s="1"/>
  <c r="AA65" i="563" s="1"/>
  <c r="AA66" i="563" s="1"/>
  <c r="AA67" i="563" s="1"/>
  <c r="AA68" i="563" s="1"/>
  <c r="AA69" i="563" s="1"/>
  <c r="AA70" i="563" s="1"/>
  <c r="AA71" i="563" s="1"/>
  <c r="AA72" i="563" s="1"/>
  <c r="AA73" i="563" s="1"/>
  <c r="AA74" i="563" s="1"/>
  <c r="AA75" i="563" s="1"/>
  <c r="AA76" i="563" s="1"/>
  <c r="AA77" i="563" s="1"/>
  <c r="AA78" i="563" s="1"/>
  <c r="AA79" i="563" s="1"/>
  <c r="AA80" i="563" s="1"/>
  <c r="AA81" i="563" s="1"/>
  <c r="AA82" i="563" s="1"/>
  <c r="AA83" i="563" s="1"/>
  <c r="Z40" i="563"/>
  <c r="Z41" i="563" s="1"/>
  <c r="Z42" i="563" s="1"/>
  <c r="Z43" i="563" s="1"/>
  <c r="Z44" i="563" s="1"/>
  <c r="Z45" i="563" s="1"/>
  <c r="Z46" i="563" s="1"/>
  <c r="Z47" i="563" s="1"/>
  <c r="Z48" i="563" s="1"/>
  <c r="Z49" i="563" s="1"/>
  <c r="Z50" i="563" s="1"/>
  <c r="Z51" i="563" s="1"/>
  <c r="Z52" i="563" s="1"/>
  <c r="Z53" i="563" s="1"/>
  <c r="Z54" i="563" s="1"/>
  <c r="Z55" i="563" s="1"/>
  <c r="Z56" i="563" s="1"/>
  <c r="Z57" i="563" s="1"/>
  <c r="Z58" i="563" s="1"/>
  <c r="Z59" i="563" s="1"/>
  <c r="Z60" i="563" s="1"/>
  <c r="Z61" i="563" s="1"/>
  <c r="Z62" i="563" s="1"/>
  <c r="Z63" i="563" s="1"/>
  <c r="Z64" i="563" s="1"/>
  <c r="Z65" i="563" s="1"/>
  <c r="Z66" i="563" s="1"/>
  <c r="Z67" i="563" s="1"/>
  <c r="Z68" i="563" s="1"/>
  <c r="Z69" i="563" s="1"/>
  <c r="Z70" i="563" s="1"/>
  <c r="Z71" i="563" s="1"/>
  <c r="Z72" i="563" s="1"/>
  <c r="Z73" i="563" s="1"/>
  <c r="Z74" i="563" s="1"/>
  <c r="Z75" i="563" s="1"/>
  <c r="Z76" i="563" s="1"/>
  <c r="Z77" i="563" s="1"/>
  <c r="Z78" i="563" s="1"/>
  <c r="Z79" i="563" s="1"/>
  <c r="Z80" i="563" s="1"/>
  <c r="Z81" i="563" s="1"/>
  <c r="Z82" i="563" s="1"/>
  <c r="Z83" i="563" s="1"/>
  <c r="Y40" i="563"/>
  <c r="Y41" i="563" s="1"/>
  <c r="Y42" i="563" s="1"/>
  <c r="Y43" i="563" s="1"/>
  <c r="Y44" i="563" s="1"/>
  <c r="Y45" i="563" s="1"/>
  <c r="Y46" i="563" s="1"/>
  <c r="Y47" i="563" s="1"/>
  <c r="Y48" i="563" s="1"/>
  <c r="Y49" i="563" s="1"/>
  <c r="Y50" i="563" s="1"/>
  <c r="Y51" i="563" s="1"/>
  <c r="Y52" i="563" s="1"/>
  <c r="Y53" i="563" s="1"/>
  <c r="Y54" i="563" s="1"/>
  <c r="Y55" i="563" s="1"/>
  <c r="Y56" i="563" s="1"/>
  <c r="Y57" i="563" s="1"/>
  <c r="Y58" i="563" s="1"/>
  <c r="Y59" i="563" s="1"/>
  <c r="Y60" i="563" s="1"/>
  <c r="Y61" i="563" s="1"/>
  <c r="Y62" i="563" s="1"/>
  <c r="Y63" i="563" s="1"/>
  <c r="Y64" i="563" s="1"/>
  <c r="Y65" i="563" s="1"/>
  <c r="Y66" i="563" s="1"/>
  <c r="Y67" i="563" s="1"/>
  <c r="Y68" i="563" s="1"/>
  <c r="Y69" i="563" s="1"/>
  <c r="Y70" i="563" s="1"/>
  <c r="Y71" i="563" s="1"/>
  <c r="Y72" i="563" s="1"/>
  <c r="Y73" i="563" s="1"/>
  <c r="Y74" i="563" s="1"/>
  <c r="Y75" i="563" s="1"/>
  <c r="Y76" i="563" s="1"/>
  <c r="Y77" i="563" s="1"/>
  <c r="Y78" i="563" s="1"/>
  <c r="Y79" i="563" s="1"/>
  <c r="Y80" i="563" s="1"/>
  <c r="Y81" i="563" s="1"/>
  <c r="Y82" i="563" s="1"/>
  <c r="Y83" i="563" s="1"/>
  <c r="X40" i="563"/>
  <c r="X41" i="563" s="1"/>
  <c r="X42" i="563" s="1"/>
  <c r="X43" i="563" s="1"/>
  <c r="X44" i="563" s="1"/>
  <c r="X45" i="563" s="1"/>
  <c r="X46" i="563" s="1"/>
  <c r="X47" i="563" s="1"/>
  <c r="X48" i="563" s="1"/>
  <c r="X49" i="563" s="1"/>
  <c r="X50" i="563" s="1"/>
  <c r="X51" i="563" s="1"/>
  <c r="X52" i="563" s="1"/>
  <c r="X53" i="563" s="1"/>
  <c r="X54" i="563" s="1"/>
  <c r="X55" i="563" s="1"/>
  <c r="X56" i="563" s="1"/>
  <c r="X57" i="563" s="1"/>
  <c r="X58" i="563" s="1"/>
  <c r="X59" i="563" s="1"/>
  <c r="X60" i="563" s="1"/>
  <c r="X61" i="563" s="1"/>
  <c r="X62" i="563" s="1"/>
  <c r="X63" i="563" s="1"/>
  <c r="X64" i="563" s="1"/>
  <c r="X65" i="563" s="1"/>
  <c r="X66" i="563" s="1"/>
  <c r="X67" i="563" s="1"/>
  <c r="X68" i="563" s="1"/>
  <c r="X69" i="563" s="1"/>
  <c r="X70" i="563" s="1"/>
  <c r="X71" i="563" s="1"/>
  <c r="X72" i="563" s="1"/>
  <c r="X73" i="563" s="1"/>
  <c r="X74" i="563" s="1"/>
  <c r="X75" i="563" s="1"/>
  <c r="X76" i="563" s="1"/>
  <c r="X77" i="563" s="1"/>
  <c r="X78" i="563" s="1"/>
  <c r="X79" i="563" s="1"/>
  <c r="X80" i="563" s="1"/>
  <c r="X81" i="563" s="1"/>
  <c r="X82" i="563" s="1"/>
  <c r="X83" i="563" s="1"/>
  <c r="W40" i="563"/>
  <c r="W41" i="563" s="1"/>
  <c r="W42" i="563" s="1"/>
  <c r="W43" i="563" s="1"/>
  <c r="W44" i="563" s="1"/>
  <c r="W45" i="563" s="1"/>
  <c r="W46" i="563" s="1"/>
  <c r="W47" i="563" s="1"/>
  <c r="W48" i="563" s="1"/>
  <c r="W49" i="563" s="1"/>
  <c r="W50" i="563" s="1"/>
  <c r="W51" i="563" s="1"/>
  <c r="W52" i="563" s="1"/>
  <c r="W53" i="563" s="1"/>
  <c r="W54" i="563" s="1"/>
  <c r="W55" i="563" s="1"/>
  <c r="W56" i="563" s="1"/>
  <c r="W57" i="563" s="1"/>
  <c r="W58" i="563" s="1"/>
  <c r="W59" i="563" s="1"/>
  <c r="W60" i="563" s="1"/>
  <c r="W61" i="563" s="1"/>
  <c r="W62" i="563" s="1"/>
  <c r="W63" i="563" s="1"/>
  <c r="W64" i="563" s="1"/>
  <c r="W65" i="563" s="1"/>
  <c r="W66" i="563" s="1"/>
  <c r="W67" i="563" s="1"/>
  <c r="W68" i="563" s="1"/>
  <c r="W69" i="563" s="1"/>
  <c r="W70" i="563" s="1"/>
  <c r="W71" i="563" s="1"/>
  <c r="W72" i="563" s="1"/>
  <c r="W73" i="563" s="1"/>
  <c r="W74" i="563" s="1"/>
  <c r="W75" i="563" s="1"/>
  <c r="W76" i="563" s="1"/>
  <c r="W77" i="563" s="1"/>
  <c r="W78" i="563" s="1"/>
  <c r="W79" i="563" s="1"/>
  <c r="W80" i="563" s="1"/>
  <c r="W81" i="563" s="1"/>
  <c r="W82" i="563" s="1"/>
  <c r="W83" i="563" s="1"/>
  <c r="V40" i="563"/>
  <c r="V41" i="563" s="1"/>
  <c r="V42" i="563" s="1"/>
  <c r="V43" i="563" s="1"/>
  <c r="V44" i="563" s="1"/>
  <c r="V45" i="563" s="1"/>
  <c r="V46" i="563" s="1"/>
  <c r="V47" i="563" s="1"/>
  <c r="V48" i="563" s="1"/>
  <c r="V49" i="563" s="1"/>
  <c r="V50" i="563" s="1"/>
  <c r="V51" i="563" s="1"/>
  <c r="V52" i="563" s="1"/>
  <c r="V53" i="563" s="1"/>
  <c r="V54" i="563" s="1"/>
  <c r="V55" i="563" s="1"/>
  <c r="V56" i="563" s="1"/>
  <c r="V57" i="563" s="1"/>
  <c r="V58" i="563" s="1"/>
  <c r="V59" i="563" s="1"/>
  <c r="V60" i="563" s="1"/>
  <c r="V61" i="563" s="1"/>
  <c r="V62" i="563" s="1"/>
  <c r="V63" i="563" s="1"/>
  <c r="V64" i="563" s="1"/>
  <c r="V65" i="563" s="1"/>
  <c r="V66" i="563" s="1"/>
  <c r="V67" i="563" s="1"/>
  <c r="V68" i="563" s="1"/>
  <c r="V69" i="563" s="1"/>
  <c r="V70" i="563" s="1"/>
  <c r="V71" i="563" s="1"/>
  <c r="V72" i="563" s="1"/>
  <c r="V73" i="563" s="1"/>
  <c r="V74" i="563" s="1"/>
  <c r="V75" i="563" s="1"/>
  <c r="V76" i="563" s="1"/>
  <c r="V77" i="563" s="1"/>
  <c r="V78" i="563" s="1"/>
  <c r="V79" i="563" s="1"/>
  <c r="V80" i="563" s="1"/>
  <c r="V81" i="563" s="1"/>
  <c r="V82" i="563" s="1"/>
  <c r="V83" i="563" s="1"/>
  <c r="U40" i="563"/>
  <c r="U41" i="563" s="1"/>
  <c r="U42" i="563" s="1"/>
  <c r="U43" i="563" s="1"/>
  <c r="U44" i="563" s="1"/>
  <c r="U45" i="563" s="1"/>
  <c r="U46" i="563" s="1"/>
  <c r="U47" i="563" s="1"/>
  <c r="U48" i="563" s="1"/>
  <c r="U49" i="563" s="1"/>
  <c r="U50" i="563" s="1"/>
  <c r="U51" i="563" s="1"/>
  <c r="U52" i="563" s="1"/>
  <c r="U53" i="563" s="1"/>
  <c r="U54" i="563" s="1"/>
  <c r="U55" i="563" s="1"/>
  <c r="U56" i="563" s="1"/>
  <c r="U57" i="563" s="1"/>
  <c r="U58" i="563" s="1"/>
  <c r="U59" i="563" s="1"/>
  <c r="U60" i="563" s="1"/>
  <c r="U61" i="563" s="1"/>
  <c r="U62" i="563" s="1"/>
  <c r="U63" i="563" s="1"/>
  <c r="U64" i="563" s="1"/>
  <c r="U65" i="563" s="1"/>
  <c r="U66" i="563" s="1"/>
  <c r="U67" i="563" s="1"/>
  <c r="U68" i="563" s="1"/>
  <c r="U69" i="563" s="1"/>
  <c r="U70" i="563" s="1"/>
  <c r="U71" i="563" s="1"/>
  <c r="U72" i="563" s="1"/>
  <c r="U73" i="563" s="1"/>
  <c r="U74" i="563" s="1"/>
  <c r="U75" i="563" s="1"/>
  <c r="U76" i="563" s="1"/>
  <c r="U77" i="563" s="1"/>
  <c r="U78" i="563" s="1"/>
  <c r="U79" i="563" s="1"/>
  <c r="U80" i="563" s="1"/>
  <c r="U81" i="563" s="1"/>
  <c r="U82" i="563" s="1"/>
  <c r="U83" i="563" s="1"/>
  <c r="C38" i="563"/>
  <c r="R32" i="563"/>
  <c r="Q32" i="563"/>
  <c r="R31" i="563"/>
  <c r="R30" i="563"/>
  <c r="Q30" i="563"/>
  <c r="C29" i="563"/>
  <c r="R28" i="563"/>
  <c r="R26" i="563"/>
  <c r="Q26" i="563"/>
  <c r="R25" i="563"/>
  <c r="Q25" i="563"/>
  <c r="C24" i="563"/>
  <c r="R23" i="563"/>
  <c r="Q23" i="563"/>
  <c r="R22" i="563"/>
  <c r="Q22" i="563"/>
  <c r="R21" i="563"/>
  <c r="R20" i="563"/>
  <c r="Q20" i="563"/>
  <c r="R19" i="563"/>
  <c r="R18" i="563"/>
  <c r="Q18" i="563"/>
  <c r="C17" i="563"/>
  <c r="R14" i="563"/>
  <c r="Q14" i="563"/>
  <c r="R13" i="563"/>
  <c r="Q13" i="563"/>
  <c r="R12" i="563"/>
  <c r="Q12" i="563"/>
  <c r="R9" i="563"/>
  <c r="Q9" i="563" s="1"/>
  <c r="R8" i="563"/>
  <c r="Q8" i="563" s="1"/>
  <c r="R7" i="563"/>
  <c r="Q7" i="563"/>
  <c r="S5" i="563"/>
  <c r="AA3" i="563"/>
  <c r="AA4" i="563" s="1"/>
  <c r="C9" i="563" s="1"/>
  <c r="Z3" i="563"/>
  <c r="Y3" i="563"/>
  <c r="X3" i="563"/>
  <c r="W3" i="563"/>
  <c r="V3" i="563"/>
  <c r="U3" i="563"/>
  <c r="U8" i="395"/>
  <c r="V8" i="395"/>
  <c r="W8" i="395"/>
  <c r="X8" i="395"/>
  <c r="Y8" i="395"/>
  <c r="Z8" i="395"/>
  <c r="AA8" i="395"/>
  <c r="U9" i="395"/>
  <c r="V9" i="395"/>
  <c r="W9" i="395"/>
  <c r="X9" i="395"/>
  <c r="Y9" i="395"/>
  <c r="Z9" i="395"/>
  <c r="AA9" i="395"/>
  <c r="U10" i="395"/>
  <c r="V10" i="395"/>
  <c r="W10" i="395"/>
  <c r="X10" i="395"/>
  <c r="Y10" i="395"/>
  <c r="Z10" i="395"/>
  <c r="AA10" i="395"/>
  <c r="U11" i="395"/>
  <c r="V11" i="395"/>
  <c r="W11" i="395"/>
  <c r="X11" i="395"/>
  <c r="Y11" i="395"/>
  <c r="Z11" i="395"/>
  <c r="AA11" i="395"/>
  <c r="U12" i="395"/>
  <c r="V12" i="395"/>
  <c r="W12" i="395"/>
  <c r="X12" i="395"/>
  <c r="Y12" i="395"/>
  <c r="Z12" i="395"/>
  <c r="AA12" i="395"/>
  <c r="U13" i="395"/>
  <c r="V13" i="395"/>
  <c r="W13" i="395"/>
  <c r="X13" i="395"/>
  <c r="Y13" i="395"/>
  <c r="Z13" i="395"/>
  <c r="AA13" i="395"/>
  <c r="U14" i="395"/>
  <c r="V14" i="395"/>
  <c r="W14" i="395"/>
  <c r="X14" i="395"/>
  <c r="Y14" i="395"/>
  <c r="Z14" i="395"/>
  <c r="AA14" i="395"/>
  <c r="U15" i="395"/>
  <c r="V15" i="395"/>
  <c r="W15" i="395"/>
  <c r="X15" i="395"/>
  <c r="Y15" i="395"/>
  <c r="Z15" i="395"/>
  <c r="AA15" i="395"/>
  <c r="U16" i="395"/>
  <c r="V16" i="395"/>
  <c r="W16" i="395"/>
  <c r="X16" i="395"/>
  <c r="Y16" i="395"/>
  <c r="Z16" i="395"/>
  <c r="AA16" i="395"/>
  <c r="U17" i="395"/>
  <c r="V17" i="395"/>
  <c r="W17" i="395"/>
  <c r="X17" i="395"/>
  <c r="Y17" i="395"/>
  <c r="Z17" i="395"/>
  <c r="AA17" i="395"/>
  <c r="U18" i="395"/>
  <c r="V18" i="395"/>
  <c r="W18" i="395"/>
  <c r="X18" i="395"/>
  <c r="Y18" i="395"/>
  <c r="Z18" i="395"/>
  <c r="AA18" i="395"/>
  <c r="U19" i="395"/>
  <c r="V19" i="395"/>
  <c r="W19" i="395"/>
  <c r="X19" i="395"/>
  <c r="Y19" i="395"/>
  <c r="Z19" i="395"/>
  <c r="AA19" i="395"/>
  <c r="U20" i="395"/>
  <c r="V20" i="395"/>
  <c r="W20" i="395"/>
  <c r="X20" i="395"/>
  <c r="Y20" i="395"/>
  <c r="Z20" i="395"/>
  <c r="AA20" i="395"/>
  <c r="U21" i="395"/>
  <c r="V21" i="395"/>
  <c r="W21" i="395"/>
  <c r="X21" i="395"/>
  <c r="Y21" i="395"/>
  <c r="Z21" i="395"/>
  <c r="AA21" i="395"/>
  <c r="U22" i="395"/>
  <c r="V22" i="395"/>
  <c r="W22" i="395"/>
  <c r="X22" i="395"/>
  <c r="Y22" i="395"/>
  <c r="Z22" i="395"/>
  <c r="AA22" i="395"/>
  <c r="U23" i="395"/>
  <c r="V23" i="395"/>
  <c r="W23" i="395"/>
  <c r="X23" i="395"/>
  <c r="Y23" i="395"/>
  <c r="Z23" i="395"/>
  <c r="AA23" i="395"/>
  <c r="U24" i="395"/>
  <c r="V24" i="395"/>
  <c r="W24" i="395"/>
  <c r="X24" i="395"/>
  <c r="Y24" i="395"/>
  <c r="Z24" i="395"/>
  <c r="AA24" i="395"/>
  <c r="U25" i="395"/>
  <c r="V25" i="395"/>
  <c r="W25" i="395"/>
  <c r="X25" i="395"/>
  <c r="Y25" i="395"/>
  <c r="Z25" i="395"/>
  <c r="AA25" i="395"/>
  <c r="U26" i="395"/>
  <c r="V26" i="395"/>
  <c r="W26" i="395"/>
  <c r="X26" i="395"/>
  <c r="Y26" i="395"/>
  <c r="Z26" i="395"/>
  <c r="AA26" i="395"/>
  <c r="U27" i="395"/>
  <c r="V27" i="395"/>
  <c r="W27" i="395"/>
  <c r="X27" i="395"/>
  <c r="Y27" i="395"/>
  <c r="Z27" i="395"/>
  <c r="AA27" i="395"/>
  <c r="U28" i="395"/>
  <c r="V28" i="395"/>
  <c r="W28" i="395"/>
  <c r="X28" i="395"/>
  <c r="Y28" i="395"/>
  <c r="Z28" i="395"/>
  <c r="AA28" i="395"/>
  <c r="U29" i="395"/>
  <c r="V29" i="395"/>
  <c r="W29" i="395"/>
  <c r="X29" i="395"/>
  <c r="Y29" i="395"/>
  <c r="Z29" i="395"/>
  <c r="AA29" i="395"/>
  <c r="U30" i="395"/>
  <c r="V30" i="395"/>
  <c r="W30" i="395"/>
  <c r="X30" i="395"/>
  <c r="Y30" i="395"/>
  <c r="Z30" i="395"/>
  <c r="AA30" i="395"/>
  <c r="U31" i="395"/>
  <c r="V31" i="395"/>
  <c r="W31" i="395"/>
  <c r="X31" i="395"/>
  <c r="Y31" i="395"/>
  <c r="Z31" i="395"/>
  <c r="AA31" i="395"/>
  <c r="U32" i="395"/>
  <c r="V32" i="395"/>
  <c r="W32" i="395"/>
  <c r="X32" i="395"/>
  <c r="Y32" i="395"/>
  <c r="Z32" i="395"/>
  <c r="AA32" i="395"/>
  <c r="U33" i="395"/>
  <c r="V33" i="395"/>
  <c r="W33" i="395"/>
  <c r="X33" i="395"/>
  <c r="Y33" i="395"/>
  <c r="Z33" i="395"/>
  <c r="AA33" i="395"/>
  <c r="U34" i="395"/>
  <c r="V34" i="395"/>
  <c r="W34" i="395"/>
  <c r="X34" i="395"/>
  <c r="Y34" i="395"/>
  <c r="Z34" i="395"/>
  <c r="AA34" i="395"/>
  <c r="U35" i="395"/>
  <c r="V35" i="395"/>
  <c r="W35" i="395"/>
  <c r="X35" i="395"/>
  <c r="Y35" i="395"/>
  <c r="Z35" i="395"/>
  <c r="AA35" i="395"/>
  <c r="U36" i="395"/>
  <c r="V36" i="395"/>
  <c r="W36" i="395"/>
  <c r="X36" i="395"/>
  <c r="Y36" i="395"/>
  <c r="Z36" i="395"/>
  <c r="AA36" i="395"/>
  <c r="U37" i="395"/>
  <c r="V37" i="395"/>
  <c r="W37" i="395"/>
  <c r="X37" i="395"/>
  <c r="Y37" i="395"/>
  <c r="Z37" i="395"/>
  <c r="AA37" i="395"/>
  <c r="U38" i="395"/>
  <c r="V38" i="395"/>
  <c r="W38" i="395"/>
  <c r="X38" i="395"/>
  <c r="Y38" i="395"/>
  <c r="Z38" i="395"/>
  <c r="AA38" i="395"/>
  <c r="U39" i="395"/>
  <c r="V39" i="395"/>
  <c r="W39" i="395"/>
  <c r="X39" i="395"/>
  <c r="Y39" i="395"/>
  <c r="Z39" i="395"/>
  <c r="AA39" i="395"/>
  <c r="U40" i="395"/>
  <c r="V40" i="395"/>
  <c r="W40" i="395"/>
  <c r="X40" i="395"/>
  <c r="Y40" i="395"/>
  <c r="Z40" i="395"/>
  <c r="AA40" i="395"/>
  <c r="U41" i="395"/>
  <c r="V41" i="395"/>
  <c r="W41" i="395"/>
  <c r="X41" i="395"/>
  <c r="Y41" i="395"/>
  <c r="Z41" i="395"/>
  <c r="AA41" i="395"/>
  <c r="U42" i="395"/>
  <c r="V42" i="395"/>
  <c r="W42" i="395"/>
  <c r="X42" i="395"/>
  <c r="Y42" i="395"/>
  <c r="Z42" i="395"/>
  <c r="AA42" i="395"/>
  <c r="U43" i="395"/>
  <c r="V43" i="395"/>
  <c r="W43" i="395"/>
  <c r="X43" i="395"/>
  <c r="Y43" i="395"/>
  <c r="Z43" i="395"/>
  <c r="AA43" i="395"/>
  <c r="U44" i="395"/>
  <c r="V44" i="395"/>
  <c r="W44" i="395"/>
  <c r="X44" i="395"/>
  <c r="Y44" i="395"/>
  <c r="Z44" i="395"/>
  <c r="AA44" i="395"/>
  <c r="U45" i="395"/>
  <c r="V45" i="395"/>
  <c r="W45" i="395"/>
  <c r="X45" i="395"/>
  <c r="Y45" i="395"/>
  <c r="Z45" i="395"/>
  <c r="AA45" i="395"/>
  <c r="U46" i="395"/>
  <c r="V46" i="395"/>
  <c r="W46" i="395"/>
  <c r="X46" i="395"/>
  <c r="Y46" i="395"/>
  <c r="Z46" i="395"/>
  <c r="AA46" i="395"/>
  <c r="U47" i="395"/>
  <c r="V47" i="395"/>
  <c r="W47" i="395"/>
  <c r="X47" i="395"/>
  <c r="Y47" i="395"/>
  <c r="Z47" i="395"/>
  <c r="AA47" i="395"/>
  <c r="U48" i="395"/>
  <c r="V48" i="395"/>
  <c r="W48" i="395"/>
  <c r="X48" i="395"/>
  <c r="Y48" i="395"/>
  <c r="Z48" i="395"/>
  <c r="AA48" i="395"/>
  <c r="U49" i="395"/>
  <c r="V49" i="395"/>
  <c r="W49" i="395"/>
  <c r="X49" i="395"/>
  <c r="Y49" i="395"/>
  <c r="Z49" i="395"/>
  <c r="AA49" i="395"/>
  <c r="U50" i="395"/>
  <c r="V50" i="395"/>
  <c r="W50" i="395"/>
  <c r="X50" i="395"/>
  <c r="Y50" i="395"/>
  <c r="Z50" i="395"/>
  <c r="AA50" i="395"/>
  <c r="U51" i="395"/>
  <c r="V51" i="395"/>
  <c r="W51" i="395"/>
  <c r="X51" i="395"/>
  <c r="Y51" i="395"/>
  <c r="Z51" i="395"/>
  <c r="AA51" i="395"/>
  <c r="U52" i="395"/>
  <c r="V52" i="395"/>
  <c r="W52" i="395"/>
  <c r="X52" i="395"/>
  <c r="Y52" i="395"/>
  <c r="Z52" i="395"/>
  <c r="AA52" i="395"/>
  <c r="U53" i="395"/>
  <c r="V53" i="395"/>
  <c r="W53" i="395"/>
  <c r="X53" i="395"/>
  <c r="Y53" i="395"/>
  <c r="Z53" i="395"/>
  <c r="AA53" i="395"/>
  <c r="U54" i="395"/>
  <c r="V54" i="395"/>
  <c r="W54" i="395"/>
  <c r="X54" i="395"/>
  <c r="Y54" i="395"/>
  <c r="Z54" i="395"/>
  <c r="AA54" i="395"/>
  <c r="U55" i="395"/>
  <c r="V55" i="395"/>
  <c r="W55" i="395"/>
  <c r="X55" i="395"/>
  <c r="Y55" i="395"/>
  <c r="Z55" i="395"/>
  <c r="AA55" i="395"/>
  <c r="U56" i="395"/>
  <c r="V56" i="395"/>
  <c r="W56" i="395"/>
  <c r="X56" i="395"/>
  <c r="Y56" i="395"/>
  <c r="Z56" i="395"/>
  <c r="AA56" i="395"/>
  <c r="U57" i="395"/>
  <c r="V57" i="395"/>
  <c r="W57" i="395"/>
  <c r="X57" i="395"/>
  <c r="Y57" i="395"/>
  <c r="Z57" i="395"/>
  <c r="AA57" i="395"/>
  <c r="U58" i="395"/>
  <c r="V58" i="395"/>
  <c r="W58" i="395"/>
  <c r="X58" i="395"/>
  <c r="Y58" i="395"/>
  <c r="Z58" i="395"/>
  <c r="AA58" i="395"/>
  <c r="U59" i="395"/>
  <c r="V59" i="395"/>
  <c r="W59" i="395"/>
  <c r="X59" i="395"/>
  <c r="Y59" i="395"/>
  <c r="Z59" i="395"/>
  <c r="AA59" i="395"/>
  <c r="U60" i="395"/>
  <c r="V60" i="395"/>
  <c r="W60" i="395"/>
  <c r="X60" i="395"/>
  <c r="Y60" i="395"/>
  <c r="Z60" i="395"/>
  <c r="AA60" i="395"/>
  <c r="U61" i="395"/>
  <c r="V61" i="395"/>
  <c r="W61" i="395"/>
  <c r="X61" i="395"/>
  <c r="Y61" i="395"/>
  <c r="Z61" i="395"/>
  <c r="AA61" i="395"/>
  <c r="U62" i="395"/>
  <c r="V62" i="395"/>
  <c r="W62" i="395"/>
  <c r="X62" i="395"/>
  <c r="Y62" i="395"/>
  <c r="Z62" i="395"/>
  <c r="AA62" i="395"/>
  <c r="U63" i="395"/>
  <c r="V63" i="395"/>
  <c r="W63" i="395"/>
  <c r="X63" i="395"/>
  <c r="Y63" i="395"/>
  <c r="Z63" i="395"/>
  <c r="AA63" i="395"/>
  <c r="U64" i="395"/>
  <c r="V64" i="395"/>
  <c r="W64" i="395"/>
  <c r="X64" i="395"/>
  <c r="Y64" i="395"/>
  <c r="Z64" i="395"/>
  <c r="AA64" i="395"/>
  <c r="U65" i="395"/>
  <c r="V65" i="395"/>
  <c r="W65" i="395"/>
  <c r="X65" i="395"/>
  <c r="Y65" i="395"/>
  <c r="Z65" i="395"/>
  <c r="AA65" i="395"/>
  <c r="U66" i="395"/>
  <c r="V66" i="395"/>
  <c r="W66" i="395"/>
  <c r="X66" i="395"/>
  <c r="Y66" i="395"/>
  <c r="Z66" i="395"/>
  <c r="AA66" i="395"/>
  <c r="U67" i="395"/>
  <c r="V67" i="395"/>
  <c r="W67" i="395"/>
  <c r="X67" i="395"/>
  <c r="Y67" i="395"/>
  <c r="Z67" i="395"/>
  <c r="AA67" i="395"/>
  <c r="U68" i="395"/>
  <c r="V68" i="395"/>
  <c r="W68" i="395"/>
  <c r="X68" i="395"/>
  <c r="Y68" i="395"/>
  <c r="Z68" i="395"/>
  <c r="AA68" i="395"/>
  <c r="U69" i="395"/>
  <c r="V69" i="395"/>
  <c r="W69" i="395"/>
  <c r="X69" i="395"/>
  <c r="Y69" i="395"/>
  <c r="Z69" i="395"/>
  <c r="AA69" i="395"/>
  <c r="L38" i="395"/>
  <c r="R37" i="395"/>
  <c r="O37" i="395"/>
  <c r="P37" i="395" s="1"/>
  <c r="N37" i="395" s="1"/>
  <c r="R36" i="395"/>
  <c r="O36" i="395"/>
  <c r="P36" i="395" s="1"/>
  <c r="N36" i="395" s="1"/>
  <c r="R35" i="395"/>
  <c r="P35" i="395"/>
  <c r="N35" i="395" s="1"/>
  <c r="O35" i="395"/>
  <c r="R34" i="395"/>
  <c r="O34" i="395"/>
  <c r="P34" i="395" s="1"/>
  <c r="N34" i="395" s="1"/>
  <c r="R33" i="395"/>
  <c r="O33" i="395"/>
  <c r="P33" i="395" s="1"/>
  <c r="N33" i="395" s="1"/>
  <c r="R32" i="395"/>
  <c r="O32" i="395"/>
  <c r="P32" i="395" s="1"/>
  <c r="N32" i="395" s="1"/>
  <c r="R31" i="395"/>
  <c r="P31" i="395"/>
  <c r="N31" i="395" s="1"/>
  <c r="O31" i="395"/>
  <c r="R30" i="395"/>
  <c r="O30" i="395"/>
  <c r="P30" i="395" s="1"/>
  <c r="N30" i="395" s="1"/>
  <c r="L30" i="395"/>
  <c r="C30" i="395"/>
  <c r="C31" i="395"/>
  <c r="C32" i="395"/>
  <c r="C33" i="395"/>
  <c r="C34" i="395"/>
  <c r="C35" i="395"/>
  <c r="C36" i="395"/>
  <c r="C37" i="395"/>
  <c r="S22" i="395"/>
  <c r="T22" i="395"/>
  <c r="R27" i="395"/>
  <c r="R26" i="395"/>
  <c r="R25" i="395"/>
  <c r="R24" i="395"/>
  <c r="R11" i="395"/>
  <c r="R10" i="395"/>
  <c r="R9" i="395"/>
  <c r="R8" i="395"/>
  <c r="R7" i="395"/>
  <c r="S77" i="516"/>
  <c r="T77" i="516"/>
  <c r="S78" i="516"/>
  <c r="S79" i="516"/>
  <c r="S80" i="516"/>
  <c r="S81" i="516"/>
  <c r="T81" i="516"/>
  <c r="L50" i="516"/>
  <c r="L51" i="516" s="1"/>
  <c r="L52" i="516" s="1"/>
  <c r="L53" i="516" s="1"/>
  <c r="L54" i="516" s="1"/>
  <c r="L55" i="516" s="1"/>
  <c r="L56" i="516" s="1"/>
  <c r="L57" i="516" s="1"/>
  <c r="R56" i="516"/>
  <c r="R55" i="516"/>
  <c r="R54" i="516"/>
  <c r="R53" i="516"/>
  <c r="R52" i="516"/>
  <c r="R51" i="516"/>
  <c r="R50" i="516"/>
  <c r="R49" i="516"/>
  <c r="R80" i="516"/>
  <c r="R79" i="516"/>
  <c r="R78" i="516"/>
  <c r="R81" i="516" s="1"/>
  <c r="AA240" i="516"/>
  <c r="AA242" i="516" s="1"/>
  <c r="Z240" i="516"/>
  <c r="Z242" i="516" s="1"/>
  <c r="Y240" i="516"/>
  <c r="Y242" i="516" s="1"/>
  <c r="X240" i="516"/>
  <c r="X242" i="516" s="1"/>
  <c r="W240" i="516"/>
  <c r="W242" i="516" s="1"/>
  <c r="V240" i="516"/>
  <c r="V242" i="516" s="1"/>
  <c r="U240" i="516"/>
  <c r="U242" i="516" s="1"/>
  <c r="AA197" i="516"/>
  <c r="Z197" i="516"/>
  <c r="Y197" i="516"/>
  <c r="X197" i="516"/>
  <c r="W197" i="516"/>
  <c r="V197" i="516"/>
  <c r="U197" i="516"/>
  <c r="AD186" i="516"/>
  <c r="AC186" i="516"/>
  <c r="AB186" i="516"/>
  <c r="O83" i="516"/>
  <c r="P83" i="516" s="1"/>
  <c r="N83" i="516" s="1"/>
  <c r="C81" i="516"/>
  <c r="S76" i="516"/>
  <c r="R76" i="516"/>
  <c r="S75" i="516"/>
  <c r="R75" i="516"/>
  <c r="S74" i="516"/>
  <c r="R74" i="516"/>
  <c r="N74" i="516"/>
  <c r="S73" i="516"/>
  <c r="R73" i="516"/>
  <c r="S72" i="516"/>
  <c r="R72" i="516"/>
  <c r="S71" i="516"/>
  <c r="R71" i="516"/>
  <c r="S70" i="516"/>
  <c r="R70" i="516"/>
  <c r="S69" i="516"/>
  <c r="R69" i="516"/>
  <c r="S68" i="516"/>
  <c r="R68" i="516"/>
  <c r="S67" i="516"/>
  <c r="R67" i="516"/>
  <c r="R77" i="516" s="1"/>
  <c r="S66" i="516"/>
  <c r="C66" i="516"/>
  <c r="O66" i="516" s="1"/>
  <c r="T66" i="516" s="1"/>
  <c r="S65" i="516"/>
  <c r="R65" i="516"/>
  <c r="S64" i="516"/>
  <c r="R64" i="516"/>
  <c r="S63" i="516"/>
  <c r="R63" i="516"/>
  <c r="S62" i="516"/>
  <c r="R62" i="516"/>
  <c r="S61" i="516"/>
  <c r="R61" i="516"/>
  <c r="S60" i="516"/>
  <c r="R60" i="516"/>
  <c r="S59" i="516"/>
  <c r="R59" i="516"/>
  <c r="S58" i="516"/>
  <c r="C58" i="516"/>
  <c r="O58" i="516" s="1"/>
  <c r="T58" i="516" s="1"/>
  <c r="S57" i="516"/>
  <c r="C57" i="516"/>
  <c r="S56" i="516"/>
  <c r="S55" i="516"/>
  <c r="S54" i="516"/>
  <c r="S53" i="516"/>
  <c r="C53" i="516"/>
  <c r="T53" i="516" s="1"/>
  <c r="S52" i="516"/>
  <c r="S51" i="516"/>
  <c r="S50" i="516"/>
  <c r="S49" i="516"/>
  <c r="T48" i="516"/>
  <c r="S48" i="516"/>
  <c r="C48" i="516"/>
  <c r="S47" i="516"/>
  <c r="R47" i="516"/>
  <c r="S46" i="516"/>
  <c r="R46" i="516"/>
  <c r="S45" i="516"/>
  <c r="R45" i="516"/>
  <c r="S44" i="516"/>
  <c r="R44" i="516"/>
  <c r="S43" i="516"/>
  <c r="R43" i="516"/>
  <c r="S42" i="516"/>
  <c r="R42" i="516"/>
  <c r="S41" i="516"/>
  <c r="R41" i="516"/>
  <c r="S40" i="516"/>
  <c r="R40" i="516"/>
  <c r="S39" i="516"/>
  <c r="R39" i="516"/>
  <c r="S38" i="516"/>
  <c r="R38" i="516"/>
  <c r="L38" i="516"/>
  <c r="T37" i="516"/>
  <c r="S37" i="516"/>
  <c r="R37" i="516"/>
  <c r="R48" i="516" s="1"/>
  <c r="T36" i="516"/>
  <c r="S36" i="516"/>
  <c r="C36" i="516"/>
  <c r="S35" i="516"/>
  <c r="R35" i="516"/>
  <c r="S34" i="516"/>
  <c r="R34" i="516"/>
  <c r="S33" i="516"/>
  <c r="R33" i="516"/>
  <c r="S32" i="516"/>
  <c r="R32" i="516"/>
  <c r="R36" i="516" s="1"/>
  <c r="T31" i="516"/>
  <c r="S31" i="516"/>
  <c r="C31" i="516"/>
  <c r="S30" i="516"/>
  <c r="R30" i="516"/>
  <c r="S29" i="516"/>
  <c r="R29" i="516"/>
  <c r="S28" i="516"/>
  <c r="R28" i="516"/>
  <c r="S27" i="516"/>
  <c r="R27" i="516"/>
  <c r="T26" i="516"/>
  <c r="S26" i="516"/>
  <c r="C26" i="516"/>
  <c r="S25" i="516"/>
  <c r="R25" i="516"/>
  <c r="S24" i="516"/>
  <c r="R24" i="516"/>
  <c r="S23" i="516"/>
  <c r="R23" i="516"/>
  <c r="S22" i="516"/>
  <c r="R22" i="516"/>
  <c r="S21" i="516"/>
  <c r="R21" i="516"/>
  <c r="S20" i="516"/>
  <c r="R20" i="516"/>
  <c r="S19" i="516"/>
  <c r="R19" i="516"/>
  <c r="S18" i="516"/>
  <c r="C18" i="516"/>
  <c r="S17" i="516"/>
  <c r="R17" i="516"/>
  <c r="S16" i="516"/>
  <c r="R16" i="516"/>
  <c r="S15" i="516"/>
  <c r="R15" i="516"/>
  <c r="S14" i="516"/>
  <c r="R14" i="516"/>
  <c r="S13" i="516"/>
  <c r="R13" i="516"/>
  <c r="S12" i="516"/>
  <c r="R12" i="516"/>
  <c r="S11" i="516"/>
  <c r="C11" i="516"/>
  <c r="S10" i="516"/>
  <c r="R10" i="516"/>
  <c r="S9" i="516"/>
  <c r="R9" i="516"/>
  <c r="S8" i="516"/>
  <c r="R8" i="516"/>
  <c r="S7" i="516"/>
  <c r="R7" i="516"/>
  <c r="S6" i="516"/>
  <c r="R6" i="516"/>
  <c r="AA4" i="516"/>
  <c r="AA5" i="516" s="1"/>
  <c r="C80" i="516" s="1"/>
  <c r="O80" i="516" s="1"/>
  <c r="P80" i="516" s="1"/>
  <c r="N80" i="516" s="1"/>
  <c r="Z4" i="516"/>
  <c r="Y4" i="516"/>
  <c r="Y5" i="516" s="1"/>
  <c r="X4" i="516"/>
  <c r="X5" i="516" s="1"/>
  <c r="W4" i="516"/>
  <c r="V4" i="516"/>
  <c r="U4" i="516"/>
  <c r="U5" i="516" s="1"/>
  <c r="R45" i="565" l="1"/>
  <c r="R39" i="565"/>
  <c r="R28" i="565"/>
  <c r="R51" i="565"/>
  <c r="W20" i="565"/>
  <c r="R33" i="565"/>
  <c r="AA20" i="565"/>
  <c r="V45" i="565"/>
  <c r="V39" i="565"/>
  <c r="V33" i="565"/>
  <c r="Z45" i="565"/>
  <c r="Z39" i="565"/>
  <c r="Z33" i="565"/>
  <c r="W28" i="565"/>
  <c r="AA28" i="565"/>
  <c r="W45" i="565"/>
  <c r="W39" i="565"/>
  <c r="W33" i="565"/>
  <c r="AA45" i="565"/>
  <c r="AA39" i="565"/>
  <c r="AA33" i="565"/>
  <c r="X20" i="565"/>
  <c r="X28" i="565"/>
  <c r="X45" i="565"/>
  <c r="X39" i="565"/>
  <c r="X33" i="565"/>
  <c r="U20" i="565"/>
  <c r="Y20" i="565"/>
  <c r="U28" i="565"/>
  <c r="Y28" i="565"/>
  <c r="U45" i="565"/>
  <c r="U39" i="565"/>
  <c r="U33" i="565"/>
  <c r="Y45" i="565"/>
  <c r="Y39" i="565"/>
  <c r="Y33" i="565"/>
  <c r="V20" i="565"/>
  <c r="C40" i="565" s="1"/>
  <c r="O40" i="565" s="1"/>
  <c r="P40" i="565" s="1"/>
  <c r="N40" i="565" s="1"/>
  <c r="Z20" i="565"/>
  <c r="C26" i="565"/>
  <c r="V28" i="565"/>
  <c r="Z28" i="565"/>
  <c r="V77" i="516"/>
  <c r="Z77" i="516"/>
  <c r="L36" i="398"/>
  <c r="L37" i="398" s="1"/>
  <c r="L38" i="398" s="1"/>
  <c r="R29" i="563"/>
  <c r="C8" i="563"/>
  <c r="C16" i="563"/>
  <c r="O16" i="563" s="1"/>
  <c r="P16" i="563" s="1"/>
  <c r="N16" i="563" s="1"/>
  <c r="W4" i="563"/>
  <c r="C10" i="563"/>
  <c r="X4" i="563"/>
  <c r="C34" i="563" s="1"/>
  <c r="O34" i="563" s="1"/>
  <c r="P34" i="563" s="1"/>
  <c r="N34" i="563" s="1"/>
  <c r="R24" i="563"/>
  <c r="Q24" i="563" s="1"/>
  <c r="Q29" i="563"/>
  <c r="R38" i="563"/>
  <c r="Q38" i="563" s="1"/>
  <c r="R11" i="563"/>
  <c r="Q11" i="563" s="1"/>
  <c r="V4" i="563"/>
  <c r="C13" i="563" s="1"/>
  <c r="Z4" i="563"/>
  <c r="C21" i="563"/>
  <c r="O10" i="563"/>
  <c r="P10" i="563" s="1"/>
  <c r="N10" i="563" s="1"/>
  <c r="C36" i="563"/>
  <c r="O36" i="563" s="1"/>
  <c r="P36" i="563" s="1"/>
  <c r="N36" i="563" s="1"/>
  <c r="C32" i="563"/>
  <c r="C22" i="563"/>
  <c r="C20" i="563"/>
  <c r="U4" i="563"/>
  <c r="C12" i="563" s="1"/>
  <c r="Y4" i="563"/>
  <c r="R17" i="563"/>
  <c r="Q17" i="563" s="1"/>
  <c r="W81" i="516"/>
  <c r="W77" i="516"/>
  <c r="L31" i="395"/>
  <c r="L32" i="395" s="1"/>
  <c r="L33" i="395" s="1"/>
  <c r="L34" i="395" s="1"/>
  <c r="L35" i="395" s="1"/>
  <c r="L36" i="395" s="1"/>
  <c r="L37" i="395" s="1"/>
  <c r="Z81" i="516"/>
  <c r="V81" i="516"/>
  <c r="AA80" i="516"/>
  <c r="W80" i="516"/>
  <c r="Y81" i="516"/>
  <c r="U81" i="516"/>
  <c r="Z80" i="516"/>
  <c r="V80" i="516"/>
  <c r="Y77" i="516"/>
  <c r="U77" i="516"/>
  <c r="X81" i="516"/>
  <c r="Y80" i="516"/>
  <c r="U80" i="516"/>
  <c r="X77" i="516"/>
  <c r="AA81" i="516"/>
  <c r="X80" i="516"/>
  <c r="T80" i="516"/>
  <c r="AA77" i="516"/>
  <c r="R11" i="516"/>
  <c r="R18" i="516"/>
  <c r="C79" i="516"/>
  <c r="R26" i="516"/>
  <c r="U11" i="516"/>
  <c r="O11" i="516"/>
  <c r="T11" i="516" s="1"/>
  <c r="R66" i="516"/>
  <c r="Y18" i="516"/>
  <c r="Y26" i="516"/>
  <c r="R57" i="516"/>
  <c r="X11" i="516"/>
  <c r="AA11" i="516"/>
  <c r="Y11" i="516"/>
  <c r="R31" i="516"/>
  <c r="C75" i="516"/>
  <c r="C73" i="516"/>
  <c r="C71" i="516"/>
  <c r="C69" i="516"/>
  <c r="C74" i="516"/>
  <c r="C63" i="516"/>
  <c r="C68" i="516"/>
  <c r="C30" i="516"/>
  <c r="C54" i="516"/>
  <c r="C55" i="516"/>
  <c r="C52" i="516"/>
  <c r="C50" i="516"/>
  <c r="C34" i="516"/>
  <c r="C29" i="516"/>
  <c r="C33" i="516"/>
  <c r="C28" i="516"/>
  <c r="C20" i="516"/>
  <c r="C10" i="516"/>
  <c r="C65" i="516"/>
  <c r="C59" i="516"/>
  <c r="C76" i="516"/>
  <c r="C35" i="516"/>
  <c r="C56" i="516"/>
  <c r="C25" i="516"/>
  <c r="C27" i="516"/>
  <c r="C19" i="516"/>
  <c r="C6" i="516"/>
  <c r="C12" i="516"/>
  <c r="C46" i="516"/>
  <c r="C44" i="516"/>
  <c r="C21" i="516"/>
  <c r="C17" i="516"/>
  <c r="C23" i="516"/>
  <c r="C9" i="516"/>
  <c r="V58" i="516"/>
  <c r="V53" i="516"/>
  <c r="V57" i="516"/>
  <c r="V36" i="516"/>
  <c r="Z57" i="516"/>
  <c r="Z53" i="516"/>
  <c r="Z58" i="516"/>
  <c r="Z36" i="516"/>
  <c r="W5" i="516"/>
  <c r="C78" i="516" s="1"/>
  <c r="V18" i="516"/>
  <c r="Z18" i="516"/>
  <c r="V26" i="516"/>
  <c r="Z26" i="516"/>
  <c r="Z31" i="516"/>
  <c r="W58" i="516"/>
  <c r="AA58" i="516"/>
  <c r="C64" i="516"/>
  <c r="C38" i="516"/>
  <c r="W18" i="516"/>
  <c r="AA18" i="516"/>
  <c r="W26" i="516"/>
  <c r="AA26" i="516"/>
  <c r="AA31" i="516"/>
  <c r="AA48" i="516"/>
  <c r="X66" i="516"/>
  <c r="X53" i="516"/>
  <c r="V11" i="516"/>
  <c r="Z11" i="516"/>
  <c r="X18" i="516"/>
  <c r="X26" i="516"/>
  <c r="Y31" i="516"/>
  <c r="V31" i="516"/>
  <c r="W36" i="516"/>
  <c r="U66" i="516"/>
  <c r="U53" i="516"/>
  <c r="Y66" i="516"/>
  <c r="Y57" i="516"/>
  <c r="Y53" i="516"/>
  <c r="V5" i="516"/>
  <c r="Z5" i="516"/>
  <c r="W11" i="516"/>
  <c r="O18" i="516"/>
  <c r="T18" i="516" s="1"/>
  <c r="U18" i="516"/>
  <c r="U26" i="516"/>
  <c r="W31" i="516"/>
  <c r="Y36" i="516"/>
  <c r="AA36" i="516"/>
  <c r="X48" i="516"/>
  <c r="U48" i="516"/>
  <c r="Y48" i="516"/>
  <c r="X31" i="516"/>
  <c r="X36" i="516"/>
  <c r="V48" i="516"/>
  <c r="Z48" i="516"/>
  <c r="U31" i="516"/>
  <c r="U36" i="516"/>
  <c r="W48" i="516"/>
  <c r="AA53" i="516"/>
  <c r="AA57" i="516"/>
  <c r="W57" i="516"/>
  <c r="X57" i="516"/>
  <c r="O57" i="516"/>
  <c r="U57" i="516"/>
  <c r="X58" i="516"/>
  <c r="Z66" i="516"/>
  <c r="U58" i="516"/>
  <c r="Y58" i="516"/>
  <c r="W66" i="516"/>
  <c r="AA66" i="516"/>
  <c r="W53" i="516"/>
  <c r="V66" i="516"/>
  <c r="C44" i="565" l="1"/>
  <c r="C32" i="565"/>
  <c r="W32" i="565" s="1"/>
  <c r="C27" i="565"/>
  <c r="V27" i="565" s="1"/>
  <c r="C50" i="565"/>
  <c r="O50" i="565" s="1"/>
  <c r="C24" i="565"/>
  <c r="O24" i="565" s="1"/>
  <c r="P24" i="565" s="1"/>
  <c r="N24" i="565" s="1"/>
  <c r="C38" i="565"/>
  <c r="W38" i="565" s="1"/>
  <c r="C48" i="565"/>
  <c r="C30" i="565"/>
  <c r="C42" i="565"/>
  <c r="C34" i="565"/>
  <c r="C46" i="565"/>
  <c r="C29" i="565"/>
  <c r="C21" i="565"/>
  <c r="C47" i="565"/>
  <c r="C31" i="565"/>
  <c r="C37" i="565"/>
  <c r="C36" i="565"/>
  <c r="C35" i="565"/>
  <c r="C22" i="565"/>
  <c r="Y26" i="565"/>
  <c r="U26" i="565"/>
  <c r="X26" i="565"/>
  <c r="O26" i="565"/>
  <c r="AA26" i="565"/>
  <c r="W26" i="565"/>
  <c r="Z26" i="565"/>
  <c r="V26" i="565"/>
  <c r="C43" i="565"/>
  <c r="C49" i="565"/>
  <c r="C41" i="565"/>
  <c r="C23" i="565"/>
  <c r="O23" i="565" s="1"/>
  <c r="P23" i="565" s="1"/>
  <c r="N23" i="565" s="1"/>
  <c r="C25" i="565"/>
  <c r="Z44" i="565"/>
  <c r="V44" i="565"/>
  <c r="Y44" i="565"/>
  <c r="U44" i="565"/>
  <c r="W44" i="565"/>
  <c r="O44" i="565"/>
  <c r="AA44" i="565"/>
  <c r="X44" i="565"/>
  <c r="X32" i="565"/>
  <c r="AA32" i="565"/>
  <c r="Z32" i="565"/>
  <c r="Y32" i="565"/>
  <c r="C33" i="563"/>
  <c r="O33" i="563" s="1"/>
  <c r="P33" i="563" s="1"/>
  <c r="N33" i="563" s="1"/>
  <c r="C27" i="563"/>
  <c r="O27" i="563" s="1"/>
  <c r="P27" i="563" s="1"/>
  <c r="N27" i="563" s="1"/>
  <c r="C6" i="563"/>
  <c r="O6" i="563" s="1"/>
  <c r="P6" i="563" s="1"/>
  <c r="N6" i="563" s="1"/>
  <c r="C14" i="563"/>
  <c r="C7" i="563"/>
  <c r="C15" i="563"/>
  <c r="O15" i="563" s="1"/>
  <c r="P15" i="563" s="1"/>
  <c r="N15" i="563" s="1"/>
  <c r="O9" i="563"/>
  <c r="O22" i="563"/>
  <c r="O21" i="563"/>
  <c r="C37" i="563"/>
  <c r="O37" i="563" s="1"/>
  <c r="P37" i="563" s="1"/>
  <c r="N37" i="563" s="1"/>
  <c r="C26" i="563"/>
  <c r="O26" i="563" s="1"/>
  <c r="P26" i="563" s="1"/>
  <c r="N26" i="563" s="1"/>
  <c r="C31" i="563"/>
  <c r="C19" i="563"/>
  <c r="O20" i="563"/>
  <c r="O32" i="563"/>
  <c r="C25" i="563"/>
  <c r="O25" i="563" s="1"/>
  <c r="P25" i="563" s="1"/>
  <c r="N25" i="563" s="1"/>
  <c r="C35" i="563"/>
  <c r="O35" i="563" s="1"/>
  <c r="P35" i="563" s="1"/>
  <c r="N35" i="563" s="1"/>
  <c r="C30" i="563"/>
  <c r="C18" i="563"/>
  <c r="C5" i="563"/>
  <c r="O5" i="563" s="1"/>
  <c r="P5" i="563" s="1"/>
  <c r="N5" i="563" s="1"/>
  <c r="L6" i="563" s="1"/>
  <c r="C28" i="563"/>
  <c r="C23" i="563"/>
  <c r="O79" i="516"/>
  <c r="U79" i="516"/>
  <c r="Y79" i="516"/>
  <c r="V79" i="516"/>
  <c r="Z79" i="516"/>
  <c r="W79" i="516"/>
  <c r="AA79" i="516"/>
  <c r="X79" i="516"/>
  <c r="O78" i="516"/>
  <c r="V78" i="516"/>
  <c r="Z78" i="516"/>
  <c r="W78" i="516"/>
  <c r="AA78" i="516"/>
  <c r="X78" i="516"/>
  <c r="U78" i="516"/>
  <c r="Y78" i="516"/>
  <c r="C62" i="516"/>
  <c r="C42" i="516"/>
  <c r="C40" i="516"/>
  <c r="C7" i="516"/>
  <c r="C13" i="516"/>
  <c r="C14" i="516"/>
  <c r="C15" i="516"/>
  <c r="Y64" i="516"/>
  <c r="U64" i="516"/>
  <c r="X64" i="516"/>
  <c r="O64" i="516"/>
  <c r="AA64" i="516"/>
  <c r="W64" i="516"/>
  <c r="Z64" i="516"/>
  <c r="V64" i="516"/>
  <c r="Z17" i="516"/>
  <c r="V17" i="516"/>
  <c r="Y17" i="516"/>
  <c r="U17" i="516"/>
  <c r="X17" i="516"/>
  <c r="O17" i="516"/>
  <c r="AA17" i="516"/>
  <c r="W17" i="516"/>
  <c r="Y12" i="516"/>
  <c r="U12" i="516"/>
  <c r="X12" i="516"/>
  <c r="O12" i="516"/>
  <c r="AA12" i="516"/>
  <c r="W12" i="516"/>
  <c r="Z12" i="516"/>
  <c r="V12" i="516"/>
  <c r="Y25" i="516"/>
  <c r="U25" i="516"/>
  <c r="X25" i="516"/>
  <c r="O25" i="516"/>
  <c r="AA25" i="516"/>
  <c r="W25" i="516"/>
  <c r="Z25" i="516"/>
  <c r="V25" i="516"/>
  <c r="AA59" i="516"/>
  <c r="W59" i="516"/>
  <c r="Z59" i="516"/>
  <c r="V59" i="516"/>
  <c r="Y59" i="516"/>
  <c r="U59" i="516"/>
  <c r="X59" i="516"/>
  <c r="O59" i="516"/>
  <c r="X28" i="516"/>
  <c r="O28" i="516"/>
  <c r="AA28" i="516"/>
  <c r="W28" i="516"/>
  <c r="Z28" i="516"/>
  <c r="V28" i="516"/>
  <c r="Y28" i="516"/>
  <c r="U28" i="516"/>
  <c r="X50" i="516"/>
  <c r="AA50" i="516"/>
  <c r="W50" i="516"/>
  <c r="Z50" i="516"/>
  <c r="V50" i="516"/>
  <c r="Y50" i="516"/>
  <c r="U50" i="516"/>
  <c r="Y30" i="516"/>
  <c r="U30" i="516"/>
  <c r="X30" i="516"/>
  <c r="O30" i="516"/>
  <c r="W30" i="516"/>
  <c r="V30" i="516"/>
  <c r="AA30" i="516"/>
  <c r="Z30" i="516"/>
  <c r="Z69" i="516"/>
  <c r="V69" i="516"/>
  <c r="Y69" i="516"/>
  <c r="U69" i="516"/>
  <c r="X69" i="516"/>
  <c r="O69" i="516"/>
  <c r="AA69" i="516"/>
  <c r="W69" i="516"/>
  <c r="T57" i="516"/>
  <c r="P57" i="516"/>
  <c r="C72" i="516"/>
  <c r="C70" i="516"/>
  <c r="C51" i="516"/>
  <c r="C49" i="516"/>
  <c r="C47" i="516"/>
  <c r="C43" i="516"/>
  <c r="C39" i="516"/>
  <c r="C32" i="516"/>
  <c r="C45" i="516"/>
  <c r="C41" i="516"/>
  <c r="C37" i="516"/>
  <c r="C16" i="516"/>
  <c r="C22" i="516"/>
  <c r="C8" i="516"/>
  <c r="C24" i="516"/>
  <c r="C67" i="516"/>
  <c r="C61" i="516"/>
  <c r="C60" i="516"/>
  <c r="Y21" i="516"/>
  <c r="U21" i="516"/>
  <c r="X21" i="516"/>
  <c r="O21" i="516"/>
  <c r="AA21" i="516"/>
  <c r="W21" i="516"/>
  <c r="Z21" i="516"/>
  <c r="V21" i="516"/>
  <c r="X6" i="516"/>
  <c r="O6" i="516"/>
  <c r="AA6" i="516"/>
  <c r="W6" i="516"/>
  <c r="Z6" i="516"/>
  <c r="V6" i="516"/>
  <c r="Y6" i="516"/>
  <c r="U6" i="516"/>
  <c r="Y56" i="516"/>
  <c r="U56" i="516"/>
  <c r="W56" i="516"/>
  <c r="AA56" i="516"/>
  <c r="V56" i="516"/>
  <c r="Z56" i="516"/>
  <c r="X56" i="516"/>
  <c r="AA65" i="516"/>
  <c r="W65" i="516"/>
  <c r="Z65" i="516"/>
  <c r="V65" i="516"/>
  <c r="Y65" i="516"/>
  <c r="U65" i="516"/>
  <c r="X65" i="516"/>
  <c r="O65" i="516"/>
  <c r="AA33" i="516"/>
  <c r="W33" i="516"/>
  <c r="Z33" i="516"/>
  <c r="V33" i="516"/>
  <c r="O33" i="516"/>
  <c r="Y33" i="516"/>
  <c r="X33" i="516"/>
  <c r="U33" i="516"/>
  <c r="X52" i="516"/>
  <c r="AA52" i="516"/>
  <c r="W52" i="516"/>
  <c r="Z52" i="516"/>
  <c r="V52" i="516"/>
  <c r="Y52" i="516"/>
  <c r="U52" i="516"/>
  <c r="X68" i="516"/>
  <c r="O68" i="516"/>
  <c r="AA68" i="516"/>
  <c r="W68" i="516"/>
  <c r="Z68" i="516"/>
  <c r="V68" i="516"/>
  <c r="Y68" i="516"/>
  <c r="U68" i="516"/>
  <c r="Z71" i="516"/>
  <c r="V71" i="516"/>
  <c r="Y71" i="516"/>
  <c r="U71" i="516"/>
  <c r="X71" i="516"/>
  <c r="O71" i="516"/>
  <c r="AA71" i="516"/>
  <c r="W71" i="516"/>
  <c r="AA9" i="516"/>
  <c r="W9" i="516"/>
  <c r="Z9" i="516"/>
  <c r="V9" i="516"/>
  <c r="Y9" i="516"/>
  <c r="U9" i="516"/>
  <c r="X9" i="516"/>
  <c r="O9" i="516"/>
  <c r="AA44" i="516"/>
  <c r="W44" i="516"/>
  <c r="Z44" i="516"/>
  <c r="V44" i="516"/>
  <c r="Y44" i="516"/>
  <c r="U44" i="516"/>
  <c r="X44" i="516"/>
  <c r="O44" i="516"/>
  <c r="AA19" i="516"/>
  <c r="W19" i="516"/>
  <c r="Z19" i="516"/>
  <c r="V19" i="516"/>
  <c r="Y19" i="516"/>
  <c r="U19" i="516"/>
  <c r="X19" i="516"/>
  <c r="O19" i="516"/>
  <c r="Y35" i="516"/>
  <c r="U35" i="516"/>
  <c r="X35" i="516"/>
  <c r="O35" i="516"/>
  <c r="Z35" i="516"/>
  <c r="AA35" i="516"/>
  <c r="W35" i="516"/>
  <c r="V35" i="516"/>
  <c r="X10" i="516"/>
  <c r="O10" i="516"/>
  <c r="AA10" i="516"/>
  <c r="W10" i="516"/>
  <c r="Z10" i="516"/>
  <c r="V10" i="516"/>
  <c r="Y10" i="516"/>
  <c r="U10" i="516"/>
  <c r="Y29" i="516"/>
  <c r="U29" i="516"/>
  <c r="X29" i="516"/>
  <c r="O29" i="516"/>
  <c r="AA29" i="516"/>
  <c r="W29" i="516"/>
  <c r="Z29" i="516"/>
  <c r="V29" i="516"/>
  <c r="AA55" i="516"/>
  <c r="W55" i="516"/>
  <c r="Z55" i="516"/>
  <c r="U55" i="516"/>
  <c r="Y55" i="516"/>
  <c r="X55" i="516"/>
  <c r="V55" i="516"/>
  <c r="AA63" i="516"/>
  <c r="W63" i="516"/>
  <c r="Z63" i="516"/>
  <c r="V63" i="516"/>
  <c r="Y63" i="516"/>
  <c r="U63" i="516"/>
  <c r="X63" i="516"/>
  <c r="O63" i="516"/>
  <c r="Z73" i="516"/>
  <c r="V73" i="516"/>
  <c r="Y73" i="516"/>
  <c r="U73" i="516"/>
  <c r="X73" i="516"/>
  <c r="O73" i="516"/>
  <c r="AA73" i="516"/>
  <c r="W73" i="516"/>
  <c r="Y38" i="516"/>
  <c r="U38" i="516"/>
  <c r="X38" i="516"/>
  <c r="O38" i="516"/>
  <c r="Z38" i="516"/>
  <c r="V38" i="516"/>
  <c r="AA38" i="516"/>
  <c r="W38" i="516"/>
  <c r="AA23" i="516"/>
  <c r="W23" i="516"/>
  <c r="Z23" i="516"/>
  <c r="V23" i="516"/>
  <c r="Y23" i="516"/>
  <c r="U23" i="516"/>
  <c r="X23" i="516"/>
  <c r="O23" i="516"/>
  <c r="Y46" i="516"/>
  <c r="U46" i="516"/>
  <c r="X46" i="516"/>
  <c r="O46" i="516"/>
  <c r="AA46" i="516"/>
  <c r="W46" i="516"/>
  <c r="Z46" i="516"/>
  <c r="V46" i="516"/>
  <c r="AA27" i="516"/>
  <c r="W27" i="516"/>
  <c r="Z27" i="516"/>
  <c r="V27" i="516"/>
  <c r="Y27" i="516"/>
  <c r="U27" i="516"/>
  <c r="X27" i="516"/>
  <c r="O27" i="516"/>
  <c r="X76" i="516"/>
  <c r="O76" i="516"/>
  <c r="AA76" i="516"/>
  <c r="W76" i="516"/>
  <c r="Z76" i="516"/>
  <c r="V76" i="516"/>
  <c r="Y76" i="516"/>
  <c r="U76" i="516"/>
  <c r="X20" i="516"/>
  <c r="O20" i="516"/>
  <c r="AA20" i="516"/>
  <c r="W20" i="516"/>
  <c r="Z20" i="516"/>
  <c r="V20" i="516"/>
  <c r="Y20" i="516"/>
  <c r="U20" i="516"/>
  <c r="X34" i="516"/>
  <c r="O34" i="516"/>
  <c r="AA34" i="516"/>
  <c r="W34" i="516"/>
  <c r="Z34" i="516"/>
  <c r="Y34" i="516"/>
  <c r="V34" i="516"/>
  <c r="U34" i="516"/>
  <c r="Y54" i="516"/>
  <c r="U54" i="516"/>
  <c r="Z54" i="516"/>
  <c r="X54" i="516"/>
  <c r="W54" i="516"/>
  <c r="AA54" i="516"/>
  <c r="V54" i="516"/>
  <c r="X74" i="516"/>
  <c r="AA74" i="516"/>
  <c r="W74" i="516"/>
  <c r="Z74" i="516"/>
  <c r="V74" i="516"/>
  <c r="Y74" i="516"/>
  <c r="U74" i="516"/>
  <c r="O74" i="516"/>
  <c r="T74" i="516" s="1"/>
  <c r="Z75" i="516"/>
  <c r="V75" i="516"/>
  <c r="Y75" i="516"/>
  <c r="U75" i="516"/>
  <c r="X75" i="516"/>
  <c r="O75" i="516"/>
  <c r="AA75" i="516"/>
  <c r="W75" i="516"/>
  <c r="V32" i="565" l="1"/>
  <c r="O32" i="565"/>
  <c r="U32" i="565"/>
  <c r="Y38" i="565"/>
  <c r="V50" i="565"/>
  <c r="W50" i="565"/>
  <c r="X50" i="565"/>
  <c r="X27" i="565"/>
  <c r="AA50" i="565"/>
  <c r="U50" i="565"/>
  <c r="Y50" i="565"/>
  <c r="Y24" i="565"/>
  <c r="Z27" i="565"/>
  <c r="U24" i="565"/>
  <c r="Z24" i="565"/>
  <c r="X24" i="565"/>
  <c r="Z50" i="565"/>
  <c r="V38" i="565"/>
  <c r="U38" i="565"/>
  <c r="Z38" i="565"/>
  <c r="O38" i="565"/>
  <c r="AA38" i="565"/>
  <c r="X38" i="565"/>
  <c r="AA24" i="565"/>
  <c r="V24" i="565"/>
  <c r="W24" i="565"/>
  <c r="W27" i="565"/>
  <c r="U27" i="565"/>
  <c r="AA27" i="565"/>
  <c r="Y27" i="565"/>
  <c r="O27" i="565"/>
  <c r="P27" i="565" s="1"/>
  <c r="N27" i="565" s="1"/>
  <c r="AA49" i="565"/>
  <c r="W49" i="565"/>
  <c r="Z49" i="565"/>
  <c r="V49" i="565"/>
  <c r="X49" i="565"/>
  <c r="U49" i="565"/>
  <c r="O49" i="565"/>
  <c r="Y49" i="565"/>
  <c r="P26" i="565"/>
  <c r="N26" i="565" s="1"/>
  <c r="T26" i="565"/>
  <c r="P50" i="565"/>
  <c r="N50" i="565" s="1"/>
  <c r="T50" i="565"/>
  <c r="Y22" i="565"/>
  <c r="U22" i="565"/>
  <c r="X22" i="565"/>
  <c r="O22" i="565"/>
  <c r="AA22" i="565"/>
  <c r="W22" i="565"/>
  <c r="Z22" i="565"/>
  <c r="V22" i="565"/>
  <c r="AA36" i="565"/>
  <c r="W36" i="565"/>
  <c r="O36" i="565"/>
  <c r="Z36" i="565"/>
  <c r="V36" i="565"/>
  <c r="Y36" i="565"/>
  <c r="U36" i="565"/>
  <c r="X36" i="565"/>
  <c r="X21" i="565"/>
  <c r="O21" i="565"/>
  <c r="AA21" i="565"/>
  <c r="W21" i="565"/>
  <c r="Z21" i="565"/>
  <c r="V21" i="565"/>
  <c r="Y21" i="565"/>
  <c r="U21" i="565"/>
  <c r="AA34" i="565"/>
  <c r="W34" i="565"/>
  <c r="O34" i="565"/>
  <c r="Z34" i="565"/>
  <c r="V34" i="565"/>
  <c r="Y34" i="565"/>
  <c r="U34" i="565"/>
  <c r="X34" i="565"/>
  <c r="Z30" i="565"/>
  <c r="V30" i="565"/>
  <c r="Y30" i="565"/>
  <c r="U30" i="565"/>
  <c r="X30" i="565"/>
  <c r="O30" i="565"/>
  <c r="AA30" i="565"/>
  <c r="W30" i="565"/>
  <c r="T32" i="565"/>
  <c r="P32" i="565"/>
  <c r="N32" i="565" s="1"/>
  <c r="P44" i="565"/>
  <c r="N44" i="565" s="1"/>
  <c r="T44" i="565"/>
  <c r="Z23" i="565"/>
  <c r="V23" i="565"/>
  <c r="Y23" i="565"/>
  <c r="U23" i="565"/>
  <c r="X23" i="565"/>
  <c r="AA23" i="565"/>
  <c r="W23" i="565"/>
  <c r="Z37" i="565"/>
  <c r="V37" i="565"/>
  <c r="X37" i="565"/>
  <c r="O37" i="565"/>
  <c r="W37" i="565"/>
  <c r="AA37" i="565"/>
  <c r="U37" i="565"/>
  <c r="Y37" i="565"/>
  <c r="X46" i="565"/>
  <c r="O46" i="565"/>
  <c r="AA46" i="565"/>
  <c r="W46" i="565"/>
  <c r="Z46" i="565"/>
  <c r="Y46" i="565"/>
  <c r="V46" i="565"/>
  <c r="U46" i="565"/>
  <c r="X42" i="565"/>
  <c r="AA42" i="565"/>
  <c r="W42" i="565"/>
  <c r="O42" i="565"/>
  <c r="V42" i="565"/>
  <c r="U42" i="565"/>
  <c r="Z42" i="565"/>
  <c r="Y42" i="565"/>
  <c r="AA31" i="565"/>
  <c r="W31" i="565"/>
  <c r="Z31" i="565"/>
  <c r="V31" i="565"/>
  <c r="Y31" i="565"/>
  <c r="U31" i="565"/>
  <c r="X31" i="565"/>
  <c r="O31" i="565"/>
  <c r="Z48" i="565"/>
  <c r="V48" i="565"/>
  <c r="Y48" i="565"/>
  <c r="U48" i="565"/>
  <c r="AA48" i="565"/>
  <c r="X48" i="565"/>
  <c r="W48" i="565"/>
  <c r="O48" i="565"/>
  <c r="T38" i="565"/>
  <c r="P38" i="565"/>
  <c r="N38" i="565" s="1"/>
  <c r="T24" i="565"/>
  <c r="X25" i="565"/>
  <c r="O25" i="565"/>
  <c r="AA25" i="565"/>
  <c r="W25" i="565"/>
  <c r="Z25" i="565"/>
  <c r="V25" i="565"/>
  <c r="Y25" i="565"/>
  <c r="U25" i="565"/>
  <c r="AA41" i="565"/>
  <c r="W41" i="565"/>
  <c r="Z41" i="565"/>
  <c r="V41" i="565"/>
  <c r="X41" i="565"/>
  <c r="U41" i="565"/>
  <c r="O41" i="565"/>
  <c r="Y41" i="565"/>
  <c r="Y43" i="565"/>
  <c r="U43" i="565"/>
  <c r="X43" i="565"/>
  <c r="O43" i="565"/>
  <c r="W43" i="565"/>
  <c r="V43" i="565"/>
  <c r="AA43" i="565"/>
  <c r="Z43" i="565"/>
  <c r="AA35" i="565"/>
  <c r="W35" i="565"/>
  <c r="O35" i="565"/>
  <c r="Z35" i="565"/>
  <c r="V35" i="565"/>
  <c r="Y35" i="565"/>
  <c r="U35" i="565"/>
  <c r="X35" i="565"/>
  <c r="Y47" i="565"/>
  <c r="U47" i="565"/>
  <c r="X47" i="565"/>
  <c r="O47" i="565"/>
  <c r="AA47" i="565"/>
  <c r="Z47" i="565"/>
  <c r="W47" i="565"/>
  <c r="V47" i="565"/>
  <c r="Y29" i="565"/>
  <c r="U29" i="565"/>
  <c r="X29" i="565"/>
  <c r="O29" i="565"/>
  <c r="AA29" i="565"/>
  <c r="W29" i="565"/>
  <c r="Z29" i="565"/>
  <c r="V29" i="565"/>
  <c r="Z40" i="565"/>
  <c r="V40" i="565"/>
  <c r="Y40" i="565"/>
  <c r="U40" i="565"/>
  <c r="AA40" i="565"/>
  <c r="X40" i="565"/>
  <c r="W40" i="565"/>
  <c r="L7" i="563"/>
  <c r="P9" i="563"/>
  <c r="N9" i="563" s="1"/>
  <c r="O14" i="563"/>
  <c r="O18" i="563"/>
  <c r="O12" i="563"/>
  <c r="P32" i="563"/>
  <c r="N32" i="563" s="1"/>
  <c r="P20" i="563"/>
  <c r="N20" i="563" s="1"/>
  <c r="O31" i="563"/>
  <c r="O13" i="563"/>
  <c r="O8" i="563"/>
  <c r="O28" i="563"/>
  <c r="P14" i="563"/>
  <c r="N14" i="563" s="1"/>
  <c r="Z5" i="563"/>
  <c r="V5" i="563"/>
  <c r="X5" i="563"/>
  <c r="AA5" i="563"/>
  <c r="W5" i="563"/>
  <c r="Y5" i="563"/>
  <c r="U5" i="563"/>
  <c r="L26" i="563"/>
  <c r="L27" i="563" s="1"/>
  <c r="L28" i="563" s="1"/>
  <c r="O7" i="563"/>
  <c r="P21" i="563"/>
  <c r="N21" i="563" s="1"/>
  <c r="P22" i="563"/>
  <c r="N22" i="563" s="1"/>
  <c r="O23" i="563"/>
  <c r="O30" i="563"/>
  <c r="O19" i="563"/>
  <c r="P78" i="516"/>
  <c r="N78" i="516" s="1"/>
  <c r="T78" i="516"/>
  <c r="P79" i="516"/>
  <c r="N79" i="516" s="1"/>
  <c r="T79" i="516"/>
  <c r="T33" i="516"/>
  <c r="P33" i="516"/>
  <c r="N33" i="516" s="1"/>
  <c r="X24" i="516"/>
  <c r="O24" i="516"/>
  <c r="AA24" i="516"/>
  <c r="W24" i="516"/>
  <c r="Z24" i="516"/>
  <c r="V24" i="516"/>
  <c r="Y24" i="516"/>
  <c r="U24" i="516"/>
  <c r="X37" i="516"/>
  <c r="AA37" i="516"/>
  <c r="W37" i="516"/>
  <c r="Y37" i="516"/>
  <c r="U37" i="516"/>
  <c r="Z37" i="516"/>
  <c r="V37" i="516"/>
  <c r="Z39" i="516"/>
  <c r="V39" i="516"/>
  <c r="Y39" i="516"/>
  <c r="U39" i="516"/>
  <c r="AA39" i="516"/>
  <c r="W39" i="516"/>
  <c r="X39" i="516"/>
  <c r="O39" i="516"/>
  <c r="Z51" i="516"/>
  <c r="V51" i="516"/>
  <c r="Y51" i="516"/>
  <c r="U51" i="516"/>
  <c r="X51" i="516"/>
  <c r="AA51" i="516"/>
  <c r="W51" i="516"/>
  <c r="Y7" i="516"/>
  <c r="U7" i="516"/>
  <c r="X7" i="516"/>
  <c r="O7" i="516"/>
  <c r="AA7" i="516"/>
  <c r="W7" i="516"/>
  <c r="Z7" i="516"/>
  <c r="V7" i="516"/>
  <c r="T54" i="516"/>
  <c r="P27" i="516"/>
  <c r="N27" i="516" s="1"/>
  <c r="L28" i="516" s="1"/>
  <c r="T27" i="516"/>
  <c r="P46" i="516"/>
  <c r="N46" i="516" s="1"/>
  <c r="T46" i="516"/>
  <c r="P23" i="516"/>
  <c r="N23" i="516" s="1"/>
  <c r="T23" i="516"/>
  <c r="P38" i="516"/>
  <c r="N38" i="516" s="1"/>
  <c r="L39" i="516" s="1"/>
  <c r="T38" i="516"/>
  <c r="P63" i="516"/>
  <c r="N63" i="516" s="1"/>
  <c r="T63" i="516"/>
  <c r="P29" i="516"/>
  <c r="N29" i="516" s="1"/>
  <c r="T29" i="516"/>
  <c r="P35" i="516"/>
  <c r="N35" i="516" s="1"/>
  <c r="T35" i="516"/>
  <c r="P19" i="516"/>
  <c r="N19" i="516" s="1"/>
  <c r="L20" i="516" s="1"/>
  <c r="T19" i="516"/>
  <c r="P44" i="516"/>
  <c r="N44" i="516" s="1"/>
  <c r="T44" i="516"/>
  <c r="P9" i="516"/>
  <c r="N9" i="516" s="1"/>
  <c r="T9" i="516"/>
  <c r="P65" i="516"/>
  <c r="N65" i="516" s="1"/>
  <c r="T65" i="516"/>
  <c r="P21" i="516"/>
  <c r="N21" i="516" s="1"/>
  <c r="T21" i="516"/>
  <c r="Y60" i="516"/>
  <c r="U60" i="516"/>
  <c r="X60" i="516"/>
  <c r="O60" i="516"/>
  <c r="AA60" i="516"/>
  <c r="W60" i="516"/>
  <c r="Z60" i="516"/>
  <c r="V60" i="516"/>
  <c r="Z8" i="516"/>
  <c r="V8" i="516"/>
  <c r="Y8" i="516"/>
  <c r="U8" i="516"/>
  <c r="X8" i="516"/>
  <c r="O8" i="516"/>
  <c r="AA8" i="516"/>
  <c r="W8" i="516"/>
  <c r="X41" i="516"/>
  <c r="O41" i="516"/>
  <c r="AA41" i="516"/>
  <c r="W41" i="516"/>
  <c r="Z41" i="516"/>
  <c r="V41" i="516"/>
  <c r="Y41" i="516"/>
  <c r="U41" i="516"/>
  <c r="Z43" i="516"/>
  <c r="V43" i="516"/>
  <c r="Y43" i="516"/>
  <c r="U43" i="516"/>
  <c r="X43" i="516"/>
  <c r="O43" i="516"/>
  <c r="AA43" i="516"/>
  <c r="W43" i="516"/>
  <c r="X70" i="516"/>
  <c r="O70" i="516"/>
  <c r="AA70" i="516"/>
  <c r="W70" i="516"/>
  <c r="Z70" i="516"/>
  <c r="V70" i="516"/>
  <c r="Y70" i="516"/>
  <c r="U70" i="516"/>
  <c r="P30" i="516"/>
  <c r="N30" i="516" s="1"/>
  <c r="T30" i="516"/>
  <c r="P59" i="516"/>
  <c r="N59" i="516" s="1"/>
  <c r="L60" i="516" s="1"/>
  <c r="T59" i="516"/>
  <c r="P25" i="516"/>
  <c r="N25" i="516" s="1"/>
  <c r="T25" i="516"/>
  <c r="P12" i="516"/>
  <c r="N12" i="516" s="1"/>
  <c r="L13" i="516" s="1"/>
  <c r="T12" i="516"/>
  <c r="P64" i="516"/>
  <c r="N64" i="516" s="1"/>
  <c r="T64" i="516"/>
  <c r="X15" i="516"/>
  <c r="O15" i="516"/>
  <c r="AA15" i="516"/>
  <c r="W15" i="516"/>
  <c r="Z15" i="516"/>
  <c r="V15" i="516"/>
  <c r="Y15" i="516"/>
  <c r="U15" i="516"/>
  <c r="AA40" i="516"/>
  <c r="W40" i="516"/>
  <c r="Z40" i="516"/>
  <c r="V40" i="516"/>
  <c r="Y40" i="516"/>
  <c r="U40" i="516"/>
  <c r="X40" i="516"/>
  <c r="O40" i="516"/>
  <c r="AA61" i="516"/>
  <c r="W61" i="516"/>
  <c r="Z61" i="516"/>
  <c r="V61" i="516"/>
  <c r="Y61" i="516"/>
  <c r="U61" i="516"/>
  <c r="X61" i="516"/>
  <c r="O61" i="516"/>
  <c r="Z22" i="516"/>
  <c r="V22" i="516"/>
  <c r="Y22" i="516"/>
  <c r="U22" i="516"/>
  <c r="X22" i="516"/>
  <c r="O22" i="516"/>
  <c r="AA22" i="516"/>
  <c r="W22" i="516"/>
  <c r="X45" i="516"/>
  <c r="O45" i="516"/>
  <c r="AA45" i="516"/>
  <c r="W45" i="516"/>
  <c r="Z45" i="516"/>
  <c r="V45" i="516"/>
  <c r="Y45" i="516"/>
  <c r="U45" i="516"/>
  <c r="Z47" i="516"/>
  <c r="V47" i="516"/>
  <c r="Y47" i="516"/>
  <c r="U47" i="516"/>
  <c r="X47" i="516"/>
  <c r="O47" i="516"/>
  <c r="AA47" i="516"/>
  <c r="W47" i="516"/>
  <c r="X72" i="516"/>
  <c r="O72" i="516"/>
  <c r="AA72" i="516"/>
  <c r="W72" i="516"/>
  <c r="Z72" i="516"/>
  <c r="V72" i="516"/>
  <c r="Y72" i="516"/>
  <c r="U72" i="516"/>
  <c r="AA14" i="516"/>
  <c r="W14" i="516"/>
  <c r="Z14" i="516"/>
  <c r="V14" i="516"/>
  <c r="Y14" i="516"/>
  <c r="U14" i="516"/>
  <c r="X14" i="516"/>
  <c r="O14" i="516"/>
  <c r="Y42" i="516"/>
  <c r="U42" i="516"/>
  <c r="X42" i="516"/>
  <c r="O42" i="516"/>
  <c r="AA42" i="516"/>
  <c r="W42" i="516"/>
  <c r="Z42" i="516"/>
  <c r="V42" i="516"/>
  <c r="P75" i="516"/>
  <c r="N75" i="516" s="1"/>
  <c r="T75" i="516"/>
  <c r="T34" i="516"/>
  <c r="P34" i="516"/>
  <c r="N34" i="516" s="1"/>
  <c r="T20" i="516"/>
  <c r="P20" i="516"/>
  <c r="N20" i="516" s="1"/>
  <c r="T76" i="516"/>
  <c r="P76" i="516"/>
  <c r="N76" i="516" s="1"/>
  <c r="P73" i="516"/>
  <c r="N73" i="516" s="1"/>
  <c r="T73" i="516"/>
  <c r="T55" i="516"/>
  <c r="T10" i="516"/>
  <c r="P10" i="516"/>
  <c r="N10" i="516" s="1"/>
  <c r="P71" i="516"/>
  <c r="N71" i="516" s="1"/>
  <c r="T71" i="516"/>
  <c r="T68" i="516"/>
  <c r="P68" i="516"/>
  <c r="N68" i="516" s="1"/>
  <c r="T52" i="516"/>
  <c r="T56" i="516"/>
  <c r="T6" i="516"/>
  <c r="P6" i="516"/>
  <c r="N6" i="516" s="1"/>
  <c r="L7" i="516" s="1"/>
  <c r="Z67" i="516"/>
  <c r="V67" i="516"/>
  <c r="Y67" i="516"/>
  <c r="U67" i="516"/>
  <c r="X67" i="516"/>
  <c r="O67" i="516"/>
  <c r="AA67" i="516"/>
  <c r="W67" i="516"/>
  <c r="Y16" i="516"/>
  <c r="U16" i="516"/>
  <c r="X16" i="516"/>
  <c r="O16" i="516"/>
  <c r="AA16" i="516"/>
  <c r="W16" i="516"/>
  <c r="Z16" i="516"/>
  <c r="V16" i="516"/>
  <c r="Z32" i="516"/>
  <c r="V32" i="516"/>
  <c r="Y32" i="516"/>
  <c r="U32" i="516"/>
  <c r="W32" i="516"/>
  <c r="O32" i="516"/>
  <c r="AA32" i="516"/>
  <c r="X32" i="516"/>
  <c r="Z49" i="516"/>
  <c r="V49" i="516"/>
  <c r="Y49" i="516"/>
  <c r="U49" i="516"/>
  <c r="X49" i="516"/>
  <c r="AA49" i="516"/>
  <c r="W49" i="516"/>
  <c r="P69" i="516"/>
  <c r="N69" i="516" s="1"/>
  <c r="T69" i="516"/>
  <c r="T50" i="516"/>
  <c r="T28" i="516"/>
  <c r="P28" i="516"/>
  <c r="N28" i="516" s="1"/>
  <c r="P17" i="516"/>
  <c r="N17" i="516" s="1"/>
  <c r="T17" i="516"/>
  <c r="Z13" i="516"/>
  <c r="V13" i="516"/>
  <c r="Y13" i="516"/>
  <c r="U13" i="516"/>
  <c r="X13" i="516"/>
  <c r="O13" i="516"/>
  <c r="AA13" i="516"/>
  <c r="W13" i="516"/>
  <c r="Y62" i="516"/>
  <c r="U62" i="516"/>
  <c r="X62" i="516"/>
  <c r="O62" i="516"/>
  <c r="AA62" i="516"/>
  <c r="W62" i="516"/>
  <c r="Z62" i="516"/>
  <c r="V62" i="516"/>
  <c r="Z51" i="565" l="1"/>
  <c r="X51" i="565"/>
  <c r="U51" i="565"/>
  <c r="W51" i="565"/>
  <c r="W52" i="565" s="1"/>
  <c r="W53" i="565" s="1"/>
  <c r="W54" i="565" s="1"/>
  <c r="W55" i="565" s="1"/>
  <c r="W56" i="565" s="1"/>
  <c r="W57" i="565" s="1"/>
  <c r="W58" i="565" s="1"/>
  <c r="W59" i="565" s="1"/>
  <c r="W60" i="565" s="1"/>
  <c r="W61" i="565" s="1"/>
  <c r="W62" i="565" s="1"/>
  <c r="W63" i="565" s="1"/>
  <c r="W64" i="565" s="1"/>
  <c r="W65" i="565" s="1"/>
  <c r="W66" i="565" s="1"/>
  <c r="W67" i="565" s="1"/>
  <c r="W68" i="565" s="1"/>
  <c r="W69" i="565" s="1"/>
  <c r="W70" i="565" s="1"/>
  <c r="W71" i="565" s="1"/>
  <c r="W72" i="565" s="1"/>
  <c r="W73" i="565" s="1"/>
  <c r="W74" i="565" s="1"/>
  <c r="W75" i="565" s="1"/>
  <c r="W76" i="565" s="1"/>
  <c r="W77" i="565" s="1"/>
  <c r="W78" i="565" s="1"/>
  <c r="W79" i="565" s="1"/>
  <c r="W80" i="565" s="1"/>
  <c r="W81" i="565" s="1"/>
  <c r="W82" i="565" s="1"/>
  <c r="W83" i="565" s="1"/>
  <c r="Y51" i="565"/>
  <c r="AA51" i="565"/>
  <c r="AA52" i="565" s="1"/>
  <c r="AA53" i="565" s="1"/>
  <c r="AA54" i="565" s="1"/>
  <c r="AA55" i="565" s="1"/>
  <c r="AA56" i="565" s="1"/>
  <c r="AA57" i="565" s="1"/>
  <c r="AA58" i="565" s="1"/>
  <c r="AA59" i="565" s="1"/>
  <c r="AA60" i="565" s="1"/>
  <c r="AA61" i="565" s="1"/>
  <c r="AA62" i="565" s="1"/>
  <c r="AA63" i="565" s="1"/>
  <c r="AA64" i="565" s="1"/>
  <c r="AA65" i="565" s="1"/>
  <c r="AA66" i="565" s="1"/>
  <c r="AA67" i="565" s="1"/>
  <c r="AA68" i="565" s="1"/>
  <c r="AA69" i="565" s="1"/>
  <c r="AA70" i="565" s="1"/>
  <c r="AA71" i="565" s="1"/>
  <c r="AA72" i="565" s="1"/>
  <c r="AA73" i="565" s="1"/>
  <c r="AA74" i="565" s="1"/>
  <c r="AA75" i="565" s="1"/>
  <c r="AA76" i="565" s="1"/>
  <c r="AA77" i="565" s="1"/>
  <c r="AA78" i="565" s="1"/>
  <c r="AA79" i="565" s="1"/>
  <c r="AA80" i="565" s="1"/>
  <c r="AA81" i="565" s="1"/>
  <c r="AA82" i="565" s="1"/>
  <c r="AA83" i="565" s="1"/>
  <c r="V51" i="565"/>
  <c r="T27" i="565"/>
  <c r="T25" i="565"/>
  <c r="P25" i="565"/>
  <c r="N25" i="565" s="1"/>
  <c r="T46" i="565"/>
  <c r="P46" i="565"/>
  <c r="N46" i="565" s="1"/>
  <c r="T23" i="565"/>
  <c r="P22" i="565"/>
  <c r="N22" i="565" s="1"/>
  <c r="T22" i="565"/>
  <c r="T34" i="565"/>
  <c r="P34" i="565"/>
  <c r="N34" i="565" s="1"/>
  <c r="Y52" i="565"/>
  <c r="Y53" i="565" s="1"/>
  <c r="Y54" i="565" s="1"/>
  <c r="Y55" i="565" s="1"/>
  <c r="Y56" i="565" s="1"/>
  <c r="Y57" i="565" s="1"/>
  <c r="Y58" i="565" s="1"/>
  <c r="Y59" i="565" s="1"/>
  <c r="Y60" i="565" s="1"/>
  <c r="Y61" i="565" s="1"/>
  <c r="Y62" i="565" s="1"/>
  <c r="Y63" i="565" s="1"/>
  <c r="Y64" i="565" s="1"/>
  <c r="Y65" i="565" s="1"/>
  <c r="Y66" i="565" s="1"/>
  <c r="Y67" i="565" s="1"/>
  <c r="Y68" i="565" s="1"/>
  <c r="Y69" i="565" s="1"/>
  <c r="Y70" i="565" s="1"/>
  <c r="Y71" i="565" s="1"/>
  <c r="Y72" i="565" s="1"/>
  <c r="Y73" i="565" s="1"/>
  <c r="Y74" i="565" s="1"/>
  <c r="Y75" i="565" s="1"/>
  <c r="Y76" i="565" s="1"/>
  <c r="Y77" i="565" s="1"/>
  <c r="Y78" i="565" s="1"/>
  <c r="Y79" i="565" s="1"/>
  <c r="Y80" i="565" s="1"/>
  <c r="Y81" i="565" s="1"/>
  <c r="Y82" i="565" s="1"/>
  <c r="Y83" i="565" s="1"/>
  <c r="T36" i="565"/>
  <c r="P36" i="565"/>
  <c r="N36" i="565" s="1"/>
  <c r="P49" i="565"/>
  <c r="N49" i="565" s="1"/>
  <c r="T49" i="565"/>
  <c r="P41" i="565"/>
  <c r="N41" i="565" s="1"/>
  <c r="T41" i="565"/>
  <c r="T40" i="565"/>
  <c r="P29" i="565"/>
  <c r="N29" i="565" s="1"/>
  <c r="T29" i="565"/>
  <c r="P47" i="565"/>
  <c r="T47" i="565"/>
  <c r="P43" i="565"/>
  <c r="N43" i="565" s="1"/>
  <c r="T43" i="565"/>
  <c r="P48" i="565"/>
  <c r="N48" i="565" s="1"/>
  <c r="T48" i="565"/>
  <c r="P31" i="565"/>
  <c r="N31" i="565" s="1"/>
  <c r="T31" i="565"/>
  <c r="T42" i="565"/>
  <c r="P42" i="565"/>
  <c r="N42" i="565" s="1"/>
  <c r="L43" i="565" s="1"/>
  <c r="T37" i="565"/>
  <c r="P37" i="565"/>
  <c r="N37" i="565" s="1"/>
  <c r="P30" i="565"/>
  <c r="N30" i="565" s="1"/>
  <c r="T30" i="565"/>
  <c r="V52" i="565"/>
  <c r="V53" i="565" s="1"/>
  <c r="V54" i="565" s="1"/>
  <c r="V55" i="565" s="1"/>
  <c r="V56" i="565" s="1"/>
  <c r="V57" i="565" s="1"/>
  <c r="V58" i="565" s="1"/>
  <c r="V59" i="565" s="1"/>
  <c r="V60" i="565" s="1"/>
  <c r="V61" i="565" s="1"/>
  <c r="V62" i="565" s="1"/>
  <c r="V63" i="565" s="1"/>
  <c r="V64" i="565" s="1"/>
  <c r="V65" i="565" s="1"/>
  <c r="V66" i="565" s="1"/>
  <c r="V67" i="565" s="1"/>
  <c r="V68" i="565" s="1"/>
  <c r="V69" i="565" s="1"/>
  <c r="V70" i="565" s="1"/>
  <c r="V71" i="565" s="1"/>
  <c r="V72" i="565" s="1"/>
  <c r="V73" i="565" s="1"/>
  <c r="V74" i="565" s="1"/>
  <c r="V75" i="565" s="1"/>
  <c r="V76" i="565" s="1"/>
  <c r="V77" i="565" s="1"/>
  <c r="V78" i="565" s="1"/>
  <c r="V79" i="565" s="1"/>
  <c r="V80" i="565" s="1"/>
  <c r="V81" i="565" s="1"/>
  <c r="V82" i="565" s="1"/>
  <c r="V83" i="565" s="1"/>
  <c r="T21" i="565"/>
  <c r="P21" i="565"/>
  <c r="N21" i="565" s="1"/>
  <c r="T35" i="565"/>
  <c r="P35" i="565"/>
  <c r="N35" i="565" s="1"/>
  <c r="Z52" i="565"/>
  <c r="Z53" i="565" s="1"/>
  <c r="Z54" i="565" s="1"/>
  <c r="Z55" i="565" s="1"/>
  <c r="Z56" i="565" s="1"/>
  <c r="Z57" i="565" s="1"/>
  <c r="Z58" i="565" s="1"/>
  <c r="Z59" i="565" s="1"/>
  <c r="Z60" i="565" s="1"/>
  <c r="Z61" i="565" s="1"/>
  <c r="Z62" i="565" s="1"/>
  <c r="Z63" i="565" s="1"/>
  <c r="Z64" i="565" s="1"/>
  <c r="Z65" i="565" s="1"/>
  <c r="Z66" i="565" s="1"/>
  <c r="Z67" i="565" s="1"/>
  <c r="Z68" i="565" s="1"/>
  <c r="Z69" i="565" s="1"/>
  <c r="Z70" i="565" s="1"/>
  <c r="Z71" i="565" s="1"/>
  <c r="Z72" i="565" s="1"/>
  <c r="Z73" i="565" s="1"/>
  <c r="Z74" i="565" s="1"/>
  <c r="Z75" i="565" s="1"/>
  <c r="Z76" i="565" s="1"/>
  <c r="Z77" i="565" s="1"/>
  <c r="Z78" i="565" s="1"/>
  <c r="Z79" i="565" s="1"/>
  <c r="Z80" i="565" s="1"/>
  <c r="Z81" i="565" s="1"/>
  <c r="Z82" i="565" s="1"/>
  <c r="Z83" i="565" s="1"/>
  <c r="X52" i="565"/>
  <c r="X53" i="565" s="1"/>
  <c r="X54" i="565" s="1"/>
  <c r="X55" i="565" s="1"/>
  <c r="X56" i="565" s="1"/>
  <c r="X57" i="565" s="1"/>
  <c r="X58" i="565" s="1"/>
  <c r="X59" i="565" s="1"/>
  <c r="X60" i="565" s="1"/>
  <c r="X61" i="565" s="1"/>
  <c r="X62" i="565" s="1"/>
  <c r="X63" i="565" s="1"/>
  <c r="X64" i="565" s="1"/>
  <c r="X65" i="565" s="1"/>
  <c r="X66" i="565" s="1"/>
  <c r="X67" i="565" s="1"/>
  <c r="X68" i="565" s="1"/>
  <c r="X69" i="565" s="1"/>
  <c r="X70" i="565" s="1"/>
  <c r="X71" i="565" s="1"/>
  <c r="X72" i="565" s="1"/>
  <c r="X73" i="565" s="1"/>
  <c r="X74" i="565" s="1"/>
  <c r="X75" i="565" s="1"/>
  <c r="X76" i="565" s="1"/>
  <c r="X77" i="565" s="1"/>
  <c r="X78" i="565" s="1"/>
  <c r="X79" i="565" s="1"/>
  <c r="X80" i="565" s="1"/>
  <c r="X81" i="565" s="1"/>
  <c r="X82" i="565" s="1"/>
  <c r="X83" i="565" s="1"/>
  <c r="P30" i="563"/>
  <c r="N30" i="563" s="1"/>
  <c r="P19" i="563"/>
  <c r="N19" i="563" s="1"/>
  <c r="P7" i="563"/>
  <c r="N7" i="563" s="1"/>
  <c r="P13" i="563"/>
  <c r="N13" i="563" s="1"/>
  <c r="P12" i="563"/>
  <c r="N12" i="563" s="1"/>
  <c r="P23" i="563"/>
  <c r="N23" i="563" s="1"/>
  <c r="T5" i="563"/>
  <c r="P28" i="563"/>
  <c r="N28" i="563" s="1"/>
  <c r="P8" i="563"/>
  <c r="N8" i="563" s="1"/>
  <c r="P31" i="563"/>
  <c r="N31" i="563" s="1"/>
  <c r="N38" i="563"/>
  <c r="P18" i="563"/>
  <c r="N18" i="563" s="1"/>
  <c r="Y82" i="516"/>
  <c r="Y83" i="516" s="1"/>
  <c r="Y86" i="516" s="1"/>
  <c r="Y88" i="516" s="1"/>
  <c r="Y90" i="516" s="1"/>
  <c r="Y91" i="516" s="1"/>
  <c r="Y94" i="516" s="1"/>
  <c r="Y95" i="516" s="1"/>
  <c r="Y96" i="516" s="1"/>
  <c r="Y97" i="516" s="1"/>
  <c r="Y98" i="516" s="1"/>
  <c r="Y99" i="516" s="1"/>
  <c r="Y100" i="516" s="1"/>
  <c r="Y101" i="516" s="1"/>
  <c r="Y102" i="516" s="1"/>
  <c r="Y103" i="516" s="1"/>
  <c r="Y104" i="516" s="1"/>
  <c r="Y105" i="516" s="1"/>
  <c r="Y106" i="516" s="1"/>
  <c r="Y107" i="516" s="1"/>
  <c r="Y108" i="516" s="1"/>
  <c r="Y109" i="516" s="1"/>
  <c r="Y110" i="516" s="1"/>
  <c r="Y111" i="516" s="1"/>
  <c r="Y112" i="516" s="1"/>
  <c r="Y113" i="516" s="1"/>
  <c r="Y114" i="516" s="1"/>
  <c r="Y115" i="516" s="1"/>
  <c r="Y116" i="516" s="1"/>
  <c r="Y117" i="516" s="1"/>
  <c r="Y118" i="516" s="1"/>
  <c r="Y119" i="516" s="1"/>
  <c r="Y120" i="516" s="1"/>
  <c r="Y121" i="516" s="1"/>
  <c r="Y122" i="516" s="1"/>
  <c r="Y123" i="516" s="1"/>
  <c r="Y124" i="516" s="1"/>
  <c r="Y125" i="516" s="1"/>
  <c r="Y126" i="516" s="1"/>
  <c r="Y127" i="516" s="1"/>
  <c r="Y128" i="516" s="1"/>
  <c r="Y129" i="516" s="1"/>
  <c r="Y130" i="516" s="1"/>
  <c r="Y131" i="516" s="1"/>
  <c r="Y132" i="516" s="1"/>
  <c r="Y133" i="516" s="1"/>
  <c r="Y134" i="516" s="1"/>
  <c r="Y135" i="516" s="1"/>
  <c r="Y136" i="516" s="1"/>
  <c r="Y137" i="516" s="1"/>
  <c r="Y138" i="516" s="1"/>
  <c r="Y139" i="516" s="1"/>
  <c r="Y140" i="516" s="1"/>
  <c r="Y141" i="516" s="1"/>
  <c r="U82" i="516"/>
  <c r="U83" i="516" s="1"/>
  <c r="U86" i="516" s="1"/>
  <c r="U88" i="516" s="1"/>
  <c r="U90" i="516" s="1"/>
  <c r="U91" i="516" s="1"/>
  <c r="U94" i="516" s="1"/>
  <c r="U95" i="516" s="1"/>
  <c r="U96" i="516" s="1"/>
  <c r="U97" i="516" s="1"/>
  <c r="U98" i="516" s="1"/>
  <c r="U99" i="516" s="1"/>
  <c r="U100" i="516" s="1"/>
  <c r="U101" i="516" s="1"/>
  <c r="U102" i="516" s="1"/>
  <c r="U103" i="516" s="1"/>
  <c r="U104" i="516" s="1"/>
  <c r="U105" i="516" s="1"/>
  <c r="U106" i="516" s="1"/>
  <c r="U107" i="516" s="1"/>
  <c r="U108" i="516" s="1"/>
  <c r="U109" i="516" s="1"/>
  <c r="U110" i="516" s="1"/>
  <c r="U111" i="516" s="1"/>
  <c r="U112" i="516" s="1"/>
  <c r="U113" i="516" s="1"/>
  <c r="U114" i="516" s="1"/>
  <c r="U115" i="516" s="1"/>
  <c r="U116" i="516" s="1"/>
  <c r="U117" i="516" s="1"/>
  <c r="U118" i="516" s="1"/>
  <c r="U119" i="516" s="1"/>
  <c r="U120" i="516" s="1"/>
  <c r="U121" i="516" s="1"/>
  <c r="U122" i="516" s="1"/>
  <c r="U123" i="516" s="1"/>
  <c r="U124" i="516" s="1"/>
  <c r="U125" i="516" s="1"/>
  <c r="U126" i="516" s="1"/>
  <c r="U127" i="516" s="1"/>
  <c r="U128" i="516" s="1"/>
  <c r="U129" i="516" s="1"/>
  <c r="U130" i="516" s="1"/>
  <c r="U131" i="516" s="1"/>
  <c r="U132" i="516" s="1"/>
  <c r="U133" i="516" s="1"/>
  <c r="U134" i="516" s="1"/>
  <c r="U135" i="516" s="1"/>
  <c r="U136" i="516" s="1"/>
  <c r="U137" i="516" s="1"/>
  <c r="U138" i="516" s="1"/>
  <c r="U139" i="516" s="1"/>
  <c r="U140" i="516" s="1"/>
  <c r="U141" i="516" s="1"/>
  <c r="Z82" i="516"/>
  <c r="Z83" i="516" s="1"/>
  <c r="Z86" i="516" s="1"/>
  <c r="Z88" i="516" s="1"/>
  <c r="Z90" i="516" s="1"/>
  <c r="Z91" i="516" s="1"/>
  <c r="Z94" i="516" s="1"/>
  <c r="Z95" i="516" s="1"/>
  <c r="Z96" i="516" s="1"/>
  <c r="Z97" i="516" s="1"/>
  <c r="Z98" i="516" s="1"/>
  <c r="Z99" i="516" s="1"/>
  <c r="Z100" i="516" s="1"/>
  <c r="Z101" i="516" s="1"/>
  <c r="Z102" i="516" s="1"/>
  <c r="Z103" i="516" s="1"/>
  <c r="Z104" i="516" s="1"/>
  <c r="Z105" i="516" s="1"/>
  <c r="Z106" i="516" s="1"/>
  <c r="Z107" i="516" s="1"/>
  <c r="Z108" i="516" s="1"/>
  <c r="Z109" i="516" s="1"/>
  <c r="Z110" i="516" s="1"/>
  <c r="Z111" i="516" s="1"/>
  <c r="Z112" i="516" s="1"/>
  <c r="Z113" i="516" s="1"/>
  <c r="Z114" i="516" s="1"/>
  <c r="Z115" i="516" s="1"/>
  <c r="Z116" i="516" s="1"/>
  <c r="Z117" i="516" s="1"/>
  <c r="Z118" i="516" s="1"/>
  <c r="Z119" i="516" s="1"/>
  <c r="Z120" i="516" s="1"/>
  <c r="Z121" i="516" s="1"/>
  <c r="Z122" i="516" s="1"/>
  <c r="Z123" i="516" s="1"/>
  <c r="Z124" i="516" s="1"/>
  <c r="Z125" i="516" s="1"/>
  <c r="Z126" i="516" s="1"/>
  <c r="Z127" i="516" s="1"/>
  <c r="Z128" i="516" s="1"/>
  <c r="Z129" i="516" s="1"/>
  <c r="Z130" i="516" s="1"/>
  <c r="Z131" i="516" s="1"/>
  <c r="Z132" i="516" s="1"/>
  <c r="Z133" i="516" s="1"/>
  <c r="Z134" i="516" s="1"/>
  <c r="Z135" i="516" s="1"/>
  <c r="Z136" i="516" s="1"/>
  <c r="Z137" i="516" s="1"/>
  <c r="Z138" i="516" s="1"/>
  <c r="Z139" i="516" s="1"/>
  <c r="Z140" i="516" s="1"/>
  <c r="Z141" i="516" s="1"/>
  <c r="X82" i="516"/>
  <c r="X83" i="516" s="1"/>
  <c r="X86" i="516" s="1"/>
  <c r="X88" i="516" s="1"/>
  <c r="X90" i="516" s="1"/>
  <c r="X91" i="516" s="1"/>
  <c r="X94" i="516" s="1"/>
  <c r="X95" i="516" s="1"/>
  <c r="X96" i="516" s="1"/>
  <c r="X97" i="516" s="1"/>
  <c r="X98" i="516" s="1"/>
  <c r="X99" i="516" s="1"/>
  <c r="X100" i="516" s="1"/>
  <c r="X101" i="516" s="1"/>
  <c r="X102" i="516" s="1"/>
  <c r="X103" i="516" s="1"/>
  <c r="X104" i="516" s="1"/>
  <c r="X105" i="516" s="1"/>
  <c r="X106" i="516" s="1"/>
  <c r="X107" i="516" s="1"/>
  <c r="X108" i="516" s="1"/>
  <c r="X109" i="516" s="1"/>
  <c r="X110" i="516" s="1"/>
  <c r="X111" i="516" s="1"/>
  <c r="X112" i="516" s="1"/>
  <c r="X113" i="516" s="1"/>
  <c r="X114" i="516" s="1"/>
  <c r="X115" i="516" s="1"/>
  <c r="X116" i="516" s="1"/>
  <c r="X117" i="516" s="1"/>
  <c r="X118" i="516" s="1"/>
  <c r="X119" i="516" s="1"/>
  <c r="X120" i="516" s="1"/>
  <c r="X121" i="516" s="1"/>
  <c r="X122" i="516" s="1"/>
  <c r="X123" i="516" s="1"/>
  <c r="X124" i="516" s="1"/>
  <c r="X125" i="516" s="1"/>
  <c r="X126" i="516" s="1"/>
  <c r="X127" i="516" s="1"/>
  <c r="X128" i="516" s="1"/>
  <c r="X129" i="516" s="1"/>
  <c r="X130" i="516" s="1"/>
  <c r="X131" i="516" s="1"/>
  <c r="X132" i="516" s="1"/>
  <c r="X133" i="516" s="1"/>
  <c r="X134" i="516" s="1"/>
  <c r="X135" i="516" s="1"/>
  <c r="X136" i="516" s="1"/>
  <c r="X137" i="516" s="1"/>
  <c r="X138" i="516" s="1"/>
  <c r="X139" i="516" s="1"/>
  <c r="X140" i="516" s="1"/>
  <c r="X141" i="516" s="1"/>
  <c r="V82" i="516"/>
  <c r="V83" i="516" s="1"/>
  <c r="V86" i="516" s="1"/>
  <c r="V88" i="516" s="1"/>
  <c r="V90" i="516" s="1"/>
  <c r="V91" i="516" s="1"/>
  <c r="V94" i="516" s="1"/>
  <c r="V95" i="516" s="1"/>
  <c r="V96" i="516" s="1"/>
  <c r="V97" i="516" s="1"/>
  <c r="V98" i="516" s="1"/>
  <c r="V99" i="516" s="1"/>
  <c r="V100" i="516" s="1"/>
  <c r="V101" i="516" s="1"/>
  <c r="V102" i="516" s="1"/>
  <c r="V103" i="516" s="1"/>
  <c r="V104" i="516" s="1"/>
  <c r="V105" i="516" s="1"/>
  <c r="V106" i="516" s="1"/>
  <c r="V107" i="516" s="1"/>
  <c r="V108" i="516" s="1"/>
  <c r="V109" i="516" s="1"/>
  <c r="V110" i="516" s="1"/>
  <c r="V111" i="516" s="1"/>
  <c r="V112" i="516" s="1"/>
  <c r="V113" i="516" s="1"/>
  <c r="V114" i="516" s="1"/>
  <c r="V115" i="516" s="1"/>
  <c r="V116" i="516" s="1"/>
  <c r="V117" i="516" s="1"/>
  <c r="V118" i="516" s="1"/>
  <c r="V119" i="516" s="1"/>
  <c r="V120" i="516" s="1"/>
  <c r="V121" i="516" s="1"/>
  <c r="V122" i="516" s="1"/>
  <c r="V123" i="516" s="1"/>
  <c r="V124" i="516" s="1"/>
  <c r="V125" i="516" s="1"/>
  <c r="V126" i="516" s="1"/>
  <c r="V127" i="516" s="1"/>
  <c r="V128" i="516" s="1"/>
  <c r="V129" i="516" s="1"/>
  <c r="V130" i="516" s="1"/>
  <c r="V131" i="516" s="1"/>
  <c r="V132" i="516" s="1"/>
  <c r="V133" i="516" s="1"/>
  <c r="V134" i="516" s="1"/>
  <c r="V135" i="516" s="1"/>
  <c r="V136" i="516" s="1"/>
  <c r="V137" i="516" s="1"/>
  <c r="V138" i="516" s="1"/>
  <c r="V139" i="516" s="1"/>
  <c r="V140" i="516" s="1"/>
  <c r="V141" i="516" s="1"/>
  <c r="W82" i="516"/>
  <c r="W83" i="516" s="1"/>
  <c r="W86" i="516" s="1"/>
  <c r="W88" i="516" s="1"/>
  <c r="W90" i="516" s="1"/>
  <c r="W91" i="516" s="1"/>
  <c r="W94" i="516" s="1"/>
  <c r="W95" i="516" s="1"/>
  <c r="W96" i="516" s="1"/>
  <c r="W97" i="516" s="1"/>
  <c r="W98" i="516" s="1"/>
  <c r="W99" i="516" s="1"/>
  <c r="W100" i="516" s="1"/>
  <c r="W101" i="516" s="1"/>
  <c r="W102" i="516" s="1"/>
  <c r="W103" i="516" s="1"/>
  <c r="W104" i="516" s="1"/>
  <c r="W105" i="516" s="1"/>
  <c r="W106" i="516" s="1"/>
  <c r="W107" i="516" s="1"/>
  <c r="W108" i="516" s="1"/>
  <c r="W109" i="516" s="1"/>
  <c r="W110" i="516" s="1"/>
  <c r="W111" i="516" s="1"/>
  <c r="W112" i="516" s="1"/>
  <c r="W113" i="516" s="1"/>
  <c r="W114" i="516" s="1"/>
  <c r="W115" i="516" s="1"/>
  <c r="W116" i="516" s="1"/>
  <c r="W117" i="516" s="1"/>
  <c r="W118" i="516" s="1"/>
  <c r="W119" i="516" s="1"/>
  <c r="W120" i="516" s="1"/>
  <c r="W121" i="516" s="1"/>
  <c r="W122" i="516" s="1"/>
  <c r="W123" i="516" s="1"/>
  <c r="W124" i="516" s="1"/>
  <c r="W125" i="516" s="1"/>
  <c r="W126" i="516" s="1"/>
  <c r="W127" i="516" s="1"/>
  <c r="W128" i="516" s="1"/>
  <c r="W129" i="516" s="1"/>
  <c r="W130" i="516" s="1"/>
  <c r="W131" i="516" s="1"/>
  <c r="W132" i="516" s="1"/>
  <c r="W133" i="516" s="1"/>
  <c r="W134" i="516" s="1"/>
  <c r="W135" i="516" s="1"/>
  <c r="W136" i="516" s="1"/>
  <c r="W137" i="516" s="1"/>
  <c r="W138" i="516" s="1"/>
  <c r="W139" i="516" s="1"/>
  <c r="W140" i="516" s="1"/>
  <c r="W141" i="516" s="1"/>
  <c r="AA82" i="516"/>
  <c r="AA83" i="516" s="1"/>
  <c r="AA86" i="516" s="1"/>
  <c r="AA88" i="516" s="1"/>
  <c r="AA90" i="516" s="1"/>
  <c r="AA91" i="516" s="1"/>
  <c r="AA94" i="516" s="1"/>
  <c r="AA95" i="516" s="1"/>
  <c r="AA96" i="516" s="1"/>
  <c r="AA97" i="516" s="1"/>
  <c r="AA98" i="516" s="1"/>
  <c r="AA99" i="516" s="1"/>
  <c r="AA100" i="516" s="1"/>
  <c r="AA101" i="516" s="1"/>
  <c r="AA102" i="516" s="1"/>
  <c r="AA103" i="516" s="1"/>
  <c r="AA104" i="516" s="1"/>
  <c r="AA105" i="516" s="1"/>
  <c r="AA106" i="516" s="1"/>
  <c r="AA107" i="516" s="1"/>
  <c r="AA108" i="516" s="1"/>
  <c r="AA109" i="516" s="1"/>
  <c r="AA110" i="516" s="1"/>
  <c r="AA111" i="516" s="1"/>
  <c r="AA112" i="516" s="1"/>
  <c r="AA113" i="516" s="1"/>
  <c r="AA114" i="516" s="1"/>
  <c r="AA115" i="516" s="1"/>
  <c r="AA116" i="516" s="1"/>
  <c r="AA117" i="516" s="1"/>
  <c r="AA118" i="516" s="1"/>
  <c r="AA119" i="516" s="1"/>
  <c r="AA120" i="516" s="1"/>
  <c r="AA121" i="516" s="1"/>
  <c r="AA122" i="516" s="1"/>
  <c r="AA123" i="516" s="1"/>
  <c r="AA124" i="516" s="1"/>
  <c r="AA125" i="516" s="1"/>
  <c r="AA126" i="516" s="1"/>
  <c r="AA127" i="516" s="1"/>
  <c r="AA128" i="516" s="1"/>
  <c r="AA129" i="516" s="1"/>
  <c r="AA130" i="516" s="1"/>
  <c r="AA131" i="516" s="1"/>
  <c r="AA132" i="516" s="1"/>
  <c r="AA133" i="516" s="1"/>
  <c r="AA134" i="516" s="1"/>
  <c r="AA135" i="516" s="1"/>
  <c r="AA136" i="516" s="1"/>
  <c r="AA137" i="516" s="1"/>
  <c r="AA138" i="516" s="1"/>
  <c r="AA139" i="516" s="1"/>
  <c r="AA140" i="516" s="1"/>
  <c r="AA141" i="516" s="1"/>
  <c r="P62" i="516"/>
  <c r="N62" i="516" s="1"/>
  <c r="T62" i="516"/>
  <c r="P16" i="516"/>
  <c r="N16" i="516" s="1"/>
  <c r="T16" i="516"/>
  <c r="L21" i="516"/>
  <c r="L22" i="516" s="1"/>
  <c r="P42" i="516"/>
  <c r="N42" i="516" s="1"/>
  <c r="T42" i="516"/>
  <c r="P14" i="516"/>
  <c r="N14" i="516" s="1"/>
  <c r="T14" i="516"/>
  <c r="P61" i="516"/>
  <c r="N61" i="516" s="1"/>
  <c r="T61" i="516"/>
  <c r="T15" i="516"/>
  <c r="P15" i="516"/>
  <c r="N15" i="516" s="1"/>
  <c r="P60" i="516"/>
  <c r="N60" i="516" s="1"/>
  <c r="L61" i="516" s="1"/>
  <c r="L62" i="516" s="1"/>
  <c r="L63" i="516" s="1"/>
  <c r="L64" i="516" s="1"/>
  <c r="L65" i="516" s="1"/>
  <c r="L66" i="516" s="1"/>
  <c r="T60" i="516"/>
  <c r="P7" i="516"/>
  <c r="N7" i="516" s="1"/>
  <c r="L8" i="516" s="1"/>
  <c r="T7" i="516"/>
  <c r="P39" i="516"/>
  <c r="N39" i="516" s="1"/>
  <c r="L40" i="516" s="1"/>
  <c r="T39" i="516"/>
  <c r="P13" i="516"/>
  <c r="N13" i="516" s="1"/>
  <c r="L14" i="516" s="1"/>
  <c r="L15" i="516" s="1"/>
  <c r="T13" i="516"/>
  <c r="T49" i="516"/>
  <c r="P32" i="516"/>
  <c r="N32" i="516" s="1"/>
  <c r="T32" i="516"/>
  <c r="P67" i="516"/>
  <c r="N67" i="516" s="1"/>
  <c r="L68" i="516" s="1"/>
  <c r="L69" i="516" s="1"/>
  <c r="L70" i="516" s="1"/>
  <c r="T67" i="516"/>
  <c r="L29" i="516"/>
  <c r="L30" i="516" s="1"/>
  <c r="L31" i="516" s="1"/>
  <c r="L32" i="516" s="1"/>
  <c r="T24" i="516"/>
  <c r="P24" i="516"/>
  <c r="N24" i="516" s="1"/>
  <c r="T72" i="516"/>
  <c r="P72" i="516"/>
  <c r="N72" i="516" s="1"/>
  <c r="P47" i="516"/>
  <c r="N47" i="516" s="1"/>
  <c r="T47" i="516"/>
  <c r="T45" i="516"/>
  <c r="P45" i="516"/>
  <c r="N45" i="516" s="1"/>
  <c r="P22" i="516"/>
  <c r="N22" i="516" s="1"/>
  <c r="T22" i="516"/>
  <c r="P40" i="516"/>
  <c r="N40" i="516" s="1"/>
  <c r="T40" i="516"/>
  <c r="T70" i="516"/>
  <c r="P70" i="516"/>
  <c r="N70" i="516" s="1"/>
  <c r="P43" i="516"/>
  <c r="N43" i="516" s="1"/>
  <c r="T43" i="516"/>
  <c r="T41" i="516"/>
  <c r="P41" i="516"/>
  <c r="N41" i="516" s="1"/>
  <c r="P8" i="516"/>
  <c r="N8" i="516" s="1"/>
  <c r="T8" i="516"/>
  <c r="T51" i="516"/>
  <c r="L44" i="565" l="1"/>
  <c r="L45" i="565" s="1"/>
  <c r="L35" i="565"/>
  <c r="L36" i="565" s="1"/>
  <c r="L37" i="565" s="1"/>
  <c r="L38" i="565" s="1"/>
  <c r="L39" i="565" s="1"/>
  <c r="N39" i="565"/>
  <c r="N28" i="565"/>
  <c r="L22" i="565"/>
  <c r="L30" i="565"/>
  <c r="L31" i="565" s="1"/>
  <c r="L32" i="565" s="1"/>
  <c r="L33" i="565" s="1"/>
  <c r="N33" i="565"/>
  <c r="U52" i="565"/>
  <c r="U53" i="565" s="1"/>
  <c r="U54" i="565" s="1"/>
  <c r="U55" i="565" s="1"/>
  <c r="U56" i="565" s="1"/>
  <c r="U57" i="565" s="1"/>
  <c r="U58" i="565" s="1"/>
  <c r="U59" i="565" s="1"/>
  <c r="U60" i="565" s="1"/>
  <c r="U61" i="565" s="1"/>
  <c r="U62" i="565" s="1"/>
  <c r="U63" i="565" s="1"/>
  <c r="U64" i="565" s="1"/>
  <c r="U65" i="565" s="1"/>
  <c r="U66" i="565" s="1"/>
  <c r="U67" i="565" s="1"/>
  <c r="U68" i="565" s="1"/>
  <c r="U69" i="565" s="1"/>
  <c r="U70" i="565" s="1"/>
  <c r="U71" i="565" s="1"/>
  <c r="U72" i="565" s="1"/>
  <c r="U73" i="565" s="1"/>
  <c r="U74" i="565" s="1"/>
  <c r="U75" i="565" s="1"/>
  <c r="U76" i="565" s="1"/>
  <c r="U77" i="565" s="1"/>
  <c r="U78" i="565" s="1"/>
  <c r="U79" i="565" s="1"/>
  <c r="U80" i="565" s="1"/>
  <c r="U81" i="565" s="1"/>
  <c r="U82" i="565" s="1"/>
  <c r="U83" i="565" s="1"/>
  <c r="N51" i="565"/>
  <c r="L47" i="565"/>
  <c r="L48" i="565" s="1"/>
  <c r="L49" i="565" s="1"/>
  <c r="L50" i="565" s="1"/>
  <c r="L51" i="565" s="1"/>
  <c r="N45" i="565"/>
  <c r="L41" i="565"/>
  <c r="N24" i="563"/>
  <c r="L19" i="563"/>
  <c r="L20" i="563" s="1"/>
  <c r="L21" i="563" s="1"/>
  <c r="L22" i="563" s="1"/>
  <c r="L23" i="563" s="1"/>
  <c r="L24" i="563" s="1"/>
  <c r="N11" i="563"/>
  <c r="L8" i="563"/>
  <c r="L9" i="563" s="1"/>
  <c r="N29" i="563"/>
  <c r="L31" i="563"/>
  <c r="L32" i="563" s="1"/>
  <c r="L33" i="563" s="1"/>
  <c r="L34" i="563" s="1"/>
  <c r="L35" i="563" s="1"/>
  <c r="L36" i="563" s="1"/>
  <c r="L37" i="563" s="1"/>
  <c r="L38" i="563" s="1"/>
  <c r="L13" i="563"/>
  <c r="L14" i="563" s="1"/>
  <c r="L71" i="516"/>
  <c r="L72" i="516" s="1"/>
  <c r="L73" i="516" s="1"/>
  <c r="L74" i="516" s="1"/>
  <c r="L75" i="516" s="1"/>
  <c r="L76" i="516" s="1"/>
  <c r="L77" i="516" s="1"/>
  <c r="N66" i="516"/>
  <c r="AB82" i="516"/>
  <c r="L9" i="516"/>
  <c r="L10" i="516" s="1"/>
  <c r="L11" i="516" s="1"/>
  <c r="L41" i="516"/>
  <c r="L42" i="516" s="1"/>
  <c r="L43" i="516" s="1"/>
  <c r="L44" i="516" s="1"/>
  <c r="L45" i="516" s="1"/>
  <c r="L46" i="516" s="1"/>
  <c r="L47" i="516" s="1"/>
  <c r="L17" i="516"/>
  <c r="L18" i="516" s="1"/>
  <c r="L16" i="516"/>
  <c r="L23" i="516"/>
  <c r="L24" i="516" s="1"/>
  <c r="L25" i="516" s="1"/>
  <c r="L26" i="516" s="1"/>
  <c r="L33" i="516"/>
  <c r="L34" i="516" s="1"/>
  <c r="L35" i="516" s="1"/>
  <c r="L36" i="516" s="1"/>
  <c r="L23" i="565" l="1"/>
  <c r="L24" i="565" s="1"/>
  <c r="L25" i="565" s="1"/>
  <c r="L26" i="565" s="1"/>
  <c r="L27" i="565" s="1"/>
  <c r="L28" i="565" s="1"/>
  <c r="L15" i="563"/>
  <c r="L10" i="563"/>
  <c r="L11" i="563" s="1"/>
  <c r="L29" i="563"/>
  <c r="S6" i="423"/>
  <c r="Z3" i="423"/>
  <c r="Z4" i="423"/>
  <c r="C6" i="423"/>
  <c r="O6" i="423"/>
  <c r="T6" i="423"/>
  <c r="U3" i="423"/>
  <c r="U6" i="423"/>
  <c r="V3" i="423"/>
  <c r="V6" i="423"/>
  <c r="W3" i="423"/>
  <c r="W6" i="423"/>
  <c r="X3" i="423"/>
  <c r="X6" i="423"/>
  <c r="Y3" i="423"/>
  <c r="Y6" i="423"/>
  <c r="Z6" i="423"/>
  <c r="AA3" i="423"/>
  <c r="AA6" i="423"/>
  <c r="S7" i="423"/>
  <c r="AA4" i="423"/>
  <c r="C7" i="423"/>
  <c r="O7" i="423"/>
  <c r="T7" i="423"/>
  <c r="U7" i="423"/>
  <c r="V7" i="423"/>
  <c r="W7" i="423"/>
  <c r="X7" i="423"/>
  <c r="Y7" i="423"/>
  <c r="Z7" i="423"/>
  <c r="AA7" i="423"/>
  <c r="S8" i="423"/>
  <c r="C8" i="423"/>
  <c r="O8" i="423"/>
  <c r="T8" i="423"/>
  <c r="U8" i="423"/>
  <c r="V8" i="423"/>
  <c r="W8" i="423"/>
  <c r="X8" i="423"/>
  <c r="Y8" i="423"/>
  <c r="Z8" i="423"/>
  <c r="AA8" i="423"/>
  <c r="S9" i="423"/>
  <c r="W4" i="423"/>
  <c r="C9" i="423"/>
  <c r="O9" i="423"/>
  <c r="T9" i="423"/>
  <c r="U9" i="423"/>
  <c r="V9" i="423"/>
  <c r="W9" i="423"/>
  <c r="X9" i="423"/>
  <c r="Y9" i="423"/>
  <c r="Z9" i="423"/>
  <c r="AA9" i="423"/>
  <c r="S10" i="423"/>
  <c r="C10" i="423"/>
  <c r="O10" i="423"/>
  <c r="T10" i="423"/>
  <c r="U10" i="423"/>
  <c r="V10" i="423"/>
  <c r="W10" i="423"/>
  <c r="X10" i="423"/>
  <c r="Y10" i="423"/>
  <c r="Z10" i="423"/>
  <c r="AA10" i="423"/>
  <c r="S11" i="423"/>
  <c r="T11" i="423"/>
  <c r="C11" i="423"/>
  <c r="U11" i="423"/>
  <c r="V11" i="423"/>
  <c r="W11" i="423"/>
  <c r="X11" i="423"/>
  <c r="Y11" i="423"/>
  <c r="Z11" i="423"/>
  <c r="AA11" i="423"/>
  <c r="S12" i="423"/>
  <c r="U4" i="423"/>
  <c r="C12" i="423"/>
  <c r="O12" i="423"/>
  <c r="T12" i="423"/>
  <c r="U12" i="423"/>
  <c r="V12" i="423"/>
  <c r="W12" i="423"/>
  <c r="X12" i="423"/>
  <c r="Y12" i="423"/>
  <c r="Z12" i="423"/>
  <c r="AA12" i="423"/>
  <c r="S13" i="423"/>
  <c r="V4" i="423"/>
  <c r="C13" i="423"/>
  <c r="O13" i="423"/>
  <c r="T13" i="423"/>
  <c r="U13" i="423"/>
  <c r="V13" i="423"/>
  <c r="W13" i="423"/>
  <c r="X13" i="423"/>
  <c r="Y13" i="423"/>
  <c r="Z13" i="423"/>
  <c r="AA13" i="423"/>
  <c r="S14" i="423"/>
  <c r="C14" i="423"/>
  <c r="O14" i="423"/>
  <c r="T14" i="423"/>
  <c r="U14" i="423"/>
  <c r="V14" i="423"/>
  <c r="W14" i="423"/>
  <c r="X14" i="423"/>
  <c r="Y14" i="423"/>
  <c r="Z14" i="423"/>
  <c r="AA14" i="423"/>
  <c r="S15" i="423"/>
  <c r="C15" i="423"/>
  <c r="O15" i="423"/>
  <c r="T15" i="423"/>
  <c r="U15" i="423"/>
  <c r="V15" i="423"/>
  <c r="W15" i="423"/>
  <c r="X15" i="423"/>
  <c r="Y15" i="423"/>
  <c r="Z15" i="423"/>
  <c r="AA15" i="423"/>
  <c r="S16" i="423"/>
  <c r="C16" i="423"/>
  <c r="O16" i="423"/>
  <c r="T16" i="423"/>
  <c r="U16" i="423"/>
  <c r="V16" i="423"/>
  <c r="W16" i="423"/>
  <c r="X16" i="423"/>
  <c r="Y16" i="423"/>
  <c r="Z16" i="423"/>
  <c r="AA16" i="423"/>
  <c r="S17" i="423"/>
  <c r="C17" i="423"/>
  <c r="O17" i="423"/>
  <c r="T17" i="423"/>
  <c r="U17" i="423"/>
  <c r="V17" i="423"/>
  <c r="W17" i="423"/>
  <c r="X17" i="423"/>
  <c r="Y17" i="423"/>
  <c r="Z17" i="423"/>
  <c r="AA17" i="423"/>
  <c r="S18" i="423"/>
  <c r="C18" i="423"/>
  <c r="O18" i="423"/>
  <c r="T18" i="423"/>
  <c r="U18" i="423"/>
  <c r="V18" i="423"/>
  <c r="W18" i="423"/>
  <c r="X18" i="423"/>
  <c r="Y18" i="423"/>
  <c r="Z18" i="423"/>
  <c r="AA18" i="423"/>
  <c r="S19" i="423"/>
  <c r="C19" i="423"/>
  <c r="O19" i="423"/>
  <c r="T19" i="423"/>
  <c r="U19" i="423"/>
  <c r="V19" i="423"/>
  <c r="W19" i="423"/>
  <c r="X19" i="423"/>
  <c r="Y19" i="423"/>
  <c r="Z19" i="423"/>
  <c r="AA19" i="423"/>
  <c r="S20" i="423"/>
  <c r="C20" i="423"/>
  <c r="O20" i="423"/>
  <c r="T20" i="423"/>
  <c r="U20" i="423"/>
  <c r="V20" i="423"/>
  <c r="W20" i="423"/>
  <c r="X20" i="423"/>
  <c r="Y20" i="423"/>
  <c r="Z20" i="423"/>
  <c r="AA20" i="423"/>
  <c r="S21" i="423"/>
  <c r="C21" i="423"/>
  <c r="O21" i="423"/>
  <c r="T21" i="423"/>
  <c r="U21" i="423"/>
  <c r="V21" i="423"/>
  <c r="W21" i="423"/>
  <c r="X21" i="423"/>
  <c r="Y21" i="423"/>
  <c r="Z21" i="423"/>
  <c r="AA21" i="423"/>
  <c r="S22" i="423"/>
  <c r="T22" i="423"/>
  <c r="C22" i="423"/>
  <c r="U22" i="423"/>
  <c r="V22" i="423"/>
  <c r="W22" i="423"/>
  <c r="X22" i="423"/>
  <c r="Y22" i="423"/>
  <c r="Z22" i="423"/>
  <c r="AA22" i="423"/>
  <c r="S23" i="423"/>
  <c r="T23" i="423"/>
  <c r="C23" i="423"/>
  <c r="U23" i="423"/>
  <c r="V23" i="423"/>
  <c r="W23" i="423"/>
  <c r="X23" i="423"/>
  <c r="Y23" i="423"/>
  <c r="Z23" i="423"/>
  <c r="AA23" i="423"/>
  <c r="S24" i="423"/>
  <c r="C24" i="423"/>
  <c r="O24" i="423"/>
  <c r="T24" i="423"/>
  <c r="U24" i="423"/>
  <c r="V24" i="423"/>
  <c r="W24" i="423"/>
  <c r="X24" i="423"/>
  <c r="Y24" i="423"/>
  <c r="Z24" i="423"/>
  <c r="AA24" i="423"/>
  <c r="S25" i="423"/>
  <c r="C25" i="423"/>
  <c r="O25" i="423"/>
  <c r="T25" i="423"/>
  <c r="U25" i="423"/>
  <c r="V25" i="423"/>
  <c r="W25" i="423"/>
  <c r="X25" i="423"/>
  <c r="Y25" i="423"/>
  <c r="Z25" i="423"/>
  <c r="AA25" i="423"/>
  <c r="S26" i="423"/>
  <c r="C26" i="423"/>
  <c r="O26" i="423"/>
  <c r="T26" i="423"/>
  <c r="U26" i="423"/>
  <c r="V26" i="423"/>
  <c r="W26" i="423"/>
  <c r="X26" i="423"/>
  <c r="Y26" i="423"/>
  <c r="Z26" i="423"/>
  <c r="AA26" i="423"/>
  <c r="S27" i="423"/>
  <c r="Y4" i="423"/>
  <c r="C27" i="423"/>
  <c r="O27" i="423"/>
  <c r="T27" i="423"/>
  <c r="U27" i="423"/>
  <c r="V27" i="423"/>
  <c r="W27" i="423"/>
  <c r="X27" i="423"/>
  <c r="Y27" i="423"/>
  <c r="Z27" i="423"/>
  <c r="AA27" i="423"/>
  <c r="S28" i="423"/>
  <c r="C28" i="423"/>
  <c r="O28" i="423"/>
  <c r="T28" i="423"/>
  <c r="U28" i="423"/>
  <c r="V28" i="423"/>
  <c r="W28" i="423"/>
  <c r="X28" i="423"/>
  <c r="Y28" i="423"/>
  <c r="Z28" i="423"/>
  <c r="AA28" i="423"/>
  <c r="S29" i="423"/>
  <c r="C29" i="423"/>
  <c r="O29" i="423"/>
  <c r="T29" i="423"/>
  <c r="U29" i="423"/>
  <c r="V29" i="423"/>
  <c r="W29" i="423"/>
  <c r="X29" i="423"/>
  <c r="Y29" i="423"/>
  <c r="Z29" i="423"/>
  <c r="AA29" i="423"/>
  <c r="S30" i="423"/>
  <c r="T30" i="423"/>
  <c r="C30" i="423"/>
  <c r="U30" i="423"/>
  <c r="V30" i="423"/>
  <c r="W30" i="423"/>
  <c r="X30" i="423"/>
  <c r="Y30" i="423"/>
  <c r="Z30" i="423"/>
  <c r="AA30" i="423"/>
  <c r="S31" i="423"/>
  <c r="C31" i="423"/>
  <c r="O31" i="423"/>
  <c r="T31" i="423"/>
  <c r="U31" i="423"/>
  <c r="V31" i="423"/>
  <c r="W31" i="423"/>
  <c r="X31" i="423"/>
  <c r="Y31" i="423"/>
  <c r="Z31" i="423"/>
  <c r="AA31" i="423"/>
  <c r="S32" i="423"/>
  <c r="C32" i="423"/>
  <c r="O32" i="423"/>
  <c r="T32" i="423"/>
  <c r="U32" i="423"/>
  <c r="V32" i="423"/>
  <c r="W32" i="423"/>
  <c r="X32" i="423"/>
  <c r="Y32" i="423"/>
  <c r="Z32" i="423"/>
  <c r="AA32" i="423"/>
  <c r="G33" i="423"/>
  <c r="S33" i="423"/>
  <c r="C33" i="423"/>
  <c r="O33" i="423"/>
  <c r="T33" i="423"/>
  <c r="U33" i="423"/>
  <c r="V33" i="423"/>
  <c r="W33" i="423"/>
  <c r="X33" i="423"/>
  <c r="Y33" i="423"/>
  <c r="Z33" i="423"/>
  <c r="AA33" i="423"/>
  <c r="S34" i="423"/>
  <c r="X4" i="423"/>
  <c r="C34" i="423"/>
  <c r="O34" i="423"/>
  <c r="T34" i="423"/>
  <c r="U34" i="423"/>
  <c r="V34" i="423"/>
  <c r="W34" i="423"/>
  <c r="X34" i="423"/>
  <c r="Y34" i="423"/>
  <c r="Z34" i="423"/>
  <c r="AA34" i="423"/>
  <c r="S35" i="423"/>
  <c r="C35" i="423"/>
  <c r="O35" i="423"/>
  <c r="T35" i="423"/>
  <c r="U35" i="423"/>
  <c r="V35" i="423"/>
  <c r="W35" i="423"/>
  <c r="X35" i="423"/>
  <c r="Y35" i="423"/>
  <c r="Z35" i="423"/>
  <c r="AA35" i="423"/>
  <c r="S36" i="423"/>
  <c r="C36" i="423"/>
  <c r="O36" i="423"/>
  <c r="T36" i="423"/>
  <c r="U36" i="423"/>
  <c r="V36" i="423"/>
  <c r="W36" i="423"/>
  <c r="X36" i="423"/>
  <c r="Y36" i="423"/>
  <c r="Z36" i="423"/>
  <c r="AA36" i="423"/>
  <c r="S37" i="423"/>
  <c r="C37" i="423"/>
  <c r="O37" i="423"/>
  <c r="T37" i="423"/>
  <c r="U37" i="423"/>
  <c r="V37" i="423"/>
  <c r="W37" i="423"/>
  <c r="X37" i="423"/>
  <c r="Y37" i="423"/>
  <c r="Z37" i="423"/>
  <c r="AA37" i="423"/>
  <c r="S38" i="423"/>
  <c r="T38" i="423"/>
  <c r="C38" i="423"/>
  <c r="U38" i="423"/>
  <c r="V38" i="423"/>
  <c r="W38" i="423"/>
  <c r="X38" i="423"/>
  <c r="Y38" i="423"/>
  <c r="Z38" i="423"/>
  <c r="AA38" i="423"/>
  <c r="S39" i="423"/>
  <c r="C39" i="423"/>
  <c r="O39" i="423"/>
  <c r="T39" i="423"/>
  <c r="U39" i="423"/>
  <c r="V39" i="423"/>
  <c r="W39" i="423"/>
  <c r="X39" i="423"/>
  <c r="Y39" i="423"/>
  <c r="Z39" i="423"/>
  <c r="AA39" i="423"/>
  <c r="S40" i="423"/>
  <c r="C40" i="423"/>
  <c r="O40" i="423"/>
  <c r="T40" i="423"/>
  <c r="U40" i="423"/>
  <c r="V40" i="423"/>
  <c r="W40" i="423"/>
  <c r="X40" i="423"/>
  <c r="Y40" i="423"/>
  <c r="Z40" i="423"/>
  <c r="AA40" i="423"/>
  <c r="S41" i="423"/>
  <c r="C41" i="423"/>
  <c r="O41" i="423"/>
  <c r="T41" i="423"/>
  <c r="U41" i="423"/>
  <c r="V41" i="423"/>
  <c r="W41" i="423"/>
  <c r="X41" i="423"/>
  <c r="Y41" i="423"/>
  <c r="Z41" i="423"/>
  <c r="AA41" i="423"/>
  <c r="S42" i="423"/>
  <c r="C42" i="423"/>
  <c r="O42" i="423"/>
  <c r="T42" i="423"/>
  <c r="U42" i="423"/>
  <c r="V42" i="423"/>
  <c r="W42" i="423"/>
  <c r="X42" i="423"/>
  <c r="Y42" i="423"/>
  <c r="Z42" i="423"/>
  <c r="AA42" i="423"/>
  <c r="S43" i="423"/>
  <c r="C43" i="423"/>
  <c r="O43" i="423"/>
  <c r="T43" i="423"/>
  <c r="U43" i="423"/>
  <c r="V43" i="423"/>
  <c r="W43" i="423"/>
  <c r="X43" i="423"/>
  <c r="Y43" i="423"/>
  <c r="Z43" i="423"/>
  <c r="AA43" i="423"/>
  <c r="S44" i="423"/>
  <c r="C44" i="423"/>
  <c r="O44" i="423"/>
  <c r="T44" i="423"/>
  <c r="U44" i="423"/>
  <c r="V44" i="423"/>
  <c r="W44" i="423"/>
  <c r="X44" i="423"/>
  <c r="Y44" i="423"/>
  <c r="Z44" i="423"/>
  <c r="AA44" i="423"/>
  <c r="S45" i="423"/>
  <c r="C45" i="423"/>
  <c r="O45" i="423"/>
  <c r="T45" i="423"/>
  <c r="U45" i="423"/>
  <c r="V45" i="423"/>
  <c r="W45" i="423"/>
  <c r="X45" i="423"/>
  <c r="Y45" i="423"/>
  <c r="Z45" i="423"/>
  <c r="AA45" i="423"/>
  <c r="S46" i="423"/>
  <c r="T46" i="423"/>
  <c r="C46" i="423"/>
  <c r="U46" i="423"/>
  <c r="V46" i="423"/>
  <c r="W46" i="423"/>
  <c r="X46" i="423"/>
  <c r="Y46" i="423"/>
  <c r="Z46" i="423"/>
  <c r="AA46" i="423"/>
  <c r="S47" i="423"/>
  <c r="C5" i="423"/>
  <c r="V5" i="423"/>
  <c r="C47" i="423"/>
  <c r="O47" i="423"/>
  <c r="T47" i="423"/>
  <c r="U47" i="423"/>
  <c r="V47" i="423"/>
  <c r="W47" i="423"/>
  <c r="X47" i="423"/>
  <c r="Y47" i="423"/>
  <c r="Z47" i="423"/>
  <c r="AA47" i="423"/>
  <c r="S48" i="423"/>
  <c r="W5" i="423"/>
  <c r="C48" i="423"/>
  <c r="O48" i="423"/>
  <c r="T48" i="423"/>
  <c r="U48" i="423"/>
  <c r="V48" i="423"/>
  <c r="W48" i="423"/>
  <c r="X48" i="423"/>
  <c r="Y48" i="423"/>
  <c r="Z48" i="423"/>
  <c r="AA48" i="423"/>
  <c r="S49" i="423"/>
  <c r="C49" i="423"/>
  <c r="O49" i="423"/>
  <c r="T49" i="423"/>
  <c r="U49" i="423"/>
  <c r="V49" i="423"/>
  <c r="W49" i="423"/>
  <c r="X49" i="423"/>
  <c r="Y49" i="423"/>
  <c r="Z49" i="423"/>
  <c r="AA49" i="423"/>
  <c r="S50" i="423"/>
  <c r="C50" i="423"/>
  <c r="O50" i="423"/>
  <c r="T50" i="423"/>
  <c r="U50" i="423"/>
  <c r="V50" i="423"/>
  <c r="W50" i="423"/>
  <c r="X50" i="423"/>
  <c r="Y50" i="423"/>
  <c r="Z50" i="423"/>
  <c r="AA50" i="423"/>
  <c r="S51" i="423"/>
  <c r="C51" i="423"/>
  <c r="O51" i="423"/>
  <c r="T51" i="423"/>
  <c r="U51" i="423"/>
  <c r="V51" i="423"/>
  <c r="W51" i="423"/>
  <c r="X51" i="423"/>
  <c r="Y51" i="423"/>
  <c r="Z51" i="423"/>
  <c r="AA51" i="423"/>
  <c r="S52" i="423"/>
  <c r="Y5" i="423"/>
  <c r="C52" i="423"/>
  <c r="O52" i="423"/>
  <c r="T52" i="423"/>
  <c r="U52" i="423"/>
  <c r="V52" i="423"/>
  <c r="W52" i="423"/>
  <c r="X52" i="423"/>
  <c r="Y52" i="423"/>
  <c r="Z52" i="423"/>
  <c r="AA52" i="423"/>
  <c r="S53" i="423"/>
  <c r="C53" i="423"/>
  <c r="O53" i="423"/>
  <c r="T53" i="423"/>
  <c r="U53" i="423"/>
  <c r="V53" i="423"/>
  <c r="W53" i="423"/>
  <c r="X53" i="423"/>
  <c r="Y53" i="423"/>
  <c r="Z53" i="423"/>
  <c r="AA53" i="423"/>
  <c r="S54" i="423"/>
  <c r="C54" i="423"/>
  <c r="O54" i="423"/>
  <c r="T54" i="423"/>
  <c r="U54" i="423"/>
  <c r="V54" i="423"/>
  <c r="W54" i="423"/>
  <c r="X54" i="423"/>
  <c r="Y54" i="423"/>
  <c r="Z54" i="423"/>
  <c r="AA54" i="423"/>
  <c r="S55" i="423"/>
  <c r="AA5" i="423"/>
  <c r="C55" i="423"/>
  <c r="O55" i="423"/>
  <c r="T55" i="423"/>
  <c r="U55" i="423"/>
  <c r="V55" i="423"/>
  <c r="W55" i="423"/>
  <c r="X55" i="423"/>
  <c r="Y55" i="423"/>
  <c r="Z55" i="423"/>
  <c r="AA55" i="423"/>
  <c r="S56" i="423"/>
  <c r="T56" i="423"/>
  <c r="U56" i="423"/>
  <c r="V56" i="423"/>
  <c r="W56" i="423"/>
  <c r="X56" i="423"/>
  <c r="Y56" i="423"/>
  <c r="Z56" i="423"/>
  <c r="AA56" i="423"/>
  <c r="S57" i="423"/>
  <c r="C57" i="423"/>
  <c r="O57" i="423"/>
  <c r="T57" i="423"/>
  <c r="U57" i="423"/>
  <c r="V57" i="423"/>
  <c r="W57" i="423"/>
  <c r="X57" i="423"/>
  <c r="Y57" i="423"/>
  <c r="Z57" i="423"/>
  <c r="AA57" i="423"/>
  <c r="S58" i="423"/>
  <c r="C58" i="423"/>
  <c r="O58" i="423"/>
  <c r="T58" i="423"/>
  <c r="U58" i="423"/>
  <c r="V58" i="423"/>
  <c r="W58" i="423"/>
  <c r="X58" i="423"/>
  <c r="Y58" i="423"/>
  <c r="Z58" i="423"/>
  <c r="AA58" i="423"/>
  <c r="S59" i="423"/>
  <c r="C59" i="423"/>
  <c r="O59" i="423"/>
  <c r="T59" i="423"/>
  <c r="U59" i="423"/>
  <c r="V59" i="423"/>
  <c r="W59" i="423"/>
  <c r="X59" i="423"/>
  <c r="Y59" i="423"/>
  <c r="Z59" i="423"/>
  <c r="AA59" i="423"/>
  <c r="S60" i="423"/>
  <c r="C60" i="423"/>
  <c r="O60" i="423"/>
  <c r="T60" i="423"/>
  <c r="U60" i="423"/>
  <c r="V60" i="423"/>
  <c r="W60" i="423"/>
  <c r="X60" i="423"/>
  <c r="Y60" i="423"/>
  <c r="Z60" i="423"/>
  <c r="AA60" i="423"/>
  <c r="S61" i="423"/>
  <c r="C61" i="423"/>
  <c r="O61" i="423"/>
  <c r="T61" i="423"/>
  <c r="U61" i="423"/>
  <c r="V61" i="423"/>
  <c r="W61" i="423"/>
  <c r="X61" i="423"/>
  <c r="Y61" i="423"/>
  <c r="Z61" i="423"/>
  <c r="AA61" i="423"/>
  <c r="S62" i="423"/>
  <c r="C62" i="423"/>
  <c r="O62" i="423"/>
  <c r="T62" i="423"/>
  <c r="U62" i="423"/>
  <c r="V62" i="423"/>
  <c r="W62" i="423"/>
  <c r="X62" i="423"/>
  <c r="Y62" i="423"/>
  <c r="Z62" i="423"/>
  <c r="AA62" i="423"/>
  <c r="S63" i="423"/>
  <c r="C63" i="423"/>
  <c r="O63" i="423"/>
  <c r="T63" i="423"/>
  <c r="U63" i="423"/>
  <c r="V63" i="423"/>
  <c r="W63" i="423"/>
  <c r="X63" i="423"/>
  <c r="Y63" i="423"/>
  <c r="Z63" i="423"/>
  <c r="AA63" i="423"/>
  <c r="S64" i="423"/>
  <c r="T64" i="423"/>
  <c r="C64" i="423"/>
  <c r="U64" i="423"/>
  <c r="V64" i="423"/>
  <c r="W64" i="423"/>
  <c r="X64" i="423"/>
  <c r="Y64" i="423"/>
  <c r="Z64" i="423"/>
  <c r="AA64" i="423"/>
  <c r="S65" i="423"/>
  <c r="T65" i="423"/>
  <c r="C65" i="423"/>
  <c r="U65" i="423"/>
  <c r="V65" i="423"/>
  <c r="W65" i="423"/>
  <c r="X65" i="423"/>
  <c r="Y65" i="423"/>
  <c r="Z65" i="423"/>
  <c r="AA65" i="423"/>
  <c r="S66" i="423"/>
  <c r="C66" i="423"/>
  <c r="O66" i="423"/>
  <c r="T66" i="423"/>
  <c r="U66" i="423"/>
  <c r="V66" i="423"/>
  <c r="W66" i="423"/>
  <c r="X66" i="423"/>
  <c r="Y66" i="423"/>
  <c r="Z66" i="423"/>
  <c r="AA66" i="423"/>
  <c r="S67" i="423"/>
  <c r="T67" i="423"/>
  <c r="C67" i="423"/>
  <c r="U67" i="423"/>
  <c r="V67" i="423"/>
  <c r="W67" i="423"/>
  <c r="X67" i="423"/>
  <c r="Y67" i="423"/>
  <c r="Z67" i="423"/>
  <c r="AA67" i="423"/>
  <c r="R47" i="423"/>
  <c r="R48" i="423"/>
  <c r="R49" i="423"/>
  <c r="R50" i="423"/>
  <c r="R51" i="423"/>
  <c r="R52" i="423"/>
  <c r="R53" i="423"/>
  <c r="R54" i="423"/>
  <c r="R55" i="423"/>
  <c r="R56" i="423"/>
  <c r="P47" i="423"/>
  <c r="N47" i="423"/>
  <c r="P48" i="423"/>
  <c r="N48" i="423"/>
  <c r="P49" i="423"/>
  <c r="N49" i="423"/>
  <c r="P50" i="423"/>
  <c r="N50" i="423"/>
  <c r="P51" i="423"/>
  <c r="N51" i="423"/>
  <c r="P52" i="423"/>
  <c r="N52" i="423"/>
  <c r="P53" i="423"/>
  <c r="N53" i="423"/>
  <c r="P54" i="423"/>
  <c r="N54" i="423"/>
  <c r="P55" i="423"/>
  <c r="N55" i="423"/>
  <c r="N56" i="423"/>
  <c r="L48" i="423"/>
  <c r="L49" i="423"/>
  <c r="L50" i="423"/>
  <c r="L51" i="423"/>
  <c r="L52" i="423"/>
  <c r="L53" i="423"/>
  <c r="L54" i="423"/>
  <c r="L55" i="423"/>
  <c r="L56" i="423"/>
  <c r="P8" i="423"/>
  <c r="N8" i="423"/>
  <c r="O5" i="423"/>
  <c r="P5" i="423"/>
  <c r="N5" i="423"/>
  <c r="L6" i="423"/>
  <c r="P6" i="423"/>
  <c r="N6" i="423"/>
  <c r="L7" i="423"/>
  <c r="P7" i="423"/>
  <c r="N7" i="423"/>
  <c r="L8" i="423"/>
  <c r="L9" i="423"/>
  <c r="P9" i="423"/>
  <c r="N9" i="423"/>
  <c r="L10" i="423"/>
  <c r="P10" i="423"/>
  <c r="N10" i="423"/>
  <c r="L11" i="423"/>
  <c r="AA220" i="423"/>
  <c r="AA222" i="423"/>
  <c r="Z220" i="423"/>
  <c r="Z222" i="423"/>
  <c r="Y220" i="423"/>
  <c r="Y222" i="423"/>
  <c r="X220" i="423"/>
  <c r="X222" i="423"/>
  <c r="W220" i="423"/>
  <c r="W222" i="423"/>
  <c r="V220" i="423"/>
  <c r="V222" i="423"/>
  <c r="U220" i="423"/>
  <c r="U222" i="423"/>
  <c r="AA177" i="423"/>
  <c r="Z177" i="423"/>
  <c r="Y177" i="423"/>
  <c r="X177" i="423"/>
  <c r="W177" i="423"/>
  <c r="V177" i="423"/>
  <c r="U177" i="423"/>
  <c r="AD166" i="423"/>
  <c r="AC166" i="423"/>
  <c r="AB166" i="423"/>
  <c r="AA68" i="423"/>
  <c r="AA69" i="423"/>
  <c r="AA70" i="423"/>
  <c r="AA71" i="423"/>
  <c r="AA72" i="423"/>
  <c r="AA73" i="423"/>
  <c r="AA74" i="423"/>
  <c r="AA75" i="423"/>
  <c r="AA76" i="423"/>
  <c r="AA77" i="423"/>
  <c r="AA78" i="423"/>
  <c r="AA79" i="423"/>
  <c r="AA80" i="423"/>
  <c r="AA81" i="423"/>
  <c r="AA82" i="423"/>
  <c r="AA83" i="423"/>
  <c r="AA84" i="423"/>
  <c r="AA85" i="423"/>
  <c r="AA86" i="423"/>
  <c r="AA87" i="423"/>
  <c r="AA88" i="423"/>
  <c r="AA89" i="423"/>
  <c r="AA90" i="423"/>
  <c r="AA91" i="423"/>
  <c r="AA92" i="423"/>
  <c r="AA93" i="423"/>
  <c r="AA94" i="423"/>
  <c r="AA95" i="423"/>
  <c r="AA96" i="423"/>
  <c r="AA97" i="423"/>
  <c r="AA98" i="423"/>
  <c r="AA99" i="423"/>
  <c r="AA100" i="423"/>
  <c r="AA101" i="423"/>
  <c r="AA102" i="423"/>
  <c r="AA103" i="423"/>
  <c r="AA104" i="423"/>
  <c r="AA105" i="423"/>
  <c r="AA106" i="423"/>
  <c r="AA107" i="423"/>
  <c r="AA108" i="423"/>
  <c r="AA109" i="423"/>
  <c r="AA110" i="423"/>
  <c r="AA111" i="423"/>
  <c r="AA112" i="423"/>
  <c r="AA113" i="423"/>
  <c r="AA114" i="423"/>
  <c r="AA115" i="423"/>
  <c r="AA116" i="423"/>
  <c r="AA117" i="423"/>
  <c r="AA118" i="423"/>
  <c r="AA119" i="423"/>
  <c r="AA120" i="423"/>
  <c r="AA121" i="423"/>
  <c r="Z5" i="423"/>
  <c r="Z68" i="423"/>
  <c r="Z69" i="423"/>
  <c r="Z70" i="423"/>
  <c r="Z71" i="423"/>
  <c r="Z72" i="423"/>
  <c r="Z73" i="423"/>
  <c r="Z74" i="423"/>
  <c r="Z75" i="423"/>
  <c r="Z76" i="423"/>
  <c r="Z77" i="423"/>
  <c r="Z78" i="423"/>
  <c r="Z79" i="423"/>
  <c r="Z80" i="423"/>
  <c r="Z81" i="423"/>
  <c r="Z82" i="423"/>
  <c r="Z83" i="423"/>
  <c r="Z84" i="423"/>
  <c r="Z85" i="423"/>
  <c r="Z86" i="423"/>
  <c r="Z87" i="423"/>
  <c r="Z88" i="423"/>
  <c r="Z89" i="423"/>
  <c r="Z90" i="423"/>
  <c r="Z91" i="423"/>
  <c r="Z92" i="423"/>
  <c r="Z93" i="423"/>
  <c r="Z94" i="423"/>
  <c r="Z95" i="423"/>
  <c r="Z96" i="423"/>
  <c r="Z97" i="423"/>
  <c r="Z98" i="423"/>
  <c r="Z99" i="423"/>
  <c r="Z100" i="423"/>
  <c r="Z101" i="423"/>
  <c r="Z102" i="423"/>
  <c r="Z103" i="423"/>
  <c r="Z104" i="423"/>
  <c r="Z105" i="423"/>
  <c r="Z106" i="423"/>
  <c r="Z107" i="423"/>
  <c r="Z108" i="423"/>
  <c r="Z109" i="423"/>
  <c r="Z110" i="423"/>
  <c r="Z111" i="423"/>
  <c r="Z112" i="423"/>
  <c r="Z113" i="423"/>
  <c r="Z114" i="423"/>
  <c r="Z115" i="423"/>
  <c r="Z116" i="423"/>
  <c r="Z117" i="423"/>
  <c r="Z118" i="423"/>
  <c r="Z119" i="423"/>
  <c r="Z120" i="423"/>
  <c r="Z121" i="423"/>
  <c r="Y68" i="423"/>
  <c r="Y69" i="423"/>
  <c r="Y70" i="423"/>
  <c r="Y71" i="423"/>
  <c r="Y72" i="423"/>
  <c r="Y73" i="423"/>
  <c r="Y74" i="423"/>
  <c r="Y75" i="423"/>
  <c r="Y76" i="423"/>
  <c r="Y77" i="423"/>
  <c r="Y78" i="423"/>
  <c r="Y79" i="423"/>
  <c r="Y80" i="423"/>
  <c r="Y81" i="423"/>
  <c r="Y82" i="423"/>
  <c r="Y83" i="423"/>
  <c r="Y84" i="423"/>
  <c r="Y85" i="423"/>
  <c r="Y86" i="423"/>
  <c r="Y87" i="423"/>
  <c r="Y88" i="423"/>
  <c r="Y89" i="423"/>
  <c r="Y90" i="423"/>
  <c r="Y91" i="423"/>
  <c r="Y92" i="423"/>
  <c r="Y93" i="423"/>
  <c r="Y94" i="423"/>
  <c r="Y95" i="423"/>
  <c r="Y96" i="423"/>
  <c r="Y97" i="423"/>
  <c r="Y98" i="423"/>
  <c r="Y99" i="423"/>
  <c r="Y100" i="423"/>
  <c r="Y101" i="423"/>
  <c r="Y102" i="423"/>
  <c r="Y103" i="423"/>
  <c r="Y104" i="423"/>
  <c r="Y105" i="423"/>
  <c r="Y106" i="423"/>
  <c r="Y107" i="423"/>
  <c r="Y108" i="423"/>
  <c r="Y109" i="423"/>
  <c r="Y110" i="423"/>
  <c r="Y111" i="423"/>
  <c r="Y112" i="423"/>
  <c r="Y113" i="423"/>
  <c r="Y114" i="423"/>
  <c r="Y115" i="423"/>
  <c r="Y116" i="423"/>
  <c r="Y117" i="423"/>
  <c r="Y118" i="423"/>
  <c r="Y119" i="423"/>
  <c r="Y120" i="423"/>
  <c r="Y121" i="423"/>
  <c r="X5" i="423"/>
  <c r="X68" i="423"/>
  <c r="X69" i="423"/>
  <c r="X70" i="423"/>
  <c r="X71" i="423"/>
  <c r="X72" i="423"/>
  <c r="X73" i="423"/>
  <c r="X74" i="423"/>
  <c r="X75" i="423"/>
  <c r="X76" i="423"/>
  <c r="X77" i="423"/>
  <c r="X78" i="423"/>
  <c r="X79" i="423"/>
  <c r="X80" i="423"/>
  <c r="X81" i="423"/>
  <c r="X82" i="423"/>
  <c r="X83" i="423"/>
  <c r="X84" i="423"/>
  <c r="X85" i="423"/>
  <c r="X86" i="423"/>
  <c r="X87" i="423"/>
  <c r="X88" i="423"/>
  <c r="X89" i="423"/>
  <c r="X90" i="423"/>
  <c r="X91" i="423"/>
  <c r="X92" i="423"/>
  <c r="X93" i="423"/>
  <c r="X94" i="423"/>
  <c r="X95" i="423"/>
  <c r="X96" i="423"/>
  <c r="X97" i="423"/>
  <c r="X98" i="423"/>
  <c r="X99" i="423"/>
  <c r="X100" i="423"/>
  <c r="X101" i="423"/>
  <c r="X102" i="423"/>
  <c r="X103" i="423"/>
  <c r="X104" i="423"/>
  <c r="X105" i="423"/>
  <c r="X106" i="423"/>
  <c r="X107" i="423"/>
  <c r="X108" i="423"/>
  <c r="X109" i="423"/>
  <c r="X110" i="423"/>
  <c r="X111" i="423"/>
  <c r="X112" i="423"/>
  <c r="X113" i="423"/>
  <c r="X114" i="423"/>
  <c r="X115" i="423"/>
  <c r="X116" i="423"/>
  <c r="X117" i="423"/>
  <c r="X118" i="423"/>
  <c r="X119" i="423"/>
  <c r="X120" i="423"/>
  <c r="X121" i="423"/>
  <c r="W68" i="423"/>
  <c r="W69" i="423"/>
  <c r="W70" i="423"/>
  <c r="W71" i="423"/>
  <c r="W72" i="423"/>
  <c r="W73" i="423"/>
  <c r="W74" i="423"/>
  <c r="W75" i="423"/>
  <c r="W76" i="423"/>
  <c r="W77" i="423"/>
  <c r="W78" i="423"/>
  <c r="W79" i="423"/>
  <c r="W80" i="423"/>
  <c r="W81" i="423"/>
  <c r="W82" i="423"/>
  <c r="W83" i="423"/>
  <c r="W84" i="423"/>
  <c r="W85" i="423"/>
  <c r="W86" i="423"/>
  <c r="W87" i="423"/>
  <c r="W88" i="423"/>
  <c r="W89" i="423"/>
  <c r="W90" i="423"/>
  <c r="W91" i="423"/>
  <c r="W92" i="423"/>
  <c r="W93" i="423"/>
  <c r="W94" i="423"/>
  <c r="W95" i="423"/>
  <c r="W96" i="423"/>
  <c r="W97" i="423"/>
  <c r="W98" i="423"/>
  <c r="W99" i="423"/>
  <c r="W100" i="423"/>
  <c r="W101" i="423"/>
  <c r="W102" i="423"/>
  <c r="W103" i="423"/>
  <c r="W104" i="423"/>
  <c r="W105" i="423"/>
  <c r="W106" i="423"/>
  <c r="W107" i="423"/>
  <c r="W108" i="423"/>
  <c r="W109" i="423"/>
  <c r="W110" i="423"/>
  <c r="W111" i="423"/>
  <c r="W112" i="423"/>
  <c r="W113" i="423"/>
  <c r="W114" i="423"/>
  <c r="W115" i="423"/>
  <c r="W116" i="423"/>
  <c r="W117" i="423"/>
  <c r="W118" i="423"/>
  <c r="W119" i="423"/>
  <c r="W120" i="423"/>
  <c r="W121" i="423"/>
  <c r="V68" i="423"/>
  <c r="V69" i="423"/>
  <c r="V70" i="423"/>
  <c r="V71" i="423"/>
  <c r="V72" i="423"/>
  <c r="V73" i="423"/>
  <c r="V74" i="423"/>
  <c r="V75" i="423"/>
  <c r="V76" i="423"/>
  <c r="V77" i="423"/>
  <c r="V78" i="423"/>
  <c r="V79" i="423"/>
  <c r="V80" i="423"/>
  <c r="V81" i="423"/>
  <c r="V82" i="423"/>
  <c r="V83" i="423"/>
  <c r="V84" i="423"/>
  <c r="V85" i="423"/>
  <c r="V86" i="423"/>
  <c r="V87" i="423"/>
  <c r="V88" i="423"/>
  <c r="V89" i="423"/>
  <c r="V90" i="423"/>
  <c r="V91" i="423"/>
  <c r="V92" i="423"/>
  <c r="V93" i="423"/>
  <c r="V94" i="423"/>
  <c r="V95" i="423"/>
  <c r="V96" i="423"/>
  <c r="V97" i="423"/>
  <c r="V98" i="423"/>
  <c r="V99" i="423"/>
  <c r="V100" i="423"/>
  <c r="V101" i="423"/>
  <c r="V102" i="423"/>
  <c r="V103" i="423"/>
  <c r="V104" i="423"/>
  <c r="V105" i="423"/>
  <c r="V106" i="423"/>
  <c r="V107" i="423"/>
  <c r="V108" i="423"/>
  <c r="V109" i="423"/>
  <c r="V110" i="423"/>
  <c r="V111" i="423"/>
  <c r="V112" i="423"/>
  <c r="V113" i="423"/>
  <c r="V114" i="423"/>
  <c r="V115" i="423"/>
  <c r="V116" i="423"/>
  <c r="V117" i="423"/>
  <c r="V118" i="423"/>
  <c r="V119" i="423"/>
  <c r="V120" i="423"/>
  <c r="V121" i="423"/>
  <c r="S5" i="423"/>
  <c r="U5" i="423"/>
  <c r="U68" i="423"/>
  <c r="U69" i="423"/>
  <c r="U70" i="423"/>
  <c r="U71" i="423"/>
  <c r="U72" i="423"/>
  <c r="U73" i="423"/>
  <c r="U74" i="423"/>
  <c r="U75" i="423"/>
  <c r="U76" i="423"/>
  <c r="U77" i="423"/>
  <c r="U78" i="423"/>
  <c r="U79" i="423"/>
  <c r="U80" i="423"/>
  <c r="U81" i="423"/>
  <c r="U82" i="423"/>
  <c r="U83" i="423"/>
  <c r="U84" i="423"/>
  <c r="U85" i="423"/>
  <c r="U86" i="423"/>
  <c r="U87" i="423"/>
  <c r="U88" i="423"/>
  <c r="U89" i="423"/>
  <c r="U90" i="423"/>
  <c r="U91" i="423"/>
  <c r="U92" i="423"/>
  <c r="U93" i="423"/>
  <c r="U94" i="423"/>
  <c r="U95" i="423"/>
  <c r="U96" i="423"/>
  <c r="U97" i="423"/>
  <c r="U98" i="423"/>
  <c r="U99" i="423"/>
  <c r="U100" i="423"/>
  <c r="U101" i="423"/>
  <c r="U102" i="423"/>
  <c r="U103" i="423"/>
  <c r="U104" i="423"/>
  <c r="U105" i="423"/>
  <c r="U106" i="423"/>
  <c r="U107" i="423"/>
  <c r="U108" i="423"/>
  <c r="U109" i="423"/>
  <c r="U110" i="423"/>
  <c r="U111" i="423"/>
  <c r="U112" i="423"/>
  <c r="U113" i="423"/>
  <c r="U114" i="423"/>
  <c r="U115" i="423"/>
  <c r="U116" i="423"/>
  <c r="U117" i="423"/>
  <c r="U118" i="423"/>
  <c r="U119" i="423"/>
  <c r="U120" i="423"/>
  <c r="U121" i="423"/>
  <c r="AB68" i="423"/>
  <c r="N67" i="423"/>
  <c r="L66" i="423"/>
  <c r="P66" i="423"/>
  <c r="N66" i="423"/>
  <c r="L67" i="423"/>
  <c r="R66" i="423"/>
  <c r="R57" i="423"/>
  <c r="R58" i="423"/>
  <c r="R59" i="423"/>
  <c r="R60" i="423"/>
  <c r="R61" i="423"/>
  <c r="R62" i="423"/>
  <c r="R63" i="423"/>
  <c r="R64" i="423"/>
  <c r="P57" i="423"/>
  <c r="N57" i="423"/>
  <c r="P58" i="423"/>
  <c r="N58" i="423"/>
  <c r="P59" i="423"/>
  <c r="N59" i="423"/>
  <c r="P60" i="423"/>
  <c r="N60" i="423"/>
  <c r="P61" i="423"/>
  <c r="N61" i="423"/>
  <c r="P62" i="423"/>
  <c r="N62" i="423"/>
  <c r="P63" i="423"/>
  <c r="N63" i="423"/>
  <c r="N64" i="423"/>
  <c r="L58" i="423"/>
  <c r="L59" i="423"/>
  <c r="L60" i="423"/>
  <c r="L61" i="423"/>
  <c r="L62" i="423"/>
  <c r="L63" i="423"/>
  <c r="L64" i="423"/>
  <c r="R39" i="423"/>
  <c r="R40" i="423"/>
  <c r="R41" i="423"/>
  <c r="R42" i="423"/>
  <c r="R43" i="423"/>
  <c r="R44" i="423"/>
  <c r="R45" i="423"/>
  <c r="R46" i="423"/>
  <c r="P39" i="423"/>
  <c r="N39" i="423"/>
  <c r="L40" i="423"/>
  <c r="P40" i="423"/>
  <c r="N40" i="423"/>
  <c r="L41" i="423"/>
  <c r="P41" i="423"/>
  <c r="N41" i="423"/>
  <c r="L42" i="423"/>
  <c r="P42" i="423"/>
  <c r="N42" i="423"/>
  <c r="L43" i="423"/>
  <c r="P43" i="423"/>
  <c r="N43" i="423"/>
  <c r="L44" i="423"/>
  <c r="P44" i="423"/>
  <c r="N44" i="423"/>
  <c r="L45" i="423"/>
  <c r="P45" i="423"/>
  <c r="N45" i="423"/>
  <c r="L46" i="423"/>
  <c r="R31" i="423"/>
  <c r="R32" i="423"/>
  <c r="R33" i="423"/>
  <c r="R34" i="423"/>
  <c r="R35" i="423"/>
  <c r="R36" i="423"/>
  <c r="R37" i="423"/>
  <c r="R38" i="423"/>
  <c r="P31" i="423"/>
  <c r="N31" i="423"/>
  <c r="L32" i="423"/>
  <c r="P32" i="423"/>
  <c r="N32" i="423"/>
  <c r="L33" i="423"/>
  <c r="P33" i="423"/>
  <c r="N33" i="423"/>
  <c r="L34" i="423"/>
  <c r="P34" i="423"/>
  <c r="N34" i="423"/>
  <c r="L35" i="423"/>
  <c r="P35" i="423"/>
  <c r="N35" i="423"/>
  <c r="L36" i="423"/>
  <c r="P36" i="423"/>
  <c r="N36" i="423"/>
  <c r="L37" i="423"/>
  <c r="P37" i="423"/>
  <c r="N37" i="423"/>
  <c r="R25" i="423"/>
  <c r="R26" i="423"/>
  <c r="R27" i="423"/>
  <c r="R28" i="423"/>
  <c r="R29" i="423"/>
  <c r="R30" i="423"/>
  <c r="P29" i="423"/>
  <c r="N29" i="423"/>
  <c r="P24" i="423"/>
  <c r="N24" i="423"/>
  <c r="L25" i="423"/>
  <c r="P25" i="423"/>
  <c r="N25" i="423"/>
  <c r="L26" i="423"/>
  <c r="P26" i="423"/>
  <c r="N26" i="423"/>
  <c r="L27" i="423"/>
  <c r="P27" i="423"/>
  <c r="N27" i="423"/>
  <c r="L28" i="423"/>
  <c r="P28" i="423"/>
  <c r="N28" i="423"/>
  <c r="L29" i="423"/>
  <c r="R24" i="423"/>
  <c r="R12" i="423"/>
  <c r="R13" i="423"/>
  <c r="R14" i="423"/>
  <c r="R15" i="423"/>
  <c r="R16" i="423"/>
  <c r="R17" i="423"/>
  <c r="R18" i="423"/>
  <c r="R19" i="423"/>
  <c r="R20" i="423"/>
  <c r="R21" i="423"/>
  <c r="R22" i="423"/>
  <c r="R23" i="423"/>
  <c r="P12" i="423"/>
  <c r="N12" i="423"/>
  <c r="P13" i="423"/>
  <c r="N13" i="423"/>
  <c r="P14" i="423"/>
  <c r="N14" i="423"/>
  <c r="P15" i="423"/>
  <c r="N15" i="423"/>
  <c r="P16" i="423"/>
  <c r="N16" i="423"/>
  <c r="P17" i="423"/>
  <c r="N17" i="423"/>
  <c r="P18" i="423"/>
  <c r="N18" i="423"/>
  <c r="P19" i="423"/>
  <c r="N19" i="423"/>
  <c r="P20" i="423"/>
  <c r="N20" i="423"/>
  <c r="P21" i="423"/>
  <c r="N21" i="423"/>
  <c r="N23" i="423"/>
  <c r="L13" i="423"/>
  <c r="L14" i="423"/>
  <c r="L15" i="423"/>
  <c r="L16" i="423"/>
  <c r="L18" i="423"/>
  <c r="L19" i="423"/>
  <c r="L20" i="423"/>
  <c r="L21" i="423"/>
  <c r="L22" i="423"/>
  <c r="L17" i="423"/>
  <c r="R5" i="423"/>
  <c r="R6" i="423"/>
  <c r="R7" i="423"/>
  <c r="R8" i="423"/>
  <c r="R9" i="423"/>
  <c r="R10" i="423"/>
  <c r="R11" i="423"/>
  <c r="T5" i="423"/>
  <c r="S46" i="515"/>
  <c r="T46" i="515"/>
  <c r="U46" i="515"/>
  <c r="V46" i="515"/>
  <c r="W46" i="515"/>
  <c r="X46" i="515"/>
  <c r="Y46" i="515"/>
  <c r="Z46" i="515"/>
  <c r="AA46" i="515"/>
  <c r="S47" i="515"/>
  <c r="T47" i="515"/>
  <c r="U47" i="515"/>
  <c r="V47" i="515"/>
  <c r="W47" i="515"/>
  <c r="X47" i="515"/>
  <c r="Y47" i="515"/>
  <c r="Z47" i="515"/>
  <c r="AA47" i="515"/>
  <c r="S48" i="515"/>
  <c r="T48" i="515"/>
  <c r="U48" i="515"/>
  <c r="V48" i="515"/>
  <c r="W48" i="515"/>
  <c r="X48" i="515"/>
  <c r="Y48" i="515"/>
  <c r="Z48" i="515"/>
  <c r="AA48" i="515"/>
  <c r="S49" i="515"/>
  <c r="T49" i="515"/>
  <c r="U49" i="515"/>
  <c r="V49" i="515"/>
  <c r="W49" i="515"/>
  <c r="X49" i="515"/>
  <c r="Y49" i="515"/>
  <c r="Z49" i="515"/>
  <c r="AA49" i="515"/>
  <c r="S50" i="515"/>
  <c r="T50" i="515"/>
  <c r="U50" i="515"/>
  <c r="V50" i="515"/>
  <c r="W50" i="515"/>
  <c r="X50" i="515"/>
  <c r="Y50" i="515"/>
  <c r="Z50" i="515"/>
  <c r="AA50" i="515"/>
  <c r="S51" i="515"/>
  <c r="T51" i="515"/>
  <c r="U51" i="515"/>
  <c r="V51" i="515"/>
  <c r="W51" i="515"/>
  <c r="X51" i="515"/>
  <c r="Y51" i="515"/>
  <c r="Z51" i="515"/>
  <c r="AA51" i="515"/>
  <c r="S52" i="515"/>
  <c r="T52" i="515"/>
  <c r="U52" i="515"/>
  <c r="V52" i="515"/>
  <c r="W52" i="515"/>
  <c r="X52" i="515"/>
  <c r="Y52" i="515"/>
  <c r="Z52" i="515"/>
  <c r="AA52" i="515"/>
  <c r="S53" i="515"/>
  <c r="T53" i="515"/>
  <c r="U53" i="515"/>
  <c r="V53" i="515"/>
  <c r="W53" i="515"/>
  <c r="X53" i="515"/>
  <c r="Y53" i="515"/>
  <c r="Z53" i="515"/>
  <c r="AA53" i="515"/>
  <c r="S54" i="515"/>
  <c r="T54" i="515"/>
  <c r="U54" i="515"/>
  <c r="V54" i="515"/>
  <c r="W54" i="515"/>
  <c r="X54" i="515"/>
  <c r="Y54" i="515"/>
  <c r="Z54" i="515"/>
  <c r="AA54" i="515"/>
  <c r="S55" i="515"/>
  <c r="T55" i="515"/>
  <c r="U55" i="515"/>
  <c r="V55" i="515"/>
  <c r="W55" i="515"/>
  <c r="X55" i="515"/>
  <c r="Y55" i="515"/>
  <c r="Z55" i="515"/>
  <c r="AA55" i="515"/>
  <c r="S56" i="515"/>
  <c r="T56" i="515"/>
  <c r="U56" i="515"/>
  <c r="V56" i="515"/>
  <c r="W56" i="515"/>
  <c r="X56" i="515"/>
  <c r="Y56" i="515"/>
  <c r="Z56" i="515"/>
  <c r="AA56" i="515"/>
  <c r="R59" i="515"/>
  <c r="C54" i="515"/>
  <c r="C55" i="515"/>
  <c r="C56" i="515"/>
  <c r="C57" i="515"/>
  <c r="R55" i="515"/>
  <c r="O55" i="515"/>
  <c r="P55" i="515"/>
  <c r="N55" i="515"/>
  <c r="L54" i="515"/>
  <c r="O54" i="515"/>
  <c r="P54" i="515"/>
  <c r="N54" i="515"/>
  <c r="L55" i="515"/>
  <c r="R54" i="515"/>
  <c r="R46" i="515"/>
  <c r="R47" i="515"/>
  <c r="R48" i="515"/>
  <c r="R49" i="515"/>
  <c r="R50" i="515"/>
  <c r="R51" i="515"/>
  <c r="R52" i="515"/>
  <c r="V4" i="515"/>
  <c r="V5" i="515"/>
  <c r="C46" i="515"/>
  <c r="O46" i="515"/>
  <c r="P46" i="515"/>
  <c r="N46" i="515"/>
  <c r="W4" i="515"/>
  <c r="W5" i="515"/>
  <c r="C47" i="515"/>
  <c r="O47" i="515"/>
  <c r="P47" i="515"/>
  <c r="N47" i="515"/>
  <c r="Z4" i="515"/>
  <c r="Z5" i="515"/>
  <c r="C48" i="515"/>
  <c r="O48" i="515"/>
  <c r="P48" i="515"/>
  <c r="N48" i="515"/>
  <c r="N49" i="515"/>
  <c r="C50" i="515"/>
  <c r="O50" i="515"/>
  <c r="P50" i="515"/>
  <c r="N50" i="515"/>
  <c r="AA4" i="515"/>
  <c r="AA5" i="515"/>
  <c r="C51" i="515"/>
  <c r="O51" i="515"/>
  <c r="P51" i="515"/>
  <c r="N51" i="515"/>
  <c r="N52" i="515"/>
  <c r="L47" i="515"/>
  <c r="L48" i="515"/>
  <c r="L49" i="515"/>
  <c r="L50" i="515"/>
  <c r="L51" i="515"/>
  <c r="L52" i="515"/>
  <c r="C52" i="515"/>
  <c r="X4" i="515"/>
  <c r="X5" i="515"/>
  <c r="C49" i="515"/>
  <c r="O49" i="515"/>
  <c r="P49" i="515"/>
  <c r="S7" i="515"/>
  <c r="C7" i="515"/>
  <c r="O7" i="515"/>
  <c r="T7" i="515"/>
  <c r="U4" i="515"/>
  <c r="U7" i="515"/>
  <c r="V7" i="515"/>
  <c r="W7" i="515"/>
  <c r="X7" i="515"/>
  <c r="Y4" i="515"/>
  <c r="Y7" i="515"/>
  <c r="Z7" i="515"/>
  <c r="AA7" i="515"/>
  <c r="S8" i="515"/>
  <c r="C8" i="515"/>
  <c r="O8" i="515"/>
  <c r="T8" i="515"/>
  <c r="U8" i="515"/>
  <c r="V8" i="515"/>
  <c r="W8" i="515"/>
  <c r="X8" i="515"/>
  <c r="Y8" i="515"/>
  <c r="Z8" i="515"/>
  <c r="AA8" i="515"/>
  <c r="S9" i="515"/>
  <c r="C9" i="515"/>
  <c r="O9" i="515"/>
  <c r="T9" i="515"/>
  <c r="U9" i="515"/>
  <c r="V9" i="515"/>
  <c r="W9" i="515"/>
  <c r="X9" i="515"/>
  <c r="Y9" i="515"/>
  <c r="Z9" i="515"/>
  <c r="AA9" i="515"/>
  <c r="S10" i="515"/>
  <c r="C10" i="515"/>
  <c r="O10" i="515"/>
  <c r="T10" i="515"/>
  <c r="U10" i="515"/>
  <c r="V10" i="515"/>
  <c r="W10" i="515"/>
  <c r="X10" i="515"/>
  <c r="Y10" i="515"/>
  <c r="Z10" i="515"/>
  <c r="AA10" i="515"/>
  <c r="S11" i="515"/>
  <c r="Y5" i="515"/>
  <c r="C11" i="515"/>
  <c r="O11" i="515"/>
  <c r="T11" i="515"/>
  <c r="U11" i="515"/>
  <c r="V11" i="515"/>
  <c r="W11" i="515"/>
  <c r="X11" i="515"/>
  <c r="Y11" i="515"/>
  <c r="Z11" i="515"/>
  <c r="AA11" i="515"/>
  <c r="S12" i="515"/>
  <c r="C12" i="515"/>
  <c r="O12" i="515"/>
  <c r="T12" i="515"/>
  <c r="U12" i="515"/>
  <c r="V12" i="515"/>
  <c r="W12" i="515"/>
  <c r="X12" i="515"/>
  <c r="Y12" i="515"/>
  <c r="Z12" i="515"/>
  <c r="AA12" i="515"/>
  <c r="S13" i="515"/>
  <c r="C13" i="515"/>
  <c r="O13" i="515"/>
  <c r="T13" i="515"/>
  <c r="U13" i="515"/>
  <c r="V13" i="515"/>
  <c r="W13" i="515"/>
  <c r="X13" i="515"/>
  <c r="Y13" i="515"/>
  <c r="Z13" i="515"/>
  <c r="AA13" i="515"/>
  <c r="S14" i="515"/>
  <c r="U5" i="515"/>
  <c r="C14" i="515"/>
  <c r="O14" i="515"/>
  <c r="T14" i="515"/>
  <c r="U14" i="515"/>
  <c r="V14" i="515"/>
  <c r="W14" i="515"/>
  <c r="X14" i="515"/>
  <c r="Y14" i="515"/>
  <c r="Z14" i="515"/>
  <c r="AA14" i="515"/>
  <c r="S15" i="515"/>
  <c r="C15" i="515"/>
  <c r="O15" i="515"/>
  <c r="T15" i="515"/>
  <c r="U15" i="515"/>
  <c r="V15" i="515"/>
  <c r="W15" i="515"/>
  <c r="X15" i="515"/>
  <c r="Y15" i="515"/>
  <c r="Z15" i="515"/>
  <c r="AA15" i="515"/>
  <c r="S16" i="515"/>
  <c r="C16" i="515"/>
  <c r="O16" i="515"/>
  <c r="T16" i="515"/>
  <c r="U16" i="515"/>
  <c r="V16" i="515"/>
  <c r="W16" i="515"/>
  <c r="X16" i="515"/>
  <c r="Y16" i="515"/>
  <c r="Z16" i="515"/>
  <c r="AA16" i="515"/>
  <c r="S17" i="515"/>
  <c r="C17" i="515"/>
  <c r="O17" i="515"/>
  <c r="T17" i="515"/>
  <c r="U17" i="515"/>
  <c r="V17" i="515"/>
  <c r="W17" i="515"/>
  <c r="X17" i="515"/>
  <c r="Y17" i="515"/>
  <c r="Z17" i="515"/>
  <c r="AA17" i="515"/>
  <c r="S18" i="515"/>
  <c r="C18" i="515"/>
  <c r="O18" i="515"/>
  <c r="T18" i="515"/>
  <c r="U18" i="515"/>
  <c r="V18" i="515"/>
  <c r="W18" i="515"/>
  <c r="X18" i="515"/>
  <c r="Y18" i="515"/>
  <c r="Z18" i="515"/>
  <c r="AA18" i="515"/>
  <c r="S19" i="515"/>
  <c r="C19" i="515"/>
  <c r="O19" i="515"/>
  <c r="T19" i="515"/>
  <c r="U19" i="515"/>
  <c r="V19" i="515"/>
  <c r="W19" i="515"/>
  <c r="X19" i="515"/>
  <c r="Y19" i="515"/>
  <c r="Z19" i="515"/>
  <c r="AA19" i="515"/>
  <c r="S20" i="515"/>
  <c r="C20" i="515"/>
  <c r="O20" i="515"/>
  <c r="T20" i="515"/>
  <c r="U20" i="515"/>
  <c r="V20" i="515"/>
  <c r="W20" i="515"/>
  <c r="X20" i="515"/>
  <c r="Y20" i="515"/>
  <c r="Z20" i="515"/>
  <c r="AA20" i="515"/>
  <c r="S21" i="515"/>
  <c r="C21" i="515"/>
  <c r="O21" i="515"/>
  <c r="T21" i="515"/>
  <c r="U21" i="515"/>
  <c r="V21" i="515"/>
  <c r="W21" i="515"/>
  <c r="X21" i="515"/>
  <c r="Y21" i="515"/>
  <c r="Z21" i="515"/>
  <c r="AA21" i="515"/>
  <c r="S22" i="515"/>
  <c r="T22" i="515"/>
  <c r="C22" i="515"/>
  <c r="U22" i="515"/>
  <c r="V22" i="515"/>
  <c r="W22" i="515"/>
  <c r="X22" i="515"/>
  <c r="Y22" i="515"/>
  <c r="Z22" i="515"/>
  <c r="AA22" i="515"/>
  <c r="S23" i="515"/>
  <c r="C23" i="515"/>
  <c r="O23" i="515"/>
  <c r="T23" i="515"/>
  <c r="U23" i="515"/>
  <c r="V23" i="515"/>
  <c r="W23" i="515"/>
  <c r="X23" i="515"/>
  <c r="Y23" i="515"/>
  <c r="Z23" i="515"/>
  <c r="AA23" i="515"/>
  <c r="S24" i="515"/>
  <c r="C24" i="515"/>
  <c r="O24" i="515"/>
  <c r="T24" i="515"/>
  <c r="U24" i="515"/>
  <c r="V24" i="515"/>
  <c r="W24" i="515"/>
  <c r="X24" i="515"/>
  <c r="Y24" i="515"/>
  <c r="Z24" i="515"/>
  <c r="AA24" i="515"/>
  <c r="S25" i="515"/>
  <c r="C25" i="515"/>
  <c r="O25" i="515"/>
  <c r="T25" i="515"/>
  <c r="U25" i="515"/>
  <c r="V25" i="515"/>
  <c r="W25" i="515"/>
  <c r="X25" i="515"/>
  <c r="Y25" i="515"/>
  <c r="Z25" i="515"/>
  <c r="AA25" i="515"/>
  <c r="S26" i="515"/>
  <c r="T26" i="515"/>
  <c r="C26" i="515"/>
  <c r="U26" i="515"/>
  <c r="V26" i="515"/>
  <c r="W26" i="515"/>
  <c r="X26" i="515"/>
  <c r="Y26" i="515"/>
  <c r="Z26" i="515"/>
  <c r="AA26" i="515"/>
  <c r="S27" i="515"/>
  <c r="C27" i="515"/>
  <c r="O27" i="515"/>
  <c r="T27" i="515"/>
  <c r="U27" i="515"/>
  <c r="V27" i="515"/>
  <c r="W27" i="515"/>
  <c r="X27" i="515"/>
  <c r="Y27" i="515"/>
  <c r="Z27" i="515"/>
  <c r="AA27" i="515"/>
  <c r="S28" i="515"/>
  <c r="C28" i="515"/>
  <c r="O28" i="515"/>
  <c r="T28" i="515"/>
  <c r="U28" i="515"/>
  <c r="V28" i="515"/>
  <c r="W28" i="515"/>
  <c r="X28" i="515"/>
  <c r="Y28" i="515"/>
  <c r="Z28" i="515"/>
  <c r="AA28" i="515"/>
  <c r="S29" i="515"/>
  <c r="C29" i="515"/>
  <c r="O29" i="515"/>
  <c r="T29" i="515"/>
  <c r="U29" i="515"/>
  <c r="V29" i="515"/>
  <c r="W29" i="515"/>
  <c r="X29" i="515"/>
  <c r="Y29" i="515"/>
  <c r="Z29" i="515"/>
  <c r="AA29" i="515"/>
  <c r="S30" i="515"/>
  <c r="C30" i="515"/>
  <c r="O30" i="515"/>
  <c r="T30" i="515"/>
  <c r="U30" i="515"/>
  <c r="V30" i="515"/>
  <c r="W30" i="515"/>
  <c r="X30" i="515"/>
  <c r="Y30" i="515"/>
  <c r="Z30" i="515"/>
  <c r="AA30" i="515"/>
  <c r="S31" i="515"/>
  <c r="C31" i="515"/>
  <c r="O31" i="515"/>
  <c r="T31" i="515"/>
  <c r="U31" i="515"/>
  <c r="V31" i="515"/>
  <c r="W31" i="515"/>
  <c r="X31" i="515"/>
  <c r="Y31" i="515"/>
  <c r="Z31" i="515"/>
  <c r="AA31" i="515"/>
  <c r="S32" i="515"/>
  <c r="C32" i="515"/>
  <c r="O32" i="515"/>
  <c r="T32" i="515"/>
  <c r="U32" i="515"/>
  <c r="V32" i="515"/>
  <c r="W32" i="515"/>
  <c r="X32" i="515"/>
  <c r="Y32" i="515"/>
  <c r="Z32" i="515"/>
  <c r="AA32" i="515"/>
  <c r="S33" i="515"/>
  <c r="C33" i="515"/>
  <c r="O33" i="515"/>
  <c r="T33" i="515"/>
  <c r="U33" i="515"/>
  <c r="V33" i="515"/>
  <c r="W33" i="515"/>
  <c r="X33" i="515"/>
  <c r="Y33" i="515"/>
  <c r="Z33" i="515"/>
  <c r="AA33" i="515"/>
  <c r="S34" i="515"/>
  <c r="C34" i="515"/>
  <c r="O34" i="515"/>
  <c r="T34" i="515"/>
  <c r="U34" i="515"/>
  <c r="V34" i="515"/>
  <c r="W34" i="515"/>
  <c r="X34" i="515"/>
  <c r="Y34" i="515"/>
  <c r="Z34" i="515"/>
  <c r="AA34" i="515"/>
  <c r="S35" i="515"/>
  <c r="C35" i="515"/>
  <c r="O35" i="515"/>
  <c r="T35" i="515"/>
  <c r="U35" i="515"/>
  <c r="V35" i="515"/>
  <c r="W35" i="515"/>
  <c r="X35" i="515"/>
  <c r="Y35" i="515"/>
  <c r="Z35" i="515"/>
  <c r="AA35" i="515"/>
  <c r="S36" i="515"/>
  <c r="T36" i="515"/>
  <c r="C36" i="515"/>
  <c r="U36" i="515"/>
  <c r="V36" i="515"/>
  <c r="W36" i="515"/>
  <c r="X36" i="515"/>
  <c r="Y36" i="515"/>
  <c r="Z36" i="515"/>
  <c r="AA36" i="515"/>
  <c r="S37" i="515"/>
  <c r="T37" i="515"/>
  <c r="C37" i="515"/>
  <c r="U37" i="515"/>
  <c r="V37" i="515"/>
  <c r="W37" i="515"/>
  <c r="X37" i="515"/>
  <c r="Y37" i="515"/>
  <c r="Z37" i="515"/>
  <c r="AA37" i="515"/>
  <c r="S38" i="515"/>
  <c r="C38" i="515"/>
  <c r="O38" i="515"/>
  <c r="T38" i="515"/>
  <c r="U38" i="515"/>
  <c r="V38" i="515"/>
  <c r="W38" i="515"/>
  <c r="X38" i="515"/>
  <c r="Y38" i="515"/>
  <c r="Z38" i="515"/>
  <c r="AA38" i="515"/>
  <c r="S39" i="515"/>
  <c r="C39" i="515"/>
  <c r="O39" i="515"/>
  <c r="T39" i="515"/>
  <c r="U39" i="515"/>
  <c r="V39" i="515"/>
  <c r="W39" i="515"/>
  <c r="X39" i="515"/>
  <c r="Y39" i="515"/>
  <c r="Z39" i="515"/>
  <c r="AA39" i="515"/>
  <c r="S40" i="515"/>
  <c r="C40" i="515"/>
  <c r="O40" i="515"/>
  <c r="T40" i="515"/>
  <c r="U40" i="515"/>
  <c r="V40" i="515"/>
  <c r="W40" i="515"/>
  <c r="X40" i="515"/>
  <c r="Y40" i="515"/>
  <c r="Z40" i="515"/>
  <c r="AA40" i="515"/>
  <c r="S41" i="515"/>
  <c r="C41" i="515"/>
  <c r="O41" i="515"/>
  <c r="T41" i="515"/>
  <c r="U41" i="515"/>
  <c r="V41" i="515"/>
  <c r="W41" i="515"/>
  <c r="X41" i="515"/>
  <c r="Y41" i="515"/>
  <c r="Z41" i="515"/>
  <c r="AA41" i="515"/>
  <c r="S42" i="515"/>
  <c r="C42" i="515"/>
  <c r="O42" i="515"/>
  <c r="T42" i="515"/>
  <c r="U42" i="515"/>
  <c r="V42" i="515"/>
  <c r="W42" i="515"/>
  <c r="X42" i="515"/>
  <c r="Y42" i="515"/>
  <c r="Z42" i="515"/>
  <c r="AA42" i="515"/>
  <c r="S43" i="515"/>
  <c r="C43" i="515"/>
  <c r="O43" i="515"/>
  <c r="T43" i="515"/>
  <c r="U43" i="515"/>
  <c r="V43" i="515"/>
  <c r="W43" i="515"/>
  <c r="X43" i="515"/>
  <c r="Y43" i="515"/>
  <c r="Z43" i="515"/>
  <c r="AA43" i="515"/>
  <c r="S44" i="515"/>
  <c r="O44" i="515"/>
  <c r="T44" i="515"/>
  <c r="U44" i="515"/>
  <c r="V44" i="515"/>
  <c r="W44" i="515"/>
  <c r="X44" i="515"/>
  <c r="Y44" i="515"/>
  <c r="Z44" i="515"/>
  <c r="AA44" i="515"/>
  <c r="S45" i="515"/>
  <c r="T45" i="515"/>
  <c r="U45" i="515"/>
  <c r="V45" i="515"/>
  <c r="W45" i="515"/>
  <c r="X45" i="515"/>
  <c r="Y45" i="515"/>
  <c r="Z45" i="515"/>
  <c r="AA45" i="515"/>
  <c r="C53" i="515"/>
  <c r="O53" i="515"/>
  <c r="O56" i="515"/>
  <c r="S57" i="515"/>
  <c r="O57" i="515"/>
  <c r="T57" i="515"/>
  <c r="U57" i="515"/>
  <c r="V57" i="515"/>
  <c r="W57" i="515"/>
  <c r="X57" i="515"/>
  <c r="Y57" i="515"/>
  <c r="Z57" i="515"/>
  <c r="AA57" i="515"/>
  <c r="S58" i="515"/>
  <c r="C58" i="515"/>
  <c r="O58" i="515"/>
  <c r="T58" i="515"/>
  <c r="U58" i="515"/>
  <c r="V58" i="515"/>
  <c r="W58" i="515"/>
  <c r="X58" i="515"/>
  <c r="Y58" i="515"/>
  <c r="Z58" i="515"/>
  <c r="AA58" i="515"/>
  <c r="S59" i="515"/>
  <c r="C59" i="515"/>
  <c r="O59" i="515"/>
  <c r="T59" i="515"/>
  <c r="U59" i="515"/>
  <c r="V59" i="515"/>
  <c r="W59" i="515"/>
  <c r="X59" i="515"/>
  <c r="Y59" i="515"/>
  <c r="Z59" i="515"/>
  <c r="AA59" i="515"/>
  <c r="S60" i="515"/>
  <c r="C60" i="515"/>
  <c r="O60" i="515"/>
  <c r="T60" i="515"/>
  <c r="U60" i="515"/>
  <c r="V60" i="515"/>
  <c r="W60" i="515"/>
  <c r="X60" i="515"/>
  <c r="Y60" i="515"/>
  <c r="Z60" i="515"/>
  <c r="AA60" i="515"/>
  <c r="S61" i="515"/>
  <c r="C61" i="515"/>
  <c r="O61" i="515"/>
  <c r="T61" i="515"/>
  <c r="U61" i="515"/>
  <c r="V61" i="515"/>
  <c r="W61" i="515"/>
  <c r="X61" i="515"/>
  <c r="Y61" i="515"/>
  <c r="Z61" i="515"/>
  <c r="AA61" i="515"/>
  <c r="S62" i="515"/>
  <c r="C62" i="515"/>
  <c r="O62" i="515"/>
  <c r="T62" i="515"/>
  <c r="U62" i="515"/>
  <c r="V62" i="515"/>
  <c r="W62" i="515"/>
  <c r="X62" i="515"/>
  <c r="Y62" i="515"/>
  <c r="Z62" i="515"/>
  <c r="AA62" i="515"/>
  <c r="S63" i="515"/>
  <c r="C63" i="515"/>
  <c r="O63" i="515"/>
  <c r="T63" i="515"/>
  <c r="U63" i="515"/>
  <c r="V63" i="515"/>
  <c r="W63" i="515"/>
  <c r="X63" i="515"/>
  <c r="Y63" i="515"/>
  <c r="Z63" i="515"/>
  <c r="AA63" i="515"/>
  <c r="S64" i="515"/>
  <c r="C64" i="515"/>
  <c r="O64" i="515"/>
  <c r="T64" i="515"/>
  <c r="U64" i="515"/>
  <c r="V64" i="515"/>
  <c r="W64" i="515"/>
  <c r="X64" i="515"/>
  <c r="Y64" i="515"/>
  <c r="Z64" i="515"/>
  <c r="AA64" i="515"/>
  <c r="S65" i="515"/>
  <c r="O65" i="515"/>
  <c r="T65" i="515"/>
  <c r="U65" i="515"/>
  <c r="V65" i="515"/>
  <c r="W65" i="515"/>
  <c r="X65" i="515"/>
  <c r="Y65" i="515"/>
  <c r="Z65" i="515"/>
  <c r="AA65" i="515"/>
  <c r="S66" i="515"/>
  <c r="T66" i="515"/>
  <c r="U66" i="515"/>
  <c r="V66" i="515"/>
  <c r="W66" i="515"/>
  <c r="Y66" i="515"/>
  <c r="Z66" i="515"/>
  <c r="AA66" i="515"/>
  <c r="S67" i="515"/>
  <c r="T67" i="515"/>
  <c r="U67" i="515"/>
  <c r="V67" i="515"/>
  <c r="W67" i="515"/>
  <c r="X67" i="515"/>
  <c r="Y67" i="515"/>
  <c r="Z67" i="515"/>
  <c r="AA67" i="515"/>
  <c r="S68" i="515"/>
  <c r="C68" i="515"/>
  <c r="O68" i="515"/>
  <c r="T68" i="515"/>
  <c r="U68" i="515"/>
  <c r="V68" i="515"/>
  <c r="X68" i="515"/>
  <c r="Y68" i="515"/>
  <c r="Z68" i="515"/>
  <c r="AA68" i="515"/>
  <c r="S69" i="515"/>
  <c r="T69" i="515"/>
  <c r="C69" i="515"/>
  <c r="U69" i="515"/>
  <c r="V69" i="515"/>
  <c r="W69" i="515"/>
  <c r="X69" i="515"/>
  <c r="Y69" i="515"/>
  <c r="Z69" i="515"/>
  <c r="S70" i="515"/>
  <c r="T70" i="515"/>
  <c r="C70" i="515"/>
  <c r="U70" i="515"/>
  <c r="V70" i="515"/>
  <c r="W70" i="515"/>
  <c r="X70" i="515"/>
  <c r="Y70" i="515"/>
  <c r="Z70" i="515"/>
  <c r="S71" i="515"/>
  <c r="T71" i="515"/>
  <c r="C71" i="515"/>
  <c r="U71" i="515"/>
  <c r="V71" i="515"/>
  <c r="W71" i="515"/>
  <c r="X71" i="515"/>
  <c r="Y71" i="515"/>
  <c r="Z71" i="515"/>
  <c r="S72" i="515"/>
  <c r="T72" i="515"/>
  <c r="C72" i="515"/>
  <c r="U72" i="515"/>
  <c r="V72" i="515"/>
  <c r="W72" i="515"/>
  <c r="X72" i="515"/>
  <c r="Y72" i="515"/>
  <c r="Z72" i="515"/>
  <c r="AA98" i="515"/>
  <c r="AA100" i="515"/>
  <c r="Z98" i="515"/>
  <c r="Z100" i="515"/>
  <c r="Y98" i="515"/>
  <c r="Y100" i="515"/>
  <c r="X98" i="515"/>
  <c r="X100" i="515"/>
  <c r="W98" i="515"/>
  <c r="W100" i="515"/>
  <c r="V98" i="515"/>
  <c r="V100" i="515"/>
  <c r="U98" i="515"/>
  <c r="U100" i="515"/>
  <c r="C6" i="515"/>
  <c r="AA6" i="515"/>
  <c r="AA73" i="515"/>
  <c r="S6" i="515"/>
  <c r="U6" i="515"/>
  <c r="U73" i="515"/>
  <c r="V6" i="515"/>
  <c r="V73" i="515"/>
  <c r="W6" i="515"/>
  <c r="W73" i="515"/>
  <c r="X6" i="515"/>
  <c r="X73" i="515"/>
  <c r="Y6" i="515"/>
  <c r="Y73" i="515"/>
  <c r="Z6" i="515"/>
  <c r="Z73" i="515"/>
  <c r="AB73" i="515"/>
  <c r="Q74" i="515"/>
  <c r="K74" i="515"/>
  <c r="K75" i="515"/>
  <c r="J74" i="515"/>
  <c r="J75" i="515"/>
  <c r="I74" i="515"/>
  <c r="I75" i="515"/>
  <c r="H74" i="515"/>
  <c r="H75" i="515"/>
  <c r="G74" i="515"/>
  <c r="G75" i="515"/>
  <c r="F74" i="515"/>
  <c r="F75" i="515"/>
  <c r="E74" i="515"/>
  <c r="E75" i="515"/>
  <c r="N73" i="515"/>
  <c r="P60" i="515"/>
  <c r="N60" i="515"/>
  <c r="L61" i="515"/>
  <c r="P61" i="515"/>
  <c r="N61" i="515"/>
  <c r="L62" i="515"/>
  <c r="P62" i="515"/>
  <c r="N62" i="515"/>
  <c r="L63" i="515"/>
  <c r="P63" i="515"/>
  <c r="N63" i="515"/>
  <c r="L64" i="515"/>
  <c r="P64" i="515"/>
  <c r="N64" i="515"/>
  <c r="L65" i="515"/>
  <c r="L73" i="515"/>
  <c r="P68" i="515"/>
  <c r="N68" i="515"/>
  <c r="R61" i="515"/>
  <c r="R62" i="515"/>
  <c r="R63" i="515"/>
  <c r="R64" i="515"/>
  <c r="R60" i="515"/>
  <c r="R65" i="515"/>
  <c r="R66" i="515"/>
  <c r="N66" i="515"/>
  <c r="L66" i="515"/>
  <c r="R56" i="515"/>
  <c r="R57" i="515"/>
  <c r="R58" i="515"/>
  <c r="P53" i="515"/>
  <c r="N53" i="515"/>
  <c r="L56" i="515"/>
  <c r="P56" i="515"/>
  <c r="N56" i="515"/>
  <c r="L57" i="515"/>
  <c r="P57" i="515"/>
  <c r="N57" i="515"/>
  <c r="L58" i="515"/>
  <c r="P58" i="515"/>
  <c r="N58" i="515"/>
  <c r="L59" i="515"/>
  <c r="R53" i="515"/>
  <c r="R37" i="515"/>
  <c r="R38" i="515"/>
  <c r="R39" i="515"/>
  <c r="R40" i="515"/>
  <c r="R41" i="515"/>
  <c r="R42" i="515"/>
  <c r="R43" i="515"/>
  <c r="R44" i="515"/>
  <c r="R45" i="515"/>
  <c r="L38" i="515"/>
  <c r="P38" i="515"/>
  <c r="N38" i="515"/>
  <c r="L39" i="515"/>
  <c r="P39" i="515"/>
  <c r="N39" i="515"/>
  <c r="L40" i="515"/>
  <c r="P40" i="515"/>
  <c r="N40" i="515"/>
  <c r="L41" i="515"/>
  <c r="P41" i="515"/>
  <c r="N41" i="515"/>
  <c r="L42" i="515"/>
  <c r="P42" i="515"/>
  <c r="N42" i="515"/>
  <c r="L43" i="515"/>
  <c r="P43" i="515"/>
  <c r="N43" i="515"/>
  <c r="L44" i="515"/>
  <c r="P44" i="515"/>
  <c r="N44" i="515"/>
  <c r="L45" i="515"/>
  <c r="R31" i="515"/>
  <c r="R32" i="515"/>
  <c r="R33" i="515"/>
  <c r="R34" i="515"/>
  <c r="R35" i="515"/>
  <c r="R36" i="515"/>
  <c r="P31" i="515"/>
  <c r="N31" i="515"/>
  <c r="L32" i="515"/>
  <c r="P32" i="515"/>
  <c r="N32" i="515"/>
  <c r="L34" i="515"/>
  <c r="P34" i="515"/>
  <c r="N34" i="515"/>
  <c r="L35" i="515"/>
  <c r="P35" i="515"/>
  <c r="N35" i="515"/>
  <c r="L36" i="515"/>
  <c r="P33" i="515"/>
  <c r="N33" i="515"/>
  <c r="L33" i="515"/>
  <c r="R23" i="515"/>
  <c r="R24" i="515"/>
  <c r="R25" i="515"/>
  <c r="R27" i="515"/>
  <c r="R28" i="515"/>
  <c r="R29" i="515"/>
  <c r="R30" i="515"/>
  <c r="P29" i="515"/>
  <c r="N29" i="515"/>
  <c r="P23" i="515"/>
  <c r="N23" i="515"/>
  <c r="L24" i="515"/>
  <c r="P24" i="515"/>
  <c r="N24" i="515"/>
  <c r="L25" i="515"/>
  <c r="P25" i="515"/>
  <c r="N25" i="515"/>
  <c r="L26" i="515"/>
  <c r="L27" i="515"/>
  <c r="P28" i="515"/>
  <c r="N28" i="515"/>
  <c r="L28" i="515"/>
  <c r="L29" i="515"/>
  <c r="P27" i="515"/>
  <c r="N27" i="515"/>
  <c r="R14" i="515"/>
  <c r="R15" i="515"/>
  <c r="R16" i="515"/>
  <c r="R17" i="515"/>
  <c r="R18" i="515"/>
  <c r="R19" i="515"/>
  <c r="R20" i="515"/>
  <c r="R21" i="515"/>
  <c r="R22" i="515"/>
  <c r="P14" i="515"/>
  <c r="N14" i="515"/>
  <c r="L16" i="515"/>
  <c r="P16" i="515"/>
  <c r="N16" i="515"/>
  <c r="L17" i="515"/>
  <c r="P17" i="515"/>
  <c r="N17" i="515"/>
  <c r="L18" i="515"/>
  <c r="P18" i="515"/>
  <c r="N18" i="515"/>
  <c r="L19" i="515"/>
  <c r="P19" i="515"/>
  <c r="N19" i="515"/>
  <c r="L20" i="515"/>
  <c r="P20" i="515"/>
  <c r="N20" i="515"/>
  <c r="L21" i="515"/>
  <c r="P21" i="515"/>
  <c r="N21" i="515"/>
  <c r="L22" i="515"/>
  <c r="P15" i="515"/>
  <c r="N15" i="515"/>
  <c r="L15" i="515"/>
  <c r="R6" i="515"/>
  <c r="R7" i="515"/>
  <c r="R8" i="515"/>
  <c r="R9" i="515"/>
  <c r="R10" i="515"/>
  <c r="R11" i="515"/>
  <c r="R12" i="515"/>
  <c r="R13" i="515"/>
  <c r="O6" i="515"/>
  <c r="P6" i="515"/>
  <c r="N6" i="515"/>
  <c r="L8" i="515"/>
  <c r="P8" i="515"/>
  <c r="N8" i="515"/>
  <c r="L9" i="515"/>
  <c r="P9" i="515"/>
  <c r="N9" i="515"/>
  <c r="L10" i="515"/>
  <c r="P10" i="515"/>
  <c r="N10" i="515"/>
  <c r="L12" i="515"/>
  <c r="P12" i="515"/>
  <c r="N12" i="515"/>
  <c r="L13" i="515"/>
  <c r="P11" i="515"/>
  <c r="N11" i="515"/>
  <c r="L11" i="515"/>
  <c r="P7" i="515"/>
  <c r="N7" i="515"/>
  <c r="L7" i="515"/>
  <c r="T6" i="515"/>
  <c r="S38" i="514"/>
  <c r="T38" i="514"/>
  <c r="U38" i="514"/>
  <c r="V38" i="514"/>
  <c r="W38" i="514"/>
  <c r="X38" i="514"/>
  <c r="Y38" i="514"/>
  <c r="Z38" i="514"/>
  <c r="AA38" i="514"/>
  <c r="S39" i="514"/>
  <c r="T39" i="514"/>
  <c r="U39" i="514"/>
  <c r="V39" i="514"/>
  <c r="W39" i="514"/>
  <c r="X39" i="514"/>
  <c r="Y39" i="514"/>
  <c r="Z39" i="514"/>
  <c r="AA39" i="514"/>
  <c r="S40" i="514"/>
  <c r="T40" i="514"/>
  <c r="U40" i="514"/>
  <c r="V40" i="514"/>
  <c r="W40" i="514"/>
  <c r="X40" i="514"/>
  <c r="Y40" i="514"/>
  <c r="Z40" i="514"/>
  <c r="AA40" i="514"/>
  <c r="S41" i="514"/>
  <c r="T41" i="514"/>
  <c r="U41" i="514"/>
  <c r="V41" i="514"/>
  <c r="W41" i="514"/>
  <c r="X41" i="514"/>
  <c r="Y41" i="514"/>
  <c r="Z41" i="514"/>
  <c r="AA41" i="514"/>
  <c r="S42" i="514"/>
  <c r="T42" i="514"/>
  <c r="U42" i="514"/>
  <c r="V42" i="514"/>
  <c r="W42" i="514"/>
  <c r="X42" i="514"/>
  <c r="Y42" i="514"/>
  <c r="Z42" i="514"/>
  <c r="AA42" i="514"/>
  <c r="S43" i="514"/>
  <c r="T43" i="514"/>
  <c r="U43" i="514"/>
  <c r="V43" i="514"/>
  <c r="W43" i="514"/>
  <c r="X43" i="514"/>
  <c r="Y43" i="514"/>
  <c r="Z43" i="514"/>
  <c r="AA43" i="514"/>
  <c r="S44" i="514"/>
  <c r="T44" i="514"/>
  <c r="U44" i="514"/>
  <c r="V44" i="514"/>
  <c r="W44" i="514"/>
  <c r="X44" i="514"/>
  <c r="Y44" i="514"/>
  <c r="Z44" i="514"/>
  <c r="AA44" i="514"/>
  <c r="S45" i="514"/>
  <c r="T45" i="514"/>
  <c r="U45" i="514"/>
  <c r="V45" i="514"/>
  <c r="W45" i="514"/>
  <c r="X45" i="514"/>
  <c r="Y45" i="514"/>
  <c r="Z45" i="514"/>
  <c r="AA45" i="514"/>
  <c r="S46" i="514"/>
  <c r="T46" i="514"/>
  <c r="U46" i="514"/>
  <c r="V46" i="514"/>
  <c r="W46" i="514"/>
  <c r="X46" i="514"/>
  <c r="Y46" i="514"/>
  <c r="Z46" i="514"/>
  <c r="AA46" i="514"/>
  <c r="S47" i="514"/>
  <c r="T47" i="514"/>
  <c r="U47" i="514"/>
  <c r="V47" i="514"/>
  <c r="W47" i="514"/>
  <c r="X47" i="514"/>
  <c r="Y47" i="514"/>
  <c r="Z47" i="514"/>
  <c r="AA47" i="514"/>
  <c r="S48" i="514"/>
  <c r="T48" i="514"/>
  <c r="U48" i="514"/>
  <c r="V48" i="514"/>
  <c r="W48" i="514"/>
  <c r="X48" i="514"/>
  <c r="Y48" i="514"/>
  <c r="Z48" i="514"/>
  <c r="AA48" i="514"/>
  <c r="S49" i="514"/>
  <c r="T49" i="514"/>
  <c r="U49" i="514"/>
  <c r="V49" i="514"/>
  <c r="W49" i="514"/>
  <c r="X49" i="514"/>
  <c r="Y49" i="514"/>
  <c r="Z49" i="514"/>
  <c r="AA49" i="514"/>
  <c r="S50" i="514"/>
  <c r="T50" i="514"/>
  <c r="U50" i="514"/>
  <c r="V50" i="514"/>
  <c r="W50" i="514"/>
  <c r="X50" i="514"/>
  <c r="Y50" i="514"/>
  <c r="Z50" i="514"/>
  <c r="AA50" i="514"/>
  <c r="S51" i="514"/>
  <c r="T51" i="514"/>
  <c r="U51" i="514"/>
  <c r="V51" i="514"/>
  <c r="W51" i="514"/>
  <c r="X51" i="514"/>
  <c r="Y51" i="514"/>
  <c r="Z51" i="514"/>
  <c r="AA51" i="514"/>
  <c r="S52" i="514"/>
  <c r="T52" i="514"/>
  <c r="U52" i="514"/>
  <c r="V52" i="514"/>
  <c r="W52" i="514"/>
  <c r="X52" i="514"/>
  <c r="Y52" i="514"/>
  <c r="Z52" i="514"/>
  <c r="AA52" i="514"/>
  <c r="S53" i="514"/>
  <c r="T53" i="514"/>
  <c r="U53" i="514"/>
  <c r="V53" i="514"/>
  <c r="W53" i="514"/>
  <c r="X53" i="514"/>
  <c r="Y53" i="514"/>
  <c r="Z53" i="514"/>
  <c r="AA53" i="514"/>
  <c r="S54" i="514"/>
  <c r="T54" i="514"/>
  <c r="U54" i="514"/>
  <c r="V54" i="514"/>
  <c r="W54" i="514"/>
  <c r="X54" i="514"/>
  <c r="Y54" i="514"/>
  <c r="Z54" i="514"/>
  <c r="AA54" i="514"/>
  <c r="C45" i="514"/>
  <c r="R45" i="514"/>
  <c r="O45" i="514"/>
  <c r="P45" i="514"/>
  <c r="N45" i="514"/>
  <c r="N43" i="514"/>
  <c r="L44" i="514"/>
  <c r="L45" i="514"/>
  <c r="R43" i="514"/>
  <c r="R47" i="514"/>
  <c r="O47" i="514"/>
  <c r="L46" i="514"/>
  <c r="C46" i="514"/>
  <c r="O46" i="514"/>
  <c r="P46" i="514"/>
  <c r="N46" i="514"/>
  <c r="L47" i="514"/>
  <c r="R46" i="514"/>
  <c r="R41" i="514"/>
  <c r="R42" i="514"/>
  <c r="C41" i="514"/>
  <c r="O41" i="514"/>
  <c r="P41" i="514"/>
  <c r="N41" i="514"/>
  <c r="L42" i="514"/>
  <c r="C42" i="514"/>
  <c r="O42" i="514"/>
  <c r="P42" i="514"/>
  <c r="N42" i="514"/>
  <c r="L43" i="514"/>
  <c r="C44" i="514"/>
  <c r="O44" i="514"/>
  <c r="P44" i="514"/>
  <c r="N44" i="514"/>
  <c r="R44" i="514"/>
  <c r="C43" i="514"/>
  <c r="O43" i="514"/>
  <c r="P43" i="514"/>
  <c r="R29" i="514"/>
  <c r="R30" i="514"/>
  <c r="R31" i="514"/>
  <c r="R32" i="514"/>
  <c r="R33" i="514"/>
  <c r="R34" i="514"/>
  <c r="R35" i="514"/>
  <c r="R36" i="514"/>
  <c r="R37" i="514"/>
  <c r="R38" i="514"/>
  <c r="R39" i="514"/>
  <c r="R40" i="514"/>
  <c r="R19" i="514"/>
  <c r="R18" i="514"/>
  <c r="R16" i="514"/>
  <c r="R17" i="514"/>
  <c r="R21" i="514"/>
  <c r="R10" i="514"/>
  <c r="R12" i="514"/>
  <c r="R11" i="514"/>
  <c r="R13" i="514"/>
  <c r="R14" i="514"/>
  <c r="R15" i="514"/>
  <c r="AA73" i="514"/>
  <c r="Z73" i="514"/>
  <c r="Y73" i="514"/>
  <c r="X73" i="514"/>
  <c r="W73" i="514"/>
  <c r="V73" i="514"/>
  <c r="U73" i="514"/>
  <c r="U3" i="514"/>
  <c r="U4" i="514"/>
  <c r="C5" i="514"/>
  <c r="AA3" i="514"/>
  <c r="Z3" i="514"/>
  <c r="AA5" i="514"/>
  <c r="AA4" i="514"/>
  <c r="C6" i="514"/>
  <c r="S6" i="514"/>
  <c r="AA6" i="514"/>
  <c r="V3" i="514"/>
  <c r="V4" i="514"/>
  <c r="C7" i="514"/>
  <c r="AA7" i="514"/>
  <c r="C8" i="514"/>
  <c r="S8" i="514"/>
  <c r="AA8" i="514"/>
  <c r="AA9" i="514"/>
  <c r="C10" i="514"/>
  <c r="AA10" i="514"/>
  <c r="Z4" i="514"/>
  <c r="C11" i="514"/>
  <c r="AA11" i="514"/>
  <c r="C12" i="514"/>
  <c r="AA12" i="514"/>
  <c r="C13" i="514"/>
  <c r="AA13" i="514"/>
  <c r="W3" i="514"/>
  <c r="W4" i="514"/>
  <c r="C14" i="514"/>
  <c r="AA14" i="514"/>
  <c r="AA15" i="514"/>
  <c r="C16" i="514"/>
  <c r="AA16" i="514"/>
  <c r="C17" i="514"/>
  <c r="AA17" i="514"/>
  <c r="Y3" i="514"/>
  <c r="Y4" i="514"/>
  <c r="C18" i="514"/>
  <c r="AA18" i="514"/>
  <c r="X3" i="514"/>
  <c r="X4" i="514"/>
  <c r="C19" i="514"/>
  <c r="AA19" i="514"/>
  <c r="C20" i="514"/>
  <c r="AA20" i="514"/>
  <c r="C21" i="514"/>
  <c r="AA21" i="514"/>
  <c r="C22" i="514"/>
  <c r="AA22" i="514"/>
  <c r="C23" i="514"/>
  <c r="AA23" i="514"/>
  <c r="C24" i="514"/>
  <c r="AA24" i="514"/>
  <c r="C25" i="514"/>
  <c r="AA25" i="514"/>
  <c r="AA26" i="514"/>
  <c r="C27" i="514"/>
  <c r="S27" i="514"/>
  <c r="AA27" i="514"/>
  <c r="C28" i="514"/>
  <c r="AA28" i="514"/>
  <c r="C29" i="514"/>
  <c r="AA29" i="514"/>
  <c r="C30" i="514"/>
  <c r="AA30" i="514"/>
  <c r="C31" i="514"/>
  <c r="AA31" i="514"/>
  <c r="C32" i="514"/>
  <c r="AA32" i="514"/>
  <c r="C33" i="514"/>
  <c r="AA33" i="514"/>
  <c r="C34" i="514"/>
  <c r="AA34" i="514"/>
  <c r="C35" i="514"/>
  <c r="AA35" i="514"/>
  <c r="C36" i="514"/>
  <c r="AA36" i="514"/>
  <c r="C37" i="514"/>
  <c r="AA37" i="514"/>
  <c r="C38" i="514"/>
  <c r="C48" i="514"/>
  <c r="C49" i="514"/>
  <c r="C50" i="514"/>
  <c r="C51" i="514"/>
  <c r="C52" i="514"/>
  <c r="C53" i="514"/>
  <c r="C54" i="514"/>
  <c r="C55" i="514"/>
  <c r="AA55" i="514"/>
  <c r="C56" i="514"/>
  <c r="S56" i="514"/>
  <c r="AA56" i="514"/>
  <c r="C57" i="514"/>
  <c r="AA57" i="514"/>
  <c r="C58" i="514"/>
  <c r="AA58" i="514"/>
  <c r="C59" i="514"/>
  <c r="AA59" i="514"/>
  <c r="C60" i="514"/>
  <c r="S60" i="514"/>
  <c r="AA60" i="514"/>
  <c r="AA61" i="514"/>
  <c r="AA62" i="514"/>
  <c r="C63" i="514"/>
  <c r="AA63" i="514"/>
  <c r="C64" i="514"/>
  <c r="AA64" i="514"/>
  <c r="C65" i="514"/>
  <c r="AA65" i="514"/>
  <c r="AA66" i="514"/>
  <c r="C67" i="514"/>
  <c r="AA67" i="514"/>
  <c r="AA68" i="514"/>
  <c r="C69" i="514"/>
  <c r="AA69" i="514"/>
  <c r="C70" i="514"/>
  <c r="AA70" i="514"/>
  <c r="AA71" i="514"/>
  <c r="S5" i="514"/>
  <c r="U5" i="514"/>
  <c r="U6" i="514"/>
  <c r="U7" i="514"/>
  <c r="U8" i="514"/>
  <c r="U9" i="514"/>
  <c r="S10" i="514"/>
  <c r="U10" i="514"/>
  <c r="U11" i="514"/>
  <c r="U12" i="514"/>
  <c r="U13" i="514"/>
  <c r="U14" i="514"/>
  <c r="U15" i="514"/>
  <c r="S16" i="514"/>
  <c r="U16" i="514"/>
  <c r="U17" i="514"/>
  <c r="U18" i="514"/>
  <c r="U19" i="514"/>
  <c r="U20" i="514"/>
  <c r="U21" i="514"/>
  <c r="S22" i="514"/>
  <c r="U22" i="514"/>
  <c r="U23" i="514"/>
  <c r="U24" i="514"/>
  <c r="U25" i="514"/>
  <c r="S26" i="514"/>
  <c r="U26" i="514"/>
  <c r="U27" i="514"/>
  <c r="U28" i="514"/>
  <c r="U29" i="514"/>
  <c r="U30" i="514"/>
  <c r="U31" i="514"/>
  <c r="U32" i="514"/>
  <c r="U33" i="514"/>
  <c r="U34" i="514"/>
  <c r="U35" i="514"/>
  <c r="U36" i="514"/>
  <c r="U37" i="514"/>
  <c r="S55" i="514"/>
  <c r="U55" i="514"/>
  <c r="U56" i="514"/>
  <c r="U57" i="514"/>
  <c r="U58" i="514"/>
  <c r="U59" i="514"/>
  <c r="U60" i="514"/>
  <c r="U61" i="514"/>
  <c r="U62" i="514"/>
  <c r="U63" i="514"/>
  <c r="U64" i="514"/>
  <c r="U65" i="514"/>
  <c r="U66" i="514"/>
  <c r="U67" i="514"/>
  <c r="U68" i="514"/>
  <c r="U69" i="514"/>
  <c r="U70" i="514"/>
  <c r="U71" i="514"/>
  <c r="V5" i="514"/>
  <c r="V6" i="514"/>
  <c r="S7" i="514"/>
  <c r="V7" i="514"/>
  <c r="V8" i="514"/>
  <c r="V9" i="514"/>
  <c r="V10" i="514"/>
  <c r="V11" i="514"/>
  <c r="S12" i="514"/>
  <c r="V12" i="514"/>
  <c r="V13" i="514"/>
  <c r="V14" i="514"/>
  <c r="V15" i="514"/>
  <c r="V16" i="514"/>
  <c r="V17" i="514"/>
  <c r="V18" i="514"/>
  <c r="V19" i="514"/>
  <c r="V20" i="514"/>
  <c r="V21" i="514"/>
  <c r="V22" i="514"/>
  <c r="V23" i="514"/>
  <c r="S24" i="514"/>
  <c r="V24" i="514"/>
  <c r="V25" i="514"/>
  <c r="V26" i="514"/>
  <c r="V27" i="514"/>
  <c r="V28" i="514"/>
  <c r="S29" i="514"/>
  <c r="V29" i="514"/>
  <c r="V30" i="514"/>
  <c r="S31" i="514"/>
  <c r="V31" i="514"/>
  <c r="V32" i="514"/>
  <c r="S33" i="514"/>
  <c r="V33" i="514"/>
  <c r="V34" i="514"/>
  <c r="S35" i="514"/>
  <c r="V35" i="514"/>
  <c r="V36" i="514"/>
  <c r="S37" i="514"/>
  <c r="V37" i="514"/>
  <c r="V55" i="514"/>
  <c r="V56" i="514"/>
  <c r="V57" i="514"/>
  <c r="V58" i="514"/>
  <c r="V59" i="514"/>
  <c r="V60" i="514"/>
  <c r="V61" i="514"/>
  <c r="V62" i="514"/>
  <c r="V63" i="514"/>
  <c r="V64" i="514"/>
  <c r="V65" i="514"/>
  <c r="V66" i="514"/>
  <c r="V67" i="514"/>
  <c r="V68" i="514"/>
  <c r="V69" i="514"/>
  <c r="V70" i="514"/>
  <c r="V71" i="514"/>
  <c r="W5" i="514"/>
  <c r="W6" i="514"/>
  <c r="W7" i="514"/>
  <c r="W8" i="514"/>
  <c r="W9" i="514"/>
  <c r="W10" i="514"/>
  <c r="W11" i="514"/>
  <c r="W12" i="514"/>
  <c r="W13" i="514"/>
  <c r="S14" i="514"/>
  <c r="W14" i="514"/>
  <c r="W15" i="514"/>
  <c r="W16" i="514"/>
  <c r="S17" i="514"/>
  <c r="W17" i="514"/>
  <c r="W18" i="514"/>
  <c r="S19" i="514"/>
  <c r="W19" i="514"/>
  <c r="S20" i="514"/>
  <c r="W20" i="514"/>
  <c r="W21" i="514"/>
  <c r="W22" i="514"/>
  <c r="W23" i="514"/>
  <c r="W24" i="514"/>
  <c r="W25" i="514"/>
  <c r="W26" i="514"/>
  <c r="W27" i="514"/>
  <c r="W28" i="514"/>
  <c r="W29" i="514"/>
  <c r="W30" i="514"/>
  <c r="W31" i="514"/>
  <c r="W32" i="514"/>
  <c r="W33" i="514"/>
  <c r="W34" i="514"/>
  <c r="W35" i="514"/>
  <c r="W36" i="514"/>
  <c r="W37" i="514"/>
  <c r="W55" i="514"/>
  <c r="W56" i="514"/>
  <c r="S57" i="514"/>
  <c r="W57" i="514"/>
  <c r="W58" i="514"/>
  <c r="S59" i="514"/>
  <c r="W59" i="514"/>
  <c r="W60" i="514"/>
  <c r="W61" i="514"/>
  <c r="W62" i="514"/>
  <c r="W63" i="514"/>
  <c r="W64" i="514"/>
  <c r="W65" i="514"/>
  <c r="W66" i="514"/>
  <c r="W67" i="514"/>
  <c r="W68" i="514"/>
  <c r="W69" i="514"/>
  <c r="W70" i="514"/>
  <c r="W71" i="514"/>
  <c r="X5" i="514"/>
  <c r="X6" i="514"/>
  <c r="X7" i="514"/>
  <c r="X8" i="514"/>
  <c r="X9" i="514"/>
  <c r="X10" i="514"/>
  <c r="X11" i="514"/>
  <c r="X12" i="514"/>
  <c r="X13" i="514"/>
  <c r="X14" i="514"/>
  <c r="X15" i="514"/>
  <c r="X16" i="514"/>
  <c r="X17" i="514"/>
  <c r="X18" i="514"/>
  <c r="X19" i="514"/>
  <c r="X20" i="514"/>
  <c r="X21" i="514"/>
  <c r="X22" i="514"/>
  <c r="X23" i="514"/>
  <c r="X24" i="514"/>
  <c r="X25" i="514"/>
  <c r="X26" i="514"/>
  <c r="X27" i="514"/>
  <c r="X28" i="514"/>
  <c r="X29" i="514"/>
  <c r="S30" i="514"/>
  <c r="X30" i="514"/>
  <c r="X31" i="514"/>
  <c r="X32" i="514"/>
  <c r="X33" i="514"/>
  <c r="X34" i="514"/>
  <c r="X35" i="514"/>
  <c r="X36" i="514"/>
  <c r="X37" i="514"/>
  <c r="X55" i="514"/>
  <c r="X56" i="514"/>
  <c r="X57" i="514"/>
  <c r="X58" i="514"/>
  <c r="X59" i="514"/>
  <c r="X60" i="514"/>
  <c r="X61" i="514"/>
  <c r="X62" i="514"/>
  <c r="S63" i="514"/>
  <c r="X63" i="514"/>
  <c r="S64" i="514"/>
  <c r="X64" i="514"/>
  <c r="S65" i="514"/>
  <c r="X65" i="514"/>
  <c r="X66" i="514"/>
  <c r="S67" i="514"/>
  <c r="X67" i="514"/>
  <c r="X68" i="514"/>
  <c r="S69" i="514"/>
  <c r="X69" i="514"/>
  <c r="S70" i="514"/>
  <c r="X70" i="514"/>
  <c r="X71" i="514"/>
  <c r="Y5" i="514"/>
  <c r="Y6" i="514"/>
  <c r="Y7" i="514"/>
  <c r="Y8" i="514"/>
  <c r="Y9" i="514"/>
  <c r="Y10" i="514"/>
  <c r="Y11" i="514"/>
  <c r="Y12" i="514"/>
  <c r="Y13" i="514"/>
  <c r="Y14" i="514"/>
  <c r="Y15" i="514"/>
  <c r="Y16" i="514"/>
  <c r="Y17" i="514"/>
  <c r="S18" i="514"/>
  <c r="Y18" i="514"/>
  <c r="Y19" i="514"/>
  <c r="Y20" i="514"/>
  <c r="Y21" i="514"/>
  <c r="Y22" i="514"/>
  <c r="S23" i="514"/>
  <c r="Y23" i="514"/>
  <c r="Y24" i="514"/>
  <c r="S25" i="514"/>
  <c r="Y25" i="514"/>
  <c r="Y26" i="514"/>
  <c r="Y27" i="514"/>
  <c r="Y28" i="514"/>
  <c r="Y29" i="514"/>
  <c r="Y30" i="514"/>
  <c r="Y31" i="514"/>
  <c r="Y32" i="514"/>
  <c r="Y33" i="514"/>
  <c r="Y34" i="514"/>
  <c r="Y35" i="514"/>
  <c r="S36" i="514"/>
  <c r="Y36" i="514"/>
  <c r="Y37" i="514"/>
  <c r="Y55" i="514"/>
  <c r="Y56" i="514"/>
  <c r="Y57" i="514"/>
  <c r="Y58" i="514"/>
  <c r="Y59" i="514"/>
  <c r="Y60" i="514"/>
  <c r="Y61" i="514"/>
  <c r="Y62" i="514"/>
  <c r="Y63" i="514"/>
  <c r="Y64" i="514"/>
  <c r="Y65" i="514"/>
  <c r="Y66" i="514"/>
  <c r="Y67" i="514"/>
  <c r="Y68" i="514"/>
  <c r="Y69" i="514"/>
  <c r="Y70" i="514"/>
  <c r="Y71" i="514"/>
  <c r="Z5" i="514"/>
  <c r="Z6" i="514"/>
  <c r="Z7" i="514"/>
  <c r="Z8" i="514"/>
  <c r="Z9" i="514"/>
  <c r="Z10" i="514"/>
  <c r="S11" i="514"/>
  <c r="Z11" i="514"/>
  <c r="Z12" i="514"/>
  <c r="S13" i="514"/>
  <c r="Z13" i="514"/>
  <c r="Z14" i="514"/>
  <c r="Z15" i="514"/>
  <c r="Z16" i="514"/>
  <c r="Z17" i="514"/>
  <c r="Z18" i="514"/>
  <c r="Z19" i="514"/>
  <c r="Z20" i="514"/>
  <c r="Z21" i="514"/>
  <c r="Z22" i="514"/>
  <c r="Z23" i="514"/>
  <c r="Z24" i="514"/>
  <c r="Z25" i="514"/>
  <c r="Z26" i="514"/>
  <c r="Z27" i="514"/>
  <c r="Z28" i="514"/>
  <c r="Z29" i="514"/>
  <c r="Z30" i="514"/>
  <c r="Z31" i="514"/>
  <c r="S32" i="514"/>
  <c r="Z32" i="514"/>
  <c r="Z33" i="514"/>
  <c r="S34" i="514"/>
  <c r="Z34" i="514"/>
  <c r="Z35" i="514"/>
  <c r="Z36" i="514"/>
  <c r="Z37" i="514"/>
  <c r="Z55" i="514"/>
  <c r="Z56" i="514"/>
  <c r="Z57" i="514"/>
  <c r="Z58" i="514"/>
  <c r="Z59" i="514"/>
  <c r="Z60" i="514"/>
  <c r="Z61" i="514"/>
  <c r="Z62" i="514"/>
  <c r="Z63" i="514"/>
  <c r="Z64" i="514"/>
  <c r="Z65" i="514"/>
  <c r="Z66" i="514"/>
  <c r="Z67" i="514"/>
  <c r="Z68" i="514"/>
  <c r="Z69" i="514"/>
  <c r="Z70" i="514"/>
  <c r="Z71" i="514"/>
  <c r="AB71" i="514"/>
  <c r="Q72" i="514"/>
  <c r="K72" i="514"/>
  <c r="K73" i="514"/>
  <c r="J72" i="514"/>
  <c r="J73" i="514"/>
  <c r="I72" i="514"/>
  <c r="I73" i="514"/>
  <c r="H72" i="514"/>
  <c r="H73" i="514"/>
  <c r="G72" i="514"/>
  <c r="G73" i="514"/>
  <c r="F72" i="514"/>
  <c r="F73" i="514"/>
  <c r="E72" i="514"/>
  <c r="E73" i="514"/>
  <c r="C73" i="514"/>
  <c r="C72" i="514"/>
  <c r="R71" i="514"/>
  <c r="C71" i="514"/>
  <c r="O71" i="514"/>
  <c r="O70" i="514"/>
  <c r="T70" i="514"/>
  <c r="R70" i="514"/>
  <c r="O69" i="514"/>
  <c r="T69" i="514"/>
  <c r="R69" i="514"/>
  <c r="T68" i="514"/>
  <c r="S68" i="514"/>
  <c r="R68" i="514"/>
  <c r="O67" i="514"/>
  <c r="T67" i="514"/>
  <c r="R67" i="514"/>
  <c r="T66" i="514"/>
  <c r="S66" i="514"/>
  <c r="O65" i="514"/>
  <c r="T65" i="514"/>
  <c r="R65" i="514"/>
  <c r="O64" i="514"/>
  <c r="T64" i="514"/>
  <c r="R64" i="514"/>
  <c r="O63" i="514"/>
  <c r="T63" i="514"/>
  <c r="R63" i="514"/>
  <c r="O62" i="514"/>
  <c r="T62" i="514"/>
  <c r="S62" i="514"/>
  <c r="R62" i="514"/>
  <c r="P62" i="514"/>
  <c r="N62" i="514"/>
  <c r="O55" i="514"/>
  <c r="P55" i="514"/>
  <c r="N55" i="514"/>
  <c r="L56" i="514"/>
  <c r="O56" i="514"/>
  <c r="P56" i="514"/>
  <c r="N56" i="514"/>
  <c r="L57" i="514"/>
  <c r="O57" i="514"/>
  <c r="P57" i="514"/>
  <c r="N57" i="514"/>
  <c r="L58" i="514"/>
  <c r="O58" i="514"/>
  <c r="P58" i="514"/>
  <c r="N58" i="514"/>
  <c r="L59" i="514"/>
  <c r="O59" i="514"/>
  <c r="P59" i="514"/>
  <c r="N59" i="514"/>
  <c r="L60" i="514"/>
  <c r="O60" i="514"/>
  <c r="P60" i="514"/>
  <c r="N60" i="514"/>
  <c r="L61" i="514"/>
  <c r="L62" i="514"/>
  <c r="T61" i="514"/>
  <c r="S61" i="514"/>
  <c r="R55" i="514"/>
  <c r="R56" i="514"/>
  <c r="R57" i="514"/>
  <c r="R58" i="514"/>
  <c r="R59" i="514"/>
  <c r="R60" i="514"/>
  <c r="R61" i="514"/>
  <c r="T60" i="514"/>
  <c r="T59" i="514"/>
  <c r="T58" i="514"/>
  <c r="S58" i="514"/>
  <c r="T57" i="514"/>
  <c r="T56" i="514"/>
  <c r="T55" i="514"/>
  <c r="O54" i="514"/>
  <c r="R50" i="514"/>
  <c r="R51" i="514"/>
  <c r="R52" i="514"/>
  <c r="R54" i="514"/>
  <c r="O48" i="514"/>
  <c r="P48" i="514"/>
  <c r="N48" i="514"/>
  <c r="L49" i="514"/>
  <c r="O49" i="514"/>
  <c r="P49" i="514"/>
  <c r="N49" i="514"/>
  <c r="L50" i="514"/>
  <c r="O50" i="514"/>
  <c r="P50" i="514"/>
  <c r="N50" i="514"/>
  <c r="L51" i="514"/>
  <c r="O51" i="514"/>
  <c r="P51" i="514"/>
  <c r="N51" i="514"/>
  <c r="L52" i="514"/>
  <c r="O52" i="514"/>
  <c r="P52" i="514"/>
  <c r="N52" i="514"/>
  <c r="L53" i="514"/>
  <c r="L54" i="514"/>
  <c r="R49" i="514"/>
  <c r="R48" i="514"/>
  <c r="L30" i="514"/>
  <c r="O30" i="514"/>
  <c r="P30" i="514"/>
  <c r="N30" i="514"/>
  <c r="L31" i="514"/>
  <c r="O31" i="514"/>
  <c r="P31" i="514"/>
  <c r="N31" i="514"/>
  <c r="L32" i="514"/>
  <c r="O32" i="514"/>
  <c r="P32" i="514"/>
  <c r="N32" i="514"/>
  <c r="L33" i="514"/>
  <c r="O33" i="514"/>
  <c r="P33" i="514"/>
  <c r="N33" i="514"/>
  <c r="L34" i="514"/>
  <c r="O34" i="514"/>
  <c r="P34" i="514"/>
  <c r="N34" i="514"/>
  <c r="L35" i="514"/>
  <c r="O35" i="514"/>
  <c r="P35" i="514"/>
  <c r="N35" i="514"/>
  <c r="L36" i="514"/>
  <c r="O36" i="514"/>
  <c r="P36" i="514"/>
  <c r="N36" i="514"/>
  <c r="L37" i="514"/>
  <c r="O37" i="514"/>
  <c r="P37" i="514"/>
  <c r="N37" i="514"/>
  <c r="L38" i="514"/>
  <c r="O38" i="514"/>
  <c r="P38" i="514"/>
  <c r="N38" i="514"/>
  <c r="L39" i="514"/>
  <c r="O39" i="514"/>
  <c r="P39" i="514"/>
  <c r="N39" i="514"/>
  <c r="L40" i="514"/>
  <c r="T37" i="514"/>
  <c r="T36" i="514"/>
  <c r="T35" i="514"/>
  <c r="T34" i="514"/>
  <c r="T33" i="514"/>
  <c r="T32" i="514"/>
  <c r="T31" i="514"/>
  <c r="T30" i="514"/>
  <c r="T29" i="514"/>
  <c r="T28" i="514"/>
  <c r="S28" i="514"/>
  <c r="R22" i="514"/>
  <c r="R23" i="514"/>
  <c r="R24" i="514"/>
  <c r="R25" i="514"/>
  <c r="R26" i="514"/>
  <c r="R27" i="514"/>
  <c r="R28" i="514"/>
  <c r="O22" i="514"/>
  <c r="P22" i="514"/>
  <c r="N22" i="514"/>
  <c r="L23" i="514"/>
  <c r="O23" i="514"/>
  <c r="P23" i="514"/>
  <c r="N23" i="514"/>
  <c r="L24" i="514"/>
  <c r="O24" i="514"/>
  <c r="P24" i="514"/>
  <c r="N24" i="514"/>
  <c r="L25" i="514"/>
  <c r="O25" i="514"/>
  <c r="P25" i="514"/>
  <c r="N25" i="514"/>
  <c r="L26" i="514"/>
  <c r="O26" i="514"/>
  <c r="P26" i="514"/>
  <c r="N26" i="514"/>
  <c r="L27" i="514"/>
  <c r="O27" i="514"/>
  <c r="P27" i="514"/>
  <c r="N27" i="514"/>
  <c r="L28" i="514"/>
  <c r="T27" i="514"/>
  <c r="T26" i="514"/>
  <c r="T25" i="514"/>
  <c r="T24" i="514"/>
  <c r="T23" i="514"/>
  <c r="T22" i="514"/>
  <c r="T21" i="514"/>
  <c r="S21" i="514"/>
  <c r="O16" i="514"/>
  <c r="P16" i="514"/>
  <c r="N16" i="514"/>
  <c r="L17" i="514"/>
  <c r="O17" i="514"/>
  <c r="P17" i="514"/>
  <c r="N17" i="514"/>
  <c r="L18" i="514"/>
  <c r="O18" i="514"/>
  <c r="P18" i="514"/>
  <c r="N18" i="514"/>
  <c r="L19" i="514"/>
  <c r="O19" i="514"/>
  <c r="P19" i="514"/>
  <c r="N19" i="514"/>
  <c r="L20" i="514"/>
  <c r="L21" i="514"/>
  <c r="T20" i="514"/>
  <c r="T19" i="514"/>
  <c r="T18" i="514"/>
  <c r="T17" i="514"/>
  <c r="T16" i="514"/>
  <c r="O15" i="514"/>
  <c r="T15" i="514"/>
  <c r="S15" i="514"/>
  <c r="O10" i="514"/>
  <c r="P10" i="514"/>
  <c r="N10" i="514"/>
  <c r="L11" i="514"/>
  <c r="O11" i="514"/>
  <c r="P11" i="514"/>
  <c r="N11" i="514"/>
  <c r="L12" i="514"/>
  <c r="O12" i="514"/>
  <c r="P12" i="514"/>
  <c r="N12" i="514"/>
  <c r="L13" i="514"/>
  <c r="O13" i="514"/>
  <c r="P13" i="514"/>
  <c r="N13" i="514"/>
  <c r="L14" i="514"/>
  <c r="O14" i="514"/>
  <c r="P14" i="514"/>
  <c r="N14" i="514"/>
  <c r="L15" i="514"/>
  <c r="T14" i="514"/>
  <c r="T13" i="514"/>
  <c r="T12" i="514"/>
  <c r="T11" i="514"/>
  <c r="T10" i="514"/>
  <c r="O9" i="514"/>
  <c r="T9" i="514"/>
  <c r="S9" i="514"/>
  <c r="R5" i="514"/>
  <c r="R6" i="514"/>
  <c r="R7" i="514"/>
  <c r="R9" i="514"/>
  <c r="O5" i="514"/>
  <c r="P5" i="514"/>
  <c r="N5" i="514"/>
  <c r="L6" i="514"/>
  <c r="O6" i="514"/>
  <c r="P6" i="514"/>
  <c r="N6" i="514"/>
  <c r="L7" i="514"/>
  <c r="N7" i="514"/>
  <c r="L8" i="514"/>
  <c r="O8" i="514"/>
  <c r="P8" i="514"/>
  <c r="N8" i="514"/>
  <c r="L9" i="514"/>
  <c r="T8" i="514"/>
  <c r="R8" i="514"/>
  <c r="O7" i="514"/>
  <c r="T7" i="514"/>
  <c r="P7" i="514"/>
  <c r="T6" i="514"/>
  <c r="T5" i="514"/>
  <c r="R55" i="560"/>
  <c r="AA4" i="560"/>
  <c r="C55" i="560" s="1"/>
  <c r="U4" i="560"/>
  <c r="C47" i="560" s="1"/>
  <c r="Z4" i="560"/>
  <c r="C51" i="560" s="1"/>
  <c r="X4" i="560"/>
  <c r="C49" i="560" s="1"/>
  <c r="C50" i="560"/>
  <c r="C52" i="560"/>
  <c r="O52" i="560" s="1"/>
  <c r="P52" i="560" s="1"/>
  <c r="N52" i="560" s="1"/>
  <c r="R54" i="560"/>
  <c r="R53" i="560"/>
  <c r="R52" i="560"/>
  <c r="R51" i="560"/>
  <c r="R50" i="560"/>
  <c r="R49" i="560"/>
  <c r="R48" i="560"/>
  <c r="R47" i="560"/>
  <c r="R46" i="560"/>
  <c r="R37" i="560"/>
  <c r="S20" i="560"/>
  <c r="AA5" i="560"/>
  <c r="C20" i="560" s="1"/>
  <c r="V4" i="560"/>
  <c r="V24" i="560" s="1"/>
  <c r="W4" i="560"/>
  <c r="X30" i="560" s="1"/>
  <c r="Y4" i="560"/>
  <c r="S21" i="560"/>
  <c r="S22" i="560"/>
  <c r="S23" i="560"/>
  <c r="V5" i="560"/>
  <c r="C35" i="560" s="1"/>
  <c r="S24" i="560"/>
  <c r="T24" i="560"/>
  <c r="U24" i="560"/>
  <c r="Y24" i="560"/>
  <c r="S25" i="560"/>
  <c r="C25" i="560"/>
  <c r="Z25" i="560" s="1"/>
  <c r="S26" i="560"/>
  <c r="S27" i="560"/>
  <c r="W5" i="560"/>
  <c r="C31" i="560" s="1"/>
  <c r="S28" i="560"/>
  <c r="S29" i="560"/>
  <c r="C29" i="560"/>
  <c r="O29" i="560" s="1"/>
  <c r="S30" i="560"/>
  <c r="T30" i="560"/>
  <c r="U30" i="560"/>
  <c r="V30" i="560"/>
  <c r="W30" i="560"/>
  <c r="AA30" i="560"/>
  <c r="S31" i="560"/>
  <c r="X31" i="560"/>
  <c r="S32" i="560"/>
  <c r="S33" i="560"/>
  <c r="S34" i="560"/>
  <c r="S35" i="560"/>
  <c r="S36" i="560"/>
  <c r="C36" i="560"/>
  <c r="O36" i="560" s="1"/>
  <c r="T36" i="560" s="1"/>
  <c r="S37" i="560"/>
  <c r="T37" i="560"/>
  <c r="U37" i="560"/>
  <c r="V37" i="560"/>
  <c r="Y37" i="560"/>
  <c r="AA37" i="560"/>
  <c r="S38" i="560"/>
  <c r="C38" i="560"/>
  <c r="O38" i="560" s="1"/>
  <c r="T38" i="560" s="1"/>
  <c r="S39" i="560"/>
  <c r="X5" i="560"/>
  <c r="C39" i="560" s="1"/>
  <c r="S40" i="560"/>
  <c r="U5" i="560"/>
  <c r="C40" i="560" s="1"/>
  <c r="S41" i="560"/>
  <c r="S42" i="560"/>
  <c r="S43" i="560"/>
  <c r="S44" i="560"/>
  <c r="S45" i="560"/>
  <c r="C45" i="560"/>
  <c r="X45" i="560" s="1"/>
  <c r="S46" i="560"/>
  <c r="T46" i="560"/>
  <c r="U46" i="560"/>
  <c r="V46" i="560"/>
  <c r="W46" i="560"/>
  <c r="Y46" i="560"/>
  <c r="Z46" i="560"/>
  <c r="AA46" i="560"/>
  <c r="S47" i="560"/>
  <c r="U47" i="560"/>
  <c r="AA47" i="560"/>
  <c r="S48" i="560"/>
  <c r="S49" i="560"/>
  <c r="S50" i="560"/>
  <c r="U50" i="560"/>
  <c r="Y50" i="560"/>
  <c r="AA50" i="560"/>
  <c r="S51" i="560"/>
  <c r="S52" i="560"/>
  <c r="T52" i="560"/>
  <c r="U52" i="560"/>
  <c r="V52" i="560"/>
  <c r="X52" i="560"/>
  <c r="AA52" i="560"/>
  <c r="S53" i="560"/>
  <c r="S54" i="560"/>
  <c r="S55" i="560"/>
  <c r="S56" i="560"/>
  <c r="C56" i="560"/>
  <c r="Y56" i="560" s="1"/>
  <c r="S57" i="560"/>
  <c r="S58" i="560"/>
  <c r="C58" i="560"/>
  <c r="Z58" i="560" s="1"/>
  <c r="S59" i="560"/>
  <c r="S60" i="560"/>
  <c r="S61" i="560"/>
  <c r="C61" i="560"/>
  <c r="Y61" i="560" s="1"/>
  <c r="S62" i="560"/>
  <c r="C62" i="560"/>
  <c r="V62" i="560" s="1"/>
  <c r="S63" i="560"/>
  <c r="C63" i="560"/>
  <c r="O63" i="560" s="1"/>
  <c r="S64" i="560"/>
  <c r="T64" i="560"/>
  <c r="U64" i="560"/>
  <c r="V64" i="560"/>
  <c r="Y64" i="560"/>
  <c r="Z64" i="560"/>
  <c r="AA64" i="560"/>
  <c r="S65" i="560"/>
  <c r="S66" i="560"/>
  <c r="C66" i="560"/>
  <c r="S67" i="560"/>
  <c r="C67" i="560"/>
  <c r="V67" i="560" s="1"/>
  <c r="S68" i="560"/>
  <c r="C68" i="560"/>
  <c r="S69" i="560"/>
  <c r="C69" i="560"/>
  <c r="O69" i="560" s="1"/>
  <c r="S70" i="560"/>
  <c r="C70" i="560"/>
  <c r="Z70" i="560" s="1"/>
  <c r="S71" i="560"/>
  <c r="T71" i="560"/>
  <c r="U71" i="560"/>
  <c r="V71" i="560"/>
  <c r="W71" i="560"/>
  <c r="Y71" i="560"/>
  <c r="Z71" i="560"/>
  <c r="AA71" i="560"/>
  <c r="R56" i="560"/>
  <c r="R40" i="560"/>
  <c r="R42" i="560"/>
  <c r="R38" i="560"/>
  <c r="R39" i="560"/>
  <c r="R41" i="560"/>
  <c r="R43" i="560"/>
  <c r="G44" i="560"/>
  <c r="R44" i="560"/>
  <c r="R45" i="560"/>
  <c r="R31" i="560"/>
  <c r="R32" i="560"/>
  <c r="R33" i="560"/>
  <c r="R34" i="560"/>
  <c r="R35" i="560"/>
  <c r="R36" i="560"/>
  <c r="G26" i="560"/>
  <c r="R26" i="560"/>
  <c r="R27" i="560"/>
  <c r="R28" i="560"/>
  <c r="R29" i="560"/>
  <c r="R30" i="560"/>
  <c r="R20" i="560"/>
  <c r="R21" i="560"/>
  <c r="R22" i="560"/>
  <c r="R23" i="560"/>
  <c r="R24" i="560"/>
  <c r="R6" i="560"/>
  <c r="R7" i="560"/>
  <c r="R14" i="560"/>
  <c r="R15" i="560"/>
  <c r="R16" i="560"/>
  <c r="R17" i="560"/>
  <c r="R18" i="560"/>
  <c r="C19" i="560"/>
  <c r="Y19" i="560" s="1"/>
  <c r="R8" i="560"/>
  <c r="R9" i="560"/>
  <c r="R10" i="560"/>
  <c r="R11" i="560"/>
  <c r="R12" i="560"/>
  <c r="R13" i="560"/>
  <c r="Q18" i="560"/>
  <c r="Z5" i="560"/>
  <c r="C10" i="560"/>
  <c r="V10" i="560" s="1"/>
  <c r="C13" i="560"/>
  <c r="Y13" i="560" s="1"/>
  <c r="S7" i="560"/>
  <c r="S8" i="560"/>
  <c r="S9" i="560"/>
  <c r="S10" i="560"/>
  <c r="S11" i="560"/>
  <c r="S12" i="560"/>
  <c r="S13" i="560"/>
  <c r="S14" i="560"/>
  <c r="S15" i="560"/>
  <c r="S16" i="560"/>
  <c r="S17" i="560"/>
  <c r="C17" i="560"/>
  <c r="O17" i="560" s="1"/>
  <c r="S18" i="560"/>
  <c r="T18" i="560"/>
  <c r="U18" i="560"/>
  <c r="V18" i="560"/>
  <c r="Y18" i="560"/>
  <c r="Z18" i="560"/>
  <c r="AA18" i="560"/>
  <c r="S19" i="560"/>
  <c r="AA227" i="560"/>
  <c r="AA229" i="560"/>
  <c r="Z227" i="560"/>
  <c r="Z229" i="560"/>
  <c r="Y227" i="560"/>
  <c r="Y229" i="560"/>
  <c r="X227" i="560"/>
  <c r="X229" i="560"/>
  <c r="W227" i="560"/>
  <c r="W229" i="560"/>
  <c r="V227" i="560"/>
  <c r="V229" i="560"/>
  <c r="U227" i="560"/>
  <c r="U229" i="560"/>
  <c r="AA184" i="560"/>
  <c r="Z184" i="560"/>
  <c r="Y184" i="560"/>
  <c r="X184" i="560"/>
  <c r="W184" i="560"/>
  <c r="V184" i="560"/>
  <c r="U184" i="560"/>
  <c r="AD173" i="560"/>
  <c r="AC173" i="560"/>
  <c r="AB173" i="560"/>
  <c r="S6" i="560"/>
  <c r="R65" i="560"/>
  <c r="R66" i="560"/>
  <c r="R67" i="560"/>
  <c r="R68" i="560"/>
  <c r="R69" i="560"/>
  <c r="R70" i="560"/>
  <c r="R71" i="560"/>
  <c r="N67" i="560"/>
  <c r="R57" i="560"/>
  <c r="R58" i="560"/>
  <c r="R59" i="560"/>
  <c r="R60" i="560"/>
  <c r="R61" i="560"/>
  <c r="R62" i="560"/>
  <c r="R63" i="560"/>
  <c r="R64" i="560"/>
  <c r="N60" i="560"/>
  <c r="R31" i="551"/>
  <c r="R33" i="551"/>
  <c r="P28" i="551"/>
  <c r="N28" i="551"/>
  <c r="P29" i="551"/>
  <c r="N29" i="551"/>
  <c r="P30" i="551"/>
  <c r="N30" i="551"/>
  <c r="P31" i="551"/>
  <c r="N31" i="551"/>
  <c r="P32" i="551"/>
  <c r="N32" i="551"/>
  <c r="P27" i="551"/>
  <c r="N27" i="551"/>
  <c r="N33" i="551"/>
  <c r="C29" i="551"/>
  <c r="R29" i="551"/>
  <c r="O29" i="551"/>
  <c r="L28" i="551"/>
  <c r="L29" i="551"/>
  <c r="R30" i="551"/>
  <c r="O30" i="551"/>
  <c r="L30" i="551"/>
  <c r="R11" i="551"/>
  <c r="R12" i="551"/>
  <c r="R13" i="551"/>
  <c r="R14" i="551"/>
  <c r="R15" i="551"/>
  <c r="R16" i="551"/>
  <c r="R17" i="551"/>
  <c r="Z4" i="551"/>
  <c r="C15" i="551"/>
  <c r="O15" i="551"/>
  <c r="P15" i="551"/>
  <c r="N15" i="551"/>
  <c r="W4" i="551"/>
  <c r="C11" i="551"/>
  <c r="O11" i="551"/>
  <c r="P11" i="551"/>
  <c r="N11" i="551"/>
  <c r="L12" i="551"/>
  <c r="C12" i="551"/>
  <c r="O12" i="551"/>
  <c r="P12" i="551"/>
  <c r="N12" i="551"/>
  <c r="L13" i="551"/>
  <c r="C13" i="551"/>
  <c r="O13" i="551"/>
  <c r="P13" i="551"/>
  <c r="N13" i="551"/>
  <c r="L14" i="551"/>
  <c r="C14" i="551"/>
  <c r="O14" i="551"/>
  <c r="P14" i="551"/>
  <c r="N14" i="551"/>
  <c r="L15" i="551"/>
  <c r="AA4" i="551"/>
  <c r="C9" i="551"/>
  <c r="O9" i="551"/>
  <c r="P9" i="551"/>
  <c r="N9" i="551"/>
  <c r="U4" i="551"/>
  <c r="C5" i="551"/>
  <c r="O5" i="551"/>
  <c r="P5" i="551"/>
  <c r="N5" i="551"/>
  <c r="X4" i="551"/>
  <c r="C6" i="551"/>
  <c r="O6" i="551"/>
  <c r="P6" i="551"/>
  <c r="N6" i="551"/>
  <c r="C7" i="551"/>
  <c r="O7" i="551"/>
  <c r="P7" i="551"/>
  <c r="N7" i="551"/>
  <c r="C8" i="551"/>
  <c r="O8" i="551"/>
  <c r="P8" i="551"/>
  <c r="N8" i="551"/>
  <c r="N10" i="551"/>
  <c r="P29" i="552"/>
  <c r="P30" i="552"/>
  <c r="V36" i="552"/>
  <c r="W36" i="552"/>
  <c r="X36" i="552"/>
  <c r="Y36" i="552"/>
  <c r="Z36" i="552"/>
  <c r="AA36" i="552"/>
  <c r="U36" i="552"/>
  <c r="S6" i="552"/>
  <c r="T6" i="552"/>
  <c r="U6" i="552"/>
  <c r="V6" i="552"/>
  <c r="W6" i="552"/>
  <c r="X6" i="552"/>
  <c r="Y6" i="552"/>
  <c r="Z6" i="552"/>
  <c r="AA6" i="552"/>
  <c r="S7" i="552"/>
  <c r="T7" i="552"/>
  <c r="U7" i="552"/>
  <c r="V7" i="552"/>
  <c r="W7" i="552"/>
  <c r="X7" i="552"/>
  <c r="Y7" i="552"/>
  <c r="Z7" i="552"/>
  <c r="AA7" i="552"/>
  <c r="S8" i="552"/>
  <c r="T8" i="552"/>
  <c r="U8" i="552"/>
  <c r="V8" i="552"/>
  <c r="W8" i="552"/>
  <c r="X8" i="552"/>
  <c r="Y8" i="552"/>
  <c r="Z8" i="552"/>
  <c r="AA8" i="552"/>
  <c r="S9" i="552"/>
  <c r="T9" i="552"/>
  <c r="U9" i="552"/>
  <c r="V9" i="552"/>
  <c r="W9" i="552"/>
  <c r="X9" i="552"/>
  <c r="Y9" i="552"/>
  <c r="Z9" i="552"/>
  <c r="AA9" i="552"/>
  <c r="S10" i="552"/>
  <c r="T10" i="552"/>
  <c r="U10" i="552"/>
  <c r="V10" i="552"/>
  <c r="W10" i="552"/>
  <c r="X10" i="552"/>
  <c r="Y10" i="552"/>
  <c r="Z10" i="552"/>
  <c r="AA10" i="552"/>
  <c r="S11" i="552"/>
  <c r="T11" i="552"/>
  <c r="U11" i="552"/>
  <c r="V11" i="552"/>
  <c r="W11" i="552"/>
  <c r="X11" i="552"/>
  <c r="Y11" i="552"/>
  <c r="Z11" i="552"/>
  <c r="AA11" i="552"/>
  <c r="S12" i="552"/>
  <c r="T12" i="552"/>
  <c r="U12" i="552"/>
  <c r="V12" i="552"/>
  <c r="W12" i="552"/>
  <c r="X12" i="552"/>
  <c r="Y12" i="552"/>
  <c r="Z12" i="552"/>
  <c r="AA12" i="552"/>
  <c r="S13" i="552"/>
  <c r="T13" i="552"/>
  <c r="U13" i="552"/>
  <c r="V13" i="552"/>
  <c r="W13" i="552"/>
  <c r="X13" i="552"/>
  <c r="Y13" i="552"/>
  <c r="Z13" i="552"/>
  <c r="AA13" i="552"/>
  <c r="S14" i="552"/>
  <c r="T14" i="552"/>
  <c r="U14" i="552"/>
  <c r="V14" i="552"/>
  <c r="W14" i="552"/>
  <c r="X14" i="552"/>
  <c r="Y14" i="552"/>
  <c r="Z14" i="552"/>
  <c r="AA14" i="552"/>
  <c r="S15" i="552"/>
  <c r="T15" i="552"/>
  <c r="U15" i="552"/>
  <c r="V15" i="552"/>
  <c r="W15" i="552"/>
  <c r="X15" i="552"/>
  <c r="Y15" i="552"/>
  <c r="Z15" i="552"/>
  <c r="AA15" i="552"/>
  <c r="S16" i="552"/>
  <c r="T16" i="552"/>
  <c r="U16" i="552"/>
  <c r="V16" i="552"/>
  <c r="W16" i="552"/>
  <c r="X16" i="552"/>
  <c r="Y16" i="552"/>
  <c r="Z16" i="552"/>
  <c r="AA16" i="552"/>
  <c r="S17" i="552"/>
  <c r="T17" i="552"/>
  <c r="U17" i="552"/>
  <c r="V17" i="552"/>
  <c r="W17" i="552"/>
  <c r="X17" i="552"/>
  <c r="Y17" i="552"/>
  <c r="Z17" i="552"/>
  <c r="AA17" i="552"/>
  <c r="S18" i="552"/>
  <c r="T18" i="552"/>
  <c r="U18" i="552"/>
  <c r="V18" i="552"/>
  <c r="W18" i="552"/>
  <c r="X18" i="552"/>
  <c r="Y18" i="552"/>
  <c r="Z18" i="552"/>
  <c r="AA18" i="552"/>
  <c r="S19" i="552"/>
  <c r="T19" i="552"/>
  <c r="U19" i="552"/>
  <c r="V19" i="552"/>
  <c r="W19" i="552"/>
  <c r="X19" i="552"/>
  <c r="Y19" i="552"/>
  <c r="Z19" i="552"/>
  <c r="AA19" i="552"/>
  <c r="S20" i="552"/>
  <c r="T20" i="552"/>
  <c r="U20" i="552"/>
  <c r="V20" i="552"/>
  <c r="W20" i="552"/>
  <c r="X20" i="552"/>
  <c r="Y20" i="552"/>
  <c r="Z20" i="552"/>
  <c r="AA20" i="552"/>
  <c r="S21" i="552"/>
  <c r="T21" i="552"/>
  <c r="U21" i="552"/>
  <c r="V21" i="552"/>
  <c r="W21" i="552"/>
  <c r="X21" i="552"/>
  <c r="Y21" i="552"/>
  <c r="Z21" i="552"/>
  <c r="AA21" i="552"/>
  <c r="S22" i="552"/>
  <c r="T22" i="552"/>
  <c r="U22" i="552"/>
  <c r="V22" i="552"/>
  <c r="W22" i="552"/>
  <c r="X22" i="552"/>
  <c r="Y22" i="552"/>
  <c r="Z22" i="552"/>
  <c r="AA22" i="552"/>
  <c r="S23" i="552"/>
  <c r="T23" i="552"/>
  <c r="U23" i="552"/>
  <c r="V23" i="552"/>
  <c r="W23" i="552"/>
  <c r="X23" i="552"/>
  <c r="Y23" i="552"/>
  <c r="Z23" i="552"/>
  <c r="AA23" i="552"/>
  <c r="S24" i="552"/>
  <c r="T24" i="552"/>
  <c r="U24" i="552"/>
  <c r="V24" i="552"/>
  <c r="W24" i="552"/>
  <c r="X24" i="552"/>
  <c r="Y24" i="552"/>
  <c r="Z24" i="552"/>
  <c r="AA24" i="552"/>
  <c r="S25" i="552"/>
  <c r="T25" i="552"/>
  <c r="U25" i="552"/>
  <c r="V25" i="552"/>
  <c r="W25" i="552"/>
  <c r="X25" i="552"/>
  <c r="Y25" i="552"/>
  <c r="Z25" i="552"/>
  <c r="AA25" i="552"/>
  <c r="S26" i="552"/>
  <c r="T26" i="552"/>
  <c r="U26" i="552"/>
  <c r="V26" i="552"/>
  <c r="W26" i="552"/>
  <c r="X26" i="552"/>
  <c r="Y26" i="552"/>
  <c r="Z26" i="552"/>
  <c r="AA26" i="552"/>
  <c r="S27" i="552"/>
  <c r="T27" i="552"/>
  <c r="U27" i="552"/>
  <c r="V27" i="552"/>
  <c r="W27" i="552"/>
  <c r="X27" i="552"/>
  <c r="Y27" i="552"/>
  <c r="Z27" i="552"/>
  <c r="AA27" i="552"/>
  <c r="S28" i="552"/>
  <c r="T28" i="552"/>
  <c r="U28" i="552"/>
  <c r="V28" i="552"/>
  <c r="W28" i="552"/>
  <c r="X28" i="552"/>
  <c r="Y28" i="552"/>
  <c r="Z28" i="552"/>
  <c r="AA28" i="552"/>
  <c r="S29" i="552"/>
  <c r="T29" i="552"/>
  <c r="U29" i="552"/>
  <c r="V29" i="552"/>
  <c r="W29" i="552"/>
  <c r="X29" i="552"/>
  <c r="Y29" i="552"/>
  <c r="Z29" i="552"/>
  <c r="AA29" i="552"/>
  <c r="S30" i="552"/>
  <c r="T30" i="552"/>
  <c r="U30" i="552"/>
  <c r="V30" i="552"/>
  <c r="W30" i="552"/>
  <c r="X30" i="552"/>
  <c r="Y30" i="552"/>
  <c r="Z30" i="552"/>
  <c r="AA30" i="552"/>
  <c r="S31" i="552"/>
  <c r="T31" i="552"/>
  <c r="U31" i="552"/>
  <c r="V31" i="552"/>
  <c r="W31" i="552"/>
  <c r="X31" i="552"/>
  <c r="Y31" i="552"/>
  <c r="Z31" i="552"/>
  <c r="AA31" i="552"/>
  <c r="S32" i="552"/>
  <c r="T32" i="552"/>
  <c r="U32" i="552"/>
  <c r="V32" i="552"/>
  <c r="W32" i="552"/>
  <c r="X32" i="552"/>
  <c r="Y32" i="552"/>
  <c r="Z32" i="552"/>
  <c r="AA32" i="552"/>
  <c r="S33" i="552"/>
  <c r="T33" i="552"/>
  <c r="U33" i="552"/>
  <c r="V33" i="552"/>
  <c r="W33" i="552"/>
  <c r="X33" i="552"/>
  <c r="Y33" i="552"/>
  <c r="Z33" i="552"/>
  <c r="AA33" i="552"/>
  <c r="S34" i="552"/>
  <c r="T34" i="552"/>
  <c r="U34" i="552"/>
  <c r="V34" i="552"/>
  <c r="W34" i="552"/>
  <c r="X34" i="552"/>
  <c r="Y34" i="552"/>
  <c r="Z34" i="552"/>
  <c r="AA34" i="552"/>
  <c r="S35" i="552"/>
  <c r="T35" i="552"/>
  <c r="U35" i="552"/>
  <c r="V35" i="552"/>
  <c r="W35" i="552"/>
  <c r="X35" i="552"/>
  <c r="Y35" i="552"/>
  <c r="Z35" i="552"/>
  <c r="AA35" i="552"/>
  <c r="R29" i="552"/>
  <c r="R30" i="552"/>
  <c r="R31" i="552"/>
  <c r="R32" i="552"/>
  <c r="R33" i="552"/>
  <c r="R34" i="552"/>
  <c r="R35" i="552"/>
  <c r="C35" i="552"/>
  <c r="O35" i="552"/>
  <c r="W4" i="552"/>
  <c r="C29" i="552"/>
  <c r="O29" i="552"/>
  <c r="N29" i="552"/>
  <c r="C30" i="552"/>
  <c r="O30" i="552"/>
  <c r="N30" i="552"/>
  <c r="N31" i="552"/>
  <c r="X4" i="552"/>
  <c r="C32" i="552"/>
  <c r="O32" i="552"/>
  <c r="P32" i="552"/>
  <c r="N32" i="552"/>
  <c r="C33" i="552"/>
  <c r="O33" i="552"/>
  <c r="P33" i="552"/>
  <c r="N33" i="552"/>
  <c r="C34" i="552"/>
  <c r="O34" i="552"/>
  <c r="P34" i="552"/>
  <c r="N34" i="552"/>
  <c r="N35" i="552"/>
  <c r="L30" i="552"/>
  <c r="L31" i="552"/>
  <c r="L32" i="552"/>
  <c r="L33" i="552"/>
  <c r="L34" i="552"/>
  <c r="L35" i="552"/>
  <c r="C31" i="552"/>
  <c r="O31" i="552"/>
  <c r="P31" i="552"/>
  <c r="L30" i="550"/>
  <c r="L31" i="550"/>
  <c r="L32" i="550"/>
  <c r="L33" i="550"/>
  <c r="L34" i="550"/>
  <c r="L35" i="550"/>
  <c r="S6" i="550"/>
  <c r="T6" i="550"/>
  <c r="U6" i="550"/>
  <c r="V6" i="550"/>
  <c r="W6" i="550"/>
  <c r="X6" i="550"/>
  <c r="Y6" i="550"/>
  <c r="Z6" i="550"/>
  <c r="AA6" i="550"/>
  <c r="S7" i="550"/>
  <c r="T7" i="550"/>
  <c r="U7" i="550"/>
  <c r="V7" i="550"/>
  <c r="W7" i="550"/>
  <c r="X7" i="550"/>
  <c r="Y7" i="550"/>
  <c r="Z7" i="550"/>
  <c r="AA7" i="550"/>
  <c r="S8" i="550"/>
  <c r="T8" i="550"/>
  <c r="U8" i="550"/>
  <c r="V8" i="550"/>
  <c r="W8" i="550"/>
  <c r="X8" i="550"/>
  <c r="Y8" i="550"/>
  <c r="Z8" i="550"/>
  <c r="AA8" i="550"/>
  <c r="S9" i="550"/>
  <c r="T9" i="550"/>
  <c r="U9" i="550"/>
  <c r="V9" i="550"/>
  <c r="W9" i="550"/>
  <c r="X9" i="550"/>
  <c r="Y9" i="550"/>
  <c r="Z9" i="550"/>
  <c r="AA9" i="550"/>
  <c r="S10" i="550"/>
  <c r="T10" i="550"/>
  <c r="U10" i="550"/>
  <c r="V10" i="550"/>
  <c r="W10" i="550"/>
  <c r="X10" i="550"/>
  <c r="Y10" i="550"/>
  <c r="Z10" i="550"/>
  <c r="AA10" i="550"/>
  <c r="S11" i="550"/>
  <c r="T11" i="550"/>
  <c r="U11" i="550"/>
  <c r="V11" i="550"/>
  <c r="W11" i="550"/>
  <c r="X11" i="550"/>
  <c r="Y11" i="550"/>
  <c r="Z11" i="550"/>
  <c r="AA11" i="550"/>
  <c r="S12" i="550"/>
  <c r="T12" i="550"/>
  <c r="U12" i="550"/>
  <c r="V12" i="550"/>
  <c r="W12" i="550"/>
  <c r="X12" i="550"/>
  <c r="Y12" i="550"/>
  <c r="Z12" i="550"/>
  <c r="AA12" i="550"/>
  <c r="S13" i="550"/>
  <c r="T13" i="550"/>
  <c r="U13" i="550"/>
  <c r="V13" i="550"/>
  <c r="W13" i="550"/>
  <c r="X13" i="550"/>
  <c r="Y13" i="550"/>
  <c r="Z13" i="550"/>
  <c r="AA13" i="550"/>
  <c r="S14" i="550"/>
  <c r="T14" i="550"/>
  <c r="U14" i="550"/>
  <c r="V14" i="550"/>
  <c r="W14" i="550"/>
  <c r="X14" i="550"/>
  <c r="Y14" i="550"/>
  <c r="Z14" i="550"/>
  <c r="AA14" i="550"/>
  <c r="S15" i="550"/>
  <c r="T15" i="550"/>
  <c r="U15" i="550"/>
  <c r="V15" i="550"/>
  <c r="W15" i="550"/>
  <c r="X15" i="550"/>
  <c r="Y15" i="550"/>
  <c r="Z15" i="550"/>
  <c r="AA15" i="550"/>
  <c r="S16" i="550"/>
  <c r="T16" i="550"/>
  <c r="U16" i="550"/>
  <c r="V16" i="550"/>
  <c r="W16" i="550"/>
  <c r="X16" i="550"/>
  <c r="Y16" i="550"/>
  <c r="Z16" i="550"/>
  <c r="AA16" i="550"/>
  <c r="S17" i="550"/>
  <c r="T17" i="550"/>
  <c r="U17" i="550"/>
  <c r="V17" i="550"/>
  <c r="W17" i="550"/>
  <c r="X17" i="550"/>
  <c r="Y17" i="550"/>
  <c r="Z17" i="550"/>
  <c r="AA17" i="550"/>
  <c r="S18" i="550"/>
  <c r="T18" i="550"/>
  <c r="U18" i="550"/>
  <c r="V18" i="550"/>
  <c r="W18" i="550"/>
  <c r="X18" i="550"/>
  <c r="Y18" i="550"/>
  <c r="Z18" i="550"/>
  <c r="AA18" i="550"/>
  <c r="S19" i="550"/>
  <c r="T19" i="550"/>
  <c r="U19" i="550"/>
  <c r="V19" i="550"/>
  <c r="W19" i="550"/>
  <c r="X19" i="550"/>
  <c r="Y19" i="550"/>
  <c r="Z19" i="550"/>
  <c r="AA19" i="550"/>
  <c r="S20" i="550"/>
  <c r="T20" i="550"/>
  <c r="U20" i="550"/>
  <c r="V20" i="550"/>
  <c r="W20" i="550"/>
  <c r="X20" i="550"/>
  <c r="Y20" i="550"/>
  <c r="Z20" i="550"/>
  <c r="AA20" i="550"/>
  <c r="S21" i="550"/>
  <c r="T21" i="550"/>
  <c r="U21" i="550"/>
  <c r="V21" i="550"/>
  <c r="W21" i="550"/>
  <c r="X21" i="550"/>
  <c r="Y21" i="550"/>
  <c r="Z21" i="550"/>
  <c r="AA21" i="550"/>
  <c r="S22" i="550"/>
  <c r="T22" i="550"/>
  <c r="U22" i="550"/>
  <c r="V22" i="550"/>
  <c r="W22" i="550"/>
  <c r="X22" i="550"/>
  <c r="Y22" i="550"/>
  <c r="Z22" i="550"/>
  <c r="AA22" i="550"/>
  <c r="S23" i="550"/>
  <c r="T23" i="550"/>
  <c r="U23" i="550"/>
  <c r="V23" i="550"/>
  <c r="W23" i="550"/>
  <c r="X23" i="550"/>
  <c r="Y23" i="550"/>
  <c r="Z23" i="550"/>
  <c r="AA23" i="550"/>
  <c r="S24" i="550"/>
  <c r="T24" i="550"/>
  <c r="U24" i="550"/>
  <c r="V24" i="550"/>
  <c r="W24" i="550"/>
  <c r="X24" i="550"/>
  <c r="Y24" i="550"/>
  <c r="Z24" i="550"/>
  <c r="AA24" i="550"/>
  <c r="S25" i="550"/>
  <c r="T25" i="550"/>
  <c r="U25" i="550"/>
  <c r="V25" i="550"/>
  <c r="W25" i="550"/>
  <c r="X25" i="550"/>
  <c r="Y25" i="550"/>
  <c r="Z25" i="550"/>
  <c r="AA25" i="550"/>
  <c r="S26" i="550"/>
  <c r="T26" i="550"/>
  <c r="U26" i="550"/>
  <c r="V26" i="550"/>
  <c r="W26" i="550"/>
  <c r="X26" i="550"/>
  <c r="Y26" i="550"/>
  <c r="Z26" i="550"/>
  <c r="AA26" i="550"/>
  <c r="S27" i="550"/>
  <c r="T27" i="550"/>
  <c r="U27" i="550"/>
  <c r="V27" i="550"/>
  <c r="W27" i="550"/>
  <c r="X27" i="550"/>
  <c r="Y27" i="550"/>
  <c r="Z27" i="550"/>
  <c r="AA27" i="550"/>
  <c r="S28" i="550"/>
  <c r="T28" i="550"/>
  <c r="U28" i="550"/>
  <c r="V28" i="550"/>
  <c r="W28" i="550"/>
  <c r="X28" i="550"/>
  <c r="Y28" i="550"/>
  <c r="Z28" i="550"/>
  <c r="AA28" i="550"/>
  <c r="S29" i="550"/>
  <c r="T29" i="550"/>
  <c r="U29" i="550"/>
  <c r="V29" i="550"/>
  <c r="W29" i="550"/>
  <c r="X29" i="550"/>
  <c r="Y29" i="550"/>
  <c r="Z29" i="550"/>
  <c r="AA29" i="550"/>
  <c r="S30" i="550"/>
  <c r="T30" i="550"/>
  <c r="U30" i="550"/>
  <c r="V30" i="550"/>
  <c r="W30" i="550"/>
  <c r="X30" i="550"/>
  <c r="Y30" i="550"/>
  <c r="Z30" i="550"/>
  <c r="AA30" i="550"/>
  <c r="S31" i="550"/>
  <c r="T31" i="550"/>
  <c r="U31" i="550"/>
  <c r="V31" i="550"/>
  <c r="W31" i="550"/>
  <c r="X31" i="550"/>
  <c r="Y31" i="550"/>
  <c r="Z31" i="550"/>
  <c r="AA31" i="550"/>
  <c r="S32" i="550"/>
  <c r="T32" i="550"/>
  <c r="U32" i="550"/>
  <c r="V32" i="550"/>
  <c r="W32" i="550"/>
  <c r="X32" i="550"/>
  <c r="Y32" i="550"/>
  <c r="Z32" i="550"/>
  <c r="AA32" i="550"/>
  <c r="S33" i="550"/>
  <c r="T33" i="550"/>
  <c r="U33" i="550"/>
  <c r="V33" i="550"/>
  <c r="W33" i="550"/>
  <c r="X33" i="550"/>
  <c r="Y33" i="550"/>
  <c r="Z33" i="550"/>
  <c r="AA33" i="550"/>
  <c r="S34" i="550"/>
  <c r="T34" i="550"/>
  <c r="U34" i="550"/>
  <c r="V34" i="550"/>
  <c r="W34" i="550"/>
  <c r="X34" i="550"/>
  <c r="Y34" i="550"/>
  <c r="Z34" i="550"/>
  <c r="AA34" i="550"/>
  <c r="S35" i="550"/>
  <c r="T35" i="550"/>
  <c r="U35" i="550"/>
  <c r="V35" i="550"/>
  <c r="W35" i="550"/>
  <c r="X35" i="550"/>
  <c r="Y35" i="550"/>
  <c r="Z35" i="550"/>
  <c r="AA35" i="550"/>
  <c r="S36" i="550"/>
  <c r="T36" i="550"/>
  <c r="U36" i="550"/>
  <c r="V36" i="550"/>
  <c r="W36" i="550"/>
  <c r="X36" i="550"/>
  <c r="Y36" i="550"/>
  <c r="Z36" i="550"/>
  <c r="AA36" i="550"/>
  <c r="S37" i="550"/>
  <c r="T37" i="550"/>
  <c r="U37" i="550"/>
  <c r="V37" i="550"/>
  <c r="W37" i="550"/>
  <c r="X37" i="550"/>
  <c r="Y37" i="550"/>
  <c r="Z37" i="550"/>
  <c r="AA37" i="550"/>
  <c r="S38" i="550"/>
  <c r="T38" i="550"/>
  <c r="U38" i="550"/>
  <c r="V38" i="550"/>
  <c r="W38" i="550"/>
  <c r="X38" i="550"/>
  <c r="Y38" i="550"/>
  <c r="Z38" i="550"/>
  <c r="AA38" i="550"/>
  <c r="S39" i="550"/>
  <c r="T39" i="550"/>
  <c r="U39" i="550"/>
  <c r="V39" i="550"/>
  <c r="W39" i="550"/>
  <c r="X39" i="550"/>
  <c r="Y39" i="550"/>
  <c r="Z39" i="550"/>
  <c r="AA39" i="550"/>
  <c r="S40" i="550"/>
  <c r="T40" i="550"/>
  <c r="U40" i="550"/>
  <c r="V40" i="550"/>
  <c r="W40" i="550"/>
  <c r="X40" i="550"/>
  <c r="Y40" i="550"/>
  <c r="Z40" i="550"/>
  <c r="AA40" i="550"/>
  <c r="S41" i="550"/>
  <c r="T41" i="550"/>
  <c r="U41" i="550"/>
  <c r="V41" i="550"/>
  <c r="W41" i="550"/>
  <c r="X41" i="550"/>
  <c r="Y41" i="550"/>
  <c r="Z41" i="550"/>
  <c r="AA41" i="550"/>
  <c r="S42" i="550"/>
  <c r="T42" i="550"/>
  <c r="U42" i="550"/>
  <c r="V42" i="550"/>
  <c r="W42" i="550"/>
  <c r="X42" i="550"/>
  <c r="Y42" i="550"/>
  <c r="Z42" i="550"/>
  <c r="AA42" i="550"/>
  <c r="S43" i="550"/>
  <c r="T43" i="550"/>
  <c r="U43" i="550"/>
  <c r="V43" i="550"/>
  <c r="W43" i="550"/>
  <c r="X43" i="550"/>
  <c r="Y43" i="550"/>
  <c r="Z43" i="550"/>
  <c r="AA43" i="550"/>
  <c r="S44" i="550"/>
  <c r="T44" i="550"/>
  <c r="U44" i="550"/>
  <c r="V44" i="550"/>
  <c r="W44" i="550"/>
  <c r="X44" i="550"/>
  <c r="Y44" i="550"/>
  <c r="Z44" i="550"/>
  <c r="AA44" i="550"/>
  <c r="S45" i="550"/>
  <c r="T45" i="550"/>
  <c r="U45" i="550"/>
  <c r="V45" i="550"/>
  <c r="W45" i="550"/>
  <c r="X45" i="550"/>
  <c r="Y45" i="550"/>
  <c r="Z45" i="550"/>
  <c r="AA45" i="550"/>
  <c r="S46" i="550"/>
  <c r="T46" i="550"/>
  <c r="U46" i="550"/>
  <c r="V46" i="550"/>
  <c r="W46" i="550"/>
  <c r="X46" i="550"/>
  <c r="Y46" i="550"/>
  <c r="Z46" i="550"/>
  <c r="AA46" i="550"/>
  <c r="S47" i="550"/>
  <c r="T47" i="550"/>
  <c r="U47" i="550"/>
  <c r="V47" i="550"/>
  <c r="W47" i="550"/>
  <c r="X47" i="550"/>
  <c r="Y47" i="550"/>
  <c r="Z47" i="550"/>
  <c r="AA47" i="550"/>
  <c r="S48" i="550"/>
  <c r="T48" i="550"/>
  <c r="U48" i="550"/>
  <c r="V48" i="550"/>
  <c r="W48" i="550"/>
  <c r="X48" i="550"/>
  <c r="Y48" i="550"/>
  <c r="Z48" i="550"/>
  <c r="AA48" i="550"/>
  <c r="S49" i="550"/>
  <c r="T49" i="550"/>
  <c r="U49" i="550"/>
  <c r="V49" i="550"/>
  <c r="W49" i="550"/>
  <c r="X49" i="550"/>
  <c r="Y49" i="550"/>
  <c r="Z49" i="550"/>
  <c r="AA49" i="550"/>
  <c r="S50" i="550"/>
  <c r="T50" i="550"/>
  <c r="U50" i="550"/>
  <c r="V50" i="550"/>
  <c r="W50" i="550"/>
  <c r="X50" i="550"/>
  <c r="Y50" i="550"/>
  <c r="Z50" i="550"/>
  <c r="AA50" i="550"/>
  <c r="S51" i="550"/>
  <c r="T51" i="550"/>
  <c r="U51" i="550"/>
  <c r="V51" i="550"/>
  <c r="W51" i="550"/>
  <c r="X51" i="550"/>
  <c r="Y51" i="550"/>
  <c r="Z51" i="550"/>
  <c r="AA51" i="550"/>
  <c r="S52" i="550"/>
  <c r="T52" i="550"/>
  <c r="U52" i="550"/>
  <c r="V52" i="550"/>
  <c r="W52" i="550"/>
  <c r="X52" i="550"/>
  <c r="Y52" i="550"/>
  <c r="Z52" i="550"/>
  <c r="AA52" i="550"/>
  <c r="S53" i="550"/>
  <c r="T53" i="550"/>
  <c r="U53" i="550"/>
  <c r="V53" i="550"/>
  <c r="W53" i="550"/>
  <c r="X53" i="550"/>
  <c r="Y53" i="550"/>
  <c r="Z53" i="550"/>
  <c r="AA53" i="550"/>
  <c r="S54" i="550"/>
  <c r="T54" i="550"/>
  <c r="U54" i="550"/>
  <c r="V54" i="550"/>
  <c r="W54" i="550"/>
  <c r="X54" i="550"/>
  <c r="Y54" i="550"/>
  <c r="Z54" i="550"/>
  <c r="AA54" i="550"/>
  <c r="S55" i="550"/>
  <c r="T55" i="550"/>
  <c r="U55" i="550"/>
  <c r="V55" i="550"/>
  <c r="W55" i="550"/>
  <c r="X55" i="550"/>
  <c r="Y55" i="550"/>
  <c r="Z55" i="550"/>
  <c r="AA55" i="550"/>
  <c r="S56" i="550"/>
  <c r="T56" i="550"/>
  <c r="U56" i="550"/>
  <c r="V56" i="550"/>
  <c r="W56" i="550"/>
  <c r="X56" i="550"/>
  <c r="Y56" i="550"/>
  <c r="Z56" i="550"/>
  <c r="AA56" i="550"/>
  <c r="S57" i="550"/>
  <c r="T57" i="550"/>
  <c r="U57" i="550"/>
  <c r="V57" i="550"/>
  <c r="W57" i="550"/>
  <c r="X57" i="550"/>
  <c r="Y57" i="550"/>
  <c r="Z57" i="550"/>
  <c r="AA57" i="550"/>
  <c r="S58" i="550"/>
  <c r="T58" i="550"/>
  <c r="U58" i="550"/>
  <c r="V58" i="550"/>
  <c r="W58" i="550"/>
  <c r="X58" i="550"/>
  <c r="Y58" i="550"/>
  <c r="Z58" i="550"/>
  <c r="AA58" i="550"/>
  <c r="S59" i="550"/>
  <c r="T59" i="550"/>
  <c r="U59" i="550"/>
  <c r="V59" i="550"/>
  <c r="W59" i="550"/>
  <c r="X59" i="550"/>
  <c r="Y59" i="550"/>
  <c r="Z59" i="550"/>
  <c r="AA59" i="550"/>
  <c r="S60" i="550"/>
  <c r="T60" i="550"/>
  <c r="U60" i="550"/>
  <c r="V60" i="550"/>
  <c r="W60" i="550"/>
  <c r="X60" i="550"/>
  <c r="Y60" i="550"/>
  <c r="Z60" i="550"/>
  <c r="AA60" i="550"/>
  <c r="S61" i="550"/>
  <c r="T61" i="550"/>
  <c r="U61" i="550"/>
  <c r="V61" i="550"/>
  <c r="W61" i="550"/>
  <c r="X61" i="550"/>
  <c r="Y61" i="550"/>
  <c r="Z61" i="550"/>
  <c r="AA61" i="550"/>
  <c r="S62" i="550"/>
  <c r="T62" i="550"/>
  <c r="U62" i="550"/>
  <c r="V62" i="550"/>
  <c r="W62" i="550"/>
  <c r="X62" i="550"/>
  <c r="Y62" i="550"/>
  <c r="Z62" i="550"/>
  <c r="AA62" i="550"/>
  <c r="S63" i="550"/>
  <c r="T63" i="550"/>
  <c r="U63" i="550"/>
  <c r="V63" i="550"/>
  <c r="W63" i="550"/>
  <c r="X63" i="550"/>
  <c r="Y63" i="550"/>
  <c r="Z63" i="550"/>
  <c r="AA63" i="550"/>
  <c r="S64" i="550"/>
  <c r="T64" i="550"/>
  <c r="U64" i="550"/>
  <c r="V64" i="550"/>
  <c r="W64" i="550"/>
  <c r="X64" i="550"/>
  <c r="Y64" i="550"/>
  <c r="Z64" i="550"/>
  <c r="AA64" i="550"/>
  <c r="S65" i="550"/>
  <c r="T65" i="550"/>
  <c r="U65" i="550"/>
  <c r="V65" i="550"/>
  <c r="W65" i="550"/>
  <c r="X65" i="550"/>
  <c r="Y65" i="550"/>
  <c r="Z65" i="550"/>
  <c r="AA65" i="550"/>
  <c r="S66" i="550"/>
  <c r="T66" i="550"/>
  <c r="U66" i="550"/>
  <c r="V66" i="550"/>
  <c r="W66" i="550"/>
  <c r="X66" i="550"/>
  <c r="Y66" i="550"/>
  <c r="Z66" i="550"/>
  <c r="AA66" i="550"/>
  <c r="N66" i="550"/>
  <c r="N59" i="550"/>
  <c r="L60" i="550"/>
  <c r="L61" i="550"/>
  <c r="L62" i="550"/>
  <c r="P62" i="550"/>
  <c r="N62" i="550"/>
  <c r="L63" i="550"/>
  <c r="P63" i="550"/>
  <c r="N63" i="550"/>
  <c r="L64" i="550"/>
  <c r="P64" i="550"/>
  <c r="N64" i="550"/>
  <c r="L65" i="550"/>
  <c r="P65" i="550"/>
  <c r="N65" i="550"/>
  <c r="L66" i="550"/>
  <c r="R60" i="550"/>
  <c r="R59" i="550"/>
  <c r="R61" i="550"/>
  <c r="R62" i="550"/>
  <c r="R63" i="550"/>
  <c r="R64" i="550"/>
  <c r="R65" i="550"/>
  <c r="R66" i="550"/>
  <c r="R33" i="550"/>
  <c r="R34" i="550"/>
  <c r="R25" i="550"/>
  <c r="R26" i="550"/>
  <c r="R27" i="550"/>
  <c r="R28" i="550"/>
  <c r="R29" i="550"/>
  <c r="R30" i="550"/>
  <c r="R31" i="550"/>
  <c r="R32" i="550"/>
  <c r="R35" i="550"/>
  <c r="R36" i="550"/>
  <c r="R37" i="550"/>
  <c r="R38" i="550"/>
  <c r="R39" i="550"/>
  <c r="R40" i="550"/>
  <c r="R41" i="550"/>
  <c r="R42" i="550"/>
  <c r="R43" i="550"/>
  <c r="U4" i="550"/>
  <c r="C36" i="550"/>
  <c r="O36" i="550"/>
  <c r="P36" i="550"/>
  <c r="N36" i="550"/>
  <c r="L37" i="550"/>
  <c r="X4" i="550"/>
  <c r="C37" i="550"/>
  <c r="O37" i="550"/>
  <c r="P37" i="550"/>
  <c r="N37" i="550"/>
  <c r="L38" i="550"/>
  <c r="C38" i="550"/>
  <c r="O38" i="550"/>
  <c r="P38" i="550"/>
  <c r="N38" i="550"/>
  <c r="L39" i="550"/>
  <c r="V4" i="550"/>
  <c r="C39" i="550"/>
  <c r="O39" i="550"/>
  <c r="P39" i="550"/>
  <c r="N39" i="550"/>
  <c r="L40" i="550"/>
  <c r="W4" i="550"/>
  <c r="C40" i="550"/>
  <c r="O40" i="550"/>
  <c r="P40" i="550"/>
  <c r="N40" i="550"/>
  <c r="L41" i="550"/>
  <c r="Y4" i="550"/>
  <c r="C41" i="550"/>
  <c r="O41" i="550"/>
  <c r="P41" i="550"/>
  <c r="N41" i="550"/>
  <c r="L42" i="550"/>
  <c r="AA4" i="550"/>
  <c r="C42" i="550"/>
  <c r="O42" i="550"/>
  <c r="P42" i="550"/>
  <c r="N42" i="550"/>
  <c r="L43" i="550"/>
  <c r="R49" i="550"/>
  <c r="R45" i="550"/>
  <c r="R44" i="550"/>
  <c r="R46" i="550"/>
  <c r="R47" i="550"/>
  <c r="R48" i="550"/>
  <c r="R50" i="550"/>
  <c r="C44" i="550"/>
  <c r="O44" i="550"/>
  <c r="P44" i="550"/>
  <c r="N44" i="550"/>
  <c r="L45" i="550"/>
  <c r="Z4" i="550"/>
  <c r="C45" i="550"/>
  <c r="O45" i="550"/>
  <c r="P45" i="550"/>
  <c r="N45" i="550"/>
  <c r="L46" i="550"/>
  <c r="C46" i="550"/>
  <c r="O46" i="550"/>
  <c r="P46" i="550"/>
  <c r="N46" i="550"/>
  <c r="L48" i="550"/>
  <c r="C48" i="550"/>
  <c r="O48" i="550"/>
  <c r="P48" i="550"/>
  <c r="N48" i="550"/>
  <c r="L49" i="550"/>
  <c r="C49" i="550"/>
  <c r="O49" i="550"/>
  <c r="P49" i="550"/>
  <c r="N49" i="550"/>
  <c r="L50" i="550"/>
  <c r="Q48" i="550"/>
  <c r="C47" i="550"/>
  <c r="O47" i="550"/>
  <c r="P47" i="550"/>
  <c r="Q47" i="550"/>
  <c r="N47" i="550"/>
  <c r="L47" i="550"/>
  <c r="Q46" i="550"/>
  <c r="R19" i="550"/>
  <c r="R20" i="550"/>
  <c r="R21" i="550"/>
  <c r="R22" i="550"/>
  <c r="R23" i="550"/>
  <c r="R24" i="550"/>
  <c r="C19" i="550"/>
  <c r="O19" i="550"/>
  <c r="P19" i="550"/>
  <c r="N19" i="550"/>
  <c r="C20" i="550"/>
  <c r="O20" i="550"/>
  <c r="P20" i="550"/>
  <c r="N20" i="550"/>
  <c r="C21" i="550"/>
  <c r="O21" i="550"/>
  <c r="P21" i="550"/>
  <c r="N21" i="550"/>
  <c r="C22" i="550"/>
  <c r="O22" i="550"/>
  <c r="P22" i="550"/>
  <c r="N22" i="550"/>
  <c r="C23" i="550"/>
  <c r="O23" i="550"/>
  <c r="P23" i="550"/>
  <c r="N23" i="550"/>
  <c r="N24" i="550"/>
  <c r="C12" i="550"/>
  <c r="O12" i="550"/>
  <c r="P12" i="550"/>
  <c r="N12" i="550"/>
  <c r="L13" i="550"/>
  <c r="C13" i="550"/>
  <c r="O13" i="550"/>
  <c r="P13" i="550"/>
  <c r="N13" i="550"/>
  <c r="L14" i="550"/>
  <c r="C14" i="550"/>
  <c r="O14" i="550"/>
  <c r="P14" i="550"/>
  <c r="N14" i="550"/>
  <c r="L15" i="550"/>
  <c r="C15" i="550"/>
  <c r="O15" i="550"/>
  <c r="P15" i="550"/>
  <c r="N15" i="550"/>
  <c r="L16" i="550"/>
  <c r="C16" i="550"/>
  <c r="O16" i="550"/>
  <c r="P16" i="550"/>
  <c r="N16" i="550"/>
  <c r="L17" i="550"/>
  <c r="C17" i="550"/>
  <c r="O17" i="550"/>
  <c r="P17" i="550"/>
  <c r="N17" i="550"/>
  <c r="L18" i="550"/>
  <c r="L20" i="550"/>
  <c r="L21" i="550"/>
  <c r="L22" i="550"/>
  <c r="L23" i="550"/>
  <c r="L24" i="550"/>
  <c r="C24" i="550"/>
  <c r="C25" i="550"/>
  <c r="O25" i="550"/>
  <c r="P25" i="550"/>
  <c r="N25" i="550"/>
  <c r="C30" i="550"/>
  <c r="O30" i="550"/>
  <c r="P30" i="550"/>
  <c r="N30" i="550"/>
  <c r="C31" i="550"/>
  <c r="O31" i="550"/>
  <c r="P31" i="550"/>
  <c r="N31" i="550"/>
  <c r="C32" i="550"/>
  <c r="O32" i="550"/>
  <c r="P32" i="550"/>
  <c r="N32" i="550"/>
  <c r="C33" i="550"/>
  <c r="O33" i="550"/>
  <c r="P33" i="550"/>
  <c r="N33" i="550"/>
  <c r="C34" i="550"/>
  <c r="O34" i="550"/>
  <c r="P34" i="550"/>
  <c r="N34" i="550"/>
  <c r="C29" i="550"/>
  <c r="C28" i="550"/>
  <c r="C27" i="550"/>
  <c r="C26" i="550"/>
  <c r="C35" i="550"/>
  <c r="O29" i="550"/>
  <c r="P29" i="550"/>
  <c r="N29" i="550"/>
  <c r="L26" i="550"/>
  <c r="O26" i="550"/>
  <c r="P26" i="550"/>
  <c r="N26" i="550"/>
  <c r="L27" i="550"/>
  <c r="O27" i="550"/>
  <c r="P27" i="550"/>
  <c r="N27" i="550"/>
  <c r="L28" i="550"/>
  <c r="O28" i="550"/>
  <c r="P28" i="550"/>
  <c r="N28" i="550"/>
  <c r="L29" i="550"/>
  <c r="R12" i="550"/>
  <c r="R13" i="550"/>
  <c r="R14" i="550"/>
  <c r="R15" i="550"/>
  <c r="R16" i="550"/>
  <c r="R17" i="550"/>
  <c r="R18" i="550"/>
  <c r="C11" i="550"/>
  <c r="C18" i="550"/>
  <c r="C5" i="550"/>
  <c r="O5" i="550"/>
  <c r="P5" i="550"/>
  <c r="N5" i="550"/>
  <c r="L6" i="550"/>
  <c r="C6" i="550"/>
  <c r="O6" i="550"/>
  <c r="P6" i="550"/>
  <c r="N6" i="550"/>
  <c r="L8" i="550"/>
  <c r="C8" i="550"/>
  <c r="O8" i="550"/>
  <c r="P8" i="550"/>
  <c r="N8" i="550"/>
  <c r="L10" i="550"/>
  <c r="C10" i="550"/>
  <c r="O10" i="550"/>
  <c r="P10" i="550"/>
  <c r="N10" i="550"/>
  <c r="L11" i="550"/>
  <c r="Q8" i="550"/>
  <c r="C9" i="550"/>
  <c r="O9" i="550"/>
  <c r="P9" i="550"/>
  <c r="Q9" i="550"/>
  <c r="C7" i="550"/>
  <c r="O7" i="550"/>
  <c r="P7" i="550"/>
  <c r="Q7" i="550"/>
  <c r="R10" i="550"/>
  <c r="R9" i="550"/>
  <c r="N9" i="550"/>
  <c r="L7" i="550"/>
  <c r="N7" i="550"/>
  <c r="L9" i="550"/>
  <c r="R8" i="550"/>
  <c r="R7" i="550"/>
  <c r="R6" i="550"/>
  <c r="N50" i="407"/>
  <c r="R50" i="407"/>
  <c r="R54" i="407"/>
  <c r="R47" i="407"/>
  <c r="V50" i="407"/>
  <c r="V55" i="407"/>
  <c r="W50" i="407"/>
  <c r="W55" i="407"/>
  <c r="S50" i="407"/>
  <c r="X50" i="407"/>
  <c r="X55" i="407"/>
  <c r="Y50" i="407"/>
  <c r="Y55" i="407"/>
  <c r="Z50" i="407"/>
  <c r="Z55" i="407"/>
  <c r="AA50" i="407"/>
  <c r="AA55" i="407"/>
  <c r="U50" i="407"/>
  <c r="U55" i="407"/>
  <c r="S6" i="407"/>
  <c r="T6" i="407"/>
  <c r="U6" i="407"/>
  <c r="V6" i="407"/>
  <c r="W6" i="407"/>
  <c r="X6" i="407"/>
  <c r="Y6" i="407"/>
  <c r="Z6" i="407"/>
  <c r="AA6" i="407"/>
  <c r="S7" i="407"/>
  <c r="T7" i="407"/>
  <c r="U7" i="407"/>
  <c r="V7" i="407"/>
  <c r="W7" i="407"/>
  <c r="X7" i="407"/>
  <c r="Y7" i="407"/>
  <c r="Z7" i="407"/>
  <c r="AA7" i="407"/>
  <c r="S8" i="407"/>
  <c r="T8" i="407"/>
  <c r="U8" i="407"/>
  <c r="V8" i="407"/>
  <c r="W8" i="407"/>
  <c r="X8" i="407"/>
  <c r="Y8" i="407"/>
  <c r="Z8" i="407"/>
  <c r="AA8" i="407"/>
  <c r="S9" i="407"/>
  <c r="T9" i="407"/>
  <c r="U9" i="407"/>
  <c r="V9" i="407"/>
  <c r="W9" i="407"/>
  <c r="X9" i="407"/>
  <c r="Y9" i="407"/>
  <c r="Z9" i="407"/>
  <c r="AA9" i="407"/>
  <c r="S10" i="407"/>
  <c r="T10" i="407"/>
  <c r="U10" i="407"/>
  <c r="V10" i="407"/>
  <c r="W10" i="407"/>
  <c r="X10" i="407"/>
  <c r="Y10" i="407"/>
  <c r="Z10" i="407"/>
  <c r="AA10" i="407"/>
  <c r="S11" i="407"/>
  <c r="T11" i="407"/>
  <c r="U11" i="407"/>
  <c r="V11" i="407"/>
  <c r="W11" i="407"/>
  <c r="X11" i="407"/>
  <c r="Y11" i="407"/>
  <c r="Z11" i="407"/>
  <c r="AA11" i="407"/>
  <c r="S12" i="407"/>
  <c r="T12" i="407"/>
  <c r="U12" i="407"/>
  <c r="V12" i="407"/>
  <c r="W12" i="407"/>
  <c r="X12" i="407"/>
  <c r="Y12" i="407"/>
  <c r="Z12" i="407"/>
  <c r="AA12" i="407"/>
  <c r="S13" i="407"/>
  <c r="T13" i="407"/>
  <c r="U13" i="407"/>
  <c r="V13" i="407"/>
  <c r="W13" i="407"/>
  <c r="X13" i="407"/>
  <c r="Y13" i="407"/>
  <c r="Z13" i="407"/>
  <c r="AA13" i="407"/>
  <c r="S14" i="407"/>
  <c r="T14" i="407"/>
  <c r="U14" i="407"/>
  <c r="V14" i="407"/>
  <c r="W14" i="407"/>
  <c r="X14" i="407"/>
  <c r="Y14" i="407"/>
  <c r="Z14" i="407"/>
  <c r="AA14" i="407"/>
  <c r="S15" i="407"/>
  <c r="T15" i="407"/>
  <c r="U15" i="407"/>
  <c r="V15" i="407"/>
  <c r="W15" i="407"/>
  <c r="X15" i="407"/>
  <c r="Y15" i="407"/>
  <c r="Z15" i="407"/>
  <c r="AA15" i="407"/>
  <c r="S16" i="407"/>
  <c r="T16" i="407"/>
  <c r="U16" i="407"/>
  <c r="V16" i="407"/>
  <c r="W16" i="407"/>
  <c r="X16" i="407"/>
  <c r="Y16" i="407"/>
  <c r="Z16" i="407"/>
  <c r="AA16" i="407"/>
  <c r="S17" i="407"/>
  <c r="T17" i="407"/>
  <c r="U17" i="407"/>
  <c r="V17" i="407"/>
  <c r="W17" i="407"/>
  <c r="X17" i="407"/>
  <c r="Y17" i="407"/>
  <c r="Z17" i="407"/>
  <c r="AA17" i="407"/>
  <c r="S18" i="407"/>
  <c r="T18" i="407"/>
  <c r="U18" i="407"/>
  <c r="V18" i="407"/>
  <c r="W18" i="407"/>
  <c r="X18" i="407"/>
  <c r="Y18" i="407"/>
  <c r="Z18" i="407"/>
  <c r="AA18" i="407"/>
  <c r="S19" i="407"/>
  <c r="T19" i="407"/>
  <c r="U19" i="407"/>
  <c r="V19" i="407"/>
  <c r="W19" i="407"/>
  <c r="X19" i="407"/>
  <c r="Y19" i="407"/>
  <c r="Z19" i="407"/>
  <c r="AA19" i="407"/>
  <c r="S20" i="407"/>
  <c r="T20" i="407"/>
  <c r="U20" i="407"/>
  <c r="V20" i="407"/>
  <c r="W20" i="407"/>
  <c r="X20" i="407"/>
  <c r="Y20" i="407"/>
  <c r="Z20" i="407"/>
  <c r="AA20" i="407"/>
  <c r="S21" i="407"/>
  <c r="T21" i="407"/>
  <c r="U21" i="407"/>
  <c r="V21" i="407"/>
  <c r="W21" i="407"/>
  <c r="X21" i="407"/>
  <c r="Y21" i="407"/>
  <c r="Z21" i="407"/>
  <c r="AA21" i="407"/>
  <c r="S22" i="407"/>
  <c r="T22" i="407"/>
  <c r="U22" i="407"/>
  <c r="V22" i="407"/>
  <c r="W22" i="407"/>
  <c r="X22" i="407"/>
  <c r="Y22" i="407"/>
  <c r="Z22" i="407"/>
  <c r="AA22" i="407"/>
  <c r="S23" i="407"/>
  <c r="T23" i="407"/>
  <c r="U23" i="407"/>
  <c r="V23" i="407"/>
  <c r="W23" i="407"/>
  <c r="X23" i="407"/>
  <c r="Y23" i="407"/>
  <c r="Z23" i="407"/>
  <c r="AA23" i="407"/>
  <c r="S24" i="407"/>
  <c r="T24" i="407"/>
  <c r="U24" i="407"/>
  <c r="V24" i="407"/>
  <c r="W24" i="407"/>
  <c r="X24" i="407"/>
  <c r="Y24" i="407"/>
  <c r="Z24" i="407"/>
  <c r="AA24" i="407"/>
  <c r="S25" i="407"/>
  <c r="T25" i="407"/>
  <c r="U25" i="407"/>
  <c r="V25" i="407"/>
  <c r="W25" i="407"/>
  <c r="X25" i="407"/>
  <c r="Y25" i="407"/>
  <c r="Z25" i="407"/>
  <c r="AA25" i="407"/>
  <c r="S26" i="407"/>
  <c r="T26" i="407"/>
  <c r="U26" i="407"/>
  <c r="V26" i="407"/>
  <c r="W26" i="407"/>
  <c r="X26" i="407"/>
  <c r="Y26" i="407"/>
  <c r="Z26" i="407"/>
  <c r="AA26" i="407"/>
  <c r="S27" i="407"/>
  <c r="T27" i="407"/>
  <c r="U27" i="407"/>
  <c r="V27" i="407"/>
  <c r="W27" i="407"/>
  <c r="X27" i="407"/>
  <c r="Y27" i="407"/>
  <c r="Z27" i="407"/>
  <c r="AA27" i="407"/>
  <c r="S28" i="407"/>
  <c r="T28" i="407"/>
  <c r="U28" i="407"/>
  <c r="V28" i="407"/>
  <c r="W28" i="407"/>
  <c r="X28" i="407"/>
  <c r="Y28" i="407"/>
  <c r="Z28" i="407"/>
  <c r="AA28" i="407"/>
  <c r="S29" i="407"/>
  <c r="T29" i="407"/>
  <c r="U29" i="407"/>
  <c r="V29" i="407"/>
  <c r="W29" i="407"/>
  <c r="X29" i="407"/>
  <c r="Y29" i="407"/>
  <c r="Z29" i="407"/>
  <c r="AA29" i="407"/>
  <c r="S30" i="407"/>
  <c r="T30" i="407"/>
  <c r="U30" i="407"/>
  <c r="V30" i="407"/>
  <c r="W30" i="407"/>
  <c r="X30" i="407"/>
  <c r="Y30" i="407"/>
  <c r="Z30" i="407"/>
  <c r="AA30" i="407"/>
  <c r="S31" i="407"/>
  <c r="T31" i="407"/>
  <c r="U31" i="407"/>
  <c r="V31" i="407"/>
  <c r="W31" i="407"/>
  <c r="X31" i="407"/>
  <c r="Y31" i="407"/>
  <c r="Z31" i="407"/>
  <c r="AA31" i="407"/>
  <c r="S32" i="407"/>
  <c r="T32" i="407"/>
  <c r="U32" i="407"/>
  <c r="V32" i="407"/>
  <c r="W32" i="407"/>
  <c r="X32" i="407"/>
  <c r="Y32" i="407"/>
  <c r="Z32" i="407"/>
  <c r="AA32" i="407"/>
  <c r="S33" i="407"/>
  <c r="T33" i="407"/>
  <c r="U33" i="407"/>
  <c r="V33" i="407"/>
  <c r="W33" i="407"/>
  <c r="X33" i="407"/>
  <c r="Y33" i="407"/>
  <c r="Z33" i="407"/>
  <c r="AA33" i="407"/>
  <c r="S34" i="407"/>
  <c r="T34" i="407"/>
  <c r="U34" i="407"/>
  <c r="V34" i="407"/>
  <c r="W34" i="407"/>
  <c r="X34" i="407"/>
  <c r="Y34" i="407"/>
  <c r="Z34" i="407"/>
  <c r="AA34" i="407"/>
  <c r="S35" i="407"/>
  <c r="T35" i="407"/>
  <c r="U35" i="407"/>
  <c r="V35" i="407"/>
  <c r="W35" i="407"/>
  <c r="X35" i="407"/>
  <c r="Y35" i="407"/>
  <c r="Z35" i="407"/>
  <c r="AA35" i="407"/>
  <c r="S36" i="407"/>
  <c r="T36" i="407"/>
  <c r="U36" i="407"/>
  <c r="V36" i="407"/>
  <c r="W36" i="407"/>
  <c r="X36" i="407"/>
  <c r="Y36" i="407"/>
  <c r="Z36" i="407"/>
  <c r="AA36" i="407"/>
  <c r="S37" i="407"/>
  <c r="T37" i="407"/>
  <c r="U37" i="407"/>
  <c r="V37" i="407"/>
  <c r="W37" i="407"/>
  <c r="X37" i="407"/>
  <c r="Y37" i="407"/>
  <c r="Z37" i="407"/>
  <c r="AA37" i="407"/>
  <c r="S38" i="407"/>
  <c r="T38" i="407"/>
  <c r="U38" i="407"/>
  <c r="V38" i="407"/>
  <c r="W38" i="407"/>
  <c r="X38" i="407"/>
  <c r="Y38" i="407"/>
  <c r="Z38" i="407"/>
  <c r="AA38" i="407"/>
  <c r="S39" i="407"/>
  <c r="T39" i="407"/>
  <c r="U39" i="407"/>
  <c r="V39" i="407"/>
  <c r="W39" i="407"/>
  <c r="X39" i="407"/>
  <c r="Y39" i="407"/>
  <c r="Z39" i="407"/>
  <c r="AA39" i="407"/>
  <c r="S40" i="407"/>
  <c r="T40" i="407"/>
  <c r="U40" i="407"/>
  <c r="V40" i="407"/>
  <c r="W40" i="407"/>
  <c r="X40" i="407"/>
  <c r="Y40" i="407"/>
  <c r="Z40" i="407"/>
  <c r="AA40" i="407"/>
  <c r="S41" i="407"/>
  <c r="T41" i="407"/>
  <c r="U41" i="407"/>
  <c r="V41" i="407"/>
  <c r="W41" i="407"/>
  <c r="X41" i="407"/>
  <c r="Y41" i="407"/>
  <c r="Z41" i="407"/>
  <c r="AA41" i="407"/>
  <c r="S42" i="407"/>
  <c r="T42" i="407"/>
  <c r="U42" i="407"/>
  <c r="V42" i="407"/>
  <c r="W42" i="407"/>
  <c r="X42" i="407"/>
  <c r="Y42" i="407"/>
  <c r="Z42" i="407"/>
  <c r="AA42" i="407"/>
  <c r="S43" i="407"/>
  <c r="T43" i="407"/>
  <c r="U43" i="407"/>
  <c r="V43" i="407"/>
  <c r="W43" i="407"/>
  <c r="X43" i="407"/>
  <c r="Y43" i="407"/>
  <c r="Z43" i="407"/>
  <c r="AA43" i="407"/>
  <c r="S44" i="407"/>
  <c r="T44" i="407"/>
  <c r="U44" i="407"/>
  <c r="V44" i="407"/>
  <c r="W44" i="407"/>
  <c r="X44" i="407"/>
  <c r="Y44" i="407"/>
  <c r="Z44" i="407"/>
  <c r="AA44" i="407"/>
  <c r="S45" i="407"/>
  <c r="T45" i="407"/>
  <c r="U45" i="407"/>
  <c r="V45" i="407"/>
  <c r="W45" i="407"/>
  <c r="X45" i="407"/>
  <c r="Y45" i="407"/>
  <c r="Z45" i="407"/>
  <c r="AA45" i="407"/>
  <c r="S46" i="407"/>
  <c r="T46" i="407"/>
  <c r="U46" i="407"/>
  <c r="V46" i="407"/>
  <c r="W46" i="407"/>
  <c r="X46" i="407"/>
  <c r="Y46" i="407"/>
  <c r="Z46" i="407"/>
  <c r="AA46" i="407"/>
  <c r="S47" i="407"/>
  <c r="T47" i="407"/>
  <c r="U47" i="407"/>
  <c r="V47" i="407"/>
  <c r="W47" i="407"/>
  <c r="X47" i="407"/>
  <c r="Y47" i="407"/>
  <c r="Z47" i="407"/>
  <c r="AA47" i="407"/>
  <c r="S48" i="407"/>
  <c r="T48" i="407"/>
  <c r="U48" i="407"/>
  <c r="V48" i="407"/>
  <c r="W48" i="407"/>
  <c r="X48" i="407"/>
  <c r="Y48" i="407"/>
  <c r="Z48" i="407"/>
  <c r="AA48" i="407"/>
  <c r="S49" i="407"/>
  <c r="T49" i="407"/>
  <c r="U49" i="407"/>
  <c r="V49" i="407"/>
  <c r="W49" i="407"/>
  <c r="X49" i="407"/>
  <c r="Y49" i="407"/>
  <c r="Z49" i="407"/>
  <c r="AA49" i="407"/>
  <c r="T50" i="407"/>
  <c r="S51" i="407"/>
  <c r="T51" i="407"/>
  <c r="U51" i="407"/>
  <c r="V51" i="407"/>
  <c r="W51" i="407"/>
  <c r="X51" i="407"/>
  <c r="Y51" i="407"/>
  <c r="Z51" i="407"/>
  <c r="AA51" i="407"/>
  <c r="S52" i="407"/>
  <c r="T52" i="407"/>
  <c r="U52" i="407"/>
  <c r="V52" i="407"/>
  <c r="W52" i="407"/>
  <c r="X52" i="407"/>
  <c r="Y52" i="407"/>
  <c r="Z52" i="407"/>
  <c r="AA52" i="407"/>
  <c r="S53" i="407"/>
  <c r="T53" i="407"/>
  <c r="U53" i="407"/>
  <c r="V53" i="407"/>
  <c r="W53" i="407"/>
  <c r="X53" i="407"/>
  <c r="Y53" i="407"/>
  <c r="Z53" i="407"/>
  <c r="AA53" i="407"/>
  <c r="S54" i="407"/>
  <c r="T54" i="407"/>
  <c r="U54" i="407"/>
  <c r="V54" i="407"/>
  <c r="W54" i="407"/>
  <c r="X54" i="407"/>
  <c r="Y54" i="407"/>
  <c r="Z54" i="407"/>
  <c r="AA54" i="407"/>
  <c r="S55" i="407"/>
  <c r="T55" i="407"/>
  <c r="C6" i="407"/>
  <c r="C7" i="407"/>
  <c r="C8" i="407"/>
  <c r="C9" i="407"/>
  <c r="C10" i="407"/>
  <c r="C11" i="407"/>
  <c r="C12" i="407"/>
  <c r="C13" i="407"/>
  <c r="C14" i="407"/>
  <c r="C15" i="407"/>
  <c r="C16" i="407"/>
  <c r="C17" i="407"/>
  <c r="C18" i="407"/>
  <c r="C19" i="407"/>
  <c r="C20" i="407"/>
  <c r="C21" i="407"/>
  <c r="C22" i="407"/>
  <c r="C23" i="407"/>
  <c r="C24" i="407"/>
  <c r="C25" i="407"/>
  <c r="C26" i="407"/>
  <c r="C27" i="407"/>
  <c r="C28" i="407"/>
  <c r="C29" i="407"/>
  <c r="C30" i="407"/>
  <c r="C31" i="407"/>
  <c r="C32" i="407"/>
  <c r="C33" i="407"/>
  <c r="C34" i="407"/>
  <c r="C35" i="407"/>
  <c r="C36" i="407"/>
  <c r="C37" i="407"/>
  <c r="C38" i="407"/>
  <c r="C39" i="407"/>
  <c r="C40" i="407"/>
  <c r="C41" i="407"/>
  <c r="C42" i="407"/>
  <c r="C43" i="407"/>
  <c r="C44" i="407"/>
  <c r="C45" i="407"/>
  <c r="C46" i="407"/>
  <c r="C47" i="407"/>
  <c r="C48" i="407"/>
  <c r="C49" i="407"/>
  <c r="C50" i="407"/>
  <c r="C51" i="407"/>
  <c r="C52" i="407"/>
  <c r="C53" i="407"/>
  <c r="C54" i="407"/>
  <c r="R48" i="407"/>
  <c r="R49" i="407"/>
  <c r="R51" i="407"/>
  <c r="R52" i="407"/>
  <c r="R53" i="407"/>
  <c r="O54" i="407"/>
  <c r="O46" i="407"/>
  <c r="P46" i="407"/>
  <c r="N46" i="407"/>
  <c r="O39" i="407"/>
  <c r="P39" i="407"/>
  <c r="N39" i="407"/>
  <c r="O40" i="407"/>
  <c r="P40" i="407"/>
  <c r="N40" i="407"/>
  <c r="O41" i="407"/>
  <c r="P41" i="407"/>
  <c r="N41" i="407"/>
  <c r="O42" i="407"/>
  <c r="P42" i="407"/>
  <c r="N42" i="407"/>
  <c r="O43" i="407"/>
  <c r="P43" i="407"/>
  <c r="N43" i="407"/>
  <c r="O44" i="407"/>
  <c r="P44" i="407"/>
  <c r="N44" i="407"/>
  <c r="O45" i="407"/>
  <c r="P45" i="407"/>
  <c r="N45" i="407"/>
  <c r="N47" i="407"/>
  <c r="O48" i="407"/>
  <c r="P48" i="407"/>
  <c r="N48" i="407"/>
  <c r="O49" i="407"/>
  <c r="P49" i="407"/>
  <c r="N49" i="407"/>
  <c r="O51" i="407"/>
  <c r="P51" i="407"/>
  <c r="N51" i="407"/>
  <c r="O52" i="407"/>
  <c r="P52" i="407"/>
  <c r="N52" i="407"/>
  <c r="O53" i="407"/>
  <c r="P53" i="407"/>
  <c r="N53" i="407"/>
  <c r="L49" i="407"/>
  <c r="L50" i="407"/>
  <c r="L51" i="407"/>
  <c r="L52" i="407"/>
  <c r="L53" i="407"/>
  <c r="L54" i="407"/>
  <c r="O50" i="407"/>
  <c r="P50" i="407"/>
  <c r="R39" i="407"/>
  <c r="R40" i="407"/>
  <c r="R41" i="407"/>
  <c r="R42" i="407"/>
  <c r="R43" i="407"/>
  <c r="R44" i="407"/>
  <c r="R45" i="407"/>
  <c r="R46" i="407"/>
  <c r="O32" i="407"/>
  <c r="P32" i="407"/>
  <c r="N32" i="407"/>
  <c r="L33" i="407"/>
  <c r="O33" i="407"/>
  <c r="P33" i="407"/>
  <c r="N33" i="407"/>
  <c r="L34" i="407"/>
  <c r="O34" i="407"/>
  <c r="P34" i="407"/>
  <c r="N34" i="407"/>
  <c r="L35" i="407"/>
  <c r="O35" i="407"/>
  <c r="P35" i="407"/>
  <c r="N35" i="407"/>
  <c r="L36" i="407"/>
  <c r="O36" i="407"/>
  <c r="P36" i="407"/>
  <c r="N36" i="407"/>
  <c r="L37" i="407"/>
  <c r="O37" i="407"/>
  <c r="P37" i="407"/>
  <c r="N37" i="407"/>
  <c r="L38" i="407"/>
  <c r="L40" i="407"/>
  <c r="L41" i="407"/>
  <c r="L42" i="407"/>
  <c r="L43" i="407"/>
  <c r="L44" i="407"/>
  <c r="L45" i="407"/>
  <c r="L46" i="407"/>
  <c r="L47" i="407"/>
  <c r="R32" i="407"/>
  <c r="R33" i="407"/>
  <c r="R34" i="407"/>
  <c r="R35" i="407"/>
  <c r="R36" i="407"/>
  <c r="R37" i="407"/>
  <c r="R38" i="407"/>
  <c r="R44" i="548"/>
  <c r="R39" i="548"/>
  <c r="R38" i="548"/>
  <c r="L38" i="548"/>
  <c r="O37" i="548"/>
  <c r="P37" i="548"/>
  <c r="N37" i="548"/>
  <c r="L40" i="548"/>
  <c r="L41" i="548"/>
  <c r="L42" i="548"/>
  <c r="L43" i="548"/>
  <c r="C7" i="548"/>
  <c r="C8" i="548"/>
  <c r="C9" i="548"/>
  <c r="C10" i="548"/>
  <c r="C11" i="548"/>
  <c r="C12" i="548"/>
  <c r="C13" i="548"/>
  <c r="C14" i="548"/>
  <c r="C15" i="548"/>
  <c r="C16" i="548"/>
  <c r="C17" i="548"/>
  <c r="C18" i="548"/>
  <c r="C19" i="548"/>
  <c r="C20" i="548"/>
  <c r="C21" i="548"/>
  <c r="C22" i="548"/>
  <c r="C23" i="548"/>
  <c r="C24" i="548"/>
  <c r="C25" i="548"/>
  <c r="C26" i="548"/>
  <c r="C27" i="548"/>
  <c r="C28" i="548"/>
  <c r="C29" i="548"/>
  <c r="C30" i="548"/>
  <c r="C31" i="548"/>
  <c r="C32" i="548"/>
  <c r="C33" i="548"/>
  <c r="C34" i="548"/>
  <c r="C35" i="548"/>
  <c r="C36" i="548"/>
  <c r="C37" i="548"/>
  <c r="C38" i="548"/>
  <c r="C39" i="548"/>
  <c r="C40" i="548"/>
  <c r="C41" i="548"/>
  <c r="C42" i="548"/>
  <c r="C43" i="548"/>
  <c r="C44" i="548"/>
  <c r="C45" i="548"/>
  <c r="C46" i="548"/>
  <c r="C47" i="548"/>
  <c r="C48" i="548"/>
  <c r="C49" i="548"/>
  <c r="C50" i="548"/>
  <c r="C51" i="548"/>
  <c r="C52" i="548"/>
  <c r="C53" i="548"/>
  <c r="C54" i="548"/>
  <c r="C55" i="548"/>
  <c r="C56" i="548"/>
  <c r="C57" i="548"/>
  <c r="C58" i="548"/>
  <c r="C59" i="548"/>
  <c r="C60" i="548"/>
  <c r="C61" i="548"/>
  <c r="C62" i="548"/>
  <c r="C63" i="548"/>
  <c r="C64" i="548"/>
  <c r="C65" i="548"/>
  <c r="C66" i="548"/>
  <c r="C67" i="548"/>
  <c r="C68" i="548"/>
  <c r="C69" i="548"/>
  <c r="S7" i="548"/>
  <c r="O7" i="548"/>
  <c r="T7" i="548"/>
  <c r="U7" i="548"/>
  <c r="V7" i="548"/>
  <c r="W7" i="548"/>
  <c r="X7" i="548"/>
  <c r="Y7" i="548"/>
  <c r="Z7" i="548"/>
  <c r="AA7" i="548"/>
  <c r="S8" i="548"/>
  <c r="O8" i="548"/>
  <c r="T8" i="548"/>
  <c r="U8" i="548"/>
  <c r="V8" i="548"/>
  <c r="W8" i="548"/>
  <c r="X8" i="548"/>
  <c r="Y8" i="548"/>
  <c r="Z8" i="548"/>
  <c r="AA8" i="548"/>
  <c r="S9" i="548"/>
  <c r="O9" i="548"/>
  <c r="T9" i="548"/>
  <c r="U9" i="548"/>
  <c r="V9" i="548"/>
  <c r="W9" i="548"/>
  <c r="X9" i="548"/>
  <c r="Y9" i="548"/>
  <c r="Z9" i="548"/>
  <c r="AA9" i="548"/>
  <c r="S10" i="548"/>
  <c r="O10" i="548"/>
  <c r="T10" i="548"/>
  <c r="U10" i="548"/>
  <c r="V10" i="548"/>
  <c r="W10" i="548"/>
  <c r="X10" i="548"/>
  <c r="Y10" i="548"/>
  <c r="Z10" i="548"/>
  <c r="AA10" i="548"/>
  <c r="S11" i="548"/>
  <c r="T11" i="548"/>
  <c r="U11" i="548"/>
  <c r="V11" i="548"/>
  <c r="W11" i="548"/>
  <c r="X11" i="548"/>
  <c r="Y11" i="548"/>
  <c r="Z11" i="548"/>
  <c r="AA11" i="548"/>
  <c r="S12" i="548"/>
  <c r="T12" i="548"/>
  <c r="U12" i="548"/>
  <c r="V12" i="548"/>
  <c r="W12" i="548"/>
  <c r="X12" i="548"/>
  <c r="Y12" i="548"/>
  <c r="Z12" i="548"/>
  <c r="AA12" i="548"/>
  <c r="S13" i="548"/>
  <c r="O13" i="548"/>
  <c r="T13" i="548"/>
  <c r="U13" i="548"/>
  <c r="V13" i="548"/>
  <c r="W13" i="548"/>
  <c r="X13" i="548"/>
  <c r="Y13" i="548"/>
  <c r="Z13" i="548"/>
  <c r="AA13" i="548"/>
  <c r="S14" i="548"/>
  <c r="O14" i="548"/>
  <c r="T14" i="548"/>
  <c r="U14" i="548"/>
  <c r="V14" i="548"/>
  <c r="W14" i="548"/>
  <c r="X14" i="548"/>
  <c r="Y14" i="548"/>
  <c r="Z14" i="548"/>
  <c r="AA14" i="548"/>
  <c r="S15" i="548"/>
  <c r="O15" i="548"/>
  <c r="T15" i="548"/>
  <c r="U15" i="548"/>
  <c r="V15" i="548"/>
  <c r="W15" i="548"/>
  <c r="X15" i="548"/>
  <c r="Y15" i="548"/>
  <c r="Z15" i="548"/>
  <c r="AA15" i="548"/>
  <c r="S16" i="548"/>
  <c r="O16" i="548"/>
  <c r="T16" i="548"/>
  <c r="U16" i="548"/>
  <c r="V16" i="548"/>
  <c r="W16" i="548"/>
  <c r="X16" i="548"/>
  <c r="Y16" i="548"/>
  <c r="Z16" i="548"/>
  <c r="AA16" i="548"/>
  <c r="S17" i="548"/>
  <c r="O17" i="548"/>
  <c r="T17" i="548"/>
  <c r="U17" i="548"/>
  <c r="V17" i="548"/>
  <c r="W17" i="548"/>
  <c r="X17" i="548"/>
  <c r="Y17" i="548"/>
  <c r="Z17" i="548"/>
  <c r="AA17" i="548"/>
  <c r="S18" i="548"/>
  <c r="T18" i="548"/>
  <c r="U18" i="548"/>
  <c r="V18" i="548"/>
  <c r="W18" i="548"/>
  <c r="X18" i="548"/>
  <c r="Y18" i="548"/>
  <c r="Z18" i="548"/>
  <c r="AA18" i="548"/>
  <c r="S19" i="548"/>
  <c r="O19" i="548"/>
  <c r="T19" i="548"/>
  <c r="U19" i="548"/>
  <c r="V19" i="548"/>
  <c r="W19" i="548"/>
  <c r="X19" i="548"/>
  <c r="Y19" i="548"/>
  <c r="Z19" i="548"/>
  <c r="AA19" i="548"/>
  <c r="S20" i="548"/>
  <c r="O20" i="548"/>
  <c r="T20" i="548"/>
  <c r="U20" i="548"/>
  <c r="V20" i="548"/>
  <c r="W20" i="548"/>
  <c r="X20" i="548"/>
  <c r="Y20" i="548"/>
  <c r="Z20" i="548"/>
  <c r="AA20" i="548"/>
  <c r="S21" i="548"/>
  <c r="O21" i="548"/>
  <c r="T21" i="548"/>
  <c r="U21" i="548"/>
  <c r="V21" i="548"/>
  <c r="W21" i="548"/>
  <c r="X21" i="548"/>
  <c r="Y21" i="548"/>
  <c r="Z21" i="548"/>
  <c r="AA21" i="548"/>
  <c r="S22" i="548"/>
  <c r="O22" i="548"/>
  <c r="T22" i="548"/>
  <c r="U22" i="548"/>
  <c r="V22" i="548"/>
  <c r="W22" i="548"/>
  <c r="X22" i="548"/>
  <c r="Y22" i="548"/>
  <c r="Z22" i="548"/>
  <c r="AA22" i="548"/>
  <c r="S23" i="548"/>
  <c r="O23" i="548"/>
  <c r="T23" i="548"/>
  <c r="U23" i="548"/>
  <c r="V23" i="548"/>
  <c r="W23" i="548"/>
  <c r="X23" i="548"/>
  <c r="Y23" i="548"/>
  <c r="Z23" i="548"/>
  <c r="AA23" i="548"/>
  <c r="S24" i="548"/>
  <c r="O24" i="548"/>
  <c r="T24" i="548"/>
  <c r="U24" i="548"/>
  <c r="V24" i="548"/>
  <c r="W24" i="548"/>
  <c r="X24" i="548"/>
  <c r="Y24" i="548"/>
  <c r="Z24" i="548"/>
  <c r="AA24" i="548"/>
  <c r="S25" i="548"/>
  <c r="O25" i="548"/>
  <c r="T25" i="548"/>
  <c r="U25" i="548"/>
  <c r="V25" i="548"/>
  <c r="W25" i="548"/>
  <c r="X25" i="548"/>
  <c r="Y25" i="548"/>
  <c r="Z25" i="548"/>
  <c r="AA25" i="548"/>
  <c r="S26" i="548"/>
  <c r="O26" i="548"/>
  <c r="T26" i="548"/>
  <c r="U26" i="548"/>
  <c r="V26" i="548"/>
  <c r="W26" i="548"/>
  <c r="X26" i="548"/>
  <c r="Y26" i="548"/>
  <c r="Z26" i="548"/>
  <c r="AA26" i="548"/>
  <c r="S27" i="548"/>
  <c r="O27" i="548"/>
  <c r="T27" i="548"/>
  <c r="U27" i="548"/>
  <c r="V27" i="548"/>
  <c r="W27" i="548"/>
  <c r="X27" i="548"/>
  <c r="Y27" i="548"/>
  <c r="Z27" i="548"/>
  <c r="AA27" i="548"/>
  <c r="S28" i="548"/>
  <c r="O28" i="548"/>
  <c r="T28" i="548"/>
  <c r="U28" i="548"/>
  <c r="V28" i="548"/>
  <c r="W28" i="548"/>
  <c r="X28" i="548"/>
  <c r="Y28" i="548"/>
  <c r="Z28" i="548"/>
  <c r="AA28" i="548"/>
  <c r="S29" i="548"/>
  <c r="O29" i="548"/>
  <c r="T29" i="548"/>
  <c r="U29" i="548"/>
  <c r="V29" i="548"/>
  <c r="W29" i="548"/>
  <c r="X29" i="548"/>
  <c r="Y29" i="548"/>
  <c r="Z29" i="548"/>
  <c r="AA29" i="548"/>
  <c r="S30" i="548"/>
  <c r="O30" i="548"/>
  <c r="T30" i="548"/>
  <c r="U30" i="548"/>
  <c r="V30" i="548"/>
  <c r="W30" i="548"/>
  <c r="X30" i="548"/>
  <c r="Y30" i="548"/>
  <c r="Z30" i="548"/>
  <c r="AA30" i="548"/>
  <c r="S31" i="548"/>
  <c r="O31" i="548"/>
  <c r="T31" i="548"/>
  <c r="U31" i="548"/>
  <c r="V31" i="548"/>
  <c r="W31" i="548"/>
  <c r="X31" i="548"/>
  <c r="Y31" i="548"/>
  <c r="Z31" i="548"/>
  <c r="AA31" i="548"/>
  <c r="S32" i="548"/>
  <c r="O32" i="548"/>
  <c r="T32" i="548"/>
  <c r="U32" i="548"/>
  <c r="V32" i="548"/>
  <c r="W32" i="548"/>
  <c r="X32" i="548"/>
  <c r="Y32" i="548"/>
  <c r="Z32" i="548"/>
  <c r="AA32" i="548"/>
  <c r="S33" i="548"/>
  <c r="O33" i="548"/>
  <c r="T33" i="548"/>
  <c r="U33" i="548"/>
  <c r="V33" i="548"/>
  <c r="W33" i="548"/>
  <c r="X33" i="548"/>
  <c r="Y33" i="548"/>
  <c r="Z33" i="548"/>
  <c r="AA33" i="548"/>
  <c r="S34" i="548"/>
  <c r="O34" i="548"/>
  <c r="T34" i="548"/>
  <c r="U34" i="548"/>
  <c r="V34" i="548"/>
  <c r="W34" i="548"/>
  <c r="X34" i="548"/>
  <c r="Y34" i="548"/>
  <c r="Z34" i="548"/>
  <c r="AA34" i="548"/>
  <c r="S35" i="548"/>
  <c r="T35" i="548"/>
  <c r="U35" i="548"/>
  <c r="V35" i="548"/>
  <c r="W35" i="548"/>
  <c r="X35" i="548"/>
  <c r="Y35" i="548"/>
  <c r="Z35" i="548"/>
  <c r="AA35" i="548"/>
  <c r="S36" i="548"/>
  <c r="O36" i="548"/>
  <c r="T36" i="548"/>
  <c r="U36" i="548"/>
  <c r="V36" i="548"/>
  <c r="W36" i="548"/>
  <c r="X36" i="548"/>
  <c r="Y36" i="548"/>
  <c r="Z36" i="548"/>
  <c r="AA36" i="548"/>
  <c r="S37" i="548"/>
  <c r="T37" i="548"/>
  <c r="U37" i="548"/>
  <c r="V37" i="548"/>
  <c r="W37" i="548"/>
  <c r="X37" i="548"/>
  <c r="Y37" i="548"/>
  <c r="Z37" i="548"/>
  <c r="AA37" i="548"/>
  <c r="S38" i="548"/>
  <c r="O38" i="548"/>
  <c r="T38" i="548"/>
  <c r="U38" i="548"/>
  <c r="V38" i="548"/>
  <c r="W38" i="548"/>
  <c r="X38" i="548"/>
  <c r="Y38" i="548"/>
  <c r="Z38" i="548"/>
  <c r="AA38" i="548"/>
  <c r="S39" i="548"/>
  <c r="O39" i="548"/>
  <c r="T39" i="548"/>
  <c r="U39" i="548"/>
  <c r="V39" i="548"/>
  <c r="W39" i="548"/>
  <c r="X39" i="548"/>
  <c r="Y39" i="548"/>
  <c r="Z39" i="548"/>
  <c r="AA39" i="548"/>
  <c r="S40" i="548"/>
  <c r="O40" i="548"/>
  <c r="T40" i="548"/>
  <c r="U40" i="548"/>
  <c r="V40" i="548"/>
  <c r="W40" i="548"/>
  <c r="X40" i="548"/>
  <c r="Y40" i="548"/>
  <c r="Z40" i="548"/>
  <c r="AA40" i="548"/>
  <c r="S41" i="548"/>
  <c r="O41" i="548"/>
  <c r="T41" i="548"/>
  <c r="U41" i="548"/>
  <c r="V41" i="548"/>
  <c r="W41" i="548"/>
  <c r="X41" i="548"/>
  <c r="Y41" i="548"/>
  <c r="Z41" i="548"/>
  <c r="AA41" i="548"/>
  <c r="S42" i="548"/>
  <c r="O42" i="548"/>
  <c r="T42" i="548"/>
  <c r="U42" i="548"/>
  <c r="V42" i="548"/>
  <c r="W42" i="548"/>
  <c r="X42" i="548"/>
  <c r="Y42" i="548"/>
  <c r="Z42" i="548"/>
  <c r="AA42" i="548"/>
  <c r="S43" i="548"/>
  <c r="O43" i="548"/>
  <c r="T43" i="548"/>
  <c r="U43" i="548"/>
  <c r="V43" i="548"/>
  <c r="W43" i="548"/>
  <c r="X43" i="548"/>
  <c r="Y43" i="548"/>
  <c r="Z43" i="548"/>
  <c r="AA43" i="548"/>
  <c r="S44" i="548"/>
  <c r="T44" i="548"/>
  <c r="U44" i="548"/>
  <c r="V44" i="548"/>
  <c r="W44" i="548"/>
  <c r="X44" i="548"/>
  <c r="Y44" i="548"/>
  <c r="Z44" i="548"/>
  <c r="AA44" i="548"/>
  <c r="S45" i="548"/>
  <c r="O45" i="548"/>
  <c r="T45" i="548"/>
  <c r="U45" i="548"/>
  <c r="V45" i="548"/>
  <c r="W45" i="548"/>
  <c r="X45" i="548"/>
  <c r="Y45" i="548"/>
  <c r="Z45" i="548"/>
  <c r="AA45" i="548"/>
  <c r="S46" i="548"/>
  <c r="O46" i="548"/>
  <c r="T46" i="548"/>
  <c r="U46" i="548"/>
  <c r="V46" i="548"/>
  <c r="W46" i="548"/>
  <c r="X46" i="548"/>
  <c r="Y46" i="548"/>
  <c r="Z46" i="548"/>
  <c r="AA46" i="548"/>
  <c r="S47" i="548"/>
  <c r="O47" i="548"/>
  <c r="T47" i="548"/>
  <c r="U47" i="548"/>
  <c r="V47" i="548"/>
  <c r="W47" i="548"/>
  <c r="X47" i="548"/>
  <c r="Y47" i="548"/>
  <c r="Z47" i="548"/>
  <c r="AA47" i="548"/>
  <c r="S48" i="548"/>
  <c r="O48" i="548"/>
  <c r="T48" i="548"/>
  <c r="U48" i="548"/>
  <c r="V48" i="548"/>
  <c r="W48" i="548"/>
  <c r="X48" i="548"/>
  <c r="Y48" i="548"/>
  <c r="Z48" i="548"/>
  <c r="AA48" i="548"/>
  <c r="S49" i="548"/>
  <c r="O49" i="548"/>
  <c r="T49" i="548"/>
  <c r="U49" i="548"/>
  <c r="V49" i="548"/>
  <c r="W49" i="548"/>
  <c r="X49" i="548"/>
  <c r="Y49" i="548"/>
  <c r="Z49" i="548"/>
  <c r="AA49" i="548"/>
  <c r="S50" i="548"/>
  <c r="O50" i="548"/>
  <c r="T50" i="548"/>
  <c r="U50" i="548"/>
  <c r="V50" i="548"/>
  <c r="W50" i="548"/>
  <c r="X50" i="548"/>
  <c r="Y50" i="548"/>
  <c r="Z50" i="548"/>
  <c r="AA50" i="548"/>
  <c r="S51" i="548"/>
  <c r="O51" i="548"/>
  <c r="T51" i="548"/>
  <c r="U51" i="548"/>
  <c r="V51" i="548"/>
  <c r="W51" i="548"/>
  <c r="X51" i="548"/>
  <c r="Y51" i="548"/>
  <c r="Z51" i="548"/>
  <c r="AA51" i="548"/>
  <c r="S52" i="548"/>
  <c r="O52" i="548"/>
  <c r="T52" i="548"/>
  <c r="U52" i="548"/>
  <c r="V52" i="548"/>
  <c r="W52" i="548"/>
  <c r="X52" i="548"/>
  <c r="Y52" i="548"/>
  <c r="Z52" i="548"/>
  <c r="AA52" i="548"/>
  <c r="S53" i="548"/>
  <c r="O53" i="548"/>
  <c r="T53" i="548"/>
  <c r="U53" i="548"/>
  <c r="V53" i="548"/>
  <c r="W53" i="548"/>
  <c r="X53" i="548"/>
  <c r="Y53" i="548"/>
  <c r="Z53" i="548"/>
  <c r="AA53" i="548"/>
  <c r="S54" i="548"/>
  <c r="O54" i="548"/>
  <c r="T54" i="548"/>
  <c r="U54" i="548"/>
  <c r="V54" i="548"/>
  <c r="W54" i="548"/>
  <c r="X54" i="548"/>
  <c r="Y54" i="548"/>
  <c r="Z54" i="548"/>
  <c r="AA54" i="548"/>
  <c r="S55" i="548"/>
  <c r="O55" i="548"/>
  <c r="T55" i="548"/>
  <c r="U55" i="548"/>
  <c r="V55" i="548"/>
  <c r="W55" i="548"/>
  <c r="X55" i="548"/>
  <c r="Y55" i="548"/>
  <c r="Z55" i="548"/>
  <c r="AA55" i="548"/>
  <c r="S56" i="548"/>
  <c r="O56" i="548"/>
  <c r="T56" i="548"/>
  <c r="U56" i="548"/>
  <c r="V56" i="548"/>
  <c r="W56" i="548"/>
  <c r="X56" i="548"/>
  <c r="Y56" i="548"/>
  <c r="Z56" i="548"/>
  <c r="AA56" i="548"/>
  <c r="S57" i="548"/>
  <c r="O57" i="548"/>
  <c r="T57" i="548"/>
  <c r="U57" i="548"/>
  <c r="V57" i="548"/>
  <c r="W57" i="548"/>
  <c r="X57" i="548"/>
  <c r="Y57" i="548"/>
  <c r="Z57" i="548"/>
  <c r="AA57" i="548"/>
  <c r="S58" i="548"/>
  <c r="O58" i="548"/>
  <c r="T58" i="548"/>
  <c r="U58" i="548"/>
  <c r="V58" i="548"/>
  <c r="W58" i="548"/>
  <c r="X58" i="548"/>
  <c r="Y58" i="548"/>
  <c r="Z58" i="548"/>
  <c r="AA58" i="548"/>
  <c r="S59" i="548"/>
  <c r="T59" i="548"/>
  <c r="U59" i="548"/>
  <c r="V59" i="548"/>
  <c r="W59" i="548"/>
  <c r="X59" i="548"/>
  <c r="Y59" i="548"/>
  <c r="Z59" i="548"/>
  <c r="AA59" i="548"/>
  <c r="S60" i="548"/>
  <c r="O60" i="548"/>
  <c r="T60" i="548"/>
  <c r="U60" i="548"/>
  <c r="V60" i="548"/>
  <c r="W60" i="548"/>
  <c r="X60" i="548"/>
  <c r="Y60" i="548"/>
  <c r="Z60" i="548"/>
  <c r="AA60" i="548"/>
  <c r="S61" i="548"/>
  <c r="O61" i="548"/>
  <c r="T61" i="548"/>
  <c r="U61" i="548"/>
  <c r="V61" i="548"/>
  <c r="W61" i="548"/>
  <c r="X61" i="548"/>
  <c r="Y61" i="548"/>
  <c r="Z61" i="548"/>
  <c r="AA61" i="548"/>
  <c r="S62" i="548"/>
  <c r="T62" i="548"/>
  <c r="U62" i="548"/>
  <c r="V62" i="548"/>
  <c r="W62" i="548"/>
  <c r="X62" i="548"/>
  <c r="Y62" i="548"/>
  <c r="Z62" i="548"/>
  <c r="AA62" i="548"/>
  <c r="S63" i="548"/>
  <c r="O63" i="548"/>
  <c r="T63" i="548"/>
  <c r="U63" i="548"/>
  <c r="V63" i="548"/>
  <c r="W63" i="548"/>
  <c r="X63" i="548"/>
  <c r="Y63" i="548"/>
  <c r="Z63" i="548"/>
  <c r="AA63" i="548"/>
  <c r="S64" i="548"/>
  <c r="O64" i="548"/>
  <c r="T64" i="548"/>
  <c r="U64" i="548"/>
  <c r="V64" i="548"/>
  <c r="W64" i="548"/>
  <c r="X64" i="548"/>
  <c r="Y64" i="548"/>
  <c r="Z64" i="548"/>
  <c r="AA64" i="548"/>
  <c r="S65" i="548"/>
  <c r="O65" i="548"/>
  <c r="T65" i="548"/>
  <c r="U65" i="548"/>
  <c r="V65" i="548"/>
  <c r="W65" i="548"/>
  <c r="X65" i="548"/>
  <c r="Y65" i="548"/>
  <c r="Z65" i="548"/>
  <c r="AA65" i="548"/>
  <c r="S66" i="548"/>
  <c r="O66" i="548"/>
  <c r="T66" i="548"/>
  <c r="U66" i="548"/>
  <c r="V66" i="548"/>
  <c r="W66" i="548"/>
  <c r="X66" i="548"/>
  <c r="Y66" i="548"/>
  <c r="Z66" i="548"/>
  <c r="AA66" i="548"/>
  <c r="S67" i="548"/>
  <c r="O67" i="548"/>
  <c r="T67" i="548"/>
  <c r="U67" i="548"/>
  <c r="V67" i="548"/>
  <c r="W67" i="548"/>
  <c r="X67" i="548"/>
  <c r="Y67" i="548"/>
  <c r="Z67" i="548"/>
  <c r="AA67" i="548"/>
  <c r="S68" i="548"/>
  <c r="O68" i="548"/>
  <c r="T68" i="548"/>
  <c r="U68" i="548"/>
  <c r="V68" i="548"/>
  <c r="W68" i="548"/>
  <c r="X68" i="548"/>
  <c r="Y68" i="548"/>
  <c r="Z68" i="548"/>
  <c r="AA68" i="548"/>
  <c r="S69" i="548"/>
  <c r="O69" i="548"/>
  <c r="T69" i="548"/>
  <c r="U69" i="548"/>
  <c r="V69" i="548"/>
  <c r="W69" i="548"/>
  <c r="X69" i="548"/>
  <c r="Y69" i="548"/>
  <c r="Z69" i="548"/>
  <c r="AA69" i="548"/>
  <c r="P36" i="548"/>
  <c r="N36" i="548"/>
  <c r="L37" i="548"/>
  <c r="P38" i="548"/>
  <c r="N38" i="548"/>
  <c r="P39" i="548"/>
  <c r="N39" i="548"/>
  <c r="P40" i="548"/>
  <c r="N40" i="548"/>
  <c r="R40" i="548"/>
  <c r="P41" i="548"/>
  <c r="N41" i="548"/>
  <c r="R41" i="548"/>
  <c r="P42" i="548"/>
  <c r="N42" i="548"/>
  <c r="R42" i="548"/>
  <c r="P43" i="548"/>
  <c r="N43" i="548"/>
  <c r="R43" i="548"/>
  <c r="L44" i="548"/>
  <c r="R36" i="548"/>
  <c r="R37" i="548"/>
  <c r="W5" i="548"/>
  <c r="AA5" i="548"/>
  <c r="V5" i="548"/>
  <c r="Y5" i="548"/>
  <c r="U5" i="548"/>
  <c r="X5" i="548"/>
  <c r="G52" i="548"/>
  <c r="R63" i="548"/>
  <c r="R64" i="548"/>
  <c r="R65" i="548"/>
  <c r="R66" i="548"/>
  <c r="R67" i="548"/>
  <c r="R68" i="548"/>
  <c r="R69" i="548"/>
  <c r="R53" i="548"/>
  <c r="R54" i="548"/>
  <c r="R55" i="548"/>
  <c r="R57" i="548"/>
  <c r="R58" i="548"/>
  <c r="R60" i="548"/>
  <c r="R61" i="548"/>
  <c r="R62" i="548"/>
  <c r="R56" i="548"/>
  <c r="P56" i="548"/>
  <c r="N56" i="548"/>
  <c r="P53" i="548"/>
  <c r="N53" i="548"/>
  <c r="L54" i="548"/>
  <c r="P54" i="548"/>
  <c r="N54" i="548"/>
  <c r="L55" i="548"/>
  <c r="P55" i="548"/>
  <c r="N55" i="548"/>
  <c r="L56" i="548"/>
  <c r="P57" i="548"/>
  <c r="N57" i="548"/>
  <c r="L57" i="548"/>
  <c r="L58" i="548"/>
  <c r="L59" i="548"/>
  <c r="N58" i="548"/>
  <c r="P58" i="548"/>
  <c r="L60" i="548"/>
  <c r="P60" i="548"/>
  <c r="N60" i="548"/>
  <c r="L61" i="548"/>
  <c r="P61" i="548"/>
  <c r="N61" i="548"/>
  <c r="L62" i="548"/>
  <c r="N62" i="548"/>
  <c r="R45" i="548"/>
  <c r="R46" i="548"/>
  <c r="R47" i="548"/>
  <c r="R48" i="548"/>
  <c r="R49" i="548"/>
  <c r="R50" i="548"/>
  <c r="R51" i="548"/>
  <c r="R52" i="548"/>
  <c r="Q52" i="548"/>
  <c r="P48" i="548"/>
  <c r="P49" i="548"/>
  <c r="P50" i="548"/>
  <c r="P51" i="548"/>
  <c r="P52" i="548"/>
  <c r="P45" i="548"/>
  <c r="N45" i="548"/>
  <c r="N48" i="548"/>
  <c r="N49" i="548"/>
  <c r="N50" i="548"/>
  <c r="N51" i="548"/>
  <c r="N52" i="548"/>
  <c r="L46" i="548"/>
  <c r="L47" i="548"/>
  <c r="L48" i="548"/>
  <c r="L49" i="548"/>
  <c r="L50" i="548"/>
  <c r="L51" i="548"/>
  <c r="L52" i="548"/>
  <c r="R26" i="548"/>
  <c r="R27" i="548"/>
  <c r="R28" i="548"/>
  <c r="R30" i="548"/>
  <c r="R31" i="548"/>
  <c r="R33" i="548"/>
  <c r="R34" i="548"/>
  <c r="R35" i="548"/>
  <c r="R32" i="548"/>
  <c r="P32" i="548"/>
  <c r="N32" i="548"/>
  <c r="P26" i="548"/>
  <c r="N26" i="548"/>
  <c r="L27" i="548"/>
  <c r="P27" i="548"/>
  <c r="N27" i="548"/>
  <c r="L28" i="548"/>
  <c r="P28" i="548"/>
  <c r="N28" i="548"/>
  <c r="L30" i="548"/>
  <c r="P30" i="548"/>
  <c r="N30" i="548"/>
  <c r="L31" i="548"/>
  <c r="L32" i="548"/>
  <c r="R29" i="548"/>
  <c r="P29" i="548"/>
  <c r="N29" i="548"/>
  <c r="L29" i="548"/>
  <c r="N13" i="548"/>
  <c r="P14" i="548"/>
  <c r="N14" i="548"/>
  <c r="P15" i="548"/>
  <c r="N15" i="548"/>
  <c r="P16" i="548"/>
  <c r="N16" i="548"/>
  <c r="P17" i="548"/>
  <c r="N17" i="548"/>
  <c r="N18" i="548"/>
  <c r="R13" i="548"/>
  <c r="R14" i="548"/>
  <c r="R15" i="548"/>
  <c r="R16" i="548"/>
  <c r="R17" i="548"/>
  <c r="R18" i="548"/>
  <c r="R7" i="548"/>
  <c r="R8" i="548"/>
  <c r="R9" i="548"/>
  <c r="R10" i="548"/>
  <c r="R6" i="548"/>
  <c r="R11" i="548"/>
  <c r="C6" i="548"/>
  <c r="O6" i="548"/>
  <c r="P6" i="548"/>
  <c r="N6" i="548"/>
  <c r="L7" i="548"/>
  <c r="P7" i="548"/>
  <c r="N7" i="548"/>
  <c r="L8" i="548"/>
  <c r="P8" i="548"/>
  <c r="N8" i="548"/>
  <c r="L9" i="548"/>
  <c r="P9" i="548"/>
  <c r="N9" i="548"/>
  <c r="L10" i="548"/>
  <c r="P10" i="548"/>
  <c r="N10" i="548"/>
  <c r="L11" i="548"/>
  <c r="U4" i="402"/>
  <c r="U5" i="402"/>
  <c r="C71" i="402"/>
  <c r="O71" i="402"/>
  <c r="P71" i="402"/>
  <c r="N71" i="402"/>
  <c r="L72" i="402"/>
  <c r="L73" i="402"/>
  <c r="L74" i="402"/>
  <c r="R73" i="402"/>
  <c r="AA4" i="402"/>
  <c r="AA5" i="402"/>
  <c r="C73" i="402"/>
  <c r="O73" i="402"/>
  <c r="P73" i="402"/>
  <c r="N73" i="402"/>
  <c r="X4" i="402"/>
  <c r="X5" i="402"/>
  <c r="C58" i="402"/>
  <c r="O58" i="402"/>
  <c r="P58" i="402"/>
  <c r="N58" i="402"/>
  <c r="R58" i="402"/>
  <c r="C54" i="402"/>
  <c r="O54" i="402"/>
  <c r="P54" i="402"/>
  <c r="N54" i="402"/>
  <c r="L55" i="402"/>
  <c r="Z4" i="402"/>
  <c r="Z5" i="402"/>
  <c r="C55" i="402"/>
  <c r="O55" i="402"/>
  <c r="P55" i="402"/>
  <c r="N55" i="402"/>
  <c r="L56" i="402"/>
  <c r="V4" i="402"/>
  <c r="V5" i="402"/>
  <c r="C56" i="402"/>
  <c r="O56" i="402"/>
  <c r="P56" i="402"/>
  <c r="N56" i="402"/>
  <c r="L57" i="402"/>
  <c r="C57" i="402"/>
  <c r="O57" i="402"/>
  <c r="P57" i="402"/>
  <c r="N57" i="402"/>
  <c r="L58" i="402"/>
  <c r="C59" i="402"/>
  <c r="C28" i="402"/>
  <c r="O28" i="402"/>
  <c r="P28" i="402"/>
  <c r="N28" i="402"/>
  <c r="L29" i="402"/>
  <c r="L30" i="402"/>
  <c r="W4" i="402"/>
  <c r="W5" i="402"/>
  <c r="C30" i="402"/>
  <c r="O30" i="402"/>
  <c r="P30" i="402"/>
  <c r="N30" i="402"/>
  <c r="L31" i="402"/>
  <c r="C31" i="402"/>
  <c r="O31" i="402"/>
  <c r="P31" i="402"/>
  <c r="N31" i="402"/>
  <c r="L32" i="402"/>
  <c r="L33" i="402"/>
  <c r="C33" i="402"/>
  <c r="O33" i="402"/>
  <c r="P33" i="402"/>
  <c r="N33" i="402"/>
  <c r="L34" i="402"/>
  <c r="C34" i="402"/>
  <c r="O34" i="402"/>
  <c r="P34" i="402"/>
  <c r="N34" i="402"/>
  <c r="L35" i="402"/>
  <c r="C35" i="402"/>
  <c r="O35" i="402"/>
  <c r="P35" i="402"/>
  <c r="N35" i="402"/>
  <c r="L36" i="402"/>
  <c r="C21" i="402"/>
  <c r="O21" i="402"/>
  <c r="P21" i="402"/>
  <c r="N21" i="402"/>
  <c r="L22" i="402"/>
  <c r="C45" i="402"/>
  <c r="O45" i="402"/>
  <c r="P45" i="402"/>
  <c r="N45" i="402"/>
  <c r="L46" i="402"/>
  <c r="C46" i="402"/>
  <c r="O46" i="402"/>
  <c r="P46" i="402"/>
  <c r="N46" i="402"/>
  <c r="L47" i="402"/>
  <c r="C47" i="402"/>
  <c r="O47" i="402"/>
  <c r="P47" i="402"/>
  <c r="N47" i="402"/>
  <c r="L48" i="402"/>
  <c r="Y4" i="402"/>
  <c r="Y5" i="402"/>
  <c r="C48" i="402"/>
  <c r="O48" i="402"/>
  <c r="P48" i="402"/>
  <c r="N48" i="402"/>
  <c r="L49" i="402"/>
  <c r="C49" i="402"/>
  <c r="O49" i="402"/>
  <c r="P49" i="402"/>
  <c r="N49" i="402"/>
  <c r="L50" i="402"/>
  <c r="C50" i="402"/>
  <c r="O50" i="402"/>
  <c r="P50" i="402"/>
  <c r="N50" i="402"/>
  <c r="L51" i="402"/>
  <c r="C51" i="402"/>
  <c r="O51" i="402"/>
  <c r="P51" i="402"/>
  <c r="N51" i="402"/>
  <c r="L52" i="402"/>
  <c r="C52" i="402"/>
  <c r="O52" i="402"/>
  <c r="P52" i="402"/>
  <c r="N52" i="402"/>
  <c r="L53" i="402"/>
  <c r="N53" i="402"/>
  <c r="H47" i="402"/>
  <c r="H49" i="402"/>
  <c r="H50" i="402"/>
  <c r="H51" i="402"/>
  <c r="H52" i="402"/>
  <c r="H48" i="402"/>
  <c r="AA232" i="402"/>
  <c r="AA234" i="402"/>
  <c r="Z232" i="402"/>
  <c r="Z234" i="402"/>
  <c r="Y232" i="402"/>
  <c r="Y234" i="402"/>
  <c r="X232" i="402"/>
  <c r="X234" i="402"/>
  <c r="W232" i="402"/>
  <c r="W234" i="402"/>
  <c r="V232" i="402"/>
  <c r="V234" i="402"/>
  <c r="U232" i="402"/>
  <c r="U234" i="402"/>
  <c r="AA189" i="402"/>
  <c r="Z189" i="402"/>
  <c r="Y189" i="402"/>
  <c r="X189" i="402"/>
  <c r="W189" i="402"/>
  <c r="V189" i="402"/>
  <c r="U189" i="402"/>
  <c r="AD178" i="402"/>
  <c r="AC178" i="402"/>
  <c r="AB178" i="402"/>
  <c r="C6" i="402"/>
  <c r="AA6" i="402"/>
  <c r="C7" i="402"/>
  <c r="AA7" i="402"/>
  <c r="C8" i="402"/>
  <c r="AA8" i="402"/>
  <c r="C9" i="402"/>
  <c r="AA9" i="402"/>
  <c r="C10" i="402"/>
  <c r="AA10" i="402"/>
  <c r="C11" i="402"/>
  <c r="S11" i="402"/>
  <c r="AA11" i="402"/>
  <c r="C12" i="402"/>
  <c r="AA12" i="402"/>
  <c r="C13" i="402"/>
  <c r="AA13" i="402"/>
  <c r="C14" i="402"/>
  <c r="AA14" i="402"/>
  <c r="C15" i="402"/>
  <c r="AA15" i="402"/>
  <c r="C16" i="402"/>
  <c r="S16" i="402"/>
  <c r="AA16" i="402"/>
  <c r="C17" i="402"/>
  <c r="S17" i="402"/>
  <c r="AA17" i="402"/>
  <c r="C18" i="402"/>
  <c r="S18" i="402"/>
  <c r="AA18" i="402"/>
  <c r="C19" i="402"/>
  <c r="S19" i="402"/>
  <c r="AA19" i="402"/>
  <c r="C20" i="402"/>
  <c r="AA20" i="402"/>
  <c r="AA21" i="402"/>
  <c r="C22" i="402"/>
  <c r="AA22" i="402"/>
  <c r="C23" i="402"/>
  <c r="AA23" i="402"/>
  <c r="C24" i="402"/>
  <c r="S24" i="402"/>
  <c r="AA24" i="402"/>
  <c r="C25" i="402"/>
  <c r="AA25" i="402"/>
  <c r="C26" i="402"/>
  <c r="S26" i="402"/>
  <c r="AA26" i="402"/>
  <c r="C27" i="402"/>
  <c r="AA27" i="402"/>
  <c r="AA28" i="402"/>
  <c r="C29" i="402"/>
  <c r="AA29" i="402"/>
  <c r="AA30" i="402"/>
  <c r="AA31" i="402"/>
  <c r="AA33" i="402"/>
  <c r="AA34" i="402"/>
  <c r="S35" i="402"/>
  <c r="AA35" i="402"/>
  <c r="C36" i="402"/>
  <c r="AA36" i="402"/>
  <c r="C37" i="402"/>
  <c r="AA37" i="402"/>
  <c r="C38" i="402"/>
  <c r="AA38" i="402"/>
  <c r="C39" i="402"/>
  <c r="AA39" i="402"/>
  <c r="C40" i="402"/>
  <c r="AA40" i="402"/>
  <c r="C41" i="402"/>
  <c r="AA41" i="402"/>
  <c r="C42" i="402"/>
  <c r="AA42" i="402"/>
  <c r="C43" i="402"/>
  <c r="S43" i="402"/>
  <c r="AA43" i="402"/>
  <c r="C44" i="402"/>
  <c r="AA44" i="402"/>
  <c r="AA45" i="402"/>
  <c r="AA46" i="402"/>
  <c r="AA47" i="402"/>
  <c r="AA48" i="402"/>
  <c r="AA49" i="402"/>
  <c r="AA50" i="402"/>
  <c r="AA51" i="402"/>
  <c r="AA52" i="402"/>
  <c r="C53" i="402"/>
  <c r="AA53" i="402"/>
  <c r="AA54" i="402"/>
  <c r="AA55" i="402"/>
  <c r="AA56" i="402"/>
  <c r="AA57" i="402"/>
  <c r="AA59" i="402"/>
  <c r="C60" i="402"/>
  <c r="AA60" i="402"/>
  <c r="C61" i="402"/>
  <c r="AA61" i="402"/>
  <c r="C62" i="402"/>
  <c r="S62" i="402"/>
  <c r="AA62" i="402"/>
  <c r="C63" i="402"/>
  <c r="AA63" i="402"/>
  <c r="C64" i="402"/>
  <c r="AA64" i="402"/>
  <c r="C65" i="402"/>
  <c r="AA65" i="402"/>
  <c r="C66" i="402"/>
  <c r="AA66" i="402"/>
  <c r="C67" i="402"/>
  <c r="AA67" i="402"/>
  <c r="C68" i="402"/>
  <c r="AA68" i="402"/>
  <c r="C69" i="402"/>
  <c r="S69" i="402"/>
  <c r="AA69" i="402"/>
  <c r="C70" i="402"/>
  <c r="AA70" i="402"/>
  <c r="AA71" i="402"/>
  <c r="C72" i="402"/>
  <c r="AA72" i="402"/>
  <c r="C74" i="402"/>
  <c r="S74" i="402"/>
  <c r="AA74" i="402"/>
  <c r="C75" i="402"/>
  <c r="AA75" i="402"/>
  <c r="C76" i="402"/>
  <c r="AA76" i="402"/>
  <c r="AA77" i="402"/>
  <c r="AA78" i="402"/>
  <c r="AA79" i="402"/>
  <c r="AA80" i="402"/>
  <c r="AA81" i="402"/>
  <c r="AA82" i="402"/>
  <c r="AA83" i="402"/>
  <c r="AA84" i="402"/>
  <c r="AA85" i="402"/>
  <c r="AA86" i="402"/>
  <c r="AA87" i="402"/>
  <c r="AA88" i="402"/>
  <c r="AA89" i="402"/>
  <c r="AA90" i="402"/>
  <c r="AA91" i="402"/>
  <c r="AA92" i="402"/>
  <c r="AA93" i="402"/>
  <c r="AA94" i="402"/>
  <c r="AA95" i="402"/>
  <c r="AA96" i="402"/>
  <c r="AA97" i="402"/>
  <c r="AA98" i="402"/>
  <c r="AA99" i="402"/>
  <c r="AA100" i="402"/>
  <c r="AA101" i="402"/>
  <c r="AA102" i="402"/>
  <c r="AA103" i="402"/>
  <c r="AA104" i="402"/>
  <c r="AA105" i="402"/>
  <c r="AA106" i="402"/>
  <c r="AA107" i="402"/>
  <c r="AA108" i="402"/>
  <c r="AA109" i="402"/>
  <c r="AA110" i="402"/>
  <c r="AA111" i="402"/>
  <c r="AA112" i="402"/>
  <c r="AA113" i="402"/>
  <c r="AA114" i="402"/>
  <c r="AA115" i="402"/>
  <c r="AA116" i="402"/>
  <c r="AA117" i="402"/>
  <c r="AA118" i="402"/>
  <c r="AA119" i="402"/>
  <c r="AA120" i="402"/>
  <c r="AA121" i="402"/>
  <c r="AA122" i="402"/>
  <c r="AA123" i="402"/>
  <c r="AA124" i="402"/>
  <c r="AA125" i="402"/>
  <c r="AA126" i="402"/>
  <c r="AA127" i="402"/>
  <c r="AA128" i="402"/>
  <c r="AA129" i="402"/>
  <c r="AA130" i="402"/>
  <c r="AA131" i="402"/>
  <c r="AA132" i="402"/>
  <c r="AA133" i="402"/>
  <c r="Z6" i="402"/>
  <c r="Z7" i="402"/>
  <c r="S8" i="402"/>
  <c r="Z8" i="402"/>
  <c r="S9" i="402"/>
  <c r="Z9" i="402"/>
  <c r="Z10" i="402"/>
  <c r="Z11" i="402"/>
  <c r="Z12" i="402"/>
  <c r="Z13" i="402"/>
  <c r="Z14" i="402"/>
  <c r="Z15" i="402"/>
  <c r="Z16" i="402"/>
  <c r="Z17" i="402"/>
  <c r="Z18" i="402"/>
  <c r="Z19" i="402"/>
  <c r="Z20" i="402"/>
  <c r="Z21" i="402"/>
  <c r="Z22" i="402"/>
  <c r="Z23" i="402"/>
  <c r="Z24" i="402"/>
  <c r="S25" i="402"/>
  <c r="Z25" i="402"/>
  <c r="Z26" i="402"/>
  <c r="Z27" i="402"/>
  <c r="Z28" i="402"/>
  <c r="Z29" i="402"/>
  <c r="Z30" i="402"/>
  <c r="S31" i="402"/>
  <c r="Z31" i="402"/>
  <c r="Z33" i="402"/>
  <c r="Z34" i="402"/>
  <c r="Z35" i="402"/>
  <c r="Z36" i="402"/>
  <c r="Z37" i="402"/>
  <c r="Z38" i="402"/>
  <c r="Z39" i="402"/>
  <c r="Z40" i="402"/>
  <c r="Z41" i="402"/>
  <c r="Z42" i="402"/>
  <c r="Z43" i="402"/>
  <c r="Z44" i="402"/>
  <c r="Z45" i="402"/>
  <c r="Z46" i="402"/>
  <c r="Z47" i="402"/>
  <c r="Z48" i="402"/>
  <c r="Z49" i="402"/>
  <c r="Z50" i="402"/>
  <c r="Z51" i="402"/>
  <c r="Z52" i="402"/>
  <c r="Z53" i="402"/>
  <c r="Z54" i="402"/>
  <c r="S55" i="402"/>
  <c r="Z55" i="402"/>
  <c r="Z56" i="402"/>
  <c r="S57" i="402"/>
  <c r="Z57" i="402"/>
  <c r="S59" i="402"/>
  <c r="Z59" i="402"/>
  <c r="S60" i="402"/>
  <c r="Z60" i="402"/>
  <c r="S61" i="402"/>
  <c r="Z61" i="402"/>
  <c r="Z62" i="402"/>
  <c r="Z63" i="402"/>
  <c r="Z64" i="402"/>
  <c r="Z65" i="402"/>
  <c r="Z66" i="402"/>
  <c r="Z67" i="402"/>
  <c r="Z68" i="402"/>
  <c r="Z69" i="402"/>
  <c r="Z70" i="402"/>
  <c r="Z71" i="402"/>
  <c r="Z72" i="402"/>
  <c r="Z74" i="402"/>
  <c r="Z75" i="402"/>
  <c r="Z76" i="402"/>
  <c r="Z77" i="402"/>
  <c r="Z78" i="402"/>
  <c r="Z79" i="402"/>
  <c r="Z80" i="402"/>
  <c r="Z81" i="402"/>
  <c r="Z82" i="402"/>
  <c r="Z83" i="402"/>
  <c r="Z84" i="402"/>
  <c r="Z85" i="402"/>
  <c r="Z86" i="402"/>
  <c r="Z87" i="402"/>
  <c r="Z88" i="402"/>
  <c r="Z89" i="402"/>
  <c r="Z90" i="402"/>
  <c r="Z91" i="402"/>
  <c r="Z92" i="402"/>
  <c r="Z93" i="402"/>
  <c r="Z94" i="402"/>
  <c r="Z95" i="402"/>
  <c r="Z96" i="402"/>
  <c r="Z97" i="402"/>
  <c r="Z98" i="402"/>
  <c r="Z99" i="402"/>
  <c r="Z100" i="402"/>
  <c r="Z101" i="402"/>
  <c r="Z102" i="402"/>
  <c r="Z103" i="402"/>
  <c r="Z104" i="402"/>
  <c r="Z105" i="402"/>
  <c r="Z106" i="402"/>
  <c r="Z107" i="402"/>
  <c r="Z108" i="402"/>
  <c r="Z109" i="402"/>
  <c r="Z110" i="402"/>
  <c r="Z111" i="402"/>
  <c r="Z112" i="402"/>
  <c r="Z113" i="402"/>
  <c r="Z114" i="402"/>
  <c r="Z115" i="402"/>
  <c r="Z116" i="402"/>
  <c r="Z117" i="402"/>
  <c r="Z118" i="402"/>
  <c r="Z119" i="402"/>
  <c r="Z120" i="402"/>
  <c r="Z121" i="402"/>
  <c r="Z122" i="402"/>
  <c r="Z123" i="402"/>
  <c r="Z124" i="402"/>
  <c r="Z125" i="402"/>
  <c r="Z126" i="402"/>
  <c r="Z127" i="402"/>
  <c r="Z128" i="402"/>
  <c r="Z129" i="402"/>
  <c r="Z130" i="402"/>
  <c r="Z131" i="402"/>
  <c r="Z132" i="402"/>
  <c r="Z133" i="402"/>
  <c r="Y6" i="402"/>
  <c r="Y7" i="402"/>
  <c r="Y8" i="402"/>
  <c r="Y9" i="402"/>
  <c r="Y10" i="402"/>
  <c r="Y11" i="402"/>
  <c r="Y12" i="402"/>
  <c r="Y13" i="402"/>
  <c r="Y14" i="402"/>
  <c r="Y15" i="402"/>
  <c r="Y16" i="402"/>
  <c r="Y17" i="402"/>
  <c r="Y18" i="402"/>
  <c r="Y19" i="402"/>
  <c r="Y20" i="402"/>
  <c r="Y21" i="402"/>
  <c r="Y22" i="402"/>
  <c r="Y23" i="402"/>
  <c r="Y24" i="402"/>
  <c r="Y25" i="402"/>
  <c r="Y26" i="402"/>
  <c r="Y27" i="402"/>
  <c r="Y28" i="402"/>
  <c r="Y29" i="402"/>
  <c r="Y30" i="402"/>
  <c r="Y31" i="402"/>
  <c r="Y33" i="402"/>
  <c r="Y34" i="402"/>
  <c r="Y35" i="402"/>
  <c r="Y36" i="402"/>
  <c r="Y37" i="402"/>
  <c r="S38" i="402"/>
  <c r="Y38" i="402"/>
  <c r="S39" i="402"/>
  <c r="Y39" i="402"/>
  <c r="S40" i="402"/>
  <c r="Y40" i="402"/>
  <c r="Y41" i="402"/>
  <c r="Y42" i="402"/>
  <c r="Y43" i="402"/>
  <c r="Y44" i="402"/>
  <c r="Y45" i="402"/>
  <c r="Y46" i="402"/>
  <c r="Y47" i="402"/>
  <c r="S48" i="402"/>
  <c r="Y48" i="402"/>
  <c r="S49" i="402"/>
  <c r="Y49" i="402"/>
  <c r="S50" i="402"/>
  <c r="Y50" i="402"/>
  <c r="S51" i="402"/>
  <c r="Y51" i="402"/>
  <c r="S52" i="402"/>
  <c r="Y52" i="402"/>
  <c r="Y53" i="402"/>
  <c r="Y54" i="402"/>
  <c r="Y55" i="402"/>
  <c r="Y56" i="402"/>
  <c r="Y57" i="402"/>
  <c r="Y59" i="402"/>
  <c r="Y60" i="402"/>
  <c r="Y61" i="402"/>
  <c r="Y62" i="402"/>
  <c r="Y63" i="402"/>
  <c r="Y64" i="402"/>
  <c r="Y65" i="402"/>
  <c r="Y66" i="402"/>
  <c r="S67" i="402"/>
  <c r="Y67" i="402"/>
  <c r="Y68" i="402"/>
  <c r="Y69" i="402"/>
  <c r="Y70" i="402"/>
  <c r="Y71" i="402"/>
  <c r="Y72" i="402"/>
  <c r="Y74" i="402"/>
  <c r="Y75" i="402"/>
  <c r="Y76" i="402"/>
  <c r="Y77" i="402"/>
  <c r="Y78" i="402"/>
  <c r="Y79" i="402"/>
  <c r="Y80" i="402"/>
  <c r="Y81" i="402"/>
  <c r="Y82" i="402"/>
  <c r="Y83" i="402"/>
  <c r="Y84" i="402"/>
  <c r="Y85" i="402"/>
  <c r="Y86" i="402"/>
  <c r="Y87" i="402"/>
  <c r="Y88" i="402"/>
  <c r="Y89" i="402"/>
  <c r="Y90" i="402"/>
  <c r="Y91" i="402"/>
  <c r="Y92" i="402"/>
  <c r="Y93" i="402"/>
  <c r="Y94" i="402"/>
  <c r="Y95" i="402"/>
  <c r="Y96" i="402"/>
  <c r="Y97" i="402"/>
  <c r="Y98" i="402"/>
  <c r="Y99" i="402"/>
  <c r="Y100" i="402"/>
  <c r="Y101" i="402"/>
  <c r="Y102" i="402"/>
  <c r="Y103" i="402"/>
  <c r="Y104" i="402"/>
  <c r="Y105" i="402"/>
  <c r="Y106" i="402"/>
  <c r="Y107" i="402"/>
  <c r="Y108" i="402"/>
  <c r="Y109" i="402"/>
  <c r="Y110" i="402"/>
  <c r="Y111" i="402"/>
  <c r="Y112" i="402"/>
  <c r="Y113" i="402"/>
  <c r="Y114" i="402"/>
  <c r="Y115" i="402"/>
  <c r="Y116" i="402"/>
  <c r="Y117" i="402"/>
  <c r="Y118" i="402"/>
  <c r="Y119" i="402"/>
  <c r="Y120" i="402"/>
  <c r="Y121" i="402"/>
  <c r="Y122" i="402"/>
  <c r="Y123" i="402"/>
  <c r="Y124" i="402"/>
  <c r="Y125" i="402"/>
  <c r="Y126" i="402"/>
  <c r="Y127" i="402"/>
  <c r="Y128" i="402"/>
  <c r="Y129" i="402"/>
  <c r="Y130" i="402"/>
  <c r="Y131" i="402"/>
  <c r="Y132" i="402"/>
  <c r="Y133" i="402"/>
  <c r="X6" i="402"/>
  <c r="X7" i="402"/>
  <c r="X8" i="402"/>
  <c r="X9" i="402"/>
  <c r="X10" i="402"/>
  <c r="X11" i="402"/>
  <c r="X12" i="402"/>
  <c r="X13" i="402"/>
  <c r="X14" i="402"/>
  <c r="X15" i="402"/>
  <c r="X16" i="402"/>
  <c r="X17" i="402"/>
  <c r="X18" i="402"/>
  <c r="X19" i="402"/>
  <c r="X20" i="402"/>
  <c r="X21" i="402"/>
  <c r="X22" i="402"/>
  <c r="X23" i="402"/>
  <c r="X24" i="402"/>
  <c r="X25" i="402"/>
  <c r="X26" i="402"/>
  <c r="X27" i="402"/>
  <c r="X28" i="402"/>
  <c r="X29" i="402"/>
  <c r="X30" i="402"/>
  <c r="X31" i="402"/>
  <c r="X33" i="402"/>
  <c r="X34" i="402"/>
  <c r="X35" i="402"/>
  <c r="X36" i="402"/>
  <c r="X37" i="402"/>
  <c r="X38" i="402"/>
  <c r="X39" i="402"/>
  <c r="X40" i="402"/>
  <c r="S41" i="402"/>
  <c r="X41" i="402"/>
  <c r="X42" i="402"/>
  <c r="X43" i="402"/>
  <c r="X44" i="402"/>
  <c r="X45" i="402"/>
  <c r="X46" i="402"/>
  <c r="S47" i="402"/>
  <c r="X47" i="402"/>
  <c r="X48" i="402"/>
  <c r="X49" i="402"/>
  <c r="X50" i="402"/>
  <c r="X51" i="402"/>
  <c r="X52" i="402"/>
  <c r="X53" i="402"/>
  <c r="X54" i="402"/>
  <c r="X55" i="402"/>
  <c r="X56" i="402"/>
  <c r="X57" i="402"/>
  <c r="X59" i="402"/>
  <c r="X60" i="402"/>
  <c r="X61" i="402"/>
  <c r="X62" i="402"/>
  <c r="X63" i="402"/>
  <c r="X64" i="402"/>
  <c r="X65" i="402"/>
  <c r="X66" i="402"/>
  <c r="X67" i="402"/>
  <c r="X68" i="402"/>
  <c r="X69" i="402"/>
  <c r="X70" i="402"/>
  <c r="X71" i="402"/>
  <c r="X72" i="402"/>
  <c r="X74" i="402"/>
  <c r="X75" i="402"/>
  <c r="X76" i="402"/>
  <c r="X77" i="402"/>
  <c r="X78" i="402"/>
  <c r="X79" i="402"/>
  <c r="X80" i="402"/>
  <c r="X81" i="402"/>
  <c r="X82" i="402"/>
  <c r="X83" i="402"/>
  <c r="X84" i="402"/>
  <c r="X85" i="402"/>
  <c r="X86" i="402"/>
  <c r="X87" i="402"/>
  <c r="X88" i="402"/>
  <c r="X89" i="402"/>
  <c r="X90" i="402"/>
  <c r="X91" i="402"/>
  <c r="X92" i="402"/>
  <c r="X93" i="402"/>
  <c r="X94" i="402"/>
  <c r="X95" i="402"/>
  <c r="X96" i="402"/>
  <c r="X97" i="402"/>
  <c r="X98" i="402"/>
  <c r="X99" i="402"/>
  <c r="X100" i="402"/>
  <c r="X101" i="402"/>
  <c r="X102" i="402"/>
  <c r="X103" i="402"/>
  <c r="X104" i="402"/>
  <c r="X105" i="402"/>
  <c r="X106" i="402"/>
  <c r="X107" i="402"/>
  <c r="X108" i="402"/>
  <c r="X109" i="402"/>
  <c r="X110" i="402"/>
  <c r="X111" i="402"/>
  <c r="X112" i="402"/>
  <c r="X113" i="402"/>
  <c r="X114" i="402"/>
  <c r="X115" i="402"/>
  <c r="X116" i="402"/>
  <c r="X117" i="402"/>
  <c r="X118" i="402"/>
  <c r="X119" i="402"/>
  <c r="X120" i="402"/>
  <c r="X121" i="402"/>
  <c r="X122" i="402"/>
  <c r="X123" i="402"/>
  <c r="X124" i="402"/>
  <c r="X125" i="402"/>
  <c r="X126" i="402"/>
  <c r="X127" i="402"/>
  <c r="X128" i="402"/>
  <c r="X129" i="402"/>
  <c r="X130" i="402"/>
  <c r="X131" i="402"/>
  <c r="X132" i="402"/>
  <c r="X133" i="402"/>
  <c r="W6" i="402"/>
  <c r="S7" i="402"/>
  <c r="W7" i="402"/>
  <c r="W8" i="402"/>
  <c r="W9" i="402"/>
  <c r="W10" i="402"/>
  <c r="W11" i="402"/>
  <c r="W12" i="402"/>
  <c r="W13" i="402"/>
  <c r="W14" i="402"/>
  <c r="S15" i="402"/>
  <c r="W15" i="402"/>
  <c r="W16" i="402"/>
  <c r="W17" i="402"/>
  <c r="W18" i="402"/>
  <c r="W19" i="402"/>
  <c r="W20" i="402"/>
  <c r="W21" i="402"/>
  <c r="S22" i="402"/>
  <c r="W22" i="402"/>
  <c r="W23" i="402"/>
  <c r="W24" i="402"/>
  <c r="W25" i="402"/>
  <c r="W26" i="402"/>
  <c r="W27" i="402"/>
  <c r="W28" i="402"/>
  <c r="W29" i="402"/>
  <c r="S30" i="402"/>
  <c r="W30" i="402"/>
  <c r="W31" i="402"/>
  <c r="S33" i="402"/>
  <c r="W33" i="402"/>
  <c r="W34" i="402"/>
  <c r="W35" i="402"/>
  <c r="W36" i="402"/>
  <c r="W37" i="402"/>
  <c r="W38" i="402"/>
  <c r="W39" i="402"/>
  <c r="W40" i="402"/>
  <c r="W41" i="402"/>
  <c r="W42" i="402"/>
  <c r="W43" i="402"/>
  <c r="W44" i="402"/>
  <c r="W45" i="402"/>
  <c r="S46" i="402"/>
  <c r="W46" i="402"/>
  <c r="W47" i="402"/>
  <c r="W48" i="402"/>
  <c r="W49" i="402"/>
  <c r="W50" i="402"/>
  <c r="W51" i="402"/>
  <c r="W52" i="402"/>
  <c r="W53" i="402"/>
  <c r="W54" i="402"/>
  <c r="W55" i="402"/>
  <c r="W56" i="402"/>
  <c r="W57" i="402"/>
  <c r="W59" i="402"/>
  <c r="W60" i="402"/>
  <c r="W61" i="402"/>
  <c r="W62" i="402"/>
  <c r="W63" i="402"/>
  <c r="W64" i="402"/>
  <c r="S65" i="402"/>
  <c r="W65" i="402"/>
  <c r="W66" i="402"/>
  <c r="W67" i="402"/>
  <c r="W68" i="402"/>
  <c r="W69" i="402"/>
  <c r="W70" i="402"/>
  <c r="W71" i="402"/>
  <c r="W72" i="402"/>
  <c r="W74" i="402"/>
  <c r="W75" i="402"/>
  <c r="W76" i="402"/>
  <c r="W77" i="402"/>
  <c r="W78" i="402"/>
  <c r="W79" i="402"/>
  <c r="W80" i="402"/>
  <c r="W81" i="402"/>
  <c r="W82" i="402"/>
  <c r="W83" i="402"/>
  <c r="W84" i="402"/>
  <c r="W85" i="402"/>
  <c r="W86" i="402"/>
  <c r="W87" i="402"/>
  <c r="W88" i="402"/>
  <c r="W89" i="402"/>
  <c r="W90" i="402"/>
  <c r="W91" i="402"/>
  <c r="W92" i="402"/>
  <c r="W93" i="402"/>
  <c r="W94" i="402"/>
  <c r="W95" i="402"/>
  <c r="W96" i="402"/>
  <c r="W97" i="402"/>
  <c r="W98" i="402"/>
  <c r="W99" i="402"/>
  <c r="W100" i="402"/>
  <c r="W101" i="402"/>
  <c r="W102" i="402"/>
  <c r="W103" i="402"/>
  <c r="W104" i="402"/>
  <c r="W105" i="402"/>
  <c r="W106" i="402"/>
  <c r="W107" i="402"/>
  <c r="W108" i="402"/>
  <c r="W109" i="402"/>
  <c r="W110" i="402"/>
  <c r="W111" i="402"/>
  <c r="W112" i="402"/>
  <c r="W113" i="402"/>
  <c r="W114" i="402"/>
  <c r="W115" i="402"/>
  <c r="W116" i="402"/>
  <c r="W117" i="402"/>
  <c r="W118" i="402"/>
  <c r="W119" i="402"/>
  <c r="W120" i="402"/>
  <c r="W121" i="402"/>
  <c r="W122" i="402"/>
  <c r="W123" i="402"/>
  <c r="W124" i="402"/>
  <c r="W125" i="402"/>
  <c r="W126" i="402"/>
  <c r="W127" i="402"/>
  <c r="W128" i="402"/>
  <c r="W129" i="402"/>
  <c r="W130" i="402"/>
  <c r="W131" i="402"/>
  <c r="W132" i="402"/>
  <c r="W133" i="402"/>
  <c r="S6" i="402"/>
  <c r="V6" i="402"/>
  <c r="V7" i="402"/>
  <c r="V8" i="402"/>
  <c r="V9" i="402"/>
  <c r="S10" i="402"/>
  <c r="V10" i="402"/>
  <c r="V11" i="402"/>
  <c r="S12" i="402"/>
  <c r="V12" i="402"/>
  <c r="V13" i="402"/>
  <c r="S14" i="402"/>
  <c r="V14" i="402"/>
  <c r="V15" i="402"/>
  <c r="V16" i="402"/>
  <c r="V17" i="402"/>
  <c r="V18" i="402"/>
  <c r="V19" i="402"/>
  <c r="V20" i="402"/>
  <c r="V21" i="402"/>
  <c r="V22" i="402"/>
  <c r="V23" i="402"/>
  <c r="V24" i="402"/>
  <c r="V25" i="402"/>
  <c r="V26" i="402"/>
  <c r="V27" i="402"/>
  <c r="S28" i="402"/>
  <c r="V28" i="402"/>
  <c r="S29" i="402"/>
  <c r="V29" i="402"/>
  <c r="V30" i="402"/>
  <c r="V31" i="402"/>
  <c r="V33" i="402"/>
  <c r="V34" i="402"/>
  <c r="V35" i="402"/>
  <c r="V36" i="402"/>
  <c r="S37" i="402"/>
  <c r="V37" i="402"/>
  <c r="V38" i="402"/>
  <c r="V39" i="402"/>
  <c r="V40" i="402"/>
  <c r="V41" i="402"/>
  <c r="V42" i="402"/>
  <c r="V43" i="402"/>
  <c r="V44" i="402"/>
  <c r="V45" i="402"/>
  <c r="V46" i="402"/>
  <c r="V47" i="402"/>
  <c r="V48" i="402"/>
  <c r="V49" i="402"/>
  <c r="V50" i="402"/>
  <c r="V51" i="402"/>
  <c r="V52" i="402"/>
  <c r="V53" i="402"/>
  <c r="V54" i="402"/>
  <c r="V55" i="402"/>
  <c r="S56" i="402"/>
  <c r="V56" i="402"/>
  <c r="V57" i="402"/>
  <c r="V59" i="402"/>
  <c r="V60" i="402"/>
  <c r="V61" i="402"/>
  <c r="V62" i="402"/>
  <c r="V63" i="402"/>
  <c r="V64" i="402"/>
  <c r="V65" i="402"/>
  <c r="V66" i="402"/>
  <c r="V67" i="402"/>
  <c r="V68" i="402"/>
  <c r="V69" i="402"/>
  <c r="V70" i="402"/>
  <c r="V71" i="402"/>
  <c r="V72" i="402"/>
  <c r="V74" i="402"/>
  <c r="S75" i="402"/>
  <c r="V75" i="402"/>
  <c r="V76" i="402"/>
  <c r="V77" i="402"/>
  <c r="V78" i="402"/>
  <c r="V79" i="402"/>
  <c r="V80" i="402"/>
  <c r="V81" i="402"/>
  <c r="V82" i="402"/>
  <c r="V83" i="402"/>
  <c r="V84" i="402"/>
  <c r="V85" i="402"/>
  <c r="V86" i="402"/>
  <c r="V87" i="402"/>
  <c r="V88" i="402"/>
  <c r="V89" i="402"/>
  <c r="V90" i="402"/>
  <c r="V91" i="402"/>
  <c r="V92" i="402"/>
  <c r="V93" i="402"/>
  <c r="V94" i="402"/>
  <c r="V95" i="402"/>
  <c r="V96" i="402"/>
  <c r="V97" i="402"/>
  <c r="V98" i="402"/>
  <c r="V99" i="402"/>
  <c r="V100" i="402"/>
  <c r="V101" i="402"/>
  <c r="V102" i="402"/>
  <c r="V103" i="402"/>
  <c r="V104" i="402"/>
  <c r="V105" i="402"/>
  <c r="V106" i="402"/>
  <c r="V107" i="402"/>
  <c r="V108" i="402"/>
  <c r="V109" i="402"/>
  <c r="V110" i="402"/>
  <c r="V111" i="402"/>
  <c r="V112" i="402"/>
  <c r="V113" i="402"/>
  <c r="V114" i="402"/>
  <c r="V115" i="402"/>
  <c r="V116" i="402"/>
  <c r="V117" i="402"/>
  <c r="V118" i="402"/>
  <c r="V119" i="402"/>
  <c r="V120" i="402"/>
  <c r="V121" i="402"/>
  <c r="V122" i="402"/>
  <c r="V123" i="402"/>
  <c r="V124" i="402"/>
  <c r="V125" i="402"/>
  <c r="V126" i="402"/>
  <c r="V127" i="402"/>
  <c r="V128" i="402"/>
  <c r="V129" i="402"/>
  <c r="V130" i="402"/>
  <c r="V131" i="402"/>
  <c r="V132" i="402"/>
  <c r="V133" i="402"/>
  <c r="U6" i="402"/>
  <c r="U7" i="402"/>
  <c r="U8" i="402"/>
  <c r="U9" i="402"/>
  <c r="U10" i="402"/>
  <c r="U11" i="402"/>
  <c r="U12" i="402"/>
  <c r="U13" i="402"/>
  <c r="U14" i="402"/>
  <c r="U15" i="402"/>
  <c r="U16" i="402"/>
  <c r="U17" i="402"/>
  <c r="U18" i="402"/>
  <c r="U19" i="402"/>
  <c r="U20" i="402"/>
  <c r="S21" i="402"/>
  <c r="U21" i="402"/>
  <c r="U22" i="402"/>
  <c r="S23" i="402"/>
  <c r="U23" i="402"/>
  <c r="U24" i="402"/>
  <c r="U25" i="402"/>
  <c r="U26" i="402"/>
  <c r="U27" i="402"/>
  <c r="U28" i="402"/>
  <c r="U29" i="402"/>
  <c r="U30" i="402"/>
  <c r="U31" i="402"/>
  <c r="U33" i="402"/>
  <c r="S34" i="402"/>
  <c r="U34" i="402"/>
  <c r="U35" i="402"/>
  <c r="U36" i="402"/>
  <c r="U37" i="402"/>
  <c r="U38" i="402"/>
  <c r="U39" i="402"/>
  <c r="U40" i="402"/>
  <c r="U41" i="402"/>
  <c r="S42" i="402"/>
  <c r="U42" i="402"/>
  <c r="U43" i="402"/>
  <c r="U44" i="402"/>
  <c r="S45" i="402"/>
  <c r="U45" i="402"/>
  <c r="U46" i="402"/>
  <c r="U47" i="402"/>
  <c r="U48" i="402"/>
  <c r="U49" i="402"/>
  <c r="U50" i="402"/>
  <c r="U51" i="402"/>
  <c r="U52" i="402"/>
  <c r="U53" i="402"/>
  <c r="S54" i="402"/>
  <c r="U54" i="402"/>
  <c r="U55" i="402"/>
  <c r="U56" i="402"/>
  <c r="U57" i="402"/>
  <c r="U59" i="402"/>
  <c r="U60" i="402"/>
  <c r="U61" i="402"/>
  <c r="U62" i="402"/>
  <c r="U63" i="402"/>
  <c r="S64" i="402"/>
  <c r="U64" i="402"/>
  <c r="U65" i="402"/>
  <c r="S66" i="402"/>
  <c r="U66" i="402"/>
  <c r="U67" i="402"/>
  <c r="S68" i="402"/>
  <c r="U68" i="402"/>
  <c r="U69" i="402"/>
  <c r="U70" i="402"/>
  <c r="S71" i="402"/>
  <c r="U71" i="402"/>
  <c r="U72" i="402"/>
  <c r="U74" i="402"/>
  <c r="U75" i="402"/>
  <c r="U76" i="402"/>
  <c r="U77" i="402"/>
  <c r="U78" i="402"/>
  <c r="U79" i="402"/>
  <c r="U80" i="402"/>
  <c r="U81" i="402"/>
  <c r="U82" i="402"/>
  <c r="U83" i="402"/>
  <c r="U84" i="402"/>
  <c r="U85" i="402"/>
  <c r="U86" i="402"/>
  <c r="U87" i="402"/>
  <c r="U88" i="402"/>
  <c r="U89" i="402"/>
  <c r="U90" i="402"/>
  <c r="U91" i="402"/>
  <c r="U92" i="402"/>
  <c r="U93" i="402"/>
  <c r="U94" i="402"/>
  <c r="U95" i="402"/>
  <c r="U96" i="402"/>
  <c r="U97" i="402"/>
  <c r="U98" i="402"/>
  <c r="U99" i="402"/>
  <c r="U100" i="402"/>
  <c r="U101" i="402"/>
  <c r="U102" i="402"/>
  <c r="U103" i="402"/>
  <c r="U104" i="402"/>
  <c r="U105" i="402"/>
  <c r="U106" i="402"/>
  <c r="U107" i="402"/>
  <c r="U108" i="402"/>
  <c r="U109" i="402"/>
  <c r="U110" i="402"/>
  <c r="U111" i="402"/>
  <c r="U112" i="402"/>
  <c r="U113" i="402"/>
  <c r="U114" i="402"/>
  <c r="U115" i="402"/>
  <c r="U116" i="402"/>
  <c r="U117" i="402"/>
  <c r="U118" i="402"/>
  <c r="U119" i="402"/>
  <c r="U120" i="402"/>
  <c r="U121" i="402"/>
  <c r="U122" i="402"/>
  <c r="U123" i="402"/>
  <c r="U124" i="402"/>
  <c r="U125" i="402"/>
  <c r="U126" i="402"/>
  <c r="U127" i="402"/>
  <c r="U128" i="402"/>
  <c r="U129" i="402"/>
  <c r="U130" i="402"/>
  <c r="U131" i="402"/>
  <c r="U132" i="402"/>
  <c r="U133" i="402"/>
  <c r="AB77" i="402"/>
  <c r="Q77" i="402"/>
  <c r="K77" i="402"/>
  <c r="K78" i="402"/>
  <c r="J77" i="402"/>
  <c r="J78" i="402"/>
  <c r="I77" i="402"/>
  <c r="I78" i="402"/>
  <c r="H77" i="402"/>
  <c r="H78" i="402"/>
  <c r="G77" i="402"/>
  <c r="G78" i="402"/>
  <c r="F77" i="402"/>
  <c r="F78" i="402"/>
  <c r="E77" i="402"/>
  <c r="E78" i="402"/>
  <c r="T76" i="402"/>
  <c r="S76" i="402"/>
  <c r="R71" i="402"/>
  <c r="R74" i="402"/>
  <c r="R76" i="402"/>
  <c r="O74" i="402"/>
  <c r="P74" i="402"/>
  <c r="N74" i="402"/>
  <c r="O75" i="402"/>
  <c r="P75" i="402"/>
  <c r="N75" i="402"/>
  <c r="L75" i="402"/>
  <c r="L76" i="402"/>
  <c r="T75" i="402"/>
  <c r="R75" i="402"/>
  <c r="T74" i="402"/>
  <c r="T72" i="402"/>
  <c r="S72" i="402"/>
  <c r="P72" i="402"/>
  <c r="T71" i="402"/>
  <c r="T70" i="402"/>
  <c r="S70" i="402"/>
  <c r="R64" i="402"/>
  <c r="R65" i="402"/>
  <c r="R66" i="402"/>
  <c r="R67" i="402"/>
  <c r="R68" i="402"/>
  <c r="R69" i="402"/>
  <c r="R70" i="402"/>
  <c r="O64" i="402"/>
  <c r="P64" i="402"/>
  <c r="N64" i="402"/>
  <c r="O65" i="402"/>
  <c r="P65" i="402"/>
  <c r="N65" i="402"/>
  <c r="O66" i="402"/>
  <c r="P66" i="402"/>
  <c r="N66" i="402"/>
  <c r="O67" i="402"/>
  <c r="P67" i="402"/>
  <c r="N67" i="402"/>
  <c r="O68" i="402"/>
  <c r="P68" i="402"/>
  <c r="N68" i="402"/>
  <c r="O69" i="402"/>
  <c r="P69" i="402"/>
  <c r="N69" i="402"/>
  <c r="N70" i="402"/>
  <c r="L65" i="402"/>
  <c r="L66" i="402"/>
  <c r="L67" i="402"/>
  <c r="L68" i="402"/>
  <c r="L69" i="402"/>
  <c r="L70" i="402"/>
  <c r="T69" i="402"/>
  <c r="T68" i="402"/>
  <c r="T67" i="402"/>
  <c r="T66" i="402"/>
  <c r="T65" i="402"/>
  <c r="T64" i="402"/>
  <c r="T63" i="402"/>
  <c r="S63" i="402"/>
  <c r="R54" i="402"/>
  <c r="R55" i="402"/>
  <c r="R56" i="402"/>
  <c r="R57" i="402"/>
  <c r="R59" i="402"/>
  <c r="R60" i="402"/>
  <c r="R61" i="402"/>
  <c r="R62" i="402"/>
  <c r="R63" i="402"/>
  <c r="O59" i="402"/>
  <c r="P59" i="402"/>
  <c r="N59" i="402"/>
  <c r="O60" i="402"/>
  <c r="P60" i="402"/>
  <c r="N60" i="402"/>
  <c r="O61" i="402"/>
  <c r="P61" i="402"/>
  <c r="N61" i="402"/>
  <c r="N62" i="402"/>
  <c r="N63" i="402"/>
  <c r="L59" i="402"/>
  <c r="L60" i="402"/>
  <c r="L61" i="402"/>
  <c r="L62" i="402"/>
  <c r="L63" i="402"/>
  <c r="O62" i="402"/>
  <c r="T62" i="402"/>
  <c r="P62" i="402"/>
  <c r="T61" i="402"/>
  <c r="T60" i="402"/>
  <c r="T59" i="402"/>
  <c r="T57" i="402"/>
  <c r="T56" i="402"/>
  <c r="T55" i="402"/>
  <c r="T54" i="402"/>
  <c r="T53" i="402"/>
  <c r="S53" i="402"/>
  <c r="R45" i="402"/>
  <c r="R46" i="402"/>
  <c r="R47" i="402"/>
  <c r="R48" i="402"/>
  <c r="R49" i="402"/>
  <c r="R50" i="402"/>
  <c r="R51" i="402"/>
  <c r="R52" i="402"/>
  <c r="R53" i="402"/>
  <c r="T52" i="402"/>
  <c r="T51" i="402"/>
  <c r="T50" i="402"/>
  <c r="T49" i="402"/>
  <c r="T48" i="402"/>
  <c r="T47" i="402"/>
  <c r="T46" i="402"/>
  <c r="T45" i="402"/>
  <c r="T44" i="402"/>
  <c r="S44" i="402"/>
  <c r="R37" i="402"/>
  <c r="R38" i="402"/>
  <c r="R39" i="402"/>
  <c r="R40" i="402"/>
  <c r="R41" i="402"/>
  <c r="R42" i="402"/>
  <c r="R43" i="402"/>
  <c r="R44" i="402"/>
  <c r="O37" i="402"/>
  <c r="P37" i="402"/>
  <c r="N37" i="402"/>
  <c r="O38" i="402"/>
  <c r="P38" i="402"/>
  <c r="N38" i="402"/>
  <c r="O39" i="402"/>
  <c r="P39" i="402"/>
  <c r="N39" i="402"/>
  <c r="O40" i="402"/>
  <c r="P40" i="402"/>
  <c r="N40" i="402"/>
  <c r="O41" i="402"/>
  <c r="P41" i="402"/>
  <c r="N41" i="402"/>
  <c r="O42" i="402"/>
  <c r="P42" i="402"/>
  <c r="N42" i="402"/>
  <c r="O43" i="402"/>
  <c r="P43" i="402"/>
  <c r="N43" i="402"/>
  <c r="N44" i="402"/>
  <c r="L41" i="402"/>
  <c r="L42" i="402"/>
  <c r="L43" i="402"/>
  <c r="L44" i="402"/>
  <c r="T43" i="402"/>
  <c r="T42" i="402"/>
  <c r="T41" i="402"/>
  <c r="T40" i="402"/>
  <c r="L38" i="402"/>
  <c r="L39" i="402"/>
  <c r="L40" i="402"/>
  <c r="T39" i="402"/>
  <c r="T38" i="402"/>
  <c r="T37" i="402"/>
  <c r="T36" i="402"/>
  <c r="S36" i="402"/>
  <c r="R28" i="402"/>
  <c r="R30" i="402"/>
  <c r="R31" i="402"/>
  <c r="R33" i="402"/>
  <c r="R34" i="402"/>
  <c r="R35" i="402"/>
  <c r="R36" i="402"/>
  <c r="T35" i="402"/>
  <c r="T34" i="402"/>
  <c r="T33" i="402"/>
  <c r="T31" i="402"/>
  <c r="T30" i="402"/>
  <c r="O29" i="402"/>
  <c r="T29" i="402"/>
  <c r="P29" i="402"/>
  <c r="T28" i="402"/>
  <c r="T27" i="402"/>
  <c r="S27" i="402"/>
  <c r="R21" i="402"/>
  <c r="R22" i="402"/>
  <c r="R23" i="402"/>
  <c r="R24" i="402"/>
  <c r="R25" i="402"/>
  <c r="R26" i="402"/>
  <c r="R27" i="402"/>
  <c r="O22" i="402"/>
  <c r="P22" i="402"/>
  <c r="N22" i="402"/>
  <c r="O23" i="402"/>
  <c r="P23" i="402"/>
  <c r="N23" i="402"/>
  <c r="O24" i="402"/>
  <c r="P24" i="402"/>
  <c r="N24" i="402"/>
  <c r="O25" i="402"/>
  <c r="P25" i="402"/>
  <c r="N25" i="402"/>
  <c r="O26" i="402"/>
  <c r="P26" i="402"/>
  <c r="N26" i="402"/>
  <c r="N27" i="402"/>
  <c r="L23" i="402"/>
  <c r="L24" i="402"/>
  <c r="L25" i="402"/>
  <c r="L26" i="402"/>
  <c r="L27" i="402"/>
  <c r="T26" i="402"/>
  <c r="T25" i="402"/>
  <c r="T24" i="402"/>
  <c r="T23" i="402"/>
  <c r="T22" i="402"/>
  <c r="T21" i="402"/>
  <c r="T20" i="402"/>
  <c r="S20" i="402"/>
  <c r="R14" i="402"/>
  <c r="R15" i="402"/>
  <c r="R16" i="402"/>
  <c r="R17" i="402"/>
  <c r="R18" i="402"/>
  <c r="R19" i="402"/>
  <c r="R20" i="402"/>
  <c r="O14" i="402"/>
  <c r="P14" i="402"/>
  <c r="N14" i="402"/>
  <c r="O15" i="402"/>
  <c r="P15" i="402"/>
  <c r="N15" i="402"/>
  <c r="O16" i="402"/>
  <c r="P16" i="402"/>
  <c r="N16" i="402"/>
  <c r="O17" i="402"/>
  <c r="P17" i="402"/>
  <c r="N17" i="402"/>
  <c r="O18" i="402"/>
  <c r="P18" i="402"/>
  <c r="N18" i="402"/>
  <c r="O19" i="402"/>
  <c r="P19" i="402"/>
  <c r="N19" i="402"/>
  <c r="N20" i="402"/>
  <c r="L15" i="402"/>
  <c r="L16" i="402"/>
  <c r="L17" i="402"/>
  <c r="L18" i="402"/>
  <c r="L19" i="402"/>
  <c r="L20" i="402"/>
  <c r="T19" i="402"/>
  <c r="T18" i="402"/>
  <c r="T17" i="402"/>
  <c r="T16" i="402"/>
  <c r="T15" i="402"/>
  <c r="T14" i="402"/>
  <c r="T13" i="402"/>
  <c r="S13" i="402"/>
  <c r="R6" i="402"/>
  <c r="R7" i="402"/>
  <c r="R8" i="402"/>
  <c r="R9" i="402"/>
  <c r="R10" i="402"/>
  <c r="R11" i="402"/>
  <c r="R12" i="402"/>
  <c r="R13" i="402"/>
  <c r="O6" i="402"/>
  <c r="P6" i="402"/>
  <c r="N6" i="402"/>
  <c r="O7" i="402"/>
  <c r="P7" i="402"/>
  <c r="N7" i="402"/>
  <c r="O8" i="402"/>
  <c r="P8" i="402"/>
  <c r="N8" i="402"/>
  <c r="O9" i="402"/>
  <c r="P9" i="402"/>
  <c r="N9" i="402"/>
  <c r="O10" i="402"/>
  <c r="P10" i="402"/>
  <c r="N10" i="402"/>
  <c r="O11" i="402"/>
  <c r="P11" i="402"/>
  <c r="N11" i="402"/>
  <c r="O12" i="402"/>
  <c r="P12" i="402"/>
  <c r="N12" i="402"/>
  <c r="N13" i="402"/>
  <c r="L9" i="402"/>
  <c r="L10" i="402"/>
  <c r="L11" i="402"/>
  <c r="L12" i="402"/>
  <c r="L13" i="402"/>
  <c r="T12" i="402"/>
  <c r="T11" i="402"/>
  <c r="T10" i="402"/>
  <c r="T9" i="402"/>
  <c r="T8" i="402"/>
  <c r="L7" i="402"/>
  <c r="L8" i="402"/>
  <c r="T7" i="402"/>
  <c r="T6" i="402"/>
  <c r="S7" i="400"/>
  <c r="S8" i="400"/>
  <c r="S9" i="400"/>
  <c r="S10" i="400"/>
  <c r="S11" i="400"/>
  <c r="S12" i="400"/>
  <c r="S13" i="400"/>
  <c r="S14" i="400"/>
  <c r="T14" i="400"/>
  <c r="S15" i="400"/>
  <c r="S16" i="400"/>
  <c r="S17" i="400"/>
  <c r="S18" i="400"/>
  <c r="S19" i="400"/>
  <c r="S20" i="400"/>
  <c r="T20" i="400"/>
  <c r="S21" i="400"/>
  <c r="S22" i="400"/>
  <c r="S23" i="400"/>
  <c r="S24" i="400"/>
  <c r="S25" i="400"/>
  <c r="S26" i="400"/>
  <c r="S27" i="400"/>
  <c r="S28" i="400"/>
  <c r="T28" i="400"/>
  <c r="S29" i="400"/>
  <c r="S30" i="400"/>
  <c r="S31" i="400"/>
  <c r="S32" i="400"/>
  <c r="S33" i="400"/>
  <c r="S34" i="400"/>
  <c r="S35" i="400"/>
  <c r="S36" i="400"/>
  <c r="T36" i="400"/>
  <c r="S37" i="400"/>
  <c r="S38" i="400"/>
  <c r="S39" i="400"/>
  <c r="S40" i="400"/>
  <c r="S41" i="400"/>
  <c r="S42" i="400"/>
  <c r="S43" i="400"/>
  <c r="T43" i="400"/>
  <c r="S44" i="400"/>
  <c r="R42" i="400"/>
  <c r="R41" i="400"/>
  <c r="R40" i="400"/>
  <c r="R39" i="400"/>
  <c r="R38" i="400"/>
  <c r="R37" i="400"/>
  <c r="AA200" i="400"/>
  <c r="AA202" i="400"/>
  <c r="Z200" i="400"/>
  <c r="Z202" i="400"/>
  <c r="Y200" i="400"/>
  <c r="Y202" i="400"/>
  <c r="X200" i="400"/>
  <c r="X202" i="400"/>
  <c r="W200" i="400"/>
  <c r="W202" i="400"/>
  <c r="V200" i="400"/>
  <c r="V202" i="400"/>
  <c r="U200" i="400"/>
  <c r="U202" i="400"/>
  <c r="AA157" i="400"/>
  <c r="Z157" i="400"/>
  <c r="Y157" i="400"/>
  <c r="X157" i="400"/>
  <c r="W157" i="400"/>
  <c r="V157" i="400"/>
  <c r="U157" i="400"/>
  <c r="AD146" i="400"/>
  <c r="AC146" i="400"/>
  <c r="AB146" i="400"/>
  <c r="R44" i="400"/>
  <c r="R35" i="400"/>
  <c r="R34" i="400"/>
  <c r="R33" i="400"/>
  <c r="R32" i="400"/>
  <c r="R31" i="400"/>
  <c r="R30" i="400"/>
  <c r="O29" i="400"/>
  <c r="T29" i="400"/>
  <c r="R27" i="400"/>
  <c r="R26" i="400"/>
  <c r="R25" i="400"/>
  <c r="R24" i="400"/>
  <c r="R23" i="400"/>
  <c r="R22" i="400"/>
  <c r="R21" i="400"/>
  <c r="R19" i="400"/>
  <c r="R18" i="400"/>
  <c r="R17" i="400"/>
  <c r="R16" i="400"/>
  <c r="R15" i="400"/>
  <c r="R13" i="400"/>
  <c r="R12" i="400"/>
  <c r="R11" i="400"/>
  <c r="R10" i="400"/>
  <c r="R9" i="400"/>
  <c r="R8" i="400"/>
  <c r="R7" i="400"/>
  <c r="S6" i="400"/>
  <c r="R6" i="400"/>
  <c r="AA4" i="400"/>
  <c r="AA20" i="400"/>
  <c r="Z4" i="400"/>
  <c r="Z29" i="400"/>
  <c r="Y4" i="400"/>
  <c r="X4" i="400"/>
  <c r="W4" i="400"/>
  <c r="W20" i="400"/>
  <c r="V4" i="400"/>
  <c r="V29" i="400"/>
  <c r="U4" i="400"/>
  <c r="U36" i="400"/>
  <c r="R68" i="401"/>
  <c r="AA68" i="401"/>
  <c r="V68" i="401"/>
  <c r="W68" i="401"/>
  <c r="X68" i="401"/>
  <c r="Y68" i="401"/>
  <c r="Z68" i="401"/>
  <c r="U68" i="401"/>
  <c r="S7" i="401"/>
  <c r="T7" i="401"/>
  <c r="U7" i="401"/>
  <c r="V7" i="401"/>
  <c r="W7" i="401"/>
  <c r="X7" i="401"/>
  <c r="Y7" i="401"/>
  <c r="Z7" i="401"/>
  <c r="AA7" i="401"/>
  <c r="S8" i="401"/>
  <c r="T8" i="401"/>
  <c r="U8" i="401"/>
  <c r="V8" i="401"/>
  <c r="W8" i="401"/>
  <c r="X8" i="401"/>
  <c r="Y8" i="401"/>
  <c r="Z8" i="401"/>
  <c r="AA8" i="401"/>
  <c r="S9" i="401"/>
  <c r="Z9" i="401"/>
  <c r="T9" i="401"/>
  <c r="U9" i="401"/>
  <c r="V9" i="401"/>
  <c r="W9" i="401"/>
  <c r="X9" i="401"/>
  <c r="Y9" i="401"/>
  <c r="AA9" i="401"/>
  <c r="S10" i="401"/>
  <c r="T10" i="401"/>
  <c r="U10" i="401"/>
  <c r="V10" i="401"/>
  <c r="W10" i="401"/>
  <c r="X10" i="401"/>
  <c r="Y10" i="401"/>
  <c r="Z10" i="401"/>
  <c r="AA10" i="401"/>
  <c r="S11" i="401"/>
  <c r="T11" i="401"/>
  <c r="U11" i="401"/>
  <c r="V11" i="401"/>
  <c r="W11" i="401"/>
  <c r="X11" i="401"/>
  <c r="Y11" i="401"/>
  <c r="Z11" i="401"/>
  <c r="AA11" i="401"/>
  <c r="S12" i="401"/>
  <c r="T12" i="401"/>
  <c r="U12" i="401"/>
  <c r="V12" i="401"/>
  <c r="W12" i="401"/>
  <c r="X12" i="401"/>
  <c r="Y12" i="401"/>
  <c r="Z12" i="401"/>
  <c r="AA12" i="401"/>
  <c r="S13" i="401"/>
  <c r="V13" i="401"/>
  <c r="T13" i="401"/>
  <c r="U13" i="401"/>
  <c r="W13" i="401"/>
  <c r="X13" i="401"/>
  <c r="Y13" i="401"/>
  <c r="Z13" i="401"/>
  <c r="AA13" i="401"/>
  <c r="S14" i="401"/>
  <c r="X14" i="401"/>
  <c r="T14" i="401"/>
  <c r="U14" i="401"/>
  <c r="V14" i="401"/>
  <c r="W14" i="401"/>
  <c r="Y14" i="401"/>
  <c r="Z14" i="401"/>
  <c r="AA14" i="401"/>
  <c r="S15" i="401"/>
  <c r="T15" i="401"/>
  <c r="U15" i="401"/>
  <c r="V15" i="401"/>
  <c r="W15" i="401"/>
  <c r="X15" i="401"/>
  <c r="Y15" i="401"/>
  <c r="Z15" i="401"/>
  <c r="AA15" i="401"/>
  <c r="S16" i="401"/>
  <c r="T16" i="401"/>
  <c r="U16" i="401"/>
  <c r="V16" i="401"/>
  <c r="W16" i="401"/>
  <c r="X16" i="401"/>
  <c r="Y16" i="401"/>
  <c r="Z16" i="401"/>
  <c r="AA16" i="401"/>
  <c r="S17" i="401"/>
  <c r="U17" i="401"/>
  <c r="T17" i="401"/>
  <c r="V17" i="401"/>
  <c r="W17" i="401"/>
  <c r="X17" i="401"/>
  <c r="Y17" i="401"/>
  <c r="Z17" i="401"/>
  <c r="AA17" i="401"/>
  <c r="S18" i="401"/>
  <c r="X18" i="401"/>
  <c r="T18" i="401"/>
  <c r="U18" i="401"/>
  <c r="V18" i="401"/>
  <c r="W18" i="401"/>
  <c r="Y18" i="401"/>
  <c r="Z18" i="401"/>
  <c r="AA18" i="401"/>
  <c r="S19" i="401"/>
  <c r="T19" i="401"/>
  <c r="U19" i="401"/>
  <c r="V19" i="401"/>
  <c r="W19" i="401"/>
  <c r="X19" i="401"/>
  <c r="Y19" i="401"/>
  <c r="Z19" i="401"/>
  <c r="AA19" i="401"/>
  <c r="S20" i="401"/>
  <c r="T20" i="401"/>
  <c r="U20" i="401"/>
  <c r="V20" i="401"/>
  <c r="W20" i="401"/>
  <c r="X20" i="401"/>
  <c r="Y20" i="401"/>
  <c r="Z20" i="401"/>
  <c r="AA20" i="401"/>
  <c r="S21" i="401"/>
  <c r="U21" i="401"/>
  <c r="T21" i="401"/>
  <c r="V21" i="401"/>
  <c r="W21" i="401"/>
  <c r="X21" i="401"/>
  <c r="Y21" i="401"/>
  <c r="Z21" i="401"/>
  <c r="AA21" i="401"/>
  <c r="S22" i="401"/>
  <c r="Z22" i="401"/>
  <c r="T22" i="401"/>
  <c r="U22" i="401"/>
  <c r="V22" i="401"/>
  <c r="W22" i="401"/>
  <c r="X22" i="401"/>
  <c r="Y22" i="401"/>
  <c r="AA22" i="401"/>
  <c r="S23" i="401"/>
  <c r="T23" i="401"/>
  <c r="U23" i="401"/>
  <c r="V23" i="401"/>
  <c r="W23" i="401"/>
  <c r="X23" i="401"/>
  <c r="Y23" i="401"/>
  <c r="Z23" i="401"/>
  <c r="AA23" i="401"/>
  <c r="S24" i="401"/>
  <c r="Z24" i="401"/>
  <c r="T24" i="401"/>
  <c r="U24" i="401"/>
  <c r="V24" i="401"/>
  <c r="W24" i="401"/>
  <c r="X24" i="401"/>
  <c r="Y24" i="401"/>
  <c r="AA24" i="401"/>
  <c r="S25" i="401"/>
  <c r="T25" i="401"/>
  <c r="U25" i="401"/>
  <c r="V25" i="401"/>
  <c r="W25" i="401"/>
  <c r="X25" i="401"/>
  <c r="Y25" i="401"/>
  <c r="Z25" i="401"/>
  <c r="AA25" i="401"/>
  <c r="S26" i="401"/>
  <c r="V26" i="401"/>
  <c r="T26" i="401"/>
  <c r="U26" i="401"/>
  <c r="W26" i="401"/>
  <c r="X26" i="401"/>
  <c r="Y26" i="401"/>
  <c r="Z26" i="401"/>
  <c r="AA26" i="401"/>
  <c r="S27" i="401"/>
  <c r="T27" i="401"/>
  <c r="U27" i="401"/>
  <c r="V27" i="401"/>
  <c r="W27" i="401"/>
  <c r="X27" i="401"/>
  <c r="Y27" i="401"/>
  <c r="Z27" i="401"/>
  <c r="AA27" i="401"/>
  <c r="S28" i="401"/>
  <c r="T28" i="401"/>
  <c r="U28" i="401"/>
  <c r="V28" i="401"/>
  <c r="W28" i="401"/>
  <c r="X28" i="401"/>
  <c r="Y28" i="401"/>
  <c r="Z28" i="401"/>
  <c r="AA28" i="401"/>
  <c r="S29" i="401"/>
  <c r="V29" i="401"/>
  <c r="T29" i="401"/>
  <c r="U29" i="401"/>
  <c r="W29" i="401"/>
  <c r="X29" i="401"/>
  <c r="Y29" i="401"/>
  <c r="Z29" i="401"/>
  <c r="AA29" i="401"/>
  <c r="S30" i="401"/>
  <c r="Z30" i="401"/>
  <c r="T30" i="401"/>
  <c r="U30" i="401"/>
  <c r="V30" i="401"/>
  <c r="W30" i="401"/>
  <c r="X30" i="401"/>
  <c r="Y30" i="401"/>
  <c r="AA30" i="401"/>
  <c r="S31" i="401"/>
  <c r="T31" i="401"/>
  <c r="U31" i="401"/>
  <c r="V31" i="401"/>
  <c r="W31" i="401"/>
  <c r="X31" i="401"/>
  <c r="Y31" i="401"/>
  <c r="Z31" i="401"/>
  <c r="AA31" i="401"/>
  <c r="S32" i="401"/>
  <c r="V32" i="401"/>
  <c r="T32" i="401"/>
  <c r="U32" i="401"/>
  <c r="W32" i="401"/>
  <c r="X32" i="401"/>
  <c r="Y32" i="401"/>
  <c r="Z32" i="401"/>
  <c r="AA32" i="401"/>
  <c r="S33" i="401"/>
  <c r="T33" i="401"/>
  <c r="U33" i="401"/>
  <c r="V33" i="401"/>
  <c r="W33" i="401"/>
  <c r="X33" i="401"/>
  <c r="Y33" i="401"/>
  <c r="Z33" i="401"/>
  <c r="AA33" i="401"/>
  <c r="S34" i="401"/>
  <c r="T34" i="401"/>
  <c r="U34" i="401"/>
  <c r="V34" i="401"/>
  <c r="W34" i="401"/>
  <c r="X34" i="401"/>
  <c r="Y34" i="401"/>
  <c r="Z34" i="401"/>
  <c r="AA34" i="401"/>
  <c r="S35" i="401"/>
  <c r="T35" i="401"/>
  <c r="U35" i="401"/>
  <c r="V35" i="401"/>
  <c r="W35" i="401"/>
  <c r="X35" i="401"/>
  <c r="Y35" i="401"/>
  <c r="Z35" i="401"/>
  <c r="AA35" i="401"/>
  <c r="S36" i="401"/>
  <c r="T36" i="401"/>
  <c r="U36" i="401"/>
  <c r="V36" i="401"/>
  <c r="W36" i="401"/>
  <c r="X36" i="401"/>
  <c r="Y36" i="401"/>
  <c r="Z36" i="401"/>
  <c r="AA36" i="401"/>
  <c r="S37" i="401"/>
  <c r="Z37" i="401"/>
  <c r="T37" i="401"/>
  <c r="U37" i="401"/>
  <c r="V37" i="401"/>
  <c r="W37" i="401"/>
  <c r="X37" i="401"/>
  <c r="Y37" i="401"/>
  <c r="AA37" i="401"/>
  <c r="S38" i="401"/>
  <c r="Z38" i="401"/>
  <c r="T38" i="401"/>
  <c r="U38" i="401"/>
  <c r="V38" i="401"/>
  <c r="W38" i="401"/>
  <c r="X38" i="401"/>
  <c r="Y38" i="401"/>
  <c r="AA38" i="401"/>
  <c r="S39" i="401"/>
  <c r="T39" i="401"/>
  <c r="U39" i="401"/>
  <c r="V39" i="401"/>
  <c r="W39" i="401"/>
  <c r="X39" i="401"/>
  <c r="Y39" i="401"/>
  <c r="Z39" i="401"/>
  <c r="AA39" i="401"/>
  <c r="S40" i="401"/>
  <c r="Z40" i="401"/>
  <c r="T40" i="401"/>
  <c r="U40" i="401"/>
  <c r="V40" i="401"/>
  <c r="W40" i="401"/>
  <c r="X40" i="401"/>
  <c r="Y40" i="401"/>
  <c r="AA40" i="401"/>
  <c r="S41" i="401"/>
  <c r="Z41" i="401"/>
  <c r="T41" i="401"/>
  <c r="U41" i="401"/>
  <c r="V41" i="401"/>
  <c r="W41" i="401"/>
  <c r="X41" i="401"/>
  <c r="Y41" i="401"/>
  <c r="AA41" i="401"/>
  <c r="S42" i="401"/>
  <c r="Z42" i="401"/>
  <c r="T42" i="401"/>
  <c r="U42" i="401"/>
  <c r="V42" i="401"/>
  <c r="W42" i="401"/>
  <c r="X42" i="401"/>
  <c r="Y42" i="401"/>
  <c r="AA42" i="401"/>
  <c r="S43" i="401"/>
  <c r="T43" i="401"/>
  <c r="U43" i="401"/>
  <c r="V43" i="401"/>
  <c r="W43" i="401"/>
  <c r="X43" i="401"/>
  <c r="Y43" i="401"/>
  <c r="Z43" i="401"/>
  <c r="AA43" i="401"/>
  <c r="S44" i="401"/>
  <c r="T44" i="401"/>
  <c r="U44" i="401"/>
  <c r="V44" i="401"/>
  <c r="W44" i="401"/>
  <c r="X44" i="401"/>
  <c r="Y44" i="401"/>
  <c r="Z44" i="401"/>
  <c r="AA44" i="401"/>
  <c r="S45" i="401"/>
  <c r="V45" i="401"/>
  <c r="T45" i="401"/>
  <c r="U45" i="401"/>
  <c r="W45" i="401"/>
  <c r="X45" i="401"/>
  <c r="Y45" i="401"/>
  <c r="Z45" i="401"/>
  <c r="AA45" i="401"/>
  <c r="S46" i="401"/>
  <c r="X46" i="401"/>
  <c r="T46" i="401"/>
  <c r="U46" i="401"/>
  <c r="V46" i="401"/>
  <c r="W46" i="401"/>
  <c r="Y46" i="401"/>
  <c r="Z46" i="401"/>
  <c r="AA46" i="401"/>
  <c r="S47" i="401"/>
  <c r="T47" i="401"/>
  <c r="U47" i="401"/>
  <c r="V47" i="401"/>
  <c r="W47" i="401"/>
  <c r="X47" i="401"/>
  <c r="Y47" i="401"/>
  <c r="Z47" i="401"/>
  <c r="AA47" i="401"/>
  <c r="S48" i="401"/>
  <c r="T48" i="401"/>
  <c r="U48" i="401"/>
  <c r="V48" i="401"/>
  <c r="W48" i="401"/>
  <c r="X48" i="401"/>
  <c r="Y48" i="401"/>
  <c r="Z48" i="401"/>
  <c r="AA48" i="401"/>
  <c r="S49" i="401"/>
  <c r="U49" i="401"/>
  <c r="T49" i="401"/>
  <c r="V49" i="401"/>
  <c r="W49" i="401"/>
  <c r="X49" i="401"/>
  <c r="Y49" i="401"/>
  <c r="Z49" i="401"/>
  <c r="AA49" i="401"/>
  <c r="S50" i="401"/>
  <c r="X50" i="401"/>
  <c r="T50" i="401"/>
  <c r="U50" i="401"/>
  <c r="V50" i="401"/>
  <c r="W50" i="401"/>
  <c r="Y50" i="401"/>
  <c r="Z50" i="401"/>
  <c r="AA50" i="401"/>
  <c r="S51" i="401"/>
  <c r="T51" i="401"/>
  <c r="U51" i="401"/>
  <c r="V51" i="401"/>
  <c r="W51" i="401"/>
  <c r="X51" i="401"/>
  <c r="Y51" i="401"/>
  <c r="Z51" i="401"/>
  <c r="AA51" i="401"/>
  <c r="S52" i="401"/>
  <c r="T52" i="401"/>
  <c r="U52" i="401"/>
  <c r="V52" i="401"/>
  <c r="W52" i="401"/>
  <c r="X52" i="401"/>
  <c r="Y52" i="401"/>
  <c r="Z52" i="401"/>
  <c r="AA52" i="401"/>
  <c r="S53" i="401"/>
  <c r="U53" i="401"/>
  <c r="T53" i="401"/>
  <c r="V53" i="401"/>
  <c r="W53" i="401"/>
  <c r="X53" i="401"/>
  <c r="Y53" i="401"/>
  <c r="Z53" i="401"/>
  <c r="AA53" i="401"/>
  <c r="S54" i="401"/>
  <c r="T54" i="401"/>
  <c r="U54" i="401"/>
  <c r="V54" i="401"/>
  <c r="W54" i="401"/>
  <c r="X54" i="401"/>
  <c r="Y54" i="401"/>
  <c r="Z54" i="401"/>
  <c r="AA54" i="401"/>
  <c r="S55" i="401"/>
  <c r="T55" i="401"/>
  <c r="U55" i="401"/>
  <c r="V55" i="401"/>
  <c r="W55" i="401"/>
  <c r="X55" i="401"/>
  <c r="Y55" i="401"/>
  <c r="Z55" i="401"/>
  <c r="AA55" i="401"/>
  <c r="S56" i="401"/>
  <c r="T56" i="401"/>
  <c r="U56" i="401"/>
  <c r="V56" i="401"/>
  <c r="W56" i="401"/>
  <c r="X56" i="401"/>
  <c r="Y56" i="401"/>
  <c r="Z56" i="401"/>
  <c r="AA56" i="401"/>
  <c r="S57" i="401"/>
  <c r="T57" i="401"/>
  <c r="U57" i="401"/>
  <c r="V57" i="401"/>
  <c r="W57" i="401"/>
  <c r="X57" i="401"/>
  <c r="Y57" i="401"/>
  <c r="Z57" i="401"/>
  <c r="AA57" i="401"/>
  <c r="S58" i="401"/>
  <c r="T58" i="401"/>
  <c r="U58" i="401"/>
  <c r="V58" i="401"/>
  <c r="W58" i="401"/>
  <c r="X58" i="401"/>
  <c r="Y58" i="401"/>
  <c r="Z58" i="401"/>
  <c r="AA58" i="401"/>
  <c r="S59" i="401"/>
  <c r="T59" i="401"/>
  <c r="U59" i="401"/>
  <c r="V59" i="401"/>
  <c r="W59" i="401"/>
  <c r="X59" i="401"/>
  <c r="Y59" i="401"/>
  <c r="Z59" i="401"/>
  <c r="AA59" i="401"/>
  <c r="S60" i="401"/>
  <c r="T60" i="401"/>
  <c r="U60" i="401"/>
  <c r="V60" i="401"/>
  <c r="W60" i="401"/>
  <c r="X60" i="401"/>
  <c r="Y60" i="401"/>
  <c r="Z60" i="401"/>
  <c r="AA60" i="401"/>
  <c r="S61" i="401"/>
  <c r="T61" i="401"/>
  <c r="U61" i="401"/>
  <c r="V61" i="401"/>
  <c r="W61" i="401"/>
  <c r="X61" i="401"/>
  <c r="Y61" i="401"/>
  <c r="Z61" i="401"/>
  <c r="AA61" i="401"/>
  <c r="S62" i="401"/>
  <c r="U62" i="401"/>
  <c r="T62" i="401"/>
  <c r="V62" i="401"/>
  <c r="W62" i="401"/>
  <c r="X62" i="401"/>
  <c r="Y62" i="401"/>
  <c r="Z62" i="401"/>
  <c r="AA62" i="401"/>
  <c r="S63" i="401"/>
  <c r="T63" i="401"/>
  <c r="U63" i="401"/>
  <c r="V63" i="401"/>
  <c r="W63" i="401"/>
  <c r="X63" i="401"/>
  <c r="Y63" i="401"/>
  <c r="Z63" i="401"/>
  <c r="AA63" i="401"/>
  <c r="S64" i="401"/>
  <c r="T64" i="401"/>
  <c r="U64" i="401"/>
  <c r="V64" i="401"/>
  <c r="W64" i="401"/>
  <c r="X64" i="401"/>
  <c r="Y64" i="401"/>
  <c r="Z64" i="401"/>
  <c r="AA64" i="401"/>
  <c r="S65" i="401"/>
  <c r="T65" i="401"/>
  <c r="U65" i="401"/>
  <c r="V65" i="401"/>
  <c r="W65" i="401"/>
  <c r="X65" i="401"/>
  <c r="Y65" i="401"/>
  <c r="Z65" i="401"/>
  <c r="AA65" i="401"/>
  <c r="S66" i="401"/>
  <c r="T66" i="401"/>
  <c r="U66" i="401"/>
  <c r="V66" i="401"/>
  <c r="W66" i="401"/>
  <c r="X66" i="401"/>
  <c r="Y66" i="401"/>
  <c r="Z66" i="401"/>
  <c r="AA66" i="401"/>
  <c r="S67" i="401"/>
  <c r="T67" i="401"/>
  <c r="U67" i="401"/>
  <c r="V67" i="401"/>
  <c r="W67" i="401"/>
  <c r="X67" i="401"/>
  <c r="Y67" i="401"/>
  <c r="Z67" i="401"/>
  <c r="AA67" i="401"/>
  <c r="R67" i="401"/>
  <c r="N60" i="401"/>
  <c r="N53" i="401"/>
  <c r="C43" i="401"/>
  <c r="C44" i="401"/>
  <c r="C45" i="401"/>
  <c r="C46" i="401"/>
  <c r="C47" i="401"/>
  <c r="C48" i="401"/>
  <c r="C49" i="401"/>
  <c r="C50" i="401"/>
  <c r="C51" i="401"/>
  <c r="C52" i="401"/>
  <c r="C53" i="401"/>
  <c r="C54" i="401"/>
  <c r="C55" i="401"/>
  <c r="C56" i="401"/>
  <c r="C57" i="401"/>
  <c r="C58" i="401"/>
  <c r="C59" i="401"/>
  <c r="C60" i="401"/>
  <c r="C61" i="401"/>
  <c r="C62" i="401"/>
  <c r="C63" i="401"/>
  <c r="C64" i="401"/>
  <c r="C65" i="401"/>
  <c r="C66" i="401"/>
  <c r="O59" i="401"/>
  <c r="P59" i="401"/>
  <c r="N59" i="401"/>
  <c r="R53" i="401"/>
  <c r="O53" i="401"/>
  <c r="P53" i="401"/>
  <c r="L54" i="401"/>
  <c r="L55" i="401"/>
  <c r="L56" i="401"/>
  <c r="L57" i="401"/>
  <c r="L58" i="401"/>
  <c r="L59" i="401"/>
  <c r="R59" i="401"/>
  <c r="R52" i="401"/>
  <c r="R19" i="401"/>
  <c r="R18" i="401"/>
  <c r="R17" i="401"/>
  <c r="R16" i="401"/>
  <c r="R15" i="401"/>
  <c r="R14" i="401"/>
  <c r="R13" i="401"/>
  <c r="R51" i="401"/>
  <c r="R50" i="401"/>
  <c r="R49" i="401"/>
  <c r="R48" i="401"/>
  <c r="R47" i="401"/>
  <c r="R46" i="401"/>
  <c r="R45" i="401"/>
  <c r="R42" i="401"/>
  <c r="R41" i="401"/>
  <c r="R40" i="401"/>
  <c r="R37" i="401"/>
  <c r="R38" i="401"/>
  <c r="J14" i="557"/>
  <c r="I16" i="557"/>
  <c r="E16" i="557"/>
  <c r="I12" i="557"/>
  <c r="E20" i="557"/>
  <c r="E19" i="557"/>
  <c r="C19" i="557"/>
  <c r="J18" i="557"/>
  <c r="I8" i="557"/>
  <c r="E8" i="557"/>
  <c r="I7" i="557"/>
  <c r="G7" i="557"/>
  <c r="E7" i="557"/>
  <c r="C7" i="557"/>
  <c r="J6" i="557"/>
  <c r="I4" i="557"/>
  <c r="E4" i="557"/>
  <c r="I3" i="557"/>
  <c r="G3" i="557"/>
  <c r="E3" i="557"/>
  <c r="C3" i="557"/>
  <c r="J2" i="557"/>
  <c r="S42" i="399"/>
  <c r="T42" i="399"/>
  <c r="U42" i="399"/>
  <c r="V42" i="399"/>
  <c r="W42" i="399"/>
  <c r="X42" i="399"/>
  <c r="Y42" i="399"/>
  <c r="Z42" i="399"/>
  <c r="AA42" i="399"/>
  <c r="S43" i="399"/>
  <c r="T43" i="399"/>
  <c r="U43" i="399"/>
  <c r="V43" i="399"/>
  <c r="W43" i="399"/>
  <c r="X43" i="399"/>
  <c r="Y43" i="399"/>
  <c r="Z43" i="399"/>
  <c r="AA43" i="399"/>
  <c r="S44" i="399"/>
  <c r="V44" i="399"/>
  <c r="T44" i="399"/>
  <c r="U44" i="399"/>
  <c r="W44" i="399"/>
  <c r="X44" i="399"/>
  <c r="Y44" i="399"/>
  <c r="Z44" i="399"/>
  <c r="AA44" i="399"/>
  <c r="S45" i="399"/>
  <c r="T45" i="399"/>
  <c r="U45" i="399"/>
  <c r="V45" i="399"/>
  <c r="W45" i="399"/>
  <c r="X45" i="399"/>
  <c r="Y45" i="399"/>
  <c r="Z45" i="399"/>
  <c r="AA45" i="399"/>
  <c r="S46" i="399"/>
  <c r="T46" i="399"/>
  <c r="U46" i="399"/>
  <c r="V46" i="399"/>
  <c r="W46" i="399"/>
  <c r="X46" i="399"/>
  <c r="Y46" i="399"/>
  <c r="Z46" i="399"/>
  <c r="AA46" i="399"/>
  <c r="S47" i="399"/>
  <c r="T47" i="399"/>
  <c r="U47" i="399"/>
  <c r="V47" i="399"/>
  <c r="W47" i="399"/>
  <c r="X47" i="399"/>
  <c r="Y47" i="399"/>
  <c r="Z47" i="399"/>
  <c r="AA47" i="399"/>
  <c r="S48" i="399"/>
  <c r="V48" i="399"/>
  <c r="T48" i="399"/>
  <c r="U48" i="399"/>
  <c r="W48" i="399"/>
  <c r="X48" i="399"/>
  <c r="Y48" i="399"/>
  <c r="Z48" i="399"/>
  <c r="AA48" i="399"/>
  <c r="S49" i="399"/>
  <c r="Z49" i="399"/>
  <c r="T49" i="399"/>
  <c r="U49" i="399"/>
  <c r="V49" i="399"/>
  <c r="W49" i="399"/>
  <c r="X49" i="399"/>
  <c r="Y49" i="399"/>
  <c r="AA49" i="399"/>
  <c r="R46" i="399"/>
  <c r="R45" i="399"/>
  <c r="Q45" i="399"/>
  <c r="R44" i="399"/>
  <c r="Q44" i="399"/>
  <c r="R43" i="399"/>
  <c r="Q43" i="399"/>
  <c r="R42" i="399"/>
  <c r="Q42" i="399"/>
  <c r="S6" i="399"/>
  <c r="S7" i="399"/>
  <c r="S8" i="399"/>
  <c r="S9" i="399"/>
  <c r="S10" i="399"/>
  <c r="S11" i="399"/>
  <c r="S12" i="399"/>
  <c r="S13" i="399"/>
  <c r="T13" i="399"/>
  <c r="R12" i="399"/>
  <c r="R11" i="399"/>
  <c r="R10" i="399"/>
  <c r="R9" i="399"/>
  <c r="R8" i="399"/>
  <c r="R7" i="399"/>
  <c r="R6" i="399"/>
  <c r="R7" i="398"/>
  <c r="Q8" i="398"/>
  <c r="R8" i="398"/>
  <c r="R9" i="398"/>
  <c r="Q10" i="398"/>
  <c r="R10" i="398"/>
  <c r="R11" i="398"/>
  <c r="C12" i="398"/>
  <c r="C19" i="398"/>
  <c r="C26" i="398"/>
  <c r="C33" i="398"/>
  <c r="C46" i="398"/>
  <c r="C52" i="398"/>
  <c r="C60" i="398"/>
  <c r="C66" i="398"/>
  <c r="R51" i="398"/>
  <c r="R50" i="398"/>
  <c r="R49" i="398"/>
  <c r="Q49" i="398"/>
  <c r="R48" i="398"/>
  <c r="R47" i="398"/>
  <c r="R30" i="396"/>
  <c r="Q30" i="396"/>
  <c r="R29" i="396"/>
  <c r="Q29" i="396"/>
  <c r="R28" i="396"/>
  <c r="Q28" i="396"/>
  <c r="R53" i="395"/>
  <c r="R52" i="395"/>
  <c r="R51" i="395"/>
  <c r="R50" i="395"/>
  <c r="Q50" i="395"/>
  <c r="R29" i="395"/>
  <c r="Y15" i="3"/>
  <c r="D2" i="559"/>
  <c r="Z15" i="3"/>
  <c r="E2" i="559"/>
  <c r="F2" i="559"/>
  <c r="AB15" i="3"/>
  <c r="G2" i="559"/>
  <c r="AC15" i="3"/>
  <c r="H2" i="559"/>
  <c r="AD15" i="3"/>
  <c r="I2" i="559"/>
  <c r="AE15" i="3"/>
  <c r="J2" i="559"/>
  <c r="D3" i="559"/>
  <c r="E3" i="559"/>
  <c r="F3" i="559"/>
  <c r="G3" i="559"/>
  <c r="H3" i="559"/>
  <c r="I3" i="559"/>
  <c r="J3" i="559"/>
  <c r="D4" i="559"/>
  <c r="E4" i="559"/>
  <c r="F4" i="559"/>
  <c r="G4" i="559"/>
  <c r="H4" i="559"/>
  <c r="I4" i="559"/>
  <c r="J4" i="559"/>
  <c r="D5" i="559"/>
  <c r="E5" i="559"/>
  <c r="F5" i="559"/>
  <c r="G5" i="559"/>
  <c r="H5" i="559"/>
  <c r="I5" i="559"/>
  <c r="J5" i="559"/>
  <c r="D6" i="559"/>
  <c r="E6" i="559"/>
  <c r="F6" i="559"/>
  <c r="G6" i="559"/>
  <c r="H6" i="559"/>
  <c r="I6" i="559"/>
  <c r="J6" i="559"/>
  <c r="D7" i="559"/>
  <c r="E7" i="559"/>
  <c r="F7" i="559"/>
  <c r="G7" i="559"/>
  <c r="H7" i="559"/>
  <c r="I7" i="559"/>
  <c r="J7" i="559"/>
  <c r="D8" i="559"/>
  <c r="E8" i="559"/>
  <c r="F8" i="559"/>
  <c r="G8" i="559"/>
  <c r="H8" i="559"/>
  <c r="I8" i="559"/>
  <c r="J8" i="559"/>
  <c r="X15" i="3"/>
  <c r="C8" i="559"/>
  <c r="C7" i="559"/>
  <c r="C6" i="559"/>
  <c r="C5" i="559"/>
  <c r="C4" i="559"/>
  <c r="C3" i="559"/>
  <c r="C2" i="559"/>
  <c r="J14" i="559"/>
  <c r="H14" i="559"/>
  <c r="J13" i="559"/>
  <c r="J12" i="559"/>
  <c r="J11" i="559"/>
  <c r="J10" i="559"/>
  <c r="J9" i="559"/>
  <c r="J15" i="559"/>
  <c r="I13" i="559"/>
  <c r="I12" i="559"/>
  <c r="I11" i="559"/>
  <c r="I10" i="559"/>
  <c r="I9" i="559"/>
  <c r="I15" i="559"/>
  <c r="I14" i="559"/>
  <c r="H13" i="559"/>
  <c r="H12" i="559"/>
  <c r="H11" i="559"/>
  <c r="H10" i="559"/>
  <c r="H9" i="559"/>
  <c r="H15" i="559"/>
  <c r="P4" i="509"/>
  <c r="Q4" i="509"/>
  <c r="M4" i="509"/>
  <c r="M3" i="509"/>
  <c r="C67" i="9"/>
  <c r="E4" i="8"/>
  <c r="F4" i="8"/>
  <c r="G4" i="8"/>
  <c r="H4" i="8"/>
  <c r="I4" i="8"/>
  <c r="J4" i="8"/>
  <c r="E5" i="8"/>
  <c r="F5" i="8"/>
  <c r="G5" i="8"/>
  <c r="H5" i="8"/>
  <c r="I5" i="8"/>
  <c r="J5" i="8"/>
  <c r="E6" i="8"/>
  <c r="F6" i="8"/>
  <c r="G6" i="8"/>
  <c r="H6" i="8"/>
  <c r="I6" i="8"/>
  <c r="J6" i="8"/>
  <c r="E7" i="8"/>
  <c r="F7" i="8"/>
  <c r="G7" i="8"/>
  <c r="H7" i="8"/>
  <c r="I7" i="8"/>
  <c r="J7" i="8"/>
  <c r="E8" i="8"/>
  <c r="F8" i="8"/>
  <c r="G8" i="8"/>
  <c r="H8" i="8"/>
  <c r="I8" i="8"/>
  <c r="J8" i="8"/>
  <c r="E9" i="8"/>
  <c r="F9" i="8"/>
  <c r="G9" i="8"/>
  <c r="H9" i="8"/>
  <c r="I9" i="8"/>
  <c r="J9" i="8"/>
  <c r="E10" i="8"/>
  <c r="F10" i="8"/>
  <c r="G10" i="8"/>
  <c r="H10" i="8"/>
  <c r="I10" i="8"/>
  <c r="J10" i="8"/>
  <c r="D5" i="8"/>
  <c r="D6" i="8"/>
  <c r="D7" i="8"/>
  <c r="D8" i="8"/>
  <c r="D9" i="8"/>
  <c r="D10" i="8"/>
  <c r="D4" i="8"/>
  <c r="AB69" i="556"/>
  <c r="AB63" i="556"/>
  <c r="AB62" i="556"/>
  <c r="AA70" i="556"/>
  <c r="AB70" i="556"/>
  <c r="Y65" i="556"/>
  <c r="AB65" i="556"/>
  <c r="AB61" i="556"/>
  <c r="Z62" i="556"/>
  <c r="AA61" i="556"/>
  <c r="Z61" i="556"/>
  <c r="Y62" i="556"/>
  <c r="Y61" i="556"/>
  <c r="S77" i="507"/>
  <c r="T77" i="507"/>
  <c r="U77" i="507"/>
  <c r="V77" i="507"/>
  <c r="W77" i="507"/>
  <c r="X77" i="507"/>
  <c r="Y77" i="507"/>
  <c r="Z77" i="507"/>
  <c r="AA77" i="507"/>
  <c r="S78" i="507"/>
  <c r="T78" i="507"/>
  <c r="U78" i="507"/>
  <c r="V78" i="507"/>
  <c r="W78" i="507"/>
  <c r="X78" i="507"/>
  <c r="Y78" i="507"/>
  <c r="Z78" i="507"/>
  <c r="AA78" i="507"/>
  <c r="S79" i="507"/>
  <c r="T79" i="507"/>
  <c r="U79" i="507"/>
  <c r="V79" i="507"/>
  <c r="W79" i="507"/>
  <c r="X79" i="507"/>
  <c r="Y79" i="507"/>
  <c r="Z79" i="507"/>
  <c r="AA79" i="507"/>
  <c r="S80" i="507"/>
  <c r="T80" i="507"/>
  <c r="U80" i="507"/>
  <c r="V80" i="507"/>
  <c r="W80" i="507"/>
  <c r="X80" i="507"/>
  <c r="Y80" i="507"/>
  <c r="Z80" i="507"/>
  <c r="AA80" i="507"/>
  <c r="C76" i="507"/>
  <c r="C77" i="507"/>
  <c r="C78" i="507"/>
  <c r="C79" i="507"/>
  <c r="S66" i="507"/>
  <c r="S67" i="507"/>
  <c r="S68" i="507"/>
  <c r="S69" i="507"/>
  <c r="S70" i="507"/>
  <c r="S71" i="507"/>
  <c r="S72" i="507"/>
  <c r="S73" i="507"/>
  <c r="S74" i="507"/>
  <c r="R66" i="507"/>
  <c r="C66" i="507"/>
  <c r="O66" i="507"/>
  <c r="P66" i="507"/>
  <c r="N66" i="507"/>
  <c r="R75" i="507"/>
  <c r="R74" i="507"/>
  <c r="R73" i="507"/>
  <c r="R72" i="507"/>
  <c r="R71" i="507"/>
  <c r="R70" i="507"/>
  <c r="R69" i="507"/>
  <c r="R68" i="507"/>
  <c r="R67" i="507"/>
  <c r="C60" i="507"/>
  <c r="Z60" i="507"/>
  <c r="R65" i="507"/>
  <c r="R64" i="507"/>
  <c r="R63" i="507"/>
  <c r="R59" i="507"/>
  <c r="R58" i="507"/>
  <c r="R52" i="507"/>
  <c r="R51" i="507"/>
  <c r="R49" i="507"/>
  <c r="R48" i="507"/>
  <c r="R57" i="507"/>
  <c r="R56" i="507"/>
  <c r="R55" i="507"/>
  <c r="C53" i="507"/>
  <c r="AA53" i="507"/>
  <c r="R50" i="507"/>
  <c r="R43" i="507"/>
  <c r="R35" i="507"/>
  <c r="S32" i="507"/>
  <c r="S33" i="507"/>
  <c r="S34" i="507"/>
  <c r="S35" i="507"/>
  <c r="S36" i="507"/>
  <c r="S37" i="507"/>
  <c r="S38" i="507"/>
  <c r="T38" i="507"/>
  <c r="S39" i="507"/>
  <c r="S40" i="507"/>
  <c r="S41" i="507"/>
  <c r="S42" i="507"/>
  <c r="S43" i="507"/>
  <c r="S44" i="507"/>
  <c r="S45" i="507"/>
  <c r="S46" i="507"/>
  <c r="T46" i="507"/>
  <c r="R45" i="507"/>
  <c r="R44" i="507"/>
  <c r="R37" i="507"/>
  <c r="R36" i="507"/>
  <c r="R42" i="507"/>
  <c r="R41" i="507"/>
  <c r="R34" i="507"/>
  <c r="R33" i="507"/>
  <c r="R40" i="507"/>
  <c r="R32" i="507"/>
  <c r="R39" i="507"/>
  <c r="R31" i="507"/>
  <c r="C38" i="507"/>
  <c r="W38" i="507"/>
  <c r="R29" i="507"/>
  <c r="R28" i="507"/>
  <c r="R27" i="507"/>
  <c r="R26" i="507"/>
  <c r="R25" i="507"/>
  <c r="R24" i="507"/>
  <c r="R23" i="507"/>
  <c r="R22" i="507"/>
  <c r="R21" i="507"/>
  <c r="R20" i="507"/>
  <c r="R19" i="507"/>
  <c r="R18" i="507"/>
  <c r="R16" i="507"/>
  <c r="R15" i="507"/>
  <c r="R14" i="507"/>
  <c r="R13" i="507"/>
  <c r="R12" i="507"/>
  <c r="R11" i="507"/>
  <c r="R10" i="507"/>
  <c r="R9" i="507"/>
  <c r="AA223" i="507"/>
  <c r="AA225" i="507"/>
  <c r="Z223" i="507"/>
  <c r="Z225" i="507"/>
  <c r="Y223" i="507"/>
  <c r="Y225" i="507"/>
  <c r="X223" i="507"/>
  <c r="X225" i="507"/>
  <c r="W223" i="507"/>
  <c r="W225" i="507"/>
  <c r="V223" i="507"/>
  <c r="V225" i="507"/>
  <c r="U223" i="507"/>
  <c r="U225" i="507"/>
  <c r="AA180" i="507"/>
  <c r="Z180" i="507"/>
  <c r="Y180" i="507"/>
  <c r="X180" i="507"/>
  <c r="W180" i="507"/>
  <c r="V180" i="507"/>
  <c r="U180" i="507"/>
  <c r="AD169" i="507"/>
  <c r="AC169" i="507"/>
  <c r="AB169" i="507"/>
  <c r="AA88" i="507"/>
  <c r="AA89" i="507"/>
  <c r="AA90" i="507"/>
  <c r="AA91" i="507"/>
  <c r="AA92" i="507"/>
  <c r="AA93" i="507"/>
  <c r="AA94" i="507"/>
  <c r="AA95" i="507"/>
  <c r="AA96" i="507"/>
  <c r="AA97" i="507"/>
  <c r="AA98" i="507"/>
  <c r="AA99" i="507"/>
  <c r="AA100" i="507"/>
  <c r="AA101" i="507"/>
  <c r="AA102" i="507"/>
  <c r="AA103" i="507"/>
  <c r="AA104" i="507"/>
  <c r="AA105" i="507"/>
  <c r="AA106" i="507"/>
  <c r="AA107" i="507"/>
  <c r="AA108" i="507"/>
  <c r="AA109" i="507"/>
  <c r="AA110" i="507"/>
  <c r="AA111" i="507"/>
  <c r="AA112" i="507"/>
  <c r="AA113" i="507"/>
  <c r="AA114" i="507"/>
  <c r="AA115" i="507"/>
  <c r="AA116" i="507"/>
  <c r="AA117" i="507"/>
  <c r="AA118" i="507"/>
  <c r="AA119" i="507"/>
  <c r="AA120" i="507"/>
  <c r="AA121" i="507"/>
  <c r="AA122" i="507"/>
  <c r="AA123" i="507"/>
  <c r="AA124" i="507"/>
  <c r="Z88" i="507"/>
  <c r="Z89" i="507"/>
  <c r="Z90" i="507"/>
  <c r="Z91" i="507"/>
  <c r="Z92" i="507"/>
  <c r="Z93" i="507"/>
  <c r="Z94" i="507"/>
  <c r="Z95" i="507"/>
  <c r="Z96" i="507"/>
  <c r="Z97" i="507"/>
  <c r="Z98" i="507"/>
  <c r="Z99" i="507"/>
  <c r="Z100" i="507"/>
  <c r="Z101" i="507"/>
  <c r="Z102" i="507"/>
  <c r="Z103" i="507"/>
  <c r="Z104" i="507"/>
  <c r="Z105" i="507"/>
  <c r="Z106" i="507"/>
  <c r="Z107" i="507"/>
  <c r="Z108" i="507"/>
  <c r="Z109" i="507"/>
  <c r="Z110" i="507"/>
  <c r="Z111" i="507"/>
  <c r="Z112" i="507"/>
  <c r="Z113" i="507"/>
  <c r="Z114" i="507"/>
  <c r="Z115" i="507"/>
  <c r="Z116" i="507"/>
  <c r="Z117" i="507"/>
  <c r="Z118" i="507"/>
  <c r="Z119" i="507"/>
  <c r="Z120" i="507"/>
  <c r="Z121" i="507"/>
  <c r="Z122" i="507"/>
  <c r="Z123" i="507"/>
  <c r="Z124" i="507"/>
  <c r="Y88" i="507"/>
  <c r="Y89" i="507"/>
  <c r="Y90" i="507"/>
  <c r="Y91" i="507"/>
  <c r="Y92" i="507"/>
  <c r="Y93" i="507"/>
  <c r="Y94" i="507"/>
  <c r="Y95" i="507"/>
  <c r="Y96" i="507"/>
  <c r="Y97" i="507"/>
  <c r="Y98" i="507"/>
  <c r="Y99" i="507"/>
  <c r="Y100" i="507"/>
  <c r="Y101" i="507"/>
  <c r="Y102" i="507"/>
  <c r="Y103" i="507"/>
  <c r="Y104" i="507"/>
  <c r="Y105" i="507"/>
  <c r="Y106" i="507"/>
  <c r="Y107" i="507"/>
  <c r="Y108" i="507"/>
  <c r="Y109" i="507"/>
  <c r="Y110" i="507"/>
  <c r="Y111" i="507"/>
  <c r="Y112" i="507"/>
  <c r="Y113" i="507"/>
  <c r="Y114" i="507"/>
  <c r="Y115" i="507"/>
  <c r="Y116" i="507"/>
  <c r="Y117" i="507"/>
  <c r="Y118" i="507"/>
  <c r="Y119" i="507"/>
  <c r="Y120" i="507"/>
  <c r="Y121" i="507"/>
  <c r="Y122" i="507"/>
  <c r="Y123" i="507"/>
  <c r="Y124" i="507"/>
  <c r="X88" i="507"/>
  <c r="X89" i="507"/>
  <c r="X90" i="507"/>
  <c r="X91" i="507"/>
  <c r="X92" i="507"/>
  <c r="X93" i="507"/>
  <c r="X94" i="507"/>
  <c r="X95" i="507"/>
  <c r="X96" i="507"/>
  <c r="X97" i="507"/>
  <c r="X98" i="507"/>
  <c r="X99" i="507"/>
  <c r="X100" i="507"/>
  <c r="X101" i="507"/>
  <c r="X102" i="507"/>
  <c r="X103" i="507"/>
  <c r="X104" i="507"/>
  <c r="X105" i="507"/>
  <c r="X106" i="507"/>
  <c r="X107" i="507"/>
  <c r="X108" i="507"/>
  <c r="X109" i="507"/>
  <c r="X110" i="507"/>
  <c r="X111" i="507"/>
  <c r="X112" i="507"/>
  <c r="X113" i="507"/>
  <c r="X114" i="507"/>
  <c r="X115" i="507"/>
  <c r="X116" i="507"/>
  <c r="X117" i="507"/>
  <c r="X118" i="507"/>
  <c r="X119" i="507"/>
  <c r="X120" i="507"/>
  <c r="X121" i="507"/>
  <c r="X122" i="507"/>
  <c r="X123" i="507"/>
  <c r="X124" i="507"/>
  <c r="W88" i="507"/>
  <c r="W89" i="507"/>
  <c r="W90" i="507"/>
  <c r="W91" i="507"/>
  <c r="W92" i="507"/>
  <c r="W93" i="507"/>
  <c r="W94" i="507"/>
  <c r="W95" i="507"/>
  <c r="W96" i="507"/>
  <c r="W97" i="507"/>
  <c r="W98" i="507"/>
  <c r="W99" i="507"/>
  <c r="W100" i="507"/>
  <c r="W101" i="507"/>
  <c r="W102" i="507"/>
  <c r="W103" i="507"/>
  <c r="W104" i="507"/>
  <c r="W105" i="507"/>
  <c r="W106" i="507"/>
  <c r="W107" i="507"/>
  <c r="W108" i="507"/>
  <c r="W109" i="507"/>
  <c r="W110" i="507"/>
  <c r="W111" i="507"/>
  <c r="W112" i="507"/>
  <c r="W113" i="507"/>
  <c r="W114" i="507"/>
  <c r="W115" i="507"/>
  <c r="W116" i="507"/>
  <c r="W117" i="507"/>
  <c r="W118" i="507"/>
  <c r="W119" i="507"/>
  <c r="W120" i="507"/>
  <c r="W121" i="507"/>
  <c r="W122" i="507"/>
  <c r="W123" i="507"/>
  <c r="W124" i="507"/>
  <c r="V88" i="507"/>
  <c r="V89" i="507"/>
  <c r="V90" i="507"/>
  <c r="V91" i="507"/>
  <c r="V92" i="507"/>
  <c r="V93" i="507"/>
  <c r="V94" i="507"/>
  <c r="V95" i="507"/>
  <c r="V96" i="507"/>
  <c r="V97" i="507"/>
  <c r="V98" i="507"/>
  <c r="V99" i="507"/>
  <c r="V100" i="507"/>
  <c r="V101" i="507"/>
  <c r="V102" i="507"/>
  <c r="V103" i="507"/>
  <c r="V104" i="507"/>
  <c r="V105" i="507"/>
  <c r="V106" i="507"/>
  <c r="V107" i="507"/>
  <c r="V108" i="507"/>
  <c r="V109" i="507"/>
  <c r="V110" i="507"/>
  <c r="V111" i="507"/>
  <c r="V112" i="507"/>
  <c r="V113" i="507"/>
  <c r="V114" i="507"/>
  <c r="V115" i="507"/>
  <c r="V116" i="507"/>
  <c r="V117" i="507"/>
  <c r="V118" i="507"/>
  <c r="V119" i="507"/>
  <c r="V120" i="507"/>
  <c r="V121" i="507"/>
  <c r="V122" i="507"/>
  <c r="V123" i="507"/>
  <c r="V124" i="507"/>
  <c r="U88" i="507"/>
  <c r="U89" i="507"/>
  <c r="U90" i="507"/>
  <c r="U91" i="507"/>
  <c r="U92" i="507"/>
  <c r="U93" i="507"/>
  <c r="U94" i="507"/>
  <c r="U95" i="507"/>
  <c r="U96" i="507"/>
  <c r="U97" i="507"/>
  <c r="U98" i="507"/>
  <c r="U99" i="507"/>
  <c r="U100" i="507"/>
  <c r="U101" i="507"/>
  <c r="U102" i="507"/>
  <c r="U103" i="507"/>
  <c r="U104" i="507"/>
  <c r="U105" i="507"/>
  <c r="U106" i="507"/>
  <c r="U107" i="507"/>
  <c r="U108" i="507"/>
  <c r="U109" i="507"/>
  <c r="U110" i="507"/>
  <c r="U111" i="507"/>
  <c r="U112" i="507"/>
  <c r="U113" i="507"/>
  <c r="U114" i="507"/>
  <c r="U115" i="507"/>
  <c r="U116" i="507"/>
  <c r="U117" i="507"/>
  <c r="U118" i="507"/>
  <c r="U119" i="507"/>
  <c r="U120" i="507"/>
  <c r="U121" i="507"/>
  <c r="U122" i="507"/>
  <c r="U123" i="507"/>
  <c r="U124" i="507"/>
  <c r="S86" i="507"/>
  <c r="C86" i="507"/>
  <c r="Y86" i="507"/>
  <c r="S85" i="507"/>
  <c r="R85" i="507"/>
  <c r="S84" i="507"/>
  <c r="R84" i="507"/>
  <c r="S83" i="507"/>
  <c r="R83" i="507"/>
  <c r="S82" i="507"/>
  <c r="R82" i="507"/>
  <c r="N82" i="507"/>
  <c r="S81" i="507"/>
  <c r="R81" i="507"/>
  <c r="R80" i="507"/>
  <c r="T76" i="507"/>
  <c r="S76" i="507"/>
  <c r="W76" i="507"/>
  <c r="S75" i="507"/>
  <c r="S65" i="507"/>
  <c r="S64" i="507"/>
  <c r="S63" i="507"/>
  <c r="S62" i="507"/>
  <c r="R62" i="507"/>
  <c r="S61" i="507"/>
  <c r="R61" i="507"/>
  <c r="T60" i="507"/>
  <c r="S60" i="507"/>
  <c r="S59" i="507"/>
  <c r="S58" i="507"/>
  <c r="S57" i="507"/>
  <c r="S56" i="507"/>
  <c r="S55" i="507"/>
  <c r="S54" i="507"/>
  <c r="R54" i="507"/>
  <c r="R60" i="507"/>
  <c r="S53" i="507"/>
  <c r="S52" i="507"/>
  <c r="S51" i="507"/>
  <c r="S50" i="507"/>
  <c r="S49" i="507"/>
  <c r="S48" i="507"/>
  <c r="S47" i="507"/>
  <c r="R47" i="507"/>
  <c r="S31" i="507"/>
  <c r="T30" i="507"/>
  <c r="S30" i="507"/>
  <c r="S29" i="507"/>
  <c r="S28" i="507"/>
  <c r="S27" i="507"/>
  <c r="S26" i="507"/>
  <c r="S25" i="507"/>
  <c r="S24" i="507"/>
  <c r="S23" i="507"/>
  <c r="S22" i="507"/>
  <c r="S21" i="507"/>
  <c r="S20" i="507"/>
  <c r="S19" i="507"/>
  <c r="S18" i="507"/>
  <c r="T17" i="507"/>
  <c r="S17" i="507"/>
  <c r="C17" i="507"/>
  <c r="X17" i="507"/>
  <c r="S16" i="507"/>
  <c r="S15" i="507"/>
  <c r="S14" i="507"/>
  <c r="S13" i="507"/>
  <c r="S12" i="507"/>
  <c r="S11" i="507"/>
  <c r="S10" i="507"/>
  <c r="S9" i="507"/>
  <c r="S8" i="507"/>
  <c r="R8" i="507"/>
  <c r="S7" i="507"/>
  <c r="R7" i="507"/>
  <c r="S6" i="507"/>
  <c r="R6" i="507"/>
  <c r="S5" i="507"/>
  <c r="R5" i="507"/>
  <c r="AA4" i="507"/>
  <c r="C16" i="507"/>
  <c r="O16" i="507"/>
  <c r="P16" i="507"/>
  <c r="N16" i="507"/>
  <c r="Z4" i="507"/>
  <c r="C63" i="507"/>
  <c r="O63" i="507"/>
  <c r="P63" i="507"/>
  <c r="N63" i="507"/>
  <c r="Y4" i="507"/>
  <c r="C46" i="507"/>
  <c r="X46" i="507"/>
  <c r="X4" i="507"/>
  <c r="W4" i="507"/>
  <c r="C47" i="507"/>
  <c r="V4" i="507"/>
  <c r="C31" i="507"/>
  <c r="U4" i="507"/>
  <c r="C75" i="507"/>
  <c r="O75" i="507"/>
  <c r="P75" i="507"/>
  <c r="N75" i="507"/>
  <c r="V4" i="551"/>
  <c r="C18" i="551"/>
  <c r="O18" i="551"/>
  <c r="P18" i="551"/>
  <c r="N18" i="551"/>
  <c r="C19" i="551"/>
  <c r="O19" i="551"/>
  <c r="P19" i="551"/>
  <c r="N19" i="551"/>
  <c r="C20" i="551"/>
  <c r="O20" i="551"/>
  <c r="P20" i="551"/>
  <c r="N20" i="551"/>
  <c r="C21" i="551"/>
  <c r="O21" i="551"/>
  <c r="P21" i="551"/>
  <c r="N21" i="551"/>
  <c r="C22" i="551"/>
  <c r="O22" i="551"/>
  <c r="P22" i="551"/>
  <c r="N22" i="551"/>
  <c r="C23" i="551"/>
  <c r="O23" i="551"/>
  <c r="P23" i="551"/>
  <c r="N23" i="551"/>
  <c r="C24" i="551"/>
  <c r="O24" i="551"/>
  <c r="P24" i="551"/>
  <c r="N24" i="551"/>
  <c r="C25" i="551"/>
  <c r="O25" i="551"/>
  <c r="P25" i="551"/>
  <c r="N25" i="551"/>
  <c r="N26" i="551"/>
  <c r="R25" i="551"/>
  <c r="R24" i="551"/>
  <c r="R23" i="551"/>
  <c r="R22" i="551"/>
  <c r="R21" i="551"/>
  <c r="R20" i="551"/>
  <c r="R19" i="551"/>
  <c r="R18" i="551"/>
  <c r="R6" i="551"/>
  <c r="C10" i="551"/>
  <c r="R8" i="551"/>
  <c r="R7" i="551"/>
  <c r="R5" i="551"/>
  <c r="C9" i="559"/>
  <c r="D9" i="559"/>
  <c r="D15" i="559"/>
  <c r="E9" i="559"/>
  <c r="F9" i="559"/>
  <c r="G9" i="559"/>
  <c r="C10" i="559"/>
  <c r="D10" i="559"/>
  <c r="E10" i="559"/>
  <c r="F10" i="559"/>
  <c r="G10" i="559"/>
  <c r="C11" i="559"/>
  <c r="D11" i="559"/>
  <c r="E11" i="559"/>
  <c r="F11" i="559"/>
  <c r="G11" i="559"/>
  <c r="C12" i="559"/>
  <c r="D12" i="559"/>
  <c r="E12" i="559"/>
  <c r="F12" i="559"/>
  <c r="G12" i="559"/>
  <c r="C13" i="559"/>
  <c r="D13" i="559"/>
  <c r="E13" i="559"/>
  <c r="F13" i="559"/>
  <c r="G13" i="559"/>
  <c r="G14" i="559"/>
  <c r="E15" i="559"/>
  <c r="C15" i="559"/>
  <c r="G15" i="559"/>
  <c r="F15" i="559"/>
  <c r="AG15" i="3"/>
  <c r="AF15" i="3"/>
  <c r="AA15" i="3"/>
  <c r="W15" i="3"/>
  <c r="V15" i="3"/>
  <c r="U15" i="3"/>
  <c r="T15" i="3"/>
  <c r="S15" i="3"/>
  <c r="R15" i="3"/>
  <c r="Q15" i="3"/>
  <c r="P15" i="3"/>
  <c r="AA193" i="426"/>
  <c r="AA195" i="426"/>
  <c r="Z193" i="426"/>
  <c r="Z195" i="426"/>
  <c r="Y193" i="426"/>
  <c r="Y195" i="426"/>
  <c r="X193" i="426"/>
  <c r="X195" i="426"/>
  <c r="W193" i="426"/>
  <c r="W195" i="426"/>
  <c r="V193" i="426"/>
  <c r="V195" i="426"/>
  <c r="U193" i="426"/>
  <c r="U195" i="426"/>
  <c r="AA150" i="426"/>
  <c r="Z150" i="426"/>
  <c r="Y150" i="426"/>
  <c r="X150" i="426"/>
  <c r="W150" i="426"/>
  <c r="V150" i="426"/>
  <c r="U150" i="426"/>
  <c r="AD139" i="426"/>
  <c r="AC139" i="426"/>
  <c r="AB139" i="426"/>
  <c r="S46" i="426"/>
  <c r="C46" i="426"/>
  <c r="O46" i="426"/>
  <c r="S45" i="426"/>
  <c r="R45" i="426"/>
  <c r="S44" i="426"/>
  <c r="R44" i="426"/>
  <c r="S43" i="426"/>
  <c r="R43" i="426"/>
  <c r="R46" i="426"/>
  <c r="S42" i="426"/>
  <c r="C42" i="426"/>
  <c r="O42" i="426"/>
  <c r="T42" i="426"/>
  <c r="S41" i="426"/>
  <c r="R41" i="426"/>
  <c r="S40" i="426"/>
  <c r="R40" i="426"/>
  <c r="S39" i="426"/>
  <c r="R39" i="426"/>
  <c r="S38" i="426"/>
  <c r="R38" i="426"/>
  <c r="S37" i="426"/>
  <c r="C37" i="426"/>
  <c r="O37" i="426"/>
  <c r="T37" i="426"/>
  <c r="T36" i="426"/>
  <c r="S36" i="426"/>
  <c r="C36" i="426"/>
  <c r="S35" i="426"/>
  <c r="R35" i="426"/>
  <c r="S34" i="426"/>
  <c r="R34" i="426"/>
  <c r="S33" i="426"/>
  <c r="R33" i="426"/>
  <c r="S32" i="426"/>
  <c r="R32" i="426"/>
  <c r="S31" i="426"/>
  <c r="R31" i="426"/>
  <c r="S30" i="426"/>
  <c r="R30" i="426"/>
  <c r="S29" i="426"/>
  <c r="R29" i="426"/>
  <c r="S28" i="426"/>
  <c r="R28" i="426"/>
  <c r="S27" i="426"/>
  <c r="R27" i="426"/>
  <c r="S26" i="426"/>
  <c r="R26" i="426"/>
  <c r="L26" i="426"/>
  <c r="T25" i="426"/>
  <c r="S25" i="426"/>
  <c r="R25" i="426"/>
  <c r="T24" i="426"/>
  <c r="S24" i="426"/>
  <c r="C24" i="426"/>
  <c r="T23" i="426"/>
  <c r="S23" i="426"/>
  <c r="C23" i="426"/>
  <c r="S22" i="426"/>
  <c r="R22" i="426"/>
  <c r="S21" i="426"/>
  <c r="R21" i="426"/>
  <c r="S20" i="426"/>
  <c r="R20" i="426"/>
  <c r="S19" i="426"/>
  <c r="R19" i="426"/>
  <c r="R23" i="426"/>
  <c r="T18" i="426"/>
  <c r="S18" i="426"/>
  <c r="C18" i="426"/>
  <c r="S17" i="426"/>
  <c r="R17" i="426"/>
  <c r="S16" i="426"/>
  <c r="R16" i="426"/>
  <c r="S15" i="426"/>
  <c r="R15" i="426"/>
  <c r="S14" i="426"/>
  <c r="R14" i="426"/>
  <c r="T13" i="426"/>
  <c r="S13" i="426"/>
  <c r="C13" i="426"/>
  <c r="S12" i="426"/>
  <c r="R12" i="426"/>
  <c r="S11" i="426"/>
  <c r="R11" i="426"/>
  <c r="S10" i="426"/>
  <c r="R10" i="426"/>
  <c r="S9" i="426"/>
  <c r="R9" i="426"/>
  <c r="S8" i="426"/>
  <c r="R8" i="426"/>
  <c r="S7" i="426"/>
  <c r="R7" i="426"/>
  <c r="S6" i="426"/>
  <c r="R6" i="426"/>
  <c r="AA4" i="426"/>
  <c r="AA5" i="426"/>
  <c r="Z4" i="426"/>
  <c r="Z5" i="426"/>
  <c r="Y4" i="426"/>
  <c r="X4" i="426"/>
  <c r="X5" i="426"/>
  <c r="W4" i="426"/>
  <c r="V4" i="426"/>
  <c r="V5" i="426"/>
  <c r="U4" i="426"/>
  <c r="Z43" i="400"/>
  <c r="Z20" i="400"/>
  <c r="V43" i="400"/>
  <c r="AA28" i="400"/>
  <c r="V20" i="400"/>
  <c r="AA14" i="400"/>
  <c r="W28" i="400"/>
  <c r="W14" i="400"/>
  <c r="X14" i="400"/>
  <c r="X28" i="400"/>
  <c r="X20" i="400"/>
  <c r="X29" i="400"/>
  <c r="X43" i="400"/>
  <c r="Y36" i="400"/>
  <c r="X36" i="400"/>
  <c r="Y43" i="400"/>
  <c r="U43" i="400"/>
  <c r="AA36" i="400"/>
  <c r="W36" i="400"/>
  <c r="Y29" i="400"/>
  <c r="U29" i="400"/>
  <c r="Z28" i="400"/>
  <c r="V28" i="400"/>
  <c r="Y20" i="400"/>
  <c r="U20" i="400"/>
  <c r="Z14" i="400"/>
  <c r="V14" i="400"/>
  <c r="Z36" i="400"/>
  <c r="V36" i="400"/>
  <c r="Y28" i="400"/>
  <c r="U28" i="400"/>
  <c r="Y14" i="400"/>
  <c r="U14" i="400"/>
  <c r="R36" i="400"/>
  <c r="AA43" i="400"/>
  <c r="W43" i="400"/>
  <c r="AA29" i="400"/>
  <c r="W29" i="400"/>
  <c r="R20" i="400"/>
  <c r="R43" i="400"/>
  <c r="X5" i="400"/>
  <c r="C41" i="400"/>
  <c r="X41" i="400"/>
  <c r="R28" i="400"/>
  <c r="W5" i="400"/>
  <c r="AA5" i="400"/>
  <c r="C27" i="400"/>
  <c r="C11" i="400"/>
  <c r="C25" i="400"/>
  <c r="U5" i="400"/>
  <c r="C37" i="400"/>
  <c r="U37" i="400"/>
  <c r="Y5" i="400"/>
  <c r="R14" i="400"/>
  <c r="C13" i="400"/>
  <c r="V5" i="400"/>
  <c r="Z5" i="400"/>
  <c r="L60" i="401"/>
  <c r="R20" i="401"/>
  <c r="R13" i="399"/>
  <c r="R47" i="399"/>
  <c r="Y66" i="556"/>
  <c r="C68" i="507"/>
  <c r="O68" i="507"/>
  <c r="P68" i="507"/>
  <c r="N68" i="507"/>
  <c r="C80" i="507"/>
  <c r="W66" i="507"/>
  <c r="C74" i="507"/>
  <c r="T68" i="507"/>
  <c r="Z66" i="507"/>
  <c r="V66" i="507"/>
  <c r="AA66" i="507"/>
  <c r="C72" i="507"/>
  <c r="AA68" i="507"/>
  <c r="Y66" i="507"/>
  <c r="T66" i="507"/>
  <c r="C57" i="507"/>
  <c r="O57" i="507"/>
  <c r="P57" i="507"/>
  <c r="N57" i="507"/>
  <c r="C70" i="507"/>
  <c r="Z68" i="507"/>
  <c r="V68" i="507"/>
  <c r="X66" i="507"/>
  <c r="U66" i="507"/>
  <c r="V38" i="507"/>
  <c r="C67" i="507"/>
  <c r="C37" i="507"/>
  <c r="O37" i="507"/>
  <c r="P37" i="507"/>
  <c r="N37" i="507"/>
  <c r="C69" i="507"/>
  <c r="U69" i="507"/>
  <c r="C71" i="507"/>
  <c r="C73" i="507"/>
  <c r="R38" i="507"/>
  <c r="C20" i="507"/>
  <c r="O20" i="507"/>
  <c r="P20" i="507"/>
  <c r="N20" i="507"/>
  <c r="R17" i="507"/>
  <c r="U17" i="507"/>
  <c r="R53" i="507"/>
  <c r="R46" i="507"/>
  <c r="C51" i="507"/>
  <c r="O51" i="507"/>
  <c r="P51" i="507"/>
  <c r="N51" i="507"/>
  <c r="C18" i="507"/>
  <c r="W18" i="507"/>
  <c r="C6" i="507"/>
  <c r="C10" i="507"/>
  <c r="X10" i="507"/>
  <c r="Z38" i="507"/>
  <c r="C48" i="507"/>
  <c r="O48" i="507"/>
  <c r="P48" i="507"/>
  <c r="N48" i="507"/>
  <c r="W46" i="507"/>
  <c r="C35" i="507"/>
  <c r="W35" i="507"/>
  <c r="AA46" i="507"/>
  <c r="V46" i="507"/>
  <c r="Y38" i="507"/>
  <c r="U38" i="507"/>
  <c r="Z37" i="507"/>
  <c r="C49" i="507"/>
  <c r="O49" i="507"/>
  <c r="P49" i="507"/>
  <c r="N49" i="507"/>
  <c r="C52" i="507"/>
  <c r="O52" i="507"/>
  <c r="P52" i="507"/>
  <c r="N52" i="507"/>
  <c r="C65" i="507"/>
  <c r="O65" i="507"/>
  <c r="P65" i="507"/>
  <c r="N65" i="507"/>
  <c r="C61" i="507"/>
  <c r="C62" i="507"/>
  <c r="C43" i="507"/>
  <c r="V43" i="507"/>
  <c r="C33" i="507"/>
  <c r="C40" i="507"/>
  <c r="Z46" i="507"/>
  <c r="U46" i="507"/>
  <c r="X38" i="507"/>
  <c r="C50" i="507"/>
  <c r="O50" i="507"/>
  <c r="P50" i="507"/>
  <c r="N50" i="507"/>
  <c r="C56" i="507"/>
  <c r="O56" i="507"/>
  <c r="P56" i="507"/>
  <c r="N56" i="507"/>
  <c r="C58" i="507"/>
  <c r="O58" i="507"/>
  <c r="P58" i="507"/>
  <c r="N58" i="507"/>
  <c r="C64" i="507"/>
  <c r="O64" i="507"/>
  <c r="P64" i="507"/>
  <c r="N64" i="507"/>
  <c r="Y46" i="507"/>
  <c r="AA38" i="507"/>
  <c r="C55" i="507"/>
  <c r="O55" i="507"/>
  <c r="P55" i="507"/>
  <c r="N55" i="507"/>
  <c r="C59" i="507"/>
  <c r="O59" i="507"/>
  <c r="P59" i="507"/>
  <c r="N59" i="507"/>
  <c r="U60" i="507"/>
  <c r="Y35" i="507"/>
  <c r="AA35" i="507"/>
  <c r="O31" i="507"/>
  <c r="Z31" i="507"/>
  <c r="Z17" i="507"/>
  <c r="R30" i="507"/>
  <c r="C42" i="507"/>
  <c r="C36" i="507"/>
  <c r="C30" i="507"/>
  <c r="C39" i="507"/>
  <c r="C32" i="507"/>
  <c r="C45" i="507"/>
  <c r="C41" i="507"/>
  <c r="C44" i="507"/>
  <c r="C34" i="507"/>
  <c r="X60" i="507"/>
  <c r="C15" i="507"/>
  <c r="O15" i="507"/>
  <c r="P15" i="507"/>
  <c r="N15" i="507"/>
  <c r="W16" i="507"/>
  <c r="V17" i="507"/>
  <c r="C23" i="507"/>
  <c r="Y23" i="507"/>
  <c r="Y60" i="507"/>
  <c r="C11" i="507"/>
  <c r="AA11" i="507"/>
  <c r="Y17" i="507"/>
  <c r="O10" i="507"/>
  <c r="P10" i="507"/>
  <c r="N10" i="507"/>
  <c r="AA20" i="507"/>
  <c r="W20" i="507"/>
  <c r="Z20" i="507"/>
  <c r="V20" i="507"/>
  <c r="U20" i="507"/>
  <c r="Y20" i="507"/>
  <c r="X20" i="507"/>
  <c r="X6" i="507"/>
  <c r="O6" i="507"/>
  <c r="AA6" i="507"/>
  <c r="W6" i="507"/>
  <c r="Z6" i="507"/>
  <c r="V6" i="507"/>
  <c r="Y6" i="507"/>
  <c r="U6" i="507"/>
  <c r="C54" i="507"/>
  <c r="C24" i="507"/>
  <c r="O24" i="507"/>
  <c r="P24" i="507"/>
  <c r="N24" i="507"/>
  <c r="U10" i="507"/>
  <c r="Y10" i="507"/>
  <c r="C12" i="507"/>
  <c r="O12" i="507"/>
  <c r="P12" i="507"/>
  <c r="N12" i="507"/>
  <c r="V16" i="507"/>
  <c r="C85" i="507"/>
  <c r="C84" i="507"/>
  <c r="C81" i="507"/>
  <c r="C29" i="507"/>
  <c r="O29" i="507"/>
  <c r="P29" i="507"/>
  <c r="N29" i="507"/>
  <c r="C22" i="507"/>
  <c r="O22" i="507"/>
  <c r="P22" i="507"/>
  <c r="N22" i="507"/>
  <c r="C27" i="507"/>
  <c r="O27" i="507"/>
  <c r="P27" i="507"/>
  <c r="N27" i="507"/>
  <c r="C9" i="507"/>
  <c r="O9" i="507"/>
  <c r="P9" i="507"/>
  <c r="N9" i="507"/>
  <c r="V10" i="507"/>
  <c r="Z10" i="507"/>
  <c r="C14" i="507"/>
  <c r="O14" i="507"/>
  <c r="P14" i="507"/>
  <c r="N14" i="507"/>
  <c r="Y16" i="507"/>
  <c r="U16" i="507"/>
  <c r="X16" i="507"/>
  <c r="C83" i="507"/>
  <c r="C82" i="507"/>
  <c r="C25" i="507"/>
  <c r="O25" i="507"/>
  <c r="P25" i="507"/>
  <c r="N25" i="507"/>
  <c r="C26" i="507"/>
  <c r="O26" i="507"/>
  <c r="P26" i="507"/>
  <c r="N26" i="507"/>
  <c r="C19" i="507"/>
  <c r="O19" i="507"/>
  <c r="P19" i="507"/>
  <c r="N19" i="507"/>
  <c r="C28" i="507"/>
  <c r="O28" i="507"/>
  <c r="P28" i="507"/>
  <c r="N28" i="507"/>
  <c r="C5" i="507"/>
  <c r="C8" i="507"/>
  <c r="W10" i="507"/>
  <c r="AA10" i="507"/>
  <c r="C13" i="507"/>
  <c r="O13" i="507"/>
  <c r="P13" i="507"/>
  <c r="N13" i="507"/>
  <c r="Z16" i="507"/>
  <c r="C21" i="507"/>
  <c r="O21" i="507"/>
  <c r="P21" i="507"/>
  <c r="N21" i="507"/>
  <c r="C7" i="507"/>
  <c r="AA16" i="507"/>
  <c r="W31" i="507"/>
  <c r="AA31" i="507"/>
  <c r="W53" i="507"/>
  <c r="W17" i="507"/>
  <c r="AA17" i="507"/>
  <c r="X23" i="507"/>
  <c r="X31" i="507"/>
  <c r="Z53" i="507"/>
  <c r="R76" i="507"/>
  <c r="U23" i="507"/>
  <c r="U31" i="507"/>
  <c r="Y31" i="507"/>
  <c r="V31" i="507"/>
  <c r="X53" i="507"/>
  <c r="Y53" i="507"/>
  <c r="U53" i="507"/>
  <c r="T53" i="507"/>
  <c r="V53" i="507"/>
  <c r="Y76" i="507"/>
  <c r="U76" i="507"/>
  <c r="X76" i="507"/>
  <c r="Z76" i="507"/>
  <c r="V76" i="507"/>
  <c r="AA76" i="507"/>
  <c r="W60" i="507"/>
  <c r="AA60" i="507"/>
  <c r="R86" i="507"/>
  <c r="V60" i="507"/>
  <c r="V86" i="507"/>
  <c r="Z86" i="507"/>
  <c r="W86" i="507"/>
  <c r="AA86" i="507"/>
  <c r="X86" i="507"/>
  <c r="O86" i="507"/>
  <c r="T86" i="507"/>
  <c r="U86" i="507"/>
  <c r="C14" i="559"/>
  <c r="D14" i="559"/>
  <c r="E14" i="559"/>
  <c r="F14" i="559"/>
  <c r="T46" i="426"/>
  <c r="P46" i="426"/>
  <c r="R36" i="426"/>
  <c r="R42" i="426"/>
  <c r="R47" i="426"/>
  <c r="R13" i="426"/>
  <c r="R18" i="426"/>
  <c r="C26" i="426"/>
  <c r="C17" i="426"/>
  <c r="C43" i="426"/>
  <c r="C41" i="426"/>
  <c r="C39" i="426"/>
  <c r="C20" i="426"/>
  <c r="C21" i="426"/>
  <c r="C15" i="426"/>
  <c r="C7" i="426"/>
  <c r="C44" i="426"/>
  <c r="C16" i="426"/>
  <c r="U42" i="426"/>
  <c r="U46" i="426"/>
  <c r="Y42" i="426"/>
  <c r="Y24" i="426"/>
  <c r="C40" i="426"/>
  <c r="C38" i="426"/>
  <c r="C35" i="426"/>
  <c r="C31" i="426"/>
  <c r="C27" i="426"/>
  <c r="C33" i="426"/>
  <c r="C29" i="426"/>
  <c r="C25" i="426"/>
  <c r="C19" i="426"/>
  <c r="C9" i="426"/>
  <c r="C11" i="426"/>
  <c r="C30" i="426"/>
  <c r="C28" i="426"/>
  <c r="Y13" i="426"/>
  <c r="Y23" i="426"/>
  <c r="Y36" i="426"/>
  <c r="V37" i="426"/>
  <c r="Z42" i="426"/>
  <c r="V42" i="426"/>
  <c r="V23" i="426"/>
  <c r="Z23" i="426"/>
  <c r="Z37" i="426"/>
  <c r="W5" i="426"/>
  <c r="X18" i="426"/>
  <c r="AA36" i="426"/>
  <c r="W36" i="426"/>
  <c r="Z36" i="426"/>
  <c r="V36" i="426"/>
  <c r="X36" i="426"/>
  <c r="U36" i="426"/>
  <c r="W23" i="426"/>
  <c r="W13" i="426"/>
  <c r="AA13" i="426"/>
  <c r="Z18" i="426"/>
  <c r="X42" i="426"/>
  <c r="X46" i="426"/>
  <c r="X24" i="426"/>
  <c r="U5" i="426"/>
  <c r="Y5" i="426"/>
  <c r="X13" i="426"/>
  <c r="U13" i="426"/>
  <c r="AA23" i="426"/>
  <c r="U24" i="426"/>
  <c r="V13" i="426"/>
  <c r="Z13" i="426"/>
  <c r="AA24" i="426"/>
  <c r="X37" i="426"/>
  <c r="Y18" i="426"/>
  <c r="U18" i="426"/>
  <c r="V18" i="426"/>
  <c r="AA18" i="426"/>
  <c r="W18" i="426"/>
  <c r="U37" i="426"/>
  <c r="Y37" i="426"/>
  <c r="X23" i="426"/>
  <c r="V24" i="426"/>
  <c r="Z24" i="426"/>
  <c r="W37" i="426"/>
  <c r="AA37" i="426"/>
  <c r="U23" i="426"/>
  <c r="W24" i="426"/>
  <c r="AA42" i="426"/>
  <c r="AA46" i="426"/>
  <c r="W46" i="426"/>
  <c r="Z46" i="426"/>
  <c r="V46" i="426"/>
  <c r="Y46" i="426"/>
  <c r="W42" i="426"/>
  <c r="W25" i="400"/>
  <c r="AA25" i="400"/>
  <c r="X25" i="400"/>
  <c r="U25" i="400"/>
  <c r="Y25" i="400"/>
  <c r="V25" i="400"/>
  <c r="Z25" i="400"/>
  <c r="O37" i="400"/>
  <c r="X37" i="400"/>
  <c r="Y37" i="400"/>
  <c r="V37" i="400"/>
  <c r="Z37" i="400"/>
  <c r="W37" i="400"/>
  <c r="AA37" i="400"/>
  <c r="V11" i="400"/>
  <c r="Z11" i="400"/>
  <c r="W11" i="400"/>
  <c r="AA11" i="400"/>
  <c r="X11" i="400"/>
  <c r="U11" i="400"/>
  <c r="Y11" i="400"/>
  <c r="U13" i="400"/>
  <c r="Y13" i="400"/>
  <c r="V13" i="400"/>
  <c r="Z13" i="400"/>
  <c r="W13" i="400"/>
  <c r="AA13" i="400"/>
  <c r="X13" i="400"/>
  <c r="U27" i="400"/>
  <c r="Y27" i="400"/>
  <c r="V27" i="400"/>
  <c r="Z27" i="400"/>
  <c r="W27" i="400"/>
  <c r="AA27" i="400"/>
  <c r="X27" i="400"/>
  <c r="O41" i="400"/>
  <c r="Y41" i="400"/>
  <c r="U41" i="400"/>
  <c r="Z41" i="400"/>
  <c r="V41" i="400"/>
  <c r="AA41" i="400"/>
  <c r="W41" i="400"/>
  <c r="C38" i="400"/>
  <c r="C40" i="400"/>
  <c r="C42" i="400"/>
  <c r="C39" i="400"/>
  <c r="O11" i="400"/>
  <c r="T11" i="400"/>
  <c r="C19" i="400"/>
  <c r="C35" i="400"/>
  <c r="C7" i="400"/>
  <c r="C18" i="400"/>
  <c r="C34" i="400"/>
  <c r="C16" i="400"/>
  <c r="C32" i="400"/>
  <c r="O27" i="400"/>
  <c r="T27" i="400"/>
  <c r="C33" i="400"/>
  <c r="C17" i="400"/>
  <c r="C22" i="400"/>
  <c r="C24" i="400"/>
  <c r="C8" i="400"/>
  <c r="C10" i="400"/>
  <c r="O13" i="400"/>
  <c r="T13" i="400"/>
  <c r="C44" i="400"/>
  <c r="C30" i="400"/>
  <c r="C15" i="400"/>
  <c r="C21" i="400"/>
  <c r="C26" i="400"/>
  <c r="C23" i="400"/>
  <c r="C31" i="400"/>
  <c r="C12" i="400"/>
  <c r="C9" i="400"/>
  <c r="C6" i="400"/>
  <c r="O25" i="400"/>
  <c r="T25" i="400"/>
  <c r="W68" i="507"/>
  <c r="Y68" i="507"/>
  <c r="X68" i="507"/>
  <c r="U68" i="507"/>
  <c r="V23" i="507"/>
  <c r="O67" i="507"/>
  <c r="W67" i="507"/>
  <c r="AA67" i="507"/>
  <c r="V67" i="507"/>
  <c r="X67" i="507"/>
  <c r="Z67" i="507"/>
  <c r="U67" i="507"/>
  <c r="Y67" i="507"/>
  <c r="U18" i="507"/>
  <c r="AA23" i="507"/>
  <c r="O74" i="507"/>
  <c r="V74" i="507"/>
  <c r="Z74" i="507"/>
  <c r="W74" i="507"/>
  <c r="AA74" i="507"/>
  <c r="U74" i="507"/>
  <c r="X74" i="507"/>
  <c r="Y74" i="507"/>
  <c r="O69" i="507"/>
  <c r="V69" i="507"/>
  <c r="Z69" i="507"/>
  <c r="W69" i="507"/>
  <c r="AA69" i="507"/>
  <c r="Y69" i="507"/>
  <c r="X69" i="507"/>
  <c r="O70" i="507"/>
  <c r="U70" i="507"/>
  <c r="Y70" i="507"/>
  <c r="V70" i="507"/>
  <c r="Z70" i="507"/>
  <c r="W70" i="507"/>
  <c r="AA70" i="507"/>
  <c r="X70" i="507"/>
  <c r="O73" i="507"/>
  <c r="V73" i="507"/>
  <c r="AA73" i="507"/>
  <c r="W73" i="507"/>
  <c r="U73" i="507"/>
  <c r="X73" i="507"/>
  <c r="Y73" i="507"/>
  <c r="Z73" i="507"/>
  <c r="O71" i="507"/>
  <c r="X71" i="507"/>
  <c r="U71" i="507"/>
  <c r="Y71" i="507"/>
  <c r="W71" i="507"/>
  <c r="V71" i="507"/>
  <c r="Z71" i="507"/>
  <c r="AA71" i="507"/>
  <c r="O72" i="507"/>
  <c r="W72" i="507"/>
  <c r="AA72" i="507"/>
  <c r="X72" i="507"/>
  <c r="V72" i="507"/>
  <c r="U72" i="507"/>
  <c r="Y72" i="507"/>
  <c r="Z72" i="507"/>
  <c r="W23" i="507"/>
  <c r="V37" i="507"/>
  <c r="Z18" i="507"/>
  <c r="O43" i="507"/>
  <c r="T37" i="507"/>
  <c r="U37" i="507"/>
  <c r="Z23" i="507"/>
  <c r="X37" i="507"/>
  <c r="Y37" i="507"/>
  <c r="W37" i="507"/>
  <c r="AA37" i="507"/>
  <c r="Y18" i="507"/>
  <c r="O18" i="507"/>
  <c r="P18" i="507"/>
  <c r="N18" i="507"/>
  <c r="L19" i="507"/>
  <c r="Z43" i="507"/>
  <c r="X43" i="507"/>
  <c r="N53" i="507"/>
  <c r="V18" i="507"/>
  <c r="AA18" i="507"/>
  <c r="W43" i="507"/>
  <c r="U43" i="507"/>
  <c r="N60" i="507"/>
  <c r="X18" i="507"/>
  <c r="AA43" i="507"/>
  <c r="Y43" i="507"/>
  <c r="O39" i="507"/>
  <c r="W39" i="507"/>
  <c r="AA39" i="507"/>
  <c r="X39" i="507"/>
  <c r="Y39" i="507"/>
  <c r="U39" i="507"/>
  <c r="Z39" i="507"/>
  <c r="V11" i="507"/>
  <c r="O41" i="507"/>
  <c r="U41" i="507"/>
  <c r="Y41" i="507"/>
  <c r="V41" i="507"/>
  <c r="Z41" i="507"/>
  <c r="W41" i="507"/>
  <c r="AA41" i="507"/>
  <c r="X41" i="507"/>
  <c r="X35" i="507"/>
  <c r="V35" i="507"/>
  <c r="O40" i="507"/>
  <c r="V40" i="507"/>
  <c r="Z40" i="507"/>
  <c r="Y40" i="507"/>
  <c r="W40" i="507"/>
  <c r="AA40" i="507"/>
  <c r="X40" i="507"/>
  <c r="U40" i="507"/>
  <c r="O44" i="507"/>
  <c r="V44" i="507"/>
  <c r="Z44" i="507"/>
  <c r="Y44" i="507"/>
  <c r="W44" i="507"/>
  <c r="AA44" i="507"/>
  <c r="X44" i="507"/>
  <c r="U44" i="507"/>
  <c r="O45" i="507"/>
  <c r="U45" i="507"/>
  <c r="Y45" i="507"/>
  <c r="V45" i="507"/>
  <c r="Z45" i="507"/>
  <c r="W45" i="507"/>
  <c r="AA45" i="507"/>
  <c r="X45" i="507"/>
  <c r="O36" i="507"/>
  <c r="U36" i="507"/>
  <c r="Y36" i="507"/>
  <c r="V36" i="507"/>
  <c r="Z36" i="507"/>
  <c r="X36" i="507"/>
  <c r="W36" i="507"/>
  <c r="AA36" i="507"/>
  <c r="O35" i="507"/>
  <c r="P35" i="507"/>
  <c r="N35" i="507"/>
  <c r="Z35" i="507"/>
  <c r="V39" i="507"/>
  <c r="O33" i="507"/>
  <c r="X33" i="507"/>
  <c r="U33" i="507"/>
  <c r="Y33" i="507"/>
  <c r="W33" i="507"/>
  <c r="V33" i="507"/>
  <c r="Z33" i="507"/>
  <c r="AA33" i="507"/>
  <c r="O34" i="507"/>
  <c r="W34" i="507"/>
  <c r="AA34" i="507"/>
  <c r="V34" i="507"/>
  <c r="Z34" i="507"/>
  <c r="X34" i="507"/>
  <c r="U34" i="507"/>
  <c r="Y34" i="507"/>
  <c r="O32" i="507"/>
  <c r="U32" i="507"/>
  <c r="Y32" i="507"/>
  <c r="X32" i="507"/>
  <c r="V32" i="507"/>
  <c r="Z32" i="507"/>
  <c r="W32" i="507"/>
  <c r="AA32" i="507"/>
  <c r="O42" i="507"/>
  <c r="X42" i="507"/>
  <c r="U42" i="507"/>
  <c r="Y42" i="507"/>
  <c r="AA42" i="507"/>
  <c r="V42" i="507"/>
  <c r="Z42" i="507"/>
  <c r="W42" i="507"/>
  <c r="U35" i="507"/>
  <c r="P43" i="507"/>
  <c r="N43" i="507"/>
  <c r="T43" i="507"/>
  <c r="W11" i="507"/>
  <c r="Y11" i="507"/>
  <c r="X11" i="507"/>
  <c r="Z11" i="507"/>
  <c r="U11" i="507"/>
  <c r="O11" i="507"/>
  <c r="P11" i="507"/>
  <c r="N11" i="507"/>
  <c r="P31" i="507"/>
  <c r="N31" i="507"/>
  <c r="L32" i="507"/>
  <c r="T31" i="507"/>
  <c r="O23" i="507"/>
  <c r="N30" i="507"/>
  <c r="L20" i="507"/>
  <c r="L21" i="507"/>
  <c r="L22" i="507"/>
  <c r="L23" i="507"/>
  <c r="X50" i="507"/>
  <c r="Y50" i="507"/>
  <c r="U50" i="507"/>
  <c r="W50" i="507"/>
  <c r="V50" i="507"/>
  <c r="AA50" i="507"/>
  <c r="Z50" i="507"/>
  <c r="Z13" i="507"/>
  <c r="V13" i="507"/>
  <c r="Y13" i="507"/>
  <c r="U13" i="507"/>
  <c r="X13" i="507"/>
  <c r="AA13" i="507"/>
  <c r="W13" i="507"/>
  <c r="Z19" i="507"/>
  <c r="V19" i="507"/>
  <c r="Y19" i="507"/>
  <c r="U19" i="507"/>
  <c r="X19" i="507"/>
  <c r="W19" i="507"/>
  <c r="AA19" i="507"/>
  <c r="Y63" i="507"/>
  <c r="U63" i="507"/>
  <c r="Z63" i="507"/>
  <c r="V63" i="507"/>
  <c r="AA63" i="507"/>
  <c r="X63" i="507"/>
  <c r="W63" i="507"/>
  <c r="AA14" i="507"/>
  <c r="W14" i="507"/>
  <c r="Z14" i="507"/>
  <c r="V14" i="507"/>
  <c r="Y14" i="507"/>
  <c r="U14" i="507"/>
  <c r="X14" i="507"/>
  <c r="AA59" i="507"/>
  <c r="W59" i="507"/>
  <c r="X59" i="507"/>
  <c r="V59" i="507"/>
  <c r="U59" i="507"/>
  <c r="Z59" i="507"/>
  <c r="Y59" i="507"/>
  <c r="Z64" i="507"/>
  <c r="V64" i="507"/>
  <c r="AA64" i="507"/>
  <c r="W64" i="507"/>
  <c r="Y64" i="507"/>
  <c r="X64" i="507"/>
  <c r="U64" i="507"/>
  <c r="AA55" i="507"/>
  <c r="W55" i="507"/>
  <c r="X55" i="507"/>
  <c r="Z55" i="507"/>
  <c r="Y55" i="507"/>
  <c r="V55" i="507"/>
  <c r="U55" i="507"/>
  <c r="AA85" i="507"/>
  <c r="W85" i="507"/>
  <c r="Z85" i="507"/>
  <c r="V85" i="507"/>
  <c r="X85" i="507"/>
  <c r="Y85" i="507"/>
  <c r="U85" i="507"/>
  <c r="O85" i="507"/>
  <c r="T10" i="507"/>
  <c r="Y57" i="507"/>
  <c r="U57" i="507"/>
  <c r="Z57" i="507"/>
  <c r="V57" i="507"/>
  <c r="AA57" i="507"/>
  <c r="X57" i="507"/>
  <c r="W57" i="507"/>
  <c r="Z8" i="507"/>
  <c r="V8" i="507"/>
  <c r="Y8" i="507"/>
  <c r="U8" i="507"/>
  <c r="W8" i="507"/>
  <c r="X8" i="507"/>
  <c r="O8" i="507"/>
  <c r="AA8" i="507"/>
  <c r="Z26" i="507"/>
  <c r="V26" i="507"/>
  <c r="Y26" i="507"/>
  <c r="U26" i="507"/>
  <c r="X26" i="507"/>
  <c r="AA26" i="507"/>
  <c r="W26" i="507"/>
  <c r="X82" i="507"/>
  <c r="Z82" i="507"/>
  <c r="U82" i="507"/>
  <c r="Y82" i="507"/>
  <c r="O82" i="507"/>
  <c r="AA82" i="507"/>
  <c r="V82" i="507"/>
  <c r="W82" i="507"/>
  <c r="AA9" i="507"/>
  <c r="W9" i="507"/>
  <c r="Z9" i="507"/>
  <c r="V9" i="507"/>
  <c r="Y9" i="507"/>
  <c r="U9" i="507"/>
  <c r="X9" i="507"/>
  <c r="Y22" i="507"/>
  <c r="U22" i="507"/>
  <c r="X22" i="507"/>
  <c r="V22" i="507"/>
  <c r="AA22" i="507"/>
  <c r="Z22" i="507"/>
  <c r="W22" i="507"/>
  <c r="Z48" i="507"/>
  <c r="V48" i="507"/>
  <c r="AA48" i="507"/>
  <c r="W48" i="507"/>
  <c r="X48" i="507"/>
  <c r="U48" i="507"/>
  <c r="Y48" i="507"/>
  <c r="X56" i="507"/>
  <c r="Y56" i="507"/>
  <c r="U56" i="507"/>
  <c r="AA56" i="507"/>
  <c r="Z56" i="507"/>
  <c r="W56" i="507"/>
  <c r="V56" i="507"/>
  <c r="O80" i="507"/>
  <c r="X15" i="507"/>
  <c r="AA15" i="507"/>
  <c r="W15" i="507"/>
  <c r="Z15" i="507"/>
  <c r="V15" i="507"/>
  <c r="Y15" i="507"/>
  <c r="U15" i="507"/>
  <c r="Z58" i="507"/>
  <c r="V58" i="507"/>
  <c r="AA58" i="507"/>
  <c r="W58" i="507"/>
  <c r="X58" i="507"/>
  <c r="U58" i="507"/>
  <c r="Y58" i="507"/>
  <c r="Z75" i="507"/>
  <c r="V75" i="507"/>
  <c r="Y75" i="507"/>
  <c r="U75" i="507"/>
  <c r="AA75" i="507"/>
  <c r="W75" i="507"/>
  <c r="X75" i="507"/>
  <c r="Y7" i="507"/>
  <c r="U7" i="507"/>
  <c r="X7" i="507"/>
  <c r="O7" i="507"/>
  <c r="AA7" i="507"/>
  <c r="W7" i="507"/>
  <c r="Z7" i="507"/>
  <c r="V7" i="507"/>
  <c r="T18" i="507"/>
  <c r="X21" i="507"/>
  <c r="AA21" i="507"/>
  <c r="W21" i="507"/>
  <c r="U21" i="507"/>
  <c r="Z21" i="507"/>
  <c r="Y21" i="507"/>
  <c r="V21" i="507"/>
  <c r="AA5" i="507"/>
  <c r="W5" i="507"/>
  <c r="Z5" i="507"/>
  <c r="V5" i="507"/>
  <c r="Y5" i="507"/>
  <c r="U5" i="507"/>
  <c r="X5" i="507"/>
  <c r="O5" i="507"/>
  <c r="Y25" i="507"/>
  <c r="U25" i="507"/>
  <c r="X25" i="507"/>
  <c r="AA25" i="507"/>
  <c r="W25" i="507"/>
  <c r="Z25" i="507"/>
  <c r="V25" i="507"/>
  <c r="Y83" i="507"/>
  <c r="U83" i="507"/>
  <c r="AA83" i="507"/>
  <c r="V83" i="507"/>
  <c r="O83" i="507"/>
  <c r="Z83" i="507"/>
  <c r="W83" i="507"/>
  <c r="X83" i="507"/>
  <c r="AA65" i="507"/>
  <c r="W65" i="507"/>
  <c r="X65" i="507"/>
  <c r="Y65" i="507"/>
  <c r="V65" i="507"/>
  <c r="U65" i="507"/>
  <c r="Z65" i="507"/>
  <c r="Z52" i="507"/>
  <c r="V52" i="507"/>
  <c r="AA52" i="507"/>
  <c r="W52" i="507"/>
  <c r="Y52" i="507"/>
  <c r="X52" i="507"/>
  <c r="U52" i="507"/>
  <c r="Y47" i="507"/>
  <c r="U47" i="507"/>
  <c r="Z47" i="507"/>
  <c r="AA47" i="507"/>
  <c r="O47" i="507"/>
  <c r="X47" i="507"/>
  <c r="W47" i="507"/>
  <c r="V47" i="507"/>
  <c r="X81" i="507"/>
  <c r="O81" i="507"/>
  <c r="AA81" i="507"/>
  <c r="W81" i="507"/>
  <c r="Y81" i="507"/>
  <c r="U81" i="507"/>
  <c r="Z81" i="507"/>
  <c r="V81" i="507"/>
  <c r="Y51" i="507"/>
  <c r="U51" i="507"/>
  <c r="Z51" i="507"/>
  <c r="V51" i="507"/>
  <c r="W51" i="507"/>
  <c r="AA51" i="507"/>
  <c r="X51" i="507"/>
  <c r="Y12" i="507"/>
  <c r="U12" i="507"/>
  <c r="X12" i="507"/>
  <c r="AA12" i="507"/>
  <c r="W12" i="507"/>
  <c r="Z12" i="507"/>
  <c r="V12" i="507"/>
  <c r="X24" i="507"/>
  <c r="AA24" i="507"/>
  <c r="W24" i="507"/>
  <c r="Z24" i="507"/>
  <c r="V24" i="507"/>
  <c r="Y24" i="507"/>
  <c r="U24" i="507"/>
  <c r="Z54" i="507"/>
  <c r="V54" i="507"/>
  <c r="AA54" i="507"/>
  <c r="W54" i="507"/>
  <c r="O54" i="507"/>
  <c r="Y54" i="507"/>
  <c r="X54" i="507"/>
  <c r="U54" i="507"/>
  <c r="T6" i="507"/>
  <c r="P6" i="507"/>
  <c r="N6" i="507"/>
  <c r="T20" i="507"/>
  <c r="X30" i="507"/>
  <c r="AA30" i="507"/>
  <c r="W30" i="507"/>
  <c r="Z30" i="507"/>
  <c r="V30" i="507"/>
  <c r="Y30" i="507"/>
  <c r="U30" i="507"/>
  <c r="X28" i="507"/>
  <c r="AA28" i="507"/>
  <c r="W28" i="507"/>
  <c r="Z28" i="507"/>
  <c r="V28" i="507"/>
  <c r="Y28" i="507"/>
  <c r="U28" i="507"/>
  <c r="X62" i="507"/>
  <c r="O62" i="507"/>
  <c r="Y62" i="507"/>
  <c r="U62" i="507"/>
  <c r="V62" i="507"/>
  <c r="AA62" i="507"/>
  <c r="Z62" i="507"/>
  <c r="W62" i="507"/>
  <c r="T16" i="507"/>
  <c r="AA27" i="507"/>
  <c r="W27" i="507"/>
  <c r="Z27" i="507"/>
  <c r="V27" i="507"/>
  <c r="Y27" i="507"/>
  <c r="U27" i="507"/>
  <c r="X27" i="507"/>
  <c r="Y29" i="507"/>
  <c r="U29" i="507"/>
  <c r="X29" i="507"/>
  <c r="AA29" i="507"/>
  <c r="W29" i="507"/>
  <c r="Z29" i="507"/>
  <c r="V29" i="507"/>
  <c r="AA49" i="507"/>
  <c r="W49" i="507"/>
  <c r="X49" i="507"/>
  <c r="V49" i="507"/>
  <c r="U49" i="507"/>
  <c r="Z49" i="507"/>
  <c r="Y49" i="507"/>
  <c r="Z84" i="507"/>
  <c r="V84" i="507"/>
  <c r="AA84" i="507"/>
  <c r="U84" i="507"/>
  <c r="Y84" i="507"/>
  <c r="O84" i="507"/>
  <c r="W84" i="507"/>
  <c r="X84" i="507"/>
  <c r="AA61" i="507"/>
  <c r="W61" i="507"/>
  <c r="X61" i="507"/>
  <c r="O61" i="507"/>
  <c r="U61" i="507"/>
  <c r="Z61" i="507"/>
  <c r="Y61" i="507"/>
  <c r="V61" i="507"/>
  <c r="AA11" i="426"/>
  <c r="W11" i="426"/>
  <c r="Z11" i="426"/>
  <c r="V11" i="426"/>
  <c r="Y11" i="426"/>
  <c r="U11" i="426"/>
  <c r="X11" i="426"/>
  <c r="O11" i="426"/>
  <c r="X29" i="426"/>
  <c r="O29" i="426"/>
  <c r="AA29" i="426"/>
  <c r="W29" i="426"/>
  <c r="Y29" i="426"/>
  <c r="U29" i="426"/>
  <c r="V29" i="426"/>
  <c r="Z29" i="426"/>
  <c r="Z35" i="426"/>
  <c r="V35" i="426"/>
  <c r="Y35" i="426"/>
  <c r="U35" i="426"/>
  <c r="AA35" i="426"/>
  <c r="W35" i="426"/>
  <c r="X35" i="426"/>
  <c r="O35" i="426"/>
  <c r="Z40" i="426"/>
  <c r="V40" i="426"/>
  <c r="AA40" i="426"/>
  <c r="U40" i="426"/>
  <c r="Y40" i="426"/>
  <c r="O40" i="426"/>
  <c r="W40" i="426"/>
  <c r="X40" i="426"/>
  <c r="AA15" i="426"/>
  <c r="W15" i="426"/>
  <c r="Z15" i="426"/>
  <c r="V15" i="426"/>
  <c r="Y15" i="426"/>
  <c r="U15" i="426"/>
  <c r="X15" i="426"/>
  <c r="O15" i="426"/>
  <c r="X41" i="426"/>
  <c r="O41" i="426"/>
  <c r="W41" i="426"/>
  <c r="AA41" i="426"/>
  <c r="V41" i="426"/>
  <c r="Y41" i="426"/>
  <c r="Z41" i="426"/>
  <c r="U41" i="426"/>
  <c r="AA28" i="426"/>
  <c r="W28" i="426"/>
  <c r="Z28" i="426"/>
  <c r="V28" i="426"/>
  <c r="X28" i="426"/>
  <c r="O28" i="426"/>
  <c r="Y28" i="426"/>
  <c r="U28" i="426"/>
  <c r="Y9" i="426"/>
  <c r="U9" i="426"/>
  <c r="X9" i="426"/>
  <c r="O9" i="426"/>
  <c r="AA9" i="426"/>
  <c r="W9" i="426"/>
  <c r="Z9" i="426"/>
  <c r="V9" i="426"/>
  <c r="X33" i="426"/>
  <c r="O33" i="426"/>
  <c r="AA33" i="426"/>
  <c r="W33" i="426"/>
  <c r="Y33" i="426"/>
  <c r="U33" i="426"/>
  <c r="Z33" i="426"/>
  <c r="V33" i="426"/>
  <c r="Z38" i="426"/>
  <c r="V38" i="426"/>
  <c r="Y38" i="426"/>
  <c r="U38" i="426"/>
  <c r="AA38" i="426"/>
  <c r="W38" i="426"/>
  <c r="X38" i="426"/>
  <c r="O38" i="426"/>
  <c r="X16" i="426"/>
  <c r="O16" i="426"/>
  <c r="AA16" i="426"/>
  <c r="W16" i="426"/>
  <c r="Z16" i="426"/>
  <c r="V16" i="426"/>
  <c r="U16" i="426"/>
  <c r="Y16" i="426"/>
  <c r="X21" i="426"/>
  <c r="O21" i="426"/>
  <c r="AA21" i="426"/>
  <c r="W21" i="426"/>
  <c r="U21" i="426"/>
  <c r="Z21" i="426"/>
  <c r="Y21" i="426"/>
  <c r="V21" i="426"/>
  <c r="Y43" i="426"/>
  <c r="U43" i="426"/>
  <c r="Z43" i="426"/>
  <c r="X43" i="426"/>
  <c r="AA43" i="426"/>
  <c r="V43" i="426"/>
  <c r="O43" i="426"/>
  <c r="W43" i="426"/>
  <c r="C34" i="426"/>
  <c r="C32" i="426"/>
  <c r="C10" i="426"/>
  <c r="C8" i="426"/>
  <c r="Z19" i="426"/>
  <c r="V19" i="426"/>
  <c r="W19" i="426"/>
  <c r="AA19" i="426"/>
  <c r="U19" i="426"/>
  <c r="Y19" i="426"/>
  <c r="O19" i="426"/>
  <c r="X19" i="426"/>
  <c r="Z27" i="426"/>
  <c r="V27" i="426"/>
  <c r="Y27" i="426"/>
  <c r="U27" i="426"/>
  <c r="AA27" i="426"/>
  <c r="W27" i="426"/>
  <c r="X27" i="426"/>
  <c r="O27" i="426"/>
  <c r="AA44" i="426"/>
  <c r="W44" i="426"/>
  <c r="Z44" i="426"/>
  <c r="U44" i="426"/>
  <c r="Y44" i="426"/>
  <c r="O44" i="426"/>
  <c r="V44" i="426"/>
  <c r="X44" i="426"/>
  <c r="AA20" i="426"/>
  <c r="W20" i="426"/>
  <c r="Z20" i="426"/>
  <c r="V20" i="426"/>
  <c r="U20" i="426"/>
  <c r="Y20" i="426"/>
  <c r="O20" i="426"/>
  <c r="X20" i="426"/>
  <c r="Y17" i="426"/>
  <c r="U17" i="426"/>
  <c r="X17" i="426"/>
  <c r="W17" i="426"/>
  <c r="AA17" i="426"/>
  <c r="V17" i="426"/>
  <c r="O17" i="426"/>
  <c r="Z17" i="426"/>
  <c r="C22" i="426"/>
  <c r="C45" i="426"/>
  <c r="C14" i="426"/>
  <c r="C6" i="426"/>
  <c r="C12" i="426"/>
  <c r="Y30" i="426"/>
  <c r="U30" i="426"/>
  <c r="X30" i="426"/>
  <c r="O30" i="426"/>
  <c r="Z30" i="426"/>
  <c r="V30" i="426"/>
  <c r="AA30" i="426"/>
  <c r="W30" i="426"/>
  <c r="X25" i="426"/>
  <c r="AA25" i="426"/>
  <c r="W25" i="426"/>
  <c r="Y25" i="426"/>
  <c r="U25" i="426"/>
  <c r="Z25" i="426"/>
  <c r="V25" i="426"/>
  <c r="Z31" i="426"/>
  <c r="V31" i="426"/>
  <c r="Y31" i="426"/>
  <c r="U31" i="426"/>
  <c r="AA31" i="426"/>
  <c r="W31" i="426"/>
  <c r="X31" i="426"/>
  <c r="O31" i="426"/>
  <c r="AA7" i="426"/>
  <c r="W7" i="426"/>
  <c r="Z7" i="426"/>
  <c r="V7" i="426"/>
  <c r="Y7" i="426"/>
  <c r="U7" i="426"/>
  <c r="X7" i="426"/>
  <c r="O7" i="426"/>
  <c r="X39" i="426"/>
  <c r="Z39" i="426"/>
  <c r="U39" i="426"/>
  <c r="O39" i="426"/>
  <c r="Y39" i="426"/>
  <c r="AA39" i="426"/>
  <c r="V39" i="426"/>
  <c r="W39" i="426"/>
  <c r="Y26" i="426"/>
  <c r="U26" i="426"/>
  <c r="X26" i="426"/>
  <c r="O26" i="426"/>
  <c r="Z26" i="426"/>
  <c r="V26" i="426"/>
  <c r="W26" i="426"/>
  <c r="AA26" i="426"/>
  <c r="U31" i="400"/>
  <c r="Y31" i="400"/>
  <c r="V31" i="400"/>
  <c r="Z31" i="400"/>
  <c r="W31" i="400"/>
  <c r="AA31" i="400"/>
  <c r="X31" i="400"/>
  <c r="V21" i="400"/>
  <c r="Z21" i="400"/>
  <c r="W21" i="400"/>
  <c r="AA21" i="400"/>
  <c r="X21" i="400"/>
  <c r="U21" i="400"/>
  <c r="Y21" i="400"/>
  <c r="U22" i="400"/>
  <c r="Y22" i="400"/>
  <c r="V22" i="400"/>
  <c r="Z22" i="400"/>
  <c r="W22" i="400"/>
  <c r="AA22" i="400"/>
  <c r="X22" i="400"/>
  <c r="X32" i="400"/>
  <c r="U32" i="400"/>
  <c r="Z32" i="400"/>
  <c r="V32" i="400"/>
  <c r="AA32" i="400"/>
  <c r="W32" i="400"/>
  <c r="Y32" i="400"/>
  <c r="W7" i="400"/>
  <c r="AA7" i="400"/>
  <c r="Z7" i="400"/>
  <c r="X7" i="400"/>
  <c r="V7" i="400"/>
  <c r="U7" i="400"/>
  <c r="Y7" i="400"/>
  <c r="O40" i="400"/>
  <c r="U40" i="400"/>
  <c r="Y40" i="400"/>
  <c r="V40" i="400"/>
  <c r="Z40" i="400"/>
  <c r="W40" i="400"/>
  <c r="AA40" i="400"/>
  <c r="X40" i="400"/>
  <c r="P41" i="400"/>
  <c r="N41" i="400"/>
  <c r="T41" i="400"/>
  <c r="P37" i="400"/>
  <c r="N37" i="400"/>
  <c r="L38" i="400"/>
  <c r="T37" i="400"/>
  <c r="X23" i="400"/>
  <c r="U23" i="400"/>
  <c r="Y23" i="400"/>
  <c r="V23" i="400"/>
  <c r="Z23" i="400"/>
  <c r="W23" i="400"/>
  <c r="AA23" i="400"/>
  <c r="W15" i="400"/>
  <c r="AA15" i="400"/>
  <c r="X15" i="400"/>
  <c r="U15" i="400"/>
  <c r="Y15" i="400"/>
  <c r="Z15" i="400"/>
  <c r="V15" i="400"/>
  <c r="W10" i="400"/>
  <c r="AA10" i="400"/>
  <c r="V10" i="400"/>
  <c r="X10" i="400"/>
  <c r="U10" i="400"/>
  <c r="Y10" i="400"/>
  <c r="Z10" i="400"/>
  <c r="V17" i="400"/>
  <c r="Z17" i="400"/>
  <c r="W17" i="400"/>
  <c r="AA17" i="400"/>
  <c r="X17" i="400"/>
  <c r="U17" i="400"/>
  <c r="Y17" i="400"/>
  <c r="V16" i="400"/>
  <c r="AA16" i="400"/>
  <c r="W16" i="400"/>
  <c r="X16" i="400"/>
  <c r="U16" i="400"/>
  <c r="Z16" i="400"/>
  <c r="Y16" i="400"/>
  <c r="V35" i="400"/>
  <c r="Z35" i="400"/>
  <c r="W35" i="400"/>
  <c r="AA35" i="400"/>
  <c r="X35" i="400"/>
  <c r="U35" i="400"/>
  <c r="Y35" i="400"/>
  <c r="O38" i="400"/>
  <c r="W38" i="400"/>
  <c r="AA38" i="400"/>
  <c r="X38" i="400"/>
  <c r="U38" i="400"/>
  <c r="Y38" i="400"/>
  <c r="V38" i="400"/>
  <c r="Z38" i="400"/>
  <c r="X9" i="400"/>
  <c r="W9" i="400"/>
  <c r="U9" i="400"/>
  <c r="Y9" i="400"/>
  <c r="AA9" i="400"/>
  <c r="V9" i="400"/>
  <c r="Z9" i="400"/>
  <c r="V26" i="400"/>
  <c r="Z26" i="400"/>
  <c r="W26" i="400"/>
  <c r="AA26" i="400"/>
  <c r="X26" i="400"/>
  <c r="U26" i="400"/>
  <c r="Y26" i="400"/>
  <c r="V30" i="400"/>
  <c r="Z30" i="400"/>
  <c r="W30" i="400"/>
  <c r="AA30" i="400"/>
  <c r="X30" i="400"/>
  <c r="U30" i="400"/>
  <c r="Y30" i="400"/>
  <c r="X8" i="400"/>
  <c r="U8" i="400"/>
  <c r="Y8" i="400"/>
  <c r="W8" i="400"/>
  <c r="V8" i="400"/>
  <c r="AA8" i="400"/>
  <c r="Z8" i="400"/>
  <c r="X33" i="400"/>
  <c r="U33" i="400"/>
  <c r="Y33" i="400"/>
  <c r="V33" i="400"/>
  <c r="Z33" i="400"/>
  <c r="W33" i="400"/>
  <c r="AA33" i="400"/>
  <c r="W34" i="400"/>
  <c r="AA34" i="400"/>
  <c r="X34" i="400"/>
  <c r="U34" i="400"/>
  <c r="Y34" i="400"/>
  <c r="V34" i="400"/>
  <c r="Z34" i="400"/>
  <c r="X19" i="400"/>
  <c r="U19" i="400"/>
  <c r="Y19" i="400"/>
  <c r="V19" i="400"/>
  <c r="Z19" i="400"/>
  <c r="AA19" i="400"/>
  <c r="W19" i="400"/>
  <c r="O39" i="400"/>
  <c r="V39" i="400"/>
  <c r="Z39" i="400"/>
  <c r="W39" i="400"/>
  <c r="AA39" i="400"/>
  <c r="X39" i="400"/>
  <c r="U39" i="400"/>
  <c r="Y39" i="400"/>
  <c r="U12" i="400"/>
  <c r="Z12" i="400"/>
  <c r="W12" i="400"/>
  <c r="AA12" i="400"/>
  <c r="X12" i="400"/>
  <c r="Y12" i="400"/>
  <c r="V12" i="400"/>
  <c r="V44" i="400"/>
  <c r="Z44" i="400"/>
  <c r="W44" i="400"/>
  <c r="AA44" i="400"/>
  <c r="X44" i="400"/>
  <c r="Y44" i="400"/>
  <c r="U44" i="400"/>
  <c r="W24" i="400"/>
  <c r="X24" i="400"/>
  <c r="U24" i="400"/>
  <c r="Y24" i="400"/>
  <c r="AA24" i="400"/>
  <c r="V24" i="400"/>
  <c r="Z24" i="400"/>
  <c r="U18" i="400"/>
  <c r="Y18" i="400"/>
  <c r="V18" i="400"/>
  <c r="Z18" i="400"/>
  <c r="W18" i="400"/>
  <c r="AA18" i="400"/>
  <c r="X18" i="400"/>
  <c r="O42" i="400"/>
  <c r="X42" i="400"/>
  <c r="U42" i="400"/>
  <c r="Y42" i="400"/>
  <c r="V42" i="400"/>
  <c r="Z42" i="400"/>
  <c r="W42" i="400"/>
  <c r="AA42" i="400"/>
  <c r="O9" i="400"/>
  <c r="T9" i="400"/>
  <c r="O31" i="400"/>
  <c r="T31" i="400"/>
  <c r="O10" i="400"/>
  <c r="T10" i="400"/>
  <c r="O24" i="400"/>
  <c r="T24" i="400"/>
  <c r="O33" i="400"/>
  <c r="T33" i="400"/>
  <c r="P27" i="400"/>
  <c r="N27" i="400"/>
  <c r="O16" i="400"/>
  <c r="T16" i="400"/>
  <c r="O7" i="400"/>
  <c r="T7" i="400"/>
  <c r="P11" i="400"/>
  <c r="N11" i="400"/>
  <c r="P25" i="400"/>
  <c r="N25" i="400"/>
  <c r="O21" i="400"/>
  <c r="T21" i="400"/>
  <c r="O44" i="400"/>
  <c r="T44" i="400"/>
  <c r="P13" i="400"/>
  <c r="N13" i="400"/>
  <c r="O34" i="400"/>
  <c r="T34" i="400"/>
  <c r="O35" i="400"/>
  <c r="T35" i="400"/>
  <c r="O23" i="400"/>
  <c r="T23" i="400"/>
  <c r="O15" i="400"/>
  <c r="T15" i="400"/>
  <c r="O22" i="400"/>
  <c r="T22" i="400"/>
  <c r="O18" i="400"/>
  <c r="T18" i="400"/>
  <c r="O19" i="400"/>
  <c r="T19" i="400"/>
  <c r="X6" i="400"/>
  <c r="O6" i="400"/>
  <c r="AA6" i="400"/>
  <c r="W6" i="400"/>
  <c r="Z6" i="400"/>
  <c r="V6" i="400"/>
  <c r="Y6" i="400"/>
  <c r="U6" i="400"/>
  <c r="O12" i="400"/>
  <c r="T12" i="400"/>
  <c r="O26" i="400"/>
  <c r="T26" i="400"/>
  <c r="O30" i="400"/>
  <c r="T30" i="400"/>
  <c r="O8" i="400"/>
  <c r="T8" i="400"/>
  <c r="O17" i="400"/>
  <c r="T17" i="400"/>
  <c r="O32" i="400"/>
  <c r="T32" i="400"/>
  <c r="P69" i="507"/>
  <c r="N69" i="507"/>
  <c r="T69" i="507"/>
  <c r="P74" i="507"/>
  <c r="N74" i="507"/>
  <c r="T74" i="507"/>
  <c r="P72" i="507"/>
  <c r="N72" i="507"/>
  <c r="T72" i="507"/>
  <c r="P71" i="507"/>
  <c r="N71" i="507"/>
  <c r="T71" i="507"/>
  <c r="P73" i="507"/>
  <c r="N73" i="507"/>
  <c r="T73" i="507"/>
  <c r="P70" i="507"/>
  <c r="N70" i="507"/>
  <c r="T70" i="507"/>
  <c r="P67" i="507"/>
  <c r="N67" i="507"/>
  <c r="T67" i="507"/>
  <c r="T35" i="507"/>
  <c r="T11" i="507"/>
  <c r="P36" i="507"/>
  <c r="N36" i="507"/>
  <c r="T36" i="507"/>
  <c r="P45" i="507"/>
  <c r="N45" i="507"/>
  <c r="T45" i="507"/>
  <c r="P44" i="507"/>
  <c r="N44" i="507"/>
  <c r="T44" i="507"/>
  <c r="P40" i="507"/>
  <c r="N40" i="507"/>
  <c r="T40" i="507"/>
  <c r="P42" i="507"/>
  <c r="N42" i="507"/>
  <c r="T42" i="507"/>
  <c r="P32" i="507"/>
  <c r="N32" i="507"/>
  <c r="L33" i="507"/>
  <c r="T32" i="507"/>
  <c r="P34" i="507"/>
  <c r="N34" i="507"/>
  <c r="T34" i="507"/>
  <c r="P33" i="507"/>
  <c r="N33" i="507"/>
  <c r="T33" i="507"/>
  <c r="P41" i="507"/>
  <c r="N41" i="507"/>
  <c r="T41" i="507"/>
  <c r="P39" i="507"/>
  <c r="N39" i="507"/>
  <c r="L40" i="507"/>
  <c r="L41" i="507"/>
  <c r="T39" i="507"/>
  <c r="T23" i="507"/>
  <c r="P23" i="507"/>
  <c r="N23" i="507"/>
  <c r="L24" i="507"/>
  <c r="L25" i="507"/>
  <c r="L26" i="507"/>
  <c r="L27" i="507"/>
  <c r="L28" i="507"/>
  <c r="L29" i="507"/>
  <c r="L30" i="507"/>
  <c r="T12" i="507"/>
  <c r="T65" i="507"/>
  <c r="T25" i="507"/>
  <c r="T5" i="507"/>
  <c r="P5" i="507"/>
  <c r="N5" i="507"/>
  <c r="V87" i="507"/>
  <c r="T15" i="507"/>
  <c r="P80" i="507"/>
  <c r="N80" i="507"/>
  <c r="L81" i="507"/>
  <c r="T56" i="507"/>
  <c r="T26" i="507"/>
  <c r="T85" i="507"/>
  <c r="P85" i="507"/>
  <c r="N85" i="507"/>
  <c r="T55" i="507"/>
  <c r="T64" i="507"/>
  <c r="T59" i="507"/>
  <c r="T14" i="507"/>
  <c r="T63" i="507"/>
  <c r="X87" i="507"/>
  <c r="Z87" i="507"/>
  <c r="P82" i="507"/>
  <c r="T82" i="507"/>
  <c r="T19" i="507"/>
  <c r="P84" i="507"/>
  <c r="N84" i="507"/>
  <c r="T84" i="507"/>
  <c r="T24" i="507"/>
  <c r="T51" i="507"/>
  <c r="T81" i="507"/>
  <c r="P81" i="507"/>
  <c r="N81" i="507"/>
  <c r="U87" i="507"/>
  <c r="W87" i="507"/>
  <c r="T21" i="507"/>
  <c r="P7" i="507"/>
  <c r="N7" i="507"/>
  <c r="T7" i="507"/>
  <c r="T75" i="507"/>
  <c r="T22" i="507"/>
  <c r="T9" i="507"/>
  <c r="T57" i="507"/>
  <c r="T13" i="507"/>
  <c r="T50" i="507"/>
  <c r="T61" i="507"/>
  <c r="P61" i="507"/>
  <c r="N61" i="507"/>
  <c r="T49" i="507"/>
  <c r="T29" i="507"/>
  <c r="T27" i="507"/>
  <c r="T62" i="507"/>
  <c r="P62" i="507"/>
  <c r="N62" i="507"/>
  <c r="T28" i="507"/>
  <c r="T54" i="507"/>
  <c r="P54" i="507"/>
  <c r="N54" i="507"/>
  <c r="L55" i="507"/>
  <c r="L56" i="507"/>
  <c r="L57" i="507"/>
  <c r="L58" i="507"/>
  <c r="L59" i="507"/>
  <c r="L60" i="507"/>
  <c r="T47" i="507"/>
  <c r="P47" i="507"/>
  <c r="N47" i="507"/>
  <c r="L48" i="507"/>
  <c r="L49" i="507"/>
  <c r="L50" i="507"/>
  <c r="L51" i="507"/>
  <c r="L52" i="507"/>
  <c r="L53" i="507"/>
  <c r="T52" i="507"/>
  <c r="P83" i="507"/>
  <c r="N83" i="507"/>
  <c r="T83" i="507"/>
  <c r="Y87" i="507"/>
  <c r="AA87" i="507"/>
  <c r="T58" i="507"/>
  <c r="T48" i="507"/>
  <c r="P8" i="507"/>
  <c r="N8" i="507"/>
  <c r="T8" i="507"/>
  <c r="Z6" i="426"/>
  <c r="V6" i="426"/>
  <c r="Y6" i="426"/>
  <c r="U6" i="426"/>
  <c r="X6" i="426"/>
  <c r="O6" i="426"/>
  <c r="AA6" i="426"/>
  <c r="W6" i="426"/>
  <c r="P17" i="426"/>
  <c r="N17" i="426"/>
  <c r="T17" i="426"/>
  <c r="P20" i="426"/>
  <c r="N20" i="426"/>
  <c r="T20" i="426"/>
  <c r="P19" i="426"/>
  <c r="N19" i="426"/>
  <c r="T19" i="426"/>
  <c r="Y34" i="426"/>
  <c r="U34" i="426"/>
  <c r="X34" i="426"/>
  <c r="O34" i="426"/>
  <c r="Z34" i="426"/>
  <c r="V34" i="426"/>
  <c r="AA34" i="426"/>
  <c r="W34" i="426"/>
  <c r="P15" i="426"/>
  <c r="N15" i="426"/>
  <c r="T15" i="426"/>
  <c r="P35" i="426"/>
  <c r="N35" i="426"/>
  <c r="T35" i="426"/>
  <c r="P11" i="426"/>
  <c r="N11" i="426"/>
  <c r="T11" i="426"/>
  <c r="P30" i="426"/>
  <c r="N30" i="426"/>
  <c r="T30" i="426"/>
  <c r="Z14" i="426"/>
  <c r="V14" i="426"/>
  <c r="Y14" i="426"/>
  <c r="U14" i="426"/>
  <c r="X14" i="426"/>
  <c r="O14" i="426"/>
  <c r="AA14" i="426"/>
  <c r="W14" i="426"/>
  <c r="P44" i="426"/>
  <c r="N44" i="426"/>
  <c r="T44" i="426"/>
  <c r="Z10" i="426"/>
  <c r="V10" i="426"/>
  <c r="Y10" i="426"/>
  <c r="U10" i="426"/>
  <c r="X10" i="426"/>
  <c r="O10" i="426"/>
  <c r="AA10" i="426"/>
  <c r="W10" i="426"/>
  <c r="P38" i="426"/>
  <c r="N38" i="426"/>
  <c r="L39" i="426"/>
  <c r="P39" i="426"/>
  <c r="N39" i="426"/>
  <c r="L40" i="426"/>
  <c r="T38" i="426"/>
  <c r="P9" i="426"/>
  <c r="N9" i="426"/>
  <c r="T9" i="426"/>
  <c r="P26" i="426"/>
  <c r="N26" i="426"/>
  <c r="L27" i="426"/>
  <c r="T26" i="426"/>
  <c r="T39" i="426"/>
  <c r="P7" i="426"/>
  <c r="N7" i="426"/>
  <c r="T7" i="426"/>
  <c r="P31" i="426"/>
  <c r="N31" i="426"/>
  <c r="T31" i="426"/>
  <c r="X12" i="426"/>
  <c r="O12" i="426"/>
  <c r="AA12" i="426"/>
  <c r="W12" i="426"/>
  <c r="Z12" i="426"/>
  <c r="V12" i="426"/>
  <c r="Y12" i="426"/>
  <c r="U12" i="426"/>
  <c r="Y45" i="426"/>
  <c r="U45" i="426"/>
  <c r="W45" i="426"/>
  <c r="AA45" i="426"/>
  <c r="V45" i="426"/>
  <c r="O45" i="426"/>
  <c r="X45" i="426"/>
  <c r="Z45" i="426"/>
  <c r="P43" i="426"/>
  <c r="N43" i="426"/>
  <c r="T43" i="426"/>
  <c r="T41" i="426"/>
  <c r="P41" i="426"/>
  <c r="N41" i="426"/>
  <c r="P40" i="426"/>
  <c r="N40" i="426"/>
  <c r="T40" i="426"/>
  <c r="T29" i="426"/>
  <c r="P29" i="426"/>
  <c r="N29" i="426"/>
  <c r="Y22" i="426"/>
  <c r="U22" i="426"/>
  <c r="X22" i="426"/>
  <c r="O22" i="426"/>
  <c r="Z22" i="426"/>
  <c r="V22" i="426"/>
  <c r="AA22" i="426"/>
  <c r="W22" i="426"/>
  <c r="P27" i="426"/>
  <c r="N27" i="426"/>
  <c r="T27" i="426"/>
  <c r="X8" i="426"/>
  <c r="O8" i="426"/>
  <c r="AA8" i="426"/>
  <c r="W8" i="426"/>
  <c r="Z8" i="426"/>
  <c r="V8" i="426"/>
  <c r="Y8" i="426"/>
  <c r="U8" i="426"/>
  <c r="AA32" i="426"/>
  <c r="W32" i="426"/>
  <c r="Z32" i="426"/>
  <c r="V32" i="426"/>
  <c r="X32" i="426"/>
  <c r="O32" i="426"/>
  <c r="U32" i="426"/>
  <c r="Y32" i="426"/>
  <c r="T21" i="426"/>
  <c r="P21" i="426"/>
  <c r="N21" i="426"/>
  <c r="T16" i="426"/>
  <c r="P16" i="426"/>
  <c r="N16" i="426"/>
  <c r="T33" i="426"/>
  <c r="P33" i="426"/>
  <c r="N33" i="426"/>
  <c r="T28" i="426"/>
  <c r="P28" i="426"/>
  <c r="N28" i="426"/>
  <c r="P40" i="400"/>
  <c r="N40" i="400"/>
  <c r="T40" i="400"/>
  <c r="P39" i="400"/>
  <c r="N39" i="400"/>
  <c r="T39" i="400"/>
  <c r="P42" i="400"/>
  <c r="N42" i="400"/>
  <c r="T42" i="400"/>
  <c r="P38" i="400"/>
  <c r="N38" i="400"/>
  <c r="L39" i="400"/>
  <c r="T38" i="400"/>
  <c r="P32" i="400"/>
  <c r="N32" i="400"/>
  <c r="P17" i="400"/>
  <c r="N17" i="400"/>
  <c r="P30" i="400"/>
  <c r="N30" i="400"/>
  <c r="P12" i="400"/>
  <c r="N12" i="400"/>
  <c r="T6" i="400"/>
  <c r="P6" i="400"/>
  <c r="N6" i="400"/>
  <c r="P15" i="400"/>
  <c r="N15" i="400"/>
  <c r="P35" i="400"/>
  <c r="N35" i="400"/>
  <c r="P44" i="400"/>
  <c r="N44" i="400"/>
  <c r="P21" i="400"/>
  <c r="N21" i="400"/>
  <c r="V45" i="400"/>
  <c r="P33" i="400"/>
  <c r="N33" i="400"/>
  <c r="P24" i="400"/>
  <c r="N24" i="400"/>
  <c r="P31" i="400"/>
  <c r="N31" i="400"/>
  <c r="Z45" i="400"/>
  <c r="X45" i="400"/>
  <c r="P9" i="400"/>
  <c r="N9" i="400"/>
  <c r="P8" i="400"/>
  <c r="N8" i="400"/>
  <c r="P26" i="400"/>
  <c r="N26" i="400"/>
  <c r="P19" i="400"/>
  <c r="N19" i="400"/>
  <c r="P18" i="400"/>
  <c r="N18" i="400"/>
  <c r="P22" i="400"/>
  <c r="N22" i="400"/>
  <c r="P23" i="400"/>
  <c r="N23" i="400"/>
  <c r="P34" i="400"/>
  <c r="N34" i="400"/>
  <c r="U45" i="400"/>
  <c r="W45" i="400"/>
  <c r="P7" i="400"/>
  <c r="N7" i="400"/>
  <c r="P16" i="400"/>
  <c r="N16" i="400"/>
  <c r="P10" i="400"/>
  <c r="N10" i="400"/>
  <c r="Y45" i="400"/>
  <c r="AA45" i="400"/>
  <c r="N46" i="507"/>
  <c r="L42" i="507"/>
  <c r="L43" i="507"/>
  <c r="L44" i="507"/>
  <c r="L45" i="507"/>
  <c r="L46" i="507"/>
  <c r="N38" i="507"/>
  <c r="L34" i="507"/>
  <c r="L35" i="507"/>
  <c r="L36" i="507"/>
  <c r="L37" i="507"/>
  <c r="L38" i="507"/>
  <c r="AB87" i="507"/>
  <c r="Q87" i="507"/>
  <c r="E87" i="507"/>
  <c r="E88" i="507"/>
  <c r="L6" i="507"/>
  <c r="L7" i="507"/>
  <c r="L8" i="507"/>
  <c r="L9" i="507"/>
  <c r="L10" i="507"/>
  <c r="L11" i="507"/>
  <c r="L12" i="507"/>
  <c r="L13" i="507"/>
  <c r="L14" i="507"/>
  <c r="L15" i="507"/>
  <c r="L16" i="507"/>
  <c r="L17" i="507"/>
  <c r="L62" i="507"/>
  <c r="N76" i="507"/>
  <c r="N86" i="507"/>
  <c r="L82" i="507"/>
  <c r="L83" i="507"/>
  <c r="L84" i="507"/>
  <c r="L85" i="507"/>
  <c r="L86" i="507"/>
  <c r="N17" i="507"/>
  <c r="L41" i="426"/>
  <c r="L42" i="426"/>
  <c r="T32" i="426"/>
  <c r="P32" i="426"/>
  <c r="N32" i="426"/>
  <c r="T8" i="426"/>
  <c r="P8" i="426"/>
  <c r="N8" i="426"/>
  <c r="P22" i="426"/>
  <c r="N22" i="426"/>
  <c r="T22" i="426"/>
  <c r="V47" i="426"/>
  <c r="V48" i="426"/>
  <c r="V49" i="426"/>
  <c r="V50" i="426"/>
  <c r="V51" i="426"/>
  <c r="V52" i="426"/>
  <c r="V53" i="426"/>
  <c r="V54" i="426"/>
  <c r="V55" i="426"/>
  <c r="V56" i="426"/>
  <c r="V57" i="426"/>
  <c r="V58" i="426"/>
  <c r="V59" i="426"/>
  <c r="V60" i="426"/>
  <c r="V61" i="426"/>
  <c r="V62" i="426"/>
  <c r="V63" i="426"/>
  <c r="V64" i="426"/>
  <c r="V65" i="426"/>
  <c r="V66" i="426"/>
  <c r="V67" i="426"/>
  <c r="V68" i="426"/>
  <c r="V69" i="426"/>
  <c r="V70" i="426"/>
  <c r="V71" i="426"/>
  <c r="V72" i="426"/>
  <c r="V73" i="426"/>
  <c r="V74" i="426"/>
  <c r="V75" i="426"/>
  <c r="V76" i="426"/>
  <c r="V77" i="426"/>
  <c r="V78" i="426"/>
  <c r="V79" i="426"/>
  <c r="V80" i="426"/>
  <c r="V81" i="426"/>
  <c r="V82" i="426"/>
  <c r="V83" i="426"/>
  <c r="V84" i="426"/>
  <c r="V85" i="426"/>
  <c r="V86" i="426"/>
  <c r="V87" i="426"/>
  <c r="V88" i="426"/>
  <c r="V89" i="426"/>
  <c r="V90" i="426"/>
  <c r="V91" i="426"/>
  <c r="V92" i="426"/>
  <c r="V93" i="426"/>
  <c r="V94" i="426"/>
  <c r="P45" i="426"/>
  <c r="N45" i="426"/>
  <c r="N46" i="426"/>
  <c r="T45" i="426"/>
  <c r="T12" i="426"/>
  <c r="P12" i="426"/>
  <c r="N12" i="426"/>
  <c r="P34" i="426"/>
  <c r="N34" i="426"/>
  <c r="T34" i="426"/>
  <c r="P6" i="426"/>
  <c r="N6" i="426"/>
  <c r="L7" i="426"/>
  <c r="L8" i="426"/>
  <c r="T6" i="426"/>
  <c r="X47" i="426"/>
  <c r="X48" i="426"/>
  <c r="X49" i="426"/>
  <c r="X50" i="426"/>
  <c r="X51" i="426"/>
  <c r="X52" i="426"/>
  <c r="X53" i="426"/>
  <c r="X54" i="426"/>
  <c r="X55" i="426"/>
  <c r="X56" i="426"/>
  <c r="X57" i="426"/>
  <c r="X58" i="426"/>
  <c r="X59" i="426"/>
  <c r="X60" i="426"/>
  <c r="X61" i="426"/>
  <c r="X62" i="426"/>
  <c r="X63" i="426"/>
  <c r="X64" i="426"/>
  <c r="X65" i="426"/>
  <c r="X66" i="426"/>
  <c r="X67" i="426"/>
  <c r="X68" i="426"/>
  <c r="X69" i="426"/>
  <c r="X70" i="426"/>
  <c r="X71" i="426"/>
  <c r="X72" i="426"/>
  <c r="X73" i="426"/>
  <c r="X74" i="426"/>
  <c r="X75" i="426"/>
  <c r="X76" i="426"/>
  <c r="X77" i="426"/>
  <c r="X78" i="426"/>
  <c r="X79" i="426"/>
  <c r="X80" i="426"/>
  <c r="X81" i="426"/>
  <c r="X82" i="426"/>
  <c r="X83" i="426"/>
  <c r="X84" i="426"/>
  <c r="X85" i="426"/>
  <c r="X86" i="426"/>
  <c r="X87" i="426"/>
  <c r="X88" i="426"/>
  <c r="X89" i="426"/>
  <c r="X90" i="426"/>
  <c r="X91" i="426"/>
  <c r="X92" i="426"/>
  <c r="X93" i="426"/>
  <c r="X94" i="426"/>
  <c r="Z47" i="426"/>
  <c r="Z48" i="426"/>
  <c r="Z49" i="426"/>
  <c r="Z50" i="426"/>
  <c r="Z51" i="426"/>
  <c r="Z52" i="426"/>
  <c r="Z53" i="426"/>
  <c r="Z54" i="426"/>
  <c r="Z55" i="426"/>
  <c r="Z56" i="426"/>
  <c r="Z57" i="426"/>
  <c r="Z58" i="426"/>
  <c r="Z59" i="426"/>
  <c r="Z60" i="426"/>
  <c r="Z61" i="426"/>
  <c r="Z62" i="426"/>
  <c r="Z63" i="426"/>
  <c r="Z64" i="426"/>
  <c r="Z65" i="426"/>
  <c r="Z66" i="426"/>
  <c r="Z67" i="426"/>
  <c r="Z68" i="426"/>
  <c r="Z69" i="426"/>
  <c r="Z70" i="426"/>
  <c r="Z71" i="426"/>
  <c r="Z72" i="426"/>
  <c r="Z73" i="426"/>
  <c r="Z74" i="426"/>
  <c r="Z75" i="426"/>
  <c r="Z76" i="426"/>
  <c r="Z77" i="426"/>
  <c r="Z78" i="426"/>
  <c r="Z79" i="426"/>
  <c r="Z80" i="426"/>
  <c r="Z81" i="426"/>
  <c r="Z82" i="426"/>
  <c r="Z83" i="426"/>
  <c r="Z84" i="426"/>
  <c r="Z85" i="426"/>
  <c r="Z86" i="426"/>
  <c r="Z87" i="426"/>
  <c r="Z88" i="426"/>
  <c r="Z89" i="426"/>
  <c r="Z90" i="426"/>
  <c r="Z91" i="426"/>
  <c r="Z92" i="426"/>
  <c r="Z93" i="426"/>
  <c r="Z94" i="426"/>
  <c r="L28" i="426"/>
  <c r="L29" i="426"/>
  <c r="L30" i="426"/>
  <c r="L31" i="426"/>
  <c r="L32" i="426"/>
  <c r="N42" i="426"/>
  <c r="U47" i="426"/>
  <c r="W47" i="426"/>
  <c r="W48" i="426"/>
  <c r="W49" i="426"/>
  <c r="W50" i="426"/>
  <c r="W51" i="426"/>
  <c r="W52" i="426"/>
  <c r="W53" i="426"/>
  <c r="W54" i="426"/>
  <c r="W55" i="426"/>
  <c r="W56" i="426"/>
  <c r="W57" i="426"/>
  <c r="W58" i="426"/>
  <c r="W59" i="426"/>
  <c r="W60" i="426"/>
  <c r="W61" i="426"/>
  <c r="W62" i="426"/>
  <c r="W63" i="426"/>
  <c r="W64" i="426"/>
  <c r="W65" i="426"/>
  <c r="W66" i="426"/>
  <c r="W67" i="426"/>
  <c r="W68" i="426"/>
  <c r="W69" i="426"/>
  <c r="W70" i="426"/>
  <c r="W71" i="426"/>
  <c r="W72" i="426"/>
  <c r="W73" i="426"/>
  <c r="W74" i="426"/>
  <c r="W75" i="426"/>
  <c r="W76" i="426"/>
  <c r="W77" i="426"/>
  <c r="W78" i="426"/>
  <c r="W79" i="426"/>
  <c r="W80" i="426"/>
  <c r="W81" i="426"/>
  <c r="W82" i="426"/>
  <c r="W83" i="426"/>
  <c r="W84" i="426"/>
  <c r="W85" i="426"/>
  <c r="W86" i="426"/>
  <c r="W87" i="426"/>
  <c r="W88" i="426"/>
  <c r="W89" i="426"/>
  <c r="W90" i="426"/>
  <c r="W91" i="426"/>
  <c r="W92" i="426"/>
  <c r="W93" i="426"/>
  <c r="W94" i="426"/>
  <c r="P10" i="426"/>
  <c r="N10" i="426"/>
  <c r="T10" i="426"/>
  <c r="P14" i="426"/>
  <c r="N14" i="426"/>
  <c r="L15" i="426"/>
  <c r="L16" i="426"/>
  <c r="L17" i="426"/>
  <c r="L18" i="426"/>
  <c r="L19" i="426"/>
  <c r="L20" i="426"/>
  <c r="L21" i="426"/>
  <c r="L22" i="426"/>
  <c r="L23" i="426"/>
  <c r="T14" i="426"/>
  <c r="Y47" i="426"/>
  <c r="Y48" i="426"/>
  <c r="Y49" i="426"/>
  <c r="Y50" i="426"/>
  <c r="Y51" i="426"/>
  <c r="Y52" i="426"/>
  <c r="Y53" i="426"/>
  <c r="Y54" i="426"/>
  <c r="Y55" i="426"/>
  <c r="Y56" i="426"/>
  <c r="Y57" i="426"/>
  <c r="Y58" i="426"/>
  <c r="Y59" i="426"/>
  <c r="Y60" i="426"/>
  <c r="Y61" i="426"/>
  <c r="Y62" i="426"/>
  <c r="Y63" i="426"/>
  <c r="Y64" i="426"/>
  <c r="Y65" i="426"/>
  <c r="Y66" i="426"/>
  <c r="Y67" i="426"/>
  <c r="Y68" i="426"/>
  <c r="Y69" i="426"/>
  <c r="Y70" i="426"/>
  <c r="Y71" i="426"/>
  <c r="Y72" i="426"/>
  <c r="Y73" i="426"/>
  <c r="Y74" i="426"/>
  <c r="Y75" i="426"/>
  <c r="Y76" i="426"/>
  <c r="Y77" i="426"/>
  <c r="Y78" i="426"/>
  <c r="Y79" i="426"/>
  <c r="Y80" i="426"/>
  <c r="Y81" i="426"/>
  <c r="Y82" i="426"/>
  <c r="Y83" i="426"/>
  <c r="Y84" i="426"/>
  <c r="Y85" i="426"/>
  <c r="Y86" i="426"/>
  <c r="Y87" i="426"/>
  <c r="Y88" i="426"/>
  <c r="Y89" i="426"/>
  <c r="Y90" i="426"/>
  <c r="Y91" i="426"/>
  <c r="Y92" i="426"/>
  <c r="Y93" i="426"/>
  <c r="Y94" i="426"/>
  <c r="AA47" i="426"/>
  <c r="AA48" i="426"/>
  <c r="AA49" i="426"/>
  <c r="AA50" i="426"/>
  <c r="AA51" i="426"/>
  <c r="AA52" i="426"/>
  <c r="AA53" i="426"/>
  <c r="AA54" i="426"/>
  <c r="AA55" i="426"/>
  <c r="AA56" i="426"/>
  <c r="AA57" i="426"/>
  <c r="AA58" i="426"/>
  <c r="AA59" i="426"/>
  <c r="AA60" i="426"/>
  <c r="AA61" i="426"/>
  <c r="AA62" i="426"/>
  <c r="AA63" i="426"/>
  <c r="AA64" i="426"/>
  <c r="AA65" i="426"/>
  <c r="AA66" i="426"/>
  <c r="AA67" i="426"/>
  <c r="AA68" i="426"/>
  <c r="AA69" i="426"/>
  <c r="AA70" i="426"/>
  <c r="AA71" i="426"/>
  <c r="AA72" i="426"/>
  <c r="AA73" i="426"/>
  <c r="AA74" i="426"/>
  <c r="AA75" i="426"/>
  <c r="AA76" i="426"/>
  <c r="AA77" i="426"/>
  <c r="AA78" i="426"/>
  <c r="AA79" i="426"/>
  <c r="AA80" i="426"/>
  <c r="AA81" i="426"/>
  <c r="AA82" i="426"/>
  <c r="AA83" i="426"/>
  <c r="AA84" i="426"/>
  <c r="AA85" i="426"/>
  <c r="AA86" i="426"/>
  <c r="AA87" i="426"/>
  <c r="AA88" i="426"/>
  <c r="AA89" i="426"/>
  <c r="AA90" i="426"/>
  <c r="AA91" i="426"/>
  <c r="AA92" i="426"/>
  <c r="AA93" i="426"/>
  <c r="AA94" i="426"/>
  <c r="L40" i="400"/>
  <c r="L41" i="400"/>
  <c r="L42" i="400"/>
  <c r="L43" i="400"/>
  <c r="Y46" i="400"/>
  <c r="Y47" i="400"/>
  <c r="Y48" i="400"/>
  <c r="Y49" i="400"/>
  <c r="Y50" i="400"/>
  <c r="Y51" i="400"/>
  <c r="Y52" i="400"/>
  <c r="Y53" i="400"/>
  <c r="Y54" i="400"/>
  <c r="Y55" i="400"/>
  <c r="Y56" i="400"/>
  <c r="Y57" i="400"/>
  <c r="Y58" i="400"/>
  <c r="Y59" i="400"/>
  <c r="Y60" i="400"/>
  <c r="Y61" i="400"/>
  <c r="Y62" i="400"/>
  <c r="Y63" i="400"/>
  <c r="Y64" i="400"/>
  <c r="Y65" i="400"/>
  <c r="Y66" i="400"/>
  <c r="Y67" i="400"/>
  <c r="Y68" i="400"/>
  <c r="Y69" i="400"/>
  <c r="Y70" i="400"/>
  <c r="Y71" i="400"/>
  <c r="Y72" i="400"/>
  <c r="Y73" i="400"/>
  <c r="Y74" i="400"/>
  <c r="Y75" i="400"/>
  <c r="Y76" i="400"/>
  <c r="Y77" i="400"/>
  <c r="Y78" i="400"/>
  <c r="Y79" i="400"/>
  <c r="Y80" i="400"/>
  <c r="Y81" i="400"/>
  <c r="Y82" i="400"/>
  <c r="Y83" i="400"/>
  <c r="Y84" i="400"/>
  <c r="Y85" i="400"/>
  <c r="Y86" i="400"/>
  <c r="Y87" i="400"/>
  <c r="Y88" i="400"/>
  <c r="Y89" i="400"/>
  <c r="Y90" i="400"/>
  <c r="Y91" i="400"/>
  <c r="Y92" i="400"/>
  <c r="Y93" i="400"/>
  <c r="Y94" i="400"/>
  <c r="Y95" i="400"/>
  <c r="Y96" i="400"/>
  <c r="Y97" i="400"/>
  <c r="Y98" i="400"/>
  <c r="Y99" i="400"/>
  <c r="Y100" i="400"/>
  <c r="Y101" i="400"/>
  <c r="U46" i="400"/>
  <c r="U47" i="400"/>
  <c r="U48" i="400"/>
  <c r="U49" i="400"/>
  <c r="U50" i="400"/>
  <c r="U51" i="400"/>
  <c r="U52" i="400"/>
  <c r="U53" i="400"/>
  <c r="U54" i="400"/>
  <c r="U55" i="400"/>
  <c r="U56" i="400"/>
  <c r="U57" i="400"/>
  <c r="U58" i="400"/>
  <c r="U59" i="400"/>
  <c r="U60" i="400"/>
  <c r="U61" i="400"/>
  <c r="U62" i="400"/>
  <c r="U63" i="400"/>
  <c r="U64" i="400"/>
  <c r="U65" i="400"/>
  <c r="U66" i="400"/>
  <c r="U67" i="400"/>
  <c r="U68" i="400"/>
  <c r="U69" i="400"/>
  <c r="U70" i="400"/>
  <c r="U71" i="400"/>
  <c r="U72" i="400"/>
  <c r="U73" i="400"/>
  <c r="U74" i="400"/>
  <c r="U75" i="400"/>
  <c r="U76" i="400"/>
  <c r="U77" i="400"/>
  <c r="U78" i="400"/>
  <c r="U79" i="400"/>
  <c r="U80" i="400"/>
  <c r="U81" i="400"/>
  <c r="U82" i="400"/>
  <c r="U83" i="400"/>
  <c r="U84" i="400"/>
  <c r="U85" i="400"/>
  <c r="U86" i="400"/>
  <c r="U87" i="400"/>
  <c r="U88" i="400"/>
  <c r="U89" i="400"/>
  <c r="U90" i="400"/>
  <c r="U91" i="400"/>
  <c r="U92" i="400"/>
  <c r="U93" i="400"/>
  <c r="U94" i="400"/>
  <c r="U95" i="400"/>
  <c r="U96" i="400"/>
  <c r="U97" i="400"/>
  <c r="U98" i="400"/>
  <c r="U99" i="400"/>
  <c r="U100" i="400"/>
  <c r="U101" i="400"/>
  <c r="AB45" i="400"/>
  <c r="Q45" i="400"/>
  <c r="I45" i="400"/>
  <c r="I46" i="400"/>
  <c r="Z46" i="400"/>
  <c r="Z47" i="400"/>
  <c r="Z48" i="400"/>
  <c r="Z49" i="400"/>
  <c r="Z50" i="400"/>
  <c r="Z51" i="400"/>
  <c r="Z52" i="400"/>
  <c r="Z53" i="400"/>
  <c r="Z54" i="400"/>
  <c r="Z55" i="400"/>
  <c r="Z56" i="400"/>
  <c r="Z57" i="400"/>
  <c r="Z58" i="400"/>
  <c r="Z59" i="400"/>
  <c r="Z60" i="400"/>
  <c r="Z61" i="400"/>
  <c r="Z62" i="400"/>
  <c r="Z63" i="400"/>
  <c r="Z64" i="400"/>
  <c r="Z65" i="400"/>
  <c r="Z66" i="400"/>
  <c r="Z67" i="400"/>
  <c r="Z68" i="400"/>
  <c r="Z69" i="400"/>
  <c r="Z70" i="400"/>
  <c r="Z71" i="400"/>
  <c r="Z72" i="400"/>
  <c r="Z73" i="400"/>
  <c r="Z74" i="400"/>
  <c r="Z75" i="400"/>
  <c r="Z76" i="400"/>
  <c r="Z77" i="400"/>
  <c r="Z78" i="400"/>
  <c r="Z79" i="400"/>
  <c r="Z80" i="400"/>
  <c r="Z81" i="400"/>
  <c r="Z82" i="400"/>
  <c r="Z83" i="400"/>
  <c r="Z84" i="400"/>
  <c r="Z85" i="400"/>
  <c r="Z86" i="400"/>
  <c r="Z87" i="400"/>
  <c r="Z88" i="400"/>
  <c r="Z89" i="400"/>
  <c r="Z90" i="400"/>
  <c r="Z91" i="400"/>
  <c r="Z92" i="400"/>
  <c r="Z93" i="400"/>
  <c r="Z94" i="400"/>
  <c r="Z95" i="400"/>
  <c r="Z96" i="400"/>
  <c r="Z97" i="400"/>
  <c r="Z98" i="400"/>
  <c r="Z99" i="400"/>
  <c r="Z100" i="400"/>
  <c r="Z101" i="400"/>
  <c r="V46" i="400"/>
  <c r="V47" i="400"/>
  <c r="V48" i="400"/>
  <c r="V49" i="400"/>
  <c r="V50" i="400"/>
  <c r="V51" i="400"/>
  <c r="V52" i="400"/>
  <c r="V53" i="400"/>
  <c r="V54" i="400"/>
  <c r="V55" i="400"/>
  <c r="V56" i="400"/>
  <c r="V57" i="400"/>
  <c r="V58" i="400"/>
  <c r="V59" i="400"/>
  <c r="V60" i="400"/>
  <c r="V61" i="400"/>
  <c r="V62" i="400"/>
  <c r="V63" i="400"/>
  <c r="V64" i="400"/>
  <c r="V65" i="400"/>
  <c r="V66" i="400"/>
  <c r="V67" i="400"/>
  <c r="V68" i="400"/>
  <c r="V69" i="400"/>
  <c r="V70" i="400"/>
  <c r="V71" i="400"/>
  <c r="V72" i="400"/>
  <c r="V73" i="400"/>
  <c r="V74" i="400"/>
  <c r="V75" i="400"/>
  <c r="V76" i="400"/>
  <c r="V77" i="400"/>
  <c r="V78" i="400"/>
  <c r="V79" i="400"/>
  <c r="V80" i="400"/>
  <c r="V81" i="400"/>
  <c r="V82" i="400"/>
  <c r="V83" i="400"/>
  <c r="V84" i="400"/>
  <c r="V85" i="400"/>
  <c r="V86" i="400"/>
  <c r="V87" i="400"/>
  <c r="V88" i="400"/>
  <c r="V89" i="400"/>
  <c r="V90" i="400"/>
  <c r="V91" i="400"/>
  <c r="V92" i="400"/>
  <c r="V93" i="400"/>
  <c r="V94" i="400"/>
  <c r="V95" i="400"/>
  <c r="V96" i="400"/>
  <c r="V97" i="400"/>
  <c r="V98" i="400"/>
  <c r="V99" i="400"/>
  <c r="V100" i="400"/>
  <c r="V101" i="400"/>
  <c r="L31" i="400"/>
  <c r="L32" i="400"/>
  <c r="L33" i="400"/>
  <c r="L34" i="400"/>
  <c r="L35" i="400"/>
  <c r="L36" i="400"/>
  <c r="N36" i="400"/>
  <c r="N43" i="400"/>
  <c r="N14" i="400"/>
  <c r="N28" i="400"/>
  <c r="L22" i="400"/>
  <c r="L23" i="400"/>
  <c r="L24" i="400"/>
  <c r="L25" i="400"/>
  <c r="L26" i="400"/>
  <c r="L27" i="400"/>
  <c r="L28" i="400"/>
  <c r="L7" i="400"/>
  <c r="L8" i="400"/>
  <c r="L9" i="400"/>
  <c r="L10" i="400"/>
  <c r="L11" i="400"/>
  <c r="L12" i="400"/>
  <c r="L13" i="400"/>
  <c r="L14" i="400"/>
  <c r="AA46" i="400"/>
  <c r="AA47" i="400"/>
  <c r="AA48" i="400"/>
  <c r="AA49" i="400"/>
  <c r="AA50" i="400"/>
  <c r="AA51" i="400"/>
  <c r="AA52" i="400"/>
  <c r="AA53" i="400"/>
  <c r="AA54" i="400"/>
  <c r="AA55" i="400"/>
  <c r="AA56" i="400"/>
  <c r="AA57" i="400"/>
  <c r="AA58" i="400"/>
  <c r="AA59" i="400"/>
  <c r="AA60" i="400"/>
  <c r="AA61" i="400"/>
  <c r="AA62" i="400"/>
  <c r="AA63" i="400"/>
  <c r="AA64" i="400"/>
  <c r="AA65" i="400"/>
  <c r="AA66" i="400"/>
  <c r="AA67" i="400"/>
  <c r="AA68" i="400"/>
  <c r="AA69" i="400"/>
  <c r="AA70" i="400"/>
  <c r="AA71" i="400"/>
  <c r="AA72" i="400"/>
  <c r="AA73" i="400"/>
  <c r="AA74" i="400"/>
  <c r="AA75" i="400"/>
  <c r="AA76" i="400"/>
  <c r="AA77" i="400"/>
  <c r="AA78" i="400"/>
  <c r="AA79" i="400"/>
  <c r="AA80" i="400"/>
  <c r="AA81" i="400"/>
  <c r="AA82" i="400"/>
  <c r="AA83" i="400"/>
  <c r="AA84" i="400"/>
  <c r="AA85" i="400"/>
  <c r="AA86" i="400"/>
  <c r="AA87" i="400"/>
  <c r="AA88" i="400"/>
  <c r="AA89" i="400"/>
  <c r="AA90" i="400"/>
  <c r="AA91" i="400"/>
  <c r="AA92" i="400"/>
  <c r="AA93" i="400"/>
  <c r="AA94" i="400"/>
  <c r="AA95" i="400"/>
  <c r="AA96" i="400"/>
  <c r="AA97" i="400"/>
  <c r="AA98" i="400"/>
  <c r="AA99" i="400"/>
  <c r="AA100" i="400"/>
  <c r="AA101" i="400"/>
  <c r="W46" i="400"/>
  <c r="W47" i="400"/>
  <c r="W48" i="400"/>
  <c r="W49" i="400"/>
  <c r="W50" i="400"/>
  <c r="W51" i="400"/>
  <c r="W52" i="400"/>
  <c r="W53" i="400"/>
  <c r="W54" i="400"/>
  <c r="W55" i="400"/>
  <c r="W56" i="400"/>
  <c r="W57" i="400"/>
  <c r="W58" i="400"/>
  <c r="W59" i="400"/>
  <c r="W60" i="400"/>
  <c r="W61" i="400"/>
  <c r="W62" i="400"/>
  <c r="W63" i="400"/>
  <c r="W64" i="400"/>
  <c r="W65" i="400"/>
  <c r="W66" i="400"/>
  <c r="W67" i="400"/>
  <c r="W68" i="400"/>
  <c r="W69" i="400"/>
  <c r="W70" i="400"/>
  <c r="W71" i="400"/>
  <c r="W72" i="400"/>
  <c r="W73" i="400"/>
  <c r="W74" i="400"/>
  <c r="W75" i="400"/>
  <c r="W76" i="400"/>
  <c r="W77" i="400"/>
  <c r="W78" i="400"/>
  <c r="W79" i="400"/>
  <c r="W80" i="400"/>
  <c r="W81" i="400"/>
  <c r="W82" i="400"/>
  <c r="W83" i="400"/>
  <c r="W84" i="400"/>
  <c r="W85" i="400"/>
  <c r="W86" i="400"/>
  <c r="W87" i="400"/>
  <c r="W88" i="400"/>
  <c r="W89" i="400"/>
  <c r="W90" i="400"/>
  <c r="W91" i="400"/>
  <c r="W92" i="400"/>
  <c r="W93" i="400"/>
  <c r="W94" i="400"/>
  <c r="W95" i="400"/>
  <c r="W96" i="400"/>
  <c r="W97" i="400"/>
  <c r="W98" i="400"/>
  <c r="W99" i="400"/>
  <c r="W100" i="400"/>
  <c r="W101" i="400"/>
  <c r="X46" i="400"/>
  <c r="X47" i="400"/>
  <c r="X48" i="400"/>
  <c r="X49" i="400"/>
  <c r="X50" i="400"/>
  <c r="X51" i="400"/>
  <c r="X52" i="400"/>
  <c r="X53" i="400"/>
  <c r="X54" i="400"/>
  <c r="X55" i="400"/>
  <c r="X56" i="400"/>
  <c r="X57" i="400"/>
  <c r="X58" i="400"/>
  <c r="X59" i="400"/>
  <c r="X60" i="400"/>
  <c r="X61" i="400"/>
  <c r="X62" i="400"/>
  <c r="X63" i="400"/>
  <c r="X64" i="400"/>
  <c r="X65" i="400"/>
  <c r="X66" i="400"/>
  <c r="X67" i="400"/>
  <c r="X68" i="400"/>
  <c r="X69" i="400"/>
  <c r="X70" i="400"/>
  <c r="X71" i="400"/>
  <c r="X72" i="400"/>
  <c r="X73" i="400"/>
  <c r="X74" i="400"/>
  <c r="X75" i="400"/>
  <c r="X76" i="400"/>
  <c r="X77" i="400"/>
  <c r="X78" i="400"/>
  <c r="X79" i="400"/>
  <c r="X80" i="400"/>
  <c r="X81" i="400"/>
  <c r="X82" i="400"/>
  <c r="X83" i="400"/>
  <c r="X84" i="400"/>
  <c r="X85" i="400"/>
  <c r="X86" i="400"/>
  <c r="X87" i="400"/>
  <c r="X88" i="400"/>
  <c r="X89" i="400"/>
  <c r="X90" i="400"/>
  <c r="X91" i="400"/>
  <c r="X92" i="400"/>
  <c r="X93" i="400"/>
  <c r="X94" i="400"/>
  <c r="X95" i="400"/>
  <c r="X96" i="400"/>
  <c r="X97" i="400"/>
  <c r="X98" i="400"/>
  <c r="X99" i="400"/>
  <c r="X100" i="400"/>
  <c r="X101" i="400"/>
  <c r="N20" i="400"/>
  <c r="L16" i="400"/>
  <c r="L17" i="400"/>
  <c r="L18" i="400"/>
  <c r="L19" i="400"/>
  <c r="L20" i="400"/>
  <c r="L63" i="507"/>
  <c r="L64" i="507"/>
  <c r="L65" i="507"/>
  <c r="L66" i="507"/>
  <c r="L67" i="507"/>
  <c r="L68" i="507"/>
  <c r="L69" i="507"/>
  <c r="L70" i="507"/>
  <c r="L71" i="507"/>
  <c r="L72" i="507"/>
  <c r="L73" i="507"/>
  <c r="L74" i="507"/>
  <c r="L75" i="507"/>
  <c r="L76" i="507"/>
  <c r="J87" i="507"/>
  <c r="J88" i="507"/>
  <c r="F87" i="507"/>
  <c r="F88" i="507"/>
  <c r="H87" i="507"/>
  <c r="H88" i="507"/>
  <c r="G87" i="507"/>
  <c r="G88" i="507"/>
  <c r="I87" i="507"/>
  <c r="I88" i="507"/>
  <c r="K87" i="507"/>
  <c r="K88" i="507"/>
  <c r="L43" i="426"/>
  <c r="L44" i="426"/>
  <c r="L45" i="426"/>
  <c r="L46" i="426"/>
  <c r="L33" i="426"/>
  <c r="L34" i="426"/>
  <c r="L35" i="426"/>
  <c r="L9" i="426"/>
  <c r="L10" i="426"/>
  <c r="L11" i="426"/>
  <c r="L12" i="426"/>
  <c r="L13" i="426"/>
  <c r="U48" i="426"/>
  <c r="U49" i="426"/>
  <c r="U50" i="426"/>
  <c r="U51" i="426"/>
  <c r="U52" i="426"/>
  <c r="U53" i="426"/>
  <c r="U54" i="426"/>
  <c r="U55" i="426"/>
  <c r="U56" i="426"/>
  <c r="U57" i="426"/>
  <c r="U58" i="426"/>
  <c r="U59" i="426"/>
  <c r="U60" i="426"/>
  <c r="U61" i="426"/>
  <c r="U62" i="426"/>
  <c r="U63" i="426"/>
  <c r="U64" i="426"/>
  <c r="U65" i="426"/>
  <c r="U66" i="426"/>
  <c r="U67" i="426"/>
  <c r="U68" i="426"/>
  <c r="U69" i="426"/>
  <c r="U70" i="426"/>
  <c r="U71" i="426"/>
  <c r="U72" i="426"/>
  <c r="U73" i="426"/>
  <c r="U74" i="426"/>
  <c r="U75" i="426"/>
  <c r="U76" i="426"/>
  <c r="U77" i="426"/>
  <c r="U78" i="426"/>
  <c r="U79" i="426"/>
  <c r="U80" i="426"/>
  <c r="U81" i="426"/>
  <c r="U82" i="426"/>
  <c r="U83" i="426"/>
  <c r="U84" i="426"/>
  <c r="U85" i="426"/>
  <c r="U86" i="426"/>
  <c r="U87" i="426"/>
  <c r="U88" i="426"/>
  <c r="U89" i="426"/>
  <c r="U90" i="426"/>
  <c r="U91" i="426"/>
  <c r="U92" i="426"/>
  <c r="U93" i="426"/>
  <c r="U94" i="426"/>
  <c r="AB47" i="426"/>
  <c r="G45" i="400"/>
  <c r="G46" i="400"/>
  <c r="H45" i="400"/>
  <c r="H46" i="400"/>
  <c r="K45" i="400"/>
  <c r="K46" i="400"/>
  <c r="F45" i="400"/>
  <c r="F46" i="400"/>
  <c r="E45" i="400"/>
  <c r="E46" i="400"/>
  <c r="J45" i="400"/>
  <c r="J46" i="400"/>
  <c r="R23" i="407"/>
  <c r="R24" i="407"/>
  <c r="R27" i="407"/>
  <c r="R30" i="407"/>
  <c r="R31" i="407"/>
  <c r="R14" i="407"/>
  <c r="R15" i="407"/>
  <c r="R16" i="407"/>
  <c r="R17" i="407"/>
  <c r="R18" i="407"/>
  <c r="R5" i="407"/>
  <c r="R6" i="407"/>
  <c r="R7" i="407"/>
  <c r="R8" i="407"/>
  <c r="R9" i="407"/>
  <c r="R10" i="407"/>
  <c r="R11" i="407"/>
  <c r="R12" i="407"/>
  <c r="R13" i="407"/>
  <c r="W3" i="407"/>
  <c r="W4" i="407"/>
  <c r="O6" i="407"/>
  <c r="U3" i="407"/>
  <c r="V3" i="407"/>
  <c r="X3" i="407"/>
  <c r="Y3" i="407"/>
  <c r="Z3" i="407"/>
  <c r="AA3" i="407"/>
  <c r="V4" i="407"/>
  <c r="O7" i="407"/>
  <c r="O8" i="407"/>
  <c r="U4" i="407"/>
  <c r="O9" i="407"/>
  <c r="O10" i="407"/>
  <c r="Y4" i="407"/>
  <c r="O11" i="407"/>
  <c r="AA4" i="407"/>
  <c r="O12" i="407"/>
  <c r="O14" i="407"/>
  <c r="O15" i="407"/>
  <c r="Z4" i="407"/>
  <c r="O16" i="407"/>
  <c r="O17" i="407"/>
  <c r="O18" i="407"/>
  <c r="O23" i="407"/>
  <c r="O24" i="407"/>
  <c r="O27" i="407"/>
  <c r="O30" i="407"/>
  <c r="O31" i="407"/>
  <c r="X4" i="407"/>
  <c r="S7" i="406"/>
  <c r="T7" i="406"/>
  <c r="U7" i="406"/>
  <c r="V7" i="406"/>
  <c r="W7" i="406"/>
  <c r="X7" i="406"/>
  <c r="Y7" i="406"/>
  <c r="Z7" i="406"/>
  <c r="AA7" i="406"/>
  <c r="S8" i="406"/>
  <c r="T8" i="406"/>
  <c r="U8" i="406"/>
  <c r="V8" i="406"/>
  <c r="W8" i="406"/>
  <c r="X8" i="406"/>
  <c r="Y8" i="406"/>
  <c r="Z8" i="406"/>
  <c r="AA8" i="406"/>
  <c r="S9" i="406"/>
  <c r="T9" i="406"/>
  <c r="U9" i="406"/>
  <c r="V9" i="406"/>
  <c r="W9" i="406"/>
  <c r="X9" i="406"/>
  <c r="Y9" i="406"/>
  <c r="Z9" i="406"/>
  <c r="AA9" i="406"/>
  <c r="S10" i="406"/>
  <c r="V10" i="406"/>
  <c r="T10" i="406"/>
  <c r="U10" i="406"/>
  <c r="W10" i="406"/>
  <c r="X10" i="406"/>
  <c r="Y10" i="406"/>
  <c r="Z10" i="406"/>
  <c r="AA10" i="406"/>
  <c r="S11" i="406"/>
  <c r="T11" i="406"/>
  <c r="U11" i="406"/>
  <c r="V11" i="406"/>
  <c r="W11" i="406"/>
  <c r="X11" i="406"/>
  <c r="Y11" i="406"/>
  <c r="Z11" i="406"/>
  <c r="AA11" i="406"/>
  <c r="S12" i="406"/>
  <c r="T12" i="406"/>
  <c r="U12" i="406"/>
  <c r="V12" i="406"/>
  <c r="W12" i="406"/>
  <c r="X12" i="406"/>
  <c r="Y12" i="406"/>
  <c r="Z12" i="406"/>
  <c r="AA12" i="406"/>
  <c r="S13" i="406"/>
  <c r="T13" i="406"/>
  <c r="U13" i="406"/>
  <c r="V13" i="406"/>
  <c r="W13" i="406"/>
  <c r="X13" i="406"/>
  <c r="Y13" i="406"/>
  <c r="Z13" i="406"/>
  <c r="AA13" i="406"/>
  <c r="S14" i="406"/>
  <c r="V14" i="406"/>
  <c r="T14" i="406"/>
  <c r="U14" i="406"/>
  <c r="W14" i="406"/>
  <c r="X14" i="406"/>
  <c r="Y14" i="406"/>
  <c r="Z14" i="406"/>
  <c r="AA14" i="406"/>
  <c r="S15" i="406"/>
  <c r="T15" i="406"/>
  <c r="U15" i="406"/>
  <c r="V15" i="406"/>
  <c r="W15" i="406"/>
  <c r="X15" i="406"/>
  <c r="Y15" i="406"/>
  <c r="Z15" i="406"/>
  <c r="AA15" i="406"/>
  <c r="S16" i="406"/>
  <c r="T16" i="406"/>
  <c r="U16" i="406"/>
  <c r="V16" i="406"/>
  <c r="W16" i="406"/>
  <c r="X16" i="406"/>
  <c r="Y16" i="406"/>
  <c r="Z16" i="406"/>
  <c r="AA16" i="406"/>
  <c r="S17" i="406"/>
  <c r="T17" i="406"/>
  <c r="U17" i="406"/>
  <c r="V17" i="406"/>
  <c r="W17" i="406"/>
  <c r="X17" i="406"/>
  <c r="Y17" i="406"/>
  <c r="Z17" i="406"/>
  <c r="AA17" i="406"/>
  <c r="S18" i="406"/>
  <c r="T18" i="406"/>
  <c r="U18" i="406"/>
  <c r="V18" i="406"/>
  <c r="W18" i="406"/>
  <c r="X18" i="406"/>
  <c r="Y18" i="406"/>
  <c r="Z18" i="406"/>
  <c r="AA18" i="406"/>
  <c r="S19" i="406"/>
  <c r="T19" i="406"/>
  <c r="U19" i="406"/>
  <c r="V19" i="406"/>
  <c r="W19" i="406"/>
  <c r="X19" i="406"/>
  <c r="Y19" i="406"/>
  <c r="Z19" i="406"/>
  <c r="AA19" i="406"/>
  <c r="S20" i="406"/>
  <c r="T20" i="406"/>
  <c r="U20" i="406"/>
  <c r="V20" i="406"/>
  <c r="W20" i="406"/>
  <c r="X20" i="406"/>
  <c r="Y20" i="406"/>
  <c r="Z20" i="406"/>
  <c r="AA20" i="406"/>
  <c r="S21" i="406"/>
  <c r="T21" i="406"/>
  <c r="U21" i="406"/>
  <c r="V21" i="406"/>
  <c r="W21" i="406"/>
  <c r="X21" i="406"/>
  <c r="Y21" i="406"/>
  <c r="Z21" i="406"/>
  <c r="AA21" i="406"/>
  <c r="S22" i="406"/>
  <c r="T22" i="406"/>
  <c r="U22" i="406"/>
  <c r="V22" i="406"/>
  <c r="W22" i="406"/>
  <c r="X22" i="406"/>
  <c r="Y22" i="406"/>
  <c r="Z22" i="406"/>
  <c r="AA22" i="406"/>
  <c r="S23" i="406"/>
  <c r="T23" i="406"/>
  <c r="U23" i="406"/>
  <c r="V23" i="406"/>
  <c r="W23" i="406"/>
  <c r="X23" i="406"/>
  <c r="Y23" i="406"/>
  <c r="Z23" i="406"/>
  <c r="AA23" i="406"/>
  <c r="S24" i="406"/>
  <c r="T24" i="406"/>
  <c r="U24" i="406"/>
  <c r="V24" i="406"/>
  <c r="W24" i="406"/>
  <c r="X24" i="406"/>
  <c r="Y24" i="406"/>
  <c r="Z24" i="406"/>
  <c r="AA24" i="406"/>
  <c r="S25" i="406"/>
  <c r="T25" i="406"/>
  <c r="U25" i="406"/>
  <c r="V25" i="406"/>
  <c r="W25" i="406"/>
  <c r="X25" i="406"/>
  <c r="Y25" i="406"/>
  <c r="Z25" i="406"/>
  <c r="AA25" i="406"/>
  <c r="S26" i="406"/>
  <c r="V26" i="406"/>
  <c r="T26" i="406"/>
  <c r="U26" i="406"/>
  <c r="W26" i="406"/>
  <c r="X26" i="406"/>
  <c r="Y26" i="406"/>
  <c r="Z26" i="406"/>
  <c r="AA26" i="406"/>
  <c r="S27" i="406"/>
  <c r="T27" i="406"/>
  <c r="U27" i="406"/>
  <c r="V27" i="406"/>
  <c r="W27" i="406"/>
  <c r="X27" i="406"/>
  <c r="Y27" i="406"/>
  <c r="Z27" i="406"/>
  <c r="AA27" i="406"/>
  <c r="S28" i="406"/>
  <c r="T28" i="406"/>
  <c r="U28" i="406"/>
  <c r="V28" i="406"/>
  <c r="W28" i="406"/>
  <c r="X28" i="406"/>
  <c r="Y28" i="406"/>
  <c r="Z28" i="406"/>
  <c r="AA28" i="406"/>
  <c r="S29" i="406"/>
  <c r="T29" i="406"/>
  <c r="U29" i="406"/>
  <c r="V29" i="406"/>
  <c r="W29" i="406"/>
  <c r="X29" i="406"/>
  <c r="Y29" i="406"/>
  <c r="Z29" i="406"/>
  <c r="AA29" i="406"/>
  <c r="S30" i="406"/>
  <c r="T30" i="406"/>
  <c r="U30" i="406"/>
  <c r="V30" i="406"/>
  <c r="W30" i="406"/>
  <c r="X30" i="406"/>
  <c r="Y30" i="406"/>
  <c r="Z30" i="406"/>
  <c r="AA30" i="406"/>
  <c r="S31" i="406"/>
  <c r="T31" i="406"/>
  <c r="U31" i="406"/>
  <c r="V31" i="406"/>
  <c r="W31" i="406"/>
  <c r="X31" i="406"/>
  <c r="Y31" i="406"/>
  <c r="Z31" i="406"/>
  <c r="AA31" i="406"/>
  <c r="S32" i="406"/>
  <c r="T32" i="406"/>
  <c r="U32" i="406"/>
  <c r="V32" i="406"/>
  <c r="W32" i="406"/>
  <c r="X32" i="406"/>
  <c r="Y32" i="406"/>
  <c r="Z32" i="406"/>
  <c r="AA32" i="406"/>
  <c r="S33" i="406"/>
  <c r="T33" i="406"/>
  <c r="U33" i="406"/>
  <c r="V33" i="406"/>
  <c r="W33" i="406"/>
  <c r="X33" i="406"/>
  <c r="Y33" i="406"/>
  <c r="Z33" i="406"/>
  <c r="AA33" i="406"/>
  <c r="S34" i="406"/>
  <c r="Y34" i="406"/>
  <c r="T34" i="406"/>
  <c r="U34" i="406"/>
  <c r="V34" i="406"/>
  <c r="W34" i="406"/>
  <c r="X34" i="406"/>
  <c r="Z34" i="406"/>
  <c r="AA34" i="406"/>
  <c r="S35" i="406"/>
  <c r="T35" i="406"/>
  <c r="U35" i="406"/>
  <c r="V35" i="406"/>
  <c r="W35" i="406"/>
  <c r="X35" i="406"/>
  <c r="Y35" i="406"/>
  <c r="Z35" i="406"/>
  <c r="AA35" i="406"/>
  <c r="S36" i="406"/>
  <c r="T36" i="406"/>
  <c r="U36" i="406"/>
  <c r="V36" i="406"/>
  <c r="W36" i="406"/>
  <c r="X36" i="406"/>
  <c r="Y36" i="406"/>
  <c r="Z36" i="406"/>
  <c r="AA36" i="406"/>
  <c r="S37" i="406"/>
  <c r="T37" i="406"/>
  <c r="U37" i="406"/>
  <c r="V37" i="406"/>
  <c r="W37" i="406"/>
  <c r="X37" i="406"/>
  <c r="Y37" i="406"/>
  <c r="Z37" i="406"/>
  <c r="AA37" i="406"/>
  <c r="S38" i="406"/>
  <c r="AA38" i="406"/>
  <c r="T38" i="406"/>
  <c r="U38" i="406"/>
  <c r="V38" i="406"/>
  <c r="W38" i="406"/>
  <c r="X38" i="406"/>
  <c r="Y38" i="406"/>
  <c r="Z38" i="406"/>
  <c r="S39" i="406"/>
  <c r="T39" i="406"/>
  <c r="U39" i="406"/>
  <c r="V39" i="406"/>
  <c r="W39" i="406"/>
  <c r="X39" i="406"/>
  <c r="Y39" i="406"/>
  <c r="Z39" i="406"/>
  <c r="AA39" i="406"/>
  <c r="S40" i="406"/>
  <c r="T40" i="406"/>
  <c r="U40" i="406"/>
  <c r="V40" i="406"/>
  <c r="W40" i="406"/>
  <c r="X40" i="406"/>
  <c r="Y40" i="406"/>
  <c r="Z40" i="406"/>
  <c r="AA40" i="406"/>
  <c r="S41" i="406"/>
  <c r="T41" i="406"/>
  <c r="U41" i="406"/>
  <c r="V41" i="406"/>
  <c r="W41" i="406"/>
  <c r="X41" i="406"/>
  <c r="Y41" i="406"/>
  <c r="Z41" i="406"/>
  <c r="AA41" i="406"/>
  <c r="S42" i="406"/>
  <c r="Y42" i="406"/>
  <c r="T42" i="406"/>
  <c r="U42" i="406"/>
  <c r="V42" i="406"/>
  <c r="W42" i="406"/>
  <c r="X42" i="406"/>
  <c r="Z42" i="406"/>
  <c r="AA42" i="406"/>
  <c r="S43" i="406"/>
  <c r="T43" i="406"/>
  <c r="U43" i="406"/>
  <c r="V43" i="406"/>
  <c r="W43" i="406"/>
  <c r="X43" i="406"/>
  <c r="Y43" i="406"/>
  <c r="Z43" i="406"/>
  <c r="AA43" i="406"/>
  <c r="S44" i="406"/>
  <c r="T44" i="406"/>
  <c r="U44" i="406"/>
  <c r="V44" i="406"/>
  <c r="W44" i="406"/>
  <c r="X44" i="406"/>
  <c r="Y44" i="406"/>
  <c r="Z44" i="406"/>
  <c r="AA44" i="406"/>
  <c r="S45" i="406"/>
  <c r="T45" i="406"/>
  <c r="U45" i="406"/>
  <c r="V45" i="406"/>
  <c r="W45" i="406"/>
  <c r="X45" i="406"/>
  <c r="Y45" i="406"/>
  <c r="Z45" i="406"/>
  <c r="AA45" i="406"/>
  <c r="S46" i="406"/>
  <c r="T46" i="406"/>
  <c r="U46" i="406"/>
  <c r="V46" i="406"/>
  <c r="W46" i="406"/>
  <c r="X46" i="406"/>
  <c r="Y46" i="406"/>
  <c r="Z46" i="406"/>
  <c r="AA46" i="406"/>
  <c r="S47" i="406"/>
  <c r="T47" i="406"/>
  <c r="U47" i="406"/>
  <c r="V47" i="406"/>
  <c r="W47" i="406"/>
  <c r="X47" i="406"/>
  <c r="Y47" i="406"/>
  <c r="Z47" i="406"/>
  <c r="AA47" i="406"/>
  <c r="S48" i="406"/>
  <c r="T48" i="406"/>
  <c r="U48" i="406"/>
  <c r="V48" i="406"/>
  <c r="W48" i="406"/>
  <c r="X48" i="406"/>
  <c r="Y48" i="406"/>
  <c r="Z48" i="406"/>
  <c r="AA48" i="406"/>
  <c r="S49" i="406"/>
  <c r="T49" i="406"/>
  <c r="U49" i="406"/>
  <c r="V49" i="406"/>
  <c r="W49" i="406"/>
  <c r="X49" i="406"/>
  <c r="Y49" i="406"/>
  <c r="Z49" i="406"/>
  <c r="AA49" i="406"/>
  <c r="S50" i="406"/>
  <c r="V50" i="406"/>
  <c r="T50" i="406"/>
  <c r="U50" i="406"/>
  <c r="W50" i="406"/>
  <c r="X50" i="406"/>
  <c r="Y50" i="406"/>
  <c r="Z50" i="406"/>
  <c r="AA50" i="406"/>
  <c r="S51" i="406"/>
  <c r="T51" i="406"/>
  <c r="U51" i="406"/>
  <c r="V51" i="406"/>
  <c r="W51" i="406"/>
  <c r="X51" i="406"/>
  <c r="Y51" i="406"/>
  <c r="Z51" i="406"/>
  <c r="AA51" i="406"/>
  <c r="S52" i="406"/>
  <c r="T52" i="406"/>
  <c r="U52" i="406"/>
  <c r="V52" i="406"/>
  <c r="W52" i="406"/>
  <c r="X52" i="406"/>
  <c r="Y52" i="406"/>
  <c r="Z52" i="406"/>
  <c r="AA52" i="406"/>
  <c r="S53" i="406"/>
  <c r="T53" i="406"/>
  <c r="U53" i="406"/>
  <c r="V53" i="406"/>
  <c r="W53" i="406"/>
  <c r="X53" i="406"/>
  <c r="Y53" i="406"/>
  <c r="Z53" i="406"/>
  <c r="AA53" i="406"/>
  <c r="S54" i="406"/>
  <c r="X54" i="406"/>
  <c r="T54" i="406"/>
  <c r="U54" i="406"/>
  <c r="V54" i="406"/>
  <c r="W54" i="406"/>
  <c r="Y54" i="406"/>
  <c r="Z54" i="406"/>
  <c r="AA54" i="406"/>
  <c r="S55" i="406"/>
  <c r="T55" i="406"/>
  <c r="U55" i="406"/>
  <c r="V55" i="406"/>
  <c r="W55" i="406"/>
  <c r="X55" i="406"/>
  <c r="Y55" i="406"/>
  <c r="Z55" i="406"/>
  <c r="AA55" i="406"/>
  <c r="S56" i="406"/>
  <c r="T56" i="406"/>
  <c r="U56" i="406"/>
  <c r="V56" i="406"/>
  <c r="W56" i="406"/>
  <c r="X56" i="406"/>
  <c r="Y56" i="406"/>
  <c r="Z56" i="406"/>
  <c r="AA56" i="406"/>
  <c r="S57" i="406"/>
  <c r="T57" i="406"/>
  <c r="U57" i="406"/>
  <c r="V57" i="406"/>
  <c r="W57" i="406"/>
  <c r="X57" i="406"/>
  <c r="Y57" i="406"/>
  <c r="Z57" i="406"/>
  <c r="AA57" i="406"/>
  <c r="S58" i="406"/>
  <c r="X58" i="406"/>
  <c r="T58" i="406"/>
  <c r="U58" i="406"/>
  <c r="V58" i="406"/>
  <c r="W58" i="406"/>
  <c r="Y58" i="406"/>
  <c r="Z58" i="406"/>
  <c r="AA58" i="406"/>
  <c r="S59" i="406"/>
  <c r="T59" i="406"/>
  <c r="U59" i="406"/>
  <c r="V59" i="406"/>
  <c r="W59" i="406"/>
  <c r="X59" i="406"/>
  <c r="Y59" i="406"/>
  <c r="Z59" i="406"/>
  <c r="AA59" i="406"/>
  <c r="S60" i="406"/>
  <c r="T60" i="406"/>
  <c r="U60" i="406"/>
  <c r="V60" i="406"/>
  <c r="W60" i="406"/>
  <c r="X60" i="406"/>
  <c r="Y60" i="406"/>
  <c r="Z60" i="406"/>
  <c r="AA60" i="406"/>
  <c r="S61" i="406"/>
  <c r="T61" i="406"/>
  <c r="U61" i="406"/>
  <c r="V61" i="406"/>
  <c r="W61" i="406"/>
  <c r="X61" i="406"/>
  <c r="Y61" i="406"/>
  <c r="Z61" i="406"/>
  <c r="AA61" i="406"/>
  <c r="R38" i="406"/>
  <c r="C38" i="406"/>
  <c r="O38" i="406"/>
  <c r="P38" i="406"/>
  <c r="N38" i="406"/>
  <c r="R37" i="406"/>
  <c r="O37" i="406"/>
  <c r="P37" i="406"/>
  <c r="N37" i="406"/>
  <c r="C37" i="406"/>
  <c r="R36" i="406"/>
  <c r="C36" i="406"/>
  <c r="O36" i="406"/>
  <c r="P36" i="406"/>
  <c r="N36" i="406"/>
  <c r="R35" i="406"/>
  <c r="O35" i="406"/>
  <c r="P35" i="406"/>
  <c r="N35" i="406"/>
  <c r="C35" i="406"/>
  <c r="R34" i="406"/>
  <c r="C34" i="406"/>
  <c r="O34" i="406"/>
  <c r="P34" i="406"/>
  <c r="N34" i="406"/>
  <c r="R33" i="406"/>
  <c r="R39" i="406"/>
  <c r="O33" i="406"/>
  <c r="P33" i="406"/>
  <c r="N33" i="406"/>
  <c r="C33" i="406"/>
  <c r="C26" i="406"/>
  <c r="O26" i="406"/>
  <c r="P26" i="406"/>
  <c r="N26" i="406"/>
  <c r="R26" i="406"/>
  <c r="C27" i="406"/>
  <c r="O27" i="406"/>
  <c r="P27" i="406"/>
  <c r="N27" i="406"/>
  <c r="R27" i="406"/>
  <c r="C28" i="406"/>
  <c r="O28" i="406"/>
  <c r="P28" i="406"/>
  <c r="N28" i="406"/>
  <c r="R28" i="406"/>
  <c r="C29" i="406"/>
  <c r="N29" i="406"/>
  <c r="O29" i="406"/>
  <c r="P29" i="406"/>
  <c r="R29" i="406"/>
  <c r="C30" i="406"/>
  <c r="O30" i="406"/>
  <c r="P30" i="406"/>
  <c r="N30" i="406"/>
  <c r="R30" i="406"/>
  <c r="C31" i="406"/>
  <c r="O31" i="406"/>
  <c r="P31" i="406"/>
  <c r="N31" i="406"/>
  <c r="R31" i="406"/>
  <c r="O32" i="406"/>
  <c r="R9" i="406"/>
  <c r="C9" i="406"/>
  <c r="O9" i="406"/>
  <c r="P9" i="406"/>
  <c r="N9" i="406"/>
  <c r="R18" i="406"/>
  <c r="R17" i="406"/>
  <c r="R16" i="406"/>
  <c r="R15" i="406"/>
  <c r="R14" i="406"/>
  <c r="N14" i="406"/>
  <c r="R13" i="406"/>
  <c r="R11" i="406"/>
  <c r="R10" i="406"/>
  <c r="R8" i="406"/>
  <c r="R7" i="406"/>
  <c r="R6" i="406"/>
  <c r="C1" i="556"/>
  <c r="C2" i="556"/>
  <c r="I2" i="556"/>
  <c r="L2" i="556"/>
  <c r="O2" i="556"/>
  <c r="C3" i="556"/>
  <c r="I3" i="556"/>
  <c r="L3" i="556"/>
  <c r="O3" i="556"/>
  <c r="C4" i="556"/>
  <c r="H4" i="556"/>
  <c r="I4" i="556"/>
  <c r="K4" i="556"/>
  <c r="L4" i="556"/>
  <c r="N4" i="556"/>
  <c r="O4" i="556"/>
  <c r="C5" i="556"/>
  <c r="C6" i="556"/>
  <c r="I6" i="556"/>
  <c r="C7" i="556"/>
  <c r="I7" i="556"/>
  <c r="C8" i="556"/>
  <c r="I8" i="556"/>
  <c r="R47" i="404"/>
  <c r="L47" i="404"/>
  <c r="C47" i="404"/>
  <c r="O47" i="404"/>
  <c r="P47" i="404"/>
  <c r="N47" i="404"/>
  <c r="N37" i="404"/>
  <c r="C7" i="404"/>
  <c r="C8" i="404"/>
  <c r="C9" i="404"/>
  <c r="C10" i="404"/>
  <c r="C11" i="404"/>
  <c r="C12" i="404"/>
  <c r="C13" i="404"/>
  <c r="C14" i="404"/>
  <c r="C15" i="404"/>
  <c r="C16" i="404"/>
  <c r="C17" i="404"/>
  <c r="C18" i="404"/>
  <c r="C19" i="404"/>
  <c r="C20" i="404"/>
  <c r="C21" i="404"/>
  <c r="C22" i="404"/>
  <c r="C23" i="404"/>
  <c r="C24" i="404"/>
  <c r="C25" i="404"/>
  <c r="C26" i="404"/>
  <c r="C27" i="404"/>
  <c r="C28" i="404"/>
  <c r="C29" i="404"/>
  <c r="C30" i="404"/>
  <c r="C31" i="404"/>
  <c r="C32" i="404"/>
  <c r="C33" i="404"/>
  <c r="C34" i="404"/>
  <c r="C35" i="404"/>
  <c r="C36" i="404"/>
  <c r="C37" i="404"/>
  <c r="C38" i="404"/>
  <c r="C39" i="404"/>
  <c r="C40" i="404"/>
  <c r="C41" i="404"/>
  <c r="C42" i="404"/>
  <c r="C43" i="404"/>
  <c r="C44" i="404"/>
  <c r="C45" i="404"/>
  <c r="C46" i="404"/>
  <c r="C48" i="404"/>
  <c r="C49" i="404"/>
  <c r="C50" i="404"/>
  <c r="C51" i="404"/>
  <c r="C52" i="404"/>
  <c r="C53" i="404"/>
  <c r="C54" i="404"/>
  <c r="C55" i="404"/>
  <c r="C56" i="404"/>
  <c r="C57" i="404"/>
  <c r="C58" i="404"/>
  <c r="C59" i="404"/>
  <c r="C60" i="404"/>
  <c r="C61" i="404"/>
  <c r="C62" i="404"/>
  <c r="C63" i="404"/>
  <c r="L8" i="404"/>
  <c r="R65" i="553"/>
  <c r="C59" i="553"/>
  <c r="X59" i="553"/>
  <c r="S53" i="553"/>
  <c r="R53" i="553"/>
  <c r="C52" i="553"/>
  <c r="C53" i="553"/>
  <c r="W53" i="553"/>
  <c r="C54" i="553"/>
  <c r="Y54" i="553"/>
  <c r="R30" i="553"/>
  <c r="C23" i="553"/>
  <c r="C24" i="553"/>
  <c r="O24" i="553"/>
  <c r="P24" i="553"/>
  <c r="N24" i="553"/>
  <c r="C28" i="553"/>
  <c r="O28" i="553"/>
  <c r="P28" i="553"/>
  <c r="N28" i="553"/>
  <c r="R31" i="553"/>
  <c r="R29" i="553"/>
  <c r="R28" i="553"/>
  <c r="R27" i="553"/>
  <c r="R26" i="553"/>
  <c r="R25" i="553"/>
  <c r="R24" i="553"/>
  <c r="R32" i="553"/>
  <c r="S24" i="553"/>
  <c r="S25" i="553"/>
  <c r="S26" i="553"/>
  <c r="S27" i="553"/>
  <c r="S28" i="553"/>
  <c r="S29" i="553"/>
  <c r="S30" i="553"/>
  <c r="S31" i="553"/>
  <c r="AA221" i="553"/>
  <c r="AA223" i="553"/>
  <c r="Z221" i="553"/>
  <c r="Z223" i="553"/>
  <c r="Y221" i="553"/>
  <c r="Y223" i="553"/>
  <c r="X221" i="553"/>
  <c r="X223" i="553"/>
  <c r="W221" i="553"/>
  <c r="W223" i="553"/>
  <c r="V221" i="553"/>
  <c r="V223" i="553"/>
  <c r="U221" i="553"/>
  <c r="U223" i="553"/>
  <c r="AA178" i="553"/>
  <c r="Z178" i="553"/>
  <c r="Y178" i="553"/>
  <c r="X178" i="553"/>
  <c r="W178" i="553"/>
  <c r="V178" i="553"/>
  <c r="U178" i="553"/>
  <c r="AD167" i="553"/>
  <c r="AC167" i="553"/>
  <c r="AB167" i="553"/>
  <c r="O65" i="553"/>
  <c r="S64" i="553"/>
  <c r="R64" i="553"/>
  <c r="S63" i="553"/>
  <c r="R63" i="553"/>
  <c r="S62" i="553"/>
  <c r="R62" i="553"/>
  <c r="N62" i="553"/>
  <c r="S61" i="553"/>
  <c r="R61" i="553"/>
  <c r="S60" i="553"/>
  <c r="R60" i="553"/>
  <c r="Z59" i="553"/>
  <c r="Y59" i="553"/>
  <c r="V59" i="553"/>
  <c r="U59" i="553"/>
  <c r="S59" i="553"/>
  <c r="S58" i="553"/>
  <c r="R58" i="553"/>
  <c r="S57" i="553"/>
  <c r="R57" i="553"/>
  <c r="S56" i="553"/>
  <c r="R56" i="553"/>
  <c r="S55" i="553"/>
  <c r="R55" i="553"/>
  <c r="S54" i="553"/>
  <c r="S52" i="553"/>
  <c r="R52" i="553"/>
  <c r="S51" i="553"/>
  <c r="R51" i="553"/>
  <c r="S50" i="553"/>
  <c r="R50" i="553"/>
  <c r="S49" i="553"/>
  <c r="R49" i="553"/>
  <c r="T48" i="553"/>
  <c r="S48" i="553"/>
  <c r="C48" i="553"/>
  <c r="Y48" i="553"/>
  <c r="S47" i="553"/>
  <c r="R47" i="553"/>
  <c r="S46" i="553"/>
  <c r="R46" i="553"/>
  <c r="S45" i="553"/>
  <c r="R45" i="553"/>
  <c r="S44" i="553"/>
  <c r="R44" i="553"/>
  <c r="S43" i="553"/>
  <c r="R43" i="553"/>
  <c r="S42" i="553"/>
  <c r="R42" i="553"/>
  <c r="S41" i="553"/>
  <c r="R41" i="553"/>
  <c r="T40" i="553"/>
  <c r="S40" i="553"/>
  <c r="C40" i="553"/>
  <c r="Y40" i="553"/>
  <c r="S39" i="553"/>
  <c r="R39" i="553"/>
  <c r="S38" i="553"/>
  <c r="R38" i="553"/>
  <c r="S37" i="553"/>
  <c r="R37" i="553"/>
  <c r="S36" i="553"/>
  <c r="R36" i="553"/>
  <c r="S35" i="553"/>
  <c r="R35" i="553"/>
  <c r="S34" i="553"/>
  <c r="R34" i="553"/>
  <c r="S33" i="553"/>
  <c r="R33" i="553"/>
  <c r="S32" i="553"/>
  <c r="Z23" i="553"/>
  <c r="X23" i="553"/>
  <c r="S23" i="553"/>
  <c r="S22" i="553"/>
  <c r="R22" i="553"/>
  <c r="S21" i="553"/>
  <c r="R21" i="553"/>
  <c r="S20" i="553"/>
  <c r="R20" i="553"/>
  <c r="S19" i="553"/>
  <c r="R19" i="553"/>
  <c r="S18" i="553"/>
  <c r="R18" i="553"/>
  <c r="S17" i="553"/>
  <c r="C17" i="553"/>
  <c r="Z17" i="553"/>
  <c r="S16" i="553"/>
  <c r="R16" i="553"/>
  <c r="S15" i="553"/>
  <c r="R15" i="553"/>
  <c r="S14" i="553"/>
  <c r="R14" i="553"/>
  <c r="S13" i="553"/>
  <c r="R13" i="553"/>
  <c r="S12" i="553"/>
  <c r="R12" i="553"/>
  <c r="S11" i="553"/>
  <c r="R11" i="553"/>
  <c r="T10" i="553"/>
  <c r="S10" i="553"/>
  <c r="C10" i="553"/>
  <c r="X10" i="553"/>
  <c r="S9" i="553"/>
  <c r="R9" i="553"/>
  <c r="S8" i="553"/>
  <c r="R8" i="553"/>
  <c r="S7" i="553"/>
  <c r="R7" i="553"/>
  <c r="C7" i="553"/>
  <c r="Y7" i="553"/>
  <c r="S6" i="553"/>
  <c r="R6" i="553"/>
  <c r="S5" i="553"/>
  <c r="R5" i="553"/>
  <c r="R10" i="553"/>
  <c r="AA4" i="553"/>
  <c r="C22" i="553"/>
  <c r="Z4" i="553"/>
  <c r="Y4" i="553"/>
  <c r="X4" i="553"/>
  <c r="W4" i="553"/>
  <c r="C6" i="553"/>
  <c r="V4" i="553"/>
  <c r="C26" i="553"/>
  <c r="O26" i="553"/>
  <c r="P26" i="553"/>
  <c r="N26" i="553"/>
  <c r="U4" i="553"/>
  <c r="S7" i="549"/>
  <c r="T7" i="549"/>
  <c r="U7" i="549"/>
  <c r="V7" i="549"/>
  <c r="W7" i="549"/>
  <c r="X7" i="549"/>
  <c r="Y7" i="549"/>
  <c r="Z7" i="549"/>
  <c r="AA7" i="549"/>
  <c r="S8" i="549"/>
  <c r="T8" i="549"/>
  <c r="U8" i="549"/>
  <c r="V8" i="549"/>
  <c r="W8" i="549"/>
  <c r="X8" i="549"/>
  <c r="Y8" i="549"/>
  <c r="Z8" i="549"/>
  <c r="AA8" i="549"/>
  <c r="S9" i="549"/>
  <c r="T9" i="549"/>
  <c r="U9" i="549"/>
  <c r="V9" i="549"/>
  <c r="W9" i="549"/>
  <c r="X9" i="549"/>
  <c r="Y9" i="549"/>
  <c r="Z9" i="549"/>
  <c r="AA9" i="549"/>
  <c r="S10" i="549"/>
  <c r="V10" i="549"/>
  <c r="T10" i="549"/>
  <c r="U10" i="549"/>
  <c r="W10" i="549"/>
  <c r="X10" i="549"/>
  <c r="Y10" i="549"/>
  <c r="Z10" i="549"/>
  <c r="AA10" i="549"/>
  <c r="S11" i="549"/>
  <c r="T11" i="549"/>
  <c r="U11" i="549"/>
  <c r="V11" i="549"/>
  <c r="W11" i="549"/>
  <c r="X11" i="549"/>
  <c r="Y11" i="549"/>
  <c r="Z11" i="549"/>
  <c r="AA11" i="549"/>
  <c r="S12" i="549"/>
  <c r="T12" i="549"/>
  <c r="U12" i="549"/>
  <c r="V12" i="549"/>
  <c r="W12" i="549"/>
  <c r="X12" i="549"/>
  <c r="Y12" i="549"/>
  <c r="Z12" i="549"/>
  <c r="AA12" i="549"/>
  <c r="S13" i="549"/>
  <c r="T13" i="549"/>
  <c r="U13" i="549"/>
  <c r="V13" i="549"/>
  <c r="W13" i="549"/>
  <c r="X13" i="549"/>
  <c r="Y13" i="549"/>
  <c r="Z13" i="549"/>
  <c r="AA13" i="549"/>
  <c r="S14" i="549"/>
  <c r="V14" i="549"/>
  <c r="T14" i="549"/>
  <c r="U14" i="549"/>
  <c r="W14" i="549"/>
  <c r="X14" i="549"/>
  <c r="Y14" i="549"/>
  <c r="Z14" i="549"/>
  <c r="AA14" i="549"/>
  <c r="S15" i="549"/>
  <c r="T15" i="549"/>
  <c r="U15" i="549"/>
  <c r="V15" i="549"/>
  <c r="W15" i="549"/>
  <c r="X15" i="549"/>
  <c r="Y15" i="549"/>
  <c r="Z15" i="549"/>
  <c r="AA15" i="549"/>
  <c r="S16" i="549"/>
  <c r="T16" i="549"/>
  <c r="U16" i="549"/>
  <c r="V16" i="549"/>
  <c r="W16" i="549"/>
  <c r="X16" i="549"/>
  <c r="Y16" i="549"/>
  <c r="Z16" i="549"/>
  <c r="AA16" i="549"/>
  <c r="S17" i="549"/>
  <c r="T17" i="549"/>
  <c r="U17" i="549"/>
  <c r="V17" i="549"/>
  <c r="W17" i="549"/>
  <c r="X17" i="549"/>
  <c r="Y17" i="549"/>
  <c r="Z17" i="549"/>
  <c r="AA17" i="549"/>
  <c r="S18" i="549"/>
  <c r="T18" i="549"/>
  <c r="U18" i="549"/>
  <c r="V18" i="549"/>
  <c r="W18" i="549"/>
  <c r="X18" i="549"/>
  <c r="Y18" i="549"/>
  <c r="Z18" i="549"/>
  <c r="AA18" i="549"/>
  <c r="S19" i="549"/>
  <c r="T19" i="549"/>
  <c r="U19" i="549"/>
  <c r="V19" i="549"/>
  <c r="W19" i="549"/>
  <c r="X19" i="549"/>
  <c r="Y19" i="549"/>
  <c r="Z19" i="549"/>
  <c r="AA19" i="549"/>
  <c r="S20" i="549"/>
  <c r="T20" i="549"/>
  <c r="U20" i="549"/>
  <c r="V20" i="549"/>
  <c r="W20" i="549"/>
  <c r="X20" i="549"/>
  <c r="Y20" i="549"/>
  <c r="Z20" i="549"/>
  <c r="AA20" i="549"/>
  <c r="S21" i="549"/>
  <c r="T21" i="549"/>
  <c r="U21" i="549"/>
  <c r="V21" i="549"/>
  <c r="W21" i="549"/>
  <c r="X21" i="549"/>
  <c r="Y21" i="549"/>
  <c r="Z21" i="549"/>
  <c r="AA21" i="549"/>
  <c r="S22" i="549"/>
  <c r="V22" i="549"/>
  <c r="T22" i="549"/>
  <c r="U22" i="549"/>
  <c r="W22" i="549"/>
  <c r="X22" i="549"/>
  <c r="Y22" i="549"/>
  <c r="Z22" i="549"/>
  <c r="AA22" i="549"/>
  <c r="S23" i="549"/>
  <c r="T23" i="549"/>
  <c r="U23" i="549"/>
  <c r="V23" i="549"/>
  <c r="W23" i="549"/>
  <c r="X23" i="549"/>
  <c r="Y23" i="549"/>
  <c r="Z23" i="549"/>
  <c r="AA23" i="549"/>
  <c r="S24" i="549"/>
  <c r="T24" i="549"/>
  <c r="U24" i="549"/>
  <c r="V24" i="549"/>
  <c r="W24" i="549"/>
  <c r="X24" i="549"/>
  <c r="Y24" i="549"/>
  <c r="Z24" i="549"/>
  <c r="AA24" i="549"/>
  <c r="S25" i="549"/>
  <c r="T25" i="549"/>
  <c r="U25" i="549"/>
  <c r="V25" i="549"/>
  <c r="W25" i="549"/>
  <c r="X25" i="549"/>
  <c r="Y25" i="549"/>
  <c r="Z25" i="549"/>
  <c r="AA25" i="549"/>
  <c r="S26" i="549"/>
  <c r="Z26" i="549"/>
  <c r="T26" i="549"/>
  <c r="U26" i="549"/>
  <c r="V26" i="549"/>
  <c r="W26" i="549"/>
  <c r="X26" i="549"/>
  <c r="Y26" i="549"/>
  <c r="AA26" i="549"/>
  <c r="S27" i="549"/>
  <c r="T27" i="549"/>
  <c r="U27" i="549"/>
  <c r="V27" i="549"/>
  <c r="W27" i="549"/>
  <c r="X27" i="549"/>
  <c r="Y27" i="549"/>
  <c r="Z27" i="549"/>
  <c r="AA27" i="549"/>
  <c r="S28" i="549"/>
  <c r="T28" i="549"/>
  <c r="U28" i="549"/>
  <c r="V28" i="549"/>
  <c r="W28" i="549"/>
  <c r="X28" i="549"/>
  <c r="Y28" i="549"/>
  <c r="Z28" i="549"/>
  <c r="AA28" i="549"/>
  <c r="S29" i="549"/>
  <c r="T29" i="549"/>
  <c r="U29" i="549"/>
  <c r="V29" i="549"/>
  <c r="W29" i="549"/>
  <c r="X29" i="549"/>
  <c r="Y29" i="549"/>
  <c r="Z29" i="549"/>
  <c r="AA29" i="549"/>
  <c r="S30" i="549"/>
  <c r="V30" i="549"/>
  <c r="T30" i="549"/>
  <c r="U30" i="549"/>
  <c r="W30" i="549"/>
  <c r="X30" i="549"/>
  <c r="Y30" i="549"/>
  <c r="Z30" i="549"/>
  <c r="AA30" i="549"/>
  <c r="S31" i="549"/>
  <c r="T31" i="549"/>
  <c r="U31" i="549"/>
  <c r="V31" i="549"/>
  <c r="W31" i="549"/>
  <c r="X31" i="549"/>
  <c r="Y31" i="549"/>
  <c r="Z31" i="549"/>
  <c r="AA31" i="549"/>
  <c r="S32" i="549"/>
  <c r="T32" i="549"/>
  <c r="U32" i="549"/>
  <c r="V32" i="549"/>
  <c r="W32" i="549"/>
  <c r="X32" i="549"/>
  <c r="Y32" i="549"/>
  <c r="Z32" i="549"/>
  <c r="AA32" i="549"/>
  <c r="S33" i="549"/>
  <c r="T33" i="549"/>
  <c r="U33" i="549"/>
  <c r="V33" i="549"/>
  <c r="W33" i="549"/>
  <c r="X33" i="549"/>
  <c r="Y33" i="549"/>
  <c r="Z33" i="549"/>
  <c r="AA33" i="549"/>
  <c r="S34" i="549"/>
  <c r="U34" i="549"/>
  <c r="T34" i="549"/>
  <c r="V34" i="549"/>
  <c r="W34" i="549"/>
  <c r="X34" i="549"/>
  <c r="Y34" i="549"/>
  <c r="Z34" i="549"/>
  <c r="AA34" i="549"/>
  <c r="S35" i="549"/>
  <c r="T35" i="549"/>
  <c r="U35" i="549"/>
  <c r="V35" i="549"/>
  <c r="W35" i="549"/>
  <c r="X35" i="549"/>
  <c r="Y35" i="549"/>
  <c r="Z35" i="549"/>
  <c r="AA35" i="549"/>
  <c r="S36" i="549"/>
  <c r="T36" i="549"/>
  <c r="U36" i="549"/>
  <c r="V36" i="549"/>
  <c r="W36" i="549"/>
  <c r="X36" i="549"/>
  <c r="Y36" i="549"/>
  <c r="Z36" i="549"/>
  <c r="AA36" i="549"/>
  <c r="S37" i="549"/>
  <c r="T37" i="549"/>
  <c r="U37" i="549"/>
  <c r="V37" i="549"/>
  <c r="W37" i="549"/>
  <c r="X37" i="549"/>
  <c r="Y37" i="549"/>
  <c r="Z37" i="549"/>
  <c r="AA37" i="549"/>
  <c r="S38" i="549"/>
  <c r="Y38" i="549"/>
  <c r="T38" i="549"/>
  <c r="U38" i="549"/>
  <c r="V38" i="549"/>
  <c r="W38" i="549"/>
  <c r="X38" i="549"/>
  <c r="Z38" i="549"/>
  <c r="AA38" i="549"/>
  <c r="S39" i="549"/>
  <c r="T39" i="549"/>
  <c r="U39" i="549"/>
  <c r="V39" i="549"/>
  <c r="W39" i="549"/>
  <c r="X39" i="549"/>
  <c r="Y39" i="549"/>
  <c r="Z39" i="549"/>
  <c r="AA39" i="549"/>
  <c r="S40" i="549"/>
  <c r="T40" i="549"/>
  <c r="U40" i="549"/>
  <c r="V40" i="549"/>
  <c r="W40" i="549"/>
  <c r="X40" i="549"/>
  <c r="Y40" i="549"/>
  <c r="Z40" i="549"/>
  <c r="AA40" i="549"/>
  <c r="S41" i="549"/>
  <c r="T41" i="549"/>
  <c r="U41" i="549"/>
  <c r="V41" i="549"/>
  <c r="W41" i="549"/>
  <c r="X41" i="549"/>
  <c r="Y41" i="549"/>
  <c r="Z41" i="549"/>
  <c r="AA41" i="549"/>
  <c r="S42" i="549"/>
  <c r="U42" i="549"/>
  <c r="T42" i="549"/>
  <c r="V42" i="549"/>
  <c r="W42" i="549"/>
  <c r="X42" i="549"/>
  <c r="Y42" i="549"/>
  <c r="Z42" i="549"/>
  <c r="AA42" i="549"/>
  <c r="S43" i="549"/>
  <c r="T43" i="549"/>
  <c r="U43" i="549"/>
  <c r="V43" i="549"/>
  <c r="W43" i="549"/>
  <c r="X43" i="549"/>
  <c r="Y43" i="549"/>
  <c r="Z43" i="549"/>
  <c r="AA43" i="549"/>
  <c r="S44" i="549"/>
  <c r="T44" i="549"/>
  <c r="U44" i="549"/>
  <c r="V44" i="549"/>
  <c r="W44" i="549"/>
  <c r="X44" i="549"/>
  <c r="Y44" i="549"/>
  <c r="Z44" i="549"/>
  <c r="AA44" i="549"/>
  <c r="S45" i="549"/>
  <c r="T45" i="549"/>
  <c r="U45" i="549"/>
  <c r="V45" i="549"/>
  <c r="W45" i="549"/>
  <c r="X45" i="549"/>
  <c r="Y45" i="549"/>
  <c r="Z45" i="549"/>
  <c r="AA45" i="549"/>
  <c r="S46" i="549"/>
  <c r="V46" i="549"/>
  <c r="T46" i="549"/>
  <c r="U46" i="549"/>
  <c r="W46" i="549"/>
  <c r="X46" i="549"/>
  <c r="Y46" i="549"/>
  <c r="Z46" i="549"/>
  <c r="AA46" i="549"/>
  <c r="S47" i="549"/>
  <c r="T47" i="549"/>
  <c r="U47" i="549"/>
  <c r="V47" i="549"/>
  <c r="W47" i="549"/>
  <c r="X47" i="549"/>
  <c r="Y47" i="549"/>
  <c r="Z47" i="549"/>
  <c r="AA47" i="549"/>
  <c r="S48" i="549"/>
  <c r="T48" i="549"/>
  <c r="U48" i="549"/>
  <c r="V48" i="549"/>
  <c r="W48" i="549"/>
  <c r="X48" i="549"/>
  <c r="Y48" i="549"/>
  <c r="Z48" i="549"/>
  <c r="AA48" i="549"/>
  <c r="S49" i="549"/>
  <c r="T49" i="549"/>
  <c r="U49" i="549"/>
  <c r="V49" i="549"/>
  <c r="W49" i="549"/>
  <c r="X49" i="549"/>
  <c r="Y49" i="549"/>
  <c r="Z49" i="549"/>
  <c r="AA49" i="549"/>
  <c r="S50" i="549"/>
  <c r="Y50" i="549"/>
  <c r="T50" i="549"/>
  <c r="U50" i="549"/>
  <c r="V50" i="549"/>
  <c r="W50" i="549"/>
  <c r="X50" i="549"/>
  <c r="Z50" i="549"/>
  <c r="AA50" i="549"/>
  <c r="S51" i="549"/>
  <c r="T51" i="549"/>
  <c r="U51" i="549"/>
  <c r="V51" i="549"/>
  <c r="W51" i="549"/>
  <c r="X51" i="549"/>
  <c r="Y51" i="549"/>
  <c r="Z51" i="549"/>
  <c r="AA51" i="549"/>
  <c r="S52" i="549"/>
  <c r="T52" i="549"/>
  <c r="U52" i="549"/>
  <c r="V52" i="549"/>
  <c r="W52" i="549"/>
  <c r="X52" i="549"/>
  <c r="Y52" i="549"/>
  <c r="Z52" i="549"/>
  <c r="AA52" i="549"/>
  <c r="S53" i="549"/>
  <c r="T53" i="549"/>
  <c r="U53" i="549"/>
  <c r="V53" i="549"/>
  <c r="W53" i="549"/>
  <c r="X53" i="549"/>
  <c r="Y53" i="549"/>
  <c r="Z53" i="549"/>
  <c r="AA53" i="549"/>
  <c r="S54" i="549"/>
  <c r="T54" i="549"/>
  <c r="U54" i="549"/>
  <c r="V54" i="549"/>
  <c r="W54" i="549"/>
  <c r="X54" i="549"/>
  <c r="Y54" i="549"/>
  <c r="Z54" i="549"/>
  <c r="AA54" i="549"/>
  <c r="S55" i="549"/>
  <c r="U55" i="549"/>
  <c r="T55" i="549"/>
  <c r="V55" i="549"/>
  <c r="W55" i="549"/>
  <c r="X55" i="549"/>
  <c r="Y55" i="549"/>
  <c r="Z55" i="549"/>
  <c r="AA55" i="549"/>
  <c r="S56" i="549"/>
  <c r="T56" i="549"/>
  <c r="U56" i="549"/>
  <c r="V56" i="549"/>
  <c r="W56" i="549"/>
  <c r="X56" i="549"/>
  <c r="Y56" i="549"/>
  <c r="Z56" i="549"/>
  <c r="AA56" i="549"/>
  <c r="S57" i="549"/>
  <c r="T57" i="549"/>
  <c r="U57" i="549"/>
  <c r="V57" i="549"/>
  <c r="W57" i="549"/>
  <c r="X57" i="549"/>
  <c r="Y57" i="549"/>
  <c r="Z57" i="549"/>
  <c r="AA57" i="549"/>
  <c r="S58" i="549"/>
  <c r="Z58" i="549"/>
  <c r="T58" i="549"/>
  <c r="U58" i="549"/>
  <c r="V58" i="549"/>
  <c r="W58" i="549"/>
  <c r="X58" i="549"/>
  <c r="Y58" i="549"/>
  <c r="AA58" i="549"/>
  <c r="S59" i="549"/>
  <c r="T59" i="549"/>
  <c r="U59" i="549"/>
  <c r="V59" i="549"/>
  <c r="W59" i="549"/>
  <c r="X59" i="549"/>
  <c r="Y59" i="549"/>
  <c r="Z59" i="549"/>
  <c r="AA59" i="549"/>
  <c r="S60" i="549"/>
  <c r="T60" i="549"/>
  <c r="U60" i="549"/>
  <c r="V60" i="549"/>
  <c r="W60" i="549"/>
  <c r="X60" i="549"/>
  <c r="Y60" i="549"/>
  <c r="Z60" i="549"/>
  <c r="AA60" i="549"/>
  <c r="S61" i="549"/>
  <c r="T61" i="549"/>
  <c r="U61" i="549"/>
  <c r="V61" i="549"/>
  <c r="W61" i="549"/>
  <c r="X61" i="549"/>
  <c r="Y61" i="549"/>
  <c r="Z61" i="549"/>
  <c r="AA61" i="549"/>
  <c r="S62" i="549"/>
  <c r="T62" i="549"/>
  <c r="U62" i="549"/>
  <c r="V62" i="549"/>
  <c r="W62" i="549"/>
  <c r="X62" i="549"/>
  <c r="Y62" i="549"/>
  <c r="Z62" i="549"/>
  <c r="AA62" i="549"/>
  <c r="S63" i="549"/>
  <c r="T63" i="549"/>
  <c r="U63" i="549"/>
  <c r="V63" i="549"/>
  <c r="W63" i="549"/>
  <c r="X63" i="549"/>
  <c r="Y63" i="549"/>
  <c r="Z63" i="549"/>
  <c r="AA63" i="549"/>
  <c r="S64" i="549"/>
  <c r="T64" i="549"/>
  <c r="U64" i="549"/>
  <c r="V64" i="549"/>
  <c r="W64" i="549"/>
  <c r="X64" i="549"/>
  <c r="Y64" i="549"/>
  <c r="Z64" i="549"/>
  <c r="AA64" i="549"/>
  <c r="S65" i="549"/>
  <c r="T65" i="549"/>
  <c r="U65" i="549"/>
  <c r="V65" i="549"/>
  <c r="W65" i="549"/>
  <c r="X65" i="549"/>
  <c r="Y65" i="549"/>
  <c r="Z65" i="549"/>
  <c r="AA65" i="549"/>
  <c r="S66" i="549"/>
  <c r="T66" i="549"/>
  <c r="U66" i="549"/>
  <c r="V66" i="549"/>
  <c r="W66" i="549"/>
  <c r="X66" i="549"/>
  <c r="Y66" i="549"/>
  <c r="Z66" i="549"/>
  <c r="AA66" i="549"/>
  <c r="S67" i="549"/>
  <c r="T67" i="549"/>
  <c r="U67" i="549"/>
  <c r="V67" i="549"/>
  <c r="W67" i="549"/>
  <c r="X67" i="549"/>
  <c r="Y67" i="549"/>
  <c r="Z67" i="549"/>
  <c r="AA67" i="549"/>
  <c r="S68" i="549"/>
  <c r="T68" i="549"/>
  <c r="U68" i="549"/>
  <c r="V68" i="549"/>
  <c r="W68" i="549"/>
  <c r="X68" i="549"/>
  <c r="Y68" i="549"/>
  <c r="Z68" i="549"/>
  <c r="AA68" i="549"/>
  <c r="S69" i="549"/>
  <c r="T69" i="549"/>
  <c r="U69" i="549"/>
  <c r="V69" i="549"/>
  <c r="W69" i="549"/>
  <c r="X69" i="549"/>
  <c r="Y69" i="549"/>
  <c r="Z69" i="549"/>
  <c r="AA69" i="549"/>
  <c r="S70" i="549"/>
  <c r="T70" i="549"/>
  <c r="U70" i="549"/>
  <c r="V70" i="549"/>
  <c r="W70" i="549"/>
  <c r="X70" i="549"/>
  <c r="Y70" i="549"/>
  <c r="Z70" i="549"/>
  <c r="AA70" i="549"/>
  <c r="S71" i="549"/>
  <c r="T71" i="549"/>
  <c r="U71" i="549"/>
  <c r="V71" i="549"/>
  <c r="W71" i="549"/>
  <c r="X71" i="549"/>
  <c r="Y71" i="549"/>
  <c r="Z71" i="549"/>
  <c r="AA71" i="549"/>
  <c r="S72" i="549"/>
  <c r="T72" i="549"/>
  <c r="U72" i="549"/>
  <c r="V72" i="549"/>
  <c r="W72" i="549"/>
  <c r="X72" i="549"/>
  <c r="Y72" i="549"/>
  <c r="Z72" i="549"/>
  <c r="AA72" i="549"/>
  <c r="S73" i="549"/>
  <c r="T73" i="549"/>
  <c r="U73" i="549"/>
  <c r="V73" i="549"/>
  <c r="W73" i="549"/>
  <c r="X73" i="549"/>
  <c r="Y73" i="549"/>
  <c r="Z73" i="549"/>
  <c r="AA73" i="549"/>
  <c r="S74" i="549"/>
  <c r="T74" i="549"/>
  <c r="U74" i="549"/>
  <c r="V74" i="549"/>
  <c r="W74" i="549"/>
  <c r="X74" i="549"/>
  <c r="Y74" i="549"/>
  <c r="Z74" i="549"/>
  <c r="AA74" i="549"/>
  <c r="S75" i="549"/>
  <c r="T75" i="549"/>
  <c r="U75" i="549"/>
  <c r="V75" i="549"/>
  <c r="W75" i="549"/>
  <c r="X75" i="549"/>
  <c r="Y75" i="549"/>
  <c r="Z75" i="549"/>
  <c r="AA75" i="549"/>
  <c r="S76" i="549"/>
  <c r="T76" i="549"/>
  <c r="U76" i="549"/>
  <c r="V76" i="549"/>
  <c r="W76" i="549"/>
  <c r="X76" i="549"/>
  <c r="Y76" i="549"/>
  <c r="Z76" i="549"/>
  <c r="AA76" i="549"/>
  <c r="R62" i="549"/>
  <c r="C54" i="549"/>
  <c r="C63" i="549"/>
  <c r="C64" i="549"/>
  <c r="R61" i="549"/>
  <c r="R60" i="549"/>
  <c r="R59" i="549"/>
  <c r="R58" i="549"/>
  <c r="R57" i="549"/>
  <c r="R56" i="549"/>
  <c r="R55" i="549"/>
  <c r="R53" i="549"/>
  <c r="R52" i="549"/>
  <c r="R51" i="549"/>
  <c r="R50" i="549"/>
  <c r="R49" i="549"/>
  <c r="R48" i="549"/>
  <c r="R47" i="549"/>
  <c r="R46" i="549"/>
  <c r="R45" i="549"/>
  <c r="R32" i="549"/>
  <c r="R31" i="549"/>
  <c r="R26" i="549"/>
  <c r="R27" i="549"/>
  <c r="R34" i="549"/>
  <c r="R24" i="549"/>
  <c r="R18" i="549"/>
  <c r="R17" i="549"/>
  <c r="R16" i="549"/>
  <c r="R6" i="549"/>
  <c r="R32" i="406"/>
  <c r="N39" i="406"/>
  <c r="L34" i="406"/>
  <c r="L35" i="406"/>
  <c r="L36" i="406"/>
  <c r="L37" i="406"/>
  <c r="L38" i="406"/>
  <c r="L39" i="406"/>
  <c r="N32" i="406"/>
  <c r="L27" i="406"/>
  <c r="L28" i="406"/>
  <c r="L29" i="406"/>
  <c r="R12" i="406"/>
  <c r="R19" i="406"/>
  <c r="O59" i="553"/>
  <c r="T59" i="553"/>
  <c r="W59" i="553"/>
  <c r="AA59" i="553"/>
  <c r="Z53" i="553"/>
  <c r="V53" i="553"/>
  <c r="O53" i="553"/>
  <c r="T53" i="553"/>
  <c r="P53" i="553"/>
  <c r="N53" i="553"/>
  <c r="Y53" i="553"/>
  <c r="U53" i="553"/>
  <c r="X53" i="553"/>
  <c r="AA53" i="553"/>
  <c r="L25" i="553"/>
  <c r="C20" i="553"/>
  <c r="C31" i="553"/>
  <c r="C27" i="553"/>
  <c r="O27" i="553"/>
  <c r="P27" i="553"/>
  <c r="N27" i="553"/>
  <c r="C30" i="553"/>
  <c r="O30" i="553"/>
  <c r="P30" i="553"/>
  <c r="N30" i="553"/>
  <c r="W54" i="553"/>
  <c r="C29" i="553"/>
  <c r="O29" i="553"/>
  <c r="P29" i="553"/>
  <c r="N29" i="553"/>
  <c r="C25" i="553"/>
  <c r="O25" i="553"/>
  <c r="P25" i="553"/>
  <c r="N25" i="553"/>
  <c r="X54" i="553"/>
  <c r="R59" i="553"/>
  <c r="AA6" i="553"/>
  <c r="X6" i="553"/>
  <c r="O6" i="553"/>
  <c r="T6" i="553"/>
  <c r="C9" i="553"/>
  <c r="U9" i="553"/>
  <c r="R17" i="553"/>
  <c r="Z40" i="553"/>
  <c r="X40" i="553"/>
  <c r="R40" i="553"/>
  <c r="R48" i="553"/>
  <c r="R23" i="553"/>
  <c r="V40" i="553"/>
  <c r="R54" i="553"/>
  <c r="AA54" i="553"/>
  <c r="AA24" i="553"/>
  <c r="W24" i="553"/>
  <c r="Y24" i="553"/>
  <c r="U24" i="553"/>
  <c r="X24" i="553"/>
  <c r="V24" i="553"/>
  <c r="Z24" i="553"/>
  <c r="Z20" i="553"/>
  <c r="V20" i="553"/>
  <c r="Y20" i="553"/>
  <c r="U20" i="553"/>
  <c r="X20" i="553"/>
  <c r="O20" i="553"/>
  <c r="AA20" i="553"/>
  <c r="W20" i="553"/>
  <c r="AA22" i="553"/>
  <c r="Y22" i="553"/>
  <c r="X22" i="553"/>
  <c r="O22" i="553"/>
  <c r="W22" i="553"/>
  <c r="V22" i="553"/>
  <c r="Z22" i="553"/>
  <c r="U22" i="553"/>
  <c r="C37" i="553"/>
  <c r="C51" i="553"/>
  <c r="C41" i="553"/>
  <c r="C36" i="553"/>
  <c r="C46" i="553"/>
  <c r="C47" i="553"/>
  <c r="P6" i="553"/>
  <c r="N6" i="553"/>
  <c r="U6" i="553"/>
  <c r="Y6" i="553"/>
  <c r="V7" i="553"/>
  <c r="Z7" i="553"/>
  <c r="Y9" i="553"/>
  <c r="U10" i="553"/>
  <c r="Y10" i="553"/>
  <c r="C13" i="553"/>
  <c r="W17" i="553"/>
  <c r="AA17" i="553"/>
  <c r="C62" i="553"/>
  <c r="C57" i="553"/>
  <c r="C63" i="553"/>
  <c r="C60" i="553"/>
  <c r="C64" i="553"/>
  <c r="C61" i="553"/>
  <c r="C45" i="553"/>
  <c r="C43" i="553"/>
  <c r="C38" i="553"/>
  <c r="C58" i="553"/>
  <c r="C42" i="553"/>
  <c r="C44" i="553"/>
  <c r="V6" i="553"/>
  <c r="Z6" i="553"/>
  <c r="W7" i="553"/>
  <c r="AA7" i="553"/>
  <c r="V9" i="553"/>
  <c r="Z9" i="553"/>
  <c r="V10" i="553"/>
  <c r="Z10" i="553"/>
  <c r="C12" i="553"/>
  <c r="C16" i="553"/>
  <c r="X17" i="553"/>
  <c r="C18" i="553"/>
  <c r="C21" i="553"/>
  <c r="Y23" i="553"/>
  <c r="U23" i="553"/>
  <c r="O23" i="553"/>
  <c r="T23" i="553"/>
  <c r="AA23" i="553"/>
  <c r="W23" i="553"/>
  <c r="C34" i="553"/>
  <c r="C35" i="553"/>
  <c r="C5" i="553"/>
  <c r="W6" i="553"/>
  <c r="O7" i="553"/>
  <c r="X7" i="553"/>
  <c r="C8" i="553"/>
  <c r="W9" i="553"/>
  <c r="W10" i="553"/>
  <c r="AA10" i="553"/>
  <c r="C15" i="553"/>
  <c r="O17" i="553"/>
  <c r="T17" i="553"/>
  <c r="U17" i="553"/>
  <c r="Y17" i="553"/>
  <c r="V23" i="553"/>
  <c r="C49" i="553"/>
  <c r="C32" i="553"/>
  <c r="O32" i="553"/>
  <c r="T32" i="553"/>
  <c r="C55" i="553"/>
  <c r="C33" i="553"/>
  <c r="C50" i="553"/>
  <c r="C39" i="553"/>
  <c r="U7" i="553"/>
  <c r="C11" i="553"/>
  <c r="C14" i="553"/>
  <c r="V17" i="553"/>
  <c r="C19" i="553"/>
  <c r="V31" i="553"/>
  <c r="Z31" i="553"/>
  <c r="W40" i="553"/>
  <c r="AA40" i="553"/>
  <c r="X48" i="553"/>
  <c r="W31" i="553"/>
  <c r="AA31" i="553"/>
  <c r="X31" i="553"/>
  <c r="U40" i="553"/>
  <c r="U31" i="553"/>
  <c r="Z48" i="553"/>
  <c r="V48" i="553"/>
  <c r="AA48" i="553"/>
  <c r="W48" i="553"/>
  <c r="U48" i="553"/>
  <c r="V54" i="553"/>
  <c r="Z54" i="553"/>
  <c r="O54" i="553"/>
  <c r="T54" i="553"/>
  <c r="U54" i="553"/>
  <c r="R54" i="549"/>
  <c r="R63" i="549"/>
  <c r="D8" i="558"/>
  <c r="D7" i="558"/>
  <c r="D6" i="558"/>
  <c r="D5" i="558"/>
  <c r="D4" i="558"/>
  <c r="D3" i="558"/>
  <c r="D2" i="558"/>
  <c r="I2" i="463"/>
  <c r="I3" i="463"/>
  <c r="I4" i="463"/>
  <c r="I5" i="463"/>
  <c r="I6" i="463"/>
  <c r="I7" i="463"/>
  <c r="I8" i="463"/>
  <c r="I15" i="558"/>
  <c r="H15" i="558"/>
  <c r="G15" i="558"/>
  <c r="F15" i="558"/>
  <c r="E15" i="558"/>
  <c r="D15" i="558"/>
  <c r="I14" i="558"/>
  <c r="H14" i="558"/>
  <c r="G14" i="558"/>
  <c r="F14" i="558"/>
  <c r="E14" i="558"/>
  <c r="L30" i="406"/>
  <c r="L31" i="406"/>
  <c r="L32" i="406"/>
  <c r="O31" i="553"/>
  <c r="Y31" i="553"/>
  <c r="L26" i="553"/>
  <c r="L27" i="553"/>
  <c r="L28" i="553"/>
  <c r="L29" i="553"/>
  <c r="AA9" i="553"/>
  <c r="O9" i="553"/>
  <c r="X9" i="553"/>
  <c r="AA39" i="553"/>
  <c r="W39" i="553"/>
  <c r="Z39" i="553"/>
  <c r="V39" i="553"/>
  <c r="Y39" i="553"/>
  <c r="U39" i="553"/>
  <c r="X39" i="553"/>
  <c r="O39" i="553"/>
  <c r="AA32" i="553"/>
  <c r="W32" i="553"/>
  <c r="Z32" i="553"/>
  <c r="V32" i="553"/>
  <c r="Y32" i="553"/>
  <c r="U32" i="553"/>
  <c r="X32" i="553"/>
  <c r="AA35" i="553"/>
  <c r="W35" i="553"/>
  <c r="Z35" i="553"/>
  <c r="V35" i="553"/>
  <c r="Y35" i="553"/>
  <c r="U35" i="553"/>
  <c r="X35" i="553"/>
  <c r="O35" i="553"/>
  <c r="AA16" i="553"/>
  <c r="W16" i="553"/>
  <c r="Z16" i="553"/>
  <c r="V16" i="553"/>
  <c r="Y16" i="553"/>
  <c r="U16" i="553"/>
  <c r="X16" i="553"/>
  <c r="O16" i="553"/>
  <c r="Z30" i="553"/>
  <c r="V30" i="553"/>
  <c r="Y30" i="553"/>
  <c r="U30" i="553"/>
  <c r="X30" i="553"/>
  <c r="AA30" i="553"/>
  <c r="W30" i="553"/>
  <c r="Z43" i="553"/>
  <c r="V43" i="553"/>
  <c r="AA43" i="553"/>
  <c r="W43" i="553"/>
  <c r="X43" i="553"/>
  <c r="U43" i="553"/>
  <c r="O43" i="553"/>
  <c r="Y43" i="553"/>
  <c r="AA60" i="553"/>
  <c r="W60" i="553"/>
  <c r="Z60" i="553"/>
  <c r="V60" i="553"/>
  <c r="Y60" i="553"/>
  <c r="U60" i="553"/>
  <c r="X60" i="553"/>
  <c r="O60" i="553"/>
  <c r="Y29" i="553"/>
  <c r="U29" i="553"/>
  <c r="X29" i="553"/>
  <c r="AA29" i="553"/>
  <c r="Z29" i="553"/>
  <c r="V29" i="553"/>
  <c r="W29" i="553"/>
  <c r="X41" i="553"/>
  <c r="O41" i="553"/>
  <c r="AA41" i="553"/>
  <c r="W41" i="553"/>
  <c r="Z41" i="553"/>
  <c r="V41" i="553"/>
  <c r="Y41" i="553"/>
  <c r="U41" i="553"/>
  <c r="T22" i="553"/>
  <c r="P22" i="553"/>
  <c r="N22" i="553"/>
  <c r="Y14" i="553"/>
  <c r="U14" i="553"/>
  <c r="X14" i="553"/>
  <c r="O14" i="553"/>
  <c r="AA14" i="553"/>
  <c r="W14" i="553"/>
  <c r="Z14" i="553"/>
  <c r="V14" i="553"/>
  <c r="Y50" i="553"/>
  <c r="U50" i="553"/>
  <c r="Z50" i="553"/>
  <c r="V50" i="553"/>
  <c r="W50" i="553"/>
  <c r="O50" i="553"/>
  <c r="AA50" i="553"/>
  <c r="X50" i="553"/>
  <c r="X49" i="553"/>
  <c r="O49" i="553"/>
  <c r="Y49" i="553"/>
  <c r="U49" i="553"/>
  <c r="W49" i="553"/>
  <c r="V49" i="553"/>
  <c r="AA49" i="553"/>
  <c r="Z49" i="553"/>
  <c r="P7" i="553"/>
  <c r="N7" i="553"/>
  <c r="T7" i="553"/>
  <c r="Z34" i="553"/>
  <c r="V34" i="553"/>
  <c r="Y34" i="553"/>
  <c r="U34" i="553"/>
  <c r="X34" i="553"/>
  <c r="O34" i="553"/>
  <c r="AA34" i="553"/>
  <c r="W34" i="553"/>
  <c r="AA21" i="553"/>
  <c r="W21" i="553"/>
  <c r="Z21" i="553"/>
  <c r="V21" i="553"/>
  <c r="Y21" i="553"/>
  <c r="U21" i="553"/>
  <c r="X21" i="553"/>
  <c r="O21" i="553"/>
  <c r="AA12" i="553"/>
  <c r="W12" i="553"/>
  <c r="Z12" i="553"/>
  <c r="V12" i="553"/>
  <c r="Y12" i="553"/>
  <c r="U12" i="553"/>
  <c r="X12" i="553"/>
  <c r="O12" i="553"/>
  <c r="Y42" i="553"/>
  <c r="U42" i="553"/>
  <c r="X42" i="553"/>
  <c r="O42" i="553"/>
  <c r="AA42" i="553"/>
  <c r="W42" i="553"/>
  <c r="Z42" i="553"/>
  <c r="V42" i="553"/>
  <c r="X45" i="553"/>
  <c r="O45" i="553"/>
  <c r="Y45" i="553"/>
  <c r="U45" i="553"/>
  <c r="W45" i="553"/>
  <c r="V45" i="553"/>
  <c r="AA45" i="553"/>
  <c r="Z45" i="553"/>
  <c r="Z63" i="553"/>
  <c r="V63" i="553"/>
  <c r="Y63" i="553"/>
  <c r="U63" i="553"/>
  <c r="X63" i="553"/>
  <c r="O63" i="553"/>
  <c r="AA63" i="553"/>
  <c r="W63" i="553"/>
  <c r="X56" i="553"/>
  <c r="O56" i="553"/>
  <c r="Y56" i="553"/>
  <c r="U56" i="553"/>
  <c r="AA56" i="553"/>
  <c r="Z56" i="553"/>
  <c r="W56" i="553"/>
  <c r="V56" i="553"/>
  <c r="Y26" i="553"/>
  <c r="U26" i="553"/>
  <c r="AA26" i="553"/>
  <c r="W26" i="553"/>
  <c r="V26" i="553"/>
  <c r="Z26" i="553"/>
  <c r="X26" i="553"/>
  <c r="T24" i="553"/>
  <c r="Z11" i="553"/>
  <c r="V11" i="553"/>
  <c r="Y11" i="553"/>
  <c r="U11" i="553"/>
  <c r="X11" i="553"/>
  <c r="O11" i="553"/>
  <c r="AA11" i="553"/>
  <c r="W11" i="553"/>
  <c r="Y33" i="553"/>
  <c r="U33" i="553"/>
  <c r="X33" i="553"/>
  <c r="O33" i="553"/>
  <c r="AA33" i="553"/>
  <c r="W33" i="553"/>
  <c r="Z33" i="553"/>
  <c r="V33" i="553"/>
  <c r="Z27" i="553"/>
  <c r="V27" i="553"/>
  <c r="X27" i="553"/>
  <c r="U27" i="553"/>
  <c r="AA27" i="553"/>
  <c r="Y27" i="553"/>
  <c r="W27" i="553"/>
  <c r="AA52" i="553"/>
  <c r="W52" i="553"/>
  <c r="X52" i="553"/>
  <c r="O52" i="553"/>
  <c r="Z52" i="553"/>
  <c r="Y52" i="553"/>
  <c r="V52" i="553"/>
  <c r="U52" i="553"/>
  <c r="X18" i="553"/>
  <c r="O18" i="553"/>
  <c r="AA18" i="553"/>
  <c r="W18" i="553"/>
  <c r="Z18" i="553"/>
  <c r="V18" i="553"/>
  <c r="Y18" i="553"/>
  <c r="U18" i="553"/>
  <c r="Z58" i="553"/>
  <c r="V58" i="553"/>
  <c r="Y58" i="553"/>
  <c r="U58" i="553"/>
  <c r="X58" i="553"/>
  <c r="O58" i="553"/>
  <c r="AA58" i="553"/>
  <c r="W58" i="553"/>
  <c r="X61" i="553"/>
  <c r="O61" i="553"/>
  <c r="AA61" i="553"/>
  <c r="W61" i="553"/>
  <c r="Z61" i="553"/>
  <c r="V61" i="553"/>
  <c r="Y61" i="553"/>
  <c r="U61" i="553"/>
  <c r="Y57" i="553"/>
  <c r="U57" i="553"/>
  <c r="AA57" i="553"/>
  <c r="W57" i="553"/>
  <c r="Z57" i="553"/>
  <c r="V57" i="553"/>
  <c r="X57" i="553"/>
  <c r="O57" i="553"/>
  <c r="AA28" i="553"/>
  <c r="W28" i="553"/>
  <c r="Y28" i="553"/>
  <c r="U28" i="553"/>
  <c r="Z28" i="553"/>
  <c r="X28" i="553"/>
  <c r="V28" i="553"/>
  <c r="Y46" i="553"/>
  <c r="U46" i="553"/>
  <c r="Z46" i="553"/>
  <c r="V46" i="553"/>
  <c r="W46" i="553"/>
  <c r="O46" i="553"/>
  <c r="AA46" i="553"/>
  <c r="X46" i="553"/>
  <c r="Z51" i="553"/>
  <c r="V51" i="553"/>
  <c r="AA51" i="553"/>
  <c r="W51" i="553"/>
  <c r="O51" i="553"/>
  <c r="Y51" i="553"/>
  <c r="X51" i="553"/>
  <c r="U51" i="553"/>
  <c r="P20" i="553"/>
  <c r="N20" i="553"/>
  <c r="T20" i="553"/>
  <c r="Y19" i="553"/>
  <c r="U19" i="553"/>
  <c r="X19" i="553"/>
  <c r="O19" i="553"/>
  <c r="AA19" i="553"/>
  <c r="W19" i="553"/>
  <c r="Z19" i="553"/>
  <c r="V19" i="553"/>
  <c r="AA55" i="553"/>
  <c r="W55" i="553"/>
  <c r="X55" i="553"/>
  <c r="O55" i="553"/>
  <c r="Z55" i="553"/>
  <c r="Y55" i="553"/>
  <c r="V55" i="553"/>
  <c r="U55" i="553"/>
  <c r="Z15" i="553"/>
  <c r="V15" i="553"/>
  <c r="Y15" i="553"/>
  <c r="U15" i="553"/>
  <c r="X15" i="553"/>
  <c r="O15" i="553"/>
  <c r="AA15" i="553"/>
  <c r="W15" i="553"/>
  <c r="Z8" i="553"/>
  <c r="V8" i="553"/>
  <c r="Y8" i="553"/>
  <c r="U8" i="553"/>
  <c r="X8" i="553"/>
  <c r="O8" i="553"/>
  <c r="AA8" i="553"/>
  <c r="W8" i="553"/>
  <c r="AA5" i="553"/>
  <c r="W5" i="553"/>
  <c r="Z5" i="553"/>
  <c r="V5" i="553"/>
  <c r="Y5" i="553"/>
  <c r="U5" i="553"/>
  <c r="X5" i="553"/>
  <c r="O5" i="553"/>
  <c r="X25" i="553"/>
  <c r="Z25" i="553"/>
  <c r="V25" i="553"/>
  <c r="W25" i="553"/>
  <c r="U25" i="553"/>
  <c r="AA25" i="553"/>
  <c r="Y25" i="553"/>
  <c r="AA44" i="553"/>
  <c r="W44" i="553"/>
  <c r="X44" i="553"/>
  <c r="O44" i="553"/>
  <c r="V44" i="553"/>
  <c r="U44" i="553"/>
  <c r="Z44" i="553"/>
  <c r="Y44" i="553"/>
  <c r="Z38" i="553"/>
  <c r="V38" i="553"/>
  <c r="Y38" i="553"/>
  <c r="U38" i="553"/>
  <c r="X38" i="553"/>
  <c r="O38" i="553"/>
  <c r="AA38" i="553"/>
  <c r="W38" i="553"/>
  <c r="AA64" i="553"/>
  <c r="W64" i="553"/>
  <c r="Z64" i="553"/>
  <c r="V64" i="553"/>
  <c r="Y64" i="553"/>
  <c r="U64" i="553"/>
  <c r="X64" i="553"/>
  <c r="O64" i="553"/>
  <c r="Y62" i="553"/>
  <c r="U62" i="553"/>
  <c r="X62" i="553"/>
  <c r="O62" i="553"/>
  <c r="AA62" i="553"/>
  <c r="W62" i="553"/>
  <c r="Z62" i="553"/>
  <c r="V62" i="553"/>
  <c r="X13" i="553"/>
  <c r="O13" i="553"/>
  <c r="AA13" i="553"/>
  <c r="W13" i="553"/>
  <c r="Z13" i="553"/>
  <c r="V13" i="553"/>
  <c r="Y13" i="553"/>
  <c r="U13" i="553"/>
  <c r="Z47" i="553"/>
  <c r="V47" i="553"/>
  <c r="AA47" i="553"/>
  <c r="W47" i="553"/>
  <c r="O47" i="553"/>
  <c r="Y47" i="553"/>
  <c r="X47" i="553"/>
  <c r="U47" i="553"/>
  <c r="X36" i="553"/>
  <c r="O36" i="553"/>
  <c r="AA36" i="553"/>
  <c r="W36" i="553"/>
  <c r="Z36" i="553"/>
  <c r="V36" i="553"/>
  <c r="Y36" i="553"/>
  <c r="U36" i="553"/>
  <c r="Y37" i="553"/>
  <c r="U37" i="553"/>
  <c r="X37" i="553"/>
  <c r="O37" i="553"/>
  <c r="AA37" i="553"/>
  <c r="W37" i="553"/>
  <c r="Z37" i="553"/>
  <c r="V37" i="553"/>
  <c r="D14" i="558"/>
  <c r="L30" i="553"/>
  <c r="L31" i="553"/>
  <c r="L32" i="553"/>
  <c r="P31" i="553"/>
  <c r="N31" i="553"/>
  <c r="N32" i="553"/>
  <c r="T31" i="553"/>
  <c r="T9" i="553"/>
  <c r="P9" i="553"/>
  <c r="N9" i="553"/>
  <c r="AA66" i="553"/>
  <c r="P39" i="553"/>
  <c r="N39" i="553"/>
  <c r="T39" i="553"/>
  <c r="T47" i="553"/>
  <c r="P47" i="553"/>
  <c r="N47" i="553"/>
  <c r="Y66" i="553"/>
  <c r="P37" i="553"/>
  <c r="N37" i="553"/>
  <c r="T37" i="553"/>
  <c r="P62" i="553"/>
  <c r="T62" i="553"/>
  <c r="P64" i="553"/>
  <c r="N64" i="553"/>
  <c r="T64" i="553"/>
  <c r="T44" i="553"/>
  <c r="P44" i="553"/>
  <c r="N44" i="553"/>
  <c r="T5" i="553"/>
  <c r="P5" i="553"/>
  <c r="N5" i="553"/>
  <c r="L6" i="553"/>
  <c r="L7" i="553"/>
  <c r="L8" i="553"/>
  <c r="V66" i="553"/>
  <c r="T55" i="553"/>
  <c r="P55" i="553"/>
  <c r="N55" i="553"/>
  <c r="P19" i="553"/>
  <c r="N19" i="553"/>
  <c r="T19" i="553"/>
  <c r="P46" i="553"/>
  <c r="N46" i="553"/>
  <c r="T46" i="553"/>
  <c r="T61" i="553"/>
  <c r="P61" i="553"/>
  <c r="N61" i="553"/>
  <c r="P58" i="553"/>
  <c r="N58" i="553"/>
  <c r="T58" i="553"/>
  <c r="T18" i="553"/>
  <c r="P18" i="553"/>
  <c r="N18" i="553"/>
  <c r="P11" i="553"/>
  <c r="N11" i="553"/>
  <c r="T11" i="553"/>
  <c r="P42" i="553"/>
  <c r="N42" i="553"/>
  <c r="T42" i="553"/>
  <c r="P12" i="553"/>
  <c r="N12" i="553"/>
  <c r="T12" i="553"/>
  <c r="P21" i="553"/>
  <c r="N21" i="553"/>
  <c r="T21" i="553"/>
  <c r="T49" i="553"/>
  <c r="P49" i="553"/>
  <c r="N49" i="553"/>
  <c r="P50" i="553"/>
  <c r="N50" i="553"/>
  <c r="T50" i="553"/>
  <c r="T29" i="553"/>
  <c r="P60" i="553"/>
  <c r="N60" i="553"/>
  <c r="L61" i="553"/>
  <c r="T60" i="553"/>
  <c r="P16" i="553"/>
  <c r="N16" i="553"/>
  <c r="T16" i="553"/>
  <c r="P35" i="553"/>
  <c r="N35" i="553"/>
  <c r="T35" i="553"/>
  <c r="Z66" i="553"/>
  <c r="T51" i="553"/>
  <c r="P51" i="553"/>
  <c r="N51" i="553"/>
  <c r="P43" i="553"/>
  <c r="N43" i="553"/>
  <c r="T43" i="553"/>
  <c r="X66" i="553"/>
  <c r="T36" i="553"/>
  <c r="P36" i="553"/>
  <c r="N36" i="553"/>
  <c r="T13" i="553"/>
  <c r="P13" i="553"/>
  <c r="N13" i="553"/>
  <c r="P38" i="553"/>
  <c r="N38" i="553"/>
  <c r="T38" i="553"/>
  <c r="T25" i="553"/>
  <c r="U66" i="553"/>
  <c r="W66" i="553"/>
  <c r="P8" i="553"/>
  <c r="N8" i="553"/>
  <c r="T8" i="553"/>
  <c r="P15" i="553"/>
  <c r="N15" i="553"/>
  <c r="T15" i="553"/>
  <c r="T28" i="553"/>
  <c r="P57" i="553"/>
  <c r="N57" i="553"/>
  <c r="T57" i="553"/>
  <c r="T52" i="553"/>
  <c r="P52" i="553"/>
  <c r="N52" i="553"/>
  <c r="T27" i="553"/>
  <c r="P33" i="553"/>
  <c r="N33" i="553"/>
  <c r="T33" i="553"/>
  <c r="T26" i="553"/>
  <c r="T56" i="553"/>
  <c r="P56" i="553"/>
  <c r="N56" i="553"/>
  <c r="P63" i="553"/>
  <c r="N63" i="553"/>
  <c r="T63" i="553"/>
  <c r="T45" i="553"/>
  <c r="P45" i="553"/>
  <c r="N45" i="553"/>
  <c r="P34" i="553"/>
  <c r="N34" i="553"/>
  <c r="T34" i="553"/>
  <c r="P14" i="553"/>
  <c r="N14" i="553"/>
  <c r="T14" i="553"/>
  <c r="T41" i="553"/>
  <c r="P41" i="553"/>
  <c r="N41" i="553"/>
  <c r="L42" i="553"/>
  <c r="T30" i="553"/>
  <c r="AY61" i="3"/>
  <c r="AX61" i="3"/>
  <c r="AW61" i="3"/>
  <c r="AV61" i="3"/>
  <c r="AV60" i="3"/>
  <c r="AV59" i="3"/>
  <c r="AV58" i="3"/>
  <c r="AU61" i="3"/>
  <c r="AT61" i="3"/>
  <c r="AS61" i="3"/>
  <c r="AR61" i="3"/>
  <c r="AR60" i="3"/>
  <c r="AR59" i="3"/>
  <c r="AR58" i="3"/>
  <c r="AQ61" i="3"/>
  <c r="AP61" i="3"/>
  <c r="AO61" i="3"/>
  <c r="AN61" i="3"/>
  <c r="AN60" i="3"/>
  <c r="AM61" i="3"/>
  <c r="AL61" i="3"/>
  <c r="AK61" i="3"/>
  <c r="AJ61" i="3"/>
  <c r="AJ60" i="3"/>
  <c r="AI61" i="3"/>
  <c r="AH61" i="3"/>
  <c r="AH60" i="3"/>
  <c r="AH59" i="3"/>
  <c r="AH58" i="3"/>
  <c r="AG61" i="3"/>
  <c r="AF61" i="3"/>
  <c r="AF60" i="3"/>
  <c r="AF59" i="3"/>
  <c r="AF58" i="3"/>
  <c r="AE61" i="3"/>
  <c r="AD61" i="3"/>
  <c r="AD60" i="3"/>
  <c r="AD59" i="3"/>
  <c r="AD58" i="3"/>
  <c r="AC61" i="3"/>
  <c r="AB61" i="3"/>
  <c r="AB60" i="3"/>
  <c r="AB59" i="3"/>
  <c r="AB58" i="3"/>
  <c r="AA61" i="3"/>
  <c r="Z61" i="3"/>
  <c r="Y61" i="3"/>
  <c r="X61" i="3"/>
  <c r="X60" i="3"/>
  <c r="X59" i="3"/>
  <c r="X58" i="3"/>
  <c r="W61" i="3"/>
  <c r="V61" i="3"/>
  <c r="U61" i="3"/>
  <c r="T61" i="3"/>
  <c r="T60" i="3"/>
  <c r="S61" i="3"/>
  <c r="R61" i="3"/>
  <c r="Q61" i="3"/>
  <c r="P61" i="3"/>
  <c r="P60" i="3"/>
  <c r="P59" i="3"/>
  <c r="P58" i="3"/>
  <c r="O61" i="3"/>
  <c r="O60" i="3"/>
  <c r="O59" i="3"/>
  <c r="O58" i="3"/>
  <c r="N61" i="3"/>
  <c r="N60" i="3"/>
  <c r="N59" i="3"/>
  <c r="N58" i="3"/>
  <c r="M61" i="3"/>
  <c r="M60" i="3"/>
  <c r="M59" i="3"/>
  <c r="M58" i="3"/>
  <c r="L61" i="3"/>
  <c r="L60" i="3"/>
  <c r="L59" i="3"/>
  <c r="L58" i="3"/>
  <c r="K61" i="3"/>
  <c r="J61" i="3"/>
  <c r="I61" i="3"/>
  <c r="H61" i="3"/>
  <c r="H60" i="3"/>
  <c r="H59" i="3"/>
  <c r="H58" i="3"/>
  <c r="G61" i="3"/>
  <c r="F61" i="3"/>
  <c r="E61" i="3"/>
  <c r="D61" i="3"/>
  <c r="D60" i="3"/>
  <c r="C61" i="3"/>
  <c r="B61" i="3"/>
  <c r="AY60" i="3"/>
  <c r="AX60" i="3"/>
  <c r="AX59" i="3"/>
  <c r="AX58" i="3"/>
  <c r="AW60" i="3"/>
  <c r="AU60" i="3"/>
  <c r="AT60" i="3"/>
  <c r="AT59" i="3"/>
  <c r="AT58" i="3"/>
  <c r="AS60" i="3"/>
  <c r="AQ60" i="3"/>
  <c r="AP60" i="3"/>
  <c r="AP59" i="3"/>
  <c r="AO60" i="3"/>
  <c r="AM60" i="3"/>
  <c r="AL60" i="3"/>
  <c r="AL59" i="3"/>
  <c r="AK60" i="3"/>
  <c r="AI60" i="3"/>
  <c r="AG60" i="3"/>
  <c r="AG59" i="3"/>
  <c r="AG58" i="3"/>
  <c r="AE60" i="3"/>
  <c r="AC60" i="3"/>
  <c r="AA60" i="3"/>
  <c r="AA59" i="3"/>
  <c r="AA58" i="3"/>
  <c r="Z60" i="3"/>
  <c r="Z59" i="3"/>
  <c r="Z58" i="3"/>
  <c r="Y60" i="3"/>
  <c r="Y59" i="3"/>
  <c r="Y58" i="3"/>
  <c r="W60" i="3"/>
  <c r="V60" i="3"/>
  <c r="V59" i="3"/>
  <c r="U60" i="3"/>
  <c r="S60" i="3"/>
  <c r="R60" i="3"/>
  <c r="R59" i="3"/>
  <c r="R58" i="3"/>
  <c r="Q60" i="3"/>
  <c r="K60" i="3"/>
  <c r="J60" i="3"/>
  <c r="J59" i="3"/>
  <c r="I60" i="3"/>
  <c r="G60" i="3"/>
  <c r="F60" i="3"/>
  <c r="F59" i="3"/>
  <c r="E60" i="3"/>
  <c r="C60" i="3"/>
  <c r="B60" i="3"/>
  <c r="B59" i="3"/>
  <c r="B58" i="3"/>
  <c r="AY59" i="3"/>
  <c r="AW59" i="3"/>
  <c r="AU59" i="3"/>
  <c r="AS59" i="3"/>
  <c r="AQ59" i="3"/>
  <c r="AO59" i="3"/>
  <c r="AN59" i="3"/>
  <c r="AN58" i="3"/>
  <c r="AM59" i="3"/>
  <c r="AK59" i="3"/>
  <c r="AJ59" i="3"/>
  <c r="AJ58" i="3"/>
  <c r="AI59" i="3"/>
  <c r="AE59" i="3"/>
  <c r="AC59" i="3"/>
  <c r="W59" i="3"/>
  <c r="U59" i="3"/>
  <c r="T59" i="3"/>
  <c r="T58" i="3"/>
  <c r="S59" i="3"/>
  <c r="Q59" i="3"/>
  <c r="K59" i="3"/>
  <c r="I59" i="3"/>
  <c r="G59" i="3"/>
  <c r="E59" i="3"/>
  <c r="D59" i="3"/>
  <c r="D58" i="3"/>
  <c r="C59" i="3"/>
  <c r="AY58" i="3"/>
  <c r="AW58" i="3"/>
  <c r="AU58" i="3"/>
  <c r="AS58" i="3"/>
  <c r="AQ58" i="3"/>
  <c r="AP58" i="3"/>
  <c r="AO58" i="3"/>
  <c r="AM58" i="3"/>
  <c r="AL58" i="3"/>
  <c r="AK58" i="3"/>
  <c r="AI58" i="3"/>
  <c r="AE58" i="3"/>
  <c r="AC58" i="3"/>
  <c r="W58" i="3"/>
  <c r="V58" i="3"/>
  <c r="U58" i="3"/>
  <c r="S58" i="3"/>
  <c r="Q58" i="3"/>
  <c r="K58" i="3"/>
  <c r="J58" i="3"/>
  <c r="I58" i="3"/>
  <c r="G58" i="3"/>
  <c r="F58" i="3"/>
  <c r="E58" i="3"/>
  <c r="C58" i="3"/>
  <c r="AY55" i="3"/>
  <c r="AX55" i="3"/>
  <c r="AW55" i="3"/>
  <c r="AV55" i="3"/>
  <c r="AV54" i="3"/>
  <c r="AV53" i="3"/>
  <c r="AV52" i="3"/>
  <c r="AU55" i="3"/>
  <c r="AT55" i="3"/>
  <c r="AS55" i="3"/>
  <c r="AR55" i="3"/>
  <c r="AR54" i="3"/>
  <c r="AR53" i="3"/>
  <c r="AR52" i="3"/>
  <c r="AQ55" i="3"/>
  <c r="AP55" i="3"/>
  <c r="AO55" i="3"/>
  <c r="AN55" i="3"/>
  <c r="AN54" i="3"/>
  <c r="AN53" i="3"/>
  <c r="AN52" i="3"/>
  <c r="AM55" i="3"/>
  <c r="AL55" i="3"/>
  <c r="AK55" i="3"/>
  <c r="AJ55" i="3"/>
  <c r="AJ54" i="3"/>
  <c r="AJ53" i="3"/>
  <c r="AJ52" i="3"/>
  <c r="AI55" i="3"/>
  <c r="AH55" i="3"/>
  <c r="AG55" i="3"/>
  <c r="AF55" i="3"/>
  <c r="AF54" i="3"/>
  <c r="AF53" i="3"/>
  <c r="AF52" i="3"/>
  <c r="AE55" i="3"/>
  <c r="AD55" i="3"/>
  <c r="AC55" i="3"/>
  <c r="AC54" i="3"/>
  <c r="AC53" i="3"/>
  <c r="AC52" i="3"/>
  <c r="AB55" i="3"/>
  <c r="AB54" i="3"/>
  <c r="AB53" i="3"/>
  <c r="AB52" i="3"/>
  <c r="AA55" i="3"/>
  <c r="Z55" i="3"/>
  <c r="Y55" i="3"/>
  <c r="Y54" i="3"/>
  <c r="Y53" i="3"/>
  <c r="Y52" i="3"/>
  <c r="X55" i="3"/>
  <c r="X54" i="3"/>
  <c r="X53" i="3"/>
  <c r="X52" i="3"/>
  <c r="W55" i="3"/>
  <c r="V55" i="3"/>
  <c r="U55" i="3"/>
  <c r="U54" i="3"/>
  <c r="U53" i="3"/>
  <c r="U52" i="3"/>
  <c r="T55" i="3"/>
  <c r="T54" i="3"/>
  <c r="T53" i="3"/>
  <c r="T52" i="3"/>
  <c r="S55" i="3"/>
  <c r="R55" i="3"/>
  <c r="Q55" i="3"/>
  <c r="O55" i="3"/>
  <c r="O54" i="3"/>
  <c r="O53" i="3"/>
  <c r="O52" i="3"/>
  <c r="N55" i="3"/>
  <c r="N54" i="3"/>
  <c r="N53" i="3"/>
  <c r="N52" i="3"/>
  <c r="M55" i="3"/>
  <c r="M54" i="3"/>
  <c r="M53" i="3"/>
  <c r="M52" i="3"/>
  <c r="L55" i="3"/>
  <c r="L54" i="3"/>
  <c r="L53" i="3"/>
  <c r="L52" i="3"/>
  <c r="K55" i="3"/>
  <c r="K54" i="3"/>
  <c r="J55" i="3"/>
  <c r="I55" i="3"/>
  <c r="H55" i="3"/>
  <c r="G55" i="3"/>
  <c r="G54" i="3"/>
  <c r="F55" i="3"/>
  <c r="E55" i="3"/>
  <c r="D55" i="3"/>
  <c r="C55" i="3"/>
  <c r="C54" i="3"/>
  <c r="B55" i="3"/>
  <c r="AY54" i="3"/>
  <c r="AX54" i="3"/>
  <c r="AW54" i="3"/>
  <c r="AW53" i="3"/>
  <c r="AW52" i="3"/>
  <c r="AU54" i="3"/>
  <c r="AT54" i="3"/>
  <c r="AS54" i="3"/>
  <c r="AS53" i="3"/>
  <c r="AQ54" i="3"/>
  <c r="AP54" i="3"/>
  <c r="AO54" i="3"/>
  <c r="AO53" i="3"/>
  <c r="AO52" i="3"/>
  <c r="AM54" i="3"/>
  <c r="AL54" i="3"/>
  <c r="AK54" i="3"/>
  <c r="AK53" i="3"/>
  <c r="AI54" i="3"/>
  <c r="AH54" i="3"/>
  <c r="AG54" i="3"/>
  <c r="AG53" i="3"/>
  <c r="AG52" i="3"/>
  <c r="AE54" i="3"/>
  <c r="AD54" i="3"/>
  <c r="AD53" i="3"/>
  <c r="AD52" i="3"/>
  <c r="AA54" i="3"/>
  <c r="Z54" i="3"/>
  <c r="W54" i="3"/>
  <c r="V54" i="3"/>
  <c r="V53" i="3"/>
  <c r="V52" i="3"/>
  <c r="S54" i="3"/>
  <c r="R54" i="3"/>
  <c r="Q54" i="3"/>
  <c r="Q53" i="3"/>
  <c r="Q52" i="3"/>
  <c r="P54" i="3"/>
  <c r="J54" i="3"/>
  <c r="I54" i="3"/>
  <c r="I53" i="3"/>
  <c r="H54" i="3"/>
  <c r="F54" i="3"/>
  <c r="E54" i="3"/>
  <c r="E53" i="3"/>
  <c r="D54" i="3"/>
  <c r="B54" i="3"/>
  <c r="AY53" i="3"/>
  <c r="AY52" i="3"/>
  <c r="AX53" i="3"/>
  <c r="AU53" i="3"/>
  <c r="AU52" i="3"/>
  <c r="AT53" i="3"/>
  <c r="AQ53" i="3"/>
  <c r="AQ52" i="3"/>
  <c r="AP53" i="3"/>
  <c r="AM53" i="3"/>
  <c r="AM52" i="3"/>
  <c r="AL53" i="3"/>
  <c r="AI53" i="3"/>
  <c r="AI52" i="3"/>
  <c r="AH53" i="3"/>
  <c r="AE53" i="3"/>
  <c r="AE52" i="3"/>
  <c r="AA53" i="3"/>
  <c r="AA52" i="3"/>
  <c r="Z53" i="3"/>
  <c r="W53" i="3"/>
  <c r="W52" i="3"/>
  <c r="S53" i="3"/>
  <c r="S52" i="3"/>
  <c r="R53" i="3"/>
  <c r="P53" i="3"/>
  <c r="K53" i="3"/>
  <c r="K52" i="3"/>
  <c r="J53" i="3"/>
  <c r="H53" i="3"/>
  <c r="G53" i="3"/>
  <c r="G52" i="3"/>
  <c r="F53" i="3"/>
  <c r="D53" i="3"/>
  <c r="C53" i="3"/>
  <c r="C52" i="3"/>
  <c r="B53" i="3"/>
  <c r="AX52" i="3"/>
  <c r="AT52" i="3"/>
  <c r="AS52" i="3"/>
  <c r="AP52" i="3"/>
  <c r="AL52" i="3"/>
  <c r="AK52" i="3"/>
  <c r="AH52" i="3"/>
  <c r="Z52" i="3"/>
  <c r="R52" i="3"/>
  <c r="P52" i="3"/>
  <c r="J52" i="3"/>
  <c r="I52" i="3"/>
  <c r="H52" i="3"/>
  <c r="F52" i="3"/>
  <c r="E52" i="3"/>
  <c r="D52" i="3"/>
  <c r="B52" i="3"/>
  <c r="AY49" i="3"/>
  <c r="AY48" i="3"/>
  <c r="AX49" i="3"/>
  <c r="AW49" i="3"/>
  <c r="AV49" i="3"/>
  <c r="AU49" i="3"/>
  <c r="AU48" i="3"/>
  <c r="AT49" i="3"/>
  <c r="AS49" i="3"/>
  <c r="AR49" i="3"/>
  <c r="AQ49" i="3"/>
  <c r="AQ48" i="3"/>
  <c r="AP49" i="3"/>
  <c r="AO49" i="3"/>
  <c r="AN49" i="3"/>
  <c r="AM49" i="3"/>
  <c r="AM48" i="3"/>
  <c r="AL49" i="3"/>
  <c r="AK49" i="3"/>
  <c r="AJ49" i="3"/>
  <c r="AI49" i="3"/>
  <c r="AI48" i="3"/>
  <c r="AH49" i="3"/>
  <c r="AG49" i="3"/>
  <c r="AF49" i="3"/>
  <c r="AE49" i="3"/>
  <c r="AE48" i="3"/>
  <c r="AD49" i="3"/>
  <c r="AD48" i="3"/>
  <c r="AD47" i="3"/>
  <c r="AD46" i="3"/>
  <c r="AC49" i="3"/>
  <c r="AB49" i="3"/>
  <c r="AA49" i="3"/>
  <c r="AA48" i="3"/>
  <c r="AA47" i="3"/>
  <c r="AA46" i="3"/>
  <c r="Z49" i="3"/>
  <c r="Z48" i="3"/>
  <c r="Z47" i="3"/>
  <c r="Z46" i="3"/>
  <c r="Y49" i="3"/>
  <c r="Y48" i="3"/>
  <c r="Y47" i="3"/>
  <c r="Y46" i="3"/>
  <c r="X49" i="3"/>
  <c r="W49" i="3"/>
  <c r="W48" i="3"/>
  <c r="V49" i="3"/>
  <c r="U49" i="3"/>
  <c r="U48" i="3"/>
  <c r="U47" i="3"/>
  <c r="U46" i="3"/>
  <c r="T49" i="3"/>
  <c r="T48" i="3"/>
  <c r="T47" i="3"/>
  <c r="T46" i="3"/>
  <c r="S49" i="3"/>
  <c r="S48" i="3"/>
  <c r="R49" i="3"/>
  <c r="Q49" i="3"/>
  <c r="P49" i="3"/>
  <c r="O49" i="3"/>
  <c r="O48" i="3"/>
  <c r="N49" i="3"/>
  <c r="M49" i="3"/>
  <c r="L49" i="3"/>
  <c r="K49" i="3"/>
  <c r="K48" i="3"/>
  <c r="J49" i="3"/>
  <c r="I49" i="3"/>
  <c r="H49" i="3"/>
  <c r="G49" i="3"/>
  <c r="G48" i="3"/>
  <c r="F49" i="3"/>
  <c r="E49" i="3"/>
  <c r="D49" i="3"/>
  <c r="C49" i="3"/>
  <c r="C48" i="3"/>
  <c r="B49" i="3"/>
  <c r="AX48" i="3"/>
  <c r="AW48" i="3"/>
  <c r="AW47" i="3"/>
  <c r="AV48" i="3"/>
  <c r="AT48" i="3"/>
  <c r="AS48" i="3"/>
  <c r="AS47" i="3"/>
  <c r="AR48" i="3"/>
  <c r="AP48" i="3"/>
  <c r="AO48" i="3"/>
  <c r="AO47" i="3"/>
  <c r="AN48" i="3"/>
  <c r="AL48" i="3"/>
  <c r="AK48" i="3"/>
  <c r="AK47" i="3"/>
  <c r="AJ48" i="3"/>
  <c r="AH48" i="3"/>
  <c r="AG48" i="3"/>
  <c r="AG47" i="3"/>
  <c r="AF48" i="3"/>
  <c r="AC48" i="3"/>
  <c r="AC47" i="3"/>
  <c r="AB48" i="3"/>
  <c r="AB47" i="3"/>
  <c r="AB46" i="3"/>
  <c r="X48" i="3"/>
  <c r="V48" i="3"/>
  <c r="R48" i="3"/>
  <c r="Q48" i="3"/>
  <c r="P48" i="3"/>
  <c r="N48" i="3"/>
  <c r="M48" i="3"/>
  <c r="M47" i="3"/>
  <c r="M46" i="3"/>
  <c r="L48" i="3"/>
  <c r="J48" i="3"/>
  <c r="I48" i="3"/>
  <c r="I47" i="3"/>
  <c r="I46" i="3"/>
  <c r="H48" i="3"/>
  <c r="F48" i="3"/>
  <c r="E48" i="3"/>
  <c r="D48" i="3"/>
  <c r="B48" i="3"/>
  <c r="AY47" i="3"/>
  <c r="AX47" i="3"/>
  <c r="AV47" i="3"/>
  <c r="AU47" i="3"/>
  <c r="AU46" i="3"/>
  <c r="AT47" i="3"/>
  <c r="AR47" i="3"/>
  <c r="AQ47" i="3"/>
  <c r="AQ46" i="3"/>
  <c r="AP47" i="3"/>
  <c r="AN47" i="3"/>
  <c r="AM47" i="3"/>
  <c r="AL47" i="3"/>
  <c r="AJ47" i="3"/>
  <c r="AI47" i="3"/>
  <c r="AH47" i="3"/>
  <c r="AF47" i="3"/>
  <c r="AE47" i="3"/>
  <c r="X47" i="3"/>
  <c r="W47" i="3"/>
  <c r="W46" i="3"/>
  <c r="V47" i="3"/>
  <c r="V46" i="3"/>
  <c r="S47" i="3"/>
  <c r="S46" i="3"/>
  <c r="R47" i="3"/>
  <c r="R46" i="3"/>
  <c r="Q47" i="3"/>
  <c r="P47" i="3"/>
  <c r="O47" i="3"/>
  <c r="O46" i="3"/>
  <c r="N47" i="3"/>
  <c r="N46" i="3"/>
  <c r="L47" i="3"/>
  <c r="K47" i="3"/>
  <c r="K46" i="3"/>
  <c r="J47" i="3"/>
  <c r="J46" i="3"/>
  <c r="H47" i="3"/>
  <c r="G47" i="3"/>
  <c r="G46" i="3"/>
  <c r="F47" i="3"/>
  <c r="F46" i="3"/>
  <c r="E47" i="3"/>
  <c r="D47" i="3"/>
  <c r="C47" i="3"/>
  <c r="C46" i="3"/>
  <c r="B47" i="3"/>
  <c r="B46" i="3"/>
  <c r="AY46" i="3"/>
  <c r="AX46" i="3"/>
  <c r="AW46" i="3"/>
  <c r="AV46" i="3"/>
  <c r="AT46" i="3"/>
  <c r="AS46" i="3"/>
  <c r="AR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C46" i="3"/>
  <c r="X46" i="3"/>
  <c r="Q46" i="3"/>
  <c r="P46" i="3"/>
  <c r="L46" i="3"/>
  <c r="H46" i="3"/>
  <c r="E46" i="3"/>
  <c r="D46" i="3"/>
  <c r="AY43" i="3"/>
  <c r="AX43" i="3"/>
  <c r="AX42" i="3"/>
  <c r="AX41" i="3"/>
  <c r="AX40" i="3"/>
  <c r="AW43" i="3"/>
  <c r="AW42" i="3"/>
  <c r="AW41" i="3"/>
  <c r="AW40" i="3"/>
  <c r="AV43" i="3"/>
  <c r="AU43" i="3"/>
  <c r="AT43" i="3"/>
  <c r="AT42" i="3"/>
  <c r="AT41" i="3"/>
  <c r="AT40" i="3"/>
  <c r="AS43" i="3"/>
  <c r="AS42" i="3"/>
  <c r="AS41" i="3"/>
  <c r="AS40" i="3"/>
  <c r="AO43" i="3"/>
  <c r="AO42" i="3"/>
  <c r="AO41" i="3"/>
  <c r="AO40" i="3"/>
  <c r="AN43" i="3"/>
  <c r="AM43" i="3"/>
  <c r="AL43" i="3"/>
  <c r="AL42" i="3"/>
  <c r="AL41" i="3"/>
  <c r="AL40" i="3"/>
  <c r="AK43" i="3"/>
  <c r="AK42" i="3"/>
  <c r="AK41" i="3"/>
  <c r="AK40" i="3"/>
  <c r="AJ43" i="3"/>
  <c r="AI43" i="3"/>
  <c r="AH43" i="3"/>
  <c r="AH42" i="3"/>
  <c r="AH41" i="3"/>
  <c r="AH40" i="3"/>
  <c r="AG43" i="3"/>
  <c r="AG42" i="3"/>
  <c r="AG41" i="3"/>
  <c r="AG40" i="3"/>
  <c r="AF43" i="3"/>
  <c r="AE43" i="3"/>
  <c r="AD43" i="3"/>
  <c r="AD42" i="3"/>
  <c r="AD41" i="3"/>
  <c r="AD40" i="3"/>
  <c r="AC43" i="3"/>
  <c r="AC42" i="3"/>
  <c r="AC41" i="3"/>
  <c r="AC40" i="3"/>
  <c r="AB43" i="3"/>
  <c r="AA43" i="3"/>
  <c r="Z43" i="3"/>
  <c r="Z42" i="3"/>
  <c r="Z41" i="3"/>
  <c r="Z40" i="3"/>
  <c r="Y43" i="3"/>
  <c r="Y42" i="3"/>
  <c r="Y41" i="3"/>
  <c r="Y40" i="3"/>
  <c r="X43" i="3"/>
  <c r="X42" i="3"/>
  <c r="X41" i="3"/>
  <c r="X40" i="3"/>
  <c r="W43" i="3"/>
  <c r="W42" i="3"/>
  <c r="W41" i="3"/>
  <c r="W40" i="3"/>
  <c r="V43" i="3"/>
  <c r="V42" i="3"/>
  <c r="V41" i="3"/>
  <c r="V40" i="3"/>
  <c r="U43" i="3"/>
  <c r="U42" i="3"/>
  <c r="U41" i="3"/>
  <c r="U40" i="3"/>
  <c r="T43" i="3"/>
  <c r="S43" i="3"/>
  <c r="R43" i="3"/>
  <c r="R42" i="3"/>
  <c r="R41" i="3"/>
  <c r="R40" i="3"/>
  <c r="Q43" i="3"/>
  <c r="Q42" i="3"/>
  <c r="Q41" i="3"/>
  <c r="Q40" i="3"/>
  <c r="P43" i="3"/>
  <c r="O43" i="3"/>
  <c r="N43" i="3"/>
  <c r="N42" i="3"/>
  <c r="N41" i="3"/>
  <c r="N40" i="3"/>
  <c r="M43" i="3"/>
  <c r="M42" i="3"/>
  <c r="M41" i="3"/>
  <c r="M40" i="3"/>
  <c r="L43" i="3"/>
  <c r="K43" i="3"/>
  <c r="J43" i="3"/>
  <c r="J42" i="3"/>
  <c r="J41" i="3"/>
  <c r="J40" i="3"/>
  <c r="I43" i="3"/>
  <c r="I42" i="3"/>
  <c r="I41" i="3"/>
  <c r="I40" i="3"/>
  <c r="H43" i="3"/>
  <c r="G43" i="3"/>
  <c r="F43" i="3"/>
  <c r="F42" i="3"/>
  <c r="F41" i="3"/>
  <c r="F40" i="3"/>
  <c r="E43" i="3"/>
  <c r="E42" i="3"/>
  <c r="E41" i="3"/>
  <c r="D43" i="3"/>
  <c r="C43" i="3"/>
  <c r="B43" i="3"/>
  <c r="B42" i="3"/>
  <c r="B41" i="3"/>
  <c r="B40" i="3"/>
  <c r="AY42" i="3"/>
  <c r="AY41" i="3"/>
  <c r="AY40" i="3"/>
  <c r="AV42" i="3"/>
  <c r="AV41" i="3"/>
  <c r="AV40" i="3"/>
  <c r="AU42" i="3"/>
  <c r="AU41" i="3"/>
  <c r="AU40" i="3"/>
  <c r="AN42" i="3"/>
  <c r="AN41" i="3"/>
  <c r="AN40" i="3"/>
  <c r="AM42" i="3"/>
  <c r="AM41" i="3"/>
  <c r="AM40" i="3"/>
  <c r="AJ42" i="3"/>
  <c r="AJ41" i="3"/>
  <c r="AJ40" i="3"/>
  <c r="AI42" i="3"/>
  <c r="AI41" i="3"/>
  <c r="AI40" i="3"/>
  <c r="AF42" i="3"/>
  <c r="AF41" i="3"/>
  <c r="AF40" i="3"/>
  <c r="AE42" i="3"/>
  <c r="AE41" i="3"/>
  <c r="AE40" i="3"/>
  <c r="AB42" i="3"/>
  <c r="AB41" i="3"/>
  <c r="AB40" i="3"/>
  <c r="AA42" i="3"/>
  <c r="AA41" i="3"/>
  <c r="AA40" i="3"/>
  <c r="T42" i="3"/>
  <c r="T41" i="3"/>
  <c r="T40" i="3"/>
  <c r="S42" i="3"/>
  <c r="S41" i="3"/>
  <c r="S40" i="3"/>
  <c r="P42" i="3"/>
  <c r="P41" i="3"/>
  <c r="P40" i="3"/>
  <c r="O42" i="3"/>
  <c r="O41" i="3"/>
  <c r="O40" i="3"/>
  <c r="L42" i="3"/>
  <c r="L41" i="3"/>
  <c r="L40" i="3"/>
  <c r="K42" i="3"/>
  <c r="K41" i="3"/>
  <c r="K40" i="3"/>
  <c r="H42" i="3"/>
  <c r="H41" i="3"/>
  <c r="H40" i="3"/>
  <c r="G42" i="3"/>
  <c r="G41" i="3"/>
  <c r="G40" i="3"/>
  <c r="D42" i="3"/>
  <c r="D41" i="3"/>
  <c r="D40" i="3"/>
  <c r="C42" i="3"/>
  <c r="C41" i="3"/>
  <c r="C40" i="3"/>
  <c r="AY37" i="3"/>
  <c r="AX37" i="3"/>
  <c r="AX36" i="3"/>
  <c r="AX35" i="3"/>
  <c r="AX34" i="3"/>
  <c r="AW37" i="3"/>
  <c r="AW36" i="3"/>
  <c r="AW35" i="3"/>
  <c r="AW34" i="3"/>
  <c r="AV37" i="3"/>
  <c r="AU37" i="3"/>
  <c r="AR37" i="3"/>
  <c r="AQ37" i="3"/>
  <c r="AP37" i="3"/>
  <c r="AP36" i="3"/>
  <c r="AO37" i="3"/>
  <c r="AO36" i="3"/>
  <c r="AO35" i="3"/>
  <c r="AO34" i="3"/>
  <c r="AK37" i="3"/>
  <c r="AK36" i="3"/>
  <c r="AK35" i="3"/>
  <c r="AK34" i="3"/>
  <c r="AJ37" i="3"/>
  <c r="AI37" i="3"/>
  <c r="AH37" i="3"/>
  <c r="AH36" i="3"/>
  <c r="AG37" i="3"/>
  <c r="AG36" i="3"/>
  <c r="AF37" i="3"/>
  <c r="AF36" i="3"/>
  <c r="AF35" i="3"/>
  <c r="AF34" i="3"/>
  <c r="AE37" i="3"/>
  <c r="AE36" i="3"/>
  <c r="AE35" i="3"/>
  <c r="AE34" i="3"/>
  <c r="AD37" i="3"/>
  <c r="AD36" i="3"/>
  <c r="AD35" i="3"/>
  <c r="AD34" i="3"/>
  <c r="AC37" i="3"/>
  <c r="AC36" i="3"/>
  <c r="AC35" i="3"/>
  <c r="AC34" i="3"/>
  <c r="AB37" i="3"/>
  <c r="AA37" i="3"/>
  <c r="Z37" i="3"/>
  <c r="Z36" i="3"/>
  <c r="Y37" i="3"/>
  <c r="Y36" i="3"/>
  <c r="X37" i="3"/>
  <c r="X36" i="3"/>
  <c r="X35" i="3"/>
  <c r="X34" i="3"/>
  <c r="W37" i="3"/>
  <c r="V37" i="3"/>
  <c r="V36" i="3"/>
  <c r="U37" i="3"/>
  <c r="U36" i="3"/>
  <c r="U35" i="3"/>
  <c r="U34" i="3"/>
  <c r="T37" i="3"/>
  <c r="S37" i="3"/>
  <c r="R37" i="3"/>
  <c r="R36" i="3"/>
  <c r="Q37" i="3"/>
  <c r="Q36" i="3"/>
  <c r="Q35" i="3"/>
  <c r="Q34" i="3"/>
  <c r="P37" i="3"/>
  <c r="O37" i="3"/>
  <c r="N37" i="3"/>
  <c r="N36" i="3"/>
  <c r="N35" i="3"/>
  <c r="N34" i="3"/>
  <c r="M37" i="3"/>
  <c r="M36" i="3"/>
  <c r="M35" i="3"/>
  <c r="M34" i="3"/>
  <c r="L37" i="3"/>
  <c r="K37" i="3"/>
  <c r="J37" i="3"/>
  <c r="J36" i="3"/>
  <c r="I37" i="3"/>
  <c r="I36" i="3"/>
  <c r="H37" i="3"/>
  <c r="G37" i="3"/>
  <c r="F37" i="3"/>
  <c r="F36" i="3"/>
  <c r="E37" i="3"/>
  <c r="E36" i="3"/>
  <c r="E35" i="3"/>
  <c r="E34" i="3"/>
  <c r="D37" i="3"/>
  <c r="C37" i="3"/>
  <c r="B37" i="3"/>
  <c r="B36" i="3"/>
  <c r="AY36" i="3"/>
  <c r="AY35" i="3"/>
  <c r="AV36" i="3"/>
  <c r="AV35" i="3"/>
  <c r="AU36" i="3"/>
  <c r="AU35" i="3"/>
  <c r="AU34" i="3"/>
  <c r="AR36" i="3"/>
  <c r="AR35" i="3"/>
  <c r="AR34" i="3"/>
  <c r="AQ36" i="3"/>
  <c r="AQ35" i="3"/>
  <c r="AJ36" i="3"/>
  <c r="AJ35" i="3"/>
  <c r="AJ34" i="3"/>
  <c r="AI36" i="3"/>
  <c r="AI35" i="3"/>
  <c r="AI34" i="3"/>
  <c r="AB36" i="3"/>
  <c r="AB35" i="3"/>
  <c r="AB34" i="3"/>
  <c r="AA36" i="3"/>
  <c r="AA35" i="3"/>
  <c r="AA34" i="3"/>
  <c r="W36" i="3"/>
  <c r="W35" i="3"/>
  <c r="T36" i="3"/>
  <c r="T35" i="3"/>
  <c r="T34" i="3"/>
  <c r="S36" i="3"/>
  <c r="S35" i="3"/>
  <c r="S34" i="3"/>
  <c r="P36" i="3"/>
  <c r="P35" i="3"/>
  <c r="P34" i="3"/>
  <c r="O36" i="3"/>
  <c r="O35" i="3"/>
  <c r="O34" i="3"/>
  <c r="L36" i="3"/>
  <c r="L35" i="3"/>
  <c r="L34" i="3"/>
  <c r="K36" i="3"/>
  <c r="K35" i="3"/>
  <c r="H36" i="3"/>
  <c r="H35" i="3"/>
  <c r="H34" i="3"/>
  <c r="G36" i="3"/>
  <c r="G35" i="3"/>
  <c r="D36" i="3"/>
  <c r="D35" i="3"/>
  <c r="D34" i="3"/>
  <c r="C36" i="3"/>
  <c r="C35" i="3"/>
  <c r="C34" i="3"/>
  <c r="AP35" i="3"/>
  <c r="AH35" i="3"/>
  <c r="AG35" i="3"/>
  <c r="AG34" i="3"/>
  <c r="Z35" i="3"/>
  <c r="Z34" i="3"/>
  <c r="Y35" i="3"/>
  <c r="Y34" i="3"/>
  <c r="V35" i="3"/>
  <c r="R35" i="3"/>
  <c r="J35" i="3"/>
  <c r="J34" i="3"/>
  <c r="I35" i="3"/>
  <c r="I34" i="3"/>
  <c r="F35" i="3"/>
  <c r="B35" i="3"/>
  <c r="AY34" i="3"/>
  <c r="AV34" i="3"/>
  <c r="AQ34" i="3"/>
  <c r="AP34" i="3"/>
  <c r="AH34" i="3"/>
  <c r="W34" i="3"/>
  <c r="V34" i="3"/>
  <c r="R34" i="3"/>
  <c r="K34" i="3"/>
  <c r="G34" i="3"/>
  <c r="F34" i="3"/>
  <c r="B34" i="3"/>
  <c r="AY31" i="3"/>
  <c r="AX31" i="3"/>
  <c r="AT31" i="3"/>
  <c r="AT30" i="3"/>
  <c r="AT29" i="3"/>
  <c r="AT28" i="3"/>
  <c r="AS31" i="3"/>
  <c r="AR31" i="3"/>
  <c r="AQ31" i="3"/>
  <c r="AP31" i="3"/>
  <c r="AP30" i="3"/>
  <c r="AP29" i="3"/>
  <c r="AP28" i="3"/>
  <c r="AO31" i="3"/>
  <c r="AN31" i="3"/>
  <c r="AM31" i="3"/>
  <c r="AL31" i="3"/>
  <c r="AL30" i="3"/>
  <c r="AL29" i="3"/>
  <c r="AL28" i="3"/>
  <c r="AH31" i="3"/>
  <c r="AH30" i="3"/>
  <c r="AH29" i="3"/>
  <c r="AH28" i="3"/>
  <c r="AG31" i="3"/>
  <c r="AG30" i="3"/>
  <c r="AG29" i="3"/>
  <c r="AG28" i="3"/>
  <c r="AF31" i="3"/>
  <c r="AE31" i="3"/>
  <c r="AD31" i="3"/>
  <c r="AD30" i="3"/>
  <c r="AD29" i="3"/>
  <c r="AD28" i="3"/>
  <c r="AC31" i="3"/>
  <c r="AC30" i="3"/>
  <c r="AC29" i="3"/>
  <c r="AC28" i="3"/>
  <c r="AB31" i="3"/>
  <c r="AB30" i="3"/>
  <c r="AB29" i="3"/>
  <c r="AB28" i="3"/>
  <c r="AA31" i="3"/>
  <c r="Z31" i="3"/>
  <c r="Z30" i="3"/>
  <c r="Z29" i="3"/>
  <c r="Z28" i="3"/>
  <c r="Y31" i="3"/>
  <c r="Y30" i="3"/>
  <c r="Y29" i="3"/>
  <c r="Y28" i="3"/>
  <c r="X31" i="3"/>
  <c r="W31" i="3"/>
  <c r="V31" i="3"/>
  <c r="V30" i="3"/>
  <c r="V29" i="3"/>
  <c r="V28" i="3"/>
  <c r="U31" i="3"/>
  <c r="U30" i="3"/>
  <c r="U29" i="3"/>
  <c r="U28" i="3"/>
  <c r="T31" i="3"/>
  <c r="S31" i="3"/>
  <c r="R31" i="3"/>
  <c r="R30" i="3"/>
  <c r="R29" i="3"/>
  <c r="R28" i="3"/>
  <c r="Q31" i="3"/>
  <c r="Q30" i="3"/>
  <c r="Q29" i="3"/>
  <c r="Q28" i="3"/>
  <c r="P31" i="3"/>
  <c r="P30" i="3"/>
  <c r="P29" i="3"/>
  <c r="P28" i="3"/>
  <c r="O31" i="3"/>
  <c r="O30" i="3"/>
  <c r="O29" i="3"/>
  <c r="O28" i="3"/>
  <c r="N31" i="3"/>
  <c r="N30" i="3"/>
  <c r="N29" i="3"/>
  <c r="N28" i="3"/>
  <c r="M31" i="3"/>
  <c r="M30" i="3"/>
  <c r="M29" i="3"/>
  <c r="M28" i="3"/>
  <c r="L31" i="3"/>
  <c r="K31" i="3"/>
  <c r="J31" i="3"/>
  <c r="J30" i="3"/>
  <c r="J29" i="3"/>
  <c r="J28" i="3"/>
  <c r="I31" i="3"/>
  <c r="I30" i="3"/>
  <c r="I29" i="3"/>
  <c r="I28" i="3"/>
  <c r="H31" i="3"/>
  <c r="G31" i="3"/>
  <c r="F31" i="3"/>
  <c r="F30" i="3"/>
  <c r="F29" i="3"/>
  <c r="F28" i="3"/>
  <c r="E31" i="3"/>
  <c r="E30" i="3"/>
  <c r="E29" i="3"/>
  <c r="E28" i="3"/>
  <c r="D31" i="3"/>
  <c r="C31" i="3"/>
  <c r="B31" i="3"/>
  <c r="B30" i="3"/>
  <c r="B29" i="3"/>
  <c r="B28" i="3"/>
  <c r="AY30" i="3"/>
  <c r="AY29" i="3"/>
  <c r="AY28" i="3"/>
  <c r="AX30" i="3"/>
  <c r="AS30" i="3"/>
  <c r="AR30" i="3"/>
  <c r="AR29" i="3"/>
  <c r="AR28" i="3"/>
  <c r="AQ30" i="3"/>
  <c r="AQ29" i="3"/>
  <c r="AQ28" i="3"/>
  <c r="AO30" i="3"/>
  <c r="AN30" i="3"/>
  <c r="AN29" i="3"/>
  <c r="AN28" i="3"/>
  <c r="AM30" i="3"/>
  <c r="AM29" i="3"/>
  <c r="AM28" i="3"/>
  <c r="AF30" i="3"/>
  <c r="AF29" i="3"/>
  <c r="AF28" i="3"/>
  <c r="AE30" i="3"/>
  <c r="AE29" i="3"/>
  <c r="AE28" i="3"/>
  <c r="AA30" i="3"/>
  <c r="AA29" i="3"/>
  <c r="AA28" i="3"/>
  <c r="X30" i="3"/>
  <c r="X29" i="3"/>
  <c r="X28" i="3"/>
  <c r="W30" i="3"/>
  <c r="W29" i="3"/>
  <c r="W28" i="3"/>
  <c r="T30" i="3"/>
  <c r="T29" i="3"/>
  <c r="T28" i="3"/>
  <c r="S30" i="3"/>
  <c r="S29" i="3"/>
  <c r="S28" i="3"/>
  <c r="L30" i="3"/>
  <c r="L29" i="3"/>
  <c r="L28" i="3"/>
  <c r="K30" i="3"/>
  <c r="K29" i="3"/>
  <c r="K28" i="3"/>
  <c r="H30" i="3"/>
  <c r="H29" i="3"/>
  <c r="H28" i="3"/>
  <c r="G30" i="3"/>
  <c r="G29" i="3"/>
  <c r="G28" i="3"/>
  <c r="D30" i="3"/>
  <c r="D29" i="3"/>
  <c r="D28" i="3"/>
  <c r="C30" i="3"/>
  <c r="C29" i="3"/>
  <c r="C28" i="3"/>
  <c r="AX29" i="3"/>
  <c r="AX28" i="3"/>
  <c r="AS29" i="3"/>
  <c r="AS28" i="3"/>
  <c r="AO29" i="3"/>
  <c r="AO28" i="3"/>
  <c r="AY26" i="3"/>
  <c r="AX26" i="3"/>
  <c r="AO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L9" i="553"/>
  <c r="L62" i="553"/>
  <c r="L63" i="553"/>
  <c r="L64" i="553"/>
  <c r="L34" i="553"/>
  <c r="L35" i="553"/>
  <c r="L36" i="553"/>
  <c r="L37" i="553"/>
  <c r="L38" i="553"/>
  <c r="L39" i="553"/>
  <c r="L40" i="553"/>
  <c r="N40" i="553"/>
  <c r="U67" i="553"/>
  <c r="U68" i="553"/>
  <c r="U69" i="553"/>
  <c r="U70" i="553"/>
  <c r="U71" i="553"/>
  <c r="U72" i="553"/>
  <c r="U73" i="553"/>
  <c r="U74" i="553"/>
  <c r="U75" i="553"/>
  <c r="U76" i="553"/>
  <c r="U77" i="553"/>
  <c r="U78" i="553"/>
  <c r="U79" i="553"/>
  <c r="U80" i="553"/>
  <c r="U81" i="553"/>
  <c r="U82" i="553"/>
  <c r="U83" i="553"/>
  <c r="U84" i="553"/>
  <c r="U85" i="553"/>
  <c r="U86" i="553"/>
  <c r="U87" i="553"/>
  <c r="U88" i="553"/>
  <c r="U89" i="553"/>
  <c r="U90" i="553"/>
  <c r="U91" i="553"/>
  <c r="U92" i="553"/>
  <c r="U93" i="553"/>
  <c r="U94" i="553"/>
  <c r="U95" i="553"/>
  <c r="U96" i="553"/>
  <c r="U97" i="553"/>
  <c r="U98" i="553"/>
  <c r="U99" i="553"/>
  <c r="U100" i="553"/>
  <c r="U101" i="553"/>
  <c r="U102" i="553"/>
  <c r="U103" i="553"/>
  <c r="U104" i="553"/>
  <c r="U105" i="553"/>
  <c r="U106" i="553"/>
  <c r="U107" i="553"/>
  <c r="U108" i="553"/>
  <c r="U109" i="553"/>
  <c r="U110" i="553"/>
  <c r="U111" i="553"/>
  <c r="U112" i="553"/>
  <c r="U113" i="553"/>
  <c r="U114" i="553"/>
  <c r="U115" i="553"/>
  <c r="U116" i="553"/>
  <c r="U117" i="553"/>
  <c r="U118" i="553"/>
  <c r="U119" i="553"/>
  <c r="U120" i="553"/>
  <c r="U121" i="553"/>
  <c r="U122" i="553"/>
  <c r="AB66" i="553"/>
  <c r="Q66" i="553"/>
  <c r="E66" i="553"/>
  <c r="E67" i="553"/>
  <c r="Y67" i="553"/>
  <c r="Y68" i="553"/>
  <c r="Y69" i="553"/>
  <c r="Y70" i="553"/>
  <c r="Y71" i="553"/>
  <c r="Y72" i="553"/>
  <c r="Y73" i="553"/>
  <c r="Y74" i="553"/>
  <c r="Y75" i="553"/>
  <c r="Y76" i="553"/>
  <c r="Y77" i="553"/>
  <c r="Y78" i="553"/>
  <c r="Y79" i="553"/>
  <c r="Y80" i="553"/>
  <c r="Y81" i="553"/>
  <c r="Y82" i="553"/>
  <c r="Y83" i="553"/>
  <c r="Y84" i="553"/>
  <c r="Y85" i="553"/>
  <c r="Y86" i="553"/>
  <c r="Y87" i="553"/>
  <c r="Y88" i="553"/>
  <c r="Y89" i="553"/>
  <c r="Y90" i="553"/>
  <c r="Y91" i="553"/>
  <c r="Y92" i="553"/>
  <c r="Y93" i="553"/>
  <c r="Y94" i="553"/>
  <c r="Y95" i="553"/>
  <c r="Y96" i="553"/>
  <c r="Y97" i="553"/>
  <c r="Y98" i="553"/>
  <c r="Y99" i="553"/>
  <c r="Y100" i="553"/>
  <c r="Y101" i="553"/>
  <c r="Y102" i="553"/>
  <c r="Y103" i="553"/>
  <c r="Y104" i="553"/>
  <c r="Y105" i="553"/>
  <c r="Y106" i="553"/>
  <c r="Y107" i="553"/>
  <c r="Y108" i="553"/>
  <c r="Y109" i="553"/>
  <c r="Y110" i="553"/>
  <c r="Y111" i="553"/>
  <c r="Y112" i="553"/>
  <c r="Y113" i="553"/>
  <c r="Y114" i="553"/>
  <c r="Y115" i="553"/>
  <c r="Y116" i="553"/>
  <c r="Y117" i="553"/>
  <c r="Y118" i="553"/>
  <c r="Y119" i="553"/>
  <c r="Y120" i="553"/>
  <c r="Y121" i="553"/>
  <c r="Y122" i="553"/>
  <c r="L43" i="553"/>
  <c r="L44" i="553"/>
  <c r="L45" i="553"/>
  <c r="L46" i="553"/>
  <c r="L47" i="553"/>
  <c r="L48" i="553"/>
  <c r="X67" i="553"/>
  <c r="X68" i="553"/>
  <c r="X69" i="553"/>
  <c r="X70" i="553"/>
  <c r="X71" i="553"/>
  <c r="X72" i="553"/>
  <c r="X73" i="553"/>
  <c r="X74" i="553"/>
  <c r="X75" i="553"/>
  <c r="X76" i="553"/>
  <c r="X77" i="553"/>
  <c r="X78" i="553"/>
  <c r="X79" i="553"/>
  <c r="X80" i="553"/>
  <c r="X81" i="553"/>
  <c r="X82" i="553"/>
  <c r="X83" i="553"/>
  <c r="X84" i="553"/>
  <c r="X85" i="553"/>
  <c r="X86" i="553"/>
  <c r="X87" i="553"/>
  <c r="X88" i="553"/>
  <c r="X89" i="553"/>
  <c r="X90" i="553"/>
  <c r="X91" i="553"/>
  <c r="X92" i="553"/>
  <c r="X93" i="553"/>
  <c r="X94" i="553"/>
  <c r="X95" i="553"/>
  <c r="X96" i="553"/>
  <c r="X97" i="553"/>
  <c r="X98" i="553"/>
  <c r="X99" i="553"/>
  <c r="X100" i="553"/>
  <c r="X101" i="553"/>
  <c r="X102" i="553"/>
  <c r="X103" i="553"/>
  <c r="X104" i="553"/>
  <c r="X105" i="553"/>
  <c r="X106" i="553"/>
  <c r="X107" i="553"/>
  <c r="X108" i="553"/>
  <c r="X109" i="553"/>
  <c r="X110" i="553"/>
  <c r="X111" i="553"/>
  <c r="X112" i="553"/>
  <c r="X113" i="553"/>
  <c r="X114" i="553"/>
  <c r="X115" i="553"/>
  <c r="X116" i="553"/>
  <c r="X117" i="553"/>
  <c r="X118" i="553"/>
  <c r="X119" i="553"/>
  <c r="X120" i="553"/>
  <c r="X121" i="553"/>
  <c r="X122" i="553"/>
  <c r="L50" i="553"/>
  <c r="L51" i="553"/>
  <c r="L52" i="553"/>
  <c r="L54" i="553"/>
  <c r="N54" i="553"/>
  <c r="V67" i="553"/>
  <c r="V68" i="553"/>
  <c r="V69" i="553"/>
  <c r="V70" i="553"/>
  <c r="V71" i="553"/>
  <c r="V72" i="553"/>
  <c r="V73" i="553"/>
  <c r="V74" i="553"/>
  <c r="V75" i="553"/>
  <c r="V76" i="553"/>
  <c r="V77" i="553"/>
  <c r="V78" i="553"/>
  <c r="V79" i="553"/>
  <c r="V80" i="553"/>
  <c r="V81" i="553"/>
  <c r="V82" i="553"/>
  <c r="V83" i="553"/>
  <c r="V84" i="553"/>
  <c r="V85" i="553"/>
  <c r="V86" i="553"/>
  <c r="V87" i="553"/>
  <c r="V88" i="553"/>
  <c r="V89" i="553"/>
  <c r="V90" i="553"/>
  <c r="V91" i="553"/>
  <c r="V92" i="553"/>
  <c r="V93" i="553"/>
  <c r="V94" i="553"/>
  <c r="V95" i="553"/>
  <c r="V96" i="553"/>
  <c r="V97" i="553"/>
  <c r="V98" i="553"/>
  <c r="V99" i="553"/>
  <c r="V100" i="553"/>
  <c r="V101" i="553"/>
  <c r="V102" i="553"/>
  <c r="V103" i="553"/>
  <c r="V104" i="553"/>
  <c r="V105" i="553"/>
  <c r="V106" i="553"/>
  <c r="V107" i="553"/>
  <c r="V108" i="553"/>
  <c r="V109" i="553"/>
  <c r="V110" i="553"/>
  <c r="V111" i="553"/>
  <c r="V112" i="553"/>
  <c r="V113" i="553"/>
  <c r="V114" i="553"/>
  <c r="V115" i="553"/>
  <c r="V116" i="553"/>
  <c r="V117" i="553"/>
  <c r="V118" i="553"/>
  <c r="V119" i="553"/>
  <c r="V120" i="553"/>
  <c r="V121" i="553"/>
  <c r="V122" i="553"/>
  <c r="Z67" i="553"/>
  <c r="Z68" i="553"/>
  <c r="Z69" i="553"/>
  <c r="Z70" i="553"/>
  <c r="Z71" i="553"/>
  <c r="Z72" i="553"/>
  <c r="Z73" i="553"/>
  <c r="Z74" i="553"/>
  <c r="Z75" i="553"/>
  <c r="Z76" i="553"/>
  <c r="Z77" i="553"/>
  <c r="Z78" i="553"/>
  <c r="Z79" i="553"/>
  <c r="Z80" i="553"/>
  <c r="Z81" i="553"/>
  <c r="Z82" i="553"/>
  <c r="Z83" i="553"/>
  <c r="Z84" i="553"/>
  <c r="Z85" i="553"/>
  <c r="Z86" i="553"/>
  <c r="Z87" i="553"/>
  <c r="Z88" i="553"/>
  <c r="Z89" i="553"/>
  <c r="Z90" i="553"/>
  <c r="Z91" i="553"/>
  <c r="Z92" i="553"/>
  <c r="Z93" i="553"/>
  <c r="Z94" i="553"/>
  <c r="Z95" i="553"/>
  <c r="Z96" i="553"/>
  <c r="Z97" i="553"/>
  <c r="Z98" i="553"/>
  <c r="Z99" i="553"/>
  <c r="Z100" i="553"/>
  <c r="Z101" i="553"/>
  <c r="Z102" i="553"/>
  <c r="Z103" i="553"/>
  <c r="Z104" i="553"/>
  <c r="Z105" i="553"/>
  <c r="Z106" i="553"/>
  <c r="Z107" i="553"/>
  <c r="Z108" i="553"/>
  <c r="Z109" i="553"/>
  <c r="Z110" i="553"/>
  <c r="Z111" i="553"/>
  <c r="Z112" i="553"/>
  <c r="Z113" i="553"/>
  <c r="Z114" i="553"/>
  <c r="Z115" i="553"/>
  <c r="Z116" i="553"/>
  <c r="Z117" i="553"/>
  <c r="Z118" i="553"/>
  <c r="Z119" i="553"/>
  <c r="Z120" i="553"/>
  <c r="Z121" i="553"/>
  <c r="Z122" i="553"/>
  <c r="L12" i="553"/>
  <c r="L13" i="553"/>
  <c r="L14" i="553"/>
  <c r="L15" i="553"/>
  <c r="L16" i="553"/>
  <c r="L17" i="553"/>
  <c r="N17" i="553"/>
  <c r="L10" i="553"/>
  <c r="G66" i="553"/>
  <c r="G67" i="553"/>
  <c r="W67" i="553"/>
  <c r="W68" i="553"/>
  <c r="W69" i="553"/>
  <c r="W70" i="553"/>
  <c r="W71" i="553"/>
  <c r="W72" i="553"/>
  <c r="W73" i="553"/>
  <c r="W74" i="553"/>
  <c r="W75" i="553"/>
  <c r="W76" i="553"/>
  <c r="W77" i="553"/>
  <c r="W78" i="553"/>
  <c r="W79" i="553"/>
  <c r="W80" i="553"/>
  <c r="W81" i="553"/>
  <c r="W82" i="553"/>
  <c r="W83" i="553"/>
  <c r="W84" i="553"/>
  <c r="W85" i="553"/>
  <c r="W86" i="553"/>
  <c r="W87" i="553"/>
  <c r="W88" i="553"/>
  <c r="W89" i="553"/>
  <c r="W90" i="553"/>
  <c r="W91" i="553"/>
  <c r="W92" i="553"/>
  <c r="W93" i="553"/>
  <c r="W94" i="553"/>
  <c r="W95" i="553"/>
  <c r="W96" i="553"/>
  <c r="W97" i="553"/>
  <c r="W98" i="553"/>
  <c r="W99" i="553"/>
  <c r="W100" i="553"/>
  <c r="W101" i="553"/>
  <c r="W102" i="553"/>
  <c r="W103" i="553"/>
  <c r="W104" i="553"/>
  <c r="W105" i="553"/>
  <c r="W106" i="553"/>
  <c r="W107" i="553"/>
  <c r="W108" i="553"/>
  <c r="W109" i="553"/>
  <c r="W110" i="553"/>
  <c r="W111" i="553"/>
  <c r="W112" i="553"/>
  <c r="W113" i="553"/>
  <c r="W114" i="553"/>
  <c r="W115" i="553"/>
  <c r="W116" i="553"/>
  <c r="W117" i="553"/>
  <c r="W118" i="553"/>
  <c r="W119" i="553"/>
  <c r="W120" i="553"/>
  <c r="W121" i="553"/>
  <c r="W122" i="553"/>
  <c r="N23" i="553"/>
  <c r="L19" i="553"/>
  <c r="L20" i="553"/>
  <c r="L21" i="553"/>
  <c r="L22" i="553"/>
  <c r="L23" i="553"/>
  <c r="N59" i="553"/>
  <c r="N65" i="553"/>
  <c r="L56" i="553"/>
  <c r="L57" i="553"/>
  <c r="L58" i="553"/>
  <c r="L59" i="553"/>
  <c r="K66" i="553"/>
  <c r="K67" i="553"/>
  <c r="AA67" i="553"/>
  <c r="AA68" i="553"/>
  <c r="AA69" i="553"/>
  <c r="AA70" i="553"/>
  <c r="AA71" i="553"/>
  <c r="AA72" i="553"/>
  <c r="AA73" i="553"/>
  <c r="AA74" i="553"/>
  <c r="AA75" i="553"/>
  <c r="AA76" i="553"/>
  <c r="AA77" i="553"/>
  <c r="AA78" i="553"/>
  <c r="AA79" i="553"/>
  <c r="AA80" i="553"/>
  <c r="AA81" i="553"/>
  <c r="AA82" i="553"/>
  <c r="AA83" i="553"/>
  <c r="AA84" i="553"/>
  <c r="AA85" i="553"/>
  <c r="AA86" i="553"/>
  <c r="AA87" i="553"/>
  <c r="AA88" i="553"/>
  <c r="AA89" i="553"/>
  <c r="AA90" i="553"/>
  <c r="AA91" i="553"/>
  <c r="AA92" i="553"/>
  <c r="AA93" i="553"/>
  <c r="AA94" i="553"/>
  <c r="AA95" i="553"/>
  <c r="AA96" i="553"/>
  <c r="AA97" i="553"/>
  <c r="AA98" i="553"/>
  <c r="AA99" i="553"/>
  <c r="AA100" i="553"/>
  <c r="AA101" i="553"/>
  <c r="AA102" i="553"/>
  <c r="AA103" i="553"/>
  <c r="AA104" i="553"/>
  <c r="AA105" i="553"/>
  <c r="AA106" i="553"/>
  <c r="AA107" i="553"/>
  <c r="AA108" i="553"/>
  <c r="AA109" i="553"/>
  <c r="AA110" i="553"/>
  <c r="AA111" i="553"/>
  <c r="AA112" i="553"/>
  <c r="AA113" i="553"/>
  <c r="AA114" i="553"/>
  <c r="AA115" i="553"/>
  <c r="AA116" i="553"/>
  <c r="AA117" i="553"/>
  <c r="AA118" i="553"/>
  <c r="AA119" i="553"/>
  <c r="AA120" i="553"/>
  <c r="AA121" i="553"/>
  <c r="AA122" i="553"/>
  <c r="R66" i="401"/>
  <c r="R65" i="401"/>
  <c r="R64" i="401"/>
  <c r="R63" i="401"/>
  <c r="R62" i="401"/>
  <c r="R61" i="401"/>
  <c r="R43" i="401"/>
  <c r="R39" i="401"/>
  <c r="R36" i="401"/>
  <c r="R34" i="401"/>
  <c r="R33" i="401"/>
  <c r="R32" i="401"/>
  <c r="R31" i="401"/>
  <c r="R30" i="401"/>
  <c r="R29" i="401"/>
  <c r="R10" i="401"/>
  <c r="R57" i="399"/>
  <c r="R50" i="399"/>
  <c r="Q50" i="399"/>
  <c r="R49" i="399"/>
  <c r="R51" i="399"/>
  <c r="R54" i="398"/>
  <c r="Q54" i="398"/>
  <c r="R57" i="398"/>
  <c r="Q57" i="398"/>
  <c r="R56" i="398"/>
  <c r="Q56" i="398"/>
  <c r="R42" i="398"/>
  <c r="R41" i="398"/>
  <c r="R40" i="398"/>
  <c r="Q40" i="398"/>
  <c r="R36" i="396"/>
  <c r="Q36" i="396"/>
  <c r="R35" i="396"/>
  <c r="Q35" i="396"/>
  <c r="R34" i="396"/>
  <c r="R31" i="396"/>
  <c r="R32" i="396" s="1"/>
  <c r="AD10" i="396"/>
  <c r="R23" i="396"/>
  <c r="Q23" i="396"/>
  <c r="R7" i="396"/>
  <c r="Q7" i="396"/>
  <c r="AC10" i="396"/>
  <c r="AE10" i="396"/>
  <c r="AF10" i="396"/>
  <c r="AG10" i="396"/>
  <c r="AH10" i="396"/>
  <c r="AB10" i="396"/>
  <c r="C12" i="396"/>
  <c r="C20" i="396"/>
  <c r="C27" i="396"/>
  <c r="C32" i="396"/>
  <c r="C38" i="396"/>
  <c r="C27" i="4"/>
  <c r="B27" i="4"/>
  <c r="S6" i="394"/>
  <c r="T6" i="394"/>
  <c r="S7" i="394"/>
  <c r="S8" i="394"/>
  <c r="S9" i="394"/>
  <c r="S10" i="394"/>
  <c r="S11" i="394"/>
  <c r="S12" i="394"/>
  <c r="S13" i="394"/>
  <c r="S14" i="394"/>
  <c r="S15" i="394"/>
  <c r="T15" i="394"/>
  <c r="S16" i="394"/>
  <c r="T16" i="394"/>
  <c r="S17" i="394"/>
  <c r="S18" i="394"/>
  <c r="S19" i="394"/>
  <c r="S20" i="394"/>
  <c r="S21" i="394"/>
  <c r="S22" i="394"/>
  <c r="S23" i="394"/>
  <c r="S24" i="394"/>
  <c r="T24" i="394"/>
  <c r="S25" i="394"/>
  <c r="T25" i="394"/>
  <c r="S26" i="394"/>
  <c r="S27" i="394"/>
  <c r="S28" i="394"/>
  <c r="S29" i="394"/>
  <c r="S30" i="394"/>
  <c r="S31" i="394"/>
  <c r="T31" i="394"/>
  <c r="S32" i="394"/>
  <c r="S33" i="394"/>
  <c r="T33" i="394"/>
  <c r="S34" i="394"/>
  <c r="T34" i="394"/>
  <c r="S35" i="394"/>
  <c r="S36" i="394"/>
  <c r="S37" i="394"/>
  <c r="S38" i="394"/>
  <c r="S39" i="394"/>
  <c r="S40" i="394"/>
  <c r="S41" i="394"/>
  <c r="S42" i="394"/>
  <c r="T42" i="394"/>
  <c r="S43" i="394"/>
  <c r="S44" i="394"/>
  <c r="S45" i="394"/>
  <c r="S46" i="394"/>
  <c r="T46" i="394"/>
  <c r="S14" i="395"/>
  <c r="R35" i="394"/>
  <c r="H8" i="463"/>
  <c r="G8" i="463"/>
  <c r="F8" i="463"/>
  <c r="E8" i="463"/>
  <c r="D8" i="463"/>
  <c r="H4" i="463"/>
  <c r="G4" i="463"/>
  <c r="F4" i="463"/>
  <c r="E4" i="463"/>
  <c r="D4" i="463"/>
  <c r="H3" i="463"/>
  <c r="G3" i="463"/>
  <c r="F3" i="463"/>
  <c r="E3" i="463"/>
  <c r="D3" i="463"/>
  <c r="H2" i="463"/>
  <c r="G2" i="463"/>
  <c r="F2" i="463"/>
  <c r="E2" i="463"/>
  <c r="D2" i="463"/>
  <c r="C8" i="463"/>
  <c r="C4" i="463"/>
  <c r="C3" i="463"/>
  <c r="C2" i="463"/>
  <c r="A26" i="9"/>
  <c r="R40" i="544"/>
  <c r="R32" i="544"/>
  <c r="R24" i="544"/>
  <c r="R15" i="544"/>
  <c r="S17" i="544"/>
  <c r="T17" i="544"/>
  <c r="S18" i="544"/>
  <c r="T18" i="544"/>
  <c r="S19" i="544"/>
  <c r="T19" i="544"/>
  <c r="L57" i="544"/>
  <c r="L58" i="544"/>
  <c r="L59" i="544"/>
  <c r="L60" i="544"/>
  <c r="L61" i="544"/>
  <c r="L62" i="544"/>
  <c r="L50" i="544"/>
  <c r="L51" i="544"/>
  <c r="L52" i="544"/>
  <c r="L53" i="544"/>
  <c r="L54" i="544"/>
  <c r="L55" i="544"/>
  <c r="L34" i="544"/>
  <c r="L35" i="544"/>
  <c r="L36" i="544"/>
  <c r="L37" i="544"/>
  <c r="L38" i="544"/>
  <c r="L39" i="544"/>
  <c r="L40" i="544"/>
  <c r="L10" i="544"/>
  <c r="L11" i="544"/>
  <c r="L12" i="544"/>
  <c r="L13" i="544"/>
  <c r="L14" i="544"/>
  <c r="L15" i="544"/>
  <c r="L26" i="544"/>
  <c r="L27" i="544"/>
  <c r="L28" i="544"/>
  <c r="L29" i="544"/>
  <c r="L30" i="544"/>
  <c r="L31" i="544"/>
  <c r="L32" i="544"/>
  <c r="L18" i="544"/>
  <c r="L19" i="544"/>
  <c r="L20" i="544"/>
  <c r="L21" i="544"/>
  <c r="L22" i="544"/>
  <c r="L23" i="544"/>
  <c r="L24" i="544"/>
  <c r="L17" i="544"/>
  <c r="S63" i="544"/>
  <c r="S64" i="544"/>
  <c r="S65" i="544"/>
  <c r="S66" i="544"/>
  <c r="S67" i="544"/>
  <c r="S68" i="544"/>
  <c r="S69" i="544"/>
  <c r="S70" i="544"/>
  <c r="S71" i="544"/>
  <c r="S72" i="544"/>
  <c r="R72" i="544"/>
  <c r="R71" i="544"/>
  <c r="R70" i="544"/>
  <c r="R69" i="544"/>
  <c r="R68" i="544"/>
  <c r="R67" i="544"/>
  <c r="R66" i="544"/>
  <c r="R65" i="544"/>
  <c r="R64" i="544"/>
  <c r="R63" i="544"/>
  <c r="R73" i="544"/>
  <c r="S41" i="544"/>
  <c r="S42" i="544"/>
  <c r="S43" i="544"/>
  <c r="S44" i="544"/>
  <c r="S45" i="544"/>
  <c r="S46" i="544"/>
  <c r="S47" i="544"/>
  <c r="S48" i="544"/>
  <c r="T48" i="544"/>
  <c r="S49" i="544"/>
  <c r="T49" i="544"/>
  <c r="C48" i="544"/>
  <c r="R47" i="544"/>
  <c r="R46" i="544"/>
  <c r="R45" i="544"/>
  <c r="R44" i="544"/>
  <c r="R43" i="544"/>
  <c r="R42" i="544"/>
  <c r="R41" i="544"/>
  <c r="L7" i="544"/>
  <c r="L8" i="544"/>
  <c r="L9" i="544"/>
  <c r="S7" i="543"/>
  <c r="S8" i="543"/>
  <c r="S9" i="543"/>
  <c r="S10" i="543"/>
  <c r="S11" i="543"/>
  <c r="S12" i="543"/>
  <c r="S13" i="543"/>
  <c r="S14" i="543"/>
  <c r="S15" i="543"/>
  <c r="S16" i="543"/>
  <c r="S17" i="543"/>
  <c r="S18" i="543"/>
  <c r="S19" i="543"/>
  <c r="S20" i="543"/>
  <c r="S21" i="543"/>
  <c r="T21" i="543"/>
  <c r="S22" i="543"/>
  <c r="T22" i="543"/>
  <c r="S23" i="543"/>
  <c r="T23" i="543"/>
  <c r="S24" i="543"/>
  <c r="S25" i="543"/>
  <c r="T25" i="543"/>
  <c r="S26" i="543"/>
  <c r="S27" i="543"/>
  <c r="T27" i="543"/>
  <c r="S28" i="543"/>
  <c r="S29" i="543"/>
  <c r="S30" i="543"/>
  <c r="T30" i="543"/>
  <c r="S31" i="543"/>
  <c r="S32" i="543"/>
  <c r="S33" i="543"/>
  <c r="S34" i="543"/>
  <c r="S35" i="543"/>
  <c r="S36" i="543"/>
  <c r="T36" i="543"/>
  <c r="S37" i="543"/>
  <c r="T37" i="543"/>
  <c r="S38" i="543"/>
  <c r="S39" i="543"/>
  <c r="S40" i="543"/>
  <c r="S41" i="543"/>
  <c r="S42" i="543"/>
  <c r="S43" i="543"/>
  <c r="S44" i="543"/>
  <c r="S45" i="543"/>
  <c r="S46" i="543"/>
  <c r="S47" i="543"/>
  <c r="T47" i="543"/>
  <c r="S48" i="543"/>
  <c r="T48" i="543"/>
  <c r="S49" i="543"/>
  <c r="S50" i="543"/>
  <c r="S51" i="543"/>
  <c r="S52" i="543"/>
  <c r="S53" i="543"/>
  <c r="S54" i="543"/>
  <c r="T54" i="543"/>
  <c r="S55" i="543"/>
  <c r="T55" i="543"/>
  <c r="S56" i="543"/>
  <c r="T56" i="543"/>
  <c r="S57" i="543"/>
  <c r="S58" i="543"/>
  <c r="S59" i="543"/>
  <c r="S60" i="543"/>
  <c r="S61" i="543"/>
  <c r="S62" i="543"/>
  <c r="S63" i="543"/>
  <c r="T63" i="543"/>
  <c r="S64" i="543"/>
  <c r="S65" i="543"/>
  <c r="T65" i="543"/>
  <c r="S66" i="543"/>
  <c r="T66" i="543"/>
  <c r="S67" i="543"/>
  <c r="T67" i="543"/>
  <c r="S68" i="543"/>
  <c r="T68" i="543"/>
  <c r="S69" i="543"/>
  <c r="T69" i="543"/>
  <c r="R17" i="543"/>
  <c r="R16" i="543"/>
  <c r="Q54" i="543"/>
  <c r="O54" i="543"/>
  <c r="R53" i="543"/>
  <c r="R52" i="543"/>
  <c r="R51" i="543"/>
  <c r="L51" i="543"/>
  <c r="R50" i="543"/>
  <c r="R49" i="543"/>
  <c r="R54" i="543"/>
  <c r="R33" i="543"/>
  <c r="R29" i="543"/>
  <c r="R22" i="543"/>
  <c r="O22" i="543"/>
  <c r="P22" i="543"/>
  <c r="N22" i="543"/>
  <c r="C9" i="543"/>
  <c r="R28" i="543"/>
  <c r="R26" i="543"/>
  <c r="L26" i="543"/>
  <c r="R44" i="401"/>
  <c r="L65" i="553"/>
  <c r="L53" i="553"/>
  <c r="J66" i="553"/>
  <c r="J67" i="553"/>
  <c r="F66" i="553"/>
  <c r="F67" i="553"/>
  <c r="H66" i="553"/>
  <c r="H67" i="553"/>
  <c r="I66" i="553"/>
  <c r="I67" i="553"/>
  <c r="R35" i="401"/>
  <c r="R48" i="544"/>
  <c r="R9" i="543"/>
  <c r="R10" i="543"/>
  <c r="O9" i="543"/>
  <c r="T9" i="543"/>
  <c r="R8" i="543"/>
  <c r="R66" i="543"/>
  <c r="R64" i="543"/>
  <c r="L23" i="541"/>
  <c r="S90" i="541"/>
  <c r="T90" i="541"/>
  <c r="S91" i="541"/>
  <c r="T91" i="541"/>
  <c r="S89" i="541"/>
  <c r="T89" i="541"/>
  <c r="R87" i="541"/>
  <c r="R85" i="541"/>
  <c r="R91" i="541"/>
  <c r="L29" i="541"/>
  <c r="L30" i="541"/>
  <c r="Q33" i="541"/>
  <c r="O33" i="541"/>
  <c r="T33" i="541"/>
  <c r="R32" i="541"/>
  <c r="R31" i="541"/>
  <c r="R30" i="541"/>
  <c r="R29" i="541"/>
  <c r="R33" i="541"/>
  <c r="R28" i="541"/>
  <c r="R26" i="541"/>
  <c r="R25" i="541"/>
  <c r="C13" i="541"/>
  <c r="C21" i="541"/>
  <c r="C22" i="541"/>
  <c r="C24" i="541"/>
  <c r="C27" i="541"/>
  <c r="R23" i="541"/>
  <c r="S14" i="541"/>
  <c r="S15" i="541"/>
  <c r="S16" i="541"/>
  <c r="S17" i="541"/>
  <c r="S18" i="541"/>
  <c r="S19" i="541"/>
  <c r="S20" i="541"/>
  <c r="S21" i="541"/>
  <c r="T21" i="541"/>
  <c r="S22" i="541"/>
  <c r="T22" i="541"/>
  <c r="S23" i="541"/>
  <c r="S24" i="541"/>
  <c r="T24" i="541"/>
  <c r="S25" i="541"/>
  <c r="S26" i="541"/>
  <c r="R20" i="541"/>
  <c r="R19" i="541"/>
  <c r="R18" i="541"/>
  <c r="R17" i="541"/>
  <c r="R16" i="541"/>
  <c r="R15" i="541"/>
  <c r="R14" i="541"/>
  <c r="S43" i="540"/>
  <c r="S44" i="540"/>
  <c r="S45" i="540"/>
  <c r="T45" i="540"/>
  <c r="S46" i="540"/>
  <c r="S47" i="540"/>
  <c r="S48" i="540"/>
  <c r="S49" i="540"/>
  <c r="S50" i="540"/>
  <c r="S51" i="540"/>
  <c r="S52" i="540"/>
  <c r="S53" i="540"/>
  <c r="T53" i="540"/>
  <c r="S54" i="540"/>
  <c r="T54" i="540"/>
  <c r="S55" i="540"/>
  <c r="T55" i="540"/>
  <c r="S56" i="540"/>
  <c r="T56" i="540"/>
  <c r="S57" i="540"/>
  <c r="T57" i="540"/>
  <c r="S58" i="540"/>
  <c r="T58" i="540"/>
  <c r="S59" i="540"/>
  <c r="T59" i="540"/>
  <c r="S60" i="540"/>
  <c r="T60" i="540"/>
  <c r="S61" i="540"/>
  <c r="T61" i="540"/>
  <c r="R52" i="540"/>
  <c r="C45" i="540"/>
  <c r="S62" i="540"/>
  <c r="T62" i="540"/>
  <c r="S63" i="540"/>
  <c r="T63" i="540"/>
  <c r="S64" i="540"/>
  <c r="T64" i="540"/>
  <c r="R51" i="540"/>
  <c r="R50" i="540"/>
  <c r="R49" i="540"/>
  <c r="R48" i="540"/>
  <c r="R47" i="540"/>
  <c r="R46" i="540"/>
  <c r="S13" i="540"/>
  <c r="S20" i="540"/>
  <c r="S27" i="540"/>
  <c r="S31" i="540"/>
  <c r="S35" i="540"/>
  <c r="C36" i="540"/>
  <c r="S37" i="540"/>
  <c r="S40" i="540"/>
  <c r="C54" i="540"/>
  <c r="S66" i="540"/>
  <c r="S68" i="540"/>
  <c r="S70" i="540"/>
  <c r="S71" i="540"/>
  <c r="S14" i="540"/>
  <c r="S17" i="540"/>
  <c r="S21" i="540"/>
  <c r="S28" i="540"/>
  <c r="S69" i="540"/>
  <c r="S7" i="540"/>
  <c r="S9" i="540"/>
  <c r="S15" i="540"/>
  <c r="S22" i="540"/>
  <c r="S29" i="540"/>
  <c r="S38" i="540"/>
  <c r="S65" i="540"/>
  <c r="S8" i="540"/>
  <c r="S10" i="540"/>
  <c r="S16" i="540"/>
  <c r="S23" i="540"/>
  <c r="S24" i="540"/>
  <c r="S30" i="540"/>
  <c r="S32" i="540"/>
  <c r="S39" i="540"/>
  <c r="S41" i="540"/>
  <c r="S67" i="540"/>
  <c r="S11" i="540"/>
  <c r="S18" i="540"/>
  <c r="S25" i="540"/>
  <c r="S33" i="540"/>
  <c r="S34" i="540"/>
  <c r="S42" i="540"/>
  <c r="S72" i="540"/>
  <c r="T72" i="540"/>
  <c r="S73" i="540"/>
  <c r="T73" i="540"/>
  <c r="S74" i="540"/>
  <c r="T74" i="540"/>
  <c r="S75" i="540"/>
  <c r="T75" i="540"/>
  <c r="S76" i="540"/>
  <c r="T76" i="540"/>
  <c r="S77" i="540"/>
  <c r="T77" i="540"/>
  <c r="S12" i="540"/>
  <c r="T12" i="540"/>
  <c r="S19" i="540"/>
  <c r="T19" i="540"/>
  <c r="S26" i="540"/>
  <c r="T26" i="540"/>
  <c r="S36" i="540"/>
  <c r="T36" i="540"/>
  <c r="O54" i="540"/>
  <c r="O55" i="540"/>
  <c r="O56" i="540"/>
  <c r="O57" i="540"/>
  <c r="O58" i="540"/>
  <c r="O59" i="540"/>
  <c r="O60" i="540"/>
  <c r="O61" i="540"/>
  <c r="O62" i="540"/>
  <c r="O63" i="540"/>
  <c r="O64" i="540"/>
  <c r="T65" i="540"/>
  <c r="T66" i="540"/>
  <c r="T67" i="540"/>
  <c r="T68" i="540"/>
  <c r="T69" i="540"/>
  <c r="T70" i="540"/>
  <c r="T71" i="540"/>
  <c r="R7" i="540"/>
  <c r="R8" i="540"/>
  <c r="R12" i="540"/>
  <c r="R22" i="418"/>
  <c r="C22" i="418"/>
  <c r="O22" i="418"/>
  <c r="P22" i="418"/>
  <c r="N22" i="418"/>
  <c r="L22" i="418"/>
  <c r="R33" i="418"/>
  <c r="AA4" i="418"/>
  <c r="C33" i="418"/>
  <c r="O33" i="418"/>
  <c r="P33" i="418"/>
  <c r="N33" i="418"/>
  <c r="U4" i="418"/>
  <c r="C30" i="418"/>
  <c r="O30" i="418"/>
  <c r="P30" i="418"/>
  <c r="N30" i="418"/>
  <c r="L31" i="418"/>
  <c r="W4" i="418"/>
  <c r="C31" i="418"/>
  <c r="O31" i="418"/>
  <c r="P31" i="418"/>
  <c r="N31" i="418"/>
  <c r="L32" i="418"/>
  <c r="Y4" i="418"/>
  <c r="C32" i="418"/>
  <c r="O32" i="418"/>
  <c r="P32" i="418"/>
  <c r="N32" i="418"/>
  <c r="L33" i="418"/>
  <c r="R62" i="418"/>
  <c r="C62" i="418"/>
  <c r="O62" i="418"/>
  <c r="P62" i="418"/>
  <c r="N62" i="418"/>
  <c r="C59" i="418"/>
  <c r="O59" i="418"/>
  <c r="P59" i="418"/>
  <c r="N59" i="418"/>
  <c r="L60" i="418"/>
  <c r="V4" i="418"/>
  <c r="C60" i="418"/>
  <c r="O60" i="418"/>
  <c r="P60" i="418"/>
  <c r="N60" i="418"/>
  <c r="L61" i="418"/>
  <c r="C61" i="418"/>
  <c r="O61" i="418"/>
  <c r="P61" i="418"/>
  <c r="N61" i="418"/>
  <c r="L62" i="418"/>
  <c r="R52" i="418"/>
  <c r="C52" i="418"/>
  <c r="O52" i="418"/>
  <c r="P52" i="418"/>
  <c r="N52" i="418"/>
  <c r="L44" i="418"/>
  <c r="L45" i="418"/>
  <c r="L46" i="418"/>
  <c r="L47" i="418"/>
  <c r="L48" i="418"/>
  <c r="L49" i="418"/>
  <c r="L50" i="418"/>
  <c r="L51" i="418"/>
  <c r="L52" i="418"/>
  <c r="R53" i="418"/>
  <c r="L53" i="418"/>
  <c r="C38" i="418"/>
  <c r="O38" i="418"/>
  <c r="P38" i="418"/>
  <c r="N38" i="418"/>
  <c r="L40" i="418"/>
  <c r="R36" i="418"/>
  <c r="R38" i="418"/>
  <c r="R39" i="418"/>
  <c r="R35" i="418"/>
  <c r="R37" i="418"/>
  <c r="R40" i="418"/>
  <c r="R41" i="418"/>
  <c r="R24" i="418"/>
  <c r="R25" i="418"/>
  <c r="R26" i="418"/>
  <c r="R28" i="418"/>
  <c r="R29" i="418"/>
  <c r="R20" i="534"/>
  <c r="R21" i="534"/>
  <c r="R22" i="534"/>
  <c r="R23" i="534"/>
  <c r="R24" i="534"/>
  <c r="R25" i="534"/>
  <c r="R12" i="534"/>
  <c r="R13" i="534"/>
  <c r="R14" i="534"/>
  <c r="R15" i="534"/>
  <c r="R16" i="534"/>
  <c r="R17" i="534"/>
  <c r="R18" i="534"/>
  <c r="R19" i="534"/>
  <c r="U4" i="534"/>
  <c r="C5" i="534"/>
  <c r="O5" i="534"/>
  <c r="P5" i="534"/>
  <c r="N5" i="534"/>
  <c r="L6" i="534"/>
  <c r="AA4" i="534"/>
  <c r="C23" i="534"/>
  <c r="O23" i="534"/>
  <c r="P23" i="534"/>
  <c r="N23" i="534"/>
  <c r="N21" i="534"/>
  <c r="L22" i="534"/>
  <c r="V4" i="534"/>
  <c r="C22" i="534"/>
  <c r="O22" i="534"/>
  <c r="P22" i="534"/>
  <c r="N22" i="534"/>
  <c r="L23" i="534"/>
  <c r="C21" i="534"/>
  <c r="O21" i="534"/>
  <c r="P21" i="534"/>
  <c r="L24" i="534"/>
  <c r="C6" i="534"/>
  <c r="C7" i="534"/>
  <c r="W4" i="534"/>
  <c r="C8" i="534"/>
  <c r="C9" i="534"/>
  <c r="C10" i="534"/>
  <c r="C11" i="534"/>
  <c r="C12" i="534"/>
  <c r="C13" i="534"/>
  <c r="C14" i="534"/>
  <c r="C15" i="534"/>
  <c r="C16" i="534"/>
  <c r="C17" i="534"/>
  <c r="C18" i="534"/>
  <c r="C19" i="534"/>
  <c r="C20" i="534"/>
  <c r="X4" i="534"/>
  <c r="C24" i="534"/>
  <c r="C25" i="534"/>
  <c r="C26" i="534"/>
  <c r="C27" i="534"/>
  <c r="C28" i="534"/>
  <c r="C29" i="534"/>
  <c r="C30" i="534"/>
  <c r="C31" i="534"/>
  <c r="C32" i="534"/>
  <c r="C33" i="534"/>
  <c r="C34" i="534"/>
  <c r="C35" i="534"/>
  <c r="C36" i="534"/>
  <c r="C37" i="534"/>
  <c r="C38" i="534"/>
  <c r="C39" i="534"/>
  <c r="Y4" i="534"/>
  <c r="C40" i="534"/>
  <c r="C41" i="534"/>
  <c r="C42" i="534"/>
  <c r="C43" i="534"/>
  <c r="C44" i="534"/>
  <c r="C45" i="534"/>
  <c r="C46" i="534"/>
  <c r="C47" i="534"/>
  <c r="C48" i="534"/>
  <c r="Z4" i="534"/>
  <c r="R5" i="534"/>
  <c r="R6" i="534"/>
  <c r="R7" i="534"/>
  <c r="R8" i="534"/>
  <c r="R9" i="534"/>
  <c r="R10" i="534"/>
  <c r="R11" i="534"/>
  <c r="O17" i="534"/>
  <c r="P17" i="534"/>
  <c r="N17" i="534"/>
  <c r="O12" i="534"/>
  <c r="P12" i="534"/>
  <c r="N12" i="534"/>
  <c r="L13" i="534"/>
  <c r="N13" i="534"/>
  <c r="L14" i="534"/>
  <c r="N14" i="534"/>
  <c r="L15" i="534"/>
  <c r="N15" i="534"/>
  <c r="L16" i="534"/>
  <c r="N16" i="534"/>
  <c r="L17" i="534"/>
  <c r="O26" i="534"/>
  <c r="P26" i="534"/>
  <c r="N26" i="534"/>
  <c r="L27" i="534"/>
  <c r="N27" i="534"/>
  <c r="L28" i="534"/>
  <c r="O28" i="534"/>
  <c r="P28" i="534"/>
  <c r="N28" i="534"/>
  <c r="R28" i="534"/>
  <c r="L29" i="534"/>
  <c r="N29" i="534"/>
  <c r="O29" i="534"/>
  <c r="P29" i="534"/>
  <c r="R29" i="534"/>
  <c r="L30" i="534"/>
  <c r="N30" i="534"/>
  <c r="O30" i="534"/>
  <c r="P30" i="534"/>
  <c r="R30" i="534"/>
  <c r="L31" i="534"/>
  <c r="N31" i="534"/>
  <c r="O31" i="534"/>
  <c r="P31" i="534"/>
  <c r="R31" i="534"/>
  <c r="L32" i="534"/>
  <c r="N32" i="534"/>
  <c r="O32" i="534"/>
  <c r="P32" i="534"/>
  <c r="R32" i="534"/>
  <c r="L33" i="534"/>
  <c r="N33" i="534"/>
  <c r="O33" i="534"/>
  <c r="P33" i="534"/>
  <c r="R33" i="534"/>
  <c r="L34" i="534"/>
  <c r="N34" i="534"/>
  <c r="O34" i="534"/>
  <c r="P34" i="534"/>
  <c r="R34" i="534"/>
  <c r="L35" i="534"/>
  <c r="N35" i="534"/>
  <c r="O35" i="534"/>
  <c r="R35" i="534"/>
  <c r="R26" i="534"/>
  <c r="O27" i="534"/>
  <c r="P27" i="534"/>
  <c r="R27" i="534"/>
  <c r="O19" i="534"/>
  <c r="O18" i="534"/>
  <c r="P18" i="534"/>
  <c r="N18" i="534"/>
  <c r="N19" i="534"/>
  <c r="L19" i="534"/>
  <c r="L18" i="534"/>
  <c r="O16" i="534"/>
  <c r="P16" i="534"/>
  <c r="O15" i="534"/>
  <c r="P15" i="534"/>
  <c r="O14" i="534"/>
  <c r="P14" i="534"/>
  <c r="O13" i="534"/>
  <c r="P13" i="534"/>
  <c r="J18" i="535"/>
  <c r="L18" i="535"/>
  <c r="K18" i="535"/>
  <c r="S60" i="530"/>
  <c r="T60" i="530"/>
  <c r="U4" i="530"/>
  <c r="U60" i="530"/>
  <c r="V4" i="530"/>
  <c r="W4" i="530"/>
  <c r="W5" i="530"/>
  <c r="X4" i="530"/>
  <c r="Y4" i="530"/>
  <c r="Y5" i="530"/>
  <c r="C45" i="530"/>
  <c r="Z4" i="530"/>
  <c r="AA4" i="530"/>
  <c r="S61" i="530"/>
  <c r="O61" i="530"/>
  <c r="T61" i="530"/>
  <c r="S62" i="530"/>
  <c r="T62" i="530"/>
  <c r="S63" i="530"/>
  <c r="T63" i="530"/>
  <c r="R59" i="530"/>
  <c r="R64" i="530"/>
  <c r="C66" i="530"/>
  <c r="U66" i="530"/>
  <c r="AA224" i="530"/>
  <c r="AA226" i="530"/>
  <c r="Z224" i="530"/>
  <c r="Z226" i="530"/>
  <c r="Y224" i="530"/>
  <c r="Y226" i="530"/>
  <c r="X224" i="530"/>
  <c r="X226" i="530"/>
  <c r="W224" i="530"/>
  <c r="W226" i="530"/>
  <c r="V224" i="530"/>
  <c r="V226" i="530"/>
  <c r="U224" i="530"/>
  <c r="U226" i="530"/>
  <c r="AA181" i="530"/>
  <c r="Z181" i="530"/>
  <c r="Y181" i="530"/>
  <c r="X181" i="530"/>
  <c r="W181" i="530"/>
  <c r="V181" i="530"/>
  <c r="U181" i="530"/>
  <c r="AD170" i="530"/>
  <c r="AC170" i="530"/>
  <c r="AB170" i="530"/>
  <c r="C8" i="530"/>
  <c r="S14" i="530"/>
  <c r="C15" i="530"/>
  <c r="C35" i="530"/>
  <c r="S40" i="530"/>
  <c r="S49" i="530"/>
  <c r="S56" i="530"/>
  <c r="S64" i="530"/>
  <c r="C65" i="530"/>
  <c r="S66" i="530"/>
  <c r="S67" i="530"/>
  <c r="S10" i="530"/>
  <c r="S17" i="530"/>
  <c r="S18" i="530"/>
  <c r="S19" i="530"/>
  <c r="S27" i="530"/>
  <c r="S29" i="530"/>
  <c r="S12" i="530"/>
  <c r="S21" i="530"/>
  <c r="S31" i="530"/>
  <c r="S33" i="530"/>
  <c r="S45" i="530"/>
  <c r="S25" i="530"/>
  <c r="S41" i="530"/>
  <c r="S47" i="530"/>
  <c r="S57" i="530"/>
  <c r="S59" i="530"/>
  <c r="S65" i="530"/>
  <c r="S38" i="530"/>
  <c r="S44" i="530"/>
  <c r="S46" i="530"/>
  <c r="W50" i="530"/>
  <c r="S51" i="530"/>
  <c r="S54" i="530"/>
  <c r="S11" i="530"/>
  <c r="S13" i="530"/>
  <c r="S20" i="530"/>
  <c r="S24" i="530"/>
  <c r="S26" i="530"/>
  <c r="S28" i="530"/>
  <c r="S30" i="530"/>
  <c r="S32" i="530"/>
  <c r="S34" i="530"/>
  <c r="S36" i="530"/>
  <c r="S37" i="530"/>
  <c r="S43" i="530"/>
  <c r="S48" i="530"/>
  <c r="S52" i="530"/>
  <c r="S53" i="530"/>
  <c r="S9" i="530"/>
  <c r="S16" i="530"/>
  <c r="S39" i="530"/>
  <c r="S55" i="530"/>
  <c r="T68" i="530"/>
  <c r="S68" i="530"/>
  <c r="R68" i="530"/>
  <c r="L68" i="530"/>
  <c r="T66" i="530"/>
  <c r="T65" i="530"/>
  <c r="O58" i="530"/>
  <c r="T58" i="530"/>
  <c r="S58" i="530"/>
  <c r="R52" i="530"/>
  <c r="R53" i="530"/>
  <c r="R54" i="530"/>
  <c r="R55" i="530"/>
  <c r="R56" i="530"/>
  <c r="R57" i="530"/>
  <c r="R58" i="530"/>
  <c r="N55" i="530"/>
  <c r="T51" i="530"/>
  <c r="T50" i="530"/>
  <c r="S50" i="530"/>
  <c r="R43" i="530"/>
  <c r="R44" i="530"/>
  <c r="R45" i="530"/>
  <c r="R46" i="530"/>
  <c r="R47" i="530"/>
  <c r="R48" i="530"/>
  <c r="R49" i="530"/>
  <c r="R50" i="530"/>
  <c r="N47" i="530"/>
  <c r="O42" i="530"/>
  <c r="T42" i="530"/>
  <c r="S42" i="530"/>
  <c r="R36" i="530"/>
  <c r="R37" i="530"/>
  <c r="R38" i="530"/>
  <c r="R39" i="530"/>
  <c r="R41" i="530"/>
  <c r="N39" i="530"/>
  <c r="T35" i="530"/>
  <c r="S35" i="530"/>
  <c r="R24" i="530"/>
  <c r="R25" i="530"/>
  <c r="R26" i="530"/>
  <c r="R27" i="530"/>
  <c r="R28" i="530"/>
  <c r="R29" i="530"/>
  <c r="R30" i="530"/>
  <c r="R31" i="530"/>
  <c r="R32" i="530"/>
  <c r="R33" i="530"/>
  <c r="R34" i="530"/>
  <c r="R35" i="530"/>
  <c r="L25" i="530"/>
  <c r="T24" i="530"/>
  <c r="O23" i="530"/>
  <c r="T23" i="530"/>
  <c r="S23" i="530"/>
  <c r="R16" i="530"/>
  <c r="R17" i="530"/>
  <c r="R18" i="530"/>
  <c r="R19" i="530"/>
  <c r="R20" i="530"/>
  <c r="R21" i="530"/>
  <c r="R22" i="530"/>
  <c r="R23" i="530"/>
  <c r="O22" i="530"/>
  <c r="P22" i="530"/>
  <c r="N22" i="530"/>
  <c r="T22" i="530"/>
  <c r="S22" i="530"/>
  <c r="S15" i="530"/>
  <c r="R9" i="530"/>
  <c r="R10" i="530"/>
  <c r="R11" i="530"/>
  <c r="R12" i="530"/>
  <c r="R13" i="530"/>
  <c r="R14" i="530"/>
  <c r="R15" i="530"/>
  <c r="T8" i="530"/>
  <c r="S8" i="530"/>
  <c r="T7" i="530"/>
  <c r="S7" i="530"/>
  <c r="C7" i="530"/>
  <c r="T6" i="530"/>
  <c r="S6" i="530"/>
  <c r="D18" i="535"/>
  <c r="C18" i="535"/>
  <c r="H18" i="535"/>
  <c r="G18" i="535"/>
  <c r="F18" i="535"/>
  <c r="E18" i="535"/>
  <c r="M17" i="535"/>
  <c r="N17" i="535"/>
  <c r="M18" i="535"/>
  <c r="N18" i="535"/>
  <c r="N16" i="535"/>
  <c r="M16" i="535"/>
  <c r="C48" i="536"/>
  <c r="C49" i="536"/>
  <c r="C50" i="536"/>
  <c r="C51" i="536"/>
  <c r="C52" i="536"/>
  <c r="C53" i="536"/>
  <c r="C54" i="536"/>
  <c r="C55" i="536"/>
  <c r="C56" i="536"/>
  <c r="C57" i="536"/>
  <c r="C58" i="536"/>
  <c r="C59" i="536"/>
  <c r="S47" i="536"/>
  <c r="T47" i="536"/>
  <c r="S48" i="536"/>
  <c r="T48" i="536"/>
  <c r="U48" i="536"/>
  <c r="V48" i="536"/>
  <c r="W48" i="536"/>
  <c r="X48" i="536"/>
  <c r="Y48" i="536"/>
  <c r="Z48" i="536"/>
  <c r="AA48" i="536"/>
  <c r="S49" i="536"/>
  <c r="T49" i="536"/>
  <c r="U49" i="536"/>
  <c r="V49" i="536"/>
  <c r="W49" i="536"/>
  <c r="X49" i="536"/>
  <c r="Y49" i="536"/>
  <c r="Z49" i="536"/>
  <c r="AA49" i="536"/>
  <c r="S50" i="536"/>
  <c r="O50" i="536"/>
  <c r="T50" i="536"/>
  <c r="S51" i="536"/>
  <c r="T51" i="536"/>
  <c r="U51" i="536"/>
  <c r="V51" i="536"/>
  <c r="W51" i="536"/>
  <c r="X51" i="536"/>
  <c r="Y51" i="536"/>
  <c r="Z51" i="536"/>
  <c r="AA51" i="536"/>
  <c r="S52" i="536"/>
  <c r="T52" i="536"/>
  <c r="U52" i="536"/>
  <c r="V52" i="536"/>
  <c r="W52" i="536"/>
  <c r="X52" i="536"/>
  <c r="Y52" i="536"/>
  <c r="Z52" i="536"/>
  <c r="AA52" i="536"/>
  <c r="S53" i="536"/>
  <c r="T53" i="536"/>
  <c r="U53" i="536"/>
  <c r="V53" i="536"/>
  <c r="W53" i="536"/>
  <c r="X53" i="536"/>
  <c r="Y53" i="536"/>
  <c r="Z53" i="536"/>
  <c r="AA53" i="536"/>
  <c r="S54" i="536"/>
  <c r="T54" i="536"/>
  <c r="U54" i="536"/>
  <c r="V54" i="536"/>
  <c r="W54" i="536"/>
  <c r="X54" i="536"/>
  <c r="Y54" i="536"/>
  <c r="Z54" i="536"/>
  <c r="AA54" i="536"/>
  <c r="S55" i="536"/>
  <c r="O55" i="536"/>
  <c r="T55" i="536"/>
  <c r="S56" i="536"/>
  <c r="O56" i="536"/>
  <c r="T56" i="536"/>
  <c r="S57" i="536"/>
  <c r="T57" i="536"/>
  <c r="U57" i="536"/>
  <c r="V57" i="536"/>
  <c r="W57" i="536"/>
  <c r="X57" i="536"/>
  <c r="Y57" i="536"/>
  <c r="Z57" i="536"/>
  <c r="AA57" i="536"/>
  <c r="U4" i="529"/>
  <c r="C6" i="529"/>
  <c r="AA6" i="529"/>
  <c r="W4" i="529"/>
  <c r="C7" i="529"/>
  <c r="AA7" i="529"/>
  <c r="Z4" i="529"/>
  <c r="C8" i="529"/>
  <c r="AA8" i="529"/>
  <c r="C9" i="529"/>
  <c r="AA9" i="529"/>
  <c r="C10" i="529"/>
  <c r="AA10" i="529"/>
  <c r="AA4" i="529"/>
  <c r="C11" i="529"/>
  <c r="S11" i="529"/>
  <c r="AA11" i="529"/>
  <c r="C12" i="529"/>
  <c r="S12" i="529"/>
  <c r="AA12" i="529"/>
  <c r="C13" i="529"/>
  <c r="AA13" i="529"/>
  <c r="AA14" i="529"/>
  <c r="C15" i="529"/>
  <c r="AA15" i="529"/>
  <c r="X4" i="529"/>
  <c r="C16" i="529"/>
  <c r="AA16" i="529"/>
  <c r="C17" i="529"/>
  <c r="AA17" i="529"/>
  <c r="V4" i="529"/>
  <c r="C18" i="529"/>
  <c r="AA18" i="529"/>
  <c r="C19" i="529"/>
  <c r="AA19" i="529"/>
  <c r="C20" i="529"/>
  <c r="S20" i="529"/>
  <c r="AA20" i="529"/>
  <c r="C21" i="529"/>
  <c r="AA21" i="529"/>
  <c r="C22" i="529"/>
  <c r="AA22" i="529"/>
  <c r="C23" i="529"/>
  <c r="AA23" i="529"/>
  <c r="C24" i="529"/>
  <c r="AA24" i="529"/>
  <c r="C25" i="529"/>
  <c r="AA25" i="529"/>
  <c r="C26" i="529"/>
  <c r="AA26" i="529"/>
  <c r="C27" i="529"/>
  <c r="S27" i="529"/>
  <c r="AA27" i="529"/>
  <c r="C28" i="529"/>
  <c r="S28" i="529"/>
  <c r="AA28" i="529"/>
  <c r="C29" i="529"/>
  <c r="AA29" i="529"/>
  <c r="C30" i="529"/>
  <c r="S30" i="529"/>
  <c r="AA30" i="529"/>
  <c r="C31" i="529"/>
  <c r="AA31" i="529"/>
  <c r="C32" i="529"/>
  <c r="AA32" i="529"/>
  <c r="C33" i="529"/>
  <c r="AA33" i="529"/>
  <c r="C34" i="529"/>
  <c r="AA34" i="529"/>
  <c r="C35" i="529"/>
  <c r="AA35" i="529"/>
  <c r="C36" i="529"/>
  <c r="AA36" i="529"/>
  <c r="C37" i="529"/>
  <c r="S37" i="529"/>
  <c r="AA37" i="529"/>
  <c r="C38" i="529"/>
  <c r="AA38" i="529"/>
  <c r="C39" i="529"/>
  <c r="AA39" i="529"/>
  <c r="C40" i="529"/>
  <c r="AA40" i="529"/>
  <c r="C41" i="529"/>
  <c r="AA41" i="529"/>
  <c r="C42" i="529"/>
  <c r="AA42" i="529"/>
  <c r="C43" i="529"/>
  <c r="AA43" i="529"/>
  <c r="C44" i="529"/>
  <c r="AA44" i="529"/>
  <c r="C45" i="529"/>
  <c r="S45" i="529"/>
  <c r="AA45" i="529"/>
  <c r="C46" i="529"/>
  <c r="AA46" i="529"/>
  <c r="C47" i="529"/>
  <c r="AA47" i="529"/>
  <c r="C48" i="529"/>
  <c r="AA48" i="529"/>
  <c r="C49" i="529"/>
  <c r="AA49" i="529"/>
  <c r="C50" i="529"/>
  <c r="S50" i="529"/>
  <c r="AA50" i="529"/>
  <c r="C51" i="529"/>
  <c r="AA51" i="529"/>
  <c r="C52" i="529"/>
  <c r="AA52" i="529"/>
  <c r="C53" i="529"/>
  <c r="S53" i="529"/>
  <c r="AA53" i="529"/>
  <c r="C54" i="529"/>
  <c r="AA54" i="529"/>
  <c r="C55" i="529"/>
  <c r="S55" i="529"/>
  <c r="AA55" i="529"/>
  <c r="C56" i="529"/>
  <c r="AA56" i="529"/>
  <c r="C57" i="529"/>
  <c r="AA57" i="529"/>
  <c r="C58" i="529"/>
  <c r="AA58" i="529"/>
  <c r="C59" i="529"/>
  <c r="AA59" i="529"/>
  <c r="C60" i="529"/>
  <c r="AA60" i="529"/>
  <c r="C61" i="529"/>
  <c r="AA61" i="529"/>
  <c r="C62" i="529"/>
  <c r="S62" i="529"/>
  <c r="AA62" i="529"/>
  <c r="C63" i="529"/>
  <c r="S63" i="529"/>
  <c r="AA63" i="529"/>
  <c r="C64" i="529"/>
  <c r="AA64" i="529"/>
  <c r="AA65" i="529"/>
  <c r="Z6" i="529"/>
  <c r="Z7" i="529"/>
  <c r="S8" i="529"/>
  <c r="Z8" i="529"/>
  <c r="S9" i="529"/>
  <c r="Z9" i="529"/>
  <c r="S10" i="529"/>
  <c r="Z10" i="529"/>
  <c r="Z11" i="529"/>
  <c r="Z12" i="529"/>
  <c r="S13" i="529"/>
  <c r="Z13" i="529"/>
  <c r="Z14" i="529"/>
  <c r="Z15" i="529"/>
  <c r="Z16" i="529"/>
  <c r="Z17" i="529"/>
  <c r="Z18" i="529"/>
  <c r="Z19" i="529"/>
  <c r="Z20" i="529"/>
  <c r="Z21" i="529"/>
  <c r="Z22" i="529"/>
  <c r="Z23" i="529"/>
  <c r="S24" i="529"/>
  <c r="Z24" i="529"/>
  <c r="S25" i="529"/>
  <c r="Z25" i="529"/>
  <c r="S26" i="529"/>
  <c r="Z26" i="529"/>
  <c r="Z27" i="529"/>
  <c r="Z28" i="529"/>
  <c r="S29" i="529"/>
  <c r="Z29" i="529"/>
  <c r="Z30" i="529"/>
  <c r="Z31" i="529"/>
  <c r="Z32" i="529"/>
  <c r="Z33" i="529"/>
  <c r="Z34" i="529"/>
  <c r="Z35" i="529"/>
  <c r="Z36" i="529"/>
  <c r="Z37" i="529"/>
  <c r="Z38" i="529"/>
  <c r="Z39" i="529"/>
  <c r="Z40" i="529"/>
  <c r="Z41" i="529"/>
  <c r="Z42" i="529"/>
  <c r="Z43" i="529"/>
  <c r="Z44" i="529"/>
  <c r="Z45" i="529"/>
  <c r="Z46" i="529"/>
  <c r="Z47" i="529"/>
  <c r="S48" i="529"/>
  <c r="Z48" i="529"/>
  <c r="Z49" i="529"/>
  <c r="Z50" i="529"/>
  <c r="S51" i="529"/>
  <c r="Z51" i="529"/>
  <c r="Z52" i="529"/>
  <c r="Z53" i="529"/>
  <c r="S54" i="529"/>
  <c r="Z54" i="529"/>
  <c r="Z55" i="529"/>
  <c r="Z56" i="529"/>
  <c r="Z57" i="529"/>
  <c r="Z58" i="529"/>
  <c r="Z59" i="529"/>
  <c r="Z60" i="529"/>
  <c r="Z61" i="529"/>
  <c r="Z62" i="529"/>
  <c r="Z63" i="529"/>
  <c r="Z64" i="529"/>
  <c r="Z65" i="529"/>
  <c r="Y6" i="529"/>
  <c r="Y7" i="529"/>
  <c r="Y8" i="529"/>
  <c r="Y9" i="529"/>
  <c r="Y10" i="529"/>
  <c r="Y11" i="529"/>
  <c r="Y12" i="529"/>
  <c r="Y13" i="529"/>
  <c r="Y14" i="529"/>
  <c r="Y15" i="529"/>
  <c r="Y16" i="529"/>
  <c r="Y17" i="529"/>
  <c r="Y18" i="529"/>
  <c r="Y19" i="529"/>
  <c r="Y20" i="529"/>
  <c r="Y21" i="529"/>
  <c r="Y22" i="529"/>
  <c r="Y23" i="529"/>
  <c r="Y24" i="529"/>
  <c r="Y25" i="529"/>
  <c r="Y26" i="529"/>
  <c r="Y27" i="529"/>
  <c r="Y28" i="529"/>
  <c r="Y29" i="529"/>
  <c r="Y30" i="529"/>
  <c r="Y31" i="529"/>
  <c r="Y32" i="529"/>
  <c r="Y33" i="529"/>
  <c r="Y34" i="529"/>
  <c r="Y35" i="529"/>
  <c r="Y36" i="529"/>
  <c r="Y37" i="529"/>
  <c r="Y38" i="529"/>
  <c r="Y39" i="529"/>
  <c r="Y40" i="529"/>
  <c r="Y41" i="529"/>
  <c r="Y42" i="529"/>
  <c r="Y43" i="529"/>
  <c r="Y44" i="529"/>
  <c r="Y45" i="529"/>
  <c r="Y46" i="529"/>
  <c r="Y47" i="529"/>
  <c r="Y48" i="529"/>
  <c r="Y49" i="529"/>
  <c r="Y50" i="529"/>
  <c r="Y51" i="529"/>
  <c r="Y52" i="529"/>
  <c r="Y53" i="529"/>
  <c r="Y54" i="529"/>
  <c r="Y55" i="529"/>
  <c r="Y56" i="529"/>
  <c r="Y57" i="529"/>
  <c r="Y58" i="529"/>
  <c r="Y59" i="529"/>
  <c r="Y60" i="529"/>
  <c r="Y61" i="529"/>
  <c r="Y62" i="529"/>
  <c r="Y63" i="529"/>
  <c r="Y64" i="529"/>
  <c r="Y65" i="529"/>
  <c r="X6" i="529"/>
  <c r="X7" i="529"/>
  <c r="X8" i="529"/>
  <c r="X9" i="529"/>
  <c r="X10" i="529"/>
  <c r="X11" i="529"/>
  <c r="X12" i="529"/>
  <c r="X13" i="529"/>
  <c r="X14" i="529"/>
  <c r="X15" i="529"/>
  <c r="S16" i="529"/>
  <c r="X16" i="529"/>
  <c r="X17" i="529"/>
  <c r="X18" i="529"/>
  <c r="S19" i="529"/>
  <c r="X19" i="529"/>
  <c r="X20" i="529"/>
  <c r="X21" i="529"/>
  <c r="X22" i="529"/>
  <c r="X23" i="529"/>
  <c r="X24" i="529"/>
  <c r="X25" i="529"/>
  <c r="X26" i="529"/>
  <c r="X27" i="529"/>
  <c r="X28" i="529"/>
  <c r="X29" i="529"/>
  <c r="X30" i="529"/>
  <c r="X31" i="529"/>
  <c r="X32" i="529"/>
  <c r="S33" i="529"/>
  <c r="X33" i="529"/>
  <c r="X34" i="529"/>
  <c r="X35" i="529"/>
  <c r="S36" i="529"/>
  <c r="X36" i="529"/>
  <c r="X37" i="529"/>
  <c r="X38" i="529"/>
  <c r="X39" i="529"/>
  <c r="X40" i="529"/>
  <c r="X41" i="529"/>
  <c r="X42" i="529"/>
  <c r="X43" i="529"/>
  <c r="X44" i="529"/>
  <c r="X45" i="529"/>
  <c r="X46" i="529"/>
  <c r="X47" i="529"/>
  <c r="X48" i="529"/>
  <c r="S49" i="529"/>
  <c r="X49" i="529"/>
  <c r="X50" i="529"/>
  <c r="X51" i="529"/>
  <c r="S52" i="529"/>
  <c r="X52" i="529"/>
  <c r="X53" i="529"/>
  <c r="X54" i="529"/>
  <c r="X55" i="529"/>
  <c r="X56" i="529"/>
  <c r="X57" i="529"/>
  <c r="X58" i="529"/>
  <c r="X59" i="529"/>
  <c r="S60" i="529"/>
  <c r="X60" i="529"/>
  <c r="X61" i="529"/>
  <c r="X62" i="529"/>
  <c r="X63" i="529"/>
  <c r="X64" i="529"/>
  <c r="X65" i="529"/>
  <c r="W6" i="529"/>
  <c r="S7" i="529"/>
  <c r="W7" i="529"/>
  <c r="W8" i="529"/>
  <c r="W9" i="529"/>
  <c r="W10" i="529"/>
  <c r="W11" i="529"/>
  <c r="W12" i="529"/>
  <c r="W13" i="529"/>
  <c r="W14" i="529"/>
  <c r="W15" i="529"/>
  <c r="W16" i="529"/>
  <c r="S17" i="529"/>
  <c r="W17" i="529"/>
  <c r="W18" i="529"/>
  <c r="W19" i="529"/>
  <c r="W20" i="529"/>
  <c r="W21" i="529"/>
  <c r="W22" i="529"/>
  <c r="S23" i="529"/>
  <c r="W23" i="529"/>
  <c r="W24" i="529"/>
  <c r="W25" i="529"/>
  <c r="W26" i="529"/>
  <c r="W27" i="529"/>
  <c r="W28" i="529"/>
  <c r="W29" i="529"/>
  <c r="W30" i="529"/>
  <c r="W31" i="529"/>
  <c r="W32" i="529"/>
  <c r="W33" i="529"/>
  <c r="S34" i="529"/>
  <c r="W34" i="529"/>
  <c r="W35" i="529"/>
  <c r="W36" i="529"/>
  <c r="W37" i="529"/>
  <c r="W38" i="529"/>
  <c r="W39" i="529"/>
  <c r="S40" i="529"/>
  <c r="W40" i="529"/>
  <c r="W41" i="529"/>
  <c r="S42" i="529"/>
  <c r="W42" i="529"/>
  <c r="W43" i="529"/>
  <c r="S44" i="529"/>
  <c r="W44" i="529"/>
  <c r="W45" i="529"/>
  <c r="W46" i="529"/>
  <c r="W47" i="529"/>
  <c r="W48" i="529"/>
  <c r="W49" i="529"/>
  <c r="W50" i="529"/>
  <c r="W51" i="529"/>
  <c r="W52" i="529"/>
  <c r="W53" i="529"/>
  <c r="W54" i="529"/>
  <c r="W55" i="529"/>
  <c r="W56" i="529"/>
  <c r="W57" i="529"/>
  <c r="W58" i="529"/>
  <c r="W59" i="529"/>
  <c r="W60" i="529"/>
  <c r="S61" i="529"/>
  <c r="W61" i="529"/>
  <c r="W62" i="529"/>
  <c r="W63" i="529"/>
  <c r="W64" i="529"/>
  <c r="W65" i="529"/>
  <c r="V6" i="529"/>
  <c r="V7" i="529"/>
  <c r="V8" i="529"/>
  <c r="V9" i="529"/>
  <c r="V10" i="529"/>
  <c r="V11" i="529"/>
  <c r="V12" i="529"/>
  <c r="V13" i="529"/>
  <c r="V14" i="529"/>
  <c r="V15" i="529"/>
  <c r="V16" i="529"/>
  <c r="V17" i="529"/>
  <c r="S18" i="529"/>
  <c r="V18" i="529"/>
  <c r="V19" i="529"/>
  <c r="V20" i="529"/>
  <c r="V21" i="529"/>
  <c r="V22" i="529"/>
  <c r="V23" i="529"/>
  <c r="V24" i="529"/>
  <c r="V25" i="529"/>
  <c r="V26" i="529"/>
  <c r="V27" i="529"/>
  <c r="V28" i="529"/>
  <c r="V29" i="529"/>
  <c r="V30" i="529"/>
  <c r="V31" i="529"/>
  <c r="V32" i="529"/>
  <c r="V33" i="529"/>
  <c r="V34" i="529"/>
  <c r="S35" i="529"/>
  <c r="V35" i="529"/>
  <c r="V36" i="529"/>
  <c r="V37" i="529"/>
  <c r="V38" i="529"/>
  <c r="V39" i="529"/>
  <c r="V40" i="529"/>
  <c r="S41" i="529"/>
  <c r="V41" i="529"/>
  <c r="V42" i="529"/>
  <c r="S43" i="529"/>
  <c r="V43" i="529"/>
  <c r="V44" i="529"/>
  <c r="V45" i="529"/>
  <c r="V46" i="529"/>
  <c r="V47" i="529"/>
  <c r="V48" i="529"/>
  <c r="V49" i="529"/>
  <c r="V50" i="529"/>
  <c r="V51" i="529"/>
  <c r="V52" i="529"/>
  <c r="V53" i="529"/>
  <c r="V54" i="529"/>
  <c r="V55" i="529"/>
  <c r="V56" i="529"/>
  <c r="V57" i="529"/>
  <c r="S58" i="529"/>
  <c r="V58" i="529"/>
  <c r="S59" i="529"/>
  <c r="V59" i="529"/>
  <c r="V60" i="529"/>
  <c r="V61" i="529"/>
  <c r="V62" i="529"/>
  <c r="V63" i="529"/>
  <c r="V64" i="529"/>
  <c r="V65" i="529"/>
  <c r="S6" i="529"/>
  <c r="U6" i="529"/>
  <c r="U7" i="529"/>
  <c r="U8" i="529"/>
  <c r="U9" i="529"/>
  <c r="U10" i="529"/>
  <c r="U11" i="529"/>
  <c r="U12" i="529"/>
  <c r="U13" i="529"/>
  <c r="U14" i="529"/>
  <c r="S15" i="529"/>
  <c r="U15" i="529"/>
  <c r="U16" i="529"/>
  <c r="U17" i="529"/>
  <c r="U18" i="529"/>
  <c r="U19" i="529"/>
  <c r="U20" i="529"/>
  <c r="U21" i="529"/>
  <c r="S22" i="529"/>
  <c r="U22" i="529"/>
  <c r="U23" i="529"/>
  <c r="U24" i="529"/>
  <c r="U25" i="529"/>
  <c r="U26" i="529"/>
  <c r="U27" i="529"/>
  <c r="U28" i="529"/>
  <c r="U29" i="529"/>
  <c r="U30" i="529"/>
  <c r="U31" i="529"/>
  <c r="S32" i="529"/>
  <c r="U32" i="529"/>
  <c r="U33" i="529"/>
  <c r="U34" i="529"/>
  <c r="U35" i="529"/>
  <c r="U36" i="529"/>
  <c r="U37" i="529"/>
  <c r="U38" i="529"/>
  <c r="S39" i="529"/>
  <c r="U39" i="529"/>
  <c r="U40" i="529"/>
  <c r="U41" i="529"/>
  <c r="U42" i="529"/>
  <c r="U43" i="529"/>
  <c r="U44" i="529"/>
  <c r="U45" i="529"/>
  <c r="U46" i="529"/>
  <c r="S47" i="529"/>
  <c r="U47" i="529"/>
  <c r="U48" i="529"/>
  <c r="U49" i="529"/>
  <c r="U50" i="529"/>
  <c r="U51" i="529"/>
  <c r="U52" i="529"/>
  <c r="U53" i="529"/>
  <c r="U54" i="529"/>
  <c r="U55" i="529"/>
  <c r="U56" i="529"/>
  <c r="U57" i="529"/>
  <c r="U58" i="529"/>
  <c r="U59" i="529"/>
  <c r="U60" i="529"/>
  <c r="U61" i="529"/>
  <c r="U62" i="529"/>
  <c r="U63" i="529"/>
  <c r="U64" i="529"/>
  <c r="U65" i="529"/>
  <c r="O7" i="529"/>
  <c r="T7" i="529"/>
  <c r="O8" i="529"/>
  <c r="T8" i="529"/>
  <c r="O9" i="529"/>
  <c r="T9" i="529"/>
  <c r="O10" i="529"/>
  <c r="T10" i="529"/>
  <c r="O11" i="529"/>
  <c r="T11" i="529"/>
  <c r="O12" i="529"/>
  <c r="T12" i="529"/>
  <c r="O13" i="529"/>
  <c r="T13" i="529"/>
  <c r="S14" i="529"/>
  <c r="T14" i="529"/>
  <c r="O15" i="529"/>
  <c r="T15" i="529"/>
  <c r="O16" i="529"/>
  <c r="T16" i="529"/>
  <c r="O17" i="529"/>
  <c r="T17" i="529"/>
  <c r="O18" i="529"/>
  <c r="T18" i="529"/>
  <c r="O19" i="529"/>
  <c r="T19" i="529"/>
  <c r="O20" i="529"/>
  <c r="T20" i="529"/>
  <c r="S21" i="529"/>
  <c r="O21" i="529"/>
  <c r="T21" i="529"/>
  <c r="O22" i="529"/>
  <c r="T22" i="529"/>
  <c r="O23" i="529"/>
  <c r="T23" i="529"/>
  <c r="O24" i="529"/>
  <c r="T24" i="529"/>
  <c r="O25" i="529"/>
  <c r="T25" i="529"/>
  <c r="O26" i="529"/>
  <c r="T26" i="529"/>
  <c r="O27" i="529"/>
  <c r="T27" i="529"/>
  <c r="O28" i="529"/>
  <c r="T28" i="529"/>
  <c r="O29" i="529"/>
  <c r="T29" i="529"/>
  <c r="O30" i="529"/>
  <c r="T30" i="529"/>
  <c r="S31" i="529"/>
  <c r="O31" i="529"/>
  <c r="T31" i="529"/>
  <c r="O32" i="529"/>
  <c r="T32" i="529"/>
  <c r="O33" i="529"/>
  <c r="T33" i="529"/>
  <c r="O34" i="529"/>
  <c r="T34" i="529"/>
  <c r="O35" i="529"/>
  <c r="T35" i="529"/>
  <c r="O36" i="529"/>
  <c r="T36" i="529"/>
  <c r="O37" i="529"/>
  <c r="T37" i="529"/>
  <c r="S38" i="529"/>
  <c r="O38" i="529"/>
  <c r="T38" i="529"/>
  <c r="O39" i="529"/>
  <c r="T39" i="529"/>
  <c r="O40" i="529"/>
  <c r="T40" i="529"/>
  <c r="O41" i="529"/>
  <c r="T41" i="529"/>
  <c r="O42" i="529"/>
  <c r="T42" i="529"/>
  <c r="O43" i="529"/>
  <c r="T43" i="529"/>
  <c r="O44" i="529"/>
  <c r="T44" i="529"/>
  <c r="O45" i="529"/>
  <c r="T45" i="529"/>
  <c r="S46" i="529"/>
  <c r="O46" i="529"/>
  <c r="T46" i="529"/>
  <c r="O47" i="529"/>
  <c r="T47" i="529"/>
  <c r="O48" i="529"/>
  <c r="T48" i="529"/>
  <c r="O49" i="529"/>
  <c r="T49" i="529"/>
  <c r="O50" i="529"/>
  <c r="T50" i="529"/>
  <c r="O51" i="529"/>
  <c r="T51" i="529"/>
  <c r="O52" i="529"/>
  <c r="T52" i="529"/>
  <c r="O53" i="529"/>
  <c r="T53" i="529"/>
  <c r="O54" i="529"/>
  <c r="T54" i="529"/>
  <c r="O55" i="529"/>
  <c r="T55" i="529"/>
  <c r="S56" i="529"/>
  <c r="O56" i="529"/>
  <c r="T56" i="529"/>
  <c r="S57" i="529"/>
  <c r="T57" i="529"/>
  <c r="O58" i="529"/>
  <c r="T58" i="529"/>
  <c r="O59" i="529"/>
  <c r="T59" i="529"/>
  <c r="O60" i="529"/>
  <c r="T60" i="529"/>
  <c r="O61" i="529"/>
  <c r="T61" i="529"/>
  <c r="O62" i="529"/>
  <c r="T62" i="529"/>
  <c r="O63" i="529"/>
  <c r="T63" i="529"/>
  <c r="S64" i="529"/>
  <c r="O64" i="529"/>
  <c r="T64" i="529"/>
  <c r="H25" i="3"/>
  <c r="H24" i="3"/>
  <c r="H23" i="3"/>
  <c r="H22" i="3"/>
  <c r="F25" i="3"/>
  <c r="F24" i="3"/>
  <c r="F23" i="3"/>
  <c r="F22" i="3"/>
  <c r="AR15" i="3"/>
  <c r="AQ15" i="3"/>
  <c r="AP15" i="3"/>
  <c r="AT15" i="3"/>
  <c r="AS15" i="3"/>
  <c r="AN15" i="3"/>
  <c r="AM15" i="3"/>
  <c r="AL15" i="3"/>
  <c r="AW15" i="3"/>
  <c r="AV15" i="3"/>
  <c r="AU15" i="3"/>
  <c r="AK15" i="3"/>
  <c r="AJ15" i="3"/>
  <c r="AI15" i="3"/>
  <c r="R25" i="3"/>
  <c r="R24" i="3"/>
  <c r="R23" i="3"/>
  <c r="R22" i="3"/>
  <c r="Q25" i="3"/>
  <c r="Q24" i="3"/>
  <c r="Q23" i="3"/>
  <c r="Q22" i="3"/>
  <c r="P21" i="3"/>
  <c r="O21" i="3"/>
  <c r="M25" i="3"/>
  <c r="M24" i="3"/>
  <c r="M23" i="3"/>
  <c r="M22" i="3"/>
  <c r="L25" i="3"/>
  <c r="L24" i="3"/>
  <c r="L23" i="3"/>
  <c r="L22" i="3"/>
  <c r="D25" i="3"/>
  <c r="D24" i="3"/>
  <c r="D23" i="3"/>
  <c r="D22" i="3"/>
  <c r="AY25" i="3"/>
  <c r="AX25" i="3"/>
  <c r="AO25" i="3"/>
  <c r="AH25" i="3"/>
  <c r="AH24" i="3"/>
  <c r="AH23" i="3"/>
  <c r="AH22" i="3"/>
  <c r="AG25" i="3"/>
  <c r="AG24" i="3"/>
  <c r="AG23" i="3"/>
  <c r="AG22" i="3"/>
  <c r="AF25" i="3"/>
  <c r="AE25" i="3"/>
  <c r="AD25" i="3"/>
  <c r="AD24" i="3"/>
  <c r="AD23" i="3"/>
  <c r="AD22" i="3"/>
  <c r="AC25" i="3"/>
  <c r="AC24" i="3"/>
  <c r="AC23" i="3"/>
  <c r="AC22" i="3"/>
  <c r="AB25" i="3"/>
  <c r="AB24" i="3"/>
  <c r="AB23" i="3"/>
  <c r="AB22" i="3"/>
  <c r="AA25" i="3"/>
  <c r="AA24" i="3"/>
  <c r="AA23" i="3"/>
  <c r="AA22" i="3"/>
  <c r="Z25" i="3"/>
  <c r="Y25" i="3"/>
  <c r="Y24" i="3"/>
  <c r="Y23" i="3"/>
  <c r="Y22" i="3"/>
  <c r="X25" i="3"/>
  <c r="X24" i="3"/>
  <c r="X23" i="3"/>
  <c r="X22" i="3"/>
  <c r="W25" i="3"/>
  <c r="W24" i="3"/>
  <c r="W23" i="3"/>
  <c r="W22" i="3"/>
  <c r="V25" i="3"/>
  <c r="V24" i="3"/>
  <c r="V23" i="3"/>
  <c r="V22" i="3"/>
  <c r="U25" i="3"/>
  <c r="U24" i="3"/>
  <c r="U23" i="3"/>
  <c r="U22" i="3"/>
  <c r="T25" i="3"/>
  <c r="T24" i="3"/>
  <c r="T23" i="3"/>
  <c r="T22" i="3"/>
  <c r="S25" i="3"/>
  <c r="S24" i="3"/>
  <c r="S23" i="3"/>
  <c r="S22" i="3"/>
  <c r="P25" i="3"/>
  <c r="P24" i="3"/>
  <c r="P23" i="3"/>
  <c r="P22" i="3"/>
  <c r="K25" i="3"/>
  <c r="K24" i="3"/>
  <c r="K23" i="3"/>
  <c r="K22" i="3"/>
  <c r="J25" i="3"/>
  <c r="J24" i="3"/>
  <c r="J23" i="3"/>
  <c r="J22" i="3"/>
  <c r="I25" i="3"/>
  <c r="G25" i="3"/>
  <c r="G24" i="3"/>
  <c r="G23" i="3"/>
  <c r="G22" i="3"/>
  <c r="E25" i="3"/>
  <c r="E24" i="3"/>
  <c r="E23" i="3"/>
  <c r="E22" i="3"/>
  <c r="AY24" i="3"/>
  <c r="AX24" i="3"/>
  <c r="AO24" i="3"/>
  <c r="AF24" i="3"/>
  <c r="AE24" i="3"/>
  <c r="Z24" i="3"/>
  <c r="Z23" i="3"/>
  <c r="Z22" i="3"/>
  <c r="I24" i="3"/>
  <c r="I23" i="3"/>
  <c r="I22" i="3"/>
  <c r="AY23" i="3"/>
  <c r="AX23" i="3"/>
  <c r="AO23" i="3"/>
  <c r="AF23" i="3"/>
  <c r="AF22" i="3"/>
  <c r="AE23" i="3"/>
  <c r="AE22" i="3"/>
  <c r="AY22" i="3"/>
  <c r="AX22" i="3"/>
  <c r="AO22" i="3"/>
  <c r="BF21" i="3"/>
  <c r="BE21" i="3"/>
  <c r="BD21" i="3"/>
  <c r="BC21" i="3"/>
  <c r="BB21" i="3"/>
  <c r="BA21" i="3"/>
  <c r="AZ21" i="3"/>
  <c r="AY21" i="3"/>
  <c r="AX21" i="3"/>
  <c r="AO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M21" i="3"/>
  <c r="L21" i="3"/>
  <c r="K21" i="3"/>
  <c r="J21" i="3"/>
  <c r="I21" i="3"/>
  <c r="G21" i="3"/>
  <c r="E21" i="3"/>
  <c r="D21" i="3"/>
  <c r="B21" i="3"/>
  <c r="BA15" i="3"/>
  <c r="AZ15" i="3"/>
  <c r="AY15" i="3"/>
  <c r="AX15" i="3"/>
  <c r="AO15" i="3"/>
  <c r="AH15" i="3"/>
  <c r="J6" i="403"/>
  <c r="G6" i="403"/>
  <c r="O15" i="3"/>
  <c r="N15" i="3"/>
  <c r="N14" i="3"/>
  <c r="N13" i="3"/>
  <c r="N12" i="3"/>
  <c r="N11" i="3"/>
  <c r="N10" i="3"/>
  <c r="N9" i="3"/>
  <c r="N8" i="3"/>
  <c r="N7" i="3"/>
  <c r="N6" i="3"/>
  <c r="M15" i="3"/>
  <c r="M14" i="3"/>
  <c r="M13" i="3"/>
  <c r="M12" i="3"/>
  <c r="M11" i="3"/>
  <c r="M10" i="3"/>
  <c r="M9" i="3"/>
  <c r="M8" i="3"/>
  <c r="M7" i="3"/>
  <c r="M6" i="3"/>
  <c r="L15" i="3"/>
  <c r="K15" i="3"/>
  <c r="J15" i="3"/>
  <c r="I15" i="3"/>
  <c r="H15" i="3"/>
  <c r="G15" i="3"/>
  <c r="F15" i="3"/>
  <c r="E15" i="3"/>
  <c r="D15" i="3"/>
  <c r="C15" i="3"/>
  <c r="B15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G13" i="3"/>
  <c r="AG12" i="3"/>
  <c r="AG11" i="3"/>
  <c r="AG10" i="3"/>
  <c r="AG9" i="3"/>
  <c r="AG8" i="3"/>
  <c r="AG7" i="3"/>
  <c r="AG6" i="3"/>
  <c r="AF14" i="3"/>
  <c r="AE14" i="3"/>
  <c r="AD14" i="3"/>
  <c r="AC14" i="3"/>
  <c r="AB14" i="3"/>
  <c r="AB13" i="3"/>
  <c r="AB12" i="3"/>
  <c r="AB11" i="3"/>
  <c r="AB10" i="3"/>
  <c r="AB9" i="3"/>
  <c r="AB8" i="3"/>
  <c r="AB7" i="3"/>
  <c r="AB6" i="3"/>
  <c r="AA14" i="3"/>
  <c r="AA13" i="3"/>
  <c r="AA12" i="3"/>
  <c r="AA11" i="3"/>
  <c r="AA10" i="3"/>
  <c r="AA9" i="3"/>
  <c r="AA8" i="3"/>
  <c r="AA7" i="3"/>
  <c r="AA6" i="3"/>
  <c r="Z14" i="3"/>
  <c r="Z13" i="3"/>
  <c r="Z12" i="3"/>
  <c r="Z11" i="3"/>
  <c r="Z10" i="3"/>
  <c r="Z9" i="3"/>
  <c r="Z8" i="3"/>
  <c r="Z7" i="3"/>
  <c r="Z6" i="3"/>
  <c r="Y14" i="3"/>
  <c r="Y13" i="3"/>
  <c r="Y12" i="3"/>
  <c r="Y11" i="3"/>
  <c r="Y10" i="3"/>
  <c r="Y9" i="3"/>
  <c r="Y8" i="3"/>
  <c r="Y7" i="3"/>
  <c r="Y6" i="3"/>
  <c r="X14" i="3"/>
  <c r="X13" i="3"/>
  <c r="X12" i="3"/>
  <c r="X11" i="3"/>
  <c r="X10" i="3"/>
  <c r="X9" i="3"/>
  <c r="X8" i="3"/>
  <c r="X7" i="3"/>
  <c r="X6" i="3"/>
  <c r="W14" i="3"/>
  <c r="W13" i="3"/>
  <c r="W12" i="3"/>
  <c r="W11" i="3"/>
  <c r="W10" i="3"/>
  <c r="W9" i="3"/>
  <c r="W8" i="3"/>
  <c r="W7" i="3"/>
  <c r="W6" i="3"/>
  <c r="V14" i="3"/>
  <c r="V13" i="3"/>
  <c r="V12" i="3"/>
  <c r="V11" i="3"/>
  <c r="V10" i="3"/>
  <c r="V9" i="3"/>
  <c r="V8" i="3"/>
  <c r="V7" i="3"/>
  <c r="V6" i="3"/>
  <c r="U14" i="3"/>
  <c r="U13" i="3"/>
  <c r="U12" i="3"/>
  <c r="U11" i="3"/>
  <c r="U10" i="3"/>
  <c r="U9" i="3"/>
  <c r="U8" i="3"/>
  <c r="U7" i="3"/>
  <c r="U6" i="3"/>
  <c r="T14" i="3"/>
  <c r="T13" i="3"/>
  <c r="T12" i="3"/>
  <c r="T11" i="3"/>
  <c r="T10" i="3"/>
  <c r="T9" i="3"/>
  <c r="T8" i="3"/>
  <c r="T7" i="3"/>
  <c r="T6" i="3"/>
  <c r="R14" i="3"/>
  <c r="Q14" i="3"/>
  <c r="Q13" i="3"/>
  <c r="Q12" i="3"/>
  <c r="Q11" i="3"/>
  <c r="Q10" i="3"/>
  <c r="Q9" i="3"/>
  <c r="Q8" i="3"/>
  <c r="Q7" i="3"/>
  <c r="Q6" i="3"/>
  <c r="O14" i="3"/>
  <c r="L14" i="3"/>
  <c r="K14" i="3"/>
  <c r="J14" i="3"/>
  <c r="I14" i="3"/>
  <c r="G14" i="3"/>
  <c r="F14" i="3"/>
  <c r="E14" i="3"/>
  <c r="D14" i="3"/>
  <c r="C14" i="3"/>
  <c r="B14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F13" i="3"/>
  <c r="AE13" i="3"/>
  <c r="AD13" i="3"/>
  <c r="AC13" i="3"/>
  <c r="R13" i="3"/>
  <c r="R12" i="3"/>
  <c r="R11" i="3"/>
  <c r="R10" i="3"/>
  <c r="R9" i="3"/>
  <c r="R8" i="3"/>
  <c r="R7" i="3"/>
  <c r="R6" i="3"/>
  <c r="O13" i="3"/>
  <c r="O12" i="3"/>
  <c r="O11" i="3"/>
  <c r="O10" i="3"/>
  <c r="O9" i="3"/>
  <c r="O8" i="3"/>
  <c r="O7" i="3"/>
  <c r="O6" i="3"/>
  <c r="L13" i="3"/>
  <c r="K13" i="3"/>
  <c r="J13" i="3"/>
  <c r="I13" i="3"/>
  <c r="I12" i="3"/>
  <c r="I11" i="3"/>
  <c r="I10" i="3"/>
  <c r="I9" i="3"/>
  <c r="I8" i="3"/>
  <c r="I7" i="3"/>
  <c r="I6" i="3"/>
  <c r="G13" i="3"/>
  <c r="G12" i="3"/>
  <c r="G11" i="3"/>
  <c r="G10" i="3"/>
  <c r="G9" i="3"/>
  <c r="G8" i="3"/>
  <c r="G7" i="3"/>
  <c r="G6" i="3"/>
  <c r="F13" i="3"/>
  <c r="E13" i="3"/>
  <c r="D13" i="3"/>
  <c r="C13" i="3"/>
  <c r="B13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F12" i="3"/>
  <c r="AE12" i="3"/>
  <c r="AD12" i="3"/>
  <c r="AC12" i="3"/>
  <c r="L12" i="3"/>
  <c r="K12" i="3"/>
  <c r="J12" i="3"/>
  <c r="F12" i="3"/>
  <c r="E12" i="3"/>
  <c r="D12" i="3"/>
  <c r="C12" i="3"/>
  <c r="B12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F11" i="3"/>
  <c r="AE11" i="3"/>
  <c r="AD11" i="3"/>
  <c r="AC11" i="3"/>
  <c r="L11" i="3"/>
  <c r="K11" i="3"/>
  <c r="J11" i="3"/>
  <c r="F11" i="3"/>
  <c r="E11" i="3"/>
  <c r="D11" i="3"/>
  <c r="C11" i="3"/>
  <c r="B11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F10" i="3"/>
  <c r="AE10" i="3"/>
  <c r="AD10" i="3"/>
  <c r="AC10" i="3"/>
  <c r="L10" i="3"/>
  <c r="K10" i="3"/>
  <c r="J10" i="3"/>
  <c r="F10" i="3"/>
  <c r="E10" i="3"/>
  <c r="D10" i="3"/>
  <c r="C10" i="3"/>
  <c r="B10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F9" i="3"/>
  <c r="AE9" i="3"/>
  <c r="AD9" i="3"/>
  <c r="AC9" i="3"/>
  <c r="L9" i="3"/>
  <c r="K9" i="3"/>
  <c r="J9" i="3"/>
  <c r="F9" i="3"/>
  <c r="E9" i="3"/>
  <c r="D9" i="3"/>
  <c r="C9" i="3"/>
  <c r="B9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F8" i="3"/>
  <c r="AE8" i="3"/>
  <c r="AD8" i="3"/>
  <c r="AC8" i="3"/>
  <c r="L8" i="3"/>
  <c r="K8" i="3"/>
  <c r="J8" i="3"/>
  <c r="F8" i="3"/>
  <c r="E8" i="3"/>
  <c r="D8" i="3"/>
  <c r="C8" i="3"/>
  <c r="B8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K6" i="3"/>
  <c r="AJ7" i="3"/>
  <c r="AI7" i="3"/>
  <c r="AH7" i="3"/>
  <c r="AF7" i="3"/>
  <c r="AF6" i="3"/>
  <c r="AE7" i="3"/>
  <c r="AE6" i="3"/>
  <c r="AD7" i="3"/>
  <c r="AC7" i="3"/>
  <c r="AC6" i="3"/>
  <c r="L7" i="3"/>
  <c r="K7" i="3"/>
  <c r="K6" i="3"/>
  <c r="J7" i="3"/>
  <c r="F7" i="3"/>
  <c r="F6" i="3"/>
  <c r="E7" i="3"/>
  <c r="E6" i="3"/>
  <c r="D7" i="3"/>
  <c r="C7" i="3"/>
  <c r="C6" i="3"/>
  <c r="B7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L6" i="3"/>
  <c r="AJ6" i="3"/>
  <c r="AI6" i="3"/>
  <c r="AH6" i="3"/>
  <c r="AD6" i="3"/>
  <c r="L6" i="3"/>
  <c r="J6" i="3"/>
  <c r="B6" i="3"/>
  <c r="AA201" i="528"/>
  <c r="AA203" i="528"/>
  <c r="Z201" i="528"/>
  <c r="Z203" i="528"/>
  <c r="Y201" i="528"/>
  <c r="Y203" i="528"/>
  <c r="X201" i="528"/>
  <c r="X203" i="528"/>
  <c r="W201" i="528"/>
  <c r="W203" i="528"/>
  <c r="V201" i="528"/>
  <c r="V203" i="528"/>
  <c r="U201" i="528"/>
  <c r="U203" i="528"/>
  <c r="AA158" i="528"/>
  <c r="Z158" i="528"/>
  <c r="Y158" i="528"/>
  <c r="X158" i="528"/>
  <c r="W158" i="528"/>
  <c r="V158" i="528"/>
  <c r="U158" i="528"/>
  <c r="AD147" i="528"/>
  <c r="AC147" i="528"/>
  <c r="AB147" i="528"/>
  <c r="AA65" i="528"/>
  <c r="AA66" i="528"/>
  <c r="AA67" i="528"/>
  <c r="AA68" i="528"/>
  <c r="AA69" i="528"/>
  <c r="AA70" i="528"/>
  <c r="AA71" i="528"/>
  <c r="AA72" i="528"/>
  <c r="AA73" i="528"/>
  <c r="AA74" i="528"/>
  <c r="AA75" i="528"/>
  <c r="AA76" i="528"/>
  <c r="AA77" i="528"/>
  <c r="AA78" i="528"/>
  <c r="AA79" i="528"/>
  <c r="AA80" i="528"/>
  <c r="AA81" i="528"/>
  <c r="AA82" i="528"/>
  <c r="AA83" i="528"/>
  <c r="AA84" i="528"/>
  <c r="AA85" i="528"/>
  <c r="AA86" i="528"/>
  <c r="AA87" i="528"/>
  <c r="AA88" i="528"/>
  <c r="AA89" i="528"/>
  <c r="AA90" i="528"/>
  <c r="AA91" i="528"/>
  <c r="AA92" i="528"/>
  <c r="AA93" i="528"/>
  <c r="AA94" i="528"/>
  <c r="AA95" i="528"/>
  <c r="AA96" i="528"/>
  <c r="AA97" i="528"/>
  <c r="AA98" i="528"/>
  <c r="AA99" i="528"/>
  <c r="AA100" i="528"/>
  <c r="AA101" i="528"/>
  <c r="AA102" i="528"/>
  <c r="Z65" i="528"/>
  <c r="Z66" i="528"/>
  <c r="Z67" i="528"/>
  <c r="Z68" i="528"/>
  <c r="Z69" i="528"/>
  <c r="Z70" i="528"/>
  <c r="Z71" i="528"/>
  <c r="Z72" i="528"/>
  <c r="Z73" i="528"/>
  <c r="Z74" i="528"/>
  <c r="Z75" i="528"/>
  <c r="Z76" i="528"/>
  <c r="Z77" i="528"/>
  <c r="Z78" i="528"/>
  <c r="Z79" i="528"/>
  <c r="Z80" i="528"/>
  <c r="Z81" i="528"/>
  <c r="Z82" i="528"/>
  <c r="Z83" i="528"/>
  <c r="Z84" i="528"/>
  <c r="Z85" i="528"/>
  <c r="Z86" i="528"/>
  <c r="Z87" i="528"/>
  <c r="Z88" i="528"/>
  <c r="Z89" i="528"/>
  <c r="Z90" i="528"/>
  <c r="Z91" i="528"/>
  <c r="Z92" i="528"/>
  <c r="Z93" i="528"/>
  <c r="Z94" i="528"/>
  <c r="Z95" i="528"/>
  <c r="Z96" i="528"/>
  <c r="Z97" i="528"/>
  <c r="Z98" i="528"/>
  <c r="Z99" i="528"/>
  <c r="Z100" i="528"/>
  <c r="Z101" i="528"/>
  <c r="Z102" i="528"/>
  <c r="Y65" i="528"/>
  <c r="Y66" i="528"/>
  <c r="Y67" i="528"/>
  <c r="Y68" i="528"/>
  <c r="Y69" i="528"/>
  <c r="Y70" i="528"/>
  <c r="Y71" i="528"/>
  <c r="Y72" i="528"/>
  <c r="Y73" i="528"/>
  <c r="Y74" i="528"/>
  <c r="Y75" i="528"/>
  <c r="Y76" i="528"/>
  <c r="Y77" i="528"/>
  <c r="Y78" i="528"/>
  <c r="Y79" i="528"/>
  <c r="Y80" i="528"/>
  <c r="Y81" i="528"/>
  <c r="Y82" i="528"/>
  <c r="Y83" i="528"/>
  <c r="Y84" i="528"/>
  <c r="Y85" i="528"/>
  <c r="Y86" i="528"/>
  <c r="Y87" i="528"/>
  <c r="Y88" i="528"/>
  <c r="Y89" i="528"/>
  <c r="Y90" i="528"/>
  <c r="Y91" i="528"/>
  <c r="Y92" i="528"/>
  <c r="Y93" i="528"/>
  <c r="Y94" i="528"/>
  <c r="Y95" i="528"/>
  <c r="Y96" i="528"/>
  <c r="Y97" i="528"/>
  <c r="Y98" i="528"/>
  <c r="Y99" i="528"/>
  <c r="Y100" i="528"/>
  <c r="Y101" i="528"/>
  <c r="Y102" i="528"/>
  <c r="X65" i="528"/>
  <c r="X66" i="528"/>
  <c r="X67" i="528"/>
  <c r="X68" i="528"/>
  <c r="X69" i="528"/>
  <c r="X70" i="528"/>
  <c r="X71" i="528"/>
  <c r="X72" i="528"/>
  <c r="X73" i="528"/>
  <c r="X74" i="528"/>
  <c r="X75" i="528"/>
  <c r="X76" i="528"/>
  <c r="X77" i="528"/>
  <c r="X78" i="528"/>
  <c r="X79" i="528"/>
  <c r="X80" i="528"/>
  <c r="X81" i="528"/>
  <c r="X82" i="528"/>
  <c r="X83" i="528"/>
  <c r="X84" i="528"/>
  <c r="X85" i="528"/>
  <c r="X86" i="528"/>
  <c r="X87" i="528"/>
  <c r="X88" i="528"/>
  <c r="X89" i="528"/>
  <c r="X90" i="528"/>
  <c r="X91" i="528"/>
  <c r="X92" i="528"/>
  <c r="X93" i="528"/>
  <c r="X94" i="528"/>
  <c r="X95" i="528"/>
  <c r="X96" i="528"/>
  <c r="X97" i="528"/>
  <c r="X98" i="528"/>
  <c r="X99" i="528"/>
  <c r="X100" i="528"/>
  <c r="X101" i="528"/>
  <c r="X102" i="528"/>
  <c r="W65" i="528"/>
  <c r="W66" i="528"/>
  <c r="W67" i="528"/>
  <c r="W68" i="528"/>
  <c r="W69" i="528"/>
  <c r="W70" i="528"/>
  <c r="W71" i="528"/>
  <c r="W72" i="528"/>
  <c r="W73" i="528"/>
  <c r="W74" i="528"/>
  <c r="W75" i="528"/>
  <c r="W76" i="528"/>
  <c r="W77" i="528"/>
  <c r="W78" i="528"/>
  <c r="W79" i="528"/>
  <c r="W80" i="528"/>
  <c r="W81" i="528"/>
  <c r="W82" i="528"/>
  <c r="W83" i="528"/>
  <c r="W84" i="528"/>
  <c r="W85" i="528"/>
  <c r="W86" i="528"/>
  <c r="W87" i="528"/>
  <c r="W88" i="528"/>
  <c r="W89" i="528"/>
  <c r="W90" i="528"/>
  <c r="W91" i="528"/>
  <c r="W92" i="528"/>
  <c r="W93" i="528"/>
  <c r="W94" i="528"/>
  <c r="W95" i="528"/>
  <c r="W96" i="528"/>
  <c r="W97" i="528"/>
  <c r="W98" i="528"/>
  <c r="W99" i="528"/>
  <c r="W100" i="528"/>
  <c r="W101" i="528"/>
  <c r="W102" i="528"/>
  <c r="V65" i="528"/>
  <c r="V66" i="528"/>
  <c r="V67" i="528"/>
  <c r="V68" i="528"/>
  <c r="V69" i="528"/>
  <c r="V70" i="528"/>
  <c r="V71" i="528"/>
  <c r="V72" i="528"/>
  <c r="V73" i="528"/>
  <c r="V74" i="528"/>
  <c r="V75" i="528"/>
  <c r="V76" i="528"/>
  <c r="V77" i="528"/>
  <c r="V78" i="528"/>
  <c r="V79" i="528"/>
  <c r="V80" i="528"/>
  <c r="V81" i="528"/>
  <c r="V82" i="528"/>
  <c r="V83" i="528"/>
  <c r="V84" i="528"/>
  <c r="V85" i="528"/>
  <c r="V86" i="528"/>
  <c r="V87" i="528"/>
  <c r="V88" i="528"/>
  <c r="V89" i="528"/>
  <c r="V90" i="528"/>
  <c r="V91" i="528"/>
  <c r="V92" i="528"/>
  <c r="V93" i="528"/>
  <c r="V94" i="528"/>
  <c r="V95" i="528"/>
  <c r="V96" i="528"/>
  <c r="V97" i="528"/>
  <c r="V98" i="528"/>
  <c r="V99" i="528"/>
  <c r="V100" i="528"/>
  <c r="V101" i="528"/>
  <c r="V102" i="528"/>
  <c r="U65" i="528"/>
  <c r="U66" i="528"/>
  <c r="U67" i="528"/>
  <c r="U68" i="528"/>
  <c r="U69" i="528"/>
  <c r="U70" i="528"/>
  <c r="U71" i="528"/>
  <c r="U72" i="528"/>
  <c r="U73" i="528"/>
  <c r="U74" i="528"/>
  <c r="U75" i="528"/>
  <c r="U76" i="528"/>
  <c r="U77" i="528"/>
  <c r="U78" i="528"/>
  <c r="U79" i="528"/>
  <c r="U80" i="528"/>
  <c r="U81" i="528"/>
  <c r="U82" i="528"/>
  <c r="U83" i="528"/>
  <c r="U84" i="528"/>
  <c r="U85" i="528"/>
  <c r="U86" i="528"/>
  <c r="U87" i="528"/>
  <c r="U88" i="528"/>
  <c r="U89" i="528"/>
  <c r="U90" i="528"/>
  <c r="U91" i="528"/>
  <c r="U92" i="528"/>
  <c r="U93" i="528"/>
  <c r="U94" i="528"/>
  <c r="U95" i="528"/>
  <c r="U96" i="528"/>
  <c r="U97" i="528"/>
  <c r="U98" i="528"/>
  <c r="U99" i="528"/>
  <c r="U100" i="528"/>
  <c r="U101" i="528"/>
  <c r="U102" i="528"/>
  <c r="W5" i="528"/>
  <c r="C16" i="528"/>
  <c r="AA16" i="528"/>
  <c r="U5" i="528"/>
  <c r="C17" i="528"/>
  <c r="AA17" i="528"/>
  <c r="Z5" i="528"/>
  <c r="C18" i="528"/>
  <c r="AA18" i="528"/>
  <c r="C19" i="528"/>
  <c r="AA19" i="528"/>
  <c r="AA5" i="528"/>
  <c r="C20" i="528"/>
  <c r="S20" i="528"/>
  <c r="AA20" i="528"/>
  <c r="C21" i="528"/>
  <c r="S21" i="528"/>
  <c r="AA21" i="528"/>
  <c r="C22" i="528"/>
  <c r="AA22" i="528"/>
  <c r="C23" i="528"/>
  <c r="AA23" i="528"/>
  <c r="C24" i="528"/>
  <c r="AA24" i="528"/>
  <c r="C25" i="528"/>
  <c r="S25" i="528"/>
  <c r="AA25" i="528"/>
  <c r="C26" i="528"/>
  <c r="AA26" i="528"/>
  <c r="C27" i="528"/>
  <c r="AA27" i="528"/>
  <c r="C28" i="528"/>
  <c r="AA28" i="528"/>
  <c r="C29" i="528"/>
  <c r="AA29" i="528"/>
  <c r="V5" i="528"/>
  <c r="C30" i="528"/>
  <c r="AA30" i="528"/>
  <c r="C31" i="528"/>
  <c r="AA31" i="528"/>
  <c r="C33" i="528"/>
  <c r="AA33" i="528"/>
  <c r="X5" i="528"/>
  <c r="C34" i="528"/>
  <c r="AA34" i="528"/>
  <c r="C35" i="528"/>
  <c r="AA35" i="528"/>
  <c r="C36" i="528"/>
  <c r="S36" i="528"/>
  <c r="AA36" i="528"/>
  <c r="C37" i="528"/>
  <c r="AA37" i="528"/>
  <c r="C38" i="528"/>
  <c r="S38" i="528"/>
  <c r="AA38" i="528"/>
  <c r="C39" i="528"/>
  <c r="AA39" i="528"/>
  <c r="C40" i="528"/>
  <c r="AA40" i="528"/>
  <c r="C41" i="528"/>
  <c r="AA41" i="528"/>
  <c r="C42" i="528"/>
  <c r="S42" i="528"/>
  <c r="AA42" i="528"/>
  <c r="C43" i="528"/>
  <c r="AA43" i="528"/>
  <c r="C45" i="528"/>
  <c r="AA45" i="528"/>
  <c r="C46" i="528"/>
  <c r="AA46" i="528"/>
  <c r="C47" i="528"/>
  <c r="AA47" i="528"/>
  <c r="C48" i="528"/>
  <c r="S48" i="528"/>
  <c r="AA48" i="528"/>
  <c r="C49" i="528"/>
  <c r="AA49" i="528"/>
  <c r="C50" i="528"/>
  <c r="AA50" i="528"/>
  <c r="C51" i="528"/>
  <c r="AA51" i="528"/>
  <c r="C52" i="528"/>
  <c r="AA52" i="528"/>
  <c r="C53" i="528"/>
  <c r="AA53" i="528"/>
  <c r="C54" i="528"/>
  <c r="S54" i="528"/>
  <c r="AA54" i="528"/>
  <c r="C55" i="528"/>
  <c r="S55" i="528"/>
  <c r="AA55" i="528"/>
  <c r="C56" i="528"/>
  <c r="AA56" i="528"/>
  <c r="C57" i="528"/>
  <c r="S57" i="528"/>
  <c r="AA57" i="528"/>
  <c r="C58" i="528"/>
  <c r="S58" i="528"/>
  <c r="AA58" i="528"/>
  <c r="C59" i="528"/>
  <c r="S59" i="528"/>
  <c r="AA59" i="528"/>
  <c r="C60" i="528"/>
  <c r="S60" i="528"/>
  <c r="AA60" i="528"/>
  <c r="AA61" i="528"/>
  <c r="AA62" i="528"/>
  <c r="AA63" i="528"/>
  <c r="AA64" i="528"/>
  <c r="Z16" i="528"/>
  <c r="Z17" i="528"/>
  <c r="S18" i="528"/>
  <c r="Z18" i="528"/>
  <c r="Z19" i="528"/>
  <c r="Z20" i="528"/>
  <c r="Z21" i="528"/>
  <c r="Z22" i="528"/>
  <c r="Z23" i="528"/>
  <c r="S24" i="528"/>
  <c r="Z24" i="528"/>
  <c r="Z25" i="528"/>
  <c r="Z26" i="528"/>
  <c r="Z27" i="528"/>
  <c r="Z28" i="528"/>
  <c r="S29" i="528"/>
  <c r="Z29" i="528"/>
  <c r="Z30" i="528"/>
  <c r="S31" i="528"/>
  <c r="Z31" i="528"/>
  <c r="Z33" i="528"/>
  <c r="Z34" i="528"/>
  <c r="Z35" i="528"/>
  <c r="Z36" i="528"/>
  <c r="Z37" i="528"/>
  <c r="Z38" i="528"/>
  <c r="Z39" i="528"/>
  <c r="Z40" i="528"/>
  <c r="S41" i="528"/>
  <c r="Z41" i="528"/>
  <c r="Z42" i="528"/>
  <c r="Z43" i="528"/>
  <c r="Z45" i="528"/>
  <c r="Z46" i="528"/>
  <c r="S47" i="528"/>
  <c r="Z47" i="528"/>
  <c r="Z48" i="528"/>
  <c r="Z49" i="528"/>
  <c r="Z50" i="528"/>
  <c r="Z51" i="528"/>
  <c r="Z52" i="528"/>
  <c r="Z53" i="528"/>
  <c r="Z54" i="528"/>
  <c r="Z55" i="528"/>
  <c r="Z56" i="528"/>
  <c r="Z57" i="528"/>
  <c r="Z58" i="528"/>
  <c r="Z59" i="528"/>
  <c r="Z60" i="528"/>
  <c r="Z61" i="528"/>
  <c r="Z62" i="528"/>
  <c r="Z63" i="528"/>
  <c r="Z64" i="528"/>
  <c r="Y16" i="528"/>
  <c r="Y17" i="528"/>
  <c r="Y18" i="528"/>
  <c r="Y19" i="528"/>
  <c r="Y20" i="528"/>
  <c r="Y21" i="528"/>
  <c r="Y22" i="528"/>
  <c r="Y23" i="528"/>
  <c r="Y24" i="528"/>
  <c r="Y25" i="528"/>
  <c r="Y26" i="528"/>
  <c r="Y27" i="528"/>
  <c r="Y28" i="528"/>
  <c r="Y29" i="528"/>
  <c r="Y30" i="528"/>
  <c r="Y31" i="528"/>
  <c r="Y33" i="528"/>
  <c r="Y34" i="528"/>
  <c r="Y35" i="528"/>
  <c r="Y36" i="528"/>
  <c r="Y37" i="528"/>
  <c r="Y38" i="528"/>
  <c r="Y39" i="528"/>
  <c r="Y40" i="528"/>
  <c r="Y41" i="528"/>
  <c r="Y42" i="528"/>
  <c r="Y43" i="528"/>
  <c r="Y45" i="528"/>
  <c r="Y46" i="528"/>
  <c r="Y47" i="528"/>
  <c r="Y48" i="528"/>
  <c r="Y49" i="528"/>
  <c r="Y50" i="528"/>
  <c r="Y51" i="528"/>
  <c r="Y52" i="528"/>
  <c r="Y53" i="528"/>
  <c r="Y54" i="528"/>
  <c r="Y55" i="528"/>
  <c r="Y56" i="528"/>
  <c r="Y57" i="528"/>
  <c r="Y58" i="528"/>
  <c r="Y59" i="528"/>
  <c r="Y60" i="528"/>
  <c r="Y61" i="528"/>
  <c r="Y62" i="528"/>
  <c r="Y63" i="528"/>
  <c r="Y64" i="528"/>
  <c r="X16" i="528"/>
  <c r="X17" i="528"/>
  <c r="X18" i="528"/>
  <c r="X19" i="528"/>
  <c r="X20" i="528"/>
  <c r="X21" i="528"/>
  <c r="X22" i="528"/>
  <c r="X23" i="528"/>
  <c r="X24" i="528"/>
  <c r="X25" i="528"/>
  <c r="X26" i="528"/>
  <c r="X27" i="528"/>
  <c r="X28" i="528"/>
  <c r="X29" i="528"/>
  <c r="X30" i="528"/>
  <c r="X31" i="528"/>
  <c r="X33" i="528"/>
  <c r="S34" i="528"/>
  <c r="X34" i="528"/>
  <c r="X35" i="528"/>
  <c r="X36" i="528"/>
  <c r="S37" i="528"/>
  <c r="X37" i="528"/>
  <c r="X38" i="528"/>
  <c r="X39" i="528"/>
  <c r="S40" i="528"/>
  <c r="X40" i="528"/>
  <c r="X41" i="528"/>
  <c r="X42" i="528"/>
  <c r="X43" i="528"/>
  <c r="X45" i="528"/>
  <c r="X46" i="528"/>
  <c r="X47" i="528"/>
  <c r="X48" i="528"/>
  <c r="X49" i="528"/>
  <c r="X50" i="528"/>
  <c r="X51" i="528"/>
  <c r="X52" i="528"/>
  <c r="X53" i="528"/>
  <c r="X54" i="528"/>
  <c r="X55" i="528"/>
  <c r="S56" i="528"/>
  <c r="X56" i="528"/>
  <c r="X57" i="528"/>
  <c r="X58" i="528"/>
  <c r="X59" i="528"/>
  <c r="X60" i="528"/>
  <c r="X61" i="528"/>
  <c r="X62" i="528"/>
  <c r="X63" i="528"/>
  <c r="X64" i="528"/>
  <c r="S16" i="528"/>
  <c r="W16" i="528"/>
  <c r="W17" i="528"/>
  <c r="W18" i="528"/>
  <c r="S19" i="528"/>
  <c r="W19" i="528"/>
  <c r="W20" i="528"/>
  <c r="W21" i="528"/>
  <c r="W22" i="528"/>
  <c r="S23" i="528"/>
  <c r="W23" i="528"/>
  <c r="W24" i="528"/>
  <c r="W25" i="528"/>
  <c r="W26" i="528"/>
  <c r="W27" i="528"/>
  <c r="S28" i="528"/>
  <c r="W28" i="528"/>
  <c r="W29" i="528"/>
  <c r="W30" i="528"/>
  <c r="W31" i="528"/>
  <c r="S33" i="528"/>
  <c r="W33" i="528"/>
  <c r="W34" i="528"/>
  <c r="S35" i="528"/>
  <c r="W35" i="528"/>
  <c r="W36" i="528"/>
  <c r="W37" i="528"/>
  <c r="W38" i="528"/>
  <c r="W39" i="528"/>
  <c r="W40" i="528"/>
  <c r="W41" i="528"/>
  <c r="W42" i="528"/>
  <c r="W43" i="528"/>
  <c r="W45" i="528"/>
  <c r="S46" i="528"/>
  <c r="W46" i="528"/>
  <c r="W47" i="528"/>
  <c r="W48" i="528"/>
  <c r="W49" i="528"/>
  <c r="W50" i="528"/>
  <c r="S51" i="528"/>
  <c r="W51" i="528"/>
  <c r="S52" i="528"/>
  <c r="W52" i="528"/>
  <c r="W53" i="528"/>
  <c r="W54" i="528"/>
  <c r="W55" i="528"/>
  <c r="W56" i="528"/>
  <c r="W57" i="528"/>
  <c r="W58" i="528"/>
  <c r="W59" i="528"/>
  <c r="W60" i="528"/>
  <c r="W61" i="528"/>
  <c r="W62" i="528"/>
  <c r="W63" i="528"/>
  <c r="W64" i="528"/>
  <c r="V16" i="528"/>
  <c r="V17" i="528"/>
  <c r="V18" i="528"/>
  <c r="V19" i="528"/>
  <c r="V20" i="528"/>
  <c r="V21" i="528"/>
  <c r="V23" i="528"/>
  <c r="V24" i="528"/>
  <c r="V25" i="528"/>
  <c r="V26" i="528"/>
  <c r="V28" i="528"/>
  <c r="V29" i="528"/>
  <c r="S30" i="528"/>
  <c r="V30" i="528"/>
  <c r="V31" i="528"/>
  <c r="V33" i="528"/>
  <c r="V34" i="528"/>
  <c r="V35" i="528"/>
  <c r="V36" i="528"/>
  <c r="V37" i="528"/>
  <c r="V38" i="528"/>
  <c r="V39" i="528"/>
  <c r="V40" i="528"/>
  <c r="V41" i="528"/>
  <c r="V42" i="528"/>
  <c r="V43" i="528"/>
  <c r="V45" i="528"/>
  <c r="V46" i="528"/>
  <c r="V47" i="528"/>
  <c r="V48" i="528"/>
  <c r="V49" i="528"/>
  <c r="V50" i="528"/>
  <c r="V51" i="528"/>
  <c r="V52" i="528"/>
  <c r="V53" i="528"/>
  <c r="V54" i="528"/>
  <c r="V55" i="528"/>
  <c r="V56" i="528"/>
  <c r="V57" i="528"/>
  <c r="V58" i="528"/>
  <c r="V59" i="528"/>
  <c r="V60" i="528"/>
  <c r="V61" i="528"/>
  <c r="V62" i="528"/>
  <c r="V63" i="528"/>
  <c r="V64" i="528"/>
  <c r="U16" i="528"/>
  <c r="S17" i="528"/>
  <c r="U17" i="528"/>
  <c r="U18" i="528"/>
  <c r="U19" i="528"/>
  <c r="U20" i="528"/>
  <c r="U21" i="528"/>
  <c r="S22" i="528"/>
  <c r="U22" i="528"/>
  <c r="U23" i="528"/>
  <c r="U24" i="528"/>
  <c r="U25" i="528"/>
  <c r="S26" i="528"/>
  <c r="U26" i="528"/>
  <c r="S27" i="528"/>
  <c r="U27" i="528"/>
  <c r="U28" i="528"/>
  <c r="U29" i="528"/>
  <c r="U30" i="528"/>
  <c r="U31" i="528"/>
  <c r="U33" i="528"/>
  <c r="U34" i="528"/>
  <c r="U35" i="528"/>
  <c r="U36" i="528"/>
  <c r="U37" i="528"/>
  <c r="U38" i="528"/>
  <c r="S39" i="528"/>
  <c r="U39" i="528"/>
  <c r="U40" i="528"/>
  <c r="U41" i="528"/>
  <c r="U42" i="528"/>
  <c r="U43" i="528"/>
  <c r="S45" i="528"/>
  <c r="U45" i="528"/>
  <c r="U46" i="528"/>
  <c r="U47" i="528"/>
  <c r="U48" i="528"/>
  <c r="S49" i="528"/>
  <c r="U49" i="528"/>
  <c r="S50" i="528"/>
  <c r="U50" i="528"/>
  <c r="U51" i="528"/>
  <c r="U52" i="528"/>
  <c r="U53" i="528"/>
  <c r="U54" i="528"/>
  <c r="U55" i="528"/>
  <c r="U56" i="528"/>
  <c r="U57" i="528"/>
  <c r="U58" i="528"/>
  <c r="U59" i="528"/>
  <c r="U60" i="528"/>
  <c r="U61" i="528"/>
  <c r="U62" i="528"/>
  <c r="U63" i="528"/>
  <c r="U64" i="528"/>
  <c r="AB61" i="528"/>
  <c r="Q62" i="528"/>
  <c r="K62" i="528"/>
  <c r="K63" i="528"/>
  <c r="J62" i="528"/>
  <c r="J63" i="528"/>
  <c r="I62" i="528"/>
  <c r="I63" i="528"/>
  <c r="H62" i="528"/>
  <c r="H63" i="528"/>
  <c r="G62" i="528"/>
  <c r="G63" i="528"/>
  <c r="F62" i="528"/>
  <c r="F63" i="528"/>
  <c r="E62" i="528"/>
  <c r="E63" i="528"/>
  <c r="O60" i="528"/>
  <c r="T60" i="528"/>
  <c r="O59" i="528"/>
  <c r="T59" i="528"/>
  <c r="O58" i="528"/>
  <c r="T58" i="528"/>
  <c r="O57" i="528"/>
  <c r="T57" i="528"/>
  <c r="T56" i="528"/>
  <c r="R50" i="528"/>
  <c r="R51" i="528"/>
  <c r="R52" i="528"/>
  <c r="R53" i="528"/>
  <c r="R54" i="528"/>
  <c r="R55" i="528"/>
  <c r="R56" i="528"/>
  <c r="O50" i="528"/>
  <c r="P50" i="528"/>
  <c r="N50" i="528"/>
  <c r="O51" i="528"/>
  <c r="P51" i="528"/>
  <c r="N51" i="528"/>
  <c r="O52" i="528"/>
  <c r="P52" i="528"/>
  <c r="N52" i="528"/>
  <c r="O53" i="528"/>
  <c r="P53" i="528"/>
  <c r="N53" i="528"/>
  <c r="O54" i="528"/>
  <c r="P54" i="528"/>
  <c r="N54" i="528"/>
  <c r="O55" i="528"/>
  <c r="P55" i="528"/>
  <c r="N55" i="528"/>
  <c r="N56" i="528"/>
  <c r="L51" i="528"/>
  <c r="L52" i="528"/>
  <c r="L53" i="528"/>
  <c r="L54" i="528"/>
  <c r="L55" i="528"/>
  <c r="L56" i="528"/>
  <c r="T55" i="528"/>
  <c r="T54" i="528"/>
  <c r="T53" i="528"/>
  <c r="T52" i="528"/>
  <c r="T51" i="528"/>
  <c r="T50" i="528"/>
  <c r="T49" i="528"/>
  <c r="R45" i="528"/>
  <c r="R46" i="528"/>
  <c r="R47" i="528"/>
  <c r="R48" i="528"/>
  <c r="R49" i="528"/>
  <c r="O45" i="528"/>
  <c r="P45" i="528"/>
  <c r="N45" i="528"/>
  <c r="O46" i="528"/>
  <c r="P46" i="528"/>
  <c r="N46" i="528"/>
  <c r="O47" i="528"/>
  <c r="P47" i="528"/>
  <c r="N47" i="528"/>
  <c r="O48" i="528"/>
  <c r="P48" i="528"/>
  <c r="N48" i="528"/>
  <c r="N49" i="528"/>
  <c r="L46" i="528"/>
  <c r="L47" i="528"/>
  <c r="L48" i="528"/>
  <c r="L49" i="528"/>
  <c r="T48" i="528"/>
  <c r="T47" i="528"/>
  <c r="T46" i="528"/>
  <c r="T45" i="528"/>
  <c r="T43" i="528"/>
  <c r="S43" i="528"/>
  <c r="R39" i="528"/>
  <c r="R40" i="528"/>
  <c r="R41" i="528"/>
  <c r="R42" i="528"/>
  <c r="R43" i="528"/>
  <c r="O39" i="528"/>
  <c r="P39" i="528"/>
  <c r="N39" i="528"/>
  <c r="N40" i="528"/>
  <c r="N41" i="528"/>
  <c r="O42" i="528"/>
  <c r="P42" i="528"/>
  <c r="N42" i="528"/>
  <c r="N43" i="528"/>
  <c r="L40" i="528"/>
  <c r="L41" i="528"/>
  <c r="L42" i="528"/>
  <c r="L43" i="528"/>
  <c r="T42" i="528"/>
  <c r="O41" i="528"/>
  <c r="T41" i="528"/>
  <c r="P41" i="528"/>
  <c r="O40" i="528"/>
  <c r="T40" i="528"/>
  <c r="P40" i="528"/>
  <c r="T39" i="528"/>
  <c r="T38" i="528"/>
  <c r="T37" i="528"/>
  <c r="R33" i="528"/>
  <c r="R34" i="528"/>
  <c r="R35" i="528"/>
  <c r="R36" i="528"/>
  <c r="R37" i="528"/>
  <c r="O33" i="528"/>
  <c r="P33" i="528"/>
  <c r="N33" i="528"/>
  <c r="O34" i="528"/>
  <c r="P34" i="528"/>
  <c r="N34" i="528"/>
  <c r="O35" i="528"/>
  <c r="P35" i="528"/>
  <c r="N35" i="528"/>
  <c r="O36" i="528"/>
  <c r="P36" i="528"/>
  <c r="N36" i="528"/>
  <c r="N37" i="528"/>
  <c r="L34" i="528"/>
  <c r="L35" i="528"/>
  <c r="L36" i="528"/>
  <c r="L37" i="528"/>
  <c r="T36" i="528"/>
  <c r="T35" i="528"/>
  <c r="T34" i="528"/>
  <c r="T33" i="528"/>
  <c r="R28" i="528"/>
  <c r="R29" i="528"/>
  <c r="R30" i="528"/>
  <c r="R31" i="528"/>
  <c r="R32" i="528"/>
  <c r="O28" i="528"/>
  <c r="P28" i="528"/>
  <c r="N28" i="528"/>
  <c r="O29" i="528"/>
  <c r="P29" i="528"/>
  <c r="N29" i="528"/>
  <c r="O30" i="528"/>
  <c r="P30" i="528"/>
  <c r="N30" i="528"/>
  <c r="O31" i="528"/>
  <c r="P31" i="528"/>
  <c r="N31" i="528"/>
  <c r="N32" i="528"/>
  <c r="O27" i="528"/>
  <c r="P27" i="528"/>
  <c r="N27" i="528"/>
  <c r="L28" i="528"/>
  <c r="L29" i="528"/>
  <c r="L31" i="528"/>
  <c r="L32" i="528"/>
  <c r="C32" i="528"/>
  <c r="T31" i="528"/>
  <c r="T30" i="528"/>
  <c r="L30" i="528"/>
  <c r="T29" i="528"/>
  <c r="T28" i="528"/>
  <c r="T27" i="528"/>
  <c r="R27" i="528"/>
  <c r="T26" i="528"/>
  <c r="R22" i="528"/>
  <c r="R23" i="528"/>
  <c r="R24" i="528"/>
  <c r="R25" i="528"/>
  <c r="R26" i="528"/>
  <c r="O22" i="528"/>
  <c r="P22" i="528"/>
  <c r="N22" i="528"/>
  <c r="O23" i="528"/>
  <c r="P23" i="528"/>
  <c r="N23" i="528"/>
  <c r="O24" i="528"/>
  <c r="P24" i="528"/>
  <c r="N24" i="528"/>
  <c r="O25" i="528"/>
  <c r="P25" i="528"/>
  <c r="N25" i="528"/>
  <c r="N26" i="528"/>
  <c r="L23" i="528"/>
  <c r="L24" i="528"/>
  <c r="L25" i="528"/>
  <c r="L26" i="528"/>
  <c r="T25" i="528"/>
  <c r="T24" i="528"/>
  <c r="T23" i="528"/>
  <c r="T22" i="528"/>
  <c r="O21" i="528"/>
  <c r="T21" i="528"/>
  <c r="R17" i="528"/>
  <c r="R18" i="528"/>
  <c r="R19" i="528"/>
  <c r="R20" i="528"/>
  <c r="R21" i="528"/>
  <c r="O17" i="528"/>
  <c r="P17" i="528"/>
  <c r="N17" i="528"/>
  <c r="O18" i="528"/>
  <c r="P18" i="528"/>
  <c r="N18" i="528"/>
  <c r="O19" i="528"/>
  <c r="P19" i="528"/>
  <c r="N19" i="528"/>
  <c r="O20" i="528"/>
  <c r="P20" i="528"/>
  <c r="N20" i="528"/>
  <c r="N21" i="528"/>
  <c r="L18" i="528"/>
  <c r="L19" i="528"/>
  <c r="L20" i="528"/>
  <c r="L21" i="528"/>
  <c r="T20" i="528"/>
  <c r="T19" i="528"/>
  <c r="T18" i="528"/>
  <c r="T17" i="528"/>
  <c r="O16" i="528"/>
  <c r="T16" i="528"/>
  <c r="R12" i="528"/>
  <c r="R13" i="528"/>
  <c r="R14" i="528"/>
  <c r="R15" i="528"/>
  <c r="R16" i="528"/>
  <c r="C12" i="528"/>
  <c r="O12" i="528"/>
  <c r="P12" i="528"/>
  <c r="N12" i="528"/>
  <c r="C13" i="528"/>
  <c r="O13" i="528"/>
  <c r="P13" i="528"/>
  <c r="N13" i="528"/>
  <c r="C14" i="528"/>
  <c r="O14" i="528"/>
  <c r="P14" i="528"/>
  <c r="N14" i="528"/>
  <c r="C15" i="528"/>
  <c r="O15" i="528"/>
  <c r="P15" i="528"/>
  <c r="N15" i="528"/>
  <c r="N16" i="528"/>
  <c r="L13" i="528"/>
  <c r="L14" i="528"/>
  <c r="L15" i="528"/>
  <c r="L16" i="528"/>
  <c r="S15" i="528"/>
  <c r="AA15" i="528"/>
  <c r="Z15" i="528"/>
  <c r="Y15" i="528"/>
  <c r="X15" i="528"/>
  <c r="W15" i="528"/>
  <c r="V15" i="528"/>
  <c r="U15" i="528"/>
  <c r="T15" i="528"/>
  <c r="AA14" i="528"/>
  <c r="Z14" i="528"/>
  <c r="Y14" i="528"/>
  <c r="X14" i="528"/>
  <c r="S14" i="528"/>
  <c r="W14" i="528"/>
  <c r="V14" i="528"/>
  <c r="U14" i="528"/>
  <c r="T14" i="528"/>
  <c r="AA13" i="528"/>
  <c r="S13" i="528"/>
  <c r="Z13" i="528"/>
  <c r="Y13" i="528"/>
  <c r="X13" i="528"/>
  <c r="W13" i="528"/>
  <c r="V13" i="528"/>
  <c r="U13" i="528"/>
  <c r="T13" i="528"/>
  <c r="AA12" i="528"/>
  <c r="Z12" i="528"/>
  <c r="Y12" i="528"/>
  <c r="X12" i="528"/>
  <c r="W12" i="528"/>
  <c r="S12" i="528"/>
  <c r="U12" i="528"/>
  <c r="T12" i="528"/>
  <c r="C11" i="528"/>
  <c r="AA11" i="528"/>
  <c r="Z11" i="528"/>
  <c r="Y11" i="528"/>
  <c r="X11" i="528"/>
  <c r="W11" i="528"/>
  <c r="V11" i="528"/>
  <c r="U11" i="528"/>
  <c r="O11" i="528"/>
  <c r="T11" i="528"/>
  <c r="S11" i="528"/>
  <c r="R6" i="528"/>
  <c r="R7" i="528"/>
  <c r="R8" i="528"/>
  <c r="R9" i="528"/>
  <c r="R10" i="528"/>
  <c r="R11" i="528"/>
  <c r="C6" i="528"/>
  <c r="O6" i="528"/>
  <c r="P6" i="528"/>
  <c r="N6" i="528"/>
  <c r="C7" i="528"/>
  <c r="O7" i="528"/>
  <c r="P7" i="528"/>
  <c r="N7" i="528"/>
  <c r="N8" i="528"/>
  <c r="C9" i="528"/>
  <c r="O9" i="528"/>
  <c r="P9" i="528"/>
  <c r="N9" i="528"/>
  <c r="C10" i="528"/>
  <c r="O10" i="528"/>
  <c r="P10" i="528"/>
  <c r="N10" i="528"/>
  <c r="N11" i="528"/>
  <c r="L7" i="528"/>
  <c r="L8" i="528"/>
  <c r="L9" i="528"/>
  <c r="L10" i="528"/>
  <c r="L11" i="528"/>
  <c r="S10" i="528"/>
  <c r="AA10" i="528"/>
  <c r="Z10" i="528"/>
  <c r="Y10" i="528"/>
  <c r="X10" i="528"/>
  <c r="W10" i="528"/>
  <c r="V10" i="528"/>
  <c r="U10" i="528"/>
  <c r="T10" i="528"/>
  <c r="AA9" i="528"/>
  <c r="Z9" i="528"/>
  <c r="Y9" i="528"/>
  <c r="X9" i="528"/>
  <c r="S9" i="528"/>
  <c r="W9" i="528"/>
  <c r="V9" i="528"/>
  <c r="U9" i="528"/>
  <c r="T9" i="528"/>
  <c r="C8" i="528"/>
  <c r="AA8" i="528"/>
  <c r="Z8" i="528"/>
  <c r="Y8" i="528"/>
  <c r="X8" i="528"/>
  <c r="W8" i="528"/>
  <c r="S8" i="528"/>
  <c r="V8" i="528"/>
  <c r="U8" i="528"/>
  <c r="O8" i="528"/>
  <c r="T8" i="528"/>
  <c r="P8" i="528"/>
  <c r="AA7" i="528"/>
  <c r="Z7" i="528"/>
  <c r="Y7" i="528"/>
  <c r="X7" i="528"/>
  <c r="S7" i="528"/>
  <c r="W7" i="528"/>
  <c r="V7" i="528"/>
  <c r="U7" i="528"/>
  <c r="T7" i="528"/>
  <c r="AA6" i="528"/>
  <c r="Z6" i="528"/>
  <c r="Y6" i="528"/>
  <c r="X6" i="528"/>
  <c r="W6" i="528"/>
  <c r="V6" i="528"/>
  <c r="S6" i="528"/>
  <c r="U6" i="528"/>
  <c r="T6" i="528"/>
  <c r="Y5" i="528"/>
  <c r="C13" i="525"/>
  <c r="S18" i="525"/>
  <c r="S19" i="525"/>
  <c r="C20" i="525"/>
  <c r="C21" i="525"/>
  <c r="S27" i="525"/>
  <c r="S28" i="525"/>
  <c r="C29" i="525"/>
  <c r="C30" i="525"/>
  <c r="S35" i="525"/>
  <c r="S36" i="525"/>
  <c r="S37" i="525"/>
  <c r="C39" i="525"/>
  <c r="C40" i="525"/>
  <c r="S45" i="525"/>
  <c r="S46" i="525"/>
  <c r="S47" i="525"/>
  <c r="C49" i="525"/>
  <c r="C50" i="525"/>
  <c r="O50" i="525"/>
  <c r="T50" i="525"/>
  <c r="S52" i="525"/>
  <c r="S53" i="525"/>
  <c r="C55" i="525"/>
  <c r="S6" i="525"/>
  <c r="S14" i="525"/>
  <c r="S22" i="525"/>
  <c r="S31" i="525"/>
  <c r="S34" i="525"/>
  <c r="S38" i="525"/>
  <c r="S41" i="525"/>
  <c r="S48" i="525"/>
  <c r="S7" i="525"/>
  <c r="S9" i="525"/>
  <c r="S23" i="525"/>
  <c r="S32" i="525"/>
  <c r="S8" i="525"/>
  <c r="S10" i="525"/>
  <c r="S11" i="525"/>
  <c r="S16" i="525"/>
  <c r="S33" i="525"/>
  <c r="S51" i="525"/>
  <c r="S57" i="525"/>
  <c r="S15" i="525"/>
  <c r="S24" i="525"/>
  <c r="S25" i="525"/>
  <c r="S12" i="525"/>
  <c r="S17" i="525"/>
  <c r="S26" i="525"/>
  <c r="S58" i="525"/>
  <c r="S59" i="525"/>
  <c r="S60" i="525"/>
  <c r="S61" i="525"/>
  <c r="R57" i="525"/>
  <c r="R51" i="525"/>
  <c r="R52" i="525"/>
  <c r="R53" i="525"/>
  <c r="R55" i="525"/>
  <c r="R26" i="525"/>
  <c r="P26" i="525"/>
  <c r="N26" i="525"/>
  <c r="N23" i="525"/>
  <c r="P17" i="525"/>
  <c r="R17" i="525"/>
  <c r="N17" i="525"/>
  <c r="P12" i="525"/>
  <c r="R12" i="525"/>
  <c r="N12" i="525"/>
  <c r="U3" i="555"/>
  <c r="U4" i="555"/>
  <c r="C29" i="555"/>
  <c r="V3" i="555"/>
  <c r="V4" i="555"/>
  <c r="C13" i="555"/>
  <c r="W3" i="555"/>
  <c r="Z3" i="555"/>
  <c r="Z4" i="555"/>
  <c r="C20" i="555"/>
  <c r="R23" i="555"/>
  <c r="AA3" i="555"/>
  <c r="Y3" i="555"/>
  <c r="Y4" i="555"/>
  <c r="X3" i="555"/>
  <c r="X4" i="555"/>
  <c r="S15" i="555"/>
  <c r="S14" i="555"/>
  <c r="S13" i="555"/>
  <c r="S12" i="555"/>
  <c r="C11" i="555"/>
  <c r="R15" i="555"/>
  <c r="R14" i="555"/>
  <c r="R13" i="555"/>
  <c r="R22" i="555"/>
  <c r="R21" i="555"/>
  <c r="R20" i="555"/>
  <c r="R19" i="555"/>
  <c r="R18" i="555"/>
  <c r="R17" i="555"/>
  <c r="R16" i="555"/>
  <c r="S13" i="525"/>
  <c r="T13" i="525"/>
  <c r="R6" i="525"/>
  <c r="R7" i="525"/>
  <c r="R8" i="525"/>
  <c r="R9" i="525"/>
  <c r="R10" i="525"/>
  <c r="R11" i="525"/>
  <c r="R13" i="525"/>
  <c r="R41" i="525"/>
  <c r="R42" i="525"/>
  <c r="R43" i="525"/>
  <c r="R44" i="525"/>
  <c r="R45" i="525"/>
  <c r="R46" i="525"/>
  <c r="R47" i="525"/>
  <c r="R48" i="525"/>
  <c r="R49" i="525"/>
  <c r="S5" i="555"/>
  <c r="C23" i="555"/>
  <c r="S26" i="555"/>
  <c r="S29" i="555"/>
  <c r="C30" i="555"/>
  <c r="C31" i="555"/>
  <c r="S32" i="555"/>
  <c r="C39" i="555"/>
  <c r="C47" i="555"/>
  <c r="S48" i="555"/>
  <c r="C55" i="555"/>
  <c r="C56" i="555"/>
  <c r="S24" i="555"/>
  <c r="S40" i="555"/>
  <c r="S49" i="555"/>
  <c r="S51" i="555"/>
  <c r="S9" i="555"/>
  <c r="S25" i="555"/>
  <c r="S33" i="555"/>
  <c r="S36" i="555"/>
  <c r="S42" i="555"/>
  <c r="S44" i="555"/>
  <c r="S50" i="555"/>
  <c r="S52" i="555"/>
  <c r="S53" i="555"/>
  <c r="S58" i="555"/>
  <c r="S35" i="555"/>
  <c r="S54" i="555"/>
  <c r="S27" i="555"/>
  <c r="G34" i="555"/>
  <c r="S34" i="555"/>
  <c r="S16" i="555"/>
  <c r="S17" i="555"/>
  <c r="S18" i="555"/>
  <c r="S19" i="555"/>
  <c r="S20" i="555"/>
  <c r="S21" i="555"/>
  <c r="S6" i="555"/>
  <c r="S45" i="555"/>
  <c r="S46" i="555"/>
  <c r="S7" i="555"/>
  <c r="S8" i="555"/>
  <c r="S10" i="555"/>
  <c r="S28" i="555"/>
  <c r="S37" i="555"/>
  <c r="S38" i="555"/>
  <c r="S41" i="555"/>
  <c r="S43" i="555"/>
  <c r="S57" i="555"/>
  <c r="S11" i="555"/>
  <c r="T11" i="555"/>
  <c r="S22" i="555"/>
  <c r="T22" i="555"/>
  <c r="S23" i="555"/>
  <c r="T23" i="555"/>
  <c r="S30" i="555"/>
  <c r="T30" i="555"/>
  <c r="S31" i="555"/>
  <c r="T31" i="555"/>
  <c r="S39" i="555"/>
  <c r="T39" i="555"/>
  <c r="S47" i="555"/>
  <c r="T47" i="555"/>
  <c r="S55" i="555"/>
  <c r="T55" i="555"/>
  <c r="S56" i="555"/>
  <c r="T56" i="555"/>
  <c r="T58" i="555"/>
  <c r="R48" i="555"/>
  <c r="R49" i="555"/>
  <c r="R50" i="555"/>
  <c r="R51" i="555"/>
  <c r="R52" i="555"/>
  <c r="R53" i="555"/>
  <c r="R54" i="555"/>
  <c r="R55" i="555"/>
  <c r="R5" i="555"/>
  <c r="R6" i="555"/>
  <c r="R7" i="555"/>
  <c r="R8" i="555"/>
  <c r="R9" i="555"/>
  <c r="R10" i="555"/>
  <c r="R11" i="555"/>
  <c r="AA211" i="555"/>
  <c r="AA213" i="555"/>
  <c r="Z211" i="555"/>
  <c r="Z213" i="555"/>
  <c r="Y211" i="555"/>
  <c r="Y213" i="555"/>
  <c r="X211" i="555"/>
  <c r="X213" i="555"/>
  <c r="W211" i="555"/>
  <c r="W213" i="555"/>
  <c r="V211" i="555"/>
  <c r="V213" i="555"/>
  <c r="U211" i="555"/>
  <c r="U213" i="555"/>
  <c r="AA168" i="555"/>
  <c r="Z168" i="555"/>
  <c r="Y168" i="555"/>
  <c r="X168" i="555"/>
  <c r="W168" i="555"/>
  <c r="V168" i="555"/>
  <c r="U168" i="555"/>
  <c r="AD157" i="555"/>
  <c r="AC157" i="555"/>
  <c r="AB157" i="555"/>
  <c r="R57" i="555"/>
  <c r="N58" i="555"/>
  <c r="L57" i="555"/>
  <c r="R40" i="555"/>
  <c r="R41" i="555"/>
  <c r="R42" i="555"/>
  <c r="R43" i="555"/>
  <c r="R44" i="555"/>
  <c r="R45" i="555"/>
  <c r="R46" i="555"/>
  <c r="R47" i="555"/>
  <c r="R32" i="555"/>
  <c r="R33" i="555"/>
  <c r="R34" i="555"/>
  <c r="R35" i="555"/>
  <c r="R36" i="555"/>
  <c r="R37" i="555"/>
  <c r="R38" i="555"/>
  <c r="R39" i="555"/>
  <c r="R25" i="555"/>
  <c r="R26" i="555"/>
  <c r="R27" i="555"/>
  <c r="R28" i="555"/>
  <c r="R29" i="555"/>
  <c r="R30" i="555"/>
  <c r="R24" i="555"/>
  <c r="R12" i="555"/>
  <c r="U4" i="524"/>
  <c r="U101" i="524"/>
  <c r="V4" i="524"/>
  <c r="V5" i="524"/>
  <c r="W4" i="524"/>
  <c r="AA4" i="524"/>
  <c r="AA5" i="524"/>
  <c r="Z4" i="524"/>
  <c r="Y4" i="524"/>
  <c r="C26" i="524"/>
  <c r="O26" i="524"/>
  <c r="C32" i="524"/>
  <c r="X4" i="524"/>
  <c r="X5" i="524"/>
  <c r="C75" i="524"/>
  <c r="S7" i="524"/>
  <c r="S8" i="524"/>
  <c r="S9" i="524"/>
  <c r="S10" i="524"/>
  <c r="S11" i="524"/>
  <c r="S12" i="524"/>
  <c r="S13" i="524"/>
  <c r="S14" i="524"/>
  <c r="S15" i="524"/>
  <c r="S16" i="524"/>
  <c r="T16" i="524"/>
  <c r="S17" i="524"/>
  <c r="S18" i="524"/>
  <c r="S19" i="524"/>
  <c r="S20" i="524"/>
  <c r="S21" i="524"/>
  <c r="S22" i="524"/>
  <c r="S23" i="524"/>
  <c r="S24" i="524"/>
  <c r="S25" i="524"/>
  <c r="S26" i="524"/>
  <c r="S27" i="524"/>
  <c r="S28" i="524"/>
  <c r="S29" i="524"/>
  <c r="S30" i="524"/>
  <c r="S31" i="524"/>
  <c r="S32" i="524"/>
  <c r="T32" i="524"/>
  <c r="S33" i="524"/>
  <c r="S34" i="524"/>
  <c r="S35" i="524"/>
  <c r="S36" i="524"/>
  <c r="S37" i="524"/>
  <c r="S38" i="524"/>
  <c r="S39" i="524"/>
  <c r="S40" i="524"/>
  <c r="S41" i="524"/>
  <c r="S42" i="524"/>
  <c r="S43" i="524"/>
  <c r="S44" i="524"/>
  <c r="S45" i="524"/>
  <c r="T45" i="524"/>
  <c r="S46" i="524"/>
  <c r="S47" i="524"/>
  <c r="S48" i="524"/>
  <c r="S49" i="524"/>
  <c r="S50" i="524"/>
  <c r="S51" i="524"/>
  <c r="S52" i="524"/>
  <c r="S53" i="524"/>
  <c r="S54" i="524"/>
  <c r="S55" i="524"/>
  <c r="S56" i="524"/>
  <c r="S57" i="524"/>
  <c r="T57" i="524"/>
  <c r="S58" i="524"/>
  <c r="S59" i="524"/>
  <c r="S60" i="524"/>
  <c r="S61" i="524"/>
  <c r="S62" i="524"/>
  <c r="S63" i="524"/>
  <c r="S64" i="524"/>
  <c r="S65" i="524"/>
  <c r="S66" i="524"/>
  <c r="S67" i="524"/>
  <c r="S68" i="524"/>
  <c r="S69" i="524"/>
  <c r="S70" i="524"/>
  <c r="S71" i="524"/>
  <c r="S72" i="524"/>
  <c r="S73" i="524"/>
  <c r="S74" i="524"/>
  <c r="S75" i="524"/>
  <c r="T75" i="524"/>
  <c r="S76" i="524"/>
  <c r="S77" i="524"/>
  <c r="S78" i="524"/>
  <c r="S79" i="524"/>
  <c r="S80" i="524"/>
  <c r="S81" i="524"/>
  <c r="S82" i="524"/>
  <c r="S83" i="524"/>
  <c r="S84" i="524"/>
  <c r="S85" i="524"/>
  <c r="S86" i="524"/>
  <c r="S87" i="524"/>
  <c r="S88" i="524"/>
  <c r="S89" i="524"/>
  <c r="T89" i="524"/>
  <c r="S90" i="524"/>
  <c r="S91" i="524"/>
  <c r="S92" i="524"/>
  <c r="S93" i="524"/>
  <c r="S94" i="524"/>
  <c r="S95" i="524"/>
  <c r="S96" i="524"/>
  <c r="S97" i="524"/>
  <c r="S98" i="524"/>
  <c r="S99" i="524"/>
  <c r="S100" i="524"/>
  <c r="S101" i="524"/>
  <c r="T101" i="524"/>
  <c r="S102" i="524"/>
  <c r="T102" i="524"/>
  <c r="S103" i="524"/>
  <c r="S104" i="524"/>
  <c r="S105" i="524"/>
  <c r="S106" i="524"/>
  <c r="S107" i="524"/>
  <c r="S108" i="524"/>
  <c r="S109" i="524"/>
  <c r="S110" i="524"/>
  <c r="S111" i="524"/>
  <c r="T111" i="524"/>
  <c r="R112" i="524"/>
  <c r="R111" i="524"/>
  <c r="R110" i="524"/>
  <c r="R109" i="524"/>
  <c r="R108" i="524"/>
  <c r="R107" i="524"/>
  <c r="R106" i="524"/>
  <c r="R105" i="524"/>
  <c r="R104" i="524"/>
  <c r="R103" i="524"/>
  <c r="R58" i="524"/>
  <c r="R59" i="524"/>
  <c r="R60" i="524"/>
  <c r="R61" i="524"/>
  <c r="R62" i="524"/>
  <c r="R63" i="524"/>
  <c r="R64" i="524"/>
  <c r="R65" i="524"/>
  <c r="R66" i="524"/>
  <c r="R67" i="524"/>
  <c r="R68" i="524"/>
  <c r="R69" i="524"/>
  <c r="R70" i="524"/>
  <c r="R71" i="524"/>
  <c r="R72" i="524"/>
  <c r="R73" i="524"/>
  <c r="R74" i="524"/>
  <c r="R75" i="524"/>
  <c r="R33" i="524"/>
  <c r="R34" i="524"/>
  <c r="R35" i="524"/>
  <c r="R36" i="524"/>
  <c r="R37" i="524"/>
  <c r="R38" i="524"/>
  <c r="R39" i="524"/>
  <c r="R40" i="524"/>
  <c r="R41" i="524"/>
  <c r="R42" i="524"/>
  <c r="R43" i="524"/>
  <c r="R44" i="524"/>
  <c r="R45" i="524"/>
  <c r="R15" i="524"/>
  <c r="R12" i="524"/>
  <c r="R14" i="524"/>
  <c r="R11" i="524"/>
  <c r="C82" i="526"/>
  <c r="C83" i="526"/>
  <c r="S83" i="526"/>
  <c r="T83" i="526"/>
  <c r="S84" i="526"/>
  <c r="S85" i="526"/>
  <c r="S86" i="526"/>
  <c r="S87" i="526"/>
  <c r="S88" i="526"/>
  <c r="N89" i="526"/>
  <c r="R84" i="526"/>
  <c r="R89" i="526"/>
  <c r="S82" i="526"/>
  <c r="T82" i="526"/>
  <c r="S89" i="526"/>
  <c r="T89" i="526"/>
  <c r="R44" i="526"/>
  <c r="R7" i="526"/>
  <c r="L7" i="526"/>
  <c r="D23" i="554"/>
  <c r="D39" i="554"/>
  <c r="D52" i="554"/>
  <c r="D64" i="554"/>
  <c r="S71" i="554"/>
  <c r="S70" i="554"/>
  <c r="S68" i="554"/>
  <c r="S63" i="554"/>
  <c r="S51" i="554"/>
  <c r="S22" i="554"/>
  <c r="T14" i="554"/>
  <c r="T15" i="554"/>
  <c r="T16" i="554"/>
  <c r="T17" i="554"/>
  <c r="T18" i="554"/>
  <c r="T19" i="554"/>
  <c r="T20" i="554"/>
  <c r="T21" i="554"/>
  <c r="T22" i="554"/>
  <c r="T23" i="554"/>
  <c r="U23" i="554"/>
  <c r="T24" i="554"/>
  <c r="T25" i="554"/>
  <c r="T26" i="554"/>
  <c r="T27" i="554"/>
  <c r="T28" i="554"/>
  <c r="T29" i="554"/>
  <c r="T30" i="554"/>
  <c r="T31" i="554"/>
  <c r="T32" i="554"/>
  <c r="T33" i="554"/>
  <c r="T34" i="554"/>
  <c r="T35" i="554"/>
  <c r="T36" i="554"/>
  <c r="T37" i="554"/>
  <c r="T38" i="554"/>
  <c r="T39" i="554"/>
  <c r="U39" i="554"/>
  <c r="T40" i="554"/>
  <c r="T41" i="554"/>
  <c r="T42" i="554"/>
  <c r="T43" i="554"/>
  <c r="T44" i="554"/>
  <c r="T45" i="554"/>
  <c r="U45" i="554"/>
  <c r="T46" i="554"/>
  <c r="T47" i="554"/>
  <c r="T48" i="554"/>
  <c r="T49" i="554"/>
  <c r="T50" i="554"/>
  <c r="T51" i="554"/>
  <c r="T52" i="554"/>
  <c r="U52" i="554"/>
  <c r="T53" i="554"/>
  <c r="T54" i="554"/>
  <c r="T55" i="554"/>
  <c r="T56" i="554"/>
  <c r="T57" i="554"/>
  <c r="T58" i="554"/>
  <c r="T59" i="554"/>
  <c r="T60" i="554"/>
  <c r="T61" i="554"/>
  <c r="T62" i="554"/>
  <c r="T63" i="554"/>
  <c r="T64" i="554"/>
  <c r="U64" i="554"/>
  <c r="T65" i="554"/>
  <c r="T66" i="554"/>
  <c r="T67" i="554"/>
  <c r="T68" i="554"/>
  <c r="T69" i="554"/>
  <c r="T70" i="554"/>
  <c r="T13" i="554"/>
  <c r="S69" i="554"/>
  <c r="S67" i="554"/>
  <c r="S66" i="554"/>
  <c r="S65" i="554"/>
  <c r="S62" i="554"/>
  <c r="S61" i="554"/>
  <c r="S60" i="554"/>
  <c r="S59" i="554"/>
  <c r="S58" i="554"/>
  <c r="S57" i="554"/>
  <c r="S56" i="554"/>
  <c r="S55" i="554"/>
  <c r="S54" i="554"/>
  <c r="S53" i="554"/>
  <c r="S64" i="554"/>
  <c r="S50" i="554"/>
  <c r="S49" i="554"/>
  <c r="S48" i="554"/>
  <c r="S47" i="554"/>
  <c r="S46" i="554"/>
  <c r="S44" i="554"/>
  <c r="S43" i="554"/>
  <c r="S42" i="554"/>
  <c r="S41" i="554"/>
  <c r="S40" i="554"/>
  <c r="S52" i="554"/>
  <c r="S38" i="554"/>
  <c r="S37" i="554"/>
  <c r="S36" i="554"/>
  <c r="S35" i="554"/>
  <c r="S34" i="554"/>
  <c r="S33" i="554"/>
  <c r="S32" i="554"/>
  <c r="S31" i="554"/>
  <c r="S29" i="554"/>
  <c r="S28" i="554"/>
  <c r="S27" i="554"/>
  <c r="S25" i="554"/>
  <c r="S24" i="554"/>
  <c r="S21" i="554"/>
  <c r="S20" i="554"/>
  <c r="S19" i="554"/>
  <c r="S18" i="554"/>
  <c r="S17" i="554"/>
  <c r="S16" i="554"/>
  <c r="S15" i="554"/>
  <c r="S14" i="554"/>
  <c r="S13" i="554"/>
  <c r="AB221" i="554"/>
  <c r="AB223" i="554"/>
  <c r="AA221" i="554"/>
  <c r="AA223" i="554"/>
  <c r="Z221" i="554"/>
  <c r="Z223" i="554"/>
  <c r="Y221" i="554"/>
  <c r="Y223" i="554"/>
  <c r="X221" i="554"/>
  <c r="X223" i="554"/>
  <c r="W221" i="554"/>
  <c r="W223" i="554"/>
  <c r="V221" i="554"/>
  <c r="V223" i="554"/>
  <c r="AB178" i="554"/>
  <c r="AA178" i="554"/>
  <c r="Z178" i="554"/>
  <c r="Y178" i="554"/>
  <c r="X178" i="554"/>
  <c r="W178" i="554"/>
  <c r="V178" i="554"/>
  <c r="AD167" i="554"/>
  <c r="AC167" i="554"/>
  <c r="U11" i="554"/>
  <c r="T11" i="554"/>
  <c r="I10" i="554"/>
  <c r="I9" i="554"/>
  <c r="I8" i="554"/>
  <c r="I7" i="554"/>
  <c r="I6" i="554"/>
  <c r="AB4" i="554"/>
  <c r="AB5" i="554"/>
  <c r="AA4" i="554"/>
  <c r="Z4" i="554"/>
  <c r="Y4" i="554"/>
  <c r="X4" i="554"/>
  <c r="X5" i="554"/>
  <c r="W4" i="554"/>
  <c r="W5" i="554"/>
  <c r="V4" i="554"/>
  <c r="V5" i="554"/>
  <c r="T68" i="519"/>
  <c r="U68" i="519"/>
  <c r="T75" i="519"/>
  <c r="U75" i="519"/>
  <c r="T76" i="519"/>
  <c r="T77" i="519"/>
  <c r="U77" i="519"/>
  <c r="T78" i="519"/>
  <c r="C67" i="519"/>
  <c r="P67" i="519"/>
  <c r="U67" i="519"/>
  <c r="I74" i="519"/>
  <c r="I73" i="519"/>
  <c r="I72" i="519"/>
  <c r="I71" i="519"/>
  <c r="I70" i="519"/>
  <c r="I69" i="519"/>
  <c r="S30" i="554"/>
  <c r="S39" i="554"/>
  <c r="S23" i="554"/>
  <c r="C75" i="519"/>
  <c r="C60" i="519"/>
  <c r="P60" i="519"/>
  <c r="U60" i="519"/>
  <c r="I66" i="519"/>
  <c r="I65" i="519"/>
  <c r="I64" i="519"/>
  <c r="I63" i="519"/>
  <c r="I62" i="519"/>
  <c r="I61" i="519"/>
  <c r="I59" i="519"/>
  <c r="I58" i="519"/>
  <c r="I57" i="519"/>
  <c r="I56" i="519"/>
  <c r="I55" i="519"/>
  <c r="T60" i="519"/>
  <c r="T67" i="519"/>
  <c r="T22" i="519"/>
  <c r="T23" i="519"/>
  <c r="T24" i="519"/>
  <c r="T25" i="519"/>
  <c r="T26" i="519"/>
  <c r="T27" i="519"/>
  <c r="T28" i="519"/>
  <c r="T29" i="519"/>
  <c r="T30" i="519"/>
  <c r="T31" i="519"/>
  <c r="T33" i="519"/>
  <c r="U33" i="519"/>
  <c r="T34" i="519"/>
  <c r="U34" i="519"/>
  <c r="T35" i="519"/>
  <c r="U35" i="519"/>
  <c r="T36" i="519"/>
  <c r="T37" i="519"/>
  <c r="T38" i="519"/>
  <c r="U38" i="519"/>
  <c r="T39" i="519"/>
  <c r="T40" i="519"/>
  <c r="T41" i="519"/>
  <c r="T42" i="519"/>
  <c r="T43" i="519"/>
  <c r="T44" i="519"/>
  <c r="T45" i="519"/>
  <c r="U45" i="519"/>
  <c r="T46" i="519"/>
  <c r="T47" i="519"/>
  <c r="T48" i="519"/>
  <c r="T49" i="519"/>
  <c r="T50" i="519"/>
  <c r="T51" i="519"/>
  <c r="T52" i="519"/>
  <c r="T53" i="519"/>
  <c r="T54" i="519"/>
  <c r="U54" i="519"/>
  <c r="C12" i="519"/>
  <c r="C18" i="519"/>
  <c r="C28" i="519"/>
  <c r="P28" i="519"/>
  <c r="U28" i="519"/>
  <c r="C33" i="519"/>
  <c r="C34" i="519"/>
  <c r="C35" i="519"/>
  <c r="C38" i="519"/>
  <c r="C45" i="519"/>
  <c r="S25" i="519"/>
  <c r="S23" i="519"/>
  <c r="S24" i="519"/>
  <c r="S22" i="519"/>
  <c r="T6" i="519"/>
  <c r="T7" i="519"/>
  <c r="T8" i="519"/>
  <c r="T9" i="519"/>
  <c r="T10" i="519"/>
  <c r="T11" i="519"/>
  <c r="S11" i="519"/>
  <c r="S10" i="519"/>
  <c r="S9" i="519"/>
  <c r="S8" i="519"/>
  <c r="S7" i="518"/>
  <c r="S8" i="518"/>
  <c r="S9" i="518"/>
  <c r="S10" i="518"/>
  <c r="S11" i="518"/>
  <c r="S12" i="518"/>
  <c r="S13" i="518"/>
  <c r="S14" i="518"/>
  <c r="T14" i="518"/>
  <c r="S15" i="518"/>
  <c r="S16" i="518"/>
  <c r="S17" i="518"/>
  <c r="S18" i="518"/>
  <c r="S19" i="518"/>
  <c r="S20" i="518"/>
  <c r="S21" i="518"/>
  <c r="S22" i="518"/>
  <c r="S23" i="518"/>
  <c r="T23" i="518"/>
  <c r="S24" i="518"/>
  <c r="S25" i="518"/>
  <c r="S26" i="518"/>
  <c r="S27" i="518"/>
  <c r="S28" i="518"/>
  <c r="S29" i="518"/>
  <c r="S30" i="518"/>
  <c r="S31" i="518"/>
  <c r="S32" i="518"/>
  <c r="T32" i="518"/>
  <c r="S33" i="518"/>
  <c r="S34" i="518"/>
  <c r="S35" i="518"/>
  <c r="S36" i="518"/>
  <c r="S37" i="518"/>
  <c r="S38" i="518"/>
  <c r="S39" i="518"/>
  <c r="S40" i="518"/>
  <c r="S41" i="518"/>
  <c r="T41" i="518"/>
  <c r="S42" i="518"/>
  <c r="S43" i="518"/>
  <c r="S44" i="518"/>
  <c r="S45" i="518"/>
  <c r="S46" i="518"/>
  <c r="S47" i="518"/>
  <c r="S48" i="518"/>
  <c r="S49" i="518"/>
  <c r="T49" i="518"/>
  <c r="S50" i="518"/>
  <c r="S51" i="518"/>
  <c r="S52" i="518"/>
  <c r="S53" i="518"/>
  <c r="S54" i="518"/>
  <c r="S55" i="518"/>
  <c r="S56" i="518"/>
  <c r="S57" i="518"/>
  <c r="S58" i="518"/>
  <c r="T58" i="518"/>
  <c r="S59" i="518"/>
  <c r="S60" i="518"/>
  <c r="S61" i="518"/>
  <c r="S62" i="518"/>
  <c r="S63" i="518"/>
  <c r="S64" i="518"/>
  <c r="S65" i="518"/>
  <c r="S66" i="518"/>
  <c r="S67" i="518"/>
  <c r="T67" i="518"/>
  <c r="S68" i="518"/>
  <c r="S69" i="518"/>
  <c r="S70" i="518"/>
  <c r="S71" i="518"/>
  <c r="S72" i="518"/>
  <c r="S73" i="518"/>
  <c r="S74" i="518"/>
  <c r="T74" i="518"/>
  <c r="S75" i="518"/>
  <c r="S76" i="518"/>
  <c r="S77" i="518"/>
  <c r="S78" i="518"/>
  <c r="R78" i="518"/>
  <c r="R77" i="518"/>
  <c r="R76" i="518"/>
  <c r="R22" i="518"/>
  <c r="R21" i="518"/>
  <c r="R20" i="518"/>
  <c r="R19" i="518"/>
  <c r="R18" i="518"/>
  <c r="R17" i="518"/>
  <c r="R16" i="518"/>
  <c r="R15" i="518"/>
  <c r="R73" i="517"/>
  <c r="R66" i="517"/>
  <c r="R60" i="517"/>
  <c r="R52" i="517"/>
  <c r="R44" i="517"/>
  <c r="R37" i="517"/>
  <c r="R31" i="517"/>
  <c r="R24" i="517"/>
  <c r="R18" i="517"/>
  <c r="R11" i="517"/>
  <c r="S7" i="517"/>
  <c r="S8" i="517"/>
  <c r="S9" i="517"/>
  <c r="S10" i="517"/>
  <c r="S11" i="517"/>
  <c r="T11" i="517"/>
  <c r="S12" i="517"/>
  <c r="S13" i="517"/>
  <c r="S14" i="517"/>
  <c r="S15" i="517"/>
  <c r="S16" i="517"/>
  <c r="S17" i="517"/>
  <c r="S18" i="517"/>
  <c r="T18" i="517"/>
  <c r="S19" i="517"/>
  <c r="S20" i="517"/>
  <c r="S21" i="517"/>
  <c r="S22" i="517"/>
  <c r="S23" i="517"/>
  <c r="S24" i="517"/>
  <c r="T24" i="517"/>
  <c r="S25" i="517"/>
  <c r="T25" i="517"/>
  <c r="S26" i="517"/>
  <c r="S27" i="517"/>
  <c r="S28" i="517"/>
  <c r="S29" i="517"/>
  <c r="S30" i="517"/>
  <c r="S31" i="517"/>
  <c r="S32" i="517"/>
  <c r="S33" i="517"/>
  <c r="S34" i="517"/>
  <c r="S35" i="517"/>
  <c r="S36" i="517"/>
  <c r="S37" i="517"/>
  <c r="S38" i="517"/>
  <c r="S39" i="517"/>
  <c r="S40" i="517"/>
  <c r="S41" i="517"/>
  <c r="S42" i="517"/>
  <c r="S43" i="517"/>
  <c r="S44" i="517"/>
  <c r="T44" i="517"/>
  <c r="S45" i="517"/>
  <c r="S46" i="517"/>
  <c r="S47" i="517"/>
  <c r="S48" i="517"/>
  <c r="S49" i="517"/>
  <c r="S50" i="517"/>
  <c r="S51" i="517"/>
  <c r="S52" i="517"/>
  <c r="T52" i="517"/>
  <c r="S53" i="517"/>
  <c r="S54" i="517"/>
  <c r="S55" i="517"/>
  <c r="S56" i="517"/>
  <c r="S57" i="517"/>
  <c r="S58" i="517"/>
  <c r="S59" i="517"/>
  <c r="S60" i="517"/>
  <c r="T60" i="517"/>
  <c r="S61" i="517"/>
  <c r="S62" i="517"/>
  <c r="S63" i="517"/>
  <c r="S64" i="517"/>
  <c r="S65" i="517"/>
  <c r="S66" i="517"/>
  <c r="S67" i="517"/>
  <c r="S68" i="517"/>
  <c r="S69" i="517"/>
  <c r="S70" i="517"/>
  <c r="S71" i="517"/>
  <c r="S72" i="517"/>
  <c r="R70" i="517"/>
  <c r="R55" i="517"/>
  <c r="R47" i="517"/>
  <c r="R40" i="517"/>
  <c r="R30" i="517"/>
  <c r="R29" i="517"/>
  <c r="R28" i="517"/>
  <c r="R27" i="517"/>
  <c r="R22" i="517"/>
  <c r="R20" i="517"/>
  <c r="R19" i="517"/>
  <c r="R15" i="517"/>
  <c r="T355" i="397"/>
  <c r="S354" i="397"/>
  <c r="R354" i="397"/>
  <c r="N354" i="397"/>
  <c r="C11" i="517"/>
  <c r="C18" i="517"/>
  <c r="C24" i="517"/>
  <c r="C25" i="517"/>
  <c r="C37" i="517"/>
  <c r="O37" i="517"/>
  <c r="T37" i="517"/>
  <c r="C44" i="517"/>
  <c r="C52" i="517"/>
  <c r="C60" i="517"/>
  <c r="C66" i="517"/>
  <c r="O66" i="517"/>
  <c r="T66" i="517"/>
  <c r="R72" i="517"/>
  <c r="R71" i="517"/>
  <c r="R69" i="517"/>
  <c r="R68" i="517"/>
  <c r="N68" i="517"/>
  <c r="R67" i="517"/>
  <c r="R353" i="397"/>
  <c r="L353" i="397"/>
  <c r="C353" i="397"/>
  <c r="O353" i="397"/>
  <c r="P353" i="397"/>
  <c r="N353" i="397"/>
  <c r="R352" i="397"/>
  <c r="L352" i="397"/>
  <c r="C352" i="397"/>
  <c r="O352" i="397"/>
  <c r="P352" i="397"/>
  <c r="N352" i="397"/>
  <c r="R351" i="397"/>
  <c r="L351" i="397"/>
  <c r="C351" i="397"/>
  <c r="O351" i="397"/>
  <c r="P351" i="397"/>
  <c r="N351" i="397"/>
  <c r="R350" i="397"/>
  <c r="L350" i="397"/>
  <c r="C350" i="397"/>
  <c r="O350" i="397"/>
  <c r="P350" i="397"/>
  <c r="N350" i="397"/>
  <c r="R349" i="397"/>
  <c r="L349" i="397"/>
  <c r="C349" i="397"/>
  <c r="O349" i="397"/>
  <c r="P349" i="397"/>
  <c r="N349" i="397"/>
  <c r="R348" i="397"/>
  <c r="L348" i="397"/>
  <c r="C348" i="397"/>
  <c r="O348" i="397"/>
  <c r="P348" i="397"/>
  <c r="N348" i="397"/>
  <c r="R345" i="397"/>
  <c r="T346" i="397"/>
  <c r="R59" i="517"/>
  <c r="R58" i="517"/>
  <c r="R57" i="517"/>
  <c r="N57" i="517"/>
  <c r="R56" i="517"/>
  <c r="R54" i="517"/>
  <c r="R53" i="517"/>
  <c r="R23" i="518"/>
  <c r="C17" i="551"/>
  <c r="C26" i="551"/>
  <c r="C33" i="551"/>
  <c r="U33" i="551"/>
  <c r="AA10" i="551"/>
  <c r="Z10" i="551"/>
  <c r="Y10" i="551"/>
  <c r="X10" i="551"/>
  <c r="W10" i="551"/>
  <c r="V10" i="551"/>
  <c r="U10" i="551"/>
  <c r="T10" i="551"/>
  <c r="S10" i="551"/>
  <c r="S9" i="551"/>
  <c r="S8" i="551"/>
  <c r="S7" i="551"/>
  <c r="S6" i="551"/>
  <c r="S5" i="551"/>
  <c r="R9" i="551"/>
  <c r="AA170" i="551"/>
  <c r="AA172" i="551"/>
  <c r="Z170" i="551"/>
  <c r="Z172" i="551"/>
  <c r="Y170" i="551"/>
  <c r="Y172" i="551"/>
  <c r="X170" i="551"/>
  <c r="X172" i="551"/>
  <c r="W170" i="551"/>
  <c r="W172" i="551"/>
  <c r="V170" i="551"/>
  <c r="V172" i="551"/>
  <c r="U170" i="551"/>
  <c r="U172" i="551"/>
  <c r="AA127" i="551"/>
  <c r="Z127" i="551"/>
  <c r="Y127" i="551"/>
  <c r="X127" i="551"/>
  <c r="W127" i="551"/>
  <c r="V127" i="551"/>
  <c r="U127" i="551"/>
  <c r="AD116" i="551"/>
  <c r="AC116" i="551"/>
  <c r="AB116" i="551"/>
  <c r="AA35" i="551"/>
  <c r="AA36" i="551"/>
  <c r="AA37" i="551"/>
  <c r="AA38" i="551"/>
  <c r="AA39" i="551"/>
  <c r="AA40" i="551"/>
  <c r="AA41" i="551"/>
  <c r="AA42" i="551"/>
  <c r="AA43" i="551"/>
  <c r="AA44" i="551"/>
  <c r="AA45" i="551"/>
  <c r="AA46" i="551"/>
  <c r="AA47" i="551"/>
  <c r="AA48" i="551"/>
  <c r="AA49" i="551"/>
  <c r="AA50" i="551"/>
  <c r="AA51" i="551"/>
  <c r="AA52" i="551"/>
  <c r="AA53" i="551"/>
  <c r="AA54" i="551"/>
  <c r="AA55" i="551"/>
  <c r="AA56" i="551"/>
  <c r="AA57" i="551"/>
  <c r="AA58" i="551"/>
  <c r="AA59" i="551"/>
  <c r="AA60" i="551"/>
  <c r="AA61" i="551"/>
  <c r="AA62" i="551"/>
  <c r="AA63" i="551"/>
  <c r="AA64" i="551"/>
  <c r="AA65" i="551"/>
  <c r="AA66" i="551"/>
  <c r="AA67" i="551"/>
  <c r="AA68" i="551"/>
  <c r="AA69" i="551"/>
  <c r="AA70" i="551"/>
  <c r="AA71" i="551"/>
  <c r="Z35" i="551"/>
  <c r="Z36" i="551"/>
  <c r="Z37" i="551"/>
  <c r="Z38" i="551"/>
  <c r="Z39" i="551"/>
  <c r="Z40" i="551"/>
  <c r="Z41" i="551"/>
  <c r="Z42" i="551"/>
  <c r="Z43" i="551"/>
  <c r="Z44" i="551"/>
  <c r="Z45" i="551"/>
  <c r="Z46" i="551"/>
  <c r="Z47" i="551"/>
  <c r="Z48" i="551"/>
  <c r="Z49" i="551"/>
  <c r="Z50" i="551"/>
  <c r="Z51" i="551"/>
  <c r="Z52" i="551"/>
  <c r="Z53" i="551"/>
  <c r="Z54" i="551"/>
  <c r="Z55" i="551"/>
  <c r="Z56" i="551"/>
  <c r="Z57" i="551"/>
  <c r="Z58" i="551"/>
  <c r="Z59" i="551"/>
  <c r="Z60" i="551"/>
  <c r="Z61" i="551"/>
  <c r="Z62" i="551"/>
  <c r="Z63" i="551"/>
  <c r="Z64" i="551"/>
  <c r="Z65" i="551"/>
  <c r="Z66" i="551"/>
  <c r="Z67" i="551"/>
  <c r="Z68" i="551"/>
  <c r="Z69" i="551"/>
  <c r="Z70" i="551"/>
  <c r="Z71" i="551"/>
  <c r="Y35" i="551"/>
  <c r="Y36" i="551"/>
  <c r="Y37" i="551"/>
  <c r="Y38" i="551"/>
  <c r="Y39" i="551"/>
  <c r="Y40" i="551"/>
  <c r="Y41" i="551"/>
  <c r="Y42" i="551"/>
  <c r="Y43" i="551"/>
  <c r="Y44" i="551"/>
  <c r="Y45" i="551"/>
  <c r="Y46" i="551"/>
  <c r="Y47" i="551"/>
  <c r="Y48" i="551"/>
  <c r="Y49" i="551"/>
  <c r="Y50" i="551"/>
  <c r="Y51" i="551"/>
  <c r="Y52" i="551"/>
  <c r="Y53" i="551"/>
  <c r="Y54" i="551"/>
  <c r="Y55" i="551"/>
  <c r="Y56" i="551"/>
  <c r="Y57" i="551"/>
  <c r="Y58" i="551"/>
  <c r="Y59" i="551"/>
  <c r="Y60" i="551"/>
  <c r="Y61" i="551"/>
  <c r="Y62" i="551"/>
  <c r="Y63" i="551"/>
  <c r="Y64" i="551"/>
  <c r="Y65" i="551"/>
  <c r="Y66" i="551"/>
  <c r="Y67" i="551"/>
  <c r="Y68" i="551"/>
  <c r="Y69" i="551"/>
  <c r="Y70" i="551"/>
  <c r="Y71" i="551"/>
  <c r="X35" i="551"/>
  <c r="X36" i="551"/>
  <c r="X37" i="551"/>
  <c r="X38" i="551"/>
  <c r="X39" i="551"/>
  <c r="X40" i="551"/>
  <c r="X41" i="551"/>
  <c r="X42" i="551"/>
  <c r="X43" i="551"/>
  <c r="X44" i="551"/>
  <c r="X45" i="551"/>
  <c r="X46" i="551"/>
  <c r="X47" i="551"/>
  <c r="X48" i="551"/>
  <c r="X49" i="551"/>
  <c r="X50" i="551"/>
  <c r="X51" i="551"/>
  <c r="X52" i="551"/>
  <c r="X53" i="551"/>
  <c r="X54" i="551"/>
  <c r="X55" i="551"/>
  <c r="X56" i="551"/>
  <c r="X57" i="551"/>
  <c r="X58" i="551"/>
  <c r="X59" i="551"/>
  <c r="X60" i="551"/>
  <c r="X61" i="551"/>
  <c r="X62" i="551"/>
  <c r="X63" i="551"/>
  <c r="X64" i="551"/>
  <c r="X65" i="551"/>
  <c r="X66" i="551"/>
  <c r="X67" i="551"/>
  <c r="X68" i="551"/>
  <c r="X69" i="551"/>
  <c r="X70" i="551"/>
  <c r="X71" i="551"/>
  <c r="W35" i="551"/>
  <c r="W36" i="551"/>
  <c r="W37" i="551"/>
  <c r="W38" i="551"/>
  <c r="W39" i="551"/>
  <c r="W40" i="551"/>
  <c r="W41" i="551"/>
  <c r="W42" i="551"/>
  <c r="W43" i="551"/>
  <c r="W44" i="551"/>
  <c r="W45" i="551"/>
  <c r="W46" i="551"/>
  <c r="W47" i="551"/>
  <c r="W48" i="551"/>
  <c r="W49" i="551"/>
  <c r="W50" i="551"/>
  <c r="W51" i="551"/>
  <c r="W52" i="551"/>
  <c r="W53" i="551"/>
  <c r="W54" i="551"/>
  <c r="W55" i="551"/>
  <c r="W56" i="551"/>
  <c r="W57" i="551"/>
  <c r="W58" i="551"/>
  <c r="W59" i="551"/>
  <c r="W60" i="551"/>
  <c r="W61" i="551"/>
  <c r="W62" i="551"/>
  <c r="W63" i="551"/>
  <c r="W64" i="551"/>
  <c r="W65" i="551"/>
  <c r="W66" i="551"/>
  <c r="W67" i="551"/>
  <c r="W68" i="551"/>
  <c r="W69" i="551"/>
  <c r="W70" i="551"/>
  <c r="W71" i="551"/>
  <c r="V35" i="551"/>
  <c r="V36" i="551"/>
  <c r="V37" i="551"/>
  <c r="V38" i="551"/>
  <c r="V39" i="551"/>
  <c r="V40" i="551"/>
  <c r="V41" i="551"/>
  <c r="V42" i="551"/>
  <c r="V43" i="551"/>
  <c r="V44" i="551"/>
  <c r="V45" i="551"/>
  <c r="V46" i="551"/>
  <c r="V47" i="551"/>
  <c r="V48" i="551"/>
  <c r="V49" i="551"/>
  <c r="V50" i="551"/>
  <c r="V51" i="551"/>
  <c r="V52" i="551"/>
  <c r="V53" i="551"/>
  <c r="V54" i="551"/>
  <c r="V55" i="551"/>
  <c r="V56" i="551"/>
  <c r="V57" i="551"/>
  <c r="V58" i="551"/>
  <c r="V59" i="551"/>
  <c r="V60" i="551"/>
  <c r="V61" i="551"/>
  <c r="V62" i="551"/>
  <c r="V63" i="551"/>
  <c r="V64" i="551"/>
  <c r="V65" i="551"/>
  <c r="V66" i="551"/>
  <c r="V67" i="551"/>
  <c r="V68" i="551"/>
  <c r="V69" i="551"/>
  <c r="V70" i="551"/>
  <c r="V71" i="551"/>
  <c r="U35" i="551"/>
  <c r="U36" i="551"/>
  <c r="U37" i="551"/>
  <c r="U38" i="551"/>
  <c r="U39" i="551"/>
  <c r="U40" i="551"/>
  <c r="U41" i="551"/>
  <c r="U42" i="551"/>
  <c r="U43" i="551"/>
  <c r="U44" i="551"/>
  <c r="U45" i="551"/>
  <c r="U46" i="551"/>
  <c r="U47" i="551"/>
  <c r="U48" i="551"/>
  <c r="U49" i="551"/>
  <c r="U50" i="551"/>
  <c r="U51" i="551"/>
  <c r="U52" i="551"/>
  <c r="U53" i="551"/>
  <c r="U54" i="551"/>
  <c r="U55" i="551"/>
  <c r="U56" i="551"/>
  <c r="U57" i="551"/>
  <c r="U58" i="551"/>
  <c r="U59" i="551"/>
  <c r="U60" i="551"/>
  <c r="U61" i="551"/>
  <c r="U62" i="551"/>
  <c r="U63" i="551"/>
  <c r="U64" i="551"/>
  <c r="U65" i="551"/>
  <c r="U66" i="551"/>
  <c r="U67" i="551"/>
  <c r="U68" i="551"/>
  <c r="U69" i="551"/>
  <c r="U70" i="551"/>
  <c r="U71" i="551"/>
  <c r="S33" i="551"/>
  <c r="S32" i="551"/>
  <c r="R32" i="551"/>
  <c r="S31" i="551"/>
  <c r="S30" i="551"/>
  <c r="S29" i="551"/>
  <c r="S28" i="551"/>
  <c r="R28" i="551"/>
  <c r="S27" i="551"/>
  <c r="R27" i="551"/>
  <c r="T26" i="551"/>
  <c r="S26" i="551"/>
  <c r="X26" i="551"/>
  <c r="S25" i="551"/>
  <c r="S24" i="551"/>
  <c r="S23" i="551"/>
  <c r="S22" i="551"/>
  <c r="S21" i="551"/>
  <c r="S20" i="551"/>
  <c r="S19" i="551"/>
  <c r="S18" i="551"/>
  <c r="S17" i="551"/>
  <c r="Z17" i="551"/>
  <c r="S16" i="551"/>
  <c r="S15" i="551"/>
  <c r="S14" i="551"/>
  <c r="S13" i="551"/>
  <c r="S12" i="551"/>
  <c r="S11" i="551"/>
  <c r="Y4" i="551"/>
  <c r="R13" i="552"/>
  <c r="AA191" i="552"/>
  <c r="AA193" i="552"/>
  <c r="Z191" i="552"/>
  <c r="Z193" i="552"/>
  <c r="Y191" i="552"/>
  <c r="Y193" i="552"/>
  <c r="X191" i="552"/>
  <c r="X193" i="552"/>
  <c r="W191" i="552"/>
  <c r="W193" i="552"/>
  <c r="V191" i="552"/>
  <c r="V193" i="552"/>
  <c r="U191" i="552"/>
  <c r="U193" i="552"/>
  <c r="AA148" i="552"/>
  <c r="Z148" i="552"/>
  <c r="Y148" i="552"/>
  <c r="X148" i="552"/>
  <c r="W148" i="552"/>
  <c r="V148" i="552"/>
  <c r="U148" i="552"/>
  <c r="AD137" i="552"/>
  <c r="AC137" i="552"/>
  <c r="AB137" i="552"/>
  <c r="C22" i="552"/>
  <c r="R21" i="552"/>
  <c r="R20" i="552"/>
  <c r="R19" i="552"/>
  <c r="R18" i="552"/>
  <c r="C17" i="552"/>
  <c r="R16" i="552"/>
  <c r="R15" i="552"/>
  <c r="R14" i="552"/>
  <c r="R12" i="552"/>
  <c r="C11" i="552"/>
  <c r="R10" i="552"/>
  <c r="R9" i="552"/>
  <c r="R8" i="552"/>
  <c r="R7" i="552"/>
  <c r="R6" i="552"/>
  <c r="S5" i="552"/>
  <c r="R5" i="552"/>
  <c r="AA4" i="552"/>
  <c r="Z4" i="552"/>
  <c r="C13" i="552"/>
  <c r="O13" i="552"/>
  <c r="P13" i="552"/>
  <c r="N13" i="552"/>
  <c r="Y4" i="552"/>
  <c r="C14" i="552"/>
  <c r="C6" i="552"/>
  <c r="V4" i="552"/>
  <c r="U4" i="552"/>
  <c r="O66" i="550"/>
  <c r="S5" i="550"/>
  <c r="C58" i="550"/>
  <c r="AA222" i="550"/>
  <c r="AA224" i="550"/>
  <c r="Z222" i="550"/>
  <c r="Z224" i="550"/>
  <c r="Y222" i="550"/>
  <c r="Y224" i="550"/>
  <c r="X222" i="550"/>
  <c r="X224" i="550"/>
  <c r="W222" i="550"/>
  <c r="W224" i="550"/>
  <c r="V222" i="550"/>
  <c r="V224" i="550"/>
  <c r="U222" i="550"/>
  <c r="U224" i="550"/>
  <c r="AA179" i="550"/>
  <c r="Z179" i="550"/>
  <c r="Y179" i="550"/>
  <c r="X179" i="550"/>
  <c r="W179" i="550"/>
  <c r="V179" i="550"/>
  <c r="U179" i="550"/>
  <c r="AD168" i="550"/>
  <c r="AC168" i="550"/>
  <c r="AB168" i="550"/>
  <c r="R57" i="550"/>
  <c r="R56" i="550"/>
  <c r="R55" i="550"/>
  <c r="R54" i="550"/>
  <c r="R53" i="550"/>
  <c r="R52" i="550"/>
  <c r="R51" i="550"/>
  <c r="R5" i="550"/>
  <c r="C56" i="550"/>
  <c r="C65" i="550"/>
  <c r="C51" i="550"/>
  <c r="U26" i="554"/>
  <c r="R10" i="551"/>
  <c r="X17" i="551"/>
  <c r="R26" i="551"/>
  <c r="Y17" i="551"/>
  <c r="W26" i="551"/>
  <c r="AA26" i="551"/>
  <c r="Y26" i="551"/>
  <c r="V26" i="551"/>
  <c r="U26" i="551"/>
  <c r="Z26" i="551"/>
  <c r="O17" i="551"/>
  <c r="T17" i="551"/>
  <c r="U17" i="551"/>
  <c r="AA17" i="551"/>
  <c r="W17" i="551"/>
  <c r="V17" i="551"/>
  <c r="X33" i="551"/>
  <c r="V33" i="551"/>
  <c r="C9" i="552"/>
  <c r="R17" i="552"/>
  <c r="R22" i="552"/>
  <c r="R11" i="552"/>
  <c r="O14" i="552"/>
  <c r="C12" i="552"/>
  <c r="C15" i="552"/>
  <c r="C19" i="552"/>
  <c r="C20" i="552"/>
  <c r="C5" i="552"/>
  <c r="C8" i="552"/>
  <c r="O17" i="552"/>
  <c r="C18" i="552"/>
  <c r="C21" i="552"/>
  <c r="O6" i="552"/>
  <c r="C7" i="552"/>
  <c r="O9" i="552"/>
  <c r="C10" i="552"/>
  <c r="C16" i="552"/>
  <c r="C62" i="550"/>
  <c r="C61" i="550"/>
  <c r="C60" i="550"/>
  <c r="C64" i="550"/>
  <c r="C59" i="550"/>
  <c r="C63" i="550"/>
  <c r="C55" i="550"/>
  <c r="M27" i="554"/>
  <c r="M46" i="554"/>
  <c r="AB73" i="554"/>
  <c r="AB74" i="554"/>
  <c r="AB75" i="554"/>
  <c r="AB76" i="554"/>
  <c r="AB77" i="554"/>
  <c r="AB78" i="554"/>
  <c r="AB79" i="554"/>
  <c r="AB80" i="554"/>
  <c r="AB81" i="554"/>
  <c r="AB82" i="554"/>
  <c r="AB83" i="554"/>
  <c r="AB84" i="554"/>
  <c r="AB85" i="554"/>
  <c r="AB86" i="554"/>
  <c r="AB87" i="554"/>
  <c r="AB88" i="554"/>
  <c r="AB89" i="554"/>
  <c r="AB90" i="554"/>
  <c r="AB91" i="554"/>
  <c r="AB92" i="554"/>
  <c r="AB93" i="554"/>
  <c r="AB94" i="554"/>
  <c r="AB95" i="554"/>
  <c r="AB96" i="554"/>
  <c r="AB97" i="554"/>
  <c r="AB98" i="554"/>
  <c r="AB99" i="554"/>
  <c r="AB100" i="554"/>
  <c r="AB101" i="554"/>
  <c r="AB102" i="554"/>
  <c r="AB103" i="554"/>
  <c r="AB104" i="554"/>
  <c r="AB105" i="554"/>
  <c r="AB106" i="554"/>
  <c r="AB107" i="554"/>
  <c r="AB108" i="554"/>
  <c r="AB109" i="554"/>
  <c r="AB110" i="554"/>
  <c r="AB111" i="554"/>
  <c r="AB112" i="554"/>
  <c r="AB113" i="554"/>
  <c r="AB114" i="554"/>
  <c r="AB115" i="554"/>
  <c r="AB116" i="554"/>
  <c r="AB117" i="554"/>
  <c r="AB118" i="554"/>
  <c r="AB119" i="554"/>
  <c r="AB120" i="554"/>
  <c r="AB121" i="554"/>
  <c r="AB122" i="554"/>
  <c r="P6" i="552"/>
  <c r="N6" i="552"/>
  <c r="O18" i="552"/>
  <c r="X5" i="552"/>
  <c r="O5" i="552"/>
  <c r="AA5" i="552"/>
  <c r="W5" i="552"/>
  <c r="Z5" i="552"/>
  <c r="V5" i="552"/>
  <c r="Y5" i="552"/>
  <c r="U5" i="552"/>
  <c r="O12" i="552"/>
  <c r="O21" i="552"/>
  <c r="O8" i="552"/>
  <c r="O19" i="552"/>
  <c r="P14" i="552"/>
  <c r="N14" i="552"/>
  <c r="O10" i="552"/>
  <c r="O7" i="552"/>
  <c r="O16" i="552"/>
  <c r="P9" i="552"/>
  <c r="N9" i="552"/>
  <c r="O20" i="552"/>
  <c r="O15" i="552"/>
  <c r="Y5" i="550"/>
  <c r="AA5" i="550"/>
  <c r="O64" i="550"/>
  <c r="O55" i="550"/>
  <c r="O63" i="550"/>
  <c r="O61" i="550"/>
  <c r="P15" i="552"/>
  <c r="N15" i="552"/>
  <c r="P20" i="552"/>
  <c r="N20" i="552"/>
  <c r="P7" i="552"/>
  <c r="N7" i="552"/>
  <c r="P8" i="552"/>
  <c r="N8" i="552"/>
  <c r="T5" i="552"/>
  <c r="P5" i="552"/>
  <c r="N5" i="552"/>
  <c r="P16" i="552"/>
  <c r="N16" i="552"/>
  <c r="P10" i="552"/>
  <c r="N10" i="552"/>
  <c r="P21" i="552"/>
  <c r="N21" i="552"/>
  <c r="P12" i="552"/>
  <c r="N12" i="552"/>
  <c r="P18" i="552"/>
  <c r="N18" i="552"/>
  <c r="P19" i="552"/>
  <c r="N19" i="552"/>
  <c r="N22" i="552"/>
  <c r="L13" i="552"/>
  <c r="L14" i="552"/>
  <c r="L15" i="552"/>
  <c r="L16" i="552"/>
  <c r="L17" i="552"/>
  <c r="N17" i="552"/>
  <c r="L6" i="552"/>
  <c r="L7" i="552"/>
  <c r="L8" i="552"/>
  <c r="L9" i="552"/>
  <c r="L10" i="552"/>
  <c r="N11" i="552"/>
  <c r="Y37" i="552"/>
  <c r="Y38" i="552"/>
  <c r="Y39" i="552"/>
  <c r="Y40" i="552"/>
  <c r="Y41" i="552"/>
  <c r="Y42" i="552"/>
  <c r="Y43" i="552"/>
  <c r="Y44" i="552"/>
  <c r="Y45" i="552"/>
  <c r="Y46" i="552"/>
  <c r="Y47" i="552"/>
  <c r="Y48" i="552"/>
  <c r="Y49" i="552"/>
  <c r="Y50" i="552"/>
  <c r="Y51" i="552"/>
  <c r="Y52" i="552"/>
  <c r="Y53" i="552"/>
  <c r="Y54" i="552"/>
  <c r="Y55" i="552"/>
  <c r="Y56" i="552"/>
  <c r="Y57" i="552"/>
  <c r="Y58" i="552"/>
  <c r="Y59" i="552"/>
  <c r="Y60" i="552"/>
  <c r="Y61" i="552"/>
  <c r="Y62" i="552"/>
  <c r="Y63" i="552"/>
  <c r="Y64" i="552"/>
  <c r="Y65" i="552"/>
  <c r="Y66" i="552"/>
  <c r="Y67" i="552"/>
  <c r="Y68" i="552"/>
  <c r="Y69" i="552"/>
  <c r="Y70" i="552"/>
  <c r="Y71" i="552"/>
  <c r="Y72" i="552"/>
  <c r="Y73" i="552"/>
  <c r="Y74" i="552"/>
  <c r="Y75" i="552"/>
  <c r="Y76" i="552"/>
  <c r="Y77" i="552"/>
  <c r="Y78" i="552"/>
  <c r="Y79" i="552"/>
  <c r="Y80" i="552"/>
  <c r="Y81" i="552"/>
  <c r="Y82" i="552"/>
  <c r="Y83" i="552"/>
  <c r="Y84" i="552"/>
  <c r="Y85" i="552"/>
  <c r="Y86" i="552"/>
  <c r="Y87" i="552"/>
  <c r="Y88" i="552"/>
  <c r="Y89" i="552"/>
  <c r="Y90" i="552"/>
  <c r="Y91" i="552"/>
  <c r="Y92" i="552"/>
  <c r="U37" i="552"/>
  <c r="U38" i="552"/>
  <c r="U39" i="552"/>
  <c r="U40" i="552"/>
  <c r="U41" i="552"/>
  <c r="U42" i="552"/>
  <c r="U43" i="552"/>
  <c r="U44" i="552"/>
  <c r="U45" i="552"/>
  <c r="U46" i="552"/>
  <c r="U47" i="552"/>
  <c r="U48" i="552"/>
  <c r="U49" i="552"/>
  <c r="U50" i="552"/>
  <c r="U51" i="552"/>
  <c r="U52" i="552"/>
  <c r="U53" i="552"/>
  <c r="U54" i="552"/>
  <c r="U55" i="552"/>
  <c r="U56" i="552"/>
  <c r="U57" i="552"/>
  <c r="U58" i="552"/>
  <c r="U59" i="552"/>
  <c r="U60" i="552"/>
  <c r="U61" i="552"/>
  <c r="U62" i="552"/>
  <c r="U63" i="552"/>
  <c r="U64" i="552"/>
  <c r="U65" i="552"/>
  <c r="U66" i="552"/>
  <c r="U67" i="552"/>
  <c r="U68" i="552"/>
  <c r="U69" i="552"/>
  <c r="U70" i="552"/>
  <c r="U71" i="552"/>
  <c r="U72" i="552"/>
  <c r="U73" i="552"/>
  <c r="U74" i="552"/>
  <c r="U75" i="552"/>
  <c r="U76" i="552"/>
  <c r="U77" i="552"/>
  <c r="U78" i="552"/>
  <c r="U79" i="552"/>
  <c r="U80" i="552"/>
  <c r="U81" i="552"/>
  <c r="U82" i="552"/>
  <c r="U83" i="552"/>
  <c r="U84" i="552"/>
  <c r="U85" i="552"/>
  <c r="U86" i="552"/>
  <c r="U87" i="552"/>
  <c r="U88" i="552"/>
  <c r="U89" i="552"/>
  <c r="U90" i="552"/>
  <c r="U91" i="552"/>
  <c r="U92" i="552"/>
  <c r="AB36" i="552"/>
  <c r="Q36" i="552"/>
  <c r="I36" i="552"/>
  <c r="I37" i="552"/>
  <c r="X37" i="552"/>
  <c r="X38" i="552"/>
  <c r="X39" i="552"/>
  <c r="X40" i="552"/>
  <c r="X41" i="552"/>
  <c r="X42" i="552"/>
  <c r="X43" i="552"/>
  <c r="X44" i="552"/>
  <c r="X45" i="552"/>
  <c r="X46" i="552"/>
  <c r="X47" i="552"/>
  <c r="X48" i="552"/>
  <c r="X49" i="552"/>
  <c r="X50" i="552"/>
  <c r="X51" i="552"/>
  <c r="X52" i="552"/>
  <c r="X53" i="552"/>
  <c r="X54" i="552"/>
  <c r="X55" i="552"/>
  <c r="X56" i="552"/>
  <c r="X57" i="552"/>
  <c r="X58" i="552"/>
  <c r="X59" i="552"/>
  <c r="X60" i="552"/>
  <c r="X61" i="552"/>
  <c r="X62" i="552"/>
  <c r="X63" i="552"/>
  <c r="X64" i="552"/>
  <c r="X65" i="552"/>
  <c r="X66" i="552"/>
  <c r="X67" i="552"/>
  <c r="X68" i="552"/>
  <c r="X69" i="552"/>
  <c r="X70" i="552"/>
  <c r="X71" i="552"/>
  <c r="X72" i="552"/>
  <c r="X73" i="552"/>
  <c r="X74" i="552"/>
  <c r="X75" i="552"/>
  <c r="X76" i="552"/>
  <c r="X77" i="552"/>
  <c r="X78" i="552"/>
  <c r="X79" i="552"/>
  <c r="X80" i="552"/>
  <c r="X81" i="552"/>
  <c r="X82" i="552"/>
  <c r="X83" i="552"/>
  <c r="X84" i="552"/>
  <c r="X85" i="552"/>
  <c r="X86" i="552"/>
  <c r="X87" i="552"/>
  <c r="X88" i="552"/>
  <c r="X89" i="552"/>
  <c r="X90" i="552"/>
  <c r="X91" i="552"/>
  <c r="X92" i="552"/>
  <c r="L11" i="552"/>
  <c r="L19" i="552"/>
  <c r="Z37" i="552"/>
  <c r="Z38" i="552"/>
  <c r="Z39" i="552"/>
  <c r="Z40" i="552"/>
  <c r="Z41" i="552"/>
  <c r="Z42" i="552"/>
  <c r="Z43" i="552"/>
  <c r="Z44" i="552"/>
  <c r="Z45" i="552"/>
  <c r="Z46" i="552"/>
  <c r="Z47" i="552"/>
  <c r="Z48" i="552"/>
  <c r="Z49" i="552"/>
  <c r="Z50" i="552"/>
  <c r="Z51" i="552"/>
  <c r="Z52" i="552"/>
  <c r="Z53" i="552"/>
  <c r="Z54" i="552"/>
  <c r="Z55" i="552"/>
  <c r="Z56" i="552"/>
  <c r="Z57" i="552"/>
  <c r="Z58" i="552"/>
  <c r="Z59" i="552"/>
  <c r="Z60" i="552"/>
  <c r="Z61" i="552"/>
  <c r="Z62" i="552"/>
  <c r="Z63" i="552"/>
  <c r="Z64" i="552"/>
  <c r="Z65" i="552"/>
  <c r="Z66" i="552"/>
  <c r="Z67" i="552"/>
  <c r="Z68" i="552"/>
  <c r="Z69" i="552"/>
  <c r="Z70" i="552"/>
  <c r="Z71" i="552"/>
  <c r="Z72" i="552"/>
  <c r="Z73" i="552"/>
  <c r="Z74" i="552"/>
  <c r="Z75" i="552"/>
  <c r="Z76" i="552"/>
  <c r="Z77" i="552"/>
  <c r="Z78" i="552"/>
  <c r="Z79" i="552"/>
  <c r="Z80" i="552"/>
  <c r="Z81" i="552"/>
  <c r="Z82" i="552"/>
  <c r="Z83" i="552"/>
  <c r="Z84" i="552"/>
  <c r="Z85" i="552"/>
  <c r="Z86" i="552"/>
  <c r="Z87" i="552"/>
  <c r="Z88" i="552"/>
  <c r="Z89" i="552"/>
  <c r="Z90" i="552"/>
  <c r="Z91" i="552"/>
  <c r="Z92" i="552"/>
  <c r="J36" i="552"/>
  <c r="J37" i="552"/>
  <c r="K36" i="552"/>
  <c r="K37" i="552"/>
  <c r="AA37" i="552"/>
  <c r="AA38" i="552"/>
  <c r="AA39" i="552"/>
  <c r="AA40" i="552"/>
  <c r="AA41" i="552"/>
  <c r="AA42" i="552"/>
  <c r="AA43" i="552"/>
  <c r="AA44" i="552"/>
  <c r="AA45" i="552"/>
  <c r="AA46" i="552"/>
  <c r="AA47" i="552"/>
  <c r="AA48" i="552"/>
  <c r="AA49" i="552"/>
  <c r="AA50" i="552"/>
  <c r="AA51" i="552"/>
  <c r="AA52" i="552"/>
  <c r="AA53" i="552"/>
  <c r="AA54" i="552"/>
  <c r="AA55" i="552"/>
  <c r="AA56" i="552"/>
  <c r="AA57" i="552"/>
  <c r="AA58" i="552"/>
  <c r="AA59" i="552"/>
  <c r="AA60" i="552"/>
  <c r="AA61" i="552"/>
  <c r="AA62" i="552"/>
  <c r="AA63" i="552"/>
  <c r="AA64" i="552"/>
  <c r="AA65" i="552"/>
  <c r="AA66" i="552"/>
  <c r="AA67" i="552"/>
  <c r="AA68" i="552"/>
  <c r="AA69" i="552"/>
  <c r="AA70" i="552"/>
  <c r="AA71" i="552"/>
  <c r="AA72" i="552"/>
  <c r="AA73" i="552"/>
  <c r="AA74" i="552"/>
  <c r="AA75" i="552"/>
  <c r="AA76" i="552"/>
  <c r="AA77" i="552"/>
  <c r="AA78" i="552"/>
  <c r="AA79" i="552"/>
  <c r="AA80" i="552"/>
  <c r="AA81" i="552"/>
  <c r="AA82" i="552"/>
  <c r="AA83" i="552"/>
  <c r="AA84" i="552"/>
  <c r="AA85" i="552"/>
  <c r="AA86" i="552"/>
  <c r="AA87" i="552"/>
  <c r="AA88" i="552"/>
  <c r="AA89" i="552"/>
  <c r="AA90" i="552"/>
  <c r="AA91" i="552"/>
  <c r="AA92" i="552"/>
  <c r="G36" i="552"/>
  <c r="G37" i="552"/>
  <c r="W37" i="552"/>
  <c r="W38" i="552"/>
  <c r="W39" i="552"/>
  <c r="W40" i="552"/>
  <c r="W41" i="552"/>
  <c r="W42" i="552"/>
  <c r="W43" i="552"/>
  <c r="W44" i="552"/>
  <c r="W45" i="552"/>
  <c r="W46" i="552"/>
  <c r="W47" i="552"/>
  <c r="W48" i="552"/>
  <c r="W49" i="552"/>
  <c r="W50" i="552"/>
  <c r="W51" i="552"/>
  <c r="W52" i="552"/>
  <c r="W53" i="552"/>
  <c r="W54" i="552"/>
  <c r="W55" i="552"/>
  <c r="W56" i="552"/>
  <c r="W57" i="552"/>
  <c r="W58" i="552"/>
  <c r="W59" i="552"/>
  <c r="W60" i="552"/>
  <c r="W61" i="552"/>
  <c r="W62" i="552"/>
  <c r="W63" i="552"/>
  <c r="W64" i="552"/>
  <c r="W65" i="552"/>
  <c r="W66" i="552"/>
  <c r="W67" i="552"/>
  <c r="W68" i="552"/>
  <c r="W69" i="552"/>
  <c r="W70" i="552"/>
  <c r="W71" i="552"/>
  <c r="W72" i="552"/>
  <c r="W73" i="552"/>
  <c r="W74" i="552"/>
  <c r="W75" i="552"/>
  <c r="W76" i="552"/>
  <c r="W77" i="552"/>
  <c r="W78" i="552"/>
  <c r="W79" i="552"/>
  <c r="W80" i="552"/>
  <c r="W81" i="552"/>
  <c r="W82" i="552"/>
  <c r="W83" i="552"/>
  <c r="W84" i="552"/>
  <c r="W85" i="552"/>
  <c r="W86" i="552"/>
  <c r="W87" i="552"/>
  <c r="W88" i="552"/>
  <c r="W89" i="552"/>
  <c r="W90" i="552"/>
  <c r="W91" i="552"/>
  <c r="W92" i="552"/>
  <c r="V37" i="552"/>
  <c r="V38" i="552"/>
  <c r="V39" i="552"/>
  <c r="V40" i="552"/>
  <c r="V41" i="552"/>
  <c r="V42" i="552"/>
  <c r="V43" i="552"/>
  <c r="V44" i="552"/>
  <c r="V45" i="552"/>
  <c r="V46" i="552"/>
  <c r="V47" i="552"/>
  <c r="V48" i="552"/>
  <c r="V49" i="552"/>
  <c r="V50" i="552"/>
  <c r="V51" i="552"/>
  <c r="V52" i="552"/>
  <c r="V53" i="552"/>
  <c r="V54" i="552"/>
  <c r="V55" i="552"/>
  <c r="V56" i="552"/>
  <c r="V57" i="552"/>
  <c r="V58" i="552"/>
  <c r="V59" i="552"/>
  <c r="V60" i="552"/>
  <c r="V61" i="552"/>
  <c r="V62" i="552"/>
  <c r="V63" i="552"/>
  <c r="V64" i="552"/>
  <c r="V65" i="552"/>
  <c r="V66" i="552"/>
  <c r="V67" i="552"/>
  <c r="V68" i="552"/>
  <c r="V69" i="552"/>
  <c r="V70" i="552"/>
  <c r="V71" i="552"/>
  <c r="V72" i="552"/>
  <c r="V73" i="552"/>
  <c r="V74" i="552"/>
  <c r="V75" i="552"/>
  <c r="V76" i="552"/>
  <c r="V77" i="552"/>
  <c r="V78" i="552"/>
  <c r="V79" i="552"/>
  <c r="V80" i="552"/>
  <c r="V81" i="552"/>
  <c r="V82" i="552"/>
  <c r="V83" i="552"/>
  <c r="V84" i="552"/>
  <c r="V85" i="552"/>
  <c r="V86" i="552"/>
  <c r="V87" i="552"/>
  <c r="V88" i="552"/>
  <c r="V89" i="552"/>
  <c r="V90" i="552"/>
  <c r="V91" i="552"/>
  <c r="V92" i="552"/>
  <c r="F36" i="552"/>
  <c r="F37" i="552"/>
  <c r="L20" i="552"/>
  <c r="L21" i="552"/>
  <c r="L22" i="552"/>
  <c r="H36" i="552"/>
  <c r="H37" i="552"/>
  <c r="E36" i="552"/>
  <c r="E37" i="552"/>
  <c r="AA207" i="407"/>
  <c r="AA209" i="407"/>
  <c r="Z207" i="407"/>
  <c r="Z209" i="407"/>
  <c r="Y207" i="407"/>
  <c r="Y209" i="407"/>
  <c r="X207" i="407"/>
  <c r="X209" i="407"/>
  <c r="W207" i="407"/>
  <c r="W209" i="407"/>
  <c r="V207" i="407"/>
  <c r="V209" i="407"/>
  <c r="U207" i="407"/>
  <c r="U209" i="407"/>
  <c r="AA164" i="407"/>
  <c r="Z164" i="407"/>
  <c r="Y164" i="407"/>
  <c r="X164" i="407"/>
  <c r="W164" i="407"/>
  <c r="V164" i="407"/>
  <c r="U164" i="407"/>
  <c r="AD153" i="407"/>
  <c r="AC153" i="407"/>
  <c r="AB153" i="407"/>
  <c r="S5" i="407"/>
  <c r="O69" i="406"/>
  <c r="O70" i="406"/>
  <c r="AA219" i="406"/>
  <c r="AA221" i="406"/>
  <c r="Z219" i="406"/>
  <c r="Z221" i="406"/>
  <c r="Y219" i="406"/>
  <c r="Y221" i="406"/>
  <c r="X219" i="406"/>
  <c r="X221" i="406"/>
  <c r="W219" i="406"/>
  <c r="W221" i="406"/>
  <c r="V219" i="406"/>
  <c r="V221" i="406"/>
  <c r="U219" i="406"/>
  <c r="U221" i="406"/>
  <c r="AA176" i="406"/>
  <c r="Z176" i="406"/>
  <c r="Y176" i="406"/>
  <c r="X176" i="406"/>
  <c r="W176" i="406"/>
  <c r="V176" i="406"/>
  <c r="U176" i="406"/>
  <c r="AD165" i="406"/>
  <c r="AC165" i="406"/>
  <c r="AB165" i="406"/>
  <c r="R60" i="406"/>
  <c r="R59" i="406"/>
  <c r="N59" i="406"/>
  <c r="R58" i="406"/>
  <c r="R57" i="406"/>
  <c r="R56" i="406"/>
  <c r="O55" i="406"/>
  <c r="R54" i="406"/>
  <c r="R53" i="406"/>
  <c r="R52" i="406"/>
  <c r="N52" i="406"/>
  <c r="R51" i="406"/>
  <c r="R50" i="406"/>
  <c r="R49" i="406"/>
  <c r="R46" i="406"/>
  <c r="R45" i="406"/>
  <c r="R44" i="406"/>
  <c r="N44" i="406"/>
  <c r="R43" i="406"/>
  <c r="R42" i="406"/>
  <c r="R41" i="406"/>
  <c r="R40" i="406"/>
  <c r="R24" i="406"/>
  <c r="R23" i="406"/>
  <c r="R22" i="406"/>
  <c r="R21" i="406"/>
  <c r="R20" i="406"/>
  <c r="R25" i="406"/>
  <c r="S6" i="406"/>
  <c r="S14" i="404"/>
  <c r="S15" i="404"/>
  <c r="S16" i="404"/>
  <c r="S17" i="404"/>
  <c r="S18" i="404"/>
  <c r="S19" i="404"/>
  <c r="S20" i="404"/>
  <c r="T20" i="404"/>
  <c r="S21" i="404"/>
  <c r="S22" i="404"/>
  <c r="S23" i="404"/>
  <c r="S24" i="404"/>
  <c r="S25" i="404"/>
  <c r="S26" i="404"/>
  <c r="S27" i="404"/>
  <c r="T27" i="404"/>
  <c r="S28" i="404"/>
  <c r="S29" i="404"/>
  <c r="S30" i="404"/>
  <c r="S31" i="404"/>
  <c r="S32" i="404"/>
  <c r="S33" i="404"/>
  <c r="T33" i="404"/>
  <c r="S34" i="404"/>
  <c r="S35" i="404"/>
  <c r="S36" i="404"/>
  <c r="S37" i="404"/>
  <c r="S38" i="404"/>
  <c r="S39" i="404"/>
  <c r="S40" i="404"/>
  <c r="S41" i="404"/>
  <c r="S42" i="404"/>
  <c r="S43" i="404"/>
  <c r="T43" i="404"/>
  <c r="S44" i="404"/>
  <c r="S45" i="404"/>
  <c r="S46" i="404"/>
  <c r="S47" i="404"/>
  <c r="S48" i="404"/>
  <c r="S49" i="404"/>
  <c r="S50" i="404"/>
  <c r="S51" i="404"/>
  <c r="S52" i="404"/>
  <c r="S53" i="404"/>
  <c r="S54" i="404"/>
  <c r="S55" i="404"/>
  <c r="S56" i="404"/>
  <c r="S57" i="404"/>
  <c r="S58" i="404"/>
  <c r="S59" i="404"/>
  <c r="S60" i="404"/>
  <c r="S61" i="404"/>
  <c r="S62" i="404"/>
  <c r="S63" i="404"/>
  <c r="T63" i="404"/>
  <c r="R16" i="404"/>
  <c r="R15" i="404"/>
  <c r="R14" i="404"/>
  <c r="R20" i="404"/>
  <c r="R19" i="404"/>
  <c r="R18" i="404"/>
  <c r="R17" i="404"/>
  <c r="R21" i="404"/>
  <c r="N22" i="404"/>
  <c r="R22" i="404"/>
  <c r="R23" i="404"/>
  <c r="R24" i="404"/>
  <c r="R25" i="404"/>
  <c r="R26" i="404"/>
  <c r="R32" i="404"/>
  <c r="R31" i="404"/>
  <c r="R33" i="404"/>
  <c r="R30" i="404"/>
  <c r="R29" i="404"/>
  <c r="R28" i="404"/>
  <c r="AA232" i="549"/>
  <c r="AA234" i="549"/>
  <c r="Z232" i="549"/>
  <c r="Z234" i="549"/>
  <c r="Y232" i="549"/>
  <c r="Y234" i="549"/>
  <c r="X232" i="549"/>
  <c r="X234" i="549"/>
  <c r="W232" i="549"/>
  <c r="W234" i="549"/>
  <c r="V232" i="549"/>
  <c r="V234" i="549"/>
  <c r="U232" i="549"/>
  <c r="U234" i="549"/>
  <c r="AA189" i="549"/>
  <c r="Z189" i="549"/>
  <c r="Y189" i="549"/>
  <c r="X189" i="549"/>
  <c r="W189" i="549"/>
  <c r="V189" i="549"/>
  <c r="U189" i="549"/>
  <c r="AD178" i="549"/>
  <c r="AC178" i="549"/>
  <c r="AB178" i="549"/>
  <c r="C76" i="549"/>
  <c r="R75" i="549"/>
  <c r="R74" i="549"/>
  <c r="R76" i="549"/>
  <c r="P73" i="549"/>
  <c r="C73" i="549"/>
  <c r="R72" i="549"/>
  <c r="C71" i="549"/>
  <c r="R70" i="549"/>
  <c r="R69" i="549"/>
  <c r="R68" i="549"/>
  <c r="R67" i="549"/>
  <c r="R66" i="549"/>
  <c r="R65" i="549"/>
  <c r="C44" i="549"/>
  <c r="R43" i="549"/>
  <c r="R42" i="549"/>
  <c r="R41" i="549"/>
  <c r="R40" i="549"/>
  <c r="R39" i="549"/>
  <c r="R38" i="549"/>
  <c r="R37" i="549"/>
  <c r="C36" i="549"/>
  <c r="R35" i="549"/>
  <c r="R33" i="549"/>
  <c r="R30" i="549"/>
  <c r="R29" i="549"/>
  <c r="C28" i="549"/>
  <c r="R25" i="549"/>
  <c r="R23" i="549"/>
  <c r="R22" i="549"/>
  <c r="R28" i="549"/>
  <c r="R21" i="549"/>
  <c r="C20" i="549"/>
  <c r="R19" i="549"/>
  <c r="R15" i="549"/>
  <c r="R14" i="549"/>
  <c r="C13" i="549"/>
  <c r="R12" i="549"/>
  <c r="R11" i="549"/>
  <c r="R10" i="549"/>
  <c r="R9" i="549"/>
  <c r="R8" i="549"/>
  <c r="R7" i="549"/>
  <c r="R13" i="549"/>
  <c r="S6" i="549"/>
  <c r="R55" i="406"/>
  <c r="R47" i="406"/>
  <c r="R61" i="406"/>
  <c r="R71" i="549"/>
  <c r="N31" i="548"/>
  <c r="AA225" i="548"/>
  <c r="AA227" i="548"/>
  <c r="Z225" i="548"/>
  <c r="Z227" i="548"/>
  <c r="Y225" i="548"/>
  <c r="Y227" i="548"/>
  <c r="X225" i="548"/>
  <c r="X227" i="548"/>
  <c r="W225" i="548"/>
  <c r="W227" i="548"/>
  <c r="V225" i="548"/>
  <c r="V227" i="548"/>
  <c r="U225" i="548"/>
  <c r="U227" i="548"/>
  <c r="AA182" i="548"/>
  <c r="Z182" i="548"/>
  <c r="Y182" i="548"/>
  <c r="X182" i="548"/>
  <c r="W182" i="548"/>
  <c r="V182" i="548"/>
  <c r="U182" i="548"/>
  <c r="AD171" i="548"/>
  <c r="AC171" i="548"/>
  <c r="AB171" i="548"/>
  <c r="N66" i="548"/>
  <c r="R24" i="548"/>
  <c r="R23" i="548"/>
  <c r="R22" i="548"/>
  <c r="N22" i="548"/>
  <c r="R21" i="548"/>
  <c r="R20" i="548"/>
  <c r="R19" i="548"/>
  <c r="S6" i="548"/>
  <c r="Z5" i="548"/>
  <c r="R18" i="467"/>
  <c r="R17" i="467"/>
  <c r="R16" i="467"/>
  <c r="R15" i="467"/>
  <c r="L15" i="467"/>
  <c r="R11" i="467"/>
  <c r="R10" i="467"/>
  <c r="R9" i="467"/>
  <c r="R8" i="467"/>
  <c r="L8" i="467"/>
  <c r="Q37" i="467"/>
  <c r="O37" i="467"/>
  <c r="R36" i="467"/>
  <c r="R35" i="467"/>
  <c r="R34" i="467"/>
  <c r="L34" i="467"/>
  <c r="R33" i="467"/>
  <c r="R32" i="467"/>
  <c r="R37" i="467"/>
  <c r="R30" i="467"/>
  <c r="R29" i="467"/>
  <c r="R28" i="467"/>
  <c r="L28" i="467"/>
  <c r="R31" i="467"/>
  <c r="P39" i="467"/>
  <c r="S38" i="467"/>
  <c r="O38" i="467"/>
  <c r="T38" i="467"/>
  <c r="S37" i="467"/>
  <c r="S36" i="467"/>
  <c r="S35" i="467"/>
  <c r="S34" i="467"/>
  <c r="S33" i="467"/>
  <c r="S32" i="467"/>
  <c r="Q31" i="467"/>
  <c r="O31" i="467"/>
  <c r="T31" i="467"/>
  <c r="S30" i="467"/>
  <c r="S29" i="467"/>
  <c r="S28" i="467"/>
  <c r="S27" i="467"/>
  <c r="R27" i="467"/>
  <c r="S26" i="467"/>
  <c r="R26" i="467"/>
  <c r="R25" i="548"/>
  <c r="S31" i="467"/>
  <c r="R11" i="401"/>
  <c r="R27" i="401"/>
  <c r="F9" i="547"/>
  <c r="G9" i="547"/>
  <c r="F10" i="547"/>
  <c r="G10" i="547"/>
  <c r="F11" i="547"/>
  <c r="G11" i="547"/>
  <c r="F12" i="547"/>
  <c r="G12" i="547"/>
  <c r="F13" i="547"/>
  <c r="G13" i="547"/>
  <c r="F14" i="547"/>
  <c r="G14" i="547"/>
  <c r="H8" i="547"/>
  <c r="G8" i="547"/>
  <c r="F8" i="547"/>
  <c r="E9" i="547"/>
  <c r="E10" i="547"/>
  <c r="E11" i="547"/>
  <c r="E12" i="547"/>
  <c r="E13" i="547"/>
  <c r="E14" i="547"/>
  <c r="E8" i="547"/>
  <c r="B14" i="547"/>
  <c r="C14" i="547"/>
  <c r="D14" i="547"/>
  <c r="B9" i="547"/>
  <c r="C9" i="547"/>
  <c r="D9" i="547"/>
  <c r="B10" i="547"/>
  <c r="C10" i="547"/>
  <c r="D10" i="547"/>
  <c r="B11" i="547"/>
  <c r="C11" i="547"/>
  <c r="D11" i="547"/>
  <c r="B12" i="547"/>
  <c r="C12" i="547"/>
  <c r="D12" i="547"/>
  <c r="B13" i="547"/>
  <c r="C13" i="547"/>
  <c r="D13" i="547"/>
  <c r="C8" i="547"/>
  <c r="D8" i="547"/>
  <c r="B8" i="547"/>
  <c r="F5" i="547"/>
  <c r="G5" i="547"/>
  <c r="F4" i="547"/>
  <c r="G4" i="547"/>
  <c r="F3" i="547"/>
  <c r="I4" i="547"/>
  <c r="I3" i="547"/>
  <c r="H3" i="547"/>
  <c r="G3" i="547"/>
  <c r="E4" i="547"/>
  <c r="E5" i="547"/>
  <c r="E3" i="547"/>
  <c r="B4" i="547"/>
  <c r="C4" i="547"/>
  <c r="D4" i="547"/>
  <c r="B5" i="547"/>
  <c r="C5" i="547"/>
  <c r="D5" i="547"/>
  <c r="D3" i="547"/>
  <c r="C3" i="547"/>
  <c r="B3" i="547"/>
  <c r="S61" i="399"/>
  <c r="R61" i="399"/>
  <c r="S14" i="399"/>
  <c r="S15" i="399"/>
  <c r="S16" i="399"/>
  <c r="S17" i="399"/>
  <c r="S18" i="399"/>
  <c r="S19" i="399"/>
  <c r="S20" i="399"/>
  <c r="S21" i="399"/>
  <c r="T21" i="399"/>
  <c r="S22" i="399"/>
  <c r="S23" i="399"/>
  <c r="S24" i="399"/>
  <c r="S25" i="399"/>
  <c r="S26" i="399"/>
  <c r="S27" i="399"/>
  <c r="S28" i="399"/>
  <c r="T28" i="399"/>
  <c r="S29" i="399"/>
  <c r="S30" i="399"/>
  <c r="S31" i="399"/>
  <c r="S32" i="399"/>
  <c r="S33" i="399"/>
  <c r="S34" i="399"/>
  <c r="S35" i="399"/>
  <c r="T35" i="399"/>
  <c r="S36" i="399"/>
  <c r="S37" i="399"/>
  <c r="S38" i="399"/>
  <c r="S39" i="399"/>
  <c r="S40" i="399"/>
  <c r="S41" i="399"/>
  <c r="T41" i="399"/>
  <c r="S50" i="399"/>
  <c r="S51" i="399"/>
  <c r="S52" i="399"/>
  <c r="S53" i="399"/>
  <c r="T53" i="399"/>
  <c r="S54" i="399"/>
  <c r="S55" i="399"/>
  <c r="S56" i="399"/>
  <c r="S57" i="399"/>
  <c r="S58" i="399"/>
  <c r="S59" i="399"/>
  <c r="S60" i="399"/>
  <c r="T60" i="399"/>
  <c r="S62" i="399"/>
  <c r="S63" i="399"/>
  <c r="S64" i="399"/>
  <c r="S65" i="399"/>
  <c r="R6" i="396"/>
  <c r="Q6" i="396"/>
  <c r="R16" i="396"/>
  <c r="Q16" i="396" s="1"/>
  <c r="R15" i="396"/>
  <c r="Q15" i="396"/>
  <c r="R14" i="396"/>
  <c r="Q14" i="396"/>
  <c r="R13" i="396"/>
  <c r="Q13" i="396"/>
  <c r="R11" i="396"/>
  <c r="Q11" i="396"/>
  <c r="R10" i="396"/>
  <c r="Q10" i="396"/>
  <c r="S61" i="395"/>
  <c r="S62" i="395"/>
  <c r="S63" i="395"/>
  <c r="S64" i="395"/>
  <c r="S65" i="395"/>
  <c r="S66" i="395"/>
  <c r="R68" i="395"/>
  <c r="R67" i="395"/>
  <c r="R66" i="395"/>
  <c r="R65" i="395"/>
  <c r="R64" i="395"/>
  <c r="R63" i="395"/>
  <c r="R62" i="395"/>
  <c r="R61" i="395"/>
  <c r="S8" i="395"/>
  <c r="S9" i="395"/>
  <c r="S10" i="395"/>
  <c r="S11" i="395"/>
  <c r="S12" i="395"/>
  <c r="S13" i="395"/>
  <c r="T14" i="395"/>
  <c r="S15" i="395"/>
  <c r="S16" i="395"/>
  <c r="S17" i="395"/>
  <c r="S18" i="395"/>
  <c r="S19" i="395"/>
  <c r="S20" i="395"/>
  <c r="S21" i="395"/>
  <c r="T21" i="395"/>
  <c r="S23" i="395"/>
  <c r="S24" i="395"/>
  <c r="S25" i="395"/>
  <c r="S26" i="395"/>
  <c r="S27" i="395"/>
  <c r="S28" i="395"/>
  <c r="T28" i="395"/>
  <c r="S29" i="395"/>
  <c r="S30" i="395"/>
  <c r="S31" i="395"/>
  <c r="S32" i="395"/>
  <c r="S33" i="395"/>
  <c r="S34" i="395"/>
  <c r="S35" i="395"/>
  <c r="S36" i="395"/>
  <c r="S37" i="395"/>
  <c r="S38" i="395"/>
  <c r="T38" i="395"/>
  <c r="S39" i="395"/>
  <c r="T39" i="395"/>
  <c r="S40" i="395"/>
  <c r="S41" i="395"/>
  <c r="S42" i="395"/>
  <c r="S43" i="395"/>
  <c r="S44" i="395"/>
  <c r="S45" i="395"/>
  <c r="S46" i="395"/>
  <c r="S47" i="395"/>
  <c r="S48" i="395"/>
  <c r="T48" i="395"/>
  <c r="S49" i="395"/>
  <c r="T49" i="395"/>
  <c r="S55" i="395"/>
  <c r="S56" i="395"/>
  <c r="S57" i="395"/>
  <c r="S58" i="395"/>
  <c r="S59" i="395"/>
  <c r="S60" i="395"/>
  <c r="T60" i="395"/>
  <c r="S67" i="395"/>
  <c r="S68" i="395"/>
  <c r="S69" i="395"/>
  <c r="T69" i="395"/>
  <c r="R59" i="395"/>
  <c r="R58" i="395"/>
  <c r="R57" i="395"/>
  <c r="R56" i="395"/>
  <c r="R55" i="395"/>
  <c r="C60" i="395"/>
  <c r="C38" i="395"/>
  <c r="R23" i="395"/>
  <c r="Q23" i="395"/>
  <c r="R20" i="395"/>
  <c r="R19" i="395"/>
  <c r="R18" i="395"/>
  <c r="R17" i="395"/>
  <c r="R16" i="395"/>
  <c r="R15" i="395"/>
  <c r="S7" i="395"/>
  <c r="R12" i="395"/>
  <c r="R13" i="395"/>
  <c r="C11" i="546"/>
  <c r="C18" i="546"/>
  <c r="C26" i="546"/>
  <c r="C31" i="546"/>
  <c r="C36" i="546"/>
  <c r="C37" i="546"/>
  <c r="C49" i="546"/>
  <c r="C50" i="546"/>
  <c r="C55" i="546"/>
  <c r="C59" i="546"/>
  <c r="O59" i="546"/>
  <c r="C60" i="546"/>
  <c r="O60" i="546"/>
  <c r="T60" i="546"/>
  <c r="C61" i="546"/>
  <c r="C69" i="546"/>
  <c r="C70" i="546"/>
  <c r="C71" i="546"/>
  <c r="C75" i="546"/>
  <c r="C76" i="546"/>
  <c r="O76" i="546"/>
  <c r="T76" i="546"/>
  <c r="C81" i="546"/>
  <c r="C85" i="546"/>
  <c r="O87" i="546"/>
  <c r="P87" i="546"/>
  <c r="N87" i="546"/>
  <c r="S7" i="546"/>
  <c r="S8" i="546"/>
  <c r="S9" i="546"/>
  <c r="S10" i="546"/>
  <c r="S11" i="546"/>
  <c r="S12" i="546"/>
  <c r="S13" i="546"/>
  <c r="S14" i="546"/>
  <c r="S15" i="546"/>
  <c r="S16" i="546"/>
  <c r="S17" i="546"/>
  <c r="S18" i="546"/>
  <c r="S19" i="546"/>
  <c r="S20" i="546"/>
  <c r="S21" i="546"/>
  <c r="S22" i="546"/>
  <c r="S23" i="546"/>
  <c r="S24" i="546"/>
  <c r="S25" i="546"/>
  <c r="S26" i="546"/>
  <c r="T26" i="546"/>
  <c r="S27" i="546"/>
  <c r="S28" i="546"/>
  <c r="S29" i="546"/>
  <c r="S30" i="546"/>
  <c r="S31" i="546"/>
  <c r="T31" i="546"/>
  <c r="S32" i="546"/>
  <c r="S33" i="546"/>
  <c r="S34" i="546"/>
  <c r="S35" i="546"/>
  <c r="S36" i="546"/>
  <c r="T36" i="546"/>
  <c r="S37" i="546"/>
  <c r="T37" i="546"/>
  <c r="S38" i="546"/>
  <c r="T38" i="546"/>
  <c r="S39" i="546"/>
  <c r="S40" i="546"/>
  <c r="S41" i="546"/>
  <c r="S42" i="546"/>
  <c r="S43" i="546"/>
  <c r="S44" i="546"/>
  <c r="S45" i="546"/>
  <c r="S46" i="546"/>
  <c r="S47" i="546"/>
  <c r="S48" i="546"/>
  <c r="S49" i="546"/>
  <c r="T49" i="546"/>
  <c r="S50" i="546"/>
  <c r="S51" i="546"/>
  <c r="S52" i="546"/>
  <c r="S53" i="546"/>
  <c r="S54" i="546"/>
  <c r="S55" i="546"/>
  <c r="S56" i="546"/>
  <c r="S57" i="546"/>
  <c r="S58" i="546"/>
  <c r="S59" i="546"/>
  <c r="S60" i="546"/>
  <c r="S61" i="546"/>
  <c r="S62" i="546"/>
  <c r="S63" i="546"/>
  <c r="S64" i="546"/>
  <c r="S65" i="546"/>
  <c r="S66" i="546"/>
  <c r="S67" i="546"/>
  <c r="S68" i="546"/>
  <c r="S69" i="546"/>
  <c r="S70" i="546"/>
  <c r="S71" i="546"/>
  <c r="S72" i="546"/>
  <c r="S73" i="546"/>
  <c r="S74" i="546"/>
  <c r="S75" i="546"/>
  <c r="S76" i="546"/>
  <c r="S77" i="546"/>
  <c r="S78" i="546"/>
  <c r="S79" i="546"/>
  <c r="S80" i="546"/>
  <c r="S81" i="546"/>
  <c r="S82" i="546"/>
  <c r="S83" i="546"/>
  <c r="S84" i="546"/>
  <c r="R84" i="546"/>
  <c r="R83" i="546"/>
  <c r="R82" i="546"/>
  <c r="N82" i="546"/>
  <c r="R80" i="546"/>
  <c r="R79" i="546"/>
  <c r="R78" i="546"/>
  <c r="R77" i="546"/>
  <c r="R74" i="546"/>
  <c r="R73" i="546"/>
  <c r="R72" i="546"/>
  <c r="O71" i="546"/>
  <c r="T71" i="546"/>
  <c r="R68" i="546"/>
  <c r="R67" i="546"/>
  <c r="R66" i="546"/>
  <c r="R65" i="546"/>
  <c r="R64" i="546"/>
  <c r="R63" i="546"/>
  <c r="R62" i="546"/>
  <c r="R58" i="546"/>
  <c r="R57" i="546"/>
  <c r="R56" i="546"/>
  <c r="R54" i="546"/>
  <c r="R53" i="546"/>
  <c r="R52" i="546"/>
  <c r="R51" i="546"/>
  <c r="AA243" i="546"/>
  <c r="AA245" i="546"/>
  <c r="Z243" i="546"/>
  <c r="Z245" i="546"/>
  <c r="Y243" i="546"/>
  <c r="Y245" i="546"/>
  <c r="X243" i="546"/>
  <c r="X245" i="546"/>
  <c r="W243" i="546"/>
  <c r="W245" i="546"/>
  <c r="V243" i="546"/>
  <c r="V245" i="546"/>
  <c r="U243" i="546"/>
  <c r="U245" i="546"/>
  <c r="AA200" i="546"/>
  <c r="Z200" i="546"/>
  <c r="Y200" i="546"/>
  <c r="X200" i="546"/>
  <c r="W200" i="546"/>
  <c r="V200" i="546"/>
  <c r="U200" i="546"/>
  <c r="AD189" i="546"/>
  <c r="AC189" i="546"/>
  <c r="AB189" i="546"/>
  <c r="R48" i="546"/>
  <c r="R47" i="546"/>
  <c r="R46" i="546"/>
  <c r="R45" i="546"/>
  <c r="R44" i="546"/>
  <c r="R43" i="546"/>
  <c r="R42" i="546"/>
  <c r="R41" i="546"/>
  <c r="R40" i="546"/>
  <c r="R39" i="546"/>
  <c r="L39" i="546"/>
  <c r="R38" i="546"/>
  <c r="R35" i="546"/>
  <c r="R34" i="546"/>
  <c r="R33" i="546"/>
  <c r="R32" i="546"/>
  <c r="R30" i="546"/>
  <c r="R29" i="546"/>
  <c r="R28" i="546"/>
  <c r="R27" i="546"/>
  <c r="R25" i="546"/>
  <c r="R24" i="546"/>
  <c r="R23" i="546"/>
  <c r="R22" i="546"/>
  <c r="R21" i="546"/>
  <c r="R20" i="546"/>
  <c r="R19" i="546"/>
  <c r="R17" i="546"/>
  <c r="R16" i="546"/>
  <c r="R15" i="546"/>
  <c r="R14" i="546"/>
  <c r="R13" i="546"/>
  <c r="R12" i="546"/>
  <c r="R10" i="546"/>
  <c r="R9" i="546"/>
  <c r="R8" i="546"/>
  <c r="R7" i="546"/>
  <c r="S6" i="546"/>
  <c r="R6" i="546"/>
  <c r="C27" i="545"/>
  <c r="C28" i="545"/>
  <c r="C36" i="545"/>
  <c r="C44" i="545"/>
  <c r="C52" i="545"/>
  <c r="C53" i="545"/>
  <c r="C55" i="545"/>
  <c r="R25" i="545"/>
  <c r="S13" i="545"/>
  <c r="S14" i="545"/>
  <c r="S15" i="545"/>
  <c r="S16" i="545"/>
  <c r="S17" i="545"/>
  <c r="S18" i="545"/>
  <c r="S19" i="545"/>
  <c r="S20" i="545"/>
  <c r="T20" i="545"/>
  <c r="S21" i="545"/>
  <c r="S22" i="545"/>
  <c r="S23" i="545"/>
  <c r="S24" i="545"/>
  <c r="S25" i="545"/>
  <c r="C11" i="545"/>
  <c r="C14" i="545"/>
  <c r="C20" i="545"/>
  <c r="R19" i="545"/>
  <c r="R18" i="545"/>
  <c r="R17" i="545"/>
  <c r="R16" i="545"/>
  <c r="R15" i="545"/>
  <c r="R14" i="545"/>
  <c r="R13" i="545"/>
  <c r="R12" i="545"/>
  <c r="S12" i="545"/>
  <c r="R26" i="545"/>
  <c r="R24" i="545"/>
  <c r="R23" i="545"/>
  <c r="R22" i="545"/>
  <c r="R21" i="545"/>
  <c r="R51" i="545"/>
  <c r="R50" i="545"/>
  <c r="R49" i="545"/>
  <c r="R48" i="545"/>
  <c r="R47" i="545"/>
  <c r="R46" i="545"/>
  <c r="R45" i="545"/>
  <c r="R43" i="545"/>
  <c r="R42" i="545"/>
  <c r="R41" i="545"/>
  <c r="R40" i="545"/>
  <c r="R39" i="545"/>
  <c r="R38" i="545"/>
  <c r="R37" i="545"/>
  <c r="R35" i="545"/>
  <c r="R34" i="545"/>
  <c r="R33" i="545"/>
  <c r="R32" i="545"/>
  <c r="G31" i="545"/>
  <c r="R31" i="545"/>
  <c r="R30" i="545"/>
  <c r="R29" i="545"/>
  <c r="AA208" i="545"/>
  <c r="AA210" i="545"/>
  <c r="Z208" i="545"/>
  <c r="Z210" i="545"/>
  <c r="Y208" i="545"/>
  <c r="Y210" i="545"/>
  <c r="X208" i="545"/>
  <c r="X210" i="545"/>
  <c r="W208" i="545"/>
  <c r="W210" i="545"/>
  <c r="V208" i="545"/>
  <c r="V210" i="545"/>
  <c r="U208" i="545"/>
  <c r="U210" i="545"/>
  <c r="AA165" i="545"/>
  <c r="Z165" i="545"/>
  <c r="Y165" i="545"/>
  <c r="X165" i="545"/>
  <c r="W165" i="545"/>
  <c r="V165" i="545"/>
  <c r="U165" i="545"/>
  <c r="AD154" i="545"/>
  <c r="AC154" i="545"/>
  <c r="AB154" i="545"/>
  <c r="T55" i="545"/>
  <c r="S55" i="545"/>
  <c r="N55" i="545"/>
  <c r="S54" i="545"/>
  <c r="R54" i="545"/>
  <c r="S53" i="545"/>
  <c r="S52" i="545"/>
  <c r="S51" i="545"/>
  <c r="S50" i="545"/>
  <c r="S49" i="545"/>
  <c r="S48" i="545"/>
  <c r="S47" i="545"/>
  <c r="S46" i="545"/>
  <c r="S45" i="545"/>
  <c r="S44" i="545"/>
  <c r="S43" i="545"/>
  <c r="S42" i="545"/>
  <c r="S41" i="545"/>
  <c r="S40" i="545"/>
  <c r="S38" i="545"/>
  <c r="S37" i="545"/>
  <c r="S36" i="545"/>
  <c r="S35" i="545"/>
  <c r="S34" i="545"/>
  <c r="S33" i="545"/>
  <c r="S32" i="545"/>
  <c r="S30" i="545"/>
  <c r="S29" i="545"/>
  <c r="T28" i="545"/>
  <c r="S28" i="545"/>
  <c r="S27" i="545"/>
  <c r="S26" i="545"/>
  <c r="T11" i="545"/>
  <c r="S11" i="545"/>
  <c r="S10" i="545"/>
  <c r="R10" i="545"/>
  <c r="S9" i="545"/>
  <c r="R9" i="545"/>
  <c r="S8" i="545"/>
  <c r="R8" i="545"/>
  <c r="S7" i="545"/>
  <c r="R7" i="545"/>
  <c r="S6" i="545"/>
  <c r="R6" i="545"/>
  <c r="S5" i="545"/>
  <c r="R5" i="545"/>
  <c r="S7" i="544"/>
  <c r="T7" i="544"/>
  <c r="S8" i="544"/>
  <c r="T8" i="544"/>
  <c r="S9" i="544"/>
  <c r="T9" i="544"/>
  <c r="S10" i="544"/>
  <c r="T10" i="544"/>
  <c r="S11" i="544"/>
  <c r="T11" i="544"/>
  <c r="S12" i="544"/>
  <c r="T12" i="544"/>
  <c r="S13" i="544"/>
  <c r="T13" i="544"/>
  <c r="S14" i="544"/>
  <c r="T14" i="544"/>
  <c r="S15" i="544"/>
  <c r="T15" i="544"/>
  <c r="S16" i="544"/>
  <c r="T16" i="544"/>
  <c r="S20" i="544"/>
  <c r="T20" i="544"/>
  <c r="S21" i="544"/>
  <c r="T21" i="544"/>
  <c r="S22" i="544"/>
  <c r="T22" i="544"/>
  <c r="S23" i="544"/>
  <c r="T23" i="544"/>
  <c r="S24" i="544"/>
  <c r="T24" i="544"/>
  <c r="S25" i="544"/>
  <c r="T25" i="544"/>
  <c r="S26" i="544"/>
  <c r="T26" i="544"/>
  <c r="S27" i="544"/>
  <c r="T27" i="544"/>
  <c r="S28" i="544"/>
  <c r="T28" i="544"/>
  <c r="S29" i="544"/>
  <c r="T29" i="544"/>
  <c r="S30" i="544"/>
  <c r="T30" i="544"/>
  <c r="S31" i="544"/>
  <c r="T31" i="544"/>
  <c r="S32" i="544"/>
  <c r="T32" i="544"/>
  <c r="S33" i="544"/>
  <c r="T33" i="544"/>
  <c r="S34" i="544"/>
  <c r="T34" i="544"/>
  <c r="S35" i="544"/>
  <c r="T35" i="544"/>
  <c r="S36" i="544"/>
  <c r="T36" i="544"/>
  <c r="S37" i="544"/>
  <c r="T37" i="544"/>
  <c r="S38" i="544"/>
  <c r="T38" i="544"/>
  <c r="S39" i="544"/>
  <c r="T39" i="544"/>
  <c r="S40" i="544"/>
  <c r="T40" i="544"/>
  <c r="S50" i="544"/>
  <c r="T50" i="544"/>
  <c r="S51" i="544"/>
  <c r="T51" i="544"/>
  <c r="S52" i="544"/>
  <c r="T52" i="544"/>
  <c r="S53" i="544"/>
  <c r="T53" i="544"/>
  <c r="S54" i="544"/>
  <c r="T54" i="544"/>
  <c r="S55" i="544"/>
  <c r="T55" i="544"/>
  <c r="S56" i="544"/>
  <c r="T56" i="544"/>
  <c r="S57" i="544"/>
  <c r="T57" i="544"/>
  <c r="S58" i="544"/>
  <c r="T58" i="544"/>
  <c r="S59" i="544"/>
  <c r="T59" i="544"/>
  <c r="S60" i="544"/>
  <c r="T60" i="544"/>
  <c r="S61" i="544"/>
  <c r="T61" i="544"/>
  <c r="S62" i="544"/>
  <c r="T62" i="544"/>
  <c r="C15" i="544"/>
  <c r="C24" i="544"/>
  <c r="AA208" i="544"/>
  <c r="AA210" i="544"/>
  <c r="Z208" i="544"/>
  <c r="Z210" i="544"/>
  <c r="Y208" i="544"/>
  <c r="Y210" i="544"/>
  <c r="X208" i="544"/>
  <c r="X210" i="544"/>
  <c r="W208" i="544"/>
  <c r="W210" i="544"/>
  <c r="V208" i="544"/>
  <c r="V210" i="544"/>
  <c r="U208" i="544"/>
  <c r="U210" i="544"/>
  <c r="AA165" i="544"/>
  <c r="Z165" i="544"/>
  <c r="Y165" i="544"/>
  <c r="X165" i="544"/>
  <c r="W165" i="544"/>
  <c r="V165" i="544"/>
  <c r="U165" i="544"/>
  <c r="AD154" i="544"/>
  <c r="AC154" i="544"/>
  <c r="AB154" i="544"/>
  <c r="S6" i="544"/>
  <c r="C6" i="543"/>
  <c r="C36" i="543"/>
  <c r="C48" i="543"/>
  <c r="R46" i="543"/>
  <c r="R45" i="543"/>
  <c r="R44" i="543"/>
  <c r="R43" i="543"/>
  <c r="R42" i="543"/>
  <c r="R41" i="543"/>
  <c r="R40" i="543"/>
  <c r="R39" i="543"/>
  <c r="R38" i="543"/>
  <c r="L38" i="543"/>
  <c r="R37" i="543"/>
  <c r="R48" i="543"/>
  <c r="O23" i="543"/>
  <c r="R21" i="543"/>
  <c r="O21" i="543"/>
  <c r="R20" i="543"/>
  <c r="R19" i="543"/>
  <c r="R18" i="543"/>
  <c r="R15" i="543"/>
  <c r="R23" i="543"/>
  <c r="R24" i="543"/>
  <c r="R30" i="543"/>
  <c r="R13" i="543"/>
  <c r="R12" i="543"/>
  <c r="R11" i="543"/>
  <c r="R7" i="543"/>
  <c r="C14" i="543"/>
  <c r="AA225" i="543"/>
  <c r="AA227" i="543"/>
  <c r="Z225" i="543"/>
  <c r="Z227" i="543"/>
  <c r="Y225" i="543"/>
  <c r="Y227" i="543"/>
  <c r="X225" i="543"/>
  <c r="X227" i="543"/>
  <c r="W225" i="543"/>
  <c r="W227" i="543"/>
  <c r="V225" i="543"/>
  <c r="V227" i="543"/>
  <c r="U225" i="543"/>
  <c r="U227" i="543"/>
  <c r="AA182" i="543"/>
  <c r="Z182" i="543"/>
  <c r="Y182" i="543"/>
  <c r="X182" i="543"/>
  <c r="W182" i="543"/>
  <c r="V182" i="543"/>
  <c r="U182" i="543"/>
  <c r="AD171" i="543"/>
  <c r="AC171" i="543"/>
  <c r="AB171" i="543"/>
  <c r="O63" i="543"/>
  <c r="R62" i="543"/>
  <c r="R61" i="543"/>
  <c r="R60" i="543"/>
  <c r="N60" i="543"/>
  <c r="R59" i="543"/>
  <c r="R58" i="543"/>
  <c r="R57" i="543"/>
  <c r="R63" i="543"/>
  <c r="O55" i="543"/>
  <c r="R35" i="543"/>
  <c r="R34" i="543"/>
  <c r="R32" i="543"/>
  <c r="R31" i="543"/>
  <c r="R36" i="543"/>
  <c r="T6" i="543"/>
  <c r="S6" i="543"/>
  <c r="AA4" i="543"/>
  <c r="Z4" i="543"/>
  <c r="Y4" i="543"/>
  <c r="X4" i="543"/>
  <c r="W4" i="543"/>
  <c r="V4" i="543"/>
  <c r="U4" i="543"/>
  <c r="U5" i="543"/>
  <c r="C24" i="543"/>
  <c r="O70" i="546"/>
  <c r="T70" i="546"/>
  <c r="O69" i="546"/>
  <c r="T69" i="546"/>
  <c r="R81" i="546"/>
  <c r="R49" i="546"/>
  <c r="O55" i="546"/>
  <c r="T55" i="546"/>
  <c r="O81" i="546"/>
  <c r="T81" i="546"/>
  <c r="R69" i="546"/>
  <c r="R31" i="546"/>
  <c r="R75" i="546"/>
  <c r="R55" i="546"/>
  <c r="R86" i="546"/>
  <c r="R59" i="546"/>
  <c r="R11" i="546"/>
  <c r="R18" i="546"/>
  <c r="R26" i="546"/>
  <c r="R36" i="546"/>
  <c r="O11" i="546"/>
  <c r="T11" i="546"/>
  <c r="O18" i="546"/>
  <c r="T18" i="546"/>
  <c r="R27" i="545"/>
  <c r="R20" i="545"/>
  <c r="R11" i="545"/>
  <c r="R44" i="545"/>
  <c r="R52" i="545"/>
  <c r="R55" i="545"/>
  <c r="R36" i="545"/>
  <c r="S31" i="545"/>
  <c r="T36" i="545"/>
  <c r="R55" i="543"/>
  <c r="C27" i="543"/>
  <c r="T27" i="545"/>
  <c r="T6" i="544"/>
  <c r="T53" i="545"/>
  <c r="T52" i="545"/>
  <c r="T44" i="545"/>
  <c r="L54" i="545"/>
  <c r="B92" i="541" a="1"/>
  <c r="B92" i="541" s="1"/>
  <c r="S82" i="541"/>
  <c r="S83" i="541"/>
  <c r="S84" i="541"/>
  <c r="T84" i="541"/>
  <c r="S85" i="541"/>
  <c r="S86" i="541"/>
  <c r="S87" i="541"/>
  <c r="S88" i="541"/>
  <c r="S77" i="541"/>
  <c r="S78" i="541"/>
  <c r="S79" i="541"/>
  <c r="S80" i="541"/>
  <c r="S81" i="541"/>
  <c r="C84" i="541"/>
  <c r="R83" i="541"/>
  <c r="R82" i="541"/>
  <c r="R81" i="541"/>
  <c r="R80" i="541"/>
  <c r="R79" i="541"/>
  <c r="R78" i="541"/>
  <c r="R77" i="541"/>
  <c r="C36" i="541"/>
  <c r="C37" i="541"/>
  <c r="C44" i="541"/>
  <c r="C52" i="541"/>
  <c r="C60" i="541"/>
  <c r="C68" i="541"/>
  <c r="C76" i="541"/>
  <c r="R67" i="541"/>
  <c r="R66" i="541"/>
  <c r="R65" i="541"/>
  <c r="R64" i="541"/>
  <c r="R63" i="541"/>
  <c r="R62" i="541"/>
  <c r="R61" i="541"/>
  <c r="AA244" i="541"/>
  <c r="AA246" i="541"/>
  <c r="Z244" i="541"/>
  <c r="Z246" i="541"/>
  <c r="Y244" i="541"/>
  <c r="Y246" i="541"/>
  <c r="X244" i="541"/>
  <c r="X246" i="541"/>
  <c r="W244" i="541"/>
  <c r="W246" i="541"/>
  <c r="V244" i="541"/>
  <c r="V246" i="541"/>
  <c r="U244" i="541"/>
  <c r="U246" i="541"/>
  <c r="AA201" i="541"/>
  <c r="Z201" i="541"/>
  <c r="Y201" i="541"/>
  <c r="X201" i="541"/>
  <c r="W201" i="541"/>
  <c r="V201" i="541"/>
  <c r="U201" i="541"/>
  <c r="AD190" i="541"/>
  <c r="AC190" i="541"/>
  <c r="AB190" i="541"/>
  <c r="M100" i="541"/>
  <c r="T76" i="541"/>
  <c r="S76" i="541"/>
  <c r="S75" i="541"/>
  <c r="R75" i="541"/>
  <c r="S74" i="541"/>
  <c r="R74" i="541"/>
  <c r="R73" i="541"/>
  <c r="R72" i="541"/>
  <c r="R71" i="541"/>
  <c r="R70" i="541"/>
  <c r="R69" i="541"/>
  <c r="S59" i="541"/>
  <c r="R59" i="541"/>
  <c r="S58" i="541"/>
  <c r="R58" i="541"/>
  <c r="S57" i="541"/>
  <c r="R57" i="541"/>
  <c r="S56" i="541"/>
  <c r="R56" i="541"/>
  <c r="S55" i="541"/>
  <c r="R55" i="541"/>
  <c r="S54" i="541"/>
  <c r="R54" i="541"/>
  <c r="S53" i="541"/>
  <c r="R53" i="541"/>
  <c r="T52" i="541"/>
  <c r="S52" i="541"/>
  <c r="S51" i="541"/>
  <c r="R51" i="541"/>
  <c r="S50" i="541"/>
  <c r="R50" i="541"/>
  <c r="S49" i="541"/>
  <c r="R49" i="541"/>
  <c r="S48" i="541"/>
  <c r="R48" i="541"/>
  <c r="G47" i="541"/>
  <c r="S47" i="541"/>
  <c r="S46" i="541"/>
  <c r="R46" i="541"/>
  <c r="S45" i="541"/>
  <c r="R45" i="541"/>
  <c r="T37" i="541"/>
  <c r="S37" i="541"/>
  <c r="T36" i="541"/>
  <c r="S36" i="541"/>
  <c r="S35" i="541"/>
  <c r="R35" i="541"/>
  <c r="S34" i="541"/>
  <c r="R34" i="541"/>
  <c r="S33" i="541"/>
  <c r="S32" i="541"/>
  <c r="S31" i="541"/>
  <c r="S30" i="541"/>
  <c r="S29" i="541"/>
  <c r="S28" i="541"/>
  <c r="S27" i="541"/>
  <c r="T13" i="541"/>
  <c r="S13" i="541"/>
  <c r="S12" i="541"/>
  <c r="R12" i="541"/>
  <c r="S11" i="541"/>
  <c r="R11" i="541"/>
  <c r="S10" i="541"/>
  <c r="R10" i="541"/>
  <c r="S9" i="541"/>
  <c r="R9" i="541"/>
  <c r="S8" i="541"/>
  <c r="R8" i="541"/>
  <c r="S7" i="541"/>
  <c r="R7" i="541"/>
  <c r="S6" i="541"/>
  <c r="R6" i="541"/>
  <c r="R43" i="541"/>
  <c r="R42" i="541"/>
  <c r="R41" i="541"/>
  <c r="R40" i="541"/>
  <c r="R39" i="541"/>
  <c r="R38" i="541"/>
  <c r="R35" i="540"/>
  <c r="R34" i="540"/>
  <c r="R33" i="540"/>
  <c r="R32" i="540"/>
  <c r="R31" i="540"/>
  <c r="R30" i="540"/>
  <c r="R29" i="540"/>
  <c r="R28" i="540"/>
  <c r="R27" i="540"/>
  <c r="R25" i="540"/>
  <c r="R24" i="540"/>
  <c r="AF35" i="539"/>
  <c r="AG35" i="539"/>
  <c r="AE35" i="539"/>
  <c r="R17" i="540"/>
  <c r="R18" i="540"/>
  <c r="R16" i="540"/>
  <c r="R15" i="540"/>
  <c r="R14" i="540"/>
  <c r="N14" i="540"/>
  <c r="R13" i="540"/>
  <c r="R10" i="540"/>
  <c r="AA228" i="540"/>
  <c r="AA230" i="540"/>
  <c r="Z228" i="540"/>
  <c r="Z230" i="540"/>
  <c r="Y228" i="540"/>
  <c r="Y230" i="540"/>
  <c r="X228" i="540"/>
  <c r="X230" i="540"/>
  <c r="W228" i="540"/>
  <c r="W230" i="540"/>
  <c r="V228" i="540"/>
  <c r="V230" i="540"/>
  <c r="U228" i="540"/>
  <c r="U230" i="540"/>
  <c r="AA185" i="540"/>
  <c r="Z185" i="540"/>
  <c r="Y185" i="540"/>
  <c r="X185" i="540"/>
  <c r="W185" i="540"/>
  <c r="V185" i="540"/>
  <c r="U185" i="540"/>
  <c r="AD174" i="540"/>
  <c r="AC174" i="540"/>
  <c r="AB174" i="540"/>
  <c r="O71" i="540"/>
  <c r="R70" i="540"/>
  <c r="O70" i="540"/>
  <c r="P70" i="540"/>
  <c r="N70" i="540"/>
  <c r="O69" i="540"/>
  <c r="R68" i="540"/>
  <c r="O68" i="540"/>
  <c r="P68" i="540"/>
  <c r="N68" i="540"/>
  <c r="R67" i="540"/>
  <c r="O67" i="540"/>
  <c r="P67" i="540"/>
  <c r="N67" i="540"/>
  <c r="R66" i="540"/>
  <c r="O66" i="540"/>
  <c r="P66" i="540"/>
  <c r="N66" i="540"/>
  <c r="R65" i="540"/>
  <c r="O65" i="540"/>
  <c r="R64" i="540"/>
  <c r="P64" i="540"/>
  <c r="N64" i="540"/>
  <c r="R63" i="540"/>
  <c r="P63" i="540"/>
  <c r="N63" i="540"/>
  <c r="R62" i="540"/>
  <c r="P62" i="540"/>
  <c r="N62" i="540"/>
  <c r="N69" i="540"/>
  <c r="R60" i="540"/>
  <c r="R59" i="540"/>
  <c r="P59" i="540"/>
  <c r="N59" i="540"/>
  <c r="R58" i="540"/>
  <c r="R57" i="540"/>
  <c r="P57" i="540"/>
  <c r="N57" i="540"/>
  <c r="R56" i="540"/>
  <c r="R55" i="540"/>
  <c r="P55" i="540"/>
  <c r="N55" i="540"/>
  <c r="R44" i="540"/>
  <c r="R43" i="540"/>
  <c r="R42" i="540"/>
  <c r="R41" i="540"/>
  <c r="R40" i="540"/>
  <c r="R39" i="540"/>
  <c r="R38" i="540"/>
  <c r="R37" i="540"/>
  <c r="R23" i="540"/>
  <c r="R22" i="540"/>
  <c r="R21" i="540"/>
  <c r="N21" i="540"/>
  <c r="R20" i="540"/>
  <c r="R11" i="540"/>
  <c r="R9" i="540"/>
  <c r="N7" i="540"/>
  <c r="S6" i="540"/>
  <c r="R6" i="540"/>
  <c r="AI34" i="539"/>
  <c r="T34" i="539"/>
  <c r="AF34" i="539"/>
  <c r="AG34" i="539"/>
  <c r="AE34" i="539"/>
  <c r="AI33" i="539"/>
  <c r="T33" i="539"/>
  <c r="AF33" i="539"/>
  <c r="AG33" i="539"/>
  <c r="AI32" i="539"/>
  <c r="AF32" i="539"/>
  <c r="AG32" i="539"/>
  <c r="T32" i="539"/>
  <c r="AI31" i="539"/>
  <c r="AF31" i="539"/>
  <c r="AG31" i="539"/>
  <c r="T31" i="539"/>
  <c r="D45" i="539"/>
  <c r="P45" i="539"/>
  <c r="Q45" i="539"/>
  <c r="O45" i="539"/>
  <c r="S45" i="539"/>
  <c r="D46" i="539"/>
  <c r="P46" i="539"/>
  <c r="Q46" i="539"/>
  <c r="O46" i="539"/>
  <c r="S46" i="539"/>
  <c r="D47" i="539"/>
  <c r="P47" i="539"/>
  <c r="Q47" i="539"/>
  <c r="O47" i="539"/>
  <c r="S47" i="539"/>
  <c r="S44" i="539"/>
  <c r="D44" i="539"/>
  <c r="P44" i="539"/>
  <c r="Q44" i="539"/>
  <c r="O44" i="539"/>
  <c r="D40" i="539"/>
  <c r="E40" i="539"/>
  <c r="F40" i="539"/>
  <c r="G40" i="539"/>
  <c r="H40" i="539"/>
  <c r="I40" i="539"/>
  <c r="J40" i="539"/>
  <c r="K40" i="539"/>
  <c r="L40" i="539"/>
  <c r="M40" i="539"/>
  <c r="N40" i="539"/>
  <c r="C40" i="539"/>
  <c r="C25" i="539"/>
  <c r="D25" i="539"/>
  <c r="E25" i="539"/>
  <c r="F25" i="539"/>
  <c r="G25" i="539"/>
  <c r="H25" i="539"/>
  <c r="I25" i="539"/>
  <c r="J25" i="539"/>
  <c r="K25" i="539"/>
  <c r="L25" i="539"/>
  <c r="M25" i="539"/>
  <c r="N25" i="539"/>
  <c r="O25" i="539"/>
  <c r="P25" i="539"/>
  <c r="Q25" i="539"/>
  <c r="R25" i="539"/>
  <c r="B25" i="539"/>
  <c r="Q14" i="539"/>
  <c r="R14" i="539"/>
  <c r="Q6" i="539"/>
  <c r="R6" i="539"/>
  <c r="K6" i="539"/>
  <c r="H6" i="539"/>
  <c r="D6" i="539"/>
  <c r="B6" i="539"/>
  <c r="K14" i="539"/>
  <c r="H14" i="539"/>
  <c r="D14" i="539"/>
  <c r="B14" i="539"/>
  <c r="B15" i="539"/>
  <c r="Q22" i="539"/>
  <c r="R22" i="539"/>
  <c r="K22" i="539"/>
  <c r="H22" i="539"/>
  <c r="D22" i="539"/>
  <c r="B22" i="539"/>
  <c r="B23" i="539"/>
  <c r="C17" i="539"/>
  <c r="D17" i="539"/>
  <c r="B17" i="539"/>
  <c r="B7" i="539"/>
  <c r="B9" i="539"/>
  <c r="C9" i="539"/>
  <c r="D9" i="539"/>
  <c r="E9" i="539"/>
  <c r="F9" i="539"/>
  <c r="G9" i="539"/>
  <c r="H9" i="539"/>
  <c r="I9" i="539"/>
  <c r="J9" i="539"/>
  <c r="K9" i="539"/>
  <c r="L9" i="539"/>
  <c r="M9" i="539"/>
  <c r="N9" i="539"/>
  <c r="O9" i="539"/>
  <c r="P9" i="539"/>
  <c r="Q9" i="539"/>
  <c r="R9" i="539"/>
  <c r="C16" i="418"/>
  <c r="C15" i="418"/>
  <c r="R13" i="541"/>
  <c r="R47" i="541"/>
  <c r="R36" i="540"/>
  <c r="R19" i="540"/>
  <c r="R45" i="540"/>
  <c r="R78" i="540"/>
  <c r="P58" i="540"/>
  <c r="N58" i="540"/>
  <c r="P56" i="540"/>
  <c r="N56" i="540"/>
  <c r="P60" i="540"/>
  <c r="N60" i="540"/>
  <c r="R26" i="540"/>
  <c r="P65" i="540"/>
  <c r="N65" i="540"/>
  <c r="R61" i="540"/>
  <c r="R69" i="540"/>
  <c r="C23" i="539"/>
  <c r="E17" i="539"/>
  <c r="F17" i="539"/>
  <c r="G17" i="539"/>
  <c r="H17" i="539"/>
  <c r="C15" i="539"/>
  <c r="E7" i="539"/>
  <c r="C7" i="539"/>
  <c r="L7" i="539"/>
  <c r="R7" i="539"/>
  <c r="E23" i="539"/>
  <c r="I17" i="539"/>
  <c r="J17" i="539"/>
  <c r="K17" i="539"/>
  <c r="E15" i="539"/>
  <c r="I7" i="539"/>
  <c r="T88" i="541"/>
  <c r="T27" i="541"/>
  <c r="I23" i="539"/>
  <c r="I15" i="539"/>
  <c r="L17" i="539"/>
  <c r="M17" i="539"/>
  <c r="N17" i="539"/>
  <c r="O17" i="539"/>
  <c r="P17" i="539"/>
  <c r="Q17" i="539"/>
  <c r="L23" i="539"/>
  <c r="R17" i="539"/>
  <c r="R23" i="539"/>
  <c r="S58" i="536"/>
  <c r="T58" i="536"/>
  <c r="U58" i="536"/>
  <c r="V58" i="536"/>
  <c r="W58" i="536"/>
  <c r="X58" i="536"/>
  <c r="Y58" i="536"/>
  <c r="Z58" i="536"/>
  <c r="AA58" i="536"/>
  <c r="S59" i="536"/>
  <c r="O59" i="536"/>
  <c r="T59" i="536"/>
  <c r="R45" i="536"/>
  <c r="AA5" i="536"/>
  <c r="C45" i="536"/>
  <c r="O45" i="536"/>
  <c r="P45" i="536"/>
  <c r="N45" i="536"/>
  <c r="R38" i="536"/>
  <c r="U5" i="536"/>
  <c r="C34" i="536"/>
  <c r="O34" i="536"/>
  <c r="P34" i="536"/>
  <c r="N34" i="536"/>
  <c r="L35" i="536"/>
  <c r="W5" i="536"/>
  <c r="C35" i="536"/>
  <c r="O35" i="536"/>
  <c r="P35" i="536"/>
  <c r="N35" i="536"/>
  <c r="L36" i="536"/>
  <c r="Z5" i="536"/>
  <c r="C36" i="536"/>
  <c r="O36" i="536"/>
  <c r="P36" i="536"/>
  <c r="N36" i="536"/>
  <c r="L37" i="536"/>
  <c r="V5" i="536"/>
  <c r="C37" i="536"/>
  <c r="O37" i="536"/>
  <c r="P37" i="536"/>
  <c r="N37" i="536"/>
  <c r="L38" i="536"/>
  <c r="C38" i="536"/>
  <c r="O38" i="536"/>
  <c r="P38" i="536"/>
  <c r="N38" i="536"/>
  <c r="R32" i="536"/>
  <c r="C28" i="536"/>
  <c r="O28" i="536"/>
  <c r="P28" i="536"/>
  <c r="N28" i="536"/>
  <c r="L29" i="536"/>
  <c r="C29" i="536"/>
  <c r="O29" i="536"/>
  <c r="P29" i="536"/>
  <c r="N29" i="536"/>
  <c r="L30" i="536"/>
  <c r="N30" i="536"/>
  <c r="L31" i="536"/>
  <c r="C31" i="536"/>
  <c r="O31" i="536"/>
  <c r="P31" i="536"/>
  <c r="N31" i="536"/>
  <c r="L32" i="536"/>
  <c r="C32" i="536"/>
  <c r="O32" i="536"/>
  <c r="P32" i="536"/>
  <c r="N32" i="536"/>
  <c r="R26" i="536"/>
  <c r="C20" i="536"/>
  <c r="O20" i="536"/>
  <c r="P20" i="536"/>
  <c r="N20" i="536"/>
  <c r="L21" i="536"/>
  <c r="X5" i="536"/>
  <c r="C21" i="536"/>
  <c r="O21" i="536"/>
  <c r="P21" i="536"/>
  <c r="N21" i="536"/>
  <c r="L22" i="536"/>
  <c r="C22" i="536"/>
  <c r="O22" i="536"/>
  <c r="P22" i="536"/>
  <c r="N22" i="536"/>
  <c r="L23" i="536"/>
  <c r="Y5" i="536"/>
  <c r="C23" i="536"/>
  <c r="O23" i="536"/>
  <c r="P23" i="536"/>
  <c r="N23" i="536"/>
  <c r="L24" i="536"/>
  <c r="C24" i="536"/>
  <c r="O24" i="536"/>
  <c r="P24" i="536"/>
  <c r="N24" i="536"/>
  <c r="L25" i="536"/>
  <c r="C25" i="536"/>
  <c r="O25" i="536"/>
  <c r="P25" i="536"/>
  <c r="N25" i="536"/>
  <c r="L26" i="536"/>
  <c r="C26" i="536"/>
  <c r="O26" i="536"/>
  <c r="P26" i="536"/>
  <c r="N26" i="536"/>
  <c r="R18" i="536"/>
  <c r="C18" i="536"/>
  <c r="O18" i="536"/>
  <c r="P18" i="536"/>
  <c r="N18" i="536"/>
  <c r="O61" i="536"/>
  <c r="C60" i="536"/>
  <c r="O60" i="536"/>
  <c r="T60" i="536"/>
  <c r="C47" i="536"/>
  <c r="O47" i="536"/>
  <c r="AA187" i="536"/>
  <c r="AA189" i="536"/>
  <c r="Z187" i="536"/>
  <c r="Z189" i="536"/>
  <c r="Y187" i="536"/>
  <c r="Y189" i="536"/>
  <c r="X187" i="536"/>
  <c r="X189" i="536"/>
  <c r="W187" i="536"/>
  <c r="W189" i="536"/>
  <c r="V187" i="536"/>
  <c r="V189" i="536"/>
  <c r="U187" i="536"/>
  <c r="U189" i="536"/>
  <c r="AA144" i="536"/>
  <c r="Z144" i="536"/>
  <c r="Y144" i="536"/>
  <c r="X144" i="536"/>
  <c r="W144" i="536"/>
  <c r="V144" i="536"/>
  <c r="U144" i="536"/>
  <c r="AD133" i="536"/>
  <c r="AC133" i="536"/>
  <c r="AB133" i="536"/>
  <c r="AA63" i="536"/>
  <c r="AA64" i="536"/>
  <c r="AA65" i="536"/>
  <c r="AA66" i="536"/>
  <c r="AA67" i="536"/>
  <c r="AA68" i="536"/>
  <c r="AA69" i="536"/>
  <c r="AA70" i="536"/>
  <c r="AA71" i="536"/>
  <c r="AA72" i="536"/>
  <c r="AA73" i="536"/>
  <c r="AA74" i="536"/>
  <c r="AA75" i="536"/>
  <c r="AA76" i="536"/>
  <c r="AA77" i="536"/>
  <c r="AA78" i="536"/>
  <c r="AA79" i="536"/>
  <c r="AA80" i="536"/>
  <c r="AA81" i="536"/>
  <c r="AA82" i="536"/>
  <c r="AA83" i="536"/>
  <c r="AA84" i="536"/>
  <c r="AA85" i="536"/>
  <c r="AA86" i="536"/>
  <c r="AA87" i="536"/>
  <c r="AA88" i="536"/>
  <c r="Z63" i="536"/>
  <c r="Z64" i="536"/>
  <c r="Z65" i="536"/>
  <c r="Z66" i="536"/>
  <c r="Z67" i="536"/>
  <c r="Z68" i="536"/>
  <c r="Z69" i="536"/>
  <c r="Z70" i="536"/>
  <c r="Z71" i="536"/>
  <c r="Z72" i="536"/>
  <c r="Z73" i="536"/>
  <c r="Z74" i="536"/>
  <c r="Z75" i="536"/>
  <c r="Z76" i="536"/>
  <c r="Z77" i="536"/>
  <c r="Z78" i="536"/>
  <c r="Z79" i="536"/>
  <c r="Z80" i="536"/>
  <c r="Z81" i="536"/>
  <c r="Z82" i="536"/>
  <c r="Z83" i="536"/>
  <c r="Z84" i="536"/>
  <c r="Z85" i="536"/>
  <c r="Z86" i="536"/>
  <c r="Z87" i="536"/>
  <c r="Z88" i="536"/>
  <c r="Y63" i="536"/>
  <c r="Y64" i="536"/>
  <c r="Y65" i="536"/>
  <c r="Y66" i="536"/>
  <c r="Y67" i="536"/>
  <c r="Y68" i="536"/>
  <c r="Y69" i="536"/>
  <c r="Y70" i="536"/>
  <c r="Y71" i="536"/>
  <c r="Y72" i="536"/>
  <c r="Y73" i="536"/>
  <c r="Y74" i="536"/>
  <c r="Y75" i="536"/>
  <c r="Y76" i="536"/>
  <c r="Y77" i="536"/>
  <c r="Y78" i="536"/>
  <c r="Y79" i="536"/>
  <c r="Y80" i="536"/>
  <c r="Y81" i="536"/>
  <c r="Y82" i="536"/>
  <c r="Y83" i="536"/>
  <c r="Y84" i="536"/>
  <c r="Y85" i="536"/>
  <c r="Y86" i="536"/>
  <c r="Y87" i="536"/>
  <c r="Y88" i="536"/>
  <c r="X63" i="536"/>
  <c r="X64" i="536"/>
  <c r="X65" i="536"/>
  <c r="X66" i="536"/>
  <c r="X67" i="536"/>
  <c r="X68" i="536"/>
  <c r="X69" i="536"/>
  <c r="X70" i="536"/>
  <c r="X71" i="536"/>
  <c r="X72" i="536"/>
  <c r="X73" i="536"/>
  <c r="X74" i="536"/>
  <c r="X75" i="536"/>
  <c r="X76" i="536"/>
  <c r="X77" i="536"/>
  <c r="X78" i="536"/>
  <c r="X79" i="536"/>
  <c r="X80" i="536"/>
  <c r="X81" i="536"/>
  <c r="X82" i="536"/>
  <c r="X83" i="536"/>
  <c r="X84" i="536"/>
  <c r="X85" i="536"/>
  <c r="X86" i="536"/>
  <c r="X87" i="536"/>
  <c r="X88" i="536"/>
  <c r="W63" i="536"/>
  <c r="W64" i="536"/>
  <c r="W65" i="536"/>
  <c r="W66" i="536"/>
  <c r="W67" i="536"/>
  <c r="W68" i="536"/>
  <c r="W69" i="536"/>
  <c r="W70" i="536"/>
  <c r="W71" i="536"/>
  <c r="W72" i="536"/>
  <c r="W73" i="536"/>
  <c r="W74" i="536"/>
  <c r="W75" i="536"/>
  <c r="W76" i="536"/>
  <c r="W77" i="536"/>
  <c r="W78" i="536"/>
  <c r="W79" i="536"/>
  <c r="W80" i="536"/>
  <c r="W81" i="536"/>
  <c r="W82" i="536"/>
  <c r="W83" i="536"/>
  <c r="W84" i="536"/>
  <c r="W85" i="536"/>
  <c r="W86" i="536"/>
  <c r="W87" i="536"/>
  <c r="W88" i="536"/>
  <c r="V63" i="536"/>
  <c r="V64" i="536"/>
  <c r="V65" i="536"/>
  <c r="V66" i="536"/>
  <c r="V67" i="536"/>
  <c r="V68" i="536"/>
  <c r="V69" i="536"/>
  <c r="V70" i="536"/>
  <c r="V71" i="536"/>
  <c r="V72" i="536"/>
  <c r="V73" i="536"/>
  <c r="V74" i="536"/>
  <c r="V75" i="536"/>
  <c r="V76" i="536"/>
  <c r="V77" i="536"/>
  <c r="V78" i="536"/>
  <c r="V79" i="536"/>
  <c r="V80" i="536"/>
  <c r="V81" i="536"/>
  <c r="V82" i="536"/>
  <c r="V83" i="536"/>
  <c r="V84" i="536"/>
  <c r="V85" i="536"/>
  <c r="V86" i="536"/>
  <c r="V87" i="536"/>
  <c r="V88" i="536"/>
  <c r="U63" i="536"/>
  <c r="U64" i="536"/>
  <c r="U65" i="536"/>
  <c r="U66" i="536"/>
  <c r="U67" i="536"/>
  <c r="U68" i="536"/>
  <c r="U69" i="536"/>
  <c r="U70" i="536"/>
  <c r="U71" i="536"/>
  <c r="U72" i="536"/>
  <c r="U73" i="536"/>
  <c r="U74" i="536"/>
  <c r="U75" i="536"/>
  <c r="U76" i="536"/>
  <c r="U77" i="536"/>
  <c r="U78" i="536"/>
  <c r="U79" i="536"/>
  <c r="U80" i="536"/>
  <c r="U81" i="536"/>
  <c r="U82" i="536"/>
  <c r="U83" i="536"/>
  <c r="U84" i="536"/>
  <c r="U85" i="536"/>
  <c r="U86" i="536"/>
  <c r="U87" i="536"/>
  <c r="U88" i="536"/>
  <c r="AA61" i="536"/>
  <c r="Z61" i="536"/>
  <c r="Y61" i="536"/>
  <c r="X61" i="536"/>
  <c r="W61" i="536"/>
  <c r="V61" i="536"/>
  <c r="U61" i="536"/>
  <c r="T61" i="536"/>
  <c r="S61" i="536"/>
  <c r="S60" i="536"/>
  <c r="Z60" i="536"/>
  <c r="T46" i="536"/>
  <c r="S46" i="536"/>
  <c r="C46" i="536"/>
  <c r="Y46" i="536"/>
  <c r="S45" i="536"/>
  <c r="S44" i="536"/>
  <c r="R44" i="536"/>
  <c r="S43" i="536"/>
  <c r="R43" i="536"/>
  <c r="S42" i="536"/>
  <c r="R42" i="536"/>
  <c r="S41" i="536"/>
  <c r="R41" i="536"/>
  <c r="S40" i="536"/>
  <c r="R40" i="536"/>
  <c r="T39" i="536"/>
  <c r="S39" i="536"/>
  <c r="C39" i="536"/>
  <c r="Y39" i="536"/>
  <c r="S38" i="536"/>
  <c r="S37" i="536"/>
  <c r="R37" i="536"/>
  <c r="S36" i="536"/>
  <c r="R36" i="536"/>
  <c r="S35" i="536"/>
  <c r="R35" i="536"/>
  <c r="S34" i="536"/>
  <c r="R34" i="536"/>
  <c r="T33" i="536"/>
  <c r="S33" i="536"/>
  <c r="C33" i="536"/>
  <c r="X33" i="536"/>
  <c r="S32" i="536"/>
  <c r="S31" i="536"/>
  <c r="R31" i="536"/>
  <c r="S30" i="536"/>
  <c r="R30" i="536"/>
  <c r="S29" i="536"/>
  <c r="R29" i="536"/>
  <c r="S28" i="536"/>
  <c r="R28" i="536"/>
  <c r="C27" i="536"/>
  <c r="X27" i="536"/>
  <c r="T27" i="536"/>
  <c r="S27" i="536"/>
  <c r="AA27" i="536"/>
  <c r="S26" i="536"/>
  <c r="S25" i="536"/>
  <c r="R25" i="536"/>
  <c r="S24" i="536"/>
  <c r="R24" i="536"/>
  <c r="S23" i="536"/>
  <c r="R23" i="536"/>
  <c r="S22" i="536"/>
  <c r="R22" i="536"/>
  <c r="S21" i="536"/>
  <c r="R21" i="536"/>
  <c r="S20" i="536"/>
  <c r="R20" i="536"/>
  <c r="R27" i="536"/>
  <c r="T19" i="536"/>
  <c r="S19" i="536"/>
  <c r="C19" i="536"/>
  <c r="X19" i="536"/>
  <c r="S18" i="536"/>
  <c r="S17" i="536"/>
  <c r="R17" i="536"/>
  <c r="S16" i="536"/>
  <c r="R16" i="536"/>
  <c r="S15" i="536"/>
  <c r="R15" i="536"/>
  <c r="R13" i="536"/>
  <c r="R14" i="536"/>
  <c r="R19" i="536"/>
  <c r="S14" i="536"/>
  <c r="N14" i="536"/>
  <c r="S13" i="536"/>
  <c r="T12" i="536"/>
  <c r="S12" i="536"/>
  <c r="C12" i="536"/>
  <c r="Z12" i="536"/>
  <c r="S11" i="536"/>
  <c r="R11" i="536"/>
  <c r="S10" i="536"/>
  <c r="R10" i="536"/>
  <c r="S9" i="536"/>
  <c r="R9" i="536"/>
  <c r="S8" i="536"/>
  <c r="R8" i="536"/>
  <c r="S7" i="536"/>
  <c r="R7" i="536"/>
  <c r="N7" i="536"/>
  <c r="S6" i="536"/>
  <c r="R6" i="536"/>
  <c r="C10" i="536"/>
  <c r="C13" i="536"/>
  <c r="O49" i="534"/>
  <c r="O48" i="534"/>
  <c r="O47" i="534"/>
  <c r="O46" i="534"/>
  <c r="O45" i="534"/>
  <c r="R44" i="534"/>
  <c r="O44" i="534"/>
  <c r="P44" i="534"/>
  <c r="N44" i="534"/>
  <c r="O43" i="534"/>
  <c r="O42" i="534"/>
  <c r="R41" i="534"/>
  <c r="O41" i="534"/>
  <c r="P41" i="534"/>
  <c r="N41" i="534"/>
  <c r="R40" i="534"/>
  <c r="O40" i="534"/>
  <c r="P40" i="534"/>
  <c r="N40" i="534"/>
  <c r="R39" i="534"/>
  <c r="O39" i="534"/>
  <c r="P39" i="534"/>
  <c r="N39" i="534"/>
  <c r="R38" i="534"/>
  <c r="O38" i="534"/>
  <c r="P38" i="534"/>
  <c r="N38" i="534"/>
  <c r="R37" i="534"/>
  <c r="O37" i="534"/>
  <c r="P37" i="534"/>
  <c r="N37" i="534"/>
  <c r="O36" i="534"/>
  <c r="AA173" i="534"/>
  <c r="AA175" i="534"/>
  <c r="Z173" i="534"/>
  <c r="Z175" i="534"/>
  <c r="Y173" i="534"/>
  <c r="Y175" i="534"/>
  <c r="X173" i="534"/>
  <c r="X175" i="534"/>
  <c r="W173" i="534"/>
  <c r="W175" i="534"/>
  <c r="V173" i="534"/>
  <c r="V175" i="534"/>
  <c r="U173" i="534"/>
  <c r="U175" i="534"/>
  <c r="AA130" i="534"/>
  <c r="Z130" i="534"/>
  <c r="Y130" i="534"/>
  <c r="X130" i="534"/>
  <c r="W130" i="534"/>
  <c r="V130" i="534"/>
  <c r="U130" i="534"/>
  <c r="AD119" i="534"/>
  <c r="AC119" i="534"/>
  <c r="AB119" i="534"/>
  <c r="AA41" i="534"/>
  <c r="AA42" i="534"/>
  <c r="AA43" i="534"/>
  <c r="AA44" i="534"/>
  <c r="AA45" i="534"/>
  <c r="AA46" i="534"/>
  <c r="AA47" i="534"/>
  <c r="AA48" i="534"/>
  <c r="AA49" i="534"/>
  <c r="AA50" i="534"/>
  <c r="AA51" i="534"/>
  <c r="AA52" i="534"/>
  <c r="AA53" i="534"/>
  <c r="AA54" i="534"/>
  <c r="AA55" i="534"/>
  <c r="AA56" i="534"/>
  <c r="AA57" i="534"/>
  <c r="AA58" i="534"/>
  <c r="AA59" i="534"/>
  <c r="AA60" i="534"/>
  <c r="AA61" i="534"/>
  <c r="AA62" i="534"/>
  <c r="AA63" i="534"/>
  <c r="AA64" i="534"/>
  <c r="AA65" i="534"/>
  <c r="AA66" i="534"/>
  <c r="AA67" i="534"/>
  <c r="AA68" i="534"/>
  <c r="AA69" i="534"/>
  <c r="AA70" i="534"/>
  <c r="AA71" i="534"/>
  <c r="AA72" i="534"/>
  <c r="AA73" i="534"/>
  <c r="AA74" i="534"/>
  <c r="Z41" i="534"/>
  <c r="Z42" i="534"/>
  <c r="Z43" i="534"/>
  <c r="Z44" i="534"/>
  <c r="Z45" i="534"/>
  <c r="Z46" i="534"/>
  <c r="Z47" i="534"/>
  <c r="Z48" i="534"/>
  <c r="Z49" i="534"/>
  <c r="Z50" i="534"/>
  <c r="Z51" i="534"/>
  <c r="Z52" i="534"/>
  <c r="Z53" i="534"/>
  <c r="Z54" i="534"/>
  <c r="Z55" i="534"/>
  <c r="Z56" i="534"/>
  <c r="Z57" i="534"/>
  <c r="Z58" i="534"/>
  <c r="Z59" i="534"/>
  <c r="Z60" i="534"/>
  <c r="Z61" i="534"/>
  <c r="Z62" i="534"/>
  <c r="Z63" i="534"/>
  <c r="Z64" i="534"/>
  <c r="Z65" i="534"/>
  <c r="Z66" i="534"/>
  <c r="Z67" i="534"/>
  <c r="Z68" i="534"/>
  <c r="Z69" i="534"/>
  <c r="Z70" i="534"/>
  <c r="Z71" i="534"/>
  <c r="Z72" i="534"/>
  <c r="Z73" i="534"/>
  <c r="Z74" i="534"/>
  <c r="Y41" i="534"/>
  <c r="Y42" i="534"/>
  <c r="Y43" i="534"/>
  <c r="Y44" i="534"/>
  <c r="Y45" i="534"/>
  <c r="Y46" i="534"/>
  <c r="Y47" i="534"/>
  <c r="Y48" i="534"/>
  <c r="Y49" i="534"/>
  <c r="Y50" i="534"/>
  <c r="Y51" i="534"/>
  <c r="Y52" i="534"/>
  <c r="Y53" i="534"/>
  <c r="Y54" i="534"/>
  <c r="Y55" i="534"/>
  <c r="Y56" i="534"/>
  <c r="Y57" i="534"/>
  <c r="Y58" i="534"/>
  <c r="Y59" i="534"/>
  <c r="Y60" i="534"/>
  <c r="Y61" i="534"/>
  <c r="Y62" i="534"/>
  <c r="Y63" i="534"/>
  <c r="Y64" i="534"/>
  <c r="Y65" i="534"/>
  <c r="Y66" i="534"/>
  <c r="Y67" i="534"/>
  <c r="Y68" i="534"/>
  <c r="Y69" i="534"/>
  <c r="Y70" i="534"/>
  <c r="Y71" i="534"/>
  <c r="Y72" i="534"/>
  <c r="Y73" i="534"/>
  <c r="Y74" i="534"/>
  <c r="X41" i="534"/>
  <c r="X42" i="534"/>
  <c r="X43" i="534"/>
  <c r="X44" i="534"/>
  <c r="X45" i="534"/>
  <c r="X46" i="534"/>
  <c r="X47" i="534"/>
  <c r="X48" i="534"/>
  <c r="X49" i="534"/>
  <c r="X50" i="534"/>
  <c r="X51" i="534"/>
  <c r="X52" i="534"/>
  <c r="X53" i="534"/>
  <c r="X54" i="534"/>
  <c r="X55" i="534"/>
  <c r="X56" i="534"/>
  <c r="X57" i="534"/>
  <c r="X58" i="534"/>
  <c r="X59" i="534"/>
  <c r="X60" i="534"/>
  <c r="X61" i="534"/>
  <c r="X62" i="534"/>
  <c r="X63" i="534"/>
  <c r="X64" i="534"/>
  <c r="X65" i="534"/>
  <c r="X66" i="534"/>
  <c r="X67" i="534"/>
  <c r="X68" i="534"/>
  <c r="X69" i="534"/>
  <c r="X70" i="534"/>
  <c r="X71" i="534"/>
  <c r="X72" i="534"/>
  <c r="X73" i="534"/>
  <c r="X74" i="534"/>
  <c r="W41" i="534"/>
  <c r="W42" i="534"/>
  <c r="W43" i="534"/>
  <c r="W44" i="534"/>
  <c r="W45" i="534"/>
  <c r="W46" i="534"/>
  <c r="W47" i="534"/>
  <c r="W48" i="534"/>
  <c r="W49" i="534"/>
  <c r="W50" i="534"/>
  <c r="W51" i="534"/>
  <c r="W52" i="534"/>
  <c r="W53" i="534"/>
  <c r="W54" i="534"/>
  <c r="W55" i="534"/>
  <c r="W56" i="534"/>
  <c r="W57" i="534"/>
  <c r="W58" i="534"/>
  <c r="W59" i="534"/>
  <c r="W60" i="534"/>
  <c r="W61" i="534"/>
  <c r="W62" i="534"/>
  <c r="W63" i="534"/>
  <c r="W64" i="534"/>
  <c r="W65" i="534"/>
  <c r="W66" i="534"/>
  <c r="W67" i="534"/>
  <c r="W68" i="534"/>
  <c r="W69" i="534"/>
  <c r="W70" i="534"/>
  <c r="W71" i="534"/>
  <c r="W72" i="534"/>
  <c r="W73" i="534"/>
  <c r="W74" i="534"/>
  <c r="V41" i="534"/>
  <c r="V42" i="534"/>
  <c r="V43" i="534"/>
  <c r="V44" i="534"/>
  <c r="V45" i="534"/>
  <c r="V46" i="534"/>
  <c r="V47" i="534"/>
  <c r="V48" i="534"/>
  <c r="V49" i="534"/>
  <c r="V50" i="534"/>
  <c r="V51" i="534"/>
  <c r="V52" i="534"/>
  <c r="V53" i="534"/>
  <c r="V54" i="534"/>
  <c r="V55" i="534"/>
  <c r="V56" i="534"/>
  <c r="V57" i="534"/>
  <c r="V58" i="534"/>
  <c r="V59" i="534"/>
  <c r="V60" i="534"/>
  <c r="V61" i="534"/>
  <c r="V62" i="534"/>
  <c r="V63" i="534"/>
  <c r="V64" i="534"/>
  <c r="V65" i="534"/>
  <c r="V66" i="534"/>
  <c r="V67" i="534"/>
  <c r="V68" i="534"/>
  <c r="V69" i="534"/>
  <c r="V70" i="534"/>
  <c r="V71" i="534"/>
  <c r="V72" i="534"/>
  <c r="V73" i="534"/>
  <c r="V74" i="534"/>
  <c r="U41" i="534"/>
  <c r="U42" i="534"/>
  <c r="U43" i="534"/>
  <c r="U44" i="534"/>
  <c r="U45" i="534"/>
  <c r="U46" i="534"/>
  <c r="U47" i="534"/>
  <c r="U48" i="534"/>
  <c r="U49" i="534"/>
  <c r="U50" i="534"/>
  <c r="U51" i="534"/>
  <c r="U52" i="534"/>
  <c r="U53" i="534"/>
  <c r="U54" i="534"/>
  <c r="U55" i="534"/>
  <c r="U56" i="534"/>
  <c r="U57" i="534"/>
  <c r="U58" i="534"/>
  <c r="U59" i="534"/>
  <c r="U60" i="534"/>
  <c r="U61" i="534"/>
  <c r="U62" i="534"/>
  <c r="U63" i="534"/>
  <c r="U64" i="534"/>
  <c r="U65" i="534"/>
  <c r="U66" i="534"/>
  <c r="U67" i="534"/>
  <c r="U68" i="534"/>
  <c r="U69" i="534"/>
  <c r="U70" i="534"/>
  <c r="U71" i="534"/>
  <c r="U72" i="534"/>
  <c r="U73" i="534"/>
  <c r="U74" i="534"/>
  <c r="T25" i="534"/>
  <c r="S25" i="534"/>
  <c r="S24" i="534"/>
  <c r="S22" i="534"/>
  <c r="S20" i="534"/>
  <c r="S19" i="534"/>
  <c r="T18" i="534"/>
  <c r="S18" i="534"/>
  <c r="S17" i="534"/>
  <c r="S16" i="534"/>
  <c r="S15" i="534"/>
  <c r="S14" i="534"/>
  <c r="S13" i="534"/>
  <c r="X13" i="534"/>
  <c r="S12" i="534"/>
  <c r="Z12" i="534"/>
  <c r="S11" i="534"/>
  <c r="Z11" i="534"/>
  <c r="S10" i="534"/>
  <c r="N10" i="534"/>
  <c r="S9" i="534"/>
  <c r="N9" i="534"/>
  <c r="S8" i="534"/>
  <c r="N8" i="534"/>
  <c r="S7" i="534"/>
  <c r="N7" i="534"/>
  <c r="S6" i="534"/>
  <c r="N6" i="534"/>
  <c r="S5" i="534"/>
  <c r="R23" i="533"/>
  <c r="R22" i="533"/>
  <c r="R21" i="533"/>
  <c r="R20" i="533"/>
  <c r="R19" i="533"/>
  <c r="R18" i="533"/>
  <c r="R17" i="533"/>
  <c r="R24" i="533"/>
  <c r="R13" i="533"/>
  <c r="R12" i="533"/>
  <c r="R11" i="533"/>
  <c r="AA181" i="533"/>
  <c r="AA183" i="533"/>
  <c r="Z181" i="533"/>
  <c r="Z183" i="533"/>
  <c r="Y181" i="533"/>
  <c r="Y183" i="533"/>
  <c r="X181" i="533"/>
  <c r="X183" i="533"/>
  <c r="W181" i="533"/>
  <c r="W183" i="533"/>
  <c r="V181" i="533"/>
  <c r="V183" i="533"/>
  <c r="U181" i="533"/>
  <c r="U183" i="533"/>
  <c r="AA138" i="533"/>
  <c r="Z138" i="533"/>
  <c r="Y138" i="533"/>
  <c r="X138" i="533"/>
  <c r="W138" i="533"/>
  <c r="V138" i="533"/>
  <c r="U138" i="533"/>
  <c r="AD127" i="533"/>
  <c r="AC127" i="533"/>
  <c r="AB127" i="533"/>
  <c r="U50" i="533"/>
  <c r="U51" i="533"/>
  <c r="U52" i="533"/>
  <c r="U53" i="533"/>
  <c r="U54" i="533"/>
  <c r="U55" i="533"/>
  <c r="U56" i="533"/>
  <c r="U57" i="533"/>
  <c r="U58" i="533"/>
  <c r="U59" i="533"/>
  <c r="U60" i="533"/>
  <c r="U61" i="533"/>
  <c r="U62" i="533"/>
  <c r="U63" i="533"/>
  <c r="U64" i="533"/>
  <c r="U65" i="533"/>
  <c r="U66" i="533"/>
  <c r="U67" i="533"/>
  <c r="U68" i="533"/>
  <c r="U69" i="533"/>
  <c r="U70" i="533"/>
  <c r="U71" i="533"/>
  <c r="U72" i="533"/>
  <c r="U73" i="533"/>
  <c r="U74" i="533"/>
  <c r="U75" i="533"/>
  <c r="U76" i="533"/>
  <c r="U77" i="533"/>
  <c r="U78" i="533"/>
  <c r="U79" i="533"/>
  <c r="U80" i="533"/>
  <c r="U81" i="533"/>
  <c r="U82" i="533"/>
  <c r="AA49" i="533"/>
  <c r="AA50" i="533"/>
  <c r="AA51" i="533"/>
  <c r="AA52" i="533"/>
  <c r="AA53" i="533"/>
  <c r="AA54" i="533"/>
  <c r="AA55" i="533"/>
  <c r="AA56" i="533"/>
  <c r="AA57" i="533"/>
  <c r="AA58" i="533"/>
  <c r="AA59" i="533"/>
  <c r="AA60" i="533"/>
  <c r="AA61" i="533"/>
  <c r="AA62" i="533"/>
  <c r="AA63" i="533"/>
  <c r="AA64" i="533"/>
  <c r="AA65" i="533"/>
  <c r="AA66" i="533"/>
  <c r="AA67" i="533"/>
  <c r="AA68" i="533"/>
  <c r="AA69" i="533"/>
  <c r="AA70" i="533"/>
  <c r="AA71" i="533"/>
  <c r="AA72" i="533"/>
  <c r="AA73" i="533"/>
  <c r="AA74" i="533"/>
  <c r="AA75" i="533"/>
  <c r="AA76" i="533"/>
  <c r="AA77" i="533"/>
  <c r="AA78" i="533"/>
  <c r="AA79" i="533"/>
  <c r="AA80" i="533"/>
  <c r="AA81" i="533"/>
  <c r="AA82" i="533"/>
  <c r="Z49" i="533"/>
  <c r="Z50" i="533"/>
  <c r="Z51" i="533"/>
  <c r="Z52" i="533"/>
  <c r="Z53" i="533"/>
  <c r="Z54" i="533"/>
  <c r="Z55" i="533"/>
  <c r="Z56" i="533"/>
  <c r="Z57" i="533"/>
  <c r="Z58" i="533"/>
  <c r="Z59" i="533"/>
  <c r="Z60" i="533"/>
  <c r="Z61" i="533"/>
  <c r="Z62" i="533"/>
  <c r="Z63" i="533"/>
  <c r="Z64" i="533"/>
  <c r="Z65" i="533"/>
  <c r="Z66" i="533"/>
  <c r="Z67" i="533"/>
  <c r="Z68" i="533"/>
  <c r="Z69" i="533"/>
  <c r="Z70" i="533"/>
  <c r="Z71" i="533"/>
  <c r="Z72" i="533"/>
  <c r="Z73" i="533"/>
  <c r="Z74" i="533"/>
  <c r="Z75" i="533"/>
  <c r="Z76" i="533"/>
  <c r="Z77" i="533"/>
  <c r="Z78" i="533"/>
  <c r="Z79" i="533"/>
  <c r="Z80" i="533"/>
  <c r="Z81" i="533"/>
  <c r="Z82" i="533"/>
  <c r="Y49" i="533"/>
  <c r="Y50" i="533"/>
  <c r="Y51" i="533"/>
  <c r="Y52" i="533"/>
  <c r="Y53" i="533"/>
  <c r="Y54" i="533"/>
  <c r="Y55" i="533"/>
  <c r="Y56" i="533"/>
  <c r="Y57" i="533"/>
  <c r="Y58" i="533"/>
  <c r="Y59" i="533"/>
  <c r="Y60" i="533"/>
  <c r="Y61" i="533"/>
  <c r="Y62" i="533"/>
  <c r="Y63" i="533"/>
  <c r="Y64" i="533"/>
  <c r="Y65" i="533"/>
  <c r="Y66" i="533"/>
  <c r="Y67" i="533"/>
  <c r="Y68" i="533"/>
  <c r="Y69" i="533"/>
  <c r="Y70" i="533"/>
  <c r="Y71" i="533"/>
  <c r="Y72" i="533"/>
  <c r="Y73" i="533"/>
  <c r="Y74" i="533"/>
  <c r="Y75" i="533"/>
  <c r="Y76" i="533"/>
  <c r="Y77" i="533"/>
  <c r="Y78" i="533"/>
  <c r="Y79" i="533"/>
  <c r="Y80" i="533"/>
  <c r="Y81" i="533"/>
  <c r="Y82" i="533"/>
  <c r="X49" i="533"/>
  <c r="X50" i="533"/>
  <c r="X51" i="533"/>
  <c r="X52" i="533"/>
  <c r="X53" i="533"/>
  <c r="X54" i="533"/>
  <c r="X55" i="533"/>
  <c r="X56" i="533"/>
  <c r="X57" i="533"/>
  <c r="X58" i="533"/>
  <c r="X59" i="533"/>
  <c r="X60" i="533"/>
  <c r="X61" i="533"/>
  <c r="X62" i="533"/>
  <c r="X63" i="533"/>
  <c r="X64" i="533"/>
  <c r="X65" i="533"/>
  <c r="X66" i="533"/>
  <c r="X67" i="533"/>
  <c r="X68" i="533"/>
  <c r="X69" i="533"/>
  <c r="X70" i="533"/>
  <c r="X71" i="533"/>
  <c r="X72" i="533"/>
  <c r="X73" i="533"/>
  <c r="X74" i="533"/>
  <c r="X75" i="533"/>
  <c r="X76" i="533"/>
  <c r="X77" i="533"/>
  <c r="X78" i="533"/>
  <c r="X79" i="533"/>
  <c r="X80" i="533"/>
  <c r="X81" i="533"/>
  <c r="X82" i="533"/>
  <c r="W49" i="533"/>
  <c r="W50" i="533"/>
  <c r="W51" i="533"/>
  <c r="W52" i="533"/>
  <c r="W53" i="533"/>
  <c r="W54" i="533"/>
  <c r="W55" i="533"/>
  <c r="W56" i="533"/>
  <c r="W57" i="533"/>
  <c r="W58" i="533"/>
  <c r="W59" i="533"/>
  <c r="W60" i="533"/>
  <c r="W61" i="533"/>
  <c r="W62" i="533"/>
  <c r="W63" i="533"/>
  <c r="W64" i="533"/>
  <c r="W65" i="533"/>
  <c r="W66" i="533"/>
  <c r="W67" i="533"/>
  <c r="W68" i="533"/>
  <c r="W69" i="533"/>
  <c r="W70" i="533"/>
  <c r="W71" i="533"/>
  <c r="W72" i="533"/>
  <c r="W73" i="533"/>
  <c r="W74" i="533"/>
  <c r="W75" i="533"/>
  <c r="W76" i="533"/>
  <c r="W77" i="533"/>
  <c r="W78" i="533"/>
  <c r="W79" i="533"/>
  <c r="W80" i="533"/>
  <c r="W81" i="533"/>
  <c r="W82" i="533"/>
  <c r="V49" i="533"/>
  <c r="V50" i="533"/>
  <c r="V51" i="533"/>
  <c r="V52" i="533"/>
  <c r="V53" i="533"/>
  <c r="V54" i="533"/>
  <c r="V55" i="533"/>
  <c r="V56" i="533"/>
  <c r="V57" i="533"/>
  <c r="V58" i="533"/>
  <c r="V59" i="533"/>
  <c r="V60" i="533"/>
  <c r="V61" i="533"/>
  <c r="V62" i="533"/>
  <c r="V63" i="533"/>
  <c r="V64" i="533"/>
  <c r="V65" i="533"/>
  <c r="V66" i="533"/>
  <c r="V67" i="533"/>
  <c r="V68" i="533"/>
  <c r="V69" i="533"/>
  <c r="V70" i="533"/>
  <c r="V71" i="533"/>
  <c r="V72" i="533"/>
  <c r="V73" i="533"/>
  <c r="V74" i="533"/>
  <c r="V75" i="533"/>
  <c r="V76" i="533"/>
  <c r="V77" i="533"/>
  <c r="V78" i="533"/>
  <c r="V79" i="533"/>
  <c r="V80" i="533"/>
  <c r="V81" i="533"/>
  <c r="V82" i="533"/>
  <c r="U49" i="533"/>
  <c r="C42" i="533"/>
  <c r="X42" i="533"/>
  <c r="S41" i="533"/>
  <c r="S40" i="533"/>
  <c r="S39" i="533"/>
  <c r="R38" i="533"/>
  <c r="S37" i="533"/>
  <c r="R37" i="533"/>
  <c r="S36" i="533"/>
  <c r="R36" i="533"/>
  <c r="L36" i="533"/>
  <c r="AA35" i="533"/>
  <c r="Z35" i="533"/>
  <c r="Y35" i="533"/>
  <c r="X35" i="533"/>
  <c r="W35" i="533"/>
  <c r="V35" i="533"/>
  <c r="U35" i="533"/>
  <c r="T35" i="533"/>
  <c r="S35" i="533"/>
  <c r="S34" i="533"/>
  <c r="R34" i="533"/>
  <c r="S33" i="533"/>
  <c r="R33" i="533"/>
  <c r="S32" i="533"/>
  <c r="R32" i="533"/>
  <c r="S31" i="533"/>
  <c r="R31" i="533"/>
  <c r="C31" i="533"/>
  <c r="AA31" i="533"/>
  <c r="S30" i="533"/>
  <c r="R30" i="533"/>
  <c r="X29" i="533"/>
  <c r="S29" i="533"/>
  <c r="R29" i="533"/>
  <c r="O29" i="533"/>
  <c r="P29" i="533"/>
  <c r="N29" i="533"/>
  <c r="C29" i="533"/>
  <c r="Y29" i="533"/>
  <c r="S28" i="533"/>
  <c r="R28" i="533"/>
  <c r="S27" i="533"/>
  <c r="R27" i="533"/>
  <c r="N27" i="533"/>
  <c r="L28" i="533"/>
  <c r="L27" i="533"/>
  <c r="S26" i="533"/>
  <c r="R26" i="533"/>
  <c r="S25" i="533"/>
  <c r="C25" i="533"/>
  <c r="Z25" i="533"/>
  <c r="S24" i="533"/>
  <c r="C24" i="533"/>
  <c r="Y24" i="533"/>
  <c r="S23" i="533"/>
  <c r="S22" i="533"/>
  <c r="S21" i="533"/>
  <c r="S20" i="533"/>
  <c r="C20" i="533"/>
  <c r="U20" i="533"/>
  <c r="S19" i="533"/>
  <c r="S18" i="533"/>
  <c r="S17" i="533"/>
  <c r="C17" i="533"/>
  <c r="U17" i="533"/>
  <c r="W16" i="533"/>
  <c r="S16" i="533"/>
  <c r="O16" i="533"/>
  <c r="T16" i="533"/>
  <c r="C16" i="533"/>
  <c r="Z16" i="533"/>
  <c r="S15" i="533"/>
  <c r="R15" i="533"/>
  <c r="S14" i="533"/>
  <c r="R14" i="533"/>
  <c r="S13" i="533"/>
  <c r="S12" i="533"/>
  <c r="S11" i="533"/>
  <c r="AA9" i="533"/>
  <c r="Z9" i="533"/>
  <c r="C27" i="533"/>
  <c r="Y9" i="533"/>
  <c r="C28" i="533"/>
  <c r="X9" i="533"/>
  <c r="W9" i="533"/>
  <c r="C37" i="533"/>
  <c r="V9" i="533"/>
  <c r="C40" i="533"/>
  <c r="U9" i="533"/>
  <c r="C11" i="533"/>
  <c r="O11" i="533"/>
  <c r="P11" i="533"/>
  <c r="N11" i="533"/>
  <c r="L12" i="533"/>
  <c r="C46" i="532"/>
  <c r="L40" i="532"/>
  <c r="R42" i="532"/>
  <c r="R44" i="532"/>
  <c r="R43" i="532"/>
  <c r="R41" i="532"/>
  <c r="R40" i="532"/>
  <c r="R36" i="532"/>
  <c r="C20" i="532"/>
  <c r="C21" i="532"/>
  <c r="Y21" i="532"/>
  <c r="C28" i="532"/>
  <c r="O28" i="532"/>
  <c r="C29" i="532"/>
  <c r="O29" i="532"/>
  <c r="C33" i="532"/>
  <c r="O33" i="532"/>
  <c r="P33" i="532"/>
  <c r="N33" i="532"/>
  <c r="C35" i="532"/>
  <c r="O35" i="532"/>
  <c r="P35" i="532"/>
  <c r="N35" i="532"/>
  <c r="R38" i="532"/>
  <c r="R37" i="532"/>
  <c r="R35" i="532"/>
  <c r="R34" i="532"/>
  <c r="R33" i="532"/>
  <c r="R32" i="532"/>
  <c r="R31" i="532"/>
  <c r="R30" i="532"/>
  <c r="R27" i="532"/>
  <c r="R26" i="532"/>
  <c r="R25" i="532"/>
  <c r="R24" i="532"/>
  <c r="R23" i="532"/>
  <c r="R22" i="532"/>
  <c r="L22" i="532"/>
  <c r="R19" i="532"/>
  <c r="R18" i="532"/>
  <c r="R14" i="532"/>
  <c r="R12" i="532"/>
  <c r="AA185" i="532"/>
  <c r="AA187" i="532"/>
  <c r="Z185" i="532"/>
  <c r="Z187" i="532"/>
  <c r="Y185" i="532"/>
  <c r="Y187" i="532"/>
  <c r="X185" i="532"/>
  <c r="X187" i="532"/>
  <c r="W185" i="532"/>
  <c r="W187" i="532"/>
  <c r="V185" i="532"/>
  <c r="V187" i="532"/>
  <c r="U185" i="532"/>
  <c r="U187" i="532"/>
  <c r="AA142" i="532"/>
  <c r="Z142" i="532"/>
  <c r="Y142" i="532"/>
  <c r="X142" i="532"/>
  <c r="W142" i="532"/>
  <c r="V142" i="532"/>
  <c r="U142" i="532"/>
  <c r="AD131" i="532"/>
  <c r="AC131" i="532"/>
  <c r="AB131" i="532"/>
  <c r="AA53" i="532"/>
  <c r="AA54" i="532"/>
  <c r="AA55" i="532"/>
  <c r="AA56" i="532"/>
  <c r="AA57" i="532"/>
  <c r="AA58" i="532"/>
  <c r="AA59" i="532"/>
  <c r="AA60" i="532"/>
  <c r="AA61" i="532"/>
  <c r="AA62" i="532"/>
  <c r="AA63" i="532"/>
  <c r="AA64" i="532"/>
  <c r="AA65" i="532"/>
  <c r="AA66" i="532"/>
  <c r="AA67" i="532"/>
  <c r="AA68" i="532"/>
  <c r="AA69" i="532"/>
  <c r="AA70" i="532"/>
  <c r="AA71" i="532"/>
  <c r="AA72" i="532"/>
  <c r="AA73" i="532"/>
  <c r="AA74" i="532"/>
  <c r="AA75" i="532"/>
  <c r="AA76" i="532"/>
  <c r="AA77" i="532"/>
  <c r="AA78" i="532"/>
  <c r="AA79" i="532"/>
  <c r="AA80" i="532"/>
  <c r="AA81" i="532"/>
  <c r="AA82" i="532"/>
  <c r="AA83" i="532"/>
  <c r="AA84" i="532"/>
  <c r="AA85" i="532"/>
  <c r="AA86" i="532"/>
  <c r="Z53" i="532"/>
  <c r="Z54" i="532"/>
  <c r="Z55" i="532"/>
  <c r="Z56" i="532"/>
  <c r="Z57" i="532"/>
  <c r="Z58" i="532"/>
  <c r="Z59" i="532"/>
  <c r="Z60" i="532"/>
  <c r="Z61" i="532"/>
  <c r="Z62" i="532"/>
  <c r="Z63" i="532"/>
  <c r="Z64" i="532"/>
  <c r="Z65" i="532"/>
  <c r="Z66" i="532"/>
  <c r="Z67" i="532"/>
  <c r="Z68" i="532"/>
  <c r="Z69" i="532"/>
  <c r="Z70" i="532"/>
  <c r="Z71" i="532"/>
  <c r="Z72" i="532"/>
  <c r="Z73" i="532"/>
  <c r="Z74" i="532"/>
  <c r="Z75" i="532"/>
  <c r="Z76" i="532"/>
  <c r="Z77" i="532"/>
  <c r="Z78" i="532"/>
  <c r="Z79" i="532"/>
  <c r="Z80" i="532"/>
  <c r="Z81" i="532"/>
  <c r="Z82" i="532"/>
  <c r="Z83" i="532"/>
  <c r="Z84" i="532"/>
  <c r="Z85" i="532"/>
  <c r="Z86" i="532"/>
  <c r="Y53" i="532"/>
  <c r="Y54" i="532"/>
  <c r="Y55" i="532"/>
  <c r="Y56" i="532"/>
  <c r="Y57" i="532"/>
  <c r="Y58" i="532"/>
  <c r="Y59" i="532"/>
  <c r="Y60" i="532"/>
  <c r="Y61" i="532"/>
  <c r="Y62" i="532"/>
  <c r="Y63" i="532"/>
  <c r="Y64" i="532"/>
  <c r="Y65" i="532"/>
  <c r="Y66" i="532"/>
  <c r="Y67" i="532"/>
  <c r="Y68" i="532"/>
  <c r="Y69" i="532"/>
  <c r="Y70" i="532"/>
  <c r="Y71" i="532"/>
  <c r="Y72" i="532"/>
  <c r="Y73" i="532"/>
  <c r="Y74" i="532"/>
  <c r="Y75" i="532"/>
  <c r="Y76" i="532"/>
  <c r="Y77" i="532"/>
  <c r="Y78" i="532"/>
  <c r="Y79" i="532"/>
  <c r="Y80" i="532"/>
  <c r="Y81" i="532"/>
  <c r="Y82" i="532"/>
  <c r="Y83" i="532"/>
  <c r="Y84" i="532"/>
  <c r="Y85" i="532"/>
  <c r="Y86" i="532"/>
  <c r="X53" i="532"/>
  <c r="X54" i="532"/>
  <c r="X55" i="532"/>
  <c r="X56" i="532"/>
  <c r="X57" i="532"/>
  <c r="X58" i="532"/>
  <c r="X59" i="532"/>
  <c r="X60" i="532"/>
  <c r="X61" i="532"/>
  <c r="X62" i="532"/>
  <c r="X63" i="532"/>
  <c r="X64" i="532"/>
  <c r="X65" i="532"/>
  <c r="X66" i="532"/>
  <c r="X67" i="532"/>
  <c r="X68" i="532"/>
  <c r="X69" i="532"/>
  <c r="X70" i="532"/>
  <c r="X71" i="532"/>
  <c r="X72" i="532"/>
  <c r="X73" i="532"/>
  <c r="X74" i="532"/>
  <c r="X75" i="532"/>
  <c r="X76" i="532"/>
  <c r="X77" i="532"/>
  <c r="X78" i="532"/>
  <c r="X79" i="532"/>
  <c r="X80" i="532"/>
  <c r="X81" i="532"/>
  <c r="X82" i="532"/>
  <c r="X83" i="532"/>
  <c r="X84" i="532"/>
  <c r="X85" i="532"/>
  <c r="X86" i="532"/>
  <c r="W53" i="532"/>
  <c r="W54" i="532"/>
  <c r="W55" i="532"/>
  <c r="W56" i="532"/>
  <c r="W57" i="532"/>
  <c r="W58" i="532"/>
  <c r="W59" i="532"/>
  <c r="W60" i="532"/>
  <c r="W61" i="532"/>
  <c r="W62" i="532"/>
  <c r="W63" i="532"/>
  <c r="W64" i="532"/>
  <c r="W65" i="532"/>
  <c r="W66" i="532"/>
  <c r="W67" i="532"/>
  <c r="W68" i="532"/>
  <c r="W69" i="532"/>
  <c r="W70" i="532"/>
  <c r="W71" i="532"/>
  <c r="W72" i="532"/>
  <c r="W73" i="532"/>
  <c r="W74" i="532"/>
  <c r="W75" i="532"/>
  <c r="W76" i="532"/>
  <c r="W77" i="532"/>
  <c r="W78" i="532"/>
  <c r="W79" i="532"/>
  <c r="W80" i="532"/>
  <c r="W81" i="532"/>
  <c r="W82" i="532"/>
  <c r="W83" i="532"/>
  <c r="W84" i="532"/>
  <c r="W85" i="532"/>
  <c r="W86" i="532"/>
  <c r="V53" i="532"/>
  <c r="V54" i="532"/>
  <c r="V55" i="532"/>
  <c r="V56" i="532"/>
  <c r="V57" i="532"/>
  <c r="V58" i="532"/>
  <c r="V59" i="532"/>
  <c r="V60" i="532"/>
  <c r="V61" i="532"/>
  <c r="V62" i="532"/>
  <c r="V63" i="532"/>
  <c r="V64" i="532"/>
  <c r="V65" i="532"/>
  <c r="V66" i="532"/>
  <c r="V67" i="532"/>
  <c r="V68" i="532"/>
  <c r="V69" i="532"/>
  <c r="V70" i="532"/>
  <c r="V71" i="532"/>
  <c r="V72" i="532"/>
  <c r="V73" i="532"/>
  <c r="V74" i="532"/>
  <c r="V75" i="532"/>
  <c r="V76" i="532"/>
  <c r="V77" i="532"/>
  <c r="V78" i="532"/>
  <c r="V79" i="532"/>
  <c r="V80" i="532"/>
  <c r="V81" i="532"/>
  <c r="V82" i="532"/>
  <c r="V83" i="532"/>
  <c r="V84" i="532"/>
  <c r="V85" i="532"/>
  <c r="V86" i="532"/>
  <c r="U53" i="532"/>
  <c r="U54" i="532"/>
  <c r="U55" i="532"/>
  <c r="U56" i="532"/>
  <c r="U57" i="532"/>
  <c r="U58" i="532"/>
  <c r="U59" i="532"/>
  <c r="U60" i="532"/>
  <c r="U61" i="532"/>
  <c r="U62" i="532"/>
  <c r="U63" i="532"/>
  <c r="U64" i="532"/>
  <c r="U65" i="532"/>
  <c r="U66" i="532"/>
  <c r="U67" i="532"/>
  <c r="U68" i="532"/>
  <c r="U69" i="532"/>
  <c r="U70" i="532"/>
  <c r="U71" i="532"/>
  <c r="U72" i="532"/>
  <c r="U73" i="532"/>
  <c r="U74" i="532"/>
  <c r="U75" i="532"/>
  <c r="U76" i="532"/>
  <c r="U77" i="532"/>
  <c r="U78" i="532"/>
  <c r="U79" i="532"/>
  <c r="U80" i="532"/>
  <c r="U81" i="532"/>
  <c r="U82" i="532"/>
  <c r="U83" i="532"/>
  <c r="U84" i="532"/>
  <c r="U85" i="532"/>
  <c r="U86" i="532"/>
  <c r="T46" i="532"/>
  <c r="S46" i="532"/>
  <c r="S45" i="532"/>
  <c r="R45" i="532"/>
  <c r="S44" i="532"/>
  <c r="S43" i="532"/>
  <c r="S41" i="532"/>
  <c r="S40" i="532"/>
  <c r="AA39" i="532"/>
  <c r="Z39" i="532"/>
  <c r="Y39" i="532"/>
  <c r="X39" i="532"/>
  <c r="W39" i="532"/>
  <c r="V39" i="532"/>
  <c r="U39" i="532"/>
  <c r="T39" i="532"/>
  <c r="S39" i="532"/>
  <c r="S38" i="532"/>
  <c r="S37" i="532"/>
  <c r="S36" i="532"/>
  <c r="S35" i="532"/>
  <c r="S34" i="532"/>
  <c r="S33" i="532"/>
  <c r="S32" i="532"/>
  <c r="S31" i="532"/>
  <c r="S30" i="532"/>
  <c r="S29" i="532"/>
  <c r="S28" i="532"/>
  <c r="S27" i="532"/>
  <c r="S26" i="532"/>
  <c r="S25" i="532"/>
  <c r="S24" i="532"/>
  <c r="S23" i="532"/>
  <c r="S22" i="532"/>
  <c r="Z21" i="532"/>
  <c r="V21" i="532"/>
  <c r="T21" i="532"/>
  <c r="S21" i="532"/>
  <c r="S20" i="532"/>
  <c r="Z20" i="532"/>
  <c r="S19" i="532"/>
  <c r="S18" i="532"/>
  <c r="S17" i="532"/>
  <c r="R17" i="532"/>
  <c r="T16" i="532"/>
  <c r="S16" i="532"/>
  <c r="S15" i="532"/>
  <c r="R15" i="532"/>
  <c r="N15" i="532"/>
  <c r="S14" i="532"/>
  <c r="S13" i="532"/>
  <c r="R13" i="532"/>
  <c r="N13" i="532"/>
  <c r="S12" i="532"/>
  <c r="S11" i="532"/>
  <c r="R11" i="532"/>
  <c r="L11" i="532"/>
  <c r="AA9" i="532"/>
  <c r="C37" i="532"/>
  <c r="O37" i="532"/>
  <c r="P37" i="532"/>
  <c r="N37" i="532"/>
  <c r="Z9" i="532"/>
  <c r="C31" i="532"/>
  <c r="O31" i="532"/>
  <c r="N31" i="532"/>
  <c r="Y9" i="532"/>
  <c r="C27" i="532"/>
  <c r="O27" i="532"/>
  <c r="P27" i="532"/>
  <c r="N27" i="532"/>
  <c r="X9" i="532"/>
  <c r="C23" i="532"/>
  <c r="O23" i="532"/>
  <c r="P23" i="532"/>
  <c r="N23" i="532"/>
  <c r="W9" i="532"/>
  <c r="C15" i="532"/>
  <c r="V9" i="532"/>
  <c r="C22" i="532"/>
  <c r="O22" i="532"/>
  <c r="P22" i="532"/>
  <c r="N22" i="532"/>
  <c r="U9" i="532"/>
  <c r="C30" i="532"/>
  <c r="O30" i="532"/>
  <c r="P30" i="532"/>
  <c r="S46" i="531"/>
  <c r="T46" i="531"/>
  <c r="U46" i="531"/>
  <c r="V46" i="531"/>
  <c r="W46" i="531"/>
  <c r="X46" i="531"/>
  <c r="Y46" i="531"/>
  <c r="Z46" i="531"/>
  <c r="AA46" i="531"/>
  <c r="S47" i="531"/>
  <c r="T47" i="531"/>
  <c r="U47" i="531"/>
  <c r="V47" i="531"/>
  <c r="W47" i="531"/>
  <c r="X47" i="531"/>
  <c r="Y47" i="531"/>
  <c r="Z47" i="531"/>
  <c r="AA47" i="531"/>
  <c r="S48" i="531"/>
  <c r="T48" i="531"/>
  <c r="U48" i="531"/>
  <c r="V48" i="531"/>
  <c r="W48" i="531"/>
  <c r="X48" i="531"/>
  <c r="Y48" i="531"/>
  <c r="Z48" i="531"/>
  <c r="AA48" i="531"/>
  <c r="S49" i="531"/>
  <c r="T49" i="531"/>
  <c r="U49" i="531"/>
  <c r="V49" i="531"/>
  <c r="W49" i="531"/>
  <c r="X49" i="531"/>
  <c r="Y49" i="531"/>
  <c r="Z49" i="531"/>
  <c r="AA49" i="531"/>
  <c r="S50" i="531"/>
  <c r="T50" i="531"/>
  <c r="U50" i="531"/>
  <c r="V50" i="531"/>
  <c r="W50" i="531"/>
  <c r="X50" i="531"/>
  <c r="Y50" i="531"/>
  <c r="Z50" i="531"/>
  <c r="AA50" i="531"/>
  <c r="S51" i="531"/>
  <c r="T51" i="531"/>
  <c r="U51" i="531"/>
  <c r="V51" i="531"/>
  <c r="W51" i="531"/>
  <c r="X51" i="531"/>
  <c r="Y51" i="531"/>
  <c r="Z51" i="531"/>
  <c r="AA51" i="531"/>
  <c r="S52" i="531"/>
  <c r="T52" i="531"/>
  <c r="U52" i="531"/>
  <c r="V52" i="531"/>
  <c r="W52" i="531"/>
  <c r="X52" i="531"/>
  <c r="Y52" i="531"/>
  <c r="Z52" i="531"/>
  <c r="AA52" i="531"/>
  <c r="S53" i="531"/>
  <c r="T53" i="531"/>
  <c r="V53" i="531"/>
  <c r="W53" i="531"/>
  <c r="X53" i="531"/>
  <c r="Y53" i="531"/>
  <c r="Z53" i="531"/>
  <c r="AA53" i="531"/>
  <c r="S54" i="531"/>
  <c r="T54" i="531"/>
  <c r="U54" i="531"/>
  <c r="V54" i="531"/>
  <c r="W54" i="531"/>
  <c r="X54" i="531"/>
  <c r="Y54" i="531"/>
  <c r="Z54" i="531"/>
  <c r="AA54" i="531"/>
  <c r="S55" i="531"/>
  <c r="T55" i="531"/>
  <c r="U55" i="531"/>
  <c r="V55" i="531"/>
  <c r="W55" i="531"/>
  <c r="X55" i="531"/>
  <c r="Y55" i="531"/>
  <c r="Z55" i="531"/>
  <c r="AA55" i="531"/>
  <c r="S56" i="531"/>
  <c r="T56" i="531"/>
  <c r="U56" i="531"/>
  <c r="V56" i="531"/>
  <c r="W56" i="531"/>
  <c r="X56" i="531"/>
  <c r="Y56" i="531"/>
  <c r="Z56" i="531"/>
  <c r="AA56" i="531"/>
  <c r="S57" i="531"/>
  <c r="X57" i="531"/>
  <c r="T57" i="531"/>
  <c r="U57" i="531"/>
  <c r="V57" i="531"/>
  <c r="W57" i="531"/>
  <c r="Y57" i="531"/>
  <c r="Z57" i="531"/>
  <c r="AA57" i="531"/>
  <c r="S58" i="531"/>
  <c r="T58" i="531"/>
  <c r="U58" i="531"/>
  <c r="V58" i="531"/>
  <c r="W58" i="531"/>
  <c r="X58" i="531"/>
  <c r="Y58" i="531"/>
  <c r="Z58" i="531"/>
  <c r="AA58" i="531"/>
  <c r="R57" i="531"/>
  <c r="R56" i="531"/>
  <c r="R55" i="531"/>
  <c r="R54" i="531"/>
  <c r="R52" i="531"/>
  <c r="R51" i="531"/>
  <c r="R50" i="531"/>
  <c r="R49" i="531"/>
  <c r="R48" i="531"/>
  <c r="R47" i="531"/>
  <c r="R53" i="531"/>
  <c r="C45" i="531"/>
  <c r="O45" i="531"/>
  <c r="R44" i="531"/>
  <c r="N44" i="531"/>
  <c r="R43" i="531"/>
  <c r="N43" i="531"/>
  <c r="R42" i="531"/>
  <c r="N42" i="531"/>
  <c r="R41" i="531"/>
  <c r="N41" i="531"/>
  <c r="R40" i="531"/>
  <c r="N40" i="531"/>
  <c r="R39" i="531"/>
  <c r="N39" i="531"/>
  <c r="R38" i="531"/>
  <c r="L38" i="531"/>
  <c r="C36" i="531"/>
  <c r="O36" i="531"/>
  <c r="R35" i="531"/>
  <c r="R34" i="531"/>
  <c r="R33" i="531"/>
  <c r="N33" i="531"/>
  <c r="R32" i="531"/>
  <c r="N32" i="531"/>
  <c r="R31" i="531"/>
  <c r="N31" i="531"/>
  <c r="R30" i="531"/>
  <c r="N30" i="531"/>
  <c r="R29" i="531"/>
  <c r="L29" i="531"/>
  <c r="S24" i="531"/>
  <c r="S25" i="531"/>
  <c r="S26" i="531"/>
  <c r="S27" i="531"/>
  <c r="V27" i="531"/>
  <c r="Z27" i="531"/>
  <c r="S28" i="531"/>
  <c r="T28" i="531"/>
  <c r="U28" i="531"/>
  <c r="V28" i="531"/>
  <c r="W28" i="531"/>
  <c r="X28" i="531"/>
  <c r="Y28" i="531"/>
  <c r="Z28" i="531"/>
  <c r="AA28" i="531"/>
  <c r="S12" i="531"/>
  <c r="S13" i="531"/>
  <c r="S14" i="531"/>
  <c r="S15" i="531"/>
  <c r="S16" i="531"/>
  <c r="S17" i="531"/>
  <c r="S18" i="531"/>
  <c r="S19" i="531"/>
  <c r="T19" i="531"/>
  <c r="S20" i="531"/>
  <c r="S21" i="531"/>
  <c r="S22" i="531"/>
  <c r="S23" i="531"/>
  <c r="R26" i="531"/>
  <c r="N26" i="531"/>
  <c r="R25" i="531"/>
  <c r="N25" i="531"/>
  <c r="R24" i="531"/>
  <c r="N24" i="531"/>
  <c r="R23" i="531"/>
  <c r="N23" i="531"/>
  <c r="R20" i="531"/>
  <c r="R27" i="531"/>
  <c r="L20" i="531"/>
  <c r="R11" i="531"/>
  <c r="L11" i="531"/>
  <c r="C27" i="531"/>
  <c r="O27" i="531"/>
  <c r="T27" i="531"/>
  <c r="R22" i="531"/>
  <c r="N22" i="531"/>
  <c r="R21" i="531"/>
  <c r="N21" i="531"/>
  <c r="C18" i="531"/>
  <c r="W18" i="531"/>
  <c r="R17" i="531"/>
  <c r="R16" i="531"/>
  <c r="R15" i="531"/>
  <c r="N15" i="531"/>
  <c r="R14" i="531"/>
  <c r="N14" i="531"/>
  <c r="R13" i="531"/>
  <c r="N13" i="531"/>
  <c r="AA197" i="531"/>
  <c r="AA199" i="531"/>
  <c r="Z197" i="531"/>
  <c r="Z199" i="531"/>
  <c r="Y197" i="531"/>
  <c r="Y199" i="531"/>
  <c r="X197" i="531"/>
  <c r="X199" i="531"/>
  <c r="W197" i="531"/>
  <c r="W199" i="531"/>
  <c r="V197" i="531"/>
  <c r="V199" i="531"/>
  <c r="U197" i="531"/>
  <c r="U199" i="531"/>
  <c r="AA154" i="531"/>
  <c r="Z154" i="531"/>
  <c r="Y154" i="531"/>
  <c r="X154" i="531"/>
  <c r="W154" i="531"/>
  <c r="V154" i="531"/>
  <c r="U154" i="531"/>
  <c r="AD143" i="531"/>
  <c r="AC143" i="531"/>
  <c r="AB143" i="531"/>
  <c r="AA65" i="531"/>
  <c r="AA66" i="531"/>
  <c r="AA67" i="531"/>
  <c r="AA68" i="531"/>
  <c r="AA69" i="531"/>
  <c r="AA70" i="531"/>
  <c r="AA71" i="531"/>
  <c r="AA72" i="531"/>
  <c r="AA73" i="531"/>
  <c r="AA74" i="531"/>
  <c r="AA75" i="531"/>
  <c r="AA76" i="531"/>
  <c r="AA77" i="531"/>
  <c r="AA78" i="531"/>
  <c r="AA79" i="531"/>
  <c r="AA80" i="531"/>
  <c r="AA81" i="531"/>
  <c r="AA82" i="531"/>
  <c r="AA83" i="531"/>
  <c r="AA84" i="531"/>
  <c r="AA85" i="531"/>
  <c r="AA86" i="531"/>
  <c r="AA87" i="531"/>
  <c r="AA88" i="531"/>
  <c r="AA89" i="531"/>
  <c r="AA90" i="531"/>
  <c r="AA91" i="531"/>
  <c r="AA92" i="531"/>
  <c r="AA93" i="531"/>
  <c r="AA94" i="531"/>
  <c r="AA95" i="531"/>
  <c r="AA96" i="531"/>
  <c r="AA97" i="531"/>
  <c r="AA98" i="531"/>
  <c r="Z65" i="531"/>
  <c r="Z66" i="531"/>
  <c r="Z67" i="531"/>
  <c r="Z68" i="531"/>
  <c r="Z69" i="531"/>
  <c r="Z70" i="531"/>
  <c r="Z71" i="531"/>
  <c r="Z72" i="531"/>
  <c r="Z73" i="531"/>
  <c r="Z74" i="531"/>
  <c r="Z75" i="531"/>
  <c r="Z76" i="531"/>
  <c r="Z77" i="531"/>
  <c r="Z78" i="531"/>
  <c r="Z79" i="531"/>
  <c r="Z80" i="531"/>
  <c r="Z81" i="531"/>
  <c r="Z82" i="531"/>
  <c r="Z83" i="531"/>
  <c r="Z84" i="531"/>
  <c r="Z85" i="531"/>
  <c r="Z86" i="531"/>
  <c r="Z87" i="531"/>
  <c r="Z88" i="531"/>
  <c r="Z89" i="531"/>
  <c r="Z90" i="531"/>
  <c r="Z91" i="531"/>
  <c r="Z92" i="531"/>
  <c r="Z93" i="531"/>
  <c r="Z94" i="531"/>
  <c r="Z95" i="531"/>
  <c r="Z96" i="531"/>
  <c r="Z97" i="531"/>
  <c r="Z98" i="531"/>
  <c r="Y65" i="531"/>
  <c r="Y66" i="531"/>
  <c r="Y67" i="531"/>
  <c r="Y68" i="531"/>
  <c r="Y69" i="531"/>
  <c r="Y70" i="531"/>
  <c r="Y71" i="531"/>
  <c r="Y72" i="531"/>
  <c r="Y73" i="531"/>
  <c r="Y74" i="531"/>
  <c r="Y75" i="531"/>
  <c r="Y76" i="531"/>
  <c r="Y77" i="531"/>
  <c r="Y78" i="531"/>
  <c r="Y79" i="531"/>
  <c r="Y80" i="531"/>
  <c r="Y81" i="531"/>
  <c r="Y82" i="531"/>
  <c r="Y83" i="531"/>
  <c r="Y84" i="531"/>
  <c r="Y85" i="531"/>
  <c r="Y86" i="531"/>
  <c r="Y87" i="531"/>
  <c r="Y88" i="531"/>
  <c r="Y89" i="531"/>
  <c r="Y90" i="531"/>
  <c r="Y91" i="531"/>
  <c r="Y92" i="531"/>
  <c r="Y93" i="531"/>
  <c r="Y94" i="531"/>
  <c r="Y95" i="531"/>
  <c r="Y96" i="531"/>
  <c r="Y97" i="531"/>
  <c r="Y98" i="531"/>
  <c r="X65" i="531"/>
  <c r="X66" i="531"/>
  <c r="X67" i="531"/>
  <c r="X68" i="531"/>
  <c r="X69" i="531"/>
  <c r="X70" i="531"/>
  <c r="X71" i="531"/>
  <c r="X72" i="531"/>
  <c r="X73" i="531"/>
  <c r="X74" i="531"/>
  <c r="X75" i="531"/>
  <c r="X76" i="531"/>
  <c r="X77" i="531"/>
  <c r="X78" i="531"/>
  <c r="X79" i="531"/>
  <c r="X80" i="531"/>
  <c r="X81" i="531"/>
  <c r="X82" i="531"/>
  <c r="X83" i="531"/>
  <c r="X84" i="531"/>
  <c r="X85" i="531"/>
  <c r="X86" i="531"/>
  <c r="X87" i="531"/>
  <c r="X88" i="531"/>
  <c r="X89" i="531"/>
  <c r="X90" i="531"/>
  <c r="X91" i="531"/>
  <c r="X92" i="531"/>
  <c r="X93" i="531"/>
  <c r="X94" i="531"/>
  <c r="X95" i="531"/>
  <c r="X96" i="531"/>
  <c r="X97" i="531"/>
  <c r="X98" i="531"/>
  <c r="W65" i="531"/>
  <c r="W66" i="531"/>
  <c r="W67" i="531"/>
  <c r="W68" i="531"/>
  <c r="W69" i="531"/>
  <c r="W70" i="531"/>
  <c r="W71" i="531"/>
  <c r="W72" i="531"/>
  <c r="W73" i="531"/>
  <c r="W74" i="531"/>
  <c r="W75" i="531"/>
  <c r="W76" i="531"/>
  <c r="W77" i="531"/>
  <c r="W78" i="531"/>
  <c r="W79" i="531"/>
  <c r="W80" i="531"/>
  <c r="W81" i="531"/>
  <c r="W82" i="531"/>
  <c r="W83" i="531"/>
  <c r="W84" i="531"/>
  <c r="W85" i="531"/>
  <c r="W86" i="531"/>
  <c r="W87" i="531"/>
  <c r="W88" i="531"/>
  <c r="W89" i="531"/>
  <c r="W90" i="531"/>
  <c r="W91" i="531"/>
  <c r="W92" i="531"/>
  <c r="W93" i="531"/>
  <c r="W94" i="531"/>
  <c r="W95" i="531"/>
  <c r="W96" i="531"/>
  <c r="W97" i="531"/>
  <c r="W98" i="531"/>
  <c r="V65" i="531"/>
  <c r="V66" i="531"/>
  <c r="V67" i="531"/>
  <c r="V68" i="531"/>
  <c r="V69" i="531"/>
  <c r="V70" i="531"/>
  <c r="V71" i="531"/>
  <c r="V72" i="531"/>
  <c r="V73" i="531"/>
  <c r="V74" i="531"/>
  <c r="V75" i="531"/>
  <c r="V76" i="531"/>
  <c r="V77" i="531"/>
  <c r="V78" i="531"/>
  <c r="V79" i="531"/>
  <c r="V80" i="531"/>
  <c r="V81" i="531"/>
  <c r="V82" i="531"/>
  <c r="V83" i="531"/>
  <c r="V84" i="531"/>
  <c r="V85" i="531"/>
  <c r="V86" i="531"/>
  <c r="V87" i="531"/>
  <c r="V88" i="531"/>
  <c r="V89" i="531"/>
  <c r="V90" i="531"/>
  <c r="V91" i="531"/>
  <c r="V92" i="531"/>
  <c r="V93" i="531"/>
  <c r="V94" i="531"/>
  <c r="V95" i="531"/>
  <c r="V96" i="531"/>
  <c r="V97" i="531"/>
  <c r="V98" i="531"/>
  <c r="U65" i="531"/>
  <c r="U66" i="531"/>
  <c r="U67" i="531"/>
  <c r="U68" i="531"/>
  <c r="U69" i="531"/>
  <c r="U70" i="531"/>
  <c r="U71" i="531"/>
  <c r="U72" i="531"/>
  <c r="U73" i="531"/>
  <c r="U74" i="531"/>
  <c r="U75" i="531"/>
  <c r="U76" i="531"/>
  <c r="U77" i="531"/>
  <c r="U78" i="531"/>
  <c r="U79" i="531"/>
  <c r="U80" i="531"/>
  <c r="U81" i="531"/>
  <c r="U82" i="531"/>
  <c r="U83" i="531"/>
  <c r="U84" i="531"/>
  <c r="U85" i="531"/>
  <c r="U86" i="531"/>
  <c r="U87" i="531"/>
  <c r="U88" i="531"/>
  <c r="U89" i="531"/>
  <c r="U90" i="531"/>
  <c r="U91" i="531"/>
  <c r="U92" i="531"/>
  <c r="U93" i="531"/>
  <c r="U94" i="531"/>
  <c r="U95" i="531"/>
  <c r="U96" i="531"/>
  <c r="U97" i="531"/>
  <c r="U98" i="531"/>
  <c r="C58" i="531"/>
  <c r="C48" i="531"/>
  <c r="O48" i="531"/>
  <c r="P48" i="531"/>
  <c r="N48" i="531"/>
  <c r="C47" i="531"/>
  <c r="O47" i="531"/>
  <c r="P47" i="531"/>
  <c r="N47" i="531"/>
  <c r="S45" i="531"/>
  <c r="S44" i="531"/>
  <c r="S43" i="531"/>
  <c r="S42" i="531"/>
  <c r="S41" i="531"/>
  <c r="S40" i="531"/>
  <c r="S39" i="531"/>
  <c r="S38" i="531"/>
  <c r="S37" i="531"/>
  <c r="S36" i="531"/>
  <c r="S35" i="531"/>
  <c r="S34" i="531"/>
  <c r="S33" i="531"/>
  <c r="S32" i="531"/>
  <c r="S31" i="531"/>
  <c r="S30" i="531"/>
  <c r="S29" i="531"/>
  <c r="R12" i="531"/>
  <c r="R18" i="531"/>
  <c r="N12" i="531"/>
  <c r="S11" i="531"/>
  <c r="AA9" i="531"/>
  <c r="C43" i="531"/>
  <c r="O43" i="531"/>
  <c r="Z9" i="531"/>
  <c r="Y9" i="531"/>
  <c r="X9" i="531"/>
  <c r="C57" i="531"/>
  <c r="O57" i="531"/>
  <c r="P57" i="531"/>
  <c r="N57" i="531"/>
  <c r="W9" i="531"/>
  <c r="C24" i="531"/>
  <c r="V9" i="531"/>
  <c r="U9" i="531"/>
  <c r="C37" i="531"/>
  <c r="AA215" i="529"/>
  <c r="AA217" i="529"/>
  <c r="Z215" i="529"/>
  <c r="Z217" i="529"/>
  <c r="Y215" i="529"/>
  <c r="Y217" i="529"/>
  <c r="X215" i="529"/>
  <c r="X217" i="529"/>
  <c r="W215" i="529"/>
  <c r="W217" i="529"/>
  <c r="V215" i="529"/>
  <c r="V217" i="529"/>
  <c r="U215" i="529"/>
  <c r="U217" i="529"/>
  <c r="AA172" i="529"/>
  <c r="Z172" i="529"/>
  <c r="Y172" i="529"/>
  <c r="X172" i="529"/>
  <c r="W172" i="529"/>
  <c r="V172" i="529"/>
  <c r="U172" i="529"/>
  <c r="AD161" i="529"/>
  <c r="AC161" i="529"/>
  <c r="AB161" i="529"/>
  <c r="R63" i="529"/>
  <c r="R62" i="529"/>
  <c r="R61" i="529"/>
  <c r="R60" i="529"/>
  <c r="N60" i="529"/>
  <c r="R59" i="529"/>
  <c r="R58" i="529"/>
  <c r="R55" i="529"/>
  <c r="R54" i="529"/>
  <c r="R53" i="529"/>
  <c r="R52" i="529"/>
  <c r="N52" i="529"/>
  <c r="R51" i="529"/>
  <c r="R50" i="529"/>
  <c r="R49" i="529"/>
  <c r="N49" i="529"/>
  <c r="R48" i="529"/>
  <c r="R47" i="529"/>
  <c r="R45" i="529"/>
  <c r="R44" i="529"/>
  <c r="N44" i="529"/>
  <c r="R43" i="529"/>
  <c r="N43" i="529"/>
  <c r="R42" i="529"/>
  <c r="N42" i="529"/>
  <c r="R41" i="529"/>
  <c r="N41" i="529"/>
  <c r="R40" i="529"/>
  <c r="R39" i="529"/>
  <c r="R37" i="529"/>
  <c r="R36" i="529"/>
  <c r="N36" i="529"/>
  <c r="R35" i="529"/>
  <c r="R34" i="529"/>
  <c r="R33" i="529"/>
  <c r="R32" i="529"/>
  <c r="R30" i="529"/>
  <c r="R29" i="529"/>
  <c r="R28" i="529"/>
  <c r="R27" i="529"/>
  <c r="R26" i="529"/>
  <c r="N26" i="529"/>
  <c r="R25" i="529"/>
  <c r="N25" i="529"/>
  <c r="R24" i="529"/>
  <c r="N24" i="529"/>
  <c r="R23" i="529"/>
  <c r="R22" i="529"/>
  <c r="R20" i="529"/>
  <c r="R19" i="529"/>
  <c r="N19" i="529"/>
  <c r="R18" i="529"/>
  <c r="R17" i="529"/>
  <c r="R16" i="529"/>
  <c r="R15" i="529"/>
  <c r="R13" i="529"/>
  <c r="R12" i="529"/>
  <c r="R11" i="529"/>
  <c r="R10" i="529"/>
  <c r="N10" i="529"/>
  <c r="R9" i="529"/>
  <c r="N9" i="529"/>
  <c r="R8" i="529"/>
  <c r="N8" i="529"/>
  <c r="R7" i="529"/>
  <c r="R6" i="529"/>
  <c r="Y4" i="529"/>
  <c r="R58" i="412"/>
  <c r="R57" i="412"/>
  <c r="R56" i="412"/>
  <c r="R55" i="412"/>
  <c r="AA201" i="412"/>
  <c r="AA203" i="412"/>
  <c r="Z201" i="412"/>
  <c r="Z203" i="412"/>
  <c r="Y201" i="412"/>
  <c r="Y203" i="412"/>
  <c r="X201" i="412"/>
  <c r="X203" i="412"/>
  <c r="W201" i="412"/>
  <c r="W203" i="412"/>
  <c r="V201" i="412"/>
  <c r="V203" i="412"/>
  <c r="U201" i="412"/>
  <c r="U203" i="412"/>
  <c r="AA158" i="412"/>
  <c r="Z158" i="412"/>
  <c r="Y158" i="412"/>
  <c r="X158" i="412"/>
  <c r="W158" i="412"/>
  <c r="V158" i="412"/>
  <c r="U158" i="412"/>
  <c r="AD147" i="412"/>
  <c r="AC147" i="412"/>
  <c r="AB147" i="412"/>
  <c r="T52" i="412"/>
  <c r="S52" i="412"/>
  <c r="T51" i="412"/>
  <c r="S51" i="412"/>
  <c r="S50" i="412"/>
  <c r="R50" i="412"/>
  <c r="S49" i="412"/>
  <c r="R49" i="412"/>
  <c r="S48" i="412"/>
  <c r="R48" i="412"/>
  <c r="S47" i="412"/>
  <c r="R47" i="412"/>
  <c r="S46" i="412"/>
  <c r="R46" i="412"/>
  <c r="R51" i="412"/>
  <c r="T45" i="412"/>
  <c r="S45" i="412"/>
  <c r="S44" i="412"/>
  <c r="R44" i="412"/>
  <c r="S43" i="412"/>
  <c r="R43" i="412"/>
  <c r="S42" i="412"/>
  <c r="R42" i="412"/>
  <c r="S41" i="412"/>
  <c r="R41" i="412"/>
  <c r="T40" i="412"/>
  <c r="S40" i="412"/>
  <c r="S39" i="412"/>
  <c r="O39" i="412"/>
  <c r="T39" i="412"/>
  <c r="S38" i="412"/>
  <c r="R38" i="412"/>
  <c r="S37" i="412"/>
  <c r="R37" i="412"/>
  <c r="S36" i="412"/>
  <c r="R36" i="412"/>
  <c r="S35" i="412"/>
  <c r="R35" i="412"/>
  <c r="S34" i="412"/>
  <c r="R34" i="412"/>
  <c r="S33" i="412"/>
  <c r="R33" i="412"/>
  <c r="R39" i="412"/>
  <c r="T32" i="412"/>
  <c r="S32" i="412"/>
  <c r="T31" i="412"/>
  <c r="S31" i="412"/>
  <c r="S30" i="412"/>
  <c r="R30" i="412"/>
  <c r="S29" i="412"/>
  <c r="R29" i="412"/>
  <c r="S28" i="412"/>
  <c r="R28" i="412"/>
  <c r="S27" i="412"/>
  <c r="R27" i="412"/>
  <c r="S26" i="412"/>
  <c r="R26" i="412"/>
  <c r="T25" i="412"/>
  <c r="S25" i="412"/>
  <c r="T24" i="412"/>
  <c r="S24" i="412"/>
  <c r="S23" i="412"/>
  <c r="R23" i="412"/>
  <c r="S22" i="412"/>
  <c r="R22" i="412"/>
  <c r="S21" i="412"/>
  <c r="R21" i="412"/>
  <c r="S20" i="412"/>
  <c r="R20" i="412"/>
  <c r="S19" i="412"/>
  <c r="R19" i="412"/>
  <c r="R24" i="412"/>
  <c r="T18" i="412"/>
  <c r="S18" i="412"/>
  <c r="S17" i="412"/>
  <c r="R17" i="412"/>
  <c r="S16" i="412"/>
  <c r="R16" i="412"/>
  <c r="S15" i="412"/>
  <c r="R15" i="412"/>
  <c r="S14" i="412"/>
  <c r="R14" i="412"/>
  <c r="N14" i="412"/>
  <c r="S13" i="412"/>
  <c r="R13" i="412"/>
  <c r="T12" i="412"/>
  <c r="S12" i="412"/>
  <c r="T11" i="412"/>
  <c r="S11" i="412"/>
  <c r="S10" i="412"/>
  <c r="R10" i="412"/>
  <c r="S9" i="412"/>
  <c r="R9" i="412"/>
  <c r="S8" i="412"/>
  <c r="R8" i="412"/>
  <c r="S7" i="412"/>
  <c r="R7" i="412"/>
  <c r="S6" i="412"/>
  <c r="R6" i="412"/>
  <c r="X4" i="412"/>
  <c r="R90" i="524"/>
  <c r="R91" i="524"/>
  <c r="R92" i="524"/>
  <c r="R93" i="524"/>
  <c r="R94" i="524"/>
  <c r="R95" i="524"/>
  <c r="R96" i="524"/>
  <c r="R97" i="524"/>
  <c r="R98" i="524"/>
  <c r="R99" i="524"/>
  <c r="R100" i="524"/>
  <c r="R101" i="524"/>
  <c r="C89" i="524"/>
  <c r="R88" i="524"/>
  <c r="R87" i="524"/>
  <c r="R86" i="524"/>
  <c r="R85" i="524"/>
  <c r="R84" i="524"/>
  <c r="R83" i="524"/>
  <c r="R22" i="524"/>
  <c r="R13" i="524"/>
  <c r="R6" i="524"/>
  <c r="R7" i="524"/>
  <c r="R8" i="524"/>
  <c r="R9" i="524"/>
  <c r="R10" i="524"/>
  <c r="R16" i="524"/>
  <c r="R46" i="536"/>
  <c r="C6" i="536"/>
  <c r="Z6" i="536"/>
  <c r="Y19" i="536"/>
  <c r="R33" i="536"/>
  <c r="R12" i="536"/>
  <c r="Z19" i="536"/>
  <c r="V39" i="536"/>
  <c r="U19" i="536"/>
  <c r="U33" i="536"/>
  <c r="R39" i="536"/>
  <c r="Z39" i="536"/>
  <c r="V19" i="536"/>
  <c r="Y33" i="536"/>
  <c r="X13" i="536"/>
  <c r="O13" i="536"/>
  <c r="AA13" i="536"/>
  <c r="W13" i="536"/>
  <c r="Z13" i="536"/>
  <c r="V13" i="536"/>
  <c r="Y13" i="536"/>
  <c r="U13" i="536"/>
  <c r="Z10" i="536"/>
  <c r="V10" i="536"/>
  <c r="Y10" i="536"/>
  <c r="U10" i="536"/>
  <c r="X10" i="536"/>
  <c r="O10" i="536"/>
  <c r="AA10" i="536"/>
  <c r="W10" i="536"/>
  <c r="C42" i="536"/>
  <c r="C43" i="536"/>
  <c r="C40" i="536"/>
  <c r="C15" i="536"/>
  <c r="C44" i="536"/>
  <c r="C17" i="536"/>
  <c r="W6" i="536"/>
  <c r="AA6" i="536"/>
  <c r="C8" i="536"/>
  <c r="W12" i="536"/>
  <c r="AA12" i="536"/>
  <c r="C16" i="536"/>
  <c r="X21" i="536"/>
  <c r="AA21" i="536"/>
  <c r="W21" i="536"/>
  <c r="Z21" i="536"/>
  <c r="V21" i="536"/>
  <c r="Y21" i="536"/>
  <c r="U21" i="536"/>
  <c r="O6" i="536"/>
  <c r="X6" i="536"/>
  <c r="C7" i="536"/>
  <c r="C11" i="536"/>
  <c r="X12" i="536"/>
  <c r="U6" i="536"/>
  <c r="Y6" i="536"/>
  <c r="U12" i="536"/>
  <c r="Y12" i="536"/>
  <c r="C41" i="536"/>
  <c r="C30" i="536"/>
  <c r="V6" i="536"/>
  <c r="C9" i="536"/>
  <c r="V12" i="536"/>
  <c r="C14" i="536"/>
  <c r="W19" i="536"/>
  <c r="AA19" i="536"/>
  <c r="U27" i="536"/>
  <c r="Y27" i="536"/>
  <c r="V33" i="536"/>
  <c r="Z33" i="536"/>
  <c r="W39" i="536"/>
  <c r="AA39" i="536"/>
  <c r="V27" i="536"/>
  <c r="Z27" i="536"/>
  <c r="W33" i="536"/>
  <c r="AA33" i="536"/>
  <c r="X39" i="536"/>
  <c r="W27" i="536"/>
  <c r="U39" i="536"/>
  <c r="V46" i="536"/>
  <c r="Z46" i="536"/>
  <c r="W60" i="536"/>
  <c r="AA60" i="536"/>
  <c r="W46" i="536"/>
  <c r="AA46" i="536"/>
  <c r="X60" i="536"/>
  <c r="X46" i="536"/>
  <c r="U60" i="536"/>
  <c r="Y60" i="536"/>
  <c r="U46" i="536"/>
  <c r="V60" i="536"/>
  <c r="R42" i="534"/>
  <c r="N42" i="534"/>
  <c r="N48" i="534"/>
  <c r="Y12" i="534"/>
  <c r="W11" i="534"/>
  <c r="U12" i="534"/>
  <c r="AA12" i="534"/>
  <c r="X11" i="534"/>
  <c r="W12" i="534"/>
  <c r="AA11" i="534"/>
  <c r="X12" i="534"/>
  <c r="X10" i="534"/>
  <c r="O10" i="534"/>
  <c r="AA10" i="534"/>
  <c r="W10" i="534"/>
  <c r="Z10" i="534"/>
  <c r="V10" i="534"/>
  <c r="Y10" i="534"/>
  <c r="U10" i="534"/>
  <c r="T12" i="534"/>
  <c r="U13" i="534"/>
  <c r="Y13" i="534"/>
  <c r="X25" i="534"/>
  <c r="AA25" i="534"/>
  <c r="W25" i="534"/>
  <c r="Z25" i="534"/>
  <c r="V25" i="534"/>
  <c r="Y25" i="534"/>
  <c r="U25" i="534"/>
  <c r="V13" i="534"/>
  <c r="Z13" i="534"/>
  <c r="O11" i="534"/>
  <c r="T11" i="534"/>
  <c r="U11" i="534"/>
  <c r="Y11" i="534"/>
  <c r="V12" i="534"/>
  <c r="W13" i="534"/>
  <c r="AA13" i="534"/>
  <c r="V11" i="534"/>
  <c r="O20" i="533"/>
  <c r="P20" i="533"/>
  <c r="N20" i="533"/>
  <c r="O24" i="533"/>
  <c r="O17" i="533"/>
  <c r="Z42" i="533"/>
  <c r="W29" i="533"/>
  <c r="X16" i="533"/>
  <c r="Z29" i="533"/>
  <c r="Y42" i="533"/>
  <c r="AA27" i="533"/>
  <c r="X27" i="533"/>
  <c r="Y16" i="533"/>
  <c r="V24" i="533"/>
  <c r="W25" i="533"/>
  <c r="V29" i="533"/>
  <c r="AA29" i="533"/>
  <c r="O31" i="533"/>
  <c r="P31" i="533"/>
  <c r="N31" i="533"/>
  <c r="X31" i="533"/>
  <c r="U42" i="533"/>
  <c r="V31" i="533"/>
  <c r="U16" i="533"/>
  <c r="AA16" i="533"/>
  <c r="Z24" i="533"/>
  <c r="AA25" i="533"/>
  <c r="Z31" i="533"/>
  <c r="V42" i="533"/>
  <c r="C12" i="533"/>
  <c r="O12" i="533"/>
  <c r="P12" i="533"/>
  <c r="N12" i="533"/>
  <c r="L13" i="533"/>
  <c r="C21" i="533"/>
  <c r="R42" i="533"/>
  <c r="C13" i="533"/>
  <c r="O13" i="533"/>
  <c r="P13" i="533"/>
  <c r="N13" i="533"/>
  <c r="AA11" i="533"/>
  <c r="W11" i="533"/>
  <c r="X11" i="533"/>
  <c r="V11" i="533"/>
  <c r="Y11" i="533"/>
  <c r="Z11" i="533"/>
  <c r="U11" i="533"/>
  <c r="X28" i="533"/>
  <c r="O28" i="533"/>
  <c r="AA28" i="533"/>
  <c r="W28" i="533"/>
  <c r="Z28" i="533"/>
  <c r="V28" i="533"/>
  <c r="Y28" i="533"/>
  <c r="U28" i="533"/>
  <c r="X40" i="533"/>
  <c r="O40" i="533"/>
  <c r="W40" i="533"/>
  <c r="AA40" i="533"/>
  <c r="V40" i="533"/>
  <c r="Z40" i="533"/>
  <c r="U40" i="533"/>
  <c r="X37" i="533"/>
  <c r="O37" i="533"/>
  <c r="W37" i="533"/>
  <c r="AA37" i="533"/>
  <c r="V37" i="533"/>
  <c r="Z37" i="533"/>
  <c r="U37" i="533"/>
  <c r="C33" i="533"/>
  <c r="C30" i="533"/>
  <c r="C14" i="533"/>
  <c r="C15" i="533"/>
  <c r="X17" i="533"/>
  <c r="AA17" i="533"/>
  <c r="W17" i="533"/>
  <c r="V17" i="533"/>
  <c r="X21" i="533"/>
  <c r="AA21" i="533"/>
  <c r="W21" i="533"/>
  <c r="Z21" i="533"/>
  <c r="Y40" i="533"/>
  <c r="C41" i="533"/>
  <c r="C39" i="533"/>
  <c r="C19" i="533"/>
  <c r="O19" i="533"/>
  <c r="P19" i="533"/>
  <c r="N19" i="533"/>
  <c r="R16" i="533"/>
  <c r="Y17" i="533"/>
  <c r="U21" i="533"/>
  <c r="AA20" i="533"/>
  <c r="W20" i="533"/>
  <c r="Z20" i="533"/>
  <c r="V20" i="533"/>
  <c r="Y20" i="533"/>
  <c r="C34" i="533"/>
  <c r="C26" i="533"/>
  <c r="C38" i="533"/>
  <c r="O38" i="533"/>
  <c r="P38" i="533"/>
  <c r="N38" i="533"/>
  <c r="C23" i="533"/>
  <c r="O23" i="533"/>
  <c r="P23" i="533"/>
  <c r="N23" i="533"/>
  <c r="Z17" i="533"/>
  <c r="X20" i="533"/>
  <c r="V21" i="533"/>
  <c r="T31" i="533"/>
  <c r="C32" i="533"/>
  <c r="Y37" i="533"/>
  <c r="W24" i="533"/>
  <c r="AA24" i="533"/>
  <c r="X25" i="533"/>
  <c r="O27" i="533"/>
  <c r="T27" i="533"/>
  <c r="U27" i="533"/>
  <c r="Y27" i="533"/>
  <c r="U31" i="533"/>
  <c r="Y31" i="533"/>
  <c r="X24" i="533"/>
  <c r="U25" i="533"/>
  <c r="Y25" i="533"/>
  <c r="V27" i="533"/>
  <c r="Z27" i="533"/>
  <c r="T29" i="533"/>
  <c r="V16" i="533"/>
  <c r="C18" i="533"/>
  <c r="O18" i="533"/>
  <c r="P18" i="533"/>
  <c r="N18" i="533"/>
  <c r="C22" i="533"/>
  <c r="O22" i="533"/>
  <c r="P22" i="533"/>
  <c r="N22" i="533"/>
  <c r="T24" i="533"/>
  <c r="U24" i="533"/>
  <c r="O25" i="533"/>
  <c r="T25" i="533"/>
  <c r="V25" i="533"/>
  <c r="W27" i="533"/>
  <c r="U29" i="533"/>
  <c r="W31" i="533"/>
  <c r="C36" i="533"/>
  <c r="W42" i="533"/>
  <c r="AA42" i="533"/>
  <c r="Z29" i="532"/>
  <c r="C43" i="532"/>
  <c r="O43" i="532"/>
  <c r="P43" i="532"/>
  <c r="N43" i="532"/>
  <c r="R46" i="532"/>
  <c r="C40" i="532"/>
  <c r="C44" i="532"/>
  <c r="O44" i="532"/>
  <c r="P44" i="532"/>
  <c r="N44" i="532"/>
  <c r="C41" i="532"/>
  <c r="C45" i="532"/>
  <c r="C42" i="532"/>
  <c r="O42" i="532"/>
  <c r="P42" i="532"/>
  <c r="N42" i="532"/>
  <c r="W21" i="532"/>
  <c r="AA21" i="532"/>
  <c r="X21" i="532"/>
  <c r="U21" i="532"/>
  <c r="R28" i="532"/>
  <c r="C25" i="532"/>
  <c r="O25" i="532"/>
  <c r="P25" i="532"/>
  <c r="N25" i="532"/>
  <c r="C17" i="532"/>
  <c r="C13" i="532"/>
  <c r="C36" i="532"/>
  <c r="O36" i="532"/>
  <c r="P36" i="532"/>
  <c r="N36" i="532"/>
  <c r="C32" i="532"/>
  <c r="O32" i="532"/>
  <c r="P32" i="532"/>
  <c r="N32" i="532"/>
  <c r="C24" i="532"/>
  <c r="O24" i="532"/>
  <c r="P24" i="532"/>
  <c r="N24" i="532"/>
  <c r="C16" i="532"/>
  <c r="C12" i="532"/>
  <c r="O12" i="532"/>
  <c r="P12" i="532"/>
  <c r="N12" i="532"/>
  <c r="C19" i="532"/>
  <c r="X19" i="532"/>
  <c r="C38" i="532"/>
  <c r="AA38" i="532"/>
  <c r="C34" i="532"/>
  <c r="O34" i="532"/>
  <c r="P34" i="532"/>
  <c r="N34" i="532"/>
  <c r="C26" i="532"/>
  <c r="O26" i="532"/>
  <c r="P26" i="532"/>
  <c r="N26" i="532"/>
  <c r="C18" i="532"/>
  <c r="O18" i="532"/>
  <c r="P18" i="532"/>
  <c r="N18" i="532"/>
  <c r="C14" i="532"/>
  <c r="O14" i="532"/>
  <c r="P14" i="532"/>
  <c r="N14" i="532"/>
  <c r="L23" i="532"/>
  <c r="L24" i="532"/>
  <c r="T30" i="532"/>
  <c r="V29" i="532"/>
  <c r="R20" i="532"/>
  <c r="Y20" i="532"/>
  <c r="O20" i="532"/>
  <c r="T20" i="532"/>
  <c r="C11" i="532"/>
  <c r="Z11" i="532"/>
  <c r="AA20" i="532"/>
  <c r="X29" i="532"/>
  <c r="U20" i="532"/>
  <c r="X20" i="532"/>
  <c r="AA41" i="532"/>
  <c r="V16" i="532"/>
  <c r="W20" i="532"/>
  <c r="W41" i="532"/>
  <c r="X13" i="532"/>
  <c r="O13" i="532"/>
  <c r="AA13" i="532"/>
  <c r="W13" i="532"/>
  <c r="Z13" i="532"/>
  <c r="V13" i="532"/>
  <c r="Y13" i="532"/>
  <c r="U13" i="532"/>
  <c r="Z22" i="532"/>
  <c r="V22" i="532"/>
  <c r="AA22" i="532"/>
  <c r="Y22" i="532"/>
  <c r="U22" i="532"/>
  <c r="W22" i="532"/>
  <c r="X22" i="532"/>
  <c r="U16" i="532"/>
  <c r="X16" i="532"/>
  <c r="Z16" i="532"/>
  <c r="U19" i="532"/>
  <c r="O11" i="532"/>
  <c r="Y40" i="532"/>
  <c r="U40" i="532"/>
  <c r="X40" i="532"/>
  <c r="AA40" i="532"/>
  <c r="W40" i="532"/>
  <c r="Z40" i="532"/>
  <c r="U11" i="532"/>
  <c r="AA19" i="532"/>
  <c r="Y19" i="532"/>
  <c r="V11" i="532"/>
  <c r="V20" i="532"/>
  <c r="Y29" i="532"/>
  <c r="U29" i="532"/>
  <c r="T29" i="532"/>
  <c r="AA29" i="532"/>
  <c r="W29" i="532"/>
  <c r="V38" i="532"/>
  <c r="X41" i="532"/>
  <c r="U41" i="532"/>
  <c r="Y41" i="532"/>
  <c r="X46" i="532"/>
  <c r="AA46" i="532"/>
  <c r="W46" i="532"/>
  <c r="Z46" i="532"/>
  <c r="V46" i="532"/>
  <c r="U46" i="532"/>
  <c r="V41" i="532"/>
  <c r="Y46" i="532"/>
  <c r="U24" i="531"/>
  <c r="Y24" i="531"/>
  <c r="V24" i="531"/>
  <c r="Z24" i="531"/>
  <c r="O24" i="531"/>
  <c r="W24" i="531"/>
  <c r="AA24" i="531"/>
  <c r="X24" i="531"/>
  <c r="C17" i="531"/>
  <c r="C13" i="531"/>
  <c r="C26" i="531"/>
  <c r="C25" i="531"/>
  <c r="Z18" i="531"/>
  <c r="V18" i="531"/>
  <c r="Y27" i="531"/>
  <c r="U27" i="531"/>
  <c r="C35" i="531"/>
  <c r="O35" i="531"/>
  <c r="P35" i="531"/>
  <c r="N35" i="531"/>
  <c r="C38" i="531"/>
  <c r="O38" i="531"/>
  <c r="P38" i="531"/>
  <c r="N38" i="531"/>
  <c r="N45" i="531"/>
  <c r="C42" i="531"/>
  <c r="O42" i="531"/>
  <c r="C16" i="531"/>
  <c r="C12" i="531"/>
  <c r="Y18" i="531"/>
  <c r="U18" i="531"/>
  <c r="X27" i="531"/>
  <c r="R36" i="531"/>
  <c r="C41" i="531"/>
  <c r="O41" i="531"/>
  <c r="P41" i="531"/>
  <c r="C15" i="531"/>
  <c r="C20" i="531"/>
  <c r="C22" i="531"/>
  <c r="C23" i="531"/>
  <c r="X18" i="531"/>
  <c r="AA27" i="531"/>
  <c r="W27" i="531"/>
  <c r="C29" i="531"/>
  <c r="O29" i="531"/>
  <c r="P29" i="531"/>
  <c r="N29" i="531"/>
  <c r="C30" i="531"/>
  <c r="O30" i="531"/>
  <c r="P30" i="531"/>
  <c r="C31" i="531"/>
  <c r="O31" i="531"/>
  <c r="P31" i="531"/>
  <c r="C32" i="531"/>
  <c r="O32" i="531"/>
  <c r="P32" i="531"/>
  <c r="C33" i="531"/>
  <c r="O33" i="531"/>
  <c r="C34" i="531"/>
  <c r="O34" i="531"/>
  <c r="P34" i="531"/>
  <c r="N34" i="531"/>
  <c r="L35" i="531"/>
  <c r="C40" i="531"/>
  <c r="O40" i="531"/>
  <c r="P40" i="531"/>
  <c r="C44" i="531"/>
  <c r="O44" i="531"/>
  <c r="P44" i="531"/>
  <c r="C49" i="531"/>
  <c r="O49" i="531"/>
  <c r="P49" i="531"/>
  <c r="N49" i="531"/>
  <c r="C14" i="531"/>
  <c r="C21" i="531"/>
  <c r="AA18" i="531"/>
  <c r="V13" i="531"/>
  <c r="C39" i="531"/>
  <c r="O39" i="531"/>
  <c r="P39" i="531"/>
  <c r="L48" i="531"/>
  <c r="L49" i="531"/>
  <c r="L50" i="531"/>
  <c r="R45" i="531"/>
  <c r="L30" i="531"/>
  <c r="L31" i="531"/>
  <c r="L32" i="531"/>
  <c r="P43" i="531"/>
  <c r="T43" i="531"/>
  <c r="T42" i="531"/>
  <c r="P42" i="531"/>
  <c r="L39" i="531"/>
  <c r="L40" i="531"/>
  <c r="L41" i="531"/>
  <c r="T34" i="531"/>
  <c r="X41" i="531"/>
  <c r="O18" i="531"/>
  <c r="T18" i="531"/>
  <c r="T41" i="531"/>
  <c r="C55" i="531"/>
  <c r="O55" i="531"/>
  <c r="P55" i="531"/>
  <c r="N55" i="531"/>
  <c r="C53" i="531"/>
  <c r="C19" i="531"/>
  <c r="C11" i="531"/>
  <c r="O11" i="531"/>
  <c r="P11" i="531"/>
  <c r="N11" i="531"/>
  <c r="X38" i="531"/>
  <c r="AA38" i="531"/>
  <c r="W38" i="531"/>
  <c r="Z38" i="531"/>
  <c r="V38" i="531"/>
  <c r="Y38" i="531"/>
  <c r="U38" i="531"/>
  <c r="X29" i="531"/>
  <c r="W29" i="531"/>
  <c r="C54" i="531"/>
  <c r="O54" i="531"/>
  <c r="P54" i="531"/>
  <c r="N54" i="531"/>
  <c r="C56" i="531"/>
  <c r="O56" i="531"/>
  <c r="P56" i="531"/>
  <c r="N56" i="531"/>
  <c r="Y39" i="531"/>
  <c r="U39" i="531"/>
  <c r="X39" i="531"/>
  <c r="AA39" i="531"/>
  <c r="W39" i="531"/>
  <c r="Y29" i="531"/>
  <c r="R58" i="531"/>
  <c r="C51" i="531"/>
  <c r="O51" i="531"/>
  <c r="P51" i="531"/>
  <c r="N51" i="531"/>
  <c r="O14" i="531"/>
  <c r="U29" i="531"/>
  <c r="Z29" i="531"/>
  <c r="V39" i="531"/>
  <c r="C50" i="531"/>
  <c r="O50" i="531"/>
  <c r="P50" i="531"/>
  <c r="N50" i="531"/>
  <c r="AA41" i="531"/>
  <c r="W41" i="531"/>
  <c r="Z41" i="531"/>
  <c r="V41" i="531"/>
  <c r="Y41" i="531"/>
  <c r="U41" i="531"/>
  <c r="V29" i="531"/>
  <c r="AA29" i="531"/>
  <c r="Z39" i="531"/>
  <c r="C52" i="531"/>
  <c r="O52" i="531"/>
  <c r="P52" i="531"/>
  <c r="N52" i="531"/>
  <c r="R46" i="529"/>
  <c r="R56" i="529"/>
  <c r="R64" i="529"/>
  <c r="R31" i="529"/>
  <c r="R38" i="529"/>
  <c r="R14" i="529"/>
  <c r="R21" i="529"/>
  <c r="O6" i="529"/>
  <c r="R59" i="412"/>
  <c r="R11" i="412"/>
  <c r="R18" i="412"/>
  <c r="R45" i="412"/>
  <c r="R31" i="412"/>
  <c r="B15" i="527"/>
  <c r="C15" i="527"/>
  <c r="D15" i="527"/>
  <c r="E15" i="527"/>
  <c r="F15" i="527"/>
  <c r="G15" i="527"/>
  <c r="H15" i="527"/>
  <c r="I15" i="527"/>
  <c r="J15" i="527"/>
  <c r="K15" i="527"/>
  <c r="L15" i="527"/>
  <c r="M15" i="527"/>
  <c r="N15" i="527"/>
  <c r="O15" i="527"/>
  <c r="P15" i="527"/>
  <c r="Q15" i="527"/>
  <c r="A19" i="527"/>
  <c r="B19" i="527"/>
  <c r="C19" i="527"/>
  <c r="D19" i="527"/>
  <c r="E19" i="527"/>
  <c r="F19" i="527"/>
  <c r="G19" i="527"/>
  <c r="H19" i="527"/>
  <c r="I19" i="527"/>
  <c r="J19" i="527"/>
  <c r="K19" i="527"/>
  <c r="L19" i="527"/>
  <c r="M19" i="527"/>
  <c r="N19" i="527"/>
  <c r="O19" i="527"/>
  <c r="P19" i="527"/>
  <c r="Q19" i="527"/>
  <c r="R19" i="527"/>
  <c r="Y14" i="536"/>
  <c r="U14" i="536"/>
  <c r="X14" i="536"/>
  <c r="O14" i="536"/>
  <c r="AA14" i="536"/>
  <c r="Z14" i="536"/>
  <c r="W14" i="536"/>
  <c r="V14" i="536"/>
  <c r="X31" i="536"/>
  <c r="AA31" i="536"/>
  <c r="W31" i="536"/>
  <c r="Z31" i="536"/>
  <c r="V31" i="536"/>
  <c r="Y31" i="536"/>
  <c r="U31" i="536"/>
  <c r="Y23" i="536"/>
  <c r="U23" i="536"/>
  <c r="X23" i="536"/>
  <c r="AA23" i="536"/>
  <c r="W23" i="536"/>
  <c r="Z23" i="536"/>
  <c r="V23" i="536"/>
  <c r="Z34" i="536"/>
  <c r="V34" i="536"/>
  <c r="Y34" i="536"/>
  <c r="U34" i="536"/>
  <c r="X34" i="536"/>
  <c r="AA34" i="536"/>
  <c r="W34" i="536"/>
  <c r="AA7" i="536"/>
  <c r="W7" i="536"/>
  <c r="Z7" i="536"/>
  <c r="V7" i="536"/>
  <c r="Y7" i="536"/>
  <c r="U7" i="536"/>
  <c r="X7" i="536"/>
  <c r="O7" i="536"/>
  <c r="X8" i="536"/>
  <c r="O8" i="536"/>
  <c r="AA8" i="536"/>
  <c r="W8" i="536"/>
  <c r="Z8" i="536"/>
  <c r="V8" i="536"/>
  <c r="Y8" i="536"/>
  <c r="U8" i="536"/>
  <c r="Z38" i="536"/>
  <c r="V38" i="536"/>
  <c r="Y38" i="536"/>
  <c r="U38" i="536"/>
  <c r="X38" i="536"/>
  <c r="AA38" i="536"/>
  <c r="W38" i="536"/>
  <c r="Z45" i="536"/>
  <c r="V45" i="536"/>
  <c r="Y45" i="536"/>
  <c r="U45" i="536"/>
  <c r="X45" i="536"/>
  <c r="AA45" i="536"/>
  <c r="W45" i="536"/>
  <c r="AA25" i="536"/>
  <c r="W25" i="536"/>
  <c r="Z25" i="536"/>
  <c r="V25" i="536"/>
  <c r="Y25" i="536"/>
  <c r="U25" i="536"/>
  <c r="X25" i="536"/>
  <c r="X43" i="536"/>
  <c r="O43" i="536"/>
  <c r="AA43" i="536"/>
  <c r="W43" i="536"/>
  <c r="Z43" i="536"/>
  <c r="V43" i="536"/>
  <c r="Y43" i="536"/>
  <c r="U43" i="536"/>
  <c r="Z41" i="536"/>
  <c r="V41" i="536"/>
  <c r="AA41" i="536"/>
  <c r="W41" i="536"/>
  <c r="O41" i="536"/>
  <c r="Y41" i="536"/>
  <c r="X41" i="536"/>
  <c r="U41" i="536"/>
  <c r="AB21" i="536"/>
  <c r="AA16" i="536"/>
  <c r="W16" i="536"/>
  <c r="Z16" i="536"/>
  <c r="V16" i="536"/>
  <c r="X16" i="536"/>
  <c r="U16" i="536"/>
  <c r="O16" i="536"/>
  <c r="Y16" i="536"/>
  <c r="Y17" i="536"/>
  <c r="U17" i="536"/>
  <c r="X17" i="536"/>
  <c r="O17" i="536"/>
  <c r="AA17" i="536"/>
  <c r="W17" i="536"/>
  <c r="Z17" i="536"/>
  <c r="V17" i="536"/>
  <c r="Y44" i="536"/>
  <c r="U44" i="536"/>
  <c r="X44" i="536"/>
  <c r="O44" i="536"/>
  <c r="AA44" i="536"/>
  <c r="W44" i="536"/>
  <c r="Z44" i="536"/>
  <c r="V44" i="536"/>
  <c r="AA35" i="536"/>
  <c r="W35" i="536"/>
  <c r="Z35" i="536"/>
  <c r="V35" i="536"/>
  <c r="Y35" i="536"/>
  <c r="U35" i="536"/>
  <c r="X35" i="536"/>
  <c r="P10" i="536"/>
  <c r="N10" i="536"/>
  <c r="T10" i="536"/>
  <c r="T13" i="536"/>
  <c r="P13" i="536"/>
  <c r="N13" i="536"/>
  <c r="Y9" i="536"/>
  <c r="U9" i="536"/>
  <c r="X9" i="536"/>
  <c r="O9" i="536"/>
  <c r="AA9" i="536"/>
  <c r="W9" i="536"/>
  <c r="Z9" i="536"/>
  <c r="V9" i="536"/>
  <c r="X36" i="536"/>
  <c r="AA36" i="536"/>
  <c r="W36" i="536"/>
  <c r="Z36" i="536"/>
  <c r="V36" i="536"/>
  <c r="Y36" i="536"/>
  <c r="U36" i="536"/>
  <c r="Z24" i="536"/>
  <c r="V24" i="536"/>
  <c r="Y24" i="536"/>
  <c r="U24" i="536"/>
  <c r="X24" i="536"/>
  <c r="AA24" i="536"/>
  <c r="W24" i="536"/>
  <c r="Y28" i="536"/>
  <c r="U28" i="536"/>
  <c r="X28" i="536"/>
  <c r="AA28" i="536"/>
  <c r="W28" i="536"/>
  <c r="Z28" i="536"/>
  <c r="V28" i="536"/>
  <c r="P6" i="536"/>
  <c r="N6" i="536"/>
  <c r="T6" i="536"/>
  <c r="X26" i="536"/>
  <c r="AA26" i="536"/>
  <c r="W26" i="536"/>
  <c r="Z26" i="536"/>
  <c r="V26" i="536"/>
  <c r="Y26" i="536"/>
  <c r="U26" i="536"/>
  <c r="Y32" i="536"/>
  <c r="U32" i="536"/>
  <c r="X32" i="536"/>
  <c r="AA32" i="536"/>
  <c r="W32" i="536"/>
  <c r="Z32" i="536"/>
  <c r="V32" i="536"/>
  <c r="X22" i="536"/>
  <c r="AA22" i="536"/>
  <c r="W22" i="536"/>
  <c r="Z22" i="536"/>
  <c r="V22" i="536"/>
  <c r="Y22" i="536"/>
  <c r="U22" i="536"/>
  <c r="Z29" i="536"/>
  <c r="V29" i="536"/>
  <c r="Y29" i="536"/>
  <c r="U29" i="536"/>
  <c r="X29" i="536"/>
  <c r="AA29" i="536"/>
  <c r="W29" i="536"/>
  <c r="AA42" i="536"/>
  <c r="W42" i="536"/>
  <c r="Z42" i="536"/>
  <c r="V42" i="536"/>
  <c r="Y42" i="536"/>
  <c r="U42" i="536"/>
  <c r="X42" i="536"/>
  <c r="O42" i="536"/>
  <c r="AA30" i="536"/>
  <c r="W30" i="536"/>
  <c r="Z30" i="536"/>
  <c r="V30" i="536"/>
  <c r="Y30" i="536"/>
  <c r="U30" i="536"/>
  <c r="X30" i="536"/>
  <c r="O30" i="536"/>
  <c r="Y37" i="536"/>
  <c r="U37" i="536"/>
  <c r="X37" i="536"/>
  <c r="AA37" i="536"/>
  <c r="W37" i="536"/>
  <c r="Z37" i="536"/>
  <c r="V37" i="536"/>
  <c r="AA20" i="536"/>
  <c r="W20" i="536"/>
  <c r="Z20" i="536"/>
  <c r="V20" i="536"/>
  <c r="Y20" i="536"/>
  <c r="U20" i="536"/>
  <c r="X20" i="536"/>
  <c r="AA11" i="536"/>
  <c r="W11" i="536"/>
  <c r="Z11" i="536"/>
  <c r="V11" i="536"/>
  <c r="Y11" i="536"/>
  <c r="U11" i="536"/>
  <c r="X11" i="536"/>
  <c r="O11" i="536"/>
  <c r="T21" i="536"/>
  <c r="Z18" i="536"/>
  <c r="V18" i="536"/>
  <c r="Y18" i="536"/>
  <c r="U18" i="536"/>
  <c r="X18" i="536"/>
  <c r="AA18" i="536"/>
  <c r="W18" i="536"/>
  <c r="Z15" i="536"/>
  <c r="V15" i="536"/>
  <c r="Y15" i="536"/>
  <c r="U15" i="536"/>
  <c r="AA15" i="536"/>
  <c r="X15" i="536"/>
  <c r="W15" i="536"/>
  <c r="O15" i="536"/>
  <c r="AA40" i="536"/>
  <c r="W40" i="536"/>
  <c r="Z40" i="536"/>
  <c r="V40" i="536"/>
  <c r="Y40" i="536"/>
  <c r="U40" i="536"/>
  <c r="X40" i="536"/>
  <c r="O40" i="536"/>
  <c r="Z5" i="534"/>
  <c r="V5" i="534"/>
  <c r="Y5" i="534"/>
  <c r="U5" i="534"/>
  <c r="X5" i="534"/>
  <c r="W5" i="534"/>
  <c r="AA5" i="534"/>
  <c r="Z17" i="534"/>
  <c r="V17" i="534"/>
  <c r="Y17" i="534"/>
  <c r="U17" i="534"/>
  <c r="AA17" i="534"/>
  <c r="X17" i="534"/>
  <c r="W17" i="534"/>
  <c r="AA9" i="534"/>
  <c r="W9" i="534"/>
  <c r="Z9" i="534"/>
  <c r="V9" i="534"/>
  <c r="Y9" i="534"/>
  <c r="U9" i="534"/>
  <c r="X9" i="534"/>
  <c r="O9" i="534"/>
  <c r="Y16" i="534"/>
  <c r="W16" i="534"/>
  <c r="AA16" i="534"/>
  <c r="V16" i="534"/>
  <c r="Z16" i="534"/>
  <c r="U16" i="534"/>
  <c r="X16" i="534"/>
  <c r="Y14" i="534"/>
  <c r="U14" i="534"/>
  <c r="X14" i="534"/>
  <c r="AA14" i="534"/>
  <c r="W14" i="534"/>
  <c r="Z14" i="534"/>
  <c r="V14" i="534"/>
  <c r="Z19" i="534"/>
  <c r="V19" i="534"/>
  <c r="X19" i="534"/>
  <c r="AA19" i="534"/>
  <c r="W19" i="534"/>
  <c r="U19" i="534"/>
  <c r="Y19" i="534"/>
  <c r="T10" i="534"/>
  <c r="P10" i="534"/>
  <c r="T13" i="534"/>
  <c r="Y18" i="534"/>
  <c r="AA18" i="534"/>
  <c r="W18" i="534"/>
  <c r="Z18" i="534"/>
  <c r="V18" i="534"/>
  <c r="X18" i="534"/>
  <c r="Y24" i="534"/>
  <c r="U24" i="534"/>
  <c r="AA24" i="534"/>
  <c r="W24" i="534"/>
  <c r="Z24" i="534"/>
  <c r="V24" i="534"/>
  <c r="X24" i="534"/>
  <c r="O24" i="534"/>
  <c r="X6" i="534"/>
  <c r="O6" i="534"/>
  <c r="AA6" i="534"/>
  <c r="W6" i="534"/>
  <c r="Z6" i="534"/>
  <c r="V6" i="534"/>
  <c r="Y6" i="534"/>
  <c r="U6" i="534"/>
  <c r="X22" i="534"/>
  <c r="Z22" i="534"/>
  <c r="V22" i="534"/>
  <c r="Y22" i="534"/>
  <c r="U22" i="534"/>
  <c r="AA22" i="534"/>
  <c r="W22" i="534"/>
  <c r="AA20" i="534"/>
  <c r="W20" i="534"/>
  <c r="Y20" i="534"/>
  <c r="U20" i="534"/>
  <c r="X20" i="534"/>
  <c r="O20" i="534"/>
  <c r="Z20" i="534"/>
  <c r="V20" i="534"/>
  <c r="Y7" i="534"/>
  <c r="U7" i="534"/>
  <c r="X7" i="534"/>
  <c r="O7" i="534"/>
  <c r="AA7" i="534"/>
  <c r="W7" i="534"/>
  <c r="V7" i="534"/>
  <c r="Z7" i="534"/>
  <c r="Z8" i="534"/>
  <c r="V8" i="534"/>
  <c r="Y8" i="534"/>
  <c r="U8" i="534"/>
  <c r="X8" i="534"/>
  <c r="O8" i="534"/>
  <c r="AA8" i="534"/>
  <c r="W8" i="534"/>
  <c r="Z15" i="534"/>
  <c r="V15" i="534"/>
  <c r="Y15" i="534"/>
  <c r="U15" i="534"/>
  <c r="X15" i="534"/>
  <c r="AA15" i="534"/>
  <c r="W15" i="534"/>
  <c r="Y21" i="533"/>
  <c r="O21" i="533"/>
  <c r="P21" i="533"/>
  <c r="N21" i="533"/>
  <c r="T17" i="533"/>
  <c r="P17" i="533"/>
  <c r="N17" i="533"/>
  <c r="L14" i="533"/>
  <c r="X12" i="533"/>
  <c r="Y12" i="533"/>
  <c r="U12" i="533"/>
  <c r="W12" i="533"/>
  <c r="Z12" i="533"/>
  <c r="AA12" i="533"/>
  <c r="V12" i="533"/>
  <c r="Y41" i="533"/>
  <c r="U41" i="533"/>
  <c r="X41" i="533"/>
  <c r="O41" i="533"/>
  <c r="V41" i="533"/>
  <c r="AA41" i="533"/>
  <c r="Z41" i="533"/>
  <c r="W41" i="533"/>
  <c r="T20" i="533"/>
  <c r="AA14" i="533"/>
  <c r="W14" i="533"/>
  <c r="Z14" i="533"/>
  <c r="U14" i="533"/>
  <c r="Y14" i="533"/>
  <c r="O14" i="533"/>
  <c r="V14" i="533"/>
  <c r="X14" i="533"/>
  <c r="T37" i="533"/>
  <c r="P37" i="533"/>
  <c r="N37" i="533"/>
  <c r="Y13" i="533"/>
  <c r="U13" i="533"/>
  <c r="Z13" i="533"/>
  <c r="X13" i="533"/>
  <c r="AA13" i="533"/>
  <c r="V13" i="533"/>
  <c r="W13" i="533"/>
  <c r="X32" i="533"/>
  <c r="O32" i="533"/>
  <c r="AA32" i="533"/>
  <c r="W32" i="533"/>
  <c r="Z32" i="533"/>
  <c r="V32" i="533"/>
  <c r="U32" i="533"/>
  <c r="Y32" i="533"/>
  <c r="Z23" i="533"/>
  <c r="V23" i="533"/>
  <c r="Y23" i="533"/>
  <c r="U23" i="533"/>
  <c r="W23" i="533"/>
  <c r="X23" i="533"/>
  <c r="AA23" i="533"/>
  <c r="AA34" i="533"/>
  <c r="W34" i="533"/>
  <c r="X34" i="533"/>
  <c r="V34" i="533"/>
  <c r="Z34" i="533"/>
  <c r="U34" i="533"/>
  <c r="Y34" i="533"/>
  <c r="O34" i="533"/>
  <c r="X15" i="533"/>
  <c r="O15" i="533"/>
  <c r="AA15" i="533"/>
  <c r="W15" i="533"/>
  <c r="V15" i="533"/>
  <c r="Y15" i="533"/>
  <c r="U15" i="533"/>
  <c r="Z15" i="533"/>
  <c r="Z30" i="533"/>
  <c r="V30" i="533"/>
  <c r="Y30" i="533"/>
  <c r="U30" i="533"/>
  <c r="X30" i="533"/>
  <c r="O30" i="533"/>
  <c r="AA30" i="533"/>
  <c r="W30" i="533"/>
  <c r="T28" i="533"/>
  <c r="P28" i="533"/>
  <c r="N28" i="533"/>
  <c r="L29" i="533"/>
  <c r="L30" i="533"/>
  <c r="AA36" i="533"/>
  <c r="W36" i="533"/>
  <c r="V36" i="533"/>
  <c r="Z36" i="533"/>
  <c r="U36" i="533"/>
  <c r="Y36" i="533"/>
  <c r="O36" i="533"/>
  <c r="X36" i="533"/>
  <c r="Y22" i="533"/>
  <c r="U22" i="533"/>
  <c r="X22" i="533"/>
  <c r="W22" i="533"/>
  <c r="V22" i="533"/>
  <c r="Z22" i="533"/>
  <c r="AA22" i="533"/>
  <c r="Z19" i="533"/>
  <c r="V19" i="533"/>
  <c r="Y19" i="533"/>
  <c r="U19" i="533"/>
  <c r="AA19" i="533"/>
  <c r="X19" i="533"/>
  <c r="W19" i="533"/>
  <c r="T21" i="533"/>
  <c r="Y33" i="533"/>
  <c r="U33" i="533"/>
  <c r="X33" i="533"/>
  <c r="O33" i="533"/>
  <c r="AA33" i="533"/>
  <c r="W33" i="533"/>
  <c r="Z33" i="533"/>
  <c r="V33" i="533"/>
  <c r="Y18" i="533"/>
  <c r="Y48" i="533"/>
  <c r="U18" i="533"/>
  <c r="X18" i="533"/>
  <c r="AA18" i="533"/>
  <c r="Z18" i="533"/>
  <c r="W18" i="533"/>
  <c r="V18" i="533"/>
  <c r="Y26" i="533"/>
  <c r="U26" i="533"/>
  <c r="X26" i="533"/>
  <c r="O26" i="533"/>
  <c r="AA26" i="533"/>
  <c r="W26" i="533"/>
  <c r="Z26" i="533"/>
  <c r="V26" i="533"/>
  <c r="AA39" i="533"/>
  <c r="W39" i="533"/>
  <c r="V39" i="533"/>
  <c r="Z39" i="533"/>
  <c r="U39" i="533"/>
  <c r="Y39" i="533"/>
  <c r="O39" i="533"/>
  <c r="X39" i="533"/>
  <c r="T40" i="533"/>
  <c r="T11" i="533"/>
  <c r="V48" i="533"/>
  <c r="O40" i="532"/>
  <c r="P40" i="532"/>
  <c r="N40" i="532"/>
  <c r="L41" i="532"/>
  <c r="V40" i="532"/>
  <c r="X38" i="532"/>
  <c r="Y11" i="532"/>
  <c r="Z19" i="532"/>
  <c r="Z41" i="532"/>
  <c r="O41" i="532"/>
  <c r="P41" i="532"/>
  <c r="N41" i="532"/>
  <c r="L42" i="532"/>
  <c r="L43" i="532"/>
  <c r="L44" i="532"/>
  <c r="L45" i="532"/>
  <c r="U38" i="532"/>
  <c r="V19" i="532"/>
  <c r="W38" i="532"/>
  <c r="W19" i="532"/>
  <c r="X11" i="532"/>
  <c r="L25" i="532"/>
  <c r="L26" i="532"/>
  <c r="L27" i="532"/>
  <c r="L28" i="532"/>
  <c r="L31" i="532"/>
  <c r="L32" i="532"/>
  <c r="L33" i="532"/>
  <c r="L34" i="532"/>
  <c r="L35" i="532"/>
  <c r="O19" i="532"/>
  <c r="P19" i="532"/>
  <c r="N19" i="532"/>
  <c r="Z38" i="532"/>
  <c r="O38" i="532"/>
  <c r="AA11" i="532"/>
  <c r="Y38" i="532"/>
  <c r="W16" i="532"/>
  <c r="Y16" i="532"/>
  <c r="AA16" i="532"/>
  <c r="W11" i="532"/>
  <c r="X35" i="532"/>
  <c r="AA35" i="532"/>
  <c r="W35" i="532"/>
  <c r="Z35" i="532"/>
  <c r="V35" i="532"/>
  <c r="U35" i="532"/>
  <c r="Y35" i="532"/>
  <c r="Z15" i="532"/>
  <c r="V15" i="532"/>
  <c r="Y15" i="532"/>
  <c r="U15" i="532"/>
  <c r="X15" i="532"/>
  <c r="O15" i="532"/>
  <c r="AA15" i="532"/>
  <c r="W15" i="532"/>
  <c r="Y45" i="532"/>
  <c r="U45" i="532"/>
  <c r="AA45" i="532"/>
  <c r="W45" i="532"/>
  <c r="V45" i="532"/>
  <c r="O45" i="532"/>
  <c r="Z45" i="532"/>
  <c r="X45" i="532"/>
  <c r="T40" i="532"/>
  <c r="X31" i="532"/>
  <c r="AA31" i="532"/>
  <c r="W31" i="532"/>
  <c r="Z31" i="532"/>
  <c r="V31" i="532"/>
  <c r="U31" i="532"/>
  <c r="Y31" i="532"/>
  <c r="P11" i="532"/>
  <c r="N11" i="532"/>
  <c r="T11" i="532"/>
  <c r="Z37" i="532"/>
  <c r="V37" i="532"/>
  <c r="Y37" i="532"/>
  <c r="U37" i="532"/>
  <c r="X37" i="532"/>
  <c r="AA37" i="532"/>
  <c r="W37" i="532"/>
  <c r="Y32" i="532"/>
  <c r="U32" i="532"/>
  <c r="X32" i="532"/>
  <c r="AA32" i="532"/>
  <c r="W32" i="532"/>
  <c r="Z32" i="532"/>
  <c r="V32" i="532"/>
  <c r="T41" i="532"/>
  <c r="X26" i="532"/>
  <c r="Z26" i="532"/>
  <c r="V26" i="532"/>
  <c r="U26" i="532"/>
  <c r="W26" i="532"/>
  <c r="AA26" i="532"/>
  <c r="Y26" i="532"/>
  <c r="Z17" i="532"/>
  <c r="V17" i="532"/>
  <c r="Y17" i="532"/>
  <c r="U17" i="532"/>
  <c r="X17" i="532"/>
  <c r="O17" i="532"/>
  <c r="W17" i="532"/>
  <c r="AA17" i="532"/>
  <c r="AA25" i="532"/>
  <c r="W25" i="532"/>
  <c r="Y25" i="532"/>
  <c r="U25" i="532"/>
  <c r="V25" i="532"/>
  <c r="X25" i="532"/>
  <c r="Z25" i="532"/>
  <c r="Y36" i="532"/>
  <c r="U36" i="532"/>
  <c r="X36" i="532"/>
  <c r="AA36" i="532"/>
  <c r="W36" i="532"/>
  <c r="Z36" i="532"/>
  <c r="V36" i="532"/>
  <c r="AA23" i="532"/>
  <c r="W23" i="532"/>
  <c r="Z23" i="532"/>
  <c r="V23" i="532"/>
  <c r="X23" i="532"/>
  <c r="Y23" i="532"/>
  <c r="U23" i="532"/>
  <c r="T19" i="532"/>
  <c r="Y14" i="532"/>
  <c r="U14" i="532"/>
  <c r="X14" i="532"/>
  <c r="AA14" i="532"/>
  <c r="W14" i="532"/>
  <c r="Z14" i="532"/>
  <c r="V14" i="532"/>
  <c r="AA28" i="532"/>
  <c r="W28" i="532"/>
  <c r="Y28" i="532"/>
  <c r="U28" i="532"/>
  <c r="Z28" i="532"/>
  <c r="V28" i="532"/>
  <c r="X28" i="532"/>
  <c r="AA12" i="532"/>
  <c r="W12" i="532"/>
  <c r="Z12" i="532"/>
  <c r="V12" i="532"/>
  <c r="Y12" i="532"/>
  <c r="U12" i="532"/>
  <c r="X12" i="532"/>
  <c r="X43" i="532"/>
  <c r="AA43" i="532"/>
  <c r="W43" i="532"/>
  <c r="Z43" i="532"/>
  <c r="V43" i="532"/>
  <c r="Y43" i="532"/>
  <c r="U43" i="532"/>
  <c r="Z33" i="532"/>
  <c r="V33" i="532"/>
  <c r="Y33" i="532"/>
  <c r="U33" i="532"/>
  <c r="X33" i="532"/>
  <c r="AA33" i="532"/>
  <c r="W33" i="532"/>
  <c r="T13" i="532"/>
  <c r="P13" i="532"/>
  <c r="AA30" i="532"/>
  <c r="W30" i="532"/>
  <c r="Y30" i="532"/>
  <c r="U30" i="532"/>
  <c r="X30" i="532"/>
  <c r="Z30" i="532"/>
  <c r="V30" i="532"/>
  <c r="AA18" i="532"/>
  <c r="W18" i="532"/>
  <c r="X18" i="532"/>
  <c r="Z18" i="532"/>
  <c r="V18" i="532"/>
  <c r="Y18" i="532"/>
  <c r="U18" i="532"/>
  <c r="AA34" i="532"/>
  <c r="W34" i="532"/>
  <c r="Z34" i="532"/>
  <c r="V34" i="532"/>
  <c r="Y34" i="532"/>
  <c r="U34" i="532"/>
  <c r="X34" i="532"/>
  <c r="Y44" i="532"/>
  <c r="Z44" i="532"/>
  <c r="U44" i="532"/>
  <c r="X44" i="532"/>
  <c r="W44" i="532"/>
  <c r="AA44" i="532"/>
  <c r="V44" i="532"/>
  <c r="Z24" i="532"/>
  <c r="V24" i="532"/>
  <c r="X24" i="532"/>
  <c r="Y24" i="532"/>
  <c r="W24" i="532"/>
  <c r="U24" i="532"/>
  <c r="AA24" i="532"/>
  <c r="Z27" i="532"/>
  <c r="V27" i="532"/>
  <c r="X27" i="532"/>
  <c r="U27" i="532"/>
  <c r="AA27" i="532"/>
  <c r="W27" i="532"/>
  <c r="Y27" i="532"/>
  <c r="T22" i="532"/>
  <c r="W19" i="531"/>
  <c r="AA19" i="531"/>
  <c r="X19" i="531"/>
  <c r="Y19" i="531"/>
  <c r="V19" i="531"/>
  <c r="Z19" i="531"/>
  <c r="L51" i="531"/>
  <c r="L52" i="531"/>
  <c r="X23" i="531"/>
  <c r="U23" i="531"/>
  <c r="Y23" i="531"/>
  <c r="O23" i="531"/>
  <c r="V23" i="531"/>
  <c r="Z23" i="531"/>
  <c r="W23" i="531"/>
  <c r="AA23" i="531"/>
  <c r="W26" i="531"/>
  <c r="AA26" i="531"/>
  <c r="X26" i="531"/>
  <c r="U26" i="531"/>
  <c r="Y26" i="531"/>
  <c r="V26" i="531"/>
  <c r="Z26" i="531"/>
  <c r="O26" i="531"/>
  <c r="O21" i="531"/>
  <c r="U21" i="531"/>
  <c r="Y21" i="531"/>
  <c r="V21" i="531"/>
  <c r="Z21" i="531"/>
  <c r="W21" i="531"/>
  <c r="AA21" i="531"/>
  <c r="X21" i="531"/>
  <c r="Y22" i="531"/>
  <c r="U22" i="531"/>
  <c r="Z22" i="531"/>
  <c r="W22" i="531"/>
  <c r="AA22" i="531"/>
  <c r="X22" i="531"/>
  <c r="O22" i="531"/>
  <c r="X12" i="531"/>
  <c r="U12" i="531"/>
  <c r="Y12" i="531"/>
  <c r="V12" i="531"/>
  <c r="Z12" i="531"/>
  <c r="W12" i="531"/>
  <c r="AA12" i="531"/>
  <c r="X13" i="531"/>
  <c r="Y13" i="531"/>
  <c r="U13" i="531"/>
  <c r="Z13" i="531"/>
  <c r="W13" i="531"/>
  <c r="AA13" i="531"/>
  <c r="W14" i="531"/>
  <c r="AA14" i="531"/>
  <c r="X14" i="531"/>
  <c r="U14" i="531"/>
  <c r="Y14" i="531"/>
  <c r="V14" i="531"/>
  <c r="Z14" i="531"/>
  <c r="V20" i="531"/>
  <c r="Z20" i="531"/>
  <c r="W20" i="531"/>
  <c r="AA20" i="531"/>
  <c r="O20" i="531"/>
  <c r="X20" i="531"/>
  <c r="U20" i="531"/>
  <c r="Y20" i="531"/>
  <c r="U16" i="531"/>
  <c r="Y16" i="531"/>
  <c r="V16" i="531"/>
  <c r="Z16" i="531"/>
  <c r="W16" i="531"/>
  <c r="AA16" i="531"/>
  <c r="X16" i="531"/>
  <c r="O16" i="531"/>
  <c r="V22" i="531"/>
  <c r="O17" i="531"/>
  <c r="X17" i="531"/>
  <c r="U17" i="531"/>
  <c r="Y17" i="531"/>
  <c r="V17" i="531"/>
  <c r="Z17" i="531"/>
  <c r="W17" i="531"/>
  <c r="AA17" i="531"/>
  <c r="P14" i="531"/>
  <c r="T14" i="531"/>
  <c r="P33" i="531"/>
  <c r="T33" i="531"/>
  <c r="U19" i="531"/>
  <c r="O15" i="531"/>
  <c r="V15" i="531"/>
  <c r="Z15" i="531"/>
  <c r="W15" i="531"/>
  <c r="AA15" i="531"/>
  <c r="X15" i="531"/>
  <c r="U15" i="531"/>
  <c r="Y15" i="531"/>
  <c r="X25" i="531"/>
  <c r="U25" i="531"/>
  <c r="Y25" i="531"/>
  <c r="V25" i="531"/>
  <c r="Z25" i="531"/>
  <c r="O25" i="531"/>
  <c r="W25" i="531"/>
  <c r="AA25" i="531"/>
  <c r="O13" i="531"/>
  <c r="P24" i="531"/>
  <c r="T24" i="531"/>
  <c r="N36" i="531"/>
  <c r="L42" i="531"/>
  <c r="L43" i="531"/>
  <c r="L44" i="531"/>
  <c r="L45" i="531"/>
  <c r="L33" i="531"/>
  <c r="L36" i="531"/>
  <c r="L53" i="531"/>
  <c r="L54" i="531"/>
  <c r="L55" i="531"/>
  <c r="L56" i="531"/>
  <c r="L57" i="531"/>
  <c r="Z36" i="531"/>
  <c r="V36" i="531"/>
  <c r="Y36" i="531"/>
  <c r="U36" i="531"/>
  <c r="X36" i="531"/>
  <c r="AA36" i="531"/>
  <c r="W36" i="531"/>
  <c r="O12" i="531"/>
  <c r="T12" i="531"/>
  <c r="Z44" i="531"/>
  <c r="V44" i="531"/>
  <c r="Y44" i="531"/>
  <c r="U44" i="531"/>
  <c r="X44" i="531"/>
  <c r="AA44" i="531"/>
  <c r="W44" i="531"/>
  <c r="T29" i="531"/>
  <c r="T38" i="531"/>
  <c r="X34" i="531"/>
  <c r="Y34" i="531"/>
  <c r="Z34" i="531"/>
  <c r="W34" i="531"/>
  <c r="AA34" i="531"/>
  <c r="V34" i="531"/>
  <c r="U34" i="531"/>
  <c r="Z40" i="531"/>
  <c r="V40" i="531"/>
  <c r="Y40" i="531"/>
  <c r="U40" i="531"/>
  <c r="X40" i="531"/>
  <c r="W40" i="531"/>
  <c r="AA40" i="531"/>
  <c r="N58" i="531"/>
  <c r="Z42" i="531"/>
  <c r="V42" i="531"/>
  <c r="Y42" i="531"/>
  <c r="U42" i="531"/>
  <c r="X42" i="531"/>
  <c r="AA42" i="531"/>
  <c r="W42" i="531"/>
  <c r="AA32" i="531"/>
  <c r="W32" i="531"/>
  <c r="V32" i="531"/>
  <c r="X32" i="531"/>
  <c r="Z32" i="531"/>
  <c r="U32" i="531"/>
  <c r="Y32" i="531"/>
  <c r="AA37" i="531"/>
  <c r="W37" i="531"/>
  <c r="Z37" i="531"/>
  <c r="V37" i="531"/>
  <c r="Y37" i="531"/>
  <c r="U37" i="531"/>
  <c r="X37" i="531"/>
  <c r="Z11" i="531"/>
  <c r="V11" i="531"/>
  <c r="Y11" i="531"/>
  <c r="U11" i="531"/>
  <c r="X11" i="531"/>
  <c r="W11" i="531"/>
  <c r="AA11" i="531"/>
  <c r="Z33" i="531"/>
  <c r="V33" i="531"/>
  <c r="Y33" i="531"/>
  <c r="U33" i="531"/>
  <c r="X33" i="531"/>
  <c r="AA33" i="531"/>
  <c r="W33" i="531"/>
  <c r="Y30" i="531"/>
  <c r="U30" i="531"/>
  <c r="W30" i="531"/>
  <c r="AA30" i="531"/>
  <c r="V30" i="531"/>
  <c r="Z30" i="531"/>
  <c r="X30" i="531"/>
  <c r="Z31" i="531"/>
  <c r="V31" i="531"/>
  <c r="W31" i="531"/>
  <c r="AA31" i="531"/>
  <c r="U31" i="531"/>
  <c r="Y31" i="531"/>
  <c r="X31" i="531"/>
  <c r="AA45" i="531"/>
  <c r="W45" i="531"/>
  <c r="Z45" i="531"/>
  <c r="V45" i="531"/>
  <c r="Y45" i="531"/>
  <c r="U45" i="531"/>
  <c r="X45" i="531"/>
  <c r="Y35" i="531"/>
  <c r="U35" i="531"/>
  <c r="AA35" i="531"/>
  <c r="W35" i="531"/>
  <c r="V35" i="531"/>
  <c r="Z35" i="531"/>
  <c r="X35" i="531"/>
  <c r="T39" i="531"/>
  <c r="X43" i="531"/>
  <c r="AA43" i="531"/>
  <c r="W43" i="531"/>
  <c r="Z43" i="531"/>
  <c r="V43" i="531"/>
  <c r="Y43" i="531"/>
  <c r="U43" i="531"/>
  <c r="T6" i="529"/>
  <c r="P6" i="529"/>
  <c r="N6" i="529"/>
  <c r="L7" i="529"/>
  <c r="P24" i="529"/>
  <c r="P18" i="529"/>
  <c r="N18" i="529"/>
  <c r="W4" i="412"/>
  <c r="AA4" i="412"/>
  <c r="Z4" i="412"/>
  <c r="V4" i="412"/>
  <c r="V5" i="412"/>
  <c r="Y4" i="412"/>
  <c r="U4" i="412"/>
  <c r="U32" i="412"/>
  <c r="B5" i="527"/>
  <c r="C5" i="527"/>
  <c r="D5" i="527"/>
  <c r="E5" i="527"/>
  <c r="F5" i="527"/>
  <c r="G5" i="527"/>
  <c r="H5" i="527"/>
  <c r="I5" i="527"/>
  <c r="J5" i="527"/>
  <c r="K5" i="527"/>
  <c r="L5" i="527"/>
  <c r="M5" i="527"/>
  <c r="N5" i="527"/>
  <c r="O5" i="527"/>
  <c r="P5" i="527"/>
  <c r="Q5" i="527"/>
  <c r="A9" i="527"/>
  <c r="B9" i="527"/>
  <c r="C9" i="527"/>
  <c r="D9" i="527"/>
  <c r="E9" i="527"/>
  <c r="F9" i="527"/>
  <c r="G9" i="527"/>
  <c r="H9" i="527"/>
  <c r="I9" i="527"/>
  <c r="J9" i="527"/>
  <c r="K9" i="527"/>
  <c r="L9" i="527"/>
  <c r="M9" i="527"/>
  <c r="N9" i="527"/>
  <c r="O9" i="527"/>
  <c r="P9" i="527"/>
  <c r="Q9" i="527"/>
  <c r="R9" i="527"/>
  <c r="Y62" i="536"/>
  <c r="AA62" i="536"/>
  <c r="V62" i="536"/>
  <c r="X62" i="536"/>
  <c r="W62" i="536"/>
  <c r="U62" i="536"/>
  <c r="T24" i="536"/>
  <c r="T36" i="536"/>
  <c r="T35" i="536"/>
  <c r="P44" i="536"/>
  <c r="N44" i="536"/>
  <c r="T44" i="536"/>
  <c r="P17" i="536"/>
  <c r="N17" i="536"/>
  <c r="T17" i="536"/>
  <c r="Z62" i="536"/>
  <c r="P14" i="536"/>
  <c r="T14" i="536"/>
  <c r="P40" i="536"/>
  <c r="N40" i="536"/>
  <c r="T40" i="536"/>
  <c r="P15" i="536"/>
  <c r="N15" i="536"/>
  <c r="T15" i="536"/>
  <c r="T29" i="536"/>
  <c r="T22" i="536"/>
  <c r="T26" i="536"/>
  <c r="L7" i="536"/>
  <c r="L8" i="536"/>
  <c r="T43" i="536"/>
  <c r="P43" i="536"/>
  <c r="N43" i="536"/>
  <c r="T45" i="536"/>
  <c r="T38" i="536"/>
  <c r="T8" i="536"/>
  <c r="P8" i="536"/>
  <c r="N8" i="536"/>
  <c r="T34" i="536"/>
  <c r="T37" i="536"/>
  <c r="P30" i="536"/>
  <c r="T30" i="536"/>
  <c r="T28" i="536"/>
  <c r="P9" i="536"/>
  <c r="N9" i="536"/>
  <c r="T9" i="536"/>
  <c r="L14" i="536"/>
  <c r="L15" i="536"/>
  <c r="P16" i="536"/>
  <c r="N16" i="536"/>
  <c r="T16" i="536"/>
  <c r="T41" i="536"/>
  <c r="P41" i="536"/>
  <c r="N41" i="536"/>
  <c r="T31" i="536"/>
  <c r="T18" i="536"/>
  <c r="P11" i="536"/>
  <c r="N11" i="536"/>
  <c r="T11" i="536"/>
  <c r="T20" i="536"/>
  <c r="P42" i="536"/>
  <c r="N42" i="536"/>
  <c r="T42" i="536"/>
  <c r="T32" i="536"/>
  <c r="T25" i="536"/>
  <c r="P7" i="536"/>
  <c r="T7" i="536"/>
  <c r="T23" i="536"/>
  <c r="T15" i="534"/>
  <c r="P8" i="534"/>
  <c r="T8" i="534"/>
  <c r="X40" i="534"/>
  <c r="Z40" i="534"/>
  <c r="P24" i="534"/>
  <c r="N24" i="534"/>
  <c r="T24" i="534"/>
  <c r="T19" i="534"/>
  <c r="T14" i="534"/>
  <c r="T16" i="534"/>
  <c r="P9" i="534"/>
  <c r="T9" i="534"/>
  <c r="T17" i="534"/>
  <c r="W40" i="534"/>
  <c r="U40" i="534"/>
  <c r="T5" i="534"/>
  <c r="P7" i="534"/>
  <c r="T7" i="534"/>
  <c r="AA40" i="534"/>
  <c r="Y40" i="534"/>
  <c r="T6" i="534"/>
  <c r="P6" i="534"/>
  <c r="V40" i="534"/>
  <c r="P20" i="534"/>
  <c r="N20" i="534"/>
  <c r="T20" i="534"/>
  <c r="T22" i="534"/>
  <c r="L18" i="533"/>
  <c r="L19" i="533"/>
  <c r="L20" i="533"/>
  <c r="L21" i="533"/>
  <c r="L22" i="533"/>
  <c r="L23" i="533"/>
  <c r="L24" i="533"/>
  <c r="N24" i="533"/>
  <c r="W48" i="533"/>
  <c r="Z48" i="533"/>
  <c r="U48" i="533"/>
  <c r="AA48" i="533"/>
  <c r="X48" i="533"/>
  <c r="T39" i="533"/>
  <c r="T22" i="533"/>
  <c r="P34" i="533"/>
  <c r="N34" i="533"/>
  <c r="T34" i="533"/>
  <c r="T13" i="533"/>
  <c r="P14" i="533"/>
  <c r="N14" i="533"/>
  <c r="L15" i="533"/>
  <c r="T14" i="533"/>
  <c r="T41" i="533"/>
  <c r="P33" i="533"/>
  <c r="N33" i="533"/>
  <c r="T33" i="533"/>
  <c r="T19" i="533"/>
  <c r="P36" i="533"/>
  <c r="N36" i="533"/>
  <c r="T36" i="533"/>
  <c r="P30" i="533"/>
  <c r="N30" i="533"/>
  <c r="L31" i="533"/>
  <c r="L32" i="533"/>
  <c r="T30" i="533"/>
  <c r="T15" i="533"/>
  <c r="P15" i="533"/>
  <c r="N15" i="533"/>
  <c r="N16" i="533"/>
  <c r="T23" i="533"/>
  <c r="T32" i="533"/>
  <c r="P32" i="533"/>
  <c r="N32" i="533"/>
  <c r="T12" i="533"/>
  <c r="P26" i="533"/>
  <c r="T26" i="533"/>
  <c r="T18" i="533"/>
  <c r="L36" i="532"/>
  <c r="L37" i="532"/>
  <c r="L38" i="532"/>
  <c r="P38" i="532"/>
  <c r="N38" i="532"/>
  <c r="T38" i="532"/>
  <c r="L12" i="532"/>
  <c r="Y52" i="532"/>
  <c r="V52" i="532"/>
  <c r="U52" i="532"/>
  <c r="X52" i="532"/>
  <c r="T44" i="532"/>
  <c r="T12" i="532"/>
  <c r="T37" i="532"/>
  <c r="P45" i="532"/>
  <c r="N45" i="532"/>
  <c r="N46" i="532"/>
  <c r="T45" i="532"/>
  <c r="P15" i="532"/>
  <c r="T15" i="532"/>
  <c r="T35" i="532"/>
  <c r="T27" i="532"/>
  <c r="T24" i="532"/>
  <c r="T34" i="532"/>
  <c r="Z52" i="532"/>
  <c r="T28" i="532"/>
  <c r="T14" i="532"/>
  <c r="T23" i="532"/>
  <c r="T25" i="532"/>
  <c r="T18" i="532"/>
  <c r="T33" i="532"/>
  <c r="T43" i="532"/>
  <c r="W52" i="532"/>
  <c r="P17" i="532"/>
  <c r="N17" i="532"/>
  <c r="N20" i="532"/>
  <c r="T17" i="532"/>
  <c r="T26" i="532"/>
  <c r="T32" i="532"/>
  <c r="T31" i="532"/>
  <c r="AA52" i="532"/>
  <c r="T36" i="532"/>
  <c r="L13" i="532"/>
  <c r="P17" i="531"/>
  <c r="N17" i="531"/>
  <c r="T17" i="531"/>
  <c r="P21" i="531"/>
  <c r="T21" i="531"/>
  <c r="P25" i="531"/>
  <c r="T25" i="531"/>
  <c r="P20" i="531"/>
  <c r="N20" i="531"/>
  <c r="T20" i="531"/>
  <c r="T26" i="531"/>
  <c r="P26" i="531"/>
  <c r="T23" i="531"/>
  <c r="P23" i="531"/>
  <c r="P13" i="531"/>
  <c r="T13" i="531"/>
  <c r="P15" i="531"/>
  <c r="T15" i="531"/>
  <c r="P16" i="531"/>
  <c r="N16" i="531"/>
  <c r="T16" i="531"/>
  <c r="P22" i="531"/>
  <c r="T22" i="531"/>
  <c r="L58" i="531"/>
  <c r="T40" i="531"/>
  <c r="T45" i="531"/>
  <c r="W64" i="531"/>
  <c r="Y64" i="531"/>
  <c r="T37" i="531"/>
  <c r="U64" i="531"/>
  <c r="P12" i="531"/>
  <c r="T35" i="531"/>
  <c r="T31" i="531"/>
  <c r="X64" i="531"/>
  <c r="V64" i="531"/>
  <c r="T44" i="531"/>
  <c r="T36" i="531"/>
  <c r="AA64" i="531"/>
  <c r="T32" i="531"/>
  <c r="T30" i="531"/>
  <c r="T11" i="531"/>
  <c r="Z64" i="531"/>
  <c r="P37" i="529"/>
  <c r="N37" i="529"/>
  <c r="P33" i="529"/>
  <c r="N33" i="529"/>
  <c r="P23" i="529"/>
  <c r="N23" i="529"/>
  <c r="P43" i="529"/>
  <c r="P48" i="529"/>
  <c r="N48" i="529"/>
  <c r="P15" i="529"/>
  <c r="N15" i="529"/>
  <c r="P42" i="529"/>
  <c r="P63" i="529"/>
  <c r="N63" i="529"/>
  <c r="P30" i="529"/>
  <c r="N30" i="529"/>
  <c r="P49" i="529"/>
  <c r="P19" i="529"/>
  <c r="P9" i="529"/>
  <c r="P47" i="529"/>
  <c r="N47" i="529"/>
  <c r="P59" i="529"/>
  <c r="N59" i="529"/>
  <c r="P17" i="529"/>
  <c r="N17" i="529"/>
  <c r="P40" i="529"/>
  <c r="N40" i="529"/>
  <c r="W66" i="529"/>
  <c r="W67" i="529"/>
  <c r="W68" i="529"/>
  <c r="W69" i="529"/>
  <c r="W70" i="529"/>
  <c r="W71" i="529"/>
  <c r="W72" i="529"/>
  <c r="W73" i="529"/>
  <c r="W74" i="529"/>
  <c r="W75" i="529"/>
  <c r="W76" i="529"/>
  <c r="W77" i="529"/>
  <c r="W78" i="529"/>
  <c r="W79" i="529"/>
  <c r="W80" i="529"/>
  <c r="W81" i="529"/>
  <c r="W82" i="529"/>
  <c r="W83" i="529"/>
  <c r="W84" i="529"/>
  <c r="W85" i="529"/>
  <c r="W86" i="529"/>
  <c r="W87" i="529"/>
  <c r="W88" i="529"/>
  <c r="W89" i="529"/>
  <c r="W90" i="529"/>
  <c r="W91" i="529"/>
  <c r="W92" i="529"/>
  <c r="W93" i="529"/>
  <c r="W94" i="529"/>
  <c r="W95" i="529"/>
  <c r="W96" i="529"/>
  <c r="W97" i="529"/>
  <c r="W98" i="529"/>
  <c r="W99" i="529"/>
  <c r="W100" i="529"/>
  <c r="W101" i="529"/>
  <c r="W102" i="529"/>
  <c r="W103" i="529"/>
  <c r="W104" i="529"/>
  <c r="W105" i="529"/>
  <c r="W106" i="529"/>
  <c r="W107" i="529"/>
  <c r="W108" i="529"/>
  <c r="W109" i="529"/>
  <c r="W110" i="529"/>
  <c r="W111" i="529"/>
  <c r="W112" i="529"/>
  <c r="W113" i="529"/>
  <c r="W114" i="529"/>
  <c r="W115" i="529"/>
  <c r="W116" i="529"/>
  <c r="P13" i="529"/>
  <c r="N13" i="529"/>
  <c r="P7" i="529"/>
  <c r="N7" i="529"/>
  <c r="P61" i="529"/>
  <c r="N61" i="529"/>
  <c r="P53" i="529"/>
  <c r="P28" i="529"/>
  <c r="N28" i="529"/>
  <c r="P36" i="529"/>
  <c r="P16" i="529"/>
  <c r="N16" i="529"/>
  <c r="P26" i="529"/>
  <c r="P11" i="529"/>
  <c r="N11" i="529"/>
  <c r="P20" i="529"/>
  <c r="N20" i="529"/>
  <c r="Y66" i="529"/>
  <c r="Y67" i="529"/>
  <c r="Y68" i="529"/>
  <c r="Y69" i="529"/>
  <c r="Y70" i="529"/>
  <c r="Y71" i="529"/>
  <c r="Y72" i="529"/>
  <c r="Y73" i="529"/>
  <c r="Y74" i="529"/>
  <c r="Y75" i="529"/>
  <c r="Y76" i="529"/>
  <c r="Y77" i="529"/>
  <c r="Y78" i="529"/>
  <c r="Y79" i="529"/>
  <c r="Y80" i="529"/>
  <c r="Y81" i="529"/>
  <c r="Y82" i="529"/>
  <c r="Y83" i="529"/>
  <c r="Y84" i="529"/>
  <c r="Y85" i="529"/>
  <c r="Y86" i="529"/>
  <c r="Y87" i="529"/>
  <c r="Y88" i="529"/>
  <c r="Y89" i="529"/>
  <c r="Y90" i="529"/>
  <c r="Y91" i="529"/>
  <c r="Y92" i="529"/>
  <c r="Y93" i="529"/>
  <c r="Y94" i="529"/>
  <c r="Y95" i="529"/>
  <c r="Y96" i="529"/>
  <c r="Y97" i="529"/>
  <c r="Y98" i="529"/>
  <c r="Y99" i="529"/>
  <c r="Y100" i="529"/>
  <c r="Y101" i="529"/>
  <c r="Y102" i="529"/>
  <c r="Y103" i="529"/>
  <c r="Y104" i="529"/>
  <c r="Y105" i="529"/>
  <c r="Y106" i="529"/>
  <c r="Y107" i="529"/>
  <c r="Y108" i="529"/>
  <c r="Y109" i="529"/>
  <c r="Y110" i="529"/>
  <c r="Y111" i="529"/>
  <c r="Y112" i="529"/>
  <c r="Y113" i="529"/>
  <c r="Y114" i="529"/>
  <c r="Y115" i="529"/>
  <c r="Y116" i="529"/>
  <c r="AA66" i="529"/>
  <c r="AA67" i="529"/>
  <c r="AA68" i="529"/>
  <c r="AA69" i="529"/>
  <c r="AA70" i="529"/>
  <c r="AA71" i="529"/>
  <c r="AA72" i="529"/>
  <c r="AA73" i="529"/>
  <c r="AA74" i="529"/>
  <c r="AA75" i="529"/>
  <c r="AA76" i="529"/>
  <c r="AA77" i="529"/>
  <c r="AA78" i="529"/>
  <c r="AA79" i="529"/>
  <c r="AA80" i="529"/>
  <c r="AA81" i="529"/>
  <c r="AA82" i="529"/>
  <c r="AA83" i="529"/>
  <c r="AA84" i="529"/>
  <c r="AA85" i="529"/>
  <c r="AA86" i="529"/>
  <c r="AA87" i="529"/>
  <c r="AA88" i="529"/>
  <c r="AA89" i="529"/>
  <c r="AA90" i="529"/>
  <c r="AA91" i="529"/>
  <c r="AA92" i="529"/>
  <c r="AA93" i="529"/>
  <c r="AA94" i="529"/>
  <c r="AA95" i="529"/>
  <c r="AA96" i="529"/>
  <c r="AA97" i="529"/>
  <c r="AA98" i="529"/>
  <c r="AA99" i="529"/>
  <c r="AA100" i="529"/>
  <c r="AA101" i="529"/>
  <c r="AA102" i="529"/>
  <c r="AA103" i="529"/>
  <c r="AA104" i="529"/>
  <c r="AA105" i="529"/>
  <c r="AA106" i="529"/>
  <c r="AA107" i="529"/>
  <c r="AA108" i="529"/>
  <c r="AA109" i="529"/>
  <c r="AA110" i="529"/>
  <c r="AA111" i="529"/>
  <c r="AA112" i="529"/>
  <c r="AA113" i="529"/>
  <c r="AA114" i="529"/>
  <c r="AA115" i="529"/>
  <c r="AA116" i="529"/>
  <c r="P39" i="529"/>
  <c r="N39" i="529"/>
  <c r="P22" i="529"/>
  <c r="N22" i="529"/>
  <c r="P34" i="529"/>
  <c r="N34" i="529"/>
  <c r="P50" i="529"/>
  <c r="P52" i="529"/>
  <c r="P32" i="529"/>
  <c r="N32" i="529"/>
  <c r="L8" i="529"/>
  <c r="L9" i="529"/>
  <c r="L10" i="529"/>
  <c r="L11" i="529"/>
  <c r="L12" i="529"/>
  <c r="P45" i="529"/>
  <c r="N45" i="529"/>
  <c r="P8" i="529"/>
  <c r="P35" i="529"/>
  <c r="N35" i="529"/>
  <c r="P29" i="529"/>
  <c r="N29" i="529"/>
  <c r="P55" i="529"/>
  <c r="P62" i="529"/>
  <c r="N62" i="529"/>
  <c r="P60" i="529"/>
  <c r="V66" i="529"/>
  <c r="V67" i="529"/>
  <c r="V68" i="529"/>
  <c r="V69" i="529"/>
  <c r="V70" i="529"/>
  <c r="V71" i="529"/>
  <c r="V72" i="529"/>
  <c r="V73" i="529"/>
  <c r="V74" i="529"/>
  <c r="V75" i="529"/>
  <c r="V76" i="529"/>
  <c r="V77" i="529"/>
  <c r="V78" i="529"/>
  <c r="V79" i="529"/>
  <c r="V80" i="529"/>
  <c r="V81" i="529"/>
  <c r="V82" i="529"/>
  <c r="V83" i="529"/>
  <c r="V84" i="529"/>
  <c r="V85" i="529"/>
  <c r="V86" i="529"/>
  <c r="V87" i="529"/>
  <c r="V88" i="529"/>
  <c r="V89" i="529"/>
  <c r="V90" i="529"/>
  <c r="V91" i="529"/>
  <c r="V92" i="529"/>
  <c r="V93" i="529"/>
  <c r="V94" i="529"/>
  <c r="V95" i="529"/>
  <c r="V96" i="529"/>
  <c r="V97" i="529"/>
  <c r="V98" i="529"/>
  <c r="V99" i="529"/>
  <c r="V100" i="529"/>
  <c r="V101" i="529"/>
  <c r="V102" i="529"/>
  <c r="V103" i="529"/>
  <c r="V104" i="529"/>
  <c r="V105" i="529"/>
  <c r="V106" i="529"/>
  <c r="V107" i="529"/>
  <c r="V108" i="529"/>
  <c r="V109" i="529"/>
  <c r="V110" i="529"/>
  <c r="V111" i="529"/>
  <c r="V112" i="529"/>
  <c r="V113" i="529"/>
  <c r="V114" i="529"/>
  <c r="V115" i="529"/>
  <c r="V116" i="529"/>
  <c r="P12" i="529"/>
  <c r="N12" i="529"/>
  <c r="P58" i="529"/>
  <c r="N58" i="529"/>
  <c r="P54" i="529"/>
  <c r="N54" i="529"/>
  <c r="P27" i="529"/>
  <c r="N27" i="529"/>
  <c r="P10" i="529"/>
  <c r="P41" i="529"/>
  <c r="P51" i="529"/>
  <c r="N51" i="529"/>
  <c r="P44" i="529"/>
  <c r="Z66" i="529"/>
  <c r="Z67" i="529"/>
  <c r="Z68" i="529"/>
  <c r="Z69" i="529"/>
  <c r="Z70" i="529"/>
  <c r="Z71" i="529"/>
  <c r="Z72" i="529"/>
  <c r="Z73" i="529"/>
  <c r="Z74" i="529"/>
  <c r="Z75" i="529"/>
  <c r="Z76" i="529"/>
  <c r="Z77" i="529"/>
  <c r="Z78" i="529"/>
  <c r="Z79" i="529"/>
  <c r="Z80" i="529"/>
  <c r="Z81" i="529"/>
  <c r="Z82" i="529"/>
  <c r="Z83" i="529"/>
  <c r="Z84" i="529"/>
  <c r="Z85" i="529"/>
  <c r="Z86" i="529"/>
  <c r="Z87" i="529"/>
  <c r="Z88" i="529"/>
  <c r="Z89" i="529"/>
  <c r="Z90" i="529"/>
  <c r="Z91" i="529"/>
  <c r="Z92" i="529"/>
  <c r="Z93" i="529"/>
  <c r="Z94" i="529"/>
  <c r="Z95" i="529"/>
  <c r="Z96" i="529"/>
  <c r="Z97" i="529"/>
  <c r="Z98" i="529"/>
  <c r="Z99" i="529"/>
  <c r="Z100" i="529"/>
  <c r="Z101" i="529"/>
  <c r="Z102" i="529"/>
  <c r="Z103" i="529"/>
  <c r="Z104" i="529"/>
  <c r="Z105" i="529"/>
  <c r="Z106" i="529"/>
  <c r="Z107" i="529"/>
  <c r="Z108" i="529"/>
  <c r="Z109" i="529"/>
  <c r="Z110" i="529"/>
  <c r="Z111" i="529"/>
  <c r="Z112" i="529"/>
  <c r="Z113" i="529"/>
  <c r="Z114" i="529"/>
  <c r="Z115" i="529"/>
  <c r="Z116" i="529"/>
  <c r="X66" i="529"/>
  <c r="X67" i="529"/>
  <c r="X68" i="529"/>
  <c r="X69" i="529"/>
  <c r="X70" i="529"/>
  <c r="X71" i="529"/>
  <c r="X72" i="529"/>
  <c r="X73" i="529"/>
  <c r="X74" i="529"/>
  <c r="X75" i="529"/>
  <c r="X76" i="529"/>
  <c r="X77" i="529"/>
  <c r="X78" i="529"/>
  <c r="X79" i="529"/>
  <c r="X80" i="529"/>
  <c r="X81" i="529"/>
  <c r="X82" i="529"/>
  <c r="X83" i="529"/>
  <c r="X84" i="529"/>
  <c r="X85" i="529"/>
  <c r="X86" i="529"/>
  <c r="X87" i="529"/>
  <c r="X88" i="529"/>
  <c r="X89" i="529"/>
  <c r="X90" i="529"/>
  <c r="X91" i="529"/>
  <c r="X92" i="529"/>
  <c r="X93" i="529"/>
  <c r="X94" i="529"/>
  <c r="X95" i="529"/>
  <c r="X96" i="529"/>
  <c r="X97" i="529"/>
  <c r="X98" i="529"/>
  <c r="X99" i="529"/>
  <c r="X100" i="529"/>
  <c r="X101" i="529"/>
  <c r="X102" i="529"/>
  <c r="X103" i="529"/>
  <c r="X104" i="529"/>
  <c r="X105" i="529"/>
  <c r="X106" i="529"/>
  <c r="X107" i="529"/>
  <c r="X108" i="529"/>
  <c r="X109" i="529"/>
  <c r="X110" i="529"/>
  <c r="X111" i="529"/>
  <c r="X112" i="529"/>
  <c r="X113" i="529"/>
  <c r="X114" i="529"/>
  <c r="X115" i="529"/>
  <c r="X116" i="529"/>
  <c r="P25" i="529"/>
  <c r="L16" i="536"/>
  <c r="L17" i="536"/>
  <c r="L18" i="536"/>
  <c r="AB62" i="536"/>
  <c r="N12" i="536"/>
  <c r="N19" i="536"/>
  <c r="L19" i="536"/>
  <c r="N27" i="536"/>
  <c r="L27" i="536"/>
  <c r="L33" i="536"/>
  <c r="N33" i="536"/>
  <c r="L9" i="536"/>
  <c r="L10" i="536"/>
  <c r="L11" i="536"/>
  <c r="L12" i="536"/>
  <c r="N39" i="536"/>
  <c r="L39" i="536"/>
  <c r="N46" i="536"/>
  <c r="L41" i="536"/>
  <c r="L42" i="536"/>
  <c r="L43" i="536"/>
  <c r="L44" i="536"/>
  <c r="L25" i="534"/>
  <c r="N11" i="534"/>
  <c r="L7" i="534"/>
  <c r="N25" i="534"/>
  <c r="L37" i="533"/>
  <c r="L38" i="533"/>
  <c r="L33" i="533"/>
  <c r="L34" i="533"/>
  <c r="L16" i="533"/>
  <c r="L46" i="532"/>
  <c r="L15" i="532"/>
  <c r="L16" i="532"/>
  <c r="L17" i="532"/>
  <c r="L18" i="532"/>
  <c r="N27" i="531"/>
  <c r="L21" i="531"/>
  <c r="L22" i="531"/>
  <c r="L23" i="531"/>
  <c r="L17" i="531"/>
  <c r="N18" i="531"/>
  <c r="L12" i="531"/>
  <c r="L13" i="531"/>
  <c r="N46" i="529"/>
  <c r="L13" i="529"/>
  <c r="L14" i="529"/>
  <c r="N38" i="529"/>
  <c r="L33" i="529"/>
  <c r="L34" i="529"/>
  <c r="L35" i="529"/>
  <c r="L36" i="529"/>
  <c r="L37" i="529"/>
  <c r="L38" i="529"/>
  <c r="N31" i="529"/>
  <c r="L23" i="529"/>
  <c r="L24" i="529"/>
  <c r="L25" i="529"/>
  <c r="L26" i="529"/>
  <c r="L27" i="529"/>
  <c r="L28" i="529"/>
  <c r="L29" i="529"/>
  <c r="L30" i="529"/>
  <c r="L31" i="529"/>
  <c r="N56" i="529"/>
  <c r="L48" i="529"/>
  <c r="L49" i="529"/>
  <c r="L50" i="529"/>
  <c r="L51" i="529"/>
  <c r="L52" i="529"/>
  <c r="L53" i="529"/>
  <c r="L54" i="529"/>
  <c r="L55" i="529"/>
  <c r="L56" i="529"/>
  <c r="N21" i="529"/>
  <c r="L16" i="529"/>
  <c r="L17" i="529"/>
  <c r="L18" i="529"/>
  <c r="L19" i="529"/>
  <c r="L20" i="529"/>
  <c r="L21" i="529"/>
  <c r="N64" i="529"/>
  <c r="L59" i="529"/>
  <c r="L60" i="529"/>
  <c r="L61" i="529"/>
  <c r="L62" i="529"/>
  <c r="L63" i="529"/>
  <c r="L64" i="529"/>
  <c r="Y59" i="412"/>
  <c r="Y60" i="412"/>
  <c r="Y61" i="412"/>
  <c r="Y62" i="412"/>
  <c r="Y63" i="412"/>
  <c r="Y64" i="412"/>
  <c r="Y65" i="412"/>
  <c r="Y66" i="412"/>
  <c r="Y67" i="412"/>
  <c r="Y68" i="412"/>
  <c r="Y69" i="412"/>
  <c r="Y70" i="412"/>
  <c r="Y71" i="412"/>
  <c r="Y72" i="412"/>
  <c r="Y73" i="412"/>
  <c r="Y74" i="412"/>
  <c r="Y75" i="412"/>
  <c r="Y76" i="412"/>
  <c r="Y77" i="412"/>
  <c r="Y78" i="412"/>
  <c r="Y79" i="412"/>
  <c r="Y80" i="412"/>
  <c r="Y81" i="412"/>
  <c r="Y82" i="412"/>
  <c r="Y83" i="412"/>
  <c r="Y84" i="412"/>
  <c r="Y85" i="412"/>
  <c r="Y86" i="412"/>
  <c r="Y87" i="412"/>
  <c r="Y88" i="412"/>
  <c r="Y89" i="412"/>
  <c r="Y90" i="412"/>
  <c r="Y91" i="412"/>
  <c r="Y92" i="412"/>
  <c r="Y93" i="412"/>
  <c r="Y94" i="412"/>
  <c r="Y95" i="412"/>
  <c r="Y96" i="412"/>
  <c r="Y97" i="412"/>
  <c r="Y98" i="412"/>
  <c r="Y99" i="412"/>
  <c r="Y100" i="412"/>
  <c r="Y101" i="412"/>
  <c r="Y102" i="412"/>
  <c r="AA220" i="526"/>
  <c r="AA222" i="526"/>
  <c r="Z220" i="526"/>
  <c r="Z222" i="526"/>
  <c r="Y220" i="526"/>
  <c r="Y222" i="526"/>
  <c r="X220" i="526"/>
  <c r="X222" i="526"/>
  <c r="W220" i="526"/>
  <c r="W222" i="526"/>
  <c r="V220" i="526"/>
  <c r="V222" i="526"/>
  <c r="U220" i="526"/>
  <c r="U222" i="526"/>
  <c r="AA177" i="526"/>
  <c r="Z177" i="526"/>
  <c r="Y177" i="526"/>
  <c r="X177" i="526"/>
  <c r="W177" i="526"/>
  <c r="V177" i="526"/>
  <c r="U177" i="526"/>
  <c r="AD166" i="526"/>
  <c r="AC166" i="526"/>
  <c r="AB166" i="526"/>
  <c r="S81" i="526"/>
  <c r="R81" i="526"/>
  <c r="S80" i="526"/>
  <c r="R80" i="526"/>
  <c r="S79" i="526"/>
  <c r="R79" i="526"/>
  <c r="S78" i="526"/>
  <c r="R78" i="526"/>
  <c r="S77" i="526"/>
  <c r="R77" i="526"/>
  <c r="R82" i="526"/>
  <c r="T76" i="526"/>
  <c r="S76" i="526"/>
  <c r="S75" i="526"/>
  <c r="R75" i="526"/>
  <c r="S74" i="526"/>
  <c r="R74" i="526"/>
  <c r="S73" i="526"/>
  <c r="R73" i="526"/>
  <c r="S72" i="526"/>
  <c r="R72" i="526"/>
  <c r="T71" i="526"/>
  <c r="S71" i="526"/>
  <c r="C71" i="526"/>
  <c r="S70" i="526"/>
  <c r="R70" i="526"/>
  <c r="S69" i="526"/>
  <c r="R69" i="526"/>
  <c r="S68" i="526"/>
  <c r="R68" i="526"/>
  <c r="S67" i="526"/>
  <c r="O67" i="526"/>
  <c r="T67" i="526"/>
  <c r="S66" i="526"/>
  <c r="R66" i="526"/>
  <c r="S65" i="526"/>
  <c r="R65" i="526"/>
  <c r="S64" i="526"/>
  <c r="R64" i="526"/>
  <c r="S63" i="526"/>
  <c r="R63" i="526"/>
  <c r="S62" i="526"/>
  <c r="R62" i="526"/>
  <c r="S61" i="526"/>
  <c r="R61" i="526"/>
  <c r="S60" i="526"/>
  <c r="R60" i="526"/>
  <c r="S59" i="526"/>
  <c r="O59" i="526"/>
  <c r="T59" i="526"/>
  <c r="S58" i="526"/>
  <c r="R58" i="526"/>
  <c r="S57" i="526"/>
  <c r="R57" i="526"/>
  <c r="S56" i="526"/>
  <c r="R56" i="526"/>
  <c r="S55" i="526"/>
  <c r="R55" i="526"/>
  <c r="S54" i="526"/>
  <c r="R54" i="526"/>
  <c r="S53" i="526"/>
  <c r="R53" i="526"/>
  <c r="R59" i="526"/>
  <c r="S52" i="526"/>
  <c r="O52" i="526"/>
  <c r="T52" i="526"/>
  <c r="S51" i="526"/>
  <c r="R51" i="526"/>
  <c r="S50" i="526"/>
  <c r="R50" i="526"/>
  <c r="S49" i="526"/>
  <c r="R49" i="526"/>
  <c r="S48" i="526"/>
  <c r="R48" i="526"/>
  <c r="S47" i="526"/>
  <c r="R47" i="526"/>
  <c r="R52" i="526"/>
  <c r="T46" i="526"/>
  <c r="S46" i="526"/>
  <c r="T45" i="526"/>
  <c r="S45" i="526"/>
  <c r="S44" i="526"/>
  <c r="S43" i="526"/>
  <c r="R43" i="526"/>
  <c r="S42" i="526"/>
  <c r="R42" i="526"/>
  <c r="S41" i="526"/>
  <c r="R41" i="526"/>
  <c r="S40" i="526"/>
  <c r="R40" i="526"/>
  <c r="T39" i="526"/>
  <c r="S39" i="526"/>
  <c r="S38" i="526"/>
  <c r="R38" i="526"/>
  <c r="S37" i="526"/>
  <c r="R37" i="526"/>
  <c r="S36" i="526"/>
  <c r="R36" i="526"/>
  <c r="S35" i="526"/>
  <c r="R35" i="526"/>
  <c r="R39" i="526"/>
  <c r="T34" i="526"/>
  <c r="S34" i="526"/>
  <c r="C34" i="526"/>
  <c r="S33" i="526"/>
  <c r="R33" i="526"/>
  <c r="S32" i="526"/>
  <c r="R32" i="526"/>
  <c r="S31" i="526"/>
  <c r="R31" i="526"/>
  <c r="S30" i="526"/>
  <c r="O30" i="526"/>
  <c r="T30" i="526"/>
  <c r="S29" i="526"/>
  <c r="R29" i="526"/>
  <c r="S28" i="526"/>
  <c r="R28" i="526"/>
  <c r="S27" i="526"/>
  <c r="R27" i="526"/>
  <c r="S26" i="526"/>
  <c r="R26" i="526"/>
  <c r="S25" i="526"/>
  <c r="R25" i="526"/>
  <c r="S24" i="526"/>
  <c r="R24" i="526"/>
  <c r="S23" i="526"/>
  <c r="R23" i="526"/>
  <c r="S22" i="526"/>
  <c r="R22" i="526"/>
  <c r="T21" i="526"/>
  <c r="S21" i="526"/>
  <c r="S20" i="526"/>
  <c r="R20" i="526"/>
  <c r="S19" i="526"/>
  <c r="R19" i="526"/>
  <c r="S18" i="526"/>
  <c r="R18" i="526"/>
  <c r="S17" i="526"/>
  <c r="R17" i="526"/>
  <c r="S16" i="526"/>
  <c r="R16" i="526"/>
  <c r="S15" i="526"/>
  <c r="R15" i="526"/>
  <c r="S14" i="526"/>
  <c r="R14" i="526"/>
  <c r="S13" i="526"/>
  <c r="R13" i="526"/>
  <c r="S12" i="526"/>
  <c r="R12" i="526"/>
  <c r="S11" i="526"/>
  <c r="O11" i="526"/>
  <c r="T11" i="526"/>
  <c r="S10" i="526"/>
  <c r="R10" i="526"/>
  <c r="S9" i="526"/>
  <c r="R9" i="526"/>
  <c r="S8" i="526"/>
  <c r="R8" i="526"/>
  <c r="S7" i="526"/>
  <c r="S6" i="526"/>
  <c r="R6" i="526"/>
  <c r="AA4" i="526"/>
  <c r="Z4" i="526"/>
  <c r="Y4" i="526"/>
  <c r="X4" i="526"/>
  <c r="W4" i="526"/>
  <c r="W5" i="526"/>
  <c r="C84" i="526"/>
  <c r="V4" i="526"/>
  <c r="U4" i="526"/>
  <c r="U39" i="526"/>
  <c r="S56" i="525"/>
  <c r="S55" i="525"/>
  <c r="O55" i="525"/>
  <c r="T55" i="525"/>
  <c r="S50" i="525"/>
  <c r="S49" i="525"/>
  <c r="S40" i="525"/>
  <c r="O40" i="525"/>
  <c r="T40" i="525"/>
  <c r="S39" i="525"/>
  <c r="O39" i="525"/>
  <c r="T39" i="525"/>
  <c r="R38" i="525"/>
  <c r="R37" i="525"/>
  <c r="R36" i="525"/>
  <c r="R35" i="525"/>
  <c r="R34" i="525"/>
  <c r="R33" i="525"/>
  <c r="R32" i="525"/>
  <c r="R31" i="525"/>
  <c r="O30" i="525"/>
  <c r="T30" i="525"/>
  <c r="S30" i="525"/>
  <c r="T29" i="525"/>
  <c r="S29" i="525"/>
  <c r="R28" i="525"/>
  <c r="R27" i="525"/>
  <c r="R25" i="525"/>
  <c r="R24" i="525"/>
  <c r="R23" i="525"/>
  <c r="R22" i="525"/>
  <c r="T21" i="525"/>
  <c r="S21" i="525"/>
  <c r="S20" i="525"/>
  <c r="O20" i="525"/>
  <c r="T20" i="525"/>
  <c r="R19" i="525"/>
  <c r="R18" i="525"/>
  <c r="R16" i="525"/>
  <c r="R15" i="525"/>
  <c r="R14" i="525"/>
  <c r="O5" i="525"/>
  <c r="R31" i="524"/>
  <c r="R30" i="524"/>
  <c r="R29" i="524"/>
  <c r="R28" i="524"/>
  <c r="R27" i="524"/>
  <c r="R26" i="524"/>
  <c r="R25" i="524"/>
  <c r="R24" i="524"/>
  <c r="R21" i="524"/>
  <c r="R20" i="524"/>
  <c r="R19" i="524"/>
  <c r="R18" i="524"/>
  <c r="R17" i="524"/>
  <c r="AA232" i="524"/>
  <c r="AA234" i="524"/>
  <c r="Z232" i="524"/>
  <c r="Z234" i="524"/>
  <c r="Y232" i="524"/>
  <c r="Y234" i="524"/>
  <c r="X232" i="524"/>
  <c r="X234" i="524"/>
  <c r="W232" i="524"/>
  <c r="W234" i="524"/>
  <c r="V232" i="524"/>
  <c r="V234" i="524"/>
  <c r="U232" i="524"/>
  <c r="U234" i="524"/>
  <c r="AA189" i="524"/>
  <c r="Z189" i="524"/>
  <c r="Y189" i="524"/>
  <c r="X189" i="524"/>
  <c r="W189" i="524"/>
  <c r="V189" i="524"/>
  <c r="U189" i="524"/>
  <c r="AD178" i="524"/>
  <c r="AC178" i="524"/>
  <c r="AB178" i="524"/>
  <c r="R82" i="524"/>
  <c r="R81" i="524"/>
  <c r="R80" i="524"/>
  <c r="R79" i="524"/>
  <c r="R78" i="524"/>
  <c r="R77" i="524"/>
  <c r="R76" i="524"/>
  <c r="R89" i="524"/>
  <c r="R56" i="524"/>
  <c r="R55" i="524"/>
  <c r="R54" i="524"/>
  <c r="R53" i="524"/>
  <c r="R52" i="524"/>
  <c r="R51" i="524"/>
  <c r="R50" i="524"/>
  <c r="R49" i="524"/>
  <c r="R48" i="524"/>
  <c r="R47" i="524"/>
  <c r="R46" i="524"/>
  <c r="R57" i="524"/>
  <c r="C16" i="524"/>
  <c r="S6" i="524"/>
  <c r="AB207" i="519"/>
  <c r="AB209" i="519"/>
  <c r="AA207" i="519"/>
  <c r="AA209" i="519"/>
  <c r="Z207" i="519"/>
  <c r="Z209" i="519"/>
  <c r="Y207" i="519"/>
  <c r="Y209" i="519"/>
  <c r="X207" i="519"/>
  <c r="X209" i="519"/>
  <c r="W207" i="519"/>
  <c r="W209" i="519"/>
  <c r="V207" i="519"/>
  <c r="V209" i="519"/>
  <c r="AB164" i="519"/>
  <c r="AA164" i="519"/>
  <c r="Z164" i="519"/>
  <c r="Y164" i="519"/>
  <c r="X164" i="519"/>
  <c r="W164" i="519"/>
  <c r="V164" i="519"/>
  <c r="AE153" i="519"/>
  <c r="AD153" i="519"/>
  <c r="AC153" i="519"/>
  <c r="S53" i="519"/>
  <c r="S52" i="519"/>
  <c r="S51" i="519"/>
  <c r="S50" i="519"/>
  <c r="S49" i="519"/>
  <c r="S48" i="519"/>
  <c r="S47" i="519"/>
  <c r="S46" i="519"/>
  <c r="S44" i="519"/>
  <c r="S43" i="519"/>
  <c r="S42" i="519"/>
  <c r="S41" i="519"/>
  <c r="S40" i="519"/>
  <c r="S39" i="519"/>
  <c r="S37" i="519"/>
  <c r="S36" i="519"/>
  <c r="S35" i="519"/>
  <c r="S34" i="519"/>
  <c r="S33" i="519"/>
  <c r="G32" i="519"/>
  <c r="S31" i="519"/>
  <c r="S30" i="519"/>
  <c r="O30" i="519"/>
  <c r="S29" i="519"/>
  <c r="S27" i="519"/>
  <c r="S26" i="519"/>
  <c r="T21" i="519"/>
  <c r="S21" i="519"/>
  <c r="T20" i="519"/>
  <c r="S20" i="519"/>
  <c r="T19" i="519"/>
  <c r="S19" i="519"/>
  <c r="U18" i="519"/>
  <c r="T18" i="519"/>
  <c r="T17" i="519"/>
  <c r="S17" i="519"/>
  <c r="T16" i="519"/>
  <c r="S16" i="519"/>
  <c r="T15" i="519"/>
  <c r="S15" i="519"/>
  <c r="T14" i="519"/>
  <c r="S14" i="519"/>
  <c r="T13" i="519"/>
  <c r="S13" i="519"/>
  <c r="S18" i="519"/>
  <c r="U12" i="519"/>
  <c r="T12" i="519"/>
  <c r="S7" i="519"/>
  <c r="S6" i="519"/>
  <c r="T5" i="519"/>
  <c r="S5" i="519"/>
  <c r="AB3" i="519"/>
  <c r="AA3" i="519"/>
  <c r="Z3" i="519"/>
  <c r="Y3" i="519"/>
  <c r="Y4" i="519"/>
  <c r="C70" i="519"/>
  <c r="X3" i="519"/>
  <c r="W3" i="519"/>
  <c r="V3" i="519"/>
  <c r="R76" i="526"/>
  <c r="R83" i="526"/>
  <c r="R21" i="526"/>
  <c r="R30" i="526"/>
  <c r="R11" i="526"/>
  <c r="R34" i="526"/>
  <c r="R71" i="526"/>
  <c r="R45" i="526"/>
  <c r="R46" i="526"/>
  <c r="R67" i="526"/>
  <c r="S12" i="519"/>
  <c r="S32" i="519"/>
  <c r="T32" i="519"/>
  <c r="S28" i="519"/>
  <c r="L45" i="536"/>
  <c r="L46" i="536"/>
  <c r="L8" i="534"/>
  <c r="L9" i="534"/>
  <c r="L10" i="534"/>
  <c r="L11" i="534"/>
  <c r="L19" i="532"/>
  <c r="L20" i="532"/>
  <c r="L24" i="531"/>
  <c r="L25" i="531"/>
  <c r="L26" i="531"/>
  <c r="L27" i="531"/>
  <c r="L14" i="531"/>
  <c r="Z59" i="412"/>
  <c r="Z60" i="412"/>
  <c r="Z61" i="412"/>
  <c r="Z62" i="412"/>
  <c r="Z63" i="412"/>
  <c r="Z64" i="412"/>
  <c r="Z65" i="412"/>
  <c r="Z66" i="412"/>
  <c r="Z67" i="412"/>
  <c r="Z68" i="412"/>
  <c r="Z69" i="412"/>
  <c r="Z70" i="412"/>
  <c r="Z71" i="412"/>
  <c r="Z72" i="412"/>
  <c r="Z73" i="412"/>
  <c r="Z74" i="412"/>
  <c r="Z75" i="412"/>
  <c r="Z76" i="412"/>
  <c r="Z77" i="412"/>
  <c r="Z78" i="412"/>
  <c r="Z79" i="412"/>
  <c r="Z80" i="412"/>
  <c r="Z81" i="412"/>
  <c r="Z82" i="412"/>
  <c r="Z83" i="412"/>
  <c r="Z84" i="412"/>
  <c r="Z85" i="412"/>
  <c r="Z86" i="412"/>
  <c r="Z87" i="412"/>
  <c r="Z88" i="412"/>
  <c r="Z89" i="412"/>
  <c r="Z90" i="412"/>
  <c r="Z91" i="412"/>
  <c r="Z92" i="412"/>
  <c r="Z93" i="412"/>
  <c r="Z94" i="412"/>
  <c r="Z95" i="412"/>
  <c r="Z96" i="412"/>
  <c r="Z97" i="412"/>
  <c r="Z98" i="412"/>
  <c r="Z99" i="412"/>
  <c r="Z100" i="412"/>
  <c r="Z101" i="412"/>
  <c r="Z102" i="412"/>
  <c r="AA59" i="412"/>
  <c r="AA60" i="412"/>
  <c r="AA61" i="412"/>
  <c r="AA62" i="412"/>
  <c r="AA63" i="412"/>
  <c r="AA64" i="412"/>
  <c r="AA65" i="412"/>
  <c r="AA66" i="412"/>
  <c r="AA67" i="412"/>
  <c r="AA68" i="412"/>
  <c r="AA69" i="412"/>
  <c r="AA70" i="412"/>
  <c r="AA71" i="412"/>
  <c r="AA72" i="412"/>
  <c r="AA73" i="412"/>
  <c r="AA74" i="412"/>
  <c r="AA75" i="412"/>
  <c r="AA76" i="412"/>
  <c r="AA77" i="412"/>
  <c r="AA78" i="412"/>
  <c r="AA79" i="412"/>
  <c r="AA80" i="412"/>
  <c r="AA81" i="412"/>
  <c r="AA82" i="412"/>
  <c r="AA83" i="412"/>
  <c r="AA84" i="412"/>
  <c r="AA85" i="412"/>
  <c r="AA86" i="412"/>
  <c r="AA87" i="412"/>
  <c r="AA88" i="412"/>
  <c r="AA89" i="412"/>
  <c r="AA90" i="412"/>
  <c r="AA91" i="412"/>
  <c r="AA92" i="412"/>
  <c r="AA93" i="412"/>
  <c r="AA94" i="412"/>
  <c r="AA95" i="412"/>
  <c r="AA96" i="412"/>
  <c r="AA97" i="412"/>
  <c r="AA98" i="412"/>
  <c r="AA99" i="412"/>
  <c r="AA100" i="412"/>
  <c r="AA101" i="412"/>
  <c r="AA102" i="412"/>
  <c r="W59" i="412"/>
  <c r="W60" i="412"/>
  <c r="W61" i="412"/>
  <c r="W62" i="412"/>
  <c r="W63" i="412"/>
  <c r="W64" i="412"/>
  <c r="W65" i="412"/>
  <c r="W66" i="412"/>
  <c r="W67" i="412"/>
  <c r="W68" i="412"/>
  <c r="W69" i="412"/>
  <c r="W70" i="412"/>
  <c r="W71" i="412"/>
  <c r="W72" i="412"/>
  <c r="W73" i="412"/>
  <c r="W74" i="412"/>
  <c r="W75" i="412"/>
  <c r="W76" i="412"/>
  <c r="W77" i="412"/>
  <c r="W78" i="412"/>
  <c r="W79" i="412"/>
  <c r="W80" i="412"/>
  <c r="W81" i="412"/>
  <c r="W82" i="412"/>
  <c r="W83" i="412"/>
  <c r="W84" i="412"/>
  <c r="W85" i="412"/>
  <c r="W86" i="412"/>
  <c r="W87" i="412"/>
  <c r="W88" i="412"/>
  <c r="W89" i="412"/>
  <c r="W90" i="412"/>
  <c r="W91" i="412"/>
  <c r="W92" i="412"/>
  <c r="W93" i="412"/>
  <c r="W94" i="412"/>
  <c r="W95" i="412"/>
  <c r="W96" i="412"/>
  <c r="W97" i="412"/>
  <c r="W98" i="412"/>
  <c r="W99" i="412"/>
  <c r="W100" i="412"/>
  <c r="W101" i="412"/>
  <c r="W102" i="412"/>
  <c r="R20" i="525"/>
  <c r="R29" i="525"/>
  <c r="R23" i="524"/>
  <c r="R32" i="524"/>
  <c r="R39" i="525"/>
  <c r="S38" i="519"/>
  <c r="S45" i="519"/>
  <c r="L18" i="531"/>
  <c r="L15" i="531"/>
  <c r="V59" i="412"/>
  <c r="V60" i="412"/>
  <c r="V61" i="412"/>
  <c r="V62" i="412"/>
  <c r="V63" i="412"/>
  <c r="V64" i="412"/>
  <c r="V65" i="412"/>
  <c r="V66" i="412"/>
  <c r="V67" i="412"/>
  <c r="V68" i="412"/>
  <c r="V69" i="412"/>
  <c r="V70" i="412"/>
  <c r="V71" i="412"/>
  <c r="V72" i="412"/>
  <c r="V73" i="412"/>
  <c r="V74" i="412"/>
  <c r="V75" i="412"/>
  <c r="V76" i="412"/>
  <c r="V77" i="412"/>
  <c r="V78" i="412"/>
  <c r="V79" i="412"/>
  <c r="V80" i="412"/>
  <c r="V81" i="412"/>
  <c r="V82" i="412"/>
  <c r="V83" i="412"/>
  <c r="V84" i="412"/>
  <c r="V85" i="412"/>
  <c r="V86" i="412"/>
  <c r="V87" i="412"/>
  <c r="V88" i="412"/>
  <c r="V89" i="412"/>
  <c r="V90" i="412"/>
  <c r="V91" i="412"/>
  <c r="V92" i="412"/>
  <c r="V93" i="412"/>
  <c r="V94" i="412"/>
  <c r="V95" i="412"/>
  <c r="V96" i="412"/>
  <c r="V97" i="412"/>
  <c r="V98" i="412"/>
  <c r="V99" i="412"/>
  <c r="V100" i="412"/>
  <c r="V101" i="412"/>
  <c r="V102" i="412"/>
  <c r="X59" i="412"/>
  <c r="X60" i="412"/>
  <c r="X61" i="412"/>
  <c r="X62" i="412"/>
  <c r="X63" i="412"/>
  <c r="X64" i="412"/>
  <c r="X65" i="412"/>
  <c r="X66" i="412"/>
  <c r="X67" i="412"/>
  <c r="X68" i="412"/>
  <c r="X69" i="412"/>
  <c r="X70" i="412"/>
  <c r="X71" i="412"/>
  <c r="X72" i="412"/>
  <c r="X73" i="412"/>
  <c r="X74" i="412"/>
  <c r="X75" i="412"/>
  <c r="X76" i="412"/>
  <c r="X77" i="412"/>
  <c r="X78" i="412"/>
  <c r="X79" i="412"/>
  <c r="X80" i="412"/>
  <c r="X81" i="412"/>
  <c r="X82" i="412"/>
  <c r="X83" i="412"/>
  <c r="X84" i="412"/>
  <c r="X85" i="412"/>
  <c r="X86" i="412"/>
  <c r="X87" i="412"/>
  <c r="X88" i="412"/>
  <c r="X89" i="412"/>
  <c r="X90" i="412"/>
  <c r="X91" i="412"/>
  <c r="X92" i="412"/>
  <c r="X93" i="412"/>
  <c r="X94" i="412"/>
  <c r="X95" i="412"/>
  <c r="X96" i="412"/>
  <c r="X97" i="412"/>
  <c r="X98" i="412"/>
  <c r="X99" i="412"/>
  <c r="X100" i="412"/>
  <c r="X101" i="412"/>
  <c r="X102" i="412"/>
  <c r="R75" i="518"/>
  <c r="R79" i="518"/>
  <c r="AA234" i="518"/>
  <c r="AA236" i="518"/>
  <c r="Z234" i="518"/>
  <c r="Z236" i="518"/>
  <c r="Y234" i="518"/>
  <c r="Y236" i="518"/>
  <c r="X234" i="518"/>
  <c r="X236" i="518"/>
  <c r="W234" i="518"/>
  <c r="W236" i="518"/>
  <c r="V234" i="518"/>
  <c r="V236" i="518"/>
  <c r="U234" i="518"/>
  <c r="U236" i="518"/>
  <c r="AA191" i="518"/>
  <c r="Z191" i="518"/>
  <c r="Y191" i="518"/>
  <c r="X191" i="518"/>
  <c r="W191" i="518"/>
  <c r="V191" i="518"/>
  <c r="U191" i="518"/>
  <c r="AD180" i="518"/>
  <c r="AC180" i="518"/>
  <c r="AB180" i="518"/>
  <c r="T79" i="518"/>
  <c r="S79" i="518"/>
  <c r="R73" i="518"/>
  <c r="O73" i="518"/>
  <c r="R72" i="518"/>
  <c r="O72" i="518"/>
  <c r="R71" i="518"/>
  <c r="R70" i="518"/>
  <c r="R69" i="518"/>
  <c r="R68" i="518"/>
  <c r="C67" i="518"/>
  <c r="R66" i="518"/>
  <c r="R65" i="518"/>
  <c r="R64" i="518"/>
  <c r="R63" i="518"/>
  <c r="R62" i="518"/>
  <c r="R61" i="518"/>
  <c r="R60" i="518"/>
  <c r="R59" i="518"/>
  <c r="C58" i="518"/>
  <c r="R57" i="518"/>
  <c r="R56" i="518"/>
  <c r="R55" i="518"/>
  <c r="R54" i="518"/>
  <c r="R53" i="518"/>
  <c r="R52" i="518"/>
  <c r="R51" i="518"/>
  <c r="R50" i="518"/>
  <c r="C49" i="518"/>
  <c r="R48" i="518"/>
  <c r="R47" i="518"/>
  <c r="R46" i="518"/>
  <c r="R45" i="518"/>
  <c r="R44" i="518"/>
  <c r="R43" i="518"/>
  <c r="R42" i="518"/>
  <c r="C41" i="518"/>
  <c r="R40" i="518"/>
  <c r="R39" i="518"/>
  <c r="R38" i="518"/>
  <c r="R37" i="518"/>
  <c r="R36" i="518"/>
  <c r="R35" i="518"/>
  <c r="R34" i="518"/>
  <c r="R33" i="518"/>
  <c r="C32" i="518"/>
  <c r="R31" i="518"/>
  <c r="R30" i="518"/>
  <c r="R29" i="518"/>
  <c r="R28" i="518"/>
  <c r="R27" i="518"/>
  <c r="R26" i="518"/>
  <c r="R25" i="518"/>
  <c r="R24" i="518"/>
  <c r="R13" i="518"/>
  <c r="R12" i="518"/>
  <c r="R11" i="518"/>
  <c r="R10" i="518"/>
  <c r="R9" i="518"/>
  <c r="R8" i="518"/>
  <c r="R7" i="518"/>
  <c r="S6" i="518"/>
  <c r="R6" i="518"/>
  <c r="R14" i="518"/>
  <c r="P73" i="518"/>
  <c r="N73" i="518"/>
  <c r="T73" i="518"/>
  <c r="P72" i="518"/>
  <c r="N72" i="518"/>
  <c r="T72" i="518"/>
  <c r="U59" i="412"/>
  <c r="U60" i="412"/>
  <c r="U61" i="412"/>
  <c r="U62" i="412"/>
  <c r="U63" i="412"/>
  <c r="U64" i="412"/>
  <c r="U65" i="412"/>
  <c r="U66" i="412"/>
  <c r="U67" i="412"/>
  <c r="U68" i="412"/>
  <c r="U69" i="412"/>
  <c r="U70" i="412"/>
  <c r="U71" i="412"/>
  <c r="U72" i="412"/>
  <c r="U73" i="412"/>
  <c r="U74" i="412"/>
  <c r="U75" i="412"/>
  <c r="U76" i="412"/>
  <c r="U77" i="412"/>
  <c r="U78" i="412"/>
  <c r="U79" i="412"/>
  <c r="U80" i="412"/>
  <c r="U81" i="412"/>
  <c r="U82" i="412"/>
  <c r="U83" i="412"/>
  <c r="U84" i="412"/>
  <c r="U85" i="412"/>
  <c r="U86" i="412"/>
  <c r="U87" i="412"/>
  <c r="U88" i="412"/>
  <c r="U89" i="412"/>
  <c r="U90" i="412"/>
  <c r="U91" i="412"/>
  <c r="U92" i="412"/>
  <c r="U93" i="412"/>
  <c r="U94" i="412"/>
  <c r="U95" i="412"/>
  <c r="U96" i="412"/>
  <c r="U97" i="412"/>
  <c r="U98" i="412"/>
  <c r="U99" i="412"/>
  <c r="U100" i="412"/>
  <c r="U101" i="412"/>
  <c r="U102" i="412"/>
  <c r="R67" i="518"/>
  <c r="R58" i="518"/>
  <c r="R32" i="518"/>
  <c r="R49" i="518"/>
  <c r="R41" i="518"/>
  <c r="R74" i="518"/>
  <c r="S6" i="517"/>
  <c r="R26" i="517"/>
  <c r="R23" i="517"/>
  <c r="R10" i="517"/>
  <c r="R9" i="517"/>
  <c r="R8" i="517"/>
  <c r="R7" i="517"/>
  <c r="R12" i="517"/>
  <c r="R6" i="517"/>
  <c r="AA227" i="517"/>
  <c r="AA229" i="517"/>
  <c r="Z227" i="517"/>
  <c r="Z229" i="517"/>
  <c r="Y227" i="517"/>
  <c r="Y229" i="517"/>
  <c r="X227" i="517"/>
  <c r="X229" i="517"/>
  <c r="W227" i="517"/>
  <c r="W229" i="517"/>
  <c r="V227" i="517"/>
  <c r="V229" i="517"/>
  <c r="U227" i="517"/>
  <c r="U229" i="517"/>
  <c r="AA184" i="517"/>
  <c r="Z184" i="517"/>
  <c r="Y184" i="517"/>
  <c r="X184" i="517"/>
  <c r="W184" i="517"/>
  <c r="V184" i="517"/>
  <c r="U184" i="517"/>
  <c r="AD173" i="517"/>
  <c r="AC173" i="517"/>
  <c r="AB173" i="517"/>
  <c r="R65" i="517"/>
  <c r="R64" i="517"/>
  <c r="R63" i="517"/>
  <c r="N63" i="517"/>
  <c r="R62" i="517"/>
  <c r="R61" i="517"/>
  <c r="R51" i="517"/>
  <c r="R50" i="517"/>
  <c r="R49" i="517"/>
  <c r="N49" i="517"/>
  <c r="R48" i="517"/>
  <c r="R46" i="517"/>
  <c r="R45" i="517"/>
  <c r="R43" i="517"/>
  <c r="R42" i="517"/>
  <c r="R41" i="517"/>
  <c r="N41" i="517"/>
  <c r="R39" i="517"/>
  <c r="R38" i="517"/>
  <c r="R36" i="517"/>
  <c r="R35" i="517"/>
  <c r="R34" i="517"/>
  <c r="N34" i="517"/>
  <c r="R33" i="517"/>
  <c r="R32" i="517"/>
  <c r="R21" i="517"/>
  <c r="R17" i="517"/>
  <c r="R16" i="517"/>
  <c r="R14" i="517"/>
  <c r="R13" i="517"/>
  <c r="N13" i="517"/>
  <c r="AA4" i="517"/>
  <c r="Z4" i="517"/>
  <c r="Y4" i="517"/>
  <c r="X4" i="517"/>
  <c r="X5" i="517"/>
  <c r="W4" i="517"/>
  <c r="V4" i="517"/>
  <c r="U4" i="517"/>
  <c r="X80" i="518"/>
  <c r="X81" i="518"/>
  <c r="X82" i="518"/>
  <c r="X83" i="518"/>
  <c r="X84" i="518"/>
  <c r="X85" i="518"/>
  <c r="X86" i="518"/>
  <c r="X87" i="518"/>
  <c r="X88" i="518"/>
  <c r="X89" i="518"/>
  <c r="X90" i="518"/>
  <c r="X91" i="518"/>
  <c r="X92" i="518"/>
  <c r="X93" i="518"/>
  <c r="X94" i="518"/>
  <c r="X95" i="518"/>
  <c r="X96" i="518"/>
  <c r="X97" i="518"/>
  <c r="X98" i="518"/>
  <c r="X99" i="518"/>
  <c r="X100" i="518"/>
  <c r="X101" i="518"/>
  <c r="X102" i="518"/>
  <c r="X103" i="518"/>
  <c r="X104" i="518"/>
  <c r="X105" i="518"/>
  <c r="X106" i="518"/>
  <c r="X107" i="518"/>
  <c r="X108" i="518"/>
  <c r="X109" i="518"/>
  <c r="X110" i="518"/>
  <c r="X111" i="518"/>
  <c r="X112" i="518"/>
  <c r="X113" i="518"/>
  <c r="X114" i="518"/>
  <c r="X115" i="518"/>
  <c r="X116" i="518"/>
  <c r="X117" i="518"/>
  <c r="X118" i="518"/>
  <c r="X119" i="518"/>
  <c r="X120" i="518"/>
  <c r="X121" i="518"/>
  <c r="X122" i="518"/>
  <c r="X123" i="518"/>
  <c r="X124" i="518"/>
  <c r="X125" i="518"/>
  <c r="X126" i="518"/>
  <c r="X127" i="518"/>
  <c r="X128" i="518"/>
  <c r="X129" i="518"/>
  <c r="X130" i="518"/>
  <c r="X131" i="518"/>
  <c r="X132" i="518"/>
  <c r="X133" i="518"/>
  <c r="X134" i="518"/>
  <c r="X135" i="518"/>
  <c r="V80" i="518"/>
  <c r="V81" i="518"/>
  <c r="V82" i="518"/>
  <c r="V83" i="518"/>
  <c r="V84" i="518"/>
  <c r="V85" i="518"/>
  <c r="V86" i="518"/>
  <c r="V87" i="518"/>
  <c r="V88" i="518"/>
  <c r="V89" i="518"/>
  <c r="V90" i="518"/>
  <c r="V91" i="518"/>
  <c r="V92" i="518"/>
  <c r="V93" i="518"/>
  <c r="V94" i="518"/>
  <c r="V95" i="518"/>
  <c r="V96" i="518"/>
  <c r="V97" i="518"/>
  <c r="V98" i="518"/>
  <c r="V99" i="518"/>
  <c r="V100" i="518"/>
  <c r="V101" i="518"/>
  <c r="V102" i="518"/>
  <c r="V103" i="518"/>
  <c r="V104" i="518"/>
  <c r="V105" i="518"/>
  <c r="V106" i="518"/>
  <c r="V107" i="518"/>
  <c r="V108" i="518"/>
  <c r="V109" i="518"/>
  <c r="V110" i="518"/>
  <c r="V111" i="518"/>
  <c r="V112" i="518"/>
  <c r="V113" i="518"/>
  <c r="V114" i="518"/>
  <c r="V115" i="518"/>
  <c r="V116" i="518"/>
  <c r="V117" i="518"/>
  <c r="V118" i="518"/>
  <c r="V119" i="518"/>
  <c r="V120" i="518"/>
  <c r="V121" i="518"/>
  <c r="V122" i="518"/>
  <c r="V123" i="518"/>
  <c r="V124" i="518"/>
  <c r="V125" i="518"/>
  <c r="V126" i="518"/>
  <c r="V127" i="518"/>
  <c r="V128" i="518"/>
  <c r="V129" i="518"/>
  <c r="V130" i="518"/>
  <c r="V131" i="518"/>
  <c r="V132" i="518"/>
  <c r="V133" i="518"/>
  <c r="V134" i="518"/>
  <c r="V135" i="518"/>
  <c r="Z80" i="518"/>
  <c r="Z81" i="518"/>
  <c r="Z82" i="518"/>
  <c r="Z83" i="518"/>
  <c r="Z84" i="518"/>
  <c r="Z85" i="518"/>
  <c r="Z86" i="518"/>
  <c r="Z87" i="518"/>
  <c r="Z88" i="518"/>
  <c r="Z89" i="518"/>
  <c r="Z90" i="518"/>
  <c r="Z91" i="518"/>
  <c r="Z92" i="518"/>
  <c r="Z93" i="518"/>
  <c r="Z94" i="518"/>
  <c r="Z95" i="518"/>
  <c r="Z96" i="518"/>
  <c r="Z97" i="518"/>
  <c r="Z98" i="518"/>
  <c r="Z99" i="518"/>
  <c r="Z100" i="518"/>
  <c r="Z101" i="518"/>
  <c r="Z102" i="518"/>
  <c r="Z103" i="518"/>
  <c r="Z104" i="518"/>
  <c r="Z105" i="518"/>
  <c r="Z106" i="518"/>
  <c r="Z107" i="518"/>
  <c r="Z108" i="518"/>
  <c r="Z109" i="518"/>
  <c r="Z110" i="518"/>
  <c r="Z111" i="518"/>
  <c r="Z112" i="518"/>
  <c r="Z113" i="518"/>
  <c r="Z114" i="518"/>
  <c r="Z115" i="518"/>
  <c r="Z116" i="518"/>
  <c r="Z117" i="518"/>
  <c r="Z118" i="518"/>
  <c r="Z119" i="518"/>
  <c r="Z120" i="518"/>
  <c r="Z121" i="518"/>
  <c r="Z122" i="518"/>
  <c r="Z123" i="518"/>
  <c r="Z124" i="518"/>
  <c r="Z125" i="518"/>
  <c r="Z126" i="518"/>
  <c r="Z127" i="518"/>
  <c r="Z128" i="518"/>
  <c r="Z129" i="518"/>
  <c r="Z130" i="518"/>
  <c r="Z131" i="518"/>
  <c r="Z132" i="518"/>
  <c r="Z133" i="518"/>
  <c r="Z134" i="518"/>
  <c r="Z135" i="518"/>
  <c r="W80" i="518"/>
  <c r="W81" i="518"/>
  <c r="W82" i="518"/>
  <c r="W83" i="518"/>
  <c r="W84" i="518"/>
  <c r="W85" i="518"/>
  <c r="W86" i="518"/>
  <c r="W87" i="518"/>
  <c r="W88" i="518"/>
  <c r="W89" i="518"/>
  <c r="W90" i="518"/>
  <c r="W91" i="518"/>
  <c r="W92" i="518"/>
  <c r="W93" i="518"/>
  <c r="W94" i="518"/>
  <c r="W95" i="518"/>
  <c r="W96" i="518"/>
  <c r="W97" i="518"/>
  <c r="W98" i="518"/>
  <c r="W99" i="518"/>
  <c r="W100" i="518"/>
  <c r="W101" i="518"/>
  <c r="W102" i="518"/>
  <c r="W103" i="518"/>
  <c r="W104" i="518"/>
  <c r="W105" i="518"/>
  <c r="W106" i="518"/>
  <c r="W107" i="518"/>
  <c r="W108" i="518"/>
  <c r="W109" i="518"/>
  <c r="W110" i="518"/>
  <c r="W111" i="518"/>
  <c r="W112" i="518"/>
  <c r="W113" i="518"/>
  <c r="W114" i="518"/>
  <c r="W115" i="518"/>
  <c r="W116" i="518"/>
  <c r="W117" i="518"/>
  <c r="W118" i="518"/>
  <c r="W119" i="518"/>
  <c r="W120" i="518"/>
  <c r="W121" i="518"/>
  <c r="W122" i="518"/>
  <c r="W123" i="518"/>
  <c r="W124" i="518"/>
  <c r="W125" i="518"/>
  <c r="W126" i="518"/>
  <c r="W127" i="518"/>
  <c r="W128" i="518"/>
  <c r="W129" i="518"/>
  <c r="W130" i="518"/>
  <c r="W131" i="518"/>
  <c r="W132" i="518"/>
  <c r="W133" i="518"/>
  <c r="W134" i="518"/>
  <c r="W135" i="518"/>
  <c r="Y80" i="518"/>
  <c r="Y81" i="518"/>
  <c r="Y82" i="518"/>
  <c r="Y83" i="518"/>
  <c r="Y84" i="518"/>
  <c r="Y85" i="518"/>
  <c r="Y86" i="518"/>
  <c r="Y87" i="518"/>
  <c r="Y88" i="518"/>
  <c r="Y89" i="518"/>
  <c r="Y90" i="518"/>
  <c r="Y91" i="518"/>
  <c r="Y92" i="518"/>
  <c r="Y93" i="518"/>
  <c r="Y94" i="518"/>
  <c r="Y95" i="518"/>
  <c r="Y96" i="518"/>
  <c r="Y97" i="518"/>
  <c r="Y98" i="518"/>
  <c r="Y99" i="518"/>
  <c r="Y100" i="518"/>
  <c r="Y101" i="518"/>
  <c r="Y102" i="518"/>
  <c r="Y103" i="518"/>
  <c r="Y104" i="518"/>
  <c r="Y105" i="518"/>
  <c r="Y106" i="518"/>
  <c r="Y107" i="518"/>
  <c r="Y108" i="518"/>
  <c r="Y109" i="518"/>
  <c r="Y110" i="518"/>
  <c r="Y111" i="518"/>
  <c r="Y112" i="518"/>
  <c r="Y113" i="518"/>
  <c r="Y114" i="518"/>
  <c r="Y115" i="518"/>
  <c r="Y116" i="518"/>
  <c r="Y117" i="518"/>
  <c r="Y118" i="518"/>
  <c r="Y119" i="518"/>
  <c r="Y120" i="518"/>
  <c r="Y121" i="518"/>
  <c r="Y122" i="518"/>
  <c r="Y123" i="518"/>
  <c r="Y124" i="518"/>
  <c r="Y125" i="518"/>
  <c r="Y126" i="518"/>
  <c r="Y127" i="518"/>
  <c r="Y128" i="518"/>
  <c r="Y129" i="518"/>
  <c r="Y130" i="518"/>
  <c r="Y131" i="518"/>
  <c r="Y132" i="518"/>
  <c r="Y133" i="518"/>
  <c r="Y134" i="518"/>
  <c r="Y135" i="518"/>
  <c r="AA80" i="518"/>
  <c r="AA81" i="518"/>
  <c r="AA82" i="518"/>
  <c r="AA83" i="518"/>
  <c r="AA84" i="518"/>
  <c r="AA85" i="518"/>
  <c r="AA86" i="518"/>
  <c r="AA87" i="518"/>
  <c r="AA88" i="518"/>
  <c r="AA89" i="518"/>
  <c r="AA90" i="518"/>
  <c r="AA91" i="518"/>
  <c r="AA92" i="518"/>
  <c r="AA93" i="518"/>
  <c r="AA94" i="518"/>
  <c r="AA95" i="518"/>
  <c r="AA96" i="518"/>
  <c r="AA97" i="518"/>
  <c r="AA98" i="518"/>
  <c r="AA99" i="518"/>
  <c r="AA100" i="518"/>
  <c r="AA101" i="518"/>
  <c r="AA102" i="518"/>
  <c r="AA103" i="518"/>
  <c r="AA104" i="518"/>
  <c r="AA105" i="518"/>
  <c r="AA106" i="518"/>
  <c r="AA107" i="518"/>
  <c r="AA108" i="518"/>
  <c r="AA109" i="518"/>
  <c r="AA110" i="518"/>
  <c r="AA111" i="518"/>
  <c r="AA112" i="518"/>
  <c r="AA113" i="518"/>
  <c r="AA114" i="518"/>
  <c r="AA115" i="518"/>
  <c r="AA116" i="518"/>
  <c r="AA117" i="518"/>
  <c r="AA118" i="518"/>
  <c r="AA119" i="518"/>
  <c r="AA120" i="518"/>
  <c r="AA121" i="518"/>
  <c r="AA122" i="518"/>
  <c r="AA123" i="518"/>
  <c r="AA124" i="518"/>
  <c r="AA125" i="518"/>
  <c r="AA126" i="518"/>
  <c r="AA127" i="518"/>
  <c r="AA128" i="518"/>
  <c r="AA129" i="518"/>
  <c r="AA130" i="518"/>
  <c r="AA131" i="518"/>
  <c r="AA132" i="518"/>
  <c r="AA133" i="518"/>
  <c r="AA134" i="518"/>
  <c r="AA135" i="518"/>
  <c r="E17" i="8"/>
  <c r="E18" i="8"/>
  <c r="U80" i="518"/>
  <c r="U81" i="518"/>
  <c r="U82" i="518"/>
  <c r="U83" i="518"/>
  <c r="U84" i="518"/>
  <c r="U85" i="518"/>
  <c r="U86" i="518"/>
  <c r="U87" i="518"/>
  <c r="U88" i="518"/>
  <c r="U89" i="518"/>
  <c r="U90" i="518"/>
  <c r="U91" i="518"/>
  <c r="U92" i="518"/>
  <c r="U93" i="518"/>
  <c r="U94" i="518"/>
  <c r="U95" i="518"/>
  <c r="U96" i="518"/>
  <c r="U97" i="518"/>
  <c r="U98" i="518"/>
  <c r="U99" i="518"/>
  <c r="U100" i="518"/>
  <c r="U101" i="518"/>
  <c r="U102" i="518"/>
  <c r="U103" i="518"/>
  <c r="U104" i="518"/>
  <c r="U105" i="518"/>
  <c r="U106" i="518"/>
  <c r="U107" i="518"/>
  <c r="U108" i="518"/>
  <c r="U109" i="518"/>
  <c r="U110" i="518"/>
  <c r="U111" i="518"/>
  <c r="U112" i="518"/>
  <c r="U113" i="518"/>
  <c r="U114" i="518"/>
  <c r="U115" i="518"/>
  <c r="U116" i="518"/>
  <c r="U117" i="518"/>
  <c r="U118" i="518"/>
  <c r="U119" i="518"/>
  <c r="U120" i="518"/>
  <c r="U121" i="518"/>
  <c r="U122" i="518"/>
  <c r="U123" i="518"/>
  <c r="U124" i="518"/>
  <c r="U125" i="518"/>
  <c r="U126" i="518"/>
  <c r="U127" i="518"/>
  <c r="U128" i="518"/>
  <c r="U129" i="518"/>
  <c r="U130" i="518"/>
  <c r="U131" i="518"/>
  <c r="U132" i="518"/>
  <c r="U133" i="518"/>
  <c r="U134" i="518"/>
  <c r="U135" i="518"/>
  <c r="C295" i="397"/>
  <c r="O295" i="397"/>
  <c r="P295" i="397"/>
  <c r="N295" i="397"/>
  <c r="R296" i="397"/>
  <c r="R295" i="397"/>
  <c r="Q293" i="397"/>
  <c r="K293" i="397"/>
  <c r="C296" i="397"/>
  <c r="O296" i="397"/>
  <c r="P296" i="397"/>
  <c r="Q292" i="397"/>
  <c r="H3" i="509"/>
  <c r="I3" i="509"/>
  <c r="H4" i="509"/>
  <c r="I4" i="509"/>
  <c r="J3" i="509"/>
  <c r="K3" i="509"/>
  <c r="N296" i="397"/>
  <c r="AA203" i="401"/>
  <c r="AA205" i="401"/>
  <c r="Z203" i="401"/>
  <c r="Z205" i="401"/>
  <c r="Y203" i="401"/>
  <c r="Y205" i="401"/>
  <c r="X203" i="401"/>
  <c r="X205" i="401"/>
  <c r="W203" i="401"/>
  <c r="W205" i="401"/>
  <c r="V203" i="401"/>
  <c r="V205" i="401"/>
  <c r="U203" i="401"/>
  <c r="U205" i="401"/>
  <c r="AA160" i="401"/>
  <c r="Z160" i="401"/>
  <c r="Y160" i="401"/>
  <c r="X160" i="401"/>
  <c r="W160" i="401"/>
  <c r="V160" i="401"/>
  <c r="U160" i="401"/>
  <c r="AD149" i="401"/>
  <c r="AC149" i="401"/>
  <c r="AB149" i="401"/>
  <c r="R26" i="401"/>
  <c r="R25" i="401"/>
  <c r="R24" i="401"/>
  <c r="R23" i="401"/>
  <c r="R22" i="401"/>
  <c r="R21" i="401"/>
  <c r="R9" i="401"/>
  <c r="R8" i="401"/>
  <c r="R7" i="401"/>
  <c r="S6" i="401"/>
  <c r="R6" i="401"/>
  <c r="R27" i="399"/>
  <c r="R26" i="399"/>
  <c r="R25" i="399"/>
  <c r="R24" i="399"/>
  <c r="R23" i="399"/>
  <c r="R22" i="399"/>
  <c r="R16" i="399"/>
  <c r="I10" i="547"/>
  <c r="R17" i="399"/>
  <c r="I11" i="547"/>
  <c r="R18" i="399"/>
  <c r="I12" i="547"/>
  <c r="R19" i="399"/>
  <c r="I13" i="547"/>
  <c r="R20" i="399"/>
  <c r="I14" i="547"/>
  <c r="R29" i="399"/>
  <c r="AA222" i="399"/>
  <c r="AA224" i="399"/>
  <c r="Z222" i="399"/>
  <c r="Z224" i="399"/>
  <c r="Y222" i="399"/>
  <c r="Y224" i="399"/>
  <c r="X222" i="399"/>
  <c r="X224" i="399"/>
  <c r="W222" i="399"/>
  <c r="W224" i="399"/>
  <c r="V222" i="399"/>
  <c r="V224" i="399"/>
  <c r="U222" i="399"/>
  <c r="U224" i="399"/>
  <c r="AA179" i="399"/>
  <c r="Z179" i="399"/>
  <c r="Y179" i="399"/>
  <c r="X179" i="399"/>
  <c r="W179" i="399"/>
  <c r="V179" i="399"/>
  <c r="U179" i="399"/>
  <c r="AD168" i="399"/>
  <c r="AC168" i="399"/>
  <c r="AB168" i="399"/>
  <c r="R59" i="399"/>
  <c r="R58" i="399"/>
  <c r="R56" i="399"/>
  <c r="R55" i="399"/>
  <c r="R60" i="399"/>
  <c r="N55" i="399"/>
  <c r="R54" i="399"/>
  <c r="R52" i="399"/>
  <c r="R48" i="399"/>
  <c r="R40" i="399"/>
  <c r="Q40" i="399"/>
  <c r="R39" i="399"/>
  <c r="Q39" i="399"/>
  <c r="R38" i="399"/>
  <c r="Q38" i="399"/>
  <c r="R37" i="399"/>
  <c r="Q37" i="399"/>
  <c r="R36" i="399"/>
  <c r="R41" i="399"/>
  <c r="Q36" i="399"/>
  <c r="R34" i="399"/>
  <c r="R33" i="399"/>
  <c r="R32" i="399"/>
  <c r="R31" i="399"/>
  <c r="R30" i="399"/>
  <c r="R15" i="399"/>
  <c r="I9" i="547"/>
  <c r="R14" i="399"/>
  <c r="I5" i="547"/>
  <c r="AA221" i="398"/>
  <c r="AA223" i="398" s="1"/>
  <c r="Z221" i="398"/>
  <c r="Z223" i="398" s="1"/>
  <c r="Y221" i="398"/>
  <c r="Y223" i="398" s="1"/>
  <c r="X221" i="398"/>
  <c r="X223" i="398" s="1"/>
  <c r="W221" i="398"/>
  <c r="W223" i="398" s="1"/>
  <c r="V221" i="398"/>
  <c r="V223" i="398"/>
  <c r="U221" i="398"/>
  <c r="U223" i="398" s="1"/>
  <c r="AA178" i="398"/>
  <c r="Z178" i="398"/>
  <c r="Y178" i="398"/>
  <c r="X178" i="398"/>
  <c r="W178" i="398"/>
  <c r="V178" i="398"/>
  <c r="U178" i="398"/>
  <c r="AD167" i="398"/>
  <c r="AC167" i="398"/>
  <c r="AB167" i="398"/>
  <c r="R65" i="398"/>
  <c r="R64" i="398"/>
  <c r="R63" i="398"/>
  <c r="Q63" i="398"/>
  <c r="R62" i="398"/>
  <c r="Q62" i="398"/>
  <c r="R61" i="398"/>
  <c r="Q61" i="398"/>
  <c r="R59" i="398"/>
  <c r="R58" i="398"/>
  <c r="Q58" i="398"/>
  <c r="R55" i="398"/>
  <c r="Q55" i="398"/>
  <c r="R53" i="398"/>
  <c r="Q53" i="398"/>
  <c r="R45" i="398"/>
  <c r="R44" i="398"/>
  <c r="R43" i="398"/>
  <c r="R32" i="398"/>
  <c r="Q32" i="398"/>
  <c r="R31" i="398"/>
  <c r="Q31" i="398"/>
  <c r="R30" i="398"/>
  <c r="Q30" i="398"/>
  <c r="R29" i="398"/>
  <c r="Q29" i="398"/>
  <c r="R28" i="398"/>
  <c r="Q28" i="398"/>
  <c r="R27" i="398"/>
  <c r="R33" i="398" s="1"/>
  <c r="Q27" i="398"/>
  <c r="R25" i="398"/>
  <c r="R24" i="398"/>
  <c r="R23" i="398"/>
  <c r="R22" i="398"/>
  <c r="R21" i="398"/>
  <c r="N21" i="398"/>
  <c r="R20" i="398"/>
  <c r="R26" i="398" s="1"/>
  <c r="R18" i="398"/>
  <c r="Q18" i="398"/>
  <c r="R17" i="398"/>
  <c r="Q17" i="398"/>
  <c r="R16" i="398"/>
  <c r="Q16" i="398"/>
  <c r="R15" i="398"/>
  <c r="Q15" i="398"/>
  <c r="R14" i="398"/>
  <c r="Q14" i="398"/>
  <c r="R13" i="398"/>
  <c r="R19" i="398" s="1"/>
  <c r="Q19" i="398" s="1"/>
  <c r="Q13" i="398"/>
  <c r="S6" i="398"/>
  <c r="R6" i="398"/>
  <c r="Q6" i="398"/>
  <c r="R39" i="396"/>
  <c r="Q39" i="396"/>
  <c r="AA185" i="396"/>
  <c r="AA187" i="396" s="1"/>
  <c r="Z185" i="396"/>
  <c r="Z187" i="396" s="1"/>
  <c r="Y185" i="396"/>
  <c r="Y187" i="396" s="1"/>
  <c r="X185" i="396"/>
  <c r="X187" i="396" s="1"/>
  <c r="W185" i="396"/>
  <c r="W187" i="396" s="1"/>
  <c r="V185" i="396"/>
  <c r="V187" i="396" s="1"/>
  <c r="U185" i="396"/>
  <c r="U187" i="396" s="1"/>
  <c r="AA142" i="396"/>
  <c r="Z142" i="396"/>
  <c r="Y142" i="396"/>
  <c r="X142" i="396"/>
  <c r="W142" i="396"/>
  <c r="V142" i="396"/>
  <c r="U142" i="396"/>
  <c r="AD131" i="396"/>
  <c r="AC131" i="396"/>
  <c r="AB131" i="396"/>
  <c r="AA41" i="396"/>
  <c r="AA42" i="396" s="1"/>
  <c r="AA43" i="396" s="1"/>
  <c r="AA44" i="396" s="1"/>
  <c r="AA45" i="396" s="1"/>
  <c r="AA46" i="396" s="1"/>
  <c r="AA47" i="396" s="1"/>
  <c r="AA48" i="396" s="1"/>
  <c r="AA49" i="396" s="1"/>
  <c r="AA50" i="396" s="1"/>
  <c r="AA51" i="396" s="1"/>
  <c r="AA52" i="396" s="1"/>
  <c r="AA53" i="396" s="1"/>
  <c r="AA54" i="396" s="1"/>
  <c r="AA55" i="396" s="1"/>
  <c r="AA56" i="396" s="1"/>
  <c r="AA57" i="396" s="1"/>
  <c r="AA58" i="396" s="1"/>
  <c r="AA59" i="396" s="1"/>
  <c r="AA60" i="396" s="1"/>
  <c r="AA61" i="396" s="1"/>
  <c r="AA62" i="396" s="1"/>
  <c r="AA63" i="396" s="1"/>
  <c r="AA64" i="396" s="1"/>
  <c r="AA65" i="396" s="1"/>
  <c r="AA66" i="396" s="1"/>
  <c r="AA67" i="396" s="1"/>
  <c r="AA68" i="396" s="1"/>
  <c r="AA69" i="396" s="1"/>
  <c r="AA70" i="396" s="1"/>
  <c r="AA71" i="396" s="1"/>
  <c r="AA72" i="396" s="1"/>
  <c r="AA73" i="396" s="1"/>
  <c r="AA74" i="396" s="1"/>
  <c r="AA75" i="396" s="1"/>
  <c r="AA76" i="396" s="1"/>
  <c r="AA77" i="396" s="1"/>
  <c r="AA78" i="396" s="1"/>
  <c r="AA79" i="396" s="1"/>
  <c r="AA80" i="396" s="1"/>
  <c r="AA81" i="396" s="1"/>
  <c r="AA82" i="396" s="1"/>
  <c r="AA83" i="396" s="1"/>
  <c r="AA84" i="396" s="1"/>
  <c r="AA85" i="396" s="1"/>
  <c r="AA86" i="396" s="1"/>
  <c r="Z41" i="396"/>
  <c r="Z42" i="396" s="1"/>
  <c r="Z43" i="396" s="1"/>
  <c r="Z44" i="396" s="1"/>
  <c r="Z45" i="396" s="1"/>
  <c r="Z46" i="396" s="1"/>
  <c r="Z47" i="396" s="1"/>
  <c r="Z48" i="396" s="1"/>
  <c r="Z49" i="396" s="1"/>
  <c r="Z50" i="396" s="1"/>
  <c r="Z51" i="396" s="1"/>
  <c r="Z52" i="396" s="1"/>
  <c r="Z53" i="396" s="1"/>
  <c r="Z54" i="396" s="1"/>
  <c r="Z55" i="396" s="1"/>
  <c r="Z56" i="396" s="1"/>
  <c r="Z57" i="396" s="1"/>
  <c r="Z58" i="396" s="1"/>
  <c r="Z59" i="396" s="1"/>
  <c r="Z60" i="396" s="1"/>
  <c r="Z61" i="396" s="1"/>
  <c r="Z62" i="396" s="1"/>
  <c r="Z63" i="396" s="1"/>
  <c r="Z64" i="396" s="1"/>
  <c r="Z65" i="396" s="1"/>
  <c r="Z66" i="396" s="1"/>
  <c r="Z67" i="396" s="1"/>
  <c r="Z68" i="396" s="1"/>
  <c r="Z69" i="396" s="1"/>
  <c r="Z70" i="396" s="1"/>
  <c r="Z71" i="396" s="1"/>
  <c r="Z72" i="396" s="1"/>
  <c r="Z73" i="396" s="1"/>
  <c r="Z74" i="396" s="1"/>
  <c r="Z75" i="396" s="1"/>
  <c r="Z76" i="396" s="1"/>
  <c r="Z77" i="396" s="1"/>
  <c r="Z78" i="396" s="1"/>
  <c r="Z79" i="396" s="1"/>
  <c r="Z80" i="396" s="1"/>
  <c r="Z81" i="396" s="1"/>
  <c r="Z82" i="396" s="1"/>
  <c r="Z83" i="396" s="1"/>
  <c r="Z84" i="396" s="1"/>
  <c r="Z85" i="396" s="1"/>
  <c r="Z86" i="396" s="1"/>
  <c r="Y41" i="396"/>
  <c r="Y42" i="396" s="1"/>
  <c r="Y43" i="396" s="1"/>
  <c r="Y44" i="396" s="1"/>
  <c r="Y45" i="396" s="1"/>
  <c r="Y46" i="396" s="1"/>
  <c r="Y47" i="396" s="1"/>
  <c r="Y48" i="396" s="1"/>
  <c r="Y49" i="396" s="1"/>
  <c r="Y50" i="396" s="1"/>
  <c r="Y51" i="396" s="1"/>
  <c r="Y52" i="396" s="1"/>
  <c r="Y53" i="396" s="1"/>
  <c r="Y54" i="396" s="1"/>
  <c r="Y55" i="396" s="1"/>
  <c r="Y56" i="396" s="1"/>
  <c r="Y57" i="396" s="1"/>
  <c r="Y58" i="396" s="1"/>
  <c r="Y59" i="396" s="1"/>
  <c r="Y60" i="396" s="1"/>
  <c r="Y61" i="396" s="1"/>
  <c r="Y62" i="396" s="1"/>
  <c r="Y63" i="396" s="1"/>
  <c r="Y64" i="396" s="1"/>
  <c r="Y65" i="396" s="1"/>
  <c r="Y66" i="396" s="1"/>
  <c r="Y67" i="396" s="1"/>
  <c r="Y68" i="396" s="1"/>
  <c r="Y69" i="396" s="1"/>
  <c r="Y70" i="396" s="1"/>
  <c r="Y71" i="396" s="1"/>
  <c r="Y72" i="396" s="1"/>
  <c r="Y73" i="396" s="1"/>
  <c r="Y74" i="396" s="1"/>
  <c r="Y75" i="396" s="1"/>
  <c r="Y76" i="396" s="1"/>
  <c r="Y77" i="396" s="1"/>
  <c r="Y78" i="396" s="1"/>
  <c r="Y79" i="396" s="1"/>
  <c r="Y80" i="396" s="1"/>
  <c r="Y81" i="396" s="1"/>
  <c r="Y82" i="396" s="1"/>
  <c r="Y83" i="396" s="1"/>
  <c r="Y84" i="396" s="1"/>
  <c r="Y85" i="396" s="1"/>
  <c r="Y86" i="396" s="1"/>
  <c r="X41" i="396"/>
  <c r="X42" i="396" s="1"/>
  <c r="X43" i="396" s="1"/>
  <c r="X44" i="396" s="1"/>
  <c r="X45" i="396" s="1"/>
  <c r="X46" i="396" s="1"/>
  <c r="X47" i="396" s="1"/>
  <c r="X48" i="396" s="1"/>
  <c r="X49" i="396" s="1"/>
  <c r="X50" i="396" s="1"/>
  <c r="X51" i="396" s="1"/>
  <c r="X52" i="396" s="1"/>
  <c r="X53" i="396" s="1"/>
  <c r="X54" i="396" s="1"/>
  <c r="X55" i="396" s="1"/>
  <c r="X56" i="396" s="1"/>
  <c r="X57" i="396" s="1"/>
  <c r="X58" i="396" s="1"/>
  <c r="X59" i="396" s="1"/>
  <c r="X60" i="396" s="1"/>
  <c r="X61" i="396" s="1"/>
  <c r="X62" i="396" s="1"/>
  <c r="X63" i="396" s="1"/>
  <c r="X64" i="396" s="1"/>
  <c r="X65" i="396" s="1"/>
  <c r="X66" i="396" s="1"/>
  <c r="X67" i="396" s="1"/>
  <c r="X68" i="396" s="1"/>
  <c r="X69" i="396" s="1"/>
  <c r="X70" i="396" s="1"/>
  <c r="X71" i="396" s="1"/>
  <c r="X72" i="396" s="1"/>
  <c r="X73" i="396" s="1"/>
  <c r="X74" i="396" s="1"/>
  <c r="X75" i="396" s="1"/>
  <c r="X76" i="396" s="1"/>
  <c r="X77" i="396" s="1"/>
  <c r="X78" i="396" s="1"/>
  <c r="X79" i="396" s="1"/>
  <c r="X80" i="396" s="1"/>
  <c r="X81" i="396" s="1"/>
  <c r="X82" i="396" s="1"/>
  <c r="X83" i="396" s="1"/>
  <c r="X84" i="396" s="1"/>
  <c r="X85" i="396" s="1"/>
  <c r="X86" i="396" s="1"/>
  <c r="W41" i="396"/>
  <c r="W42" i="396" s="1"/>
  <c r="W43" i="396" s="1"/>
  <c r="W44" i="396" s="1"/>
  <c r="W45" i="396" s="1"/>
  <c r="W46" i="396" s="1"/>
  <c r="W47" i="396" s="1"/>
  <c r="W48" i="396" s="1"/>
  <c r="W49" i="396" s="1"/>
  <c r="W50" i="396" s="1"/>
  <c r="W51" i="396" s="1"/>
  <c r="W52" i="396" s="1"/>
  <c r="W53" i="396" s="1"/>
  <c r="W54" i="396" s="1"/>
  <c r="W55" i="396" s="1"/>
  <c r="W56" i="396" s="1"/>
  <c r="W57" i="396" s="1"/>
  <c r="W58" i="396" s="1"/>
  <c r="W59" i="396" s="1"/>
  <c r="W60" i="396" s="1"/>
  <c r="W61" i="396" s="1"/>
  <c r="W62" i="396" s="1"/>
  <c r="W63" i="396" s="1"/>
  <c r="W64" i="396" s="1"/>
  <c r="W65" i="396" s="1"/>
  <c r="W66" i="396" s="1"/>
  <c r="W67" i="396" s="1"/>
  <c r="W68" i="396" s="1"/>
  <c r="W69" i="396" s="1"/>
  <c r="W70" i="396" s="1"/>
  <c r="W71" i="396" s="1"/>
  <c r="W72" i="396" s="1"/>
  <c r="W73" i="396" s="1"/>
  <c r="W74" i="396" s="1"/>
  <c r="W75" i="396" s="1"/>
  <c r="W76" i="396" s="1"/>
  <c r="W77" i="396" s="1"/>
  <c r="W78" i="396" s="1"/>
  <c r="W79" i="396" s="1"/>
  <c r="W80" i="396" s="1"/>
  <c r="W81" i="396" s="1"/>
  <c r="W82" i="396" s="1"/>
  <c r="W83" i="396" s="1"/>
  <c r="W84" i="396" s="1"/>
  <c r="W85" i="396" s="1"/>
  <c r="W86" i="396" s="1"/>
  <c r="V41" i="396"/>
  <c r="V42" i="396" s="1"/>
  <c r="V43" i="396" s="1"/>
  <c r="V44" i="396" s="1"/>
  <c r="V45" i="396" s="1"/>
  <c r="V46" i="396" s="1"/>
  <c r="V47" i="396" s="1"/>
  <c r="V48" i="396" s="1"/>
  <c r="V49" i="396" s="1"/>
  <c r="V50" i="396" s="1"/>
  <c r="V51" i="396" s="1"/>
  <c r="V52" i="396" s="1"/>
  <c r="V53" i="396" s="1"/>
  <c r="V54" i="396" s="1"/>
  <c r="V55" i="396" s="1"/>
  <c r="V56" i="396" s="1"/>
  <c r="V57" i="396" s="1"/>
  <c r="V58" i="396" s="1"/>
  <c r="V59" i="396" s="1"/>
  <c r="V60" i="396" s="1"/>
  <c r="V61" i="396" s="1"/>
  <c r="V62" i="396" s="1"/>
  <c r="V63" i="396" s="1"/>
  <c r="V64" i="396" s="1"/>
  <c r="V65" i="396" s="1"/>
  <c r="V66" i="396" s="1"/>
  <c r="V67" i="396" s="1"/>
  <c r="V68" i="396" s="1"/>
  <c r="V69" i="396" s="1"/>
  <c r="V70" i="396" s="1"/>
  <c r="V71" i="396" s="1"/>
  <c r="V72" i="396" s="1"/>
  <c r="V73" i="396" s="1"/>
  <c r="V74" i="396" s="1"/>
  <c r="V75" i="396" s="1"/>
  <c r="V76" i="396" s="1"/>
  <c r="V77" i="396" s="1"/>
  <c r="V78" i="396" s="1"/>
  <c r="V79" i="396" s="1"/>
  <c r="V80" i="396" s="1"/>
  <c r="V81" i="396" s="1"/>
  <c r="V82" i="396" s="1"/>
  <c r="V83" i="396" s="1"/>
  <c r="V84" i="396" s="1"/>
  <c r="V85" i="396" s="1"/>
  <c r="V86" i="396" s="1"/>
  <c r="U41" i="396"/>
  <c r="U42" i="396" s="1"/>
  <c r="U43" i="396" s="1"/>
  <c r="U44" i="396" s="1"/>
  <c r="U45" i="396" s="1"/>
  <c r="U46" i="396" s="1"/>
  <c r="U47" i="396" s="1"/>
  <c r="U48" i="396" s="1"/>
  <c r="U49" i="396" s="1"/>
  <c r="U50" i="396" s="1"/>
  <c r="U51" i="396" s="1"/>
  <c r="U52" i="396" s="1"/>
  <c r="U53" i="396" s="1"/>
  <c r="U54" i="396" s="1"/>
  <c r="U55" i="396" s="1"/>
  <c r="U56" i="396" s="1"/>
  <c r="U57" i="396" s="1"/>
  <c r="U58" i="396" s="1"/>
  <c r="U59" i="396" s="1"/>
  <c r="U60" i="396" s="1"/>
  <c r="U61" i="396" s="1"/>
  <c r="U62" i="396" s="1"/>
  <c r="U63" i="396" s="1"/>
  <c r="U64" i="396" s="1"/>
  <c r="U65" i="396" s="1"/>
  <c r="U66" i="396" s="1"/>
  <c r="U67" i="396" s="1"/>
  <c r="U68" i="396" s="1"/>
  <c r="U69" i="396" s="1"/>
  <c r="U70" i="396" s="1"/>
  <c r="U71" i="396" s="1"/>
  <c r="U72" i="396" s="1"/>
  <c r="U73" i="396" s="1"/>
  <c r="U74" i="396" s="1"/>
  <c r="U75" i="396" s="1"/>
  <c r="U76" i="396" s="1"/>
  <c r="U77" i="396" s="1"/>
  <c r="U78" i="396" s="1"/>
  <c r="U79" i="396" s="1"/>
  <c r="U80" i="396" s="1"/>
  <c r="U81" i="396" s="1"/>
  <c r="U82" i="396" s="1"/>
  <c r="U83" i="396" s="1"/>
  <c r="U84" i="396" s="1"/>
  <c r="U85" i="396" s="1"/>
  <c r="U86" i="396" s="1"/>
  <c r="R37" i="396"/>
  <c r="R33" i="396"/>
  <c r="R38" i="396" s="1"/>
  <c r="Q33" i="396"/>
  <c r="R26" i="396"/>
  <c r="Q26" i="396"/>
  <c r="R25" i="396"/>
  <c r="Q25" i="396"/>
  <c r="R24" i="396"/>
  <c r="R22" i="396"/>
  <c r="R21" i="396"/>
  <c r="Q21" i="396"/>
  <c r="R9" i="396"/>
  <c r="Q9" i="396" s="1"/>
  <c r="R8" i="396"/>
  <c r="Q8" i="396"/>
  <c r="S5" i="396"/>
  <c r="R5" i="396"/>
  <c r="Q5" i="396"/>
  <c r="AA198" i="395"/>
  <c r="AA200" i="395" s="1"/>
  <c r="Z198" i="395"/>
  <c r="Z200" i="395" s="1"/>
  <c r="Y198" i="395"/>
  <c r="Y200" i="395" s="1"/>
  <c r="X198" i="395"/>
  <c r="X200" i="395" s="1"/>
  <c r="W198" i="395"/>
  <c r="W200" i="395" s="1"/>
  <c r="V198" i="395"/>
  <c r="V200" i="395" s="1"/>
  <c r="U198" i="395"/>
  <c r="U200" i="395" s="1"/>
  <c r="AA155" i="395"/>
  <c r="Z155" i="395"/>
  <c r="Y155" i="395"/>
  <c r="X155" i="395"/>
  <c r="W155" i="395"/>
  <c r="V155" i="395"/>
  <c r="U155" i="395"/>
  <c r="AD144" i="395"/>
  <c r="AC144" i="395"/>
  <c r="AB144" i="395"/>
  <c r="R21" i="394"/>
  <c r="R20" i="394"/>
  <c r="R19" i="394"/>
  <c r="R18" i="394"/>
  <c r="L18" i="394"/>
  <c r="R17" i="394"/>
  <c r="R10" i="394"/>
  <c r="R9" i="394"/>
  <c r="N9" i="394"/>
  <c r="R8" i="394"/>
  <c r="R7" i="394"/>
  <c r="O7" i="394"/>
  <c r="T7" i="394"/>
  <c r="N5" i="502"/>
  <c r="N6" i="502"/>
  <c r="N7" i="502"/>
  <c r="N8" i="502"/>
  <c r="N9" i="502"/>
  <c r="N4" i="502"/>
  <c r="N10" i="502"/>
  <c r="G71" i="4"/>
  <c r="G66" i="4"/>
  <c r="D29" i="4"/>
  <c r="G67" i="4"/>
  <c r="D31" i="4"/>
  <c r="G68" i="4"/>
  <c r="D33" i="4"/>
  <c r="G69" i="4"/>
  <c r="D35" i="4"/>
  <c r="G70" i="4"/>
  <c r="D37" i="4"/>
  <c r="D39" i="4"/>
  <c r="G72" i="4"/>
  <c r="D41" i="4"/>
  <c r="C24" i="418"/>
  <c r="O24" i="418"/>
  <c r="P24" i="418"/>
  <c r="N24" i="418"/>
  <c r="L25" i="418"/>
  <c r="R230" i="397"/>
  <c r="R231" i="397"/>
  <c r="R227" i="397"/>
  <c r="R226" i="397"/>
  <c r="R222" i="397"/>
  <c r="Q246" i="397"/>
  <c r="K246" i="397"/>
  <c r="R245" i="397"/>
  <c r="R244" i="397"/>
  <c r="R243" i="397"/>
  <c r="R242" i="397"/>
  <c r="N242" i="397"/>
  <c r="R241" i="397"/>
  <c r="R240" i="397"/>
  <c r="R238" i="397"/>
  <c r="R237" i="397"/>
  <c r="R236" i="397"/>
  <c r="R235" i="397"/>
  <c r="N235" i="397"/>
  <c r="R234" i="397"/>
  <c r="R233" i="397"/>
  <c r="R229" i="397"/>
  <c r="R232" i="397"/>
  <c r="R225" i="397"/>
  <c r="R224" i="397"/>
  <c r="R221" i="397"/>
  <c r="R220" i="397"/>
  <c r="R223" i="397"/>
  <c r="R100" i="397"/>
  <c r="R95" i="397"/>
  <c r="R93" i="397"/>
  <c r="R92" i="397"/>
  <c r="R91" i="397"/>
  <c r="R90" i="397"/>
  <c r="N90" i="397"/>
  <c r="R89" i="397"/>
  <c r="R88" i="397"/>
  <c r="R99" i="397"/>
  <c r="R98" i="397"/>
  <c r="R97" i="397"/>
  <c r="N97" i="397"/>
  <c r="R96" i="397"/>
  <c r="R85" i="397"/>
  <c r="R84" i="397"/>
  <c r="R83" i="397"/>
  <c r="N83" i="397"/>
  <c r="R82" i="397"/>
  <c r="R81" i="397"/>
  <c r="R79" i="397"/>
  <c r="N79" i="397"/>
  <c r="R78" i="397"/>
  <c r="R77" i="397"/>
  <c r="R76" i="397"/>
  <c r="N76" i="397"/>
  <c r="R75" i="397"/>
  <c r="R74" i="397"/>
  <c r="R72" i="397"/>
  <c r="N72" i="397"/>
  <c r="R71" i="397"/>
  <c r="R70" i="397"/>
  <c r="R69" i="397"/>
  <c r="N69" i="397"/>
  <c r="R68" i="397"/>
  <c r="R67" i="397"/>
  <c r="R94" i="397"/>
  <c r="N7" i="404"/>
  <c r="R9" i="404"/>
  <c r="R6" i="404"/>
  <c r="R7" i="404"/>
  <c r="R8" i="404"/>
  <c r="R10" i="404"/>
  <c r="R11" i="404"/>
  <c r="R12" i="404"/>
  <c r="S6" i="404"/>
  <c r="M23" i="489"/>
  <c r="L32" i="489"/>
  <c r="M32" i="489"/>
  <c r="E32" i="489"/>
  <c r="H32" i="489"/>
  <c r="J32" i="489"/>
  <c r="E17" i="489"/>
  <c r="N17" i="489"/>
  <c r="N6" i="489"/>
  <c r="H17" i="489"/>
  <c r="J17" i="489"/>
  <c r="L17" i="489"/>
  <c r="M17" i="489"/>
  <c r="N8" i="489"/>
  <c r="AA154" i="404"/>
  <c r="AA156" i="404"/>
  <c r="Z154" i="404"/>
  <c r="Z156" i="404"/>
  <c r="Y154" i="404"/>
  <c r="Y156" i="404"/>
  <c r="X154" i="404"/>
  <c r="X156" i="404"/>
  <c r="W154" i="404"/>
  <c r="W156" i="404"/>
  <c r="V154" i="404"/>
  <c r="V156" i="404"/>
  <c r="U154" i="404"/>
  <c r="U156" i="404"/>
  <c r="AA111" i="404"/>
  <c r="Z111" i="404"/>
  <c r="Y111" i="404"/>
  <c r="X111" i="404"/>
  <c r="W111" i="404"/>
  <c r="V111" i="404"/>
  <c r="U111" i="404"/>
  <c r="AD100" i="404"/>
  <c r="AC100" i="404"/>
  <c r="AB100" i="404"/>
  <c r="S12" i="404"/>
  <c r="S7" i="404"/>
  <c r="S8" i="404"/>
  <c r="S9" i="404"/>
  <c r="S11" i="404"/>
  <c r="S10" i="404"/>
  <c r="C64" i="404"/>
  <c r="O64" i="404"/>
  <c r="R61" i="404"/>
  <c r="R60" i="404"/>
  <c r="O61" i="404"/>
  <c r="O60" i="404"/>
  <c r="P60" i="404"/>
  <c r="O62" i="404"/>
  <c r="T62" i="404"/>
  <c r="R58" i="404"/>
  <c r="R59" i="404"/>
  <c r="O58" i="404"/>
  <c r="T58" i="404"/>
  <c r="O59" i="404"/>
  <c r="P59" i="404"/>
  <c r="N59" i="404"/>
  <c r="O57" i="404"/>
  <c r="R50" i="404"/>
  <c r="R51" i="404"/>
  <c r="R52" i="404"/>
  <c r="R53" i="404"/>
  <c r="R54" i="404"/>
  <c r="R55" i="404"/>
  <c r="R56" i="404"/>
  <c r="O50" i="404"/>
  <c r="O51" i="404"/>
  <c r="T51" i="404"/>
  <c r="O52" i="404"/>
  <c r="T52" i="404"/>
  <c r="O53" i="404"/>
  <c r="O54" i="404"/>
  <c r="T54" i="404"/>
  <c r="O55" i="404"/>
  <c r="O56" i="404"/>
  <c r="O49" i="404"/>
  <c r="T49" i="404"/>
  <c r="R44" i="404"/>
  <c r="R45" i="404"/>
  <c r="R46" i="404"/>
  <c r="R48" i="404"/>
  <c r="O44" i="404"/>
  <c r="T44" i="404"/>
  <c r="O45" i="404"/>
  <c r="T45" i="404"/>
  <c r="O46" i="404"/>
  <c r="O48" i="404"/>
  <c r="T48" i="404"/>
  <c r="R34" i="404"/>
  <c r="R35" i="404"/>
  <c r="R36" i="404"/>
  <c r="R37" i="404"/>
  <c r="R38" i="404"/>
  <c r="R39" i="404"/>
  <c r="R40" i="404"/>
  <c r="R41" i="404"/>
  <c r="R42" i="404"/>
  <c r="T13" i="404"/>
  <c r="S13" i="404"/>
  <c r="Q10" i="404"/>
  <c r="R30" i="394"/>
  <c r="R12" i="394"/>
  <c r="AA175" i="394"/>
  <c r="AA177" i="394"/>
  <c r="Z175" i="394"/>
  <c r="Z177" i="394"/>
  <c r="Y175" i="394"/>
  <c r="Y177" i="394"/>
  <c r="X175" i="394"/>
  <c r="X177" i="394"/>
  <c r="W175" i="394"/>
  <c r="W177" i="394"/>
  <c r="V175" i="394"/>
  <c r="V177" i="394"/>
  <c r="U175" i="394"/>
  <c r="U177" i="394"/>
  <c r="AA132" i="394"/>
  <c r="Z132" i="394"/>
  <c r="Y132" i="394"/>
  <c r="X132" i="394"/>
  <c r="W132" i="394"/>
  <c r="V132" i="394"/>
  <c r="U132" i="394"/>
  <c r="AD121" i="394"/>
  <c r="AC121" i="394"/>
  <c r="AB121" i="394"/>
  <c r="R45" i="394"/>
  <c r="R44" i="394"/>
  <c r="R43" i="394"/>
  <c r="R46" i="394"/>
  <c r="R41" i="394"/>
  <c r="R40" i="394"/>
  <c r="R39" i="394"/>
  <c r="R38" i="394"/>
  <c r="R37" i="394"/>
  <c r="R36" i="394"/>
  <c r="R32" i="394"/>
  <c r="R29" i="394"/>
  <c r="R28" i="394"/>
  <c r="R27" i="394"/>
  <c r="R26" i="394"/>
  <c r="R23" i="394"/>
  <c r="R22" i="394"/>
  <c r="R14" i="394"/>
  <c r="R13" i="394"/>
  <c r="R11" i="394"/>
  <c r="I7" i="403"/>
  <c r="E3" i="403"/>
  <c r="C16" i="488"/>
  <c r="D16" i="488"/>
  <c r="C14" i="488"/>
  <c r="C15" i="488"/>
  <c r="D15" i="488"/>
  <c r="G13" i="488"/>
  <c r="G18" i="488"/>
  <c r="G45" i="488"/>
  <c r="G44" i="488"/>
  <c r="G43" i="488"/>
  <c r="G42" i="488"/>
  <c r="G41" i="488"/>
  <c r="G40" i="488"/>
  <c r="G39" i="488"/>
  <c r="G38" i="488"/>
  <c r="G37" i="488"/>
  <c r="G36" i="488"/>
  <c r="G35" i="488"/>
  <c r="G34" i="488"/>
  <c r="G33" i="488"/>
  <c r="G32" i="488"/>
  <c r="G31" i="488"/>
  <c r="G30" i="488"/>
  <c r="G29" i="488"/>
  <c r="G28" i="488"/>
  <c r="G27" i="488"/>
  <c r="G26" i="488"/>
  <c r="G25" i="488"/>
  <c r="G24" i="488"/>
  <c r="G23" i="488"/>
  <c r="G22" i="488"/>
  <c r="G21" i="488"/>
  <c r="F13" i="488"/>
  <c r="E13" i="488"/>
  <c r="E18" i="488"/>
  <c r="E45" i="488"/>
  <c r="E44" i="488"/>
  <c r="E43" i="488"/>
  <c r="E42" i="488"/>
  <c r="E41" i="488"/>
  <c r="E40" i="488"/>
  <c r="E39" i="488"/>
  <c r="E38" i="488"/>
  <c r="E37" i="488"/>
  <c r="E36" i="488"/>
  <c r="E35" i="488"/>
  <c r="E34" i="488"/>
  <c r="E33" i="488"/>
  <c r="E32" i="488"/>
  <c r="E31" i="488"/>
  <c r="E30" i="488"/>
  <c r="E29" i="488"/>
  <c r="E28" i="488"/>
  <c r="E27" i="488"/>
  <c r="E26" i="488"/>
  <c r="E25" i="488"/>
  <c r="E24" i="488"/>
  <c r="E23" i="488"/>
  <c r="E22" i="488"/>
  <c r="E21" i="488"/>
  <c r="D13" i="488"/>
  <c r="D17" i="488"/>
  <c r="E17" i="488"/>
  <c r="H12" i="9"/>
  <c r="A54" i="9"/>
  <c r="T189" i="397"/>
  <c r="T32" i="397"/>
  <c r="T66" i="397"/>
  <c r="T131" i="397"/>
  <c r="T158" i="397"/>
  <c r="T217" i="397"/>
  <c r="T132" i="397"/>
  <c r="T290" i="397"/>
  <c r="C89" i="9"/>
  <c r="D89" i="9"/>
  <c r="E89" i="9"/>
  <c r="F89" i="9"/>
  <c r="B89" i="9"/>
  <c r="G89" i="9"/>
  <c r="H89" i="9"/>
  <c r="I89" i="9"/>
  <c r="C87" i="9"/>
  <c r="D87" i="9"/>
  <c r="E87" i="9"/>
  <c r="F87" i="9"/>
  <c r="G87" i="9"/>
  <c r="H87" i="9"/>
  <c r="B87" i="9"/>
  <c r="C85" i="9"/>
  <c r="D85" i="9"/>
  <c r="E85" i="9"/>
  <c r="F85" i="9"/>
  <c r="G85" i="9"/>
  <c r="H85" i="9"/>
  <c r="B85" i="9"/>
  <c r="C83" i="9"/>
  <c r="D83" i="9"/>
  <c r="E83" i="9"/>
  <c r="F83" i="9"/>
  <c r="G83" i="9"/>
  <c r="H83" i="9"/>
  <c r="B83" i="9"/>
  <c r="C81" i="9"/>
  <c r="D81" i="9"/>
  <c r="E81" i="9"/>
  <c r="F81" i="9"/>
  <c r="G81" i="9"/>
  <c r="H81" i="9"/>
  <c r="B81" i="9"/>
  <c r="C79" i="9"/>
  <c r="D79" i="9"/>
  <c r="E79" i="9"/>
  <c r="F79" i="9"/>
  <c r="G79" i="9"/>
  <c r="H79" i="9"/>
  <c r="B79" i="9"/>
  <c r="H33" i="9"/>
  <c r="O54" i="9"/>
  <c r="N54" i="9"/>
  <c r="G54" i="9"/>
  <c r="O47" i="9"/>
  <c r="N47" i="9"/>
  <c r="G47" i="9"/>
  <c r="O40" i="9"/>
  <c r="N40" i="9"/>
  <c r="G40" i="9"/>
  <c r="C20" i="481"/>
  <c r="O20" i="481"/>
  <c r="T20" i="481"/>
  <c r="AA115" i="481"/>
  <c r="AA117" i="481"/>
  <c r="Z115" i="481"/>
  <c r="Z117" i="481"/>
  <c r="Y115" i="481"/>
  <c r="Y117" i="481"/>
  <c r="X115" i="481"/>
  <c r="X117" i="481"/>
  <c r="W115" i="481"/>
  <c r="W117" i="481"/>
  <c r="V115" i="481"/>
  <c r="V117" i="481"/>
  <c r="U115" i="481"/>
  <c r="U117" i="481"/>
  <c r="AA72" i="481"/>
  <c r="Z72" i="481"/>
  <c r="Y72" i="481"/>
  <c r="X72" i="481"/>
  <c r="W72" i="481"/>
  <c r="V72" i="481"/>
  <c r="U72" i="481"/>
  <c r="AD61" i="481"/>
  <c r="AC61" i="481"/>
  <c r="AB61" i="481"/>
  <c r="S21" i="481"/>
  <c r="C21" i="481"/>
  <c r="O21" i="481"/>
  <c r="S20" i="481"/>
  <c r="S19" i="481"/>
  <c r="R19" i="481"/>
  <c r="S18" i="481"/>
  <c r="R18" i="481"/>
  <c r="S17" i="481"/>
  <c r="R17" i="481"/>
  <c r="S16" i="481"/>
  <c r="R16" i="481"/>
  <c r="S15" i="481"/>
  <c r="R15" i="481"/>
  <c r="S14" i="481"/>
  <c r="R14" i="481"/>
  <c r="R13" i="481"/>
  <c r="S13" i="481"/>
  <c r="S12" i="481"/>
  <c r="O12" i="481"/>
  <c r="T12" i="481"/>
  <c r="S11" i="481"/>
  <c r="R11" i="481"/>
  <c r="S10" i="481"/>
  <c r="R10" i="481"/>
  <c r="S9" i="481"/>
  <c r="R9" i="481"/>
  <c r="S8" i="481"/>
  <c r="R8" i="481"/>
  <c r="S7" i="481"/>
  <c r="R7" i="481"/>
  <c r="S6" i="481"/>
  <c r="R6" i="481"/>
  <c r="R12" i="481"/>
  <c r="S6" i="418"/>
  <c r="S7" i="418"/>
  <c r="S8" i="418"/>
  <c r="S9" i="418"/>
  <c r="T9" i="418"/>
  <c r="S10" i="418"/>
  <c r="S11" i="418"/>
  <c r="S12" i="418"/>
  <c r="S13" i="418"/>
  <c r="S14" i="418"/>
  <c r="S15" i="418"/>
  <c r="S16" i="418"/>
  <c r="S17" i="418"/>
  <c r="S18" i="418"/>
  <c r="S19" i="418"/>
  <c r="S20" i="418"/>
  <c r="C20" i="418"/>
  <c r="S21" i="418"/>
  <c r="C21" i="418"/>
  <c r="S23" i="418"/>
  <c r="T23" i="418"/>
  <c r="S25" i="418"/>
  <c r="S26" i="418"/>
  <c r="S27" i="418"/>
  <c r="T27" i="418"/>
  <c r="S28" i="418"/>
  <c r="S29" i="418"/>
  <c r="T29" i="418"/>
  <c r="S30" i="418"/>
  <c r="S31" i="418"/>
  <c r="S32" i="418"/>
  <c r="S33" i="418"/>
  <c r="S34" i="418"/>
  <c r="T34" i="418"/>
  <c r="S35" i="418"/>
  <c r="S36" i="418"/>
  <c r="S37" i="418"/>
  <c r="S38" i="418"/>
  <c r="S39" i="418"/>
  <c r="S40" i="418"/>
  <c r="W40" i="418"/>
  <c r="U40" i="418"/>
  <c r="V40" i="418"/>
  <c r="X40" i="418"/>
  <c r="Y40" i="418"/>
  <c r="Z40" i="418"/>
  <c r="AA40" i="418"/>
  <c r="S41" i="418"/>
  <c r="T41" i="418"/>
  <c r="S42" i="418"/>
  <c r="T42" i="418"/>
  <c r="U42" i="418"/>
  <c r="V42" i="418"/>
  <c r="W42" i="418"/>
  <c r="X42" i="418"/>
  <c r="Y42" i="418"/>
  <c r="Z42" i="418"/>
  <c r="AA42" i="418"/>
  <c r="S43" i="418"/>
  <c r="U43" i="418"/>
  <c r="V43" i="418"/>
  <c r="W43" i="418"/>
  <c r="X43" i="418"/>
  <c r="Y43" i="418"/>
  <c r="Z43" i="418"/>
  <c r="AA43" i="418"/>
  <c r="S44" i="418"/>
  <c r="W44" i="418"/>
  <c r="U44" i="418"/>
  <c r="V44" i="418"/>
  <c r="X44" i="418"/>
  <c r="Y44" i="418"/>
  <c r="Z44" i="418"/>
  <c r="AA44" i="418"/>
  <c r="S45" i="418"/>
  <c r="V45" i="418"/>
  <c r="U45" i="418"/>
  <c r="W45" i="418"/>
  <c r="X45" i="418"/>
  <c r="Y45" i="418"/>
  <c r="Z45" i="418"/>
  <c r="AA45" i="418"/>
  <c r="S46" i="418"/>
  <c r="W46" i="418"/>
  <c r="U46" i="418"/>
  <c r="V46" i="418"/>
  <c r="X46" i="418"/>
  <c r="Y46" i="418"/>
  <c r="Z46" i="418"/>
  <c r="AA46" i="418"/>
  <c r="S47" i="418"/>
  <c r="U47" i="418"/>
  <c r="V47" i="418"/>
  <c r="W47" i="418"/>
  <c r="X47" i="418"/>
  <c r="Y47" i="418"/>
  <c r="Z47" i="418"/>
  <c r="AA47" i="418"/>
  <c r="S48" i="418"/>
  <c r="W48" i="418"/>
  <c r="U48" i="418"/>
  <c r="V48" i="418"/>
  <c r="X48" i="418"/>
  <c r="Y48" i="418"/>
  <c r="Z48" i="418"/>
  <c r="AA48" i="418"/>
  <c r="S49" i="418"/>
  <c r="T49" i="418"/>
  <c r="U49" i="418"/>
  <c r="V49" i="418"/>
  <c r="W49" i="418"/>
  <c r="X49" i="418"/>
  <c r="Y49" i="418"/>
  <c r="Z49" i="418"/>
  <c r="AA49" i="418"/>
  <c r="S50" i="418"/>
  <c r="U50" i="418"/>
  <c r="V50" i="418"/>
  <c r="W50" i="418"/>
  <c r="X50" i="418"/>
  <c r="Y50" i="418"/>
  <c r="Z50" i="418"/>
  <c r="AA50" i="418"/>
  <c r="S51" i="418"/>
  <c r="W51" i="418"/>
  <c r="U51" i="418"/>
  <c r="V51" i="418"/>
  <c r="X51" i="418"/>
  <c r="Y51" i="418"/>
  <c r="Z51" i="418"/>
  <c r="AA51" i="418"/>
  <c r="S53" i="418"/>
  <c r="T53" i="418"/>
  <c r="U53" i="418"/>
  <c r="V53" i="418"/>
  <c r="W53" i="418"/>
  <c r="X53" i="418"/>
  <c r="Y53" i="418"/>
  <c r="Z53" i="418"/>
  <c r="AA53" i="418"/>
  <c r="S54" i="418"/>
  <c r="S55" i="418"/>
  <c r="S56" i="418"/>
  <c r="S57" i="418"/>
  <c r="S58" i="418"/>
  <c r="U58" i="418"/>
  <c r="V58" i="418"/>
  <c r="W58" i="418"/>
  <c r="X58" i="418"/>
  <c r="Y58" i="418"/>
  <c r="Z58" i="418"/>
  <c r="AA58" i="418"/>
  <c r="S59" i="418"/>
  <c r="S60" i="418"/>
  <c r="S61" i="418"/>
  <c r="S62" i="418"/>
  <c r="S63" i="418"/>
  <c r="U63" i="418"/>
  <c r="V63" i="418"/>
  <c r="W63" i="418"/>
  <c r="X63" i="418"/>
  <c r="Y63" i="418"/>
  <c r="Z63" i="418"/>
  <c r="AA63" i="418"/>
  <c r="O63" i="418"/>
  <c r="T63" i="418"/>
  <c r="V59" i="418"/>
  <c r="R61" i="418"/>
  <c r="R60" i="418"/>
  <c r="R59" i="418"/>
  <c r="O51" i="418"/>
  <c r="O50" i="418"/>
  <c r="T50" i="418"/>
  <c r="O48" i="418"/>
  <c r="P48" i="418"/>
  <c r="O46" i="418"/>
  <c r="T46" i="418"/>
  <c r="O45" i="418"/>
  <c r="T45" i="418"/>
  <c r="O44" i="418"/>
  <c r="O43" i="418"/>
  <c r="P43" i="418"/>
  <c r="X38" i="418"/>
  <c r="X4" i="418"/>
  <c r="C39" i="418"/>
  <c r="O40" i="418"/>
  <c r="O15" i="418"/>
  <c r="C10" i="418"/>
  <c r="C13" i="418"/>
  <c r="O13" i="418"/>
  <c r="C17" i="418"/>
  <c r="O17" i="418"/>
  <c r="T17" i="418"/>
  <c r="C18" i="418"/>
  <c r="Z4" i="418"/>
  <c r="C19" i="418"/>
  <c r="C23" i="418"/>
  <c r="C25" i="418"/>
  <c r="C27" i="418"/>
  <c r="AA27" i="418"/>
  <c r="C29" i="418"/>
  <c r="C34" i="418"/>
  <c r="C41" i="418"/>
  <c r="O47" i="418"/>
  <c r="T47" i="418"/>
  <c r="C54" i="418"/>
  <c r="C55" i="418"/>
  <c r="Y55" i="418"/>
  <c r="C56" i="418"/>
  <c r="O58" i="418"/>
  <c r="T58" i="418"/>
  <c r="R16" i="418"/>
  <c r="R15" i="418"/>
  <c r="R14" i="418"/>
  <c r="R13" i="418"/>
  <c r="R12" i="418"/>
  <c r="R10" i="418"/>
  <c r="R11" i="418"/>
  <c r="R17" i="418"/>
  <c r="C9" i="418"/>
  <c r="C5" i="418"/>
  <c r="C6" i="418"/>
  <c r="V6" i="418"/>
  <c r="B28" i="4"/>
  <c r="G39" i="4"/>
  <c r="P49" i="4"/>
  <c r="E31" i="4"/>
  <c r="C61" i="4"/>
  <c r="D62" i="4"/>
  <c r="C62" i="4"/>
  <c r="R54" i="418"/>
  <c r="R30" i="418"/>
  <c r="R31" i="418"/>
  <c r="R32" i="418"/>
  <c r="R34" i="418"/>
  <c r="N34" i="418"/>
  <c r="R8" i="418"/>
  <c r="R7" i="418"/>
  <c r="R6" i="418"/>
  <c r="R5" i="418"/>
  <c r="R9" i="418"/>
  <c r="L47" i="4"/>
  <c r="R18" i="418"/>
  <c r="R19" i="418"/>
  <c r="R20" i="418"/>
  <c r="R21" i="418"/>
  <c r="R23" i="418"/>
  <c r="N23" i="418"/>
  <c r="G12" i="467"/>
  <c r="Q12" i="467"/>
  <c r="O19" i="467"/>
  <c r="T19" i="467"/>
  <c r="S17" i="467"/>
  <c r="S18" i="467"/>
  <c r="R13" i="467"/>
  <c r="R14" i="467"/>
  <c r="R19" i="467"/>
  <c r="S19" i="467"/>
  <c r="S6" i="467"/>
  <c r="S13" i="467"/>
  <c r="S7" i="467"/>
  <c r="S14" i="467"/>
  <c r="S8" i="467"/>
  <c r="S9" i="467"/>
  <c r="S10" i="467"/>
  <c r="S11" i="467"/>
  <c r="S15" i="467"/>
  <c r="S16" i="467"/>
  <c r="P20" i="467"/>
  <c r="AB120" i="467"/>
  <c r="AC120" i="467"/>
  <c r="AD120" i="467"/>
  <c r="U131" i="467"/>
  <c r="V131" i="467"/>
  <c r="W131" i="467"/>
  <c r="X131" i="467"/>
  <c r="Y131" i="467"/>
  <c r="Z131" i="467"/>
  <c r="AA131" i="467"/>
  <c r="U174" i="467"/>
  <c r="U176" i="467"/>
  <c r="V174" i="467"/>
  <c r="V176" i="467"/>
  <c r="W174" i="467"/>
  <c r="W176" i="467"/>
  <c r="X174" i="467"/>
  <c r="X176" i="467"/>
  <c r="Y174" i="467"/>
  <c r="Y176" i="467"/>
  <c r="Z174" i="467"/>
  <c r="Z176" i="467"/>
  <c r="AA174" i="467"/>
  <c r="AA176" i="467"/>
  <c r="R6" i="467"/>
  <c r="R7" i="467"/>
  <c r="S5" i="418"/>
  <c r="F63" i="9"/>
  <c r="G33" i="9"/>
  <c r="G26" i="9"/>
  <c r="G12" i="9"/>
  <c r="G5" i="9"/>
  <c r="N5" i="9"/>
  <c r="N12" i="9"/>
  <c r="N19" i="9"/>
  <c r="R55" i="418"/>
  <c r="R56" i="418"/>
  <c r="R57" i="418"/>
  <c r="R58" i="418"/>
  <c r="AB165" i="418"/>
  <c r="AC165" i="418"/>
  <c r="AD165" i="418"/>
  <c r="U176" i="418"/>
  <c r="V176" i="418"/>
  <c r="W176" i="418"/>
  <c r="X176" i="418"/>
  <c r="Y176" i="418"/>
  <c r="Z176" i="418"/>
  <c r="AA176" i="418"/>
  <c r="U219" i="418"/>
  <c r="U221" i="418"/>
  <c r="V219" i="418"/>
  <c r="V221" i="418"/>
  <c r="W219" i="418"/>
  <c r="W221" i="418"/>
  <c r="X219" i="418"/>
  <c r="X221" i="418"/>
  <c r="Y219" i="418"/>
  <c r="Y221" i="418"/>
  <c r="Z219" i="418"/>
  <c r="Z221" i="418"/>
  <c r="AA219" i="418"/>
  <c r="AA221" i="418"/>
  <c r="D2" i="403"/>
  <c r="F3" i="403"/>
  <c r="F4" i="403"/>
  <c r="F5" i="403"/>
  <c r="F6" i="403"/>
  <c r="F7" i="403"/>
  <c r="F8" i="403"/>
  <c r="G2" i="403"/>
  <c r="H5" i="403"/>
  <c r="J5" i="403"/>
  <c r="C3" i="403"/>
  <c r="C4" i="403"/>
  <c r="C5" i="403"/>
  <c r="C6" i="403"/>
  <c r="C7" i="403"/>
  <c r="C8" i="403"/>
  <c r="D3" i="403"/>
  <c r="G4" i="403"/>
  <c r="D5" i="403"/>
  <c r="I6" i="403"/>
  <c r="E6" i="403"/>
  <c r="D8" i="403"/>
  <c r="G8" i="403"/>
  <c r="C9" i="403"/>
  <c r="D9" i="403"/>
  <c r="D10" i="403"/>
  <c r="D11" i="403"/>
  <c r="D12" i="403"/>
  <c r="D15" i="403"/>
  <c r="D13" i="403"/>
  <c r="E9" i="403"/>
  <c r="E15" i="403"/>
  <c r="F9" i="403"/>
  <c r="F10" i="403"/>
  <c r="F11" i="403"/>
  <c r="F12" i="403"/>
  <c r="F13" i="403"/>
  <c r="G9" i="403"/>
  <c r="G15" i="403"/>
  <c r="H9" i="403"/>
  <c r="I9" i="403"/>
  <c r="I15" i="403"/>
  <c r="J9" i="403"/>
  <c r="J10" i="403"/>
  <c r="J11" i="403"/>
  <c r="J12" i="403"/>
  <c r="J13" i="403"/>
  <c r="C10" i="403"/>
  <c r="E10" i="403"/>
  <c r="G10" i="403"/>
  <c r="G11" i="403"/>
  <c r="G12" i="403"/>
  <c r="G13" i="403"/>
  <c r="H10" i="403"/>
  <c r="I10" i="403"/>
  <c r="C11" i="403"/>
  <c r="E11" i="403"/>
  <c r="H11" i="403"/>
  <c r="H12" i="403"/>
  <c r="H13" i="403"/>
  <c r="I11" i="403"/>
  <c r="C12" i="403"/>
  <c r="E12" i="403"/>
  <c r="I12" i="403"/>
  <c r="I13" i="403"/>
  <c r="C13" i="403"/>
  <c r="E13" i="403"/>
  <c r="Q4" i="397"/>
  <c r="Q5" i="397"/>
  <c r="N7" i="397"/>
  <c r="R7" i="397"/>
  <c r="R8" i="397"/>
  <c r="R9" i="397"/>
  <c r="G10" i="397"/>
  <c r="R10" i="397"/>
  <c r="R11" i="397"/>
  <c r="R12" i="397"/>
  <c r="R13" i="397"/>
  <c r="R14" i="397"/>
  <c r="R15" i="397"/>
  <c r="R16" i="397"/>
  <c r="R17" i="397"/>
  <c r="R18" i="397"/>
  <c r="G19" i="397"/>
  <c r="R19" i="397"/>
  <c r="R20" i="397"/>
  <c r="R21" i="397"/>
  <c r="R22" i="397"/>
  <c r="R23" i="397"/>
  <c r="R24" i="397"/>
  <c r="R25" i="397"/>
  <c r="G26" i="397"/>
  <c r="R26" i="397"/>
  <c r="R27" i="397"/>
  <c r="R28" i="397"/>
  <c r="R29" i="397"/>
  <c r="R30" i="397"/>
  <c r="N24" i="397"/>
  <c r="Q33" i="397"/>
  <c r="Q34" i="397"/>
  <c r="R36" i="397"/>
  <c r="R37" i="397"/>
  <c r="R38" i="397"/>
  <c r="R39" i="397"/>
  <c r="R40" i="397"/>
  <c r="R41" i="397"/>
  <c r="R42" i="397"/>
  <c r="R43" i="397"/>
  <c r="R44" i="397"/>
  <c r="R45" i="397"/>
  <c r="R46" i="397"/>
  <c r="R47" i="397"/>
  <c r="R48" i="397"/>
  <c r="R49" i="397"/>
  <c r="R50" i="397"/>
  <c r="R51" i="397"/>
  <c r="R52" i="397"/>
  <c r="R53" i="397"/>
  <c r="R54" i="397"/>
  <c r="R55" i="397"/>
  <c r="R56" i="397"/>
  <c r="R57" i="397"/>
  <c r="R58" i="397"/>
  <c r="R59" i="397"/>
  <c r="R60" i="397"/>
  <c r="R61" i="397"/>
  <c r="R62" i="397"/>
  <c r="R63" i="397"/>
  <c r="N59" i="397"/>
  <c r="Q101" i="397"/>
  <c r="Q102" i="397"/>
  <c r="R104" i="397"/>
  <c r="R105" i="397"/>
  <c r="R106" i="397"/>
  <c r="R107" i="397"/>
  <c r="R108" i="397"/>
  <c r="R109" i="397"/>
  <c r="R110" i="397"/>
  <c r="R111" i="397"/>
  <c r="R112" i="397"/>
  <c r="R113" i="397"/>
  <c r="R114" i="397"/>
  <c r="R115" i="397"/>
  <c r="R116" i="397"/>
  <c r="R117" i="397"/>
  <c r="R118" i="397"/>
  <c r="R119" i="397"/>
  <c r="R120" i="397"/>
  <c r="R121" i="397"/>
  <c r="R122" i="397"/>
  <c r="R123" i="397"/>
  <c r="R124" i="397"/>
  <c r="R125" i="397"/>
  <c r="R126" i="397"/>
  <c r="R127" i="397"/>
  <c r="R128" i="397"/>
  <c r="R129" i="397"/>
  <c r="N112" i="397"/>
  <c r="N113" i="397"/>
  <c r="N118" i="397"/>
  <c r="N125" i="397"/>
  <c r="N128" i="397"/>
  <c r="Q132" i="397"/>
  <c r="Q133" i="397"/>
  <c r="R135" i="397"/>
  <c r="R136" i="397"/>
  <c r="R137" i="397"/>
  <c r="R138" i="397"/>
  <c r="R139" i="397"/>
  <c r="R140" i="397"/>
  <c r="N141" i="397"/>
  <c r="R141" i="397"/>
  <c r="R142" i="397"/>
  <c r="N143" i="397"/>
  <c r="R143" i="397"/>
  <c r="R144" i="397"/>
  <c r="N145" i="397"/>
  <c r="R145" i="397"/>
  <c r="R146" i="397"/>
  <c r="R147" i="397"/>
  <c r="R148" i="397"/>
  <c r="N149" i="397"/>
  <c r="R149" i="397"/>
  <c r="R150" i="397"/>
  <c r="N151" i="397"/>
  <c r="R151" i="397"/>
  <c r="N152" i="397"/>
  <c r="R152" i="397"/>
  <c r="R153" i="397"/>
  <c r="R154" i="397"/>
  <c r="N155" i="397"/>
  <c r="R155" i="397"/>
  <c r="R156" i="397"/>
  <c r="Q159" i="397"/>
  <c r="Q160" i="397"/>
  <c r="G162" i="397"/>
  <c r="R162" i="397"/>
  <c r="G163" i="397"/>
  <c r="R163" i="397"/>
  <c r="R164" i="397"/>
  <c r="R165" i="397"/>
  <c r="R166" i="397"/>
  <c r="R167" i="397"/>
  <c r="G168" i="397"/>
  <c r="R168" i="397"/>
  <c r="R169" i="397"/>
  <c r="R170" i="397"/>
  <c r="G171" i="397"/>
  <c r="R171" i="397"/>
  <c r="R172" i="397"/>
  <c r="R173" i="397"/>
  <c r="R174" i="397"/>
  <c r="R175" i="397"/>
  <c r="R176" i="397"/>
  <c r="G177" i="397"/>
  <c r="R177" i="397"/>
  <c r="G178" i="397"/>
  <c r="R178" i="397"/>
  <c r="R179" i="397"/>
  <c r="R180" i="397"/>
  <c r="G181" i="397"/>
  <c r="R181" i="397"/>
  <c r="R182" i="397"/>
  <c r="R183" i="397"/>
  <c r="R184" i="397"/>
  <c r="G185" i="397"/>
  <c r="R185" i="397"/>
  <c r="G186" i="397"/>
  <c r="R186" i="397"/>
  <c r="G187" i="397"/>
  <c r="R187" i="397"/>
  <c r="Q190" i="397"/>
  <c r="Q191" i="397"/>
  <c r="R193" i="397"/>
  <c r="R194" i="397"/>
  <c r="R195" i="397"/>
  <c r="R196" i="397"/>
  <c r="R197" i="397"/>
  <c r="R198" i="397"/>
  <c r="R199" i="397"/>
  <c r="R200" i="397"/>
  <c r="R201" i="397"/>
  <c r="R202" i="397"/>
  <c r="R203" i="397"/>
  <c r="R204" i="397"/>
  <c r="R205" i="397"/>
  <c r="R206" i="397"/>
  <c r="R207" i="397"/>
  <c r="R208" i="397"/>
  <c r="R209" i="397"/>
  <c r="R210" i="397"/>
  <c r="R211" i="397"/>
  <c r="R212" i="397"/>
  <c r="R213" i="397"/>
  <c r="R214" i="397"/>
  <c r="R215" i="397"/>
  <c r="N207" i="397"/>
  <c r="Q248" i="397"/>
  <c r="Q249" i="397"/>
  <c r="R251" i="397"/>
  <c r="R252" i="397"/>
  <c r="R253" i="397"/>
  <c r="R254" i="397"/>
  <c r="R255" i="397"/>
  <c r="R256" i="397"/>
  <c r="R257" i="397"/>
  <c r="R258" i="397"/>
  <c r="R259" i="397"/>
  <c r="R260" i="397"/>
  <c r="R261" i="397"/>
  <c r="R262" i="397"/>
  <c r="R263" i="397"/>
  <c r="R264" i="397"/>
  <c r="R265" i="397"/>
  <c r="R266" i="397"/>
  <c r="R267" i="397"/>
  <c r="R268" i="397"/>
  <c r="R269" i="397"/>
  <c r="R270" i="397"/>
  <c r="R271" i="397"/>
  <c r="R272" i="397"/>
  <c r="R273" i="397"/>
  <c r="R274" i="397"/>
  <c r="R275" i="397"/>
  <c r="R276" i="397"/>
  <c r="R277" i="397"/>
  <c r="R278" i="397"/>
  <c r="R279" i="397"/>
  <c r="R280" i="397"/>
  <c r="R281" i="397"/>
  <c r="R282" i="397"/>
  <c r="R283" i="397"/>
  <c r="R284" i="397"/>
  <c r="R285" i="397"/>
  <c r="R286" i="397"/>
  <c r="R287" i="397"/>
  <c r="R288" i="397"/>
  <c r="Q304" i="397"/>
  <c r="R304" i="397"/>
  <c r="O305" i="397"/>
  <c r="P305" i="397"/>
  <c r="N305" i="397"/>
  <c r="Q305" i="397"/>
  <c r="R305" i="397"/>
  <c r="R306" i="397"/>
  <c r="R307" i="397"/>
  <c r="R308" i="397"/>
  <c r="R309" i="397"/>
  <c r="R310" i="397"/>
  <c r="R311" i="397"/>
  <c r="R312" i="397"/>
  <c r="O306" i="397"/>
  <c r="P306" i="397"/>
  <c r="N306" i="397"/>
  <c r="Q306" i="397"/>
  <c r="O307" i="397"/>
  <c r="P307" i="397"/>
  <c r="N307" i="397"/>
  <c r="Q307" i="397"/>
  <c r="O308" i="397"/>
  <c r="P308" i="397"/>
  <c r="N308" i="397"/>
  <c r="Q308" i="397"/>
  <c r="O309" i="397"/>
  <c r="P309" i="397"/>
  <c r="N309" i="397"/>
  <c r="Q309" i="397"/>
  <c r="O310" i="397"/>
  <c r="P310" i="397"/>
  <c r="N310" i="397"/>
  <c r="Q310" i="397"/>
  <c r="O311" i="397"/>
  <c r="P311" i="397"/>
  <c r="N311" i="397"/>
  <c r="Q311" i="397"/>
  <c r="O312" i="397"/>
  <c r="P312" i="397"/>
  <c r="N312" i="397"/>
  <c r="Q312" i="397"/>
  <c r="O314" i="397"/>
  <c r="P314" i="397"/>
  <c r="N314" i="397"/>
  <c r="Q314" i="397"/>
  <c r="R314" i="397"/>
  <c r="R315" i="397"/>
  <c r="R316" i="397"/>
  <c r="R317" i="397"/>
  <c r="R318" i="397"/>
  <c r="R319" i="397"/>
  <c r="R320" i="397"/>
  <c r="R321" i="397"/>
  <c r="O315" i="397"/>
  <c r="P315" i="397"/>
  <c r="N315" i="397"/>
  <c r="Q315" i="397"/>
  <c r="O316" i="397"/>
  <c r="P316" i="397"/>
  <c r="N316" i="397"/>
  <c r="Q316" i="397"/>
  <c r="O317" i="397"/>
  <c r="P317" i="397"/>
  <c r="N317" i="397"/>
  <c r="Q317" i="397"/>
  <c r="O318" i="397"/>
  <c r="P318" i="397"/>
  <c r="N318" i="397"/>
  <c r="Q318" i="397"/>
  <c r="O319" i="397"/>
  <c r="P319" i="397"/>
  <c r="N319" i="397"/>
  <c r="Q319" i="397"/>
  <c r="O320" i="397"/>
  <c r="P320" i="397"/>
  <c r="N320" i="397"/>
  <c r="Q320" i="397"/>
  <c r="O321" i="397"/>
  <c r="P321" i="397"/>
  <c r="N321" i="397"/>
  <c r="Q321" i="397"/>
  <c r="O323" i="397"/>
  <c r="P323" i="397"/>
  <c r="N323" i="397"/>
  <c r="Q323" i="397"/>
  <c r="R323" i="397"/>
  <c r="R324" i="397"/>
  <c r="R325" i="397"/>
  <c r="R327" i="397"/>
  <c r="R326" i="397"/>
  <c r="O324" i="397"/>
  <c r="P324" i="397"/>
  <c r="N324" i="397"/>
  <c r="Q324" i="397"/>
  <c r="O325" i="397"/>
  <c r="P325" i="397"/>
  <c r="N325" i="397"/>
  <c r="Q325" i="397"/>
  <c r="O326" i="397"/>
  <c r="P326" i="397"/>
  <c r="N326" i="397"/>
  <c r="Q326" i="397"/>
  <c r="O328" i="397"/>
  <c r="P328" i="397"/>
  <c r="N328" i="397"/>
  <c r="Q328" i="397"/>
  <c r="R328" i="397"/>
  <c r="O329" i="397"/>
  <c r="P329" i="397"/>
  <c r="N329" i="397"/>
  <c r="Q329" i="397"/>
  <c r="R329" i="397"/>
  <c r="O330" i="397"/>
  <c r="P330" i="397"/>
  <c r="N330" i="397"/>
  <c r="Q330" i="397"/>
  <c r="R330" i="397"/>
  <c r="O331" i="397"/>
  <c r="P331" i="397"/>
  <c r="N331" i="397"/>
  <c r="Q331" i="397"/>
  <c r="R331" i="397"/>
  <c r="O332" i="397"/>
  <c r="P332" i="397"/>
  <c r="N332" i="397"/>
  <c r="Q332" i="397"/>
  <c r="R332" i="397"/>
  <c r="O333" i="397"/>
  <c r="P333" i="397"/>
  <c r="N333" i="397"/>
  <c r="Q333" i="397"/>
  <c r="R333" i="397"/>
  <c r="O334" i="397"/>
  <c r="P334" i="397"/>
  <c r="N334" i="397"/>
  <c r="Q334" i="397"/>
  <c r="R334" i="397"/>
  <c r="O335" i="397"/>
  <c r="P335" i="397"/>
  <c r="N335" i="397"/>
  <c r="Q335" i="397"/>
  <c r="R335" i="397"/>
  <c r="O336" i="397"/>
  <c r="P336" i="397"/>
  <c r="N336" i="397"/>
  <c r="Q336" i="397"/>
  <c r="R336" i="397"/>
  <c r="O337" i="397"/>
  <c r="P337" i="397"/>
  <c r="N337" i="397"/>
  <c r="Q337" i="397"/>
  <c r="R337" i="397"/>
  <c r="O338" i="397"/>
  <c r="P338" i="397"/>
  <c r="N338" i="397"/>
  <c r="Q338" i="397"/>
  <c r="R338" i="397"/>
  <c r="O339" i="397"/>
  <c r="P339" i="397"/>
  <c r="N339" i="397"/>
  <c r="Q339" i="397"/>
  <c r="R339" i="397"/>
  <c r="O340" i="397"/>
  <c r="P340" i="397"/>
  <c r="N340" i="397"/>
  <c r="Q340" i="397"/>
  <c r="R340" i="397"/>
  <c r="O341" i="397"/>
  <c r="P341" i="397"/>
  <c r="N341" i="397"/>
  <c r="Q341" i="397"/>
  <c r="R341" i="397"/>
  <c r="O342" i="397"/>
  <c r="P342" i="397"/>
  <c r="N342" i="397"/>
  <c r="Q342" i="397"/>
  <c r="R342" i="397"/>
  <c r="O343" i="397"/>
  <c r="P343" i="397"/>
  <c r="N343" i="397"/>
  <c r="Q343" i="397"/>
  <c r="R343" i="397"/>
  <c r="O344" i="397"/>
  <c r="P344" i="397"/>
  <c r="N344" i="397"/>
  <c r="Q344" i="397"/>
  <c r="R344" i="397"/>
  <c r="E15" i="463"/>
  <c r="O5" i="9"/>
  <c r="O12" i="9"/>
  <c r="G19" i="9"/>
  <c r="O19" i="9"/>
  <c r="N26" i="9"/>
  <c r="O26" i="9"/>
  <c r="N33" i="9"/>
  <c r="O33" i="9"/>
  <c r="B59" i="9"/>
  <c r="C59" i="9"/>
  <c r="D59" i="9"/>
  <c r="I59" i="9"/>
  <c r="E59" i="9"/>
  <c r="F59" i="9"/>
  <c r="G59" i="9"/>
  <c r="H59" i="9"/>
  <c r="B61" i="9"/>
  <c r="C61" i="9"/>
  <c r="D61" i="9"/>
  <c r="E61" i="9"/>
  <c r="E62" i="9"/>
  <c r="F61" i="9"/>
  <c r="G61" i="9"/>
  <c r="H61" i="9"/>
  <c r="B63" i="9"/>
  <c r="C63" i="9"/>
  <c r="D63" i="9"/>
  <c r="E63" i="9"/>
  <c r="G63" i="9"/>
  <c r="H63" i="9"/>
  <c r="I65" i="9"/>
  <c r="B67" i="9"/>
  <c r="D67" i="9"/>
  <c r="E67" i="9"/>
  <c r="F67" i="9"/>
  <c r="G67" i="9"/>
  <c r="H67" i="9"/>
  <c r="K67" i="9"/>
  <c r="B69" i="9"/>
  <c r="I69" i="9"/>
  <c r="C69" i="9"/>
  <c r="D69" i="9"/>
  <c r="E69" i="9"/>
  <c r="F69" i="9"/>
  <c r="G69" i="9"/>
  <c r="H69" i="9"/>
  <c r="B71" i="9"/>
  <c r="C71" i="9"/>
  <c r="I71" i="9"/>
  <c r="D71" i="9"/>
  <c r="E71" i="9"/>
  <c r="F71" i="9"/>
  <c r="G71" i="9"/>
  <c r="H71" i="9"/>
  <c r="B73" i="9"/>
  <c r="I73" i="9"/>
  <c r="C73" i="9"/>
  <c r="D73" i="9"/>
  <c r="D74" i="9"/>
  <c r="E73" i="9"/>
  <c r="F73" i="9"/>
  <c r="G73" i="9"/>
  <c r="B75" i="9"/>
  <c r="C75" i="9"/>
  <c r="D75" i="9"/>
  <c r="E75" i="9"/>
  <c r="F75" i="9"/>
  <c r="G75" i="9"/>
  <c r="H75" i="9"/>
  <c r="B77" i="9"/>
  <c r="C77" i="9"/>
  <c r="D77" i="9"/>
  <c r="E77" i="9"/>
  <c r="F77" i="9"/>
  <c r="G77" i="9"/>
  <c r="H77" i="9"/>
  <c r="I77" i="9"/>
  <c r="F78" i="9"/>
  <c r="P4" i="8"/>
  <c r="Q4" i="8"/>
  <c r="D3" i="14"/>
  <c r="R4" i="8"/>
  <c r="G3" i="14"/>
  <c r="S4" i="8"/>
  <c r="I3" i="14"/>
  <c r="T4" i="8"/>
  <c r="K3" i="14"/>
  <c r="U4" i="8"/>
  <c r="M3" i="14"/>
  <c r="M4" i="14"/>
  <c r="V4" i="8"/>
  <c r="V5" i="8"/>
  <c r="V6" i="8"/>
  <c r="V7" i="8"/>
  <c r="U5" i="8"/>
  <c r="M5" i="14"/>
  <c r="M6" i="14"/>
  <c r="D18" i="8"/>
  <c r="P10" i="8"/>
  <c r="B15" i="14"/>
  <c r="B16" i="14"/>
  <c r="F18" i="8"/>
  <c r="G18" i="8"/>
  <c r="S10" i="8"/>
  <c r="I15" i="14"/>
  <c r="H18" i="8"/>
  <c r="I18" i="8"/>
  <c r="C17" i="8"/>
  <c r="F13" i="8"/>
  <c r="Q11" i="8"/>
  <c r="Q12" i="8"/>
  <c r="Q13" i="8"/>
  <c r="Q14" i="8"/>
  <c r="Q15" i="8"/>
  <c r="R12" i="8"/>
  <c r="R14" i="8"/>
  <c r="R15" i="8"/>
  <c r="S12" i="8"/>
  <c r="U12" i="8"/>
  <c r="S13" i="8"/>
  <c r="U13" i="8"/>
  <c r="S14" i="8"/>
  <c r="U14" i="8"/>
  <c r="U15" i="8"/>
  <c r="S15" i="8"/>
  <c r="C16" i="8"/>
  <c r="O16" i="8"/>
  <c r="D20" i="14"/>
  <c r="O17" i="8"/>
  <c r="V18" i="8"/>
  <c r="B9" i="14"/>
  <c r="B10" i="14"/>
  <c r="I9" i="14"/>
  <c r="B11" i="14"/>
  <c r="B12" i="14"/>
  <c r="D11" i="14"/>
  <c r="E12" i="14"/>
  <c r="K11" i="14"/>
  <c r="K12" i="14"/>
  <c r="M11" i="14"/>
  <c r="M12" i="14"/>
  <c r="X8" i="4"/>
  <c r="Y8" i="4"/>
  <c r="Z8" i="4"/>
  <c r="AA8" i="4"/>
  <c r="AB8" i="4"/>
  <c r="AC8" i="4"/>
  <c r="X9" i="4"/>
  <c r="Y9" i="4"/>
  <c r="Z9" i="4"/>
  <c r="AA9" i="4"/>
  <c r="AB9" i="4"/>
  <c r="AC9" i="4"/>
  <c r="X10" i="4"/>
  <c r="Y10" i="4"/>
  <c r="Z10" i="4"/>
  <c r="AA10" i="4"/>
  <c r="AB10" i="4"/>
  <c r="AC10" i="4"/>
  <c r="X11" i="4"/>
  <c r="Y11" i="4"/>
  <c r="Z11" i="4"/>
  <c r="AA11" i="4"/>
  <c r="AB11" i="4"/>
  <c r="AC11" i="4"/>
  <c r="X12" i="4"/>
  <c r="Y12" i="4"/>
  <c r="Z12" i="4"/>
  <c r="AA12" i="4"/>
  <c r="AB12" i="4"/>
  <c r="AC12" i="4"/>
  <c r="X13" i="4"/>
  <c r="Y13" i="4"/>
  <c r="Z13" i="4"/>
  <c r="AA13" i="4"/>
  <c r="AB13" i="4"/>
  <c r="AC13" i="4"/>
  <c r="X14" i="4"/>
  <c r="Y14" i="4"/>
  <c r="Z14" i="4"/>
  <c r="AA14" i="4"/>
  <c r="AB14" i="4"/>
  <c r="AC14" i="4"/>
  <c r="X15" i="4"/>
  <c r="Y15" i="4"/>
  <c r="Z15" i="4"/>
  <c r="AA15" i="4"/>
  <c r="AB15" i="4"/>
  <c r="AC15" i="4"/>
  <c r="X16" i="4"/>
  <c r="Y16" i="4"/>
  <c r="Z16" i="4"/>
  <c r="AA16" i="4"/>
  <c r="AB16" i="4"/>
  <c r="AC16" i="4"/>
  <c r="X17" i="4"/>
  <c r="Y17" i="4"/>
  <c r="Z17" i="4"/>
  <c r="AA17" i="4"/>
  <c r="AB17" i="4"/>
  <c r="AC17" i="4"/>
  <c r="X18" i="4"/>
  <c r="Y18" i="4"/>
  <c r="Z18" i="4"/>
  <c r="AA18" i="4"/>
  <c r="AB18" i="4"/>
  <c r="AC18" i="4"/>
  <c r="X19" i="4"/>
  <c r="Y19" i="4"/>
  <c r="Z19" i="4"/>
  <c r="AA19" i="4"/>
  <c r="AB19" i="4"/>
  <c r="AC19" i="4"/>
  <c r="X20" i="4"/>
  <c r="Y20" i="4"/>
  <c r="Z20" i="4"/>
  <c r="AA20" i="4"/>
  <c r="AB20" i="4"/>
  <c r="AC20" i="4"/>
  <c r="X21" i="4"/>
  <c r="Y21" i="4"/>
  <c r="Z21" i="4"/>
  <c r="AA21" i="4"/>
  <c r="AB21" i="4"/>
  <c r="AC21" i="4"/>
  <c r="X22" i="4"/>
  <c r="Y22" i="4"/>
  <c r="Z22" i="4"/>
  <c r="AA22" i="4"/>
  <c r="AB22" i="4"/>
  <c r="AC22" i="4"/>
  <c r="X23" i="4"/>
  <c r="Y23" i="4"/>
  <c r="Z23" i="4"/>
  <c r="AA23" i="4"/>
  <c r="AB23" i="4"/>
  <c r="AC23" i="4"/>
  <c r="X24" i="4"/>
  <c r="Y24" i="4"/>
  <c r="Z24" i="4"/>
  <c r="AA24" i="4"/>
  <c r="AB24" i="4"/>
  <c r="AC24" i="4"/>
  <c r="X25" i="4"/>
  <c r="Y25" i="4"/>
  <c r="Z25" i="4"/>
  <c r="AA25" i="4"/>
  <c r="AB25" i="4"/>
  <c r="AC25" i="4"/>
  <c r="X26" i="4"/>
  <c r="Y26" i="4"/>
  <c r="Z26" i="4"/>
  <c r="AA26" i="4"/>
  <c r="AB26" i="4"/>
  <c r="AC26" i="4"/>
  <c r="H13" i="8"/>
  <c r="T13" i="8"/>
  <c r="X5" i="418"/>
  <c r="D12" i="8"/>
  <c r="C11" i="418"/>
  <c r="P45" i="418"/>
  <c r="Y15" i="418"/>
  <c r="Q10" i="8"/>
  <c r="D15" i="14"/>
  <c r="E16" i="14"/>
  <c r="R10" i="8"/>
  <c r="G15" i="14"/>
  <c r="G16" i="14"/>
  <c r="R18" i="8"/>
  <c r="E35" i="4"/>
  <c r="F35" i="4"/>
  <c r="G35" i="4"/>
  <c r="N49" i="4"/>
  <c r="W31" i="418"/>
  <c r="C36" i="418"/>
  <c r="C37" i="418"/>
  <c r="AA37" i="418"/>
  <c r="C14" i="418"/>
  <c r="O10" i="418"/>
  <c r="V10" i="418"/>
  <c r="O6" i="418"/>
  <c r="P6" i="418"/>
  <c r="N6" i="418"/>
  <c r="T59" i="418"/>
  <c r="Z62" i="418"/>
  <c r="Y59" i="418"/>
  <c r="U59" i="418"/>
  <c r="Z6" i="418"/>
  <c r="Q18" i="8"/>
  <c r="U18" i="8"/>
  <c r="U54" i="418"/>
  <c r="Z54" i="418"/>
  <c r="U34" i="418"/>
  <c r="Y34" i="418"/>
  <c r="V34" i="418"/>
  <c r="Z34" i="418"/>
  <c r="W34" i="418"/>
  <c r="AA34" i="418"/>
  <c r="X34" i="418"/>
  <c r="X21" i="418"/>
  <c r="Z21" i="418"/>
  <c r="T43" i="418"/>
  <c r="P51" i="418"/>
  <c r="T51" i="418"/>
  <c r="N46" i="4"/>
  <c r="U56" i="418"/>
  <c r="Y56" i="418"/>
  <c r="V56" i="418"/>
  <c r="Z56" i="418"/>
  <c r="W56" i="418"/>
  <c r="AA56" i="418"/>
  <c r="O56" i="418"/>
  <c r="X56" i="418"/>
  <c r="V37" i="418"/>
  <c r="Z37" i="418"/>
  <c r="W37" i="418"/>
  <c r="X37" i="418"/>
  <c r="O37" i="418"/>
  <c r="P37" i="418"/>
  <c r="N37" i="418"/>
  <c r="U37" i="418"/>
  <c r="U30" i="418"/>
  <c r="Y30" i="418"/>
  <c r="V30" i="418"/>
  <c r="Z30" i="418"/>
  <c r="W30" i="418"/>
  <c r="AA30" i="418"/>
  <c r="X30" i="418"/>
  <c r="D63" i="4"/>
  <c r="D64" i="4"/>
  <c r="O55" i="418"/>
  <c r="W29" i="418"/>
  <c r="X27" i="418"/>
  <c r="U27" i="418"/>
  <c r="Y27" i="418"/>
  <c r="V27" i="418"/>
  <c r="Z27" i="418"/>
  <c r="X17" i="418"/>
  <c r="U17" i="418"/>
  <c r="Y17" i="418"/>
  <c r="V17" i="418"/>
  <c r="Z17" i="418"/>
  <c r="P44" i="418"/>
  <c r="T44" i="418"/>
  <c r="T48" i="418"/>
  <c r="Y29" i="418"/>
  <c r="W27" i="418"/>
  <c r="U15" i="418"/>
  <c r="X9" i="418"/>
  <c r="Z9" i="418"/>
  <c r="V55" i="418"/>
  <c r="Z55" i="418"/>
  <c r="W55" i="418"/>
  <c r="AA55" i="418"/>
  <c r="X55" i="418"/>
  <c r="X31" i="418"/>
  <c r="U31" i="418"/>
  <c r="Y31" i="418"/>
  <c r="V31" i="418"/>
  <c r="Z31" i="418"/>
  <c r="W23" i="418"/>
  <c r="AA23" i="418"/>
  <c r="X23" i="418"/>
  <c r="U23" i="418"/>
  <c r="Y23" i="418"/>
  <c r="U20" i="418"/>
  <c r="AA20" i="418"/>
  <c r="X13" i="418"/>
  <c r="U13" i="418"/>
  <c r="Y13" i="418"/>
  <c r="V13" i="418"/>
  <c r="Z13" i="418"/>
  <c r="Z11" i="418"/>
  <c r="W10" i="418"/>
  <c r="AA10" i="418"/>
  <c r="X10" i="418"/>
  <c r="U10" i="418"/>
  <c r="Y10" i="418"/>
  <c r="X39" i="418"/>
  <c r="Z39" i="418"/>
  <c r="T38" i="418"/>
  <c r="U55" i="418"/>
  <c r="Z23" i="418"/>
  <c r="AA17" i="418"/>
  <c r="AA13" i="418"/>
  <c r="W6" i="418"/>
  <c r="AA6" i="418"/>
  <c r="X6" i="418"/>
  <c r="U6" i="418"/>
  <c r="Y6" i="418"/>
  <c r="Y41" i="418"/>
  <c r="AA41" i="418"/>
  <c r="V15" i="418"/>
  <c r="Z15" i="418"/>
  <c r="W15" i="418"/>
  <c r="AA15" i="418"/>
  <c r="X15" i="418"/>
  <c r="U38" i="418"/>
  <c r="Y38" i="418"/>
  <c r="V38" i="418"/>
  <c r="Z38" i="418"/>
  <c r="W38" i="418"/>
  <c r="AA38" i="418"/>
  <c r="AA31" i="418"/>
  <c r="V23" i="418"/>
  <c r="W17" i="418"/>
  <c r="W13" i="418"/>
  <c r="Z10" i="418"/>
  <c r="P46" i="418"/>
  <c r="P50" i="418"/>
  <c r="Z61" i="418"/>
  <c r="X59" i="418"/>
  <c r="Z60" i="418"/>
  <c r="AA59" i="418"/>
  <c r="W59" i="418"/>
  <c r="AA62" i="418"/>
  <c r="Z59" i="418"/>
  <c r="X4" i="481"/>
  <c r="X5" i="481"/>
  <c r="T31" i="418"/>
  <c r="T10" i="418"/>
  <c r="P10" i="418"/>
  <c r="N10" i="418"/>
  <c r="L11" i="418"/>
  <c r="V14" i="418"/>
  <c r="K132" i="397"/>
  <c r="N47" i="4"/>
  <c r="V33" i="418"/>
  <c r="X33" i="418"/>
  <c r="T37" i="418"/>
  <c r="T30" i="418"/>
  <c r="X36" i="418"/>
  <c r="G37" i="4"/>
  <c r="K160" i="397"/>
  <c r="E37" i="4"/>
  <c r="F37" i="4"/>
  <c r="O48" i="4"/>
  <c r="U60" i="418"/>
  <c r="V60" i="418"/>
  <c r="Y60" i="418"/>
  <c r="X60" i="418"/>
  <c r="AA60" i="418"/>
  <c r="W60" i="418"/>
  <c r="C90" i="9"/>
  <c r="X41" i="418"/>
  <c r="V41" i="418"/>
  <c r="Z41" i="418"/>
  <c r="U41" i="418"/>
  <c r="W41" i="418"/>
  <c r="AA29" i="418"/>
  <c r="V29" i="418"/>
  <c r="X29" i="418"/>
  <c r="Z29" i="418"/>
  <c r="U29" i="418"/>
  <c r="O39" i="418"/>
  <c r="W39" i="418"/>
  <c r="U39" i="418"/>
  <c r="Y39" i="418"/>
  <c r="AA39" i="418"/>
  <c r="V39" i="418"/>
  <c r="W61" i="418"/>
  <c r="V61" i="418"/>
  <c r="AA61" i="418"/>
  <c r="Y61" i="418"/>
  <c r="X61" i="418"/>
  <c r="U61" i="418"/>
  <c r="W62" i="418"/>
  <c r="X62" i="418"/>
  <c r="Y62" i="418"/>
  <c r="V62" i="418"/>
  <c r="U62" i="418"/>
  <c r="T6" i="418"/>
  <c r="N48" i="4"/>
  <c r="K133" i="397"/>
  <c r="C134" i="397"/>
  <c r="C138" i="397"/>
  <c r="O138" i="397"/>
  <c r="P138" i="397"/>
  <c r="N138" i="397"/>
  <c r="O12" i="467"/>
  <c r="T12" i="467"/>
  <c r="S12" i="467"/>
  <c r="F29" i="4"/>
  <c r="K48" i="4"/>
  <c r="V18" i="418"/>
  <c r="X18" i="418"/>
  <c r="O18" i="418"/>
  <c r="U18" i="418"/>
  <c r="W18" i="418"/>
  <c r="Y18" i="418"/>
  <c r="Z18" i="418"/>
  <c r="AA18" i="418"/>
  <c r="U9" i="418"/>
  <c r="Y9" i="418"/>
  <c r="V9" i="418"/>
  <c r="AA9" i="418"/>
  <c r="W9" i="418"/>
  <c r="W54" i="418"/>
  <c r="Y54" i="418"/>
  <c r="AA54" i="418"/>
  <c r="O54" i="418"/>
  <c r="X54" i="418"/>
  <c r="V54" i="418"/>
  <c r="T40" i="418"/>
  <c r="P40" i="418"/>
  <c r="N40" i="418"/>
  <c r="X4" i="394"/>
  <c r="X4" i="467"/>
  <c r="I10" i="14"/>
  <c r="AA16" i="418"/>
  <c r="U32" i="418"/>
  <c r="C7" i="418"/>
  <c r="E33" i="4"/>
  <c r="F31" i="4"/>
  <c r="L48" i="4"/>
  <c r="G29" i="4"/>
  <c r="K5" i="397"/>
  <c r="E39" i="4"/>
  <c r="F33" i="4"/>
  <c r="M48" i="4"/>
  <c r="G31" i="4"/>
  <c r="F39" i="4"/>
  <c r="K191" i="397"/>
  <c r="G33" i="4"/>
  <c r="E29" i="4"/>
  <c r="T62" i="418"/>
  <c r="H47" i="9"/>
  <c r="A33" i="9"/>
  <c r="H90" i="9"/>
  <c r="E90" i="9"/>
  <c r="B90" i="9"/>
  <c r="D90" i="9"/>
  <c r="I90" i="9"/>
  <c r="F90" i="9"/>
  <c r="G90" i="9"/>
  <c r="I79" i="9"/>
  <c r="F80" i="9"/>
  <c r="I81" i="9"/>
  <c r="E82" i="9"/>
  <c r="I83" i="9"/>
  <c r="D84" i="9"/>
  <c r="I85" i="9"/>
  <c r="I87" i="9"/>
  <c r="F88" i="9"/>
  <c r="P39" i="418"/>
  <c r="N39" i="418"/>
  <c r="T39" i="418"/>
  <c r="V4" i="394"/>
  <c r="V4" i="467"/>
  <c r="T54" i="418"/>
  <c r="P54" i="418"/>
  <c r="N54" i="418"/>
  <c r="L55" i="418"/>
  <c r="E78" i="9"/>
  <c r="H78" i="9"/>
  <c r="O49" i="4"/>
  <c r="Z4" i="394"/>
  <c r="Z4" i="467"/>
  <c r="T18" i="418"/>
  <c r="P18" i="418"/>
  <c r="N18" i="418"/>
  <c r="L19" i="418"/>
  <c r="T60" i="418"/>
  <c r="O47" i="4"/>
  <c r="D80" i="9"/>
  <c r="B80" i="9"/>
  <c r="E80" i="9"/>
  <c r="H80" i="9"/>
  <c r="K102" i="397"/>
  <c r="M49" i="4"/>
  <c r="K49" i="4"/>
  <c r="E86" i="9"/>
  <c r="H86" i="9"/>
  <c r="F86" i="9"/>
  <c r="D86" i="9"/>
  <c r="G86" i="9"/>
  <c r="P48" i="4"/>
  <c r="P47" i="4"/>
  <c r="K190" i="397"/>
  <c r="C193" i="397"/>
  <c r="C210" i="397"/>
  <c r="O210" i="397"/>
  <c r="P210" i="397"/>
  <c r="N210" i="397"/>
  <c r="O7" i="418"/>
  <c r="AA7" i="418"/>
  <c r="Y7" i="418"/>
  <c r="V7" i="418"/>
  <c r="X7" i="418"/>
  <c r="Z7" i="418"/>
  <c r="U7" i="418"/>
  <c r="W7" i="418"/>
  <c r="G41" i="4"/>
  <c r="F41" i="4"/>
  <c r="E41" i="4"/>
  <c r="K33" i="397"/>
  <c r="C35" i="397"/>
  <c r="C43" i="397"/>
  <c r="O43" i="397"/>
  <c r="P43" i="397"/>
  <c r="N43" i="397"/>
  <c r="V4" i="481"/>
  <c r="L46" i="4"/>
  <c r="M47" i="4"/>
  <c r="Z32" i="418"/>
  <c r="W32" i="418"/>
  <c r="Y32" i="418"/>
  <c r="AA32" i="418"/>
  <c r="X32" i="418"/>
  <c r="V32" i="418"/>
  <c r="D88" i="9"/>
  <c r="G88" i="9"/>
  <c r="B88" i="9"/>
  <c r="C88" i="9"/>
  <c r="C84" i="9"/>
  <c r="F84" i="9"/>
  <c r="B84" i="9"/>
  <c r="G84" i="9"/>
  <c r="E84" i="9"/>
  <c r="H82" i="9"/>
  <c r="F82" i="9"/>
  <c r="D82" i="9"/>
  <c r="C82" i="9"/>
  <c r="K47" i="4"/>
  <c r="P46" i="4"/>
  <c r="Z4" i="481"/>
  <c r="Y16" i="418"/>
  <c r="X16" i="418"/>
  <c r="Z16" i="418"/>
  <c r="O16" i="418"/>
  <c r="T16" i="418"/>
  <c r="AA4" i="394"/>
  <c r="AA4" i="467"/>
  <c r="AA12" i="467"/>
  <c r="P16" i="418"/>
  <c r="N16" i="418"/>
  <c r="Z5" i="481"/>
  <c r="Q49" i="4"/>
  <c r="K249" i="397"/>
  <c r="V5" i="481"/>
  <c r="C15" i="481"/>
  <c r="AA4" i="481"/>
  <c r="Q46" i="4"/>
  <c r="T7" i="418"/>
  <c r="P7" i="418"/>
  <c r="N7" i="418"/>
  <c r="Z5" i="467"/>
  <c r="K248" i="397"/>
  <c r="Q47" i="4"/>
  <c r="K301" i="397"/>
  <c r="C8" i="481"/>
  <c r="AA20" i="481"/>
  <c r="F13" i="38"/>
  <c r="D13" i="38"/>
  <c r="H13" i="38"/>
  <c r="I13" i="38"/>
  <c r="G13" i="38"/>
  <c r="E13" i="38"/>
  <c r="C13" i="38"/>
  <c r="B13" i="38"/>
  <c r="C14" i="38"/>
  <c r="B14" i="38"/>
  <c r="C251" i="397"/>
  <c r="C255" i="397"/>
  <c r="O255" i="397"/>
  <c r="P255" i="397"/>
  <c r="N255" i="397"/>
  <c r="C6" i="481"/>
  <c r="C10" i="481"/>
  <c r="AA5" i="481"/>
  <c r="AA12" i="481"/>
  <c r="K34" i="397"/>
  <c r="L49" i="4"/>
  <c r="I44" i="38"/>
  <c r="Q48" i="4"/>
  <c r="K302" i="397"/>
  <c r="C304" i="397"/>
  <c r="O304" i="397"/>
  <c r="P304" i="397"/>
  <c r="N304" i="397"/>
  <c r="N313" i="397"/>
  <c r="N345" i="397"/>
  <c r="H44" i="38"/>
  <c r="O5" i="418"/>
  <c r="U5" i="418"/>
  <c r="Y5" i="418"/>
  <c r="V5" i="418"/>
  <c r="AA5" i="418"/>
  <c r="W5" i="418"/>
  <c r="Z5" i="418"/>
  <c r="X25" i="418"/>
  <c r="O25" i="418"/>
  <c r="W25" i="418"/>
  <c r="Z25" i="418"/>
  <c r="U25" i="418"/>
  <c r="Y25" i="418"/>
  <c r="V25" i="418"/>
  <c r="AA25" i="418"/>
  <c r="Z19" i="418"/>
  <c r="AA19" i="418"/>
  <c r="V19" i="418"/>
  <c r="O19" i="418"/>
  <c r="Y19" i="418"/>
  <c r="X19" i="418"/>
  <c r="W19" i="418"/>
  <c r="U19" i="418"/>
  <c r="T15" i="418"/>
  <c r="P15" i="418"/>
  <c r="N15" i="418"/>
  <c r="T56" i="418"/>
  <c r="P56" i="418"/>
  <c r="N56" i="418"/>
  <c r="U14" i="418"/>
  <c r="Z14" i="418"/>
  <c r="W14" i="418"/>
  <c r="X14" i="418"/>
  <c r="O14" i="418"/>
  <c r="D78" i="9"/>
  <c r="G78" i="9"/>
  <c r="B78" i="9"/>
  <c r="I78" i="9"/>
  <c r="C78" i="9"/>
  <c r="I75" i="9"/>
  <c r="D76" i="9"/>
  <c r="I61" i="9"/>
  <c r="D62" i="9"/>
  <c r="Z33" i="418"/>
  <c r="U33" i="418"/>
  <c r="W33" i="418"/>
  <c r="Y33" i="418"/>
  <c r="AA33" i="418"/>
  <c r="T61" i="418"/>
  <c r="U11" i="418"/>
  <c r="W11" i="418"/>
  <c r="Y11" i="418"/>
  <c r="AA11" i="418"/>
  <c r="V11" i="418"/>
  <c r="X11" i="418"/>
  <c r="V10" i="8"/>
  <c r="C28" i="418"/>
  <c r="C57" i="418"/>
  <c r="C8" i="418"/>
  <c r="E44" i="38"/>
  <c r="G44" i="38"/>
  <c r="D44" i="38"/>
  <c r="V16" i="418"/>
  <c r="U16" i="418"/>
  <c r="O11" i="418"/>
  <c r="H15" i="8"/>
  <c r="T15" i="8"/>
  <c r="S18" i="8"/>
  <c r="R216" i="397"/>
  <c r="S216" i="397"/>
  <c r="L65" i="9"/>
  <c r="P65" i="9"/>
  <c r="M65" i="9"/>
  <c r="U7" i="8"/>
  <c r="M9" i="14"/>
  <c r="M10" i="14"/>
  <c r="U6" i="8"/>
  <c r="M7" i="14"/>
  <c r="M8" i="14"/>
  <c r="J15" i="8"/>
  <c r="V15" i="8"/>
  <c r="H12" i="8"/>
  <c r="T12" i="8"/>
  <c r="Y37" i="418"/>
  <c r="R12" i="467"/>
  <c r="R63" i="418"/>
  <c r="A40" i="9"/>
  <c r="C12" i="418"/>
  <c r="C35" i="418"/>
  <c r="A47" i="9"/>
  <c r="R20" i="481"/>
  <c r="F18" i="488"/>
  <c r="F45" i="488"/>
  <c r="F44" i="488"/>
  <c r="F43" i="488"/>
  <c r="F42" i="488"/>
  <c r="F41" i="488"/>
  <c r="F40" i="488"/>
  <c r="F39" i="488"/>
  <c r="F38" i="488"/>
  <c r="F37" i="488"/>
  <c r="F36" i="488"/>
  <c r="F35" i="488"/>
  <c r="F34" i="488"/>
  <c r="F33" i="488"/>
  <c r="F32" i="488"/>
  <c r="F31" i="488"/>
  <c r="F30" i="488"/>
  <c r="F29" i="488"/>
  <c r="F28" i="488"/>
  <c r="F27" i="488"/>
  <c r="F26" i="488"/>
  <c r="F25" i="488"/>
  <c r="F24" i="488"/>
  <c r="F23" i="488"/>
  <c r="F22" i="488"/>
  <c r="F21" i="488"/>
  <c r="F17" i="488"/>
  <c r="H5" i="9"/>
  <c r="G43" i="38"/>
  <c r="H43" i="38"/>
  <c r="X4" i="404"/>
  <c r="G17" i="488"/>
  <c r="D18" i="488"/>
  <c r="D45" i="488"/>
  <c r="D44" i="488"/>
  <c r="D43" i="488"/>
  <c r="D42" i="488"/>
  <c r="D41" i="488"/>
  <c r="D40" i="488"/>
  <c r="D39" i="488"/>
  <c r="D38" i="488"/>
  <c r="D37" i="488"/>
  <c r="D36" i="488"/>
  <c r="D35" i="488"/>
  <c r="D34" i="488"/>
  <c r="D33" i="488"/>
  <c r="D32" i="488"/>
  <c r="D31" i="488"/>
  <c r="D30" i="488"/>
  <c r="D29" i="488"/>
  <c r="D28" i="488"/>
  <c r="D27" i="488"/>
  <c r="D26" i="488"/>
  <c r="D25" i="488"/>
  <c r="D24" i="488"/>
  <c r="D23" i="488"/>
  <c r="D22" i="488"/>
  <c r="D21" i="488"/>
  <c r="AA4" i="404"/>
  <c r="Z4" i="404"/>
  <c r="V4" i="404"/>
  <c r="N32" i="489"/>
  <c r="N21" i="489"/>
  <c r="C254" i="397"/>
  <c r="O254" i="397"/>
  <c r="P254" i="397"/>
  <c r="N254" i="397"/>
  <c r="C278" i="397"/>
  <c r="O278" i="397"/>
  <c r="P278" i="397"/>
  <c r="N278" i="397"/>
  <c r="C288" i="397"/>
  <c r="O288" i="397"/>
  <c r="P288" i="397"/>
  <c r="N288" i="397"/>
  <c r="C257" i="397"/>
  <c r="O257" i="397"/>
  <c r="P257" i="397"/>
  <c r="N257" i="397"/>
  <c r="C276" i="397"/>
  <c r="O276" i="397"/>
  <c r="P276" i="397"/>
  <c r="N276" i="397"/>
  <c r="C261" i="397"/>
  <c r="O261" i="397"/>
  <c r="P261" i="397"/>
  <c r="N261" i="397"/>
  <c r="C287" i="397"/>
  <c r="O287" i="397"/>
  <c r="P287" i="397"/>
  <c r="N287" i="397"/>
  <c r="C277" i="397"/>
  <c r="O277" i="397"/>
  <c r="P277" i="397"/>
  <c r="N277" i="397"/>
  <c r="C281" i="397"/>
  <c r="O281" i="397"/>
  <c r="P281" i="397"/>
  <c r="N281" i="397"/>
  <c r="C44" i="38"/>
  <c r="D43" i="38"/>
  <c r="U35" i="418"/>
  <c r="O35" i="418"/>
  <c r="Y35" i="418"/>
  <c r="W35" i="418"/>
  <c r="V35" i="418"/>
  <c r="X35" i="418"/>
  <c r="AA35" i="418"/>
  <c r="Z35" i="418"/>
  <c r="P11" i="418"/>
  <c r="N11" i="418"/>
  <c r="T11" i="418"/>
  <c r="U8" i="418"/>
  <c r="W8" i="418"/>
  <c r="Y8" i="418"/>
  <c r="AA8" i="418"/>
  <c r="V8" i="418"/>
  <c r="X8" i="418"/>
  <c r="Z8" i="418"/>
  <c r="O8" i="418"/>
  <c r="T33" i="418"/>
  <c r="P14" i="418"/>
  <c r="N14" i="418"/>
  <c r="T14" i="418"/>
  <c r="I43" i="38"/>
  <c r="T25" i="418"/>
  <c r="P25" i="418"/>
  <c r="N25" i="418"/>
  <c r="L26" i="418"/>
  <c r="P5" i="418"/>
  <c r="N5" i="418"/>
  <c r="L6" i="418"/>
  <c r="L7" i="418"/>
  <c r="L8" i="418"/>
  <c r="P8" i="418"/>
  <c r="N8" i="418"/>
  <c r="L9" i="418"/>
  <c r="T5" i="418"/>
  <c r="Z12" i="418"/>
  <c r="Y12" i="418"/>
  <c r="V12" i="418"/>
  <c r="U12" i="418"/>
  <c r="AA12" i="418"/>
  <c r="AA28" i="418"/>
  <c r="AA57" i="418"/>
  <c r="W12" i="418"/>
  <c r="X12" i="418"/>
  <c r="O12" i="418"/>
  <c r="Y57" i="418"/>
  <c r="X57" i="418"/>
  <c r="O57" i="418"/>
  <c r="Z57" i="418"/>
  <c r="V57" i="418"/>
  <c r="U57" i="418"/>
  <c r="W57" i="418"/>
  <c r="F76" i="9"/>
  <c r="B76" i="9"/>
  <c r="G76" i="9"/>
  <c r="H76" i="9"/>
  <c r="C76" i="9"/>
  <c r="E76" i="9"/>
  <c r="AA10" i="481"/>
  <c r="O10" i="481"/>
  <c r="T10" i="481"/>
  <c r="C43" i="38"/>
  <c r="F43" i="38"/>
  <c r="I45" i="38"/>
  <c r="U28" i="418"/>
  <c r="Z28" i="418"/>
  <c r="Y28" i="418"/>
  <c r="W28" i="418"/>
  <c r="V28" i="418"/>
  <c r="O28" i="418"/>
  <c r="X28" i="418"/>
  <c r="T19" i="418"/>
  <c r="P19" i="418"/>
  <c r="N19" i="418"/>
  <c r="L20" i="418"/>
  <c r="F44" i="38"/>
  <c r="F30" i="38"/>
  <c r="I30" i="38"/>
  <c r="G40" i="38"/>
  <c r="H40" i="38"/>
  <c r="I40" i="38"/>
  <c r="H62" i="9"/>
  <c r="E30" i="38"/>
  <c r="G30" i="38"/>
  <c r="H30" i="38"/>
  <c r="D30" i="38"/>
  <c r="G23" i="38"/>
  <c r="E23" i="38"/>
  <c r="I46" i="38"/>
  <c r="C30" i="38"/>
  <c r="B30" i="38"/>
  <c r="D23" i="38"/>
  <c r="C23" i="38"/>
  <c r="C46" i="38"/>
  <c r="G46" i="38"/>
  <c r="F23" i="38"/>
  <c r="H23" i="38"/>
  <c r="I23" i="38"/>
  <c r="H46" i="38"/>
  <c r="H45" i="38"/>
  <c r="F39" i="38"/>
  <c r="T28" i="418"/>
  <c r="P28" i="418"/>
  <c r="N28" i="418"/>
  <c r="G45" i="38"/>
  <c r="F45" i="38"/>
  <c r="I76" i="9"/>
  <c r="T35" i="418"/>
  <c r="P35" i="418"/>
  <c r="N35" i="418"/>
  <c r="L36" i="418"/>
  <c r="E46" i="38"/>
  <c r="E45" i="38"/>
  <c r="D45" i="38"/>
  <c r="T57" i="418"/>
  <c r="P57" i="418"/>
  <c r="N57" i="418"/>
  <c r="T8" i="418"/>
  <c r="G39" i="38"/>
  <c r="P10" i="481"/>
  <c r="N10" i="481"/>
  <c r="T12" i="418"/>
  <c r="P12" i="418"/>
  <c r="N12" i="418"/>
  <c r="I32" i="38"/>
  <c r="F32" i="38"/>
  <c r="H32" i="38"/>
  <c r="G32" i="38"/>
  <c r="E32" i="38"/>
  <c r="D32" i="38"/>
  <c r="C32" i="38"/>
  <c r="B32" i="38"/>
  <c r="I47" i="38"/>
  <c r="C31" i="38"/>
  <c r="F31" i="38"/>
  <c r="B23" i="38"/>
  <c r="F47" i="38"/>
  <c r="E31" i="38"/>
  <c r="C47" i="38"/>
  <c r="D46" i="38"/>
  <c r="D47" i="38"/>
  <c r="E47" i="38"/>
  <c r="G31" i="38"/>
  <c r="G47" i="38"/>
  <c r="H47" i="38"/>
  <c r="F46" i="38"/>
  <c r="D31" i="38"/>
  <c r="H31" i="38"/>
  <c r="I31" i="38"/>
  <c r="B47" i="38"/>
  <c r="C26" i="38"/>
  <c r="B46" i="38"/>
  <c r="B44" i="38"/>
  <c r="C7" i="481"/>
  <c r="AA7" i="481"/>
  <c r="C19" i="481"/>
  <c r="O19" i="481"/>
  <c r="H26" i="38"/>
  <c r="E26" i="38"/>
  <c r="I26" i="38"/>
  <c r="F26" i="38"/>
  <c r="G26" i="38"/>
  <c r="D26" i="38"/>
  <c r="V5" i="394"/>
  <c r="C34" i="38"/>
  <c r="I34" i="38"/>
  <c r="AA19" i="481"/>
  <c r="O7" i="481"/>
  <c r="C22" i="38"/>
  <c r="G22" i="38"/>
  <c r="F22" i="38"/>
  <c r="E22" i="38"/>
  <c r="I22" i="38"/>
  <c r="D5" i="38"/>
  <c r="C5" i="38"/>
  <c r="E5" i="38"/>
  <c r="I5" i="38"/>
  <c r="F5" i="38"/>
  <c r="H5" i="38"/>
  <c r="G5" i="38"/>
  <c r="T7" i="481"/>
  <c r="P7" i="481"/>
  <c r="N7" i="481"/>
  <c r="G34" i="38"/>
  <c r="H19" i="38"/>
  <c r="D19" i="38"/>
  <c r="E19" i="38"/>
  <c r="H22" i="38"/>
  <c r="B22" i="38"/>
  <c r="D22" i="38"/>
  <c r="N60" i="404"/>
  <c r="T60" i="404"/>
  <c r="P46" i="404"/>
  <c r="N46" i="404"/>
  <c r="T46" i="404"/>
  <c r="P50" i="404"/>
  <c r="N50" i="404"/>
  <c r="T50" i="404"/>
  <c r="T57" i="404"/>
  <c r="C12" i="38"/>
  <c r="P61" i="404"/>
  <c r="N61" i="404"/>
  <c r="T61" i="404"/>
  <c r="T47" i="404"/>
  <c r="P53" i="404"/>
  <c r="N53" i="404"/>
  <c r="T53" i="404"/>
  <c r="T59" i="404"/>
  <c r="P56" i="404"/>
  <c r="N56" i="404"/>
  <c r="T56" i="404"/>
  <c r="AA5" i="404"/>
  <c r="P51" i="404"/>
  <c r="N51" i="404"/>
  <c r="V5" i="404"/>
  <c r="P52" i="404"/>
  <c r="N52" i="404"/>
  <c r="P45" i="404"/>
  <c r="N45" i="404"/>
  <c r="R57" i="404"/>
  <c r="R62" i="404"/>
  <c r="X5" i="467"/>
  <c r="P7" i="394"/>
  <c r="N7" i="394"/>
  <c r="L8" i="394"/>
  <c r="H19" i="9"/>
  <c r="D6" i="403"/>
  <c r="H8" i="403"/>
  <c r="H4" i="403"/>
  <c r="D7" i="403"/>
  <c r="D4" i="403"/>
  <c r="H7" i="403"/>
  <c r="H3" i="403"/>
  <c r="H6" i="403"/>
  <c r="H54" i="9"/>
  <c r="C15" i="463"/>
  <c r="J15" i="403"/>
  <c r="I5" i="403"/>
  <c r="I4" i="403"/>
  <c r="I3" i="403"/>
  <c r="E8" i="403"/>
  <c r="I8" i="403"/>
  <c r="C2" i="403"/>
  <c r="E7" i="403"/>
  <c r="E5" i="403"/>
  <c r="E4" i="403"/>
  <c r="H26" i="9"/>
  <c r="H40" i="9"/>
  <c r="F15" i="463"/>
  <c r="D15" i="463"/>
  <c r="C15" i="403"/>
  <c r="A5" i="9"/>
  <c r="A12" i="9"/>
  <c r="G15" i="463"/>
  <c r="I2" i="403"/>
  <c r="F15" i="403"/>
  <c r="B31" i="38"/>
  <c r="A19" i="9"/>
  <c r="L12" i="418"/>
  <c r="L13" i="418"/>
  <c r="L63" i="418"/>
  <c r="N63" i="418"/>
  <c r="B26" i="38"/>
  <c r="C40" i="38"/>
  <c r="Y14" i="418"/>
  <c r="AA14" i="418"/>
  <c r="W21" i="418"/>
  <c r="U21" i="418"/>
  <c r="O21" i="418"/>
  <c r="Y21" i="418"/>
  <c r="AA21" i="418"/>
  <c r="V21" i="418"/>
  <c r="E15" i="488"/>
  <c r="F15" i="488"/>
  <c r="G15" i="488"/>
  <c r="D14" i="488"/>
  <c r="E14" i="488"/>
  <c r="C86" i="9"/>
  <c r="B86" i="9"/>
  <c r="I86" i="9"/>
  <c r="T55" i="418"/>
  <c r="P55" i="418"/>
  <c r="N55" i="418"/>
  <c r="H15" i="463"/>
  <c r="R64" i="397"/>
  <c r="S64" i="397"/>
  <c r="L61" i="9"/>
  <c r="P61" i="9"/>
  <c r="M61" i="9"/>
  <c r="H15" i="403"/>
  <c r="W36" i="418"/>
  <c r="O36" i="418"/>
  <c r="AA36" i="418"/>
  <c r="U36" i="418"/>
  <c r="Y36" i="418"/>
  <c r="V36" i="418"/>
  <c r="Z36" i="418"/>
  <c r="R322" i="397"/>
  <c r="R313" i="397"/>
  <c r="C18" i="38"/>
  <c r="B82" i="9"/>
  <c r="G82" i="9"/>
  <c r="T13" i="418"/>
  <c r="P13" i="418"/>
  <c r="N13" i="418"/>
  <c r="N17" i="418"/>
  <c r="V20" i="418"/>
  <c r="X20" i="418"/>
  <c r="Y20" i="418"/>
  <c r="Z20" i="418"/>
  <c r="O20" i="418"/>
  <c r="W20" i="418"/>
  <c r="N62" i="404"/>
  <c r="W16" i="418"/>
  <c r="H84" i="9"/>
  <c r="I84" i="9"/>
  <c r="H88" i="9"/>
  <c r="E88" i="9"/>
  <c r="C80" i="9"/>
  <c r="I80" i="9"/>
  <c r="G80" i="9"/>
  <c r="C26" i="418"/>
  <c r="F40" i="38"/>
  <c r="P58" i="404"/>
  <c r="N58" i="404"/>
  <c r="P48" i="404"/>
  <c r="N48" i="404"/>
  <c r="P44" i="404"/>
  <c r="N44" i="404"/>
  <c r="L45" i="404"/>
  <c r="L46" i="404"/>
  <c r="L48" i="404"/>
  <c r="L49" i="404"/>
  <c r="R73" i="397"/>
  <c r="R80" i="397"/>
  <c r="R87" i="397"/>
  <c r="R101" i="397"/>
  <c r="R228" i="397"/>
  <c r="R239" i="397"/>
  <c r="R246" i="397"/>
  <c r="E43" i="38"/>
  <c r="B43" i="38"/>
  <c r="C45" i="38"/>
  <c r="B45" i="38"/>
  <c r="E40" i="38"/>
  <c r="X4" i="401"/>
  <c r="X5" i="401"/>
  <c r="X4" i="399"/>
  <c r="X5" i="399"/>
  <c r="X4" i="398"/>
  <c r="X5" i="398" s="1"/>
  <c r="X3" i="396"/>
  <c r="X4" i="396" s="1"/>
  <c r="X4" i="395"/>
  <c r="AA4" i="401"/>
  <c r="AA5" i="401"/>
  <c r="C19" i="401"/>
  <c r="O19" i="401"/>
  <c r="P19" i="401"/>
  <c r="N19" i="401"/>
  <c r="AA4" i="399"/>
  <c r="AA13" i="399"/>
  <c r="AA4" i="398"/>
  <c r="AA3" i="396"/>
  <c r="AA4" i="396" s="1"/>
  <c r="C16" i="396" s="1"/>
  <c r="AA4" i="395"/>
  <c r="V4" i="401"/>
  <c r="V5" i="401"/>
  <c r="C13" i="401"/>
  <c r="O13" i="401"/>
  <c r="P13" i="401"/>
  <c r="N13" i="401"/>
  <c r="L14" i="401"/>
  <c r="V4" i="399"/>
  <c r="V4" i="398"/>
  <c r="V5" i="398"/>
  <c r="C8" i="398" s="1"/>
  <c r="V3" i="396"/>
  <c r="V4" i="395"/>
  <c r="Z4" i="399"/>
  <c r="Z4" i="401"/>
  <c r="Z3" i="396"/>
  <c r="Z4" i="395"/>
  <c r="Z4" i="398"/>
  <c r="R188" i="397"/>
  <c r="S188" i="397"/>
  <c r="L64" i="9"/>
  <c r="P64" i="9"/>
  <c r="M64" i="9"/>
  <c r="R157" i="397"/>
  <c r="S157" i="397"/>
  <c r="L63" i="9"/>
  <c r="P63" i="9"/>
  <c r="M63" i="9"/>
  <c r="R130" i="397"/>
  <c r="S130" i="397"/>
  <c r="L62" i="9"/>
  <c r="P62" i="9"/>
  <c r="M62" i="9"/>
  <c r="R289" i="397"/>
  <c r="S289" i="397"/>
  <c r="L66" i="9"/>
  <c r="P66" i="9"/>
  <c r="M66" i="9"/>
  <c r="N327" i="397"/>
  <c r="N322" i="397"/>
  <c r="R31" i="397"/>
  <c r="S31" i="397"/>
  <c r="L60" i="9"/>
  <c r="P60" i="9"/>
  <c r="M60" i="9"/>
  <c r="S345" i="397"/>
  <c r="O32" i="404"/>
  <c r="T32" i="404"/>
  <c r="AA47" i="404"/>
  <c r="O41" i="404"/>
  <c r="T37" i="467"/>
  <c r="H42" i="38"/>
  <c r="I16" i="38"/>
  <c r="E16" i="38"/>
  <c r="D39" i="38"/>
  <c r="E39" i="38"/>
  <c r="C39" i="38"/>
  <c r="H16" i="38"/>
  <c r="D34" i="38"/>
  <c r="G19" i="38"/>
  <c r="E34" i="38"/>
  <c r="G16" i="38"/>
  <c r="C16" i="38"/>
  <c r="Z4" i="396"/>
  <c r="C19" i="396" s="1"/>
  <c r="O19" i="396" s="1"/>
  <c r="P19" i="396" s="1"/>
  <c r="N19" i="396" s="1"/>
  <c r="E42" i="38"/>
  <c r="C42" i="38"/>
  <c r="I88" i="9"/>
  <c r="I82" i="9"/>
  <c r="T36" i="418"/>
  <c r="P36" i="418"/>
  <c r="N36" i="418"/>
  <c r="L37" i="418"/>
  <c r="L38" i="418"/>
  <c r="L39" i="418"/>
  <c r="L41" i="418"/>
  <c r="N58" i="418"/>
  <c r="L56" i="418"/>
  <c r="L57" i="418"/>
  <c r="L58" i="418"/>
  <c r="I39" i="38"/>
  <c r="H39" i="38"/>
  <c r="G35" i="38"/>
  <c r="I19" i="38"/>
  <c r="F14" i="488"/>
  <c r="E16" i="488"/>
  <c r="F16" i="38"/>
  <c r="L14" i="418"/>
  <c r="L15" i="418"/>
  <c r="L16" i="418"/>
  <c r="L17" i="418"/>
  <c r="G42" i="38"/>
  <c r="F42" i="38"/>
  <c r="T20" i="418"/>
  <c r="P20" i="418"/>
  <c r="N20" i="418"/>
  <c r="L21" i="418"/>
  <c r="P21" i="418"/>
  <c r="N21" i="418"/>
  <c r="L23" i="418"/>
  <c r="F19" i="38"/>
  <c r="T21" i="418"/>
  <c r="D16" i="38"/>
  <c r="I42" i="38"/>
  <c r="X26" i="418"/>
  <c r="X64" i="418"/>
  <c r="O26" i="418"/>
  <c r="Y26" i="418"/>
  <c r="AA26" i="418"/>
  <c r="AA64" i="418"/>
  <c r="V26" i="418"/>
  <c r="V64" i="418"/>
  <c r="Z26" i="418"/>
  <c r="Z64" i="418"/>
  <c r="U26" i="418"/>
  <c r="W26" i="418"/>
  <c r="T32" i="418"/>
  <c r="L34" i="418"/>
  <c r="W64" i="418"/>
  <c r="U64" i="418"/>
  <c r="Y64" i="418"/>
  <c r="C213" i="397"/>
  <c r="O213" i="397"/>
  <c r="P213" i="397"/>
  <c r="N213" i="397"/>
  <c r="C62" i="397"/>
  <c r="O62" i="397"/>
  <c r="P62" i="397"/>
  <c r="N62" i="397"/>
  <c r="I24" i="38"/>
  <c r="H24" i="38"/>
  <c r="O26" i="404"/>
  <c r="O40" i="404"/>
  <c r="T40" i="404"/>
  <c r="O12" i="404"/>
  <c r="V65" i="418"/>
  <c r="V66" i="418"/>
  <c r="V67" i="418"/>
  <c r="V68" i="418"/>
  <c r="V69" i="418"/>
  <c r="V70" i="418"/>
  <c r="V71" i="418"/>
  <c r="V72" i="418"/>
  <c r="V73" i="418"/>
  <c r="V74" i="418"/>
  <c r="V75" i="418"/>
  <c r="V76" i="418"/>
  <c r="V77" i="418"/>
  <c r="V78" i="418"/>
  <c r="V79" i="418"/>
  <c r="V80" i="418"/>
  <c r="V81" i="418"/>
  <c r="V82" i="418"/>
  <c r="V83" i="418"/>
  <c r="V84" i="418"/>
  <c r="V85" i="418"/>
  <c r="V86" i="418"/>
  <c r="V87" i="418"/>
  <c r="V88" i="418"/>
  <c r="V89" i="418"/>
  <c r="V90" i="418"/>
  <c r="V91" i="418"/>
  <c r="V92" i="418"/>
  <c r="V93" i="418"/>
  <c r="V94" i="418"/>
  <c r="V95" i="418"/>
  <c r="V96" i="418"/>
  <c r="V97" i="418"/>
  <c r="V98" i="418"/>
  <c r="V99" i="418"/>
  <c r="V100" i="418"/>
  <c r="V101" i="418"/>
  <c r="V102" i="418"/>
  <c r="V103" i="418"/>
  <c r="V104" i="418"/>
  <c r="V105" i="418"/>
  <c r="V106" i="418"/>
  <c r="V107" i="418"/>
  <c r="V108" i="418"/>
  <c r="V109" i="418"/>
  <c r="V110" i="418"/>
  <c r="V111" i="418"/>
  <c r="V112" i="418"/>
  <c r="V113" i="418"/>
  <c r="V114" i="418"/>
  <c r="V115" i="418"/>
  <c r="V116" i="418"/>
  <c r="V117" i="418"/>
  <c r="V118" i="418"/>
  <c r="V119" i="418"/>
  <c r="V120" i="418"/>
  <c r="D25" i="38"/>
  <c r="X65" i="418"/>
  <c r="X66" i="418"/>
  <c r="X67" i="418"/>
  <c r="X68" i="418"/>
  <c r="X69" i="418"/>
  <c r="X70" i="418"/>
  <c r="X71" i="418"/>
  <c r="X72" i="418"/>
  <c r="X73" i="418"/>
  <c r="X74" i="418"/>
  <c r="X75" i="418"/>
  <c r="X76" i="418"/>
  <c r="X77" i="418"/>
  <c r="X78" i="418"/>
  <c r="X79" i="418"/>
  <c r="X80" i="418"/>
  <c r="X81" i="418"/>
  <c r="X82" i="418"/>
  <c r="X83" i="418"/>
  <c r="X84" i="418"/>
  <c r="X85" i="418"/>
  <c r="X86" i="418"/>
  <c r="X87" i="418"/>
  <c r="X88" i="418"/>
  <c r="X89" i="418"/>
  <c r="X90" i="418"/>
  <c r="X91" i="418"/>
  <c r="X92" i="418"/>
  <c r="X93" i="418"/>
  <c r="X94" i="418"/>
  <c r="X95" i="418"/>
  <c r="X96" i="418"/>
  <c r="X97" i="418"/>
  <c r="X98" i="418"/>
  <c r="X99" i="418"/>
  <c r="X100" i="418"/>
  <c r="X101" i="418"/>
  <c r="X102" i="418"/>
  <c r="X103" i="418"/>
  <c r="X104" i="418"/>
  <c r="X105" i="418"/>
  <c r="X106" i="418"/>
  <c r="X107" i="418"/>
  <c r="X108" i="418"/>
  <c r="X109" i="418"/>
  <c r="X110" i="418"/>
  <c r="X111" i="418"/>
  <c r="X112" i="418"/>
  <c r="X113" i="418"/>
  <c r="X114" i="418"/>
  <c r="X115" i="418"/>
  <c r="X116" i="418"/>
  <c r="X117" i="418"/>
  <c r="X118" i="418"/>
  <c r="X119" i="418"/>
  <c r="X120" i="418"/>
  <c r="F25" i="38"/>
  <c r="F17" i="38"/>
  <c r="I25" i="38"/>
  <c r="AA65" i="418"/>
  <c r="AA66" i="418"/>
  <c r="AA67" i="418"/>
  <c r="AA68" i="418"/>
  <c r="AA69" i="418"/>
  <c r="AA70" i="418"/>
  <c r="AA71" i="418"/>
  <c r="AA72" i="418"/>
  <c r="AA73" i="418"/>
  <c r="AA74" i="418"/>
  <c r="AA75" i="418"/>
  <c r="AA76" i="418"/>
  <c r="AA77" i="418"/>
  <c r="AA78" i="418"/>
  <c r="AA79" i="418"/>
  <c r="AA80" i="418"/>
  <c r="AA81" i="418"/>
  <c r="AA82" i="418"/>
  <c r="AA83" i="418"/>
  <c r="AA84" i="418"/>
  <c r="AA85" i="418"/>
  <c r="AA86" i="418"/>
  <c r="AA87" i="418"/>
  <c r="AA88" i="418"/>
  <c r="AA89" i="418"/>
  <c r="AA90" i="418"/>
  <c r="AA91" i="418"/>
  <c r="AA92" i="418"/>
  <c r="AA93" i="418"/>
  <c r="AA94" i="418"/>
  <c r="AA95" i="418"/>
  <c r="AA96" i="418"/>
  <c r="AA97" i="418"/>
  <c r="AA98" i="418"/>
  <c r="AA99" i="418"/>
  <c r="AA100" i="418"/>
  <c r="AA101" i="418"/>
  <c r="AA102" i="418"/>
  <c r="AA103" i="418"/>
  <c r="AA104" i="418"/>
  <c r="AA105" i="418"/>
  <c r="AA106" i="418"/>
  <c r="AA107" i="418"/>
  <c r="AA108" i="418"/>
  <c r="AA109" i="418"/>
  <c r="AA110" i="418"/>
  <c r="AA111" i="418"/>
  <c r="AA112" i="418"/>
  <c r="AA113" i="418"/>
  <c r="AA114" i="418"/>
  <c r="AA115" i="418"/>
  <c r="AA116" i="418"/>
  <c r="AA117" i="418"/>
  <c r="AA118" i="418"/>
  <c r="AA119" i="418"/>
  <c r="AA120" i="418"/>
  <c r="G38" i="38"/>
  <c r="E17" i="38"/>
  <c r="F36" i="38"/>
  <c r="H36" i="38"/>
  <c r="F38" i="38"/>
  <c r="G36" i="38"/>
  <c r="D38" i="38"/>
  <c r="G17" i="38"/>
  <c r="Z65" i="418"/>
  <c r="Z66" i="418"/>
  <c r="Z67" i="418"/>
  <c r="Z68" i="418"/>
  <c r="Z69" i="418"/>
  <c r="Z70" i="418"/>
  <c r="Z71" i="418"/>
  <c r="Z72" i="418"/>
  <c r="Z73" i="418"/>
  <c r="Z74" i="418"/>
  <c r="Z75" i="418"/>
  <c r="Z76" i="418"/>
  <c r="Z77" i="418"/>
  <c r="Z78" i="418"/>
  <c r="Z79" i="418"/>
  <c r="Z80" i="418"/>
  <c r="Z81" i="418"/>
  <c r="Z82" i="418"/>
  <c r="Z83" i="418"/>
  <c r="Z84" i="418"/>
  <c r="Z85" i="418"/>
  <c r="Z86" i="418"/>
  <c r="Z87" i="418"/>
  <c r="Z88" i="418"/>
  <c r="Z89" i="418"/>
  <c r="Z90" i="418"/>
  <c r="Z91" i="418"/>
  <c r="Z92" i="418"/>
  <c r="Z93" i="418"/>
  <c r="Z94" i="418"/>
  <c r="Z95" i="418"/>
  <c r="Z96" i="418"/>
  <c r="Z97" i="418"/>
  <c r="Z98" i="418"/>
  <c r="Z99" i="418"/>
  <c r="Z100" i="418"/>
  <c r="Z101" i="418"/>
  <c r="Z102" i="418"/>
  <c r="Z103" i="418"/>
  <c r="Z104" i="418"/>
  <c r="Z105" i="418"/>
  <c r="Z106" i="418"/>
  <c r="Z107" i="418"/>
  <c r="Z108" i="418"/>
  <c r="Z109" i="418"/>
  <c r="Z110" i="418"/>
  <c r="Z111" i="418"/>
  <c r="Z112" i="418"/>
  <c r="Z113" i="418"/>
  <c r="Z114" i="418"/>
  <c r="Z115" i="418"/>
  <c r="Z116" i="418"/>
  <c r="Z117" i="418"/>
  <c r="Z118" i="418"/>
  <c r="Z119" i="418"/>
  <c r="Z120" i="418"/>
  <c r="H25" i="38"/>
  <c r="I17" i="38"/>
  <c r="C36" i="38"/>
  <c r="B39" i="38"/>
  <c r="D42" i="38"/>
  <c r="B42" i="38"/>
  <c r="C19" i="38"/>
  <c r="B19" i="38"/>
  <c r="H34" i="38"/>
  <c r="D17" i="38"/>
  <c r="F34" i="38"/>
  <c r="W65" i="418"/>
  <c r="W66" i="418"/>
  <c r="W67" i="418"/>
  <c r="W68" i="418"/>
  <c r="W69" i="418"/>
  <c r="W70" i="418"/>
  <c r="W71" i="418"/>
  <c r="W72" i="418"/>
  <c r="W73" i="418"/>
  <c r="W74" i="418"/>
  <c r="W75" i="418"/>
  <c r="W76" i="418"/>
  <c r="W77" i="418"/>
  <c r="W78" i="418"/>
  <c r="W79" i="418"/>
  <c r="W80" i="418"/>
  <c r="W81" i="418"/>
  <c r="W82" i="418"/>
  <c r="W83" i="418"/>
  <c r="W84" i="418"/>
  <c r="W85" i="418"/>
  <c r="W86" i="418"/>
  <c r="W87" i="418"/>
  <c r="W88" i="418"/>
  <c r="W89" i="418"/>
  <c r="W90" i="418"/>
  <c r="W91" i="418"/>
  <c r="W92" i="418"/>
  <c r="W93" i="418"/>
  <c r="W94" i="418"/>
  <c r="W95" i="418"/>
  <c r="W96" i="418"/>
  <c r="W97" i="418"/>
  <c r="W98" i="418"/>
  <c r="W99" i="418"/>
  <c r="W100" i="418"/>
  <c r="W101" i="418"/>
  <c r="W102" i="418"/>
  <c r="W103" i="418"/>
  <c r="W104" i="418"/>
  <c r="W105" i="418"/>
  <c r="W106" i="418"/>
  <c r="W107" i="418"/>
  <c r="W108" i="418"/>
  <c r="W109" i="418"/>
  <c r="W110" i="418"/>
  <c r="W111" i="418"/>
  <c r="W112" i="418"/>
  <c r="W113" i="418"/>
  <c r="W114" i="418"/>
  <c r="W115" i="418"/>
  <c r="W116" i="418"/>
  <c r="W117" i="418"/>
  <c r="W118" i="418"/>
  <c r="W119" i="418"/>
  <c r="W120" i="418"/>
  <c r="E25" i="38"/>
  <c r="I37" i="38"/>
  <c r="F16" i="488"/>
  <c r="G14" i="488"/>
  <c r="G16" i="488"/>
  <c r="D40" i="38"/>
  <c r="B40" i="38"/>
  <c r="B16" i="38"/>
  <c r="B34" i="38"/>
  <c r="G25" i="38"/>
  <c r="Y65" i="418"/>
  <c r="Y66" i="418"/>
  <c r="Y67" i="418"/>
  <c r="Y68" i="418"/>
  <c r="Y69" i="418"/>
  <c r="Y70" i="418"/>
  <c r="Y71" i="418"/>
  <c r="Y72" i="418"/>
  <c r="Y73" i="418"/>
  <c r="Y74" i="418"/>
  <c r="Y75" i="418"/>
  <c r="Y76" i="418"/>
  <c r="Y77" i="418"/>
  <c r="Y78" i="418"/>
  <c r="Y79" i="418"/>
  <c r="Y80" i="418"/>
  <c r="Y81" i="418"/>
  <c r="Y82" i="418"/>
  <c r="Y83" i="418"/>
  <c r="Y84" i="418"/>
  <c r="Y85" i="418"/>
  <c r="Y86" i="418"/>
  <c r="Y87" i="418"/>
  <c r="Y88" i="418"/>
  <c r="Y89" i="418"/>
  <c r="Y90" i="418"/>
  <c r="Y91" i="418"/>
  <c r="Y92" i="418"/>
  <c r="Y93" i="418"/>
  <c r="Y94" i="418"/>
  <c r="Y95" i="418"/>
  <c r="Y96" i="418"/>
  <c r="Y97" i="418"/>
  <c r="Y98" i="418"/>
  <c r="Y99" i="418"/>
  <c r="Y100" i="418"/>
  <c r="Y101" i="418"/>
  <c r="Y102" i="418"/>
  <c r="Y103" i="418"/>
  <c r="Y104" i="418"/>
  <c r="Y105" i="418"/>
  <c r="Y106" i="418"/>
  <c r="Y107" i="418"/>
  <c r="Y108" i="418"/>
  <c r="Y109" i="418"/>
  <c r="Y110" i="418"/>
  <c r="Y111" i="418"/>
  <c r="Y112" i="418"/>
  <c r="Y113" i="418"/>
  <c r="Y114" i="418"/>
  <c r="Y115" i="418"/>
  <c r="Y116" i="418"/>
  <c r="Y117" i="418"/>
  <c r="Y118" i="418"/>
  <c r="Y119" i="418"/>
  <c r="Y120" i="418"/>
  <c r="U65" i="418"/>
  <c r="U66" i="418"/>
  <c r="U67" i="418"/>
  <c r="U68" i="418"/>
  <c r="U69" i="418"/>
  <c r="U70" i="418"/>
  <c r="U71" i="418"/>
  <c r="U72" i="418"/>
  <c r="U73" i="418"/>
  <c r="U74" i="418"/>
  <c r="U75" i="418"/>
  <c r="U76" i="418"/>
  <c r="U77" i="418"/>
  <c r="U78" i="418"/>
  <c r="U79" i="418"/>
  <c r="U80" i="418"/>
  <c r="U81" i="418"/>
  <c r="U82" i="418"/>
  <c r="U83" i="418"/>
  <c r="U84" i="418"/>
  <c r="U85" i="418"/>
  <c r="U86" i="418"/>
  <c r="U87" i="418"/>
  <c r="U88" i="418"/>
  <c r="U89" i="418"/>
  <c r="U90" i="418"/>
  <c r="U91" i="418"/>
  <c r="U92" i="418"/>
  <c r="U93" i="418"/>
  <c r="U94" i="418"/>
  <c r="U95" i="418"/>
  <c r="U96" i="418"/>
  <c r="U97" i="418"/>
  <c r="U98" i="418"/>
  <c r="U99" i="418"/>
  <c r="U100" i="418"/>
  <c r="U101" i="418"/>
  <c r="U102" i="418"/>
  <c r="U103" i="418"/>
  <c r="U104" i="418"/>
  <c r="U105" i="418"/>
  <c r="U106" i="418"/>
  <c r="U107" i="418"/>
  <c r="U108" i="418"/>
  <c r="U109" i="418"/>
  <c r="U110" i="418"/>
  <c r="U111" i="418"/>
  <c r="U112" i="418"/>
  <c r="U113" i="418"/>
  <c r="U114" i="418"/>
  <c r="U115" i="418"/>
  <c r="U116" i="418"/>
  <c r="U117" i="418"/>
  <c r="U118" i="418"/>
  <c r="U119" i="418"/>
  <c r="U120" i="418"/>
  <c r="AB64" i="418"/>
  <c r="C25" i="38"/>
  <c r="B25" i="38"/>
  <c r="C17" i="38"/>
  <c r="B17" i="38"/>
  <c r="H17" i="38"/>
  <c r="P26" i="418"/>
  <c r="N26" i="418"/>
  <c r="L27" i="418"/>
  <c r="L28" i="418"/>
  <c r="L29" i="418"/>
  <c r="T26" i="418"/>
  <c r="G37" i="38"/>
  <c r="E27" i="38"/>
  <c r="H27" i="38"/>
  <c r="G27" i="38"/>
  <c r="D27" i="38"/>
  <c r="G24" i="38"/>
  <c r="D24" i="38"/>
  <c r="D20" i="38"/>
  <c r="C20" i="38"/>
  <c r="F20" i="38"/>
  <c r="E20" i="38"/>
  <c r="H20" i="38"/>
  <c r="G20" i="38"/>
  <c r="C24" i="38"/>
  <c r="P40" i="404"/>
  <c r="N40" i="404"/>
  <c r="T6" i="395"/>
  <c r="S6" i="395"/>
  <c r="E41" i="38"/>
  <c r="C27" i="38"/>
  <c r="I38" i="38"/>
  <c r="E36" i="38"/>
  <c r="E38" i="38"/>
  <c r="I36" i="38"/>
  <c r="F41" i="38"/>
  <c r="G33" i="38"/>
  <c r="C33" i="38"/>
  <c r="F33" i="38"/>
  <c r="F28" i="38"/>
  <c r="G28" i="38"/>
  <c r="I33" i="38"/>
  <c r="D41" i="38"/>
  <c r="E37" i="38"/>
  <c r="D18" i="38"/>
  <c r="F37" i="38"/>
  <c r="I27" i="38"/>
  <c r="I41" i="38"/>
  <c r="I28" i="38"/>
  <c r="D28" i="38"/>
  <c r="C37" i="38"/>
  <c r="E18" i="38"/>
  <c r="I18" i="38"/>
  <c r="C38" i="38"/>
  <c r="H41" i="38"/>
  <c r="H18" i="38"/>
  <c r="G18" i="38"/>
  <c r="D33" i="38"/>
  <c r="G41" i="38"/>
  <c r="E28" i="38"/>
  <c r="H28" i="38"/>
  <c r="D36" i="38"/>
  <c r="B36" i="38"/>
  <c r="H33" i="38"/>
  <c r="F27" i="38"/>
  <c r="F18" i="38"/>
  <c r="H37" i="38"/>
  <c r="E24" i="38"/>
  <c r="I20" i="38"/>
  <c r="B20" i="38"/>
  <c r="F24" i="38"/>
  <c r="R45" i="395"/>
  <c r="R41" i="395"/>
  <c r="R46" i="395"/>
  <c r="R43" i="395"/>
  <c r="C41" i="38"/>
  <c r="B41" i="38"/>
  <c r="F35" i="38"/>
  <c r="E33" i="38"/>
  <c r="I35" i="38"/>
  <c r="V69" i="398"/>
  <c r="V70" i="398" s="1"/>
  <c r="V71" i="398" s="1"/>
  <c r="V72" i="398" s="1"/>
  <c r="V73" i="398" s="1"/>
  <c r="V74" i="398" s="1"/>
  <c r="V75" i="398" s="1"/>
  <c r="V76" i="398" s="1"/>
  <c r="V77" i="398" s="1"/>
  <c r="V78" i="398" s="1"/>
  <c r="V79" i="398" s="1"/>
  <c r="V80" i="398" s="1"/>
  <c r="V81" i="398" s="1"/>
  <c r="V82" i="398" s="1"/>
  <c r="V83" i="398" s="1"/>
  <c r="V84" i="398" s="1"/>
  <c r="V85" i="398" s="1"/>
  <c r="V86" i="398" s="1"/>
  <c r="V87" i="398" s="1"/>
  <c r="V88" i="398" s="1"/>
  <c r="V89" i="398" s="1"/>
  <c r="V90" i="398" s="1"/>
  <c r="V91" i="398" s="1"/>
  <c r="V92" i="398" s="1"/>
  <c r="V93" i="398" s="1"/>
  <c r="V94" i="398" s="1"/>
  <c r="V95" i="398" s="1"/>
  <c r="V96" i="398" s="1"/>
  <c r="V97" i="398" s="1"/>
  <c r="V98" i="398" s="1"/>
  <c r="V99" i="398" s="1"/>
  <c r="V100" i="398" s="1"/>
  <c r="V101" i="398" s="1"/>
  <c r="V102" i="398" s="1"/>
  <c r="V103" i="398" s="1"/>
  <c r="V104" i="398" s="1"/>
  <c r="V105" i="398" s="1"/>
  <c r="V106" i="398" s="1"/>
  <c r="V107" i="398" s="1"/>
  <c r="V108" i="398" s="1"/>
  <c r="V109" i="398" s="1"/>
  <c r="V110" i="398" s="1"/>
  <c r="V111" i="398" s="1"/>
  <c r="V112" i="398" s="1"/>
  <c r="V113" i="398" s="1"/>
  <c r="V114" i="398" s="1"/>
  <c r="V115" i="398" s="1"/>
  <c r="V116" i="398" s="1"/>
  <c r="V117" i="398" s="1"/>
  <c r="V118" i="398" s="1"/>
  <c r="V119" i="398" s="1"/>
  <c r="V120" i="398" s="1"/>
  <c r="V121" i="398" s="1"/>
  <c r="V122" i="398" s="1"/>
  <c r="H35" i="38"/>
  <c r="C35" i="38"/>
  <c r="B37" i="38"/>
  <c r="D37" i="38"/>
  <c r="C28" i="38"/>
  <c r="B28" i="38"/>
  <c r="AA69" i="398"/>
  <c r="AA70" i="398" s="1"/>
  <c r="AA71" i="398" s="1"/>
  <c r="AA72" i="398" s="1"/>
  <c r="AA73" i="398" s="1"/>
  <c r="AA74" i="398" s="1"/>
  <c r="AA75" i="398" s="1"/>
  <c r="AA76" i="398" s="1"/>
  <c r="AA77" i="398" s="1"/>
  <c r="AA78" i="398" s="1"/>
  <c r="AA79" i="398" s="1"/>
  <c r="AA80" i="398" s="1"/>
  <c r="AA81" i="398" s="1"/>
  <c r="AA82" i="398" s="1"/>
  <c r="AA83" i="398" s="1"/>
  <c r="AA84" i="398" s="1"/>
  <c r="AA85" i="398" s="1"/>
  <c r="AA86" i="398" s="1"/>
  <c r="AA87" i="398" s="1"/>
  <c r="AA88" i="398" s="1"/>
  <c r="AA89" i="398" s="1"/>
  <c r="AA90" i="398" s="1"/>
  <c r="AA91" i="398" s="1"/>
  <c r="AA92" i="398" s="1"/>
  <c r="AA93" i="398" s="1"/>
  <c r="AA94" i="398" s="1"/>
  <c r="AA95" i="398" s="1"/>
  <c r="AA96" i="398" s="1"/>
  <c r="AA97" i="398" s="1"/>
  <c r="AA98" i="398" s="1"/>
  <c r="AA99" i="398" s="1"/>
  <c r="AA100" i="398" s="1"/>
  <c r="AA101" i="398" s="1"/>
  <c r="AA102" i="398" s="1"/>
  <c r="AA103" i="398" s="1"/>
  <c r="AA104" i="398" s="1"/>
  <c r="AA105" i="398" s="1"/>
  <c r="AA106" i="398" s="1"/>
  <c r="AA107" i="398" s="1"/>
  <c r="AA108" i="398" s="1"/>
  <c r="AA109" i="398" s="1"/>
  <c r="AA110" i="398" s="1"/>
  <c r="AA111" i="398" s="1"/>
  <c r="AA112" i="398" s="1"/>
  <c r="AA113" i="398" s="1"/>
  <c r="AA114" i="398" s="1"/>
  <c r="AA115" i="398" s="1"/>
  <c r="AA116" i="398" s="1"/>
  <c r="AA117" i="398" s="1"/>
  <c r="AA118" i="398" s="1"/>
  <c r="AA119" i="398" s="1"/>
  <c r="AA120" i="398" s="1"/>
  <c r="AA121" i="398" s="1"/>
  <c r="AA122" i="398" s="1"/>
  <c r="H38" i="38"/>
  <c r="B38" i="38"/>
  <c r="B18" i="38"/>
  <c r="E35" i="38"/>
  <c r="B33" i="38"/>
  <c r="B27" i="38"/>
  <c r="Z69" i="398"/>
  <c r="Z70" i="398" s="1"/>
  <c r="Z71" i="398" s="1"/>
  <c r="Z72" i="398" s="1"/>
  <c r="Z73" i="398" s="1"/>
  <c r="Z74" i="398" s="1"/>
  <c r="Z75" i="398" s="1"/>
  <c r="Z76" i="398" s="1"/>
  <c r="Z77" i="398" s="1"/>
  <c r="Z78" i="398" s="1"/>
  <c r="Z79" i="398" s="1"/>
  <c r="Z80" i="398" s="1"/>
  <c r="Z81" i="398" s="1"/>
  <c r="Z82" i="398" s="1"/>
  <c r="Z83" i="398" s="1"/>
  <c r="Z84" i="398" s="1"/>
  <c r="Z85" i="398" s="1"/>
  <c r="Z86" i="398" s="1"/>
  <c r="Z87" i="398" s="1"/>
  <c r="Z88" i="398" s="1"/>
  <c r="Z89" i="398" s="1"/>
  <c r="Z90" i="398" s="1"/>
  <c r="Z91" i="398" s="1"/>
  <c r="Z92" i="398" s="1"/>
  <c r="Z93" i="398" s="1"/>
  <c r="Z94" i="398" s="1"/>
  <c r="Z95" i="398" s="1"/>
  <c r="Z96" i="398" s="1"/>
  <c r="Z97" i="398" s="1"/>
  <c r="Z98" i="398" s="1"/>
  <c r="Z99" i="398" s="1"/>
  <c r="Z100" i="398" s="1"/>
  <c r="Z101" i="398" s="1"/>
  <c r="Z102" i="398" s="1"/>
  <c r="Z103" i="398" s="1"/>
  <c r="Z104" i="398" s="1"/>
  <c r="Z105" i="398" s="1"/>
  <c r="Z106" i="398" s="1"/>
  <c r="Z107" i="398" s="1"/>
  <c r="Z108" i="398" s="1"/>
  <c r="Z109" i="398" s="1"/>
  <c r="Z110" i="398" s="1"/>
  <c r="Z111" i="398" s="1"/>
  <c r="Z112" i="398" s="1"/>
  <c r="Z113" i="398" s="1"/>
  <c r="Z114" i="398" s="1"/>
  <c r="Z115" i="398" s="1"/>
  <c r="Z116" i="398" s="1"/>
  <c r="Z117" i="398" s="1"/>
  <c r="Z118" i="398" s="1"/>
  <c r="Z119" i="398" s="1"/>
  <c r="Z120" i="398" s="1"/>
  <c r="Z121" i="398" s="1"/>
  <c r="Z122" i="398" s="1"/>
  <c r="Y69" i="398"/>
  <c r="Y70" i="398" s="1"/>
  <c r="Y71" i="398" s="1"/>
  <c r="Y72" i="398" s="1"/>
  <c r="Y73" i="398" s="1"/>
  <c r="Y74" i="398" s="1"/>
  <c r="Y75" i="398" s="1"/>
  <c r="Y76" i="398" s="1"/>
  <c r="Y77" i="398" s="1"/>
  <c r="Y78" i="398" s="1"/>
  <c r="Y79" i="398" s="1"/>
  <c r="Y80" i="398" s="1"/>
  <c r="Y81" i="398" s="1"/>
  <c r="Y82" i="398" s="1"/>
  <c r="Y83" i="398" s="1"/>
  <c r="Y84" i="398" s="1"/>
  <c r="Y85" i="398" s="1"/>
  <c r="Y86" i="398" s="1"/>
  <c r="Y87" i="398" s="1"/>
  <c r="Y88" i="398" s="1"/>
  <c r="Y89" i="398" s="1"/>
  <c r="Y90" i="398" s="1"/>
  <c r="Y91" i="398" s="1"/>
  <c r="Y92" i="398" s="1"/>
  <c r="Y93" i="398" s="1"/>
  <c r="Y94" i="398" s="1"/>
  <c r="Y95" i="398" s="1"/>
  <c r="Y96" i="398" s="1"/>
  <c r="Y97" i="398" s="1"/>
  <c r="Y98" i="398" s="1"/>
  <c r="Y99" i="398" s="1"/>
  <c r="Y100" i="398" s="1"/>
  <c r="Y101" i="398" s="1"/>
  <c r="Y102" i="398" s="1"/>
  <c r="Y103" i="398" s="1"/>
  <c r="Y104" i="398" s="1"/>
  <c r="Y105" i="398" s="1"/>
  <c r="Y106" i="398" s="1"/>
  <c r="Y107" i="398" s="1"/>
  <c r="Y108" i="398" s="1"/>
  <c r="Y109" i="398" s="1"/>
  <c r="Y110" i="398" s="1"/>
  <c r="Y111" i="398" s="1"/>
  <c r="Y112" i="398" s="1"/>
  <c r="Y113" i="398" s="1"/>
  <c r="Y114" i="398" s="1"/>
  <c r="Y115" i="398" s="1"/>
  <c r="Y116" i="398" s="1"/>
  <c r="Y117" i="398" s="1"/>
  <c r="Y118" i="398" s="1"/>
  <c r="Y119" i="398" s="1"/>
  <c r="Y120" i="398" s="1"/>
  <c r="Y121" i="398" s="1"/>
  <c r="Y122" i="398" s="1"/>
  <c r="X69" i="398"/>
  <c r="X70" i="398" s="1"/>
  <c r="X71" i="398" s="1"/>
  <c r="X72" i="398" s="1"/>
  <c r="X73" i="398" s="1"/>
  <c r="X74" i="398" s="1"/>
  <c r="X75" i="398" s="1"/>
  <c r="X76" i="398" s="1"/>
  <c r="X77" i="398" s="1"/>
  <c r="X78" i="398" s="1"/>
  <c r="X79" i="398" s="1"/>
  <c r="X80" i="398" s="1"/>
  <c r="X81" i="398" s="1"/>
  <c r="X82" i="398" s="1"/>
  <c r="X83" i="398" s="1"/>
  <c r="X84" i="398" s="1"/>
  <c r="X85" i="398" s="1"/>
  <c r="X86" i="398" s="1"/>
  <c r="X87" i="398" s="1"/>
  <c r="X88" i="398" s="1"/>
  <c r="X89" i="398" s="1"/>
  <c r="X90" i="398" s="1"/>
  <c r="X91" i="398" s="1"/>
  <c r="X92" i="398" s="1"/>
  <c r="X93" i="398" s="1"/>
  <c r="X94" i="398" s="1"/>
  <c r="X95" i="398" s="1"/>
  <c r="X96" i="398" s="1"/>
  <c r="X97" i="398" s="1"/>
  <c r="X98" i="398" s="1"/>
  <c r="X99" i="398" s="1"/>
  <c r="X100" i="398" s="1"/>
  <c r="X101" i="398" s="1"/>
  <c r="X102" i="398" s="1"/>
  <c r="X103" i="398" s="1"/>
  <c r="X104" i="398" s="1"/>
  <c r="X105" i="398" s="1"/>
  <c r="X106" i="398" s="1"/>
  <c r="X107" i="398" s="1"/>
  <c r="X108" i="398" s="1"/>
  <c r="X109" i="398" s="1"/>
  <c r="X110" i="398" s="1"/>
  <c r="X111" i="398" s="1"/>
  <c r="X112" i="398" s="1"/>
  <c r="X113" i="398" s="1"/>
  <c r="X114" i="398" s="1"/>
  <c r="X115" i="398" s="1"/>
  <c r="X116" i="398" s="1"/>
  <c r="X117" i="398" s="1"/>
  <c r="X118" i="398" s="1"/>
  <c r="X119" i="398" s="1"/>
  <c r="X120" i="398" s="1"/>
  <c r="X121" i="398" s="1"/>
  <c r="X122" i="398" s="1"/>
  <c r="W69" i="398"/>
  <c r="W70" i="398" s="1"/>
  <c r="W71" i="398" s="1"/>
  <c r="W72" i="398" s="1"/>
  <c r="W73" i="398" s="1"/>
  <c r="W74" i="398" s="1"/>
  <c r="W75" i="398" s="1"/>
  <c r="W76" i="398" s="1"/>
  <c r="W77" i="398" s="1"/>
  <c r="W78" i="398" s="1"/>
  <c r="W79" i="398" s="1"/>
  <c r="W80" i="398" s="1"/>
  <c r="W81" i="398" s="1"/>
  <c r="W82" i="398" s="1"/>
  <c r="W83" i="398" s="1"/>
  <c r="W84" i="398" s="1"/>
  <c r="W85" i="398" s="1"/>
  <c r="W86" i="398" s="1"/>
  <c r="W87" i="398" s="1"/>
  <c r="W88" i="398" s="1"/>
  <c r="W89" i="398" s="1"/>
  <c r="W90" i="398" s="1"/>
  <c r="W91" i="398" s="1"/>
  <c r="W92" i="398" s="1"/>
  <c r="W93" i="398" s="1"/>
  <c r="W94" i="398" s="1"/>
  <c r="W95" i="398" s="1"/>
  <c r="W96" i="398" s="1"/>
  <c r="W97" i="398" s="1"/>
  <c r="W98" i="398" s="1"/>
  <c r="W99" i="398" s="1"/>
  <c r="W100" i="398" s="1"/>
  <c r="W101" i="398" s="1"/>
  <c r="W102" i="398" s="1"/>
  <c r="W103" i="398" s="1"/>
  <c r="W104" i="398" s="1"/>
  <c r="W105" i="398" s="1"/>
  <c r="W106" i="398" s="1"/>
  <c r="W107" i="398" s="1"/>
  <c r="W108" i="398" s="1"/>
  <c r="W109" i="398" s="1"/>
  <c r="W110" i="398" s="1"/>
  <c r="W111" i="398" s="1"/>
  <c r="W112" i="398" s="1"/>
  <c r="W113" i="398" s="1"/>
  <c r="W114" i="398" s="1"/>
  <c r="W115" i="398" s="1"/>
  <c r="W116" i="398" s="1"/>
  <c r="W117" i="398" s="1"/>
  <c r="W118" i="398" s="1"/>
  <c r="W119" i="398" s="1"/>
  <c r="W120" i="398" s="1"/>
  <c r="W121" i="398" s="1"/>
  <c r="W122" i="398" s="1"/>
  <c r="U69" i="398"/>
  <c r="U70" i="398" s="1"/>
  <c r="U71" i="398" s="1"/>
  <c r="U72" i="398" s="1"/>
  <c r="U73" i="398" s="1"/>
  <c r="U74" i="398" s="1"/>
  <c r="U75" i="398" s="1"/>
  <c r="U76" i="398" s="1"/>
  <c r="U77" i="398" s="1"/>
  <c r="U78" i="398" s="1"/>
  <c r="U79" i="398" s="1"/>
  <c r="U80" i="398" s="1"/>
  <c r="U81" i="398" s="1"/>
  <c r="U82" i="398" s="1"/>
  <c r="U83" i="398" s="1"/>
  <c r="U84" i="398" s="1"/>
  <c r="U85" i="398" s="1"/>
  <c r="U86" i="398" s="1"/>
  <c r="U87" i="398" s="1"/>
  <c r="U88" i="398" s="1"/>
  <c r="U89" i="398" s="1"/>
  <c r="U90" i="398" s="1"/>
  <c r="U91" i="398" s="1"/>
  <c r="U92" i="398" s="1"/>
  <c r="U93" i="398" s="1"/>
  <c r="U94" i="398" s="1"/>
  <c r="U95" i="398" s="1"/>
  <c r="U96" i="398" s="1"/>
  <c r="U97" i="398" s="1"/>
  <c r="U98" i="398" s="1"/>
  <c r="U99" i="398" s="1"/>
  <c r="U100" i="398" s="1"/>
  <c r="U101" i="398" s="1"/>
  <c r="U102" i="398" s="1"/>
  <c r="U103" i="398" s="1"/>
  <c r="U104" i="398" s="1"/>
  <c r="U105" i="398" s="1"/>
  <c r="U106" i="398" s="1"/>
  <c r="U107" i="398" s="1"/>
  <c r="U108" i="398" s="1"/>
  <c r="U109" i="398" s="1"/>
  <c r="U110" i="398" s="1"/>
  <c r="U111" i="398" s="1"/>
  <c r="U112" i="398" s="1"/>
  <c r="U113" i="398" s="1"/>
  <c r="U114" i="398" s="1"/>
  <c r="U115" i="398" s="1"/>
  <c r="U116" i="398" s="1"/>
  <c r="U117" i="398" s="1"/>
  <c r="U118" i="398" s="1"/>
  <c r="U119" i="398" s="1"/>
  <c r="U120" i="398" s="1"/>
  <c r="U121" i="398" s="1"/>
  <c r="U122" i="398" s="1"/>
  <c r="D35" i="38"/>
  <c r="B35" i="38"/>
  <c r="K13" i="14"/>
  <c r="K14" i="14"/>
  <c r="G13" i="14"/>
  <c r="S42" i="533"/>
  <c r="T42" i="533"/>
  <c r="R15" i="539"/>
  <c r="L15" i="539"/>
  <c r="R44" i="395"/>
  <c r="R42" i="395"/>
  <c r="R47" i="395"/>
  <c r="R40" i="395"/>
  <c r="AB65" i="529"/>
  <c r="U66" i="529"/>
  <c r="U67" i="529"/>
  <c r="U68" i="529"/>
  <c r="U69" i="529"/>
  <c r="U70" i="529"/>
  <c r="U71" i="529"/>
  <c r="U72" i="529"/>
  <c r="U73" i="529"/>
  <c r="U74" i="529"/>
  <c r="U75" i="529"/>
  <c r="U76" i="529"/>
  <c r="U77" i="529"/>
  <c r="U78" i="529"/>
  <c r="U79" i="529"/>
  <c r="U80" i="529"/>
  <c r="U81" i="529"/>
  <c r="U82" i="529"/>
  <c r="U83" i="529"/>
  <c r="U84" i="529"/>
  <c r="U85" i="529"/>
  <c r="U86" i="529"/>
  <c r="U87" i="529"/>
  <c r="U88" i="529"/>
  <c r="U89" i="529"/>
  <c r="U90" i="529"/>
  <c r="U91" i="529"/>
  <c r="U92" i="529"/>
  <c r="U93" i="529"/>
  <c r="U94" i="529"/>
  <c r="U95" i="529"/>
  <c r="U96" i="529"/>
  <c r="U97" i="529"/>
  <c r="U98" i="529"/>
  <c r="U99" i="529"/>
  <c r="U100" i="529"/>
  <c r="U101" i="529"/>
  <c r="U102" i="529"/>
  <c r="U103" i="529"/>
  <c r="U104" i="529"/>
  <c r="U105" i="529"/>
  <c r="U106" i="529"/>
  <c r="U107" i="529"/>
  <c r="U108" i="529"/>
  <c r="U109" i="529"/>
  <c r="U110" i="529"/>
  <c r="U111" i="529"/>
  <c r="U112" i="529"/>
  <c r="U113" i="529"/>
  <c r="U114" i="529"/>
  <c r="U115" i="529"/>
  <c r="U116" i="529"/>
  <c r="C18" i="401"/>
  <c r="O18" i="401"/>
  <c r="P18" i="401"/>
  <c r="N18" i="401"/>
  <c r="C16" i="401"/>
  <c r="O16" i="401"/>
  <c r="P16" i="401"/>
  <c r="N16" i="401"/>
  <c r="C14" i="401"/>
  <c r="O14" i="401"/>
  <c r="P14" i="401"/>
  <c r="N14" i="401"/>
  <c r="L15" i="401"/>
  <c r="L61" i="401"/>
  <c r="O45" i="401"/>
  <c r="O48" i="401"/>
  <c r="P48" i="401"/>
  <c r="N48" i="401"/>
  <c r="O46" i="401"/>
  <c r="P46" i="401"/>
  <c r="N46" i="401"/>
  <c r="O50" i="401"/>
  <c r="P50" i="401"/>
  <c r="N50" i="401"/>
  <c r="O51" i="401"/>
  <c r="P51" i="401"/>
  <c r="N51" i="401"/>
  <c r="C25" i="401"/>
  <c r="O25" i="401"/>
  <c r="C23" i="401"/>
  <c r="C26" i="401"/>
  <c r="R53" i="399"/>
  <c r="V5" i="399"/>
  <c r="C44" i="399"/>
  <c r="O44" i="399"/>
  <c r="P44" i="399"/>
  <c r="N44" i="399"/>
  <c r="I8" i="547"/>
  <c r="I15" i="547"/>
  <c r="R21" i="399"/>
  <c r="C15" i="399"/>
  <c r="O15" i="399"/>
  <c r="C7" i="399"/>
  <c r="R28" i="399"/>
  <c r="C31" i="399"/>
  <c r="O31" i="399"/>
  <c r="P31" i="399"/>
  <c r="N31" i="399"/>
  <c r="R35" i="399"/>
  <c r="C55" i="399"/>
  <c r="O55" i="399"/>
  <c r="I6" i="547"/>
  <c r="T31" i="399"/>
  <c r="C56" i="399"/>
  <c r="O56" i="399"/>
  <c r="T56" i="399"/>
  <c r="C30" i="399"/>
  <c r="O30" i="399"/>
  <c r="T30" i="399"/>
  <c r="C26" i="399"/>
  <c r="C58" i="399"/>
  <c r="O58" i="399"/>
  <c r="C23" i="399"/>
  <c r="O23" i="399"/>
  <c r="AA5" i="395"/>
  <c r="C43" i="395" s="1"/>
  <c r="O43" i="395" s="1"/>
  <c r="Z33" i="551"/>
  <c r="O33" i="551"/>
  <c r="T33" i="551"/>
  <c r="AA33" i="551"/>
  <c r="Y33" i="551"/>
  <c r="C16" i="551"/>
  <c r="O16" i="551"/>
  <c r="P16" i="551"/>
  <c r="N16" i="551"/>
  <c r="W33" i="551"/>
  <c r="Y5" i="551"/>
  <c r="U5" i="551"/>
  <c r="X5" i="551"/>
  <c r="AA5" i="551"/>
  <c r="W5" i="551"/>
  <c r="Z5" i="551"/>
  <c r="V5" i="551"/>
  <c r="C27" i="551"/>
  <c r="C31" i="551"/>
  <c r="C28" i="551"/>
  <c r="C32" i="551"/>
  <c r="C30" i="551"/>
  <c r="J8" i="403"/>
  <c r="J4" i="403"/>
  <c r="S14" i="3"/>
  <c r="S13" i="3"/>
  <c r="S12" i="3"/>
  <c r="S11" i="3"/>
  <c r="S10" i="3"/>
  <c r="S9" i="3"/>
  <c r="S8" i="3"/>
  <c r="S7" i="3"/>
  <c r="S6" i="3"/>
  <c r="J7" i="403"/>
  <c r="J3" i="403"/>
  <c r="J2" i="403"/>
  <c r="C57" i="550"/>
  <c r="C53" i="550"/>
  <c r="P55" i="550"/>
  <c r="N55" i="550"/>
  <c r="O65" i="550"/>
  <c r="O57" i="550"/>
  <c r="R58" i="550"/>
  <c r="T5" i="550"/>
  <c r="P61" i="550"/>
  <c r="N61" i="550"/>
  <c r="O62" i="550"/>
  <c r="W5" i="550"/>
  <c r="C52" i="550"/>
  <c r="C54" i="550"/>
  <c r="O54" i="550"/>
  <c r="Z5" i="550"/>
  <c r="O60" i="550"/>
  <c r="U5" i="550"/>
  <c r="X5" i="550"/>
  <c r="V5" i="550"/>
  <c r="O51" i="550"/>
  <c r="O56" i="550"/>
  <c r="O59" i="550"/>
  <c r="V11" i="554"/>
  <c r="B24" i="38"/>
  <c r="R27" i="404"/>
  <c r="N63" i="404"/>
  <c r="L63" i="404"/>
  <c r="R43" i="404"/>
  <c r="R49" i="404"/>
  <c r="R63" i="404"/>
  <c r="P54" i="404"/>
  <c r="N54" i="404"/>
  <c r="T26" i="404"/>
  <c r="P26" i="404"/>
  <c r="N26" i="404"/>
  <c r="T55" i="404"/>
  <c r="P55" i="404"/>
  <c r="N55" i="404"/>
  <c r="N49" i="404"/>
  <c r="R13" i="404"/>
  <c r="R44" i="549"/>
  <c r="R36" i="549"/>
  <c r="R20" i="549"/>
  <c r="X9" i="543"/>
  <c r="D6" i="463"/>
  <c r="D5" i="463"/>
  <c r="D7" i="463"/>
  <c r="H6" i="463"/>
  <c r="H5" i="463"/>
  <c r="H7" i="463"/>
  <c r="E5" i="463"/>
  <c r="E7" i="463"/>
  <c r="E6" i="463"/>
  <c r="E2" i="403"/>
  <c r="F7" i="463"/>
  <c r="F6" i="463"/>
  <c r="F5" i="463"/>
  <c r="C7" i="463"/>
  <c r="C6" i="463"/>
  <c r="C5" i="463"/>
  <c r="G7" i="463"/>
  <c r="G6" i="463"/>
  <c r="G5" i="463"/>
  <c r="C39" i="401"/>
  <c r="C11" i="401"/>
  <c r="C34" i="401"/>
  <c r="C31" i="401"/>
  <c r="C33" i="401"/>
  <c r="C29" i="401"/>
  <c r="C32" i="401"/>
  <c r="R28" i="401"/>
  <c r="R12" i="401"/>
  <c r="C27" i="401"/>
  <c r="Z22" i="555"/>
  <c r="Z60" i="519"/>
  <c r="W68" i="530"/>
  <c r="C6" i="398"/>
  <c r="AA5" i="398"/>
  <c r="C31" i="396"/>
  <c r="R12" i="396"/>
  <c r="U37" i="517"/>
  <c r="V34" i="519"/>
  <c r="Z47" i="555"/>
  <c r="Z39" i="555"/>
  <c r="C7" i="396"/>
  <c r="O7" i="396" s="1"/>
  <c r="C37" i="396"/>
  <c r="V4" i="396"/>
  <c r="C29" i="396" s="1"/>
  <c r="W35" i="530"/>
  <c r="AA31" i="412"/>
  <c r="U58" i="530"/>
  <c r="Z52" i="412"/>
  <c r="U5" i="526"/>
  <c r="C26" i="526"/>
  <c r="U23" i="555"/>
  <c r="Z42" i="530"/>
  <c r="W76" i="526"/>
  <c r="Y47" i="555"/>
  <c r="C46" i="555"/>
  <c r="Y46" i="555"/>
  <c r="T41" i="404"/>
  <c r="P41" i="404"/>
  <c r="N41" i="404"/>
  <c r="C60" i="397"/>
  <c r="O60" i="397"/>
  <c r="P60" i="397"/>
  <c r="N60" i="397"/>
  <c r="AA5" i="399"/>
  <c r="C273" i="397"/>
  <c r="O273" i="397"/>
  <c r="P273" i="397"/>
  <c r="N273" i="397"/>
  <c r="C279" i="397"/>
  <c r="O279" i="397"/>
  <c r="P279" i="397"/>
  <c r="N279" i="397"/>
  <c r="C270" i="397"/>
  <c r="O270" i="397"/>
  <c r="P270" i="397"/>
  <c r="N270" i="397"/>
  <c r="C268" i="397"/>
  <c r="O268" i="397"/>
  <c r="P268" i="397"/>
  <c r="N268" i="397"/>
  <c r="C253" i="397"/>
  <c r="O253" i="397"/>
  <c r="P253" i="397"/>
  <c r="N253" i="397"/>
  <c r="C262" i="397"/>
  <c r="O262" i="397"/>
  <c r="P262" i="397"/>
  <c r="N262" i="397"/>
  <c r="C282" i="397"/>
  <c r="O282" i="397"/>
  <c r="P282" i="397"/>
  <c r="N282" i="397"/>
  <c r="C45" i="397"/>
  <c r="O45" i="397"/>
  <c r="P45" i="397"/>
  <c r="N45" i="397"/>
  <c r="C214" i="397"/>
  <c r="O214" i="397"/>
  <c r="P214" i="397"/>
  <c r="N214" i="397"/>
  <c r="O251" i="397"/>
  <c r="P251" i="397"/>
  <c r="N251" i="397"/>
  <c r="C283" i="397"/>
  <c r="O283" i="397"/>
  <c r="P283" i="397"/>
  <c r="N283" i="397"/>
  <c r="C284" i="397"/>
  <c r="O284" i="397"/>
  <c r="P284" i="397"/>
  <c r="N284" i="397"/>
  <c r="C274" i="397"/>
  <c r="O274" i="397"/>
  <c r="P274" i="397"/>
  <c r="N274" i="397"/>
  <c r="C265" i="397"/>
  <c r="O265" i="397"/>
  <c r="P265" i="397"/>
  <c r="N265" i="397"/>
  <c r="C272" i="397"/>
  <c r="O272" i="397"/>
  <c r="P272" i="397"/>
  <c r="N272" i="397"/>
  <c r="C275" i="397"/>
  <c r="O275" i="397"/>
  <c r="P275" i="397"/>
  <c r="N275" i="397"/>
  <c r="C260" i="397"/>
  <c r="O260" i="397"/>
  <c r="P260" i="397"/>
  <c r="N260" i="397"/>
  <c r="C259" i="397"/>
  <c r="O259" i="397"/>
  <c r="P259" i="397"/>
  <c r="N259" i="397"/>
  <c r="C256" i="397"/>
  <c r="O256" i="397"/>
  <c r="P256" i="397"/>
  <c r="N256" i="397"/>
  <c r="C280" i="397"/>
  <c r="O280" i="397"/>
  <c r="P280" i="397"/>
  <c r="N280" i="397"/>
  <c r="C263" i="397"/>
  <c r="O263" i="397"/>
  <c r="P263" i="397"/>
  <c r="N263" i="397"/>
  <c r="AA8" i="481"/>
  <c r="O8" i="481"/>
  <c r="AA38" i="467"/>
  <c r="AA5" i="467"/>
  <c r="AA19" i="467"/>
  <c r="AA37" i="467"/>
  <c r="AA31" i="467"/>
  <c r="C44" i="397"/>
  <c r="O44" i="397"/>
  <c r="P44" i="397"/>
  <c r="N44" i="397"/>
  <c r="C49" i="397"/>
  <c r="O49" i="397"/>
  <c r="P49" i="397"/>
  <c r="N49" i="397"/>
  <c r="C58" i="397"/>
  <c r="O58" i="397"/>
  <c r="P58" i="397"/>
  <c r="N58" i="397"/>
  <c r="C46" i="397"/>
  <c r="O46" i="397"/>
  <c r="P46" i="397"/>
  <c r="N46" i="397"/>
  <c r="C50" i="397"/>
  <c r="O50" i="397"/>
  <c r="P50" i="397"/>
  <c r="N50" i="397"/>
  <c r="C61" i="397"/>
  <c r="O61" i="397"/>
  <c r="P61" i="397"/>
  <c r="N61" i="397"/>
  <c r="C47" i="397"/>
  <c r="O47" i="397"/>
  <c r="P47" i="397"/>
  <c r="N47" i="397"/>
  <c r="C54" i="397"/>
  <c r="O54" i="397"/>
  <c r="P54" i="397"/>
  <c r="N54" i="397"/>
  <c r="C42" i="397"/>
  <c r="O42" i="397"/>
  <c r="P42" i="397"/>
  <c r="N42" i="397"/>
  <c r="C40" i="397"/>
  <c r="O40" i="397"/>
  <c r="P40" i="397"/>
  <c r="N40" i="397"/>
  <c r="C39" i="397"/>
  <c r="O39" i="397"/>
  <c r="P39" i="397"/>
  <c r="N39" i="397"/>
  <c r="C48" i="397"/>
  <c r="O48" i="397"/>
  <c r="P48" i="397"/>
  <c r="N48" i="397"/>
  <c r="C37" i="397"/>
  <c r="O37" i="397"/>
  <c r="P37" i="397"/>
  <c r="N37" i="397"/>
  <c r="C53" i="397"/>
  <c r="O53" i="397"/>
  <c r="P53" i="397"/>
  <c r="N53" i="397"/>
  <c r="C56" i="397"/>
  <c r="O56" i="397"/>
  <c r="P56" i="397"/>
  <c r="N56" i="397"/>
  <c r="C63" i="397"/>
  <c r="O63" i="397"/>
  <c r="P63" i="397"/>
  <c r="N63" i="397"/>
  <c r="C57" i="397"/>
  <c r="O57" i="397"/>
  <c r="P57" i="397"/>
  <c r="N57" i="397"/>
  <c r="C55" i="397"/>
  <c r="O55" i="397"/>
  <c r="P55" i="397"/>
  <c r="N55" i="397"/>
  <c r="C38" i="397"/>
  <c r="O38" i="397"/>
  <c r="P38" i="397"/>
  <c r="N38" i="397"/>
  <c r="C52" i="397"/>
  <c r="O52" i="397"/>
  <c r="P52" i="397"/>
  <c r="N52" i="397"/>
  <c r="C51" i="397"/>
  <c r="O51" i="397"/>
  <c r="P51" i="397"/>
  <c r="N51" i="397"/>
  <c r="C59" i="397"/>
  <c r="O59" i="397"/>
  <c r="P59" i="397"/>
  <c r="C36" i="397"/>
  <c r="O36" i="397"/>
  <c r="P36" i="397"/>
  <c r="N36" i="397"/>
  <c r="C41" i="397"/>
  <c r="O41" i="397"/>
  <c r="P41" i="397"/>
  <c r="N41" i="397"/>
  <c r="C195" i="397"/>
  <c r="O195" i="397"/>
  <c r="P195" i="397"/>
  <c r="N195" i="397"/>
  <c r="C196" i="397"/>
  <c r="O196" i="397"/>
  <c r="P196" i="397"/>
  <c r="N196" i="397"/>
  <c r="C209" i="397"/>
  <c r="O209" i="397"/>
  <c r="P209" i="397"/>
  <c r="N209" i="397"/>
  <c r="C199" i="397"/>
  <c r="O199" i="397"/>
  <c r="P199" i="397"/>
  <c r="N199" i="397"/>
  <c r="C197" i="397"/>
  <c r="O197" i="397"/>
  <c r="P197" i="397"/>
  <c r="N197" i="397"/>
  <c r="C201" i="397"/>
  <c r="O201" i="397"/>
  <c r="P201" i="397"/>
  <c r="N201" i="397"/>
  <c r="C194" i="397"/>
  <c r="O194" i="397"/>
  <c r="P194" i="397"/>
  <c r="N194" i="397"/>
  <c r="C200" i="397"/>
  <c r="O200" i="397"/>
  <c r="P200" i="397"/>
  <c r="N200" i="397"/>
  <c r="O193" i="397"/>
  <c r="P193" i="397"/>
  <c r="N193" i="397"/>
  <c r="C212" i="397"/>
  <c r="O212" i="397"/>
  <c r="P212" i="397"/>
  <c r="N212" i="397"/>
  <c r="C208" i="397"/>
  <c r="O208" i="397"/>
  <c r="P208" i="397"/>
  <c r="N208" i="397"/>
  <c r="C204" i="397"/>
  <c r="O204" i="397"/>
  <c r="P204" i="397"/>
  <c r="N204" i="397"/>
  <c r="C206" i="397"/>
  <c r="O206" i="397"/>
  <c r="P206" i="397"/>
  <c r="N206" i="397"/>
  <c r="C203" i="397"/>
  <c r="O203" i="397"/>
  <c r="P203" i="397"/>
  <c r="N203" i="397"/>
  <c r="C205" i="397"/>
  <c r="O205" i="397"/>
  <c r="P205" i="397"/>
  <c r="N205" i="397"/>
  <c r="C145" i="397"/>
  <c r="O145" i="397"/>
  <c r="P145" i="397"/>
  <c r="C139" i="397"/>
  <c r="O139" i="397"/>
  <c r="P139" i="397"/>
  <c r="N139" i="397"/>
  <c r="C155" i="397"/>
  <c r="O155" i="397"/>
  <c r="P155" i="397"/>
  <c r="C136" i="397"/>
  <c r="O136" i="397"/>
  <c r="P136" i="397"/>
  <c r="N136" i="397"/>
  <c r="C142" i="397"/>
  <c r="O142" i="397"/>
  <c r="P142" i="397"/>
  <c r="N142" i="397"/>
  <c r="C144" i="397"/>
  <c r="O144" i="397"/>
  <c r="P144" i="397"/>
  <c r="N144" i="397"/>
  <c r="C153" i="397"/>
  <c r="O153" i="397"/>
  <c r="P153" i="397"/>
  <c r="N153" i="397"/>
  <c r="C147" i="397"/>
  <c r="O147" i="397"/>
  <c r="P147" i="397"/>
  <c r="N147" i="397"/>
  <c r="C149" i="397"/>
  <c r="O149" i="397"/>
  <c r="P149" i="397"/>
  <c r="C156" i="397"/>
  <c r="O156" i="397"/>
  <c r="P156" i="397"/>
  <c r="N156" i="397"/>
  <c r="C137" i="397"/>
  <c r="O137" i="397"/>
  <c r="P137" i="397"/>
  <c r="N137" i="397"/>
  <c r="C150" i="397"/>
  <c r="O150" i="397"/>
  <c r="P150" i="397"/>
  <c r="N150" i="397"/>
  <c r="C140" i="397"/>
  <c r="O140" i="397"/>
  <c r="P140" i="397"/>
  <c r="N140" i="397"/>
  <c r="C151" i="397"/>
  <c r="O151" i="397"/>
  <c r="P151" i="397"/>
  <c r="C143" i="397"/>
  <c r="O143" i="397"/>
  <c r="P143" i="397"/>
  <c r="C154" i="397"/>
  <c r="O154" i="397"/>
  <c r="P154" i="397"/>
  <c r="N154" i="397"/>
  <c r="C141" i="397"/>
  <c r="O141" i="397"/>
  <c r="P141" i="397"/>
  <c r="C152" i="397"/>
  <c r="O152" i="397"/>
  <c r="P152" i="397"/>
  <c r="C135" i="397"/>
  <c r="O135" i="397"/>
  <c r="P135" i="397"/>
  <c r="N135" i="397"/>
  <c r="AA33" i="404"/>
  <c r="Z5" i="404"/>
  <c r="O10" i="404"/>
  <c r="AA13" i="404"/>
  <c r="AA26" i="404"/>
  <c r="AA59" i="404"/>
  <c r="AA12" i="404"/>
  <c r="AA40" i="404"/>
  <c r="AA32" i="404"/>
  <c r="AA41" i="404"/>
  <c r="AA61" i="404"/>
  <c r="AA49" i="404"/>
  <c r="AA51" i="404"/>
  <c r="AA45" i="404"/>
  <c r="AA57" i="404"/>
  <c r="C10" i="394"/>
  <c r="AA10" i="394"/>
  <c r="C36" i="394"/>
  <c r="U36" i="394"/>
  <c r="P30" i="399"/>
  <c r="N30" i="399"/>
  <c r="P10" i="404"/>
  <c r="N10" i="404"/>
  <c r="T10" i="404"/>
  <c r="Z5" i="401"/>
  <c r="O6" i="481"/>
  <c r="T6" i="481"/>
  <c r="AA6" i="481"/>
  <c r="AA15" i="481"/>
  <c r="O15" i="481"/>
  <c r="C264" i="397"/>
  <c r="O264" i="397"/>
  <c r="P264" i="397"/>
  <c r="N264" i="397"/>
  <c r="C252" i="397"/>
  <c r="O252" i="397"/>
  <c r="P252" i="397"/>
  <c r="N252" i="397"/>
  <c r="C266" i="397"/>
  <c r="O266" i="397"/>
  <c r="P266" i="397"/>
  <c r="N266" i="397"/>
  <c r="C271" i="397"/>
  <c r="O271" i="397"/>
  <c r="P271" i="397"/>
  <c r="N271" i="397"/>
  <c r="C285" i="397"/>
  <c r="O285" i="397"/>
  <c r="P285" i="397"/>
  <c r="N285" i="397"/>
  <c r="C258" i="397"/>
  <c r="O258" i="397"/>
  <c r="P258" i="397"/>
  <c r="N258" i="397"/>
  <c r="C16" i="481"/>
  <c r="C286" i="397"/>
  <c r="O286" i="397"/>
  <c r="P286" i="397"/>
  <c r="N286" i="397"/>
  <c r="C269" i="397"/>
  <c r="O269" i="397"/>
  <c r="P269" i="397"/>
  <c r="N269" i="397"/>
  <c r="C267" i="397"/>
  <c r="O267" i="397"/>
  <c r="P267" i="397"/>
  <c r="N267" i="397"/>
  <c r="X4" i="518"/>
  <c r="U4" i="525"/>
  <c r="U4" i="540"/>
  <c r="U4" i="406"/>
  <c r="U4" i="549"/>
  <c r="U24" i="467"/>
  <c r="U25" i="467"/>
  <c r="U3" i="545"/>
  <c r="U4" i="544"/>
  <c r="U4" i="546"/>
  <c r="U4" i="518"/>
  <c r="U4" i="541"/>
  <c r="U4" i="481"/>
  <c r="K4" i="397"/>
  <c r="C6" i="397"/>
  <c r="U4" i="394"/>
  <c r="U42" i="394"/>
  <c r="U4" i="404"/>
  <c r="U4" i="467"/>
  <c r="U4" i="401"/>
  <c r="K46" i="4"/>
  <c r="U4" i="399"/>
  <c r="U13" i="399"/>
  <c r="U3" i="396"/>
  <c r="U4" i="395"/>
  <c r="U4" i="398"/>
  <c r="AA26" i="399"/>
  <c r="O26" i="399"/>
  <c r="Y4" i="406"/>
  <c r="Y4" i="540"/>
  <c r="Y4" i="525"/>
  <c r="Y4" i="549"/>
  <c r="Y24" i="467"/>
  <c r="Y25" i="467"/>
  <c r="Y3" i="545"/>
  <c r="Y4" i="544"/>
  <c r="Y4" i="546"/>
  <c r="Y4" i="518"/>
  <c r="Y4" i="394"/>
  <c r="K159" i="397"/>
  <c r="C162" i="397"/>
  <c r="Y4" i="467"/>
  <c r="Y4" i="404"/>
  <c r="O46" i="4"/>
  <c r="Y4" i="398"/>
  <c r="Y4" i="541"/>
  <c r="Y4" i="481"/>
  <c r="Y4" i="401"/>
  <c r="Y3" i="396"/>
  <c r="Y4" i="399"/>
  <c r="Z13" i="399"/>
  <c r="Y4" i="395"/>
  <c r="P32" i="404"/>
  <c r="N32" i="404"/>
  <c r="W4" i="525"/>
  <c r="W4" i="540"/>
  <c r="W4" i="406"/>
  <c r="W24" i="467"/>
  <c r="W25" i="467"/>
  <c r="W4" i="549"/>
  <c r="W4" i="544"/>
  <c r="W4" i="546"/>
  <c r="W4" i="518"/>
  <c r="W4" i="541"/>
  <c r="W3" i="545"/>
  <c r="W4" i="404"/>
  <c r="X20" i="404"/>
  <c r="W4" i="394"/>
  <c r="X15" i="394"/>
  <c r="F4" i="38"/>
  <c r="W4" i="481"/>
  <c r="W4" i="467"/>
  <c r="M46" i="4"/>
  <c r="W3" i="396"/>
  <c r="W4" i="395"/>
  <c r="K101" i="397"/>
  <c r="W4" i="401"/>
  <c r="W4" i="398"/>
  <c r="W4" i="399"/>
  <c r="X13" i="399"/>
  <c r="AA55" i="399"/>
  <c r="T12" i="404"/>
  <c r="P12" i="404"/>
  <c r="N12" i="404"/>
  <c r="Z5" i="398"/>
  <c r="AA35" i="399"/>
  <c r="AA21" i="399"/>
  <c r="Z5" i="399"/>
  <c r="AA41" i="399"/>
  <c r="AA53" i="399"/>
  <c r="AA60" i="399"/>
  <c r="AA31" i="399"/>
  <c r="AA28" i="399"/>
  <c r="AA30" i="399"/>
  <c r="Z35" i="399"/>
  <c r="AA66" i="399"/>
  <c r="P6" i="481"/>
  <c r="N6" i="481"/>
  <c r="L7" i="481"/>
  <c r="L8" i="481"/>
  <c r="L9" i="481"/>
  <c r="P8" i="481"/>
  <c r="N8" i="481"/>
  <c r="T8" i="481"/>
  <c r="Y16" i="481"/>
  <c r="U16" i="481"/>
  <c r="Z16" i="481"/>
  <c r="O16" i="481"/>
  <c r="AA16" i="481"/>
  <c r="X74" i="518"/>
  <c r="X5" i="518"/>
  <c r="X14" i="518"/>
  <c r="X72" i="518"/>
  <c r="X41" i="518"/>
  <c r="X23" i="518"/>
  <c r="X67" i="518"/>
  <c r="X49" i="518"/>
  <c r="X73" i="518"/>
  <c r="AA27" i="404"/>
  <c r="AA63" i="404"/>
  <c r="AA20" i="404"/>
  <c r="C215" i="397"/>
  <c r="O215" i="397"/>
  <c r="P215" i="397"/>
  <c r="N215" i="397"/>
  <c r="X5" i="404"/>
  <c r="X27" i="404"/>
  <c r="C148" i="397"/>
  <c r="O148" i="397"/>
  <c r="P148" i="397"/>
  <c r="N148" i="397"/>
  <c r="C146" i="397"/>
  <c r="O146" i="397"/>
  <c r="P146" i="397"/>
  <c r="N146" i="397"/>
  <c r="U43" i="404"/>
  <c r="V43" i="404"/>
  <c r="AA43" i="404"/>
  <c r="X32" i="518"/>
  <c r="AA4" i="540"/>
  <c r="AA4" i="525"/>
  <c r="AA20" i="525"/>
  <c r="AA4" i="406"/>
  <c r="AA24" i="467"/>
  <c r="AA25" i="467"/>
  <c r="AA4" i="549"/>
  <c r="AA3" i="545"/>
  <c r="AA11" i="545"/>
  <c r="AA4" i="544"/>
  <c r="AA4" i="518"/>
  <c r="AA4" i="541"/>
  <c r="AA68" i="541"/>
  <c r="X58" i="518"/>
  <c r="U58" i="518"/>
  <c r="Y58" i="518"/>
  <c r="P59" i="546"/>
  <c r="T59" i="546"/>
  <c r="C103" i="397"/>
  <c r="X4" i="540"/>
  <c r="X5" i="540"/>
  <c r="X4" i="406"/>
  <c r="X4" i="525"/>
  <c r="X4" i="549"/>
  <c r="X24" i="467"/>
  <c r="X25" i="467"/>
  <c r="X4" i="544"/>
  <c r="X5" i="544"/>
  <c r="C8" i="544"/>
  <c r="X4" i="546"/>
  <c r="X3" i="545"/>
  <c r="Y11" i="545"/>
  <c r="X4" i="541"/>
  <c r="V4" i="540"/>
  <c r="V4" i="525"/>
  <c r="V4" i="406"/>
  <c r="V4" i="549"/>
  <c r="V24" i="467"/>
  <c r="V25" i="467"/>
  <c r="V4" i="546"/>
  <c r="V70" i="546"/>
  <c r="V4" i="544"/>
  <c r="V5" i="544"/>
  <c r="V4" i="518"/>
  <c r="V4" i="541"/>
  <c r="U52" i="541"/>
  <c r="V3" i="545"/>
  <c r="AA4" i="546"/>
  <c r="X19" i="467"/>
  <c r="Z4" i="540"/>
  <c r="Z4" i="525"/>
  <c r="Z4" i="549"/>
  <c r="Z4" i="406"/>
  <c r="Z24" i="467"/>
  <c r="Z25" i="467"/>
  <c r="Z4" i="546"/>
  <c r="Z81" i="546"/>
  <c r="Z4" i="544"/>
  <c r="Z3" i="545"/>
  <c r="Z4" i="518"/>
  <c r="Z58" i="518"/>
  <c r="Z4" i="541"/>
  <c r="Z52" i="541"/>
  <c r="V58" i="518"/>
  <c r="U37" i="541"/>
  <c r="V24" i="544"/>
  <c r="W24" i="544"/>
  <c r="O14" i="545"/>
  <c r="P14" i="545"/>
  <c r="N14" i="545"/>
  <c r="AA75" i="546"/>
  <c r="Y75" i="546"/>
  <c r="U75" i="546"/>
  <c r="O75" i="546"/>
  <c r="T75" i="546"/>
  <c r="Z75" i="546"/>
  <c r="V61" i="546"/>
  <c r="O50" i="546"/>
  <c r="T50" i="546"/>
  <c r="AA50" i="546"/>
  <c r="Z50" i="546"/>
  <c r="U50" i="546"/>
  <c r="Y50" i="546"/>
  <c r="V50" i="546"/>
  <c r="Z31" i="546"/>
  <c r="U31" i="546"/>
  <c r="AA31" i="546"/>
  <c r="Y31" i="546"/>
  <c r="Y37" i="541"/>
  <c r="AA53" i="545"/>
  <c r="AA24" i="544"/>
  <c r="V15" i="544"/>
  <c r="Z44" i="545"/>
  <c r="O61" i="546"/>
  <c r="T61" i="546"/>
  <c r="V71" i="546"/>
  <c r="U70" i="546"/>
  <c r="X21" i="525"/>
  <c r="U21" i="525"/>
  <c r="V54" i="540"/>
  <c r="X29" i="525"/>
  <c r="U29" i="525"/>
  <c r="W29" i="525"/>
  <c r="U55" i="525"/>
  <c r="U13" i="525"/>
  <c r="X13" i="525"/>
  <c r="O49" i="525"/>
  <c r="T49" i="525"/>
  <c r="U49" i="525"/>
  <c r="Z49" i="525"/>
  <c r="U45" i="540"/>
  <c r="U36" i="540"/>
  <c r="U23" i="530"/>
  <c r="V68" i="530"/>
  <c r="U68" i="530"/>
  <c r="U50" i="530"/>
  <c r="U22" i="530"/>
  <c r="V22" i="530"/>
  <c r="U5" i="530"/>
  <c r="C16" i="530"/>
  <c r="V16" i="530"/>
  <c r="U42" i="530"/>
  <c r="U8" i="530"/>
  <c r="Z68" i="530"/>
  <c r="C64" i="4"/>
  <c r="D65" i="4"/>
  <c r="D66" i="4"/>
  <c r="C63" i="4"/>
  <c r="T19" i="481"/>
  <c r="P19" i="481"/>
  <c r="N19" i="481"/>
  <c r="C207" i="397"/>
  <c r="O207" i="397"/>
  <c r="P207" i="397"/>
  <c r="C198" i="397"/>
  <c r="O198" i="397"/>
  <c r="P198" i="397"/>
  <c r="N198" i="397"/>
  <c r="C211" i="397"/>
  <c r="O211" i="397"/>
  <c r="P211" i="397"/>
  <c r="N211" i="397"/>
  <c r="C202" i="397"/>
  <c r="O202" i="397"/>
  <c r="P202" i="397"/>
  <c r="N202" i="397"/>
  <c r="V7" i="481"/>
  <c r="Z7" i="481"/>
  <c r="Y19" i="481"/>
  <c r="X6" i="394"/>
  <c r="X7" i="394"/>
  <c r="X16" i="394"/>
  <c r="X25" i="394"/>
  <c r="X34" i="394"/>
  <c r="W36" i="394"/>
  <c r="U10" i="394"/>
  <c r="W10" i="394"/>
  <c r="V10" i="394"/>
  <c r="W8" i="481"/>
  <c r="X8" i="481"/>
  <c r="C229" i="397"/>
  <c r="O229" i="397"/>
  <c r="P229" i="397"/>
  <c r="N229" i="397"/>
  <c r="C221" i="397"/>
  <c r="O221" i="397"/>
  <c r="P221" i="397"/>
  <c r="N221" i="397"/>
  <c r="U6" i="394"/>
  <c r="U15" i="394"/>
  <c r="C4" i="38"/>
  <c r="U16" i="394"/>
  <c r="U24" i="394"/>
  <c r="U34" i="394"/>
  <c r="U46" i="394"/>
  <c r="W24" i="394"/>
  <c r="W33" i="394"/>
  <c r="W46" i="394"/>
  <c r="W42" i="394"/>
  <c r="Y12" i="467"/>
  <c r="Z12" i="467"/>
  <c r="Y19" i="467"/>
  <c r="V5" i="467"/>
  <c r="V19" i="467"/>
  <c r="T21" i="481"/>
  <c r="P21" i="481"/>
  <c r="N21" i="481"/>
  <c r="C36" i="467"/>
  <c r="C35" i="467"/>
  <c r="C34" i="467"/>
  <c r="C9" i="467"/>
  <c r="C10" i="467"/>
  <c r="C15" i="467"/>
  <c r="C17" i="467"/>
  <c r="C8" i="467"/>
  <c r="C18" i="467"/>
  <c r="W12" i="467"/>
  <c r="Y6" i="394"/>
  <c r="Y15" i="394"/>
  <c r="G4" i="38"/>
  <c r="Y7" i="394"/>
  <c r="Y24" i="394"/>
  <c r="Y33" i="394"/>
  <c r="Y25" i="394"/>
  <c r="Y46" i="394"/>
  <c r="Y42" i="394"/>
  <c r="V25" i="394"/>
  <c r="V34" i="394"/>
  <c r="V42" i="394"/>
  <c r="V24" i="394"/>
  <c r="V16" i="394"/>
  <c r="V46" i="394"/>
  <c r="X20" i="481"/>
  <c r="Y20" i="481"/>
  <c r="Z5" i="394"/>
  <c r="Z25" i="394"/>
  <c r="Z34" i="394"/>
  <c r="Z6" i="394"/>
  <c r="Z15" i="394"/>
  <c r="H4" i="38"/>
  <c r="Z7" i="394"/>
  <c r="Z42" i="394"/>
  <c r="Z24" i="394"/>
  <c r="Z33" i="394"/>
  <c r="AA5" i="394"/>
  <c r="C41" i="394"/>
  <c r="O41" i="394"/>
  <c r="T41" i="394"/>
  <c r="AA7" i="394"/>
  <c r="AA16" i="394"/>
  <c r="AA24" i="394"/>
  <c r="AA33" i="394"/>
  <c r="AA25" i="394"/>
  <c r="AA34" i="394"/>
  <c r="AA6" i="394"/>
  <c r="AA15" i="394"/>
  <c r="I4" i="38"/>
  <c r="AA46" i="394"/>
  <c r="AA42" i="394"/>
  <c r="V91" i="541"/>
  <c r="Z91" i="541"/>
  <c r="U76" i="541"/>
  <c r="V44" i="541"/>
  <c r="W91" i="541"/>
  <c r="W68" i="541"/>
  <c r="X91" i="541"/>
  <c r="T14" i="545"/>
  <c r="Y48" i="544"/>
  <c r="AA20" i="545"/>
  <c r="V48" i="544"/>
  <c r="Z48" i="544"/>
  <c r="Y20" i="545"/>
  <c r="Z20" i="545"/>
  <c r="AA14" i="545"/>
  <c r="X20" i="545"/>
  <c r="Z14" i="545"/>
  <c r="Y20" i="525"/>
  <c r="Y13" i="525"/>
  <c r="X40" i="525"/>
  <c r="X20" i="525"/>
  <c r="Y49" i="525"/>
  <c r="Y29" i="525"/>
  <c r="X55" i="525"/>
  <c r="X39" i="525"/>
  <c r="Y40" i="525"/>
  <c r="X50" i="525"/>
  <c r="X30" i="525"/>
  <c r="Z5" i="540"/>
  <c r="AA64" i="540"/>
  <c r="W64" i="540"/>
  <c r="Y54" i="540"/>
  <c r="U54" i="540"/>
  <c r="Z53" i="540"/>
  <c r="V53" i="540"/>
  <c r="X45" i="540"/>
  <c r="Y5" i="540"/>
  <c r="V64" i="540"/>
  <c r="Y53" i="540"/>
  <c r="U53" i="540"/>
  <c r="AA45" i="540"/>
  <c r="W45" i="540"/>
  <c r="AA13" i="541"/>
  <c r="U64" i="540"/>
  <c r="AA54" i="540"/>
  <c r="W54" i="540"/>
  <c r="X53" i="540"/>
  <c r="Z45" i="540"/>
  <c r="V45" i="540"/>
  <c r="V24" i="541"/>
  <c r="AA5" i="540"/>
  <c r="W5" i="540"/>
  <c r="Z54" i="540"/>
  <c r="Y45" i="540"/>
  <c r="V24" i="412"/>
  <c r="Z22" i="530"/>
  <c r="AB67" i="519"/>
  <c r="U40" i="412"/>
  <c r="V60" i="530"/>
  <c r="U52" i="517"/>
  <c r="V56" i="555"/>
  <c r="C26" i="555"/>
  <c r="Y26" i="555"/>
  <c r="Z50" i="530"/>
  <c r="Z23" i="530"/>
  <c r="Z65" i="530"/>
  <c r="Y50" i="530"/>
  <c r="AB11" i="554"/>
  <c r="Y22" i="555"/>
  <c r="U22" i="555"/>
  <c r="U29" i="555"/>
  <c r="Z29" i="555"/>
  <c r="Y29" i="555"/>
  <c r="Y6" i="548"/>
  <c r="AA64" i="554"/>
  <c r="V39" i="554"/>
  <c r="C16" i="555"/>
  <c r="U16" i="555"/>
  <c r="AB64" i="554"/>
  <c r="AA32" i="524"/>
  <c r="Y23" i="555"/>
  <c r="C45" i="555"/>
  <c r="V45" i="555"/>
  <c r="C32" i="555"/>
  <c r="W32" i="555"/>
  <c r="Y11" i="555"/>
  <c r="U13" i="555"/>
  <c r="Z58" i="530"/>
  <c r="D67" i="4"/>
  <c r="C66" i="4"/>
  <c r="C65" i="4"/>
  <c r="W65" i="530"/>
  <c r="W58" i="530"/>
  <c r="W23" i="530"/>
  <c r="W15" i="530"/>
  <c r="U65" i="530"/>
  <c r="V65" i="530"/>
  <c r="W22" i="530"/>
  <c r="W66" i="530"/>
  <c r="U63" i="530"/>
  <c r="Y22" i="530"/>
  <c r="X66" i="530"/>
  <c r="X50" i="530"/>
  <c r="T26" i="524"/>
  <c r="P26" i="524"/>
  <c r="N26" i="524"/>
  <c r="D40" i="554"/>
  <c r="X40" i="554"/>
  <c r="C6" i="554"/>
  <c r="W6" i="554"/>
  <c r="D65" i="554"/>
  <c r="V65" i="554"/>
  <c r="D30" i="554"/>
  <c r="AA30" i="554"/>
  <c r="D31" i="554"/>
  <c r="Y31" i="554"/>
  <c r="D13" i="554"/>
  <c r="AB13" i="554"/>
  <c r="C44" i="530"/>
  <c r="U44" i="530"/>
  <c r="C46" i="530"/>
  <c r="Y46" i="530"/>
  <c r="C54" i="530"/>
  <c r="U54" i="530"/>
  <c r="V64" i="554"/>
  <c r="U66" i="517"/>
  <c r="Z11" i="517"/>
  <c r="AA21" i="526"/>
  <c r="Y56" i="555"/>
  <c r="X23" i="530"/>
  <c r="Y35" i="530"/>
  <c r="V75" i="519"/>
  <c r="Z5" i="554"/>
  <c r="C40" i="555"/>
  <c r="V40" i="555"/>
  <c r="O15" i="530"/>
  <c r="T15" i="530"/>
  <c r="U15" i="530"/>
  <c r="Y68" i="530"/>
  <c r="Z15" i="530"/>
  <c r="U24" i="517"/>
  <c r="AA101" i="524"/>
  <c r="O29" i="555"/>
  <c r="Z56" i="555"/>
  <c r="Z23" i="555"/>
  <c r="V23" i="555"/>
  <c r="V31" i="555"/>
  <c r="V58" i="530"/>
  <c r="V50" i="530"/>
  <c r="V42" i="530"/>
  <c r="V23" i="530"/>
  <c r="V15" i="530"/>
  <c r="W42" i="530"/>
  <c r="V5" i="530"/>
  <c r="C11" i="530"/>
  <c r="Y62" i="530"/>
  <c r="C40" i="394"/>
  <c r="O40" i="394"/>
  <c r="T40" i="394"/>
  <c r="C23" i="394"/>
  <c r="O23" i="394"/>
  <c r="T23" i="394"/>
  <c r="C19" i="394"/>
  <c r="C38" i="394"/>
  <c r="O38" i="394"/>
  <c r="T38" i="394"/>
  <c r="C9" i="394"/>
  <c r="O9" i="394"/>
  <c r="T9" i="394"/>
  <c r="R42" i="394"/>
  <c r="C12" i="394"/>
  <c r="C44" i="394"/>
  <c r="C27" i="394"/>
  <c r="C28" i="394"/>
  <c r="O28" i="394"/>
  <c r="T28" i="394"/>
  <c r="X5" i="395"/>
  <c r="C63" i="395" s="1"/>
  <c r="V5" i="395"/>
  <c r="C56" i="395" s="1"/>
  <c r="AA6" i="395"/>
  <c r="W6" i="395"/>
  <c r="Z5" i="395"/>
  <c r="C67" i="395" s="1"/>
  <c r="Y6" i="395"/>
  <c r="C46" i="395"/>
  <c r="L12" i="14"/>
  <c r="C10" i="14"/>
  <c r="Q17" i="8"/>
  <c r="T10" i="8"/>
  <c r="K15" i="14"/>
  <c r="K8" i="8"/>
  <c r="S8" i="8"/>
  <c r="C12" i="14"/>
  <c r="D12" i="14"/>
  <c r="F12" i="14"/>
  <c r="T18" i="8"/>
  <c r="K6" i="8"/>
  <c r="J10" i="14"/>
  <c r="H14" i="14"/>
  <c r="U10" i="8"/>
  <c r="M15" i="14"/>
  <c r="M16" i="14"/>
  <c r="L14" i="14"/>
  <c r="G14" i="14"/>
  <c r="P18" i="8"/>
  <c r="C11" i="394"/>
  <c r="X5" i="394"/>
  <c r="O19" i="394"/>
  <c r="T19" i="394"/>
  <c r="O10" i="394"/>
  <c r="T10" i="394"/>
  <c r="W5" i="394"/>
  <c r="U5" i="394"/>
  <c r="C35" i="394"/>
  <c r="R33" i="394"/>
  <c r="R24" i="394"/>
  <c r="R15" i="394"/>
  <c r="D16" i="14"/>
  <c r="W4" i="8"/>
  <c r="G4" i="14"/>
  <c r="H4" i="14"/>
  <c r="I4" i="14"/>
  <c r="J4" i="14"/>
  <c r="K4" i="14"/>
  <c r="L4" i="14"/>
  <c r="D4" i="14"/>
  <c r="E4" i="14"/>
  <c r="V16" i="8"/>
  <c r="B3" i="14"/>
  <c r="K4" i="8"/>
  <c r="G16" i="8"/>
  <c r="K7" i="8"/>
  <c r="Q7" i="8"/>
  <c r="D9" i="14"/>
  <c r="D10" i="14"/>
  <c r="D13" i="8"/>
  <c r="P13" i="8"/>
  <c r="D14" i="8"/>
  <c r="H16" i="14"/>
  <c r="J14" i="8"/>
  <c r="V14" i="8"/>
  <c r="H11" i="8"/>
  <c r="J16" i="8"/>
  <c r="G11" i="8"/>
  <c r="R13" i="8"/>
  <c r="D11" i="8"/>
  <c r="P11" i="8"/>
  <c r="J11" i="8"/>
  <c r="V11" i="8"/>
  <c r="H14" i="8"/>
  <c r="T14" i="8"/>
  <c r="W14" i="8"/>
  <c r="C16" i="14"/>
  <c r="F16" i="14"/>
  <c r="H16" i="8"/>
  <c r="K12" i="8"/>
  <c r="P12" i="8"/>
  <c r="E16" i="8"/>
  <c r="I16" i="14"/>
  <c r="K5" i="8"/>
  <c r="F16" i="8"/>
  <c r="J12" i="8"/>
  <c r="V12" i="8"/>
  <c r="D15" i="8"/>
  <c r="I11" i="8"/>
  <c r="F11" i="8"/>
  <c r="J13" i="8"/>
  <c r="V13" i="8"/>
  <c r="W13" i="8"/>
  <c r="M67" i="9"/>
  <c r="L70" i="9"/>
  <c r="B25" i="3"/>
  <c r="B24" i="3"/>
  <c r="B23" i="3"/>
  <c r="B22" i="3"/>
  <c r="C14" i="463"/>
  <c r="F2" i="403"/>
  <c r="F14" i="403"/>
  <c r="O25" i="3"/>
  <c r="O24" i="3"/>
  <c r="O23" i="3"/>
  <c r="O22" i="3"/>
  <c r="N21" i="3"/>
  <c r="N25" i="3"/>
  <c r="N24" i="3"/>
  <c r="N23" i="3"/>
  <c r="N22" i="3"/>
  <c r="R21" i="3"/>
  <c r="H2" i="403"/>
  <c r="H14" i="403"/>
  <c r="Q21" i="3"/>
  <c r="F21" i="3"/>
  <c r="H21" i="3"/>
  <c r="D14" i="463"/>
  <c r="C25" i="3"/>
  <c r="C24" i="3"/>
  <c r="C23" i="3"/>
  <c r="C22" i="3"/>
  <c r="C21" i="3"/>
  <c r="J14" i="403"/>
  <c r="C14" i="403"/>
  <c r="I14" i="403"/>
  <c r="G14" i="463"/>
  <c r="E14" i="403"/>
  <c r="D14" i="403"/>
  <c r="G3" i="403"/>
  <c r="P14" i="3"/>
  <c r="P13" i="3"/>
  <c r="P12" i="3"/>
  <c r="P11" i="3"/>
  <c r="P10" i="3"/>
  <c r="P9" i="3"/>
  <c r="P8" i="3"/>
  <c r="P7" i="3"/>
  <c r="P6" i="3"/>
  <c r="G7" i="403"/>
  <c r="G5" i="403"/>
  <c r="H14" i="463"/>
  <c r="H14" i="3"/>
  <c r="H13" i="3"/>
  <c r="H12" i="3"/>
  <c r="H11" i="3"/>
  <c r="H10" i="3"/>
  <c r="H9" i="3"/>
  <c r="H8" i="3"/>
  <c r="H7" i="3"/>
  <c r="H6" i="3"/>
  <c r="F14" i="463"/>
  <c r="H74" i="9"/>
  <c r="C74" i="9"/>
  <c r="F74" i="9"/>
  <c r="G74" i="9"/>
  <c r="E74" i="9"/>
  <c r="B74" i="9"/>
  <c r="F72" i="9"/>
  <c r="D72" i="9"/>
  <c r="E72" i="9"/>
  <c r="B72" i="9"/>
  <c r="I72" i="9"/>
  <c r="H72" i="9"/>
  <c r="G72" i="9"/>
  <c r="C72" i="9"/>
  <c r="F70" i="9"/>
  <c r="G70" i="9"/>
  <c r="C70" i="9"/>
  <c r="D70" i="9"/>
  <c r="H70" i="9"/>
  <c r="E70" i="9"/>
  <c r="B70" i="9"/>
  <c r="I67" i="9"/>
  <c r="F68" i="9"/>
  <c r="C66" i="9"/>
  <c r="H66" i="9"/>
  <c r="D66" i="9"/>
  <c r="B66" i="9"/>
  <c r="F66" i="9"/>
  <c r="G66" i="9"/>
  <c r="E66" i="9"/>
  <c r="B64" i="9"/>
  <c r="I63" i="9"/>
  <c r="F62" i="9"/>
  <c r="C62" i="9"/>
  <c r="B62" i="9"/>
  <c r="I62" i="9"/>
  <c r="G62" i="9"/>
  <c r="F60" i="9"/>
  <c r="G60" i="9"/>
  <c r="K70" i="9"/>
  <c r="C60" i="9"/>
  <c r="E60" i="9"/>
  <c r="K73" i="9"/>
  <c r="B60" i="9"/>
  <c r="I60" i="9"/>
  <c r="K69" i="9"/>
  <c r="D60" i="9"/>
  <c r="Z28" i="519"/>
  <c r="X76" i="526"/>
  <c r="U44" i="517"/>
  <c r="U18" i="517"/>
  <c r="V35" i="519"/>
  <c r="V18" i="519"/>
  <c r="Y63" i="530"/>
  <c r="Z67" i="519"/>
  <c r="V4" i="519"/>
  <c r="C29" i="519"/>
  <c r="X21" i="526"/>
  <c r="V38" i="519"/>
  <c r="AA22" i="530"/>
  <c r="C13" i="526"/>
  <c r="W13" i="526"/>
  <c r="AA5" i="526"/>
  <c r="C86" i="526"/>
  <c r="Y60" i="519"/>
  <c r="W30" i="526"/>
  <c r="AA76" i="526"/>
  <c r="V12" i="412"/>
  <c r="V67" i="519"/>
  <c r="W60" i="519"/>
  <c r="C16" i="526"/>
  <c r="V16" i="526"/>
  <c r="W12" i="519"/>
  <c r="X71" i="526"/>
  <c r="X45" i="526"/>
  <c r="V33" i="519"/>
  <c r="U39" i="412"/>
  <c r="AA25" i="412"/>
  <c r="Z64" i="554"/>
  <c r="V57" i="524"/>
  <c r="C35" i="555"/>
  <c r="W35" i="555"/>
  <c r="C54" i="555"/>
  <c r="W54" i="555"/>
  <c r="Z35" i="530"/>
  <c r="X35" i="530"/>
  <c r="V35" i="530"/>
  <c r="U35" i="530"/>
  <c r="X60" i="530"/>
  <c r="Y15" i="530"/>
  <c r="Y23" i="530"/>
  <c r="Y42" i="530"/>
  <c r="Y58" i="530"/>
  <c r="X15" i="530"/>
  <c r="X42" i="530"/>
  <c r="X68" i="530"/>
  <c r="Y60" i="530"/>
  <c r="X62" i="530"/>
  <c r="X5" i="530"/>
  <c r="C59" i="530"/>
  <c r="Z59" i="530"/>
  <c r="Y65" i="530"/>
  <c r="X63" i="530"/>
  <c r="X22" i="530"/>
  <c r="X58" i="530"/>
  <c r="X65" i="530"/>
  <c r="V44" i="517"/>
  <c r="C56" i="526"/>
  <c r="AA56" i="526"/>
  <c r="X52" i="526"/>
  <c r="X39" i="526"/>
  <c r="V45" i="519"/>
  <c r="Z45" i="519"/>
  <c r="X5" i="526"/>
  <c r="C73" i="526"/>
  <c r="U24" i="412"/>
  <c r="AA5" i="412"/>
  <c r="C23" i="412"/>
  <c r="AA23" i="412"/>
  <c r="V32" i="412"/>
  <c r="Z31" i="555"/>
  <c r="X31" i="555"/>
  <c r="U55" i="555"/>
  <c r="X55" i="555"/>
  <c r="C31" i="530"/>
  <c r="V31" i="530"/>
  <c r="C12" i="530"/>
  <c r="V12" i="530"/>
  <c r="C33" i="530"/>
  <c r="Z33" i="530"/>
  <c r="V66" i="530"/>
  <c r="Z66" i="530"/>
  <c r="Y66" i="530"/>
  <c r="W67" i="519"/>
  <c r="V60" i="519"/>
  <c r="V12" i="519"/>
  <c r="V28" i="519"/>
  <c r="U12" i="412"/>
  <c r="U45" i="412"/>
  <c r="V6" i="543"/>
  <c r="Y9" i="543"/>
  <c r="D41" i="554"/>
  <c r="X41" i="554"/>
  <c r="D35" i="554"/>
  <c r="AB35" i="554"/>
  <c r="C21" i="530"/>
  <c r="AA21" i="530"/>
  <c r="Z5" i="524"/>
  <c r="C68" i="524"/>
  <c r="Z45" i="524"/>
  <c r="AA16" i="524"/>
  <c r="AA89" i="524"/>
  <c r="U5" i="524"/>
  <c r="C24" i="524"/>
  <c r="U57" i="524"/>
  <c r="U102" i="524"/>
  <c r="V111" i="524"/>
  <c r="U111" i="524"/>
  <c r="U89" i="524"/>
  <c r="V16" i="524"/>
  <c r="U31" i="555"/>
  <c r="Y31" i="555"/>
  <c r="C27" i="555"/>
  <c r="U27" i="555"/>
  <c r="C34" i="555"/>
  <c r="V34" i="555"/>
  <c r="AA4" i="555"/>
  <c r="C37" i="555"/>
  <c r="AA30" i="555"/>
  <c r="AA20" i="555"/>
  <c r="AA23" i="555"/>
  <c r="AA32" i="555"/>
  <c r="W4" i="555"/>
  <c r="C25" i="555"/>
  <c r="X22" i="555"/>
  <c r="X23" i="555"/>
  <c r="X29" i="555"/>
  <c r="X47" i="555"/>
  <c r="X56" i="555"/>
  <c r="V52" i="554"/>
  <c r="U32" i="524"/>
  <c r="AA11" i="555"/>
  <c r="Z60" i="530"/>
  <c r="AA111" i="524"/>
  <c r="AA57" i="524"/>
  <c r="U75" i="524"/>
  <c r="U26" i="524"/>
  <c r="V23" i="554"/>
  <c r="AA102" i="524"/>
  <c r="AA45" i="524"/>
  <c r="W63" i="530"/>
  <c r="Z62" i="530"/>
  <c r="U62" i="530"/>
  <c r="U61" i="530"/>
  <c r="W62" i="530"/>
  <c r="V62" i="530"/>
  <c r="W61" i="530"/>
  <c r="X48" i="544"/>
  <c r="W48" i="544"/>
  <c r="AA48" i="544"/>
  <c r="C44" i="544"/>
  <c r="C71" i="544"/>
  <c r="C46" i="544"/>
  <c r="C65" i="544"/>
  <c r="U48" i="544"/>
  <c r="W24" i="543"/>
  <c r="AA24" i="543"/>
  <c r="X24" i="543"/>
  <c r="U24" i="543"/>
  <c r="Y24" i="543"/>
  <c r="V24" i="543"/>
  <c r="Z24" i="543"/>
  <c r="O24" i="543"/>
  <c r="T24" i="543"/>
  <c r="AA24" i="517"/>
  <c r="C50" i="526"/>
  <c r="U50" i="526"/>
  <c r="AA45" i="526"/>
  <c r="Y33" i="519"/>
  <c r="C7" i="543"/>
  <c r="O7" i="543"/>
  <c r="Y5" i="543"/>
  <c r="C44" i="543"/>
  <c r="V21" i="543"/>
  <c r="V30" i="543"/>
  <c r="V22" i="543"/>
  <c r="V23" i="543"/>
  <c r="V63" i="543"/>
  <c r="V54" i="543"/>
  <c r="V55" i="543"/>
  <c r="Z21" i="543"/>
  <c r="Z30" i="543"/>
  <c r="Z22" i="543"/>
  <c r="Z23" i="543"/>
  <c r="Z63" i="543"/>
  <c r="Z54" i="543"/>
  <c r="Z55" i="543"/>
  <c r="Z9" i="543"/>
  <c r="C10" i="526"/>
  <c r="U10" i="526"/>
  <c r="C29" i="526"/>
  <c r="O29" i="526"/>
  <c r="W11" i="526"/>
  <c r="U27" i="543"/>
  <c r="Y27" i="543"/>
  <c r="V27" i="543"/>
  <c r="Z27" i="543"/>
  <c r="W27" i="543"/>
  <c r="AA27" i="543"/>
  <c r="X27" i="543"/>
  <c r="W21" i="543"/>
  <c r="W30" i="543"/>
  <c r="W22" i="543"/>
  <c r="W23" i="543"/>
  <c r="W63" i="543"/>
  <c r="W54" i="543"/>
  <c r="W55" i="543"/>
  <c r="AA21" i="543"/>
  <c r="AA30" i="543"/>
  <c r="AA22" i="543"/>
  <c r="AA23" i="543"/>
  <c r="AA63" i="543"/>
  <c r="AA54" i="543"/>
  <c r="AA55" i="543"/>
  <c r="AA26" i="524"/>
  <c r="V9" i="543"/>
  <c r="Z60" i="517"/>
  <c r="Y67" i="519"/>
  <c r="C81" i="526"/>
  <c r="V81" i="526"/>
  <c r="C20" i="526"/>
  <c r="V20" i="526"/>
  <c r="X23" i="543"/>
  <c r="X21" i="543"/>
  <c r="X30" i="543"/>
  <c r="X22" i="543"/>
  <c r="X55" i="543"/>
  <c r="X63" i="543"/>
  <c r="X54" i="543"/>
  <c r="W14" i="543"/>
  <c r="AA14" i="543"/>
  <c r="X14" i="543"/>
  <c r="U14" i="543"/>
  <c r="Y14" i="543"/>
  <c r="V14" i="543"/>
  <c r="Z14" i="543"/>
  <c r="U48" i="543"/>
  <c r="Y48" i="543"/>
  <c r="V48" i="543"/>
  <c r="Z48" i="543"/>
  <c r="W48" i="543"/>
  <c r="AA48" i="543"/>
  <c r="X48" i="543"/>
  <c r="AA9" i="543"/>
  <c r="U22" i="543"/>
  <c r="U23" i="543"/>
  <c r="U21" i="543"/>
  <c r="U30" i="543"/>
  <c r="U54" i="543"/>
  <c r="U55" i="543"/>
  <c r="U63" i="543"/>
  <c r="Y22" i="543"/>
  <c r="Y23" i="543"/>
  <c r="Y21" i="543"/>
  <c r="Y30" i="543"/>
  <c r="Y54" i="543"/>
  <c r="Y55" i="543"/>
  <c r="Y63" i="543"/>
  <c r="V36" i="543"/>
  <c r="Z36" i="543"/>
  <c r="W36" i="543"/>
  <c r="AA36" i="543"/>
  <c r="X36" i="543"/>
  <c r="U36" i="543"/>
  <c r="Y36" i="543"/>
  <c r="W9" i="543"/>
  <c r="U9" i="543"/>
  <c r="R14" i="543"/>
  <c r="P21" i="543"/>
  <c r="N21" i="543"/>
  <c r="C65" i="517"/>
  <c r="Z65" i="517"/>
  <c r="C49" i="517"/>
  <c r="V49" i="517"/>
  <c r="C35" i="526"/>
  <c r="Y35" i="526"/>
  <c r="C57" i="526"/>
  <c r="O57" i="526"/>
  <c r="U16" i="524"/>
  <c r="P9" i="543"/>
  <c r="N9" i="543"/>
  <c r="C15" i="543"/>
  <c r="O15" i="543"/>
  <c r="T15" i="543"/>
  <c r="C49" i="543"/>
  <c r="Z5" i="543"/>
  <c r="C8" i="543"/>
  <c r="O14" i="543"/>
  <c r="T14" i="543"/>
  <c r="AA75" i="524"/>
  <c r="U45" i="524"/>
  <c r="Z101" i="524"/>
  <c r="X26" i="524"/>
  <c r="C60" i="543"/>
  <c r="C31" i="543"/>
  <c r="O31" i="543"/>
  <c r="T31" i="543"/>
  <c r="U6" i="543"/>
  <c r="Z59" i="526"/>
  <c r="C16" i="412"/>
  <c r="X16" i="412"/>
  <c r="C27" i="412"/>
  <c r="Y27" i="412"/>
  <c r="Z11" i="412"/>
  <c r="Y52" i="412"/>
  <c r="W45" i="412"/>
  <c r="X25" i="412"/>
  <c r="U11" i="526"/>
  <c r="X60" i="517"/>
  <c r="W25" i="517"/>
  <c r="W5" i="517"/>
  <c r="C39" i="517"/>
  <c r="W18" i="517"/>
  <c r="AA11" i="517"/>
  <c r="AA37" i="517"/>
  <c r="AA5" i="517"/>
  <c r="W4" i="519"/>
  <c r="C36" i="519"/>
  <c r="X60" i="519"/>
  <c r="X67" i="519"/>
  <c r="AA45" i="519"/>
  <c r="AA70" i="519"/>
  <c r="AA60" i="519"/>
  <c r="AB60" i="519"/>
  <c r="AA67" i="519"/>
  <c r="AA34" i="519"/>
  <c r="AA12" i="519"/>
  <c r="AB70" i="519"/>
  <c r="V21" i="526"/>
  <c r="U30" i="526"/>
  <c r="V67" i="526"/>
  <c r="U46" i="526"/>
  <c r="V59" i="526"/>
  <c r="U67" i="526"/>
  <c r="Z21" i="526"/>
  <c r="Y46" i="526"/>
  <c r="Y45" i="526"/>
  <c r="Z76" i="526"/>
  <c r="Y5" i="517"/>
  <c r="C9" i="517"/>
  <c r="V9" i="517"/>
  <c r="V25" i="517"/>
  <c r="Y11" i="517"/>
  <c r="U11" i="517"/>
  <c r="U25" i="517"/>
  <c r="X18" i="517"/>
  <c r="C18" i="526"/>
  <c r="W18" i="526"/>
  <c r="X52" i="554"/>
  <c r="W11" i="554"/>
  <c r="X11" i="554"/>
  <c r="X31" i="554"/>
  <c r="X65" i="554"/>
  <c r="W39" i="554"/>
  <c r="X39" i="554"/>
  <c r="X6" i="554"/>
  <c r="W64" i="554"/>
  <c r="AA39" i="554"/>
  <c r="AA31" i="554"/>
  <c r="AA6" i="554"/>
  <c r="AA11" i="554"/>
  <c r="AB65" i="554"/>
  <c r="AB39" i="554"/>
  <c r="AA5" i="554"/>
  <c r="X23" i="554"/>
  <c r="Z23" i="554"/>
  <c r="W23" i="554"/>
  <c r="AA23" i="554"/>
  <c r="Y101" i="524"/>
  <c r="D24" i="554"/>
  <c r="Y24" i="554"/>
  <c r="D14" i="554"/>
  <c r="Z14" i="554"/>
  <c r="D32" i="554"/>
  <c r="V32" i="554"/>
  <c r="D34" i="554"/>
  <c r="AA34" i="554"/>
  <c r="C7" i="554"/>
  <c r="Z7" i="554"/>
  <c r="D33" i="554"/>
  <c r="Z33" i="554"/>
  <c r="D66" i="554"/>
  <c r="Z66" i="554"/>
  <c r="W54" i="530"/>
  <c r="AA62" i="530"/>
  <c r="AA23" i="530"/>
  <c r="AA42" i="530"/>
  <c r="AA68" i="530"/>
  <c r="AA61" i="530"/>
  <c r="AA50" i="530"/>
  <c r="AA58" i="530"/>
  <c r="AA66" i="530"/>
  <c r="U5" i="517"/>
  <c r="U60" i="517"/>
  <c r="W11" i="517"/>
  <c r="Z44" i="517"/>
  <c r="W8" i="530"/>
  <c r="V8" i="530"/>
  <c r="X8" i="530"/>
  <c r="Y5" i="524"/>
  <c r="C51" i="524"/>
  <c r="Z16" i="524"/>
  <c r="Z57" i="524"/>
  <c r="Z102" i="524"/>
  <c r="Z26" i="524"/>
  <c r="Z75" i="524"/>
  <c r="Z111" i="524"/>
  <c r="Y45" i="524"/>
  <c r="Z32" i="524"/>
  <c r="Z89" i="524"/>
  <c r="W5" i="524"/>
  <c r="C60" i="524"/>
  <c r="X75" i="524"/>
  <c r="W45" i="524"/>
  <c r="X111" i="524"/>
  <c r="W101" i="524"/>
  <c r="Y11" i="554"/>
  <c r="Z52" i="554"/>
  <c r="AA45" i="530"/>
  <c r="AA15" i="530"/>
  <c r="AA65" i="530"/>
  <c r="AA35" i="530"/>
  <c r="W34" i="519"/>
  <c r="W45" i="519"/>
  <c r="U83" i="526"/>
  <c r="U76" i="526"/>
  <c r="U52" i="526"/>
  <c r="U34" i="526"/>
  <c r="U59" i="526"/>
  <c r="U21" i="526"/>
  <c r="U71" i="526"/>
  <c r="Y21" i="526"/>
  <c r="Y59" i="526"/>
  <c r="Y30" i="526"/>
  <c r="O23" i="412"/>
  <c r="V83" i="526"/>
  <c r="X28" i="519"/>
  <c r="Y12" i="519"/>
  <c r="X70" i="519"/>
  <c r="X18" i="519"/>
  <c r="AB4" i="519"/>
  <c r="C77" i="519"/>
  <c r="AB12" i="519"/>
  <c r="V5" i="526"/>
  <c r="C54" i="526"/>
  <c r="W52" i="526"/>
  <c r="W71" i="526"/>
  <c r="V11" i="526"/>
  <c r="V52" i="526"/>
  <c r="V71" i="526"/>
  <c r="W59" i="526"/>
  <c r="V34" i="526"/>
  <c r="Z46" i="526"/>
  <c r="AA82" i="526"/>
  <c r="AA52" i="526"/>
  <c r="AA46" i="526"/>
  <c r="Z39" i="526"/>
  <c r="V18" i="412"/>
  <c r="W18" i="412"/>
  <c r="W32" i="412"/>
  <c r="V11" i="412"/>
  <c r="W12" i="412"/>
  <c r="W11" i="412"/>
  <c r="Y32" i="412"/>
  <c r="Y25" i="412"/>
  <c r="X34" i="519"/>
  <c r="Y5" i="526"/>
  <c r="C27" i="526"/>
  <c r="AA40" i="412"/>
  <c r="Z24" i="412"/>
  <c r="AA11" i="412"/>
  <c r="AA6" i="543"/>
  <c r="Z41" i="554"/>
  <c r="Z40" i="554"/>
  <c r="Z11" i="554"/>
  <c r="Y5" i="554"/>
  <c r="AA52" i="554"/>
  <c r="Y23" i="554"/>
  <c r="Y111" i="524"/>
  <c r="Y75" i="524"/>
  <c r="Y26" i="524"/>
  <c r="X101" i="524"/>
  <c r="X45" i="524"/>
  <c r="W111" i="524"/>
  <c r="W75" i="524"/>
  <c r="W26" i="524"/>
  <c r="V101" i="524"/>
  <c r="V32" i="524"/>
  <c r="AA55" i="555"/>
  <c r="Z55" i="555"/>
  <c r="Y55" i="555"/>
  <c r="W29" i="555"/>
  <c r="U56" i="555"/>
  <c r="C51" i="555"/>
  <c r="AA51" i="555"/>
  <c r="W45" i="530"/>
  <c r="Z45" i="530"/>
  <c r="Z35" i="554"/>
  <c r="AA40" i="554"/>
  <c r="Z39" i="554"/>
  <c r="Y39" i="554"/>
  <c r="W52" i="554"/>
  <c r="Y52" i="554"/>
  <c r="Y102" i="524"/>
  <c r="Y57" i="524"/>
  <c r="Y16" i="524"/>
  <c r="X89" i="524"/>
  <c r="X32" i="524"/>
  <c r="W102" i="524"/>
  <c r="W57" i="524"/>
  <c r="W16" i="524"/>
  <c r="V89" i="524"/>
  <c r="V26" i="524"/>
  <c r="W56" i="555"/>
  <c r="W22" i="555"/>
  <c r="C49" i="555"/>
  <c r="V49" i="555"/>
  <c r="U45" i="530"/>
  <c r="Z61" i="530"/>
  <c r="C38" i="530"/>
  <c r="V38" i="530"/>
  <c r="AA63" i="530"/>
  <c r="Z65" i="554"/>
  <c r="Y89" i="524"/>
  <c r="Y32" i="524"/>
  <c r="X102" i="524"/>
  <c r="X57" i="524"/>
  <c r="X16" i="524"/>
  <c r="W89" i="524"/>
  <c r="W32" i="524"/>
  <c r="V102" i="524"/>
  <c r="V45" i="524"/>
  <c r="W31" i="555"/>
  <c r="W23" i="555"/>
  <c r="V29" i="555"/>
  <c r="V22" i="555"/>
  <c r="V47" i="555"/>
  <c r="C24" i="555"/>
  <c r="AA24" i="555"/>
  <c r="X13" i="555"/>
  <c r="O45" i="530"/>
  <c r="T45" i="530"/>
  <c r="V45" i="530"/>
  <c r="X45" i="530"/>
  <c r="Y45" i="530"/>
  <c r="W33" i="541"/>
  <c r="V5" i="541"/>
  <c r="C63" i="541"/>
  <c r="U63" i="541"/>
  <c r="W5" i="541"/>
  <c r="C71" i="541"/>
  <c r="Z13" i="541"/>
  <c r="W37" i="541"/>
  <c r="Z84" i="541"/>
  <c r="V52" i="541"/>
  <c r="V60" i="541"/>
  <c r="V76" i="541"/>
  <c r="R44" i="541"/>
  <c r="R60" i="541"/>
  <c r="W22" i="541"/>
  <c r="V27" i="541"/>
  <c r="Z33" i="541"/>
  <c r="U13" i="541"/>
  <c r="V13" i="541"/>
  <c r="Z37" i="541"/>
  <c r="V84" i="541"/>
  <c r="U21" i="541"/>
  <c r="Z44" i="541"/>
  <c r="R84" i="541"/>
  <c r="U24" i="541"/>
  <c r="O71" i="541"/>
  <c r="P71" i="541"/>
  <c r="N71" i="541"/>
  <c r="U71" i="541"/>
  <c r="W71" i="541"/>
  <c r="C19" i="541"/>
  <c r="X19" i="541"/>
  <c r="C29" i="541"/>
  <c r="C65" i="541"/>
  <c r="C46" i="541"/>
  <c r="C57" i="541"/>
  <c r="C74" i="541"/>
  <c r="C73" i="541"/>
  <c r="C55" i="541"/>
  <c r="Y60" i="541"/>
  <c r="X13" i="541"/>
  <c r="Y36" i="541"/>
  <c r="Y84" i="541"/>
  <c r="Y13" i="541"/>
  <c r="X5" i="541"/>
  <c r="C85" i="541"/>
  <c r="X33" i="541"/>
  <c r="X21" i="541"/>
  <c r="Y68" i="541"/>
  <c r="X60" i="541"/>
  <c r="X52" i="541"/>
  <c r="Y33" i="541"/>
  <c r="Y24" i="541"/>
  <c r="C10" i="541"/>
  <c r="X84" i="541"/>
  <c r="X36" i="541"/>
  <c r="Y44" i="541"/>
  <c r="Y52" i="541"/>
  <c r="C81" i="541"/>
  <c r="X44" i="541"/>
  <c r="Y76" i="541"/>
  <c r="C49" i="541"/>
  <c r="R76" i="541"/>
  <c r="W24" i="541"/>
  <c r="W52" i="541"/>
  <c r="W36" i="541"/>
  <c r="W21" i="541"/>
  <c r="W60" i="541"/>
  <c r="W84" i="541"/>
  <c r="AA24" i="541"/>
  <c r="AA36" i="541"/>
  <c r="X76" i="541"/>
  <c r="W44" i="541"/>
  <c r="U44" i="541"/>
  <c r="R21" i="541"/>
  <c r="R68" i="541"/>
  <c r="V68" i="541"/>
  <c r="X68" i="541"/>
  <c r="Z68" i="541"/>
  <c r="U68" i="541"/>
  <c r="AA37" i="541"/>
  <c r="V37" i="541"/>
  <c r="X37" i="541"/>
  <c r="X22" i="541"/>
  <c r="U22" i="541"/>
  <c r="Y22" i="541"/>
  <c r="V22" i="541"/>
  <c r="Z22" i="541"/>
  <c r="R36" i="541"/>
  <c r="X24" i="541"/>
  <c r="X27" i="541"/>
  <c r="R52" i="541"/>
  <c r="Z21" i="541"/>
  <c r="V21" i="541"/>
  <c r="Z24" i="541"/>
  <c r="Y21" i="541"/>
  <c r="W19" i="541"/>
  <c r="Y27" i="541"/>
  <c r="W27" i="541"/>
  <c r="U27" i="541"/>
  <c r="Z27" i="541"/>
  <c r="O19" i="541"/>
  <c r="C41" i="517"/>
  <c r="C57" i="517"/>
  <c r="C36" i="517"/>
  <c r="C5" i="519"/>
  <c r="C68" i="526"/>
  <c r="X66" i="517"/>
  <c r="X11" i="517"/>
  <c r="Y52" i="517"/>
  <c r="Y37" i="517"/>
  <c r="Y66" i="517"/>
  <c r="X24" i="517"/>
  <c r="X52" i="517"/>
  <c r="Y24" i="517"/>
  <c r="Y60" i="517"/>
  <c r="X44" i="517"/>
  <c r="X25" i="517"/>
  <c r="Y18" i="517"/>
  <c r="Y44" i="517"/>
  <c r="C19" i="519"/>
  <c r="Y25" i="517"/>
  <c r="X37" i="517"/>
  <c r="O35" i="526"/>
  <c r="C70" i="526"/>
  <c r="C72" i="526"/>
  <c r="C48" i="526"/>
  <c r="X38" i="519"/>
  <c r="AB35" i="519"/>
  <c r="U82" i="526"/>
  <c r="C9" i="530"/>
  <c r="AA60" i="530"/>
  <c r="C15" i="526"/>
  <c r="C14" i="526"/>
  <c r="C33" i="526"/>
  <c r="X75" i="519"/>
  <c r="U45" i="526"/>
  <c r="V75" i="524"/>
  <c r="W76" i="541"/>
  <c r="T86" i="541"/>
  <c r="Z5" i="517"/>
  <c r="V11" i="517"/>
  <c r="V24" i="517"/>
  <c r="AA52" i="517"/>
  <c r="AA25" i="517"/>
  <c r="W24" i="517"/>
  <c r="W66" i="517"/>
  <c r="W60" i="517"/>
  <c r="Z66" i="517"/>
  <c r="Z37" i="517"/>
  <c r="V5" i="517"/>
  <c r="V37" i="517"/>
  <c r="V52" i="517"/>
  <c r="AA18" i="517"/>
  <c r="AA60" i="517"/>
  <c r="W37" i="517"/>
  <c r="W44" i="517"/>
  <c r="Z25" i="517"/>
  <c r="Z18" i="517"/>
  <c r="Z52" i="517"/>
  <c r="V18" i="517"/>
  <c r="V60" i="517"/>
  <c r="V66" i="517"/>
  <c r="AA44" i="517"/>
  <c r="AA66" i="517"/>
  <c r="W52" i="517"/>
  <c r="Z24" i="517"/>
  <c r="Y28" i="519"/>
  <c r="Z38" i="519"/>
  <c r="Z18" i="519"/>
  <c r="Y35" i="519"/>
  <c r="Z34" i="519"/>
  <c r="Y18" i="519"/>
  <c r="Z12" i="519"/>
  <c r="V82" i="526"/>
  <c r="W67" i="526"/>
  <c r="W45" i="526"/>
  <c r="W46" i="526"/>
  <c r="V46" i="526"/>
  <c r="V30" i="526"/>
  <c r="W34" i="526"/>
  <c r="W39" i="526"/>
  <c r="W21" i="526"/>
  <c r="V76" i="526"/>
  <c r="V39" i="526"/>
  <c r="V45" i="526"/>
  <c r="Z5" i="526"/>
  <c r="AA83" i="526"/>
  <c r="AA39" i="526"/>
  <c r="AA11" i="526"/>
  <c r="AA59" i="526"/>
  <c r="AA34" i="526"/>
  <c r="Z67" i="526"/>
  <c r="Z34" i="526"/>
  <c r="Z30" i="526"/>
  <c r="Z11" i="526"/>
  <c r="Z83" i="526"/>
  <c r="Z82" i="526"/>
  <c r="AA67" i="526"/>
  <c r="AA30" i="526"/>
  <c r="Z52" i="526"/>
  <c r="Z45" i="526"/>
  <c r="Z71" i="526"/>
  <c r="AA71" i="526"/>
  <c r="C47" i="412"/>
  <c r="C36" i="412"/>
  <c r="V36" i="412"/>
  <c r="AA45" i="412"/>
  <c r="Z32" i="412"/>
  <c r="Z5" i="412"/>
  <c r="C56" i="412"/>
  <c r="O56" i="412"/>
  <c r="P56" i="412"/>
  <c r="N56" i="412"/>
  <c r="AA18" i="412"/>
  <c r="Z18" i="412"/>
  <c r="X11" i="412"/>
  <c r="X39" i="412"/>
  <c r="X52" i="412"/>
  <c r="X31" i="412"/>
  <c r="G70" i="519"/>
  <c r="W70" i="519"/>
  <c r="V70" i="519"/>
  <c r="Z70" i="519"/>
  <c r="W28" i="519"/>
  <c r="X12" i="519"/>
  <c r="W35" i="519"/>
  <c r="X33" i="519"/>
  <c r="W18" i="519"/>
  <c r="AB75" i="519"/>
  <c r="AB45" i="519"/>
  <c r="AA4" i="519"/>
  <c r="AA35" i="519"/>
  <c r="AB28" i="519"/>
  <c r="AA18" i="519"/>
  <c r="AB18" i="519"/>
  <c r="Y82" i="526"/>
  <c r="X59" i="526"/>
  <c r="X67" i="526"/>
  <c r="X34" i="526"/>
  <c r="Y67" i="526"/>
  <c r="Y52" i="526"/>
  <c r="Y71" i="526"/>
  <c r="Y83" i="526"/>
  <c r="Y39" i="526"/>
  <c r="X30" i="526"/>
  <c r="X46" i="526"/>
  <c r="X11" i="526"/>
  <c r="Y76" i="526"/>
  <c r="Y34" i="526"/>
  <c r="Y11" i="526"/>
  <c r="Y18" i="412"/>
  <c r="Y45" i="412"/>
  <c r="Y40" i="412"/>
  <c r="W40" i="412"/>
  <c r="W51" i="412"/>
  <c r="W52" i="412"/>
  <c r="C17" i="543"/>
  <c r="C16" i="543"/>
  <c r="AA5" i="543"/>
  <c r="X5" i="543"/>
  <c r="C64" i="543"/>
  <c r="Y6" i="543"/>
  <c r="X6" i="543"/>
  <c r="V5" i="543"/>
  <c r="C50" i="543"/>
  <c r="C37" i="524"/>
  <c r="C91" i="524"/>
  <c r="C47" i="524"/>
  <c r="C80" i="524"/>
  <c r="W5" i="543"/>
  <c r="W6" i="543"/>
  <c r="Z6" i="543"/>
  <c r="U30" i="555"/>
  <c r="V30" i="555"/>
  <c r="X30" i="555"/>
  <c r="Y30" i="555"/>
  <c r="W30" i="555"/>
  <c r="Z30" i="555"/>
  <c r="Y27" i="555"/>
  <c r="Y64" i="554"/>
  <c r="V39" i="555"/>
  <c r="U39" i="555"/>
  <c r="W39" i="555"/>
  <c r="X39" i="555"/>
  <c r="Y39" i="555"/>
  <c r="AA39" i="555"/>
  <c r="X26" i="555"/>
  <c r="AA22" i="555"/>
  <c r="AA29" i="555"/>
  <c r="AA56" i="555"/>
  <c r="AA31" i="555"/>
  <c r="AA47" i="555"/>
  <c r="C58" i="555"/>
  <c r="Z16" i="530"/>
  <c r="Y16" i="530"/>
  <c r="U16" i="530"/>
  <c r="V35" i="555"/>
  <c r="U20" i="555"/>
  <c r="O20" i="555"/>
  <c r="Y20" i="555"/>
  <c r="W20" i="555"/>
  <c r="X20" i="555"/>
  <c r="Z20" i="555"/>
  <c r="V11" i="555"/>
  <c r="W11" i="555"/>
  <c r="X11" i="555"/>
  <c r="U11" i="555"/>
  <c r="Z11" i="555"/>
  <c r="V55" i="555"/>
  <c r="W60" i="530"/>
  <c r="Y61" i="530"/>
  <c r="C51" i="530"/>
  <c r="Z5" i="530"/>
  <c r="C19" i="530"/>
  <c r="AA5" i="530"/>
  <c r="Z63" i="530"/>
  <c r="V63" i="530"/>
  <c r="X61" i="530"/>
  <c r="R53" i="540"/>
  <c r="N61" i="540"/>
  <c r="W84" i="526"/>
  <c r="Z84" i="526"/>
  <c r="U84" i="526"/>
  <c r="O84" i="526"/>
  <c r="V84" i="526"/>
  <c r="AA84" i="526"/>
  <c r="Y84" i="526"/>
  <c r="X84" i="526"/>
  <c r="W38" i="519"/>
  <c r="W75" i="519"/>
  <c r="W33" i="519"/>
  <c r="AA75" i="519"/>
  <c r="AA38" i="519"/>
  <c r="AB34" i="519"/>
  <c r="AA28" i="519"/>
  <c r="AA33" i="519"/>
  <c r="AB33" i="519"/>
  <c r="AB38" i="519"/>
  <c r="V51" i="412"/>
  <c r="V45" i="412"/>
  <c r="V40" i="412"/>
  <c r="V31" i="412"/>
  <c r="U11" i="412"/>
  <c r="U18" i="412"/>
  <c r="U5" i="412"/>
  <c r="V39" i="412"/>
  <c r="V25" i="412"/>
  <c r="V52" i="412"/>
  <c r="U25" i="412"/>
  <c r="U31" i="412"/>
  <c r="U52" i="412"/>
  <c r="U51" i="412"/>
  <c r="AA51" i="412"/>
  <c r="AA39" i="412"/>
  <c r="AA52" i="412"/>
  <c r="AA12" i="412"/>
  <c r="AA32" i="412"/>
  <c r="AA24" i="412"/>
  <c r="Y75" i="519"/>
  <c r="Y34" i="519"/>
  <c r="Y45" i="519"/>
  <c r="X4" i="519"/>
  <c r="X45" i="519"/>
  <c r="Y38" i="519"/>
  <c r="X35" i="519"/>
  <c r="Y31" i="412"/>
  <c r="Y24" i="412"/>
  <c r="Y11" i="412"/>
  <c r="Z31" i="412"/>
  <c r="Z45" i="412"/>
  <c r="Z51" i="412"/>
  <c r="Z40" i="412"/>
  <c r="Y5" i="412"/>
  <c r="Y53" i="412"/>
  <c r="Y54" i="412"/>
  <c r="Y55" i="412"/>
  <c r="Y56" i="412"/>
  <c r="Y57" i="412"/>
  <c r="Y58" i="412"/>
  <c r="Y12" i="412"/>
  <c r="Y39" i="412"/>
  <c r="Y51" i="412"/>
  <c r="Z25" i="412"/>
  <c r="Z12" i="412"/>
  <c r="Z39" i="412"/>
  <c r="W25" i="412"/>
  <c r="W31" i="412"/>
  <c r="W5" i="412"/>
  <c r="W24" i="412"/>
  <c r="W39" i="412"/>
  <c r="X5" i="412"/>
  <c r="C58" i="412"/>
  <c r="O58" i="412"/>
  <c r="P58" i="412"/>
  <c r="N58" i="412"/>
  <c r="X32" i="412"/>
  <c r="X40" i="412"/>
  <c r="X24" i="412"/>
  <c r="X18" i="412"/>
  <c r="X12" i="412"/>
  <c r="X51" i="412"/>
  <c r="X45" i="412"/>
  <c r="Z33" i="519"/>
  <c r="Z75" i="519"/>
  <c r="Z4" i="519"/>
  <c r="Z35" i="519"/>
  <c r="X83" i="526"/>
  <c r="W82" i="526"/>
  <c r="W83" i="526"/>
  <c r="X82" i="526"/>
  <c r="C43" i="412"/>
  <c r="C14" i="412"/>
  <c r="C20" i="412"/>
  <c r="C34" i="412"/>
  <c r="C7" i="412"/>
  <c r="C47" i="543"/>
  <c r="C25" i="543"/>
  <c r="D53" i="554"/>
  <c r="D67" i="554"/>
  <c r="D36" i="554"/>
  <c r="D43" i="554"/>
  <c r="C8" i="554"/>
  <c r="D25" i="554"/>
  <c r="D42" i="554"/>
  <c r="D15" i="554"/>
  <c r="D28" i="554"/>
  <c r="D38" i="554"/>
  <c r="D51" i="554"/>
  <c r="C10" i="554"/>
  <c r="C9" i="554"/>
  <c r="D56" i="554"/>
  <c r="D69" i="554"/>
  <c r="D16" i="554"/>
  <c r="D29" i="554"/>
  <c r="D63" i="554"/>
  <c r="D46" i="554"/>
  <c r="D37" i="554"/>
  <c r="D22" i="554"/>
  <c r="D70" i="554"/>
  <c r="X64" i="554"/>
  <c r="AB52" i="554"/>
  <c r="AB23" i="554"/>
  <c r="C17" i="524"/>
  <c r="C28" i="524"/>
  <c r="C34" i="524"/>
  <c r="C64" i="524"/>
  <c r="C25" i="524"/>
  <c r="C59" i="524"/>
  <c r="C69" i="524"/>
  <c r="C77" i="524"/>
  <c r="C7" i="524"/>
  <c r="C66" i="524"/>
  <c r="C86" i="524"/>
  <c r="C15" i="524"/>
  <c r="C110" i="524"/>
  <c r="C44" i="524"/>
  <c r="C71" i="524"/>
  <c r="C85" i="524"/>
  <c r="C92" i="524"/>
  <c r="C19" i="524"/>
  <c r="C23" i="524"/>
  <c r="C22" i="524"/>
  <c r="C30" i="524"/>
  <c r="C39" i="524"/>
  <c r="C74" i="524"/>
  <c r="C82" i="524"/>
  <c r="C93" i="524"/>
  <c r="C21" i="524"/>
  <c r="C27" i="524"/>
  <c r="C31" i="524"/>
  <c r="C9" i="524"/>
  <c r="C49" i="524"/>
  <c r="C29" i="524"/>
  <c r="U47" i="555"/>
  <c r="C9" i="555"/>
  <c r="C12" i="555"/>
  <c r="C5" i="555"/>
  <c r="W47" i="555"/>
  <c r="C18" i="555"/>
  <c r="C6" i="555"/>
  <c r="C19" i="555"/>
  <c r="C17" i="555"/>
  <c r="C21" i="555"/>
  <c r="W55" i="555"/>
  <c r="V27" i="555"/>
  <c r="V20" i="555"/>
  <c r="C48" i="555"/>
  <c r="C42" i="555"/>
  <c r="Z13" i="555"/>
  <c r="O13" i="555"/>
  <c r="Y13" i="555"/>
  <c r="V13" i="555"/>
  <c r="AA13" i="555"/>
  <c r="W13" i="555"/>
  <c r="AA8" i="530"/>
  <c r="Z8" i="530"/>
  <c r="Y8" i="530"/>
  <c r="AA12" i="530"/>
  <c r="V61" i="530"/>
  <c r="P25" i="401"/>
  <c r="N25" i="401"/>
  <c r="C41" i="401"/>
  <c r="O41" i="401"/>
  <c r="P41" i="401"/>
  <c r="N41" i="401"/>
  <c r="C42" i="401"/>
  <c r="O42" i="401"/>
  <c r="P42" i="401"/>
  <c r="N42" i="401"/>
  <c r="C40" i="401"/>
  <c r="O40" i="401"/>
  <c r="P40" i="401"/>
  <c r="N40" i="401"/>
  <c r="P45" i="401"/>
  <c r="N45" i="401"/>
  <c r="C37" i="401"/>
  <c r="O37" i="401"/>
  <c r="P37" i="401"/>
  <c r="N37" i="401"/>
  <c r="C38" i="401"/>
  <c r="O38" i="401"/>
  <c r="P38" i="401"/>
  <c r="N38" i="401"/>
  <c r="O43" i="401"/>
  <c r="O26" i="401"/>
  <c r="O31" i="401"/>
  <c r="O32" i="401"/>
  <c r="O34" i="401"/>
  <c r="O39" i="401"/>
  <c r="O63" i="401"/>
  <c r="O33" i="401"/>
  <c r="O23" i="401"/>
  <c r="O61" i="401"/>
  <c r="O65" i="401"/>
  <c r="O27" i="401"/>
  <c r="O29" i="401"/>
  <c r="O11" i="401"/>
  <c r="O66" i="401"/>
  <c r="AA15" i="399"/>
  <c r="C12" i="399"/>
  <c r="C46" i="399"/>
  <c r="O46" i="399"/>
  <c r="P46" i="399"/>
  <c r="N46" i="399"/>
  <c r="C49" i="399"/>
  <c r="O49" i="399"/>
  <c r="P49" i="399"/>
  <c r="N49" i="399"/>
  <c r="C10" i="399"/>
  <c r="C8" i="399"/>
  <c r="O12" i="399"/>
  <c r="W12" i="399"/>
  <c r="AA12" i="399"/>
  <c r="U12" i="399"/>
  <c r="Y12" i="399"/>
  <c r="Z12" i="399"/>
  <c r="X12" i="399"/>
  <c r="V12" i="399"/>
  <c r="V7" i="399"/>
  <c r="Z7" i="399"/>
  <c r="X7" i="399"/>
  <c r="U7" i="399"/>
  <c r="W7" i="399"/>
  <c r="AA7" i="399"/>
  <c r="Y7" i="399"/>
  <c r="O7" i="399"/>
  <c r="AA56" i="399"/>
  <c r="P56" i="399"/>
  <c r="N56" i="399"/>
  <c r="X26" i="399"/>
  <c r="W13" i="399"/>
  <c r="Z41" i="399"/>
  <c r="Y13" i="399"/>
  <c r="V13" i="399"/>
  <c r="AA23" i="399"/>
  <c r="V55" i="399"/>
  <c r="Z28" i="399"/>
  <c r="AA58" i="399"/>
  <c r="T55" i="399"/>
  <c r="P55" i="399"/>
  <c r="T23" i="399"/>
  <c r="P23" i="399"/>
  <c r="N23" i="399"/>
  <c r="T58" i="399"/>
  <c r="P58" i="399"/>
  <c r="N58" i="399"/>
  <c r="Z6" i="395"/>
  <c r="Y5" i="395"/>
  <c r="C64" i="395" s="1"/>
  <c r="X6" i="395"/>
  <c r="C51" i="395"/>
  <c r="U6" i="395"/>
  <c r="C13" i="394"/>
  <c r="V7" i="394"/>
  <c r="V15" i="394"/>
  <c r="D4" i="38"/>
  <c r="W15" i="394"/>
  <c r="E4" i="38"/>
  <c r="W34" i="394"/>
  <c r="W16" i="394"/>
  <c r="U25" i="394"/>
  <c r="U7" i="394"/>
  <c r="X10" i="394"/>
  <c r="X33" i="394"/>
  <c r="X42" i="394"/>
  <c r="V33" i="394"/>
  <c r="V6" i="394"/>
  <c r="W6" i="394"/>
  <c r="W25" i="394"/>
  <c r="W7" i="394"/>
  <c r="U33" i="394"/>
  <c r="X46" i="394"/>
  <c r="X24" i="394"/>
  <c r="X16" i="555"/>
  <c r="K74" i="9"/>
  <c r="K72" i="9"/>
  <c r="U54" i="555"/>
  <c r="O27" i="555"/>
  <c r="O54" i="555"/>
  <c r="P54" i="555"/>
  <c r="N54" i="555"/>
  <c r="W27" i="555"/>
  <c r="Z46" i="555"/>
  <c r="AA34" i="555"/>
  <c r="K75" i="9"/>
  <c r="L72" i="9"/>
  <c r="L71" i="9"/>
  <c r="K71" i="9"/>
  <c r="K76" i="9"/>
  <c r="N70" i="9"/>
  <c r="L75" i="9"/>
  <c r="L74" i="9"/>
  <c r="L73" i="9"/>
  <c r="L69" i="9"/>
  <c r="N72" i="9"/>
  <c r="N69" i="9"/>
  <c r="W40" i="555"/>
  <c r="W34" i="555"/>
  <c r="C64" i="526"/>
  <c r="O54" i="530"/>
  <c r="P54" i="530"/>
  <c r="N54" i="530"/>
  <c r="W13" i="554"/>
  <c r="C30" i="412"/>
  <c r="X27" i="412"/>
  <c r="U12" i="530"/>
  <c r="Z26" i="555"/>
  <c r="C88" i="526"/>
  <c r="U88" i="526"/>
  <c r="Y21" i="551"/>
  <c r="W21" i="551"/>
  <c r="U21" i="551"/>
  <c r="X21" i="551"/>
  <c r="Z21" i="551"/>
  <c r="AA21" i="551"/>
  <c r="V21" i="551"/>
  <c r="X6" i="551"/>
  <c r="W6" i="551"/>
  <c r="Z6" i="551"/>
  <c r="AA6" i="551"/>
  <c r="V6" i="551"/>
  <c r="Y6" i="551"/>
  <c r="U6" i="551"/>
  <c r="Y32" i="551"/>
  <c r="AA32" i="551"/>
  <c r="U32" i="551"/>
  <c r="W32" i="551"/>
  <c r="X32" i="551"/>
  <c r="Z32" i="551"/>
  <c r="O32" i="551"/>
  <c r="V32" i="551"/>
  <c r="V14" i="551"/>
  <c r="W14" i="551"/>
  <c r="U14" i="551"/>
  <c r="AA14" i="551"/>
  <c r="Y14" i="551"/>
  <c r="X14" i="551"/>
  <c r="Z14" i="551"/>
  <c r="AA13" i="551"/>
  <c r="Y13" i="551"/>
  <c r="Z13" i="551"/>
  <c r="U13" i="551"/>
  <c r="W13" i="551"/>
  <c r="X13" i="551"/>
  <c r="V13" i="551"/>
  <c r="W12" i="551"/>
  <c r="Z12" i="551"/>
  <c r="X12" i="551"/>
  <c r="Y12" i="551"/>
  <c r="V12" i="551"/>
  <c r="AA12" i="551"/>
  <c r="U12" i="551"/>
  <c r="Z24" i="551"/>
  <c r="X24" i="551"/>
  <c r="V24" i="551"/>
  <c r="AA24" i="551"/>
  <c r="Y24" i="551"/>
  <c r="W24" i="551"/>
  <c r="U24" i="551"/>
  <c r="U30" i="551"/>
  <c r="AA30" i="551"/>
  <c r="Z30" i="551"/>
  <c r="W30" i="551"/>
  <c r="X30" i="551"/>
  <c r="Y30" i="551"/>
  <c r="V30" i="551"/>
  <c r="W15" i="551"/>
  <c r="Z15" i="551"/>
  <c r="Y15" i="551"/>
  <c r="V15" i="551"/>
  <c r="X15" i="551"/>
  <c r="AA15" i="551"/>
  <c r="U15" i="551"/>
  <c r="W28" i="551"/>
  <c r="Y28" i="551"/>
  <c r="Z28" i="551"/>
  <c r="X28" i="551"/>
  <c r="V28" i="551"/>
  <c r="U28" i="551"/>
  <c r="O28" i="551"/>
  <c r="AA28" i="551"/>
  <c r="AA31" i="551"/>
  <c r="Y31" i="551"/>
  <c r="W31" i="551"/>
  <c r="U31" i="551"/>
  <c r="X31" i="551"/>
  <c r="Z31" i="551"/>
  <c r="O31" i="551"/>
  <c r="V31" i="551"/>
  <c r="AA11" i="551"/>
  <c r="Y11" i="551"/>
  <c r="W11" i="551"/>
  <c r="X11" i="551"/>
  <c r="Z11" i="551"/>
  <c r="U11" i="551"/>
  <c r="V11" i="551"/>
  <c r="U23" i="551"/>
  <c r="W23" i="551"/>
  <c r="Z23" i="551"/>
  <c r="X23" i="551"/>
  <c r="V23" i="551"/>
  <c r="AA23" i="551"/>
  <c r="Y23" i="551"/>
  <c r="U18" i="551"/>
  <c r="V18" i="551"/>
  <c r="X18" i="551"/>
  <c r="W18" i="551"/>
  <c r="Z18" i="551"/>
  <c r="Y18" i="551"/>
  <c r="AA18" i="551"/>
  <c r="X22" i="551"/>
  <c r="W22" i="551"/>
  <c r="V22" i="551"/>
  <c r="Y22" i="551"/>
  <c r="AA22" i="551"/>
  <c r="U22" i="551"/>
  <c r="Z22" i="551"/>
  <c r="Z29" i="551"/>
  <c r="W29" i="551"/>
  <c r="U29" i="551"/>
  <c r="AA29" i="551"/>
  <c r="Y29" i="551"/>
  <c r="X29" i="551"/>
  <c r="V29" i="551"/>
  <c r="X7" i="551"/>
  <c r="U7" i="551"/>
  <c r="Y7" i="551"/>
  <c r="W7" i="551"/>
  <c r="V7" i="551"/>
  <c r="AA7" i="551"/>
  <c r="Z7" i="551"/>
  <c r="U27" i="551"/>
  <c r="W27" i="551"/>
  <c r="O27" i="551"/>
  <c r="V27" i="551"/>
  <c r="X27" i="551"/>
  <c r="AA27" i="551"/>
  <c r="Z27" i="551"/>
  <c r="Y27" i="551"/>
  <c r="AA25" i="551"/>
  <c r="U25" i="551"/>
  <c r="W25" i="551"/>
  <c r="Y25" i="551"/>
  <c r="X25" i="551"/>
  <c r="Z25" i="551"/>
  <c r="V25" i="551"/>
  <c r="T5" i="551"/>
  <c r="Y9" i="551"/>
  <c r="U9" i="551"/>
  <c r="X9" i="551"/>
  <c r="W9" i="551"/>
  <c r="AA9" i="551"/>
  <c r="Z9" i="551"/>
  <c r="V9" i="551"/>
  <c r="Y19" i="551"/>
  <c r="AA19" i="551"/>
  <c r="U19" i="551"/>
  <c r="X19" i="551"/>
  <c r="Z19" i="551"/>
  <c r="W19" i="551"/>
  <c r="V19" i="551"/>
  <c r="Z20" i="551"/>
  <c r="X20" i="551"/>
  <c r="V20" i="551"/>
  <c r="U20" i="551"/>
  <c r="AA20" i="551"/>
  <c r="W20" i="551"/>
  <c r="Y20" i="551"/>
  <c r="Z8" i="551"/>
  <c r="V8" i="551"/>
  <c r="Y8" i="551"/>
  <c r="U8" i="551"/>
  <c r="X8" i="551"/>
  <c r="AA8" i="551"/>
  <c r="W8" i="551"/>
  <c r="AA16" i="551"/>
  <c r="V16" i="551"/>
  <c r="W16" i="551"/>
  <c r="U16" i="551"/>
  <c r="X16" i="551"/>
  <c r="Z16" i="551"/>
  <c r="Y16" i="551"/>
  <c r="C37" i="530"/>
  <c r="C70" i="524"/>
  <c r="W70" i="524"/>
  <c r="Z35" i="555"/>
  <c r="W16" i="530"/>
  <c r="AA16" i="530"/>
  <c r="C25" i="519"/>
  <c r="P25" i="519"/>
  <c r="C8" i="524"/>
  <c r="Y8" i="524"/>
  <c r="C41" i="524"/>
  <c r="U41" i="524"/>
  <c r="C25" i="530"/>
  <c r="C65" i="524"/>
  <c r="O16" i="530"/>
  <c r="X16" i="530"/>
  <c r="C55" i="530"/>
  <c r="E14" i="463"/>
  <c r="O53" i="550"/>
  <c r="P57" i="550"/>
  <c r="N57" i="550"/>
  <c r="O52" i="550"/>
  <c r="P60" i="550"/>
  <c r="N60" i="550"/>
  <c r="P59" i="550"/>
  <c r="P54" i="550"/>
  <c r="N54" i="550"/>
  <c r="P51" i="550"/>
  <c r="N51" i="550"/>
  <c r="L52" i="550"/>
  <c r="P56" i="550"/>
  <c r="N56" i="550"/>
  <c r="Z54" i="530"/>
  <c r="C37" i="412"/>
  <c r="C53" i="526"/>
  <c r="C60" i="526"/>
  <c r="V60" i="526"/>
  <c r="C47" i="526"/>
  <c r="W40" i="554"/>
  <c r="AB40" i="554"/>
  <c r="V40" i="554"/>
  <c r="X54" i="530"/>
  <c r="AB31" i="554"/>
  <c r="AA54" i="530"/>
  <c r="C49" i="412"/>
  <c r="W23" i="412"/>
  <c r="O31" i="530"/>
  <c r="P31" i="530"/>
  <c r="N31" i="530"/>
  <c r="W55" i="530"/>
  <c r="C6" i="526"/>
  <c r="C24" i="526"/>
  <c r="O24" i="526"/>
  <c r="C22" i="526"/>
  <c r="Y40" i="554"/>
  <c r="V54" i="530"/>
  <c r="W31" i="554"/>
  <c r="C22" i="412"/>
  <c r="Y23" i="412"/>
  <c r="Z31" i="530"/>
  <c r="Y55" i="530"/>
  <c r="X23" i="412"/>
  <c r="C62" i="526"/>
  <c r="Z62" i="526"/>
  <c r="C31" i="526"/>
  <c r="P40" i="554"/>
  <c r="Q40" i="554"/>
  <c r="O40" i="554"/>
  <c r="M41" i="554"/>
  <c r="Y54" i="530"/>
  <c r="C9" i="412"/>
  <c r="Z9" i="412"/>
  <c r="W33" i="530"/>
  <c r="AA65" i="554"/>
  <c r="AB41" i="554"/>
  <c r="AA16" i="526"/>
  <c r="W35" i="526"/>
  <c r="C10" i="412"/>
  <c r="Z10" i="412"/>
  <c r="C29" i="412"/>
  <c r="V23" i="412"/>
  <c r="Y31" i="530"/>
  <c r="U23" i="412"/>
  <c r="V35" i="526"/>
  <c r="C38" i="412"/>
  <c r="Z38" i="412"/>
  <c r="C44" i="412"/>
  <c r="C50" i="412"/>
  <c r="AA50" i="412"/>
  <c r="C55" i="412"/>
  <c r="O55" i="412"/>
  <c r="P55" i="412"/>
  <c r="N55" i="412"/>
  <c r="Z23" i="412"/>
  <c r="W31" i="530"/>
  <c r="Z35" i="526"/>
  <c r="C17" i="412"/>
  <c r="X17" i="412"/>
  <c r="U35" i="526"/>
  <c r="Y35" i="555"/>
  <c r="O44" i="530"/>
  <c r="T44" i="530"/>
  <c r="X13" i="526"/>
  <c r="Y40" i="555"/>
  <c r="Z40" i="555"/>
  <c r="W45" i="555"/>
  <c r="W16" i="526"/>
  <c r="P33" i="548"/>
  <c r="N33" i="548"/>
  <c r="C29" i="530"/>
  <c r="Y29" i="530"/>
  <c r="Y44" i="530"/>
  <c r="X35" i="555"/>
  <c r="X44" i="530"/>
  <c r="U13" i="526"/>
  <c r="O40" i="555"/>
  <c r="T40" i="555"/>
  <c r="W65" i="554"/>
  <c r="U16" i="526"/>
  <c r="X45" i="555"/>
  <c r="Z44" i="530"/>
  <c r="C57" i="530"/>
  <c r="Y57" i="530"/>
  <c r="AA59" i="530"/>
  <c r="AA44" i="530"/>
  <c r="P45" i="530"/>
  <c r="N45" i="530"/>
  <c r="AA45" i="555"/>
  <c r="Z16" i="526"/>
  <c r="N57" i="404"/>
  <c r="X43" i="404"/>
  <c r="X13" i="404"/>
  <c r="W43" i="404"/>
  <c r="X63" i="404"/>
  <c r="AA10" i="404"/>
  <c r="C51" i="526"/>
  <c r="Z51" i="526"/>
  <c r="C41" i="519"/>
  <c r="AB41" i="519"/>
  <c r="C30" i="519"/>
  <c r="Y57" i="526"/>
  <c r="U57" i="526"/>
  <c r="W10" i="526"/>
  <c r="C9" i="526"/>
  <c r="V9" i="526"/>
  <c r="C66" i="526"/>
  <c r="Y66" i="526"/>
  <c r="C24" i="549"/>
  <c r="O24" i="549"/>
  <c r="P24" i="549"/>
  <c r="N24" i="549"/>
  <c r="C34" i="549"/>
  <c r="O34" i="549"/>
  <c r="P34" i="549"/>
  <c r="N34" i="549"/>
  <c r="R7" i="8"/>
  <c r="N73" i="9"/>
  <c r="N71" i="9"/>
  <c r="N74" i="9"/>
  <c r="V18" i="526"/>
  <c r="O49" i="517"/>
  <c r="X49" i="517"/>
  <c r="C8" i="401"/>
  <c r="C30" i="401"/>
  <c r="P29" i="401"/>
  <c r="N29" i="401"/>
  <c r="V6" i="398"/>
  <c r="C90" i="524"/>
  <c r="U90" i="524"/>
  <c r="C46" i="524"/>
  <c r="C42" i="519"/>
  <c r="U16" i="412"/>
  <c r="C17" i="530"/>
  <c r="AA17" i="530"/>
  <c r="C11" i="519"/>
  <c r="Y11" i="519"/>
  <c r="C27" i="530"/>
  <c r="AA27" i="530"/>
  <c r="V10" i="526"/>
  <c r="Z49" i="517"/>
  <c r="C39" i="530"/>
  <c r="U39" i="530"/>
  <c r="C34" i="396"/>
  <c r="C20" i="530"/>
  <c r="V16" i="555"/>
  <c r="O16" i="555"/>
  <c r="AA16" i="555"/>
  <c r="W26" i="555"/>
  <c r="U26" i="555"/>
  <c r="W16" i="412"/>
  <c r="Y7" i="554"/>
  <c r="O33" i="530"/>
  <c r="P33" i="530"/>
  <c r="N33" i="530"/>
  <c r="X33" i="530"/>
  <c r="X32" i="555"/>
  <c r="W16" i="555"/>
  <c r="X46" i="555"/>
  <c r="Y32" i="555"/>
  <c r="C10" i="543"/>
  <c r="Z10" i="543"/>
  <c r="Y16" i="412"/>
  <c r="V26" i="555"/>
  <c r="W38" i="530"/>
  <c r="C32" i="526"/>
  <c r="U32" i="526"/>
  <c r="W46" i="555"/>
  <c r="U33" i="530"/>
  <c r="AA33" i="530"/>
  <c r="V35" i="554"/>
  <c r="Y81" i="526"/>
  <c r="AA46" i="555"/>
  <c r="AA38" i="530"/>
  <c r="C8" i="555"/>
  <c r="W8" i="555"/>
  <c r="P34" i="548"/>
  <c r="N34" i="548"/>
  <c r="C53" i="530"/>
  <c r="AA53" i="530"/>
  <c r="AA46" i="530"/>
  <c r="V32" i="555"/>
  <c r="C45" i="543"/>
  <c r="AA16" i="412"/>
  <c r="C34" i="530"/>
  <c r="Z34" i="530"/>
  <c r="O26" i="555"/>
  <c r="T26" i="555"/>
  <c r="AA26" i="555"/>
  <c r="V46" i="555"/>
  <c r="Y35" i="554"/>
  <c r="V33" i="530"/>
  <c r="U46" i="555"/>
  <c r="O46" i="555"/>
  <c r="C13" i="530"/>
  <c r="Y13" i="530"/>
  <c r="C12" i="524"/>
  <c r="Z12" i="524"/>
  <c r="C35" i="524"/>
  <c r="Y35" i="524"/>
  <c r="C78" i="524"/>
  <c r="V78" i="524"/>
  <c r="C36" i="524"/>
  <c r="V36" i="524"/>
  <c r="Z16" i="412"/>
  <c r="X38" i="412"/>
  <c r="W44" i="530"/>
  <c r="V44" i="530"/>
  <c r="X31" i="530"/>
  <c r="AA31" i="530"/>
  <c r="X27" i="555"/>
  <c r="O16" i="412"/>
  <c r="P16" i="412"/>
  <c r="N16" i="412"/>
  <c r="U18" i="526"/>
  <c r="Z57" i="526"/>
  <c r="V16" i="412"/>
  <c r="Z81" i="526"/>
  <c r="U9" i="526"/>
  <c r="O65" i="517"/>
  <c r="T65" i="517"/>
  <c r="P65" i="554"/>
  <c r="U65" i="554"/>
  <c r="O18" i="526"/>
  <c r="P18" i="526"/>
  <c r="N18" i="526"/>
  <c r="W57" i="526"/>
  <c r="Z9" i="526"/>
  <c r="C43" i="530"/>
  <c r="C103" i="524"/>
  <c r="Y103" i="524"/>
  <c r="C79" i="524"/>
  <c r="U79" i="524"/>
  <c r="C18" i="524"/>
  <c r="V18" i="524"/>
  <c r="U31" i="530"/>
  <c r="C69" i="526"/>
  <c r="U69" i="526"/>
  <c r="C65" i="526"/>
  <c r="V65" i="526"/>
  <c r="C72" i="519"/>
  <c r="X72" i="519"/>
  <c r="V57" i="526"/>
  <c r="Y65" i="554"/>
  <c r="U81" i="526"/>
  <c r="O59" i="530"/>
  <c r="T59" i="530"/>
  <c r="C44" i="555"/>
  <c r="U44" i="555"/>
  <c r="C33" i="555"/>
  <c r="V33" i="555"/>
  <c r="C14" i="555"/>
  <c r="X14" i="555"/>
  <c r="C76" i="524"/>
  <c r="Z76" i="524"/>
  <c r="C109" i="524"/>
  <c r="O109" i="524"/>
  <c r="C14" i="524"/>
  <c r="C83" i="524"/>
  <c r="X83" i="524"/>
  <c r="C67" i="524"/>
  <c r="U67" i="524"/>
  <c r="C42" i="524"/>
  <c r="V42" i="524"/>
  <c r="C108" i="524"/>
  <c r="C13" i="524"/>
  <c r="O13" i="524"/>
  <c r="C84" i="524"/>
  <c r="Z84" i="524"/>
  <c r="C62" i="524"/>
  <c r="X62" i="524"/>
  <c r="AA54" i="555"/>
  <c r="C98" i="524"/>
  <c r="W98" i="524"/>
  <c r="C37" i="519"/>
  <c r="V37" i="519"/>
  <c r="C27" i="519"/>
  <c r="V27" i="519"/>
  <c r="C44" i="519"/>
  <c r="AA13" i="526"/>
  <c r="Z13" i="526"/>
  <c r="P24" i="543"/>
  <c r="N24" i="543"/>
  <c r="X35" i="554"/>
  <c r="AB30" i="554"/>
  <c r="Y59" i="530"/>
  <c r="C50" i="555"/>
  <c r="X50" i="555"/>
  <c r="C15" i="555"/>
  <c r="O15" i="555"/>
  <c r="C6" i="524"/>
  <c r="C58" i="524"/>
  <c r="U58" i="524"/>
  <c r="C107" i="524"/>
  <c r="U107" i="524"/>
  <c r="C10" i="524"/>
  <c r="W10" i="524"/>
  <c r="C81" i="524"/>
  <c r="C63" i="524"/>
  <c r="V63" i="524"/>
  <c r="C40" i="524"/>
  <c r="Z40" i="524"/>
  <c r="C106" i="524"/>
  <c r="U106" i="524"/>
  <c r="C11" i="524"/>
  <c r="C72" i="524"/>
  <c r="U72" i="524"/>
  <c r="C43" i="524"/>
  <c r="U43" i="524"/>
  <c r="C53" i="555"/>
  <c r="V53" i="555"/>
  <c r="V54" i="555"/>
  <c r="C54" i="524"/>
  <c r="W54" i="524"/>
  <c r="C58" i="519"/>
  <c r="Y58" i="519"/>
  <c r="C59" i="519"/>
  <c r="Y59" i="519"/>
  <c r="C76" i="519"/>
  <c r="C26" i="519"/>
  <c r="AA26" i="519"/>
  <c r="Y13" i="526"/>
  <c r="Y30" i="554"/>
  <c r="P35" i="554"/>
  <c r="Z20" i="526"/>
  <c r="O13" i="526"/>
  <c r="P13" i="526"/>
  <c r="N13" i="526"/>
  <c r="C47" i="530"/>
  <c r="C41" i="530"/>
  <c r="AA41" i="530"/>
  <c r="C36" i="555"/>
  <c r="V36" i="555"/>
  <c r="C52" i="555"/>
  <c r="AA52" i="555"/>
  <c r="C33" i="524"/>
  <c r="C105" i="524"/>
  <c r="AA105" i="524"/>
  <c r="C87" i="524"/>
  <c r="U87" i="524"/>
  <c r="C73" i="524"/>
  <c r="W73" i="524"/>
  <c r="C61" i="524"/>
  <c r="C38" i="524"/>
  <c r="U38" i="524"/>
  <c r="C48" i="524"/>
  <c r="V48" i="524"/>
  <c r="C88" i="524"/>
  <c r="Z88" i="524"/>
  <c r="C95" i="524"/>
  <c r="C78" i="519"/>
  <c r="W78" i="519"/>
  <c r="C66" i="519"/>
  <c r="W66" i="519"/>
  <c r="C53" i="519"/>
  <c r="V53" i="519"/>
  <c r="V13" i="526"/>
  <c r="Z30" i="554"/>
  <c r="W10" i="8"/>
  <c r="D16" i="8"/>
  <c r="K10" i="8"/>
  <c r="I16" i="8"/>
  <c r="C72" i="541"/>
  <c r="C79" i="541"/>
  <c r="Z79" i="541"/>
  <c r="W63" i="541"/>
  <c r="AA60" i="541"/>
  <c r="C39" i="394"/>
  <c r="O39" i="394"/>
  <c r="T39" i="394"/>
  <c r="X54" i="540"/>
  <c r="Y14" i="545"/>
  <c r="W21" i="525"/>
  <c r="V29" i="525"/>
  <c r="W13" i="525"/>
  <c r="V21" i="525"/>
  <c r="V13" i="525"/>
  <c r="W49" i="525"/>
  <c r="C37" i="394"/>
  <c r="C32" i="394"/>
  <c r="Y32" i="394"/>
  <c r="AA49" i="525"/>
  <c r="W16" i="481"/>
  <c r="W12" i="481"/>
  <c r="X12" i="481"/>
  <c r="X50" i="546"/>
  <c r="W61" i="546"/>
  <c r="W59" i="546"/>
  <c r="X31" i="546"/>
  <c r="V26" i="399"/>
  <c r="U55" i="399"/>
  <c r="U26" i="399"/>
  <c r="U20" i="545"/>
  <c r="U14" i="545"/>
  <c r="Y36" i="394"/>
  <c r="AA36" i="394"/>
  <c r="V36" i="394"/>
  <c r="X36" i="394"/>
  <c r="O36" i="394"/>
  <c r="Z36" i="394"/>
  <c r="N157" i="397"/>
  <c r="N64" i="397"/>
  <c r="V28" i="545"/>
  <c r="W53" i="545"/>
  <c r="V14" i="545"/>
  <c r="W14" i="545"/>
  <c r="AA13" i="525"/>
  <c r="AA30" i="525"/>
  <c r="AA55" i="525"/>
  <c r="N289" i="397"/>
  <c r="Z19" i="541"/>
  <c r="AA52" i="541"/>
  <c r="U19" i="541"/>
  <c r="AA21" i="541"/>
  <c r="C70" i="541"/>
  <c r="C7" i="541"/>
  <c r="V7" i="541"/>
  <c r="O63" i="541"/>
  <c r="P63" i="541"/>
  <c r="N63" i="541"/>
  <c r="C22" i="394"/>
  <c r="C21" i="394"/>
  <c r="O21" i="394"/>
  <c r="T21" i="394"/>
  <c r="AA27" i="541"/>
  <c r="AA44" i="541"/>
  <c r="AA76" i="541"/>
  <c r="AA5" i="541"/>
  <c r="C89" i="541"/>
  <c r="AA22" i="541"/>
  <c r="C77" i="541"/>
  <c r="C61" i="541"/>
  <c r="W20" i="481"/>
  <c r="AA29" i="525"/>
  <c r="AA21" i="525"/>
  <c r="W28" i="545"/>
  <c r="X75" i="546"/>
  <c r="Y26" i="399"/>
  <c r="Z53" i="399"/>
  <c r="Z66" i="399"/>
  <c r="Z31" i="399"/>
  <c r="Z58" i="399"/>
  <c r="Z55" i="399"/>
  <c r="Z21" i="399"/>
  <c r="Z60" i="399"/>
  <c r="Z15" i="399"/>
  <c r="Y6" i="398"/>
  <c r="Z27" i="404"/>
  <c r="Y43" i="404"/>
  <c r="Z33" i="404"/>
  <c r="Z13" i="404"/>
  <c r="Y5" i="394"/>
  <c r="Z10" i="394"/>
  <c r="Y10" i="394"/>
  <c r="Y16" i="394"/>
  <c r="Y34" i="394"/>
  <c r="Z16" i="394"/>
  <c r="Z46" i="394"/>
  <c r="Y53" i="545"/>
  <c r="Y21" i="525"/>
  <c r="Z21" i="525"/>
  <c r="Z13" i="525"/>
  <c r="X15" i="544"/>
  <c r="X24" i="544"/>
  <c r="Z61" i="546"/>
  <c r="X55" i="399"/>
  <c r="U6" i="398"/>
  <c r="N216" i="397"/>
  <c r="C27" i="399"/>
  <c r="V27" i="399"/>
  <c r="C62" i="399"/>
  <c r="Y62" i="399"/>
  <c r="C64" i="399"/>
  <c r="Z64" i="399"/>
  <c r="C52" i="399"/>
  <c r="C40" i="399"/>
  <c r="W40" i="399"/>
  <c r="C59" i="399"/>
  <c r="V59" i="399"/>
  <c r="C20" i="399"/>
  <c r="C34" i="399"/>
  <c r="C63" i="399"/>
  <c r="X63" i="399"/>
  <c r="C65" i="399"/>
  <c r="Z65" i="399"/>
  <c r="C24" i="401"/>
  <c r="C7" i="401"/>
  <c r="C22" i="401"/>
  <c r="C9" i="401"/>
  <c r="T15" i="399"/>
  <c r="P15" i="399"/>
  <c r="N15" i="399"/>
  <c r="C16" i="467"/>
  <c r="C30" i="467"/>
  <c r="V30" i="467"/>
  <c r="C11" i="467"/>
  <c r="C29" i="467"/>
  <c r="C28" i="467"/>
  <c r="AA28" i="404"/>
  <c r="O28" i="404"/>
  <c r="O35" i="404"/>
  <c r="AA35" i="404"/>
  <c r="AA18" i="404"/>
  <c r="O18" i="404"/>
  <c r="T15" i="481"/>
  <c r="P15" i="481"/>
  <c r="N15" i="481"/>
  <c r="O25" i="404"/>
  <c r="AA25" i="404"/>
  <c r="O30" i="404"/>
  <c r="AA30" i="404"/>
  <c r="Z19" i="404"/>
  <c r="AA55" i="404"/>
  <c r="O15" i="404"/>
  <c r="AA15" i="404"/>
  <c r="O22" i="404"/>
  <c r="AA22" i="404"/>
  <c r="Y19" i="541"/>
  <c r="V19" i="541"/>
  <c r="AA19" i="541"/>
  <c r="C53" i="541"/>
  <c r="C43" i="541"/>
  <c r="W43" i="541"/>
  <c r="C16" i="541"/>
  <c r="U16" i="541"/>
  <c r="Z27" i="545"/>
  <c r="Z4" i="545"/>
  <c r="Z28" i="545"/>
  <c r="Z55" i="545"/>
  <c r="Z53" i="545"/>
  <c r="Z36" i="545"/>
  <c r="Z11" i="545"/>
  <c r="Z52" i="545"/>
  <c r="Z5" i="406"/>
  <c r="C59" i="406"/>
  <c r="Z64" i="540"/>
  <c r="Z12" i="540"/>
  <c r="Z75" i="540"/>
  <c r="Z19" i="540"/>
  <c r="Z72" i="540"/>
  <c r="Z76" i="540"/>
  <c r="Z26" i="540"/>
  <c r="Z73" i="540"/>
  <c r="Z77" i="540"/>
  <c r="Z74" i="540"/>
  <c r="Z36" i="540"/>
  <c r="V74" i="518"/>
  <c r="V5" i="518"/>
  <c r="V67" i="518"/>
  <c r="V14" i="518"/>
  <c r="V73" i="518"/>
  <c r="V41" i="518"/>
  <c r="V49" i="518"/>
  <c r="V32" i="518"/>
  <c r="V23" i="518"/>
  <c r="V72" i="518"/>
  <c r="V5" i="525"/>
  <c r="V20" i="525"/>
  <c r="V50" i="525"/>
  <c r="V55" i="525"/>
  <c r="V30" i="525"/>
  <c r="V39" i="525"/>
  <c r="V49" i="525"/>
  <c r="V40" i="525"/>
  <c r="X14" i="545"/>
  <c r="X4" i="545"/>
  <c r="X44" i="545"/>
  <c r="X36" i="545"/>
  <c r="X11" i="545"/>
  <c r="X52" i="545"/>
  <c r="X27" i="545"/>
  <c r="X55" i="545"/>
  <c r="X28" i="545"/>
  <c r="X53" i="545"/>
  <c r="X5" i="549"/>
  <c r="C48" i="549"/>
  <c r="X64" i="540"/>
  <c r="X36" i="540"/>
  <c r="X75" i="540"/>
  <c r="X12" i="540"/>
  <c r="X72" i="540"/>
  <c r="X76" i="540"/>
  <c r="X19" i="540"/>
  <c r="X73" i="540"/>
  <c r="X77" i="540"/>
  <c r="X26" i="540"/>
  <c r="X74" i="540"/>
  <c r="AA91" i="541"/>
  <c r="AA33" i="541"/>
  <c r="AA84" i="541"/>
  <c r="AA5" i="549"/>
  <c r="C62" i="549"/>
  <c r="O62" i="549"/>
  <c r="AA5" i="525"/>
  <c r="AA39" i="525"/>
  <c r="AA50" i="525"/>
  <c r="AA40" i="525"/>
  <c r="C25" i="399"/>
  <c r="C37" i="399"/>
  <c r="C16" i="399"/>
  <c r="C39" i="399"/>
  <c r="C33" i="399"/>
  <c r="C18" i="399"/>
  <c r="C57" i="399"/>
  <c r="O57" i="399"/>
  <c r="P57" i="399"/>
  <c r="N57" i="399"/>
  <c r="W5" i="398"/>
  <c r="W23" i="518"/>
  <c r="W72" i="518"/>
  <c r="W32" i="518"/>
  <c r="W14" i="518"/>
  <c r="W74" i="518"/>
  <c r="W5" i="518"/>
  <c r="W49" i="518"/>
  <c r="W73" i="518"/>
  <c r="W67" i="518"/>
  <c r="W41" i="518"/>
  <c r="W6" i="398"/>
  <c r="Y28" i="399"/>
  <c r="Y66" i="399"/>
  <c r="Y5" i="399"/>
  <c r="Y35" i="399"/>
  <c r="Y53" i="399"/>
  <c r="Y60" i="399"/>
  <c r="Y63" i="399"/>
  <c r="Y15" i="399"/>
  <c r="Y59" i="399"/>
  <c r="Y58" i="399"/>
  <c r="Y30" i="399"/>
  <c r="Y23" i="399"/>
  <c r="Y56" i="399"/>
  <c r="Y21" i="399"/>
  <c r="Y41" i="399"/>
  <c r="Y64" i="399"/>
  <c r="Y55" i="399"/>
  <c r="Z56" i="399"/>
  <c r="Y20" i="399"/>
  <c r="Z30" i="399"/>
  <c r="Y31" i="399"/>
  <c r="Z62" i="399"/>
  <c r="Z23" i="399"/>
  <c r="Y5" i="398"/>
  <c r="Y13" i="404"/>
  <c r="Y20" i="404"/>
  <c r="Y27" i="404"/>
  <c r="Y63" i="404"/>
  <c r="Y33" i="404"/>
  <c r="Z20" i="404"/>
  <c r="Z55" i="404"/>
  <c r="Y26" i="404"/>
  <c r="Y19" i="404"/>
  <c r="Y5" i="404"/>
  <c r="Y55" i="404"/>
  <c r="Z40" i="404"/>
  <c r="Z26" i="404"/>
  <c r="Z22" i="404"/>
  <c r="Z45" i="404"/>
  <c r="Y32" i="404"/>
  <c r="Z51" i="404"/>
  <c r="Y41" i="404"/>
  <c r="Z47" i="404"/>
  <c r="Y59" i="404"/>
  <c r="Z30" i="404"/>
  <c r="Z25" i="404"/>
  <c r="Y12" i="404"/>
  <c r="Z57" i="404"/>
  <c r="I12" i="38"/>
  <c r="Y40" i="404"/>
  <c r="Z35" i="404"/>
  <c r="Y61" i="404"/>
  <c r="Z32" i="404"/>
  <c r="Z18" i="404"/>
  <c r="Y49" i="404"/>
  <c r="Z41" i="404"/>
  <c r="Y15" i="404"/>
  <c r="Y10" i="404"/>
  <c r="Z10" i="404"/>
  <c r="Z43" i="404"/>
  <c r="Z63" i="404"/>
  <c r="Y31" i="404"/>
  <c r="Y17" i="404"/>
  <c r="Y45" i="404"/>
  <c r="Y35" i="404"/>
  <c r="Z49" i="404"/>
  <c r="Z59" i="404"/>
  <c r="Z15" i="404"/>
  <c r="Z12" i="404"/>
  <c r="Z31" i="404"/>
  <c r="Y22" i="404"/>
  <c r="Y47" i="404"/>
  <c r="Z28" i="404"/>
  <c r="Y25" i="404"/>
  <c r="Y28" i="404"/>
  <c r="Z17" i="404"/>
  <c r="Z61" i="404"/>
  <c r="Y18" i="404"/>
  <c r="Y51" i="404"/>
  <c r="Y30" i="404"/>
  <c r="Y57" i="404"/>
  <c r="H12" i="38"/>
  <c r="Y55" i="545"/>
  <c r="Y52" i="545"/>
  <c r="Y4" i="545"/>
  <c r="Y44" i="545"/>
  <c r="Y27" i="545"/>
  <c r="Y28" i="545"/>
  <c r="Y36" i="545"/>
  <c r="Y55" i="525"/>
  <c r="Y30" i="525"/>
  <c r="Y5" i="525"/>
  <c r="Y50" i="525"/>
  <c r="Y39" i="525"/>
  <c r="X29" i="404"/>
  <c r="U28" i="399"/>
  <c r="V28" i="399"/>
  <c r="U5" i="399"/>
  <c r="U35" i="399"/>
  <c r="V35" i="399"/>
  <c r="V66" i="399"/>
  <c r="U53" i="399"/>
  <c r="V41" i="399"/>
  <c r="U21" i="399"/>
  <c r="U62" i="399"/>
  <c r="U58" i="399"/>
  <c r="U23" i="399"/>
  <c r="V23" i="399"/>
  <c r="U20" i="399"/>
  <c r="U41" i="399"/>
  <c r="V21" i="399"/>
  <c r="U64" i="399"/>
  <c r="V15" i="399"/>
  <c r="U60" i="399"/>
  <c r="V60" i="399"/>
  <c r="U31" i="399"/>
  <c r="V31" i="399"/>
  <c r="V62" i="399"/>
  <c r="U30" i="399"/>
  <c r="V63" i="399"/>
  <c r="U56" i="399"/>
  <c r="V30" i="399"/>
  <c r="U15" i="399"/>
  <c r="V56" i="399"/>
  <c r="V53" i="399"/>
  <c r="V20" i="399"/>
  <c r="V58" i="399"/>
  <c r="U5" i="467"/>
  <c r="V12" i="467"/>
  <c r="U19" i="467"/>
  <c r="U12" i="467"/>
  <c r="V31" i="467"/>
  <c r="U38" i="467"/>
  <c r="V38" i="467"/>
  <c r="U31" i="467"/>
  <c r="V28" i="467"/>
  <c r="V29" i="467"/>
  <c r="U37" i="467"/>
  <c r="U28" i="467"/>
  <c r="U29" i="467"/>
  <c r="U30" i="467"/>
  <c r="V37" i="467"/>
  <c r="C9" i="397"/>
  <c r="O9" i="397"/>
  <c r="P9" i="397"/>
  <c r="N9" i="397"/>
  <c r="C27" i="397"/>
  <c r="O27" i="397"/>
  <c r="P27" i="397"/>
  <c r="N27" i="397"/>
  <c r="C12" i="397"/>
  <c r="O12" i="397"/>
  <c r="P12" i="397"/>
  <c r="N12" i="397"/>
  <c r="C23" i="397"/>
  <c r="O23" i="397"/>
  <c r="P23" i="397"/>
  <c r="N23" i="397"/>
  <c r="C15" i="397"/>
  <c r="O15" i="397"/>
  <c r="P15" i="397"/>
  <c r="N15" i="397"/>
  <c r="C14" i="397"/>
  <c r="O14" i="397"/>
  <c r="P14" i="397"/>
  <c r="N14" i="397"/>
  <c r="C8" i="397"/>
  <c r="O8" i="397"/>
  <c r="P8" i="397"/>
  <c r="N8" i="397"/>
  <c r="C10" i="397"/>
  <c r="O10" i="397"/>
  <c r="P10" i="397"/>
  <c r="N10" i="397"/>
  <c r="C21" i="397"/>
  <c r="O21" i="397"/>
  <c r="P21" i="397"/>
  <c r="N21" i="397"/>
  <c r="C22" i="397"/>
  <c r="O22" i="397"/>
  <c r="P22" i="397"/>
  <c r="N22" i="397"/>
  <c r="C20" i="397"/>
  <c r="O20" i="397"/>
  <c r="P20" i="397"/>
  <c r="N20" i="397"/>
  <c r="C18" i="397"/>
  <c r="O18" i="397"/>
  <c r="P18" i="397"/>
  <c r="N18" i="397"/>
  <c r="C16" i="397"/>
  <c r="O16" i="397"/>
  <c r="P16" i="397"/>
  <c r="N16" i="397"/>
  <c r="C30" i="397"/>
  <c r="O30" i="397"/>
  <c r="P30" i="397"/>
  <c r="N30" i="397"/>
  <c r="C7" i="397"/>
  <c r="O7" i="397"/>
  <c r="P7" i="397"/>
  <c r="C25" i="397"/>
  <c r="O25" i="397"/>
  <c r="P25" i="397"/>
  <c r="N25" i="397"/>
  <c r="C17" i="397"/>
  <c r="O17" i="397"/>
  <c r="P17" i="397"/>
  <c r="N17" i="397"/>
  <c r="C19" i="397"/>
  <c r="O19" i="397"/>
  <c r="P19" i="397"/>
  <c r="N19" i="397"/>
  <c r="C26" i="397"/>
  <c r="O26" i="397"/>
  <c r="P26" i="397"/>
  <c r="N26" i="397"/>
  <c r="C24" i="397"/>
  <c r="O24" i="397"/>
  <c r="P24" i="397"/>
  <c r="C13" i="397"/>
  <c r="O13" i="397"/>
  <c r="P13" i="397"/>
  <c r="N13" i="397"/>
  <c r="C28" i="397"/>
  <c r="O28" i="397"/>
  <c r="P28" i="397"/>
  <c r="N28" i="397"/>
  <c r="C29" i="397"/>
  <c r="O29" i="397"/>
  <c r="P29" i="397"/>
  <c r="N29" i="397"/>
  <c r="C11" i="397"/>
  <c r="O11" i="397"/>
  <c r="P11" i="397"/>
  <c r="N11" i="397"/>
  <c r="V20" i="545"/>
  <c r="U36" i="545"/>
  <c r="U27" i="545"/>
  <c r="U4" i="545"/>
  <c r="U44" i="545"/>
  <c r="U55" i="545"/>
  <c r="U11" i="545"/>
  <c r="U52" i="545"/>
  <c r="U28" i="545"/>
  <c r="U53" i="545"/>
  <c r="U5" i="406"/>
  <c r="C13" i="406"/>
  <c r="O13" i="406"/>
  <c r="Z15" i="544"/>
  <c r="Z5" i="544"/>
  <c r="Z24" i="544"/>
  <c r="Z5" i="549"/>
  <c r="C58" i="544"/>
  <c r="C56" i="544"/>
  <c r="C35" i="544"/>
  <c r="C57" i="544"/>
  <c r="C18" i="544"/>
  <c r="C51" i="544"/>
  <c r="C38" i="544"/>
  <c r="C25" i="544"/>
  <c r="C27" i="544"/>
  <c r="C49" i="544"/>
  <c r="V5" i="549"/>
  <c r="C57" i="549"/>
  <c r="V5" i="540"/>
  <c r="V26" i="540"/>
  <c r="V72" i="540"/>
  <c r="V76" i="540"/>
  <c r="V73" i="540"/>
  <c r="V77" i="540"/>
  <c r="V19" i="540"/>
  <c r="V36" i="540"/>
  <c r="V74" i="540"/>
  <c r="V12" i="540"/>
  <c r="V75" i="540"/>
  <c r="X49" i="546"/>
  <c r="X18" i="546"/>
  <c r="X26" i="546"/>
  <c r="X71" i="546"/>
  <c r="X5" i="546"/>
  <c r="X36" i="546"/>
  <c r="X37" i="546"/>
  <c r="X70" i="546"/>
  <c r="X60" i="546"/>
  <c r="X11" i="546"/>
  <c r="X69" i="546"/>
  <c r="X81" i="546"/>
  <c r="X76" i="546"/>
  <c r="X61" i="546"/>
  <c r="X55" i="546"/>
  <c r="X59" i="546"/>
  <c r="C116" i="397"/>
  <c r="O116" i="397"/>
  <c r="P116" i="397"/>
  <c r="N116" i="397"/>
  <c r="C76" i="397"/>
  <c r="O76" i="397"/>
  <c r="P76" i="397"/>
  <c r="C77" i="397"/>
  <c r="O77" i="397"/>
  <c r="P77" i="397"/>
  <c r="N77" i="397"/>
  <c r="C71" i="397"/>
  <c r="O71" i="397"/>
  <c r="P71" i="397"/>
  <c r="N71" i="397"/>
  <c r="C70" i="397"/>
  <c r="O70" i="397"/>
  <c r="P70" i="397"/>
  <c r="N70" i="397"/>
  <c r="C85" i="397"/>
  <c r="O85" i="397"/>
  <c r="P85" i="397"/>
  <c r="N85" i="397"/>
  <c r="C81" i="397"/>
  <c r="O81" i="397"/>
  <c r="P81" i="397"/>
  <c r="N81" i="397"/>
  <c r="C128" i="397"/>
  <c r="O128" i="397"/>
  <c r="P128" i="397"/>
  <c r="C113" i="397"/>
  <c r="O113" i="397"/>
  <c r="P113" i="397"/>
  <c r="C107" i="397"/>
  <c r="O107" i="397"/>
  <c r="P107" i="397"/>
  <c r="N107" i="397"/>
  <c r="C110" i="397"/>
  <c r="O110" i="397"/>
  <c r="P110" i="397"/>
  <c r="N110" i="397"/>
  <c r="C105" i="397"/>
  <c r="O105" i="397"/>
  <c r="P105" i="397"/>
  <c r="N105" i="397"/>
  <c r="C72" i="397"/>
  <c r="O72" i="397"/>
  <c r="P72" i="397"/>
  <c r="C74" i="397"/>
  <c r="O74" i="397"/>
  <c r="P74" i="397"/>
  <c r="N74" i="397"/>
  <c r="C69" i="397"/>
  <c r="O69" i="397"/>
  <c r="P69" i="397"/>
  <c r="C124" i="397"/>
  <c r="O124" i="397"/>
  <c r="P124" i="397"/>
  <c r="N124" i="397"/>
  <c r="C118" i="397"/>
  <c r="O118" i="397"/>
  <c r="P118" i="397"/>
  <c r="C119" i="397"/>
  <c r="O119" i="397"/>
  <c r="P119" i="397"/>
  <c r="N119" i="397"/>
  <c r="C117" i="397"/>
  <c r="O117" i="397"/>
  <c r="P117" i="397"/>
  <c r="N117" i="397"/>
  <c r="C114" i="397"/>
  <c r="O114" i="397"/>
  <c r="P114" i="397"/>
  <c r="N114" i="397"/>
  <c r="C120" i="397"/>
  <c r="O120" i="397"/>
  <c r="P120" i="397"/>
  <c r="N120" i="397"/>
  <c r="C108" i="397"/>
  <c r="O108" i="397"/>
  <c r="P108" i="397"/>
  <c r="N108" i="397"/>
  <c r="C86" i="397"/>
  <c r="C79" i="397"/>
  <c r="O79" i="397"/>
  <c r="P79" i="397"/>
  <c r="C67" i="397"/>
  <c r="O67" i="397"/>
  <c r="P67" i="397"/>
  <c r="N67" i="397"/>
  <c r="C84" i="397"/>
  <c r="O84" i="397"/>
  <c r="P84" i="397"/>
  <c r="N84" i="397"/>
  <c r="C68" i="397"/>
  <c r="O68" i="397"/>
  <c r="P68" i="397"/>
  <c r="N68" i="397"/>
  <c r="C111" i="397"/>
  <c r="O111" i="397"/>
  <c r="P111" i="397"/>
  <c r="N111" i="397"/>
  <c r="C104" i="397"/>
  <c r="O104" i="397"/>
  <c r="P104" i="397"/>
  <c r="N104" i="397"/>
  <c r="C115" i="397"/>
  <c r="O115" i="397"/>
  <c r="P115" i="397"/>
  <c r="N115" i="397"/>
  <c r="C112" i="397"/>
  <c r="O112" i="397"/>
  <c r="P112" i="397"/>
  <c r="C123" i="397"/>
  <c r="O123" i="397"/>
  <c r="P123" i="397"/>
  <c r="N123" i="397"/>
  <c r="C126" i="397"/>
  <c r="O126" i="397"/>
  <c r="P126" i="397"/>
  <c r="N126" i="397"/>
  <c r="C226" i="397"/>
  <c r="O226" i="397"/>
  <c r="P226" i="397"/>
  <c r="N226" i="397"/>
  <c r="C243" i="397"/>
  <c r="O243" i="397"/>
  <c r="P243" i="397"/>
  <c r="N243" i="397"/>
  <c r="C234" i="397"/>
  <c r="O234" i="397"/>
  <c r="P234" i="397"/>
  <c r="N234" i="397"/>
  <c r="C241" i="397"/>
  <c r="O241" i="397"/>
  <c r="P241" i="397"/>
  <c r="N241" i="397"/>
  <c r="C230" i="397"/>
  <c r="O230" i="397"/>
  <c r="P230" i="397"/>
  <c r="N230" i="397"/>
  <c r="C97" i="397"/>
  <c r="O97" i="397"/>
  <c r="P97" i="397"/>
  <c r="C224" i="397"/>
  <c r="O224" i="397"/>
  <c r="P224" i="397"/>
  <c r="N224" i="397"/>
  <c r="C242" i="397"/>
  <c r="O242" i="397"/>
  <c r="P242" i="397"/>
  <c r="C83" i="397"/>
  <c r="O83" i="397"/>
  <c r="P83" i="397"/>
  <c r="C109" i="397"/>
  <c r="O109" i="397"/>
  <c r="P109" i="397"/>
  <c r="N109" i="397"/>
  <c r="C125" i="397"/>
  <c r="O125" i="397"/>
  <c r="P125" i="397"/>
  <c r="C227" i="397"/>
  <c r="O227" i="397"/>
  <c r="P227" i="397"/>
  <c r="N227" i="397"/>
  <c r="C238" i="397"/>
  <c r="O238" i="397"/>
  <c r="P238" i="397"/>
  <c r="N238" i="397"/>
  <c r="C244" i="397"/>
  <c r="O244" i="397"/>
  <c r="P244" i="397"/>
  <c r="N244" i="397"/>
  <c r="C99" i="397"/>
  <c r="O99" i="397"/>
  <c r="P99" i="397"/>
  <c r="N99" i="397"/>
  <c r="C231" i="397"/>
  <c r="O231" i="397"/>
  <c r="P231" i="397"/>
  <c r="N231" i="397"/>
  <c r="C237" i="397"/>
  <c r="O237" i="397"/>
  <c r="P237" i="397"/>
  <c r="N237" i="397"/>
  <c r="C222" i="397"/>
  <c r="O222" i="397"/>
  <c r="P222" i="397"/>
  <c r="N222" i="397"/>
  <c r="C88" i="397"/>
  <c r="O88" i="397"/>
  <c r="P88" i="397"/>
  <c r="N88" i="397"/>
  <c r="C89" i="397"/>
  <c r="O89" i="397"/>
  <c r="P89" i="397"/>
  <c r="N89" i="397"/>
  <c r="C90" i="397"/>
  <c r="O90" i="397"/>
  <c r="P90" i="397"/>
  <c r="C82" i="397"/>
  <c r="O82" i="397"/>
  <c r="P82" i="397"/>
  <c r="N82" i="397"/>
  <c r="C75" i="397"/>
  <c r="O75" i="397"/>
  <c r="P75" i="397"/>
  <c r="N75" i="397"/>
  <c r="C106" i="397"/>
  <c r="O106" i="397"/>
  <c r="P106" i="397"/>
  <c r="N106" i="397"/>
  <c r="C122" i="397"/>
  <c r="O122" i="397"/>
  <c r="P122" i="397"/>
  <c r="N122" i="397"/>
  <c r="C129" i="397"/>
  <c r="O129" i="397"/>
  <c r="P129" i="397"/>
  <c r="N129" i="397"/>
  <c r="C220" i="397"/>
  <c r="O220" i="397"/>
  <c r="P220" i="397"/>
  <c r="N220" i="397"/>
  <c r="C235" i="397"/>
  <c r="O235" i="397"/>
  <c r="P235" i="397"/>
  <c r="C98" i="397"/>
  <c r="O98" i="397"/>
  <c r="P98" i="397"/>
  <c r="N98" i="397"/>
  <c r="C100" i="397"/>
  <c r="O100" i="397"/>
  <c r="P100" i="397"/>
  <c r="N100" i="397"/>
  <c r="C236" i="397"/>
  <c r="O236" i="397"/>
  <c r="P236" i="397"/>
  <c r="N236" i="397"/>
  <c r="C78" i="397"/>
  <c r="O78" i="397"/>
  <c r="P78" i="397"/>
  <c r="N78" i="397"/>
  <c r="C95" i="397"/>
  <c r="O95" i="397"/>
  <c r="P95" i="397"/>
  <c r="N95" i="397"/>
  <c r="C92" i="397"/>
  <c r="O92" i="397"/>
  <c r="P92" i="397"/>
  <c r="N92" i="397"/>
  <c r="C245" i="397"/>
  <c r="O245" i="397"/>
  <c r="P245" i="397"/>
  <c r="N245" i="397"/>
  <c r="C96" i="397"/>
  <c r="O96" i="397"/>
  <c r="P96" i="397"/>
  <c r="N96" i="397"/>
  <c r="C93" i="397"/>
  <c r="O93" i="397"/>
  <c r="P93" i="397"/>
  <c r="N93" i="397"/>
  <c r="C121" i="397"/>
  <c r="O121" i="397"/>
  <c r="P121" i="397"/>
  <c r="N121" i="397"/>
  <c r="C240" i="397"/>
  <c r="O240" i="397"/>
  <c r="P240" i="397"/>
  <c r="N240" i="397"/>
  <c r="C233" i="397"/>
  <c r="O233" i="397"/>
  <c r="P233" i="397"/>
  <c r="N233" i="397"/>
  <c r="C225" i="397"/>
  <c r="O225" i="397"/>
  <c r="P225" i="397"/>
  <c r="N225" i="397"/>
  <c r="C91" i="397"/>
  <c r="O91" i="397"/>
  <c r="P91" i="397"/>
  <c r="N91" i="397"/>
  <c r="C127" i="397"/>
  <c r="O127" i="397"/>
  <c r="P127" i="397"/>
  <c r="N127" i="397"/>
  <c r="AA72" i="518"/>
  <c r="AA67" i="518"/>
  <c r="AA41" i="518"/>
  <c r="AA49" i="518"/>
  <c r="AA23" i="518"/>
  <c r="AA73" i="518"/>
  <c r="AA32" i="518"/>
  <c r="AA74" i="518"/>
  <c r="AA5" i="518"/>
  <c r="AA14" i="518"/>
  <c r="AA58" i="518"/>
  <c r="AA53" i="540"/>
  <c r="AA12" i="540"/>
  <c r="AA26" i="540"/>
  <c r="AA75" i="540"/>
  <c r="AA72" i="540"/>
  <c r="AA76" i="540"/>
  <c r="AA19" i="540"/>
  <c r="AA73" i="540"/>
  <c r="AA77" i="540"/>
  <c r="AA74" i="540"/>
  <c r="AA36" i="540"/>
  <c r="W5" i="401"/>
  <c r="W5" i="481"/>
  <c r="W6" i="481"/>
  <c r="X10" i="481"/>
  <c r="X15" i="481"/>
  <c r="X6" i="481"/>
  <c r="W7" i="481"/>
  <c r="X7" i="481"/>
  <c r="W10" i="481"/>
  <c r="W15" i="481"/>
  <c r="X19" i="481"/>
  <c r="W19" i="481"/>
  <c r="X16" i="481"/>
  <c r="W36" i="546"/>
  <c r="W18" i="546"/>
  <c r="W49" i="546"/>
  <c r="W55" i="546"/>
  <c r="W70" i="546"/>
  <c r="W60" i="546"/>
  <c r="W76" i="546"/>
  <c r="W5" i="546"/>
  <c r="W71" i="546"/>
  <c r="W69" i="546"/>
  <c r="W81" i="546"/>
  <c r="W26" i="546"/>
  <c r="W11" i="546"/>
  <c r="W75" i="546"/>
  <c r="W37" i="546"/>
  <c r="W31" i="546"/>
  <c r="W50" i="546"/>
  <c r="W5" i="406"/>
  <c r="X6" i="398"/>
  <c r="Y6" i="481"/>
  <c r="Z8" i="481"/>
  <c r="Y8" i="481"/>
  <c r="Y10" i="481"/>
  <c r="Y7" i="481"/>
  <c r="Y12" i="481"/>
  <c r="Z20" i="481"/>
  <c r="Z10" i="481"/>
  <c r="Y15" i="481"/>
  <c r="Z6" i="481"/>
  <c r="Z19" i="481"/>
  <c r="Z12" i="481"/>
  <c r="Z15" i="481"/>
  <c r="Y5" i="481"/>
  <c r="C11" i="481"/>
  <c r="Z38" i="467"/>
  <c r="Y5" i="467"/>
  <c r="Z31" i="467"/>
  <c r="Y38" i="467"/>
  <c r="Y31" i="467"/>
  <c r="Z19" i="467"/>
  <c r="Y37" i="467"/>
  <c r="Z37" i="467"/>
  <c r="Z30" i="467"/>
  <c r="Z28" i="467"/>
  <c r="Z29" i="467"/>
  <c r="Y28" i="467"/>
  <c r="Y29" i="467"/>
  <c r="Y72" i="518"/>
  <c r="Y67" i="518"/>
  <c r="Y41" i="518"/>
  <c r="Y49" i="518"/>
  <c r="Y73" i="518"/>
  <c r="Y32" i="518"/>
  <c r="Y5" i="518"/>
  <c r="Y14" i="518"/>
  <c r="Y74" i="518"/>
  <c r="Y23" i="518"/>
  <c r="Y64" i="540"/>
  <c r="Y26" i="540"/>
  <c r="Y74" i="540"/>
  <c r="Y19" i="540"/>
  <c r="Y75" i="540"/>
  <c r="Y72" i="540"/>
  <c r="Y76" i="540"/>
  <c r="Y12" i="540"/>
  <c r="Y73" i="540"/>
  <c r="Y36" i="540"/>
  <c r="Y77" i="540"/>
  <c r="Z29" i="404"/>
  <c r="U20" i="481"/>
  <c r="V8" i="481"/>
  <c r="U10" i="481"/>
  <c r="U15" i="481"/>
  <c r="U19" i="481"/>
  <c r="U12" i="481"/>
  <c r="V15" i="481"/>
  <c r="U6" i="481"/>
  <c r="V19" i="481"/>
  <c r="U7" i="481"/>
  <c r="V12" i="481"/>
  <c r="U8" i="481"/>
  <c r="V6" i="481"/>
  <c r="V10" i="481"/>
  <c r="U5" i="481"/>
  <c r="C13" i="481"/>
  <c r="V20" i="481"/>
  <c r="V16" i="481"/>
  <c r="U73" i="518"/>
  <c r="U32" i="518"/>
  <c r="U14" i="518"/>
  <c r="U74" i="518"/>
  <c r="U5" i="518"/>
  <c r="U23" i="518"/>
  <c r="U72" i="518"/>
  <c r="U67" i="518"/>
  <c r="U41" i="518"/>
  <c r="U49" i="518"/>
  <c r="U5" i="540"/>
  <c r="U26" i="540"/>
  <c r="U75" i="540"/>
  <c r="U72" i="540"/>
  <c r="U76" i="540"/>
  <c r="U12" i="540"/>
  <c r="U19" i="540"/>
  <c r="U73" i="540"/>
  <c r="U77" i="540"/>
  <c r="U74" i="540"/>
  <c r="Z36" i="541"/>
  <c r="Z5" i="541"/>
  <c r="Z76" i="541"/>
  <c r="Z60" i="541"/>
  <c r="Z69" i="546"/>
  <c r="Z37" i="546"/>
  <c r="Z71" i="546"/>
  <c r="Z18" i="546"/>
  <c r="Z60" i="546"/>
  <c r="Z11" i="546"/>
  <c r="Z76" i="546"/>
  <c r="Z70" i="546"/>
  <c r="Z55" i="546"/>
  <c r="Z36" i="546"/>
  <c r="Z26" i="546"/>
  <c r="Z59" i="546"/>
  <c r="Z5" i="546"/>
  <c r="Z49" i="546"/>
  <c r="Z30" i="525"/>
  <c r="Z39" i="525"/>
  <c r="Z40" i="525"/>
  <c r="Z5" i="525"/>
  <c r="Z50" i="525"/>
  <c r="Z55" i="525"/>
  <c r="Z20" i="525"/>
  <c r="Z29" i="525"/>
  <c r="AA59" i="546"/>
  <c r="AA55" i="546"/>
  <c r="AA60" i="546"/>
  <c r="AA76" i="546"/>
  <c r="AA37" i="546"/>
  <c r="AA49" i="546"/>
  <c r="AA70" i="546"/>
  <c r="AA81" i="546"/>
  <c r="AA36" i="546"/>
  <c r="AA11" i="546"/>
  <c r="AA71" i="546"/>
  <c r="AA69" i="546"/>
  <c r="AA26" i="546"/>
  <c r="AA61" i="546"/>
  <c r="AA18" i="546"/>
  <c r="AA5" i="546"/>
  <c r="V5" i="406"/>
  <c r="X8" i="544"/>
  <c r="Y8" i="544"/>
  <c r="AA8" i="544"/>
  <c r="W8" i="544"/>
  <c r="U8" i="544"/>
  <c r="Z8" i="544"/>
  <c r="V8" i="544"/>
  <c r="X49" i="525"/>
  <c r="X5" i="525"/>
  <c r="AA5" i="544"/>
  <c r="AA15" i="544"/>
  <c r="P16" i="481"/>
  <c r="N16" i="481"/>
  <c r="T16" i="481"/>
  <c r="W4" i="545"/>
  <c r="W36" i="545"/>
  <c r="W27" i="545"/>
  <c r="W20" i="545"/>
  <c r="W11" i="545"/>
  <c r="W55" i="545"/>
  <c r="W44" i="545"/>
  <c r="W52" i="545"/>
  <c r="W5" i="544"/>
  <c r="W15" i="544"/>
  <c r="W53" i="540"/>
  <c r="W12" i="540"/>
  <c r="W26" i="540"/>
  <c r="W75" i="540"/>
  <c r="W72" i="540"/>
  <c r="W76" i="540"/>
  <c r="W19" i="540"/>
  <c r="W36" i="540"/>
  <c r="W73" i="540"/>
  <c r="W77" i="540"/>
  <c r="W74" i="540"/>
  <c r="Y5" i="401"/>
  <c r="Y59" i="546"/>
  <c r="Y76" i="546"/>
  <c r="Y11" i="546"/>
  <c r="Y36" i="546"/>
  <c r="Y49" i="546"/>
  <c r="Y55" i="546"/>
  <c r="Y71" i="546"/>
  <c r="Y60" i="546"/>
  <c r="Y18" i="546"/>
  <c r="Y26" i="546"/>
  <c r="Y81" i="546"/>
  <c r="Y69" i="546"/>
  <c r="Y70" i="546"/>
  <c r="Y37" i="546"/>
  <c r="Y5" i="546"/>
  <c r="Y61" i="546"/>
  <c r="Y5" i="549"/>
  <c r="Y5" i="406"/>
  <c r="Y29" i="404"/>
  <c r="Z26" i="399"/>
  <c r="U5" i="401"/>
  <c r="V33" i="404"/>
  <c r="U27" i="404"/>
  <c r="U63" i="404"/>
  <c r="U13" i="404"/>
  <c r="U5" i="404"/>
  <c r="V27" i="404"/>
  <c r="V20" i="404"/>
  <c r="U33" i="404"/>
  <c r="V63" i="404"/>
  <c r="U57" i="404"/>
  <c r="D12" i="38"/>
  <c r="U55" i="404"/>
  <c r="U40" i="404"/>
  <c r="V31" i="404"/>
  <c r="U20" i="404"/>
  <c r="V13" i="404"/>
  <c r="V57" i="404"/>
  <c r="E12" i="38"/>
  <c r="V55" i="404"/>
  <c r="V45" i="404"/>
  <c r="U61" i="404"/>
  <c r="V28" i="404"/>
  <c r="V32" i="404"/>
  <c r="V18" i="404"/>
  <c r="V15" i="404"/>
  <c r="U31" i="404"/>
  <c r="U22" i="404"/>
  <c r="U17" i="404"/>
  <c r="U28" i="404"/>
  <c r="U32" i="404"/>
  <c r="U51" i="404"/>
  <c r="V51" i="404"/>
  <c r="V49" i="404"/>
  <c r="U47" i="404"/>
  <c r="V59" i="404"/>
  <c r="U30" i="404"/>
  <c r="V25" i="404"/>
  <c r="V12" i="404"/>
  <c r="U26" i="404"/>
  <c r="V22" i="404"/>
  <c r="V61" i="404"/>
  <c r="U18" i="404"/>
  <c r="U49" i="404"/>
  <c r="U41" i="404"/>
  <c r="V47" i="404"/>
  <c r="V30" i="404"/>
  <c r="U12" i="404"/>
  <c r="V17" i="404"/>
  <c r="U59" i="404"/>
  <c r="U15" i="404"/>
  <c r="U45" i="404"/>
  <c r="U35" i="404"/>
  <c r="V41" i="404"/>
  <c r="V10" i="404"/>
  <c r="U25" i="404"/>
  <c r="V40" i="404"/>
  <c r="V26" i="404"/>
  <c r="V35" i="404"/>
  <c r="U10" i="404"/>
  <c r="U36" i="546"/>
  <c r="U59" i="546"/>
  <c r="U49" i="546"/>
  <c r="U26" i="546"/>
  <c r="U55" i="546"/>
  <c r="U18" i="546"/>
  <c r="U76" i="546"/>
  <c r="U37" i="546"/>
  <c r="U60" i="546"/>
  <c r="U81" i="546"/>
  <c r="U71" i="546"/>
  <c r="U5" i="546"/>
  <c r="U61" i="546"/>
  <c r="U69" i="546"/>
  <c r="U11" i="546"/>
  <c r="U5" i="549"/>
  <c r="C55" i="549"/>
  <c r="O55" i="549"/>
  <c r="U5" i="525"/>
  <c r="U20" i="525"/>
  <c r="U39" i="525"/>
  <c r="U50" i="525"/>
  <c r="U30" i="525"/>
  <c r="U40" i="525"/>
  <c r="U29" i="404"/>
  <c r="Z72" i="518"/>
  <c r="Z74" i="518"/>
  <c r="Z5" i="518"/>
  <c r="Z67" i="518"/>
  <c r="Z14" i="518"/>
  <c r="Z73" i="518"/>
  <c r="Z41" i="518"/>
  <c r="Z49" i="518"/>
  <c r="Z32" i="518"/>
  <c r="Z23" i="518"/>
  <c r="V36" i="545"/>
  <c r="V55" i="545"/>
  <c r="V4" i="545"/>
  <c r="V11" i="545"/>
  <c r="V52" i="545"/>
  <c r="V27" i="545"/>
  <c r="V53" i="545"/>
  <c r="V44" i="545"/>
  <c r="V36" i="541"/>
  <c r="V33" i="541"/>
  <c r="V59" i="546"/>
  <c r="V69" i="546"/>
  <c r="V76" i="546"/>
  <c r="V26" i="546"/>
  <c r="V36" i="546"/>
  <c r="V37" i="546"/>
  <c r="V49" i="546"/>
  <c r="V55" i="546"/>
  <c r="V60" i="546"/>
  <c r="V81" i="546"/>
  <c r="V18" i="546"/>
  <c r="V11" i="546"/>
  <c r="V5" i="546"/>
  <c r="V75" i="546"/>
  <c r="V31" i="546"/>
  <c r="X5" i="406"/>
  <c r="W58" i="518"/>
  <c r="AA4" i="545"/>
  <c r="AA52" i="545"/>
  <c r="AA36" i="545"/>
  <c r="AA27" i="545"/>
  <c r="AA28" i="545"/>
  <c r="AA44" i="545"/>
  <c r="AA55" i="545"/>
  <c r="AA5" i="406"/>
  <c r="C20" i="518"/>
  <c r="C11" i="518"/>
  <c r="W66" i="399"/>
  <c r="X35" i="399"/>
  <c r="W5" i="399"/>
  <c r="W60" i="399"/>
  <c r="W41" i="399"/>
  <c r="X41" i="399"/>
  <c r="X53" i="399"/>
  <c r="X66" i="399"/>
  <c r="W53" i="399"/>
  <c r="W21" i="399"/>
  <c r="X28" i="399"/>
  <c r="W35" i="399"/>
  <c r="X21" i="399"/>
  <c r="X64" i="399"/>
  <c r="W58" i="399"/>
  <c r="W30" i="399"/>
  <c r="W65" i="399"/>
  <c r="X60" i="399"/>
  <c r="X31" i="399"/>
  <c r="W64" i="399"/>
  <c r="W56" i="399"/>
  <c r="W20" i="399"/>
  <c r="X20" i="399"/>
  <c r="X62" i="399"/>
  <c r="X30" i="399"/>
  <c r="W23" i="399"/>
  <c r="X15" i="399"/>
  <c r="W15" i="399"/>
  <c r="X56" i="399"/>
  <c r="W59" i="399"/>
  <c r="W31" i="399"/>
  <c r="W55" i="399"/>
  <c r="X58" i="399"/>
  <c r="X23" i="399"/>
  <c r="W28" i="399"/>
  <c r="W5" i="395"/>
  <c r="C26" i="395" s="1"/>
  <c r="O26" i="395" s="1"/>
  <c r="P26" i="395" s="1"/>
  <c r="N26" i="395" s="1"/>
  <c r="W5" i="467"/>
  <c r="X12" i="467"/>
  <c r="W38" i="467"/>
  <c r="X31" i="467"/>
  <c r="X38" i="467"/>
  <c r="W19" i="467"/>
  <c r="W29" i="467"/>
  <c r="W37" i="467"/>
  <c r="X37" i="467"/>
  <c r="W30" i="467"/>
  <c r="W28" i="467"/>
  <c r="X28" i="467"/>
  <c r="X29" i="467"/>
  <c r="W31" i="467"/>
  <c r="W63" i="404"/>
  <c r="W33" i="404"/>
  <c r="W27" i="404"/>
  <c r="W13" i="404"/>
  <c r="W5" i="404"/>
  <c r="W40" i="404"/>
  <c r="X31" i="404"/>
  <c r="W20" i="404"/>
  <c r="X33" i="404"/>
  <c r="W57" i="404"/>
  <c r="F12" i="38"/>
  <c r="X40" i="404"/>
  <c r="W31" i="404"/>
  <c r="X22" i="404"/>
  <c r="W35" i="404"/>
  <c r="X51" i="404"/>
  <c r="W47" i="404"/>
  <c r="X25" i="404"/>
  <c r="X15" i="404"/>
  <c r="W12" i="404"/>
  <c r="X10" i="404"/>
  <c r="X26" i="404"/>
  <c r="W17" i="404"/>
  <c r="W45" i="404"/>
  <c r="X35" i="404"/>
  <c r="W61" i="404"/>
  <c r="W41" i="404"/>
  <c r="X59" i="404"/>
  <c r="X30" i="404"/>
  <c r="W25" i="404"/>
  <c r="X12" i="404"/>
  <c r="X57" i="404"/>
  <c r="G12" i="38"/>
  <c r="W55" i="404"/>
  <c r="X19" i="404"/>
  <c r="W22" i="404"/>
  <c r="X17" i="404"/>
  <c r="X45" i="404"/>
  <c r="X28" i="404"/>
  <c r="W28" i="404"/>
  <c r="W32" i="404"/>
  <c r="X32" i="404"/>
  <c r="W18" i="404"/>
  <c r="X47" i="404"/>
  <c r="W15" i="404"/>
  <c r="W10" i="404"/>
  <c r="X55" i="404"/>
  <c r="W26" i="404"/>
  <c r="W51" i="404"/>
  <c r="W49" i="404"/>
  <c r="X41" i="404"/>
  <c r="W30" i="404"/>
  <c r="X61" i="404"/>
  <c r="W59" i="404"/>
  <c r="X18" i="404"/>
  <c r="X49" i="404"/>
  <c r="W13" i="541"/>
  <c r="W5" i="549"/>
  <c r="W5" i="525"/>
  <c r="W39" i="525"/>
  <c r="W40" i="525"/>
  <c r="W50" i="525"/>
  <c r="W30" i="525"/>
  <c r="W55" i="525"/>
  <c r="W20" i="525"/>
  <c r="Y91" i="541"/>
  <c r="Y5" i="541"/>
  <c r="C180" i="397"/>
  <c r="O180" i="397"/>
  <c r="P180" i="397"/>
  <c r="N180" i="397"/>
  <c r="C176" i="397"/>
  <c r="O176" i="397"/>
  <c r="P176" i="397"/>
  <c r="N176" i="397"/>
  <c r="C175" i="397"/>
  <c r="O175" i="397"/>
  <c r="P175" i="397"/>
  <c r="N175" i="397"/>
  <c r="O162" i="397"/>
  <c r="P162" i="397"/>
  <c r="N162" i="397"/>
  <c r="C167" i="397"/>
  <c r="O167" i="397"/>
  <c r="P167" i="397"/>
  <c r="N167" i="397"/>
  <c r="C174" i="397"/>
  <c r="O174" i="397"/>
  <c r="P174" i="397"/>
  <c r="N174" i="397"/>
  <c r="C171" i="397"/>
  <c r="O171" i="397"/>
  <c r="P171" i="397"/>
  <c r="N171" i="397"/>
  <c r="C168" i="397"/>
  <c r="O168" i="397"/>
  <c r="P168" i="397"/>
  <c r="N168" i="397"/>
  <c r="C184" i="397"/>
  <c r="O184" i="397"/>
  <c r="P184" i="397"/>
  <c r="N184" i="397"/>
  <c r="C169" i="397"/>
  <c r="O169" i="397"/>
  <c r="P169" i="397"/>
  <c r="N169" i="397"/>
  <c r="C170" i="397"/>
  <c r="O170" i="397"/>
  <c r="P170" i="397"/>
  <c r="N170" i="397"/>
  <c r="C179" i="397"/>
  <c r="O179" i="397"/>
  <c r="P179" i="397"/>
  <c r="N179" i="397"/>
  <c r="C166" i="397"/>
  <c r="O166" i="397"/>
  <c r="P166" i="397"/>
  <c r="N166" i="397"/>
  <c r="C183" i="397"/>
  <c r="O183" i="397"/>
  <c r="P183" i="397"/>
  <c r="N183" i="397"/>
  <c r="C181" i="397"/>
  <c r="O181" i="397"/>
  <c r="P181" i="397"/>
  <c r="N181" i="397"/>
  <c r="C187" i="397"/>
  <c r="O187" i="397"/>
  <c r="P187" i="397"/>
  <c r="N187" i="397"/>
  <c r="C186" i="397"/>
  <c r="O186" i="397"/>
  <c r="P186" i="397"/>
  <c r="N186" i="397"/>
  <c r="C164" i="397"/>
  <c r="O164" i="397"/>
  <c r="P164" i="397"/>
  <c r="N164" i="397"/>
  <c r="C182" i="397"/>
  <c r="O182" i="397"/>
  <c r="P182" i="397"/>
  <c r="N182" i="397"/>
  <c r="C173" i="397"/>
  <c r="O173" i="397"/>
  <c r="P173" i="397"/>
  <c r="N173" i="397"/>
  <c r="C185" i="397"/>
  <c r="O185" i="397"/>
  <c r="P185" i="397"/>
  <c r="N185" i="397"/>
  <c r="C165" i="397"/>
  <c r="O165" i="397"/>
  <c r="P165" i="397"/>
  <c r="N165" i="397"/>
  <c r="C178" i="397"/>
  <c r="O178" i="397"/>
  <c r="P178" i="397"/>
  <c r="N178" i="397"/>
  <c r="C177" i="397"/>
  <c r="O177" i="397"/>
  <c r="P177" i="397"/>
  <c r="N177" i="397"/>
  <c r="C163" i="397"/>
  <c r="O163" i="397"/>
  <c r="P163" i="397"/>
  <c r="N163" i="397"/>
  <c r="C172" i="397"/>
  <c r="O172" i="397"/>
  <c r="P172" i="397"/>
  <c r="N172" i="397"/>
  <c r="Y5" i="544"/>
  <c r="Y24" i="544"/>
  <c r="Y15" i="544"/>
  <c r="T26" i="399"/>
  <c r="P26" i="399"/>
  <c r="N26" i="399"/>
  <c r="W26" i="399"/>
  <c r="U5" i="398"/>
  <c r="U91" i="541"/>
  <c r="U60" i="541"/>
  <c r="U33" i="541"/>
  <c r="U5" i="541"/>
  <c r="U36" i="541"/>
  <c r="U84" i="541"/>
  <c r="U5" i="544"/>
  <c r="U24" i="544"/>
  <c r="U15" i="544"/>
  <c r="C87" i="541"/>
  <c r="V35" i="394"/>
  <c r="Z35" i="394"/>
  <c r="W35" i="394"/>
  <c r="AA35" i="394"/>
  <c r="X35" i="394"/>
  <c r="Y35" i="394"/>
  <c r="U35" i="394"/>
  <c r="X11" i="394"/>
  <c r="U11" i="394"/>
  <c r="Y11" i="394"/>
  <c r="V11" i="394"/>
  <c r="Z11" i="394"/>
  <c r="W11" i="394"/>
  <c r="AA11" i="394"/>
  <c r="U32" i="394"/>
  <c r="W32" i="394"/>
  <c r="V40" i="394"/>
  <c r="Z40" i="394"/>
  <c r="W40" i="394"/>
  <c r="AA40" i="394"/>
  <c r="X40" i="394"/>
  <c r="Y40" i="394"/>
  <c r="U40" i="394"/>
  <c r="O17" i="467"/>
  <c r="W17" i="467"/>
  <c r="Z17" i="467"/>
  <c r="AA17" i="467"/>
  <c r="V17" i="467"/>
  <c r="U17" i="467"/>
  <c r="X17" i="467"/>
  <c r="Y17" i="467"/>
  <c r="O34" i="467"/>
  <c r="AA34" i="467"/>
  <c r="Y34" i="467"/>
  <c r="U34" i="467"/>
  <c r="W34" i="467"/>
  <c r="X34" i="467"/>
  <c r="Z34" i="467"/>
  <c r="V34" i="467"/>
  <c r="C33" i="467"/>
  <c r="C14" i="467"/>
  <c r="C7" i="467"/>
  <c r="C27" i="467"/>
  <c r="U22" i="394"/>
  <c r="Y22" i="394"/>
  <c r="V22" i="394"/>
  <c r="Z22" i="394"/>
  <c r="W22" i="394"/>
  <c r="AA22" i="394"/>
  <c r="X22" i="394"/>
  <c r="X37" i="394"/>
  <c r="U37" i="394"/>
  <c r="Y37" i="394"/>
  <c r="V37" i="394"/>
  <c r="Z37" i="394"/>
  <c r="W37" i="394"/>
  <c r="AA37" i="394"/>
  <c r="W39" i="394"/>
  <c r="AA39" i="394"/>
  <c r="X39" i="394"/>
  <c r="U39" i="394"/>
  <c r="Y39" i="394"/>
  <c r="V39" i="394"/>
  <c r="Z39" i="394"/>
  <c r="U27" i="394"/>
  <c r="Y27" i="394"/>
  <c r="V27" i="394"/>
  <c r="Z27" i="394"/>
  <c r="W27" i="394"/>
  <c r="AA27" i="394"/>
  <c r="X27" i="394"/>
  <c r="X38" i="394"/>
  <c r="Y38" i="394"/>
  <c r="U38" i="394"/>
  <c r="Z38" i="394"/>
  <c r="W38" i="394"/>
  <c r="AA38" i="394"/>
  <c r="V38" i="394"/>
  <c r="C29" i="540"/>
  <c r="C7" i="540"/>
  <c r="C22" i="540"/>
  <c r="C38" i="540"/>
  <c r="C65" i="540"/>
  <c r="C9" i="540"/>
  <c r="C15" i="540"/>
  <c r="C47" i="540"/>
  <c r="C67" i="540"/>
  <c r="C49" i="540"/>
  <c r="O15" i="467"/>
  <c r="W15" i="467"/>
  <c r="Z15" i="467"/>
  <c r="AA15" i="467"/>
  <c r="V15" i="467"/>
  <c r="U15" i="467"/>
  <c r="X15" i="467"/>
  <c r="Y15" i="467"/>
  <c r="O35" i="467"/>
  <c r="AA35" i="467"/>
  <c r="X35" i="467"/>
  <c r="Y35" i="467"/>
  <c r="W35" i="467"/>
  <c r="Z35" i="467"/>
  <c r="V35" i="467"/>
  <c r="U35" i="467"/>
  <c r="O22" i="394"/>
  <c r="T22" i="394"/>
  <c r="V21" i="394"/>
  <c r="Z21" i="394"/>
  <c r="W21" i="394"/>
  <c r="AA21" i="394"/>
  <c r="X21" i="394"/>
  <c r="U21" i="394"/>
  <c r="Y21" i="394"/>
  <c r="X28" i="394"/>
  <c r="U28" i="394"/>
  <c r="Y28" i="394"/>
  <c r="V28" i="394"/>
  <c r="Z28" i="394"/>
  <c r="W28" i="394"/>
  <c r="AA28" i="394"/>
  <c r="U44" i="394"/>
  <c r="Y44" i="394"/>
  <c r="V44" i="394"/>
  <c r="Z44" i="394"/>
  <c r="W44" i="394"/>
  <c r="AA44" i="394"/>
  <c r="X44" i="394"/>
  <c r="U41" i="394"/>
  <c r="Y41" i="394"/>
  <c r="V41" i="394"/>
  <c r="Z41" i="394"/>
  <c r="W41" i="394"/>
  <c r="AA41" i="394"/>
  <c r="X41" i="394"/>
  <c r="X19" i="394"/>
  <c r="U19" i="394"/>
  <c r="Y19" i="394"/>
  <c r="V19" i="394"/>
  <c r="Z19" i="394"/>
  <c r="W19" i="394"/>
  <c r="AA19" i="394"/>
  <c r="C8" i="540"/>
  <c r="C10" i="540"/>
  <c r="C50" i="540"/>
  <c r="O18" i="467"/>
  <c r="W18" i="467"/>
  <c r="Z18" i="467"/>
  <c r="Y18" i="467"/>
  <c r="AA18" i="467"/>
  <c r="U18" i="467"/>
  <c r="X18" i="467"/>
  <c r="V18" i="467"/>
  <c r="O10" i="467"/>
  <c r="U10" i="467"/>
  <c r="V10" i="467"/>
  <c r="AA10" i="467"/>
  <c r="X10" i="467"/>
  <c r="W10" i="467"/>
  <c r="Y10" i="467"/>
  <c r="Z10" i="467"/>
  <c r="O36" i="467"/>
  <c r="AA36" i="467"/>
  <c r="X36" i="467"/>
  <c r="Z36" i="467"/>
  <c r="Y36" i="467"/>
  <c r="U36" i="467"/>
  <c r="V36" i="467"/>
  <c r="W36" i="467"/>
  <c r="V13" i="394"/>
  <c r="Z13" i="394"/>
  <c r="W13" i="394"/>
  <c r="AA13" i="394"/>
  <c r="X13" i="394"/>
  <c r="U13" i="394"/>
  <c r="Y13" i="394"/>
  <c r="W12" i="394"/>
  <c r="AA12" i="394"/>
  <c r="X12" i="394"/>
  <c r="U12" i="394"/>
  <c r="Y12" i="394"/>
  <c r="V12" i="394"/>
  <c r="Z12" i="394"/>
  <c r="U9" i="394"/>
  <c r="Y9" i="394"/>
  <c r="V9" i="394"/>
  <c r="Z9" i="394"/>
  <c r="W9" i="394"/>
  <c r="AA9" i="394"/>
  <c r="X9" i="394"/>
  <c r="X23" i="394"/>
  <c r="U23" i="394"/>
  <c r="Y23" i="394"/>
  <c r="V23" i="394"/>
  <c r="Z23" i="394"/>
  <c r="W23" i="394"/>
  <c r="AA23" i="394"/>
  <c r="C25" i="540"/>
  <c r="C33" i="540"/>
  <c r="C42" i="540"/>
  <c r="C52" i="540"/>
  <c r="C11" i="540"/>
  <c r="C43" i="540"/>
  <c r="C34" i="540"/>
  <c r="C18" i="540"/>
  <c r="C58" i="540"/>
  <c r="C23" i="540"/>
  <c r="C59" i="540"/>
  <c r="C24" i="540"/>
  <c r="C30" i="540"/>
  <c r="C32" i="540"/>
  <c r="C41" i="540"/>
  <c r="C57" i="540"/>
  <c r="C16" i="540"/>
  <c r="C39" i="540"/>
  <c r="O8" i="467"/>
  <c r="Z8" i="467"/>
  <c r="V8" i="467"/>
  <c r="Y8" i="467"/>
  <c r="U8" i="467"/>
  <c r="W8" i="467"/>
  <c r="AA8" i="467"/>
  <c r="X8" i="467"/>
  <c r="O9" i="467"/>
  <c r="U9" i="467"/>
  <c r="V9" i="467"/>
  <c r="AA9" i="467"/>
  <c r="X9" i="467"/>
  <c r="Y9" i="467"/>
  <c r="Z9" i="467"/>
  <c r="W9" i="467"/>
  <c r="W30" i="554"/>
  <c r="AA34" i="530"/>
  <c r="T31" i="530"/>
  <c r="C25" i="526"/>
  <c r="X25" i="526"/>
  <c r="AA40" i="555"/>
  <c r="V50" i="526"/>
  <c r="Y56" i="526"/>
  <c r="U49" i="517"/>
  <c r="Z12" i="530"/>
  <c r="C57" i="543"/>
  <c r="Y57" i="543"/>
  <c r="C12" i="543"/>
  <c r="U12" i="543"/>
  <c r="Y44" i="412"/>
  <c r="X12" i="530"/>
  <c r="C42" i="526"/>
  <c r="U42" i="526"/>
  <c r="C23" i="526"/>
  <c r="AA23" i="526"/>
  <c r="C69" i="517"/>
  <c r="Z69" i="517"/>
  <c r="C55" i="519"/>
  <c r="Y55" i="519"/>
  <c r="P41" i="554"/>
  <c r="Q41" i="554"/>
  <c r="O41" i="554"/>
  <c r="U56" i="526"/>
  <c r="AA65" i="517"/>
  <c r="C20" i="543"/>
  <c r="O20" i="543"/>
  <c r="T20" i="543"/>
  <c r="U45" i="555"/>
  <c r="Z45" i="555"/>
  <c r="Y45" i="555"/>
  <c r="O45" i="555"/>
  <c r="C32" i="543"/>
  <c r="C41" i="543"/>
  <c r="Z41" i="543"/>
  <c r="AA44" i="412"/>
  <c r="Z44" i="412"/>
  <c r="C80" i="526"/>
  <c r="C63" i="526"/>
  <c r="W63" i="526"/>
  <c r="C21" i="517"/>
  <c r="X21" i="517"/>
  <c r="C62" i="517"/>
  <c r="C61" i="519"/>
  <c r="C46" i="519"/>
  <c r="Z46" i="519"/>
  <c r="Y41" i="554"/>
  <c r="O12" i="530"/>
  <c r="V41" i="554"/>
  <c r="Z88" i="526"/>
  <c r="V88" i="526"/>
  <c r="V56" i="526"/>
  <c r="C46" i="543"/>
  <c r="O46" i="543"/>
  <c r="T46" i="543"/>
  <c r="Y12" i="530"/>
  <c r="C19" i="543"/>
  <c r="U19" i="543"/>
  <c r="C58" i="543"/>
  <c r="U36" i="412"/>
  <c r="W12" i="530"/>
  <c r="C41" i="555"/>
  <c r="U41" i="555"/>
  <c r="C17" i="526"/>
  <c r="C56" i="517"/>
  <c r="W56" i="517"/>
  <c r="C48" i="517"/>
  <c r="X48" i="517"/>
  <c r="C33" i="517"/>
  <c r="Y33" i="517"/>
  <c r="C39" i="519"/>
  <c r="P32" i="554"/>
  <c r="Q32" i="554"/>
  <c r="O32" i="554"/>
  <c r="Y33" i="554"/>
  <c r="Z56" i="526"/>
  <c r="Y88" i="526"/>
  <c r="X65" i="517"/>
  <c r="U32" i="555"/>
  <c r="Z32" i="555"/>
  <c r="O32" i="555"/>
  <c r="Z16" i="555"/>
  <c r="Y16" i="555"/>
  <c r="C67" i="4"/>
  <c r="D68" i="4"/>
  <c r="T7" i="543"/>
  <c r="P7" i="543"/>
  <c r="N7" i="543"/>
  <c r="L8" i="543"/>
  <c r="L9" i="543"/>
  <c r="L10" i="543"/>
  <c r="L11" i="543"/>
  <c r="Y86" i="526"/>
  <c r="V86" i="526"/>
  <c r="U86" i="526"/>
  <c r="O86" i="526"/>
  <c r="T86" i="526"/>
  <c r="X86" i="526"/>
  <c r="AA86" i="526"/>
  <c r="W86" i="526"/>
  <c r="Z86" i="526"/>
  <c r="U54" i="526"/>
  <c r="V54" i="526"/>
  <c r="X54" i="526"/>
  <c r="Y54" i="526"/>
  <c r="Z54" i="526"/>
  <c r="AA54" i="526"/>
  <c r="W54" i="526"/>
  <c r="O54" i="526"/>
  <c r="T54" i="526"/>
  <c r="C38" i="555"/>
  <c r="Y38" i="555"/>
  <c r="C40" i="543"/>
  <c r="X40" i="543"/>
  <c r="C36" i="526"/>
  <c r="Y36" i="526"/>
  <c r="X34" i="554"/>
  <c r="Y34" i="554"/>
  <c r="Y6" i="554"/>
  <c r="V29" i="526"/>
  <c r="V51" i="526"/>
  <c r="C34" i="543"/>
  <c r="X34" i="543"/>
  <c r="C11" i="543"/>
  <c r="U11" i="543"/>
  <c r="U40" i="555"/>
  <c r="X40" i="555"/>
  <c r="P13" i="548"/>
  <c r="P31" i="554"/>
  <c r="V31" i="554"/>
  <c r="Z31" i="554"/>
  <c r="W46" i="530"/>
  <c r="U46" i="530"/>
  <c r="O46" i="530"/>
  <c r="V46" i="530"/>
  <c r="V13" i="554"/>
  <c r="P13" i="554"/>
  <c r="C43" i="555"/>
  <c r="Z43" i="555"/>
  <c r="V34" i="554"/>
  <c r="AB34" i="554"/>
  <c r="Z13" i="554"/>
  <c r="AA13" i="554"/>
  <c r="AA29" i="526"/>
  <c r="Y29" i="526"/>
  <c r="U51" i="526"/>
  <c r="X46" i="530"/>
  <c r="C26" i="530"/>
  <c r="C32" i="530"/>
  <c r="C52" i="530"/>
  <c r="C24" i="530"/>
  <c r="C30" i="530"/>
  <c r="C28" i="530"/>
  <c r="C36" i="530"/>
  <c r="C48" i="530"/>
  <c r="T29" i="555"/>
  <c r="P29" i="555"/>
  <c r="N29" i="555"/>
  <c r="Z55" i="530"/>
  <c r="U55" i="530"/>
  <c r="V30" i="554"/>
  <c r="P30" i="554"/>
  <c r="U30" i="554"/>
  <c r="X30" i="554"/>
  <c r="Z6" i="554"/>
  <c r="AB6" i="554"/>
  <c r="G6" i="554"/>
  <c r="P6" i="554"/>
  <c r="C7" i="555"/>
  <c r="AA7" i="555"/>
  <c r="C28" i="543"/>
  <c r="V28" i="543"/>
  <c r="Y17" i="412"/>
  <c r="C57" i="555"/>
  <c r="V57" i="555"/>
  <c r="U17" i="412"/>
  <c r="Z46" i="530"/>
  <c r="T33" i="530"/>
  <c r="C10" i="555"/>
  <c r="AA10" i="555"/>
  <c r="C37" i="543"/>
  <c r="Z37" i="543"/>
  <c r="C39" i="543"/>
  <c r="U39" i="543"/>
  <c r="C43" i="543"/>
  <c r="Y43" i="543"/>
  <c r="C20" i="524"/>
  <c r="U20" i="524"/>
  <c r="C28" i="555"/>
  <c r="X28" i="555"/>
  <c r="C8" i="517"/>
  <c r="V8" i="517"/>
  <c r="C6" i="519"/>
  <c r="AA6" i="519"/>
  <c r="Y13" i="554"/>
  <c r="Y33" i="530"/>
  <c r="X13" i="554"/>
  <c r="Y20" i="526"/>
  <c r="Y65" i="517"/>
  <c r="V65" i="517"/>
  <c r="C58" i="526"/>
  <c r="Z58" i="526"/>
  <c r="X56" i="526"/>
  <c r="O56" i="526"/>
  <c r="P56" i="526"/>
  <c r="N56" i="526"/>
  <c r="W56" i="526"/>
  <c r="D48" i="554"/>
  <c r="D61" i="554"/>
  <c r="D27" i="554"/>
  <c r="D62" i="554"/>
  <c r="D60" i="554"/>
  <c r="D50" i="554"/>
  <c r="D47" i="554"/>
  <c r="D57" i="554"/>
  <c r="D49" i="554"/>
  <c r="D58" i="554"/>
  <c r="D59" i="554"/>
  <c r="P20" i="548"/>
  <c r="N20" i="548"/>
  <c r="AA6" i="548"/>
  <c r="U6" i="548"/>
  <c r="V6" i="548"/>
  <c r="W6" i="548"/>
  <c r="X6" i="548"/>
  <c r="Z6" i="548"/>
  <c r="O27" i="394"/>
  <c r="T27" i="394"/>
  <c r="O35" i="394"/>
  <c r="T35" i="394"/>
  <c r="O44" i="394"/>
  <c r="T44" i="394"/>
  <c r="O13" i="394"/>
  <c r="T13" i="394"/>
  <c r="O12" i="394"/>
  <c r="T12" i="394"/>
  <c r="P41" i="394"/>
  <c r="N41" i="394"/>
  <c r="C17" i="395"/>
  <c r="V17" i="8"/>
  <c r="K9" i="8"/>
  <c r="P9" i="8"/>
  <c r="B13" i="14"/>
  <c r="B14" i="14"/>
  <c r="C14" i="14"/>
  <c r="F4" i="14"/>
  <c r="O37" i="394"/>
  <c r="T37" i="394"/>
  <c r="O11" i="394"/>
  <c r="T11" i="394"/>
  <c r="P38" i="394"/>
  <c r="N38" i="394"/>
  <c r="P9" i="394"/>
  <c r="C31" i="394"/>
  <c r="C20" i="394"/>
  <c r="C45" i="394"/>
  <c r="C14" i="394"/>
  <c r="C29" i="394"/>
  <c r="C30" i="394"/>
  <c r="C8" i="394"/>
  <c r="C18" i="394"/>
  <c r="P21" i="394"/>
  <c r="N21" i="394"/>
  <c r="P23" i="394"/>
  <c r="N23" i="394"/>
  <c r="C26" i="394"/>
  <c r="C17" i="394"/>
  <c r="C43" i="394"/>
  <c r="P10" i="394"/>
  <c r="N10" i="394"/>
  <c r="P19" i="394"/>
  <c r="N19" i="394"/>
  <c r="P39" i="394"/>
  <c r="N39" i="394"/>
  <c r="P40" i="394"/>
  <c r="N40" i="394"/>
  <c r="P13" i="394"/>
  <c r="N13" i="394"/>
  <c r="B4" i="38"/>
  <c r="P28" i="394"/>
  <c r="N28" i="394"/>
  <c r="B4" i="14"/>
  <c r="C4" i="14"/>
  <c r="E10" i="14"/>
  <c r="F10" i="14"/>
  <c r="T7" i="8"/>
  <c r="K9" i="14"/>
  <c r="K13" i="8"/>
  <c r="G17" i="8"/>
  <c r="S11" i="8"/>
  <c r="S17" i="8"/>
  <c r="T11" i="8"/>
  <c r="T17" i="8"/>
  <c r="H17" i="8"/>
  <c r="K20" i="14"/>
  <c r="K14" i="8"/>
  <c r="K11" i="8"/>
  <c r="R11" i="8"/>
  <c r="F17" i="8"/>
  <c r="G20" i="14"/>
  <c r="I17" i="8"/>
  <c r="U11" i="8"/>
  <c r="U17" i="8"/>
  <c r="G9" i="14"/>
  <c r="I11" i="14"/>
  <c r="R8" i="8"/>
  <c r="R6" i="8"/>
  <c r="D17" i="8"/>
  <c r="K15" i="8"/>
  <c r="P15" i="8"/>
  <c r="W15" i="8"/>
  <c r="K16" i="14"/>
  <c r="J16" i="14"/>
  <c r="W12" i="8"/>
  <c r="N75" i="9"/>
  <c r="G14" i="403"/>
  <c r="I74" i="9"/>
  <c r="I70" i="9"/>
  <c r="C68" i="9"/>
  <c r="O72" i="9"/>
  <c r="P69" i="9"/>
  <c r="O70" i="9"/>
  <c r="P73" i="9"/>
  <c r="E68" i="9"/>
  <c r="G68" i="9"/>
  <c r="P75" i="9"/>
  <c r="O75" i="9"/>
  <c r="O73" i="9"/>
  <c r="P72" i="9"/>
  <c r="D68" i="9"/>
  <c r="O71" i="9"/>
  <c r="H68" i="9"/>
  <c r="P71" i="9"/>
  <c r="P74" i="9"/>
  <c r="O69" i="9"/>
  <c r="P70" i="9"/>
  <c r="O74" i="9"/>
  <c r="B68" i="9"/>
  <c r="I66" i="9"/>
  <c r="N76" i="9"/>
  <c r="C64" i="9"/>
  <c r="I64" i="9"/>
  <c r="M74" i="9"/>
  <c r="M70" i="9"/>
  <c r="M73" i="9"/>
  <c r="M75" i="9"/>
  <c r="D64" i="9"/>
  <c r="M71" i="9"/>
  <c r="H64" i="9"/>
  <c r="M72" i="9"/>
  <c r="E64" i="9"/>
  <c r="M69" i="9"/>
  <c r="G64" i="9"/>
  <c r="F64" i="9"/>
  <c r="L76" i="9"/>
  <c r="C85" i="526"/>
  <c r="C87" i="526"/>
  <c r="C38" i="526"/>
  <c r="C75" i="526"/>
  <c r="C28" i="526"/>
  <c r="Z27" i="555"/>
  <c r="AA27" i="555"/>
  <c r="W35" i="554"/>
  <c r="AA35" i="554"/>
  <c r="X54" i="555"/>
  <c r="Z54" i="555"/>
  <c r="Y54" i="555"/>
  <c r="AA41" i="554"/>
  <c r="W41" i="554"/>
  <c r="X59" i="530"/>
  <c r="W59" i="530"/>
  <c r="U59" i="530"/>
  <c r="V59" i="530"/>
  <c r="U35" i="555"/>
  <c r="O35" i="555"/>
  <c r="AA35" i="555"/>
  <c r="O16" i="526"/>
  <c r="Y16" i="526"/>
  <c r="X16" i="526"/>
  <c r="U34" i="555"/>
  <c r="X34" i="555"/>
  <c r="Y34" i="555"/>
  <c r="Z34" i="555"/>
  <c r="O34" i="555"/>
  <c r="Q65" i="554"/>
  <c r="O65" i="554"/>
  <c r="M66" i="554"/>
  <c r="Z21" i="530"/>
  <c r="X21" i="530"/>
  <c r="Y21" i="530"/>
  <c r="W21" i="530"/>
  <c r="V21" i="530"/>
  <c r="U21" i="530"/>
  <c r="O21" i="530"/>
  <c r="O65" i="544"/>
  <c r="X65" i="544"/>
  <c r="AA65" i="544"/>
  <c r="U65" i="544"/>
  <c r="Y65" i="544"/>
  <c r="W65" i="544"/>
  <c r="V65" i="544"/>
  <c r="Z65" i="544"/>
  <c r="O71" i="544"/>
  <c r="X71" i="544"/>
  <c r="W71" i="544"/>
  <c r="U71" i="544"/>
  <c r="Y71" i="544"/>
  <c r="AA71" i="544"/>
  <c r="V71" i="544"/>
  <c r="Z71" i="544"/>
  <c r="Y44" i="544"/>
  <c r="U44" i="544"/>
  <c r="Z44" i="544"/>
  <c r="W44" i="544"/>
  <c r="AA44" i="544"/>
  <c r="O44" i="544"/>
  <c r="X44" i="544"/>
  <c r="V44" i="544"/>
  <c r="O46" i="544"/>
  <c r="W46" i="544"/>
  <c r="AA46" i="544"/>
  <c r="Z46" i="544"/>
  <c r="X46" i="544"/>
  <c r="U46" i="544"/>
  <c r="Y46" i="544"/>
  <c r="V46" i="544"/>
  <c r="V47" i="543"/>
  <c r="Z47" i="543"/>
  <c r="W47" i="543"/>
  <c r="AA47" i="543"/>
  <c r="X47" i="543"/>
  <c r="U47" i="543"/>
  <c r="Y47" i="543"/>
  <c r="X19" i="543"/>
  <c r="Z19" i="543"/>
  <c r="W45" i="543"/>
  <c r="AA45" i="543"/>
  <c r="X45" i="543"/>
  <c r="U45" i="543"/>
  <c r="Y45" i="543"/>
  <c r="V45" i="543"/>
  <c r="Z45" i="543"/>
  <c r="U50" i="543"/>
  <c r="Z50" i="543"/>
  <c r="W50" i="543"/>
  <c r="AA50" i="543"/>
  <c r="X50" i="543"/>
  <c r="Y50" i="543"/>
  <c r="V50" i="543"/>
  <c r="U64" i="543"/>
  <c r="Y64" i="543"/>
  <c r="V64" i="543"/>
  <c r="Z64" i="543"/>
  <c r="W64" i="543"/>
  <c r="AA64" i="543"/>
  <c r="X64" i="543"/>
  <c r="V8" i="543"/>
  <c r="Z8" i="543"/>
  <c r="W8" i="543"/>
  <c r="AA8" i="543"/>
  <c r="X8" i="543"/>
  <c r="U8" i="543"/>
  <c r="Y8" i="543"/>
  <c r="X60" i="543"/>
  <c r="U60" i="543"/>
  <c r="Y60" i="543"/>
  <c r="V60" i="543"/>
  <c r="Z60" i="543"/>
  <c r="W60" i="543"/>
  <c r="AA60" i="543"/>
  <c r="AA88" i="526"/>
  <c r="W88" i="526"/>
  <c r="X88" i="526"/>
  <c r="O88" i="526"/>
  <c r="T88" i="526"/>
  <c r="O10" i="526"/>
  <c r="X10" i="526"/>
  <c r="Y10" i="526"/>
  <c r="AA10" i="526"/>
  <c r="Z10" i="526"/>
  <c r="U32" i="543"/>
  <c r="Y32" i="543"/>
  <c r="V32" i="543"/>
  <c r="Z32" i="543"/>
  <c r="W32" i="543"/>
  <c r="AA32" i="543"/>
  <c r="X32" i="543"/>
  <c r="X57" i="543"/>
  <c r="V57" i="543"/>
  <c r="V58" i="543"/>
  <c r="Z58" i="543"/>
  <c r="W58" i="543"/>
  <c r="AA58" i="543"/>
  <c r="X58" i="543"/>
  <c r="U58" i="543"/>
  <c r="Y58" i="543"/>
  <c r="U17" i="543"/>
  <c r="Y17" i="543"/>
  <c r="V17" i="543"/>
  <c r="Z17" i="543"/>
  <c r="W17" i="543"/>
  <c r="AA17" i="543"/>
  <c r="X17" i="543"/>
  <c r="V31" i="543"/>
  <c r="Z31" i="543"/>
  <c r="W31" i="543"/>
  <c r="AA31" i="543"/>
  <c r="X31" i="543"/>
  <c r="Y31" i="543"/>
  <c r="U31" i="543"/>
  <c r="V49" i="543"/>
  <c r="Z49" i="543"/>
  <c r="W49" i="543"/>
  <c r="AA49" i="543"/>
  <c r="U49" i="543"/>
  <c r="X49" i="543"/>
  <c r="Y49" i="543"/>
  <c r="X44" i="543"/>
  <c r="U44" i="543"/>
  <c r="Y44" i="543"/>
  <c r="V44" i="543"/>
  <c r="Z44" i="543"/>
  <c r="W44" i="543"/>
  <c r="AA44" i="543"/>
  <c r="O44" i="543"/>
  <c r="X51" i="526"/>
  <c r="Y51" i="526"/>
  <c r="O51" i="526"/>
  <c r="AA51" i="526"/>
  <c r="W51" i="526"/>
  <c r="U10" i="543"/>
  <c r="V16" i="543"/>
  <c r="Z16" i="543"/>
  <c r="W16" i="543"/>
  <c r="AA16" i="543"/>
  <c r="X16" i="543"/>
  <c r="U16" i="543"/>
  <c r="Y16" i="543"/>
  <c r="V46" i="543"/>
  <c r="AA46" i="543"/>
  <c r="W46" i="543"/>
  <c r="X46" i="543"/>
  <c r="U46" i="543"/>
  <c r="Z46" i="543"/>
  <c r="Y46" i="543"/>
  <c r="W15" i="543"/>
  <c r="AA15" i="543"/>
  <c r="X15" i="543"/>
  <c r="Y15" i="543"/>
  <c r="V15" i="543"/>
  <c r="Z15" i="543"/>
  <c r="U15" i="543"/>
  <c r="O20" i="526"/>
  <c r="U20" i="526"/>
  <c r="X20" i="526"/>
  <c r="AA20" i="526"/>
  <c r="W20" i="526"/>
  <c r="U29" i="526"/>
  <c r="Z29" i="526"/>
  <c r="W29" i="526"/>
  <c r="X29" i="526"/>
  <c r="W7" i="543"/>
  <c r="AA7" i="543"/>
  <c r="X7" i="543"/>
  <c r="Y7" i="543"/>
  <c r="V7" i="543"/>
  <c r="Z7" i="543"/>
  <c r="U7" i="543"/>
  <c r="Z50" i="526"/>
  <c r="O50" i="526"/>
  <c r="AA50" i="526"/>
  <c r="Y50" i="526"/>
  <c r="W50" i="526"/>
  <c r="X50" i="526"/>
  <c r="V25" i="543"/>
  <c r="Z25" i="543"/>
  <c r="W25" i="543"/>
  <c r="AA25" i="543"/>
  <c r="X25" i="543"/>
  <c r="U25" i="543"/>
  <c r="Y25" i="543"/>
  <c r="W81" i="526"/>
  <c r="O81" i="526"/>
  <c r="AA81" i="526"/>
  <c r="X81" i="526"/>
  <c r="Y9" i="526"/>
  <c r="AA9" i="526"/>
  <c r="O9" i="526"/>
  <c r="W9" i="526"/>
  <c r="X9" i="526"/>
  <c r="O16" i="543"/>
  <c r="T16" i="543"/>
  <c r="O49" i="543"/>
  <c r="T49" i="543"/>
  <c r="Z17" i="412"/>
  <c r="X9" i="412"/>
  <c r="O36" i="412"/>
  <c r="T36" i="412"/>
  <c r="O27" i="412"/>
  <c r="P27" i="412"/>
  <c r="N27" i="412"/>
  <c r="U38" i="530"/>
  <c r="C96" i="524"/>
  <c r="V96" i="524"/>
  <c r="C52" i="524"/>
  <c r="Z52" i="524"/>
  <c r="C55" i="524"/>
  <c r="Z55" i="524"/>
  <c r="O50" i="543"/>
  <c r="T50" i="543"/>
  <c r="Y9" i="412"/>
  <c r="AA17" i="412"/>
  <c r="C47" i="519"/>
  <c r="V47" i="519"/>
  <c r="C62" i="519"/>
  <c r="Z62" i="519"/>
  <c r="C52" i="519"/>
  <c r="AB52" i="519"/>
  <c r="X9" i="517"/>
  <c r="C9" i="519"/>
  <c r="AB9" i="519"/>
  <c r="Z32" i="554"/>
  <c r="AA32" i="554"/>
  <c r="X57" i="526"/>
  <c r="AA57" i="526"/>
  <c r="P29" i="526"/>
  <c r="N29" i="526"/>
  <c r="T29" i="526"/>
  <c r="Y38" i="530"/>
  <c r="C50" i="524"/>
  <c r="X50" i="524"/>
  <c r="V17" i="412"/>
  <c r="X36" i="412"/>
  <c r="Z27" i="412"/>
  <c r="X38" i="530"/>
  <c r="C104" i="524"/>
  <c r="Z104" i="524"/>
  <c r="C94" i="524"/>
  <c r="AA94" i="524"/>
  <c r="C99" i="524"/>
  <c r="AA99" i="524"/>
  <c r="C53" i="524"/>
  <c r="X53" i="524"/>
  <c r="O8" i="543"/>
  <c r="T8" i="543"/>
  <c r="C13" i="519"/>
  <c r="Z13" i="519"/>
  <c r="W27" i="412"/>
  <c r="Z9" i="517"/>
  <c r="U9" i="517"/>
  <c r="V51" i="555"/>
  <c r="W32" i="554"/>
  <c r="O60" i="543"/>
  <c r="T60" i="543"/>
  <c r="C42" i="543"/>
  <c r="C18" i="543"/>
  <c r="AA35" i="526"/>
  <c r="X35" i="526"/>
  <c r="AA49" i="517"/>
  <c r="W49" i="517"/>
  <c r="Y49" i="517"/>
  <c r="Z38" i="530"/>
  <c r="AA27" i="412"/>
  <c r="O38" i="530"/>
  <c r="C100" i="524"/>
  <c r="Y100" i="524"/>
  <c r="C56" i="524"/>
  <c r="Z56" i="524"/>
  <c r="C97" i="524"/>
  <c r="X97" i="524"/>
  <c r="C52" i="543"/>
  <c r="C53" i="543"/>
  <c r="C51" i="543"/>
  <c r="O17" i="543"/>
  <c r="T17" i="543"/>
  <c r="C23" i="519"/>
  <c r="Y23" i="519"/>
  <c r="C63" i="519"/>
  <c r="Y63" i="519"/>
  <c r="C43" i="519"/>
  <c r="Z43" i="519"/>
  <c r="W65" i="517"/>
  <c r="U65" i="517"/>
  <c r="Q35" i="554"/>
  <c r="O35" i="554"/>
  <c r="U35" i="554"/>
  <c r="V66" i="554"/>
  <c r="AB66" i="554"/>
  <c r="W66" i="554"/>
  <c r="Y66" i="554"/>
  <c r="AA66" i="554"/>
  <c r="P66" i="554"/>
  <c r="X66" i="554"/>
  <c r="X32" i="554"/>
  <c r="AB32" i="554"/>
  <c r="Y32" i="554"/>
  <c r="AA9" i="517"/>
  <c r="W9" i="517"/>
  <c r="Y9" i="517"/>
  <c r="O9" i="517"/>
  <c r="U27" i="412"/>
  <c r="V27" i="412"/>
  <c r="W33" i="554"/>
  <c r="AA33" i="554"/>
  <c r="P33" i="554"/>
  <c r="AB33" i="554"/>
  <c r="X33" i="554"/>
  <c r="V33" i="554"/>
  <c r="AB14" i="554"/>
  <c r="W14" i="554"/>
  <c r="Y14" i="554"/>
  <c r="P14" i="554"/>
  <c r="V14" i="554"/>
  <c r="X14" i="554"/>
  <c r="AA14" i="554"/>
  <c r="C59" i="517"/>
  <c r="C17" i="517"/>
  <c r="C10" i="517"/>
  <c r="C72" i="517"/>
  <c r="C43" i="517"/>
  <c r="C23" i="517"/>
  <c r="C51" i="517"/>
  <c r="C35" i="517"/>
  <c r="C64" i="517"/>
  <c r="C31" i="517"/>
  <c r="C54" i="517"/>
  <c r="C46" i="517"/>
  <c r="C14" i="517"/>
  <c r="C19" i="517"/>
  <c r="C12" i="517"/>
  <c r="C63" i="517"/>
  <c r="C34" i="517"/>
  <c r="C6" i="517"/>
  <c r="C67" i="517"/>
  <c r="V7" i="554"/>
  <c r="G7" i="554"/>
  <c r="AA7" i="554"/>
  <c r="X7" i="554"/>
  <c r="AB7" i="554"/>
  <c r="P24" i="554"/>
  <c r="AB24" i="554"/>
  <c r="V24" i="554"/>
  <c r="X24" i="554"/>
  <c r="AA24" i="554"/>
  <c r="W24" i="554"/>
  <c r="Z24" i="554"/>
  <c r="AA18" i="526"/>
  <c r="Z18" i="526"/>
  <c r="Y18" i="526"/>
  <c r="X18" i="526"/>
  <c r="T49" i="517"/>
  <c r="P49" i="517"/>
  <c r="P34" i="554"/>
  <c r="Z34" i="554"/>
  <c r="W34" i="554"/>
  <c r="D68" i="554"/>
  <c r="D18" i="554"/>
  <c r="D17" i="554"/>
  <c r="D26" i="554"/>
  <c r="D21" i="554"/>
  <c r="D19" i="554"/>
  <c r="D20" i="554"/>
  <c r="D45" i="554"/>
  <c r="D55" i="554"/>
  <c r="W44" i="412"/>
  <c r="V44" i="412"/>
  <c r="C67" i="543"/>
  <c r="C69" i="543"/>
  <c r="C66" i="543"/>
  <c r="C68" i="543"/>
  <c r="C65" i="543"/>
  <c r="P40" i="555"/>
  <c r="N40" i="555"/>
  <c r="L41" i="555"/>
  <c r="U24" i="555"/>
  <c r="W24" i="555"/>
  <c r="V24" i="555"/>
  <c r="X24" i="555"/>
  <c r="Y24" i="555"/>
  <c r="Z24" i="555"/>
  <c r="O24" i="555"/>
  <c r="Y38" i="412"/>
  <c r="U49" i="555"/>
  <c r="Y49" i="555"/>
  <c r="Z49" i="555"/>
  <c r="W49" i="555"/>
  <c r="X49" i="555"/>
  <c r="AA49" i="555"/>
  <c r="O49" i="555"/>
  <c r="P20" i="543"/>
  <c r="N20" i="543"/>
  <c r="T23" i="412"/>
  <c r="P23" i="412"/>
  <c r="N23" i="412"/>
  <c r="U40" i="554"/>
  <c r="U51" i="555"/>
  <c r="O51" i="555"/>
  <c r="Y51" i="555"/>
  <c r="Z51" i="555"/>
  <c r="X51" i="555"/>
  <c r="W51" i="555"/>
  <c r="D44" i="554"/>
  <c r="D54" i="554"/>
  <c r="C41" i="526"/>
  <c r="C40" i="526"/>
  <c r="C79" i="526"/>
  <c r="C49" i="526"/>
  <c r="C8" i="526"/>
  <c r="C61" i="526"/>
  <c r="C43" i="526"/>
  <c r="C78" i="526"/>
  <c r="C77" i="526"/>
  <c r="C55" i="526"/>
  <c r="C12" i="526"/>
  <c r="C19" i="526"/>
  <c r="W17" i="412"/>
  <c r="O17" i="412"/>
  <c r="Y71" i="541"/>
  <c r="X71" i="541"/>
  <c r="V71" i="541"/>
  <c r="AA71" i="541"/>
  <c r="Z71" i="541"/>
  <c r="Y63" i="541"/>
  <c r="Z63" i="541"/>
  <c r="AA63" i="541"/>
  <c r="V63" i="541"/>
  <c r="X63" i="541"/>
  <c r="Y55" i="541"/>
  <c r="W55" i="541"/>
  <c r="U55" i="541"/>
  <c r="X55" i="541"/>
  <c r="O55" i="541"/>
  <c r="V55" i="541"/>
  <c r="Z55" i="541"/>
  <c r="AA55" i="541"/>
  <c r="O46" i="541"/>
  <c r="U46" i="541"/>
  <c r="V46" i="541"/>
  <c r="Y46" i="541"/>
  <c r="W46" i="541"/>
  <c r="X46" i="541"/>
  <c r="Z46" i="541"/>
  <c r="AA46" i="541"/>
  <c r="O29" i="541"/>
  <c r="T29" i="541"/>
  <c r="V29" i="541"/>
  <c r="X29" i="541"/>
  <c r="Z29" i="541"/>
  <c r="Y29" i="541"/>
  <c r="W29" i="541"/>
  <c r="U29" i="541"/>
  <c r="AA29" i="541"/>
  <c r="O61" i="541"/>
  <c r="P61" i="541"/>
  <c r="N61" i="541"/>
  <c r="L62" i="541"/>
  <c r="X61" i="541"/>
  <c r="V61" i="541"/>
  <c r="Y61" i="541"/>
  <c r="AA61" i="541"/>
  <c r="Z61" i="541"/>
  <c r="U61" i="541"/>
  <c r="W61" i="541"/>
  <c r="C20" i="541"/>
  <c r="C42" i="541"/>
  <c r="C75" i="541"/>
  <c r="C18" i="541"/>
  <c r="C9" i="541"/>
  <c r="C48" i="541"/>
  <c r="U73" i="541"/>
  <c r="X73" i="541"/>
  <c r="Y73" i="541"/>
  <c r="O73" i="541"/>
  <c r="P73" i="541"/>
  <c r="N73" i="541"/>
  <c r="W73" i="541"/>
  <c r="AA73" i="541"/>
  <c r="V73" i="541"/>
  <c r="Z73" i="541"/>
  <c r="X65" i="541"/>
  <c r="Z65" i="541"/>
  <c r="U65" i="541"/>
  <c r="O65" i="541"/>
  <c r="P65" i="541"/>
  <c r="N65" i="541"/>
  <c r="W65" i="541"/>
  <c r="AA65" i="541"/>
  <c r="Y65" i="541"/>
  <c r="V65" i="541"/>
  <c r="V43" i="541"/>
  <c r="X43" i="541"/>
  <c r="U43" i="541"/>
  <c r="AA43" i="541"/>
  <c r="O43" i="541"/>
  <c r="P43" i="541"/>
  <c r="N43" i="541"/>
  <c r="Z43" i="541"/>
  <c r="W16" i="541"/>
  <c r="AA16" i="541"/>
  <c r="X16" i="541"/>
  <c r="O16" i="541"/>
  <c r="Y16" i="541"/>
  <c r="V16" i="541"/>
  <c r="Z16" i="541"/>
  <c r="Z72" i="541"/>
  <c r="U72" i="541"/>
  <c r="W72" i="541"/>
  <c r="Y72" i="541"/>
  <c r="AA72" i="541"/>
  <c r="X72" i="541"/>
  <c r="O72" i="541"/>
  <c r="P72" i="541"/>
  <c r="N72" i="541"/>
  <c r="V72" i="541"/>
  <c r="AA81" i="541"/>
  <c r="V81" i="541"/>
  <c r="W81" i="541"/>
  <c r="Z81" i="541"/>
  <c r="X81" i="541"/>
  <c r="U81" i="541"/>
  <c r="O81" i="541"/>
  <c r="Y81" i="541"/>
  <c r="O53" i="541"/>
  <c r="AA53" i="541"/>
  <c r="U53" i="541"/>
  <c r="Z53" i="541"/>
  <c r="W53" i="541"/>
  <c r="V53" i="541"/>
  <c r="X53" i="541"/>
  <c r="Y53" i="541"/>
  <c r="Y74" i="541"/>
  <c r="AA74" i="541"/>
  <c r="Z74" i="541"/>
  <c r="O74" i="541"/>
  <c r="X74" i="541"/>
  <c r="W74" i="541"/>
  <c r="U74" i="541"/>
  <c r="V74" i="541"/>
  <c r="U70" i="541"/>
  <c r="W70" i="541"/>
  <c r="Y70" i="541"/>
  <c r="AA70" i="541"/>
  <c r="X70" i="541"/>
  <c r="O70" i="541"/>
  <c r="P70" i="541"/>
  <c r="N70" i="541"/>
  <c r="V70" i="541"/>
  <c r="Z70" i="541"/>
  <c r="V79" i="541"/>
  <c r="X79" i="541"/>
  <c r="O79" i="541"/>
  <c r="W79" i="541"/>
  <c r="AA79" i="541"/>
  <c r="U79" i="541"/>
  <c r="C30" i="541"/>
  <c r="C26" i="541"/>
  <c r="C31" i="541"/>
  <c r="C34" i="541"/>
  <c r="C50" i="541"/>
  <c r="C35" i="541"/>
  <c r="C32" i="541"/>
  <c r="C54" i="541"/>
  <c r="C80" i="541"/>
  <c r="C78" i="541"/>
  <c r="C64" i="541"/>
  <c r="C11" i="541"/>
  <c r="C56" i="541"/>
  <c r="X49" i="541"/>
  <c r="Z49" i="541"/>
  <c r="O49" i="541"/>
  <c r="V49" i="541"/>
  <c r="W49" i="541"/>
  <c r="Y49" i="541"/>
  <c r="AA49" i="541"/>
  <c r="U49" i="541"/>
  <c r="O10" i="541"/>
  <c r="AA10" i="541"/>
  <c r="V10" i="541"/>
  <c r="X10" i="541"/>
  <c r="Z10" i="541"/>
  <c r="W10" i="541"/>
  <c r="U10" i="541"/>
  <c r="Y10" i="541"/>
  <c r="O57" i="541"/>
  <c r="X57" i="541"/>
  <c r="Z57" i="541"/>
  <c r="U57" i="541"/>
  <c r="W57" i="541"/>
  <c r="AA57" i="541"/>
  <c r="V57" i="541"/>
  <c r="Y57" i="541"/>
  <c r="O77" i="541"/>
  <c r="U77" i="541"/>
  <c r="X77" i="541"/>
  <c r="Y77" i="541"/>
  <c r="AA77" i="541"/>
  <c r="V77" i="541"/>
  <c r="Z77" i="541"/>
  <c r="W77" i="541"/>
  <c r="Y7" i="541"/>
  <c r="AA7" i="541"/>
  <c r="Z7" i="541"/>
  <c r="O7" i="541"/>
  <c r="W7" i="541"/>
  <c r="U7" i="541"/>
  <c r="P19" i="541"/>
  <c r="N19" i="541"/>
  <c r="T19" i="541"/>
  <c r="Y48" i="526"/>
  <c r="Z48" i="526"/>
  <c r="U48" i="526"/>
  <c r="W48" i="526"/>
  <c r="O48" i="526"/>
  <c r="AA48" i="526"/>
  <c r="V48" i="526"/>
  <c r="X48" i="526"/>
  <c r="P35" i="526"/>
  <c r="N35" i="526"/>
  <c r="T35" i="526"/>
  <c r="AA53" i="519"/>
  <c r="Z77" i="519"/>
  <c r="X77" i="519"/>
  <c r="AB77" i="519"/>
  <c r="AA77" i="519"/>
  <c r="Y77" i="519"/>
  <c r="W77" i="519"/>
  <c r="V77" i="519"/>
  <c r="Y68" i="526"/>
  <c r="AA68" i="526"/>
  <c r="U68" i="526"/>
  <c r="Z68" i="526"/>
  <c r="O68" i="526"/>
  <c r="V68" i="526"/>
  <c r="W68" i="526"/>
  <c r="X68" i="526"/>
  <c r="U64" i="526"/>
  <c r="W64" i="526"/>
  <c r="V64" i="526"/>
  <c r="X64" i="526"/>
  <c r="O64" i="526"/>
  <c r="Z64" i="526"/>
  <c r="AA64" i="526"/>
  <c r="Y64" i="526"/>
  <c r="Y39" i="519"/>
  <c r="AA39" i="519"/>
  <c r="Z39" i="519"/>
  <c r="AB39" i="519"/>
  <c r="V39" i="519"/>
  <c r="P39" i="519"/>
  <c r="X39" i="519"/>
  <c r="W39" i="519"/>
  <c r="AA29" i="519"/>
  <c r="Z29" i="519"/>
  <c r="AB29" i="519"/>
  <c r="X29" i="519"/>
  <c r="Y29" i="519"/>
  <c r="W29" i="519"/>
  <c r="V29" i="519"/>
  <c r="P29" i="519"/>
  <c r="O57" i="517"/>
  <c r="U57" i="517"/>
  <c r="W57" i="517"/>
  <c r="Y57" i="517"/>
  <c r="V57" i="517"/>
  <c r="AA57" i="517"/>
  <c r="Z57" i="517"/>
  <c r="X57" i="517"/>
  <c r="O33" i="526"/>
  <c r="Y33" i="526"/>
  <c r="W33" i="526"/>
  <c r="U33" i="526"/>
  <c r="AA33" i="526"/>
  <c r="Z33" i="526"/>
  <c r="X33" i="526"/>
  <c r="V33" i="526"/>
  <c r="AA9" i="530"/>
  <c r="Y9" i="530"/>
  <c r="X9" i="530"/>
  <c r="W9" i="530"/>
  <c r="O9" i="530"/>
  <c r="U9" i="530"/>
  <c r="Z9" i="530"/>
  <c r="V9" i="530"/>
  <c r="V72" i="526"/>
  <c r="W72" i="526"/>
  <c r="U72" i="526"/>
  <c r="Y72" i="526"/>
  <c r="AA72" i="526"/>
  <c r="O72" i="526"/>
  <c r="X72" i="526"/>
  <c r="Z72" i="526"/>
  <c r="P19" i="519"/>
  <c r="Z19" i="519"/>
  <c r="V19" i="519"/>
  <c r="AA19" i="519"/>
  <c r="Y19" i="519"/>
  <c r="X19" i="519"/>
  <c r="W19" i="519"/>
  <c r="AB19" i="519"/>
  <c r="V72" i="519"/>
  <c r="AA72" i="519"/>
  <c r="U53" i="526"/>
  <c r="V53" i="526"/>
  <c r="O53" i="526"/>
  <c r="Z53" i="526"/>
  <c r="X53" i="526"/>
  <c r="W53" i="526"/>
  <c r="Y53" i="526"/>
  <c r="AA53" i="526"/>
  <c r="X60" i="526"/>
  <c r="AA60" i="526"/>
  <c r="O47" i="526"/>
  <c r="V47" i="526"/>
  <c r="AA47" i="526"/>
  <c r="U47" i="526"/>
  <c r="X47" i="526"/>
  <c r="Y47" i="526"/>
  <c r="W47" i="526"/>
  <c r="Z47" i="526"/>
  <c r="V36" i="519"/>
  <c r="AB36" i="519"/>
  <c r="AA36" i="519"/>
  <c r="W36" i="519"/>
  <c r="P36" i="519"/>
  <c r="X36" i="519"/>
  <c r="Z36" i="519"/>
  <c r="Y36" i="519"/>
  <c r="T57" i="526"/>
  <c r="P57" i="526"/>
  <c r="N57" i="526"/>
  <c r="U41" i="517"/>
  <c r="W41" i="517"/>
  <c r="Y41" i="517"/>
  <c r="AA41" i="517"/>
  <c r="V41" i="517"/>
  <c r="X41" i="517"/>
  <c r="Z41" i="517"/>
  <c r="O41" i="517"/>
  <c r="W14" i="526"/>
  <c r="U14" i="526"/>
  <c r="Z14" i="526"/>
  <c r="O14" i="526"/>
  <c r="AA14" i="526"/>
  <c r="X14" i="526"/>
  <c r="V14" i="526"/>
  <c r="Y14" i="526"/>
  <c r="V70" i="526"/>
  <c r="O70" i="526"/>
  <c r="W70" i="526"/>
  <c r="U70" i="526"/>
  <c r="Y70" i="526"/>
  <c r="AA70" i="526"/>
  <c r="X70" i="526"/>
  <c r="Z70" i="526"/>
  <c r="O62" i="526"/>
  <c r="AA62" i="526"/>
  <c r="P44" i="519"/>
  <c r="Z44" i="519"/>
  <c r="X44" i="519"/>
  <c r="Y44" i="519"/>
  <c r="AA44" i="519"/>
  <c r="W44" i="519"/>
  <c r="AB44" i="519"/>
  <c r="V44" i="519"/>
  <c r="O6" i="526"/>
  <c r="Z6" i="526"/>
  <c r="AA6" i="526"/>
  <c r="Y6" i="526"/>
  <c r="W6" i="526"/>
  <c r="V6" i="526"/>
  <c r="X6" i="526"/>
  <c r="U6" i="526"/>
  <c r="Z24" i="526"/>
  <c r="X24" i="526"/>
  <c r="V22" i="526"/>
  <c r="X22" i="526"/>
  <c r="Y22" i="526"/>
  <c r="O22" i="526"/>
  <c r="Z22" i="526"/>
  <c r="AA22" i="526"/>
  <c r="U22" i="526"/>
  <c r="W22" i="526"/>
  <c r="X5" i="519"/>
  <c r="Z5" i="519"/>
  <c r="Y5" i="519"/>
  <c r="W5" i="519"/>
  <c r="AB5" i="519"/>
  <c r="AA5" i="519"/>
  <c r="P5" i="519"/>
  <c r="V5" i="519"/>
  <c r="Y6" i="519"/>
  <c r="V6" i="519"/>
  <c r="O15" i="526"/>
  <c r="U15" i="526"/>
  <c r="AA15" i="526"/>
  <c r="Z15" i="526"/>
  <c r="X15" i="526"/>
  <c r="V15" i="526"/>
  <c r="W15" i="526"/>
  <c r="Y15" i="526"/>
  <c r="X76" i="519"/>
  <c r="Z76" i="519"/>
  <c r="W76" i="519"/>
  <c r="V76" i="519"/>
  <c r="Y76" i="519"/>
  <c r="P76" i="519"/>
  <c r="AB76" i="519"/>
  <c r="AA76" i="519"/>
  <c r="Y26" i="519"/>
  <c r="V31" i="526"/>
  <c r="O31" i="526"/>
  <c r="U31" i="526"/>
  <c r="X31" i="526"/>
  <c r="Y31" i="526"/>
  <c r="W31" i="526"/>
  <c r="Z31" i="526"/>
  <c r="AA31" i="526"/>
  <c r="U26" i="526"/>
  <c r="AA26" i="526"/>
  <c r="V26" i="526"/>
  <c r="W26" i="526"/>
  <c r="O26" i="526"/>
  <c r="Z26" i="526"/>
  <c r="X26" i="526"/>
  <c r="Y26" i="526"/>
  <c r="W61" i="519"/>
  <c r="G61" i="519"/>
  <c r="P61" i="519"/>
  <c r="X61" i="519"/>
  <c r="AA61" i="519"/>
  <c r="Y61" i="519"/>
  <c r="AB61" i="519"/>
  <c r="Z61" i="519"/>
  <c r="W9" i="519"/>
  <c r="Y36" i="517"/>
  <c r="AA36" i="517"/>
  <c r="O36" i="517"/>
  <c r="V36" i="517"/>
  <c r="X36" i="517"/>
  <c r="Z36" i="517"/>
  <c r="U36" i="517"/>
  <c r="W36" i="517"/>
  <c r="C10" i="530"/>
  <c r="C18" i="530"/>
  <c r="X53" i="555"/>
  <c r="U98" i="524"/>
  <c r="Y98" i="524"/>
  <c r="U54" i="524"/>
  <c r="V95" i="524"/>
  <c r="Z95" i="524"/>
  <c r="W95" i="524"/>
  <c r="AA95" i="524"/>
  <c r="U95" i="524"/>
  <c r="X95" i="524"/>
  <c r="O95" i="524"/>
  <c r="Y95" i="524"/>
  <c r="Y41" i="555"/>
  <c r="O41" i="555"/>
  <c r="U47" i="524"/>
  <c r="W47" i="524"/>
  <c r="AA47" i="524"/>
  <c r="X47" i="524"/>
  <c r="Y47" i="524"/>
  <c r="V47" i="524"/>
  <c r="Z47" i="524"/>
  <c r="O47" i="524"/>
  <c r="C71" i="519"/>
  <c r="C22" i="519"/>
  <c r="C10" i="519"/>
  <c r="C40" i="519"/>
  <c r="C15" i="519"/>
  <c r="C8" i="519"/>
  <c r="C24" i="519"/>
  <c r="V32" i="526"/>
  <c r="AA47" i="519"/>
  <c r="AB47" i="519"/>
  <c r="Z47" i="412"/>
  <c r="AA47" i="412"/>
  <c r="W47" i="412"/>
  <c r="V47" i="412"/>
  <c r="Y47" i="412"/>
  <c r="U47" i="412"/>
  <c r="X47" i="412"/>
  <c r="O47" i="412"/>
  <c r="C44" i="526"/>
  <c r="C7" i="526"/>
  <c r="C74" i="526"/>
  <c r="C37" i="526"/>
  <c r="W73" i="526"/>
  <c r="AA73" i="526"/>
  <c r="Y73" i="526"/>
  <c r="V73" i="526"/>
  <c r="X73" i="526"/>
  <c r="U73" i="526"/>
  <c r="O73" i="526"/>
  <c r="Z73" i="526"/>
  <c r="U80" i="526"/>
  <c r="O80" i="526"/>
  <c r="Z80" i="526"/>
  <c r="AA80" i="526"/>
  <c r="V80" i="526"/>
  <c r="X80" i="526"/>
  <c r="Y80" i="526"/>
  <c r="W80" i="526"/>
  <c r="V39" i="517"/>
  <c r="X39" i="517"/>
  <c r="O39" i="517"/>
  <c r="Z39" i="517"/>
  <c r="U39" i="517"/>
  <c r="W39" i="517"/>
  <c r="Y39" i="517"/>
  <c r="AA39" i="517"/>
  <c r="C47" i="517"/>
  <c r="C55" i="517"/>
  <c r="C15" i="517"/>
  <c r="C29" i="517"/>
  <c r="C40" i="517"/>
  <c r="C20" i="517"/>
  <c r="C70" i="517"/>
  <c r="C27" i="517"/>
  <c r="C28" i="517"/>
  <c r="C22" i="517"/>
  <c r="W34" i="530"/>
  <c r="U25" i="555"/>
  <c r="V25" i="555"/>
  <c r="W25" i="555"/>
  <c r="Z25" i="555"/>
  <c r="Y25" i="555"/>
  <c r="O25" i="555"/>
  <c r="X25" i="555"/>
  <c r="AA25" i="555"/>
  <c r="V55" i="524"/>
  <c r="U55" i="524"/>
  <c r="P46" i="543"/>
  <c r="N46" i="543"/>
  <c r="X91" i="524"/>
  <c r="Y91" i="524"/>
  <c r="U91" i="524"/>
  <c r="V91" i="524"/>
  <c r="Z91" i="524"/>
  <c r="O91" i="524"/>
  <c r="W91" i="524"/>
  <c r="AA91" i="524"/>
  <c r="P31" i="543"/>
  <c r="N31" i="543"/>
  <c r="L32" i="543"/>
  <c r="T16" i="412"/>
  <c r="T70" i="519"/>
  <c r="Y70" i="519"/>
  <c r="P70" i="519"/>
  <c r="X78" i="519"/>
  <c r="U17" i="526"/>
  <c r="W17" i="526"/>
  <c r="Z17" i="526"/>
  <c r="X17" i="526"/>
  <c r="V17" i="526"/>
  <c r="O17" i="526"/>
  <c r="Y17" i="526"/>
  <c r="AA17" i="526"/>
  <c r="V27" i="526"/>
  <c r="X27" i="526"/>
  <c r="AA27" i="526"/>
  <c r="U27" i="526"/>
  <c r="W27" i="526"/>
  <c r="O27" i="526"/>
  <c r="Z27" i="526"/>
  <c r="Y27" i="526"/>
  <c r="W30" i="519"/>
  <c r="Y30" i="519"/>
  <c r="AA30" i="519"/>
  <c r="V30" i="519"/>
  <c r="X30" i="519"/>
  <c r="Z30" i="519"/>
  <c r="AB30" i="519"/>
  <c r="P30" i="519"/>
  <c r="Y62" i="517"/>
  <c r="AA62" i="517"/>
  <c r="V62" i="517"/>
  <c r="X62" i="517"/>
  <c r="O62" i="517"/>
  <c r="Z62" i="517"/>
  <c r="U62" i="517"/>
  <c r="W62" i="517"/>
  <c r="AA51" i="530"/>
  <c r="Y51" i="530"/>
  <c r="X51" i="530"/>
  <c r="Z51" i="530"/>
  <c r="W51" i="530"/>
  <c r="V51" i="530"/>
  <c r="U51" i="530"/>
  <c r="P44" i="530"/>
  <c r="N44" i="530"/>
  <c r="V58" i="555"/>
  <c r="W58" i="555"/>
  <c r="U58" i="555"/>
  <c r="X58" i="555"/>
  <c r="Z58" i="555"/>
  <c r="AA58" i="555"/>
  <c r="Y58" i="555"/>
  <c r="T27" i="555"/>
  <c r="P27" i="555"/>
  <c r="N27" i="555"/>
  <c r="T54" i="555"/>
  <c r="V104" i="524"/>
  <c r="W57" i="555"/>
  <c r="O57" i="555"/>
  <c r="C26" i="543"/>
  <c r="C59" i="543"/>
  <c r="C33" i="543"/>
  <c r="C56" i="543"/>
  <c r="U37" i="524"/>
  <c r="Y37" i="524"/>
  <c r="V37" i="524"/>
  <c r="Z37" i="524"/>
  <c r="W37" i="524"/>
  <c r="AA37" i="524"/>
  <c r="X37" i="524"/>
  <c r="O37" i="524"/>
  <c r="C62" i="543"/>
  <c r="C38" i="543"/>
  <c r="V63" i="519"/>
  <c r="AB63" i="519"/>
  <c r="AA42" i="519"/>
  <c r="V42" i="519"/>
  <c r="X42" i="519"/>
  <c r="Z42" i="519"/>
  <c r="P42" i="519"/>
  <c r="AB42" i="519"/>
  <c r="W42" i="519"/>
  <c r="Y42" i="519"/>
  <c r="W42" i="526"/>
  <c r="AA42" i="526"/>
  <c r="O23" i="526"/>
  <c r="W33" i="517"/>
  <c r="V33" i="517"/>
  <c r="C64" i="530"/>
  <c r="C14" i="530"/>
  <c r="C49" i="530"/>
  <c r="C56" i="530"/>
  <c r="C40" i="530"/>
  <c r="C67" i="530"/>
  <c r="C6" i="530"/>
  <c r="P20" i="555"/>
  <c r="N20" i="555"/>
  <c r="T20" i="555"/>
  <c r="P16" i="530"/>
  <c r="N16" i="530"/>
  <c r="L17" i="530"/>
  <c r="T16" i="530"/>
  <c r="U100" i="524"/>
  <c r="Z100" i="524"/>
  <c r="V51" i="524"/>
  <c r="Z51" i="524"/>
  <c r="O51" i="524"/>
  <c r="W51" i="524"/>
  <c r="AA51" i="524"/>
  <c r="U51" i="524"/>
  <c r="X51" i="524"/>
  <c r="Y51" i="524"/>
  <c r="W37" i="555"/>
  <c r="U37" i="555"/>
  <c r="X37" i="555"/>
  <c r="O37" i="555"/>
  <c r="V37" i="555"/>
  <c r="Y37" i="555"/>
  <c r="Z37" i="555"/>
  <c r="AA37" i="555"/>
  <c r="U80" i="524"/>
  <c r="V80" i="524"/>
  <c r="Z80" i="524"/>
  <c r="W80" i="524"/>
  <c r="AA80" i="524"/>
  <c r="O80" i="524"/>
  <c r="X80" i="524"/>
  <c r="Y80" i="524"/>
  <c r="C13" i="543"/>
  <c r="C61" i="543"/>
  <c r="C29" i="543"/>
  <c r="C35" i="543"/>
  <c r="W69" i="526"/>
  <c r="V25" i="519"/>
  <c r="X25" i="519"/>
  <c r="W36" i="412"/>
  <c r="Y36" i="412"/>
  <c r="AA36" i="412"/>
  <c r="Z36" i="412"/>
  <c r="AA36" i="526"/>
  <c r="W36" i="526"/>
  <c r="Y65" i="526"/>
  <c r="O65" i="526"/>
  <c r="AA25" i="526"/>
  <c r="W25" i="526"/>
  <c r="C58" i="517"/>
  <c r="C45" i="517"/>
  <c r="C42" i="517"/>
  <c r="C30" i="517"/>
  <c r="C71" i="517"/>
  <c r="C68" i="517"/>
  <c r="C38" i="517"/>
  <c r="C7" i="517"/>
  <c r="C50" i="517"/>
  <c r="C13" i="517"/>
  <c r="C61" i="517"/>
  <c r="C53" i="517"/>
  <c r="C32" i="517"/>
  <c r="C16" i="517"/>
  <c r="C26" i="517"/>
  <c r="X69" i="517"/>
  <c r="Z25" i="530"/>
  <c r="AA25" i="530"/>
  <c r="Y25" i="530"/>
  <c r="V25" i="530"/>
  <c r="W25" i="530"/>
  <c r="X25" i="530"/>
  <c r="U25" i="530"/>
  <c r="O25" i="530"/>
  <c r="U57" i="530"/>
  <c r="Z13" i="530"/>
  <c r="U13" i="530"/>
  <c r="X36" i="555"/>
  <c r="U6" i="555"/>
  <c r="X6" i="555"/>
  <c r="Z6" i="555"/>
  <c r="V6" i="555"/>
  <c r="W6" i="555"/>
  <c r="Y6" i="555"/>
  <c r="O6" i="555"/>
  <c r="AA6" i="555"/>
  <c r="Z52" i="555"/>
  <c r="U5" i="555"/>
  <c r="V5" i="555"/>
  <c r="W5" i="555"/>
  <c r="Y5" i="555"/>
  <c r="AA5" i="555"/>
  <c r="Z5" i="555"/>
  <c r="X5" i="555"/>
  <c r="O5" i="555"/>
  <c r="U9" i="555"/>
  <c r="O9" i="555"/>
  <c r="V9" i="555"/>
  <c r="Y9" i="555"/>
  <c r="W9" i="555"/>
  <c r="X9" i="555"/>
  <c r="Z9" i="555"/>
  <c r="AA9" i="555"/>
  <c r="Z8" i="524"/>
  <c r="W8" i="524"/>
  <c r="U29" i="524"/>
  <c r="W29" i="524"/>
  <c r="AA29" i="524"/>
  <c r="Z29" i="524"/>
  <c r="Y29" i="524"/>
  <c r="V29" i="524"/>
  <c r="X29" i="524"/>
  <c r="O29" i="524"/>
  <c r="X70" i="524"/>
  <c r="Y70" i="524"/>
  <c r="U49" i="524"/>
  <c r="W49" i="524"/>
  <c r="AA49" i="524"/>
  <c r="Z49" i="524"/>
  <c r="O49" i="524"/>
  <c r="V49" i="524"/>
  <c r="Y49" i="524"/>
  <c r="X49" i="524"/>
  <c r="U21" i="524"/>
  <c r="V21" i="524"/>
  <c r="W21" i="524"/>
  <c r="AA21" i="524"/>
  <c r="Z21" i="524"/>
  <c r="Y21" i="524"/>
  <c r="X21" i="524"/>
  <c r="O21" i="524"/>
  <c r="U39" i="524"/>
  <c r="V39" i="524"/>
  <c r="Y39" i="524"/>
  <c r="O39" i="524"/>
  <c r="X39" i="524"/>
  <c r="W39" i="524"/>
  <c r="AA39" i="524"/>
  <c r="Z39" i="524"/>
  <c r="V23" i="524"/>
  <c r="U23" i="524"/>
  <c r="Y23" i="524"/>
  <c r="X23" i="524"/>
  <c r="O23" i="524"/>
  <c r="T23" i="524"/>
  <c r="W23" i="524"/>
  <c r="AA23" i="524"/>
  <c r="Z23" i="524"/>
  <c r="U19" i="524"/>
  <c r="V19" i="524"/>
  <c r="Y19" i="524"/>
  <c r="X19" i="524"/>
  <c r="O19" i="524"/>
  <c r="W19" i="524"/>
  <c r="AA19" i="524"/>
  <c r="Z19" i="524"/>
  <c r="U92" i="524"/>
  <c r="V92" i="524"/>
  <c r="Z92" i="524"/>
  <c r="Y92" i="524"/>
  <c r="X92" i="524"/>
  <c r="W92" i="524"/>
  <c r="AA92" i="524"/>
  <c r="O92" i="524"/>
  <c r="U85" i="524"/>
  <c r="W85" i="524"/>
  <c r="AA85" i="524"/>
  <c r="Z85" i="524"/>
  <c r="V85" i="524"/>
  <c r="Y85" i="524"/>
  <c r="X85" i="524"/>
  <c r="O85" i="524"/>
  <c r="V71" i="524"/>
  <c r="U71" i="524"/>
  <c r="Y71" i="524"/>
  <c r="X71" i="524"/>
  <c r="W71" i="524"/>
  <c r="AA71" i="524"/>
  <c r="O71" i="524"/>
  <c r="Z71" i="524"/>
  <c r="U44" i="524"/>
  <c r="Z44" i="524"/>
  <c r="Y44" i="524"/>
  <c r="V44" i="524"/>
  <c r="X44" i="524"/>
  <c r="W44" i="524"/>
  <c r="AA44" i="524"/>
  <c r="O44" i="524"/>
  <c r="U110" i="524"/>
  <c r="X110" i="524"/>
  <c r="W110" i="524"/>
  <c r="AA110" i="524"/>
  <c r="V110" i="524"/>
  <c r="Z110" i="524"/>
  <c r="Y110" i="524"/>
  <c r="O110" i="524"/>
  <c r="U15" i="524"/>
  <c r="V15" i="524"/>
  <c r="Y15" i="524"/>
  <c r="X15" i="524"/>
  <c r="W15" i="524"/>
  <c r="AA15" i="524"/>
  <c r="O15" i="524"/>
  <c r="Z15" i="524"/>
  <c r="U86" i="524"/>
  <c r="V86" i="524"/>
  <c r="X86" i="524"/>
  <c r="W86" i="524"/>
  <c r="AA86" i="524"/>
  <c r="Z86" i="524"/>
  <c r="O86" i="524"/>
  <c r="Y86" i="524"/>
  <c r="U66" i="524"/>
  <c r="V66" i="524"/>
  <c r="X66" i="524"/>
  <c r="W66" i="524"/>
  <c r="AA66" i="524"/>
  <c r="Z66" i="524"/>
  <c r="Y66" i="524"/>
  <c r="O66" i="524"/>
  <c r="U77" i="524"/>
  <c r="V77" i="524"/>
  <c r="W77" i="524"/>
  <c r="AA77" i="524"/>
  <c r="Z77" i="524"/>
  <c r="Y77" i="524"/>
  <c r="X77" i="524"/>
  <c r="O77" i="524"/>
  <c r="U64" i="524"/>
  <c r="V64" i="524"/>
  <c r="Z64" i="524"/>
  <c r="Y64" i="524"/>
  <c r="O64" i="524"/>
  <c r="X64" i="524"/>
  <c r="W64" i="524"/>
  <c r="AA64" i="524"/>
  <c r="AB22" i="554"/>
  <c r="W22" i="554"/>
  <c r="Z22" i="554"/>
  <c r="Y22" i="554"/>
  <c r="P22" i="554"/>
  <c r="V22" i="554"/>
  <c r="X22" i="554"/>
  <c r="AA22" i="554"/>
  <c r="AA29" i="554"/>
  <c r="Y29" i="554"/>
  <c r="P29" i="554"/>
  <c r="W29" i="554"/>
  <c r="V29" i="554"/>
  <c r="AB29" i="554"/>
  <c r="Z29" i="554"/>
  <c r="X29" i="554"/>
  <c r="Z9" i="554"/>
  <c r="Y9" i="554"/>
  <c r="AA9" i="554"/>
  <c r="X9" i="554"/>
  <c r="W9" i="554"/>
  <c r="G9" i="554"/>
  <c r="V9" i="554"/>
  <c r="Y28" i="554"/>
  <c r="X28" i="554"/>
  <c r="P28" i="554"/>
  <c r="Z28" i="554"/>
  <c r="W28" i="554"/>
  <c r="V28" i="554"/>
  <c r="AA28" i="554"/>
  <c r="AB28" i="554"/>
  <c r="AA8" i="554"/>
  <c r="AB8" i="554"/>
  <c r="V8" i="554"/>
  <c r="W8" i="554"/>
  <c r="Z8" i="554"/>
  <c r="G8" i="554"/>
  <c r="P8" i="554"/>
  <c r="Y8" i="554"/>
  <c r="P53" i="554"/>
  <c r="AA53" i="554"/>
  <c r="X53" i="554"/>
  <c r="W53" i="554"/>
  <c r="AB53" i="554"/>
  <c r="Y53" i="554"/>
  <c r="V53" i="554"/>
  <c r="Z53" i="554"/>
  <c r="O58" i="543"/>
  <c r="T58" i="543"/>
  <c r="O14" i="412"/>
  <c r="U14" i="412"/>
  <c r="Y14" i="412"/>
  <c r="W14" i="412"/>
  <c r="AA14" i="412"/>
  <c r="Z14" i="412"/>
  <c r="V14" i="412"/>
  <c r="X14" i="412"/>
  <c r="P15" i="543"/>
  <c r="N15" i="543"/>
  <c r="L16" i="543"/>
  <c r="L17" i="543"/>
  <c r="Y30" i="412"/>
  <c r="AA30" i="412"/>
  <c r="W30" i="412"/>
  <c r="Z30" i="412"/>
  <c r="X30" i="412"/>
  <c r="U30" i="412"/>
  <c r="V30" i="412"/>
  <c r="O30" i="412"/>
  <c r="U49" i="412"/>
  <c r="AA49" i="412"/>
  <c r="W49" i="412"/>
  <c r="O49" i="412"/>
  <c r="X49" i="412"/>
  <c r="V49" i="412"/>
  <c r="Z49" i="412"/>
  <c r="Y49" i="412"/>
  <c r="C46" i="412"/>
  <c r="C6" i="412"/>
  <c r="C33" i="412"/>
  <c r="C26" i="412"/>
  <c r="C19" i="412"/>
  <c r="C41" i="412"/>
  <c r="C13" i="412"/>
  <c r="P84" i="526"/>
  <c r="N84" i="526"/>
  <c r="T84" i="526"/>
  <c r="V27" i="530"/>
  <c r="Y17" i="530"/>
  <c r="V17" i="530"/>
  <c r="U53" i="530"/>
  <c r="O53" i="530"/>
  <c r="Z20" i="530"/>
  <c r="AA20" i="530"/>
  <c r="Y20" i="530"/>
  <c r="X20" i="530"/>
  <c r="W20" i="530"/>
  <c r="V20" i="530"/>
  <c r="U20" i="530"/>
  <c r="O20" i="530"/>
  <c r="V42" i="555"/>
  <c r="Z42" i="555"/>
  <c r="U42" i="555"/>
  <c r="X42" i="555"/>
  <c r="Y42" i="555"/>
  <c r="AA42" i="555"/>
  <c r="O42" i="555"/>
  <c r="W42" i="555"/>
  <c r="U21" i="555"/>
  <c r="O21" i="555"/>
  <c r="V21" i="555"/>
  <c r="W21" i="555"/>
  <c r="Y21" i="555"/>
  <c r="AA21" i="555"/>
  <c r="Z21" i="555"/>
  <c r="X21" i="555"/>
  <c r="U18" i="555"/>
  <c r="X18" i="555"/>
  <c r="Z18" i="555"/>
  <c r="O18" i="555"/>
  <c r="V18" i="555"/>
  <c r="W18" i="555"/>
  <c r="Y18" i="555"/>
  <c r="AA18" i="555"/>
  <c r="U12" i="555"/>
  <c r="V12" i="555"/>
  <c r="W12" i="555"/>
  <c r="Y12" i="555"/>
  <c r="AA12" i="555"/>
  <c r="Z12" i="555"/>
  <c r="X12" i="555"/>
  <c r="O12" i="555"/>
  <c r="W14" i="555"/>
  <c r="X79" i="524"/>
  <c r="Z79" i="524"/>
  <c r="W18" i="524"/>
  <c r="Y18" i="524"/>
  <c r="U60" i="524"/>
  <c r="Z60" i="524"/>
  <c r="Y60" i="524"/>
  <c r="O60" i="524"/>
  <c r="V60" i="524"/>
  <c r="X60" i="524"/>
  <c r="W60" i="524"/>
  <c r="AA60" i="524"/>
  <c r="U9" i="524"/>
  <c r="V9" i="524"/>
  <c r="W9" i="524"/>
  <c r="AA9" i="524"/>
  <c r="O9" i="524"/>
  <c r="Z9" i="524"/>
  <c r="Y9" i="524"/>
  <c r="X9" i="524"/>
  <c r="U93" i="524"/>
  <c r="W93" i="524"/>
  <c r="AA93" i="524"/>
  <c r="V93" i="524"/>
  <c r="Z93" i="524"/>
  <c r="Y93" i="524"/>
  <c r="X93" i="524"/>
  <c r="O93" i="524"/>
  <c r="U30" i="524"/>
  <c r="V30" i="524"/>
  <c r="X30" i="524"/>
  <c r="W30" i="524"/>
  <c r="AA30" i="524"/>
  <c r="Z30" i="524"/>
  <c r="O30" i="524"/>
  <c r="Y30" i="524"/>
  <c r="U14" i="524"/>
  <c r="V14" i="524"/>
  <c r="X14" i="524"/>
  <c r="W14" i="524"/>
  <c r="AA14" i="524"/>
  <c r="Z14" i="524"/>
  <c r="Y14" i="524"/>
  <c r="O14" i="524"/>
  <c r="Y83" i="524"/>
  <c r="AA83" i="524"/>
  <c r="U108" i="524"/>
  <c r="V108" i="524"/>
  <c r="Z108" i="524"/>
  <c r="Y108" i="524"/>
  <c r="O108" i="524"/>
  <c r="X108" i="524"/>
  <c r="W108" i="524"/>
  <c r="AA108" i="524"/>
  <c r="AA13" i="524"/>
  <c r="Y13" i="524"/>
  <c r="U69" i="524"/>
  <c r="W69" i="524"/>
  <c r="AA69" i="524"/>
  <c r="O69" i="524"/>
  <c r="Z69" i="524"/>
  <c r="Y69" i="524"/>
  <c r="V69" i="524"/>
  <c r="X69" i="524"/>
  <c r="U34" i="524"/>
  <c r="V34" i="524"/>
  <c r="X34" i="524"/>
  <c r="W34" i="524"/>
  <c r="AA34" i="524"/>
  <c r="O34" i="524"/>
  <c r="Z34" i="524"/>
  <c r="Y34" i="524"/>
  <c r="P37" i="554"/>
  <c r="W37" i="554"/>
  <c r="AA37" i="554"/>
  <c r="Y37" i="554"/>
  <c r="V37" i="554"/>
  <c r="Z37" i="554"/>
  <c r="AB37" i="554"/>
  <c r="X37" i="554"/>
  <c r="Y16" i="554"/>
  <c r="X16" i="554"/>
  <c r="Z16" i="554"/>
  <c r="V16" i="554"/>
  <c r="W16" i="554"/>
  <c r="AB16" i="554"/>
  <c r="P16" i="554"/>
  <c r="AA16" i="554"/>
  <c r="Y10" i="554"/>
  <c r="W10" i="554"/>
  <c r="AA10" i="554"/>
  <c r="V10" i="554"/>
  <c r="X10" i="554"/>
  <c r="G10" i="554"/>
  <c r="Z10" i="554"/>
  <c r="AA15" i="554"/>
  <c r="X15" i="554"/>
  <c r="Z15" i="554"/>
  <c r="Y15" i="554"/>
  <c r="P15" i="554"/>
  <c r="V15" i="554"/>
  <c r="W15" i="554"/>
  <c r="AB15" i="554"/>
  <c r="P43" i="554"/>
  <c r="Y43" i="554"/>
  <c r="X43" i="554"/>
  <c r="Z43" i="554"/>
  <c r="AB43" i="554"/>
  <c r="V43" i="554"/>
  <c r="W43" i="554"/>
  <c r="AA43" i="554"/>
  <c r="O32" i="543"/>
  <c r="T32" i="543"/>
  <c r="X7" i="412"/>
  <c r="Y7" i="412"/>
  <c r="Z7" i="412"/>
  <c r="AA7" i="412"/>
  <c r="O7" i="412"/>
  <c r="V7" i="412"/>
  <c r="U7" i="412"/>
  <c r="W7" i="412"/>
  <c r="U43" i="412"/>
  <c r="O43" i="412"/>
  <c r="Z43" i="412"/>
  <c r="AA43" i="412"/>
  <c r="X43" i="412"/>
  <c r="Y43" i="412"/>
  <c r="W43" i="412"/>
  <c r="V43" i="412"/>
  <c r="X29" i="412"/>
  <c r="Y29" i="412"/>
  <c r="Z29" i="412"/>
  <c r="AA29" i="412"/>
  <c r="O29" i="412"/>
  <c r="V29" i="412"/>
  <c r="U29" i="412"/>
  <c r="W29" i="412"/>
  <c r="C48" i="412"/>
  <c r="C57" i="412"/>
  <c r="O57" i="412"/>
  <c r="P57" i="412"/>
  <c r="N57" i="412"/>
  <c r="N59" i="412"/>
  <c r="C21" i="412"/>
  <c r="C35" i="412"/>
  <c r="C42" i="412"/>
  <c r="C8" i="412"/>
  <c r="C28" i="412"/>
  <c r="C15" i="412"/>
  <c r="C69" i="519"/>
  <c r="C14" i="519"/>
  <c r="C20" i="519"/>
  <c r="C65" i="519"/>
  <c r="C31" i="519"/>
  <c r="C56" i="519"/>
  <c r="C50" i="519"/>
  <c r="C48" i="519"/>
  <c r="C64" i="519"/>
  <c r="C7" i="519"/>
  <c r="AA29" i="530"/>
  <c r="X29" i="530"/>
  <c r="Y19" i="530"/>
  <c r="X19" i="530"/>
  <c r="Z19" i="530"/>
  <c r="V19" i="530"/>
  <c r="AA19" i="530"/>
  <c r="W19" i="530"/>
  <c r="O19" i="530"/>
  <c r="U19" i="530"/>
  <c r="Z43" i="530"/>
  <c r="AA43" i="530"/>
  <c r="W43" i="530"/>
  <c r="X43" i="530"/>
  <c r="Y43" i="530"/>
  <c r="V43" i="530"/>
  <c r="U43" i="530"/>
  <c r="O43" i="530"/>
  <c r="Z11" i="530"/>
  <c r="AA11" i="530"/>
  <c r="X11" i="530"/>
  <c r="U11" i="530"/>
  <c r="Y11" i="530"/>
  <c r="W11" i="530"/>
  <c r="V11" i="530"/>
  <c r="O11" i="530"/>
  <c r="Z10" i="555"/>
  <c r="Y10" i="555"/>
  <c r="U17" i="555"/>
  <c r="O17" i="555"/>
  <c r="V17" i="555"/>
  <c r="W17" i="555"/>
  <c r="Y17" i="555"/>
  <c r="AA17" i="555"/>
  <c r="Z17" i="555"/>
  <c r="X17" i="555"/>
  <c r="P16" i="555"/>
  <c r="N16" i="555"/>
  <c r="T16" i="555"/>
  <c r="AA50" i="524"/>
  <c r="AA90" i="524"/>
  <c r="U65" i="524"/>
  <c r="W65" i="524"/>
  <c r="AA65" i="524"/>
  <c r="O65" i="524"/>
  <c r="V65" i="524"/>
  <c r="Z65" i="524"/>
  <c r="Y65" i="524"/>
  <c r="X65" i="524"/>
  <c r="V46" i="524"/>
  <c r="U46" i="524"/>
  <c r="X46" i="524"/>
  <c r="O46" i="524"/>
  <c r="W46" i="524"/>
  <c r="AA46" i="524"/>
  <c r="Z46" i="524"/>
  <c r="Y46" i="524"/>
  <c r="V41" i="524"/>
  <c r="X41" i="524"/>
  <c r="V31" i="524"/>
  <c r="U31" i="524"/>
  <c r="Y31" i="524"/>
  <c r="X31" i="524"/>
  <c r="O31" i="524"/>
  <c r="W31" i="524"/>
  <c r="AA31" i="524"/>
  <c r="Z31" i="524"/>
  <c r="U82" i="524"/>
  <c r="V82" i="524"/>
  <c r="X82" i="524"/>
  <c r="W82" i="524"/>
  <c r="AA82" i="524"/>
  <c r="Z82" i="524"/>
  <c r="O82" i="524"/>
  <c r="Y82" i="524"/>
  <c r="U22" i="524"/>
  <c r="V22" i="524"/>
  <c r="X22" i="524"/>
  <c r="W22" i="524"/>
  <c r="AA22" i="524"/>
  <c r="Z22" i="524"/>
  <c r="O22" i="524"/>
  <c r="Y22" i="524"/>
  <c r="U6" i="524"/>
  <c r="V6" i="524"/>
  <c r="X6" i="524"/>
  <c r="W6" i="524"/>
  <c r="AA6" i="524"/>
  <c r="Z6" i="524"/>
  <c r="Y6" i="524"/>
  <c r="O6" i="524"/>
  <c r="W107" i="524"/>
  <c r="U81" i="524"/>
  <c r="W81" i="524"/>
  <c r="AA81" i="524"/>
  <c r="Z81" i="524"/>
  <c r="Y81" i="524"/>
  <c r="V81" i="524"/>
  <c r="X81" i="524"/>
  <c r="O81" i="524"/>
  <c r="Z63" i="524"/>
  <c r="W40" i="524"/>
  <c r="U11" i="524"/>
  <c r="V11" i="524"/>
  <c r="Y11" i="524"/>
  <c r="X11" i="524"/>
  <c r="W11" i="524"/>
  <c r="AA11" i="524"/>
  <c r="O11" i="524"/>
  <c r="Z11" i="524"/>
  <c r="Y72" i="524"/>
  <c r="O43" i="524"/>
  <c r="V59" i="524"/>
  <c r="U59" i="524"/>
  <c r="Y59" i="524"/>
  <c r="X59" i="524"/>
  <c r="W59" i="524"/>
  <c r="AA59" i="524"/>
  <c r="O59" i="524"/>
  <c r="Z59" i="524"/>
  <c r="U28" i="524"/>
  <c r="V28" i="524"/>
  <c r="Z28" i="524"/>
  <c r="O28" i="524"/>
  <c r="Y28" i="524"/>
  <c r="X28" i="524"/>
  <c r="W28" i="524"/>
  <c r="AA28" i="524"/>
  <c r="X46" i="554"/>
  <c r="P46" i="554"/>
  <c r="Y46" i="554"/>
  <c r="Z46" i="554"/>
  <c r="W46" i="554"/>
  <c r="AA46" i="554"/>
  <c r="AB46" i="554"/>
  <c r="V46" i="554"/>
  <c r="W69" i="554"/>
  <c r="Y69" i="554"/>
  <c r="AA69" i="554"/>
  <c r="V69" i="554"/>
  <c r="X69" i="554"/>
  <c r="Z69" i="554"/>
  <c r="P69" i="554"/>
  <c r="AB69" i="554"/>
  <c r="Z51" i="554"/>
  <c r="X51" i="554"/>
  <c r="AA51" i="554"/>
  <c r="Y51" i="554"/>
  <c r="W51" i="554"/>
  <c r="P51" i="554"/>
  <c r="V51" i="554"/>
  <c r="AB51" i="554"/>
  <c r="Y42" i="554"/>
  <c r="Z42" i="554"/>
  <c r="W42" i="554"/>
  <c r="AA42" i="554"/>
  <c r="AB42" i="554"/>
  <c r="V42" i="554"/>
  <c r="P42" i="554"/>
  <c r="X42" i="554"/>
  <c r="P36" i="554"/>
  <c r="X36" i="554"/>
  <c r="Y36" i="554"/>
  <c r="Z36" i="554"/>
  <c r="W36" i="554"/>
  <c r="AA36" i="554"/>
  <c r="AB36" i="554"/>
  <c r="V36" i="554"/>
  <c r="V34" i="412"/>
  <c r="U34" i="412"/>
  <c r="AA34" i="412"/>
  <c r="X34" i="412"/>
  <c r="Y34" i="412"/>
  <c r="Z34" i="412"/>
  <c r="O34" i="412"/>
  <c r="W34" i="412"/>
  <c r="V22" i="412"/>
  <c r="U22" i="412"/>
  <c r="Y22" i="412"/>
  <c r="X22" i="412"/>
  <c r="Z22" i="412"/>
  <c r="AA22" i="412"/>
  <c r="O22" i="412"/>
  <c r="W22" i="412"/>
  <c r="Z37" i="412"/>
  <c r="AA37" i="412"/>
  <c r="X37" i="412"/>
  <c r="Y37" i="412"/>
  <c r="V37" i="412"/>
  <c r="O37" i="412"/>
  <c r="W37" i="412"/>
  <c r="U37" i="412"/>
  <c r="Y47" i="530"/>
  <c r="Z47" i="530"/>
  <c r="AA47" i="530"/>
  <c r="X47" i="530"/>
  <c r="W47" i="530"/>
  <c r="V47" i="530"/>
  <c r="U47" i="530"/>
  <c r="O47" i="530"/>
  <c r="W41" i="530"/>
  <c r="Y37" i="530"/>
  <c r="AA37" i="530"/>
  <c r="W37" i="530"/>
  <c r="Z37" i="530"/>
  <c r="X37" i="530"/>
  <c r="V37" i="530"/>
  <c r="U37" i="530"/>
  <c r="O37" i="530"/>
  <c r="T13" i="555"/>
  <c r="P13" i="555"/>
  <c r="N13" i="555"/>
  <c r="V8" i="555"/>
  <c r="X8" i="555"/>
  <c r="Z48" i="555"/>
  <c r="AA48" i="555"/>
  <c r="O48" i="555"/>
  <c r="U48" i="555"/>
  <c r="V48" i="555"/>
  <c r="W48" i="555"/>
  <c r="X48" i="555"/>
  <c r="Y48" i="555"/>
  <c r="U19" i="555"/>
  <c r="X19" i="555"/>
  <c r="O19" i="555"/>
  <c r="Z19" i="555"/>
  <c r="V19" i="555"/>
  <c r="W19" i="555"/>
  <c r="Y19" i="555"/>
  <c r="AA19" i="555"/>
  <c r="V50" i="555"/>
  <c r="U12" i="524"/>
  <c r="V12" i="524"/>
  <c r="O12" i="524"/>
  <c r="X12" i="524"/>
  <c r="U35" i="524"/>
  <c r="U78" i="524"/>
  <c r="AA78" i="524"/>
  <c r="Y36" i="524"/>
  <c r="AA36" i="524"/>
  <c r="V27" i="524"/>
  <c r="U27" i="524"/>
  <c r="Y27" i="524"/>
  <c r="X27" i="524"/>
  <c r="O27" i="524"/>
  <c r="W27" i="524"/>
  <c r="AA27" i="524"/>
  <c r="Z27" i="524"/>
  <c r="U74" i="524"/>
  <c r="V74" i="524"/>
  <c r="X74" i="524"/>
  <c r="W74" i="524"/>
  <c r="AA74" i="524"/>
  <c r="Z74" i="524"/>
  <c r="Y74" i="524"/>
  <c r="O74" i="524"/>
  <c r="U33" i="524"/>
  <c r="W33" i="524"/>
  <c r="AA33" i="524"/>
  <c r="V33" i="524"/>
  <c r="Z33" i="524"/>
  <c r="Y33" i="524"/>
  <c r="O33" i="524"/>
  <c r="X33" i="524"/>
  <c r="U24" i="524"/>
  <c r="V24" i="524"/>
  <c r="Z24" i="524"/>
  <c r="O24" i="524"/>
  <c r="Y24" i="524"/>
  <c r="X24" i="524"/>
  <c r="W24" i="524"/>
  <c r="AA24" i="524"/>
  <c r="V87" i="524"/>
  <c r="V73" i="524"/>
  <c r="U61" i="524"/>
  <c r="W61" i="524"/>
  <c r="AA61" i="524"/>
  <c r="O61" i="524"/>
  <c r="Z61" i="524"/>
  <c r="Y61" i="524"/>
  <c r="V61" i="524"/>
  <c r="X61" i="524"/>
  <c r="AA38" i="524"/>
  <c r="U48" i="524"/>
  <c r="X88" i="524"/>
  <c r="U68" i="524"/>
  <c r="Z68" i="524"/>
  <c r="Y68" i="524"/>
  <c r="O68" i="524"/>
  <c r="V68" i="524"/>
  <c r="X68" i="524"/>
  <c r="W68" i="524"/>
  <c r="AA68" i="524"/>
  <c r="U7" i="524"/>
  <c r="V7" i="524"/>
  <c r="Y7" i="524"/>
  <c r="X7" i="524"/>
  <c r="W7" i="524"/>
  <c r="AA7" i="524"/>
  <c r="O7" i="524"/>
  <c r="Z7" i="524"/>
  <c r="U25" i="524"/>
  <c r="W25" i="524"/>
  <c r="AA25" i="524"/>
  <c r="V25" i="524"/>
  <c r="Z25" i="524"/>
  <c r="Y25" i="524"/>
  <c r="X25" i="524"/>
  <c r="O25" i="524"/>
  <c r="U17" i="524"/>
  <c r="W17" i="524"/>
  <c r="AA17" i="524"/>
  <c r="Z17" i="524"/>
  <c r="Y17" i="524"/>
  <c r="V17" i="524"/>
  <c r="X17" i="524"/>
  <c r="O17" i="524"/>
  <c r="AA70" i="554"/>
  <c r="P70" i="554"/>
  <c r="V70" i="554"/>
  <c r="W70" i="554"/>
  <c r="Z70" i="554"/>
  <c r="AB70" i="554"/>
  <c r="Y70" i="554"/>
  <c r="X70" i="554"/>
  <c r="P63" i="554"/>
  <c r="Y63" i="554"/>
  <c r="W63" i="554"/>
  <c r="V63" i="554"/>
  <c r="X63" i="554"/>
  <c r="Z63" i="554"/>
  <c r="AB63" i="554"/>
  <c r="AA63" i="554"/>
  <c r="P56" i="554"/>
  <c r="AB56" i="554"/>
  <c r="V56" i="554"/>
  <c r="X56" i="554"/>
  <c r="Z56" i="554"/>
  <c r="Y56" i="554"/>
  <c r="W56" i="554"/>
  <c r="AA56" i="554"/>
  <c r="AB38" i="554"/>
  <c r="V38" i="554"/>
  <c r="Z38" i="554"/>
  <c r="P38" i="554"/>
  <c r="AA38" i="554"/>
  <c r="W38" i="554"/>
  <c r="Y38" i="554"/>
  <c r="X38" i="554"/>
  <c r="AA25" i="554"/>
  <c r="Y25" i="554"/>
  <c r="X25" i="554"/>
  <c r="AB25" i="554"/>
  <c r="P25" i="554"/>
  <c r="Z25" i="554"/>
  <c r="V25" i="554"/>
  <c r="W25" i="554"/>
  <c r="Y67" i="554"/>
  <c r="AB67" i="554"/>
  <c r="V67" i="554"/>
  <c r="Z67" i="554"/>
  <c r="AA67" i="554"/>
  <c r="X67" i="554"/>
  <c r="P67" i="554"/>
  <c r="W67" i="554"/>
  <c r="O57" i="543"/>
  <c r="T57" i="543"/>
  <c r="O45" i="543"/>
  <c r="T45" i="543"/>
  <c r="V20" i="412"/>
  <c r="W20" i="412"/>
  <c r="AA20" i="412"/>
  <c r="U20" i="412"/>
  <c r="Y20" i="412"/>
  <c r="X20" i="412"/>
  <c r="O20" i="412"/>
  <c r="Z20" i="412"/>
  <c r="C21" i="519"/>
  <c r="C51" i="519"/>
  <c r="C73" i="519"/>
  <c r="C49" i="519"/>
  <c r="C16" i="519"/>
  <c r="C74" i="519"/>
  <c r="C57" i="519"/>
  <c r="C17" i="519"/>
  <c r="C32" i="519"/>
  <c r="W50" i="412"/>
  <c r="U50" i="412"/>
  <c r="L56" i="412"/>
  <c r="L57" i="412"/>
  <c r="L46" i="401"/>
  <c r="L47" i="401"/>
  <c r="C17" i="401"/>
  <c r="O17" i="401"/>
  <c r="P17" i="401"/>
  <c r="N17" i="401"/>
  <c r="C15" i="401"/>
  <c r="O15" i="401"/>
  <c r="P15" i="401"/>
  <c r="N15" i="401"/>
  <c r="L16" i="401"/>
  <c r="L17" i="401"/>
  <c r="L18" i="401"/>
  <c r="L19" i="401"/>
  <c r="L20" i="401"/>
  <c r="P39" i="401"/>
  <c r="N39" i="401"/>
  <c r="O49" i="401"/>
  <c r="P49" i="401"/>
  <c r="N49" i="401"/>
  <c r="P65" i="401"/>
  <c r="N65" i="401"/>
  <c r="O30" i="401"/>
  <c r="P63" i="401"/>
  <c r="N63" i="401"/>
  <c r="P34" i="401"/>
  <c r="N34" i="401"/>
  <c r="P32" i="401"/>
  <c r="N32" i="401"/>
  <c r="P31" i="401"/>
  <c r="N31" i="401"/>
  <c r="P66" i="401"/>
  <c r="N66" i="401"/>
  <c r="P61" i="401"/>
  <c r="N61" i="401"/>
  <c r="P23" i="401"/>
  <c r="N23" i="401"/>
  <c r="P33" i="401"/>
  <c r="N33" i="401"/>
  <c r="P11" i="401"/>
  <c r="N11" i="401"/>
  <c r="P27" i="401"/>
  <c r="N27" i="401"/>
  <c r="P26" i="401"/>
  <c r="N26" i="401"/>
  <c r="P43" i="401"/>
  <c r="N43" i="401"/>
  <c r="W62" i="399"/>
  <c r="U59" i="399"/>
  <c r="X59" i="399"/>
  <c r="Z59" i="399"/>
  <c r="X65" i="399"/>
  <c r="V65" i="399"/>
  <c r="U65" i="399"/>
  <c r="Y65" i="399"/>
  <c r="U40" i="399"/>
  <c r="W63" i="399"/>
  <c r="W27" i="399"/>
  <c r="U63" i="399"/>
  <c r="C45" i="399"/>
  <c r="O45" i="399"/>
  <c r="P45" i="399"/>
  <c r="N45" i="399"/>
  <c r="C43" i="399"/>
  <c r="O43" i="399"/>
  <c r="P43" i="399"/>
  <c r="N43" i="399"/>
  <c r="C6" i="399"/>
  <c r="C42" i="399"/>
  <c r="O42" i="399"/>
  <c r="P42" i="399"/>
  <c r="N42" i="399"/>
  <c r="P7" i="399"/>
  <c r="N7" i="399"/>
  <c r="T7" i="399"/>
  <c r="O8" i="399"/>
  <c r="U8" i="399"/>
  <c r="Y8" i="399"/>
  <c r="V8" i="399"/>
  <c r="AA8" i="399"/>
  <c r="X8" i="399"/>
  <c r="W8" i="399"/>
  <c r="Z8" i="399"/>
  <c r="C11" i="399"/>
  <c r="C9" i="399"/>
  <c r="O6" i="399"/>
  <c r="W6" i="399"/>
  <c r="AA6" i="399"/>
  <c r="Y6" i="399"/>
  <c r="X6" i="399"/>
  <c r="U6" i="399"/>
  <c r="V6" i="399"/>
  <c r="Z6" i="399"/>
  <c r="O10" i="399"/>
  <c r="X10" i="399"/>
  <c r="V10" i="399"/>
  <c r="AA10" i="399"/>
  <c r="W10" i="399"/>
  <c r="U10" i="399"/>
  <c r="Y10" i="399"/>
  <c r="Z10" i="399"/>
  <c r="P12" i="399"/>
  <c r="N12" i="399"/>
  <c r="T12" i="399"/>
  <c r="X27" i="399"/>
  <c r="U27" i="399"/>
  <c r="Y27" i="399"/>
  <c r="V64" i="399"/>
  <c r="Z33" i="555"/>
  <c r="U33" i="555"/>
  <c r="X33" i="555"/>
  <c r="AA33" i="555"/>
  <c r="Y33" i="555"/>
  <c r="W33" i="555"/>
  <c r="Z7" i="555"/>
  <c r="O33" i="555"/>
  <c r="T33" i="555"/>
  <c r="U7" i="555"/>
  <c r="V14" i="555"/>
  <c r="V88" i="524"/>
  <c r="U73" i="524"/>
  <c r="O106" i="524"/>
  <c r="Y10" i="524"/>
  <c r="O41" i="524"/>
  <c r="AA41" i="524"/>
  <c r="Z62" i="524"/>
  <c r="Y27" i="530"/>
  <c r="Z70" i="524"/>
  <c r="V70" i="524"/>
  <c r="X8" i="524"/>
  <c r="V8" i="524"/>
  <c r="X57" i="530"/>
  <c r="U36" i="526"/>
  <c r="O36" i="526"/>
  <c r="W25" i="519"/>
  <c r="AB25" i="519"/>
  <c r="V94" i="524"/>
  <c r="U24" i="526"/>
  <c r="W24" i="526"/>
  <c r="U60" i="526"/>
  <c r="Z60" i="526"/>
  <c r="V38" i="412"/>
  <c r="P65" i="517"/>
  <c r="N65" i="517"/>
  <c r="X37" i="543"/>
  <c r="AA28" i="543"/>
  <c r="V39" i="530"/>
  <c r="AA38" i="412"/>
  <c r="AA106" i="524"/>
  <c r="X10" i="524"/>
  <c r="Y41" i="524"/>
  <c r="W41" i="524"/>
  <c r="U15" i="555"/>
  <c r="AA44" i="555"/>
  <c r="Z109" i="524"/>
  <c r="AA70" i="524"/>
  <c r="U70" i="524"/>
  <c r="O8" i="524"/>
  <c r="U8" i="524"/>
  <c r="V36" i="526"/>
  <c r="Z36" i="526"/>
  <c r="P41" i="519"/>
  <c r="AA25" i="519"/>
  <c r="Z25" i="519"/>
  <c r="W94" i="524"/>
  <c r="V59" i="519"/>
  <c r="AA24" i="526"/>
  <c r="V24" i="526"/>
  <c r="Y60" i="526"/>
  <c r="W60" i="526"/>
  <c r="O38" i="412"/>
  <c r="P38" i="412"/>
  <c r="N38" i="412"/>
  <c r="T54" i="530"/>
  <c r="W38" i="412"/>
  <c r="W35" i="524"/>
  <c r="Z41" i="524"/>
  <c r="Z15" i="555"/>
  <c r="AA103" i="524"/>
  <c r="O70" i="524"/>
  <c r="AA8" i="524"/>
  <c r="X52" i="555"/>
  <c r="X36" i="526"/>
  <c r="W41" i="519"/>
  <c r="Y25" i="519"/>
  <c r="G59" i="519"/>
  <c r="W53" i="555"/>
  <c r="Y24" i="526"/>
  <c r="O60" i="526"/>
  <c r="T60" i="526"/>
  <c r="Y53" i="519"/>
  <c r="U38" i="412"/>
  <c r="T16" i="551"/>
  <c r="T29" i="551"/>
  <c r="Z34" i="551"/>
  <c r="Y34" i="551"/>
  <c r="T12" i="551"/>
  <c r="T13" i="551"/>
  <c r="T21" i="551"/>
  <c r="T20" i="551"/>
  <c r="T7" i="551"/>
  <c r="W34" i="551"/>
  <c r="T18" i="551"/>
  <c r="T23" i="551"/>
  <c r="T11" i="551"/>
  <c r="T24" i="551"/>
  <c r="T6" i="551"/>
  <c r="T25" i="551"/>
  <c r="T27" i="551"/>
  <c r="T22" i="551"/>
  <c r="V34" i="551"/>
  <c r="U34" i="551"/>
  <c r="T31" i="551"/>
  <c r="T28" i="551"/>
  <c r="T14" i="551"/>
  <c r="T32" i="551"/>
  <c r="T8" i="551"/>
  <c r="T19" i="551"/>
  <c r="T9" i="551"/>
  <c r="X34" i="551"/>
  <c r="AA34" i="551"/>
  <c r="T15" i="551"/>
  <c r="T30" i="551"/>
  <c r="X55" i="530"/>
  <c r="V55" i="530"/>
  <c r="AA55" i="530"/>
  <c r="O55" i="530"/>
  <c r="P53" i="550"/>
  <c r="N53" i="550"/>
  <c r="Z67" i="550"/>
  <c r="W67" i="550"/>
  <c r="U67" i="550"/>
  <c r="U68" i="550"/>
  <c r="U69" i="550"/>
  <c r="U70" i="550"/>
  <c r="U71" i="550"/>
  <c r="U72" i="550"/>
  <c r="U73" i="550"/>
  <c r="U74" i="550"/>
  <c r="U75" i="550"/>
  <c r="U76" i="550"/>
  <c r="U77" i="550"/>
  <c r="U78" i="550"/>
  <c r="U79" i="550"/>
  <c r="U80" i="550"/>
  <c r="U81" i="550"/>
  <c r="U82" i="550"/>
  <c r="U83" i="550"/>
  <c r="U84" i="550"/>
  <c r="U85" i="550"/>
  <c r="U86" i="550"/>
  <c r="U87" i="550"/>
  <c r="U88" i="550"/>
  <c r="U89" i="550"/>
  <c r="U90" i="550"/>
  <c r="U91" i="550"/>
  <c r="U92" i="550"/>
  <c r="U93" i="550"/>
  <c r="U94" i="550"/>
  <c r="U95" i="550"/>
  <c r="U96" i="550"/>
  <c r="U97" i="550"/>
  <c r="U98" i="550"/>
  <c r="U99" i="550"/>
  <c r="U100" i="550"/>
  <c r="U101" i="550"/>
  <c r="U102" i="550"/>
  <c r="U103" i="550"/>
  <c r="U104" i="550"/>
  <c r="U105" i="550"/>
  <c r="U106" i="550"/>
  <c r="U107" i="550"/>
  <c r="U108" i="550"/>
  <c r="U109" i="550"/>
  <c r="U110" i="550"/>
  <c r="U111" i="550"/>
  <c r="U112" i="550"/>
  <c r="U113" i="550"/>
  <c r="U114" i="550"/>
  <c r="U115" i="550"/>
  <c r="U116" i="550"/>
  <c r="U117" i="550"/>
  <c r="U118" i="550"/>
  <c r="U119" i="550"/>
  <c r="U120" i="550"/>
  <c r="U121" i="550"/>
  <c r="U122" i="550"/>
  <c r="U123" i="550"/>
  <c r="V67" i="550"/>
  <c r="V68" i="550"/>
  <c r="V69" i="550"/>
  <c r="V70" i="550"/>
  <c r="V71" i="550"/>
  <c r="V72" i="550"/>
  <c r="V73" i="550"/>
  <c r="V74" i="550"/>
  <c r="V75" i="550"/>
  <c r="V76" i="550"/>
  <c r="V77" i="550"/>
  <c r="V78" i="550"/>
  <c r="V79" i="550"/>
  <c r="V80" i="550"/>
  <c r="V81" i="550"/>
  <c r="V82" i="550"/>
  <c r="V83" i="550"/>
  <c r="V84" i="550"/>
  <c r="V85" i="550"/>
  <c r="V86" i="550"/>
  <c r="V87" i="550"/>
  <c r="V88" i="550"/>
  <c r="V89" i="550"/>
  <c r="V90" i="550"/>
  <c r="V91" i="550"/>
  <c r="V92" i="550"/>
  <c r="V93" i="550"/>
  <c r="V94" i="550"/>
  <c r="V95" i="550"/>
  <c r="V96" i="550"/>
  <c r="V97" i="550"/>
  <c r="V98" i="550"/>
  <c r="V99" i="550"/>
  <c r="V100" i="550"/>
  <c r="V101" i="550"/>
  <c r="V102" i="550"/>
  <c r="V103" i="550"/>
  <c r="V104" i="550"/>
  <c r="V105" i="550"/>
  <c r="V106" i="550"/>
  <c r="V107" i="550"/>
  <c r="V108" i="550"/>
  <c r="V109" i="550"/>
  <c r="V110" i="550"/>
  <c r="V111" i="550"/>
  <c r="V112" i="550"/>
  <c r="V113" i="550"/>
  <c r="V114" i="550"/>
  <c r="V115" i="550"/>
  <c r="V116" i="550"/>
  <c r="V117" i="550"/>
  <c r="V118" i="550"/>
  <c r="V119" i="550"/>
  <c r="V120" i="550"/>
  <c r="V121" i="550"/>
  <c r="V122" i="550"/>
  <c r="V123" i="550"/>
  <c r="X67" i="550"/>
  <c r="AA67" i="550"/>
  <c r="AA68" i="550"/>
  <c r="AA69" i="550"/>
  <c r="AA70" i="550"/>
  <c r="AA71" i="550"/>
  <c r="AA72" i="550"/>
  <c r="AA73" i="550"/>
  <c r="AA74" i="550"/>
  <c r="AA75" i="550"/>
  <c r="AA76" i="550"/>
  <c r="AA77" i="550"/>
  <c r="AA78" i="550"/>
  <c r="AA79" i="550"/>
  <c r="AA80" i="550"/>
  <c r="AA81" i="550"/>
  <c r="AA82" i="550"/>
  <c r="AA83" i="550"/>
  <c r="AA84" i="550"/>
  <c r="AA85" i="550"/>
  <c r="AA86" i="550"/>
  <c r="AA87" i="550"/>
  <c r="AA88" i="550"/>
  <c r="AA89" i="550"/>
  <c r="AA90" i="550"/>
  <c r="AA91" i="550"/>
  <c r="AA92" i="550"/>
  <c r="AA93" i="550"/>
  <c r="AA94" i="550"/>
  <c r="AA95" i="550"/>
  <c r="AA96" i="550"/>
  <c r="AA97" i="550"/>
  <c r="AA98" i="550"/>
  <c r="AA99" i="550"/>
  <c r="AA100" i="550"/>
  <c r="AA101" i="550"/>
  <c r="AA102" i="550"/>
  <c r="AA103" i="550"/>
  <c r="AA104" i="550"/>
  <c r="AA105" i="550"/>
  <c r="AA106" i="550"/>
  <c r="AA107" i="550"/>
  <c r="AA108" i="550"/>
  <c r="AA109" i="550"/>
  <c r="AA110" i="550"/>
  <c r="AA111" i="550"/>
  <c r="AA112" i="550"/>
  <c r="AA113" i="550"/>
  <c r="AA114" i="550"/>
  <c r="AA115" i="550"/>
  <c r="AA116" i="550"/>
  <c r="AA117" i="550"/>
  <c r="AA118" i="550"/>
  <c r="AA119" i="550"/>
  <c r="AA120" i="550"/>
  <c r="AA121" i="550"/>
  <c r="AA122" i="550"/>
  <c r="AA123" i="550"/>
  <c r="Y67" i="550"/>
  <c r="Y68" i="550"/>
  <c r="Y69" i="550"/>
  <c r="Y70" i="550"/>
  <c r="Y71" i="550"/>
  <c r="Y72" i="550"/>
  <c r="Y73" i="550"/>
  <c r="Y74" i="550"/>
  <c r="Y75" i="550"/>
  <c r="Y76" i="550"/>
  <c r="Y77" i="550"/>
  <c r="Y78" i="550"/>
  <c r="Y79" i="550"/>
  <c r="Y80" i="550"/>
  <c r="Y81" i="550"/>
  <c r="Y82" i="550"/>
  <c r="Y83" i="550"/>
  <c r="Y84" i="550"/>
  <c r="Y85" i="550"/>
  <c r="Y86" i="550"/>
  <c r="Y87" i="550"/>
  <c r="Y88" i="550"/>
  <c r="Y89" i="550"/>
  <c r="Y90" i="550"/>
  <c r="Y91" i="550"/>
  <c r="Y92" i="550"/>
  <c r="Y93" i="550"/>
  <c r="Y94" i="550"/>
  <c r="Y95" i="550"/>
  <c r="Y96" i="550"/>
  <c r="Y97" i="550"/>
  <c r="Y98" i="550"/>
  <c r="Y99" i="550"/>
  <c r="Y100" i="550"/>
  <c r="Y101" i="550"/>
  <c r="Y102" i="550"/>
  <c r="Y103" i="550"/>
  <c r="Y104" i="550"/>
  <c r="Y105" i="550"/>
  <c r="Y106" i="550"/>
  <c r="Y107" i="550"/>
  <c r="Y108" i="550"/>
  <c r="Y109" i="550"/>
  <c r="Y110" i="550"/>
  <c r="Y111" i="550"/>
  <c r="Y112" i="550"/>
  <c r="Y113" i="550"/>
  <c r="Y114" i="550"/>
  <c r="Y115" i="550"/>
  <c r="Y116" i="550"/>
  <c r="Y117" i="550"/>
  <c r="Y118" i="550"/>
  <c r="Y119" i="550"/>
  <c r="Y120" i="550"/>
  <c r="Y121" i="550"/>
  <c r="Y122" i="550"/>
  <c r="Y123" i="550"/>
  <c r="P52" i="550"/>
  <c r="N52" i="550"/>
  <c r="L53" i="550"/>
  <c r="L54" i="550"/>
  <c r="L55" i="550"/>
  <c r="L56" i="550"/>
  <c r="L57" i="550"/>
  <c r="L58" i="550"/>
  <c r="W68" i="550"/>
  <c r="W69" i="550"/>
  <c r="W70" i="550"/>
  <c r="W71" i="550"/>
  <c r="W72" i="550"/>
  <c r="W73" i="550"/>
  <c r="W74" i="550"/>
  <c r="W75" i="550"/>
  <c r="W76" i="550"/>
  <c r="W77" i="550"/>
  <c r="W78" i="550"/>
  <c r="W79" i="550"/>
  <c r="W80" i="550"/>
  <c r="W81" i="550"/>
  <c r="W82" i="550"/>
  <c r="W83" i="550"/>
  <c r="W84" i="550"/>
  <c r="W85" i="550"/>
  <c r="W86" i="550"/>
  <c r="W87" i="550"/>
  <c r="W88" i="550"/>
  <c r="W89" i="550"/>
  <c r="W90" i="550"/>
  <c r="W91" i="550"/>
  <c r="W92" i="550"/>
  <c r="W93" i="550"/>
  <c r="W94" i="550"/>
  <c r="W95" i="550"/>
  <c r="W96" i="550"/>
  <c r="W97" i="550"/>
  <c r="W98" i="550"/>
  <c r="W99" i="550"/>
  <c r="W100" i="550"/>
  <c r="W101" i="550"/>
  <c r="W102" i="550"/>
  <c r="W103" i="550"/>
  <c r="W104" i="550"/>
  <c r="W105" i="550"/>
  <c r="W106" i="550"/>
  <c r="W107" i="550"/>
  <c r="W108" i="550"/>
  <c r="W109" i="550"/>
  <c r="W110" i="550"/>
  <c r="W111" i="550"/>
  <c r="W112" i="550"/>
  <c r="W113" i="550"/>
  <c r="W114" i="550"/>
  <c r="W115" i="550"/>
  <c r="W116" i="550"/>
  <c r="W117" i="550"/>
  <c r="W118" i="550"/>
  <c r="W119" i="550"/>
  <c r="W120" i="550"/>
  <c r="W121" i="550"/>
  <c r="W122" i="550"/>
  <c r="W123" i="550"/>
  <c r="X68" i="550"/>
  <c r="X69" i="550"/>
  <c r="X70" i="550"/>
  <c r="X71" i="550"/>
  <c r="X72" i="550"/>
  <c r="X73" i="550"/>
  <c r="X74" i="550"/>
  <c r="X75" i="550"/>
  <c r="X76" i="550"/>
  <c r="X77" i="550"/>
  <c r="X78" i="550"/>
  <c r="X79" i="550"/>
  <c r="X80" i="550"/>
  <c r="X81" i="550"/>
  <c r="X82" i="550"/>
  <c r="X83" i="550"/>
  <c r="X84" i="550"/>
  <c r="X85" i="550"/>
  <c r="X86" i="550"/>
  <c r="X87" i="550"/>
  <c r="X88" i="550"/>
  <c r="X89" i="550"/>
  <c r="X90" i="550"/>
  <c r="X91" i="550"/>
  <c r="X92" i="550"/>
  <c r="X93" i="550"/>
  <c r="X94" i="550"/>
  <c r="X95" i="550"/>
  <c r="X96" i="550"/>
  <c r="X97" i="550"/>
  <c r="X98" i="550"/>
  <c r="X99" i="550"/>
  <c r="X100" i="550"/>
  <c r="X101" i="550"/>
  <c r="X102" i="550"/>
  <c r="X103" i="550"/>
  <c r="X104" i="550"/>
  <c r="X105" i="550"/>
  <c r="X106" i="550"/>
  <c r="X107" i="550"/>
  <c r="X108" i="550"/>
  <c r="X109" i="550"/>
  <c r="X110" i="550"/>
  <c r="X111" i="550"/>
  <c r="X112" i="550"/>
  <c r="X113" i="550"/>
  <c r="X114" i="550"/>
  <c r="X115" i="550"/>
  <c r="X116" i="550"/>
  <c r="X117" i="550"/>
  <c r="X118" i="550"/>
  <c r="X119" i="550"/>
  <c r="X120" i="550"/>
  <c r="X121" i="550"/>
  <c r="X122" i="550"/>
  <c r="X123" i="550"/>
  <c r="Z68" i="550"/>
  <c r="Z69" i="550"/>
  <c r="Z70" i="550"/>
  <c r="Z71" i="550"/>
  <c r="Z72" i="550"/>
  <c r="Z73" i="550"/>
  <c r="Z74" i="550"/>
  <c r="Z75" i="550"/>
  <c r="Z76" i="550"/>
  <c r="Z77" i="550"/>
  <c r="Z78" i="550"/>
  <c r="Z79" i="550"/>
  <c r="Z80" i="550"/>
  <c r="Z81" i="550"/>
  <c r="Z82" i="550"/>
  <c r="Z83" i="550"/>
  <c r="Z84" i="550"/>
  <c r="Z85" i="550"/>
  <c r="Z86" i="550"/>
  <c r="Z87" i="550"/>
  <c r="Z88" i="550"/>
  <c r="Z89" i="550"/>
  <c r="Z90" i="550"/>
  <c r="Z91" i="550"/>
  <c r="Z92" i="550"/>
  <c r="Z93" i="550"/>
  <c r="Z94" i="550"/>
  <c r="Z95" i="550"/>
  <c r="Z96" i="550"/>
  <c r="Z97" i="550"/>
  <c r="Z98" i="550"/>
  <c r="Z99" i="550"/>
  <c r="Z100" i="550"/>
  <c r="Z101" i="550"/>
  <c r="Z102" i="550"/>
  <c r="Z103" i="550"/>
  <c r="Z104" i="550"/>
  <c r="Z105" i="550"/>
  <c r="Z106" i="550"/>
  <c r="Z107" i="550"/>
  <c r="Z108" i="550"/>
  <c r="Z109" i="550"/>
  <c r="Z110" i="550"/>
  <c r="Z111" i="550"/>
  <c r="Z112" i="550"/>
  <c r="Z113" i="550"/>
  <c r="Z114" i="550"/>
  <c r="Z115" i="550"/>
  <c r="Z116" i="550"/>
  <c r="Z117" i="550"/>
  <c r="Z118" i="550"/>
  <c r="Z119" i="550"/>
  <c r="Z120" i="550"/>
  <c r="Z121" i="550"/>
  <c r="Z122" i="550"/>
  <c r="Z123" i="550"/>
  <c r="M42" i="554"/>
  <c r="X50" i="412"/>
  <c r="Y50" i="412"/>
  <c r="V38" i="524"/>
  <c r="Z105" i="524"/>
  <c r="W36" i="524"/>
  <c r="Z36" i="524"/>
  <c r="Y41" i="530"/>
  <c r="X63" i="524"/>
  <c r="O58" i="524"/>
  <c r="O29" i="530"/>
  <c r="Z29" i="530"/>
  <c r="Z13" i="524"/>
  <c r="W13" i="524"/>
  <c r="W83" i="524"/>
  <c r="V83" i="524"/>
  <c r="O18" i="524"/>
  <c r="X18" i="524"/>
  <c r="Z14" i="555"/>
  <c r="Y14" i="555"/>
  <c r="V13" i="530"/>
  <c r="AA13" i="530"/>
  <c r="U33" i="517"/>
  <c r="AA33" i="517"/>
  <c r="Y52" i="519"/>
  <c r="Y42" i="526"/>
  <c r="Z42" i="526"/>
  <c r="AA8" i="517"/>
  <c r="W96" i="524"/>
  <c r="Z41" i="555"/>
  <c r="X41" i="555"/>
  <c r="Z98" i="524"/>
  <c r="X98" i="524"/>
  <c r="Y62" i="526"/>
  <c r="U62" i="526"/>
  <c r="Z72" i="519"/>
  <c r="W72" i="519"/>
  <c r="AA11" i="519"/>
  <c r="W10" i="412"/>
  <c r="Z66" i="526"/>
  <c r="Z57" i="543"/>
  <c r="AA57" i="543"/>
  <c r="V19" i="543"/>
  <c r="AA9" i="412"/>
  <c r="U10" i="412"/>
  <c r="O50" i="412"/>
  <c r="Z50" i="412"/>
  <c r="W105" i="524"/>
  <c r="X36" i="524"/>
  <c r="U36" i="524"/>
  <c r="W58" i="524"/>
  <c r="U29" i="530"/>
  <c r="W29" i="530"/>
  <c r="V13" i="524"/>
  <c r="U13" i="524"/>
  <c r="O83" i="524"/>
  <c r="U83" i="524"/>
  <c r="Z18" i="524"/>
  <c r="U18" i="524"/>
  <c r="U14" i="555"/>
  <c r="O14" i="555"/>
  <c r="T14" i="555"/>
  <c r="W13" i="530"/>
  <c r="X13" i="530"/>
  <c r="Z33" i="517"/>
  <c r="O33" i="517"/>
  <c r="W52" i="519"/>
  <c r="O42" i="526"/>
  <c r="P42" i="526"/>
  <c r="N42" i="526"/>
  <c r="X42" i="526"/>
  <c r="Z8" i="517"/>
  <c r="Y96" i="524"/>
  <c r="V41" i="555"/>
  <c r="W41" i="555"/>
  <c r="V98" i="524"/>
  <c r="AA98" i="524"/>
  <c r="W62" i="526"/>
  <c r="X62" i="526"/>
  <c r="G72" i="519"/>
  <c r="T72" i="519"/>
  <c r="AB72" i="519"/>
  <c r="V11" i="519"/>
  <c r="V10" i="412"/>
  <c r="U41" i="554"/>
  <c r="O10" i="543"/>
  <c r="T10" i="543"/>
  <c r="W9" i="412"/>
  <c r="W43" i="543"/>
  <c r="U57" i="543"/>
  <c r="W57" i="543"/>
  <c r="AA19" i="543"/>
  <c r="Y19" i="543"/>
  <c r="Y10" i="412"/>
  <c r="X10" i="412"/>
  <c r="V50" i="412"/>
  <c r="O36" i="524"/>
  <c r="AA72" i="524"/>
  <c r="Y90" i="524"/>
  <c r="V29" i="530"/>
  <c r="O19" i="543"/>
  <c r="T19" i="543"/>
  <c r="X13" i="524"/>
  <c r="Z83" i="524"/>
  <c r="AA18" i="524"/>
  <c r="AA14" i="555"/>
  <c r="O13" i="530"/>
  <c r="X33" i="517"/>
  <c r="V42" i="526"/>
  <c r="AA78" i="519"/>
  <c r="P26" i="555"/>
  <c r="N26" i="555"/>
  <c r="W32" i="526"/>
  <c r="AA41" i="555"/>
  <c r="X54" i="524"/>
  <c r="O98" i="524"/>
  <c r="P98" i="524"/>
  <c r="N98" i="524"/>
  <c r="P26" i="519"/>
  <c r="V62" i="526"/>
  <c r="Y72" i="519"/>
  <c r="O10" i="412"/>
  <c r="T10" i="412"/>
  <c r="O9" i="412"/>
  <c r="T9" i="412"/>
  <c r="U9" i="412"/>
  <c r="U43" i="543"/>
  <c r="X10" i="543"/>
  <c r="AA58" i="526"/>
  <c r="W19" i="543"/>
  <c r="AA10" i="412"/>
  <c r="V9" i="412"/>
  <c r="C18" i="406"/>
  <c r="O18" i="406"/>
  <c r="P18" i="406"/>
  <c r="N18" i="406"/>
  <c r="C11" i="406"/>
  <c r="C17" i="406"/>
  <c r="O17" i="406"/>
  <c r="P17" i="406"/>
  <c r="N17" i="406"/>
  <c r="C14" i="406"/>
  <c r="C10" i="406"/>
  <c r="C7" i="406"/>
  <c r="C16" i="406"/>
  <c r="O16" i="406"/>
  <c r="P16" i="406"/>
  <c r="N16" i="406"/>
  <c r="P13" i="406"/>
  <c r="N13" i="406"/>
  <c r="C15" i="406"/>
  <c r="O15" i="406"/>
  <c r="P15" i="406"/>
  <c r="N15" i="406"/>
  <c r="C6" i="406"/>
  <c r="O6" i="406"/>
  <c r="C8" i="406"/>
  <c r="X44" i="412"/>
  <c r="O44" i="412"/>
  <c r="U44" i="412"/>
  <c r="U88" i="524"/>
  <c r="X35" i="524"/>
  <c r="Y106" i="524"/>
  <c r="Z10" i="524"/>
  <c r="V10" i="524"/>
  <c r="V15" i="555"/>
  <c r="X15" i="555"/>
  <c r="V62" i="524"/>
  <c r="AA109" i="524"/>
  <c r="U103" i="524"/>
  <c r="W17" i="530"/>
  <c r="X17" i="530"/>
  <c r="W27" i="530"/>
  <c r="Z27" i="530"/>
  <c r="U52" i="555"/>
  <c r="W52" i="555"/>
  <c r="O57" i="530"/>
  <c r="Z57" i="530"/>
  <c r="V41" i="519"/>
  <c r="Y41" i="519"/>
  <c r="AA69" i="526"/>
  <c r="Y43" i="555"/>
  <c r="AB62" i="519"/>
  <c r="AA59" i="519"/>
  <c r="AA53" i="555"/>
  <c r="Z53" i="555"/>
  <c r="AA27" i="519"/>
  <c r="X55" i="519"/>
  <c r="Z53" i="519"/>
  <c r="X53" i="519"/>
  <c r="T18" i="526"/>
  <c r="O28" i="543"/>
  <c r="T28" i="543"/>
  <c r="V40" i="543"/>
  <c r="V37" i="543"/>
  <c r="Y28" i="543"/>
  <c r="X73" i="524"/>
  <c r="W106" i="524"/>
  <c r="O88" i="524"/>
  <c r="AA73" i="524"/>
  <c r="U10" i="524"/>
  <c r="AA15" i="555"/>
  <c r="W15" i="555"/>
  <c r="Y42" i="524"/>
  <c r="O17" i="530"/>
  <c r="Z17" i="530"/>
  <c r="U27" i="530"/>
  <c r="X27" i="530"/>
  <c r="O52" i="555"/>
  <c r="V52" i="555"/>
  <c r="V57" i="530"/>
  <c r="AA57" i="530"/>
  <c r="X41" i="519"/>
  <c r="AA41" i="519"/>
  <c r="AA56" i="524"/>
  <c r="Z59" i="519"/>
  <c r="X59" i="519"/>
  <c r="O53" i="555"/>
  <c r="T53" i="555"/>
  <c r="U53" i="555"/>
  <c r="W27" i="519"/>
  <c r="W53" i="519"/>
  <c r="P53" i="519"/>
  <c r="Q53" i="519"/>
  <c r="O53" i="519"/>
  <c r="T56" i="526"/>
  <c r="U20" i="543"/>
  <c r="Y88" i="524"/>
  <c r="O73" i="524"/>
  <c r="V35" i="524"/>
  <c r="AA88" i="524"/>
  <c r="Y73" i="524"/>
  <c r="Z35" i="524"/>
  <c r="O35" i="524"/>
  <c r="Z106" i="524"/>
  <c r="X106" i="524"/>
  <c r="AA10" i="524"/>
  <c r="W88" i="524"/>
  <c r="Z73" i="524"/>
  <c r="AA35" i="524"/>
  <c r="V106" i="524"/>
  <c r="O10" i="524"/>
  <c r="Y15" i="555"/>
  <c r="W44" i="555"/>
  <c r="W42" i="524"/>
  <c r="U17" i="530"/>
  <c r="O27" i="530"/>
  <c r="Y52" i="555"/>
  <c r="W57" i="530"/>
  <c r="Z41" i="519"/>
  <c r="W59" i="519"/>
  <c r="Z20" i="524"/>
  <c r="Y53" i="555"/>
  <c r="AB53" i="519"/>
  <c r="W19" i="404"/>
  <c r="O48" i="524"/>
  <c r="O87" i="524"/>
  <c r="Y78" i="524"/>
  <c r="W78" i="524"/>
  <c r="U50" i="555"/>
  <c r="O8" i="555"/>
  <c r="T8" i="555"/>
  <c r="U8" i="555"/>
  <c r="Y43" i="524"/>
  <c r="X40" i="524"/>
  <c r="X107" i="524"/>
  <c r="Z90" i="524"/>
  <c r="W90" i="524"/>
  <c r="U50" i="524"/>
  <c r="V10" i="555"/>
  <c r="X10" i="555"/>
  <c r="Y84" i="524"/>
  <c r="W67" i="524"/>
  <c r="X76" i="524"/>
  <c r="O103" i="524"/>
  <c r="W103" i="524"/>
  <c r="Y7" i="555"/>
  <c r="X7" i="555"/>
  <c r="U36" i="555"/>
  <c r="Y69" i="526"/>
  <c r="Z69" i="526"/>
  <c r="V56" i="524"/>
  <c r="AA57" i="555"/>
  <c r="Z57" i="555"/>
  <c r="X99" i="524"/>
  <c r="O34" i="530"/>
  <c r="P34" i="530"/>
  <c r="N34" i="530"/>
  <c r="X34" i="530"/>
  <c r="G62" i="519"/>
  <c r="P62" i="519"/>
  <c r="Z58" i="519"/>
  <c r="X32" i="526"/>
  <c r="O32" i="526"/>
  <c r="AB13" i="519"/>
  <c r="X6" i="519"/>
  <c r="AB6" i="519"/>
  <c r="AA55" i="519"/>
  <c r="W55" i="519"/>
  <c r="W11" i="519"/>
  <c r="Z11" i="519"/>
  <c r="W66" i="526"/>
  <c r="Z20" i="543"/>
  <c r="X20" i="543"/>
  <c r="AA10" i="543"/>
  <c r="Y10" i="543"/>
  <c r="Y34" i="530"/>
  <c r="X48" i="524"/>
  <c r="X87" i="524"/>
  <c r="O78" i="524"/>
  <c r="X78" i="524"/>
  <c r="O50" i="555"/>
  <c r="AA8" i="555"/>
  <c r="AA59" i="555"/>
  <c r="AA60" i="555"/>
  <c r="AA61" i="555"/>
  <c r="AA62" i="555"/>
  <c r="AA63" i="555"/>
  <c r="AA64" i="555"/>
  <c r="AA65" i="555"/>
  <c r="AA66" i="555"/>
  <c r="AA67" i="555"/>
  <c r="AA68" i="555"/>
  <c r="AA69" i="555"/>
  <c r="AA70" i="555"/>
  <c r="AA71" i="555"/>
  <c r="AA72" i="555"/>
  <c r="AA73" i="555"/>
  <c r="AA74" i="555"/>
  <c r="AA75" i="555"/>
  <c r="AA76" i="555"/>
  <c r="AA77" i="555"/>
  <c r="AA78" i="555"/>
  <c r="AA79" i="555"/>
  <c r="AA80" i="555"/>
  <c r="AA81" i="555"/>
  <c r="AA82" i="555"/>
  <c r="AA83" i="555"/>
  <c r="AA84" i="555"/>
  <c r="AA85" i="555"/>
  <c r="AA86" i="555"/>
  <c r="AA87" i="555"/>
  <c r="AA88" i="555"/>
  <c r="AA89" i="555"/>
  <c r="AA90" i="555"/>
  <c r="AA91" i="555"/>
  <c r="AA92" i="555"/>
  <c r="AA93" i="555"/>
  <c r="AA94" i="555"/>
  <c r="AA95" i="555"/>
  <c r="AA96" i="555"/>
  <c r="AA97" i="555"/>
  <c r="AA98" i="555"/>
  <c r="AA99" i="555"/>
  <c r="AA100" i="555"/>
  <c r="AA101" i="555"/>
  <c r="AA102" i="555"/>
  <c r="AA103" i="555"/>
  <c r="AA104" i="555"/>
  <c r="AA105" i="555"/>
  <c r="AA106" i="555"/>
  <c r="AA107" i="555"/>
  <c r="AA108" i="555"/>
  <c r="AA109" i="555"/>
  <c r="AA110" i="555"/>
  <c r="AA111" i="555"/>
  <c r="AA112" i="555"/>
  <c r="Y8" i="555"/>
  <c r="Z43" i="524"/>
  <c r="V40" i="524"/>
  <c r="O107" i="524"/>
  <c r="T107" i="524"/>
  <c r="V90" i="524"/>
  <c r="X90" i="524"/>
  <c r="O10" i="555"/>
  <c r="U10" i="555"/>
  <c r="U84" i="524"/>
  <c r="V67" i="524"/>
  <c r="U76" i="524"/>
  <c r="Z103" i="524"/>
  <c r="X103" i="524"/>
  <c r="W7" i="555"/>
  <c r="O7" i="555"/>
  <c r="P37" i="519"/>
  <c r="Q37" i="519"/>
  <c r="O37" i="519"/>
  <c r="X69" i="526"/>
  <c r="O69" i="526"/>
  <c r="P69" i="526"/>
  <c r="N69" i="526"/>
  <c r="Y43" i="519"/>
  <c r="Y57" i="555"/>
  <c r="U57" i="555"/>
  <c r="W99" i="524"/>
  <c r="V66" i="519"/>
  <c r="V34" i="530"/>
  <c r="G58" i="519"/>
  <c r="Z32" i="526"/>
  <c r="AA32" i="526"/>
  <c r="Y13" i="519"/>
  <c r="P6" i="519"/>
  <c r="Z6" i="519"/>
  <c r="G55" i="519"/>
  <c r="AB55" i="519"/>
  <c r="X11" i="519"/>
  <c r="AB11" i="519"/>
  <c r="X66" i="526"/>
  <c r="V20" i="543"/>
  <c r="AA20" i="543"/>
  <c r="W10" i="543"/>
  <c r="AA66" i="526"/>
  <c r="U66" i="526"/>
  <c r="Z48" i="524"/>
  <c r="Z87" i="524"/>
  <c r="Z78" i="524"/>
  <c r="W50" i="555"/>
  <c r="Z8" i="555"/>
  <c r="P59" i="530"/>
  <c r="N59" i="530"/>
  <c r="N68" i="530"/>
  <c r="AA43" i="524"/>
  <c r="U40" i="524"/>
  <c r="Z107" i="524"/>
  <c r="O90" i="524"/>
  <c r="P90" i="524"/>
  <c r="N90" i="524"/>
  <c r="L91" i="524"/>
  <c r="W10" i="555"/>
  <c r="V103" i="524"/>
  <c r="V7" i="555"/>
  <c r="AA37" i="519"/>
  <c r="V69" i="526"/>
  <c r="X43" i="519"/>
  <c r="X57" i="555"/>
  <c r="AA43" i="555"/>
  <c r="X66" i="519"/>
  <c r="U34" i="530"/>
  <c r="Y32" i="526"/>
  <c r="W6" i="519"/>
  <c r="Z55" i="519"/>
  <c r="P11" i="519"/>
  <c r="Q11" i="519"/>
  <c r="O11" i="519"/>
  <c r="O66" i="526"/>
  <c r="Y20" i="543"/>
  <c r="W20" i="543"/>
  <c r="V10" i="543"/>
  <c r="V66" i="526"/>
  <c r="P9" i="412"/>
  <c r="N9" i="412"/>
  <c r="W23" i="519"/>
  <c r="X104" i="524"/>
  <c r="V52" i="524"/>
  <c r="X23" i="519"/>
  <c r="C26" i="549"/>
  <c r="O26" i="549"/>
  <c r="P26" i="549"/>
  <c r="N26" i="549"/>
  <c r="C61" i="549"/>
  <c r="C58" i="549"/>
  <c r="C60" i="549"/>
  <c r="C59" i="549"/>
  <c r="C56" i="549"/>
  <c r="P62" i="549"/>
  <c r="P55" i="549"/>
  <c r="N55" i="549"/>
  <c r="O57" i="549"/>
  <c r="C45" i="549"/>
  <c r="O48" i="549"/>
  <c r="C31" i="549"/>
  <c r="O31" i="549"/>
  <c r="P31" i="549"/>
  <c r="N31" i="549"/>
  <c r="C47" i="549"/>
  <c r="C51" i="549"/>
  <c r="C50" i="549"/>
  <c r="C52" i="549"/>
  <c r="C49" i="549"/>
  <c r="C53" i="549"/>
  <c r="C6" i="549"/>
  <c r="O6" i="549"/>
  <c r="P6" i="549"/>
  <c r="N6" i="549"/>
  <c r="L7" i="549"/>
  <c r="C46" i="549"/>
  <c r="S9" i="8"/>
  <c r="S6" i="8"/>
  <c r="U9" i="8"/>
  <c r="C36" i="401"/>
  <c r="L30" i="401"/>
  <c r="O8" i="401"/>
  <c r="C10" i="401"/>
  <c r="K16" i="8"/>
  <c r="AA39" i="530"/>
  <c r="W39" i="530"/>
  <c r="Y39" i="530"/>
  <c r="Z39" i="530"/>
  <c r="O39" i="530"/>
  <c r="X39" i="530"/>
  <c r="AA48" i="524"/>
  <c r="Y48" i="524"/>
  <c r="AA87" i="524"/>
  <c r="Y87" i="524"/>
  <c r="AA12" i="524"/>
  <c r="Y12" i="524"/>
  <c r="AA50" i="555"/>
  <c r="Y50" i="555"/>
  <c r="W43" i="524"/>
  <c r="V43" i="524"/>
  <c r="O40" i="524"/>
  <c r="Y40" i="524"/>
  <c r="V107" i="524"/>
  <c r="Y107" i="524"/>
  <c r="Z44" i="555"/>
  <c r="V44" i="555"/>
  <c r="AA62" i="524"/>
  <c r="U62" i="524"/>
  <c r="Z42" i="524"/>
  <c r="X42" i="524"/>
  <c r="V109" i="524"/>
  <c r="W109" i="524"/>
  <c r="AA79" i="524"/>
  <c r="V79" i="524"/>
  <c r="V53" i="530"/>
  <c r="X53" i="530"/>
  <c r="T27" i="412"/>
  <c r="Z36" i="555"/>
  <c r="AA36" i="555"/>
  <c r="U25" i="526"/>
  <c r="O25" i="526"/>
  <c r="Z65" i="526"/>
  <c r="AA65" i="526"/>
  <c r="X43" i="555"/>
  <c r="W43" i="555"/>
  <c r="AA104" i="524"/>
  <c r="U104" i="524"/>
  <c r="Y8" i="517"/>
  <c r="X8" i="517"/>
  <c r="G66" i="519"/>
  <c r="P66" i="519"/>
  <c r="U66" i="519"/>
  <c r="V23" i="519"/>
  <c r="AB23" i="519"/>
  <c r="O55" i="524"/>
  <c r="AA55" i="524"/>
  <c r="W58" i="519"/>
  <c r="P47" i="519"/>
  <c r="U47" i="519"/>
  <c r="Z47" i="519"/>
  <c r="P27" i="519"/>
  <c r="Q27" i="519"/>
  <c r="O27" i="519"/>
  <c r="AB27" i="519"/>
  <c r="AA40" i="543"/>
  <c r="Z43" i="543"/>
  <c r="W58" i="526"/>
  <c r="T46" i="555"/>
  <c r="P46" i="555"/>
  <c r="N46" i="555"/>
  <c r="W48" i="524"/>
  <c r="W87" i="524"/>
  <c r="W12" i="524"/>
  <c r="Z50" i="555"/>
  <c r="O43" i="543"/>
  <c r="T43" i="543"/>
  <c r="X43" i="524"/>
  <c r="AA40" i="524"/>
  <c r="AA107" i="524"/>
  <c r="Y44" i="555"/>
  <c r="O44" i="555"/>
  <c r="O62" i="524"/>
  <c r="P62" i="524"/>
  <c r="N62" i="524"/>
  <c r="W62" i="524"/>
  <c r="O42" i="524"/>
  <c r="T42" i="524"/>
  <c r="U42" i="524"/>
  <c r="X109" i="524"/>
  <c r="U109" i="524"/>
  <c r="W79" i="524"/>
  <c r="Y79" i="524"/>
  <c r="Z53" i="530"/>
  <c r="Y53" i="530"/>
  <c r="O36" i="555"/>
  <c r="W36" i="555"/>
  <c r="Z25" i="526"/>
  <c r="V25" i="526"/>
  <c r="X65" i="526"/>
  <c r="U65" i="526"/>
  <c r="O40" i="543"/>
  <c r="T40" i="543"/>
  <c r="V48" i="517"/>
  <c r="O43" i="555"/>
  <c r="T43" i="555"/>
  <c r="O104" i="524"/>
  <c r="W104" i="524"/>
  <c r="O21" i="517"/>
  <c r="W8" i="517"/>
  <c r="O8" i="517"/>
  <c r="AA66" i="519"/>
  <c r="Y66" i="519"/>
  <c r="AA23" i="519"/>
  <c r="P23" i="519"/>
  <c r="Y55" i="524"/>
  <c r="W55" i="524"/>
  <c r="V58" i="519"/>
  <c r="X58" i="519"/>
  <c r="Y47" i="519"/>
  <c r="X47" i="519"/>
  <c r="X27" i="519"/>
  <c r="Z27" i="519"/>
  <c r="X43" i="543"/>
  <c r="V43" i="543"/>
  <c r="X58" i="526"/>
  <c r="X44" i="555"/>
  <c r="Y62" i="524"/>
  <c r="AA42" i="524"/>
  <c r="Y109" i="524"/>
  <c r="O79" i="524"/>
  <c r="T79" i="524"/>
  <c r="W53" i="530"/>
  <c r="Y36" i="555"/>
  <c r="Y69" i="517"/>
  <c r="Y25" i="526"/>
  <c r="W65" i="526"/>
  <c r="W48" i="517"/>
  <c r="Y104" i="524"/>
  <c r="V21" i="517"/>
  <c r="U8" i="517"/>
  <c r="Z66" i="519"/>
  <c r="Z23" i="519"/>
  <c r="X55" i="524"/>
  <c r="AA58" i="519"/>
  <c r="W47" i="519"/>
  <c r="Y27" i="519"/>
  <c r="T13" i="526"/>
  <c r="AA11" i="543"/>
  <c r="AA43" i="543"/>
  <c r="U58" i="526"/>
  <c r="P6" i="8"/>
  <c r="B7" i="14"/>
  <c r="B8" i="14"/>
  <c r="C8" i="14"/>
  <c r="V97" i="524"/>
  <c r="AA53" i="524"/>
  <c r="U53" i="524"/>
  <c r="O52" i="524"/>
  <c r="T52" i="524"/>
  <c r="O97" i="524"/>
  <c r="Y38" i="524"/>
  <c r="W38" i="524"/>
  <c r="X105" i="524"/>
  <c r="V105" i="524"/>
  <c r="O41" i="530"/>
  <c r="P41" i="530"/>
  <c r="N41" i="530"/>
  <c r="U41" i="530"/>
  <c r="P36" i="412"/>
  <c r="N36" i="412"/>
  <c r="W72" i="524"/>
  <c r="Z72" i="524"/>
  <c r="O63" i="524"/>
  <c r="Y63" i="524"/>
  <c r="Y58" i="524"/>
  <c r="X58" i="524"/>
  <c r="AA84" i="524"/>
  <c r="V84" i="524"/>
  <c r="Z67" i="524"/>
  <c r="X67" i="524"/>
  <c r="AA76" i="524"/>
  <c r="Y76" i="524"/>
  <c r="Y37" i="519"/>
  <c r="Z37" i="519"/>
  <c r="AA97" i="524"/>
  <c r="U97" i="524"/>
  <c r="W53" i="524"/>
  <c r="O53" i="524"/>
  <c r="P53" i="524"/>
  <c r="N53" i="524"/>
  <c r="Y78" i="519"/>
  <c r="AB78" i="519"/>
  <c r="W38" i="555"/>
  <c r="AA52" i="524"/>
  <c r="Y52" i="524"/>
  <c r="Z54" i="524"/>
  <c r="O54" i="524"/>
  <c r="W26" i="519"/>
  <c r="AB26" i="519"/>
  <c r="X39" i="543"/>
  <c r="Z38" i="524"/>
  <c r="X38" i="524"/>
  <c r="U105" i="524"/>
  <c r="O105" i="524"/>
  <c r="P105" i="524"/>
  <c r="N105" i="524"/>
  <c r="V41" i="530"/>
  <c r="Z41" i="530"/>
  <c r="X72" i="524"/>
  <c r="V72" i="524"/>
  <c r="AA63" i="524"/>
  <c r="U63" i="524"/>
  <c r="Z58" i="524"/>
  <c r="V58" i="524"/>
  <c r="W84" i="524"/>
  <c r="O84" i="524"/>
  <c r="T84" i="524"/>
  <c r="O67" i="524"/>
  <c r="Y67" i="524"/>
  <c r="W76" i="524"/>
  <c r="O76" i="524"/>
  <c r="T76" i="524"/>
  <c r="W37" i="519"/>
  <c r="X37" i="519"/>
  <c r="AA28" i="555"/>
  <c r="W97" i="524"/>
  <c r="Y97" i="524"/>
  <c r="Z53" i="524"/>
  <c r="Y53" i="524"/>
  <c r="Z78" i="519"/>
  <c r="V78" i="519"/>
  <c r="V38" i="555"/>
  <c r="W52" i="524"/>
  <c r="U52" i="524"/>
  <c r="U63" i="526"/>
  <c r="V54" i="524"/>
  <c r="AA54" i="524"/>
  <c r="W46" i="519"/>
  <c r="X26" i="519"/>
  <c r="Z26" i="519"/>
  <c r="P16" i="543"/>
  <c r="O38" i="524"/>
  <c r="T38" i="524"/>
  <c r="Y105" i="524"/>
  <c r="X41" i="530"/>
  <c r="O72" i="524"/>
  <c r="W63" i="524"/>
  <c r="AA58" i="524"/>
  <c r="X84" i="524"/>
  <c r="AA67" i="524"/>
  <c r="V76" i="524"/>
  <c r="AB37" i="519"/>
  <c r="V28" i="555"/>
  <c r="Z97" i="524"/>
  <c r="X23" i="526"/>
  <c r="V53" i="524"/>
  <c r="P78" i="519"/>
  <c r="U78" i="519"/>
  <c r="X52" i="524"/>
  <c r="O63" i="526"/>
  <c r="T63" i="526"/>
  <c r="Y54" i="524"/>
  <c r="AA46" i="519"/>
  <c r="V26" i="519"/>
  <c r="U32" i="554"/>
  <c r="V34" i="543"/>
  <c r="V41" i="543"/>
  <c r="Z52" i="399"/>
  <c r="O52" i="399"/>
  <c r="AA52" i="399"/>
  <c r="X7" i="541"/>
  <c r="C51" i="541"/>
  <c r="C62" i="541"/>
  <c r="C40" i="541"/>
  <c r="C12" i="541"/>
  <c r="Y79" i="541"/>
  <c r="Y43" i="541"/>
  <c r="P22" i="394"/>
  <c r="N22" i="394"/>
  <c r="O32" i="394"/>
  <c r="T32" i="394"/>
  <c r="Z32" i="394"/>
  <c r="X32" i="394"/>
  <c r="C90" i="541"/>
  <c r="X52" i="399"/>
  <c r="U19" i="404"/>
  <c r="V19" i="404"/>
  <c r="Y30" i="467"/>
  <c r="Y52" i="399"/>
  <c r="AA65" i="399"/>
  <c r="O20" i="399"/>
  <c r="Z20" i="399"/>
  <c r="AA20" i="399"/>
  <c r="AA64" i="399"/>
  <c r="V32" i="394"/>
  <c r="C86" i="541"/>
  <c r="X30" i="467"/>
  <c r="W52" i="399"/>
  <c r="AA63" i="399"/>
  <c r="Z63" i="399"/>
  <c r="AA59" i="399"/>
  <c r="O59" i="399"/>
  <c r="AA62" i="399"/>
  <c r="T36" i="394"/>
  <c r="P36" i="394"/>
  <c r="N36" i="394"/>
  <c r="L37" i="394"/>
  <c r="AA32" i="394"/>
  <c r="C88" i="541"/>
  <c r="U52" i="399"/>
  <c r="V52" i="399"/>
  <c r="O34" i="399"/>
  <c r="AA34" i="399"/>
  <c r="V34" i="399"/>
  <c r="W34" i="399"/>
  <c r="Y34" i="399"/>
  <c r="X34" i="399"/>
  <c r="Z34" i="399"/>
  <c r="U34" i="399"/>
  <c r="O40" i="399"/>
  <c r="V40" i="399"/>
  <c r="AA40" i="399"/>
  <c r="Y40" i="399"/>
  <c r="Z40" i="399"/>
  <c r="X40" i="399"/>
  <c r="O27" i="399"/>
  <c r="AA27" i="399"/>
  <c r="Z27" i="399"/>
  <c r="T15" i="404"/>
  <c r="P15" i="404"/>
  <c r="N15" i="404"/>
  <c r="O29" i="467"/>
  <c r="AA29" i="467"/>
  <c r="O7" i="401"/>
  <c r="V29" i="404"/>
  <c r="O29" i="404"/>
  <c r="AA29" i="404"/>
  <c r="P25" i="404"/>
  <c r="N25" i="404"/>
  <c r="T25" i="404"/>
  <c r="V11" i="467"/>
  <c r="U11" i="467"/>
  <c r="X11" i="467"/>
  <c r="Y11" i="467"/>
  <c r="O11" i="467"/>
  <c r="Z11" i="467"/>
  <c r="W11" i="467"/>
  <c r="AA11" i="467"/>
  <c r="O24" i="401"/>
  <c r="T22" i="404"/>
  <c r="P22" i="404"/>
  <c r="O19" i="404"/>
  <c r="AA19" i="404"/>
  <c r="T35" i="404"/>
  <c r="P35" i="404"/>
  <c r="N35" i="404"/>
  <c r="O30" i="467"/>
  <c r="AA30" i="467"/>
  <c r="O9" i="401"/>
  <c r="O17" i="404"/>
  <c r="AA17" i="404"/>
  <c r="O31" i="404"/>
  <c r="AA31" i="404"/>
  <c r="P30" i="404"/>
  <c r="N30" i="404"/>
  <c r="T30" i="404"/>
  <c r="P18" i="404"/>
  <c r="N18" i="404"/>
  <c r="T18" i="404"/>
  <c r="T28" i="404"/>
  <c r="P28" i="404"/>
  <c r="N28" i="404"/>
  <c r="L29" i="404"/>
  <c r="O28" i="467"/>
  <c r="AA28" i="467"/>
  <c r="AA16" i="467"/>
  <c r="U16" i="467"/>
  <c r="Y16" i="467"/>
  <c r="W16" i="467"/>
  <c r="X16" i="467"/>
  <c r="V16" i="467"/>
  <c r="O16" i="467"/>
  <c r="Z16" i="467"/>
  <c r="O22" i="401"/>
  <c r="W29" i="404"/>
  <c r="C28" i="541"/>
  <c r="C69" i="541"/>
  <c r="C38" i="541"/>
  <c r="C14" i="541"/>
  <c r="C41" i="541"/>
  <c r="C45" i="541"/>
  <c r="C6" i="541"/>
  <c r="N188" i="397"/>
  <c r="C57" i="525"/>
  <c r="C16" i="525"/>
  <c r="C43" i="525"/>
  <c r="C8" i="525"/>
  <c r="C11" i="525"/>
  <c r="C51" i="525"/>
  <c r="C10" i="525"/>
  <c r="C33" i="525"/>
  <c r="Z8" i="404"/>
  <c r="Y8" i="404"/>
  <c r="O8" i="404"/>
  <c r="X8" i="404"/>
  <c r="W8" i="404"/>
  <c r="V8" i="404"/>
  <c r="U8" i="404"/>
  <c r="AA8" i="404"/>
  <c r="C34" i="545"/>
  <c r="C19" i="545"/>
  <c r="C54" i="545"/>
  <c r="C25" i="545"/>
  <c r="C38" i="545"/>
  <c r="C15" i="545"/>
  <c r="C18" i="545"/>
  <c r="C40" i="545"/>
  <c r="C35" i="545"/>
  <c r="C7" i="545"/>
  <c r="C8" i="545"/>
  <c r="C10" i="545"/>
  <c r="C64" i="518"/>
  <c r="C28" i="518"/>
  <c r="C71" i="518"/>
  <c r="C65" i="518"/>
  <c r="C42" i="518"/>
  <c r="C68" i="518"/>
  <c r="C24" i="518"/>
  <c r="C15" i="518"/>
  <c r="C59" i="518"/>
  <c r="C39" i="518"/>
  <c r="C56" i="518"/>
  <c r="C6" i="518"/>
  <c r="AA11" i="481"/>
  <c r="X11" i="481"/>
  <c r="Z11" i="481"/>
  <c r="Y11" i="481"/>
  <c r="W11" i="481"/>
  <c r="U11" i="481"/>
  <c r="V11" i="481"/>
  <c r="O11" i="481"/>
  <c r="C63" i="546"/>
  <c r="C64" i="546"/>
  <c r="C72" i="546"/>
  <c r="Z27" i="544"/>
  <c r="U27" i="544"/>
  <c r="V27" i="544"/>
  <c r="Y27" i="544"/>
  <c r="W27" i="544"/>
  <c r="AA27" i="544"/>
  <c r="X27" i="544"/>
  <c r="X18" i="544"/>
  <c r="V18" i="544"/>
  <c r="U18" i="544"/>
  <c r="Z18" i="544"/>
  <c r="Y18" i="544"/>
  <c r="W18" i="544"/>
  <c r="AA18" i="544"/>
  <c r="U58" i="544"/>
  <c r="W58" i="544"/>
  <c r="Y58" i="544"/>
  <c r="AA58" i="544"/>
  <c r="V58" i="544"/>
  <c r="Z58" i="544"/>
  <c r="X58" i="544"/>
  <c r="C41" i="549"/>
  <c r="C9" i="549"/>
  <c r="C52" i="406"/>
  <c r="C56" i="406"/>
  <c r="C20" i="406"/>
  <c r="C26" i="545"/>
  <c r="C5" i="545"/>
  <c r="C45" i="545"/>
  <c r="C12" i="545"/>
  <c r="C29" i="545"/>
  <c r="C23" i="545"/>
  <c r="C26" i="467"/>
  <c r="C6" i="467"/>
  <c r="C13" i="467"/>
  <c r="C32" i="467"/>
  <c r="W33" i="399"/>
  <c r="Z33" i="399"/>
  <c r="O33" i="399"/>
  <c r="U33" i="399"/>
  <c r="V33" i="399"/>
  <c r="X33" i="399"/>
  <c r="AA33" i="399"/>
  <c r="Y33" i="399"/>
  <c r="W25" i="399"/>
  <c r="Z25" i="399"/>
  <c r="Y25" i="399"/>
  <c r="V25" i="399"/>
  <c r="X25" i="399"/>
  <c r="O25" i="399"/>
  <c r="U25" i="399"/>
  <c r="AA25" i="399"/>
  <c r="C45" i="525"/>
  <c r="C54" i="525"/>
  <c r="C59" i="525"/>
  <c r="C18" i="525"/>
  <c r="C28" i="525"/>
  <c r="C35" i="525"/>
  <c r="C47" i="525"/>
  <c r="C53" i="525"/>
  <c r="C60" i="525"/>
  <c r="C37" i="525"/>
  <c r="C52" i="525"/>
  <c r="C58" i="525"/>
  <c r="C19" i="525"/>
  <c r="C27" i="525"/>
  <c r="C46" i="525"/>
  <c r="C61" i="525"/>
  <c r="C36" i="525"/>
  <c r="C56" i="525"/>
  <c r="C23" i="525"/>
  <c r="C32" i="525"/>
  <c r="C7" i="525"/>
  <c r="C42" i="525"/>
  <c r="C9" i="525"/>
  <c r="C47" i="544"/>
  <c r="C6" i="544"/>
  <c r="C33" i="544"/>
  <c r="C62" i="544"/>
  <c r="C41" i="544"/>
  <c r="C16" i="544"/>
  <c r="C55" i="544"/>
  <c r="C63" i="544"/>
  <c r="C40" i="544"/>
  <c r="C72" i="544"/>
  <c r="C43" i="544"/>
  <c r="C45" i="544"/>
  <c r="C66" i="544"/>
  <c r="C40" i="395"/>
  <c r="O40" i="395" s="1"/>
  <c r="C27" i="395"/>
  <c r="O27" i="395" s="1"/>
  <c r="P27" i="395" s="1"/>
  <c r="N27" i="395" s="1"/>
  <c r="X7" i="404"/>
  <c r="W7" i="404"/>
  <c r="AA7" i="404"/>
  <c r="Z7" i="404"/>
  <c r="O7" i="404"/>
  <c r="U7" i="404"/>
  <c r="V7" i="404"/>
  <c r="Y7" i="404"/>
  <c r="C60" i="406"/>
  <c r="C46" i="406"/>
  <c r="C24" i="406"/>
  <c r="C66" i="406"/>
  <c r="O66" i="406"/>
  <c r="C67" i="406"/>
  <c r="O67" i="406"/>
  <c r="C68" i="406"/>
  <c r="O68" i="406"/>
  <c r="C53" i="406"/>
  <c r="C65" i="406"/>
  <c r="O65" i="406"/>
  <c r="C44" i="406"/>
  <c r="C54" i="406"/>
  <c r="C58" i="406"/>
  <c r="C53" i="546"/>
  <c r="C46" i="546"/>
  <c r="C44" i="546"/>
  <c r="C16" i="546"/>
  <c r="C51" i="546"/>
  <c r="C77" i="546"/>
  <c r="C38" i="546"/>
  <c r="C24" i="546"/>
  <c r="C42" i="546"/>
  <c r="C40" i="546"/>
  <c r="C79" i="546"/>
  <c r="C32" i="546"/>
  <c r="C48" i="546"/>
  <c r="C8" i="546"/>
  <c r="C22" i="546"/>
  <c r="C48" i="545"/>
  <c r="C21" i="545"/>
  <c r="C37" i="545"/>
  <c r="C13" i="545"/>
  <c r="C16" i="545"/>
  <c r="C46" i="545"/>
  <c r="C6" i="404"/>
  <c r="C17" i="546"/>
  <c r="C47" i="546"/>
  <c r="C9" i="546"/>
  <c r="C21" i="546"/>
  <c r="C45" i="546"/>
  <c r="C23" i="546"/>
  <c r="C20" i="544"/>
  <c r="C52" i="544"/>
  <c r="C59" i="544"/>
  <c r="C22" i="544"/>
  <c r="C30" i="544"/>
  <c r="C54" i="544"/>
  <c r="C30" i="545"/>
  <c r="C33" i="545"/>
  <c r="C49" i="545"/>
  <c r="C17" i="545"/>
  <c r="C50" i="545"/>
  <c r="C9" i="545"/>
  <c r="C39" i="545"/>
  <c r="O39" i="545"/>
  <c r="P39" i="545"/>
  <c r="N39" i="545"/>
  <c r="C22" i="545"/>
  <c r="C47" i="545"/>
  <c r="C41" i="545"/>
  <c r="C45" i="406"/>
  <c r="C50" i="406"/>
  <c r="C21" i="406"/>
  <c r="C49" i="406"/>
  <c r="C40" i="406"/>
  <c r="C55" i="518"/>
  <c r="C27" i="518"/>
  <c r="C63" i="518"/>
  <c r="C37" i="518"/>
  <c r="C18" i="518"/>
  <c r="C61" i="518"/>
  <c r="C45" i="518"/>
  <c r="C38" i="518"/>
  <c r="C9" i="518"/>
  <c r="C36" i="518"/>
  <c r="C62" i="518"/>
  <c r="C14" i="481"/>
  <c r="C18" i="481"/>
  <c r="C17" i="481"/>
  <c r="C9" i="481"/>
  <c r="X25" i="544"/>
  <c r="W25" i="544"/>
  <c r="U25" i="544"/>
  <c r="Z25" i="544"/>
  <c r="AA25" i="544"/>
  <c r="Y25" i="544"/>
  <c r="V25" i="544"/>
  <c r="W57" i="544"/>
  <c r="V57" i="544"/>
  <c r="AA57" i="544"/>
  <c r="X57" i="544"/>
  <c r="U57" i="544"/>
  <c r="Y57" i="544"/>
  <c r="Z57" i="544"/>
  <c r="C61" i="399"/>
  <c r="C48" i="399"/>
  <c r="C54" i="399"/>
  <c r="C29" i="399"/>
  <c r="C22" i="399"/>
  <c r="C14" i="399"/>
  <c r="C36" i="399"/>
  <c r="C70" i="518"/>
  <c r="C26" i="518"/>
  <c r="C19" i="518"/>
  <c r="C54" i="518"/>
  <c r="C10" i="518"/>
  <c r="C44" i="518"/>
  <c r="C75" i="518"/>
  <c r="C35" i="518"/>
  <c r="U39" i="399"/>
  <c r="W39" i="399"/>
  <c r="Y39" i="399"/>
  <c r="X39" i="399"/>
  <c r="V39" i="399"/>
  <c r="Z39" i="399"/>
  <c r="O39" i="399"/>
  <c r="AA39" i="399"/>
  <c r="C7" i="518"/>
  <c r="C69" i="518"/>
  <c r="C43" i="518"/>
  <c r="C8" i="518"/>
  <c r="C25" i="518"/>
  <c r="C60" i="518"/>
  <c r="C34" i="518"/>
  <c r="C17" i="518"/>
  <c r="C33" i="518"/>
  <c r="C29" i="518"/>
  <c r="C22" i="518"/>
  <c r="C13" i="518"/>
  <c r="C51" i="518"/>
  <c r="C16" i="518"/>
  <c r="C31" i="518"/>
  <c r="C50" i="518"/>
  <c r="C5" i="407"/>
  <c r="C15" i="549"/>
  <c r="C7" i="549"/>
  <c r="C23" i="549"/>
  <c r="C33" i="549"/>
  <c r="C66" i="549"/>
  <c r="C24" i="399"/>
  <c r="C32" i="399"/>
  <c r="C50" i="399"/>
  <c r="O50" i="399"/>
  <c r="P50" i="399"/>
  <c r="N50" i="399"/>
  <c r="L51" i="399"/>
  <c r="W11" i="518"/>
  <c r="Y11" i="518"/>
  <c r="O11" i="518"/>
  <c r="AA11" i="518"/>
  <c r="Z11" i="518"/>
  <c r="X11" i="518"/>
  <c r="V11" i="518"/>
  <c r="U11" i="518"/>
  <c r="O9" i="404"/>
  <c r="Z9" i="404"/>
  <c r="U9" i="404"/>
  <c r="Y9" i="404"/>
  <c r="W9" i="404"/>
  <c r="AA9" i="404"/>
  <c r="X9" i="404"/>
  <c r="V9" i="404"/>
  <c r="C67" i="549"/>
  <c r="C69" i="549"/>
  <c r="C21" i="549"/>
  <c r="C65" i="549"/>
  <c r="C42" i="549"/>
  <c r="C72" i="549"/>
  <c r="B12" i="38"/>
  <c r="C6" i="401"/>
  <c r="C21" i="401"/>
  <c r="C68" i="549"/>
  <c r="C39" i="549"/>
  <c r="C40" i="549"/>
  <c r="C8" i="549"/>
  <c r="C17" i="549"/>
  <c r="O17" i="549"/>
  <c r="P17" i="549"/>
  <c r="N17" i="549"/>
  <c r="C38" i="549"/>
  <c r="C18" i="549"/>
  <c r="O18" i="549"/>
  <c r="P18" i="549"/>
  <c r="N18" i="549"/>
  <c r="C16" i="549"/>
  <c r="O16" i="549"/>
  <c r="P16" i="549"/>
  <c r="N16" i="549"/>
  <c r="C56" i="546"/>
  <c r="C10" i="546"/>
  <c r="C54" i="546"/>
  <c r="C34" i="546"/>
  <c r="C78" i="546"/>
  <c r="C29" i="546"/>
  <c r="C57" i="546"/>
  <c r="C80" i="546"/>
  <c r="C52" i="546"/>
  <c r="C28" i="546"/>
  <c r="C83" i="546"/>
  <c r="C20" i="546"/>
  <c r="C33" i="546"/>
  <c r="C73" i="546"/>
  <c r="C82" i="546"/>
  <c r="C30" i="546"/>
  <c r="C74" i="546"/>
  <c r="C66" i="546"/>
  <c r="C12" i="525"/>
  <c r="C26" i="525"/>
  <c r="C17" i="525"/>
  <c r="C58" i="541"/>
  <c r="C82" i="541"/>
  <c r="C66" i="541"/>
  <c r="C17" i="541"/>
  <c r="C15" i="541"/>
  <c r="C83" i="541"/>
  <c r="C25" i="541"/>
  <c r="C23" i="541"/>
  <c r="C67" i="541"/>
  <c r="C59" i="541"/>
  <c r="C35" i="540"/>
  <c r="C6" i="540"/>
  <c r="C20" i="540"/>
  <c r="C46" i="540"/>
  <c r="C31" i="540"/>
  <c r="C37" i="540"/>
  <c r="C60" i="540"/>
  <c r="C44" i="540"/>
  <c r="C27" i="540"/>
  <c r="C55" i="540"/>
  <c r="C70" i="540"/>
  <c r="C13" i="540"/>
  <c r="C40" i="540"/>
  <c r="C64" i="540"/>
  <c r="C68" i="540"/>
  <c r="C62" i="540"/>
  <c r="C71" i="540"/>
  <c r="C66" i="540"/>
  <c r="C48" i="406"/>
  <c r="C51" i="406"/>
  <c r="C43" i="406"/>
  <c r="C22" i="406"/>
  <c r="C57" i="406"/>
  <c r="C41" i="406"/>
  <c r="C21" i="518"/>
  <c r="C57" i="518"/>
  <c r="C47" i="518"/>
  <c r="C77" i="518"/>
  <c r="C40" i="518"/>
  <c r="C53" i="518"/>
  <c r="C78" i="518"/>
  <c r="C76" i="518"/>
  <c r="C66" i="518"/>
  <c r="C46" i="518"/>
  <c r="C48" i="518"/>
  <c r="C12" i="518"/>
  <c r="C30" i="518"/>
  <c r="C52" i="518"/>
  <c r="N130" i="397"/>
  <c r="C51" i="540"/>
  <c r="C14" i="540"/>
  <c r="C28" i="540"/>
  <c r="C48" i="540"/>
  <c r="C21" i="540"/>
  <c r="C17" i="540"/>
  <c r="C61" i="540"/>
  <c r="C63" i="540"/>
  <c r="C56" i="540"/>
  <c r="C69" i="540"/>
  <c r="C10" i="549"/>
  <c r="C22" i="549"/>
  <c r="C75" i="549"/>
  <c r="C14" i="549"/>
  <c r="C12" i="549"/>
  <c r="C37" i="549"/>
  <c r="C29" i="549"/>
  <c r="C30" i="549"/>
  <c r="U38" i="544"/>
  <c r="W38" i="544"/>
  <c r="AA38" i="544"/>
  <c r="Y38" i="544"/>
  <c r="X38" i="544"/>
  <c r="V38" i="544"/>
  <c r="Z38" i="544"/>
  <c r="Z35" i="544"/>
  <c r="W35" i="544"/>
  <c r="X35" i="544"/>
  <c r="AA35" i="544"/>
  <c r="Y35" i="544"/>
  <c r="V35" i="544"/>
  <c r="U35" i="544"/>
  <c r="C17" i="544"/>
  <c r="C7" i="544"/>
  <c r="C26" i="544"/>
  <c r="C34" i="544"/>
  <c r="C64" i="544"/>
  <c r="C70" i="544"/>
  <c r="C69" i="544"/>
  <c r="C68" i="544"/>
  <c r="N31" i="397"/>
  <c r="C24" i="545"/>
  <c r="C31" i="545"/>
  <c r="X57" i="399"/>
  <c r="AA57" i="399"/>
  <c r="U57" i="399"/>
  <c r="W57" i="399"/>
  <c r="Y57" i="399"/>
  <c r="Z57" i="399"/>
  <c r="V57" i="399"/>
  <c r="X16" i="399"/>
  <c r="Y16" i="399"/>
  <c r="AA16" i="399"/>
  <c r="Z16" i="399"/>
  <c r="U16" i="399"/>
  <c r="W16" i="399"/>
  <c r="V16" i="399"/>
  <c r="O16" i="399"/>
  <c r="C42" i="545"/>
  <c r="C6" i="545"/>
  <c r="C43" i="545"/>
  <c r="C39" i="541"/>
  <c r="C8" i="541"/>
  <c r="C47" i="541"/>
  <c r="O20" i="518"/>
  <c r="Z20" i="518"/>
  <c r="U20" i="518"/>
  <c r="W20" i="518"/>
  <c r="Y20" i="518"/>
  <c r="AA20" i="518"/>
  <c r="V20" i="518"/>
  <c r="X20" i="518"/>
  <c r="W11" i="404"/>
  <c r="Z11" i="404"/>
  <c r="Y11" i="404"/>
  <c r="U11" i="404"/>
  <c r="AA11" i="404"/>
  <c r="O11" i="404"/>
  <c r="V11" i="404"/>
  <c r="X11" i="404"/>
  <c r="C44" i="525"/>
  <c r="C6" i="525"/>
  <c r="C38" i="525"/>
  <c r="C34" i="525"/>
  <c r="C22" i="525"/>
  <c r="C14" i="525"/>
  <c r="C31" i="525"/>
  <c r="C41" i="525"/>
  <c r="C48" i="525"/>
  <c r="C6" i="546"/>
  <c r="C84" i="546"/>
  <c r="C35" i="546"/>
  <c r="C58" i="546"/>
  <c r="C62" i="546"/>
  <c r="C25" i="546"/>
  <c r="C12" i="546"/>
  <c r="C19" i="546"/>
  <c r="C68" i="546"/>
  <c r="C27" i="546"/>
  <c r="C23" i="406"/>
  <c r="C42" i="406"/>
  <c r="C67" i="544"/>
  <c r="C32" i="544"/>
  <c r="C28" i="544"/>
  <c r="C53" i="544"/>
  <c r="C50" i="544"/>
  <c r="C60" i="544"/>
  <c r="C42" i="544"/>
  <c r="C12" i="544"/>
  <c r="C14" i="544"/>
  <c r="C19" i="544"/>
  <c r="C13" i="544"/>
  <c r="C21" i="544"/>
  <c r="C10" i="544"/>
  <c r="C36" i="544"/>
  <c r="C29" i="544"/>
  <c r="C61" i="544"/>
  <c r="C39" i="544"/>
  <c r="C11" i="544"/>
  <c r="C37" i="544"/>
  <c r="C23" i="544"/>
  <c r="C9" i="544"/>
  <c r="C31" i="544"/>
  <c r="C13" i="546"/>
  <c r="C15" i="546"/>
  <c r="C41" i="546"/>
  <c r="C43" i="546"/>
  <c r="C7" i="546"/>
  <c r="C14" i="546"/>
  <c r="C65" i="546"/>
  <c r="Z13" i="481"/>
  <c r="X13" i="481"/>
  <c r="O13" i="481"/>
  <c r="AA13" i="481"/>
  <c r="Y13" i="481"/>
  <c r="W13" i="481"/>
  <c r="U13" i="481"/>
  <c r="V13" i="481"/>
  <c r="C39" i="546"/>
  <c r="C67" i="546"/>
  <c r="U49" i="544"/>
  <c r="Z49" i="544"/>
  <c r="X49" i="544"/>
  <c r="Y49" i="544"/>
  <c r="W49" i="544"/>
  <c r="V49" i="544"/>
  <c r="AA49" i="544"/>
  <c r="Y51" i="544"/>
  <c r="AA51" i="544"/>
  <c r="V51" i="544"/>
  <c r="X51" i="544"/>
  <c r="U51" i="544"/>
  <c r="W51" i="544"/>
  <c r="Z51" i="544"/>
  <c r="AA56" i="544"/>
  <c r="W56" i="544"/>
  <c r="X56" i="544"/>
  <c r="V56" i="544"/>
  <c r="U56" i="544"/>
  <c r="Z56" i="544"/>
  <c r="Y56" i="544"/>
  <c r="C15" i="525"/>
  <c r="C24" i="525"/>
  <c r="C25" i="525"/>
  <c r="C17" i="399"/>
  <c r="C38" i="399"/>
  <c r="C51" i="399"/>
  <c r="O51" i="399"/>
  <c r="P51" i="399"/>
  <c r="N51" i="399"/>
  <c r="C19" i="399"/>
  <c r="X18" i="399"/>
  <c r="U18" i="399"/>
  <c r="V18" i="399"/>
  <c r="Z18" i="399"/>
  <c r="O18" i="399"/>
  <c r="Y18" i="399"/>
  <c r="AA18" i="399"/>
  <c r="W18" i="399"/>
  <c r="AA37" i="399"/>
  <c r="U37" i="399"/>
  <c r="O37" i="399"/>
  <c r="X37" i="399"/>
  <c r="V37" i="399"/>
  <c r="Y37" i="399"/>
  <c r="W37" i="399"/>
  <c r="Z37" i="399"/>
  <c r="C32" i="549"/>
  <c r="O32" i="549"/>
  <c r="P32" i="549"/>
  <c r="N32" i="549"/>
  <c r="C25" i="549"/>
  <c r="C27" i="549"/>
  <c r="O27" i="549"/>
  <c r="P27" i="549"/>
  <c r="N27" i="549"/>
  <c r="C11" i="549"/>
  <c r="C70" i="549"/>
  <c r="C43" i="549"/>
  <c r="C19" i="549"/>
  <c r="C74" i="549"/>
  <c r="C35" i="549"/>
  <c r="C32" i="545"/>
  <c r="C51" i="545"/>
  <c r="O59" i="406"/>
  <c r="O56" i="517"/>
  <c r="T56" i="517"/>
  <c r="W34" i="543"/>
  <c r="Z12" i="543"/>
  <c r="Z56" i="517"/>
  <c r="O34" i="543"/>
  <c r="T34" i="543"/>
  <c r="Z39" i="543"/>
  <c r="X41" i="543"/>
  <c r="W29" i="394"/>
  <c r="AA29" i="394"/>
  <c r="X29" i="394"/>
  <c r="U29" i="394"/>
  <c r="Y29" i="394"/>
  <c r="V29" i="394"/>
  <c r="Z29" i="394"/>
  <c r="V17" i="394"/>
  <c r="Z17" i="394"/>
  <c r="W17" i="394"/>
  <c r="AA17" i="394"/>
  <c r="X17" i="394"/>
  <c r="U17" i="394"/>
  <c r="Y17" i="394"/>
  <c r="V30" i="394"/>
  <c r="Z30" i="394"/>
  <c r="W30" i="394"/>
  <c r="AA30" i="394"/>
  <c r="X30" i="394"/>
  <c r="Y30" i="394"/>
  <c r="U30" i="394"/>
  <c r="W20" i="394"/>
  <c r="AA20" i="394"/>
  <c r="X20" i="394"/>
  <c r="U20" i="394"/>
  <c r="Y20" i="394"/>
  <c r="Z20" i="394"/>
  <c r="V20" i="394"/>
  <c r="P9" i="467"/>
  <c r="N9" i="467"/>
  <c r="T9" i="467"/>
  <c r="P8" i="467"/>
  <c r="T8" i="467"/>
  <c r="V41" i="540"/>
  <c r="U41" i="540"/>
  <c r="X41" i="540"/>
  <c r="AA41" i="540"/>
  <c r="O41" i="540"/>
  <c r="W41" i="540"/>
  <c r="Z41" i="540"/>
  <c r="Y41" i="540"/>
  <c r="V59" i="540"/>
  <c r="Z59" i="540"/>
  <c r="W59" i="540"/>
  <c r="AA59" i="540"/>
  <c r="X59" i="540"/>
  <c r="U59" i="540"/>
  <c r="Y59" i="540"/>
  <c r="U34" i="540"/>
  <c r="V34" i="540"/>
  <c r="Y34" i="540"/>
  <c r="O34" i="540"/>
  <c r="X34" i="540"/>
  <c r="AA34" i="540"/>
  <c r="W34" i="540"/>
  <c r="Z34" i="540"/>
  <c r="U42" i="540"/>
  <c r="V42" i="540"/>
  <c r="X42" i="540"/>
  <c r="Y42" i="540"/>
  <c r="W42" i="540"/>
  <c r="O42" i="540"/>
  <c r="Z42" i="540"/>
  <c r="AA42" i="540"/>
  <c r="P36" i="467"/>
  <c r="N36" i="467"/>
  <c r="T36" i="467"/>
  <c r="P10" i="467"/>
  <c r="N10" i="467"/>
  <c r="T10" i="467"/>
  <c r="P18" i="467"/>
  <c r="N18" i="467"/>
  <c r="T18" i="467"/>
  <c r="U50" i="540"/>
  <c r="Z50" i="540"/>
  <c r="V50" i="540"/>
  <c r="AA50" i="540"/>
  <c r="W50" i="540"/>
  <c r="Y50" i="540"/>
  <c r="O50" i="540"/>
  <c r="X50" i="540"/>
  <c r="V49" i="540"/>
  <c r="Z49" i="540"/>
  <c r="W49" i="540"/>
  <c r="AA49" i="540"/>
  <c r="O49" i="540"/>
  <c r="X49" i="540"/>
  <c r="U49" i="540"/>
  <c r="Y49" i="540"/>
  <c r="U9" i="540"/>
  <c r="V9" i="540"/>
  <c r="AA9" i="540"/>
  <c r="Y9" i="540"/>
  <c r="Z9" i="540"/>
  <c r="W9" i="540"/>
  <c r="X9" i="540"/>
  <c r="O9" i="540"/>
  <c r="U7" i="540"/>
  <c r="V7" i="540"/>
  <c r="W7" i="540"/>
  <c r="X7" i="540"/>
  <c r="Y7" i="540"/>
  <c r="Z7" i="540"/>
  <c r="AA7" i="540"/>
  <c r="O7" i="540"/>
  <c r="U7" i="467"/>
  <c r="AA7" i="467"/>
  <c r="W7" i="467"/>
  <c r="Y7" i="467"/>
  <c r="V7" i="467"/>
  <c r="O7" i="467"/>
  <c r="T7" i="467"/>
  <c r="X7" i="467"/>
  <c r="Z7" i="467"/>
  <c r="U39" i="540"/>
  <c r="V39" i="540"/>
  <c r="Z39" i="540"/>
  <c r="O39" i="540"/>
  <c r="X39" i="540"/>
  <c r="Y39" i="540"/>
  <c r="AA39" i="540"/>
  <c r="W39" i="540"/>
  <c r="V32" i="540"/>
  <c r="U32" i="540"/>
  <c r="W32" i="540"/>
  <c r="O32" i="540"/>
  <c r="Z32" i="540"/>
  <c r="AA32" i="540"/>
  <c r="Y32" i="540"/>
  <c r="X32" i="540"/>
  <c r="V23" i="540"/>
  <c r="U23" i="540"/>
  <c r="Z23" i="540"/>
  <c r="AA23" i="540"/>
  <c r="W23" i="540"/>
  <c r="X23" i="540"/>
  <c r="Y23" i="540"/>
  <c r="O23" i="540"/>
  <c r="W43" i="540"/>
  <c r="AA43" i="540"/>
  <c r="X43" i="540"/>
  <c r="U43" i="540"/>
  <c r="Y43" i="540"/>
  <c r="V43" i="540"/>
  <c r="Z43" i="540"/>
  <c r="O43" i="540"/>
  <c r="U33" i="540"/>
  <c r="V33" i="540"/>
  <c r="X33" i="540"/>
  <c r="W33" i="540"/>
  <c r="Z33" i="540"/>
  <c r="O33" i="540"/>
  <c r="Y33" i="540"/>
  <c r="AA33" i="540"/>
  <c r="U10" i="540"/>
  <c r="V10" i="540"/>
  <c r="W10" i="540"/>
  <c r="X10" i="540"/>
  <c r="AA10" i="540"/>
  <c r="Y10" i="540"/>
  <c r="Z10" i="540"/>
  <c r="O10" i="540"/>
  <c r="U67" i="540"/>
  <c r="V67" i="540"/>
  <c r="X67" i="540"/>
  <c r="Y67" i="540"/>
  <c r="AA67" i="540"/>
  <c r="W67" i="540"/>
  <c r="Z67" i="540"/>
  <c r="U65" i="540"/>
  <c r="Z65" i="540"/>
  <c r="X65" i="540"/>
  <c r="Y65" i="540"/>
  <c r="AA65" i="540"/>
  <c r="V65" i="540"/>
  <c r="W65" i="540"/>
  <c r="U29" i="540"/>
  <c r="V29" i="540"/>
  <c r="X29" i="540"/>
  <c r="W29" i="540"/>
  <c r="Y29" i="540"/>
  <c r="Z29" i="540"/>
  <c r="AA29" i="540"/>
  <c r="O29" i="540"/>
  <c r="Y14" i="467"/>
  <c r="W14" i="467"/>
  <c r="U14" i="467"/>
  <c r="AA14" i="467"/>
  <c r="Z14" i="467"/>
  <c r="V14" i="467"/>
  <c r="X14" i="467"/>
  <c r="O14" i="467"/>
  <c r="T14" i="467"/>
  <c r="O85" i="541"/>
  <c r="U90" i="541"/>
  <c r="Y90" i="541"/>
  <c r="V90" i="541"/>
  <c r="Z90" i="541"/>
  <c r="W90" i="541"/>
  <c r="AA90" i="541"/>
  <c r="X90" i="541"/>
  <c r="V26" i="394"/>
  <c r="Z26" i="394"/>
  <c r="W26" i="394"/>
  <c r="AA26" i="394"/>
  <c r="X26" i="394"/>
  <c r="Y26" i="394"/>
  <c r="U26" i="394"/>
  <c r="V43" i="394"/>
  <c r="Z43" i="394"/>
  <c r="W43" i="394"/>
  <c r="AA43" i="394"/>
  <c r="X43" i="394"/>
  <c r="Y43" i="394"/>
  <c r="U43" i="394"/>
  <c r="U18" i="394"/>
  <c r="Y18" i="394"/>
  <c r="V18" i="394"/>
  <c r="Z18" i="394"/>
  <c r="W18" i="394"/>
  <c r="AA18" i="394"/>
  <c r="X18" i="394"/>
  <c r="U14" i="394"/>
  <c r="Y14" i="394"/>
  <c r="V14" i="394"/>
  <c r="Z14" i="394"/>
  <c r="W14" i="394"/>
  <c r="AA14" i="394"/>
  <c r="X14" i="394"/>
  <c r="U16" i="540"/>
  <c r="V16" i="540"/>
  <c r="Z16" i="540"/>
  <c r="AA16" i="540"/>
  <c r="Y16" i="540"/>
  <c r="W16" i="540"/>
  <c r="X16" i="540"/>
  <c r="O16" i="540"/>
  <c r="U30" i="540"/>
  <c r="V30" i="540"/>
  <c r="O30" i="540"/>
  <c r="X30" i="540"/>
  <c r="W30" i="540"/>
  <c r="Y30" i="540"/>
  <c r="Z30" i="540"/>
  <c r="AA30" i="540"/>
  <c r="W58" i="540"/>
  <c r="AA58" i="540"/>
  <c r="X58" i="540"/>
  <c r="U58" i="540"/>
  <c r="Y58" i="540"/>
  <c r="V58" i="540"/>
  <c r="Z58" i="540"/>
  <c r="U11" i="540"/>
  <c r="V11" i="540"/>
  <c r="Y11" i="540"/>
  <c r="Z11" i="540"/>
  <c r="AA11" i="540"/>
  <c r="W11" i="540"/>
  <c r="X11" i="540"/>
  <c r="O11" i="540"/>
  <c r="U25" i="540"/>
  <c r="V25" i="540"/>
  <c r="W25" i="540"/>
  <c r="X25" i="540"/>
  <c r="Y25" i="540"/>
  <c r="Z25" i="540"/>
  <c r="O25" i="540"/>
  <c r="AA25" i="540"/>
  <c r="V8" i="540"/>
  <c r="U8" i="540"/>
  <c r="AA8" i="540"/>
  <c r="W8" i="540"/>
  <c r="Y8" i="540"/>
  <c r="Z8" i="540"/>
  <c r="X8" i="540"/>
  <c r="O8" i="540"/>
  <c r="P35" i="467"/>
  <c r="N35" i="467"/>
  <c r="T35" i="467"/>
  <c r="P15" i="467"/>
  <c r="N15" i="467"/>
  <c r="L16" i="467"/>
  <c r="T15" i="467"/>
  <c r="X47" i="540"/>
  <c r="O47" i="540"/>
  <c r="U47" i="540"/>
  <c r="Y47" i="540"/>
  <c r="V47" i="540"/>
  <c r="Z47" i="540"/>
  <c r="W47" i="540"/>
  <c r="AA47" i="540"/>
  <c r="U38" i="540"/>
  <c r="Y38" i="540"/>
  <c r="O38" i="540"/>
  <c r="X38" i="540"/>
  <c r="AA38" i="540"/>
  <c r="Z38" i="540"/>
  <c r="V38" i="540"/>
  <c r="W38" i="540"/>
  <c r="O33" i="467"/>
  <c r="T33" i="467"/>
  <c r="AA33" i="467"/>
  <c r="Z33" i="467"/>
  <c r="X33" i="467"/>
  <c r="W33" i="467"/>
  <c r="U33" i="467"/>
  <c r="Y33" i="467"/>
  <c r="V33" i="467"/>
  <c r="U86" i="541"/>
  <c r="Y86" i="541"/>
  <c r="Z86" i="541"/>
  <c r="X86" i="541"/>
  <c r="AA86" i="541"/>
  <c r="V86" i="541"/>
  <c r="W86" i="541"/>
  <c r="U31" i="394"/>
  <c r="Y31" i="394"/>
  <c r="V31" i="394"/>
  <c r="Z31" i="394"/>
  <c r="W31" i="394"/>
  <c r="AA31" i="394"/>
  <c r="X31" i="394"/>
  <c r="V8" i="394"/>
  <c r="Z8" i="394"/>
  <c r="W8" i="394"/>
  <c r="AA8" i="394"/>
  <c r="X8" i="394"/>
  <c r="U8" i="394"/>
  <c r="Y8" i="394"/>
  <c r="X45" i="394"/>
  <c r="U45" i="394"/>
  <c r="Y45" i="394"/>
  <c r="V45" i="394"/>
  <c r="Z45" i="394"/>
  <c r="W45" i="394"/>
  <c r="AA45" i="394"/>
  <c r="X57" i="540"/>
  <c r="U57" i="540"/>
  <c r="Y57" i="540"/>
  <c r="V57" i="540"/>
  <c r="Z57" i="540"/>
  <c r="W57" i="540"/>
  <c r="AA57" i="540"/>
  <c r="V24" i="540"/>
  <c r="U24" i="540"/>
  <c r="Y24" i="540"/>
  <c r="Z24" i="540"/>
  <c r="AA24" i="540"/>
  <c r="O24" i="540"/>
  <c r="W24" i="540"/>
  <c r="X24" i="540"/>
  <c r="U18" i="540"/>
  <c r="V18" i="540"/>
  <c r="Y18" i="540"/>
  <c r="W18" i="540"/>
  <c r="X18" i="540"/>
  <c r="Z18" i="540"/>
  <c r="O18" i="540"/>
  <c r="AA18" i="540"/>
  <c r="O52" i="540"/>
  <c r="X52" i="540"/>
  <c r="U52" i="540"/>
  <c r="Y52" i="540"/>
  <c r="V52" i="540"/>
  <c r="Z52" i="540"/>
  <c r="W52" i="540"/>
  <c r="AA52" i="540"/>
  <c r="U15" i="540"/>
  <c r="V15" i="540"/>
  <c r="Y15" i="540"/>
  <c r="Z15" i="540"/>
  <c r="AA15" i="540"/>
  <c r="O15" i="540"/>
  <c r="W15" i="540"/>
  <c r="X15" i="540"/>
  <c r="U22" i="540"/>
  <c r="V22" i="540"/>
  <c r="Y22" i="540"/>
  <c r="W22" i="540"/>
  <c r="X22" i="540"/>
  <c r="O22" i="540"/>
  <c r="Z22" i="540"/>
  <c r="AA22" i="540"/>
  <c r="O27" i="467"/>
  <c r="T27" i="467"/>
  <c r="Y27" i="467"/>
  <c r="AA27" i="467"/>
  <c r="X27" i="467"/>
  <c r="Z27" i="467"/>
  <c r="W27" i="467"/>
  <c r="V27" i="467"/>
  <c r="U27" i="467"/>
  <c r="P34" i="467"/>
  <c r="T34" i="467"/>
  <c r="P17" i="467"/>
  <c r="N17" i="467"/>
  <c r="T17" i="467"/>
  <c r="U88" i="541"/>
  <c r="Z88" i="541"/>
  <c r="X88" i="541"/>
  <c r="AA88" i="541"/>
  <c r="W88" i="541"/>
  <c r="V88" i="541"/>
  <c r="Y88" i="541"/>
  <c r="Z89" i="541"/>
  <c r="V89" i="541"/>
  <c r="X89" i="541"/>
  <c r="W89" i="541"/>
  <c r="Y89" i="541"/>
  <c r="U89" i="541"/>
  <c r="AA89" i="541"/>
  <c r="O41" i="543"/>
  <c r="T41" i="543"/>
  <c r="W50" i="524"/>
  <c r="V50" i="524"/>
  <c r="P54" i="526"/>
  <c r="N54" i="526"/>
  <c r="W28" i="555"/>
  <c r="Z28" i="555"/>
  <c r="W56" i="524"/>
  <c r="Y56" i="524"/>
  <c r="AA56" i="517"/>
  <c r="U56" i="517"/>
  <c r="V52" i="519"/>
  <c r="Z52" i="519"/>
  <c r="W23" i="526"/>
  <c r="V23" i="526"/>
  <c r="W43" i="519"/>
  <c r="V43" i="519"/>
  <c r="U99" i="524"/>
  <c r="Z99" i="524"/>
  <c r="O38" i="555"/>
  <c r="P38" i="555"/>
  <c r="N38" i="555"/>
  <c r="U38" i="555"/>
  <c r="O96" i="524"/>
  <c r="T96" i="524"/>
  <c r="U96" i="524"/>
  <c r="V63" i="526"/>
  <c r="Z63" i="526"/>
  <c r="V13" i="519"/>
  <c r="W13" i="519"/>
  <c r="X46" i="519"/>
  <c r="AB46" i="519"/>
  <c r="Z34" i="543"/>
  <c r="V39" i="543"/>
  <c r="X12" i="543"/>
  <c r="V12" i="543"/>
  <c r="AA41" i="543"/>
  <c r="L58" i="412"/>
  <c r="L59" i="412"/>
  <c r="Y50" i="524"/>
  <c r="O50" i="524"/>
  <c r="O12" i="543"/>
  <c r="T12" i="543"/>
  <c r="Y28" i="555"/>
  <c r="U28" i="555"/>
  <c r="O56" i="524"/>
  <c r="U56" i="524"/>
  <c r="V56" i="517"/>
  <c r="Y56" i="517"/>
  <c r="P52" i="519"/>
  <c r="AA52" i="519"/>
  <c r="U23" i="526"/>
  <c r="Y23" i="526"/>
  <c r="P43" i="519"/>
  <c r="Q43" i="519"/>
  <c r="O43" i="519"/>
  <c r="AB43" i="519"/>
  <c r="O99" i="524"/>
  <c r="P99" i="524"/>
  <c r="N99" i="524"/>
  <c r="V99" i="524"/>
  <c r="AA38" i="555"/>
  <c r="Z38" i="555"/>
  <c r="X96" i="524"/>
  <c r="Z96" i="524"/>
  <c r="Y63" i="526"/>
  <c r="X63" i="526"/>
  <c r="P13" i="519"/>
  <c r="X13" i="519"/>
  <c r="Y46" i="519"/>
  <c r="V46" i="519"/>
  <c r="Y34" i="543"/>
  <c r="U34" i="543"/>
  <c r="AA39" i="543"/>
  <c r="Y39" i="543"/>
  <c r="AA12" i="543"/>
  <c r="Y12" i="543"/>
  <c r="Y41" i="543"/>
  <c r="W41" i="543"/>
  <c r="Z50" i="524"/>
  <c r="O39" i="543"/>
  <c r="T39" i="543"/>
  <c r="O28" i="555"/>
  <c r="T28" i="555"/>
  <c r="X56" i="524"/>
  <c r="X56" i="517"/>
  <c r="X52" i="519"/>
  <c r="Z23" i="526"/>
  <c r="AA43" i="519"/>
  <c r="Y99" i="524"/>
  <c r="X38" i="555"/>
  <c r="AA96" i="524"/>
  <c r="AA63" i="526"/>
  <c r="AA13" i="519"/>
  <c r="P46" i="519"/>
  <c r="AA34" i="543"/>
  <c r="W39" i="543"/>
  <c r="W12" i="543"/>
  <c r="U41" i="543"/>
  <c r="P60" i="543"/>
  <c r="O69" i="517"/>
  <c r="W69" i="517"/>
  <c r="X100" i="524"/>
  <c r="V100" i="524"/>
  <c r="O48" i="517"/>
  <c r="U48" i="517"/>
  <c r="AA63" i="519"/>
  <c r="X63" i="519"/>
  <c r="Y94" i="524"/>
  <c r="U94" i="524"/>
  <c r="U21" i="517"/>
  <c r="AA21" i="517"/>
  <c r="V62" i="519"/>
  <c r="AA20" i="524"/>
  <c r="Y20" i="524"/>
  <c r="V20" i="524"/>
  <c r="Y11" i="543"/>
  <c r="V11" i="543"/>
  <c r="Y40" i="543"/>
  <c r="W40" i="543"/>
  <c r="AA37" i="543"/>
  <c r="Y37" i="543"/>
  <c r="W28" i="543"/>
  <c r="U28" i="543"/>
  <c r="V69" i="517"/>
  <c r="U69" i="517"/>
  <c r="AA100" i="524"/>
  <c r="O100" i="524"/>
  <c r="P100" i="524"/>
  <c r="N100" i="524"/>
  <c r="AA48" i="517"/>
  <c r="Z48" i="517"/>
  <c r="Z63" i="519"/>
  <c r="G63" i="519"/>
  <c r="T63" i="519"/>
  <c r="W63" i="519"/>
  <c r="O94" i="524"/>
  <c r="X94" i="524"/>
  <c r="Y21" i="517"/>
  <c r="Z21" i="517"/>
  <c r="X62" i="519"/>
  <c r="Y62" i="519"/>
  <c r="W20" i="524"/>
  <c r="X20" i="524"/>
  <c r="X11" i="543"/>
  <c r="Z11" i="543"/>
  <c r="U40" i="543"/>
  <c r="W37" i="543"/>
  <c r="U37" i="543"/>
  <c r="Z28" i="543"/>
  <c r="X28" i="543"/>
  <c r="T32" i="555"/>
  <c r="P32" i="555"/>
  <c r="N32" i="555"/>
  <c r="L33" i="555"/>
  <c r="AA69" i="517"/>
  <c r="W100" i="524"/>
  <c r="Y48" i="517"/>
  <c r="Z94" i="524"/>
  <c r="W21" i="517"/>
  <c r="AA62" i="519"/>
  <c r="O20" i="524"/>
  <c r="T20" i="524"/>
  <c r="O11" i="543"/>
  <c r="T11" i="543"/>
  <c r="W11" i="543"/>
  <c r="Z40" i="543"/>
  <c r="T12" i="530"/>
  <c r="P12" i="530"/>
  <c r="N12" i="530"/>
  <c r="T45" i="555"/>
  <c r="P45" i="555"/>
  <c r="N45" i="555"/>
  <c r="D69" i="4"/>
  <c r="C68" i="4"/>
  <c r="P19" i="548"/>
  <c r="N19" i="548"/>
  <c r="L20" i="548"/>
  <c r="L21" i="548"/>
  <c r="P63" i="548"/>
  <c r="N63" i="548"/>
  <c r="L64" i="548"/>
  <c r="P67" i="548"/>
  <c r="N67" i="548"/>
  <c r="P64" i="548"/>
  <c r="N64" i="548"/>
  <c r="P23" i="548"/>
  <c r="N23" i="548"/>
  <c r="Q6" i="554"/>
  <c r="O6" i="554"/>
  <c r="M7" i="554"/>
  <c r="U6" i="554"/>
  <c r="T6" i="548"/>
  <c r="L14" i="548"/>
  <c r="V57" i="554"/>
  <c r="P57" i="554"/>
  <c r="AA57" i="554"/>
  <c r="W57" i="554"/>
  <c r="Y57" i="554"/>
  <c r="X57" i="554"/>
  <c r="AB57" i="554"/>
  <c r="Z57" i="554"/>
  <c r="X62" i="554"/>
  <c r="V62" i="554"/>
  <c r="P62" i="554"/>
  <c r="AB62" i="554"/>
  <c r="AA62" i="554"/>
  <c r="Y62" i="554"/>
  <c r="W62" i="554"/>
  <c r="Z62" i="554"/>
  <c r="P66" i="548"/>
  <c r="W30" i="530"/>
  <c r="V30" i="530"/>
  <c r="O30" i="530"/>
  <c r="U30" i="530"/>
  <c r="Z30" i="530"/>
  <c r="Y30" i="530"/>
  <c r="AA30" i="530"/>
  <c r="X30" i="530"/>
  <c r="W26" i="530"/>
  <c r="U26" i="530"/>
  <c r="V26" i="530"/>
  <c r="Z26" i="530"/>
  <c r="O26" i="530"/>
  <c r="AA26" i="530"/>
  <c r="Y26" i="530"/>
  <c r="X26" i="530"/>
  <c r="U13" i="554"/>
  <c r="Q13" i="554"/>
  <c r="O13" i="554"/>
  <c r="M14" i="554"/>
  <c r="P17" i="543"/>
  <c r="N17" i="543"/>
  <c r="L18" i="543"/>
  <c r="W59" i="554"/>
  <c r="Y59" i="554"/>
  <c r="X59" i="554"/>
  <c r="P59" i="554"/>
  <c r="V59" i="554"/>
  <c r="AA59" i="554"/>
  <c r="AB59" i="554"/>
  <c r="Z59" i="554"/>
  <c r="V47" i="554"/>
  <c r="W47" i="554"/>
  <c r="AA47" i="554"/>
  <c r="Y47" i="554"/>
  <c r="Z47" i="554"/>
  <c r="P47" i="554"/>
  <c r="X47" i="554"/>
  <c r="AB47" i="554"/>
  <c r="W27" i="554"/>
  <c r="P27" i="554"/>
  <c r="V27" i="554"/>
  <c r="Y27" i="554"/>
  <c r="AB27" i="554"/>
  <c r="Z27" i="554"/>
  <c r="AA27" i="554"/>
  <c r="X27" i="554"/>
  <c r="O48" i="530"/>
  <c r="W48" i="530"/>
  <c r="AA48" i="530"/>
  <c r="V48" i="530"/>
  <c r="Z48" i="530"/>
  <c r="Y48" i="530"/>
  <c r="U48" i="530"/>
  <c r="X48" i="530"/>
  <c r="X24" i="530"/>
  <c r="Y24" i="530"/>
  <c r="W24" i="530"/>
  <c r="U24" i="530"/>
  <c r="V24" i="530"/>
  <c r="AA24" i="530"/>
  <c r="Z24" i="530"/>
  <c r="Q31" i="554"/>
  <c r="O31" i="554"/>
  <c r="M32" i="554"/>
  <c r="M33" i="554"/>
  <c r="U31" i="554"/>
  <c r="AB58" i="554"/>
  <c r="P58" i="554"/>
  <c r="V58" i="554"/>
  <c r="W58" i="554"/>
  <c r="AA58" i="554"/>
  <c r="X58" i="554"/>
  <c r="Z58" i="554"/>
  <c r="Y58" i="554"/>
  <c r="V50" i="554"/>
  <c r="AA50" i="554"/>
  <c r="Z50" i="554"/>
  <c r="Y50" i="554"/>
  <c r="W50" i="554"/>
  <c r="P50" i="554"/>
  <c r="X50" i="554"/>
  <c r="AB50" i="554"/>
  <c r="V61" i="554"/>
  <c r="W61" i="554"/>
  <c r="Z61" i="554"/>
  <c r="Y61" i="554"/>
  <c r="X61" i="554"/>
  <c r="P61" i="554"/>
  <c r="AA61" i="554"/>
  <c r="AB61" i="554"/>
  <c r="O58" i="526"/>
  <c r="Y58" i="526"/>
  <c r="V58" i="526"/>
  <c r="U36" i="530"/>
  <c r="O36" i="530"/>
  <c r="V36" i="530"/>
  <c r="W36" i="530"/>
  <c r="X36" i="530"/>
  <c r="AA36" i="530"/>
  <c r="Y36" i="530"/>
  <c r="Z36" i="530"/>
  <c r="V52" i="530"/>
  <c r="U52" i="530"/>
  <c r="AA52" i="530"/>
  <c r="Y52" i="530"/>
  <c r="X52" i="530"/>
  <c r="Z52" i="530"/>
  <c r="O52" i="530"/>
  <c r="W52" i="530"/>
  <c r="V49" i="554"/>
  <c r="W49" i="554"/>
  <c r="AB49" i="554"/>
  <c r="Z49" i="554"/>
  <c r="AA49" i="554"/>
  <c r="P49" i="554"/>
  <c r="Y49" i="554"/>
  <c r="X49" i="554"/>
  <c r="W60" i="554"/>
  <c r="P60" i="554"/>
  <c r="V60" i="554"/>
  <c r="AA60" i="554"/>
  <c r="Z60" i="554"/>
  <c r="Y60" i="554"/>
  <c r="X60" i="554"/>
  <c r="AB60" i="554"/>
  <c r="P48" i="554"/>
  <c r="X48" i="554"/>
  <c r="AB48" i="554"/>
  <c r="V48" i="554"/>
  <c r="Z48" i="554"/>
  <c r="W48" i="554"/>
  <c r="AA48" i="554"/>
  <c r="Y48" i="554"/>
  <c r="S6" i="554"/>
  <c r="T6" i="554"/>
  <c r="V6" i="554"/>
  <c r="U28" i="530"/>
  <c r="X28" i="530"/>
  <c r="Y28" i="530"/>
  <c r="O28" i="530"/>
  <c r="V28" i="530"/>
  <c r="Z28" i="530"/>
  <c r="W28" i="530"/>
  <c r="AA28" i="530"/>
  <c r="X32" i="530"/>
  <c r="U32" i="530"/>
  <c r="O32" i="530"/>
  <c r="AA32" i="530"/>
  <c r="Y32" i="530"/>
  <c r="V32" i="530"/>
  <c r="Z32" i="530"/>
  <c r="W32" i="530"/>
  <c r="V43" i="555"/>
  <c r="U43" i="555"/>
  <c r="P46" i="530"/>
  <c r="N46" i="530"/>
  <c r="T46" i="530"/>
  <c r="P44" i="394"/>
  <c r="N44" i="394"/>
  <c r="P35" i="394"/>
  <c r="N35" i="394"/>
  <c r="P27" i="394"/>
  <c r="N27" i="394"/>
  <c r="P12" i="394"/>
  <c r="N12" i="394"/>
  <c r="P32" i="394"/>
  <c r="N32" i="394"/>
  <c r="O17" i="395"/>
  <c r="P17" i="395" s="1"/>
  <c r="N17" i="395" s="1"/>
  <c r="P17" i="8"/>
  <c r="Q9" i="8"/>
  <c r="Q6" i="8"/>
  <c r="W7" i="8"/>
  <c r="I13" i="14"/>
  <c r="I14" i="14"/>
  <c r="T6" i="8"/>
  <c r="T5" i="8"/>
  <c r="P11" i="394"/>
  <c r="N11" i="394"/>
  <c r="P37" i="394"/>
  <c r="N37" i="394"/>
  <c r="L38" i="394"/>
  <c r="L39" i="394"/>
  <c r="L40" i="394"/>
  <c r="L41" i="394"/>
  <c r="L42" i="394"/>
  <c r="O20" i="394"/>
  <c r="T20" i="394"/>
  <c r="O17" i="394"/>
  <c r="T17" i="394"/>
  <c r="O29" i="394"/>
  <c r="T29" i="394"/>
  <c r="O30" i="394"/>
  <c r="T30" i="394"/>
  <c r="O26" i="394"/>
  <c r="T26" i="394"/>
  <c r="O18" i="394"/>
  <c r="T18" i="394"/>
  <c r="O14" i="394"/>
  <c r="T14" i="394"/>
  <c r="O43" i="394"/>
  <c r="T43" i="394"/>
  <c r="O8" i="394"/>
  <c r="T8" i="394"/>
  <c r="O45" i="394"/>
  <c r="T45" i="394"/>
  <c r="R17" i="8"/>
  <c r="W17" i="8"/>
  <c r="W11" i="8"/>
  <c r="B20" i="14"/>
  <c r="K17" i="8"/>
  <c r="R5" i="8"/>
  <c r="G7" i="14"/>
  <c r="K10" i="14"/>
  <c r="L10" i="14"/>
  <c r="W8" i="8"/>
  <c r="G11" i="14"/>
  <c r="I12" i="14"/>
  <c r="J12" i="14"/>
  <c r="L16" i="14"/>
  <c r="I7" i="14"/>
  <c r="S5" i="8"/>
  <c r="G10" i="14"/>
  <c r="H10" i="14"/>
  <c r="P76" i="9"/>
  <c r="I68" i="9"/>
  <c r="O76" i="9"/>
  <c r="M76" i="9"/>
  <c r="Y87" i="526"/>
  <c r="Z87" i="526"/>
  <c r="W87" i="526"/>
  <c r="AA87" i="526"/>
  <c r="U87" i="526"/>
  <c r="V87" i="526"/>
  <c r="O87" i="526"/>
  <c r="T87" i="526"/>
  <c r="X87" i="526"/>
  <c r="W28" i="526"/>
  <c r="AA28" i="526"/>
  <c r="V28" i="526"/>
  <c r="Y28" i="526"/>
  <c r="O28" i="526"/>
  <c r="X28" i="526"/>
  <c r="Z28" i="526"/>
  <c r="U28" i="526"/>
  <c r="W85" i="526"/>
  <c r="X85" i="526"/>
  <c r="V85" i="526"/>
  <c r="AA85" i="526"/>
  <c r="Z85" i="526"/>
  <c r="Y85" i="526"/>
  <c r="U85" i="526"/>
  <c r="O85" i="526"/>
  <c r="T85" i="526"/>
  <c r="Z75" i="526"/>
  <c r="Y75" i="526"/>
  <c r="W75" i="526"/>
  <c r="AA75" i="526"/>
  <c r="U75" i="526"/>
  <c r="V75" i="526"/>
  <c r="O75" i="526"/>
  <c r="X75" i="526"/>
  <c r="X38" i="526"/>
  <c r="W38" i="526"/>
  <c r="AA38" i="526"/>
  <c r="O38" i="526"/>
  <c r="U38" i="526"/>
  <c r="Z38" i="526"/>
  <c r="V38" i="526"/>
  <c r="Y38" i="526"/>
  <c r="T34" i="555"/>
  <c r="P34" i="555"/>
  <c r="N34" i="555"/>
  <c r="P16" i="526"/>
  <c r="N16" i="526"/>
  <c r="T16" i="526"/>
  <c r="P21" i="530"/>
  <c r="N21" i="530"/>
  <c r="T21" i="530"/>
  <c r="T35" i="555"/>
  <c r="P35" i="555"/>
  <c r="N35" i="555"/>
  <c r="P71" i="544"/>
  <c r="N71" i="544"/>
  <c r="T71" i="544"/>
  <c r="P65" i="544"/>
  <c r="N65" i="544"/>
  <c r="T65" i="544"/>
  <c r="P46" i="544"/>
  <c r="N46" i="544"/>
  <c r="T46" i="544"/>
  <c r="P44" i="544"/>
  <c r="N44" i="544"/>
  <c r="T44" i="544"/>
  <c r="X13" i="543"/>
  <c r="U13" i="543"/>
  <c r="Y13" i="543"/>
  <c r="V13" i="543"/>
  <c r="Z13" i="543"/>
  <c r="W13" i="543"/>
  <c r="AA13" i="543"/>
  <c r="V62" i="543"/>
  <c r="AA62" i="543"/>
  <c r="W62" i="543"/>
  <c r="Y62" i="543"/>
  <c r="U62" i="543"/>
  <c r="Z62" i="543"/>
  <c r="X62" i="543"/>
  <c r="U26" i="543"/>
  <c r="Y26" i="543"/>
  <c r="V26" i="543"/>
  <c r="AA26" i="543"/>
  <c r="W26" i="543"/>
  <c r="X26" i="543"/>
  <c r="Z26" i="543"/>
  <c r="X65" i="543"/>
  <c r="U65" i="543"/>
  <c r="Y65" i="543"/>
  <c r="V65" i="543"/>
  <c r="Z65" i="543"/>
  <c r="W65" i="543"/>
  <c r="AA65" i="543"/>
  <c r="V67" i="543"/>
  <c r="Z67" i="543"/>
  <c r="W67" i="543"/>
  <c r="AA67" i="543"/>
  <c r="X67" i="543"/>
  <c r="U67" i="543"/>
  <c r="Y67" i="543"/>
  <c r="V53" i="543"/>
  <c r="Z53" i="543"/>
  <c r="W53" i="543"/>
  <c r="AA53" i="543"/>
  <c r="X53" i="543"/>
  <c r="U53" i="543"/>
  <c r="Y53" i="543"/>
  <c r="T9" i="526"/>
  <c r="P9" i="526"/>
  <c r="N9" i="526"/>
  <c r="P50" i="526"/>
  <c r="N50" i="526"/>
  <c r="T50" i="526"/>
  <c r="W35" i="543"/>
  <c r="AA35" i="543"/>
  <c r="X35" i="543"/>
  <c r="U35" i="543"/>
  <c r="Y35" i="543"/>
  <c r="V35" i="543"/>
  <c r="Z35" i="543"/>
  <c r="W56" i="543"/>
  <c r="AA56" i="543"/>
  <c r="X56" i="543"/>
  <c r="U56" i="543"/>
  <c r="Y56" i="543"/>
  <c r="V56" i="543"/>
  <c r="Z56" i="543"/>
  <c r="U68" i="543"/>
  <c r="Y68" i="543"/>
  <c r="Z68" i="543"/>
  <c r="V68" i="543"/>
  <c r="W68" i="543"/>
  <c r="AA68" i="543"/>
  <c r="X68" i="543"/>
  <c r="W52" i="543"/>
  <c r="AA52" i="543"/>
  <c r="X52" i="543"/>
  <c r="U52" i="543"/>
  <c r="Y52" i="543"/>
  <c r="V52" i="543"/>
  <c r="Z52" i="543"/>
  <c r="X18" i="543"/>
  <c r="U18" i="543"/>
  <c r="Y18" i="543"/>
  <c r="V18" i="543"/>
  <c r="AA18" i="543"/>
  <c r="W18" i="543"/>
  <c r="Z18" i="543"/>
  <c r="P81" i="526"/>
  <c r="N81" i="526"/>
  <c r="T81" i="526"/>
  <c r="W29" i="543"/>
  <c r="AA29" i="543"/>
  <c r="X29" i="543"/>
  <c r="U29" i="543"/>
  <c r="Y29" i="543"/>
  <c r="V29" i="543"/>
  <c r="Z29" i="543"/>
  <c r="X33" i="543"/>
  <c r="U33" i="543"/>
  <c r="Y33" i="543"/>
  <c r="V33" i="543"/>
  <c r="Z33" i="543"/>
  <c r="W33" i="543"/>
  <c r="AA33" i="543"/>
  <c r="W66" i="543"/>
  <c r="AA66" i="543"/>
  <c r="X66" i="543"/>
  <c r="U66" i="543"/>
  <c r="Y66" i="543"/>
  <c r="V66" i="543"/>
  <c r="Z66" i="543"/>
  <c r="U42" i="543"/>
  <c r="Y42" i="543"/>
  <c r="V42" i="543"/>
  <c r="AA42" i="543"/>
  <c r="W42" i="543"/>
  <c r="X42" i="543"/>
  <c r="Z42" i="543"/>
  <c r="P66" i="526"/>
  <c r="N66" i="526"/>
  <c r="T66" i="526"/>
  <c r="T44" i="543"/>
  <c r="P44" i="543"/>
  <c r="N44" i="543"/>
  <c r="W61" i="543"/>
  <c r="AA61" i="543"/>
  <c r="X61" i="543"/>
  <c r="U61" i="543"/>
  <c r="Y61" i="543"/>
  <c r="V61" i="543"/>
  <c r="Z61" i="543"/>
  <c r="Y38" i="543"/>
  <c r="U38" i="543"/>
  <c r="Z38" i="543"/>
  <c r="V38" i="543"/>
  <c r="AA38" i="543"/>
  <c r="W38" i="543"/>
  <c r="X38" i="543"/>
  <c r="U59" i="543"/>
  <c r="Y59" i="543"/>
  <c r="V59" i="543"/>
  <c r="Z59" i="543"/>
  <c r="W59" i="543"/>
  <c r="AA59" i="543"/>
  <c r="X59" i="543"/>
  <c r="X69" i="543"/>
  <c r="Y69" i="543"/>
  <c r="V69" i="543"/>
  <c r="Z69" i="543"/>
  <c r="W69" i="543"/>
  <c r="AA69" i="543"/>
  <c r="U69" i="543"/>
  <c r="U51" i="543"/>
  <c r="X51" i="543"/>
  <c r="Y51" i="543"/>
  <c r="V51" i="543"/>
  <c r="Z51" i="543"/>
  <c r="W51" i="543"/>
  <c r="AA51" i="543"/>
  <c r="T20" i="526"/>
  <c r="P20" i="526"/>
  <c r="N20" i="526"/>
  <c r="P51" i="526"/>
  <c r="N51" i="526"/>
  <c r="T51" i="526"/>
  <c r="T10" i="526"/>
  <c r="P10" i="526"/>
  <c r="N10" i="526"/>
  <c r="O29" i="543"/>
  <c r="T29" i="543"/>
  <c r="Y9" i="519"/>
  <c r="Z9" i="519"/>
  <c r="P9" i="519"/>
  <c r="X9" i="519"/>
  <c r="V9" i="519"/>
  <c r="AA9" i="519"/>
  <c r="O51" i="543"/>
  <c r="T51" i="543"/>
  <c r="P8" i="543"/>
  <c r="O26" i="543"/>
  <c r="T26" i="543"/>
  <c r="O53" i="543"/>
  <c r="T53" i="543"/>
  <c r="O18" i="543"/>
  <c r="T18" i="543"/>
  <c r="O33" i="543"/>
  <c r="T33" i="543"/>
  <c r="O52" i="543"/>
  <c r="T52" i="543"/>
  <c r="T38" i="530"/>
  <c r="P38" i="530"/>
  <c r="N38" i="530"/>
  <c r="O42" i="543"/>
  <c r="T42" i="543"/>
  <c r="Y20" i="554"/>
  <c r="P20" i="554"/>
  <c r="Z20" i="554"/>
  <c r="V20" i="554"/>
  <c r="AB20" i="554"/>
  <c r="W20" i="554"/>
  <c r="X20" i="554"/>
  <c r="AA20" i="554"/>
  <c r="P17" i="554"/>
  <c r="AB17" i="554"/>
  <c r="X17" i="554"/>
  <c r="W17" i="554"/>
  <c r="Z17" i="554"/>
  <c r="AA17" i="554"/>
  <c r="V17" i="554"/>
  <c r="Y17" i="554"/>
  <c r="V67" i="517"/>
  <c r="AA67" i="517"/>
  <c r="Z67" i="517"/>
  <c r="O67" i="517"/>
  <c r="Y67" i="517"/>
  <c r="U67" i="517"/>
  <c r="W67" i="517"/>
  <c r="X67" i="517"/>
  <c r="X12" i="517"/>
  <c r="Z12" i="517"/>
  <c r="U12" i="517"/>
  <c r="W12" i="517"/>
  <c r="Y12" i="517"/>
  <c r="AA12" i="517"/>
  <c r="V12" i="517"/>
  <c r="O12" i="517"/>
  <c r="V54" i="517"/>
  <c r="X54" i="517"/>
  <c r="U54" i="517"/>
  <c r="W54" i="517"/>
  <c r="Y54" i="517"/>
  <c r="AA54" i="517"/>
  <c r="O54" i="517"/>
  <c r="Z54" i="517"/>
  <c r="U51" i="517"/>
  <c r="W51" i="517"/>
  <c r="O51" i="517"/>
  <c r="Y51" i="517"/>
  <c r="AA51" i="517"/>
  <c r="V51" i="517"/>
  <c r="X51" i="517"/>
  <c r="Z51" i="517"/>
  <c r="W10" i="517"/>
  <c r="Y10" i="517"/>
  <c r="AA10" i="517"/>
  <c r="V10" i="517"/>
  <c r="X10" i="517"/>
  <c r="O10" i="517"/>
  <c r="Z10" i="517"/>
  <c r="U10" i="517"/>
  <c r="Q66" i="554"/>
  <c r="O66" i="554"/>
  <c r="M67" i="554"/>
  <c r="U66" i="554"/>
  <c r="V19" i="554"/>
  <c r="AB19" i="554"/>
  <c r="P19" i="554"/>
  <c r="W19" i="554"/>
  <c r="X19" i="554"/>
  <c r="AA19" i="554"/>
  <c r="Z19" i="554"/>
  <c r="Y19" i="554"/>
  <c r="P18" i="554"/>
  <c r="AB18" i="554"/>
  <c r="V18" i="554"/>
  <c r="X18" i="554"/>
  <c r="AA18" i="554"/>
  <c r="Z18" i="554"/>
  <c r="W18" i="554"/>
  <c r="Y18" i="554"/>
  <c r="Y6" i="517"/>
  <c r="AA6" i="517"/>
  <c r="V6" i="517"/>
  <c r="X6" i="517"/>
  <c r="Z6" i="517"/>
  <c r="U6" i="517"/>
  <c r="W6" i="517"/>
  <c r="O6" i="517"/>
  <c r="V19" i="517"/>
  <c r="X19" i="517"/>
  <c r="O19" i="517"/>
  <c r="Z19" i="517"/>
  <c r="U19" i="517"/>
  <c r="W19" i="517"/>
  <c r="Y19" i="517"/>
  <c r="AA19" i="517"/>
  <c r="Y31" i="517"/>
  <c r="Z31" i="517"/>
  <c r="AA31" i="517"/>
  <c r="O31" i="517"/>
  <c r="T31" i="517"/>
  <c r="U31" i="517"/>
  <c r="V31" i="517"/>
  <c r="W31" i="517"/>
  <c r="X31" i="517"/>
  <c r="V23" i="517"/>
  <c r="X23" i="517"/>
  <c r="Z23" i="517"/>
  <c r="U23" i="517"/>
  <c r="W23" i="517"/>
  <c r="O23" i="517"/>
  <c r="Y23" i="517"/>
  <c r="AA23" i="517"/>
  <c r="U17" i="517"/>
  <c r="W17" i="517"/>
  <c r="Y17" i="517"/>
  <c r="AA17" i="517"/>
  <c r="V17" i="517"/>
  <c r="O17" i="517"/>
  <c r="X17" i="517"/>
  <c r="Z17" i="517"/>
  <c r="Q33" i="554"/>
  <c r="O33" i="554"/>
  <c r="U33" i="554"/>
  <c r="Y55" i="554"/>
  <c r="P55" i="554"/>
  <c r="AB55" i="554"/>
  <c r="X55" i="554"/>
  <c r="W55" i="554"/>
  <c r="AA55" i="554"/>
  <c r="Z55" i="554"/>
  <c r="V55" i="554"/>
  <c r="V21" i="554"/>
  <c r="AB21" i="554"/>
  <c r="P21" i="554"/>
  <c r="W21" i="554"/>
  <c r="X21" i="554"/>
  <c r="AA21" i="554"/>
  <c r="Z21" i="554"/>
  <c r="Y21" i="554"/>
  <c r="P68" i="554"/>
  <c r="AB68" i="554"/>
  <c r="W68" i="554"/>
  <c r="V68" i="554"/>
  <c r="AA68" i="554"/>
  <c r="Z68" i="554"/>
  <c r="X68" i="554"/>
  <c r="Y68" i="554"/>
  <c r="U24" i="554"/>
  <c r="Q24" i="554"/>
  <c r="O24" i="554"/>
  <c r="M25" i="554"/>
  <c r="P7" i="554"/>
  <c r="S7" i="554"/>
  <c r="T7" i="554"/>
  <c r="W7" i="554"/>
  <c r="AA34" i="517"/>
  <c r="V34" i="517"/>
  <c r="X34" i="517"/>
  <c r="Z34" i="517"/>
  <c r="U34" i="517"/>
  <c r="O34" i="517"/>
  <c r="W34" i="517"/>
  <c r="Y34" i="517"/>
  <c r="W14" i="517"/>
  <c r="Y14" i="517"/>
  <c r="O14" i="517"/>
  <c r="AA14" i="517"/>
  <c r="V14" i="517"/>
  <c r="X14" i="517"/>
  <c r="Z14" i="517"/>
  <c r="U14" i="517"/>
  <c r="X64" i="517"/>
  <c r="Z64" i="517"/>
  <c r="Y64" i="517"/>
  <c r="AA64" i="517"/>
  <c r="U64" i="517"/>
  <c r="V64" i="517"/>
  <c r="O64" i="517"/>
  <c r="W64" i="517"/>
  <c r="Y43" i="517"/>
  <c r="AA43" i="517"/>
  <c r="V43" i="517"/>
  <c r="X43" i="517"/>
  <c r="Z43" i="517"/>
  <c r="U43" i="517"/>
  <c r="O43" i="517"/>
  <c r="W43" i="517"/>
  <c r="X59" i="517"/>
  <c r="Z59" i="517"/>
  <c r="U59" i="517"/>
  <c r="W59" i="517"/>
  <c r="Y59" i="517"/>
  <c r="AA59" i="517"/>
  <c r="V59" i="517"/>
  <c r="O59" i="517"/>
  <c r="Q14" i="554"/>
  <c r="O14" i="554"/>
  <c r="U14" i="554"/>
  <c r="T9" i="517"/>
  <c r="P9" i="517"/>
  <c r="N9" i="517"/>
  <c r="W45" i="554"/>
  <c r="V45" i="554"/>
  <c r="Y45" i="554"/>
  <c r="Z45" i="554"/>
  <c r="X45" i="554"/>
  <c r="AA45" i="554"/>
  <c r="AB45" i="554"/>
  <c r="AB26" i="554"/>
  <c r="X26" i="554"/>
  <c r="V26" i="554"/>
  <c r="W26" i="554"/>
  <c r="AA26" i="554"/>
  <c r="Y26" i="554"/>
  <c r="Z26" i="554"/>
  <c r="Q34" i="554"/>
  <c r="O34" i="554"/>
  <c r="U34" i="554"/>
  <c r="O63" i="517"/>
  <c r="Y63" i="517"/>
  <c r="AA63" i="517"/>
  <c r="V63" i="517"/>
  <c r="X63" i="517"/>
  <c r="Z63" i="517"/>
  <c r="U63" i="517"/>
  <c r="W63" i="517"/>
  <c r="W46" i="517"/>
  <c r="Y46" i="517"/>
  <c r="V46" i="517"/>
  <c r="Z46" i="517"/>
  <c r="AA46" i="517"/>
  <c r="X46" i="517"/>
  <c r="U46" i="517"/>
  <c r="O46" i="517"/>
  <c r="Y35" i="517"/>
  <c r="AA35" i="517"/>
  <c r="Z35" i="517"/>
  <c r="U35" i="517"/>
  <c r="V35" i="517"/>
  <c r="O35" i="517"/>
  <c r="W35" i="517"/>
  <c r="X35" i="517"/>
  <c r="X72" i="517"/>
  <c r="Z72" i="517"/>
  <c r="U72" i="517"/>
  <c r="O72" i="517"/>
  <c r="W72" i="517"/>
  <c r="Y72" i="517"/>
  <c r="AA72" i="517"/>
  <c r="V72" i="517"/>
  <c r="O64" i="543"/>
  <c r="T64" i="543"/>
  <c r="W19" i="526"/>
  <c r="Z19" i="526"/>
  <c r="V19" i="526"/>
  <c r="Y19" i="526"/>
  <c r="AA19" i="526"/>
  <c r="O19" i="526"/>
  <c r="U19" i="526"/>
  <c r="X19" i="526"/>
  <c r="X78" i="526"/>
  <c r="Y78" i="526"/>
  <c r="Z78" i="526"/>
  <c r="V78" i="526"/>
  <c r="O78" i="526"/>
  <c r="AA78" i="526"/>
  <c r="W78" i="526"/>
  <c r="U78" i="526"/>
  <c r="Z49" i="526"/>
  <c r="X49" i="526"/>
  <c r="U49" i="526"/>
  <c r="W49" i="526"/>
  <c r="V49" i="526"/>
  <c r="O49" i="526"/>
  <c r="Y49" i="526"/>
  <c r="AA49" i="526"/>
  <c r="T51" i="555"/>
  <c r="P51" i="555"/>
  <c r="N51" i="555"/>
  <c r="T49" i="555"/>
  <c r="P49" i="555"/>
  <c r="N49" i="555"/>
  <c r="T24" i="555"/>
  <c r="P24" i="555"/>
  <c r="N24" i="555"/>
  <c r="L25" i="555"/>
  <c r="AA12" i="526"/>
  <c r="U12" i="526"/>
  <c r="W12" i="526"/>
  <c r="O12" i="526"/>
  <c r="X12" i="526"/>
  <c r="V12" i="526"/>
  <c r="Z12" i="526"/>
  <c r="Y12" i="526"/>
  <c r="AA43" i="526"/>
  <c r="O43" i="526"/>
  <c r="Y43" i="526"/>
  <c r="W43" i="526"/>
  <c r="X43" i="526"/>
  <c r="Z43" i="526"/>
  <c r="U43" i="526"/>
  <c r="V43" i="526"/>
  <c r="Y79" i="526"/>
  <c r="AA79" i="526"/>
  <c r="O79" i="526"/>
  <c r="Z79" i="526"/>
  <c r="U79" i="526"/>
  <c r="W79" i="526"/>
  <c r="X79" i="526"/>
  <c r="V79" i="526"/>
  <c r="T38" i="412"/>
  <c r="P17" i="412"/>
  <c r="N17" i="412"/>
  <c r="T17" i="412"/>
  <c r="W55" i="526"/>
  <c r="Z55" i="526"/>
  <c r="X55" i="526"/>
  <c r="Y55" i="526"/>
  <c r="U55" i="526"/>
  <c r="O55" i="526"/>
  <c r="AA55" i="526"/>
  <c r="V55" i="526"/>
  <c r="W61" i="526"/>
  <c r="Y61" i="526"/>
  <c r="AA61" i="526"/>
  <c r="O61" i="526"/>
  <c r="U61" i="526"/>
  <c r="X61" i="526"/>
  <c r="Z61" i="526"/>
  <c r="V61" i="526"/>
  <c r="O40" i="526"/>
  <c r="AA40" i="526"/>
  <c r="Y40" i="526"/>
  <c r="V40" i="526"/>
  <c r="Z40" i="526"/>
  <c r="X40" i="526"/>
  <c r="W40" i="526"/>
  <c r="U40" i="526"/>
  <c r="W54" i="554"/>
  <c r="Z54" i="554"/>
  <c r="AA54" i="554"/>
  <c r="AB54" i="554"/>
  <c r="X54" i="554"/>
  <c r="V54" i="554"/>
  <c r="P54" i="554"/>
  <c r="Y54" i="554"/>
  <c r="AA77" i="526"/>
  <c r="O77" i="526"/>
  <c r="W77" i="526"/>
  <c r="X77" i="526"/>
  <c r="Z77" i="526"/>
  <c r="U77" i="526"/>
  <c r="V77" i="526"/>
  <c r="Y77" i="526"/>
  <c r="Z8" i="526"/>
  <c r="AA8" i="526"/>
  <c r="X8" i="526"/>
  <c r="O8" i="526"/>
  <c r="W8" i="526"/>
  <c r="U8" i="526"/>
  <c r="V8" i="526"/>
  <c r="Y8" i="526"/>
  <c r="Y41" i="526"/>
  <c r="W41" i="526"/>
  <c r="V41" i="526"/>
  <c r="U41" i="526"/>
  <c r="AA41" i="526"/>
  <c r="X41" i="526"/>
  <c r="Z41" i="526"/>
  <c r="O41" i="526"/>
  <c r="AA44" i="554"/>
  <c r="AB44" i="554"/>
  <c r="P44" i="554"/>
  <c r="Y44" i="554"/>
  <c r="X44" i="554"/>
  <c r="Z44" i="554"/>
  <c r="W44" i="554"/>
  <c r="V44" i="554"/>
  <c r="P10" i="412"/>
  <c r="N10" i="412"/>
  <c r="P7" i="541"/>
  <c r="N7" i="541"/>
  <c r="T7" i="541"/>
  <c r="P77" i="541"/>
  <c r="N77" i="541"/>
  <c r="L78" i="541"/>
  <c r="T77" i="541"/>
  <c r="P57" i="541"/>
  <c r="N57" i="541"/>
  <c r="T57" i="541"/>
  <c r="Y11" i="541"/>
  <c r="AA11" i="541"/>
  <c r="Z11" i="541"/>
  <c r="X11" i="541"/>
  <c r="W11" i="541"/>
  <c r="O11" i="541"/>
  <c r="V11" i="541"/>
  <c r="U11" i="541"/>
  <c r="Z80" i="541"/>
  <c r="U80" i="541"/>
  <c r="V80" i="541"/>
  <c r="Y80" i="541"/>
  <c r="W80" i="541"/>
  <c r="O80" i="541"/>
  <c r="AA80" i="541"/>
  <c r="X80" i="541"/>
  <c r="V40" i="541"/>
  <c r="X40" i="541"/>
  <c r="O40" i="541"/>
  <c r="P40" i="541"/>
  <c r="Z40" i="541"/>
  <c r="U40" i="541"/>
  <c r="Y40" i="541"/>
  <c r="W40" i="541"/>
  <c r="AA40" i="541"/>
  <c r="O12" i="541"/>
  <c r="Y12" i="541"/>
  <c r="AA12" i="541"/>
  <c r="V12" i="541"/>
  <c r="X12" i="541"/>
  <c r="W12" i="541"/>
  <c r="U12" i="541"/>
  <c r="Z12" i="541"/>
  <c r="T87" i="541"/>
  <c r="V87" i="541"/>
  <c r="Y87" i="541"/>
  <c r="Z87" i="541"/>
  <c r="X87" i="541"/>
  <c r="W87" i="541"/>
  <c r="U87" i="541"/>
  <c r="AA87" i="541"/>
  <c r="Z75" i="541"/>
  <c r="U75" i="541"/>
  <c r="W75" i="541"/>
  <c r="V75" i="541"/>
  <c r="AA75" i="541"/>
  <c r="X75" i="541"/>
  <c r="Y75" i="541"/>
  <c r="O75" i="541"/>
  <c r="T10" i="541"/>
  <c r="P10" i="541"/>
  <c r="N10" i="541"/>
  <c r="O64" i="541"/>
  <c r="P64" i="541"/>
  <c r="N64" i="541"/>
  <c r="V64" i="541"/>
  <c r="X64" i="541"/>
  <c r="U64" i="541"/>
  <c r="Z64" i="541"/>
  <c r="Y64" i="541"/>
  <c r="W64" i="541"/>
  <c r="AA64" i="541"/>
  <c r="Z54" i="541"/>
  <c r="O54" i="541"/>
  <c r="X54" i="541"/>
  <c r="AA54" i="541"/>
  <c r="W54" i="541"/>
  <c r="U54" i="541"/>
  <c r="Y54" i="541"/>
  <c r="V54" i="541"/>
  <c r="Y35" i="541"/>
  <c r="AA35" i="541"/>
  <c r="V35" i="541"/>
  <c r="W35" i="541"/>
  <c r="X35" i="541"/>
  <c r="U35" i="541"/>
  <c r="O35" i="541"/>
  <c r="Z35" i="541"/>
  <c r="O31" i="541"/>
  <c r="U31" i="541"/>
  <c r="W31" i="541"/>
  <c r="X31" i="541"/>
  <c r="AA31" i="541"/>
  <c r="Y31" i="541"/>
  <c r="V31" i="541"/>
  <c r="Z31" i="541"/>
  <c r="T53" i="541"/>
  <c r="P53" i="541"/>
  <c r="N53" i="541"/>
  <c r="L54" i="541"/>
  <c r="P16" i="541"/>
  <c r="N16" i="541"/>
  <c r="T16" i="541"/>
  <c r="O48" i="541"/>
  <c r="AA48" i="541"/>
  <c r="V48" i="541"/>
  <c r="U48" i="541"/>
  <c r="X48" i="541"/>
  <c r="Y48" i="541"/>
  <c r="Z48" i="541"/>
  <c r="W48" i="541"/>
  <c r="AA85" i="541"/>
  <c r="W85" i="541"/>
  <c r="Y85" i="541"/>
  <c r="X85" i="541"/>
  <c r="U85" i="541"/>
  <c r="V85" i="541"/>
  <c r="Z85" i="541"/>
  <c r="O56" i="541"/>
  <c r="Z56" i="541"/>
  <c r="X56" i="541"/>
  <c r="AA56" i="541"/>
  <c r="U56" i="541"/>
  <c r="V56" i="541"/>
  <c r="W56" i="541"/>
  <c r="Y56" i="541"/>
  <c r="X78" i="541"/>
  <c r="Z78" i="541"/>
  <c r="Y78" i="541"/>
  <c r="V78" i="541"/>
  <c r="O78" i="541"/>
  <c r="W78" i="541"/>
  <c r="U78" i="541"/>
  <c r="AA78" i="541"/>
  <c r="O32" i="541"/>
  <c r="U32" i="541"/>
  <c r="W32" i="541"/>
  <c r="Y32" i="541"/>
  <c r="AA32" i="541"/>
  <c r="V32" i="541"/>
  <c r="Z32" i="541"/>
  <c r="X32" i="541"/>
  <c r="Y50" i="541"/>
  <c r="AA50" i="541"/>
  <c r="W50" i="541"/>
  <c r="O50" i="541"/>
  <c r="X50" i="541"/>
  <c r="Z50" i="541"/>
  <c r="U50" i="541"/>
  <c r="V50" i="541"/>
  <c r="W26" i="541"/>
  <c r="O26" i="541"/>
  <c r="U26" i="541"/>
  <c r="V26" i="541"/>
  <c r="X26" i="541"/>
  <c r="AA26" i="541"/>
  <c r="Z26" i="541"/>
  <c r="Y26" i="541"/>
  <c r="P74" i="541"/>
  <c r="N74" i="541"/>
  <c r="T74" i="541"/>
  <c r="O9" i="541"/>
  <c r="V9" i="541"/>
  <c r="X9" i="541"/>
  <c r="Z9" i="541"/>
  <c r="U9" i="541"/>
  <c r="Y9" i="541"/>
  <c r="W9" i="541"/>
  <c r="AA9" i="541"/>
  <c r="X42" i="541"/>
  <c r="Z42" i="541"/>
  <c r="O42" i="541"/>
  <c r="P42" i="541"/>
  <c r="N42" i="541"/>
  <c r="U42" i="541"/>
  <c r="Y42" i="541"/>
  <c r="W42" i="541"/>
  <c r="V42" i="541"/>
  <c r="AA42" i="541"/>
  <c r="P49" i="541"/>
  <c r="N49" i="541"/>
  <c r="T49" i="541"/>
  <c r="Z51" i="541"/>
  <c r="U51" i="541"/>
  <c r="W51" i="541"/>
  <c r="Y51" i="541"/>
  <c r="V51" i="541"/>
  <c r="O51" i="541"/>
  <c r="X51" i="541"/>
  <c r="AA51" i="541"/>
  <c r="X62" i="541"/>
  <c r="AA62" i="541"/>
  <c r="U62" i="541"/>
  <c r="V62" i="541"/>
  <c r="Y62" i="541"/>
  <c r="O62" i="541"/>
  <c r="P62" i="541"/>
  <c r="N62" i="541"/>
  <c r="L63" i="541"/>
  <c r="L64" i="541"/>
  <c r="Z62" i="541"/>
  <c r="W62" i="541"/>
  <c r="U34" i="541"/>
  <c r="O34" i="541"/>
  <c r="X34" i="541"/>
  <c r="Y34" i="541"/>
  <c r="Z34" i="541"/>
  <c r="W34" i="541"/>
  <c r="AA34" i="541"/>
  <c r="V34" i="541"/>
  <c r="X30" i="541"/>
  <c r="V30" i="541"/>
  <c r="U30" i="541"/>
  <c r="Z30" i="541"/>
  <c r="W30" i="541"/>
  <c r="O30" i="541"/>
  <c r="AA30" i="541"/>
  <c r="Y30" i="541"/>
  <c r="P79" i="541"/>
  <c r="N79" i="541"/>
  <c r="T79" i="541"/>
  <c r="T81" i="541"/>
  <c r="P81" i="541"/>
  <c r="N81" i="541"/>
  <c r="V18" i="541"/>
  <c r="Z18" i="541"/>
  <c r="W18" i="541"/>
  <c r="AA18" i="541"/>
  <c r="O18" i="541"/>
  <c r="X18" i="541"/>
  <c r="Y18" i="541"/>
  <c r="U18" i="541"/>
  <c r="V20" i="541"/>
  <c r="Z20" i="541"/>
  <c r="W20" i="541"/>
  <c r="AA20" i="541"/>
  <c r="X20" i="541"/>
  <c r="O20" i="541"/>
  <c r="Y20" i="541"/>
  <c r="U20" i="541"/>
  <c r="T46" i="541"/>
  <c r="P46" i="541"/>
  <c r="N46" i="541"/>
  <c r="T55" i="541"/>
  <c r="P55" i="541"/>
  <c r="N55" i="541"/>
  <c r="AB90" i="541"/>
  <c r="U26" i="519"/>
  <c r="Q26" i="519"/>
  <c r="O26" i="519"/>
  <c r="P6" i="526"/>
  <c r="N6" i="526"/>
  <c r="T6" i="526"/>
  <c r="U44" i="519"/>
  <c r="Q44" i="519"/>
  <c r="O44" i="519"/>
  <c r="U27" i="519"/>
  <c r="P55" i="519"/>
  <c r="T55" i="519"/>
  <c r="V55" i="519"/>
  <c r="S55" i="519"/>
  <c r="T72" i="526"/>
  <c r="P72" i="526"/>
  <c r="N72" i="526"/>
  <c r="T36" i="517"/>
  <c r="P36" i="517"/>
  <c r="N36" i="517"/>
  <c r="T61" i="519"/>
  <c r="V61" i="519"/>
  <c r="S61" i="519"/>
  <c r="P31" i="526"/>
  <c r="N31" i="526"/>
  <c r="L32" i="526"/>
  <c r="T31" i="526"/>
  <c r="U76" i="519"/>
  <c r="Q76" i="519"/>
  <c r="O76" i="519"/>
  <c r="P22" i="526"/>
  <c r="N22" i="526"/>
  <c r="L23" i="526"/>
  <c r="T22" i="526"/>
  <c r="T14" i="526"/>
  <c r="P14" i="526"/>
  <c r="N14" i="526"/>
  <c r="T41" i="517"/>
  <c r="P41" i="517"/>
  <c r="T47" i="526"/>
  <c r="P47" i="526"/>
  <c r="N47" i="526"/>
  <c r="P9" i="530"/>
  <c r="N9" i="530"/>
  <c r="L10" i="530"/>
  <c r="T9" i="530"/>
  <c r="T33" i="526"/>
  <c r="P33" i="526"/>
  <c r="N33" i="526"/>
  <c r="U39" i="519"/>
  <c r="Q39" i="519"/>
  <c r="O39" i="519"/>
  <c r="M40" i="519"/>
  <c r="P26" i="526"/>
  <c r="N26" i="526"/>
  <c r="T26" i="526"/>
  <c r="T15" i="526"/>
  <c r="P15" i="526"/>
  <c r="N15" i="526"/>
  <c r="U6" i="519"/>
  <c r="Q6" i="519"/>
  <c r="O6" i="519"/>
  <c r="U5" i="519"/>
  <c r="Q5" i="519"/>
  <c r="O5" i="519"/>
  <c r="M6" i="519"/>
  <c r="P24" i="526"/>
  <c r="N24" i="526"/>
  <c r="T24" i="526"/>
  <c r="T62" i="526"/>
  <c r="P62" i="526"/>
  <c r="N62" i="526"/>
  <c r="U36" i="519"/>
  <c r="Q36" i="519"/>
  <c r="O36" i="519"/>
  <c r="P57" i="517"/>
  <c r="T57" i="517"/>
  <c r="T64" i="526"/>
  <c r="P64" i="526"/>
  <c r="N64" i="526"/>
  <c r="P68" i="526"/>
  <c r="N68" i="526"/>
  <c r="L69" i="526"/>
  <c r="T68" i="526"/>
  <c r="U46" i="519"/>
  <c r="Q46" i="519"/>
  <c r="O46" i="519"/>
  <c r="M47" i="519"/>
  <c r="U61" i="519"/>
  <c r="Q61" i="519"/>
  <c r="O61" i="519"/>
  <c r="P70" i="526"/>
  <c r="N70" i="526"/>
  <c r="T70" i="526"/>
  <c r="P53" i="526"/>
  <c r="N53" i="526"/>
  <c r="L54" i="526"/>
  <c r="L55" i="526"/>
  <c r="T53" i="526"/>
  <c r="U19" i="519"/>
  <c r="Q19" i="519"/>
  <c r="O19" i="519"/>
  <c r="M20" i="519"/>
  <c r="U29" i="519"/>
  <c r="Q29" i="519"/>
  <c r="O29" i="519"/>
  <c r="M30" i="519"/>
  <c r="M31" i="519"/>
  <c r="U53" i="519"/>
  <c r="T48" i="526"/>
  <c r="P48" i="526"/>
  <c r="N48" i="526"/>
  <c r="Q66" i="519"/>
  <c r="O66" i="519"/>
  <c r="X16" i="517"/>
  <c r="Z16" i="517"/>
  <c r="O16" i="517"/>
  <c r="U16" i="517"/>
  <c r="W16" i="517"/>
  <c r="Y16" i="517"/>
  <c r="AA16" i="517"/>
  <c r="V16" i="517"/>
  <c r="U13" i="517"/>
  <c r="O13" i="517"/>
  <c r="W13" i="517"/>
  <c r="Y13" i="517"/>
  <c r="AA13" i="517"/>
  <c r="V13" i="517"/>
  <c r="X13" i="517"/>
  <c r="Z13" i="517"/>
  <c r="U68" i="517"/>
  <c r="W68" i="517"/>
  <c r="Y68" i="517"/>
  <c r="AA68" i="517"/>
  <c r="V68" i="517"/>
  <c r="O68" i="517"/>
  <c r="Z68" i="517"/>
  <c r="X68" i="517"/>
  <c r="W45" i="517"/>
  <c r="Y45" i="517"/>
  <c r="O45" i="517"/>
  <c r="AA45" i="517"/>
  <c r="V45" i="517"/>
  <c r="X45" i="517"/>
  <c r="Z45" i="517"/>
  <c r="U45" i="517"/>
  <c r="T69" i="526"/>
  <c r="O35" i="543"/>
  <c r="T35" i="543"/>
  <c r="O61" i="543"/>
  <c r="T61" i="543"/>
  <c r="T80" i="524"/>
  <c r="P80" i="524"/>
  <c r="N80" i="524"/>
  <c r="O40" i="530"/>
  <c r="T40" i="530"/>
  <c r="V40" i="530"/>
  <c r="X40" i="530"/>
  <c r="U40" i="530"/>
  <c r="W40" i="530"/>
  <c r="Y40" i="530"/>
  <c r="AA40" i="530"/>
  <c r="Z40" i="530"/>
  <c r="AA64" i="530"/>
  <c r="V64" i="530"/>
  <c r="X64" i="530"/>
  <c r="W64" i="530"/>
  <c r="U64" i="530"/>
  <c r="O64" i="530"/>
  <c r="T64" i="530"/>
  <c r="Z64" i="530"/>
  <c r="Y64" i="530"/>
  <c r="P56" i="517"/>
  <c r="N56" i="517"/>
  <c r="P23" i="526"/>
  <c r="N23" i="526"/>
  <c r="T23" i="526"/>
  <c r="T42" i="526"/>
  <c r="O62" i="543"/>
  <c r="T62" i="543"/>
  <c r="P21" i="517"/>
  <c r="N21" i="517"/>
  <c r="T21" i="517"/>
  <c r="T8" i="517"/>
  <c r="P8" i="517"/>
  <c r="N8" i="517"/>
  <c r="P27" i="526"/>
  <c r="N27" i="526"/>
  <c r="T27" i="526"/>
  <c r="T17" i="526"/>
  <c r="P17" i="526"/>
  <c r="N17" i="526"/>
  <c r="P96" i="524"/>
  <c r="N96" i="524"/>
  <c r="W70" i="517"/>
  <c r="V70" i="517"/>
  <c r="X70" i="517"/>
  <c r="AA70" i="517"/>
  <c r="U70" i="517"/>
  <c r="Z70" i="517"/>
  <c r="Y70" i="517"/>
  <c r="O70" i="517"/>
  <c r="Y15" i="517"/>
  <c r="AA15" i="517"/>
  <c r="V15" i="517"/>
  <c r="X15" i="517"/>
  <c r="O15" i="517"/>
  <c r="Z15" i="517"/>
  <c r="U15" i="517"/>
  <c r="W15" i="517"/>
  <c r="T39" i="517"/>
  <c r="P39" i="517"/>
  <c r="N39" i="517"/>
  <c r="T73" i="526"/>
  <c r="P73" i="526"/>
  <c r="N73" i="526"/>
  <c r="P59" i="519"/>
  <c r="S59" i="519"/>
  <c r="T59" i="519"/>
  <c r="AB59" i="519"/>
  <c r="U37" i="526"/>
  <c r="AA37" i="526"/>
  <c r="Z37" i="526"/>
  <c r="X37" i="526"/>
  <c r="V37" i="526"/>
  <c r="W37" i="526"/>
  <c r="Y37" i="526"/>
  <c r="O37" i="526"/>
  <c r="P47" i="412"/>
  <c r="N47" i="412"/>
  <c r="T47" i="412"/>
  <c r="Q47" i="519"/>
  <c r="O47" i="519"/>
  <c r="T32" i="526"/>
  <c r="P32" i="526"/>
  <c r="N32" i="526"/>
  <c r="Z24" i="519"/>
  <c r="AB24" i="519"/>
  <c r="W24" i="519"/>
  <c r="Y24" i="519"/>
  <c r="AA24" i="519"/>
  <c r="V24" i="519"/>
  <c r="X24" i="519"/>
  <c r="P24" i="519"/>
  <c r="AA10" i="519"/>
  <c r="P10" i="519"/>
  <c r="X10" i="519"/>
  <c r="V10" i="519"/>
  <c r="AB10" i="519"/>
  <c r="Z10" i="519"/>
  <c r="W10" i="519"/>
  <c r="Y10" i="519"/>
  <c r="T98" i="524"/>
  <c r="U10" i="530"/>
  <c r="Z10" i="530"/>
  <c r="W10" i="530"/>
  <c r="V10" i="530"/>
  <c r="O10" i="530"/>
  <c r="X10" i="530"/>
  <c r="AA10" i="530"/>
  <c r="Y10" i="530"/>
  <c r="T69" i="517"/>
  <c r="P69" i="517"/>
  <c r="N69" i="517"/>
  <c r="U32" i="517"/>
  <c r="W32" i="517"/>
  <c r="Y32" i="517"/>
  <c r="AA32" i="517"/>
  <c r="O32" i="517"/>
  <c r="V32" i="517"/>
  <c r="X32" i="517"/>
  <c r="Z32" i="517"/>
  <c r="U50" i="517"/>
  <c r="W50" i="517"/>
  <c r="Y50" i="517"/>
  <c r="AA50" i="517"/>
  <c r="O50" i="517"/>
  <c r="V50" i="517"/>
  <c r="X50" i="517"/>
  <c r="Z50" i="517"/>
  <c r="Y71" i="517"/>
  <c r="W71" i="517"/>
  <c r="O71" i="517"/>
  <c r="AA71" i="517"/>
  <c r="U71" i="517"/>
  <c r="V71" i="517"/>
  <c r="X71" i="517"/>
  <c r="Z71" i="517"/>
  <c r="Y58" i="517"/>
  <c r="W58" i="517"/>
  <c r="V58" i="517"/>
  <c r="AA58" i="517"/>
  <c r="Z58" i="517"/>
  <c r="X58" i="517"/>
  <c r="U58" i="517"/>
  <c r="O58" i="517"/>
  <c r="T36" i="526"/>
  <c r="P36" i="526"/>
  <c r="N36" i="526"/>
  <c r="U37" i="519"/>
  <c r="U25" i="519"/>
  <c r="Q25" i="519"/>
  <c r="O25" i="519"/>
  <c r="O13" i="543"/>
  <c r="T13" i="543"/>
  <c r="T56" i="524"/>
  <c r="P56" i="524"/>
  <c r="N56" i="524"/>
  <c r="X56" i="530"/>
  <c r="U56" i="530"/>
  <c r="O56" i="530"/>
  <c r="V56" i="530"/>
  <c r="W56" i="530"/>
  <c r="Z56" i="530"/>
  <c r="AA56" i="530"/>
  <c r="Y56" i="530"/>
  <c r="U42" i="519"/>
  <c r="Q42" i="519"/>
  <c r="O42" i="519"/>
  <c r="T99" i="524"/>
  <c r="P62" i="517"/>
  <c r="N62" i="517"/>
  <c r="T62" i="517"/>
  <c r="T91" i="524"/>
  <c r="P91" i="524"/>
  <c r="N91" i="524"/>
  <c r="T55" i="524"/>
  <c r="P55" i="524"/>
  <c r="N55" i="524"/>
  <c r="T25" i="555"/>
  <c r="P25" i="555"/>
  <c r="N25" i="555"/>
  <c r="Z22" i="517"/>
  <c r="U22" i="517"/>
  <c r="W22" i="517"/>
  <c r="Y22" i="517"/>
  <c r="O22" i="517"/>
  <c r="AA22" i="517"/>
  <c r="V22" i="517"/>
  <c r="X22" i="517"/>
  <c r="O20" i="517"/>
  <c r="V20" i="517"/>
  <c r="X20" i="517"/>
  <c r="Z20" i="517"/>
  <c r="U20" i="517"/>
  <c r="W20" i="517"/>
  <c r="Y20" i="517"/>
  <c r="AA20" i="517"/>
  <c r="O55" i="517"/>
  <c r="V55" i="517"/>
  <c r="X55" i="517"/>
  <c r="Z55" i="517"/>
  <c r="U55" i="517"/>
  <c r="W55" i="517"/>
  <c r="Y55" i="517"/>
  <c r="AA55" i="517"/>
  <c r="P80" i="526"/>
  <c r="N80" i="526"/>
  <c r="T80" i="526"/>
  <c r="S62" i="519"/>
  <c r="U74" i="526"/>
  <c r="W74" i="526"/>
  <c r="Z74" i="526"/>
  <c r="AA74" i="526"/>
  <c r="V74" i="526"/>
  <c r="X74" i="526"/>
  <c r="Y74" i="526"/>
  <c r="O74" i="526"/>
  <c r="Y8" i="519"/>
  <c r="W8" i="519"/>
  <c r="V8" i="519"/>
  <c r="AA8" i="519"/>
  <c r="X8" i="519"/>
  <c r="Z8" i="519"/>
  <c r="P8" i="519"/>
  <c r="AB8" i="519"/>
  <c r="V22" i="519"/>
  <c r="X22" i="519"/>
  <c r="Z22" i="519"/>
  <c r="AB22" i="519"/>
  <c r="W22" i="519"/>
  <c r="Y22" i="519"/>
  <c r="AA22" i="519"/>
  <c r="P22" i="519"/>
  <c r="W53" i="517"/>
  <c r="U53" i="517"/>
  <c r="AA53" i="517"/>
  <c r="Y53" i="517"/>
  <c r="V53" i="517"/>
  <c r="X53" i="517"/>
  <c r="Z53" i="517"/>
  <c r="O53" i="517"/>
  <c r="Y7" i="517"/>
  <c r="AA7" i="517"/>
  <c r="V7" i="517"/>
  <c r="X7" i="517"/>
  <c r="O7" i="517"/>
  <c r="Z7" i="517"/>
  <c r="U7" i="517"/>
  <c r="W7" i="517"/>
  <c r="O30" i="517"/>
  <c r="AA30" i="517"/>
  <c r="V30" i="517"/>
  <c r="X30" i="517"/>
  <c r="Z30" i="517"/>
  <c r="U30" i="517"/>
  <c r="W30" i="517"/>
  <c r="Y30" i="517"/>
  <c r="T65" i="526"/>
  <c r="P65" i="526"/>
  <c r="N65" i="526"/>
  <c r="U41" i="519"/>
  <c r="Q41" i="519"/>
  <c r="O41" i="519"/>
  <c r="T37" i="555"/>
  <c r="P37" i="555"/>
  <c r="N37" i="555"/>
  <c r="T97" i="524"/>
  <c r="P97" i="524"/>
  <c r="N97" i="524"/>
  <c r="Z49" i="530"/>
  <c r="V49" i="530"/>
  <c r="U49" i="530"/>
  <c r="O49" i="530"/>
  <c r="AA49" i="530"/>
  <c r="Y49" i="530"/>
  <c r="X49" i="530"/>
  <c r="W49" i="530"/>
  <c r="U52" i="519"/>
  <c r="Q52" i="519"/>
  <c r="O52" i="519"/>
  <c r="U43" i="519"/>
  <c r="T37" i="524"/>
  <c r="P37" i="524"/>
  <c r="N37" i="524"/>
  <c r="O59" i="543"/>
  <c r="T59" i="543"/>
  <c r="T94" i="524"/>
  <c r="P94" i="524"/>
  <c r="N94" i="524"/>
  <c r="T104" i="524"/>
  <c r="P104" i="524"/>
  <c r="N104" i="524"/>
  <c r="U30" i="519"/>
  <c r="Q30" i="519"/>
  <c r="U23" i="519"/>
  <c r="Q23" i="519"/>
  <c r="O23" i="519"/>
  <c r="P52" i="524"/>
  <c r="N52" i="524"/>
  <c r="U28" i="517"/>
  <c r="W28" i="517"/>
  <c r="Y28" i="517"/>
  <c r="AA28" i="517"/>
  <c r="O28" i="517"/>
  <c r="V28" i="517"/>
  <c r="X28" i="517"/>
  <c r="Z28" i="517"/>
  <c r="O40" i="517"/>
  <c r="V40" i="517"/>
  <c r="X40" i="517"/>
  <c r="Z40" i="517"/>
  <c r="U40" i="517"/>
  <c r="W40" i="517"/>
  <c r="Y40" i="517"/>
  <c r="AA40" i="517"/>
  <c r="O47" i="517"/>
  <c r="Z47" i="517"/>
  <c r="U47" i="517"/>
  <c r="W47" i="517"/>
  <c r="Y47" i="517"/>
  <c r="AA47" i="517"/>
  <c r="V47" i="517"/>
  <c r="X47" i="517"/>
  <c r="O7" i="526"/>
  <c r="U7" i="526"/>
  <c r="V7" i="526"/>
  <c r="X7" i="526"/>
  <c r="Z7" i="526"/>
  <c r="W7" i="526"/>
  <c r="Y7" i="526"/>
  <c r="AA7" i="526"/>
  <c r="AA15" i="519"/>
  <c r="X15" i="519"/>
  <c r="Y15" i="519"/>
  <c r="W15" i="519"/>
  <c r="Z15" i="519"/>
  <c r="P15" i="519"/>
  <c r="V15" i="519"/>
  <c r="AB15" i="519"/>
  <c r="V71" i="519"/>
  <c r="Z71" i="519"/>
  <c r="AB71" i="519"/>
  <c r="X71" i="519"/>
  <c r="Y71" i="519"/>
  <c r="W71" i="519"/>
  <c r="G71" i="519"/>
  <c r="T71" i="519"/>
  <c r="AA71" i="519"/>
  <c r="AB47" i="524"/>
  <c r="T54" i="524"/>
  <c r="P54" i="524"/>
  <c r="N54" i="524"/>
  <c r="P53" i="555"/>
  <c r="N53" i="555"/>
  <c r="O26" i="517"/>
  <c r="AA26" i="517"/>
  <c r="V26" i="517"/>
  <c r="X26" i="517"/>
  <c r="Z26" i="517"/>
  <c r="U26" i="517"/>
  <c r="W26" i="517"/>
  <c r="Y26" i="517"/>
  <c r="W61" i="517"/>
  <c r="Y61" i="517"/>
  <c r="AA61" i="517"/>
  <c r="V61" i="517"/>
  <c r="X61" i="517"/>
  <c r="O61" i="517"/>
  <c r="Z61" i="517"/>
  <c r="U61" i="517"/>
  <c r="AA38" i="517"/>
  <c r="V38" i="517"/>
  <c r="X38" i="517"/>
  <c r="Z38" i="517"/>
  <c r="U38" i="517"/>
  <c r="W38" i="517"/>
  <c r="Y38" i="517"/>
  <c r="O38" i="517"/>
  <c r="V42" i="517"/>
  <c r="X42" i="517"/>
  <c r="Z42" i="517"/>
  <c r="U42" i="517"/>
  <c r="W42" i="517"/>
  <c r="Y42" i="517"/>
  <c r="AA42" i="517"/>
  <c r="O42" i="517"/>
  <c r="P25" i="526"/>
  <c r="N25" i="526"/>
  <c r="T25" i="526"/>
  <c r="T51" i="524"/>
  <c r="P51" i="524"/>
  <c r="N51" i="524"/>
  <c r="T100" i="524"/>
  <c r="O67" i="530"/>
  <c r="T67" i="530"/>
  <c r="AA67" i="530"/>
  <c r="X67" i="530"/>
  <c r="W67" i="530"/>
  <c r="Y67" i="530"/>
  <c r="U67" i="530"/>
  <c r="Z67" i="530"/>
  <c r="V67" i="530"/>
  <c r="O14" i="530"/>
  <c r="V14" i="530"/>
  <c r="Z14" i="530"/>
  <c r="U14" i="530"/>
  <c r="Y14" i="530"/>
  <c r="W14" i="530"/>
  <c r="X14" i="530"/>
  <c r="AA14" i="530"/>
  <c r="P33" i="517"/>
  <c r="N33" i="517"/>
  <c r="T33" i="517"/>
  <c r="T48" i="517"/>
  <c r="P48" i="517"/>
  <c r="N48" i="517"/>
  <c r="O38" i="543"/>
  <c r="T38" i="543"/>
  <c r="T57" i="555"/>
  <c r="P57" i="555"/>
  <c r="N57" i="555"/>
  <c r="L58" i="555"/>
  <c r="T53" i="524"/>
  <c r="U70" i="519"/>
  <c r="Q70" i="519"/>
  <c r="O70" i="519"/>
  <c r="T34" i="530"/>
  <c r="Y27" i="517"/>
  <c r="AA27" i="517"/>
  <c r="V27" i="517"/>
  <c r="X27" i="517"/>
  <c r="O27" i="517"/>
  <c r="Z27" i="517"/>
  <c r="U27" i="517"/>
  <c r="W27" i="517"/>
  <c r="AA29" i="517"/>
  <c r="V29" i="517"/>
  <c r="X29" i="517"/>
  <c r="Z29" i="517"/>
  <c r="O29" i="517"/>
  <c r="U29" i="517"/>
  <c r="W29" i="517"/>
  <c r="Y29" i="517"/>
  <c r="P58" i="519"/>
  <c r="T58" i="519"/>
  <c r="AB58" i="519"/>
  <c r="S58" i="519"/>
  <c r="AA44" i="526"/>
  <c r="V44" i="526"/>
  <c r="W44" i="526"/>
  <c r="U44" i="526"/>
  <c r="O44" i="526"/>
  <c r="Z44" i="526"/>
  <c r="X44" i="526"/>
  <c r="Y44" i="526"/>
  <c r="Q13" i="519"/>
  <c r="O13" i="519"/>
  <c r="U13" i="519"/>
  <c r="Y40" i="519"/>
  <c r="W40" i="519"/>
  <c r="V40" i="519"/>
  <c r="X40" i="519"/>
  <c r="Z40" i="519"/>
  <c r="AB40" i="519"/>
  <c r="AA40" i="519"/>
  <c r="P40" i="519"/>
  <c r="T47" i="524"/>
  <c r="P47" i="524"/>
  <c r="N47" i="524"/>
  <c r="T41" i="555"/>
  <c r="P41" i="555"/>
  <c r="N41" i="555"/>
  <c r="L42" i="555"/>
  <c r="T95" i="524"/>
  <c r="P95" i="524"/>
  <c r="N95" i="524"/>
  <c r="AA18" i="530"/>
  <c r="V18" i="530"/>
  <c r="X18" i="530"/>
  <c r="Y18" i="530"/>
  <c r="W18" i="530"/>
  <c r="U18" i="530"/>
  <c r="Z18" i="530"/>
  <c r="O18" i="530"/>
  <c r="X17" i="519"/>
  <c r="W17" i="519"/>
  <c r="Y17" i="519"/>
  <c r="Z17" i="519"/>
  <c r="P17" i="519"/>
  <c r="V17" i="519"/>
  <c r="AB17" i="519"/>
  <c r="AA17" i="519"/>
  <c r="G57" i="519"/>
  <c r="P57" i="519"/>
  <c r="W57" i="519"/>
  <c r="V57" i="519"/>
  <c r="Y57" i="519"/>
  <c r="X57" i="519"/>
  <c r="AA57" i="519"/>
  <c r="AB57" i="519"/>
  <c r="AB73" i="519"/>
  <c r="W73" i="519"/>
  <c r="G73" i="519"/>
  <c r="T73" i="519"/>
  <c r="Z73" i="519"/>
  <c r="Y73" i="519"/>
  <c r="AA73" i="519"/>
  <c r="V73" i="519"/>
  <c r="X73" i="519"/>
  <c r="T20" i="412"/>
  <c r="P20" i="412"/>
  <c r="N20" i="412"/>
  <c r="P45" i="543"/>
  <c r="N45" i="543"/>
  <c r="P57" i="543"/>
  <c r="N57" i="543"/>
  <c r="Q70" i="554"/>
  <c r="O70" i="554"/>
  <c r="U70" i="554"/>
  <c r="T48" i="524"/>
  <c r="P48" i="524"/>
  <c r="N48" i="524"/>
  <c r="P37" i="530"/>
  <c r="N37" i="530"/>
  <c r="T37" i="530"/>
  <c r="T47" i="530"/>
  <c r="P47" i="530"/>
  <c r="P22" i="412"/>
  <c r="N22" i="412"/>
  <c r="T22" i="412"/>
  <c r="T34" i="412"/>
  <c r="P34" i="412"/>
  <c r="N34" i="412"/>
  <c r="Q36" i="554"/>
  <c r="O36" i="554"/>
  <c r="U36" i="554"/>
  <c r="T72" i="524"/>
  <c r="P72" i="524"/>
  <c r="N72" i="524"/>
  <c r="T31" i="524"/>
  <c r="P31" i="524"/>
  <c r="N31" i="524"/>
  <c r="T90" i="524"/>
  <c r="T10" i="555"/>
  <c r="P10" i="555"/>
  <c r="N10" i="555"/>
  <c r="V50" i="519"/>
  <c r="Z50" i="519"/>
  <c r="P50" i="519"/>
  <c r="W50" i="519"/>
  <c r="AB50" i="519"/>
  <c r="AA50" i="519"/>
  <c r="Y50" i="519"/>
  <c r="X50" i="519"/>
  <c r="AB20" i="519"/>
  <c r="X20" i="519"/>
  <c r="Y20" i="519"/>
  <c r="AA20" i="519"/>
  <c r="W20" i="519"/>
  <c r="Z20" i="519"/>
  <c r="P20" i="519"/>
  <c r="V20" i="519"/>
  <c r="AA28" i="412"/>
  <c r="I21" i="38"/>
  <c r="U28" i="412"/>
  <c r="C21" i="38"/>
  <c r="Y28" i="412"/>
  <c r="G21" i="38"/>
  <c r="X28" i="412"/>
  <c r="F21" i="38"/>
  <c r="Z28" i="412"/>
  <c r="H21" i="38"/>
  <c r="W28" i="412"/>
  <c r="E21" i="38"/>
  <c r="O28" i="412"/>
  <c r="V28" i="412"/>
  <c r="D21" i="38"/>
  <c r="X21" i="412"/>
  <c r="Y21" i="412"/>
  <c r="Z21" i="412"/>
  <c r="AA21" i="412"/>
  <c r="O21" i="412"/>
  <c r="V21" i="412"/>
  <c r="U21" i="412"/>
  <c r="W21" i="412"/>
  <c r="S10" i="554"/>
  <c r="T10" i="554"/>
  <c r="AB10" i="554"/>
  <c r="Q16" i="554"/>
  <c r="O16" i="554"/>
  <c r="U16" i="554"/>
  <c r="P67" i="524"/>
  <c r="N67" i="524"/>
  <c r="T67" i="524"/>
  <c r="P109" i="524"/>
  <c r="N109" i="524"/>
  <c r="T109" i="524"/>
  <c r="T30" i="524"/>
  <c r="P30" i="524"/>
  <c r="N30" i="524"/>
  <c r="T18" i="524"/>
  <c r="P18" i="524"/>
  <c r="N18" i="524"/>
  <c r="T42" i="555"/>
  <c r="P42" i="555"/>
  <c r="N42" i="555"/>
  <c r="T7" i="555"/>
  <c r="P7" i="555"/>
  <c r="N7" i="555"/>
  <c r="T20" i="530"/>
  <c r="P20" i="530"/>
  <c r="N20" i="530"/>
  <c r="P53" i="530"/>
  <c r="N53" i="530"/>
  <c r="T53" i="530"/>
  <c r="P17" i="530"/>
  <c r="N17" i="530"/>
  <c r="T17" i="530"/>
  <c r="Y26" i="412"/>
  <c r="Z26" i="412"/>
  <c r="AA26" i="412"/>
  <c r="X26" i="412"/>
  <c r="U26" i="412"/>
  <c r="W26" i="412"/>
  <c r="V26" i="412"/>
  <c r="O26" i="412"/>
  <c r="U53" i="554"/>
  <c r="Q53" i="554"/>
  <c r="O53" i="554"/>
  <c r="M54" i="554"/>
  <c r="U29" i="554"/>
  <c r="Q29" i="554"/>
  <c r="O29" i="554"/>
  <c r="T86" i="524"/>
  <c r="P86" i="524"/>
  <c r="N86" i="524"/>
  <c r="T15" i="524"/>
  <c r="P15" i="524"/>
  <c r="N15" i="524"/>
  <c r="T71" i="524"/>
  <c r="P71" i="524"/>
  <c r="N71" i="524"/>
  <c r="T6" i="555"/>
  <c r="P6" i="555"/>
  <c r="N6" i="555"/>
  <c r="P13" i="530"/>
  <c r="N13" i="530"/>
  <c r="T13" i="530"/>
  <c r="P25" i="530"/>
  <c r="N25" i="530"/>
  <c r="L26" i="530"/>
  <c r="T25" i="530"/>
  <c r="V74" i="519"/>
  <c r="X74" i="519"/>
  <c r="AA74" i="519"/>
  <c r="Y74" i="519"/>
  <c r="W74" i="519"/>
  <c r="G74" i="519"/>
  <c r="T74" i="519"/>
  <c r="Z74" i="519"/>
  <c r="AB74" i="519"/>
  <c r="U25" i="554"/>
  <c r="Q25" i="554"/>
  <c r="O25" i="554"/>
  <c r="Q56" i="554"/>
  <c r="O56" i="554"/>
  <c r="U56" i="554"/>
  <c r="T12" i="524"/>
  <c r="P12" i="524"/>
  <c r="N12" i="524"/>
  <c r="T50" i="555"/>
  <c r="P50" i="555"/>
  <c r="N50" i="555"/>
  <c r="T37" i="412"/>
  <c r="P37" i="412"/>
  <c r="N37" i="412"/>
  <c r="T28" i="524"/>
  <c r="P28" i="524"/>
  <c r="N28" i="524"/>
  <c r="T43" i="524"/>
  <c r="P43" i="524"/>
  <c r="N43" i="524"/>
  <c r="T106" i="524"/>
  <c r="P106" i="524"/>
  <c r="N106" i="524"/>
  <c r="T40" i="524"/>
  <c r="P40" i="524"/>
  <c r="N40" i="524"/>
  <c r="T81" i="524"/>
  <c r="P81" i="524"/>
  <c r="N81" i="524"/>
  <c r="T10" i="524"/>
  <c r="P10" i="524"/>
  <c r="N10" i="524"/>
  <c r="P107" i="524"/>
  <c r="N107" i="524"/>
  <c r="T58" i="524"/>
  <c r="P58" i="524"/>
  <c r="N58" i="524"/>
  <c r="L59" i="524"/>
  <c r="T6" i="524"/>
  <c r="P6" i="524"/>
  <c r="N6" i="524"/>
  <c r="L7" i="524"/>
  <c r="T46" i="524"/>
  <c r="P46" i="524"/>
  <c r="N46" i="524"/>
  <c r="L47" i="524"/>
  <c r="T65" i="524"/>
  <c r="P65" i="524"/>
  <c r="N65" i="524"/>
  <c r="T50" i="524"/>
  <c r="P50" i="524"/>
  <c r="N50" i="524"/>
  <c r="P44" i="555"/>
  <c r="N44" i="555"/>
  <c r="T44" i="555"/>
  <c r="P11" i="530"/>
  <c r="N11" i="530"/>
  <c r="T11" i="530"/>
  <c r="P43" i="530"/>
  <c r="N43" i="530"/>
  <c r="T43" i="530"/>
  <c r="P29" i="530"/>
  <c r="N29" i="530"/>
  <c r="T29" i="530"/>
  <c r="Y7" i="519"/>
  <c r="W7" i="519"/>
  <c r="P7" i="519"/>
  <c r="AB7" i="519"/>
  <c r="AA7" i="519"/>
  <c r="X7" i="519"/>
  <c r="Z7" i="519"/>
  <c r="V7" i="519"/>
  <c r="Y56" i="519"/>
  <c r="Z56" i="519"/>
  <c r="G56" i="519"/>
  <c r="P56" i="519"/>
  <c r="W56" i="519"/>
  <c r="AB56" i="519"/>
  <c r="AA56" i="519"/>
  <c r="V56" i="519"/>
  <c r="X14" i="519"/>
  <c r="AB14" i="519"/>
  <c r="V14" i="519"/>
  <c r="P14" i="519"/>
  <c r="Y14" i="519"/>
  <c r="Z14" i="519"/>
  <c r="W14" i="519"/>
  <c r="AA14" i="519"/>
  <c r="Y8" i="412"/>
  <c r="W8" i="412"/>
  <c r="AA8" i="412"/>
  <c r="Z8" i="412"/>
  <c r="X8" i="412"/>
  <c r="U8" i="412"/>
  <c r="V8" i="412"/>
  <c r="O8" i="412"/>
  <c r="P19" i="543"/>
  <c r="N19" i="543"/>
  <c r="Q43" i="554"/>
  <c r="O43" i="554"/>
  <c r="U43" i="554"/>
  <c r="Q15" i="554"/>
  <c r="O15" i="554"/>
  <c r="U15" i="554"/>
  <c r="T34" i="524"/>
  <c r="P34" i="524"/>
  <c r="N34" i="524"/>
  <c r="P21" i="555"/>
  <c r="N21" i="555"/>
  <c r="T21" i="555"/>
  <c r="P27" i="530"/>
  <c r="N27" i="530"/>
  <c r="T27" i="530"/>
  <c r="X13" i="412"/>
  <c r="V13" i="412"/>
  <c r="Z13" i="412"/>
  <c r="AA13" i="412"/>
  <c r="Y13" i="412"/>
  <c r="O13" i="412"/>
  <c r="U13" i="412"/>
  <c r="W13" i="412"/>
  <c r="U33" i="412"/>
  <c r="V33" i="412"/>
  <c r="Z33" i="412"/>
  <c r="O33" i="412"/>
  <c r="X33" i="412"/>
  <c r="AA33" i="412"/>
  <c r="W33" i="412"/>
  <c r="Y33" i="412"/>
  <c r="U8" i="554"/>
  <c r="Q8" i="554"/>
  <c r="O8" i="554"/>
  <c r="S9" i="554"/>
  <c r="T9" i="554"/>
  <c r="AB9" i="554"/>
  <c r="T9" i="555"/>
  <c r="P9" i="555"/>
  <c r="N9" i="555"/>
  <c r="T57" i="530"/>
  <c r="P57" i="530"/>
  <c r="N57" i="530"/>
  <c r="Z51" i="519"/>
  <c r="X51" i="519"/>
  <c r="AA51" i="519"/>
  <c r="AB51" i="519"/>
  <c r="W51" i="519"/>
  <c r="P51" i="519"/>
  <c r="V51" i="519"/>
  <c r="Y51" i="519"/>
  <c r="Q63" i="554"/>
  <c r="O63" i="554"/>
  <c r="U63" i="554"/>
  <c r="T27" i="524"/>
  <c r="P27" i="524"/>
  <c r="N27" i="524"/>
  <c r="P50" i="412"/>
  <c r="N50" i="412"/>
  <c r="T50" i="412"/>
  <c r="P32" i="519"/>
  <c r="V32" i="519"/>
  <c r="X32" i="519"/>
  <c r="Z32" i="519"/>
  <c r="AB32" i="519"/>
  <c r="W32" i="519"/>
  <c r="Y32" i="519"/>
  <c r="AA32" i="519"/>
  <c r="W16" i="519"/>
  <c r="Y16" i="519"/>
  <c r="X16" i="519"/>
  <c r="P16" i="519"/>
  <c r="Z16" i="519"/>
  <c r="AB16" i="519"/>
  <c r="AA16" i="519"/>
  <c r="V16" i="519"/>
  <c r="Y21" i="519"/>
  <c r="Z21" i="519"/>
  <c r="AA21" i="519"/>
  <c r="X21" i="519"/>
  <c r="V21" i="519"/>
  <c r="P21" i="519"/>
  <c r="W21" i="519"/>
  <c r="AB21" i="519"/>
  <c r="Q38" i="554"/>
  <c r="O38" i="554"/>
  <c r="U38" i="554"/>
  <c r="T17" i="524"/>
  <c r="P17" i="524"/>
  <c r="N17" i="524"/>
  <c r="L18" i="524"/>
  <c r="T25" i="524"/>
  <c r="P25" i="524"/>
  <c r="N25" i="524"/>
  <c r="P68" i="524"/>
  <c r="N68" i="524"/>
  <c r="T68" i="524"/>
  <c r="T88" i="524"/>
  <c r="P88" i="524"/>
  <c r="N88" i="524"/>
  <c r="T61" i="524"/>
  <c r="P61" i="524"/>
  <c r="N61" i="524"/>
  <c r="T73" i="524"/>
  <c r="P73" i="524"/>
  <c r="N73" i="524"/>
  <c r="T87" i="524"/>
  <c r="P87" i="524"/>
  <c r="N87" i="524"/>
  <c r="T24" i="524"/>
  <c r="P24" i="524"/>
  <c r="N24" i="524"/>
  <c r="L25" i="524"/>
  <c r="L26" i="524"/>
  <c r="L27" i="524"/>
  <c r="L28" i="524"/>
  <c r="T74" i="524"/>
  <c r="P74" i="524"/>
  <c r="N74" i="524"/>
  <c r="T36" i="524"/>
  <c r="P36" i="524"/>
  <c r="N36" i="524"/>
  <c r="T35" i="524"/>
  <c r="P35" i="524"/>
  <c r="N35" i="524"/>
  <c r="P41" i="543"/>
  <c r="N41" i="543"/>
  <c r="Q42" i="554"/>
  <c r="O42" i="554"/>
  <c r="U42" i="554"/>
  <c r="Q69" i="554"/>
  <c r="O69" i="554"/>
  <c r="U69" i="554"/>
  <c r="T59" i="524"/>
  <c r="P59" i="524"/>
  <c r="N59" i="524"/>
  <c r="T11" i="524"/>
  <c r="P11" i="524"/>
  <c r="N11" i="524"/>
  <c r="P63" i="524"/>
  <c r="N63" i="524"/>
  <c r="T63" i="524"/>
  <c r="T22" i="524"/>
  <c r="P22" i="524"/>
  <c r="N22" i="524"/>
  <c r="T82" i="524"/>
  <c r="P82" i="524"/>
  <c r="N82" i="524"/>
  <c r="T41" i="524"/>
  <c r="P41" i="524"/>
  <c r="N41" i="524"/>
  <c r="P17" i="555"/>
  <c r="N17" i="555"/>
  <c r="T17" i="555"/>
  <c r="T19" i="530"/>
  <c r="P19" i="530"/>
  <c r="N19" i="530"/>
  <c r="G64" i="519"/>
  <c r="P64" i="519"/>
  <c r="Z64" i="519"/>
  <c r="AB64" i="519"/>
  <c r="V64" i="519"/>
  <c r="Y64" i="519"/>
  <c r="AA64" i="519"/>
  <c r="W64" i="519"/>
  <c r="V31" i="519"/>
  <c r="X31" i="519"/>
  <c r="Z31" i="519"/>
  <c r="AB31" i="519"/>
  <c r="P31" i="519"/>
  <c r="W31" i="519"/>
  <c r="Y31" i="519"/>
  <c r="AA31" i="519"/>
  <c r="AB69" i="519"/>
  <c r="V69" i="519"/>
  <c r="G69" i="519"/>
  <c r="T69" i="519"/>
  <c r="X69" i="519"/>
  <c r="Y69" i="519"/>
  <c r="Z69" i="519"/>
  <c r="W69" i="519"/>
  <c r="AA69" i="519"/>
  <c r="O42" i="412"/>
  <c r="U42" i="412"/>
  <c r="Y42" i="412"/>
  <c r="W42" i="412"/>
  <c r="AA42" i="412"/>
  <c r="Z42" i="412"/>
  <c r="V42" i="412"/>
  <c r="X42" i="412"/>
  <c r="O48" i="412"/>
  <c r="W48" i="412"/>
  <c r="V48" i="412"/>
  <c r="U48" i="412"/>
  <c r="AA48" i="412"/>
  <c r="Y48" i="412"/>
  <c r="X48" i="412"/>
  <c r="Z48" i="412"/>
  <c r="P43" i="412"/>
  <c r="N43" i="412"/>
  <c r="T43" i="412"/>
  <c r="Q37" i="554"/>
  <c r="O37" i="554"/>
  <c r="U37" i="554"/>
  <c r="P108" i="524"/>
  <c r="N108" i="524"/>
  <c r="T108" i="524"/>
  <c r="T83" i="524"/>
  <c r="P83" i="524"/>
  <c r="N83" i="524"/>
  <c r="T9" i="524"/>
  <c r="P9" i="524"/>
  <c r="N9" i="524"/>
  <c r="P14" i="555"/>
  <c r="N14" i="555"/>
  <c r="W41" i="412"/>
  <c r="V41" i="412"/>
  <c r="X41" i="412"/>
  <c r="Y41" i="412"/>
  <c r="Z41" i="412"/>
  <c r="AA41" i="412"/>
  <c r="U41" i="412"/>
  <c r="O41" i="412"/>
  <c r="AA6" i="412"/>
  <c r="Y6" i="412"/>
  <c r="X6" i="412"/>
  <c r="Z6" i="412"/>
  <c r="W6" i="412"/>
  <c r="O6" i="412"/>
  <c r="U6" i="412"/>
  <c r="V6" i="412"/>
  <c r="T49" i="412"/>
  <c r="P49" i="412"/>
  <c r="N49" i="412"/>
  <c r="T30" i="412"/>
  <c r="P30" i="412"/>
  <c r="N30" i="412"/>
  <c r="P58" i="543"/>
  <c r="N58" i="543"/>
  <c r="P9" i="554"/>
  <c r="U22" i="554"/>
  <c r="Q22" i="554"/>
  <c r="O22" i="554"/>
  <c r="P64" i="524"/>
  <c r="N64" i="524"/>
  <c r="T64" i="524"/>
  <c r="T19" i="524"/>
  <c r="P19" i="524"/>
  <c r="N19" i="524"/>
  <c r="T49" i="524"/>
  <c r="P49" i="524"/>
  <c r="N49" i="524"/>
  <c r="T8" i="524"/>
  <c r="P8" i="524"/>
  <c r="N8" i="524"/>
  <c r="T52" i="555"/>
  <c r="P52" i="555"/>
  <c r="N52" i="555"/>
  <c r="P36" i="555"/>
  <c r="N36" i="555"/>
  <c r="T36" i="555"/>
  <c r="AA49" i="519"/>
  <c r="Z49" i="519"/>
  <c r="W49" i="519"/>
  <c r="Y49" i="519"/>
  <c r="AB49" i="519"/>
  <c r="P49" i="519"/>
  <c r="V49" i="519"/>
  <c r="X49" i="519"/>
  <c r="Q67" i="554"/>
  <c r="O67" i="554"/>
  <c r="U67" i="554"/>
  <c r="T7" i="524"/>
  <c r="P7" i="524"/>
  <c r="N7" i="524"/>
  <c r="T33" i="524"/>
  <c r="P33" i="524"/>
  <c r="N33" i="524"/>
  <c r="L34" i="524"/>
  <c r="T78" i="524"/>
  <c r="P78" i="524"/>
  <c r="N78" i="524"/>
  <c r="P19" i="555"/>
  <c r="N19" i="555"/>
  <c r="T19" i="555"/>
  <c r="T48" i="555"/>
  <c r="P48" i="555"/>
  <c r="N48" i="555"/>
  <c r="Q51" i="554"/>
  <c r="O51" i="554"/>
  <c r="U51" i="554"/>
  <c r="U46" i="554"/>
  <c r="Q46" i="554"/>
  <c r="O46" i="554"/>
  <c r="M47" i="554"/>
  <c r="T15" i="555"/>
  <c r="P15" i="555"/>
  <c r="N15" i="555"/>
  <c r="Z48" i="519"/>
  <c r="AB48" i="519"/>
  <c r="P48" i="519"/>
  <c r="W48" i="519"/>
  <c r="Y48" i="519"/>
  <c r="AA48" i="519"/>
  <c r="V48" i="519"/>
  <c r="X48" i="519"/>
  <c r="Y65" i="519"/>
  <c r="AB65" i="519"/>
  <c r="G65" i="519"/>
  <c r="V65" i="519"/>
  <c r="Z65" i="519"/>
  <c r="AA65" i="519"/>
  <c r="W65" i="519"/>
  <c r="Z15" i="412"/>
  <c r="AA15" i="412"/>
  <c r="X15" i="412"/>
  <c r="Y15" i="412"/>
  <c r="V15" i="412"/>
  <c r="O15" i="412"/>
  <c r="W15" i="412"/>
  <c r="U15" i="412"/>
  <c r="W35" i="412"/>
  <c r="Z35" i="412"/>
  <c r="X35" i="412"/>
  <c r="Y35" i="412"/>
  <c r="V35" i="412"/>
  <c r="AA35" i="412"/>
  <c r="U35" i="412"/>
  <c r="O35" i="412"/>
  <c r="T29" i="412"/>
  <c r="P29" i="412"/>
  <c r="N29" i="412"/>
  <c r="P7" i="412"/>
  <c r="N7" i="412"/>
  <c r="T7" i="412"/>
  <c r="P39" i="543"/>
  <c r="N39" i="543"/>
  <c r="P32" i="543"/>
  <c r="N32" i="543"/>
  <c r="L33" i="543"/>
  <c r="P10" i="554"/>
  <c r="T69" i="524"/>
  <c r="P69" i="524"/>
  <c r="N69" i="524"/>
  <c r="T62" i="524"/>
  <c r="T13" i="524"/>
  <c r="P13" i="524"/>
  <c r="N13" i="524"/>
  <c r="T14" i="524"/>
  <c r="P14" i="524"/>
  <c r="N14" i="524"/>
  <c r="T93" i="524"/>
  <c r="P93" i="524"/>
  <c r="N93" i="524"/>
  <c r="P60" i="524"/>
  <c r="N60" i="524"/>
  <c r="T60" i="524"/>
  <c r="P103" i="524"/>
  <c r="N103" i="524"/>
  <c r="L104" i="524"/>
  <c r="T103" i="524"/>
  <c r="P12" i="555"/>
  <c r="N12" i="555"/>
  <c r="T12" i="555"/>
  <c r="P18" i="555"/>
  <c r="N18" i="555"/>
  <c r="T18" i="555"/>
  <c r="Z19" i="412"/>
  <c r="AA19" i="412"/>
  <c r="X19" i="412"/>
  <c r="Y19" i="412"/>
  <c r="V19" i="412"/>
  <c r="O19" i="412"/>
  <c r="W19" i="412"/>
  <c r="U19" i="412"/>
  <c r="Y46" i="412"/>
  <c r="Z46" i="412"/>
  <c r="AA46" i="412"/>
  <c r="X46" i="412"/>
  <c r="U46" i="412"/>
  <c r="W46" i="412"/>
  <c r="V46" i="412"/>
  <c r="O46" i="412"/>
  <c r="T14" i="412"/>
  <c r="P14" i="412"/>
  <c r="T8" i="554"/>
  <c r="X8" i="554"/>
  <c r="S8" i="554"/>
  <c r="U28" i="554"/>
  <c r="Q28" i="554"/>
  <c r="O28" i="554"/>
  <c r="T77" i="524"/>
  <c r="P77" i="524"/>
  <c r="N77" i="524"/>
  <c r="T66" i="524"/>
  <c r="P66" i="524"/>
  <c r="N66" i="524"/>
  <c r="T110" i="524"/>
  <c r="P110" i="524"/>
  <c r="N110" i="524"/>
  <c r="T44" i="524"/>
  <c r="P44" i="524"/>
  <c r="N44" i="524"/>
  <c r="T85" i="524"/>
  <c r="P85" i="524"/>
  <c r="N85" i="524"/>
  <c r="T92" i="524"/>
  <c r="P92" i="524"/>
  <c r="N92" i="524"/>
  <c r="T39" i="524"/>
  <c r="P39" i="524"/>
  <c r="N39" i="524"/>
  <c r="T21" i="524"/>
  <c r="P21" i="524"/>
  <c r="N21" i="524"/>
  <c r="T70" i="524"/>
  <c r="P70" i="524"/>
  <c r="N70" i="524"/>
  <c r="T29" i="524"/>
  <c r="P29" i="524"/>
  <c r="N29" i="524"/>
  <c r="T5" i="555"/>
  <c r="P5" i="555"/>
  <c r="N5" i="555"/>
  <c r="L6" i="555"/>
  <c r="O47" i="401"/>
  <c r="O62" i="401"/>
  <c r="L62" i="401"/>
  <c r="O36" i="401"/>
  <c r="O64" i="401"/>
  <c r="P30" i="401"/>
  <c r="N30" i="401"/>
  <c r="N35" i="401"/>
  <c r="L43" i="399"/>
  <c r="L44" i="399"/>
  <c r="L45" i="399"/>
  <c r="L46" i="399"/>
  <c r="L47" i="399"/>
  <c r="N47" i="399"/>
  <c r="U9" i="399"/>
  <c r="Y9" i="399"/>
  <c r="W9" i="399"/>
  <c r="AA9" i="399"/>
  <c r="V9" i="399"/>
  <c r="Z9" i="399"/>
  <c r="O9" i="399"/>
  <c r="X9" i="399"/>
  <c r="X11" i="399"/>
  <c r="V11" i="399"/>
  <c r="Z11" i="399"/>
  <c r="W11" i="399"/>
  <c r="AA11" i="399"/>
  <c r="U11" i="399"/>
  <c r="Y11" i="399"/>
  <c r="O11" i="399"/>
  <c r="P8" i="399"/>
  <c r="N8" i="399"/>
  <c r="T8" i="399"/>
  <c r="P10" i="399"/>
  <c r="N10" i="399"/>
  <c r="T10" i="399"/>
  <c r="P6" i="399"/>
  <c r="N6" i="399"/>
  <c r="T6" i="399"/>
  <c r="P33" i="555"/>
  <c r="N33" i="555"/>
  <c r="P8" i="555"/>
  <c r="N8" i="555"/>
  <c r="L26" i="555"/>
  <c r="P43" i="555"/>
  <c r="N43" i="555"/>
  <c r="L34" i="555"/>
  <c r="T105" i="524"/>
  <c r="U11" i="519"/>
  <c r="P60" i="526"/>
  <c r="N60" i="526"/>
  <c r="L61" i="526"/>
  <c r="Z59" i="555"/>
  <c r="Z60" i="555"/>
  <c r="Z61" i="555"/>
  <c r="Z62" i="555"/>
  <c r="Z63" i="555"/>
  <c r="Z64" i="555"/>
  <c r="Z65" i="555"/>
  <c r="Z66" i="555"/>
  <c r="Z67" i="555"/>
  <c r="Z68" i="555"/>
  <c r="Z69" i="555"/>
  <c r="Z70" i="555"/>
  <c r="Z71" i="555"/>
  <c r="Z72" i="555"/>
  <c r="Z73" i="555"/>
  <c r="Z74" i="555"/>
  <c r="Z75" i="555"/>
  <c r="Z76" i="555"/>
  <c r="Z77" i="555"/>
  <c r="Z78" i="555"/>
  <c r="Z79" i="555"/>
  <c r="Z80" i="555"/>
  <c r="Z81" i="555"/>
  <c r="Z82" i="555"/>
  <c r="Z83" i="555"/>
  <c r="Z84" i="555"/>
  <c r="Z85" i="555"/>
  <c r="Z86" i="555"/>
  <c r="Z87" i="555"/>
  <c r="Z88" i="555"/>
  <c r="Z89" i="555"/>
  <c r="Z90" i="555"/>
  <c r="Z91" i="555"/>
  <c r="Z92" i="555"/>
  <c r="Z93" i="555"/>
  <c r="Z94" i="555"/>
  <c r="Z95" i="555"/>
  <c r="Z96" i="555"/>
  <c r="Z97" i="555"/>
  <c r="Z98" i="555"/>
  <c r="Z99" i="555"/>
  <c r="Z100" i="555"/>
  <c r="Z101" i="555"/>
  <c r="Z102" i="555"/>
  <c r="Z103" i="555"/>
  <c r="Z104" i="555"/>
  <c r="Z105" i="555"/>
  <c r="Z106" i="555"/>
  <c r="Z107" i="555"/>
  <c r="Z108" i="555"/>
  <c r="Z109" i="555"/>
  <c r="Z110" i="555"/>
  <c r="Z111" i="555"/>
  <c r="Z112" i="555"/>
  <c r="T66" i="519"/>
  <c r="AB66" i="519"/>
  <c r="L27" i="555"/>
  <c r="L28" i="555"/>
  <c r="P5" i="8"/>
  <c r="P16" i="8"/>
  <c r="L19" i="551"/>
  <c r="L20" i="551"/>
  <c r="L21" i="551"/>
  <c r="L22" i="551"/>
  <c r="L23" i="551"/>
  <c r="L24" i="551"/>
  <c r="L25" i="551"/>
  <c r="L16" i="551"/>
  <c r="L17" i="551"/>
  <c r="N17" i="551"/>
  <c r="AB34" i="551"/>
  <c r="Q34" i="551"/>
  <c r="E34" i="551"/>
  <c r="E35" i="551"/>
  <c r="L31" i="551"/>
  <c r="L32" i="551"/>
  <c r="L33" i="551"/>
  <c r="P55" i="530"/>
  <c r="T55" i="530"/>
  <c r="X59" i="555"/>
  <c r="X60" i="555"/>
  <c r="X61" i="555"/>
  <c r="X62" i="555"/>
  <c r="X63" i="555"/>
  <c r="X64" i="555"/>
  <c r="X65" i="555"/>
  <c r="X66" i="555"/>
  <c r="X67" i="555"/>
  <c r="X68" i="555"/>
  <c r="X69" i="555"/>
  <c r="X70" i="555"/>
  <c r="X71" i="555"/>
  <c r="X72" i="555"/>
  <c r="X73" i="555"/>
  <c r="X74" i="555"/>
  <c r="X75" i="555"/>
  <c r="X76" i="555"/>
  <c r="X77" i="555"/>
  <c r="X78" i="555"/>
  <c r="X79" i="555"/>
  <c r="X80" i="555"/>
  <c r="X81" i="555"/>
  <c r="X82" i="555"/>
  <c r="X83" i="555"/>
  <c r="X84" i="555"/>
  <c r="X85" i="555"/>
  <c r="X86" i="555"/>
  <c r="X87" i="555"/>
  <c r="X88" i="555"/>
  <c r="X89" i="555"/>
  <c r="X90" i="555"/>
  <c r="X91" i="555"/>
  <c r="X92" i="555"/>
  <c r="X93" i="555"/>
  <c r="X94" i="555"/>
  <c r="X95" i="555"/>
  <c r="X96" i="555"/>
  <c r="X97" i="555"/>
  <c r="X98" i="555"/>
  <c r="X99" i="555"/>
  <c r="X100" i="555"/>
  <c r="X101" i="555"/>
  <c r="X102" i="555"/>
  <c r="X103" i="555"/>
  <c r="X104" i="555"/>
  <c r="X105" i="555"/>
  <c r="X106" i="555"/>
  <c r="X107" i="555"/>
  <c r="X108" i="555"/>
  <c r="X109" i="555"/>
  <c r="X110" i="555"/>
  <c r="X111" i="555"/>
  <c r="X112" i="555"/>
  <c r="AB67" i="550"/>
  <c r="Q67" i="550"/>
  <c r="H67" i="550"/>
  <c r="H68" i="550"/>
  <c r="J67" i="550"/>
  <c r="J68" i="550"/>
  <c r="F67" i="550"/>
  <c r="F68" i="550"/>
  <c r="M68" i="554"/>
  <c r="P79" i="524"/>
  <c r="N79" i="524"/>
  <c r="P42" i="524"/>
  <c r="N42" i="524"/>
  <c r="T62" i="519"/>
  <c r="W62" i="519"/>
  <c r="W79" i="519"/>
  <c r="P72" i="519"/>
  <c r="P12" i="543"/>
  <c r="N12" i="543"/>
  <c r="P43" i="543"/>
  <c r="N43" i="543"/>
  <c r="P28" i="543"/>
  <c r="N28" i="543"/>
  <c r="P10" i="543"/>
  <c r="O8" i="406"/>
  <c r="L14" i="406"/>
  <c r="L15" i="406"/>
  <c r="L16" i="406"/>
  <c r="L17" i="406"/>
  <c r="L18" i="406"/>
  <c r="L19" i="406"/>
  <c r="N19" i="406"/>
  <c r="O14" i="406"/>
  <c r="P6" i="406"/>
  <c r="N6" i="406"/>
  <c r="T6" i="406"/>
  <c r="O7" i="406"/>
  <c r="O11" i="406"/>
  <c r="O10" i="406"/>
  <c r="T44" i="412"/>
  <c r="P44" i="412"/>
  <c r="N44" i="412"/>
  <c r="P11" i="543"/>
  <c r="N11" i="543"/>
  <c r="L12" i="543"/>
  <c r="W59" i="555"/>
  <c r="W60" i="555"/>
  <c r="W61" i="555"/>
  <c r="W62" i="555"/>
  <c r="W63" i="555"/>
  <c r="W64" i="555"/>
  <c r="W65" i="555"/>
  <c r="W66" i="555"/>
  <c r="W67" i="555"/>
  <c r="W68" i="555"/>
  <c r="W69" i="555"/>
  <c r="W70" i="555"/>
  <c r="W71" i="555"/>
  <c r="W72" i="555"/>
  <c r="W73" i="555"/>
  <c r="W74" i="555"/>
  <c r="W75" i="555"/>
  <c r="W76" i="555"/>
  <c r="W77" i="555"/>
  <c r="W78" i="555"/>
  <c r="W79" i="555"/>
  <c r="W80" i="555"/>
  <c r="W81" i="555"/>
  <c r="W82" i="555"/>
  <c r="W83" i="555"/>
  <c r="W84" i="555"/>
  <c r="W85" i="555"/>
  <c r="W86" i="555"/>
  <c r="W87" i="555"/>
  <c r="W88" i="555"/>
  <c r="W89" i="555"/>
  <c r="W90" i="555"/>
  <c r="W91" i="555"/>
  <c r="W92" i="555"/>
  <c r="W93" i="555"/>
  <c r="W94" i="555"/>
  <c r="W95" i="555"/>
  <c r="W96" i="555"/>
  <c r="W97" i="555"/>
  <c r="W98" i="555"/>
  <c r="W99" i="555"/>
  <c r="W100" i="555"/>
  <c r="W101" i="555"/>
  <c r="W102" i="555"/>
  <c r="W103" i="555"/>
  <c r="W104" i="555"/>
  <c r="W105" i="555"/>
  <c r="W106" i="555"/>
  <c r="W107" i="555"/>
  <c r="W108" i="555"/>
  <c r="W109" i="555"/>
  <c r="W110" i="555"/>
  <c r="W111" i="555"/>
  <c r="W112" i="555"/>
  <c r="L92" i="524"/>
  <c r="L93" i="524"/>
  <c r="L94" i="524"/>
  <c r="L95" i="524"/>
  <c r="L96" i="524"/>
  <c r="L97" i="524"/>
  <c r="L98" i="524"/>
  <c r="L99" i="524"/>
  <c r="L100" i="524"/>
  <c r="L101" i="524"/>
  <c r="W9" i="8"/>
  <c r="D13" i="14"/>
  <c r="S11" i="554"/>
  <c r="O56" i="549"/>
  <c r="O61" i="549"/>
  <c r="L56" i="549"/>
  <c r="O59" i="549"/>
  <c r="O60" i="549"/>
  <c r="P57" i="549"/>
  <c r="N57" i="549"/>
  <c r="O58" i="549"/>
  <c r="O49" i="549"/>
  <c r="O47" i="549"/>
  <c r="O46" i="549"/>
  <c r="O52" i="549"/>
  <c r="P48" i="549"/>
  <c r="N48" i="549"/>
  <c r="O50" i="549"/>
  <c r="O53" i="549"/>
  <c r="O51" i="549"/>
  <c r="O45" i="549"/>
  <c r="M13" i="14"/>
  <c r="M14" i="14"/>
  <c r="M18" i="14"/>
  <c r="U16" i="8"/>
  <c r="P8" i="401"/>
  <c r="N8" i="401"/>
  <c r="O10" i="401"/>
  <c r="V59" i="555"/>
  <c r="V60" i="555"/>
  <c r="V61" i="555"/>
  <c r="V62" i="555"/>
  <c r="V63" i="555"/>
  <c r="V64" i="555"/>
  <c r="V65" i="555"/>
  <c r="V66" i="555"/>
  <c r="V67" i="555"/>
  <c r="V68" i="555"/>
  <c r="V69" i="555"/>
  <c r="V70" i="555"/>
  <c r="V71" i="555"/>
  <c r="V72" i="555"/>
  <c r="V73" i="555"/>
  <c r="V74" i="555"/>
  <c r="V75" i="555"/>
  <c r="V76" i="555"/>
  <c r="V77" i="555"/>
  <c r="V78" i="555"/>
  <c r="V79" i="555"/>
  <c r="V80" i="555"/>
  <c r="V81" i="555"/>
  <c r="V82" i="555"/>
  <c r="V83" i="555"/>
  <c r="V84" i="555"/>
  <c r="V85" i="555"/>
  <c r="V86" i="555"/>
  <c r="V87" i="555"/>
  <c r="V88" i="555"/>
  <c r="V89" i="555"/>
  <c r="V90" i="555"/>
  <c r="V91" i="555"/>
  <c r="V92" i="555"/>
  <c r="V93" i="555"/>
  <c r="V94" i="555"/>
  <c r="V95" i="555"/>
  <c r="V96" i="555"/>
  <c r="V97" i="555"/>
  <c r="V98" i="555"/>
  <c r="V99" i="555"/>
  <c r="V100" i="555"/>
  <c r="V101" i="555"/>
  <c r="V102" i="555"/>
  <c r="V103" i="555"/>
  <c r="V104" i="555"/>
  <c r="V105" i="555"/>
  <c r="V106" i="555"/>
  <c r="V107" i="555"/>
  <c r="V108" i="555"/>
  <c r="V109" i="555"/>
  <c r="V110" i="555"/>
  <c r="V111" i="555"/>
  <c r="V112" i="555"/>
  <c r="Y59" i="555"/>
  <c r="Y60" i="555"/>
  <c r="Y61" i="555"/>
  <c r="Y62" i="555"/>
  <c r="Y63" i="555"/>
  <c r="Y64" i="555"/>
  <c r="Y65" i="555"/>
  <c r="Y66" i="555"/>
  <c r="Y67" i="555"/>
  <c r="Y68" i="555"/>
  <c r="Y69" i="555"/>
  <c r="Y70" i="555"/>
  <c r="Y71" i="555"/>
  <c r="Y72" i="555"/>
  <c r="Y73" i="555"/>
  <c r="Y74" i="555"/>
  <c r="Y75" i="555"/>
  <c r="Y76" i="555"/>
  <c r="Y77" i="555"/>
  <c r="Y78" i="555"/>
  <c r="Y79" i="555"/>
  <c r="Y80" i="555"/>
  <c r="Y81" i="555"/>
  <c r="Y82" i="555"/>
  <c r="Y83" i="555"/>
  <c r="Y84" i="555"/>
  <c r="Y85" i="555"/>
  <c r="Y86" i="555"/>
  <c r="Y87" i="555"/>
  <c r="Y88" i="555"/>
  <c r="Y89" i="555"/>
  <c r="Y90" i="555"/>
  <c r="Y91" i="555"/>
  <c r="Y92" i="555"/>
  <c r="Y93" i="555"/>
  <c r="Y94" i="555"/>
  <c r="Y95" i="555"/>
  <c r="Y96" i="555"/>
  <c r="Y97" i="555"/>
  <c r="Y98" i="555"/>
  <c r="Y99" i="555"/>
  <c r="Y100" i="555"/>
  <c r="Y101" i="555"/>
  <c r="Y102" i="555"/>
  <c r="Y103" i="555"/>
  <c r="Y104" i="555"/>
  <c r="Y105" i="555"/>
  <c r="Y106" i="555"/>
  <c r="Y107" i="555"/>
  <c r="Y108" i="555"/>
  <c r="Y109" i="555"/>
  <c r="Y110" i="555"/>
  <c r="Y111" i="555"/>
  <c r="Y112" i="555"/>
  <c r="P28" i="555"/>
  <c r="N28" i="555"/>
  <c r="P63" i="519"/>
  <c r="S66" i="519"/>
  <c r="P20" i="524"/>
  <c r="N20" i="524"/>
  <c r="S63" i="519"/>
  <c r="P34" i="543"/>
  <c r="N34" i="543"/>
  <c r="AA112" i="524"/>
  <c r="AA113" i="524"/>
  <c r="AA114" i="524"/>
  <c r="AA115" i="524"/>
  <c r="AA116" i="524"/>
  <c r="AA117" i="524"/>
  <c r="AA118" i="524"/>
  <c r="AA119" i="524"/>
  <c r="AA120" i="524"/>
  <c r="AA121" i="524"/>
  <c r="AA122" i="524"/>
  <c r="AA123" i="524"/>
  <c r="AA124" i="524"/>
  <c r="AA125" i="524"/>
  <c r="AA126" i="524"/>
  <c r="AA127" i="524"/>
  <c r="AA128" i="524"/>
  <c r="AA129" i="524"/>
  <c r="AA130" i="524"/>
  <c r="AA131" i="524"/>
  <c r="AA132" i="524"/>
  <c r="AA133" i="524"/>
  <c r="P40" i="543"/>
  <c r="N40" i="543"/>
  <c r="L19" i="524"/>
  <c r="P39" i="530"/>
  <c r="T39" i="530"/>
  <c r="Z112" i="524"/>
  <c r="Z113" i="524"/>
  <c r="Z114" i="524"/>
  <c r="Z115" i="524"/>
  <c r="Z116" i="524"/>
  <c r="Z117" i="524"/>
  <c r="Z118" i="524"/>
  <c r="Z119" i="524"/>
  <c r="Z120" i="524"/>
  <c r="Z121" i="524"/>
  <c r="Z122" i="524"/>
  <c r="Z123" i="524"/>
  <c r="Z124" i="524"/>
  <c r="Z125" i="524"/>
  <c r="Z126" i="524"/>
  <c r="Z127" i="524"/>
  <c r="Z128" i="524"/>
  <c r="Z129" i="524"/>
  <c r="Z130" i="524"/>
  <c r="Z131" i="524"/>
  <c r="Z132" i="524"/>
  <c r="Z133" i="524"/>
  <c r="W112" i="524"/>
  <c r="W113" i="524"/>
  <c r="W114" i="524"/>
  <c r="W115" i="524"/>
  <c r="W116" i="524"/>
  <c r="W117" i="524"/>
  <c r="W118" i="524"/>
  <c r="W119" i="524"/>
  <c r="W120" i="524"/>
  <c r="W121" i="524"/>
  <c r="W122" i="524"/>
  <c r="W123" i="524"/>
  <c r="W124" i="524"/>
  <c r="W125" i="524"/>
  <c r="W126" i="524"/>
  <c r="W127" i="524"/>
  <c r="W128" i="524"/>
  <c r="W129" i="524"/>
  <c r="W130" i="524"/>
  <c r="W131" i="524"/>
  <c r="W132" i="524"/>
  <c r="W133" i="524"/>
  <c r="X112" i="524"/>
  <c r="X113" i="524"/>
  <c r="X114" i="524"/>
  <c r="X115" i="524"/>
  <c r="X116" i="524"/>
  <c r="X117" i="524"/>
  <c r="X118" i="524"/>
  <c r="X119" i="524"/>
  <c r="X120" i="524"/>
  <c r="X121" i="524"/>
  <c r="X122" i="524"/>
  <c r="X123" i="524"/>
  <c r="X124" i="524"/>
  <c r="X125" i="524"/>
  <c r="X126" i="524"/>
  <c r="X127" i="524"/>
  <c r="X128" i="524"/>
  <c r="X129" i="524"/>
  <c r="X130" i="524"/>
  <c r="X131" i="524"/>
  <c r="X132" i="524"/>
  <c r="X133" i="524"/>
  <c r="P84" i="524"/>
  <c r="N84" i="524"/>
  <c r="P38" i="524"/>
  <c r="N38" i="524"/>
  <c r="V71" i="554"/>
  <c r="V112" i="524"/>
  <c r="V113" i="524"/>
  <c r="V114" i="524"/>
  <c r="V115" i="524"/>
  <c r="V116" i="524"/>
  <c r="V117" i="524"/>
  <c r="V118" i="524"/>
  <c r="V119" i="524"/>
  <c r="V120" i="524"/>
  <c r="V121" i="524"/>
  <c r="V122" i="524"/>
  <c r="V123" i="524"/>
  <c r="V124" i="524"/>
  <c r="V125" i="524"/>
  <c r="V126" i="524"/>
  <c r="V127" i="524"/>
  <c r="V128" i="524"/>
  <c r="V129" i="524"/>
  <c r="V130" i="524"/>
  <c r="V131" i="524"/>
  <c r="V132" i="524"/>
  <c r="V133" i="524"/>
  <c r="U112" i="524"/>
  <c r="T41" i="530"/>
  <c r="P63" i="526"/>
  <c r="N63" i="526"/>
  <c r="Y112" i="524"/>
  <c r="Y113" i="524"/>
  <c r="Y114" i="524"/>
  <c r="Y115" i="524"/>
  <c r="Y116" i="524"/>
  <c r="Y117" i="524"/>
  <c r="Y118" i="524"/>
  <c r="Y119" i="524"/>
  <c r="Y120" i="524"/>
  <c r="Y121" i="524"/>
  <c r="Y122" i="524"/>
  <c r="Y123" i="524"/>
  <c r="Y124" i="524"/>
  <c r="Y125" i="524"/>
  <c r="Y126" i="524"/>
  <c r="Y127" i="524"/>
  <c r="Y128" i="524"/>
  <c r="Y129" i="524"/>
  <c r="Y130" i="524"/>
  <c r="Y131" i="524"/>
  <c r="Y132" i="524"/>
  <c r="Y133" i="524"/>
  <c r="Z71" i="554"/>
  <c r="M15" i="554"/>
  <c r="M16" i="554"/>
  <c r="M17" i="554"/>
  <c r="AA71" i="554"/>
  <c r="AB71" i="554"/>
  <c r="L35" i="555"/>
  <c r="L36" i="555"/>
  <c r="T38" i="555"/>
  <c r="L65" i="548"/>
  <c r="U59" i="555"/>
  <c r="U60" i="555"/>
  <c r="U61" i="555"/>
  <c r="U62" i="555"/>
  <c r="U63" i="555"/>
  <c r="U64" i="555"/>
  <c r="U65" i="555"/>
  <c r="U66" i="555"/>
  <c r="U67" i="555"/>
  <c r="U68" i="555"/>
  <c r="U69" i="555"/>
  <c r="U70" i="555"/>
  <c r="U71" i="555"/>
  <c r="U72" i="555"/>
  <c r="U73" i="555"/>
  <c r="U74" i="555"/>
  <c r="U75" i="555"/>
  <c r="U76" i="555"/>
  <c r="U77" i="555"/>
  <c r="U78" i="555"/>
  <c r="U79" i="555"/>
  <c r="U80" i="555"/>
  <c r="U81" i="555"/>
  <c r="U82" i="555"/>
  <c r="U83" i="555"/>
  <c r="U84" i="555"/>
  <c r="U85" i="555"/>
  <c r="U86" i="555"/>
  <c r="U87" i="555"/>
  <c r="U88" i="555"/>
  <c r="U89" i="555"/>
  <c r="U90" i="555"/>
  <c r="U91" i="555"/>
  <c r="U92" i="555"/>
  <c r="U93" i="555"/>
  <c r="U94" i="555"/>
  <c r="U95" i="555"/>
  <c r="U96" i="555"/>
  <c r="U97" i="555"/>
  <c r="U98" i="555"/>
  <c r="U99" i="555"/>
  <c r="U100" i="555"/>
  <c r="U101" i="555"/>
  <c r="U102" i="555"/>
  <c r="U103" i="555"/>
  <c r="U104" i="555"/>
  <c r="U105" i="555"/>
  <c r="U106" i="555"/>
  <c r="U107" i="555"/>
  <c r="U108" i="555"/>
  <c r="U109" i="555"/>
  <c r="U110" i="555"/>
  <c r="U111" i="555"/>
  <c r="U112" i="555"/>
  <c r="P76" i="524"/>
  <c r="N76" i="524"/>
  <c r="L77" i="524"/>
  <c r="L78" i="524"/>
  <c r="L79" i="524"/>
  <c r="L80" i="524"/>
  <c r="L81" i="524"/>
  <c r="L82" i="524"/>
  <c r="L83" i="524"/>
  <c r="L84" i="524"/>
  <c r="P59" i="399"/>
  <c r="N59" i="399"/>
  <c r="T59" i="399"/>
  <c r="T65" i="399"/>
  <c r="T27" i="399"/>
  <c r="P27" i="399"/>
  <c r="N27" i="399"/>
  <c r="P20" i="399"/>
  <c r="N20" i="399"/>
  <c r="T20" i="399"/>
  <c r="T40" i="399"/>
  <c r="P40" i="399"/>
  <c r="N40" i="399"/>
  <c r="T34" i="399"/>
  <c r="P34" i="399"/>
  <c r="N34" i="399"/>
  <c r="T62" i="399"/>
  <c r="T63" i="399"/>
  <c r="T64" i="399"/>
  <c r="T52" i="399"/>
  <c r="P52" i="399"/>
  <c r="N52" i="399"/>
  <c r="P7" i="401"/>
  <c r="N7" i="401"/>
  <c r="P22" i="401"/>
  <c r="N22" i="401"/>
  <c r="T17" i="404"/>
  <c r="P17" i="404"/>
  <c r="N17" i="404"/>
  <c r="P30" i="467"/>
  <c r="N30" i="467"/>
  <c r="T30" i="467"/>
  <c r="T19" i="404"/>
  <c r="P19" i="404"/>
  <c r="N19" i="404"/>
  <c r="P11" i="467"/>
  <c r="N11" i="467"/>
  <c r="T11" i="467"/>
  <c r="T29" i="404"/>
  <c r="P29" i="404"/>
  <c r="N29" i="404"/>
  <c r="P29" i="467"/>
  <c r="N29" i="467"/>
  <c r="T29" i="467"/>
  <c r="P9" i="401"/>
  <c r="N9" i="401"/>
  <c r="P24" i="401"/>
  <c r="N24" i="401"/>
  <c r="P16" i="467"/>
  <c r="N16" i="467"/>
  <c r="L17" i="467"/>
  <c r="L18" i="467"/>
  <c r="T16" i="467"/>
  <c r="P28" i="467"/>
  <c r="T28" i="467"/>
  <c r="P31" i="404"/>
  <c r="N31" i="404"/>
  <c r="T31" i="404"/>
  <c r="O35" i="549"/>
  <c r="O70" i="549"/>
  <c r="O25" i="549"/>
  <c r="T37" i="399"/>
  <c r="P37" i="399"/>
  <c r="N37" i="399"/>
  <c r="W19" i="399"/>
  <c r="V19" i="399"/>
  <c r="AA19" i="399"/>
  <c r="Z19" i="399"/>
  <c r="O19" i="399"/>
  <c r="X19" i="399"/>
  <c r="Y19" i="399"/>
  <c r="U19" i="399"/>
  <c r="AA25" i="525"/>
  <c r="V25" i="525"/>
  <c r="U25" i="525"/>
  <c r="W25" i="525"/>
  <c r="Z25" i="525"/>
  <c r="X25" i="525"/>
  <c r="O25" i="525"/>
  <c r="Y25" i="525"/>
  <c r="Y65" i="546"/>
  <c r="W65" i="546"/>
  <c r="O65" i="546"/>
  <c r="AA65" i="546"/>
  <c r="X65" i="546"/>
  <c r="Z65" i="546"/>
  <c r="U65" i="546"/>
  <c r="V65" i="546"/>
  <c r="Y41" i="546"/>
  <c r="V41" i="546"/>
  <c r="Z41" i="546"/>
  <c r="W41" i="546"/>
  <c r="X41" i="546"/>
  <c r="U41" i="546"/>
  <c r="AA41" i="546"/>
  <c r="O41" i="546"/>
  <c r="V37" i="544"/>
  <c r="W37" i="544"/>
  <c r="AA37" i="544"/>
  <c r="X37" i="544"/>
  <c r="Y37" i="544"/>
  <c r="U37" i="544"/>
  <c r="Z37" i="544"/>
  <c r="Z29" i="544"/>
  <c r="AA29" i="544"/>
  <c r="U29" i="544"/>
  <c r="X29" i="544"/>
  <c r="V29" i="544"/>
  <c r="W29" i="544"/>
  <c r="Y29" i="544"/>
  <c r="W13" i="544"/>
  <c r="X13" i="544"/>
  <c r="U13" i="544"/>
  <c r="Y13" i="544"/>
  <c r="Z13" i="544"/>
  <c r="V13" i="544"/>
  <c r="AA13" i="544"/>
  <c r="Y42" i="544"/>
  <c r="O42" i="544"/>
  <c r="X42" i="544"/>
  <c r="W42" i="544"/>
  <c r="U42" i="544"/>
  <c r="V42" i="544"/>
  <c r="AA42" i="544"/>
  <c r="Z42" i="544"/>
  <c r="U28" i="544"/>
  <c r="V28" i="544"/>
  <c r="W28" i="544"/>
  <c r="X28" i="544"/>
  <c r="Y28" i="544"/>
  <c r="Z28" i="544"/>
  <c r="AA28" i="544"/>
  <c r="Y68" i="546"/>
  <c r="AA68" i="546"/>
  <c r="V68" i="546"/>
  <c r="O68" i="546"/>
  <c r="U68" i="546"/>
  <c r="W68" i="546"/>
  <c r="Z68" i="546"/>
  <c r="X68" i="546"/>
  <c r="Z62" i="546"/>
  <c r="U62" i="546"/>
  <c r="Y62" i="546"/>
  <c r="AA62" i="546"/>
  <c r="O62" i="546"/>
  <c r="W62" i="546"/>
  <c r="V62" i="546"/>
  <c r="X62" i="546"/>
  <c r="AA6" i="546"/>
  <c r="Z6" i="546"/>
  <c r="W6" i="546"/>
  <c r="Y6" i="546"/>
  <c r="X6" i="546"/>
  <c r="V6" i="546"/>
  <c r="U6" i="546"/>
  <c r="O6" i="546"/>
  <c r="X14" i="525"/>
  <c r="W14" i="525"/>
  <c r="Z14" i="525"/>
  <c r="Y14" i="525"/>
  <c r="AA14" i="525"/>
  <c r="O14" i="525"/>
  <c r="V14" i="525"/>
  <c r="U14" i="525"/>
  <c r="X6" i="525"/>
  <c r="W6" i="525"/>
  <c r="AA6" i="525"/>
  <c r="U6" i="525"/>
  <c r="Y6" i="525"/>
  <c r="V6" i="525"/>
  <c r="Z6" i="525"/>
  <c r="O6" i="525"/>
  <c r="P11" i="404"/>
  <c r="N11" i="404"/>
  <c r="N13" i="404"/>
  <c r="T11" i="404"/>
  <c r="W47" i="541"/>
  <c r="Y47" i="541"/>
  <c r="AA47" i="541"/>
  <c r="Z47" i="541"/>
  <c r="O47" i="541"/>
  <c r="X47" i="541"/>
  <c r="V47" i="541"/>
  <c r="U47" i="541"/>
  <c r="T16" i="399"/>
  <c r="P16" i="399"/>
  <c r="N16" i="399"/>
  <c r="X31" i="545"/>
  <c r="Y31" i="545"/>
  <c r="Z31" i="545"/>
  <c r="V31" i="545"/>
  <c r="W31" i="545"/>
  <c r="O31" i="545"/>
  <c r="U31" i="545"/>
  <c r="AA31" i="545"/>
  <c r="Z68" i="544"/>
  <c r="Y68" i="544"/>
  <c r="V68" i="544"/>
  <c r="U68" i="544"/>
  <c r="X68" i="544"/>
  <c r="AA68" i="544"/>
  <c r="O68" i="544"/>
  <c r="W68" i="544"/>
  <c r="Y34" i="544"/>
  <c r="AA34" i="544"/>
  <c r="Z34" i="544"/>
  <c r="X34" i="544"/>
  <c r="W34" i="544"/>
  <c r="U34" i="544"/>
  <c r="V34" i="544"/>
  <c r="O29" i="549"/>
  <c r="O14" i="549"/>
  <c r="Y61" i="540"/>
  <c r="AA61" i="540"/>
  <c r="W61" i="540"/>
  <c r="V61" i="540"/>
  <c r="X61" i="540"/>
  <c r="Z61" i="540"/>
  <c r="U61" i="540"/>
  <c r="V28" i="540"/>
  <c r="O28" i="540"/>
  <c r="X28" i="540"/>
  <c r="Z28" i="540"/>
  <c r="U28" i="540"/>
  <c r="AA28" i="540"/>
  <c r="Y28" i="540"/>
  <c r="W28" i="540"/>
  <c r="U52" i="518"/>
  <c r="W52" i="518"/>
  <c r="O52" i="518"/>
  <c r="Y52" i="518"/>
  <c r="AA52" i="518"/>
  <c r="V52" i="518"/>
  <c r="X52" i="518"/>
  <c r="Z52" i="518"/>
  <c r="Z46" i="518"/>
  <c r="U46" i="518"/>
  <c r="W46" i="518"/>
  <c r="Y46" i="518"/>
  <c r="O46" i="518"/>
  <c r="AA46" i="518"/>
  <c r="X46" i="518"/>
  <c r="V46" i="518"/>
  <c r="V53" i="518"/>
  <c r="X53" i="518"/>
  <c r="Z53" i="518"/>
  <c r="U53" i="518"/>
  <c r="W53" i="518"/>
  <c r="O53" i="518"/>
  <c r="Y53" i="518"/>
  <c r="AA53" i="518"/>
  <c r="Y57" i="518"/>
  <c r="AA57" i="518"/>
  <c r="V57" i="518"/>
  <c r="X57" i="518"/>
  <c r="Z57" i="518"/>
  <c r="U57" i="518"/>
  <c r="W57" i="518"/>
  <c r="O57" i="518"/>
  <c r="O41" i="406"/>
  <c r="Z63" i="540"/>
  <c r="U71" i="540"/>
  <c r="Y71" i="540"/>
  <c r="X63" i="540"/>
  <c r="U63" i="540"/>
  <c r="W63" i="540"/>
  <c r="V71" i="540"/>
  <c r="AA71" i="540"/>
  <c r="V63" i="540"/>
  <c r="Y63" i="540"/>
  <c r="AA63" i="540"/>
  <c r="W71" i="540"/>
  <c r="Z71" i="540"/>
  <c r="X71" i="540"/>
  <c r="U40" i="540"/>
  <c r="V40" i="540"/>
  <c r="Y40" i="540"/>
  <c r="W40" i="540"/>
  <c r="AA40" i="540"/>
  <c r="Z40" i="540"/>
  <c r="O40" i="540"/>
  <c r="X40" i="540"/>
  <c r="Z27" i="540"/>
  <c r="O27" i="540"/>
  <c r="AA27" i="540"/>
  <c r="Y27" i="540"/>
  <c r="V27" i="540"/>
  <c r="W27" i="540"/>
  <c r="U27" i="540"/>
  <c r="X27" i="540"/>
  <c r="U31" i="540"/>
  <c r="AA31" i="540"/>
  <c r="V31" i="540"/>
  <c r="X31" i="540"/>
  <c r="W31" i="540"/>
  <c r="Y31" i="540"/>
  <c r="O31" i="540"/>
  <c r="Z31" i="540"/>
  <c r="U35" i="540"/>
  <c r="Z35" i="540"/>
  <c r="O35" i="540"/>
  <c r="Y35" i="540"/>
  <c r="W35" i="540"/>
  <c r="X35" i="540"/>
  <c r="V35" i="540"/>
  <c r="AA35" i="540"/>
  <c r="V25" i="541"/>
  <c r="AA25" i="541"/>
  <c r="U25" i="541"/>
  <c r="X25" i="541"/>
  <c r="Y25" i="541"/>
  <c r="Z25" i="541"/>
  <c r="W25" i="541"/>
  <c r="O25" i="541"/>
  <c r="O66" i="541"/>
  <c r="P66" i="541"/>
  <c r="N66" i="541"/>
  <c r="AA66" i="541"/>
  <c r="U66" i="541"/>
  <c r="W66" i="541"/>
  <c r="Y66" i="541"/>
  <c r="Z66" i="541"/>
  <c r="X66" i="541"/>
  <c r="V66" i="541"/>
  <c r="AA26" i="525"/>
  <c r="Z26" i="525"/>
  <c r="V26" i="525"/>
  <c r="U26" i="525"/>
  <c r="W26" i="525"/>
  <c r="Y26" i="525"/>
  <c r="O26" i="525"/>
  <c r="T26" i="525"/>
  <c r="X26" i="525"/>
  <c r="AA30" i="546"/>
  <c r="V30" i="546"/>
  <c r="U30" i="546"/>
  <c r="X30" i="546"/>
  <c r="Z30" i="546"/>
  <c r="Y30" i="546"/>
  <c r="O30" i="546"/>
  <c r="W30" i="546"/>
  <c r="O20" i="546"/>
  <c r="Y20" i="546"/>
  <c r="AA20" i="546"/>
  <c r="Z20" i="546"/>
  <c r="W20" i="546"/>
  <c r="V20" i="546"/>
  <c r="U20" i="546"/>
  <c r="X20" i="546"/>
  <c r="O80" i="546"/>
  <c r="U80" i="546"/>
  <c r="W80" i="546"/>
  <c r="V80" i="546"/>
  <c r="Y80" i="546"/>
  <c r="AA80" i="546"/>
  <c r="Z80" i="546"/>
  <c r="X80" i="546"/>
  <c r="U34" i="546"/>
  <c r="V34" i="546"/>
  <c r="AA34" i="546"/>
  <c r="W34" i="546"/>
  <c r="X34" i="546"/>
  <c r="Z34" i="546"/>
  <c r="O34" i="546"/>
  <c r="Y34" i="546"/>
  <c r="O39" i="549"/>
  <c r="O21" i="401"/>
  <c r="O65" i="549"/>
  <c r="W50" i="399"/>
  <c r="Z50" i="399"/>
  <c r="AA50" i="399"/>
  <c r="V50" i="399"/>
  <c r="Y50" i="399"/>
  <c r="X50" i="399"/>
  <c r="U50" i="399"/>
  <c r="O66" i="549"/>
  <c r="O7" i="549"/>
  <c r="W51" i="518"/>
  <c r="Y51" i="518"/>
  <c r="AA51" i="518"/>
  <c r="O51" i="518"/>
  <c r="V51" i="518"/>
  <c r="X51" i="518"/>
  <c r="U51" i="518"/>
  <c r="Z51" i="518"/>
  <c r="X33" i="518"/>
  <c r="W33" i="518"/>
  <c r="Y33" i="518"/>
  <c r="AA33" i="518"/>
  <c r="U33" i="518"/>
  <c r="V33" i="518"/>
  <c r="Z33" i="518"/>
  <c r="O33" i="518"/>
  <c r="AA25" i="518"/>
  <c r="O25" i="518"/>
  <c r="U25" i="518"/>
  <c r="X25" i="518"/>
  <c r="Z25" i="518"/>
  <c r="Y25" i="518"/>
  <c r="W25" i="518"/>
  <c r="V25" i="518"/>
  <c r="X7" i="518"/>
  <c r="V7" i="518"/>
  <c r="O7" i="518"/>
  <c r="U7" i="518"/>
  <c r="W7" i="518"/>
  <c r="Y7" i="518"/>
  <c r="AA7" i="518"/>
  <c r="Z7" i="518"/>
  <c r="U44" i="518"/>
  <c r="W44" i="518"/>
  <c r="Y44" i="518"/>
  <c r="O44" i="518"/>
  <c r="AA44" i="518"/>
  <c r="Z44" i="518"/>
  <c r="V44" i="518"/>
  <c r="X44" i="518"/>
  <c r="Z26" i="518"/>
  <c r="O26" i="518"/>
  <c r="U26" i="518"/>
  <c r="W26" i="518"/>
  <c r="Y26" i="518"/>
  <c r="AA26" i="518"/>
  <c r="V26" i="518"/>
  <c r="X26" i="518"/>
  <c r="F15" i="38"/>
  <c r="H15" i="38"/>
  <c r="C15" i="38"/>
  <c r="I15" i="38"/>
  <c r="G15" i="38"/>
  <c r="D15" i="38"/>
  <c r="E15" i="38"/>
  <c r="Y22" i="399"/>
  <c r="AA22" i="399"/>
  <c r="V22" i="399"/>
  <c r="W22" i="399"/>
  <c r="O22" i="399"/>
  <c r="Z22" i="399"/>
  <c r="U22" i="399"/>
  <c r="X22" i="399"/>
  <c r="W54" i="399"/>
  <c r="Y54" i="399"/>
  <c r="AA54" i="399"/>
  <c r="V54" i="399"/>
  <c r="X54" i="399"/>
  <c r="U54" i="399"/>
  <c r="Z54" i="399"/>
  <c r="O54" i="399"/>
  <c r="Z18" i="481"/>
  <c r="O18" i="481"/>
  <c r="AA18" i="481"/>
  <c r="W18" i="481"/>
  <c r="Y18" i="481"/>
  <c r="U18" i="481"/>
  <c r="X18" i="481"/>
  <c r="V18" i="481"/>
  <c r="U9" i="518"/>
  <c r="W9" i="518"/>
  <c r="Y9" i="518"/>
  <c r="AA9" i="518"/>
  <c r="V9" i="518"/>
  <c r="X9" i="518"/>
  <c r="O9" i="518"/>
  <c r="Z9" i="518"/>
  <c r="O18" i="518"/>
  <c r="X18" i="518"/>
  <c r="V18" i="518"/>
  <c r="U18" i="518"/>
  <c r="AA18" i="518"/>
  <c r="Z18" i="518"/>
  <c r="Y18" i="518"/>
  <c r="W18" i="518"/>
  <c r="AA55" i="518"/>
  <c r="V55" i="518"/>
  <c r="X55" i="518"/>
  <c r="Z55" i="518"/>
  <c r="U55" i="518"/>
  <c r="Y55" i="518"/>
  <c r="O55" i="518"/>
  <c r="W55" i="518"/>
  <c r="O21" i="406"/>
  <c r="X49" i="545"/>
  <c r="W49" i="545"/>
  <c r="O49" i="545"/>
  <c r="U49" i="545"/>
  <c r="V49" i="545"/>
  <c r="Z49" i="545"/>
  <c r="AA49" i="545"/>
  <c r="Y49" i="545"/>
  <c r="AA30" i="544"/>
  <c r="U30" i="544"/>
  <c r="Z30" i="544"/>
  <c r="V30" i="544"/>
  <c r="W30" i="544"/>
  <c r="X30" i="544"/>
  <c r="Y30" i="544"/>
  <c r="X20" i="544"/>
  <c r="Y20" i="544"/>
  <c r="W20" i="544"/>
  <c r="Z20" i="544"/>
  <c r="AA20" i="544"/>
  <c r="U20" i="544"/>
  <c r="V20" i="544"/>
  <c r="O9" i="546"/>
  <c r="U9" i="546"/>
  <c r="Z9" i="546"/>
  <c r="V9" i="546"/>
  <c r="AA9" i="546"/>
  <c r="W9" i="546"/>
  <c r="X9" i="546"/>
  <c r="Y9" i="546"/>
  <c r="U54" i="404"/>
  <c r="W54" i="404"/>
  <c r="Z54" i="404"/>
  <c r="AA54" i="404"/>
  <c r="V54" i="404"/>
  <c r="Y54" i="404"/>
  <c r="X54" i="404"/>
  <c r="W50" i="404"/>
  <c r="AA50" i="404"/>
  <c r="X50" i="404"/>
  <c r="U50" i="404"/>
  <c r="Z50" i="404"/>
  <c r="V50" i="404"/>
  <c r="Y50" i="404"/>
  <c r="U60" i="404"/>
  <c r="W60" i="404"/>
  <c r="Y60" i="404"/>
  <c r="AA60" i="404"/>
  <c r="V60" i="404"/>
  <c r="X60" i="404"/>
  <c r="Z60" i="404"/>
  <c r="V44" i="404"/>
  <c r="AA44" i="404"/>
  <c r="Z44" i="404"/>
  <c r="U44" i="404"/>
  <c r="W44" i="404"/>
  <c r="Y44" i="404"/>
  <c r="X44" i="404"/>
  <c r="Z13" i="545"/>
  <c r="W13" i="545"/>
  <c r="O13" i="545"/>
  <c r="V13" i="545"/>
  <c r="Y13" i="545"/>
  <c r="X13" i="545"/>
  <c r="AA13" i="545"/>
  <c r="U13" i="545"/>
  <c r="O22" i="546"/>
  <c r="U22" i="546"/>
  <c r="Z22" i="546"/>
  <c r="AA22" i="546"/>
  <c r="Y22" i="546"/>
  <c r="V22" i="546"/>
  <c r="W22" i="546"/>
  <c r="X22" i="546"/>
  <c r="V79" i="546"/>
  <c r="X79" i="546"/>
  <c r="AA79" i="546"/>
  <c r="W79" i="546"/>
  <c r="U79" i="546"/>
  <c r="Y79" i="546"/>
  <c r="O79" i="546"/>
  <c r="Z79" i="546"/>
  <c r="U38" i="546"/>
  <c r="Y38" i="546"/>
  <c r="W38" i="546"/>
  <c r="AA38" i="546"/>
  <c r="Z38" i="546"/>
  <c r="X38" i="546"/>
  <c r="V38" i="546"/>
  <c r="U44" i="546"/>
  <c r="O44" i="546"/>
  <c r="V44" i="546"/>
  <c r="W44" i="546"/>
  <c r="X44" i="546"/>
  <c r="Z44" i="546"/>
  <c r="AA44" i="546"/>
  <c r="Y44" i="546"/>
  <c r="O58" i="406"/>
  <c r="O53" i="406"/>
  <c r="O46" i="406"/>
  <c r="W23" i="404"/>
  <c r="X23" i="404"/>
  <c r="O23" i="404"/>
  <c r="AA23" i="404"/>
  <c r="V23" i="404"/>
  <c r="Y23" i="404"/>
  <c r="Z23" i="404"/>
  <c r="U23" i="404"/>
  <c r="Z36" i="404"/>
  <c r="W36" i="404"/>
  <c r="U36" i="404"/>
  <c r="AA36" i="404"/>
  <c r="V36" i="404"/>
  <c r="O36" i="404"/>
  <c r="X36" i="404"/>
  <c r="Y36" i="404"/>
  <c r="AA72" i="544"/>
  <c r="Y72" i="544"/>
  <c r="Z72" i="544"/>
  <c r="V72" i="544"/>
  <c r="U72" i="544"/>
  <c r="O72" i="544"/>
  <c r="X72" i="544"/>
  <c r="W72" i="544"/>
  <c r="X40" i="544"/>
  <c r="V40" i="544"/>
  <c r="U40" i="544"/>
  <c r="W40" i="544"/>
  <c r="Z40" i="544"/>
  <c r="Y40" i="544"/>
  <c r="AA40" i="544"/>
  <c r="O41" i="544"/>
  <c r="Y41" i="544"/>
  <c r="U41" i="544"/>
  <c r="X41" i="544"/>
  <c r="V41" i="544"/>
  <c r="W41" i="544"/>
  <c r="Z41" i="544"/>
  <c r="AA41" i="544"/>
  <c r="W47" i="544"/>
  <c r="X47" i="544"/>
  <c r="Z47" i="544"/>
  <c r="AA47" i="544"/>
  <c r="Y47" i="544"/>
  <c r="V47" i="544"/>
  <c r="O47" i="544"/>
  <c r="U47" i="544"/>
  <c r="AA32" i="525"/>
  <c r="U32" i="525"/>
  <c r="Z32" i="525"/>
  <c r="V32" i="525"/>
  <c r="W32" i="525"/>
  <c r="Y32" i="525"/>
  <c r="X32" i="525"/>
  <c r="O32" i="525"/>
  <c r="U61" i="525"/>
  <c r="Z61" i="525"/>
  <c r="O61" i="525"/>
  <c r="T61" i="525"/>
  <c r="W61" i="525"/>
  <c r="Y61" i="525"/>
  <c r="V61" i="525"/>
  <c r="O58" i="525"/>
  <c r="T58" i="525"/>
  <c r="Y58" i="525"/>
  <c r="Z58" i="525"/>
  <c r="V58" i="525"/>
  <c r="U58" i="525"/>
  <c r="W58" i="525"/>
  <c r="U53" i="525"/>
  <c r="X53" i="525"/>
  <c r="Z53" i="525"/>
  <c r="W53" i="525"/>
  <c r="V53" i="525"/>
  <c r="AA53" i="525"/>
  <c r="O53" i="525"/>
  <c r="Y53" i="525"/>
  <c r="AA18" i="525"/>
  <c r="U18" i="525"/>
  <c r="W18" i="525"/>
  <c r="Z18" i="525"/>
  <c r="V18" i="525"/>
  <c r="O18" i="525"/>
  <c r="Y18" i="525"/>
  <c r="X18" i="525"/>
  <c r="V37" i="404"/>
  <c r="Z37" i="404"/>
  <c r="O37" i="404"/>
  <c r="AA37" i="404"/>
  <c r="U37" i="404"/>
  <c r="W37" i="404"/>
  <c r="Y37" i="404"/>
  <c r="X37" i="404"/>
  <c r="U24" i="404"/>
  <c r="X24" i="404"/>
  <c r="Z24" i="404"/>
  <c r="W24" i="404"/>
  <c r="V24" i="404"/>
  <c r="Y24" i="404"/>
  <c r="O24" i="404"/>
  <c r="AA24" i="404"/>
  <c r="AA13" i="467"/>
  <c r="Z13" i="467"/>
  <c r="V13" i="467"/>
  <c r="X13" i="467"/>
  <c r="U13" i="467"/>
  <c r="W13" i="467"/>
  <c r="O13" i="467"/>
  <c r="T13" i="467"/>
  <c r="Y13" i="467"/>
  <c r="V45" i="545"/>
  <c r="W45" i="545"/>
  <c r="U45" i="545"/>
  <c r="O45" i="545"/>
  <c r="Z45" i="545"/>
  <c r="AA45" i="545"/>
  <c r="X45" i="545"/>
  <c r="Y45" i="545"/>
  <c r="O9" i="549"/>
  <c r="Z63" i="546"/>
  <c r="Y63" i="546"/>
  <c r="AA63" i="546"/>
  <c r="O63" i="546"/>
  <c r="W63" i="546"/>
  <c r="V63" i="546"/>
  <c r="U63" i="546"/>
  <c r="X63" i="546"/>
  <c r="V56" i="518"/>
  <c r="X56" i="518"/>
  <c r="Z56" i="518"/>
  <c r="U56" i="518"/>
  <c r="W56" i="518"/>
  <c r="Y56" i="518"/>
  <c r="AA56" i="518"/>
  <c r="O56" i="518"/>
  <c r="W24" i="518"/>
  <c r="Y24" i="518"/>
  <c r="AA24" i="518"/>
  <c r="V24" i="518"/>
  <c r="X24" i="518"/>
  <c r="Z24" i="518"/>
  <c r="U24" i="518"/>
  <c r="O24" i="518"/>
  <c r="Z71" i="518"/>
  <c r="U71" i="518"/>
  <c r="O71" i="518"/>
  <c r="W71" i="518"/>
  <c r="X71" i="518"/>
  <c r="AA71" i="518"/>
  <c r="V71" i="518"/>
  <c r="Y71" i="518"/>
  <c r="V7" i="545"/>
  <c r="W7" i="545"/>
  <c r="O7" i="545"/>
  <c r="U7" i="545"/>
  <c r="X7" i="545"/>
  <c r="Z7" i="545"/>
  <c r="AA7" i="545"/>
  <c r="Y7" i="545"/>
  <c r="W15" i="545"/>
  <c r="U15" i="545"/>
  <c r="Z15" i="545"/>
  <c r="Y15" i="545"/>
  <c r="X15" i="545"/>
  <c r="AA15" i="545"/>
  <c r="V15" i="545"/>
  <c r="O15" i="545"/>
  <c r="Z19" i="545"/>
  <c r="Y19" i="545"/>
  <c r="V19" i="545"/>
  <c r="W19" i="545"/>
  <c r="U19" i="545"/>
  <c r="O19" i="545"/>
  <c r="AA19" i="545"/>
  <c r="X19" i="545"/>
  <c r="X10" i="525"/>
  <c r="Y10" i="525"/>
  <c r="U10" i="525"/>
  <c r="Z10" i="525"/>
  <c r="AA10" i="525"/>
  <c r="W10" i="525"/>
  <c r="V10" i="525"/>
  <c r="O10" i="525"/>
  <c r="W43" i="525"/>
  <c r="V43" i="525"/>
  <c r="AA43" i="525"/>
  <c r="X43" i="525"/>
  <c r="Y43" i="525"/>
  <c r="U43" i="525"/>
  <c r="O43" i="525"/>
  <c r="P43" i="525"/>
  <c r="N43" i="525"/>
  <c r="Z43" i="525"/>
  <c r="Z45" i="541"/>
  <c r="W45" i="541"/>
  <c r="X45" i="541"/>
  <c r="O45" i="541"/>
  <c r="Y45" i="541"/>
  <c r="AA45" i="541"/>
  <c r="U45" i="541"/>
  <c r="V45" i="541"/>
  <c r="U69" i="541"/>
  <c r="Z69" i="541"/>
  <c r="AA69" i="541"/>
  <c r="O69" i="541"/>
  <c r="P69" i="541"/>
  <c r="N69" i="541"/>
  <c r="L70" i="541"/>
  <c r="L71" i="541"/>
  <c r="L72" i="541"/>
  <c r="L73" i="541"/>
  <c r="L74" i="541"/>
  <c r="Y69" i="541"/>
  <c r="X69" i="541"/>
  <c r="W69" i="541"/>
  <c r="V69" i="541"/>
  <c r="O74" i="549"/>
  <c r="O11" i="549"/>
  <c r="AA51" i="399"/>
  <c r="V51" i="399"/>
  <c r="W51" i="399"/>
  <c r="Z51" i="399"/>
  <c r="X51" i="399"/>
  <c r="Y51" i="399"/>
  <c r="U51" i="399"/>
  <c r="AA24" i="525"/>
  <c r="U24" i="525"/>
  <c r="W24" i="525"/>
  <c r="Y24" i="525"/>
  <c r="Z24" i="525"/>
  <c r="O24" i="525"/>
  <c r="V24" i="525"/>
  <c r="X24" i="525"/>
  <c r="T13" i="481"/>
  <c r="P13" i="481"/>
  <c r="N13" i="481"/>
  <c r="L14" i="481"/>
  <c r="V14" i="546"/>
  <c r="O14" i="546"/>
  <c r="Y14" i="546"/>
  <c r="U14" i="546"/>
  <c r="X14" i="546"/>
  <c r="AA14" i="546"/>
  <c r="Z14" i="546"/>
  <c r="W14" i="546"/>
  <c r="Y15" i="546"/>
  <c r="O15" i="546"/>
  <c r="V15" i="546"/>
  <c r="W15" i="546"/>
  <c r="X15" i="546"/>
  <c r="U15" i="546"/>
  <c r="Z15" i="546"/>
  <c r="AA15" i="546"/>
  <c r="AA31" i="544"/>
  <c r="U31" i="544"/>
  <c r="Z31" i="544"/>
  <c r="V31" i="544"/>
  <c r="W31" i="544"/>
  <c r="X31" i="544"/>
  <c r="Y31" i="544"/>
  <c r="V11" i="544"/>
  <c r="W11" i="544"/>
  <c r="U11" i="544"/>
  <c r="X11" i="544"/>
  <c r="Y11" i="544"/>
  <c r="Z11" i="544"/>
  <c r="AA11" i="544"/>
  <c r="Z36" i="544"/>
  <c r="AA36" i="544"/>
  <c r="U36" i="544"/>
  <c r="X36" i="544"/>
  <c r="V36" i="544"/>
  <c r="W36" i="544"/>
  <c r="Y36" i="544"/>
  <c r="X19" i="544"/>
  <c r="Z19" i="544"/>
  <c r="U19" i="544"/>
  <c r="AA19" i="544"/>
  <c r="W19" i="544"/>
  <c r="Y19" i="544"/>
  <c r="V19" i="544"/>
  <c r="U60" i="544"/>
  <c r="V60" i="544"/>
  <c r="Z60" i="544"/>
  <c r="W60" i="544"/>
  <c r="X60" i="544"/>
  <c r="Y60" i="544"/>
  <c r="AA60" i="544"/>
  <c r="X32" i="544"/>
  <c r="V32" i="544"/>
  <c r="Y32" i="544"/>
  <c r="Z32" i="544"/>
  <c r="W32" i="544"/>
  <c r="AA32" i="544"/>
  <c r="U32" i="544"/>
  <c r="O42" i="406"/>
  <c r="O19" i="546"/>
  <c r="V19" i="546"/>
  <c r="X19" i="546"/>
  <c r="W19" i="546"/>
  <c r="Y19" i="546"/>
  <c r="U19" i="546"/>
  <c r="Z19" i="546"/>
  <c r="AA19" i="546"/>
  <c r="Y58" i="546"/>
  <c r="AA58" i="546"/>
  <c r="W58" i="546"/>
  <c r="V58" i="546"/>
  <c r="Z58" i="546"/>
  <c r="U58" i="546"/>
  <c r="X58" i="546"/>
  <c r="O58" i="546"/>
  <c r="Z48" i="525"/>
  <c r="O48" i="525"/>
  <c r="AA48" i="525"/>
  <c r="U48" i="525"/>
  <c r="V48" i="525"/>
  <c r="W48" i="525"/>
  <c r="Y48" i="525"/>
  <c r="X48" i="525"/>
  <c r="AA22" i="525"/>
  <c r="Z22" i="525"/>
  <c r="W22" i="525"/>
  <c r="V22" i="525"/>
  <c r="U22" i="525"/>
  <c r="Y22" i="525"/>
  <c r="X22" i="525"/>
  <c r="O22" i="525"/>
  <c r="U44" i="525"/>
  <c r="W44" i="525"/>
  <c r="V44" i="525"/>
  <c r="X44" i="525"/>
  <c r="AA44" i="525"/>
  <c r="Y44" i="525"/>
  <c r="O44" i="525"/>
  <c r="P44" i="525"/>
  <c r="N44" i="525"/>
  <c r="Z44" i="525"/>
  <c r="W8" i="541"/>
  <c r="Y8" i="541"/>
  <c r="O8" i="541"/>
  <c r="U8" i="541"/>
  <c r="AA8" i="541"/>
  <c r="V8" i="541"/>
  <c r="Z8" i="541"/>
  <c r="X8" i="541"/>
  <c r="U43" i="545"/>
  <c r="V43" i="545"/>
  <c r="O43" i="545"/>
  <c r="AA43" i="545"/>
  <c r="Y43" i="545"/>
  <c r="W43" i="545"/>
  <c r="Z43" i="545"/>
  <c r="X43" i="545"/>
  <c r="T57" i="399"/>
  <c r="V24" i="545"/>
  <c r="W24" i="545"/>
  <c r="Y24" i="545"/>
  <c r="AA24" i="545"/>
  <c r="X24" i="545"/>
  <c r="U24" i="545"/>
  <c r="O24" i="545"/>
  <c r="Z24" i="545"/>
  <c r="Y69" i="544"/>
  <c r="AA69" i="544"/>
  <c r="W69" i="544"/>
  <c r="V69" i="544"/>
  <c r="X69" i="544"/>
  <c r="O69" i="544"/>
  <c r="Z69" i="544"/>
  <c r="U69" i="544"/>
  <c r="AA26" i="544"/>
  <c r="V26" i="544"/>
  <c r="Y26" i="544"/>
  <c r="W26" i="544"/>
  <c r="Z26" i="544"/>
  <c r="X26" i="544"/>
  <c r="U26" i="544"/>
  <c r="O75" i="549"/>
  <c r="V69" i="540"/>
  <c r="W69" i="540"/>
  <c r="Y69" i="540"/>
  <c r="U69" i="540"/>
  <c r="AA69" i="540"/>
  <c r="Z69" i="540"/>
  <c r="X69" i="540"/>
  <c r="X17" i="540"/>
  <c r="Y17" i="540"/>
  <c r="W17" i="540"/>
  <c r="U17" i="540"/>
  <c r="O17" i="540"/>
  <c r="V17" i="540"/>
  <c r="Z17" i="540"/>
  <c r="AA17" i="540"/>
  <c r="X14" i="540"/>
  <c r="O14" i="540"/>
  <c r="U14" i="540"/>
  <c r="Y14" i="540"/>
  <c r="W14" i="540"/>
  <c r="V14" i="540"/>
  <c r="Z14" i="540"/>
  <c r="AA14" i="540"/>
  <c r="W30" i="518"/>
  <c r="Y30" i="518"/>
  <c r="AA30" i="518"/>
  <c r="O30" i="518"/>
  <c r="V30" i="518"/>
  <c r="X30" i="518"/>
  <c r="Z30" i="518"/>
  <c r="U30" i="518"/>
  <c r="V66" i="518"/>
  <c r="X66" i="518"/>
  <c r="Z66" i="518"/>
  <c r="U66" i="518"/>
  <c r="W66" i="518"/>
  <c r="Y66" i="518"/>
  <c r="AA66" i="518"/>
  <c r="O66" i="518"/>
  <c r="V40" i="518"/>
  <c r="X40" i="518"/>
  <c r="Z40" i="518"/>
  <c r="U40" i="518"/>
  <c r="W40" i="518"/>
  <c r="Y40" i="518"/>
  <c r="AA40" i="518"/>
  <c r="O40" i="518"/>
  <c r="Y21" i="518"/>
  <c r="AA21" i="518"/>
  <c r="O21" i="518"/>
  <c r="V21" i="518"/>
  <c r="X21" i="518"/>
  <c r="Z21" i="518"/>
  <c r="U21" i="518"/>
  <c r="W21" i="518"/>
  <c r="O22" i="406"/>
  <c r="U13" i="540"/>
  <c r="Z13" i="540"/>
  <c r="Y13" i="540"/>
  <c r="X13" i="540"/>
  <c r="AA13" i="540"/>
  <c r="V13" i="540"/>
  <c r="O13" i="540"/>
  <c r="W13" i="540"/>
  <c r="W44" i="540"/>
  <c r="Y44" i="540"/>
  <c r="AA44" i="540"/>
  <c r="O44" i="540"/>
  <c r="V44" i="540"/>
  <c r="X44" i="540"/>
  <c r="Z44" i="540"/>
  <c r="U44" i="540"/>
  <c r="Z46" i="540"/>
  <c r="X46" i="540"/>
  <c r="W46" i="540"/>
  <c r="Y46" i="540"/>
  <c r="AA46" i="540"/>
  <c r="V46" i="540"/>
  <c r="O46" i="540"/>
  <c r="U46" i="540"/>
  <c r="Y59" i="541"/>
  <c r="V59" i="541"/>
  <c r="O59" i="541"/>
  <c r="X59" i="541"/>
  <c r="W59" i="541"/>
  <c r="U59" i="541"/>
  <c r="Z59" i="541"/>
  <c r="AA59" i="541"/>
  <c r="W83" i="541"/>
  <c r="X83" i="541"/>
  <c r="U83" i="541"/>
  <c r="V83" i="541"/>
  <c r="Y83" i="541"/>
  <c r="O83" i="541"/>
  <c r="AA83" i="541"/>
  <c r="Z83" i="541"/>
  <c r="O82" i="541"/>
  <c r="V82" i="541"/>
  <c r="W82" i="541"/>
  <c r="Y82" i="541"/>
  <c r="U82" i="541"/>
  <c r="AA82" i="541"/>
  <c r="X82" i="541"/>
  <c r="Z82" i="541"/>
  <c r="AA12" i="525"/>
  <c r="W12" i="525"/>
  <c r="Z12" i="525"/>
  <c r="O12" i="525"/>
  <c r="T12" i="525"/>
  <c r="V12" i="525"/>
  <c r="U12" i="525"/>
  <c r="X12" i="525"/>
  <c r="Y12" i="525"/>
  <c r="W82" i="546"/>
  <c r="X82" i="546"/>
  <c r="V82" i="546"/>
  <c r="U82" i="546"/>
  <c r="AA82" i="546"/>
  <c r="Z82" i="546"/>
  <c r="O82" i="546"/>
  <c r="T82" i="546"/>
  <c r="Y82" i="546"/>
  <c r="U83" i="546"/>
  <c r="W83" i="546"/>
  <c r="V83" i="546"/>
  <c r="Z83" i="546"/>
  <c r="O83" i="546"/>
  <c r="AA83" i="546"/>
  <c r="Y83" i="546"/>
  <c r="X83" i="546"/>
  <c r="U57" i="546"/>
  <c r="AA57" i="546"/>
  <c r="O57" i="546"/>
  <c r="W57" i="546"/>
  <c r="V57" i="546"/>
  <c r="Z57" i="546"/>
  <c r="Y57" i="546"/>
  <c r="X57" i="546"/>
  <c r="Z54" i="546"/>
  <c r="AA54" i="546"/>
  <c r="V54" i="546"/>
  <c r="U54" i="546"/>
  <c r="X54" i="546"/>
  <c r="W54" i="546"/>
  <c r="O54" i="546"/>
  <c r="Y54" i="546"/>
  <c r="X6" i="549"/>
  <c r="Z6" i="549"/>
  <c r="AA6" i="549"/>
  <c r="Y6" i="549"/>
  <c r="W6" i="549"/>
  <c r="V6" i="549"/>
  <c r="U6" i="549"/>
  <c r="O21" i="549"/>
  <c r="P9" i="404"/>
  <c r="N9" i="404"/>
  <c r="T9" i="404"/>
  <c r="Y32" i="399"/>
  <c r="O32" i="399"/>
  <c r="W32" i="399"/>
  <c r="Z32" i="399"/>
  <c r="AA32" i="399"/>
  <c r="U32" i="399"/>
  <c r="V32" i="399"/>
  <c r="X32" i="399"/>
  <c r="O33" i="549"/>
  <c r="O15" i="549"/>
  <c r="Z5" i="407"/>
  <c r="V5" i="407"/>
  <c r="Y5" i="407"/>
  <c r="AA5" i="407"/>
  <c r="O5" i="407"/>
  <c r="W5" i="407"/>
  <c r="X5" i="407"/>
  <c r="U5" i="407"/>
  <c r="W50" i="518"/>
  <c r="Y50" i="518"/>
  <c r="AA50" i="518"/>
  <c r="V50" i="518"/>
  <c r="X50" i="518"/>
  <c r="Z50" i="518"/>
  <c r="O50" i="518"/>
  <c r="U50" i="518"/>
  <c r="V13" i="518"/>
  <c r="X13" i="518"/>
  <c r="O13" i="518"/>
  <c r="Z13" i="518"/>
  <c r="U13" i="518"/>
  <c r="W13" i="518"/>
  <c r="Y13" i="518"/>
  <c r="AA13" i="518"/>
  <c r="AA17" i="518"/>
  <c r="Z17" i="518"/>
  <c r="X17" i="518"/>
  <c r="V17" i="518"/>
  <c r="O17" i="518"/>
  <c r="Y17" i="518"/>
  <c r="W17" i="518"/>
  <c r="U17" i="518"/>
  <c r="AA8" i="518"/>
  <c r="V8" i="518"/>
  <c r="X8" i="518"/>
  <c r="O8" i="518"/>
  <c r="Z8" i="518"/>
  <c r="U8" i="518"/>
  <c r="W8" i="518"/>
  <c r="Y8" i="518"/>
  <c r="U10" i="518"/>
  <c r="W10" i="518"/>
  <c r="Y10" i="518"/>
  <c r="AA10" i="518"/>
  <c r="O10" i="518"/>
  <c r="V10" i="518"/>
  <c r="X10" i="518"/>
  <c r="Z10" i="518"/>
  <c r="W70" i="518"/>
  <c r="V70" i="518"/>
  <c r="AA70" i="518"/>
  <c r="Z70" i="518"/>
  <c r="X70" i="518"/>
  <c r="Y70" i="518"/>
  <c r="O70" i="518"/>
  <c r="U70" i="518"/>
  <c r="O48" i="399"/>
  <c r="W14" i="481"/>
  <c r="U14" i="481"/>
  <c r="X14" i="481"/>
  <c r="O14" i="481"/>
  <c r="V14" i="481"/>
  <c r="Y14" i="481"/>
  <c r="Z14" i="481"/>
  <c r="AA14" i="481"/>
  <c r="U38" i="518"/>
  <c r="W38" i="518"/>
  <c r="O38" i="518"/>
  <c r="Y38" i="518"/>
  <c r="AA38" i="518"/>
  <c r="V38" i="518"/>
  <c r="X38" i="518"/>
  <c r="Z38" i="518"/>
  <c r="V37" i="518"/>
  <c r="X37" i="518"/>
  <c r="AA37" i="518"/>
  <c r="O37" i="518"/>
  <c r="U37" i="518"/>
  <c r="W37" i="518"/>
  <c r="Y37" i="518"/>
  <c r="Z37" i="518"/>
  <c r="O50" i="406"/>
  <c r="W41" i="545"/>
  <c r="V41" i="545"/>
  <c r="O41" i="545"/>
  <c r="U41" i="545"/>
  <c r="AA41" i="545"/>
  <c r="Z41" i="545"/>
  <c r="Y41" i="545"/>
  <c r="X41" i="545"/>
  <c r="AA9" i="545"/>
  <c r="V9" i="545"/>
  <c r="X9" i="545"/>
  <c r="O9" i="545"/>
  <c r="Z9" i="545"/>
  <c r="W9" i="545"/>
  <c r="Y9" i="545"/>
  <c r="U9" i="545"/>
  <c r="V33" i="545"/>
  <c r="U33" i="545"/>
  <c r="O33" i="545"/>
  <c r="AA33" i="545"/>
  <c r="Z33" i="545"/>
  <c r="Y33" i="545"/>
  <c r="X33" i="545"/>
  <c r="W33" i="545"/>
  <c r="Z22" i="544"/>
  <c r="AA22" i="544"/>
  <c r="Y22" i="544"/>
  <c r="U22" i="544"/>
  <c r="V22" i="544"/>
  <c r="W22" i="544"/>
  <c r="X22" i="544"/>
  <c r="X23" i="546"/>
  <c r="Z23" i="546"/>
  <c r="U23" i="546"/>
  <c r="O23" i="546"/>
  <c r="Y23" i="546"/>
  <c r="W23" i="546"/>
  <c r="V23" i="546"/>
  <c r="AA23" i="546"/>
  <c r="O47" i="546"/>
  <c r="V47" i="546"/>
  <c r="Y47" i="546"/>
  <c r="AA47" i="546"/>
  <c r="W47" i="546"/>
  <c r="Z47" i="546"/>
  <c r="U47" i="546"/>
  <c r="X47" i="546"/>
  <c r="Y62" i="404"/>
  <c r="W62" i="404"/>
  <c r="Z62" i="404"/>
  <c r="AA62" i="404"/>
  <c r="V62" i="404"/>
  <c r="X62" i="404"/>
  <c r="U62" i="404"/>
  <c r="V42" i="404"/>
  <c r="U42" i="404"/>
  <c r="X42" i="404"/>
  <c r="Z42" i="404"/>
  <c r="Y42" i="404"/>
  <c r="W42" i="404"/>
  <c r="O42" i="404"/>
  <c r="AA42" i="404"/>
  <c r="V56" i="404"/>
  <c r="U56" i="404"/>
  <c r="Z56" i="404"/>
  <c r="X56" i="404"/>
  <c r="AA56" i="404"/>
  <c r="Y56" i="404"/>
  <c r="W56" i="404"/>
  <c r="W58" i="404"/>
  <c r="Y58" i="404"/>
  <c r="AA58" i="404"/>
  <c r="V58" i="404"/>
  <c r="X58" i="404"/>
  <c r="Z58" i="404"/>
  <c r="U58" i="404"/>
  <c r="W37" i="545"/>
  <c r="V37" i="545"/>
  <c r="AA37" i="545"/>
  <c r="U37" i="545"/>
  <c r="O37" i="545"/>
  <c r="Z37" i="545"/>
  <c r="Y37" i="545"/>
  <c r="X37" i="545"/>
  <c r="V8" i="546"/>
  <c r="AA8" i="546"/>
  <c r="O8" i="546"/>
  <c r="X8" i="546"/>
  <c r="Y8" i="546"/>
  <c r="Z8" i="546"/>
  <c r="W8" i="546"/>
  <c r="U8" i="546"/>
  <c r="U40" i="546"/>
  <c r="Z40" i="546"/>
  <c r="W40" i="546"/>
  <c r="AA40" i="546"/>
  <c r="Y40" i="546"/>
  <c r="V40" i="546"/>
  <c r="O40" i="546"/>
  <c r="X40" i="546"/>
  <c r="Y77" i="546"/>
  <c r="U77" i="546"/>
  <c r="V77" i="546"/>
  <c r="AA77" i="546"/>
  <c r="O77" i="546"/>
  <c r="W77" i="546"/>
  <c r="X77" i="546"/>
  <c r="Z77" i="546"/>
  <c r="AA46" i="546"/>
  <c r="Y46" i="546"/>
  <c r="V46" i="546"/>
  <c r="U46" i="546"/>
  <c r="Z46" i="546"/>
  <c r="W46" i="546"/>
  <c r="O46" i="546"/>
  <c r="X46" i="546"/>
  <c r="O54" i="406"/>
  <c r="O60" i="406"/>
  <c r="T7" i="404"/>
  <c r="P7" i="404"/>
  <c r="AA66" i="544"/>
  <c r="Z66" i="544"/>
  <c r="X66" i="544"/>
  <c r="Y66" i="544"/>
  <c r="W66" i="544"/>
  <c r="O66" i="544"/>
  <c r="V66" i="544"/>
  <c r="U66" i="544"/>
  <c r="Z63" i="544"/>
  <c r="X63" i="544"/>
  <c r="V63" i="544"/>
  <c r="Y63" i="544"/>
  <c r="U63" i="544"/>
  <c r="O63" i="544"/>
  <c r="W63" i="544"/>
  <c r="AA63" i="544"/>
  <c r="Z62" i="544"/>
  <c r="AA62" i="544"/>
  <c r="U62" i="544"/>
  <c r="V62" i="544"/>
  <c r="Y62" i="544"/>
  <c r="W62" i="544"/>
  <c r="X62" i="544"/>
  <c r="Y9" i="525"/>
  <c r="W9" i="525"/>
  <c r="Z9" i="525"/>
  <c r="X9" i="525"/>
  <c r="AA9" i="525"/>
  <c r="O9" i="525"/>
  <c r="U9" i="525"/>
  <c r="V9" i="525"/>
  <c r="W23" i="525"/>
  <c r="Z23" i="525"/>
  <c r="X23" i="525"/>
  <c r="U23" i="525"/>
  <c r="V23" i="525"/>
  <c r="Y23" i="525"/>
  <c r="O23" i="525"/>
  <c r="AA23" i="525"/>
  <c r="AA46" i="525"/>
  <c r="Y46" i="525"/>
  <c r="V46" i="525"/>
  <c r="U46" i="525"/>
  <c r="W46" i="525"/>
  <c r="O46" i="525"/>
  <c r="Z46" i="525"/>
  <c r="X46" i="525"/>
  <c r="AA52" i="525"/>
  <c r="W52" i="525"/>
  <c r="V52" i="525"/>
  <c r="U52" i="525"/>
  <c r="Z52" i="525"/>
  <c r="O52" i="525"/>
  <c r="Y52" i="525"/>
  <c r="X52" i="525"/>
  <c r="AA47" i="525"/>
  <c r="W47" i="525"/>
  <c r="Z47" i="525"/>
  <c r="Y47" i="525"/>
  <c r="O47" i="525"/>
  <c r="V47" i="525"/>
  <c r="U47" i="525"/>
  <c r="X47" i="525"/>
  <c r="U59" i="525"/>
  <c r="W59" i="525"/>
  <c r="Y59" i="525"/>
  <c r="Z59" i="525"/>
  <c r="V59" i="525"/>
  <c r="O59" i="525"/>
  <c r="T59" i="525"/>
  <c r="T33" i="399"/>
  <c r="P33" i="399"/>
  <c r="N33" i="399"/>
  <c r="Y46" i="404"/>
  <c r="Z46" i="404"/>
  <c r="AA46" i="404"/>
  <c r="X46" i="404"/>
  <c r="V46" i="404"/>
  <c r="W46" i="404"/>
  <c r="U46" i="404"/>
  <c r="V6" i="467"/>
  <c r="Y6" i="467"/>
  <c r="Y20" i="467"/>
  <c r="Y21" i="467"/>
  <c r="Y22" i="467"/>
  <c r="U6" i="467"/>
  <c r="O6" i="467"/>
  <c r="T6" i="467"/>
  <c r="Z6" i="467"/>
  <c r="X6" i="467"/>
  <c r="W6" i="467"/>
  <c r="AA6" i="467"/>
  <c r="U23" i="545"/>
  <c r="O23" i="545"/>
  <c r="W23" i="545"/>
  <c r="Y23" i="545"/>
  <c r="AA23" i="545"/>
  <c r="V23" i="545"/>
  <c r="X23" i="545"/>
  <c r="Z23" i="545"/>
  <c r="O5" i="545"/>
  <c r="Y5" i="545"/>
  <c r="W5" i="545"/>
  <c r="Z5" i="545"/>
  <c r="U5" i="545"/>
  <c r="V5" i="545"/>
  <c r="X5" i="545"/>
  <c r="AA5" i="545"/>
  <c r="P11" i="481"/>
  <c r="N11" i="481"/>
  <c r="T11" i="481"/>
  <c r="U39" i="518"/>
  <c r="W39" i="518"/>
  <c r="Y39" i="518"/>
  <c r="O39" i="518"/>
  <c r="AA39" i="518"/>
  <c r="V39" i="518"/>
  <c r="Z39" i="518"/>
  <c r="X39" i="518"/>
  <c r="Z68" i="518"/>
  <c r="O68" i="518"/>
  <c r="X68" i="518"/>
  <c r="W68" i="518"/>
  <c r="Y68" i="518"/>
  <c r="AA68" i="518"/>
  <c r="V68" i="518"/>
  <c r="U68" i="518"/>
  <c r="AA28" i="518"/>
  <c r="V28" i="518"/>
  <c r="X28" i="518"/>
  <c r="Z28" i="518"/>
  <c r="U28" i="518"/>
  <c r="W28" i="518"/>
  <c r="O28" i="518"/>
  <c r="Y28" i="518"/>
  <c r="Y35" i="545"/>
  <c r="O35" i="545"/>
  <c r="Z35" i="545"/>
  <c r="X35" i="545"/>
  <c r="U35" i="545"/>
  <c r="V35" i="545"/>
  <c r="AA35" i="545"/>
  <c r="W35" i="545"/>
  <c r="AA38" i="545"/>
  <c r="Z38" i="545"/>
  <c r="V38" i="545"/>
  <c r="Y38" i="545"/>
  <c r="U38" i="545"/>
  <c r="X38" i="545"/>
  <c r="W38" i="545"/>
  <c r="O38" i="545"/>
  <c r="Z34" i="545"/>
  <c r="Y34" i="545"/>
  <c r="AA34" i="545"/>
  <c r="X34" i="545"/>
  <c r="W34" i="545"/>
  <c r="O34" i="545"/>
  <c r="V34" i="545"/>
  <c r="U34" i="545"/>
  <c r="W51" i="525"/>
  <c r="O51" i="525"/>
  <c r="AA51" i="525"/>
  <c r="V51" i="525"/>
  <c r="U51" i="525"/>
  <c r="Y51" i="525"/>
  <c r="X51" i="525"/>
  <c r="Z51" i="525"/>
  <c r="U16" i="525"/>
  <c r="Y16" i="525"/>
  <c r="X16" i="525"/>
  <c r="W16" i="525"/>
  <c r="Z16" i="525"/>
  <c r="V16" i="525"/>
  <c r="O16" i="525"/>
  <c r="AA16" i="525"/>
  <c r="X41" i="541"/>
  <c r="Z41" i="541"/>
  <c r="Y41" i="541"/>
  <c r="O41" i="541"/>
  <c r="P41" i="541"/>
  <c r="N41" i="541"/>
  <c r="AA41" i="541"/>
  <c r="W41" i="541"/>
  <c r="V41" i="541"/>
  <c r="U41" i="541"/>
  <c r="O28" i="541"/>
  <c r="T28" i="541"/>
  <c r="Y28" i="541"/>
  <c r="W28" i="541"/>
  <c r="U28" i="541"/>
  <c r="Z28" i="541"/>
  <c r="X28" i="541"/>
  <c r="AA28" i="541"/>
  <c r="V28" i="541"/>
  <c r="P59" i="406"/>
  <c r="Y51" i="545"/>
  <c r="V51" i="545"/>
  <c r="U51" i="545"/>
  <c r="X51" i="545"/>
  <c r="AA51" i="545"/>
  <c r="W51" i="545"/>
  <c r="Z51" i="545"/>
  <c r="O51" i="545"/>
  <c r="O19" i="549"/>
  <c r="T18" i="399"/>
  <c r="P18" i="399"/>
  <c r="N18" i="399"/>
  <c r="V38" i="399"/>
  <c r="U38" i="399"/>
  <c r="Z38" i="399"/>
  <c r="X38" i="399"/>
  <c r="W38" i="399"/>
  <c r="Y38" i="399"/>
  <c r="O38" i="399"/>
  <c r="AA38" i="399"/>
  <c r="AA15" i="525"/>
  <c r="V15" i="525"/>
  <c r="U15" i="525"/>
  <c r="W15" i="525"/>
  <c r="Z15" i="525"/>
  <c r="O15" i="525"/>
  <c r="Y15" i="525"/>
  <c r="X15" i="525"/>
  <c r="Z67" i="546"/>
  <c r="X67" i="546"/>
  <c r="U67" i="546"/>
  <c r="AA67" i="546"/>
  <c r="V67" i="546"/>
  <c r="W67" i="546"/>
  <c r="Y67" i="546"/>
  <c r="O67" i="546"/>
  <c r="O7" i="546"/>
  <c r="Y7" i="546"/>
  <c r="W7" i="546"/>
  <c r="AA7" i="546"/>
  <c r="Z7" i="546"/>
  <c r="U7" i="546"/>
  <c r="V7" i="546"/>
  <c r="X7" i="546"/>
  <c r="Y13" i="546"/>
  <c r="O13" i="546"/>
  <c r="X13" i="546"/>
  <c r="U13" i="546"/>
  <c r="V13" i="546"/>
  <c r="AA13" i="546"/>
  <c r="W13" i="546"/>
  <c r="Z13" i="546"/>
  <c r="X9" i="544"/>
  <c r="V9" i="544"/>
  <c r="Y9" i="544"/>
  <c r="Z9" i="544"/>
  <c r="W9" i="544"/>
  <c r="AA9" i="544"/>
  <c r="U9" i="544"/>
  <c r="Z39" i="544"/>
  <c r="AA39" i="544"/>
  <c r="Y39" i="544"/>
  <c r="U39" i="544"/>
  <c r="V39" i="544"/>
  <c r="W39" i="544"/>
  <c r="X39" i="544"/>
  <c r="X10" i="544"/>
  <c r="Y10" i="544"/>
  <c r="W10" i="544"/>
  <c r="Z10" i="544"/>
  <c r="AA10" i="544"/>
  <c r="U10" i="544"/>
  <c r="V10" i="544"/>
  <c r="V14" i="544"/>
  <c r="AA14" i="544"/>
  <c r="W14" i="544"/>
  <c r="X14" i="544"/>
  <c r="Y14" i="544"/>
  <c r="Z14" i="544"/>
  <c r="U14" i="544"/>
  <c r="AA50" i="544"/>
  <c r="Z50" i="544"/>
  <c r="U50" i="544"/>
  <c r="V50" i="544"/>
  <c r="Y50" i="544"/>
  <c r="W50" i="544"/>
  <c r="X50" i="544"/>
  <c r="AA67" i="544"/>
  <c r="Y67" i="544"/>
  <c r="U67" i="544"/>
  <c r="X67" i="544"/>
  <c r="V67" i="544"/>
  <c r="W67" i="544"/>
  <c r="O67" i="544"/>
  <c r="Z67" i="544"/>
  <c r="O23" i="406"/>
  <c r="W12" i="546"/>
  <c r="X12" i="546"/>
  <c r="Z12" i="546"/>
  <c r="Y12" i="546"/>
  <c r="U12" i="546"/>
  <c r="V12" i="546"/>
  <c r="AA12" i="546"/>
  <c r="O12" i="546"/>
  <c r="V35" i="546"/>
  <c r="W35" i="546"/>
  <c r="X35" i="546"/>
  <c r="U35" i="546"/>
  <c r="Y35" i="546"/>
  <c r="AA35" i="546"/>
  <c r="Z35" i="546"/>
  <c r="O35" i="546"/>
  <c r="Y41" i="525"/>
  <c r="X41" i="525"/>
  <c r="AA41" i="525"/>
  <c r="Z41" i="525"/>
  <c r="U41" i="525"/>
  <c r="O41" i="525"/>
  <c r="V41" i="525"/>
  <c r="W41" i="525"/>
  <c r="AA34" i="525"/>
  <c r="V34" i="525"/>
  <c r="X34" i="525"/>
  <c r="U34" i="525"/>
  <c r="Y34" i="525"/>
  <c r="W34" i="525"/>
  <c r="Z34" i="525"/>
  <c r="O34" i="525"/>
  <c r="V39" i="541"/>
  <c r="AA39" i="541"/>
  <c r="O39" i="541"/>
  <c r="P39" i="541"/>
  <c r="N39" i="541"/>
  <c r="X39" i="541"/>
  <c r="Z39" i="541"/>
  <c r="W39" i="541"/>
  <c r="Y39" i="541"/>
  <c r="U39" i="541"/>
  <c r="O6" i="545"/>
  <c r="U6" i="545"/>
  <c r="Z6" i="545"/>
  <c r="AA6" i="545"/>
  <c r="V6" i="545"/>
  <c r="W6" i="545"/>
  <c r="Y6" i="545"/>
  <c r="X6" i="545"/>
  <c r="U70" i="544"/>
  <c r="Z70" i="544"/>
  <c r="O70" i="544"/>
  <c r="Y70" i="544"/>
  <c r="W70" i="544"/>
  <c r="AA70" i="544"/>
  <c r="X70" i="544"/>
  <c r="V70" i="544"/>
  <c r="Y7" i="544"/>
  <c r="AA7" i="544"/>
  <c r="Z7" i="544"/>
  <c r="W7" i="544"/>
  <c r="U7" i="544"/>
  <c r="X7" i="544"/>
  <c r="V7" i="544"/>
  <c r="O37" i="549"/>
  <c r="O22" i="549"/>
  <c r="Y56" i="540"/>
  <c r="AA56" i="540"/>
  <c r="V56" i="540"/>
  <c r="X56" i="540"/>
  <c r="Z56" i="540"/>
  <c r="U56" i="540"/>
  <c r="W56" i="540"/>
  <c r="V21" i="540"/>
  <c r="Z21" i="540"/>
  <c r="O21" i="540"/>
  <c r="Y21" i="540"/>
  <c r="U21" i="540"/>
  <c r="AA21" i="540"/>
  <c r="X21" i="540"/>
  <c r="W21" i="540"/>
  <c r="Z51" i="540"/>
  <c r="X51" i="540"/>
  <c r="V51" i="540"/>
  <c r="U51" i="540"/>
  <c r="O51" i="540"/>
  <c r="AA51" i="540"/>
  <c r="Y51" i="540"/>
  <c r="W51" i="540"/>
  <c r="AA12" i="518"/>
  <c r="V12" i="518"/>
  <c r="X12" i="518"/>
  <c r="Z12" i="518"/>
  <c r="U12" i="518"/>
  <c r="O12" i="518"/>
  <c r="W12" i="518"/>
  <c r="Y12" i="518"/>
  <c r="U76" i="518"/>
  <c r="W76" i="518"/>
  <c r="Y76" i="518"/>
  <c r="X76" i="518"/>
  <c r="V76" i="518"/>
  <c r="O76" i="518"/>
  <c r="Z76" i="518"/>
  <c r="AA76" i="518"/>
  <c r="U77" i="518"/>
  <c r="Z77" i="518"/>
  <c r="Y77" i="518"/>
  <c r="O77" i="518"/>
  <c r="V77" i="518"/>
  <c r="AA77" i="518"/>
  <c r="X77" i="518"/>
  <c r="W77" i="518"/>
  <c r="O57" i="406"/>
  <c r="O43" i="406"/>
  <c r="X68" i="540"/>
  <c r="W68" i="540"/>
  <c r="U68" i="540"/>
  <c r="Y68" i="540"/>
  <c r="V68" i="540"/>
  <c r="AA68" i="540"/>
  <c r="Z68" i="540"/>
  <c r="Z62" i="540"/>
  <c r="X62" i="540"/>
  <c r="Z70" i="540"/>
  <c r="AA70" i="540"/>
  <c r="AA62" i="540"/>
  <c r="Y62" i="540"/>
  <c r="U70" i="540"/>
  <c r="V70" i="540"/>
  <c r="W70" i="540"/>
  <c r="V62" i="540"/>
  <c r="W62" i="540"/>
  <c r="U62" i="540"/>
  <c r="X70" i="540"/>
  <c r="Y70" i="540"/>
  <c r="V60" i="540"/>
  <c r="X60" i="540"/>
  <c r="Z60" i="540"/>
  <c r="U60" i="540"/>
  <c r="W60" i="540"/>
  <c r="Y60" i="540"/>
  <c r="AA60" i="540"/>
  <c r="V20" i="540"/>
  <c r="U20" i="540"/>
  <c r="Y20" i="540"/>
  <c r="W20" i="540"/>
  <c r="X20" i="540"/>
  <c r="Z20" i="540"/>
  <c r="O20" i="540"/>
  <c r="AA20" i="540"/>
  <c r="Z67" i="541"/>
  <c r="O67" i="541"/>
  <c r="P67" i="541"/>
  <c r="N67" i="541"/>
  <c r="Y67" i="541"/>
  <c r="W67" i="541"/>
  <c r="AA67" i="541"/>
  <c r="X67" i="541"/>
  <c r="U67" i="541"/>
  <c r="V67" i="541"/>
  <c r="V15" i="541"/>
  <c r="Y15" i="541"/>
  <c r="AA15" i="541"/>
  <c r="O15" i="541"/>
  <c r="U15" i="541"/>
  <c r="W15" i="541"/>
  <c r="Z15" i="541"/>
  <c r="X15" i="541"/>
  <c r="AA58" i="541"/>
  <c r="U58" i="541"/>
  <c r="W58" i="541"/>
  <c r="V58" i="541"/>
  <c r="Y58" i="541"/>
  <c r="Z58" i="541"/>
  <c r="O58" i="541"/>
  <c r="X58" i="541"/>
  <c r="AA66" i="546"/>
  <c r="Y66" i="546"/>
  <c r="X66" i="546"/>
  <c r="O66" i="546"/>
  <c r="V66" i="546"/>
  <c r="W66" i="546"/>
  <c r="U66" i="546"/>
  <c r="Z66" i="546"/>
  <c r="Z73" i="546"/>
  <c r="Y73" i="546"/>
  <c r="O73" i="546"/>
  <c r="U73" i="546"/>
  <c r="W73" i="546"/>
  <c r="AA73" i="546"/>
  <c r="X73" i="546"/>
  <c r="V73" i="546"/>
  <c r="Z28" i="546"/>
  <c r="W28" i="546"/>
  <c r="U28" i="546"/>
  <c r="O28" i="546"/>
  <c r="V28" i="546"/>
  <c r="AA28" i="546"/>
  <c r="X28" i="546"/>
  <c r="Y28" i="546"/>
  <c r="Y29" i="546"/>
  <c r="O29" i="546"/>
  <c r="W29" i="546"/>
  <c r="Z29" i="546"/>
  <c r="U29" i="546"/>
  <c r="V29" i="546"/>
  <c r="AA29" i="546"/>
  <c r="X29" i="546"/>
  <c r="X10" i="546"/>
  <c r="AA10" i="546"/>
  <c r="Y10" i="546"/>
  <c r="U10" i="546"/>
  <c r="W10" i="546"/>
  <c r="Z10" i="546"/>
  <c r="V10" i="546"/>
  <c r="O10" i="546"/>
  <c r="O38" i="549"/>
  <c r="O8" i="549"/>
  <c r="O68" i="549"/>
  <c r="AA6" i="401"/>
  <c r="Z6" i="401"/>
  <c r="Y6" i="401"/>
  <c r="X6" i="401"/>
  <c r="V6" i="401"/>
  <c r="W6" i="401"/>
  <c r="O6" i="401"/>
  <c r="U6" i="401"/>
  <c r="O72" i="549"/>
  <c r="O42" i="549"/>
  <c r="O69" i="549"/>
  <c r="O23" i="549"/>
  <c r="Y31" i="518"/>
  <c r="AA31" i="518"/>
  <c r="O31" i="518"/>
  <c r="V31" i="518"/>
  <c r="X31" i="518"/>
  <c r="Z31" i="518"/>
  <c r="U31" i="518"/>
  <c r="W31" i="518"/>
  <c r="X22" i="518"/>
  <c r="W22" i="518"/>
  <c r="Y22" i="518"/>
  <c r="AA22" i="518"/>
  <c r="U22" i="518"/>
  <c r="V22" i="518"/>
  <c r="O22" i="518"/>
  <c r="Z22" i="518"/>
  <c r="AA34" i="518"/>
  <c r="Z34" i="518"/>
  <c r="X34" i="518"/>
  <c r="V34" i="518"/>
  <c r="O34" i="518"/>
  <c r="U34" i="518"/>
  <c r="Y34" i="518"/>
  <c r="W34" i="518"/>
  <c r="X43" i="518"/>
  <c r="Z43" i="518"/>
  <c r="U43" i="518"/>
  <c r="W43" i="518"/>
  <c r="Y43" i="518"/>
  <c r="AA43" i="518"/>
  <c r="O43" i="518"/>
  <c r="V43" i="518"/>
  <c r="T39" i="399"/>
  <c r="P39" i="399"/>
  <c r="N39" i="399"/>
  <c r="Z35" i="518"/>
  <c r="U35" i="518"/>
  <c r="W35" i="518"/>
  <c r="Y35" i="518"/>
  <c r="O35" i="518"/>
  <c r="AA35" i="518"/>
  <c r="X35" i="518"/>
  <c r="V35" i="518"/>
  <c r="X54" i="518"/>
  <c r="Z54" i="518"/>
  <c r="U54" i="518"/>
  <c r="W54" i="518"/>
  <c r="Y54" i="518"/>
  <c r="V54" i="518"/>
  <c r="O54" i="518"/>
  <c r="AA54" i="518"/>
  <c r="X36" i="399"/>
  <c r="W36" i="399"/>
  <c r="Y36" i="399"/>
  <c r="Z36" i="399"/>
  <c r="O36" i="399"/>
  <c r="AA36" i="399"/>
  <c r="U36" i="399"/>
  <c r="V36" i="399"/>
  <c r="Y29" i="399"/>
  <c r="X29" i="399"/>
  <c r="O29" i="399"/>
  <c r="V29" i="399"/>
  <c r="AA29" i="399"/>
  <c r="Z29" i="399"/>
  <c r="U29" i="399"/>
  <c r="W29" i="399"/>
  <c r="U61" i="399"/>
  <c r="O61" i="399"/>
  <c r="Y61" i="399"/>
  <c r="Y67" i="399"/>
  <c r="W61" i="399"/>
  <c r="W67" i="399"/>
  <c r="V61" i="399"/>
  <c r="V67" i="399"/>
  <c r="AA61" i="399"/>
  <c r="AA67" i="399"/>
  <c r="X61" i="399"/>
  <c r="X67" i="399"/>
  <c r="Z61" i="399"/>
  <c r="Z67" i="399"/>
  <c r="Z9" i="481"/>
  <c r="W9" i="481"/>
  <c r="V9" i="481"/>
  <c r="O9" i="481"/>
  <c r="Y9" i="481"/>
  <c r="X9" i="481"/>
  <c r="U9" i="481"/>
  <c r="AA9" i="481"/>
  <c r="W62" i="518"/>
  <c r="Y62" i="518"/>
  <c r="AA62" i="518"/>
  <c r="V62" i="518"/>
  <c r="X62" i="518"/>
  <c r="Z62" i="518"/>
  <c r="O62" i="518"/>
  <c r="U62" i="518"/>
  <c r="W45" i="518"/>
  <c r="Y45" i="518"/>
  <c r="X45" i="518"/>
  <c r="O45" i="518"/>
  <c r="V45" i="518"/>
  <c r="U45" i="518"/>
  <c r="AA45" i="518"/>
  <c r="Z45" i="518"/>
  <c r="V63" i="518"/>
  <c r="X63" i="518"/>
  <c r="O63" i="518"/>
  <c r="Z63" i="518"/>
  <c r="U63" i="518"/>
  <c r="W63" i="518"/>
  <c r="Y63" i="518"/>
  <c r="AA63" i="518"/>
  <c r="O40" i="406"/>
  <c r="O45" i="406"/>
  <c r="W47" i="545"/>
  <c r="AA47" i="545"/>
  <c r="Z47" i="545"/>
  <c r="V47" i="545"/>
  <c r="Y47" i="545"/>
  <c r="U47" i="545"/>
  <c r="X47" i="545"/>
  <c r="O47" i="545"/>
  <c r="AA50" i="545"/>
  <c r="U50" i="545"/>
  <c r="X50" i="545"/>
  <c r="Y50" i="545"/>
  <c r="O50" i="545"/>
  <c r="V50" i="545"/>
  <c r="W50" i="545"/>
  <c r="Z50" i="545"/>
  <c r="O30" i="545"/>
  <c r="Z30" i="545"/>
  <c r="X30" i="545"/>
  <c r="AA30" i="545"/>
  <c r="U30" i="545"/>
  <c r="W30" i="545"/>
  <c r="V30" i="545"/>
  <c r="Y30" i="545"/>
  <c r="X59" i="544"/>
  <c r="Y59" i="544"/>
  <c r="V59" i="544"/>
  <c r="Z59" i="544"/>
  <c r="AA59" i="544"/>
  <c r="W59" i="544"/>
  <c r="U59" i="544"/>
  <c r="Y45" i="546"/>
  <c r="AA45" i="546"/>
  <c r="X45" i="546"/>
  <c r="U45" i="546"/>
  <c r="V45" i="546"/>
  <c r="W45" i="546"/>
  <c r="Z45" i="546"/>
  <c r="O45" i="546"/>
  <c r="AA17" i="546"/>
  <c r="O17" i="546"/>
  <c r="Y17" i="546"/>
  <c r="Z17" i="546"/>
  <c r="X17" i="546"/>
  <c r="U17" i="546"/>
  <c r="V17" i="546"/>
  <c r="W17" i="546"/>
  <c r="X14" i="404"/>
  <c r="V14" i="404"/>
  <c r="AA14" i="404"/>
  <c r="O14" i="404"/>
  <c r="W14" i="404"/>
  <c r="U14" i="404"/>
  <c r="Z14" i="404"/>
  <c r="Y14" i="404"/>
  <c r="W34" i="404"/>
  <c r="O34" i="404"/>
  <c r="X34" i="404"/>
  <c r="Z34" i="404"/>
  <c r="U34" i="404"/>
  <c r="AA34" i="404"/>
  <c r="Y34" i="404"/>
  <c r="V34" i="404"/>
  <c r="AA46" i="545"/>
  <c r="O46" i="545"/>
  <c r="U46" i="545"/>
  <c r="Y46" i="545"/>
  <c r="Z46" i="545"/>
  <c r="V46" i="545"/>
  <c r="W46" i="545"/>
  <c r="X46" i="545"/>
  <c r="Z21" i="545"/>
  <c r="X21" i="545"/>
  <c r="U21" i="545"/>
  <c r="O21" i="545"/>
  <c r="Y21" i="545"/>
  <c r="W21" i="545"/>
  <c r="V21" i="545"/>
  <c r="AA21" i="545"/>
  <c r="AA48" i="546"/>
  <c r="X48" i="546"/>
  <c r="O48" i="546"/>
  <c r="Z48" i="546"/>
  <c r="U48" i="546"/>
  <c r="W48" i="546"/>
  <c r="V48" i="546"/>
  <c r="Y48" i="546"/>
  <c r="U42" i="546"/>
  <c r="AA42" i="546"/>
  <c r="V42" i="546"/>
  <c r="W42" i="546"/>
  <c r="Z42" i="546"/>
  <c r="Y42" i="546"/>
  <c r="O42" i="546"/>
  <c r="X42" i="546"/>
  <c r="O51" i="546"/>
  <c r="AA51" i="546"/>
  <c r="Z51" i="546"/>
  <c r="Y51" i="546"/>
  <c r="U51" i="546"/>
  <c r="V51" i="546"/>
  <c r="X51" i="546"/>
  <c r="W51" i="546"/>
  <c r="Y53" i="546"/>
  <c r="AA53" i="546"/>
  <c r="Z53" i="546"/>
  <c r="O53" i="546"/>
  <c r="U53" i="546"/>
  <c r="W53" i="546"/>
  <c r="X53" i="546"/>
  <c r="V53" i="546"/>
  <c r="V16" i="404"/>
  <c r="U16" i="404"/>
  <c r="Z16" i="404"/>
  <c r="Y16" i="404"/>
  <c r="W16" i="404"/>
  <c r="AA16" i="404"/>
  <c r="X16" i="404"/>
  <c r="O16" i="404"/>
  <c r="U45" i="544"/>
  <c r="Z45" i="544"/>
  <c r="V45" i="544"/>
  <c r="Y45" i="544"/>
  <c r="W45" i="544"/>
  <c r="X45" i="544"/>
  <c r="AA45" i="544"/>
  <c r="O45" i="544"/>
  <c r="AA55" i="544"/>
  <c r="U55" i="544"/>
  <c r="Y55" i="544"/>
  <c r="V55" i="544"/>
  <c r="Z55" i="544"/>
  <c r="W55" i="544"/>
  <c r="X55" i="544"/>
  <c r="AA33" i="544"/>
  <c r="Y33" i="544"/>
  <c r="U33" i="544"/>
  <c r="V33" i="544"/>
  <c r="W33" i="544"/>
  <c r="X33" i="544"/>
  <c r="Z33" i="544"/>
  <c r="X42" i="525"/>
  <c r="Z42" i="525"/>
  <c r="U42" i="525"/>
  <c r="O42" i="525"/>
  <c r="P42" i="525"/>
  <c r="N42" i="525"/>
  <c r="AA42" i="525"/>
  <c r="V42" i="525"/>
  <c r="W42" i="525"/>
  <c r="Y42" i="525"/>
  <c r="U56" i="525"/>
  <c r="W56" i="525"/>
  <c r="V56" i="525"/>
  <c r="Z56" i="525"/>
  <c r="O56" i="525"/>
  <c r="T56" i="525"/>
  <c r="Y56" i="525"/>
  <c r="AA27" i="525"/>
  <c r="U27" i="525"/>
  <c r="W27" i="525"/>
  <c r="Y27" i="525"/>
  <c r="Z27" i="525"/>
  <c r="V27" i="525"/>
  <c r="O27" i="525"/>
  <c r="X27" i="525"/>
  <c r="AA37" i="525"/>
  <c r="U37" i="525"/>
  <c r="V37" i="525"/>
  <c r="X37" i="525"/>
  <c r="Z37" i="525"/>
  <c r="W37" i="525"/>
  <c r="O37" i="525"/>
  <c r="Y37" i="525"/>
  <c r="AA35" i="525"/>
  <c r="W35" i="525"/>
  <c r="Z35" i="525"/>
  <c r="U35" i="525"/>
  <c r="Y35" i="525"/>
  <c r="V35" i="525"/>
  <c r="O35" i="525"/>
  <c r="X35" i="525"/>
  <c r="AA54" i="525"/>
  <c r="U54" i="525"/>
  <c r="Z54" i="525"/>
  <c r="W54" i="525"/>
  <c r="V54" i="525"/>
  <c r="Y54" i="525"/>
  <c r="O54" i="525"/>
  <c r="P54" i="525"/>
  <c r="N54" i="525"/>
  <c r="X54" i="525"/>
  <c r="T25" i="399"/>
  <c r="P25" i="399"/>
  <c r="N25" i="399"/>
  <c r="Z39" i="404"/>
  <c r="U39" i="404"/>
  <c r="W39" i="404"/>
  <c r="Y39" i="404"/>
  <c r="X39" i="404"/>
  <c r="V39" i="404"/>
  <c r="AA39" i="404"/>
  <c r="O39" i="404"/>
  <c r="AA26" i="467"/>
  <c r="X26" i="467"/>
  <c r="Z26" i="467"/>
  <c r="W26" i="467"/>
  <c r="V26" i="467"/>
  <c r="U26" i="467"/>
  <c r="Y26" i="467"/>
  <c r="O26" i="467"/>
  <c r="T26" i="467"/>
  <c r="U29" i="545"/>
  <c r="X29" i="545"/>
  <c r="V29" i="545"/>
  <c r="AA29" i="545"/>
  <c r="O29" i="545"/>
  <c r="Y29" i="545"/>
  <c r="Z29" i="545"/>
  <c r="W29" i="545"/>
  <c r="U26" i="545"/>
  <c r="Z26" i="545"/>
  <c r="X26" i="545"/>
  <c r="AA26" i="545"/>
  <c r="O26" i="545"/>
  <c r="W26" i="545"/>
  <c r="Y26" i="545"/>
  <c r="V26" i="545"/>
  <c r="O56" i="406"/>
  <c r="O41" i="549"/>
  <c r="V72" i="546"/>
  <c r="O72" i="546"/>
  <c r="AA72" i="546"/>
  <c r="U72" i="546"/>
  <c r="W72" i="546"/>
  <c r="X72" i="546"/>
  <c r="Y72" i="546"/>
  <c r="Z72" i="546"/>
  <c r="U59" i="518"/>
  <c r="W59" i="518"/>
  <c r="Y59" i="518"/>
  <c r="AA59" i="518"/>
  <c r="V59" i="518"/>
  <c r="X59" i="518"/>
  <c r="Z59" i="518"/>
  <c r="O59" i="518"/>
  <c r="Z42" i="518"/>
  <c r="U42" i="518"/>
  <c r="O42" i="518"/>
  <c r="W42" i="518"/>
  <c r="Y42" i="518"/>
  <c r="AA42" i="518"/>
  <c r="V42" i="518"/>
  <c r="X42" i="518"/>
  <c r="U64" i="518"/>
  <c r="W64" i="518"/>
  <c r="Y64" i="518"/>
  <c r="X64" i="518"/>
  <c r="V64" i="518"/>
  <c r="Z64" i="518"/>
  <c r="O64" i="518"/>
  <c r="AA64" i="518"/>
  <c r="P16" i="407"/>
  <c r="N16" i="407"/>
  <c r="X10" i="545"/>
  <c r="Y10" i="545"/>
  <c r="V10" i="545"/>
  <c r="W10" i="545"/>
  <c r="O10" i="545"/>
  <c r="U10" i="545"/>
  <c r="AA10" i="545"/>
  <c r="Z10" i="545"/>
  <c r="Z40" i="545"/>
  <c r="AA40" i="545"/>
  <c r="X40" i="545"/>
  <c r="O40" i="545"/>
  <c r="Y40" i="545"/>
  <c r="U40" i="545"/>
  <c r="V40" i="545"/>
  <c r="W40" i="545"/>
  <c r="Z25" i="545"/>
  <c r="X25" i="545"/>
  <c r="U25" i="545"/>
  <c r="O25" i="545"/>
  <c r="Y25" i="545"/>
  <c r="W25" i="545"/>
  <c r="V25" i="545"/>
  <c r="AA25" i="545"/>
  <c r="AA11" i="525"/>
  <c r="X11" i="525"/>
  <c r="O11" i="525"/>
  <c r="Y11" i="525"/>
  <c r="U11" i="525"/>
  <c r="V11" i="525"/>
  <c r="Z11" i="525"/>
  <c r="W11" i="525"/>
  <c r="U57" i="525"/>
  <c r="Z57" i="525"/>
  <c r="O57" i="525"/>
  <c r="T57" i="525"/>
  <c r="W57" i="525"/>
  <c r="V57" i="525"/>
  <c r="Y57" i="525"/>
  <c r="AA14" i="541"/>
  <c r="W14" i="541"/>
  <c r="Y14" i="541"/>
  <c r="X14" i="541"/>
  <c r="V14" i="541"/>
  <c r="O14" i="541"/>
  <c r="Z14" i="541"/>
  <c r="U14" i="541"/>
  <c r="W32" i="545"/>
  <c r="V32" i="545"/>
  <c r="O32" i="545"/>
  <c r="U32" i="545"/>
  <c r="AA32" i="545"/>
  <c r="Z32" i="545"/>
  <c r="X32" i="545"/>
  <c r="Y32" i="545"/>
  <c r="O43" i="549"/>
  <c r="AA17" i="399"/>
  <c r="W17" i="399"/>
  <c r="V17" i="399"/>
  <c r="O17" i="399"/>
  <c r="X17" i="399"/>
  <c r="U17" i="399"/>
  <c r="Z17" i="399"/>
  <c r="Y17" i="399"/>
  <c r="Y39" i="546"/>
  <c r="U39" i="546"/>
  <c r="W39" i="546"/>
  <c r="Z39" i="546"/>
  <c r="AA39" i="546"/>
  <c r="X39" i="546"/>
  <c r="O39" i="546"/>
  <c r="V39" i="546"/>
  <c r="V43" i="546"/>
  <c r="X43" i="546"/>
  <c r="Y43" i="546"/>
  <c r="W43" i="546"/>
  <c r="U43" i="546"/>
  <c r="AA43" i="546"/>
  <c r="Z43" i="546"/>
  <c r="O43" i="546"/>
  <c r="V23" i="544"/>
  <c r="W23" i="544"/>
  <c r="U23" i="544"/>
  <c r="X23" i="544"/>
  <c r="Y23" i="544"/>
  <c r="Z23" i="544"/>
  <c r="AA23" i="544"/>
  <c r="Z61" i="544"/>
  <c r="AA61" i="544"/>
  <c r="X61" i="544"/>
  <c r="U61" i="544"/>
  <c r="V61" i="544"/>
  <c r="W61" i="544"/>
  <c r="Y61" i="544"/>
  <c r="X21" i="544"/>
  <c r="Y21" i="544"/>
  <c r="Z21" i="544"/>
  <c r="AA21" i="544"/>
  <c r="W21" i="544"/>
  <c r="U21" i="544"/>
  <c r="V21" i="544"/>
  <c r="Y12" i="544"/>
  <c r="X12" i="544"/>
  <c r="Z12" i="544"/>
  <c r="AA12" i="544"/>
  <c r="W12" i="544"/>
  <c r="U12" i="544"/>
  <c r="V12" i="544"/>
  <c r="Z53" i="544"/>
  <c r="AA53" i="544"/>
  <c r="U53" i="544"/>
  <c r="V53" i="544"/>
  <c r="Y53" i="544"/>
  <c r="W53" i="544"/>
  <c r="X53" i="544"/>
  <c r="E10" i="38"/>
  <c r="D10" i="38"/>
  <c r="C10" i="38"/>
  <c r="I10" i="38"/>
  <c r="H10" i="38"/>
  <c r="F10" i="38"/>
  <c r="G10" i="38"/>
  <c r="X27" i="546"/>
  <c r="AA27" i="546"/>
  <c r="O27" i="546"/>
  <c r="W27" i="546"/>
  <c r="V27" i="546"/>
  <c r="Y27" i="546"/>
  <c r="U27" i="546"/>
  <c r="Z27" i="546"/>
  <c r="U25" i="546"/>
  <c r="O25" i="546"/>
  <c r="V25" i="546"/>
  <c r="Y25" i="546"/>
  <c r="AA25" i="546"/>
  <c r="X25" i="546"/>
  <c r="Z25" i="546"/>
  <c r="W25" i="546"/>
  <c r="AA84" i="546"/>
  <c r="V84" i="546"/>
  <c r="W84" i="546"/>
  <c r="U84" i="546"/>
  <c r="Y84" i="546"/>
  <c r="X84" i="546"/>
  <c r="Z84" i="546"/>
  <c r="O84" i="546"/>
  <c r="W31" i="525"/>
  <c r="Z31" i="525"/>
  <c r="X31" i="525"/>
  <c r="O31" i="525"/>
  <c r="AA31" i="525"/>
  <c r="V31" i="525"/>
  <c r="U31" i="525"/>
  <c r="Y31" i="525"/>
  <c r="U38" i="525"/>
  <c r="O38" i="525"/>
  <c r="AA38" i="525"/>
  <c r="V38" i="525"/>
  <c r="W38" i="525"/>
  <c r="Y38" i="525"/>
  <c r="X38" i="525"/>
  <c r="Z38" i="525"/>
  <c r="P20" i="518"/>
  <c r="N20" i="518"/>
  <c r="T20" i="518"/>
  <c r="AA42" i="545"/>
  <c r="U42" i="545"/>
  <c r="X42" i="545"/>
  <c r="Y42" i="545"/>
  <c r="W42" i="545"/>
  <c r="Z42" i="545"/>
  <c r="O42" i="545"/>
  <c r="V42" i="545"/>
  <c r="Y64" i="544"/>
  <c r="W64" i="544"/>
  <c r="U64" i="544"/>
  <c r="V64" i="544"/>
  <c r="AA64" i="544"/>
  <c r="O64" i="544"/>
  <c r="Z64" i="544"/>
  <c r="X64" i="544"/>
  <c r="U17" i="544"/>
  <c r="W17" i="544"/>
  <c r="Y17" i="544"/>
  <c r="AA17" i="544"/>
  <c r="Z17" i="544"/>
  <c r="V17" i="544"/>
  <c r="X17" i="544"/>
  <c r="O30" i="549"/>
  <c r="O12" i="549"/>
  <c r="O10" i="549"/>
  <c r="AA48" i="540"/>
  <c r="V48" i="540"/>
  <c r="X48" i="540"/>
  <c r="Z48" i="540"/>
  <c r="O48" i="540"/>
  <c r="U48" i="540"/>
  <c r="W48" i="540"/>
  <c r="Y48" i="540"/>
  <c r="U48" i="518"/>
  <c r="Z48" i="518"/>
  <c r="O48" i="518"/>
  <c r="Y48" i="518"/>
  <c r="AA48" i="518"/>
  <c r="V48" i="518"/>
  <c r="W48" i="518"/>
  <c r="X48" i="518"/>
  <c r="W78" i="518"/>
  <c r="U78" i="518"/>
  <c r="AA78" i="518"/>
  <c r="Y78" i="518"/>
  <c r="X78" i="518"/>
  <c r="V78" i="518"/>
  <c r="Z78" i="518"/>
  <c r="O78" i="518"/>
  <c r="Y47" i="518"/>
  <c r="AA47" i="518"/>
  <c r="V47" i="518"/>
  <c r="X47" i="518"/>
  <c r="Z47" i="518"/>
  <c r="O47" i="518"/>
  <c r="U47" i="518"/>
  <c r="W47" i="518"/>
  <c r="U6" i="406"/>
  <c r="W6" i="406"/>
  <c r="AA6" i="406"/>
  <c r="Z6" i="406"/>
  <c r="Y6" i="406"/>
  <c r="V6" i="406"/>
  <c r="X6" i="406"/>
  <c r="O51" i="406"/>
  <c r="U66" i="540"/>
  <c r="X66" i="540"/>
  <c r="V66" i="540"/>
  <c r="Y66" i="540"/>
  <c r="W66" i="540"/>
  <c r="AA66" i="540"/>
  <c r="Z66" i="540"/>
  <c r="U55" i="540"/>
  <c r="Z55" i="540"/>
  <c r="Y55" i="540"/>
  <c r="X55" i="540"/>
  <c r="W55" i="540"/>
  <c r="V55" i="540"/>
  <c r="AA55" i="540"/>
  <c r="AA37" i="540"/>
  <c r="Y37" i="540"/>
  <c r="U37" i="540"/>
  <c r="W37" i="540"/>
  <c r="V37" i="540"/>
  <c r="Z37" i="540"/>
  <c r="X37" i="540"/>
  <c r="O37" i="540"/>
  <c r="V6" i="540"/>
  <c r="Y6" i="540"/>
  <c r="Y78" i="540"/>
  <c r="Y79" i="540"/>
  <c r="Y80" i="540"/>
  <c r="Y81" i="540"/>
  <c r="Y82" i="540"/>
  <c r="Y83" i="540"/>
  <c r="Y84" i="540"/>
  <c r="Y85" i="540"/>
  <c r="Y86" i="540"/>
  <c r="Y87" i="540"/>
  <c r="Y88" i="540"/>
  <c r="Y89" i="540"/>
  <c r="Y90" i="540"/>
  <c r="Y91" i="540"/>
  <c r="Y92" i="540"/>
  <c r="Y93" i="540"/>
  <c r="Y94" i="540"/>
  <c r="Y95" i="540"/>
  <c r="Y96" i="540"/>
  <c r="Y97" i="540"/>
  <c r="Y98" i="540"/>
  <c r="Y99" i="540"/>
  <c r="Y100" i="540"/>
  <c r="Y101" i="540"/>
  <c r="Y102" i="540"/>
  <c r="Y103" i="540"/>
  <c r="Y104" i="540"/>
  <c r="Y105" i="540"/>
  <c r="Y106" i="540"/>
  <c r="Y107" i="540"/>
  <c r="Y108" i="540"/>
  <c r="Y109" i="540"/>
  <c r="Y110" i="540"/>
  <c r="Y111" i="540"/>
  <c r="Y112" i="540"/>
  <c r="Y113" i="540"/>
  <c r="Y114" i="540"/>
  <c r="Y115" i="540"/>
  <c r="Y116" i="540"/>
  <c r="Y117" i="540"/>
  <c r="Y118" i="540"/>
  <c r="Y119" i="540"/>
  <c r="Y120" i="540"/>
  <c r="Y121" i="540"/>
  <c r="Y122" i="540"/>
  <c r="Y123" i="540"/>
  <c r="Y124" i="540"/>
  <c r="Y125" i="540"/>
  <c r="Y126" i="540"/>
  <c r="Y127" i="540"/>
  <c r="Y128" i="540"/>
  <c r="Y129" i="540"/>
  <c r="W6" i="540"/>
  <c r="Z6" i="540"/>
  <c r="AA6" i="540"/>
  <c r="O6" i="540"/>
  <c r="U6" i="540"/>
  <c r="X6" i="540"/>
  <c r="U23" i="541"/>
  <c r="X23" i="541"/>
  <c r="Z23" i="541"/>
  <c r="Y23" i="541"/>
  <c r="AA23" i="541"/>
  <c r="O23" i="541"/>
  <c r="V23" i="541"/>
  <c r="W23" i="541"/>
  <c r="U17" i="541"/>
  <c r="Y17" i="541"/>
  <c r="X17" i="541"/>
  <c r="O17" i="541"/>
  <c r="W17" i="541"/>
  <c r="V17" i="541"/>
  <c r="AA17" i="541"/>
  <c r="Z17" i="541"/>
  <c r="AA17" i="525"/>
  <c r="W17" i="525"/>
  <c r="Z17" i="525"/>
  <c r="V17" i="525"/>
  <c r="X17" i="525"/>
  <c r="O17" i="525"/>
  <c r="T17" i="525"/>
  <c r="Y17" i="525"/>
  <c r="U17" i="525"/>
  <c r="U74" i="546"/>
  <c r="W74" i="546"/>
  <c r="Z74" i="546"/>
  <c r="O74" i="546"/>
  <c r="AA74" i="546"/>
  <c r="Y74" i="546"/>
  <c r="X74" i="546"/>
  <c r="V74" i="546"/>
  <c r="X33" i="546"/>
  <c r="U33" i="546"/>
  <c r="Z33" i="546"/>
  <c r="AA33" i="546"/>
  <c r="O33" i="546"/>
  <c r="W33" i="546"/>
  <c r="Y33" i="546"/>
  <c r="V33" i="546"/>
  <c r="U52" i="546"/>
  <c r="Z52" i="546"/>
  <c r="AA52" i="546"/>
  <c r="Y52" i="546"/>
  <c r="O52" i="546"/>
  <c r="V52" i="546"/>
  <c r="W52" i="546"/>
  <c r="X52" i="546"/>
  <c r="W78" i="546"/>
  <c r="U78" i="546"/>
  <c r="Y78" i="546"/>
  <c r="Z78" i="546"/>
  <c r="V78" i="546"/>
  <c r="X78" i="546"/>
  <c r="O78" i="546"/>
  <c r="AA78" i="546"/>
  <c r="U56" i="546"/>
  <c r="Z56" i="546"/>
  <c r="O56" i="546"/>
  <c r="W56" i="546"/>
  <c r="X56" i="546"/>
  <c r="Y56" i="546"/>
  <c r="V56" i="546"/>
  <c r="AA56" i="546"/>
  <c r="O40" i="549"/>
  <c r="O67" i="549"/>
  <c r="T11" i="518"/>
  <c r="P11" i="518"/>
  <c r="N11" i="518"/>
  <c r="X24" i="399"/>
  <c r="V24" i="399"/>
  <c r="AA24" i="399"/>
  <c r="Z24" i="399"/>
  <c r="Y24" i="399"/>
  <c r="U24" i="399"/>
  <c r="O24" i="399"/>
  <c r="W24" i="399"/>
  <c r="W16" i="518"/>
  <c r="Y16" i="518"/>
  <c r="AA16" i="518"/>
  <c r="Z16" i="518"/>
  <c r="X16" i="518"/>
  <c r="V16" i="518"/>
  <c r="O16" i="518"/>
  <c r="U16" i="518"/>
  <c r="Y29" i="518"/>
  <c r="W29" i="518"/>
  <c r="Z29" i="518"/>
  <c r="AA29" i="518"/>
  <c r="U29" i="518"/>
  <c r="O29" i="518"/>
  <c r="V29" i="518"/>
  <c r="X29" i="518"/>
  <c r="Z60" i="518"/>
  <c r="V60" i="518"/>
  <c r="W60" i="518"/>
  <c r="Y60" i="518"/>
  <c r="AA60" i="518"/>
  <c r="O60" i="518"/>
  <c r="U60" i="518"/>
  <c r="X60" i="518"/>
  <c r="X69" i="518"/>
  <c r="Z69" i="518"/>
  <c r="O69" i="518"/>
  <c r="U69" i="518"/>
  <c r="AA69" i="518"/>
  <c r="Y69" i="518"/>
  <c r="V69" i="518"/>
  <c r="W69" i="518"/>
  <c r="Z75" i="518"/>
  <c r="Y75" i="518"/>
  <c r="W75" i="518"/>
  <c r="U75" i="518"/>
  <c r="O75" i="518"/>
  <c r="AA75" i="518"/>
  <c r="V75" i="518"/>
  <c r="X75" i="518"/>
  <c r="Z19" i="518"/>
  <c r="U19" i="518"/>
  <c r="W19" i="518"/>
  <c r="Y19" i="518"/>
  <c r="O19" i="518"/>
  <c r="AA19" i="518"/>
  <c r="V19" i="518"/>
  <c r="X19" i="518"/>
  <c r="V14" i="399"/>
  <c r="AA14" i="399"/>
  <c r="Z14" i="399"/>
  <c r="U14" i="399"/>
  <c r="W14" i="399"/>
  <c r="O14" i="399"/>
  <c r="Y14" i="399"/>
  <c r="X14" i="399"/>
  <c r="Z17" i="481"/>
  <c r="V17" i="481"/>
  <c r="O17" i="481"/>
  <c r="X17" i="481"/>
  <c r="U17" i="481"/>
  <c r="AA17" i="481"/>
  <c r="W17" i="481"/>
  <c r="Y17" i="481"/>
  <c r="Z36" i="518"/>
  <c r="U36" i="518"/>
  <c r="W36" i="518"/>
  <c r="O36" i="518"/>
  <c r="Y36" i="518"/>
  <c r="AA36" i="518"/>
  <c r="V36" i="518"/>
  <c r="X36" i="518"/>
  <c r="V61" i="518"/>
  <c r="X61" i="518"/>
  <c r="Z61" i="518"/>
  <c r="U61" i="518"/>
  <c r="W61" i="518"/>
  <c r="O61" i="518"/>
  <c r="Y61" i="518"/>
  <c r="AA61" i="518"/>
  <c r="Y27" i="518"/>
  <c r="AA27" i="518"/>
  <c r="V27" i="518"/>
  <c r="X27" i="518"/>
  <c r="Z27" i="518"/>
  <c r="U27" i="518"/>
  <c r="O27" i="518"/>
  <c r="W27" i="518"/>
  <c r="D14" i="38"/>
  <c r="H14" i="38"/>
  <c r="F14" i="38"/>
  <c r="G14" i="38"/>
  <c r="E14" i="38"/>
  <c r="O49" i="406"/>
  <c r="I14" i="38"/>
  <c r="X22" i="545"/>
  <c r="O22" i="545"/>
  <c r="W22" i="545"/>
  <c r="Z22" i="545"/>
  <c r="U22" i="545"/>
  <c r="AA22" i="545"/>
  <c r="Y22" i="545"/>
  <c r="V22" i="545"/>
  <c r="Y17" i="545"/>
  <c r="X17" i="545"/>
  <c r="O17" i="545"/>
  <c r="AA17" i="545"/>
  <c r="Z17" i="545"/>
  <c r="W17" i="545"/>
  <c r="V17" i="545"/>
  <c r="U17" i="545"/>
  <c r="AA54" i="544"/>
  <c r="U54" i="544"/>
  <c r="V54" i="544"/>
  <c r="Z54" i="544"/>
  <c r="W54" i="544"/>
  <c r="X54" i="544"/>
  <c r="Y54" i="544"/>
  <c r="U52" i="544"/>
  <c r="V52" i="544"/>
  <c r="W52" i="544"/>
  <c r="X52" i="544"/>
  <c r="AA52" i="544"/>
  <c r="Y52" i="544"/>
  <c r="Z52" i="544"/>
  <c r="W21" i="546"/>
  <c r="X21" i="546"/>
  <c r="U21" i="546"/>
  <c r="AA21" i="546"/>
  <c r="Z21" i="546"/>
  <c r="V21" i="546"/>
  <c r="O21" i="546"/>
  <c r="Y21" i="546"/>
  <c r="O6" i="404"/>
  <c r="X6" i="404"/>
  <c r="Y6" i="404"/>
  <c r="W6" i="404"/>
  <c r="V6" i="404"/>
  <c r="U6" i="404"/>
  <c r="AA6" i="404"/>
  <c r="Z6" i="404"/>
  <c r="X21" i="404"/>
  <c r="AA21" i="404"/>
  <c r="V21" i="404"/>
  <c r="O21" i="404"/>
  <c r="Y21" i="404"/>
  <c r="U21" i="404"/>
  <c r="W21" i="404"/>
  <c r="Z21" i="404"/>
  <c r="Y52" i="404"/>
  <c r="V52" i="404"/>
  <c r="W52" i="404"/>
  <c r="AA52" i="404"/>
  <c r="X52" i="404"/>
  <c r="U52" i="404"/>
  <c r="Z52" i="404"/>
  <c r="O38" i="404"/>
  <c r="V38" i="404"/>
  <c r="U38" i="404"/>
  <c r="Z38" i="404"/>
  <c r="X38" i="404"/>
  <c r="W38" i="404"/>
  <c r="Y38" i="404"/>
  <c r="AA38" i="404"/>
  <c r="X16" i="545"/>
  <c r="AA16" i="545"/>
  <c r="Y16" i="545"/>
  <c r="V16" i="545"/>
  <c r="W16" i="545"/>
  <c r="Z16" i="545"/>
  <c r="O16" i="545"/>
  <c r="U16" i="545"/>
  <c r="V48" i="545"/>
  <c r="U48" i="545"/>
  <c r="O48" i="545"/>
  <c r="AA48" i="545"/>
  <c r="Z48" i="545"/>
  <c r="Y48" i="545"/>
  <c r="X48" i="545"/>
  <c r="W48" i="545"/>
  <c r="X32" i="546"/>
  <c r="V32" i="546"/>
  <c r="Y32" i="546"/>
  <c r="Z32" i="546"/>
  <c r="O32" i="546"/>
  <c r="AA32" i="546"/>
  <c r="U32" i="546"/>
  <c r="W32" i="546"/>
  <c r="W24" i="546"/>
  <c r="AA24" i="546"/>
  <c r="U24" i="546"/>
  <c r="O24" i="546"/>
  <c r="Y24" i="546"/>
  <c r="Z24" i="546"/>
  <c r="V24" i="546"/>
  <c r="X24" i="546"/>
  <c r="O16" i="546"/>
  <c r="AA16" i="546"/>
  <c r="Z16" i="546"/>
  <c r="Y16" i="546"/>
  <c r="U16" i="546"/>
  <c r="X16" i="546"/>
  <c r="W16" i="546"/>
  <c r="V16" i="546"/>
  <c r="O44" i="406"/>
  <c r="O24" i="406"/>
  <c r="Y53" i="404"/>
  <c r="AA53" i="404"/>
  <c r="U53" i="404"/>
  <c r="W53" i="404"/>
  <c r="Z53" i="404"/>
  <c r="X53" i="404"/>
  <c r="V53" i="404"/>
  <c r="O43" i="544"/>
  <c r="AA43" i="544"/>
  <c r="V43" i="544"/>
  <c r="X43" i="544"/>
  <c r="W43" i="544"/>
  <c r="U43" i="544"/>
  <c r="Z43" i="544"/>
  <c r="Y43" i="544"/>
  <c r="AA16" i="544"/>
  <c r="W16" i="544"/>
  <c r="U16" i="544"/>
  <c r="X16" i="544"/>
  <c r="Z16" i="544"/>
  <c r="V16" i="544"/>
  <c r="Y16" i="544"/>
  <c r="W6" i="544"/>
  <c r="V6" i="544"/>
  <c r="U6" i="544"/>
  <c r="Y6" i="544"/>
  <c r="AA6" i="544"/>
  <c r="Z6" i="544"/>
  <c r="X6" i="544"/>
  <c r="Y7" i="525"/>
  <c r="U7" i="525"/>
  <c r="AA7" i="525"/>
  <c r="Z7" i="525"/>
  <c r="V7" i="525"/>
  <c r="X7" i="525"/>
  <c r="W7" i="525"/>
  <c r="O7" i="525"/>
  <c r="V36" i="525"/>
  <c r="AA36" i="525"/>
  <c r="W36" i="525"/>
  <c r="Z36" i="525"/>
  <c r="U36" i="525"/>
  <c r="O36" i="525"/>
  <c r="X36" i="525"/>
  <c r="Y36" i="525"/>
  <c r="AA19" i="525"/>
  <c r="U19" i="525"/>
  <c r="W19" i="525"/>
  <c r="Z19" i="525"/>
  <c r="V19" i="525"/>
  <c r="O19" i="525"/>
  <c r="Y19" i="525"/>
  <c r="X19" i="525"/>
  <c r="V60" i="525"/>
  <c r="W60" i="525"/>
  <c r="U60" i="525"/>
  <c r="O60" i="525"/>
  <c r="T60" i="525"/>
  <c r="Z60" i="525"/>
  <c r="Y60" i="525"/>
  <c r="AA28" i="525"/>
  <c r="U28" i="525"/>
  <c r="W28" i="525"/>
  <c r="Z28" i="525"/>
  <c r="V28" i="525"/>
  <c r="O28" i="525"/>
  <c r="Y28" i="525"/>
  <c r="X28" i="525"/>
  <c r="V45" i="525"/>
  <c r="U45" i="525"/>
  <c r="AA45" i="525"/>
  <c r="W45" i="525"/>
  <c r="X45" i="525"/>
  <c r="Z45" i="525"/>
  <c r="O45" i="525"/>
  <c r="Y45" i="525"/>
  <c r="U48" i="404"/>
  <c r="V48" i="404"/>
  <c r="X48" i="404"/>
  <c r="AA48" i="404"/>
  <c r="Z48" i="404"/>
  <c r="W48" i="404"/>
  <c r="Y48" i="404"/>
  <c r="Y32" i="467"/>
  <c r="U32" i="467"/>
  <c r="V32" i="467"/>
  <c r="Z32" i="467"/>
  <c r="Z39" i="467"/>
  <c r="Z40" i="467"/>
  <c r="Z41" i="467"/>
  <c r="Z42" i="467"/>
  <c r="Z43" i="467"/>
  <c r="Z44" i="467"/>
  <c r="Z45" i="467"/>
  <c r="Z46" i="467"/>
  <c r="Z47" i="467"/>
  <c r="Z48" i="467"/>
  <c r="Z49" i="467"/>
  <c r="Z50" i="467"/>
  <c r="Z51" i="467"/>
  <c r="Z52" i="467"/>
  <c r="Z53" i="467"/>
  <c r="Z54" i="467"/>
  <c r="Z55" i="467"/>
  <c r="Z56" i="467"/>
  <c r="Z57" i="467"/>
  <c r="Z58" i="467"/>
  <c r="Z59" i="467"/>
  <c r="Z60" i="467"/>
  <c r="Z61" i="467"/>
  <c r="Z62" i="467"/>
  <c r="Z63" i="467"/>
  <c r="Z64" i="467"/>
  <c r="Z65" i="467"/>
  <c r="Z66" i="467"/>
  <c r="Z67" i="467"/>
  <c r="Z68" i="467"/>
  <c r="Z69" i="467"/>
  <c r="Z70" i="467"/>
  <c r="Z71" i="467"/>
  <c r="Z72" i="467"/>
  <c r="Z73" i="467"/>
  <c r="Z74" i="467"/>
  <c r="Z75" i="467"/>
  <c r="W32" i="467"/>
  <c r="AA32" i="467"/>
  <c r="O32" i="467"/>
  <c r="T32" i="467"/>
  <c r="X32" i="467"/>
  <c r="Z12" i="545"/>
  <c r="Y12" i="545"/>
  <c r="O12" i="545"/>
  <c r="W12" i="545"/>
  <c r="V12" i="545"/>
  <c r="AA12" i="545"/>
  <c r="X12" i="545"/>
  <c r="U12" i="545"/>
  <c r="O20" i="406"/>
  <c r="O52" i="406"/>
  <c r="Z64" i="546"/>
  <c r="X64" i="546"/>
  <c r="W64" i="546"/>
  <c r="Y64" i="546"/>
  <c r="O64" i="546"/>
  <c r="V64" i="546"/>
  <c r="AA64" i="546"/>
  <c r="U64" i="546"/>
  <c r="AA6" i="518"/>
  <c r="X6" i="518"/>
  <c r="Z6" i="518"/>
  <c r="O6" i="518"/>
  <c r="Y6" i="518"/>
  <c r="W6" i="518"/>
  <c r="U6" i="518"/>
  <c r="V6" i="518"/>
  <c r="O15" i="518"/>
  <c r="Z15" i="518"/>
  <c r="X15" i="518"/>
  <c r="W15" i="518"/>
  <c r="Y15" i="518"/>
  <c r="AA15" i="518"/>
  <c r="V15" i="518"/>
  <c r="U15" i="518"/>
  <c r="AA65" i="518"/>
  <c r="V65" i="518"/>
  <c r="X65" i="518"/>
  <c r="Z65" i="518"/>
  <c r="Y65" i="518"/>
  <c r="O65" i="518"/>
  <c r="W65" i="518"/>
  <c r="U65" i="518"/>
  <c r="U8" i="545"/>
  <c r="AA8" i="545"/>
  <c r="V8" i="545"/>
  <c r="Z8" i="545"/>
  <c r="Y8" i="545"/>
  <c r="O8" i="545"/>
  <c r="X8" i="545"/>
  <c r="W8" i="545"/>
  <c r="U18" i="545"/>
  <c r="X18" i="545"/>
  <c r="Z18" i="545"/>
  <c r="Y18" i="545"/>
  <c r="AA18" i="545"/>
  <c r="W18" i="545"/>
  <c r="O18" i="545"/>
  <c r="V18" i="545"/>
  <c r="AA54" i="545"/>
  <c r="Z54" i="545"/>
  <c r="U54" i="545"/>
  <c r="O54" i="545"/>
  <c r="X54" i="545"/>
  <c r="W54" i="545"/>
  <c r="V54" i="545"/>
  <c r="Y54" i="545"/>
  <c r="P8" i="404"/>
  <c r="N8" i="404"/>
  <c r="L9" i="404"/>
  <c r="L10" i="404"/>
  <c r="L11" i="404"/>
  <c r="L12" i="404"/>
  <c r="L13" i="404"/>
  <c r="T8" i="404"/>
  <c r="Y33" i="525"/>
  <c r="X33" i="525"/>
  <c r="Z33" i="525"/>
  <c r="O33" i="525"/>
  <c r="AA33" i="525"/>
  <c r="U33" i="525"/>
  <c r="V33" i="525"/>
  <c r="W33" i="525"/>
  <c r="AA8" i="525"/>
  <c r="Z8" i="525"/>
  <c r="Y8" i="525"/>
  <c r="U8" i="525"/>
  <c r="W8" i="525"/>
  <c r="V8" i="525"/>
  <c r="X8" i="525"/>
  <c r="O8" i="525"/>
  <c r="W6" i="541"/>
  <c r="O6" i="541"/>
  <c r="AA6" i="541"/>
  <c r="U6" i="541"/>
  <c r="Y6" i="541"/>
  <c r="Z6" i="541"/>
  <c r="X6" i="541"/>
  <c r="V6" i="541"/>
  <c r="V38" i="541"/>
  <c r="V92" i="541"/>
  <c r="V93" i="541"/>
  <c r="V94" i="541"/>
  <c r="V95" i="541"/>
  <c r="V96" i="541"/>
  <c r="V97" i="541"/>
  <c r="V98" i="541"/>
  <c r="V99" i="541"/>
  <c r="V100" i="541"/>
  <c r="V101" i="541"/>
  <c r="V102" i="541"/>
  <c r="V103" i="541"/>
  <c r="V104" i="541"/>
  <c r="V105" i="541"/>
  <c r="V106" i="541"/>
  <c r="V107" i="541"/>
  <c r="V108" i="541"/>
  <c r="V109" i="541"/>
  <c r="V110" i="541"/>
  <c r="V111" i="541"/>
  <c r="V112" i="541"/>
  <c r="V113" i="541"/>
  <c r="V114" i="541"/>
  <c r="V115" i="541"/>
  <c r="V116" i="541"/>
  <c r="V117" i="541"/>
  <c r="V118" i="541"/>
  <c r="V119" i="541"/>
  <c r="V120" i="541"/>
  <c r="V121" i="541"/>
  <c r="V122" i="541"/>
  <c r="V123" i="541"/>
  <c r="V124" i="541"/>
  <c r="V125" i="541"/>
  <c r="V126" i="541"/>
  <c r="V127" i="541"/>
  <c r="V128" i="541"/>
  <c r="V129" i="541"/>
  <c r="V130" i="541"/>
  <c r="V131" i="541"/>
  <c r="V132" i="541"/>
  <c r="V133" i="541"/>
  <c r="V134" i="541"/>
  <c r="V135" i="541"/>
  <c r="V136" i="541"/>
  <c r="V137" i="541"/>
  <c r="V138" i="541"/>
  <c r="V139" i="541"/>
  <c r="V140" i="541"/>
  <c r="V141" i="541"/>
  <c r="V142" i="541"/>
  <c r="V143" i="541"/>
  <c r="V144" i="541"/>
  <c r="V145" i="541"/>
  <c r="O38" i="541"/>
  <c r="P38" i="541"/>
  <c r="N38" i="541"/>
  <c r="X38" i="541"/>
  <c r="Y38" i="541"/>
  <c r="W38" i="541"/>
  <c r="Z38" i="541"/>
  <c r="AA38" i="541"/>
  <c r="U38" i="541"/>
  <c r="P52" i="540"/>
  <c r="N52" i="540"/>
  <c r="T52" i="540"/>
  <c r="P8" i="540"/>
  <c r="N8" i="540"/>
  <c r="T8" i="540"/>
  <c r="T25" i="540"/>
  <c r="P25" i="540"/>
  <c r="N25" i="540"/>
  <c r="X20" i="467"/>
  <c r="X21" i="467"/>
  <c r="X22" i="467"/>
  <c r="W20" i="467"/>
  <c r="W21" i="467"/>
  <c r="W22" i="467"/>
  <c r="T34" i="540"/>
  <c r="P34" i="540"/>
  <c r="N34" i="540"/>
  <c r="L65" i="541"/>
  <c r="L66" i="541"/>
  <c r="L67" i="541"/>
  <c r="L68" i="541"/>
  <c r="T22" i="540"/>
  <c r="P22" i="540"/>
  <c r="N22" i="540"/>
  <c r="T15" i="540"/>
  <c r="P15" i="540"/>
  <c r="N15" i="540"/>
  <c r="T33" i="540"/>
  <c r="P33" i="540"/>
  <c r="N33" i="540"/>
  <c r="AA20" i="467"/>
  <c r="AA21" i="467"/>
  <c r="AA22" i="467"/>
  <c r="N34" i="467"/>
  <c r="L35" i="467"/>
  <c r="L36" i="467"/>
  <c r="L37" i="467"/>
  <c r="P37" i="467"/>
  <c r="T18" i="540"/>
  <c r="P18" i="540"/>
  <c r="N18" i="540"/>
  <c r="T38" i="540"/>
  <c r="P38" i="540"/>
  <c r="N38" i="540"/>
  <c r="T16" i="540"/>
  <c r="P16" i="540"/>
  <c r="N16" i="540"/>
  <c r="T29" i="540"/>
  <c r="P29" i="540"/>
  <c r="N29" i="540"/>
  <c r="P10" i="540"/>
  <c r="T10" i="540"/>
  <c r="V20" i="467"/>
  <c r="V21" i="467"/>
  <c r="V22" i="467"/>
  <c r="U20" i="467"/>
  <c r="P49" i="540"/>
  <c r="N49" i="540"/>
  <c r="T49" i="540"/>
  <c r="T42" i="540"/>
  <c r="P42" i="540"/>
  <c r="N42" i="540"/>
  <c r="T41" i="540"/>
  <c r="P41" i="540"/>
  <c r="N41" i="540"/>
  <c r="N8" i="467"/>
  <c r="L9" i="467"/>
  <c r="L10" i="467"/>
  <c r="L11" i="467"/>
  <c r="P12" i="467"/>
  <c r="T24" i="540"/>
  <c r="P24" i="540"/>
  <c r="N24" i="540"/>
  <c r="P47" i="540"/>
  <c r="N47" i="540"/>
  <c r="T47" i="540"/>
  <c r="P11" i="540"/>
  <c r="N11" i="540"/>
  <c r="T11" i="540"/>
  <c r="T30" i="540"/>
  <c r="P30" i="540"/>
  <c r="N30" i="540"/>
  <c r="T43" i="540"/>
  <c r="P43" i="540"/>
  <c r="N43" i="540"/>
  <c r="T23" i="540"/>
  <c r="P23" i="540"/>
  <c r="N23" i="540"/>
  <c r="T32" i="540"/>
  <c r="P32" i="540"/>
  <c r="N32" i="540"/>
  <c r="T39" i="540"/>
  <c r="P39" i="540"/>
  <c r="N39" i="540"/>
  <c r="Z20" i="467"/>
  <c r="Z21" i="467"/>
  <c r="Z22" i="467"/>
  <c r="T7" i="540"/>
  <c r="P7" i="540"/>
  <c r="T9" i="540"/>
  <c r="P9" i="540"/>
  <c r="N9" i="540"/>
  <c r="P50" i="540"/>
  <c r="N50" i="540"/>
  <c r="T50" i="540"/>
  <c r="Y71" i="554"/>
  <c r="X73" i="554"/>
  <c r="X74" i="554"/>
  <c r="X75" i="554"/>
  <c r="X76" i="554"/>
  <c r="X77" i="554"/>
  <c r="X78" i="554"/>
  <c r="X79" i="554"/>
  <c r="X80" i="554"/>
  <c r="X81" i="554"/>
  <c r="X82" i="554"/>
  <c r="X83" i="554"/>
  <c r="X84" i="554"/>
  <c r="X85" i="554"/>
  <c r="X86" i="554"/>
  <c r="X87" i="554"/>
  <c r="X88" i="554"/>
  <c r="X89" i="554"/>
  <c r="X90" i="554"/>
  <c r="X91" i="554"/>
  <c r="X92" i="554"/>
  <c r="X93" i="554"/>
  <c r="X94" i="554"/>
  <c r="X95" i="554"/>
  <c r="X96" i="554"/>
  <c r="X97" i="554"/>
  <c r="X98" i="554"/>
  <c r="X99" i="554"/>
  <c r="X100" i="554"/>
  <c r="X101" i="554"/>
  <c r="X102" i="554"/>
  <c r="X103" i="554"/>
  <c r="X104" i="554"/>
  <c r="X105" i="554"/>
  <c r="X106" i="554"/>
  <c r="X107" i="554"/>
  <c r="X108" i="554"/>
  <c r="X109" i="554"/>
  <c r="X110" i="554"/>
  <c r="X111" i="554"/>
  <c r="X112" i="554"/>
  <c r="X113" i="554"/>
  <c r="X114" i="554"/>
  <c r="X115" i="554"/>
  <c r="X116" i="554"/>
  <c r="X117" i="554"/>
  <c r="X118" i="554"/>
  <c r="X119" i="554"/>
  <c r="X120" i="554"/>
  <c r="X121" i="554"/>
  <c r="X122" i="554"/>
  <c r="W71" i="554"/>
  <c r="P22" i="548"/>
  <c r="X71" i="554"/>
  <c r="M48" i="519"/>
  <c r="D70" i="4"/>
  <c r="C69" i="4"/>
  <c r="P28" i="530"/>
  <c r="N28" i="530"/>
  <c r="T28" i="530"/>
  <c r="Q60" i="554"/>
  <c r="O60" i="554"/>
  <c r="U60" i="554"/>
  <c r="Q49" i="554"/>
  <c r="O49" i="554"/>
  <c r="U49" i="554"/>
  <c r="P36" i="530"/>
  <c r="N36" i="530"/>
  <c r="L37" i="530"/>
  <c r="L38" i="530"/>
  <c r="L39" i="530"/>
  <c r="L41" i="530"/>
  <c r="L42" i="530"/>
  <c r="T36" i="530"/>
  <c r="P30" i="530"/>
  <c r="N30" i="530"/>
  <c r="T30" i="530"/>
  <c r="Q57" i="554"/>
  <c r="O57" i="554"/>
  <c r="U57" i="554"/>
  <c r="M34" i="554"/>
  <c r="M35" i="554"/>
  <c r="M36" i="554"/>
  <c r="M37" i="554"/>
  <c r="M38" i="554"/>
  <c r="M39" i="554"/>
  <c r="P32" i="530"/>
  <c r="N32" i="530"/>
  <c r="T32" i="530"/>
  <c r="Q48" i="554"/>
  <c r="O48" i="554"/>
  <c r="U48" i="554"/>
  <c r="P58" i="526"/>
  <c r="N58" i="526"/>
  <c r="T58" i="526"/>
  <c r="P48" i="530"/>
  <c r="N48" i="530"/>
  <c r="T48" i="530"/>
  <c r="Q59" i="554"/>
  <c r="O59" i="554"/>
  <c r="U59" i="554"/>
  <c r="Q61" i="554"/>
  <c r="O61" i="554"/>
  <c r="U61" i="554"/>
  <c r="Q50" i="554"/>
  <c r="O50" i="554"/>
  <c r="U50" i="554"/>
  <c r="Q58" i="554"/>
  <c r="O58" i="554"/>
  <c r="U58" i="554"/>
  <c r="P26" i="530"/>
  <c r="N26" i="530"/>
  <c r="L27" i="530"/>
  <c r="L28" i="530"/>
  <c r="T26" i="530"/>
  <c r="P52" i="530"/>
  <c r="N52" i="530"/>
  <c r="T52" i="530"/>
  <c r="Q27" i="554"/>
  <c r="O27" i="554"/>
  <c r="M28" i="554"/>
  <c r="M30" i="554"/>
  <c r="U27" i="554"/>
  <c r="U47" i="554"/>
  <c r="Q47" i="554"/>
  <c r="O47" i="554"/>
  <c r="M48" i="554"/>
  <c r="U62" i="554"/>
  <c r="Q62" i="554"/>
  <c r="O62" i="554"/>
  <c r="K7" i="14"/>
  <c r="K8" i="14"/>
  <c r="N42" i="394"/>
  <c r="P45" i="394"/>
  <c r="N45" i="394"/>
  <c r="X47" i="394"/>
  <c r="U47" i="394"/>
  <c r="W47" i="394"/>
  <c r="P14" i="394"/>
  <c r="N14" i="394"/>
  <c r="P43" i="394"/>
  <c r="N43" i="394"/>
  <c r="P26" i="394"/>
  <c r="N26" i="394"/>
  <c r="AA47" i="394"/>
  <c r="Z47" i="394"/>
  <c r="P20" i="394"/>
  <c r="N20" i="394"/>
  <c r="P18" i="394"/>
  <c r="N18" i="394"/>
  <c r="P30" i="394"/>
  <c r="N30" i="394"/>
  <c r="P29" i="394"/>
  <c r="N29" i="394"/>
  <c r="P8" i="394"/>
  <c r="N8" i="394"/>
  <c r="Y47" i="394"/>
  <c r="Y48" i="394"/>
  <c r="Y49" i="394"/>
  <c r="Y50" i="394"/>
  <c r="Y51" i="394"/>
  <c r="Y52" i="394"/>
  <c r="Y53" i="394"/>
  <c r="Y54" i="394"/>
  <c r="Y55" i="394"/>
  <c r="Y56" i="394"/>
  <c r="Y57" i="394"/>
  <c r="Y58" i="394"/>
  <c r="Y59" i="394"/>
  <c r="Y60" i="394"/>
  <c r="Y61" i="394"/>
  <c r="Y62" i="394"/>
  <c r="Y63" i="394"/>
  <c r="Y64" i="394"/>
  <c r="Y65" i="394"/>
  <c r="Y66" i="394"/>
  <c r="Y67" i="394"/>
  <c r="Y68" i="394"/>
  <c r="Y69" i="394"/>
  <c r="Y70" i="394"/>
  <c r="Y71" i="394"/>
  <c r="Y72" i="394"/>
  <c r="Y73" i="394"/>
  <c r="Y74" i="394"/>
  <c r="Y75" i="394"/>
  <c r="Y76" i="394"/>
  <c r="V47" i="394"/>
  <c r="P17" i="394"/>
  <c r="N17" i="394"/>
  <c r="I5" i="14"/>
  <c r="J6" i="14"/>
  <c r="S16" i="8"/>
  <c r="G5" i="14"/>
  <c r="R16" i="8"/>
  <c r="G12" i="14"/>
  <c r="H12" i="14"/>
  <c r="J14" i="14"/>
  <c r="G8" i="14"/>
  <c r="H8" i="14"/>
  <c r="D14" i="14"/>
  <c r="T16" i="8"/>
  <c r="K5" i="14"/>
  <c r="I8" i="14"/>
  <c r="J8" i="14"/>
  <c r="Q5" i="8"/>
  <c r="D7" i="14"/>
  <c r="W6" i="8"/>
  <c r="P38" i="526"/>
  <c r="N38" i="526"/>
  <c r="T38" i="526"/>
  <c r="T75" i="526"/>
  <c r="P75" i="526"/>
  <c r="N75" i="526"/>
  <c r="P28" i="526"/>
  <c r="N28" i="526"/>
  <c r="T28" i="526"/>
  <c r="P68" i="548"/>
  <c r="N68" i="548"/>
  <c r="P31" i="548"/>
  <c r="P24" i="548"/>
  <c r="N24" i="548"/>
  <c r="L13" i="543"/>
  <c r="P53" i="543"/>
  <c r="N53" i="543"/>
  <c r="P51" i="543"/>
  <c r="Q9" i="519"/>
  <c r="O9" i="519"/>
  <c r="U9" i="519"/>
  <c r="P42" i="543"/>
  <c r="N42" i="543"/>
  <c r="P33" i="543"/>
  <c r="N33" i="543"/>
  <c r="L34" i="543"/>
  <c r="L35" i="543"/>
  <c r="P26" i="543"/>
  <c r="N26" i="543"/>
  <c r="L28" i="543"/>
  <c r="P52" i="543"/>
  <c r="N52" i="543"/>
  <c r="P18" i="543"/>
  <c r="N18" i="543"/>
  <c r="P29" i="543"/>
  <c r="N29" i="543"/>
  <c r="M7" i="519"/>
  <c r="T35" i="517"/>
  <c r="P35" i="517"/>
  <c r="N35" i="517"/>
  <c r="T34" i="517"/>
  <c r="P34" i="517"/>
  <c r="U7" i="554"/>
  <c r="Q7" i="554"/>
  <c r="O7" i="554"/>
  <c r="M8" i="554"/>
  <c r="Q21" i="554"/>
  <c r="O21" i="554"/>
  <c r="U21" i="554"/>
  <c r="T17" i="517"/>
  <c r="P17" i="517"/>
  <c r="N17" i="517"/>
  <c r="T23" i="517"/>
  <c r="P23" i="517"/>
  <c r="N23" i="517"/>
  <c r="T12" i="517"/>
  <c r="P12" i="517"/>
  <c r="N12" i="517"/>
  <c r="L13" i="517"/>
  <c r="T67" i="517"/>
  <c r="P67" i="517"/>
  <c r="N67" i="517"/>
  <c r="L68" i="517"/>
  <c r="L69" i="517"/>
  <c r="L70" i="517"/>
  <c r="P63" i="517"/>
  <c r="T63" i="517"/>
  <c r="Q55" i="554"/>
  <c r="O55" i="554"/>
  <c r="U55" i="554"/>
  <c r="Q18" i="554"/>
  <c r="O18" i="554"/>
  <c r="U18" i="554"/>
  <c r="T51" i="517"/>
  <c r="P51" i="517"/>
  <c r="N51" i="517"/>
  <c r="P54" i="517"/>
  <c r="N54" i="517"/>
  <c r="T54" i="517"/>
  <c r="P72" i="517"/>
  <c r="N72" i="517"/>
  <c r="T72" i="517"/>
  <c r="T46" i="517"/>
  <c r="P46" i="517"/>
  <c r="N46" i="517"/>
  <c r="T59" i="517"/>
  <c r="P59" i="517"/>
  <c r="N59" i="517"/>
  <c r="U68" i="554"/>
  <c r="Q68" i="554"/>
  <c r="O68" i="554"/>
  <c r="M69" i="554"/>
  <c r="M70" i="554"/>
  <c r="M71" i="554"/>
  <c r="T6" i="517"/>
  <c r="P6" i="517"/>
  <c r="N6" i="517"/>
  <c r="L7" i="517"/>
  <c r="T10" i="517"/>
  <c r="P10" i="517"/>
  <c r="N10" i="517"/>
  <c r="Q20" i="554"/>
  <c r="O20" i="554"/>
  <c r="U20" i="554"/>
  <c r="T43" i="517"/>
  <c r="P43" i="517"/>
  <c r="N43" i="517"/>
  <c r="T64" i="517"/>
  <c r="P64" i="517"/>
  <c r="N64" i="517"/>
  <c r="T14" i="517"/>
  <c r="P14" i="517"/>
  <c r="N14" i="517"/>
  <c r="P19" i="517"/>
  <c r="N19" i="517"/>
  <c r="T19" i="517"/>
  <c r="U19" i="554"/>
  <c r="Q19" i="554"/>
  <c r="O19" i="554"/>
  <c r="Q17" i="554"/>
  <c r="O17" i="554"/>
  <c r="U17" i="554"/>
  <c r="P64" i="543"/>
  <c r="N64" i="543"/>
  <c r="L7" i="555"/>
  <c r="L8" i="555"/>
  <c r="L9" i="555"/>
  <c r="L10" i="555"/>
  <c r="L11" i="555"/>
  <c r="P40" i="526"/>
  <c r="N40" i="526"/>
  <c r="T40" i="526"/>
  <c r="X70" i="548"/>
  <c r="AA69" i="530"/>
  <c r="AA70" i="530"/>
  <c r="AA71" i="530"/>
  <c r="AA72" i="530"/>
  <c r="AA73" i="530"/>
  <c r="AA74" i="530"/>
  <c r="AA75" i="530"/>
  <c r="AA76" i="530"/>
  <c r="AA77" i="530"/>
  <c r="AA78" i="530"/>
  <c r="AA79" i="530"/>
  <c r="AA80" i="530"/>
  <c r="AA81" i="530"/>
  <c r="AA82" i="530"/>
  <c r="AA83" i="530"/>
  <c r="AA84" i="530"/>
  <c r="AA85" i="530"/>
  <c r="AA86" i="530"/>
  <c r="AA87" i="530"/>
  <c r="AA88" i="530"/>
  <c r="AA89" i="530"/>
  <c r="AA90" i="530"/>
  <c r="AA91" i="530"/>
  <c r="AA92" i="530"/>
  <c r="AA93" i="530"/>
  <c r="AA94" i="530"/>
  <c r="AA95" i="530"/>
  <c r="AA96" i="530"/>
  <c r="AA97" i="530"/>
  <c r="AA98" i="530"/>
  <c r="AA99" i="530"/>
  <c r="AA100" i="530"/>
  <c r="AA101" i="530"/>
  <c r="AA102" i="530"/>
  <c r="AA103" i="530"/>
  <c r="AA104" i="530"/>
  <c r="AA105" i="530"/>
  <c r="AA106" i="530"/>
  <c r="AA107" i="530"/>
  <c r="AA108" i="530"/>
  <c r="AA109" i="530"/>
  <c r="AA110" i="530"/>
  <c r="AA111" i="530"/>
  <c r="AA112" i="530"/>
  <c r="AA113" i="530"/>
  <c r="AA114" i="530"/>
  <c r="AA115" i="530"/>
  <c r="AA116" i="530"/>
  <c r="AA117" i="530"/>
  <c r="AA118" i="530"/>
  <c r="AA119" i="530"/>
  <c r="AA120" i="530"/>
  <c r="AA121" i="530"/>
  <c r="AA122" i="530"/>
  <c r="AA123" i="530"/>
  <c r="AA124" i="530"/>
  <c r="AA125" i="530"/>
  <c r="P41" i="526"/>
  <c r="N41" i="526"/>
  <c r="T41" i="526"/>
  <c r="P8" i="526"/>
  <c r="N8" i="526"/>
  <c r="T8" i="526"/>
  <c r="P65" i="548"/>
  <c r="N65" i="548"/>
  <c r="P61" i="526"/>
  <c r="N61" i="526"/>
  <c r="L62" i="526"/>
  <c r="L63" i="526"/>
  <c r="T61" i="526"/>
  <c r="P21" i="548"/>
  <c r="N21" i="548"/>
  <c r="U70" i="548"/>
  <c r="W70" i="548"/>
  <c r="P12" i="526"/>
  <c r="N12" i="526"/>
  <c r="L13" i="526"/>
  <c r="L14" i="526"/>
  <c r="L15" i="526"/>
  <c r="L16" i="526"/>
  <c r="L17" i="526"/>
  <c r="L18" i="526"/>
  <c r="L19" i="526"/>
  <c r="T12" i="526"/>
  <c r="X70" i="543"/>
  <c r="X71" i="543"/>
  <c r="X72" i="543"/>
  <c r="X73" i="543"/>
  <c r="X74" i="543"/>
  <c r="X75" i="543"/>
  <c r="X76" i="543"/>
  <c r="X77" i="543"/>
  <c r="X78" i="543"/>
  <c r="X79" i="543"/>
  <c r="X80" i="543"/>
  <c r="X81" i="543"/>
  <c r="X82" i="543"/>
  <c r="X83" i="543"/>
  <c r="X84" i="543"/>
  <c r="X85" i="543"/>
  <c r="X86" i="543"/>
  <c r="X87" i="543"/>
  <c r="X88" i="543"/>
  <c r="X89" i="543"/>
  <c r="X90" i="543"/>
  <c r="X91" i="543"/>
  <c r="X92" i="543"/>
  <c r="X93" i="543"/>
  <c r="X94" i="543"/>
  <c r="X95" i="543"/>
  <c r="X96" i="543"/>
  <c r="X97" i="543"/>
  <c r="X98" i="543"/>
  <c r="X99" i="543"/>
  <c r="X100" i="543"/>
  <c r="X101" i="543"/>
  <c r="X102" i="543"/>
  <c r="X103" i="543"/>
  <c r="X104" i="543"/>
  <c r="X105" i="543"/>
  <c r="X106" i="543"/>
  <c r="X107" i="543"/>
  <c r="X108" i="543"/>
  <c r="X109" i="543"/>
  <c r="X110" i="543"/>
  <c r="X111" i="543"/>
  <c r="X112" i="543"/>
  <c r="X113" i="543"/>
  <c r="X114" i="543"/>
  <c r="X115" i="543"/>
  <c r="X116" i="543"/>
  <c r="X117" i="543"/>
  <c r="X118" i="543"/>
  <c r="X119" i="543"/>
  <c r="X120" i="543"/>
  <c r="X121" i="543"/>
  <c r="X122" i="543"/>
  <c r="X123" i="543"/>
  <c r="X124" i="543"/>
  <c r="X125" i="543"/>
  <c r="X126" i="543"/>
  <c r="Q44" i="554"/>
  <c r="O44" i="554"/>
  <c r="U44" i="554"/>
  <c r="Q54" i="554"/>
  <c r="O54" i="554"/>
  <c r="M55" i="554"/>
  <c r="U54" i="554"/>
  <c r="AA70" i="548"/>
  <c r="Z70" i="548"/>
  <c r="P79" i="526"/>
  <c r="N79" i="526"/>
  <c r="T79" i="526"/>
  <c r="T49" i="526"/>
  <c r="P49" i="526"/>
  <c r="N49" i="526"/>
  <c r="N52" i="526"/>
  <c r="T19" i="526"/>
  <c r="P19" i="526"/>
  <c r="N19" i="526"/>
  <c r="L35" i="524"/>
  <c r="L36" i="524"/>
  <c r="L37" i="524"/>
  <c r="L38" i="524"/>
  <c r="L29" i="524"/>
  <c r="L30" i="524"/>
  <c r="L31" i="524"/>
  <c r="L32" i="524"/>
  <c r="L48" i="524"/>
  <c r="L49" i="524"/>
  <c r="L50" i="524"/>
  <c r="L51" i="524"/>
  <c r="L52" i="524"/>
  <c r="L53" i="524"/>
  <c r="L54" i="524"/>
  <c r="L55" i="524"/>
  <c r="L56" i="524"/>
  <c r="L57" i="524"/>
  <c r="W69" i="530"/>
  <c r="W70" i="530"/>
  <c r="W71" i="530"/>
  <c r="W72" i="530"/>
  <c r="W73" i="530"/>
  <c r="W74" i="530"/>
  <c r="W75" i="530"/>
  <c r="W76" i="530"/>
  <c r="W77" i="530"/>
  <c r="W78" i="530"/>
  <c r="W79" i="530"/>
  <c r="W80" i="530"/>
  <c r="W81" i="530"/>
  <c r="W82" i="530"/>
  <c r="W83" i="530"/>
  <c r="W84" i="530"/>
  <c r="W85" i="530"/>
  <c r="W86" i="530"/>
  <c r="W87" i="530"/>
  <c r="W88" i="530"/>
  <c r="W89" i="530"/>
  <c r="W90" i="530"/>
  <c r="W91" i="530"/>
  <c r="W92" i="530"/>
  <c r="W93" i="530"/>
  <c r="W94" i="530"/>
  <c r="W95" i="530"/>
  <c r="W96" i="530"/>
  <c r="W97" i="530"/>
  <c r="W98" i="530"/>
  <c r="W99" i="530"/>
  <c r="W100" i="530"/>
  <c r="W101" i="530"/>
  <c r="W102" i="530"/>
  <c r="W103" i="530"/>
  <c r="W104" i="530"/>
  <c r="W105" i="530"/>
  <c r="W106" i="530"/>
  <c r="W107" i="530"/>
  <c r="W108" i="530"/>
  <c r="W109" i="530"/>
  <c r="W110" i="530"/>
  <c r="W111" i="530"/>
  <c r="W112" i="530"/>
  <c r="W113" i="530"/>
  <c r="W114" i="530"/>
  <c r="W115" i="530"/>
  <c r="W116" i="530"/>
  <c r="W117" i="530"/>
  <c r="W118" i="530"/>
  <c r="W119" i="530"/>
  <c r="W120" i="530"/>
  <c r="W121" i="530"/>
  <c r="W122" i="530"/>
  <c r="W123" i="530"/>
  <c r="W124" i="530"/>
  <c r="W125" i="530"/>
  <c r="P77" i="526"/>
  <c r="N77" i="526"/>
  <c r="T77" i="526"/>
  <c r="T55" i="526"/>
  <c r="P55" i="526"/>
  <c r="N55" i="526"/>
  <c r="N59" i="526"/>
  <c r="V70" i="548"/>
  <c r="Y70" i="548"/>
  <c r="P43" i="526"/>
  <c r="N43" i="526"/>
  <c r="T43" i="526"/>
  <c r="P78" i="526"/>
  <c r="N78" i="526"/>
  <c r="T78" i="526"/>
  <c r="X92" i="541"/>
  <c r="X93" i="541"/>
  <c r="X94" i="541"/>
  <c r="X95" i="541"/>
  <c r="X96" i="541"/>
  <c r="X97" i="541"/>
  <c r="X98" i="541"/>
  <c r="X99" i="541"/>
  <c r="X100" i="541"/>
  <c r="X101" i="541"/>
  <c r="X102" i="541"/>
  <c r="X103" i="541"/>
  <c r="X104" i="541"/>
  <c r="X105" i="541"/>
  <c r="X106" i="541"/>
  <c r="X107" i="541"/>
  <c r="X108" i="541"/>
  <c r="X109" i="541"/>
  <c r="X110" i="541"/>
  <c r="X111" i="541"/>
  <c r="X112" i="541"/>
  <c r="X113" i="541"/>
  <c r="X114" i="541"/>
  <c r="X115" i="541"/>
  <c r="X116" i="541"/>
  <c r="X117" i="541"/>
  <c r="X118" i="541"/>
  <c r="X119" i="541"/>
  <c r="X120" i="541"/>
  <c r="X121" i="541"/>
  <c r="X122" i="541"/>
  <c r="X123" i="541"/>
  <c r="X124" i="541"/>
  <c r="X125" i="541"/>
  <c r="X126" i="541"/>
  <c r="X127" i="541"/>
  <c r="X128" i="541"/>
  <c r="X129" i="541"/>
  <c r="X130" i="541"/>
  <c r="X131" i="541"/>
  <c r="X132" i="541"/>
  <c r="X133" i="541"/>
  <c r="X134" i="541"/>
  <c r="X135" i="541"/>
  <c r="X136" i="541"/>
  <c r="X137" i="541"/>
  <c r="X138" i="541"/>
  <c r="X139" i="541"/>
  <c r="X140" i="541"/>
  <c r="X141" i="541"/>
  <c r="X142" i="541"/>
  <c r="X143" i="541"/>
  <c r="X144" i="541"/>
  <c r="X145" i="541"/>
  <c r="P85" i="541"/>
  <c r="T85" i="541"/>
  <c r="T48" i="541"/>
  <c r="P48" i="541"/>
  <c r="N48" i="541"/>
  <c r="T54" i="541"/>
  <c r="P54" i="541"/>
  <c r="N54" i="541"/>
  <c r="L55" i="541"/>
  <c r="L56" i="541"/>
  <c r="T75" i="541"/>
  <c r="P75" i="541"/>
  <c r="N75" i="541"/>
  <c r="N76" i="541"/>
  <c r="T12" i="541"/>
  <c r="P12" i="541"/>
  <c r="N12" i="541"/>
  <c r="P26" i="541"/>
  <c r="N26" i="541"/>
  <c r="T26" i="541"/>
  <c r="T31" i="541"/>
  <c r="P31" i="541"/>
  <c r="N31" i="541"/>
  <c r="P20" i="541"/>
  <c r="N20" i="541"/>
  <c r="T20" i="541"/>
  <c r="P30" i="541"/>
  <c r="T30" i="541"/>
  <c r="T34" i="541"/>
  <c r="P34" i="541"/>
  <c r="N34" i="541"/>
  <c r="P51" i="541"/>
  <c r="N51" i="541"/>
  <c r="T51" i="541"/>
  <c r="P9" i="541"/>
  <c r="N9" i="541"/>
  <c r="T9" i="541"/>
  <c r="P32" i="541"/>
  <c r="N32" i="541"/>
  <c r="T32" i="541"/>
  <c r="T78" i="541"/>
  <c r="P78" i="541"/>
  <c r="N78" i="541"/>
  <c r="L79" i="541"/>
  <c r="L80" i="541"/>
  <c r="P56" i="541"/>
  <c r="N56" i="541"/>
  <c r="T56" i="541"/>
  <c r="P18" i="541"/>
  <c r="N18" i="541"/>
  <c r="T18" i="541"/>
  <c r="Z92" i="541"/>
  <c r="Z93" i="541"/>
  <c r="Z94" i="541"/>
  <c r="Z95" i="541"/>
  <c r="Z96" i="541"/>
  <c r="Z97" i="541"/>
  <c r="Z98" i="541"/>
  <c r="Z99" i="541"/>
  <c r="Z100" i="541"/>
  <c r="Z101" i="541"/>
  <c r="Z102" i="541"/>
  <c r="Z103" i="541"/>
  <c r="Z104" i="541"/>
  <c r="Z105" i="541"/>
  <c r="Z106" i="541"/>
  <c r="Z107" i="541"/>
  <c r="Z108" i="541"/>
  <c r="Z109" i="541"/>
  <c r="Z110" i="541"/>
  <c r="Z111" i="541"/>
  <c r="Z112" i="541"/>
  <c r="Z113" i="541"/>
  <c r="Z114" i="541"/>
  <c r="Z115" i="541"/>
  <c r="Z116" i="541"/>
  <c r="Z117" i="541"/>
  <c r="Z118" i="541"/>
  <c r="Z119" i="541"/>
  <c r="Z120" i="541"/>
  <c r="Z121" i="541"/>
  <c r="Z122" i="541"/>
  <c r="Z123" i="541"/>
  <c r="Z124" i="541"/>
  <c r="Z125" i="541"/>
  <c r="Z126" i="541"/>
  <c r="Z127" i="541"/>
  <c r="Z128" i="541"/>
  <c r="Z129" i="541"/>
  <c r="Z130" i="541"/>
  <c r="Z131" i="541"/>
  <c r="Z132" i="541"/>
  <c r="Z133" i="541"/>
  <c r="Z134" i="541"/>
  <c r="Z135" i="541"/>
  <c r="Z136" i="541"/>
  <c r="Z137" i="541"/>
  <c r="Z138" i="541"/>
  <c r="Z139" i="541"/>
  <c r="Z140" i="541"/>
  <c r="Z141" i="541"/>
  <c r="Z142" i="541"/>
  <c r="Z143" i="541"/>
  <c r="Z144" i="541"/>
  <c r="Z145" i="541"/>
  <c r="P50" i="541"/>
  <c r="N50" i="541"/>
  <c r="T50" i="541"/>
  <c r="L75" i="541"/>
  <c r="T35" i="541"/>
  <c r="P35" i="541"/>
  <c r="N35" i="541"/>
  <c r="P80" i="541"/>
  <c r="N80" i="541"/>
  <c r="T80" i="541"/>
  <c r="P11" i="541"/>
  <c r="N11" i="541"/>
  <c r="T11" i="541"/>
  <c r="X69" i="530"/>
  <c r="X70" i="530"/>
  <c r="X71" i="530"/>
  <c r="X72" i="530"/>
  <c r="X73" i="530"/>
  <c r="X74" i="530"/>
  <c r="X75" i="530"/>
  <c r="X76" i="530"/>
  <c r="X77" i="530"/>
  <c r="X78" i="530"/>
  <c r="X79" i="530"/>
  <c r="X80" i="530"/>
  <c r="X81" i="530"/>
  <c r="X82" i="530"/>
  <c r="X83" i="530"/>
  <c r="X84" i="530"/>
  <c r="X85" i="530"/>
  <c r="X86" i="530"/>
  <c r="X87" i="530"/>
  <c r="X88" i="530"/>
  <c r="X89" i="530"/>
  <c r="X90" i="530"/>
  <c r="X91" i="530"/>
  <c r="X92" i="530"/>
  <c r="X93" i="530"/>
  <c r="X94" i="530"/>
  <c r="X95" i="530"/>
  <c r="X96" i="530"/>
  <c r="X97" i="530"/>
  <c r="X98" i="530"/>
  <c r="X99" i="530"/>
  <c r="X100" i="530"/>
  <c r="X101" i="530"/>
  <c r="X102" i="530"/>
  <c r="X103" i="530"/>
  <c r="X104" i="530"/>
  <c r="X105" i="530"/>
  <c r="X106" i="530"/>
  <c r="X107" i="530"/>
  <c r="X108" i="530"/>
  <c r="X109" i="530"/>
  <c r="X110" i="530"/>
  <c r="X111" i="530"/>
  <c r="X112" i="530"/>
  <c r="X113" i="530"/>
  <c r="X114" i="530"/>
  <c r="X115" i="530"/>
  <c r="X116" i="530"/>
  <c r="X117" i="530"/>
  <c r="X118" i="530"/>
  <c r="X119" i="530"/>
  <c r="X120" i="530"/>
  <c r="X121" i="530"/>
  <c r="X122" i="530"/>
  <c r="X123" i="530"/>
  <c r="X124" i="530"/>
  <c r="X125" i="530"/>
  <c r="Z70" i="543"/>
  <c r="Z71" i="543"/>
  <c r="Z72" i="543"/>
  <c r="Z73" i="543"/>
  <c r="Z74" i="543"/>
  <c r="Z75" i="543"/>
  <c r="Z76" i="543"/>
  <c r="Z77" i="543"/>
  <c r="Z78" i="543"/>
  <c r="Z79" i="543"/>
  <c r="Z80" i="543"/>
  <c r="Z81" i="543"/>
  <c r="Z82" i="543"/>
  <c r="Z83" i="543"/>
  <c r="Z84" i="543"/>
  <c r="Z85" i="543"/>
  <c r="Z86" i="543"/>
  <c r="Z87" i="543"/>
  <c r="Z88" i="543"/>
  <c r="Z89" i="543"/>
  <c r="Z90" i="543"/>
  <c r="Z91" i="543"/>
  <c r="Z92" i="543"/>
  <c r="Z93" i="543"/>
  <c r="Z94" i="543"/>
  <c r="Z95" i="543"/>
  <c r="Z96" i="543"/>
  <c r="Z97" i="543"/>
  <c r="Z98" i="543"/>
  <c r="Z99" i="543"/>
  <c r="Z100" i="543"/>
  <c r="Z101" i="543"/>
  <c r="Z102" i="543"/>
  <c r="Z103" i="543"/>
  <c r="Z104" i="543"/>
  <c r="Z105" i="543"/>
  <c r="Z106" i="543"/>
  <c r="Z107" i="543"/>
  <c r="Z108" i="543"/>
  <c r="Z109" i="543"/>
  <c r="Z110" i="543"/>
  <c r="Z111" i="543"/>
  <c r="Z112" i="543"/>
  <c r="Z113" i="543"/>
  <c r="Z114" i="543"/>
  <c r="Z115" i="543"/>
  <c r="Z116" i="543"/>
  <c r="Z117" i="543"/>
  <c r="Z118" i="543"/>
  <c r="Z119" i="543"/>
  <c r="Z120" i="543"/>
  <c r="Z121" i="543"/>
  <c r="Z122" i="543"/>
  <c r="Z123" i="543"/>
  <c r="Z124" i="543"/>
  <c r="Z125" i="543"/>
  <c r="Z126" i="543"/>
  <c r="W70" i="543"/>
  <c r="W71" i="543"/>
  <c r="W72" i="543"/>
  <c r="W73" i="543"/>
  <c r="W74" i="543"/>
  <c r="W75" i="543"/>
  <c r="W76" i="543"/>
  <c r="W77" i="543"/>
  <c r="W78" i="543"/>
  <c r="W79" i="543"/>
  <c r="W80" i="543"/>
  <c r="W81" i="543"/>
  <c r="W82" i="543"/>
  <c r="W83" i="543"/>
  <c r="W84" i="543"/>
  <c r="W85" i="543"/>
  <c r="W86" i="543"/>
  <c r="W87" i="543"/>
  <c r="W88" i="543"/>
  <c r="W89" i="543"/>
  <c r="W90" i="543"/>
  <c r="W91" i="543"/>
  <c r="W92" i="543"/>
  <c r="W93" i="543"/>
  <c r="W94" i="543"/>
  <c r="W95" i="543"/>
  <c r="W96" i="543"/>
  <c r="W97" i="543"/>
  <c r="W98" i="543"/>
  <c r="W99" i="543"/>
  <c r="W100" i="543"/>
  <c r="W101" i="543"/>
  <c r="W102" i="543"/>
  <c r="W103" i="543"/>
  <c r="W104" i="543"/>
  <c r="W105" i="543"/>
  <c r="W106" i="543"/>
  <c r="W107" i="543"/>
  <c r="W108" i="543"/>
  <c r="W109" i="543"/>
  <c r="W110" i="543"/>
  <c r="W111" i="543"/>
  <c r="W112" i="543"/>
  <c r="W113" i="543"/>
  <c r="W114" i="543"/>
  <c r="W115" i="543"/>
  <c r="W116" i="543"/>
  <c r="W117" i="543"/>
  <c r="W118" i="543"/>
  <c r="W119" i="543"/>
  <c r="W120" i="543"/>
  <c r="W121" i="543"/>
  <c r="W122" i="543"/>
  <c r="W123" i="543"/>
  <c r="W124" i="543"/>
  <c r="W125" i="543"/>
  <c r="W126" i="543"/>
  <c r="V69" i="530"/>
  <c r="V70" i="530"/>
  <c r="V71" i="530"/>
  <c r="V72" i="530"/>
  <c r="V73" i="530"/>
  <c r="V74" i="530"/>
  <c r="V75" i="530"/>
  <c r="V76" i="530"/>
  <c r="V77" i="530"/>
  <c r="V78" i="530"/>
  <c r="V79" i="530"/>
  <c r="V80" i="530"/>
  <c r="V81" i="530"/>
  <c r="V82" i="530"/>
  <c r="V83" i="530"/>
  <c r="V84" i="530"/>
  <c r="V85" i="530"/>
  <c r="V86" i="530"/>
  <c r="V87" i="530"/>
  <c r="V88" i="530"/>
  <c r="V89" i="530"/>
  <c r="V90" i="530"/>
  <c r="V91" i="530"/>
  <c r="V92" i="530"/>
  <c r="V93" i="530"/>
  <c r="V94" i="530"/>
  <c r="V95" i="530"/>
  <c r="V96" i="530"/>
  <c r="V97" i="530"/>
  <c r="V98" i="530"/>
  <c r="V99" i="530"/>
  <c r="V100" i="530"/>
  <c r="V101" i="530"/>
  <c r="V102" i="530"/>
  <c r="V103" i="530"/>
  <c r="V104" i="530"/>
  <c r="V105" i="530"/>
  <c r="V106" i="530"/>
  <c r="V107" i="530"/>
  <c r="V108" i="530"/>
  <c r="V109" i="530"/>
  <c r="V110" i="530"/>
  <c r="V111" i="530"/>
  <c r="V112" i="530"/>
  <c r="V113" i="530"/>
  <c r="V114" i="530"/>
  <c r="V115" i="530"/>
  <c r="V116" i="530"/>
  <c r="V117" i="530"/>
  <c r="V118" i="530"/>
  <c r="V119" i="530"/>
  <c r="V120" i="530"/>
  <c r="V121" i="530"/>
  <c r="V122" i="530"/>
  <c r="V123" i="530"/>
  <c r="V124" i="530"/>
  <c r="V125" i="530"/>
  <c r="Y69" i="530"/>
  <c r="Y70" i="530"/>
  <c r="Y71" i="530"/>
  <c r="Y72" i="530"/>
  <c r="Y73" i="530"/>
  <c r="Y74" i="530"/>
  <c r="Y75" i="530"/>
  <c r="Y76" i="530"/>
  <c r="Y77" i="530"/>
  <c r="Y78" i="530"/>
  <c r="Y79" i="530"/>
  <c r="Y80" i="530"/>
  <c r="Y81" i="530"/>
  <c r="Y82" i="530"/>
  <c r="Y83" i="530"/>
  <c r="Y84" i="530"/>
  <c r="Y85" i="530"/>
  <c r="Y86" i="530"/>
  <c r="Y87" i="530"/>
  <c r="Y88" i="530"/>
  <c r="Y89" i="530"/>
  <c r="Y90" i="530"/>
  <c r="Y91" i="530"/>
  <c r="Y92" i="530"/>
  <c r="Y93" i="530"/>
  <c r="Y94" i="530"/>
  <c r="Y95" i="530"/>
  <c r="Y96" i="530"/>
  <c r="Y97" i="530"/>
  <c r="Y98" i="530"/>
  <c r="Y99" i="530"/>
  <c r="Y100" i="530"/>
  <c r="Y101" i="530"/>
  <c r="Y102" i="530"/>
  <c r="Y103" i="530"/>
  <c r="Y104" i="530"/>
  <c r="Y105" i="530"/>
  <c r="Y106" i="530"/>
  <c r="Y107" i="530"/>
  <c r="Y108" i="530"/>
  <c r="Y109" i="530"/>
  <c r="Y110" i="530"/>
  <c r="Y111" i="530"/>
  <c r="Y112" i="530"/>
  <c r="Y113" i="530"/>
  <c r="Y114" i="530"/>
  <c r="Y115" i="530"/>
  <c r="Y116" i="530"/>
  <c r="Y117" i="530"/>
  <c r="Y118" i="530"/>
  <c r="Y119" i="530"/>
  <c r="Y120" i="530"/>
  <c r="Y121" i="530"/>
  <c r="Y122" i="530"/>
  <c r="Y123" i="530"/>
  <c r="Y124" i="530"/>
  <c r="Y125" i="530"/>
  <c r="Y70" i="543"/>
  <c r="Y71" i="543"/>
  <c r="Y72" i="543"/>
  <c r="Y73" i="543"/>
  <c r="Y74" i="543"/>
  <c r="Y75" i="543"/>
  <c r="Y76" i="543"/>
  <c r="Y77" i="543"/>
  <c r="Y78" i="543"/>
  <c r="Y79" i="543"/>
  <c r="Y80" i="543"/>
  <c r="Y81" i="543"/>
  <c r="Y82" i="543"/>
  <c r="Y83" i="543"/>
  <c r="Y84" i="543"/>
  <c r="Y85" i="543"/>
  <c r="Y86" i="543"/>
  <c r="Y87" i="543"/>
  <c r="Y88" i="543"/>
  <c r="Y89" i="543"/>
  <c r="Y90" i="543"/>
  <c r="Y91" i="543"/>
  <c r="Y92" i="543"/>
  <c r="Y93" i="543"/>
  <c r="Y94" i="543"/>
  <c r="Y95" i="543"/>
  <c r="Y96" i="543"/>
  <c r="Y97" i="543"/>
  <c r="Y98" i="543"/>
  <c r="Y99" i="543"/>
  <c r="Y100" i="543"/>
  <c r="Y101" i="543"/>
  <c r="Y102" i="543"/>
  <c r="Y103" i="543"/>
  <c r="Y104" i="543"/>
  <c r="Y105" i="543"/>
  <c r="Y106" i="543"/>
  <c r="Y107" i="543"/>
  <c r="Y108" i="543"/>
  <c r="Y109" i="543"/>
  <c r="Y110" i="543"/>
  <c r="Y111" i="543"/>
  <c r="Y112" i="543"/>
  <c r="Y113" i="543"/>
  <c r="Y114" i="543"/>
  <c r="Y115" i="543"/>
  <c r="Y116" i="543"/>
  <c r="Y117" i="543"/>
  <c r="Y118" i="543"/>
  <c r="Y119" i="543"/>
  <c r="Y120" i="543"/>
  <c r="Y121" i="543"/>
  <c r="Y122" i="543"/>
  <c r="Y123" i="543"/>
  <c r="Y124" i="543"/>
  <c r="Y125" i="543"/>
  <c r="Y126" i="543"/>
  <c r="U70" i="543"/>
  <c r="U71" i="543"/>
  <c r="U72" i="543"/>
  <c r="U73" i="543"/>
  <c r="U74" i="543"/>
  <c r="U75" i="543"/>
  <c r="U76" i="543"/>
  <c r="U77" i="543"/>
  <c r="U78" i="543"/>
  <c r="U79" i="543"/>
  <c r="U80" i="543"/>
  <c r="U81" i="543"/>
  <c r="U82" i="543"/>
  <c r="U83" i="543"/>
  <c r="U84" i="543"/>
  <c r="U85" i="543"/>
  <c r="U86" i="543"/>
  <c r="U87" i="543"/>
  <c r="U88" i="543"/>
  <c r="U89" i="543"/>
  <c r="U90" i="543"/>
  <c r="U91" i="543"/>
  <c r="U92" i="543"/>
  <c r="U93" i="543"/>
  <c r="U94" i="543"/>
  <c r="U95" i="543"/>
  <c r="U96" i="543"/>
  <c r="U97" i="543"/>
  <c r="U98" i="543"/>
  <c r="U99" i="543"/>
  <c r="U100" i="543"/>
  <c r="U101" i="543"/>
  <c r="U102" i="543"/>
  <c r="U103" i="543"/>
  <c r="U104" i="543"/>
  <c r="U105" i="543"/>
  <c r="U106" i="543"/>
  <c r="U107" i="543"/>
  <c r="U108" i="543"/>
  <c r="U109" i="543"/>
  <c r="U110" i="543"/>
  <c r="U111" i="543"/>
  <c r="U112" i="543"/>
  <c r="U113" i="543"/>
  <c r="U114" i="543"/>
  <c r="U115" i="543"/>
  <c r="U116" i="543"/>
  <c r="U117" i="543"/>
  <c r="U118" i="543"/>
  <c r="U119" i="543"/>
  <c r="U120" i="543"/>
  <c r="U121" i="543"/>
  <c r="U122" i="543"/>
  <c r="U123" i="543"/>
  <c r="U124" i="543"/>
  <c r="U125" i="543"/>
  <c r="U126" i="543"/>
  <c r="AB74" i="526"/>
  <c r="L48" i="526"/>
  <c r="L49" i="526"/>
  <c r="V70" i="543"/>
  <c r="V71" i="543"/>
  <c r="V72" i="543"/>
  <c r="V73" i="543"/>
  <c r="V74" i="543"/>
  <c r="V75" i="543"/>
  <c r="V76" i="543"/>
  <c r="V77" i="543"/>
  <c r="V78" i="543"/>
  <c r="V79" i="543"/>
  <c r="V80" i="543"/>
  <c r="V81" i="543"/>
  <c r="V82" i="543"/>
  <c r="V83" i="543"/>
  <c r="V84" i="543"/>
  <c r="V85" i="543"/>
  <c r="V86" i="543"/>
  <c r="V87" i="543"/>
  <c r="V88" i="543"/>
  <c r="V89" i="543"/>
  <c r="V90" i="543"/>
  <c r="V91" i="543"/>
  <c r="V92" i="543"/>
  <c r="V93" i="543"/>
  <c r="V94" i="543"/>
  <c r="V95" i="543"/>
  <c r="V96" i="543"/>
  <c r="V97" i="543"/>
  <c r="V98" i="543"/>
  <c r="V99" i="543"/>
  <c r="V100" i="543"/>
  <c r="V101" i="543"/>
  <c r="V102" i="543"/>
  <c r="V103" i="543"/>
  <c r="V104" i="543"/>
  <c r="V105" i="543"/>
  <c r="V106" i="543"/>
  <c r="V107" i="543"/>
  <c r="V108" i="543"/>
  <c r="V109" i="543"/>
  <c r="V110" i="543"/>
  <c r="V111" i="543"/>
  <c r="V112" i="543"/>
  <c r="V113" i="543"/>
  <c r="V114" i="543"/>
  <c r="V115" i="543"/>
  <c r="V116" i="543"/>
  <c r="V117" i="543"/>
  <c r="V118" i="543"/>
  <c r="V119" i="543"/>
  <c r="V120" i="543"/>
  <c r="V121" i="543"/>
  <c r="V122" i="543"/>
  <c r="V123" i="543"/>
  <c r="V124" i="543"/>
  <c r="V125" i="543"/>
  <c r="V126" i="543"/>
  <c r="U69" i="530"/>
  <c r="U70" i="530"/>
  <c r="U71" i="530"/>
  <c r="U72" i="530"/>
  <c r="U73" i="530"/>
  <c r="U74" i="530"/>
  <c r="U75" i="530"/>
  <c r="U76" i="530"/>
  <c r="U77" i="530"/>
  <c r="U78" i="530"/>
  <c r="U79" i="530"/>
  <c r="U80" i="530"/>
  <c r="U81" i="530"/>
  <c r="U82" i="530"/>
  <c r="U83" i="530"/>
  <c r="U84" i="530"/>
  <c r="U85" i="530"/>
  <c r="U86" i="530"/>
  <c r="U87" i="530"/>
  <c r="U88" i="530"/>
  <c r="U89" i="530"/>
  <c r="U90" i="530"/>
  <c r="U91" i="530"/>
  <c r="U92" i="530"/>
  <c r="U93" i="530"/>
  <c r="U94" i="530"/>
  <c r="U95" i="530"/>
  <c r="U96" i="530"/>
  <c r="U97" i="530"/>
  <c r="U98" i="530"/>
  <c r="U99" i="530"/>
  <c r="U100" i="530"/>
  <c r="U101" i="530"/>
  <c r="U102" i="530"/>
  <c r="U103" i="530"/>
  <c r="U104" i="530"/>
  <c r="U105" i="530"/>
  <c r="U106" i="530"/>
  <c r="U107" i="530"/>
  <c r="U108" i="530"/>
  <c r="U109" i="530"/>
  <c r="U110" i="530"/>
  <c r="U111" i="530"/>
  <c r="U112" i="530"/>
  <c r="U113" i="530"/>
  <c r="U114" i="530"/>
  <c r="U115" i="530"/>
  <c r="U116" i="530"/>
  <c r="U117" i="530"/>
  <c r="U118" i="530"/>
  <c r="U119" i="530"/>
  <c r="U120" i="530"/>
  <c r="U121" i="530"/>
  <c r="U122" i="530"/>
  <c r="U123" i="530"/>
  <c r="U124" i="530"/>
  <c r="U125" i="530"/>
  <c r="AA70" i="543"/>
  <c r="AA71" i="543"/>
  <c r="AA72" i="543"/>
  <c r="AA73" i="543"/>
  <c r="AA74" i="543"/>
  <c r="AA75" i="543"/>
  <c r="AA76" i="543"/>
  <c r="AA77" i="543"/>
  <c r="AA78" i="543"/>
  <c r="AA79" i="543"/>
  <c r="AA80" i="543"/>
  <c r="AA81" i="543"/>
  <c r="AA82" i="543"/>
  <c r="AA83" i="543"/>
  <c r="AA84" i="543"/>
  <c r="AA85" i="543"/>
  <c r="AA86" i="543"/>
  <c r="AA87" i="543"/>
  <c r="AA88" i="543"/>
  <c r="AA89" i="543"/>
  <c r="AA90" i="543"/>
  <c r="AA91" i="543"/>
  <c r="AA92" i="543"/>
  <c r="AA93" i="543"/>
  <c r="AA94" i="543"/>
  <c r="AA95" i="543"/>
  <c r="AA96" i="543"/>
  <c r="AA97" i="543"/>
  <c r="AA98" i="543"/>
  <c r="AA99" i="543"/>
  <c r="AA100" i="543"/>
  <c r="AA101" i="543"/>
  <c r="AA102" i="543"/>
  <c r="AA103" i="543"/>
  <c r="AA104" i="543"/>
  <c r="AA105" i="543"/>
  <c r="AA106" i="543"/>
  <c r="AA107" i="543"/>
  <c r="AA108" i="543"/>
  <c r="AA109" i="543"/>
  <c r="AA110" i="543"/>
  <c r="AA111" i="543"/>
  <c r="AA112" i="543"/>
  <c r="AA113" i="543"/>
  <c r="AA114" i="543"/>
  <c r="AA115" i="543"/>
  <c r="AA116" i="543"/>
  <c r="AA117" i="543"/>
  <c r="AA118" i="543"/>
  <c r="AA119" i="543"/>
  <c r="AA120" i="543"/>
  <c r="AA121" i="543"/>
  <c r="AA122" i="543"/>
  <c r="AA123" i="543"/>
  <c r="AA124" i="543"/>
  <c r="AA125" i="543"/>
  <c r="AA126" i="543"/>
  <c r="Q55" i="519"/>
  <c r="O55" i="519"/>
  <c r="M56" i="519"/>
  <c r="U55" i="519"/>
  <c r="U40" i="519"/>
  <c r="Q40" i="519"/>
  <c r="O40" i="519"/>
  <c r="M41" i="519"/>
  <c r="M42" i="519"/>
  <c r="M43" i="519"/>
  <c r="M44" i="519"/>
  <c r="M45" i="519"/>
  <c r="Q58" i="519"/>
  <c r="O58" i="519"/>
  <c r="U58" i="519"/>
  <c r="P7" i="526"/>
  <c r="N7" i="526"/>
  <c r="T7" i="526"/>
  <c r="T47" i="517"/>
  <c r="P47" i="517"/>
  <c r="N47" i="517"/>
  <c r="P28" i="517"/>
  <c r="N28" i="517"/>
  <c r="T28" i="517"/>
  <c r="X73" i="517"/>
  <c r="P62" i="543"/>
  <c r="N62" i="543"/>
  <c r="U63" i="519"/>
  <c r="Q63" i="519"/>
  <c r="O63" i="519"/>
  <c r="O71" i="554"/>
  <c r="P44" i="526"/>
  <c r="N44" i="526"/>
  <c r="T44" i="526"/>
  <c r="T42" i="517"/>
  <c r="P42" i="517"/>
  <c r="N42" i="517"/>
  <c r="T38" i="517"/>
  <c r="P38" i="517"/>
  <c r="N38" i="517"/>
  <c r="L39" i="517"/>
  <c r="L40" i="517"/>
  <c r="N57" i="524"/>
  <c r="AA89" i="526"/>
  <c r="AA90" i="526"/>
  <c r="AA91" i="526"/>
  <c r="AA92" i="526"/>
  <c r="AA93" i="526"/>
  <c r="AA94" i="526"/>
  <c r="AA95" i="526"/>
  <c r="AA96" i="526"/>
  <c r="AA97" i="526"/>
  <c r="AA98" i="526"/>
  <c r="AA99" i="526"/>
  <c r="AA100" i="526"/>
  <c r="AA101" i="526"/>
  <c r="AA102" i="526"/>
  <c r="AA103" i="526"/>
  <c r="AA104" i="526"/>
  <c r="AA105" i="526"/>
  <c r="AA106" i="526"/>
  <c r="AA107" i="526"/>
  <c r="AA108" i="526"/>
  <c r="AA109" i="526"/>
  <c r="AA110" i="526"/>
  <c r="AA111" i="526"/>
  <c r="AA112" i="526"/>
  <c r="AA113" i="526"/>
  <c r="AA114" i="526"/>
  <c r="AA115" i="526"/>
  <c r="AA116" i="526"/>
  <c r="AA117" i="526"/>
  <c r="AA118" i="526"/>
  <c r="AA119" i="526"/>
  <c r="AA120" i="526"/>
  <c r="AA121" i="526"/>
  <c r="X89" i="526"/>
  <c r="P59" i="543"/>
  <c r="N59" i="543"/>
  <c r="U73" i="517"/>
  <c r="V73" i="517"/>
  <c r="Q22" i="519"/>
  <c r="O22" i="519"/>
  <c r="U22" i="519"/>
  <c r="P74" i="526"/>
  <c r="N74" i="526"/>
  <c r="T74" i="526"/>
  <c r="P55" i="517"/>
  <c r="N55" i="517"/>
  <c r="T55" i="517"/>
  <c r="T20" i="517"/>
  <c r="P20" i="517"/>
  <c r="N20" i="517"/>
  <c r="T22" i="517"/>
  <c r="P22" i="517"/>
  <c r="N22" i="517"/>
  <c r="N101" i="524"/>
  <c r="U10" i="519"/>
  <c r="Q10" i="519"/>
  <c r="O10" i="519"/>
  <c r="T37" i="526"/>
  <c r="P37" i="526"/>
  <c r="N37" i="526"/>
  <c r="N39" i="526"/>
  <c r="P15" i="517"/>
  <c r="N15" i="517"/>
  <c r="T15" i="517"/>
  <c r="P61" i="543"/>
  <c r="N61" i="543"/>
  <c r="P35" i="543"/>
  <c r="N35" i="543"/>
  <c r="P13" i="543"/>
  <c r="N13" i="543"/>
  <c r="N14" i="543"/>
  <c r="T10" i="530"/>
  <c r="P10" i="530"/>
  <c r="N10" i="530"/>
  <c r="L11" i="530"/>
  <c r="L12" i="530"/>
  <c r="L13" i="530"/>
  <c r="L14" i="530"/>
  <c r="P18" i="530"/>
  <c r="N18" i="530"/>
  <c r="N23" i="530"/>
  <c r="T18" i="530"/>
  <c r="P71" i="519"/>
  <c r="Y89" i="526"/>
  <c r="Y90" i="526"/>
  <c r="Y91" i="526"/>
  <c r="Y92" i="526"/>
  <c r="Y93" i="526"/>
  <c r="Y94" i="526"/>
  <c r="Y95" i="526"/>
  <c r="Y96" i="526"/>
  <c r="Y97" i="526"/>
  <c r="Y98" i="526"/>
  <c r="Y99" i="526"/>
  <c r="Y100" i="526"/>
  <c r="Y101" i="526"/>
  <c r="Y102" i="526"/>
  <c r="Y103" i="526"/>
  <c r="Y104" i="526"/>
  <c r="Y105" i="526"/>
  <c r="Y106" i="526"/>
  <c r="Y107" i="526"/>
  <c r="Y108" i="526"/>
  <c r="Y109" i="526"/>
  <c r="Y110" i="526"/>
  <c r="Y111" i="526"/>
  <c r="Y112" i="526"/>
  <c r="Y113" i="526"/>
  <c r="Y114" i="526"/>
  <c r="Y115" i="526"/>
  <c r="Y116" i="526"/>
  <c r="Y117" i="526"/>
  <c r="Y118" i="526"/>
  <c r="Y119" i="526"/>
  <c r="Y120" i="526"/>
  <c r="Y121" i="526"/>
  <c r="V89" i="526"/>
  <c r="V90" i="526"/>
  <c r="V91" i="526"/>
  <c r="V92" i="526"/>
  <c r="V93" i="526"/>
  <c r="V94" i="526"/>
  <c r="V95" i="526"/>
  <c r="V96" i="526"/>
  <c r="V97" i="526"/>
  <c r="V98" i="526"/>
  <c r="V99" i="526"/>
  <c r="V100" i="526"/>
  <c r="V101" i="526"/>
  <c r="V102" i="526"/>
  <c r="V103" i="526"/>
  <c r="V104" i="526"/>
  <c r="V105" i="526"/>
  <c r="V106" i="526"/>
  <c r="V107" i="526"/>
  <c r="V108" i="526"/>
  <c r="V109" i="526"/>
  <c r="V110" i="526"/>
  <c r="V111" i="526"/>
  <c r="V112" i="526"/>
  <c r="V113" i="526"/>
  <c r="V114" i="526"/>
  <c r="V115" i="526"/>
  <c r="V116" i="526"/>
  <c r="V117" i="526"/>
  <c r="V118" i="526"/>
  <c r="V119" i="526"/>
  <c r="V120" i="526"/>
  <c r="V121" i="526"/>
  <c r="P49" i="530"/>
  <c r="N49" i="530"/>
  <c r="T49" i="530"/>
  <c r="Z73" i="517"/>
  <c r="AA73" i="517"/>
  <c r="Q8" i="519"/>
  <c r="O8" i="519"/>
  <c r="U8" i="519"/>
  <c r="U62" i="519"/>
  <c r="Q62" i="519"/>
  <c r="O62" i="519"/>
  <c r="T50" i="517"/>
  <c r="P50" i="517"/>
  <c r="N50" i="517"/>
  <c r="T32" i="517"/>
  <c r="P32" i="517"/>
  <c r="N32" i="517"/>
  <c r="P70" i="517"/>
  <c r="N70" i="517"/>
  <c r="T70" i="517"/>
  <c r="N30" i="526"/>
  <c r="L24" i="526"/>
  <c r="L25" i="526"/>
  <c r="L26" i="526"/>
  <c r="L27" i="526"/>
  <c r="L28" i="526"/>
  <c r="L29" i="526"/>
  <c r="L30" i="526"/>
  <c r="T45" i="517"/>
  <c r="P45" i="517"/>
  <c r="N45" i="517"/>
  <c r="T16" i="517"/>
  <c r="P16" i="517"/>
  <c r="N16" i="517"/>
  <c r="T29" i="517"/>
  <c r="P29" i="517"/>
  <c r="N29" i="517"/>
  <c r="T27" i="517"/>
  <c r="P27" i="517"/>
  <c r="N27" i="517"/>
  <c r="P38" i="543"/>
  <c r="N38" i="543"/>
  <c r="L39" i="543"/>
  <c r="L40" i="543"/>
  <c r="T14" i="530"/>
  <c r="P14" i="530"/>
  <c r="N14" i="530"/>
  <c r="P26" i="517"/>
  <c r="N26" i="517"/>
  <c r="T26" i="517"/>
  <c r="Z89" i="526"/>
  <c r="Z90" i="526"/>
  <c r="Z91" i="526"/>
  <c r="Z92" i="526"/>
  <c r="Z93" i="526"/>
  <c r="Z94" i="526"/>
  <c r="Z95" i="526"/>
  <c r="Z96" i="526"/>
  <c r="Z97" i="526"/>
  <c r="Z98" i="526"/>
  <c r="Z99" i="526"/>
  <c r="Z100" i="526"/>
  <c r="Z101" i="526"/>
  <c r="Z102" i="526"/>
  <c r="Z103" i="526"/>
  <c r="Z104" i="526"/>
  <c r="Z105" i="526"/>
  <c r="Z106" i="526"/>
  <c r="Z107" i="526"/>
  <c r="Z108" i="526"/>
  <c r="Z109" i="526"/>
  <c r="Z110" i="526"/>
  <c r="Z111" i="526"/>
  <c r="Z112" i="526"/>
  <c r="Z113" i="526"/>
  <c r="Z114" i="526"/>
  <c r="Z115" i="526"/>
  <c r="Z116" i="526"/>
  <c r="Z117" i="526"/>
  <c r="Z118" i="526"/>
  <c r="Z119" i="526"/>
  <c r="Z120" i="526"/>
  <c r="Z121" i="526"/>
  <c r="P40" i="517"/>
  <c r="N40" i="517"/>
  <c r="T40" i="517"/>
  <c r="W73" i="517"/>
  <c r="P53" i="517"/>
  <c r="N53" i="517"/>
  <c r="T53" i="517"/>
  <c r="P56" i="530"/>
  <c r="N56" i="530"/>
  <c r="N58" i="530"/>
  <c r="T56" i="530"/>
  <c r="P71" i="517"/>
  <c r="N71" i="517"/>
  <c r="T71" i="517"/>
  <c r="L43" i="555"/>
  <c r="T61" i="517"/>
  <c r="P61" i="517"/>
  <c r="N61" i="517"/>
  <c r="Q15" i="519"/>
  <c r="O15" i="519"/>
  <c r="U15" i="519"/>
  <c r="W89" i="526"/>
  <c r="W90" i="526"/>
  <c r="W91" i="526"/>
  <c r="W92" i="526"/>
  <c r="W93" i="526"/>
  <c r="W94" i="526"/>
  <c r="W95" i="526"/>
  <c r="W96" i="526"/>
  <c r="W97" i="526"/>
  <c r="W98" i="526"/>
  <c r="W99" i="526"/>
  <c r="W100" i="526"/>
  <c r="W101" i="526"/>
  <c r="W102" i="526"/>
  <c r="W103" i="526"/>
  <c r="W104" i="526"/>
  <c r="W105" i="526"/>
  <c r="W106" i="526"/>
  <c r="W107" i="526"/>
  <c r="W108" i="526"/>
  <c r="W109" i="526"/>
  <c r="W110" i="526"/>
  <c r="W111" i="526"/>
  <c r="W112" i="526"/>
  <c r="W113" i="526"/>
  <c r="W114" i="526"/>
  <c r="W115" i="526"/>
  <c r="W116" i="526"/>
  <c r="W117" i="526"/>
  <c r="W118" i="526"/>
  <c r="W119" i="526"/>
  <c r="W120" i="526"/>
  <c r="W121" i="526"/>
  <c r="U89" i="526"/>
  <c r="T30" i="517"/>
  <c r="P30" i="517"/>
  <c r="N30" i="517"/>
  <c r="T7" i="517"/>
  <c r="P7" i="517"/>
  <c r="N7" i="517"/>
  <c r="Y73" i="517"/>
  <c r="P58" i="517"/>
  <c r="N58" i="517"/>
  <c r="T58" i="517"/>
  <c r="Z69" i="530"/>
  <c r="Z70" i="530"/>
  <c r="Z71" i="530"/>
  <c r="Z72" i="530"/>
  <c r="Z73" i="530"/>
  <c r="Z74" i="530"/>
  <c r="Z75" i="530"/>
  <c r="Z76" i="530"/>
  <c r="Z77" i="530"/>
  <c r="Z78" i="530"/>
  <c r="Z79" i="530"/>
  <c r="Z80" i="530"/>
  <c r="Z81" i="530"/>
  <c r="Z82" i="530"/>
  <c r="Z83" i="530"/>
  <c r="Z84" i="530"/>
  <c r="Z85" i="530"/>
  <c r="Z86" i="530"/>
  <c r="Z87" i="530"/>
  <c r="Z88" i="530"/>
  <c r="Z89" i="530"/>
  <c r="Z90" i="530"/>
  <c r="Z91" i="530"/>
  <c r="Z92" i="530"/>
  <c r="Z93" i="530"/>
  <c r="Z94" i="530"/>
  <c r="Z95" i="530"/>
  <c r="Z96" i="530"/>
  <c r="Z97" i="530"/>
  <c r="Z98" i="530"/>
  <c r="Z99" i="530"/>
  <c r="Z100" i="530"/>
  <c r="Z101" i="530"/>
  <c r="Z102" i="530"/>
  <c r="Z103" i="530"/>
  <c r="Z104" i="530"/>
  <c r="Z105" i="530"/>
  <c r="Z106" i="530"/>
  <c r="Z107" i="530"/>
  <c r="Z108" i="530"/>
  <c r="Z109" i="530"/>
  <c r="Z110" i="530"/>
  <c r="Z111" i="530"/>
  <c r="Z112" i="530"/>
  <c r="Z113" i="530"/>
  <c r="Z114" i="530"/>
  <c r="Z115" i="530"/>
  <c r="Z116" i="530"/>
  <c r="Z117" i="530"/>
  <c r="Z118" i="530"/>
  <c r="Z119" i="530"/>
  <c r="Z120" i="530"/>
  <c r="Z121" i="530"/>
  <c r="Z122" i="530"/>
  <c r="Z123" i="530"/>
  <c r="Z124" i="530"/>
  <c r="Z125" i="530"/>
  <c r="U24" i="519"/>
  <c r="Q24" i="519"/>
  <c r="O24" i="519"/>
  <c r="N34" i="526"/>
  <c r="L33" i="526"/>
  <c r="L34" i="526"/>
  <c r="L35" i="526"/>
  <c r="L36" i="526"/>
  <c r="L37" i="526"/>
  <c r="U59" i="519"/>
  <c r="Q59" i="519"/>
  <c r="O59" i="519"/>
  <c r="P68" i="517"/>
  <c r="T68" i="517"/>
  <c r="T13" i="517"/>
  <c r="P13" i="517"/>
  <c r="N71" i="526"/>
  <c r="L70" i="526"/>
  <c r="L71" i="526"/>
  <c r="L72" i="526"/>
  <c r="L73" i="526"/>
  <c r="L74" i="526"/>
  <c r="P6" i="412"/>
  <c r="N6" i="412"/>
  <c r="T6" i="412"/>
  <c r="U31" i="519"/>
  <c r="Q31" i="519"/>
  <c r="O31" i="519"/>
  <c r="L20" i="524"/>
  <c r="Q16" i="519"/>
  <c r="O16" i="519"/>
  <c r="U16" i="519"/>
  <c r="U51" i="519"/>
  <c r="Q51" i="519"/>
  <c r="O51" i="519"/>
  <c r="T8" i="412"/>
  <c r="P8" i="412"/>
  <c r="N8" i="412"/>
  <c r="Q14" i="519"/>
  <c r="O14" i="519"/>
  <c r="U14" i="519"/>
  <c r="AA79" i="519"/>
  <c r="Y79" i="519"/>
  <c r="L44" i="530"/>
  <c r="L45" i="530"/>
  <c r="L46" i="530"/>
  <c r="L47" i="530"/>
  <c r="L48" i="530"/>
  <c r="L60" i="524"/>
  <c r="L61" i="524"/>
  <c r="L62" i="524"/>
  <c r="L63" i="524"/>
  <c r="L64" i="524"/>
  <c r="L65" i="524"/>
  <c r="L66" i="524"/>
  <c r="L67" i="524"/>
  <c r="L68" i="524"/>
  <c r="L69" i="524"/>
  <c r="L70" i="524"/>
  <c r="L71" i="524"/>
  <c r="L72" i="524"/>
  <c r="L73" i="524"/>
  <c r="L74" i="524"/>
  <c r="L75" i="524"/>
  <c r="L18" i="530"/>
  <c r="U113" i="524"/>
  <c r="U114" i="524"/>
  <c r="U115" i="524"/>
  <c r="U116" i="524"/>
  <c r="U117" i="524"/>
  <c r="U118" i="524"/>
  <c r="U119" i="524"/>
  <c r="U120" i="524"/>
  <c r="U121" i="524"/>
  <c r="U122" i="524"/>
  <c r="U123" i="524"/>
  <c r="U124" i="524"/>
  <c r="U125" i="524"/>
  <c r="U126" i="524"/>
  <c r="U127" i="524"/>
  <c r="U128" i="524"/>
  <c r="U129" i="524"/>
  <c r="U130" i="524"/>
  <c r="U131" i="524"/>
  <c r="U132" i="524"/>
  <c r="U133" i="524"/>
  <c r="U57" i="519"/>
  <c r="Q57" i="519"/>
  <c r="O57" i="519"/>
  <c r="P46" i="412"/>
  <c r="N46" i="412"/>
  <c r="T46" i="412"/>
  <c r="U10" i="554"/>
  <c r="Q10" i="554"/>
  <c r="O10" i="554"/>
  <c r="W53" i="412"/>
  <c r="W54" i="412"/>
  <c r="W55" i="412"/>
  <c r="W56" i="412"/>
  <c r="W57" i="412"/>
  <c r="W58" i="412"/>
  <c r="AA53" i="412"/>
  <c r="AA54" i="412"/>
  <c r="AA55" i="412"/>
  <c r="AA56" i="412"/>
  <c r="AA57" i="412"/>
  <c r="AA58" i="412"/>
  <c r="AA73" i="554"/>
  <c r="AA74" i="554"/>
  <c r="AA75" i="554"/>
  <c r="AA76" i="554"/>
  <c r="AA77" i="554"/>
  <c r="AA78" i="554"/>
  <c r="AA79" i="554"/>
  <c r="AA80" i="554"/>
  <c r="AA81" i="554"/>
  <c r="AA82" i="554"/>
  <c r="AA83" i="554"/>
  <c r="AA84" i="554"/>
  <c r="AA85" i="554"/>
  <c r="AA86" i="554"/>
  <c r="AA87" i="554"/>
  <c r="AA88" i="554"/>
  <c r="AA89" i="554"/>
  <c r="AA90" i="554"/>
  <c r="AA91" i="554"/>
  <c r="AA92" i="554"/>
  <c r="AA93" i="554"/>
  <c r="AA94" i="554"/>
  <c r="AA95" i="554"/>
  <c r="AA96" i="554"/>
  <c r="AA97" i="554"/>
  <c r="AA98" i="554"/>
  <c r="AA99" i="554"/>
  <c r="AA100" i="554"/>
  <c r="AA101" i="554"/>
  <c r="AA102" i="554"/>
  <c r="AA103" i="554"/>
  <c r="AA104" i="554"/>
  <c r="AA105" i="554"/>
  <c r="AA106" i="554"/>
  <c r="AA107" i="554"/>
  <c r="AA108" i="554"/>
  <c r="AA109" i="554"/>
  <c r="AA110" i="554"/>
  <c r="AA111" i="554"/>
  <c r="AA112" i="554"/>
  <c r="AA113" i="554"/>
  <c r="AA114" i="554"/>
  <c r="AA115" i="554"/>
  <c r="AA116" i="554"/>
  <c r="AA117" i="554"/>
  <c r="AA118" i="554"/>
  <c r="AA119" i="554"/>
  <c r="AA120" i="554"/>
  <c r="AA121" i="554"/>
  <c r="AA122" i="554"/>
  <c r="Q64" i="519"/>
  <c r="O64" i="519"/>
  <c r="U64" i="519"/>
  <c r="S64" i="519"/>
  <c r="T64" i="519"/>
  <c r="X64" i="519"/>
  <c r="M43" i="554"/>
  <c r="M44" i="554"/>
  <c r="T13" i="412"/>
  <c r="P13" i="412"/>
  <c r="N13" i="412"/>
  <c r="V79" i="519"/>
  <c r="AB79" i="519"/>
  <c r="T28" i="412"/>
  <c r="P28" i="412"/>
  <c r="N28" i="412"/>
  <c r="U20" i="519"/>
  <c r="Q20" i="519"/>
  <c r="O20" i="519"/>
  <c r="Q50" i="519"/>
  <c r="O50" i="519"/>
  <c r="U50" i="519"/>
  <c r="P73" i="519"/>
  <c r="L13" i="555"/>
  <c r="L14" i="555"/>
  <c r="L15" i="555"/>
  <c r="L16" i="555"/>
  <c r="L18" i="555"/>
  <c r="L19" i="555"/>
  <c r="L20" i="555"/>
  <c r="L21" i="555"/>
  <c r="L22" i="555"/>
  <c r="L23" i="555"/>
  <c r="L17" i="555"/>
  <c r="N23" i="555"/>
  <c r="Y73" i="554"/>
  <c r="Y74" i="554"/>
  <c r="Y75" i="554"/>
  <c r="Y76" i="554"/>
  <c r="Y77" i="554"/>
  <c r="Y78" i="554"/>
  <c r="Y79" i="554"/>
  <c r="Y80" i="554"/>
  <c r="Y81" i="554"/>
  <c r="Y82" i="554"/>
  <c r="Y83" i="554"/>
  <c r="Y84" i="554"/>
  <c r="Y85" i="554"/>
  <c r="Y86" i="554"/>
  <c r="Y87" i="554"/>
  <c r="Y88" i="554"/>
  <c r="Y89" i="554"/>
  <c r="Y90" i="554"/>
  <c r="Y91" i="554"/>
  <c r="Y92" i="554"/>
  <c r="Y93" i="554"/>
  <c r="Y94" i="554"/>
  <c r="Y95" i="554"/>
  <c r="Y96" i="554"/>
  <c r="Y97" i="554"/>
  <c r="Y98" i="554"/>
  <c r="Y99" i="554"/>
  <c r="Y100" i="554"/>
  <c r="Y101" i="554"/>
  <c r="Y102" i="554"/>
  <c r="Y103" i="554"/>
  <c r="Y104" i="554"/>
  <c r="Y105" i="554"/>
  <c r="Y106" i="554"/>
  <c r="Y107" i="554"/>
  <c r="Y108" i="554"/>
  <c r="Y109" i="554"/>
  <c r="Y110" i="554"/>
  <c r="Y111" i="554"/>
  <c r="Y112" i="554"/>
  <c r="Y113" i="554"/>
  <c r="Y114" i="554"/>
  <c r="Y115" i="554"/>
  <c r="Y116" i="554"/>
  <c r="Y117" i="554"/>
  <c r="Y118" i="554"/>
  <c r="Y119" i="554"/>
  <c r="Y120" i="554"/>
  <c r="Y121" i="554"/>
  <c r="Y122" i="554"/>
  <c r="P15" i="412"/>
  <c r="N15" i="412"/>
  <c r="T15" i="412"/>
  <c r="S65" i="519"/>
  <c r="T65" i="519"/>
  <c r="X65" i="519"/>
  <c r="U48" i="519"/>
  <c r="Q48" i="519"/>
  <c r="O48" i="519"/>
  <c r="M49" i="519"/>
  <c r="N55" i="555"/>
  <c r="L49" i="555"/>
  <c r="L50" i="555"/>
  <c r="L51" i="555"/>
  <c r="L52" i="555"/>
  <c r="L53" i="555"/>
  <c r="L54" i="555"/>
  <c r="L55" i="555"/>
  <c r="P19" i="412"/>
  <c r="N19" i="412"/>
  <c r="T19" i="412"/>
  <c r="V73" i="554"/>
  <c r="V74" i="554"/>
  <c r="V75" i="554"/>
  <c r="V76" i="554"/>
  <c r="V77" i="554"/>
  <c r="V78" i="554"/>
  <c r="V79" i="554"/>
  <c r="V80" i="554"/>
  <c r="V81" i="554"/>
  <c r="V82" i="554"/>
  <c r="V83" i="554"/>
  <c r="V84" i="554"/>
  <c r="V85" i="554"/>
  <c r="V86" i="554"/>
  <c r="V87" i="554"/>
  <c r="V88" i="554"/>
  <c r="V89" i="554"/>
  <c r="V90" i="554"/>
  <c r="V91" i="554"/>
  <c r="V92" i="554"/>
  <c r="V93" i="554"/>
  <c r="V94" i="554"/>
  <c r="V95" i="554"/>
  <c r="V96" i="554"/>
  <c r="V97" i="554"/>
  <c r="V98" i="554"/>
  <c r="V99" i="554"/>
  <c r="V100" i="554"/>
  <c r="V101" i="554"/>
  <c r="V102" i="554"/>
  <c r="V103" i="554"/>
  <c r="V104" i="554"/>
  <c r="V105" i="554"/>
  <c r="V106" i="554"/>
  <c r="V107" i="554"/>
  <c r="V108" i="554"/>
  <c r="V109" i="554"/>
  <c r="V110" i="554"/>
  <c r="V111" i="554"/>
  <c r="V112" i="554"/>
  <c r="V113" i="554"/>
  <c r="V114" i="554"/>
  <c r="V115" i="554"/>
  <c r="V116" i="554"/>
  <c r="V117" i="554"/>
  <c r="V118" i="554"/>
  <c r="V119" i="554"/>
  <c r="V120" i="554"/>
  <c r="V121" i="554"/>
  <c r="V122" i="554"/>
  <c r="V53" i="412"/>
  <c r="V54" i="412"/>
  <c r="V55" i="412"/>
  <c r="V56" i="412"/>
  <c r="V57" i="412"/>
  <c r="V58" i="412"/>
  <c r="Z53" i="412"/>
  <c r="Z54" i="412"/>
  <c r="Z55" i="412"/>
  <c r="Z56" i="412"/>
  <c r="Z57" i="412"/>
  <c r="Z58" i="412"/>
  <c r="P41" i="412"/>
  <c r="N41" i="412"/>
  <c r="T41" i="412"/>
  <c r="Q21" i="519"/>
  <c r="O21" i="519"/>
  <c r="U21" i="519"/>
  <c r="Q56" i="519"/>
  <c r="O56" i="519"/>
  <c r="U56" i="519"/>
  <c r="S56" i="519"/>
  <c r="T56" i="519"/>
  <c r="X56" i="519"/>
  <c r="Q7" i="519"/>
  <c r="O7" i="519"/>
  <c r="U7" i="519"/>
  <c r="L8" i="524"/>
  <c r="L9" i="524"/>
  <c r="L10" i="524"/>
  <c r="L11" i="524"/>
  <c r="L12" i="524"/>
  <c r="L13" i="524"/>
  <c r="L14" i="524"/>
  <c r="L15" i="524"/>
  <c r="L16" i="524"/>
  <c r="T26" i="412"/>
  <c r="P26" i="412"/>
  <c r="N26" i="412"/>
  <c r="B21" i="38"/>
  <c r="L37" i="555"/>
  <c r="L38" i="555"/>
  <c r="L39" i="555"/>
  <c r="L58" i="543"/>
  <c r="L59" i="543"/>
  <c r="U49" i="519"/>
  <c r="Q49" i="519"/>
  <c r="O49" i="519"/>
  <c r="AC71" i="554"/>
  <c r="R72" i="554"/>
  <c r="I72" i="554"/>
  <c r="I73" i="554"/>
  <c r="P65" i="519"/>
  <c r="L105" i="524"/>
  <c r="L107" i="524"/>
  <c r="L108" i="524"/>
  <c r="L109" i="524"/>
  <c r="L110" i="524"/>
  <c r="L111" i="524"/>
  <c r="L112" i="524"/>
  <c r="L106" i="524"/>
  <c r="T35" i="412"/>
  <c r="P35" i="412"/>
  <c r="N35" i="412"/>
  <c r="Q9" i="554"/>
  <c r="O9" i="554"/>
  <c r="U9" i="554"/>
  <c r="U53" i="412"/>
  <c r="U54" i="412"/>
  <c r="U55" i="412"/>
  <c r="U56" i="412"/>
  <c r="U57" i="412"/>
  <c r="U58" i="412"/>
  <c r="X53" i="412"/>
  <c r="X54" i="412"/>
  <c r="X55" i="412"/>
  <c r="X56" i="412"/>
  <c r="X57" i="412"/>
  <c r="X58" i="412"/>
  <c r="T48" i="412"/>
  <c r="P48" i="412"/>
  <c r="N48" i="412"/>
  <c r="P42" i="412"/>
  <c r="N42" i="412"/>
  <c r="T42" i="412"/>
  <c r="P69" i="519"/>
  <c r="U32" i="519"/>
  <c r="Q32" i="519"/>
  <c r="O32" i="519"/>
  <c r="T33" i="412"/>
  <c r="P33" i="412"/>
  <c r="N33" i="412"/>
  <c r="Z73" i="554"/>
  <c r="Z74" i="554"/>
  <c r="Z75" i="554"/>
  <c r="Z76" i="554"/>
  <c r="Z77" i="554"/>
  <c r="Z78" i="554"/>
  <c r="Z79" i="554"/>
  <c r="Z80" i="554"/>
  <c r="Z81" i="554"/>
  <c r="Z82" i="554"/>
  <c r="Z83" i="554"/>
  <c r="Z84" i="554"/>
  <c r="Z85" i="554"/>
  <c r="Z86" i="554"/>
  <c r="Z87" i="554"/>
  <c r="Z88" i="554"/>
  <c r="Z89" i="554"/>
  <c r="Z90" i="554"/>
  <c r="Z91" i="554"/>
  <c r="Z92" i="554"/>
  <c r="Z93" i="554"/>
  <c r="Z94" i="554"/>
  <c r="Z95" i="554"/>
  <c r="Z96" i="554"/>
  <c r="Z97" i="554"/>
  <c r="Z98" i="554"/>
  <c r="Z99" i="554"/>
  <c r="Z100" i="554"/>
  <c r="Z101" i="554"/>
  <c r="Z102" i="554"/>
  <c r="Z103" i="554"/>
  <c r="Z104" i="554"/>
  <c r="Z105" i="554"/>
  <c r="Z106" i="554"/>
  <c r="Z107" i="554"/>
  <c r="Z108" i="554"/>
  <c r="Z109" i="554"/>
  <c r="Z110" i="554"/>
  <c r="Z111" i="554"/>
  <c r="Z112" i="554"/>
  <c r="Z113" i="554"/>
  <c r="Z114" i="554"/>
  <c r="Z115" i="554"/>
  <c r="Z116" i="554"/>
  <c r="Z117" i="554"/>
  <c r="Z118" i="554"/>
  <c r="Z119" i="554"/>
  <c r="Z120" i="554"/>
  <c r="Z121" i="554"/>
  <c r="Z122" i="554"/>
  <c r="P74" i="519"/>
  <c r="M9" i="554"/>
  <c r="T21" i="412"/>
  <c r="P21" i="412"/>
  <c r="N21" i="412"/>
  <c r="S57" i="519"/>
  <c r="T57" i="519"/>
  <c r="Z57" i="519"/>
  <c r="Z79" i="519"/>
  <c r="U17" i="519"/>
  <c r="Q17" i="519"/>
  <c r="O17" i="519"/>
  <c r="P47" i="401"/>
  <c r="N47" i="401"/>
  <c r="N52" i="401"/>
  <c r="L31" i="401"/>
  <c r="L32" i="401"/>
  <c r="L33" i="401"/>
  <c r="W69" i="401"/>
  <c r="W70" i="401"/>
  <c r="W71" i="401"/>
  <c r="W72" i="401"/>
  <c r="W73" i="401"/>
  <c r="W74" i="401"/>
  <c r="W75" i="401"/>
  <c r="W76" i="401"/>
  <c r="W77" i="401"/>
  <c r="W78" i="401"/>
  <c r="W79" i="401"/>
  <c r="W80" i="401"/>
  <c r="W81" i="401"/>
  <c r="W82" i="401"/>
  <c r="W83" i="401"/>
  <c r="W84" i="401"/>
  <c r="W85" i="401"/>
  <c r="W86" i="401"/>
  <c r="W87" i="401"/>
  <c r="W88" i="401"/>
  <c r="W89" i="401"/>
  <c r="W90" i="401"/>
  <c r="W91" i="401"/>
  <c r="W92" i="401"/>
  <c r="W93" i="401"/>
  <c r="W94" i="401"/>
  <c r="W95" i="401"/>
  <c r="W96" i="401"/>
  <c r="W97" i="401"/>
  <c r="W98" i="401"/>
  <c r="W99" i="401"/>
  <c r="W100" i="401"/>
  <c r="W101" i="401"/>
  <c r="W102" i="401"/>
  <c r="W103" i="401"/>
  <c r="W104" i="401"/>
  <c r="AA69" i="401"/>
  <c r="AA70" i="401"/>
  <c r="AA71" i="401"/>
  <c r="AA72" i="401"/>
  <c r="AA73" i="401"/>
  <c r="AA74" i="401"/>
  <c r="AA75" i="401"/>
  <c r="AA76" i="401"/>
  <c r="AA77" i="401"/>
  <c r="AA78" i="401"/>
  <c r="AA79" i="401"/>
  <c r="AA80" i="401"/>
  <c r="AA81" i="401"/>
  <c r="AA82" i="401"/>
  <c r="AA83" i="401"/>
  <c r="AA84" i="401"/>
  <c r="AA85" i="401"/>
  <c r="AA86" i="401"/>
  <c r="AA87" i="401"/>
  <c r="AA88" i="401"/>
  <c r="AA89" i="401"/>
  <c r="AA90" i="401"/>
  <c r="AA91" i="401"/>
  <c r="AA92" i="401"/>
  <c r="AA93" i="401"/>
  <c r="AA94" i="401"/>
  <c r="AA95" i="401"/>
  <c r="AA96" i="401"/>
  <c r="AA97" i="401"/>
  <c r="AA98" i="401"/>
  <c r="AA99" i="401"/>
  <c r="AA100" i="401"/>
  <c r="AA101" i="401"/>
  <c r="AA102" i="401"/>
  <c r="AA103" i="401"/>
  <c r="AA104" i="401"/>
  <c r="Y69" i="401"/>
  <c r="Y70" i="401"/>
  <c r="Y71" i="401"/>
  <c r="Y72" i="401"/>
  <c r="Y73" i="401"/>
  <c r="Y74" i="401"/>
  <c r="Y75" i="401"/>
  <c r="Y76" i="401"/>
  <c r="Y77" i="401"/>
  <c r="Y78" i="401"/>
  <c r="Y79" i="401"/>
  <c r="Y80" i="401"/>
  <c r="Y81" i="401"/>
  <c r="Y82" i="401"/>
  <c r="Y83" i="401"/>
  <c r="Y84" i="401"/>
  <c r="Y85" i="401"/>
  <c r="Y86" i="401"/>
  <c r="Y87" i="401"/>
  <c r="Y88" i="401"/>
  <c r="Y89" i="401"/>
  <c r="Y90" i="401"/>
  <c r="Y91" i="401"/>
  <c r="Y92" i="401"/>
  <c r="Y93" i="401"/>
  <c r="Y94" i="401"/>
  <c r="Y95" i="401"/>
  <c r="Y96" i="401"/>
  <c r="Y97" i="401"/>
  <c r="Y98" i="401"/>
  <c r="Y99" i="401"/>
  <c r="Y100" i="401"/>
  <c r="Y101" i="401"/>
  <c r="Y102" i="401"/>
  <c r="Y103" i="401"/>
  <c r="Y104" i="401"/>
  <c r="X69" i="401"/>
  <c r="X70" i="401"/>
  <c r="X71" i="401"/>
  <c r="X72" i="401"/>
  <c r="X73" i="401"/>
  <c r="X74" i="401"/>
  <c r="X75" i="401"/>
  <c r="X76" i="401"/>
  <c r="X77" i="401"/>
  <c r="X78" i="401"/>
  <c r="X79" i="401"/>
  <c r="X80" i="401"/>
  <c r="X81" i="401"/>
  <c r="X82" i="401"/>
  <c r="X83" i="401"/>
  <c r="X84" i="401"/>
  <c r="X85" i="401"/>
  <c r="X86" i="401"/>
  <c r="X87" i="401"/>
  <c r="X88" i="401"/>
  <c r="X89" i="401"/>
  <c r="X90" i="401"/>
  <c r="X91" i="401"/>
  <c r="X92" i="401"/>
  <c r="X93" i="401"/>
  <c r="X94" i="401"/>
  <c r="X95" i="401"/>
  <c r="X96" i="401"/>
  <c r="X97" i="401"/>
  <c r="X98" i="401"/>
  <c r="X99" i="401"/>
  <c r="X100" i="401"/>
  <c r="X101" i="401"/>
  <c r="X102" i="401"/>
  <c r="X103" i="401"/>
  <c r="X104" i="401"/>
  <c r="P64" i="401"/>
  <c r="N64" i="401"/>
  <c r="P36" i="401"/>
  <c r="N36" i="401"/>
  <c r="P62" i="401"/>
  <c r="N62" i="401"/>
  <c r="L63" i="401"/>
  <c r="L64" i="401"/>
  <c r="L65" i="401"/>
  <c r="L66" i="401"/>
  <c r="L67" i="401"/>
  <c r="P9" i="399"/>
  <c r="N9" i="399"/>
  <c r="N13" i="399"/>
  <c r="T9" i="399"/>
  <c r="P11" i="399"/>
  <c r="N11" i="399"/>
  <c r="T11" i="399"/>
  <c r="L7" i="399"/>
  <c r="L8" i="399"/>
  <c r="L9" i="399"/>
  <c r="L10" i="399"/>
  <c r="L11" i="399"/>
  <c r="B5" i="14"/>
  <c r="B6" i="14"/>
  <c r="B17" i="14"/>
  <c r="L44" i="555"/>
  <c r="L45" i="555"/>
  <c r="L46" i="555"/>
  <c r="L47" i="555"/>
  <c r="L29" i="555"/>
  <c r="AB59" i="555"/>
  <c r="L21" i="524"/>
  <c r="L39" i="524"/>
  <c r="L40" i="524"/>
  <c r="L41" i="524"/>
  <c r="L42" i="524"/>
  <c r="L26" i="551"/>
  <c r="L6" i="551"/>
  <c r="L7" i="551"/>
  <c r="L8" i="551"/>
  <c r="L9" i="551"/>
  <c r="L10" i="551"/>
  <c r="J34" i="551"/>
  <c r="J35" i="551"/>
  <c r="I34" i="551"/>
  <c r="I35" i="551"/>
  <c r="K34" i="551"/>
  <c r="K35" i="551"/>
  <c r="H34" i="551"/>
  <c r="H35" i="551"/>
  <c r="F34" i="551"/>
  <c r="F35" i="551"/>
  <c r="G34" i="551"/>
  <c r="G35" i="551"/>
  <c r="M49" i="554"/>
  <c r="L43" i="524"/>
  <c r="L44" i="524"/>
  <c r="L45" i="524"/>
  <c r="L49" i="530"/>
  <c r="M29" i="554"/>
  <c r="N50" i="530"/>
  <c r="G67" i="550"/>
  <c r="G68" i="550"/>
  <c r="K67" i="550"/>
  <c r="K68" i="550"/>
  <c r="I67" i="550"/>
  <c r="I68" i="550"/>
  <c r="E67" i="550"/>
  <c r="E68" i="550"/>
  <c r="Q72" i="519"/>
  <c r="O72" i="519"/>
  <c r="U72" i="519"/>
  <c r="P10" i="406"/>
  <c r="N10" i="406"/>
  <c r="L7" i="406"/>
  <c r="P14" i="406"/>
  <c r="P11" i="406"/>
  <c r="N11" i="406"/>
  <c r="P7" i="406"/>
  <c r="N7" i="406"/>
  <c r="P8" i="406"/>
  <c r="N8" i="406"/>
  <c r="Z64" i="404"/>
  <c r="W64" i="404"/>
  <c r="AA64" i="404"/>
  <c r="Y64" i="404"/>
  <c r="U64" i="404"/>
  <c r="X64" i="404"/>
  <c r="V64" i="404"/>
  <c r="P56" i="549"/>
  <c r="N56" i="549"/>
  <c r="N62" i="549"/>
  <c r="P59" i="549"/>
  <c r="N59" i="549"/>
  <c r="P60" i="549"/>
  <c r="N60" i="549"/>
  <c r="P58" i="549"/>
  <c r="N58" i="549"/>
  <c r="P61" i="549"/>
  <c r="N61" i="549"/>
  <c r="P45" i="549"/>
  <c r="N45" i="549"/>
  <c r="L46" i="549"/>
  <c r="P53" i="549"/>
  <c r="N53" i="549"/>
  <c r="P47" i="549"/>
  <c r="N47" i="549"/>
  <c r="P49" i="549"/>
  <c r="N49" i="549"/>
  <c r="P51" i="549"/>
  <c r="N51" i="549"/>
  <c r="P52" i="549"/>
  <c r="N52" i="549"/>
  <c r="P50" i="549"/>
  <c r="N50" i="549"/>
  <c r="P46" i="549"/>
  <c r="N46" i="549"/>
  <c r="P10" i="401"/>
  <c r="N10" i="401"/>
  <c r="N67" i="526"/>
  <c r="L85" i="524"/>
  <c r="L86" i="524"/>
  <c r="L87" i="524"/>
  <c r="L88" i="524"/>
  <c r="L89" i="524"/>
  <c r="AB112" i="524"/>
  <c r="L50" i="530"/>
  <c r="L64" i="526"/>
  <c r="L65" i="526"/>
  <c r="L66" i="526"/>
  <c r="L67" i="526"/>
  <c r="T71" i="554"/>
  <c r="L41" i="543"/>
  <c r="L42" i="543"/>
  <c r="W73" i="554"/>
  <c r="W74" i="554"/>
  <c r="W75" i="554"/>
  <c r="W76" i="554"/>
  <c r="W77" i="554"/>
  <c r="W78" i="554"/>
  <c r="W79" i="554"/>
  <c r="W80" i="554"/>
  <c r="W81" i="554"/>
  <c r="W82" i="554"/>
  <c r="W83" i="554"/>
  <c r="W84" i="554"/>
  <c r="W85" i="554"/>
  <c r="W86" i="554"/>
  <c r="W87" i="554"/>
  <c r="W88" i="554"/>
  <c r="W89" i="554"/>
  <c r="W90" i="554"/>
  <c r="W91" i="554"/>
  <c r="W92" i="554"/>
  <c r="W93" i="554"/>
  <c r="W94" i="554"/>
  <c r="W95" i="554"/>
  <c r="W96" i="554"/>
  <c r="W97" i="554"/>
  <c r="W98" i="554"/>
  <c r="W99" i="554"/>
  <c r="W100" i="554"/>
  <c r="W101" i="554"/>
  <c r="W102" i="554"/>
  <c r="W103" i="554"/>
  <c r="W104" i="554"/>
  <c r="W105" i="554"/>
  <c r="W106" i="554"/>
  <c r="W107" i="554"/>
  <c r="W108" i="554"/>
  <c r="W109" i="554"/>
  <c r="W110" i="554"/>
  <c r="W111" i="554"/>
  <c r="W112" i="554"/>
  <c r="W113" i="554"/>
  <c r="W114" i="554"/>
  <c r="W115" i="554"/>
  <c r="W116" i="554"/>
  <c r="W117" i="554"/>
  <c r="W118" i="554"/>
  <c r="W119" i="554"/>
  <c r="W120" i="554"/>
  <c r="W121" i="554"/>
  <c r="W122" i="554"/>
  <c r="N76" i="526"/>
  <c r="L38" i="526"/>
  <c r="L39" i="526"/>
  <c r="L40" i="526"/>
  <c r="L41" i="526"/>
  <c r="L42" i="526"/>
  <c r="L43" i="526"/>
  <c r="O52" i="554"/>
  <c r="N21" i="526"/>
  <c r="M18" i="554"/>
  <c r="M19" i="554"/>
  <c r="M20" i="554"/>
  <c r="M21" i="554"/>
  <c r="M22" i="554"/>
  <c r="M23" i="554"/>
  <c r="M56" i="554"/>
  <c r="M57" i="554"/>
  <c r="M58" i="554"/>
  <c r="M59" i="554"/>
  <c r="M60" i="554"/>
  <c r="M61" i="554"/>
  <c r="M62" i="554"/>
  <c r="M63" i="554"/>
  <c r="M64" i="554"/>
  <c r="AA92" i="541"/>
  <c r="AA93" i="541"/>
  <c r="AA94" i="541"/>
  <c r="AA95" i="541"/>
  <c r="AA96" i="541"/>
  <c r="AA97" i="541"/>
  <c r="AA98" i="541"/>
  <c r="AA99" i="541"/>
  <c r="AA100" i="541"/>
  <c r="AA101" i="541"/>
  <c r="AA102" i="541"/>
  <c r="AA103" i="541"/>
  <c r="AA104" i="541"/>
  <c r="AA105" i="541"/>
  <c r="AA106" i="541"/>
  <c r="AA107" i="541"/>
  <c r="AA108" i="541"/>
  <c r="AA109" i="541"/>
  <c r="AA110" i="541"/>
  <c r="AA111" i="541"/>
  <c r="AA112" i="541"/>
  <c r="AA113" i="541"/>
  <c r="AA114" i="541"/>
  <c r="AA115" i="541"/>
  <c r="AA116" i="541"/>
  <c r="AA117" i="541"/>
  <c r="AA118" i="541"/>
  <c r="AA119" i="541"/>
  <c r="AA120" i="541"/>
  <c r="AA121" i="541"/>
  <c r="AA122" i="541"/>
  <c r="AA123" i="541"/>
  <c r="AA124" i="541"/>
  <c r="AA125" i="541"/>
  <c r="AA126" i="541"/>
  <c r="AA127" i="541"/>
  <c r="AA128" i="541"/>
  <c r="AA129" i="541"/>
  <c r="AA130" i="541"/>
  <c r="AA131" i="541"/>
  <c r="AA132" i="541"/>
  <c r="AA133" i="541"/>
  <c r="AA134" i="541"/>
  <c r="AA135" i="541"/>
  <c r="AA136" i="541"/>
  <c r="AA137" i="541"/>
  <c r="AA138" i="541"/>
  <c r="AA139" i="541"/>
  <c r="AA140" i="541"/>
  <c r="AA141" i="541"/>
  <c r="AA142" i="541"/>
  <c r="AA143" i="541"/>
  <c r="AA144" i="541"/>
  <c r="AA145" i="541"/>
  <c r="W92" i="541"/>
  <c r="W93" i="541"/>
  <c r="W94" i="541"/>
  <c r="W95" i="541"/>
  <c r="W96" i="541"/>
  <c r="W97" i="541"/>
  <c r="W98" i="541"/>
  <c r="W99" i="541"/>
  <c r="W100" i="541"/>
  <c r="W101" i="541"/>
  <c r="W102" i="541"/>
  <c r="W103" i="541"/>
  <c r="W104" i="541"/>
  <c r="W105" i="541"/>
  <c r="W106" i="541"/>
  <c r="W107" i="541"/>
  <c r="W108" i="541"/>
  <c r="W109" i="541"/>
  <c r="W110" i="541"/>
  <c r="W111" i="541"/>
  <c r="W112" i="541"/>
  <c r="W113" i="541"/>
  <c r="W114" i="541"/>
  <c r="W115" i="541"/>
  <c r="W116" i="541"/>
  <c r="W117" i="541"/>
  <c r="W118" i="541"/>
  <c r="W119" i="541"/>
  <c r="W120" i="541"/>
  <c r="W121" i="541"/>
  <c r="W122" i="541"/>
  <c r="W123" i="541"/>
  <c r="W124" i="541"/>
  <c r="W125" i="541"/>
  <c r="W126" i="541"/>
  <c r="W127" i="541"/>
  <c r="W128" i="541"/>
  <c r="W129" i="541"/>
  <c r="W130" i="541"/>
  <c r="W131" i="541"/>
  <c r="W132" i="541"/>
  <c r="W133" i="541"/>
  <c r="W134" i="541"/>
  <c r="W135" i="541"/>
  <c r="W136" i="541"/>
  <c r="W137" i="541"/>
  <c r="W138" i="541"/>
  <c r="W139" i="541"/>
  <c r="W140" i="541"/>
  <c r="W141" i="541"/>
  <c r="W142" i="541"/>
  <c r="W143" i="541"/>
  <c r="W144" i="541"/>
  <c r="W145" i="541"/>
  <c r="U39" i="467"/>
  <c r="U40" i="467"/>
  <c r="U41" i="467"/>
  <c r="U42" i="467"/>
  <c r="U43" i="467"/>
  <c r="U44" i="467"/>
  <c r="U45" i="467"/>
  <c r="U46" i="467"/>
  <c r="U47" i="467"/>
  <c r="U48" i="467"/>
  <c r="U49" i="467"/>
  <c r="U50" i="467"/>
  <c r="U51" i="467"/>
  <c r="U52" i="467"/>
  <c r="U53" i="467"/>
  <c r="U54" i="467"/>
  <c r="U55" i="467"/>
  <c r="U56" i="467"/>
  <c r="U57" i="467"/>
  <c r="U58" i="467"/>
  <c r="U59" i="467"/>
  <c r="U60" i="467"/>
  <c r="U61" i="467"/>
  <c r="U62" i="467"/>
  <c r="U63" i="467"/>
  <c r="U64" i="467"/>
  <c r="U65" i="467"/>
  <c r="U66" i="467"/>
  <c r="U67" i="467"/>
  <c r="U68" i="467"/>
  <c r="U69" i="467"/>
  <c r="U70" i="467"/>
  <c r="U71" i="467"/>
  <c r="U72" i="467"/>
  <c r="U73" i="467"/>
  <c r="U74" i="467"/>
  <c r="U75" i="467"/>
  <c r="U92" i="541"/>
  <c r="U93" i="541"/>
  <c r="U94" i="541"/>
  <c r="U95" i="541"/>
  <c r="U96" i="541"/>
  <c r="U97" i="541"/>
  <c r="U98" i="541"/>
  <c r="U99" i="541"/>
  <c r="U100" i="541"/>
  <c r="U101" i="541"/>
  <c r="U102" i="541"/>
  <c r="U103" i="541"/>
  <c r="U104" i="541"/>
  <c r="U105" i="541"/>
  <c r="U106" i="541"/>
  <c r="U107" i="541"/>
  <c r="U108" i="541"/>
  <c r="U109" i="541"/>
  <c r="U110" i="541"/>
  <c r="U111" i="541"/>
  <c r="U112" i="541"/>
  <c r="U113" i="541"/>
  <c r="U114" i="541"/>
  <c r="U115" i="541"/>
  <c r="U116" i="541"/>
  <c r="U117" i="541"/>
  <c r="U118" i="541"/>
  <c r="U119" i="541"/>
  <c r="U120" i="541"/>
  <c r="U121" i="541"/>
  <c r="U122" i="541"/>
  <c r="U123" i="541"/>
  <c r="U124" i="541"/>
  <c r="U125" i="541"/>
  <c r="U126" i="541"/>
  <c r="U127" i="541"/>
  <c r="U128" i="541"/>
  <c r="U129" i="541"/>
  <c r="U130" i="541"/>
  <c r="U131" i="541"/>
  <c r="U132" i="541"/>
  <c r="U133" i="541"/>
  <c r="U134" i="541"/>
  <c r="U135" i="541"/>
  <c r="U136" i="541"/>
  <c r="U137" i="541"/>
  <c r="U138" i="541"/>
  <c r="U139" i="541"/>
  <c r="U140" i="541"/>
  <c r="U141" i="541"/>
  <c r="U142" i="541"/>
  <c r="U143" i="541"/>
  <c r="U144" i="541"/>
  <c r="U145" i="541"/>
  <c r="Y92" i="541"/>
  <c r="Y93" i="541"/>
  <c r="Y94" i="541"/>
  <c r="Y95" i="541"/>
  <c r="Y96" i="541"/>
  <c r="Y97" i="541"/>
  <c r="Y98" i="541"/>
  <c r="Y99" i="541"/>
  <c r="Y100" i="541"/>
  <c r="Y101" i="541"/>
  <c r="Y102" i="541"/>
  <c r="Y103" i="541"/>
  <c r="Y104" i="541"/>
  <c r="Y105" i="541"/>
  <c r="Y106" i="541"/>
  <c r="Y107" i="541"/>
  <c r="Y108" i="541"/>
  <c r="Y109" i="541"/>
  <c r="Y110" i="541"/>
  <c r="Y111" i="541"/>
  <c r="Y112" i="541"/>
  <c r="Y113" i="541"/>
  <c r="Y114" i="541"/>
  <c r="Y115" i="541"/>
  <c r="Y116" i="541"/>
  <c r="Y117" i="541"/>
  <c r="Y118" i="541"/>
  <c r="Y119" i="541"/>
  <c r="Y120" i="541"/>
  <c r="Y121" i="541"/>
  <c r="Y122" i="541"/>
  <c r="Y123" i="541"/>
  <c r="Y124" i="541"/>
  <c r="Y125" i="541"/>
  <c r="Y126" i="541"/>
  <c r="Y127" i="541"/>
  <c r="Y128" i="541"/>
  <c r="Y129" i="541"/>
  <c r="Y130" i="541"/>
  <c r="Y131" i="541"/>
  <c r="Y132" i="541"/>
  <c r="Y133" i="541"/>
  <c r="Y134" i="541"/>
  <c r="Y135" i="541"/>
  <c r="Y136" i="541"/>
  <c r="Y137" i="541"/>
  <c r="Y138" i="541"/>
  <c r="Y139" i="541"/>
  <c r="Y140" i="541"/>
  <c r="Y141" i="541"/>
  <c r="Y142" i="541"/>
  <c r="Y143" i="541"/>
  <c r="Y144" i="541"/>
  <c r="Y145" i="541"/>
  <c r="L76" i="541"/>
  <c r="U79" i="518"/>
  <c r="Z79" i="518"/>
  <c r="AA73" i="544"/>
  <c r="AA74" i="544"/>
  <c r="AA75" i="544"/>
  <c r="AA76" i="544"/>
  <c r="AA77" i="544"/>
  <c r="AA78" i="544"/>
  <c r="AA79" i="544"/>
  <c r="AA80" i="544"/>
  <c r="AA81" i="544"/>
  <c r="AA82" i="544"/>
  <c r="AA83" i="544"/>
  <c r="AA84" i="544"/>
  <c r="AA85" i="544"/>
  <c r="AA86" i="544"/>
  <c r="AA87" i="544"/>
  <c r="AA88" i="544"/>
  <c r="AA89" i="544"/>
  <c r="AA90" i="544"/>
  <c r="AA91" i="544"/>
  <c r="AA92" i="544"/>
  <c r="AA93" i="544"/>
  <c r="AA94" i="544"/>
  <c r="AA95" i="544"/>
  <c r="AA96" i="544"/>
  <c r="AA97" i="544"/>
  <c r="AA98" i="544"/>
  <c r="AA99" i="544"/>
  <c r="AA100" i="544"/>
  <c r="AA101" i="544"/>
  <c r="AA102" i="544"/>
  <c r="AA103" i="544"/>
  <c r="AA104" i="544"/>
  <c r="AA105" i="544"/>
  <c r="AA106" i="544"/>
  <c r="AA107" i="544"/>
  <c r="AA108" i="544"/>
  <c r="AA109" i="544"/>
  <c r="W73" i="544"/>
  <c r="W74" i="544"/>
  <c r="W75" i="544"/>
  <c r="W76" i="544"/>
  <c r="W77" i="544"/>
  <c r="W78" i="544"/>
  <c r="W79" i="544"/>
  <c r="W80" i="544"/>
  <c r="W81" i="544"/>
  <c r="W82" i="544"/>
  <c r="W83" i="544"/>
  <c r="W84" i="544"/>
  <c r="W85" i="544"/>
  <c r="W86" i="544"/>
  <c r="W87" i="544"/>
  <c r="W88" i="544"/>
  <c r="W89" i="544"/>
  <c r="W90" i="544"/>
  <c r="W91" i="544"/>
  <c r="W92" i="544"/>
  <c r="W93" i="544"/>
  <c r="W94" i="544"/>
  <c r="W95" i="544"/>
  <c r="W96" i="544"/>
  <c r="W97" i="544"/>
  <c r="W98" i="544"/>
  <c r="W99" i="544"/>
  <c r="W100" i="544"/>
  <c r="W101" i="544"/>
  <c r="W102" i="544"/>
  <c r="W103" i="544"/>
  <c r="W104" i="544"/>
  <c r="W105" i="544"/>
  <c r="W106" i="544"/>
  <c r="W107" i="544"/>
  <c r="W108" i="544"/>
  <c r="W109" i="544"/>
  <c r="AA78" i="540"/>
  <c r="AA79" i="540"/>
  <c r="AA80" i="540"/>
  <c r="AA81" i="540"/>
  <c r="AA82" i="540"/>
  <c r="AA83" i="540"/>
  <c r="AA84" i="540"/>
  <c r="AA85" i="540"/>
  <c r="AA86" i="540"/>
  <c r="AA87" i="540"/>
  <c r="AA88" i="540"/>
  <c r="AA89" i="540"/>
  <c r="AA90" i="540"/>
  <c r="AA91" i="540"/>
  <c r="AA92" i="540"/>
  <c r="AA93" i="540"/>
  <c r="AA94" i="540"/>
  <c r="AA95" i="540"/>
  <c r="AA96" i="540"/>
  <c r="AA97" i="540"/>
  <c r="AA98" i="540"/>
  <c r="AA99" i="540"/>
  <c r="AA100" i="540"/>
  <c r="AA101" i="540"/>
  <c r="AA102" i="540"/>
  <c r="AA103" i="540"/>
  <c r="AA104" i="540"/>
  <c r="AA105" i="540"/>
  <c r="AA106" i="540"/>
  <c r="AA107" i="540"/>
  <c r="AA108" i="540"/>
  <c r="AA109" i="540"/>
  <c r="AA110" i="540"/>
  <c r="AA111" i="540"/>
  <c r="AA112" i="540"/>
  <c r="AA113" i="540"/>
  <c r="AA114" i="540"/>
  <c r="AA115" i="540"/>
  <c r="AA116" i="540"/>
  <c r="AA117" i="540"/>
  <c r="AA118" i="540"/>
  <c r="AA119" i="540"/>
  <c r="AA120" i="540"/>
  <c r="AA121" i="540"/>
  <c r="AA122" i="540"/>
  <c r="AA123" i="540"/>
  <c r="AA124" i="540"/>
  <c r="AA125" i="540"/>
  <c r="AA126" i="540"/>
  <c r="AA127" i="540"/>
  <c r="AA128" i="540"/>
  <c r="AA129" i="540"/>
  <c r="V78" i="540"/>
  <c r="V79" i="540"/>
  <c r="V80" i="540"/>
  <c r="V81" i="540"/>
  <c r="V82" i="540"/>
  <c r="V83" i="540"/>
  <c r="V84" i="540"/>
  <c r="V85" i="540"/>
  <c r="V86" i="540"/>
  <c r="V87" i="540"/>
  <c r="V88" i="540"/>
  <c r="V89" i="540"/>
  <c r="V90" i="540"/>
  <c r="V91" i="540"/>
  <c r="V92" i="540"/>
  <c r="V93" i="540"/>
  <c r="V94" i="540"/>
  <c r="V95" i="540"/>
  <c r="V96" i="540"/>
  <c r="V97" i="540"/>
  <c r="V98" i="540"/>
  <c r="V99" i="540"/>
  <c r="V100" i="540"/>
  <c r="V101" i="540"/>
  <c r="V102" i="540"/>
  <c r="V103" i="540"/>
  <c r="V104" i="540"/>
  <c r="V105" i="540"/>
  <c r="V106" i="540"/>
  <c r="V107" i="540"/>
  <c r="V108" i="540"/>
  <c r="V109" i="540"/>
  <c r="V110" i="540"/>
  <c r="V111" i="540"/>
  <c r="V112" i="540"/>
  <c r="V113" i="540"/>
  <c r="V114" i="540"/>
  <c r="V115" i="540"/>
  <c r="V116" i="540"/>
  <c r="V117" i="540"/>
  <c r="V118" i="540"/>
  <c r="V119" i="540"/>
  <c r="V120" i="540"/>
  <c r="V121" i="540"/>
  <c r="V122" i="540"/>
  <c r="V123" i="540"/>
  <c r="V124" i="540"/>
  <c r="V125" i="540"/>
  <c r="V126" i="540"/>
  <c r="V127" i="540"/>
  <c r="V128" i="540"/>
  <c r="V129" i="540"/>
  <c r="V39" i="467"/>
  <c r="V40" i="467"/>
  <c r="V41" i="467"/>
  <c r="V42" i="467"/>
  <c r="V43" i="467"/>
  <c r="V44" i="467"/>
  <c r="V45" i="467"/>
  <c r="V46" i="467"/>
  <c r="V47" i="467"/>
  <c r="V48" i="467"/>
  <c r="V49" i="467"/>
  <c r="V50" i="467"/>
  <c r="V51" i="467"/>
  <c r="V52" i="467"/>
  <c r="V53" i="467"/>
  <c r="V54" i="467"/>
  <c r="V55" i="467"/>
  <c r="V56" i="467"/>
  <c r="V57" i="467"/>
  <c r="V58" i="467"/>
  <c r="V59" i="467"/>
  <c r="V60" i="467"/>
  <c r="V61" i="467"/>
  <c r="V62" i="467"/>
  <c r="V63" i="467"/>
  <c r="V64" i="467"/>
  <c r="V65" i="467"/>
  <c r="V66" i="467"/>
  <c r="V67" i="467"/>
  <c r="V68" i="467"/>
  <c r="V69" i="467"/>
  <c r="V70" i="467"/>
  <c r="V71" i="467"/>
  <c r="V72" i="467"/>
  <c r="V73" i="467"/>
  <c r="V74" i="467"/>
  <c r="V75" i="467"/>
  <c r="AA39" i="467"/>
  <c r="AA40" i="467"/>
  <c r="AA41" i="467"/>
  <c r="AA42" i="467"/>
  <c r="AA43" i="467"/>
  <c r="AA44" i="467"/>
  <c r="AA45" i="467"/>
  <c r="AA46" i="467"/>
  <c r="AA47" i="467"/>
  <c r="AA48" i="467"/>
  <c r="AA49" i="467"/>
  <c r="AA50" i="467"/>
  <c r="AA51" i="467"/>
  <c r="AA52" i="467"/>
  <c r="AA53" i="467"/>
  <c r="AA54" i="467"/>
  <c r="AA55" i="467"/>
  <c r="AA56" i="467"/>
  <c r="AA57" i="467"/>
  <c r="AA58" i="467"/>
  <c r="AA59" i="467"/>
  <c r="AA60" i="467"/>
  <c r="AA61" i="467"/>
  <c r="AA62" i="467"/>
  <c r="AA63" i="467"/>
  <c r="AA64" i="467"/>
  <c r="AA65" i="467"/>
  <c r="AA66" i="467"/>
  <c r="AA67" i="467"/>
  <c r="AA68" i="467"/>
  <c r="AA69" i="467"/>
  <c r="AA70" i="467"/>
  <c r="AA71" i="467"/>
  <c r="AA72" i="467"/>
  <c r="AA73" i="467"/>
  <c r="AA74" i="467"/>
  <c r="AA75" i="467"/>
  <c r="I29" i="38"/>
  <c r="X39" i="467"/>
  <c r="X40" i="467"/>
  <c r="X41" i="467"/>
  <c r="X42" i="467"/>
  <c r="X43" i="467"/>
  <c r="X44" i="467"/>
  <c r="X45" i="467"/>
  <c r="X46" i="467"/>
  <c r="X47" i="467"/>
  <c r="X48" i="467"/>
  <c r="X49" i="467"/>
  <c r="X50" i="467"/>
  <c r="X51" i="467"/>
  <c r="X52" i="467"/>
  <c r="X53" i="467"/>
  <c r="X54" i="467"/>
  <c r="X55" i="467"/>
  <c r="X56" i="467"/>
  <c r="X57" i="467"/>
  <c r="X58" i="467"/>
  <c r="X59" i="467"/>
  <c r="X60" i="467"/>
  <c r="X61" i="467"/>
  <c r="X62" i="467"/>
  <c r="X63" i="467"/>
  <c r="X64" i="467"/>
  <c r="X65" i="467"/>
  <c r="X66" i="467"/>
  <c r="X67" i="467"/>
  <c r="X68" i="467"/>
  <c r="X69" i="467"/>
  <c r="X70" i="467"/>
  <c r="X71" i="467"/>
  <c r="X72" i="467"/>
  <c r="X73" i="467"/>
  <c r="X74" i="467"/>
  <c r="X75" i="467"/>
  <c r="Y73" i="544"/>
  <c r="Y74" i="544"/>
  <c r="Y75" i="544"/>
  <c r="Y76" i="544"/>
  <c r="Y77" i="544"/>
  <c r="Y78" i="544"/>
  <c r="Y79" i="544"/>
  <c r="Y80" i="544"/>
  <c r="Y81" i="544"/>
  <c r="Y82" i="544"/>
  <c r="Y83" i="544"/>
  <c r="Y84" i="544"/>
  <c r="Y85" i="544"/>
  <c r="Y86" i="544"/>
  <c r="Y87" i="544"/>
  <c r="Y88" i="544"/>
  <c r="Y89" i="544"/>
  <c r="Y90" i="544"/>
  <c r="Y91" i="544"/>
  <c r="Y92" i="544"/>
  <c r="Y93" i="544"/>
  <c r="Y94" i="544"/>
  <c r="Y95" i="544"/>
  <c r="Y96" i="544"/>
  <c r="Y97" i="544"/>
  <c r="Y98" i="544"/>
  <c r="Y99" i="544"/>
  <c r="Y100" i="544"/>
  <c r="Y101" i="544"/>
  <c r="Y102" i="544"/>
  <c r="Y103" i="544"/>
  <c r="Y104" i="544"/>
  <c r="Y105" i="544"/>
  <c r="Y106" i="544"/>
  <c r="Y107" i="544"/>
  <c r="Y108" i="544"/>
  <c r="Y109" i="544"/>
  <c r="V21" i="481"/>
  <c r="X78" i="540"/>
  <c r="X79" i="540"/>
  <c r="X80" i="540"/>
  <c r="X81" i="540"/>
  <c r="X82" i="540"/>
  <c r="X83" i="540"/>
  <c r="X84" i="540"/>
  <c r="X85" i="540"/>
  <c r="X86" i="540"/>
  <c r="X87" i="540"/>
  <c r="X88" i="540"/>
  <c r="X89" i="540"/>
  <c r="X90" i="540"/>
  <c r="X91" i="540"/>
  <c r="X92" i="540"/>
  <c r="X93" i="540"/>
  <c r="X94" i="540"/>
  <c r="X95" i="540"/>
  <c r="X96" i="540"/>
  <c r="X97" i="540"/>
  <c r="X98" i="540"/>
  <c r="X99" i="540"/>
  <c r="X100" i="540"/>
  <c r="X101" i="540"/>
  <c r="X102" i="540"/>
  <c r="X103" i="540"/>
  <c r="X104" i="540"/>
  <c r="X105" i="540"/>
  <c r="X106" i="540"/>
  <c r="X107" i="540"/>
  <c r="X108" i="540"/>
  <c r="X109" i="540"/>
  <c r="X110" i="540"/>
  <c r="X111" i="540"/>
  <c r="X112" i="540"/>
  <c r="X113" i="540"/>
  <c r="X114" i="540"/>
  <c r="X115" i="540"/>
  <c r="X116" i="540"/>
  <c r="X117" i="540"/>
  <c r="X118" i="540"/>
  <c r="X119" i="540"/>
  <c r="X120" i="540"/>
  <c r="X121" i="540"/>
  <c r="X122" i="540"/>
  <c r="X123" i="540"/>
  <c r="X124" i="540"/>
  <c r="X125" i="540"/>
  <c r="X126" i="540"/>
  <c r="X127" i="540"/>
  <c r="X128" i="540"/>
  <c r="X129" i="540"/>
  <c r="Z78" i="540"/>
  <c r="Z79" i="540"/>
  <c r="Z80" i="540"/>
  <c r="Z81" i="540"/>
  <c r="Z82" i="540"/>
  <c r="Z83" i="540"/>
  <c r="Z84" i="540"/>
  <c r="Z85" i="540"/>
  <c r="Z86" i="540"/>
  <c r="Z87" i="540"/>
  <c r="Z88" i="540"/>
  <c r="Z89" i="540"/>
  <c r="Z90" i="540"/>
  <c r="Z91" i="540"/>
  <c r="Z92" i="540"/>
  <c r="Z93" i="540"/>
  <c r="Z94" i="540"/>
  <c r="Z95" i="540"/>
  <c r="Z96" i="540"/>
  <c r="Z97" i="540"/>
  <c r="Z98" i="540"/>
  <c r="Z99" i="540"/>
  <c r="Z100" i="540"/>
  <c r="Z101" i="540"/>
  <c r="Z102" i="540"/>
  <c r="Z103" i="540"/>
  <c r="Z104" i="540"/>
  <c r="Z105" i="540"/>
  <c r="Z106" i="540"/>
  <c r="Z107" i="540"/>
  <c r="Z108" i="540"/>
  <c r="Z109" i="540"/>
  <c r="Z110" i="540"/>
  <c r="Z111" i="540"/>
  <c r="Z112" i="540"/>
  <c r="Z113" i="540"/>
  <c r="Z114" i="540"/>
  <c r="Z115" i="540"/>
  <c r="Z116" i="540"/>
  <c r="Z117" i="540"/>
  <c r="Z118" i="540"/>
  <c r="Z119" i="540"/>
  <c r="Z120" i="540"/>
  <c r="Z121" i="540"/>
  <c r="Z122" i="540"/>
  <c r="Z123" i="540"/>
  <c r="Z124" i="540"/>
  <c r="Z125" i="540"/>
  <c r="Z126" i="540"/>
  <c r="Z127" i="540"/>
  <c r="Z128" i="540"/>
  <c r="Z129" i="540"/>
  <c r="W39" i="467"/>
  <c r="W40" i="467"/>
  <c r="W41" i="467"/>
  <c r="W42" i="467"/>
  <c r="W43" i="467"/>
  <c r="W44" i="467"/>
  <c r="W45" i="467"/>
  <c r="W46" i="467"/>
  <c r="W47" i="467"/>
  <c r="W48" i="467"/>
  <c r="W49" i="467"/>
  <c r="W50" i="467"/>
  <c r="W51" i="467"/>
  <c r="W52" i="467"/>
  <c r="W53" i="467"/>
  <c r="W54" i="467"/>
  <c r="W55" i="467"/>
  <c r="W56" i="467"/>
  <c r="W57" i="467"/>
  <c r="W58" i="467"/>
  <c r="W59" i="467"/>
  <c r="W60" i="467"/>
  <c r="W61" i="467"/>
  <c r="W62" i="467"/>
  <c r="W63" i="467"/>
  <c r="W64" i="467"/>
  <c r="W65" i="467"/>
  <c r="W66" i="467"/>
  <c r="W67" i="467"/>
  <c r="W68" i="467"/>
  <c r="W69" i="467"/>
  <c r="W70" i="467"/>
  <c r="W71" i="467"/>
  <c r="W72" i="467"/>
  <c r="W73" i="467"/>
  <c r="W74" i="467"/>
  <c r="W75" i="467"/>
  <c r="N28" i="467"/>
  <c r="L29" i="467"/>
  <c r="L30" i="467"/>
  <c r="L31" i="467"/>
  <c r="P31" i="467"/>
  <c r="N33" i="404"/>
  <c r="L30" i="404"/>
  <c r="L32" i="404"/>
  <c r="L33" i="404"/>
  <c r="X73" i="544"/>
  <c r="X74" i="544"/>
  <c r="X75" i="544"/>
  <c r="X76" i="544"/>
  <c r="X77" i="544"/>
  <c r="X78" i="544"/>
  <c r="X79" i="544"/>
  <c r="X80" i="544"/>
  <c r="X81" i="544"/>
  <c r="X82" i="544"/>
  <c r="X83" i="544"/>
  <c r="X84" i="544"/>
  <c r="X85" i="544"/>
  <c r="X86" i="544"/>
  <c r="X87" i="544"/>
  <c r="X88" i="544"/>
  <c r="X89" i="544"/>
  <c r="X90" i="544"/>
  <c r="X91" i="544"/>
  <c r="X92" i="544"/>
  <c r="X93" i="544"/>
  <c r="X94" i="544"/>
  <c r="X95" i="544"/>
  <c r="X96" i="544"/>
  <c r="X97" i="544"/>
  <c r="X98" i="544"/>
  <c r="X99" i="544"/>
  <c r="X100" i="544"/>
  <c r="X101" i="544"/>
  <c r="X102" i="544"/>
  <c r="X103" i="544"/>
  <c r="X104" i="544"/>
  <c r="X105" i="544"/>
  <c r="X106" i="544"/>
  <c r="X107" i="544"/>
  <c r="X108" i="544"/>
  <c r="X109" i="544"/>
  <c r="U73" i="544"/>
  <c r="U74" i="544"/>
  <c r="U75" i="544"/>
  <c r="U76" i="544"/>
  <c r="U77" i="544"/>
  <c r="U78" i="544"/>
  <c r="U79" i="544"/>
  <c r="U80" i="544"/>
  <c r="U81" i="544"/>
  <c r="U82" i="544"/>
  <c r="U83" i="544"/>
  <c r="U84" i="544"/>
  <c r="U85" i="544"/>
  <c r="U86" i="544"/>
  <c r="U87" i="544"/>
  <c r="U88" i="544"/>
  <c r="U89" i="544"/>
  <c r="U90" i="544"/>
  <c r="U91" i="544"/>
  <c r="U92" i="544"/>
  <c r="U93" i="544"/>
  <c r="U94" i="544"/>
  <c r="U95" i="544"/>
  <c r="U96" i="544"/>
  <c r="U97" i="544"/>
  <c r="U98" i="544"/>
  <c r="U99" i="544"/>
  <c r="U100" i="544"/>
  <c r="U101" i="544"/>
  <c r="U102" i="544"/>
  <c r="U103" i="544"/>
  <c r="U104" i="544"/>
  <c r="U105" i="544"/>
  <c r="U106" i="544"/>
  <c r="U107" i="544"/>
  <c r="U108" i="544"/>
  <c r="U109" i="544"/>
  <c r="Z21" i="481"/>
  <c r="U78" i="540"/>
  <c r="U79" i="540"/>
  <c r="U80" i="540"/>
  <c r="U81" i="540"/>
  <c r="U82" i="540"/>
  <c r="U83" i="540"/>
  <c r="U84" i="540"/>
  <c r="U85" i="540"/>
  <c r="U86" i="540"/>
  <c r="U87" i="540"/>
  <c r="U88" i="540"/>
  <c r="U89" i="540"/>
  <c r="U90" i="540"/>
  <c r="U91" i="540"/>
  <c r="U92" i="540"/>
  <c r="U93" i="540"/>
  <c r="U94" i="540"/>
  <c r="U95" i="540"/>
  <c r="U96" i="540"/>
  <c r="U97" i="540"/>
  <c r="U98" i="540"/>
  <c r="U99" i="540"/>
  <c r="U100" i="540"/>
  <c r="U101" i="540"/>
  <c r="U102" i="540"/>
  <c r="U103" i="540"/>
  <c r="U104" i="540"/>
  <c r="U105" i="540"/>
  <c r="U106" i="540"/>
  <c r="U107" i="540"/>
  <c r="U108" i="540"/>
  <c r="U109" i="540"/>
  <c r="U110" i="540"/>
  <c r="U111" i="540"/>
  <c r="U112" i="540"/>
  <c r="U113" i="540"/>
  <c r="U114" i="540"/>
  <c r="U115" i="540"/>
  <c r="U116" i="540"/>
  <c r="U117" i="540"/>
  <c r="U118" i="540"/>
  <c r="U119" i="540"/>
  <c r="U120" i="540"/>
  <c r="U121" i="540"/>
  <c r="U122" i="540"/>
  <c r="U123" i="540"/>
  <c r="U124" i="540"/>
  <c r="U125" i="540"/>
  <c r="U126" i="540"/>
  <c r="U127" i="540"/>
  <c r="U128" i="540"/>
  <c r="U129" i="540"/>
  <c r="W78" i="540"/>
  <c r="W79" i="540"/>
  <c r="W80" i="540"/>
  <c r="W81" i="540"/>
  <c r="W82" i="540"/>
  <c r="W83" i="540"/>
  <c r="W84" i="540"/>
  <c r="W85" i="540"/>
  <c r="W86" i="540"/>
  <c r="W87" i="540"/>
  <c r="W88" i="540"/>
  <c r="W89" i="540"/>
  <c r="W90" i="540"/>
  <c r="W91" i="540"/>
  <c r="W92" i="540"/>
  <c r="W93" i="540"/>
  <c r="W94" i="540"/>
  <c r="W95" i="540"/>
  <c r="W96" i="540"/>
  <c r="W97" i="540"/>
  <c r="W98" i="540"/>
  <c r="W99" i="540"/>
  <c r="W100" i="540"/>
  <c r="W101" i="540"/>
  <c r="W102" i="540"/>
  <c r="W103" i="540"/>
  <c r="W104" i="540"/>
  <c r="W105" i="540"/>
  <c r="W106" i="540"/>
  <c r="W107" i="540"/>
  <c r="W108" i="540"/>
  <c r="W109" i="540"/>
  <c r="W110" i="540"/>
  <c r="W111" i="540"/>
  <c r="W112" i="540"/>
  <c r="W113" i="540"/>
  <c r="W114" i="540"/>
  <c r="W115" i="540"/>
  <c r="W116" i="540"/>
  <c r="W117" i="540"/>
  <c r="W118" i="540"/>
  <c r="W119" i="540"/>
  <c r="W120" i="540"/>
  <c r="W121" i="540"/>
  <c r="W122" i="540"/>
  <c r="W123" i="540"/>
  <c r="W124" i="540"/>
  <c r="W125" i="540"/>
  <c r="W126" i="540"/>
  <c r="W127" i="540"/>
  <c r="W128" i="540"/>
  <c r="W129" i="540"/>
  <c r="Y39" i="467"/>
  <c r="Y40" i="467"/>
  <c r="Y41" i="467"/>
  <c r="Y42" i="467"/>
  <c r="Y43" i="467"/>
  <c r="Y44" i="467"/>
  <c r="Y45" i="467"/>
  <c r="Y46" i="467"/>
  <c r="Y47" i="467"/>
  <c r="Y48" i="467"/>
  <c r="Y49" i="467"/>
  <c r="Y50" i="467"/>
  <c r="Y51" i="467"/>
  <c r="Y52" i="467"/>
  <c r="Y53" i="467"/>
  <c r="Y54" i="467"/>
  <c r="Y55" i="467"/>
  <c r="Y56" i="467"/>
  <c r="Y57" i="467"/>
  <c r="Y58" i="467"/>
  <c r="Y59" i="467"/>
  <c r="Y60" i="467"/>
  <c r="Y61" i="467"/>
  <c r="Y62" i="467"/>
  <c r="Y63" i="467"/>
  <c r="Y64" i="467"/>
  <c r="Y65" i="467"/>
  <c r="Y66" i="467"/>
  <c r="Y67" i="467"/>
  <c r="Y68" i="467"/>
  <c r="Y69" i="467"/>
  <c r="Y70" i="467"/>
  <c r="Y71" i="467"/>
  <c r="Y72" i="467"/>
  <c r="Y73" i="467"/>
  <c r="Y74" i="467"/>
  <c r="Y75" i="467"/>
  <c r="E29" i="38"/>
  <c r="L31" i="404"/>
  <c r="T8" i="525"/>
  <c r="P8" i="525"/>
  <c r="N8" i="525"/>
  <c r="T33" i="525"/>
  <c r="P33" i="525"/>
  <c r="N33" i="525"/>
  <c r="T15" i="518"/>
  <c r="P15" i="518"/>
  <c r="N15" i="518"/>
  <c r="Y79" i="518"/>
  <c r="AA79" i="518"/>
  <c r="T64" i="546"/>
  <c r="P64" i="546"/>
  <c r="N64" i="546"/>
  <c r="P28" i="525"/>
  <c r="N28" i="525"/>
  <c r="T28" i="525"/>
  <c r="P7" i="525"/>
  <c r="N7" i="525"/>
  <c r="T7" i="525"/>
  <c r="P43" i="544"/>
  <c r="N43" i="544"/>
  <c r="T43" i="544"/>
  <c r="P44" i="406"/>
  <c r="T38" i="404"/>
  <c r="P38" i="404"/>
  <c r="N38" i="404"/>
  <c r="P21" i="404"/>
  <c r="N21" i="404"/>
  <c r="T21" i="404"/>
  <c r="T17" i="545"/>
  <c r="P17" i="545"/>
  <c r="N17" i="545"/>
  <c r="P49" i="406"/>
  <c r="N49" i="406"/>
  <c r="T27" i="518"/>
  <c r="P27" i="518"/>
  <c r="N27" i="518"/>
  <c r="P6" i="407"/>
  <c r="N6" i="407"/>
  <c r="T19" i="518"/>
  <c r="P19" i="518"/>
  <c r="N19" i="518"/>
  <c r="T75" i="518"/>
  <c r="P75" i="518"/>
  <c r="N75" i="518"/>
  <c r="T56" i="546"/>
  <c r="P56" i="546"/>
  <c r="N56" i="546"/>
  <c r="P78" i="546"/>
  <c r="N78" i="546"/>
  <c r="T78" i="546"/>
  <c r="T78" i="518"/>
  <c r="P78" i="518"/>
  <c r="N78" i="518"/>
  <c r="P42" i="545"/>
  <c r="N42" i="545"/>
  <c r="T42" i="545"/>
  <c r="T43" i="546"/>
  <c r="P43" i="546"/>
  <c r="N43" i="546"/>
  <c r="T11" i="525"/>
  <c r="P11" i="525"/>
  <c r="N11" i="525"/>
  <c r="T42" i="518"/>
  <c r="P42" i="518"/>
  <c r="N42" i="518"/>
  <c r="L43" i="518"/>
  <c r="P26" i="545"/>
  <c r="N26" i="545"/>
  <c r="T26" i="545"/>
  <c r="P29" i="545"/>
  <c r="N29" i="545"/>
  <c r="L30" i="545"/>
  <c r="T29" i="545"/>
  <c r="T35" i="525"/>
  <c r="P35" i="525"/>
  <c r="N35" i="525"/>
  <c r="P37" i="525"/>
  <c r="N37" i="525"/>
  <c r="T37" i="525"/>
  <c r="P27" i="525"/>
  <c r="N27" i="525"/>
  <c r="T27" i="525"/>
  <c r="T42" i="546"/>
  <c r="P42" i="546"/>
  <c r="N42" i="546"/>
  <c r="P48" i="546"/>
  <c r="N48" i="546"/>
  <c r="T48" i="546"/>
  <c r="T47" i="545"/>
  <c r="P47" i="545"/>
  <c r="N47" i="545"/>
  <c r="X21" i="481"/>
  <c r="W21" i="481"/>
  <c r="T61" i="399"/>
  <c r="P23" i="549"/>
  <c r="N23" i="549"/>
  <c r="P6" i="401"/>
  <c r="N6" i="401"/>
  <c r="T6" i="401"/>
  <c r="P8" i="549"/>
  <c r="N8" i="549"/>
  <c r="P10" i="546"/>
  <c r="N10" i="546"/>
  <c r="T10" i="546"/>
  <c r="T28" i="546"/>
  <c r="P28" i="546"/>
  <c r="N28" i="546"/>
  <c r="T66" i="546"/>
  <c r="P66" i="546"/>
  <c r="N66" i="546"/>
  <c r="P15" i="541"/>
  <c r="N15" i="541"/>
  <c r="T15" i="541"/>
  <c r="T21" i="540"/>
  <c r="P21" i="540"/>
  <c r="P37" i="549"/>
  <c r="N37" i="549"/>
  <c r="P6" i="545"/>
  <c r="N6" i="545"/>
  <c r="T6" i="545"/>
  <c r="P23" i="407"/>
  <c r="N23" i="407"/>
  <c r="L24" i="407"/>
  <c r="T41" i="525"/>
  <c r="P41" i="525"/>
  <c r="N41" i="525"/>
  <c r="V86" i="546"/>
  <c r="V87" i="546"/>
  <c r="V88" i="546"/>
  <c r="V90" i="546"/>
  <c r="V92" i="546"/>
  <c r="V94" i="546"/>
  <c r="V97" i="546"/>
  <c r="V98" i="546"/>
  <c r="V99" i="546"/>
  <c r="V100" i="546"/>
  <c r="V101" i="546"/>
  <c r="V102" i="546"/>
  <c r="V103" i="546"/>
  <c r="V104" i="546"/>
  <c r="V105" i="546"/>
  <c r="V106" i="546"/>
  <c r="V107" i="546"/>
  <c r="V108" i="546"/>
  <c r="V109" i="546"/>
  <c r="V110" i="546"/>
  <c r="V111" i="546"/>
  <c r="V112" i="546"/>
  <c r="V113" i="546"/>
  <c r="V114" i="546"/>
  <c r="V115" i="546"/>
  <c r="V116" i="546"/>
  <c r="V117" i="546"/>
  <c r="V118" i="546"/>
  <c r="V119" i="546"/>
  <c r="V120" i="546"/>
  <c r="V121" i="546"/>
  <c r="V122" i="546"/>
  <c r="V123" i="546"/>
  <c r="V124" i="546"/>
  <c r="V125" i="546"/>
  <c r="V126" i="546"/>
  <c r="V127" i="546"/>
  <c r="V128" i="546"/>
  <c r="V129" i="546"/>
  <c r="V130" i="546"/>
  <c r="V131" i="546"/>
  <c r="V132" i="546"/>
  <c r="V133" i="546"/>
  <c r="V134" i="546"/>
  <c r="V135" i="546"/>
  <c r="V136" i="546"/>
  <c r="V137" i="546"/>
  <c r="V138" i="546"/>
  <c r="V139" i="546"/>
  <c r="V140" i="546"/>
  <c r="V141" i="546"/>
  <c r="V142" i="546"/>
  <c r="V143" i="546"/>
  <c r="V144" i="546"/>
  <c r="T38" i="399"/>
  <c r="P38" i="399"/>
  <c r="N38" i="399"/>
  <c r="P51" i="525"/>
  <c r="N51" i="525"/>
  <c r="T51" i="525"/>
  <c r="T28" i="518"/>
  <c r="P28" i="518"/>
  <c r="N28" i="518"/>
  <c r="X56" i="545"/>
  <c r="X57" i="545"/>
  <c r="X58" i="545"/>
  <c r="X59" i="545"/>
  <c r="X60" i="545"/>
  <c r="X61" i="545"/>
  <c r="X62" i="545"/>
  <c r="X63" i="545"/>
  <c r="X64" i="545"/>
  <c r="X65" i="545"/>
  <c r="X66" i="545"/>
  <c r="X67" i="545"/>
  <c r="X68" i="545"/>
  <c r="X69" i="545"/>
  <c r="X70" i="545"/>
  <c r="X71" i="545"/>
  <c r="X72" i="545"/>
  <c r="X73" i="545"/>
  <c r="X74" i="545"/>
  <c r="X75" i="545"/>
  <c r="X76" i="545"/>
  <c r="X77" i="545"/>
  <c r="X78" i="545"/>
  <c r="X79" i="545"/>
  <c r="X80" i="545"/>
  <c r="X81" i="545"/>
  <c r="X82" i="545"/>
  <c r="X83" i="545"/>
  <c r="X84" i="545"/>
  <c r="X85" i="545"/>
  <c r="X86" i="545"/>
  <c r="X87" i="545"/>
  <c r="X88" i="545"/>
  <c r="X89" i="545"/>
  <c r="X90" i="545"/>
  <c r="X91" i="545"/>
  <c r="X92" i="545"/>
  <c r="X93" i="545"/>
  <c r="X94" i="545"/>
  <c r="X95" i="545"/>
  <c r="X96" i="545"/>
  <c r="X97" i="545"/>
  <c r="X98" i="545"/>
  <c r="X99" i="545"/>
  <c r="X100" i="545"/>
  <c r="X101" i="545"/>
  <c r="X102" i="545"/>
  <c r="X103" i="545"/>
  <c r="X104" i="545"/>
  <c r="X105" i="545"/>
  <c r="X106" i="545"/>
  <c r="X107" i="545"/>
  <c r="X108" i="545"/>
  <c r="X109" i="545"/>
  <c r="W56" i="545"/>
  <c r="W57" i="545"/>
  <c r="W58" i="545"/>
  <c r="W59" i="545"/>
  <c r="W60" i="545"/>
  <c r="W61" i="545"/>
  <c r="W62" i="545"/>
  <c r="W63" i="545"/>
  <c r="W64" i="545"/>
  <c r="W65" i="545"/>
  <c r="W66" i="545"/>
  <c r="W67" i="545"/>
  <c r="W68" i="545"/>
  <c r="W69" i="545"/>
  <c r="W70" i="545"/>
  <c r="W71" i="545"/>
  <c r="W72" i="545"/>
  <c r="W73" i="545"/>
  <c r="W74" i="545"/>
  <c r="W75" i="545"/>
  <c r="W76" i="545"/>
  <c r="W77" i="545"/>
  <c r="W78" i="545"/>
  <c r="W79" i="545"/>
  <c r="W80" i="545"/>
  <c r="W81" i="545"/>
  <c r="W82" i="545"/>
  <c r="W83" i="545"/>
  <c r="W84" i="545"/>
  <c r="W85" i="545"/>
  <c r="W86" i="545"/>
  <c r="W87" i="545"/>
  <c r="W88" i="545"/>
  <c r="W89" i="545"/>
  <c r="W90" i="545"/>
  <c r="W91" i="545"/>
  <c r="W92" i="545"/>
  <c r="W93" i="545"/>
  <c r="W94" i="545"/>
  <c r="W95" i="545"/>
  <c r="W96" i="545"/>
  <c r="W97" i="545"/>
  <c r="W98" i="545"/>
  <c r="W99" i="545"/>
  <c r="W100" i="545"/>
  <c r="W101" i="545"/>
  <c r="W102" i="545"/>
  <c r="W103" i="545"/>
  <c r="W104" i="545"/>
  <c r="W105" i="545"/>
  <c r="W106" i="545"/>
  <c r="W107" i="545"/>
  <c r="W108" i="545"/>
  <c r="W109" i="545"/>
  <c r="P52" i="525"/>
  <c r="N52" i="525"/>
  <c r="T52" i="525"/>
  <c r="P46" i="525"/>
  <c r="N46" i="525"/>
  <c r="T46" i="525"/>
  <c r="T9" i="525"/>
  <c r="P9" i="525"/>
  <c r="N9" i="525"/>
  <c r="P60" i="406"/>
  <c r="N60" i="406"/>
  <c r="T46" i="546"/>
  <c r="P46" i="546"/>
  <c r="N46" i="546"/>
  <c r="T40" i="546"/>
  <c r="P40" i="546"/>
  <c r="N40" i="546"/>
  <c r="T8" i="546"/>
  <c r="P8" i="546"/>
  <c r="N8" i="546"/>
  <c r="D29" i="38"/>
  <c r="T14" i="481"/>
  <c r="P14" i="481"/>
  <c r="N14" i="481"/>
  <c r="L15" i="481"/>
  <c r="L16" i="481"/>
  <c r="L17" i="481"/>
  <c r="W68" i="399"/>
  <c r="W69" i="399"/>
  <c r="W70" i="399"/>
  <c r="W71" i="399"/>
  <c r="W72" i="399"/>
  <c r="W73" i="399"/>
  <c r="W74" i="399"/>
  <c r="W75" i="399"/>
  <c r="W76" i="399"/>
  <c r="W77" i="399"/>
  <c r="W78" i="399"/>
  <c r="W79" i="399"/>
  <c r="W80" i="399"/>
  <c r="W81" i="399"/>
  <c r="W82" i="399"/>
  <c r="W83" i="399"/>
  <c r="W84" i="399"/>
  <c r="W85" i="399"/>
  <c r="W86" i="399"/>
  <c r="W87" i="399"/>
  <c r="W88" i="399"/>
  <c r="W89" i="399"/>
  <c r="W90" i="399"/>
  <c r="W91" i="399"/>
  <c r="W92" i="399"/>
  <c r="W93" i="399"/>
  <c r="W94" i="399"/>
  <c r="W95" i="399"/>
  <c r="W96" i="399"/>
  <c r="W97" i="399"/>
  <c r="W98" i="399"/>
  <c r="W99" i="399"/>
  <c r="W100" i="399"/>
  <c r="W101" i="399"/>
  <c r="W102" i="399"/>
  <c r="W103" i="399"/>
  <c r="W104" i="399"/>
  <c r="W105" i="399"/>
  <c r="W106" i="399"/>
  <c r="W107" i="399"/>
  <c r="W108" i="399"/>
  <c r="W109" i="399"/>
  <c r="W110" i="399"/>
  <c r="W111" i="399"/>
  <c r="T8" i="518"/>
  <c r="P8" i="518"/>
  <c r="N8" i="518"/>
  <c r="P21" i="549"/>
  <c r="N21" i="549"/>
  <c r="V77" i="549"/>
  <c r="T6" i="549"/>
  <c r="T83" i="541"/>
  <c r="P83" i="541"/>
  <c r="N83" i="541"/>
  <c r="P22" i="406"/>
  <c r="N22" i="406"/>
  <c r="P17" i="540"/>
  <c r="N17" i="540"/>
  <c r="T17" i="540"/>
  <c r="P75" i="549"/>
  <c r="N75" i="549"/>
  <c r="T24" i="545"/>
  <c r="P24" i="545"/>
  <c r="N24" i="545"/>
  <c r="T43" i="545"/>
  <c r="P43" i="545"/>
  <c r="N43" i="545"/>
  <c r="P8" i="541"/>
  <c r="N8" i="541"/>
  <c r="T8" i="541"/>
  <c r="P19" i="546"/>
  <c r="N19" i="546"/>
  <c r="L20" i="546"/>
  <c r="T19" i="546"/>
  <c r="P9" i="549"/>
  <c r="N9" i="549"/>
  <c r="T24" i="404"/>
  <c r="P24" i="404"/>
  <c r="N24" i="404"/>
  <c r="T37" i="404"/>
  <c r="P37" i="404"/>
  <c r="P53" i="525"/>
  <c r="N53" i="525"/>
  <c r="T53" i="525"/>
  <c r="P47" i="544"/>
  <c r="N47" i="544"/>
  <c r="T47" i="544"/>
  <c r="T72" i="544"/>
  <c r="P72" i="544"/>
  <c r="N72" i="544"/>
  <c r="P36" i="404"/>
  <c r="N36" i="404"/>
  <c r="T36" i="404"/>
  <c r="P53" i="406"/>
  <c r="N53" i="406"/>
  <c r="P58" i="406"/>
  <c r="N58" i="406"/>
  <c r="T44" i="546"/>
  <c r="P44" i="546"/>
  <c r="N44" i="546"/>
  <c r="P22" i="546"/>
  <c r="N22" i="546"/>
  <c r="T22" i="546"/>
  <c r="T9" i="546"/>
  <c r="P9" i="546"/>
  <c r="N9" i="546"/>
  <c r="P21" i="406"/>
  <c r="N21" i="406"/>
  <c r="P18" i="518"/>
  <c r="N18" i="518"/>
  <c r="T18" i="518"/>
  <c r="T22" i="399"/>
  <c r="P22" i="399"/>
  <c r="N22" i="399"/>
  <c r="T7" i="518"/>
  <c r="P7" i="518"/>
  <c r="N7" i="518"/>
  <c r="P66" i="549"/>
  <c r="N66" i="549"/>
  <c r="T50" i="399"/>
  <c r="P65" i="549"/>
  <c r="N65" i="549"/>
  <c r="P21" i="401"/>
  <c r="N21" i="401"/>
  <c r="P27" i="540"/>
  <c r="N27" i="540"/>
  <c r="L28" i="540"/>
  <c r="T27" i="540"/>
  <c r="T57" i="518"/>
  <c r="P57" i="518"/>
  <c r="N57" i="518"/>
  <c r="P14" i="549"/>
  <c r="N14" i="549"/>
  <c r="P31" i="545"/>
  <c r="N31" i="545"/>
  <c r="T31" i="545"/>
  <c r="P10" i="407"/>
  <c r="N10" i="407"/>
  <c r="V62" i="525"/>
  <c r="W62" i="525"/>
  <c r="T14" i="525"/>
  <c r="P14" i="525"/>
  <c r="N14" i="525"/>
  <c r="P25" i="549"/>
  <c r="N25" i="549"/>
  <c r="P35" i="549"/>
  <c r="N35" i="549"/>
  <c r="T54" i="545"/>
  <c r="P54" i="545"/>
  <c r="N54" i="545"/>
  <c r="L55" i="545"/>
  <c r="V79" i="518"/>
  <c r="T6" i="518"/>
  <c r="P6" i="518"/>
  <c r="N6" i="518"/>
  <c r="P52" i="406"/>
  <c r="Z73" i="544"/>
  <c r="Z74" i="544"/>
  <c r="Z75" i="544"/>
  <c r="Z76" i="544"/>
  <c r="Z77" i="544"/>
  <c r="Z78" i="544"/>
  <c r="Z79" i="544"/>
  <c r="Z80" i="544"/>
  <c r="Z81" i="544"/>
  <c r="Z82" i="544"/>
  <c r="Z83" i="544"/>
  <c r="Z84" i="544"/>
  <c r="Z85" i="544"/>
  <c r="Z86" i="544"/>
  <c r="Z87" i="544"/>
  <c r="Z88" i="544"/>
  <c r="Z89" i="544"/>
  <c r="Z90" i="544"/>
  <c r="Z91" i="544"/>
  <c r="Z92" i="544"/>
  <c r="Z93" i="544"/>
  <c r="Z94" i="544"/>
  <c r="Z95" i="544"/>
  <c r="Z96" i="544"/>
  <c r="Z97" i="544"/>
  <c r="Z98" i="544"/>
  <c r="Z99" i="544"/>
  <c r="Z100" i="544"/>
  <c r="Z101" i="544"/>
  <c r="Z102" i="544"/>
  <c r="Z103" i="544"/>
  <c r="Z104" i="544"/>
  <c r="Z105" i="544"/>
  <c r="Z106" i="544"/>
  <c r="Z107" i="544"/>
  <c r="Z108" i="544"/>
  <c r="Z109" i="544"/>
  <c r="V73" i="544"/>
  <c r="V74" i="544"/>
  <c r="V75" i="544"/>
  <c r="V76" i="544"/>
  <c r="V77" i="544"/>
  <c r="V78" i="544"/>
  <c r="V79" i="544"/>
  <c r="V80" i="544"/>
  <c r="V81" i="544"/>
  <c r="V82" i="544"/>
  <c r="V83" i="544"/>
  <c r="V84" i="544"/>
  <c r="V85" i="544"/>
  <c r="V86" i="544"/>
  <c r="V87" i="544"/>
  <c r="V88" i="544"/>
  <c r="V89" i="544"/>
  <c r="V90" i="544"/>
  <c r="V91" i="544"/>
  <c r="V92" i="544"/>
  <c r="V93" i="544"/>
  <c r="V94" i="544"/>
  <c r="V95" i="544"/>
  <c r="V96" i="544"/>
  <c r="V97" i="544"/>
  <c r="V98" i="544"/>
  <c r="V99" i="544"/>
  <c r="V100" i="544"/>
  <c r="V101" i="544"/>
  <c r="V102" i="544"/>
  <c r="V103" i="544"/>
  <c r="V104" i="544"/>
  <c r="V105" i="544"/>
  <c r="V106" i="544"/>
  <c r="V107" i="544"/>
  <c r="V108" i="544"/>
  <c r="V109" i="544"/>
  <c r="T16" i="546"/>
  <c r="P16" i="546"/>
  <c r="N16" i="546"/>
  <c r="T32" i="546"/>
  <c r="P32" i="546"/>
  <c r="N32" i="546"/>
  <c r="AA86" i="546"/>
  <c r="AA87" i="546"/>
  <c r="AA88" i="546"/>
  <c r="AA90" i="546"/>
  <c r="AA92" i="546"/>
  <c r="AA94" i="546"/>
  <c r="AA97" i="546"/>
  <c r="AA98" i="546"/>
  <c r="AA99" i="546"/>
  <c r="AA100" i="546"/>
  <c r="AA101" i="546"/>
  <c r="AA102" i="546"/>
  <c r="AA103" i="546"/>
  <c r="AA104" i="546"/>
  <c r="AA105" i="546"/>
  <c r="AA106" i="546"/>
  <c r="AA107" i="546"/>
  <c r="AA108" i="546"/>
  <c r="AA109" i="546"/>
  <c r="AA110" i="546"/>
  <c r="AA111" i="546"/>
  <c r="AA112" i="546"/>
  <c r="AA113" i="546"/>
  <c r="AA114" i="546"/>
  <c r="AA115" i="546"/>
  <c r="AA116" i="546"/>
  <c r="AA117" i="546"/>
  <c r="AA118" i="546"/>
  <c r="AA119" i="546"/>
  <c r="AA120" i="546"/>
  <c r="AA121" i="546"/>
  <c r="AA122" i="546"/>
  <c r="AA123" i="546"/>
  <c r="AA124" i="546"/>
  <c r="AA125" i="546"/>
  <c r="AA126" i="546"/>
  <c r="AA127" i="546"/>
  <c r="AA128" i="546"/>
  <c r="AA129" i="546"/>
  <c r="AA130" i="546"/>
  <c r="AA131" i="546"/>
  <c r="AA132" i="546"/>
  <c r="AA133" i="546"/>
  <c r="AA134" i="546"/>
  <c r="AA135" i="546"/>
  <c r="AA136" i="546"/>
  <c r="AA137" i="546"/>
  <c r="AA138" i="546"/>
  <c r="AA139" i="546"/>
  <c r="AA140" i="546"/>
  <c r="AA141" i="546"/>
  <c r="AA142" i="546"/>
  <c r="AA143" i="546"/>
  <c r="AA144" i="546"/>
  <c r="T22" i="545"/>
  <c r="P22" i="545"/>
  <c r="N22" i="545"/>
  <c r="T61" i="518"/>
  <c r="P61" i="518"/>
  <c r="N61" i="518"/>
  <c r="P67" i="549"/>
  <c r="N67" i="549"/>
  <c r="P23" i="541"/>
  <c r="N23" i="541"/>
  <c r="T23" i="541"/>
  <c r="P6" i="540"/>
  <c r="N6" i="540"/>
  <c r="L7" i="540"/>
  <c r="L8" i="540"/>
  <c r="L9" i="540"/>
  <c r="L10" i="540"/>
  <c r="L11" i="540"/>
  <c r="L12" i="540"/>
  <c r="T6" i="540"/>
  <c r="P51" i="406"/>
  <c r="N51" i="406"/>
  <c r="X62" i="406"/>
  <c r="AA62" i="406"/>
  <c r="T48" i="518"/>
  <c r="P48" i="518"/>
  <c r="N48" i="518"/>
  <c r="T64" i="544"/>
  <c r="P64" i="544"/>
  <c r="N64" i="544"/>
  <c r="T31" i="525"/>
  <c r="P31" i="525"/>
  <c r="N31" i="525"/>
  <c r="T84" i="546"/>
  <c r="P84" i="546"/>
  <c r="N84" i="546"/>
  <c r="P41" i="549"/>
  <c r="N41" i="549"/>
  <c r="P56" i="406"/>
  <c r="N56" i="406"/>
  <c r="T39" i="404"/>
  <c r="P39" i="404"/>
  <c r="N39" i="404"/>
  <c r="P46" i="545"/>
  <c r="N46" i="545"/>
  <c r="T46" i="545"/>
  <c r="T34" i="404"/>
  <c r="P34" i="404"/>
  <c r="N34" i="404"/>
  <c r="P14" i="404"/>
  <c r="N14" i="404"/>
  <c r="T14" i="404"/>
  <c r="P45" i="546"/>
  <c r="N45" i="546"/>
  <c r="T45" i="546"/>
  <c r="Y21" i="481"/>
  <c r="T36" i="399"/>
  <c r="P36" i="399"/>
  <c r="N36" i="399"/>
  <c r="T35" i="518"/>
  <c r="P35" i="518"/>
  <c r="N35" i="518"/>
  <c r="P43" i="518"/>
  <c r="N43" i="518"/>
  <c r="T43" i="518"/>
  <c r="P22" i="518"/>
  <c r="N22" i="518"/>
  <c r="T22" i="518"/>
  <c r="T31" i="518"/>
  <c r="P31" i="518"/>
  <c r="N31" i="518"/>
  <c r="P14" i="407"/>
  <c r="N14" i="407"/>
  <c r="P42" i="549"/>
  <c r="N42" i="549"/>
  <c r="Z69" i="401"/>
  <c r="Z70" i="401"/>
  <c r="Z71" i="401"/>
  <c r="Z72" i="401"/>
  <c r="Z73" i="401"/>
  <c r="Z74" i="401"/>
  <c r="Z75" i="401"/>
  <c r="Z76" i="401"/>
  <c r="Z77" i="401"/>
  <c r="Z78" i="401"/>
  <c r="Z79" i="401"/>
  <c r="Z80" i="401"/>
  <c r="Z81" i="401"/>
  <c r="Z82" i="401"/>
  <c r="Z83" i="401"/>
  <c r="Z84" i="401"/>
  <c r="Z85" i="401"/>
  <c r="Z86" i="401"/>
  <c r="Z87" i="401"/>
  <c r="Z88" i="401"/>
  <c r="Z89" i="401"/>
  <c r="Z90" i="401"/>
  <c r="Z91" i="401"/>
  <c r="Z92" i="401"/>
  <c r="Z93" i="401"/>
  <c r="Z94" i="401"/>
  <c r="Z95" i="401"/>
  <c r="Z96" i="401"/>
  <c r="Z97" i="401"/>
  <c r="Z98" i="401"/>
  <c r="Z99" i="401"/>
  <c r="Z100" i="401"/>
  <c r="Z101" i="401"/>
  <c r="Z102" i="401"/>
  <c r="Z103" i="401"/>
  <c r="Z104" i="401"/>
  <c r="P68" i="549"/>
  <c r="N68" i="549"/>
  <c r="P73" i="546"/>
  <c r="N73" i="546"/>
  <c r="T73" i="546"/>
  <c r="P58" i="541"/>
  <c r="N58" i="541"/>
  <c r="T58" i="541"/>
  <c r="T20" i="540"/>
  <c r="P20" i="540"/>
  <c r="N20" i="540"/>
  <c r="L21" i="540"/>
  <c r="L22" i="540"/>
  <c r="L23" i="540"/>
  <c r="P43" i="406"/>
  <c r="N43" i="406"/>
  <c r="P57" i="406"/>
  <c r="N57" i="406"/>
  <c r="T76" i="518"/>
  <c r="P76" i="518"/>
  <c r="N76" i="518"/>
  <c r="P12" i="518"/>
  <c r="N12" i="518"/>
  <c r="T12" i="518"/>
  <c r="P22" i="549"/>
  <c r="N22" i="549"/>
  <c r="U86" i="546"/>
  <c r="P67" i="544"/>
  <c r="N67" i="544"/>
  <c r="T67" i="544"/>
  <c r="T13" i="546"/>
  <c r="P13" i="546"/>
  <c r="N13" i="546"/>
  <c r="P15" i="525"/>
  <c r="N15" i="525"/>
  <c r="T15" i="525"/>
  <c r="P34" i="545"/>
  <c r="N34" i="545"/>
  <c r="T34" i="545"/>
  <c r="P35" i="545"/>
  <c r="N35" i="545"/>
  <c r="T35" i="545"/>
  <c r="T39" i="518"/>
  <c r="P39" i="518"/>
  <c r="N39" i="518"/>
  <c r="V56" i="545"/>
  <c r="V57" i="545"/>
  <c r="V58" i="545"/>
  <c r="V59" i="545"/>
  <c r="V60" i="545"/>
  <c r="V61" i="545"/>
  <c r="V62" i="545"/>
  <c r="V63" i="545"/>
  <c r="V64" i="545"/>
  <c r="V65" i="545"/>
  <c r="V66" i="545"/>
  <c r="V67" i="545"/>
  <c r="V68" i="545"/>
  <c r="V69" i="545"/>
  <c r="V70" i="545"/>
  <c r="V71" i="545"/>
  <c r="V72" i="545"/>
  <c r="V73" i="545"/>
  <c r="V74" i="545"/>
  <c r="V75" i="545"/>
  <c r="V76" i="545"/>
  <c r="V77" i="545"/>
  <c r="V78" i="545"/>
  <c r="V79" i="545"/>
  <c r="V80" i="545"/>
  <c r="V81" i="545"/>
  <c r="V82" i="545"/>
  <c r="V83" i="545"/>
  <c r="V84" i="545"/>
  <c r="V85" i="545"/>
  <c r="V86" i="545"/>
  <c r="V87" i="545"/>
  <c r="V88" i="545"/>
  <c r="V89" i="545"/>
  <c r="V90" i="545"/>
  <c r="V91" i="545"/>
  <c r="V92" i="545"/>
  <c r="V93" i="545"/>
  <c r="V94" i="545"/>
  <c r="V95" i="545"/>
  <c r="V96" i="545"/>
  <c r="V97" i="545"/>
  <c r="V98" i="545"/>
  <c r="V99" i="545"/>
  <c r="V100" i="545"/>
  <c r="V101" i="545"/>
  <c r="V102" i="545"/>
  <c r="V103" i="545"/>
  <c r="V104" i="545"/>
  <c r="V105" i="545"/>
  <c r="V106" i="545"/>
  <c r="V107" i="545"/>
  <c r="V108" i="545"/>
  <c r="V109" i="545"/>
  <c r="Y56" i="545"/>
  <c r="Y57" i="545"/>
  <c r="Y58" i="545"/>
  <c r="Y59" i="545"/>
  <c r="Y60" i="545"/>
  <c r="Y61" i="545"/>
  <c r="Y62" i="545"/>
  <c r="Y63" i="545"/>
  <c r="Y64" i="545"/>
  <c r="Y65" i="545"/>
  <c r="Y66" i="545"/>
  <c r="Y67" i="545"/>
  <c r="Y68" i="545"/>
  <c r="Y69" i="545"/>
  <c r="Y70" i="545"/>
  <c r="Y71" i="545"/>
  <c r="Y72" i="545"/>
  <c r="Y73" i="545"/>
  <c r="Y74" i="545"/>
  <c r="Y75" i="545"/>
  <c r="Y76" i="545"/>
  <c r="Y77" i="545"/>
  <c r="Y78" i="545"/>
  <c r="Y79" i="545"/>
  <c r="Y80" i="545"/>
  <c r="Y81" i="545"/>
  <c r="Y82" i="545"/>
  <c r="Y83" i="545"/>
  <c r="Y84" i="545"/>
  <c r="Y85" i="545"/>
  <c r="Y86" i="545"/>
  <c r="Y87" i="545"/>
  <c r="Y88" i="545"/>
  <c r="Y89" i="545"/>
  <c r="Y90" i="545"/>
  <c r="Y91" i="545"/>
  <c r="Y92" i="545"/>
  <c r="Y93" i="545"/>
  <c r="Y94" i="545"/>
  <c r="Y95" i="545"/>
  <c r="Y96" i="545"/>
  <c r="Y97" i="545"/>
  <c r="Y98" i="545"/>
  <c r="Y99" i="545"/>
  <c r="Y100" i="545"/>
  <c r="Y101" i="545"/>
  <c r="Y102" i="545"/>
  <c r="Y103" i="545"/>
  <c r="Y104" i="545"/>
  <c r="Y105" i="545"/>
  <c r="Y106" i="545"/>
  <c r="Y107" i="545"/>
  <c r="Y108" i="545"/>
  <c r="Y109" i="545"/>
  <c r="P23" i="545"/>
  <c r="N23" i="545"/>
  <c r="T23" i="545"/>
  <c r="P47" i="525"/>
  <c r="N47" i="525"/>
  <c r="T47" i="525"/>
  <c r="C29" i="38"/>
  <c r="P50" i="406"/>
  <c r="N50" i="406"/>
  <c r="T70" i="518"/>
  <c r="P70" i="518"/>
  <c r="N70" i="518"/>
  <c r="T13" i="518"/>
  <c r="P13" i="518"/>
  <c r="N13" i="518"/>
  <c r="P50" i="518"/>
  <c r="N50" i="518"/>
  <c r="L51" i="518"/>
  <c r="T50" i="518"/>
  <c r="P15" i="549"/>
  <c r="N15" i="549"/>
  <c r="T32" i="399"/>
  <c r="P32" i="399"/>
  <c r="N32" i="399"/>
  <c r="W77" i="549"/>
  <c r="W78" i="549"/>
  <c r="W79" i="549"/>
  <c r="W80" i="549"/>
  <c r="W81" i="549"/>
  <c r="W82" i="549"/>
  <c r="W83" i="549"/>
  <c r="W84" i="549"/>
  <c r="W85" i="549"/>
  <c r="W86" i="549"/>
  <c r="W87" i="549"/>
  <c r="W88" i="549"/>
  <c r="W89" i="549"/>
  <c r="W90" i="549"/>
  <c r="W91" i="549"/>
  <c r="W92" i="549"/>
  <c r="W93" i="549"/>
  <c r="W94" i="549"/>
  <c r="W95" i="549"/>
  <c r="W96" i="549"/>
  <c r="W97" i="549"/>
  <c r="W98" i="549"/>
  <c r="W99" i="549"/>
  <c r="W100" i="549"/>
  <c r="W101" i="549"/>
  <c r="W102" i="549"/>
  <c r="W103" i="549"/>
  <c r="W104" i="549"/>
  <c r="W105" i="549"/>
  <c r="W106" i="549"/>
  <c r="W107" i="549"/>
  <c r="W108" i="549"/>
  <c r="W109" i="549"/>
  <c r="W110" i="549"/>
  <c r="W111" i="549"/>
  <c r="W112" i="549"/>
  <c r="W113" i="549"/>
  <c r="W114" i="549"/>
  <c r="W115" i="549"/>
  <c r="W116" i="549"/>
  <c r="W117" i="549"/>
  <c r="W118" i="549"/>
  <c r="W119" i="549"/>
  <c r="W120" i="549"/>
  <c r="W121" i="549"/>
  <c r="W122" i="549"/>
  <c r="W123" i="549"/>
  <c r="W124" i="549"/>
  <c r="W125" i="549"/>
  <c r="W126" i="549"/>
  <c r="W127" i="549"/>
  <c r="W128" i="549"/>
  <c r="W129" i="549"/>
  <c r="W130" i="549"/>
  <c r="W131" i="549"/>
  <c r="W132" i="549"/>
  <c r="W133" i="549"/>
  <c r="Z77" i="549"/>
  <c r="Z78" i="549"/>
  <c r="Z79" i="549"/>
  <c r="Z80" i="549"/>
  <c r="Z81" i="549"/>
  <c r="Z82" i="549"/>
  <c r="Z83" i="549"/>
  <c r="Z84" i="549"/>
  <c r="Z85" i="549"/>
  <c r="Z86" i="549"/>
  <c r="Z87" i="549"/>
  <c r="Z88" i="549"/>
  <c r="Z89" i="549"/>
  <c r="Z90" i="549"/>
  <c r="Z91" i="549"/>
  <c r="Z92" i="549"/>
  <c r="Z93" i="549"/>
  <c r="Z94" i="549"/>
  <c r="Z95" i="549"/>
  <c r="Z96" i="549"/>
  <c r="Z97" i="549"/>
  <c r="Z98" i="549"/>
  <c r="Z99" i="549"/>
  <c r="Z100" i="549"/>
  <c r="Z101" i="549"/>
  <c r="Z102" i="549"/>
  <c r="Z103" i="549"/>
  <c r="Z104" i="549"/>
  <c r="Z105" i="549"/>
  <c r="Z106" i="549"/>
  <c r="Z107" i="549"/>
  <c r="Z108" i="549"/>
  <c r="Z109" i="549"/>
  <c r="Z110" i="549"/>
  <c r="Z111" i="549"/>
  <c r="Z112" i="549"/>
  <c r="Z113" i="549"/>
  <c r="Z114" i="549"/>
  <c r="Z115" i="549"/>
  <c r="Z116" i="549"/>
  <c r="Z117" i="549"/>
  <c r="Z118" i="549"/>
  <c r="Z119" i="549"/>
  <c r="Z120" i="549"/>
  <c r="Z121" i="549"/>
  <c r="Z122" i="549"/>
  <c r="Z123" i="549"/>
  <c r="Z124" i="549"/>
  <c r="Z125" i="549"/>
  <c r="Z126" i="549"/>
  <c r="Z127" i="549"/>
  <c r="Z128" i="549"/>
  <c r="Z129" i="549"/>
  <c r="Z130" i="549"/>
  <c r="Z131" i="549"/>
  <c r="Z132" i="549"/>
  <c r="Z133" i="549"/>
  <c r="T83" i="546"/>
  <c r="P83" i="546"/>
  <c r="N83" i="546"/>
  <c r="T82" i="541"/>
  <c r="P82" i="541"/>
  <c r="N82" i="541"/>
  <c r="T40" i="518"/>
  <c r="P40" i="518"/>
  <c r="N40" i="518"/>
  <c r="T66" i="518"/>
  <c r="P66" i="518"/>
  <c r="N66" i="518"/>
  <c r="T30" i="518"/>
  <c r="P30" i="518"/>
  <c r="N30" i="518"/>
  <c r="P69" i="544"/>
  <c r="N69" i="544"/>
  <c r="T69" i="544"/>
  <c r="P22" i="525"/>
  <c r="N22" i="525"/>
  <c r="L23" i="525"/>
  <c r="L24" i="525"/>
  <c r="T22" i="525"/>
  <c r="P58" i="546"/>
  <c r="N58" i="546"/>
  <c r="T58" i="546"/>
  <c r="P45" i="541"/>
  <c r="N45" i="541"/>
  <c r="L46" i="541"/>
  <c r="L47" i="541"/>
  <c r="T45" i="541"/>
  <c r="T10" i="525"/>
  <c r="P10" i="525"/>
  <c r="N10" i="525"/>
  <c r="T15" i="545"/>
  <c r="P15" i="545"/>
  <c r="N15" i="545"/>
  <c r="T24" i="518"/>
  <c r="P24" i="518"/>
  <c r="N24" i="518"/>
  <c r="T56" i="518"/>
  <c r="P56" i="518"/>
  <c r="N56" i="518"/>
  <c r="P63" i="546"/>
  <c r="N63" i="546"/>
  <c r="T63" i="546"/>
  <c r="T18" i="525"/>
  <c r="P18" i="525"/>
  <c r="N18" i="525"/>
  <c r="T54" i="399"/>
  <c r="P54" i="399"/>
  <c r="N54" i="399"/>
  <c r="L55" i="399"/>
  <c r="L56" i="399"/>
  <c r="B15" i="38"/>
  <c r="P26" i="518"/>
  <c r="N26" i="518"/>
  <c r="T26" i="518"/>
  <c r="T25" i="518"/>
  <c r="P25" i="518"/>
  <c r="N25" i="518"/>
  <c r="P9" i="407"/>
  <c r="N9" i="407"/>
  <c r="P7" i="549"/>
  <c r="N7" i="549"/>
  <c r="P39" i="549"/>
  <c r="N39" i="549"/>
  <c r="T80" i="546"/>
  <c r="P80" i="546"/>
  <c r="N80" i="546"/>
  <c r="P20" i="546"/>
  <c r="N20" i="546"/>
  <c r="T20" i="546"/>
  <c r="T52" i="518"/>
  <c r="P52" i="518"/>
  <c r="N52" i="518"/>
  <c r="P29" i="549"/>
  <c r="N29" i="549"/>
  <c r="L30" i="549"/>
  <c r="Y62" i="525"/>
  <c r="X62" i="525"/>
  <c r="P62" i="546"/>
  <c r="N62" i="546"/>
  <c r="T62" i="546"/>
  <c r="P42" i="544"/>
  <c r="N42" i="544"/>
  <c r="T42" i="544"/>
  <c r="T25" i="525"/>
  <c r="P25" i="525"/>
  <c r="N25" i="525"/>
  <c r="P70" i="549"/>
  <c r="N70" i="549"/>
  <c r="L39" i="541"/>
  <c r="L40" i="541"/>
  <c r="N40" i="541"/>
  <c r="P6" i="541"/>
  <c r="N6" i="541"/>
  <c r="L7" i="541"/>
  <c r="L8" i="541"/>
  <c r="T6" i="541"/>
  <c r="T18" i="545"/>
  <c r="P18" i="545"/>
  <c r="N18" i="545"/>
  <c r="P20" i="406"/>
  <c r="N20" i="406"/>
  <c r="P12" i="545"/>
  <c r="N12" i="545"/>
  <c r="T12" i="545"/>
  <c r="T19" i="525"/>
  <c r="P19" i="525"/>
  <c r="N19" i="525"/>
  <c r="P36" i="525"/>
  <c r="N36" i="525"/>
  <c r="T36" i="525"/>
  <c r="T24" i="546"/>
  <c r="P24" i="546"/>
  <c r="N24" i="546"/>
  <c r="P6" i="404"/>
  <c r="N6" i="404"/>
  <c r="L7" i="404"/>
  <c r="T6" i="404"/>
  <c r="T21" i="546"/>
  <c r="P21" i="546"/>
  <c r="N21" i="546"/>
  <c r="P17" i="481"/>
  <c r="N17" i="481"/>
  <c r="T17" i="481"/>
  <c r="P8" i="407"/>
  <c r="N8" i="407"/>
  <c r="T69" i="518"/>
  <c r="P69" i="518"/>
  <c r="N69" i="518"/>
  <c r="T16" i="518"/>
  <c r="P16" i="518"/>
  <c r="N16" i="518"/>
  <c r="P24" i="399"/>
  <c r="N24" i="399"/>
  <c r="T24" i="399"/>
  <c r="P40" i="549"/>
  <c r="N40" i="549"/>
  <c r="T52" i="546"/>
  <c r="P52" i="546"/>
  <c r="N52" i="546"/>
  <c r="T33" i="546"/>
  <c r="P33" i="546"/>
  <c r="N33" i="546"/>
  <c r="V62" i="406"/>
  <c r="W62" i="406"/>
  <c r="W63" i="406"/>
  <c r="W64" i="406"/>
  <c r="W65" i="406"/>
  <c r="W66" i="406"/>
  <c r="W67" i="406"/>
  <c r="W68" i="406"/>
  <c r="W71" i="406"/>
  <c r="W72" i="406"/>
  <c r="W73" i="406"/>
  <c r="W74" i="406"/>
  <c r="W75" i="406"/>
  <c r="W76" i="406"/>
  <c r="W77" i="406"/>
  <c r="W78" i="406"/>
  <c r="W79" i="406"/>
  <c r="W80" i="406"/>
  <c r="W81" i="406"/>
  <c r="W82" i="406"/>
  <c r="W83" i="406"/>
  <c r="W84" i="406"/>
  <c r="W85" i="406"/>
  <c r="W86" i="406"/>
  <c r="W87" i="406"/>
  <c r="W88" i="406"/>
  <c r="W89" i="406"/>
  <c r="W90" i="406"/>
  <c r="W91" i="406"/>
  <c r="W92" i="406"/>
  <c r="W93" i="406"/>
  <c r="W94" i="406"/>
  <c r="W95" i="406"/>
  <c r="W96" i="406"/>
  <c r="W97" i="406"/>
  <c r="W98" i="406"/>
  <c r="W99" i="406"/>
  <c r="W100" i="406"/>
  <c r="W101" i="406"/>
  <c r="W102" i="406"/>
  <c r="W103" i="406"/>
  <c r="W104" i="406"/>
  <c r="W105" i="406"/>
  <c r="W106" i="406"/>
  <c r="W107" i="406"/>
  <c r="W108" i="406"/>
  <c r="W109" i="406"/>
  <c r="W110" i="406"/>
  <c r="W111" i="406"/>
  <c r="W112" i="406"/>
  <c r="W113" i="406"/>
  <c r="W114" i="406"/>
  <c r="W115" i="406"/>
  <c r="W116" i="406"/>
  <c r="W117" i="406"/>
  <c r="W118" i="406"/>
  <c r="W119" i="406"/>
  <c r="W120" i="406"/>
  <c r="T47" i="518"/>
  <c r="P47" i="518"/>
  <c r="N47" i="518"/>
  <c r="P10" i="549"/>
  <c r="N10" i="549"/>
  <c r="P27" i="407"/>
  <c r="N27" i="407"/>
  <c r="P27" i="546"/>
  <c r="N27" i="546"/>
  <c r="L28" i="546"/>
  <c r="T27" i="546"/>
  <c r="B10" i="38"/>
  <c r="T17" i="399"/>
  <c r="P17" i="399"/>
  <c r="N17" i="399"/>
  <c r="P43" i="549"/>
  <c r="N43" i="549"/>
  <c r="T10" i="545"/>
  <c r="P10" i="545"/>
  <c r="N10" i="545"/>
  <c r="P64" i="518"/>
  <c r="N64" i="518"/>
  <c r="T64" i="518"/>
  <c r="P11" i="407"/>
  <c r="N11" i="407"/>
  <c r="P16" i="404"/>
  <c r="N16" i="404"/>
  <c r="T16" i="404"/>
  <c r="Z62" i="406"/>
  <c r="Z63" i="406"/>
  <c r="Z64" i="406"/>
  <c r="Z65" i="406"/>
  <c r="Z66" i="406"/>
  <c r="Z67" i="406"/>
  <c r="Z68" i="406"/>
  <c r="Z71" i="406"/>
  <c r="Z72" i="406"/>
  <c r="Z73" i="406"/>
  <c r="Z74" i="406"/>
  <c r="Z75" i="406"/>
  <c r="Z76" i="406"/>
  <c r="Z77" i="406"/>
  <c r="Z78" i="406"/>
  <c r="Z79" i="406"/>
  <c r="Z80" i="406"/>
  <c r="Z81" i="406"/>
  <c r="Z82" i="406"/>
  <c r="Z83" i="406"/>
  <c r="Z84" i="406"/>
  <c r="Z85" i="406"/>
  <c r="Z86" i="406"/>
  <c r="Z87" i="406"/>
  <c r="Z88" i="406"/>
  <c r="Z89" i="406"/>
  <c r="Z90" i="406"/>
  <c r="Z91" i="406"/>
  <c r="Z92" i="406"/>
  <c r="Z93" i="406"/>
  <c r="Z94" i="406"/>
  <c r="Z95" i="406"/>
  <c r="Z96" i="406"/>
  <c r="Z97" i="406"/>
  <c r="Z98" i="406"/>
  <c r="Z99" i="406"/>
  <c r="Z100" i="406"/>
  <c r="Z101" i="406"/>
  <c r="Z102" i="406"/>
  <c r="Z103" i="406"/>
  <c r="Z104" i="406"/>
  <c r="Z105" i="406"/>
  <c r="Z106" i="406"/>
  <c r="Z107" i="406"/>
  <c r="Z108" i="406"/>
  <c r="Z109" i="406"/>
  <c r="Z110" i="406"/>
  <c r="Z111" i="406"/>
  <c r="Z112" i="406"/>
  <c r="Z113" i="406"/>
  <c r="Z114" i="406"/>
  <c r="Z115" i="406"/>
  <c r="Z116" i="406"/>
  <c r="Z117" i="406"/>
  <c r="Z118" i="406"/>
  <c r="Z119" i="406"/>
  <c r="Z120" i="406"/>
  <c r="T51" i="546"/>
  <c r="P51" i="546"/>
  <c r="N51" i="546"/>
  <c r="P45" i="406"/>
  <c r="N45" i="406"/>
  <c r="T45" i="518"/>
  <c r="P45" i="518"/>
  <c r="N45" i="518"/>
  <c r="AA21" i="481"/>
  <c r="T9" i="481"/>
  <c r="P9" i="481"/>
  <c r="N9" i="481"/>
  <c r="L10" i="481"/>
  <c r="L11" i="481"/>
  <c r="L12" i="481"/>
  <c r="P24" i="407"/>
  <c r="N24" i="407"/>
  <c r="P69" i="549"/>
  <c r="N69" i="549"/>
  <c r="V69" i="401"/>
  <c r="V70" i="401"/>
  <c r="V71" i="401"/>
  <c r="V72" i="401"/>
  <c r="V73" i="401"/>
  <c r="V74" i="401"/>
  <c r="V75" i="401"/>
  <c r="V76" i="401"/>
  <c r="V77" i="401"/>
  <c r="V78" i="401"/>
  <c r="V79" i="401"/>
  <c r="V80" i="401"/>
  <c r="V81" i="401"/>
  <c r="V82" i="401"/>
  <c r="V83" i="401"/>
  <c r="V84" i="401"/>
  <c r="V85" i="401"/>
  <c r="V86" i="401"/>
  <c r="V87" i="401"/>
  <c r="V88" i="401"/>
  <c r="V89" i="401"/>
  <c r="V90" i="401"/>
  <c r="V91" i="401"/>
  <c r="V92" i="401"/>
  <c r="V93" i="401"/>
  <c r="V94" i="401"/>
  <c r="V95" i="401"/>
  <c r="V96" i="401"/>
  <c r="V97" i="401"/>
  <c r="V98" i="401"/>
  <c r="V99" i="401"/>
  <c r="V100" i="401"/>
  <c r="V101" i="401"/>
  <c r="V102" i="401"/>
  <c r="V103" i="401"/>
  <c r="V104" i="401"/>
  <c r="P38" i="549"/>
  <c r="N38" i="549"/>
  <c r="T29" i="546"/>
  <c r="P29" i="546"/>
  <c r="N29" i="546"/>
  <c r="P51" i="540"/>
  <c r="N51" i="540"/>
  <c r="T51" i="540"/>
  <c r="P70" i="544"/>
  <c r="N70" i="544"/>
  <c r="T70" i="544"/>
  <c r="T34" i="525"/>
  <c r="P34" i="525"/>
  <c r="N34" i="525"/>
  <c r="P35" i="546"/>
  <c r="N35" i="546"/>
  <c r="T35" i="546"/>
  <c r="P12" i="546"/>
  <c r="N12" i="546"/>
  <c r="L13" i="546"/>
  <c r="T12" i="546"/>
  <c r="P23" i="406"/>
  <c r="N23" i="406"/>
  <c r="T7" i="546"/>
  <c r="P7" i="546"/>
  <c r="N7" i="546"/>
  <c r="P19" i="549"/>
  <c r="N19" i="549"/>
  <c r="U56" i="545"/>
  <c r="P5" i="545"/>
  <c r="N5" i="545"/>
  <c r="L6" i="545"/>
  <c r="T5" i="545"/>
  <c r="P54" i="406"/>
  <c r="N54" i="406"/>
  <c r="T77" i="546"/>
  <c r="P77" i="546"/>
  <c r="N77" i="546"/>
  <c r="Y86" i="546"/>
  <c r="Y87" i="546"/>
  <c r="Y88" i="546"/>
  <c r="Y90" i="546"/>
  <c r="Y92" i="546"/>
  <c r="Y94" i="546"/>
  <c r="Y97" i="546"/>
  <c r="Y98" i="546"/>
  <c r="Y99" i="546"/>
  <c r="Y100" i="546"/>
  <c r="Y101" i="546"/>
  <c r="Y102" i="546"/>
  <c r="Y103" i="546"/>
  <c r="Y104" i="546"/>
  <c r="Y105" i="546"/>
  <c r="Y106" i="546"/>
  <c r="Y107" i="546"/>
  <c r="Y108" i="546"/>
  <c r="Y109" i="546"/>
  <c r="Y110" i="546"/>
  <c r="Y111" i="546"/>
  <c r="Y112" i="546"/>
  <c r="Y113" i="546"/>
  <c r="Y114" i="546"/>
  <c r="Y115" i="546"/>
  <c r="Y116" i="546"/>
  <c r="Y117" i="546"/>
  <c r="Y118" i="546"/>
  <c r="Y119" i="546"/>
  <c r="Y120" i="546"/>
  <c r="Y121" i="546"/>
  <c r="Y122" i="546"/>
  <c r="Y123" i="546"/>
  <c r="Y124" i="546"/>
  <c r="Y125" i="546"/>
  <c r="Y126" i="546"/>
  <c r="Y127" i="546"/>
  <c r="Y128" i="546"/>
  <c r="Y129" i="546"/>
  <c r="Y130" i="546"/>
  <c r="Y131" i="546"/>
  <c r="Y132" i="546"/>
  <c r="Y133" i="546"/>
  <c r="Y134" i="546"/>
  <c r="Y135" i="546"/>
  <c r="Y136" i="546"/>
  <c r="Y137" i="546"/>
  <c r="Y138" i="546"/>
  <c r="Y139" i="546"/>
  <c r="Y140" i="546"/>
  <c r="Y141" i="546"/>
  <c r="Y142" i="546"/>
  <c r="Y143" i="546"/>
  <c r="Y144" i="546"/>
  <c r="T37" i="545"/>
  <c r="P37" i="545"/>
  <c r="N37" i="545"/>
  <c r="L38" i="545"/>
  <c r="H29" i="38"/>
  <c r="T42" i="404"/>
  <c r="P42" i="404"/>
  <c r="N42" i="404"/>
  <c r="P47" i="546"/>
  <c r="N47" i="546"/>
  <c r="T47" i="546"/>
  <c r="T9" i="545"/>
  <c r="P9" i="545"/>
  <c r="N9" i="545"/>
  <c r="T37" i="518"/>
  <c r="P37" i="518"/>
  <c r="N37" i="518"/>
  <c r="P48" i="399"/>
  <c r="N48" i="399"/>
  <c r="L49" i="399"/>
  <c r="P30" i="407"/>
  <c r="N30" i="407"/>
  <c r="P5" i="407"/>
  <c r="N5" i="407"/>
  <c r="L6" i="407"/>
  <c r="T5" i="407"/>
  <c r="P33" i="549"/>
  <c r="N33" i="549"/>
  <c r="Y77" i="549"/>
  <c r="X77" i="549"/>
  <c r="P12" i="407"/>
  <c r="N12" i="407"/>
  <c r="P44" i="540"/>
  <c r="N44" i="540"/>
  <c r="T44" i="540"/>
  <c r="P21" i="518"/>
  <c r="N21" i="518"/>
  <c r="T21" i="518"/>
  <c r="T15" i="546"/>
  <c r="P15" i="546"/>
  <c r="N15" i="546"/>
  <c r="T14" i="546"/>
  <c r="P14" i="546"/>
  <c r="N14" i="546"/>
  <c r="P24" i="525"/>
  <c r="N24" i="525"/>
  <c r="T24" i="525"/>
  <c r="T51" i="399"/>
  <c r="P11" i="549"/>
  <c r="N11" i="549"/>
  <c r="P74" i="549"/>
  <c r="N74" i="549"/>
  <c r="P7" i="545"/>
  <c r="N7" i="545"/>
  <c r="T7" i="545"/>
  <c r="P71" i="518"/>
  <c r="N71" i="518"/>
  <c r="T71" i="518"/>
  <c r="P41" i="544"/>
  <c r="N41" i="544"/>
  <c r="L42" i="544"/>
  <c r="L43" i="544"/>
  <c r="T41" i="544"/>
  <c r="T79" i="546"/>
  <c r="P79" i="546"/>
  <c r="N79" i="546"/>
  <c r="T13" i="545"/>
  <c r="P13" i="545"/>
  <c r="N13" i="545"/>
  <c r="T49" i="545"/>
  <c r="P49" i="545"/>
  <c r="N49" i="545"/>
  <c r="T55" i="518"/>
  <c r="P55" i="518"/>
  <c r="N55" i="518"/>
  <c r="T9" i="518"/>
  <c r="P9" i="518"/>
  <c r="N9" i="518"/>
  <c r="P25" i="541"/>
  <c r="N25" i="541"/>
  <c r="N27" i="541"/>
  <c r="T25" i="541"/>
  <c r="P41" i="406"/>
  <c r="N41" i="406"/>
  <c r="T53" i="518"/>
  <c r="P53" i="518"/>
  <c r="N53" i="518"/>
  <c r="T28" i="540"/>
  <c r="P28" i="540"/>
  <c r="N28" i="540"/>
  <c r="T6" i="525"/>
  <c r="P6" i="525"/>
  <c r="N6" i="525"/>
  <c r="U62" i="525"/>
  <c r="U63" i="525"/>
  <c r="U64" i="525"/>
  <c r="U65" i="525"/>
  <c r="U66" i="525"/>
  <c r="P6" i="546"/>
  <c r="N6" i="546"/>
  <c r="L7" i="546"/>
  <c r="T6" i="546"/>
  <c r="T68" i="546"/>
  <c r="P68" i="546"/>
  <c r="N68" i="546"/>
  <c r="T41" i="546"/>
  <c r="P41" i="546"/>
  <c r="N41" i="546"/>
  <c r="N12" i="540"/>
  <c r="T8" i="545"/>
  <c r="P8" i="545"/>
  <c r="N8" i="545"/>
  <c r="P65" i="518"/>
  <c r="N65" i="518"/>
  <c r="T65" i="518"/>
  <c r="W79" i="518"/>
  <c r="X79" i="518"/>
  <c r="P45" i="525"/>
  <c r="N45" i="525"/>
  <c r="T45" i="525"/>
  <c r="P24" i="406"/>
  <c r="N24" i="406"/>
  <c r="T48" i="545"/>
  <c r="P48" i="545"/>
  <c r="N48" i="545"/>
  <c r="T16" i="545"/>
  <c r="P16" i="545"/>
  <c r="N16" i="545"/>
  <c r="T36" i="518"/>
  <c r="P36" i="518"/>
  <c r="N36" i="518"/>
  <c r="P14" i="399"/>
  <c r="N14" i="399"/>
  <c r="T14" i="399"/>
  <c r="P60" i="518"/>
  <c r="N60" i="518"/>
  <c r="T60" i="518"/>
  <c r="T29" i="518"/>
  <c r="P29" i="518"/>
  <c r="N29" i="518"/>
  <c r="P17" i="407"/>
  <c r="P74" i="546"/>
  <c r="N74" i="546"/>
  <c r="T74" i="546"/>
  <c r="P17" i="541"/>
  <c r="N17" i="541"/>
  <c r="T17" i="541"/>
  <c r="P37" i="540"/>
  <c r="N37" i="540"/>
  <c r="L38" i="540"/>
  <c r="L39" i="540"/>
  <c r="L40" i="540"/>
  <c r="T37" i="540"/>
  <c r="Y62" i="406"/>
  <c r="U62" i="406"/>
  <c r="P48" i="540"/>
  <c r="N48" i="540"/>
  <c r="T48" i="540"/>
  <c r="P12" i="549"/>
  <c r="N12" i="549"/>
  <c r="P30" i="549"/>
  <c r="N30" i="549"/>
  <c r="T38" i="525"/>
  <c r="P38" i="525"/>
  <c r="N38" i="525"/>
  <c r="T25" i="546"/>
  <c r="P25" i="546"/>
  <c r="N25" i="546"/>
  <c r="P39" i="546"/>
  <c r="N39" i="546"/>
  <c r="L40" i="546"/>
  <c r="L41" i="546"/>
  <c r="T39" i="546"/>
  <c r="P32" i="545"/>
  <c r="N32" i="545"/>
  <c r="T32" i="545"/>
  <c r="P14" i="541"/>
  <c r="N14" i="541"/>
  <c r="L15" i="541"/>
  <c r="T14" i="541"/>
  <c r="P25" i="545"/>
  <c r="N25" i="545"/>
  <c r="T25" i="545"/>
  <c r="T40" i="545"/>
  <c r="P40" i="545"/>
  <c r="N40" i="545"/>
  <c r="T59" i="518"/>
  <c r="P59" i="518"/>
  <c r="N59" i="518"/>
  <c r="L60" i="518"/>
  <c r="T72" i="546"/>
  <c r="P72" i="546"/>
  <c r="N72" i="546"/>
  <c r="N75" i="546"/>
  <c r="P45" i="544"/>
  <c r="N45" i="544"/>
  <c r="T45" i="544"/>
  <c r="T53" i="546"/>
  <c r="P53" i="546"/>
  <c r="N53" i="546"/>
  <c r="P21" i="545"/>
  <c r="N21" i="545"/>
  <c r="L22" i="545"/>
  <c r="L23" i="545"/>
  <c r="T21" i="545"/>
  <c r="T17" i="546"/>
  <c r="P17" i="546"/>
  <c r="N17" i="546"/>
  <c r="P30" i="545"/>
  <c r="N30" i="545"/>
  <c r="T30" i="545"/>
  <c r="P50" i="545"/>
  <c r="N50" i="545"/>
  <c r="T50" i="545"/>
  <c r="P40" i="406"/>
  <c r="N40" i="406"/>
  <c r="T63" i="518"/>
  <c r="P63" i="518"/>
  <c r="N63" i="518"/>
  <c r="T62" i="518"/>
  <c r="P62" i="518"/>
  <c r="N62" i="518"/>
  <c r="U21" i="481"/>
  <c r="P29" i="399"/>
  <c r="N29" i="399"/>
  <c r="T29" i="399"/>
  <c r="P15" i="407"/>
  <c r="N15" i="407"/>
  <c r="T54" i="518"/>
  <c r="P54" i="518"/>
  <c r="N54" i="518"/>
  <c r="T34" i="518"/>
  <c r="P34" i="518"/>
  <c r="N34" i="518"/>
  <c r="P72" i="549"/>
  <c r="N72" i="549"/>
  <c r="W86" i="546"/>
  <c r="W87" i="546"/>
  <c r="W88" i="546"/>
  <c r="W90" i="546"/>
  <c r="W92" i="546"/>
  <c r="W94" i="546"/>
  <c r="W97" i="546"/>
  <c r="W98" i="546"/>
  <c r="W99" i="546"/>
  <c r="W100" i="546"/>
  <c r="W101" i="546"/>
  <c r="W102" i="546"/>
  <c r="W103" i="546"/>
  <c r="W104" i="546"/>
  <c r="W105" i="546"/>
  <c r="W106" i="546"/>
  <c r="W107" i="546"/>
  <c r="W108" i="546"/>
  <c r="W109" i="546"/>
  <c r="W110" i="546"/>
  <c r="W111" i="546"/>
  <c r="W112" i="546"/>
  <c r="W113" i="546"/>
  <c r="W114" i="546"/>
  <c r="W115" i="546"/>
  <c r="W116" i="546"/>
  <c r="W117" i="546"/>
  <c r="W118" i="546"/>
  <c r="W119" i="546"/>
  <c r="W120" i="546"/>
  <c r="W121" i="546"/>
  <c r="W122" i="546"/>
  <c r="W123" i="546"/>
  <c r="W124" i="546"/>
  <c r="W125" i="546"/>
  <c r="W126" i="546"/>
  <c r="W127" i="546"/>
  <c r="W128" i="546"/>
  <c r="W129" i="546"/>
  <c r="W130" i="546"/>
  <c r="W131" i="546"/>
  <c r="W132" i="546"/>
  <c r="W133" i="546"/>
  <c r="W134" i="546"/>
  <c r="W135" i="546"/>
  <c r="W136" i="546"/>
  <c r="W137" i="546"/>
  <c r="W138" i="546"/>
  <c r="W139" i="546"/>
  <c r="W140" i="546"/>
  <c r="W141" i="546"/>
  <c r="W142" i="546"/>
  <c r="W143" i="546"/>
  <c r="W144" i="546"/>
  <c r="T77" i="518"/>
  <c r="P77" i="518"/>
  <c r="N77" i="518"/>
  <c r="Z86" i="546"/>
  <c r="Z87" i="546"/>
  <c r="Z88" i="546"/>
  <c r="Z90" i="546"/>
  <c r="Z92" i="546"/>
  <c r="Z94" i="546"/>
  <c r="Z97" i="546"/>
  <c r="Z98" i="546"/>
  <c r="Z99" i="546"/>
  <c r="Z100" i="546"/>
  <c r="Z101" i="546"/>
  <c r="Z102" i="546"/>
  <c r="Z103" i="546"/>
  <c r="Z104" i="546"/>
  <c r="Z105" i="546"/>
  <c r="Z106" i="546"/>
  <c r="Z107" i="546"/>
  <c r="Z108" i="546"/>
  <c r="Z109" i="546"/>
  <c r="Z110" i="546"/>
  <c r="Z111" i="546"/>
  <c r="Z112" i="546"/>
  <c r="Z113" i="546"/>
  <c r="Z114" i="546"/>
  <c r="Z115" i="546"/>
  <c r="Z116" i="546"/>
  <c r="Z117" i="546"/>
  <c r="Z118" i="546"/>
  <c r="Z119" i="546"/>
  <c r="Z120" i="546"/>
  <c r="Z121" i="546"/>
  <c r="Z122" i="546"/>
  <c r="Z123" i="546"/>
  <c r="Z124" i="546"/>
  <c r="Z125" i="546"/>
  <c r="Z126" i="546"/>
  <c r="Z127" i="546"/>
  <c r="Z128" i="546"/>
  <c r="Z129" i="546"/>
  <c r="Z130" i="546"/>
  <c r="Z131" i="546"/>
  <c r="Z132" i="546"/>
  <c r="Z133" i="546"/>
  <c r="Z134" i="546"/>
  <c r="Z135" i="546"/>
  <c r="Z136" i="546"/>
  <c r="Z137" i="546"/>
  <c r="Z138" i="546"/>
  <c r="Z139" i="546"/>
  <c r="Z140" i="546"/>
  <c r="Z141" i="546"/>
  <c r="Z142" i="546"/>
  <c r="Z143" i="546"/>
  <c r="Z144" i="546"/>
  <c r="X86" i="546"/>
  <c r="X87" i="546"/>
  <c r="X88" i="546"/>
  <c r="X90" i="546"/>
  <c r="X92" i="546"/>
  <c r="X94" i="546"/>
  <c r="X97" i="546"/>
  <c r="X98" i="546"/>
  <c r="X99" i="546"/>
  <c r="X100" i="546"/>
  <c r="X101" i="546"/>
  <c r="X102" i="546"/>
  <c r="X103" i="546"/>
  <c r="X104" i="546"/>
  <c r="X105" i="546"/>
  <c r="X106" i="546"/>
  <c r="X107" i="546"/>
  <c r="X108" i="546"/>
  <c r="X109" i="546"/>
  <c r="X110" i="546"/>
  <c r="X111" i="546"/>
  <c r="X112" i="546"/>
  <c r="X113" i="546"/>
  <c r="X114" i="546"/>
  <c r="X115" i="546"/>
  <c r="X116" i="546"/>
  <c r="X117" i="546"/>
  <c r="X118" i="546"/>
  <c r="X119" i="546"/>
  <c r="X120" i="546"/>
  <c r="X121" i="546"/>
  <c r="X122" i="546"/>
  <c r="X123" i="546"/>
  <c r="X124" i="546"/>
  <c r="X125" i="546"/>
  <c r="X126" i="546"/>
  <c r="X127" i="546"/>
  <c r="X128" i="546"/>
  <c r="X129" i="546"/>
  <c r="X130" i="546"/>
  <c r="X131" i="546"/>
  <c r="X132" i="546"/>
  <c r="X133" i="546"/>
  <c r="X134" i="546"/>
  <c r="X135" i="546"/>
  <c r="X136" i="546"/>
  <c r="X137" i="546"/>
  <c r="X138" i="546"/>
  <c r="X139" i="546"/>
  <c r="X140" i="546"/>
  <c r="X141" i="546"/>
  <c r="X142" i="546"/>
  <c r="X143" i="546"/>
  <c r="X144" i="546"/>
  <c r="T67" i="546"/>
  <c r="P67" i="546"/>
  <c r="N67" i="546"/>
  <c r="P51" i="545"/>
  <c r="N51" i="545"/>
  <c r="T51" i="545"/>
  <c r="P16" i="525"/>
  <c r="N16" i="525"/>
  <c r="T16" i="525"/>
  <c r="P38" i="545"/>
  <c r="N38" i="545"/>
  <c r="T38" i="545"/>
  <c r="T68" i="518"/>
  <c r="P68" i="518"/>
  <c r="N68" i="518"/>
  <c r="L69" i="518"/>
  <c r="L70" i="518"/>
  <c r="L71" i="518"/>
  <c r="L72" i="518"/>
  <c r="L73" i="518"/>
  <c r="L74" i="518"/>
  <c r="AA56" i="545"/>
  <c r="AA57" i="545"/>
  <c r="AA58" i="545"/>
  <c r="AA59" i="545"/>
  <c r="AA60" i="545"/>
  <c r="AA61" i="545"/>
  <c r="AA62" i="545"/>
  <c r="AA63" i="545"/>
  <c r="AA64" i="545"/>
  <c r="AA65" i="545"/>
  <c r="AA66" i="545"/>
  <c r="AA67" i="545"/>
  <c r="AA68" i="545"/>
  <c r="AA69" i="545"/>
  <c r="AA70" i="545"/>
  <c r="AA71" i="545"/>
  <c r="AA72" i="545"/>
  <c r="AA73" i="545"/>
  <c r="AA74" i="545"/>
  <c r="AA75" i="545"/>
  <c r="AA76" i="545"/>
  <c r="AA77" i="545"/>
  <c r="AA78" i="545"/>
  <c r="AA79" i="545"/>
  <c r="AA80" i="545"/>
  <c r="AA81" i="545"/>
  <c r="AA82" i="545"/>
  <c r="AA83" i="545"/>
  <c r="AA84" i="545"/>
  <c r="AA85" i="545"/>
  <c r="AA86" i="545"/>
  <c r="AA87" i="545"/>
  <c r="AA88" i="545"/>
  <c r="AA89" i="545"/>
  <c r="AA90" i="545"/>
  <c r="AA91" i="545"/>
  <c r="AA92" i="545"/>
  <c r="AA93" i="545"/>
  <c r="AA94" i="545"/>
  <c r="AA95" i="545"/>
  <c r="AA96" i="545"/>
  <c r="AA97" i="545"/>
  <c r="AA98" i="545"/>
  <c r="AA99" i="545"/>
  <c r="AA100" i="545"/>
  <c r="AA101" i="545"/>
  <c r="AA102" i="545"/>
  <c r="AA103" i="545"/>
  <c r="AA104" i="545"/>
  <c r="AA105" i="545"/>
  <c r="AA106" i="545"/>
  <c r="AA107" i="545"/>
  <c r="AA108" i="545"/>
  <c r="AA109" i="545"/>
  <c r="Z56" i="545"/>
  <c r="Z57" i="545"/>
  <c r="Z58" i="545"/>
  <c r="Z59" i="545"/>
  <c r="Z60" i="545"/>
  <c r="Z61" i="545"/>
  <c r="Z62" i="545"/>
  <c r="Z63" i="545"/>
  <c r="Z64" i="545"/>
  <c r="Z65" i="545"/>
  <c r="Z66" i="545"/>
  <c r="Z67" i="545"/>
  <c r="Z68" i="545"/>
  <c r="Z69" i="545"/>
  <c r="Z70" i="545"/>
  <c r="Z71" i="545"/>
  <c r="Z72" i="545"/>
  <c r="Z73" i="545"/>
  <c r="Z74" i="545"/>
  <c r="Z75" i="545"/>
  <c r="Z76" i="545"/>
  <c r="Z77" i="545"/>
  <c r="Z78" i="545"/>
  <c r="Z79" i="545"/>
  <c r="Z80" i="545"/>
  <c r="Z81" i="545"/>
  <c r="Z82" i="545"/>
  <c r="Z83" i="545"/>
  <c r="Z84" i="545"/>
  <c r="Z85" i="545"/>
  <c r="Z86" i="545"/>
  <c r="Z87" i="545"/>
  <c r="Z88" i="545"/>
  <c r="Z89" i="545"/>
  <c r="Z90" i="545"/>
  <c r="Z91" i="545"/>
  <c r="Z92" i="545"/>
  <c r="Z93" i="545"/>
  <c r="Z94" i="545"/>
  <c r="Z95" i="545"/>
  <c r="Z96" i="545"/>
  <c r="Z97" i="545"/>
  <c r="Z98" i="545"/>
  <c r="Z99" i="545"/>
  <c r="Z100" i="545"/>
  <c r="Z101" i="545"/>
  <c r="Z102" i="545"/>
  <c r="Z103" i="545"/>
  <c r="Z104" i="545"/>
  <c r="Z105" i="545"/>
  <c r="Z106" i="545"/>
  <c r="Z107" i="545"/>
  <c r="Z108" i="545"/>
  <c r="Z109" i="545"/>
  <c r="P23" i="525"/>
  <c r="T23" i="525"/>
  <c r="P63" i="544"/>
  <c r="N63" i="544"/>
  <c r="L64" i="544"/>
  <c r="L65" i="544"/>
  <c r="L66" i="544"/>
  <c r="T63" i="544"/>
  <c r="T66" i="544"/>
  <c r="P66" i="544"/>
  <c r="N66" i="544"/>
  <c r="G29" i="38"/>
  <c r="F29" i="38"/>
  <c r="P23" i="546"/>
  <c r="N23" i="546"/>
  <c r="T23" i="546"/>
  <c r="P33" i="545"/>
  <c r="N33" i="545"/>
  <c r="T33" i="545"/>
  <c r="P41" i="545"/>
  <c r="N41" i="545"/>
  <c r="T41" i="545"/>
  <c r="T38" i="518"/>
  <c r="P38" i="518"/>
  <c r="N38" i="518"/>
  <c r="P10" i="518"/>
  <c r="N10" i="518"/>
  <c r="T10" i="518"/>
  <c r="P17" i="518"/>
  <c r="N17" i="518"/>
  <c r="T17" i="518"/>
  <c r="U77" i="549"/>
  <c r="AA77" i="549"/>
  <c r="T54" i="546"/>
  <c r="P54" i="546"/>
  <c r="N54" i="546"/>
  <c r="T57" i="546"/>
  <c r="P57" i="546"/>
  <c r="N57" i="546"/>
  <c r="T59" i="541"/>
  <c r="P59" i="541"/>
  <c r="N59" i="541"/>
  <c r="P46" i="540"/>
  <c r="N46" i="540"/>
  <c r="L47" i="540"/>
  <c r="T46" i="540"/>
  <c r="T13" i="540"/>
  <c r="P13" i="540"/>
  <c r="N13" i="540"/>
  <c r="L14" i="540"/>
  <c r="L15" i="540"/>
  <c r="L16" i="540"/>
  <c r="L17" i="540"/>
  <c r="L18" i="540"/>
  <c r="L19" i="540"/>
  <c r="P14" i="540"/>
  <c r="T14" i="540"/>
  <c r="P7" i="407"/>
  <c r="N7" i="407"/>
  <c r="P48" i="525"/>
  <c r="N48" i="525"/>
  <c r="T48" i="525"/>
  <c r="P42" i="406"/>
  <c r="N42" i="406"/>
  <c r="P19" i="545"/>
  <c r="N19" i="545"/>
  <c r="T19" i="545"/>
  <c r="T45" i="545"/>
  <c r="P45" i="545"/>
  <c r="N45" i="545"/>
  <c r="T32" i="525"/>
  <c r="P32" i="525"/>
  <c r="N32" i="525"/>
  <c r="T23" i="404"/>
  <c r="P23" i="404"/>
  <c r="N23" i="404"/>
  <c r="P46" i="406"/>
  <c r="N46" i="406"/>
  <c r="T18" i="481"/>
  <c r="P18" i="481"/>
  <c r="N18" i="481"/>
  <c r="T44" i="518"/>
  <c r="P44" i="518"/>
  <c r="N44" i="518"/>
  <c r="T33" i="518"/>
  <c r="P33" i="518"/>
  <c r="N33" i="518"/>
  <c r="P51" i="518"/>
  <c r="N51" i="518"/>
  <c r="T51" i="518"/>
  <c r="T34" i="546"/>
  <c r="P34" i="546"/>
  <c r="N34" i="546"/>
  <c r="T30" i="546"/>
  <c r="P30" i="546"/>
  <c r="N30" i="546"/>
  <c r="T35" i="540"/>
  <c r="P35" i="540"/>
  <c r="N35" i="540"/>
  <c r="P31" i="540"/>
  <c r="N31" i="540"/>
  <c r="T31" i="540"/>
  <c r="T40" i="540"/>
  <c r="P40" i="540"/>
  <c r="N40" i="540"/>
  <c r="T46" i="518"/>
  <c r="P46" i="518"/>
  <c r="N46" i="518"/>
  <c r="P68" i="544"/>
  <c r="N68" i="544"/>
  <c r="T68" i="544"/>
  <c r="P47" i="541"/>
  <c r="N47" i="541"/>
  <c r="T47" i="541"/>
  <c r="Z62" i="525"/>
  <c r="AA62" i="525"/>
  <c r="T65" i="546"/>
  <c r="P65" i="546"/>
  <c r="N65" i="546"/>
  <c r="T19" i="399"/>
  <c r="P19" i="399"/>
  <c r="N19" i="399"/>
  <c r="L44" i="394"/>
  <c r="L45" i="394"/>
  <c r="L46" i="394"/>
  <c r="N46" i="394"/>
  <c r="U21" i="467"/>
  <c r="U22" i="467"/>
  <c r="AB20" i="467"/>
  <c r="N20" i="467"/>
  <c r="L24" i="540"/>
  <c r="L25" i="540"/>
  <c r="L26" i="540"/>
  <c r="U67" i="525"/>
  <c r="L48" i="540"/>
  <c r="L49" i="540"/>
  <c r="L50" i="540"/>
  <c r="L51" i="540"/>
  <c r="L52" i="540"/>
  <c r="L53" i="540"/>
  <c r="L19" i="394"/>
  <c r="L20" i="394"/>
  <c r="N24" i="394"/>
  <c r="L28" i="394"/>
  <c r="L29" i="394"/>
  <c r="L30" i="394"/>
  <c r="L31" i="394"/>
  <c r="L32" i="394"/>
  <c r="L33" i="394"/>
  <c r="N33" i="394"/>
  <c r="M50" i="554"/>
  <c r="M51" i="554"/>
  <c r="M52" i="554"/>
  <c r="O64" i="554"/>
  <c r="C70" i="4"/>
  <c r="D71" i="4"/>
  <c r="L40" i="530"/>
  <c r="L43" i="543"/>
  <c r="L44" i="543"/>
  <c r="L45" i="543"/>
  <c r="L46" i="543"/>
  <c r="L47" i="543"/>
  <c r="L48" i="543"/>
  <c r="L29" i="530"/>
  <c r="L30" i="530"/>
  <c r="L31" i="530"/>
  <c r="L32" i="530"/>
  <c r="L33" i="530"/>
  <c r="L34" i="530"/>
  <c r="N44" i="517"/>
  <c r="N24" i="517"/>
  <c r="L60" i="543"/>
  <c r="L62" i="543"/>
  <c r="L63" i="543"/>
  <c r="AA48" i="394"/>
  <c r="AA49" i="394"/>
  <c r="AA50" i="394"/>
  <c r="AA51" i="394"/>
  <c r="AA52" i="394"/>
  <c r="AA53" i="394"/>
  <c r="AA54" i="394"/>
  <c r="AA55" i="394"/>
  <c r="AA56" i="394"/>
  <c r="AA57" i="394"/>
  <c r="AA58" i="394"/>
  <c r="AA59" i="394"/>
  <c r="AA60" i="394"/>
  <c r="AA61" i="394"/>
  <c r="AA62" i="394"/>
  <c r="AA63" i="394"/>
  <c r="AA64" i="394"/>
  <c r="AA65" i="394"/>
  <c r="AA66" i="394"/>
  <c r="AA67" i="394"/>
  <c r="AA68" i="394"/>
  <c r="AA69" i="394"/>
  <c r="AA70" i="394"/>
  <c r="AA71" i="394"/>
  <c r="AA72" i="394"/>
  <c r="AA73" i="394"/>
  <c r="AA74" i="394"/>
  <c r="AA75" i="394"/>
  <c r="AA76" i="394"/>
  <c r="X48" i="394"/>
  <c r="X49" i="394"/>
  <c r="X50" i="394"/>
  <c r="X51" i="394"/>
  <c r="X52" i="394"/>
  <c r="X53" i="394"/>
  <c r="X54" i="394"/>
  <c r="X55" i="394"/>
  <c r="X56" i="394"/>
  <c r="X57" i="394"/>
  <c r="X58" i="394"/>
  <c r="X59" i="394"/>
  <c r="X60" i="394"/>
  <c r="X61" i="394"/>
  <c r="X62" i="394"/>
  <c r="X63" i="394"/>
  <c r="X64" i="394"/>
  <c r="X65" i="394"/>
  <c r="X66" i="394"/>
  <c r="X67" i="394"/>
  <c r="X68" i="394"/>
  <c r="X69" i="394"/>
  <c r="X70" i="394"/>
  <c r="X71" i="394"/>
  <c r="X72" i="394"/>
  <c r="X73" i="394"/>
  <c r="X74" i="394"/>
  <c r="X75" i="394"/>
  <c r="X76" i="394"/>
  <c r="U48" i="394"/>
  <c r="U49" i="394"/>
  <c r="U50" i="394"/>
  <c r="U51" i="394"/>
  <c r="U52" i="394"/>
  <c r="U53" i="394"/>
  <c r="U54" i="394"/>
  <c r="U55" i="394"/>
  <c r="U56" i="394"/>
  <c r="U57" i="394"/>
  <c r="U58" i="394"/>
  <c r="U59" i="394"/>
  <c r="U60" i="394"/>
  <c r="U61" i="394"/>
  <c r="U62" i="394"/>
  <c r="U63" i="394"/>
  <c r="U64" i="394"/>
  <c r="U65" i="394"/>
  <c r="U66" i="394"/>
  <c r="U67" i="394"/>
  <c r="U68" i="394"/>
  <c r="U69" i="394"/>
  <c r="U70" i="394"/>
  <c r="U71" i="394"/>
  <c r="U72" i="394"/>
  <c r="U73" i="394"/>
  <c r="U74" i="394"/>
  <c r="U75" i="394"/>
  <c r="U76" i="394"/>
  <c r="AB47" i="394"/>
  <c r="Q47" i="394"/>
  <c r="I47" i="394"/>
  <c r="I48" i="394"/>
  <c r="L21" i="394"/>
  <c r="L22" i="394"/>
  <c r="L23" i="394"/>
  <c r="L24" i="394"/>
  <c r="L9" i="394"/>
  <c r="L10" i="394"/>
  <c r="L11" i="394"/>
  <c r="L12" i="394"/>
  <c r="L13" i="394"/>
  <c r="L14" i="394"/>
  <c r="L15" i="394"/>
  <c r="N15" i="394"/>
  <c r="V48" i="394"/>
  <c r="V49" i="394"/>
  <c r="V50" i="394"/>
  <c r="V51" i="394"/>
  <c r="V52" i="394"/>
  <c r="V53" i="394"/>
  <c r="V54" i="394"/>
  <c r="V55" i="394"/>
  <c r="V56" i="394"/>
  <c r="V57" i="394"/>
  <c r="V58" i="394"/>
  <c r="V59" i="394"/>
  <c r="V60" i="394"/>
  <c r="V61" i="394"/>
  <c r="V62" i="394"/>
  <c r="V63" i="394"/>
  <c r="V64" i="394"/>
  <c r="V65" i="394"/>
  <c r="V66" i="394"/>
  <c r="V67" i="394"/>
  <c r="V68" i="394"/>
  <c r="V69" i="394"/>
  <c r="V70" i="394"/>
  <c r="V71" i="394"/>
  <c r="V72" i="394"/>
  <c r="V73" i="394"/>
  <c r="V74" i="394"/>
  <c r="V75" i="394"/>
  <c r="V76" i="394"/>
  <c r="Z48" i="394"/>
  <c r="Z49" i="394"/>
  <c r="Z50" i="394"/>
  <c r="Z51" i="394"/>
  <c r="Z52" i="394"/>
  <c r="Z53" i="394"/>
  <c r="Z54" i="394"/>
  <c r="Z55" i="394"/>
  <c r="Z56" i="394"/>
  <c r="Z57" i="394"/>
  <c r="Z58" i="394"/>
  <c r="Z59" i="394"/>
  <c r="Z60" i="394"/>
  <c r="Z61" i="394"/>
  <c r="Z62" i="394"/>
  <c r="Z63" i="394"/>
  <c r="Z64" i="394"/>
  <c r="Z65" i="394"/>
  <c r="Z66" i="394"/>
  <c r="Z67" i="394"/>
  <c r="Z68" i="394"/>
  <c r="Z69" i="394"/>
  <c r="Z70" i="394"/>
  <c r="Z71" i="394"/>
  <c r="Z72" i="394"/>
  <c r="Z73" i="394"/>
  <c r="Z74" i="394"/>
  <c r="Z75" i="394"/>
  <c r="Z76" i="394"/>
  <c r="W48" i="394"/>
  <c r="W49" i="394"/>
  <c r="W50" i="394"/>
  <c r="W51" i="394"/>
  <c r="W52" i="394"/>
  <c r="W53" i="394"/>
  <c r="W54" i="394"/>
  <c r="W55" i="394"/>
  <c r="W56" i="394"/>
  <c r="W57" i="394"/>
  <c r="W58" i="394"/>
  <c r="W59" i="394"/>
  <c r="W60" i="394"/>
  <c r="W61" i="394"/>
  <c r="W62" i="394"/>
  <c r="W63" i="394"/>
  <c r="W64" i="394"/>
  <c r="W65" i="394"/>
  <c r="W66" i="394"/>
  <c r="W67" i="394"/>
  <c r="W68" i="394"/>
  <c r="W69" i="394"/>
  <c r="W70" i="394"/>
  <c r="W71" i="394"/>
  <c r="W72" i="394"/>
  <c r="W73" i="394"/>
  <c r="W74" i="394"/>
  <c r="W75" i="394"/>
  <c r="W76" i="394"/>
  <c r="I17" i="14"/>
  <c r="D5" i="14"/>
  <c r="Q16" i="8"/>
  <c r="W16" i="8"/>
  <c r="W5" i="8"/>
  <c r="C6" i="14"/>
  <c r="C17" i="14"/>
  <c r="B18" i="14"/>
  <c r="D8" i="14"/>
  <c r="E8" i="14"/>
  <c r="K6" i="14"/>
  <c r="K17" i="14"/>
  <c r="E14" i="14"/>
  <c r="J17" i="14"/>
  <c r="G6" i="14"/>
  <c r="G17" i="14"/>
  <c r="L8" i="14"/>
  <c r="N23" i="543"/>
  <c r="L19" i="543"/>
  <c r="L20" i="543"/>
  <c r="L21" i="543"/>
  <c r="L22" i="543"/>
  <c r="L23" i="543"/>
  <c r="N48" i="543"/>
  <c r="L14" i="543"/>
  <c r="P54" i="543"/>
  <c r="N51" i="543"/>
  <c r="L52" i="543"/>
  <c r="L53" i="543"/>
  <c r="L54" i="543"/>
  <c r="L55" i="543"/>
  <c r="L29" i="543"/>
  <c r="L30" i="543"/>
  <c r="L15" i="517"/>
  <c r="L16" i="517"/>
  <c r="L17" i="517"/>
  <c r="L18" i="517"/>
  <c r="L14" i="517"/>
  <c r="N15" i="530"/>
  <c r="L71" i="517"/>
  <c r="L72" i="517"/>
  <c r="L73" i="517"/>
  <c r="N63" i="543"/>
  <c r="AB70" i="543"/>
  <c r="M10" i="554"/>
  <c r="M11" i="554"/>
  <c r="X79" i="519"/>
  <c r="X80" i="519"/>
  <c r="X81" i="519"/>
  <c r="X82" i="519"/>
  <c r="X83" i="519"/>
  <c r="X84" i="519"/>
  <c r="X85" i="519"/>
  <c r="X86" i="519"/>
  <c r="X87" i="519"/>
  <c r="X88" i="519"/>
  <c r="X89" i="519"/>
  <c r="X90" i="519"/>
  <c r="X91" i="519"/>
  <c r="X92" i="519"/>
  <c r="X93" i="519"/>
  <c r="X94" i="519"/>
  <c r="X95" i="519"/>
  <c r="X96" i="519"/>
  <c r="X97" i="519"/>
  <c r="X98" i="519"/>
  <c r="X99" i="519"/>
  <c r="X100" i="519"/>
  <c r="X101" i="519"/>
  <c r="X102" i="519"/>
  <c r="X103" i="519"/>
  <c r="X104" i="519"/>
  <c r="X105" i="519"/>
  <c r="X106" i="519"/>
  <c r="X107" i="519"/>
  <c r="X108" i="519"/>
  <c r="L50" i="526"/>
  <c r="L51" i="526"/>
  <c r="L52" i="526"/>
  <c r="N45" i="526"/>
  <c r="N36" i="543"/>
  <c r="O11" i="554"/>
  <c r="L36" i="543"/>
  <c r="AB69" i="530"/>
  <c r="V71" i="548"/>
  <c r="V72" i="548"/>
  <c r="V73" i="548"/>
  <c r="V74" i="548"/>
  <c r="V75" i="548"/>
  <c r="V76" i="548"/>
  <c r="V77" i="548"/>
  <c r="V78" i="548"/>
  <c r="V79" i="548"/>
  <c r="V80" i="548"/>
  <c r="V81" i="548"/>
  <c r="V82" i="548"/>
  <c r="V83" i="548"/>
  <c r="V84" i="548"/>
  <c r="V85" i="548"/>
  <c r="V86" i="548"/>
  <c r="V87" i="548"/>
  <c r="V88" i="548"/>
  <c r="V89" i="548"/>
  <c r="V90" i="548"/>
  <c r="V91" i="548"/>
  <c r="V92" i="548"/>
  <c r="V93" i="548"/>
  <c r="V94" i="548"/>
  <c r="V95" i="548"/>
  <c r="V96" i="548"/>
  <c r="V97" i="548"/>
  <c r="V98" i="548"/>
  <c r="V99" i="548"/>
  <c r="V100" i="548"/>
  <c r="V101" i="548"/>
  <c r="V102" i="548"/>
  <c r="V103" i="548"/>
  <c r="V104" i="548"/>
  <c r="V105" i="548"/>
  <c r="V106" i="548"/>
  <c r="V107" i="548"/>
  <c r="V108" i="548"/>
  <c r="V109" i="548"/>
  <c r="V110" i="548"/>
  <c r="V111" i="548"/>
  <c r="V112" i="548"/>
  <c r="V113" i="548"/>
  <c r="V114" i="548"/>
  <c r="V115" i="548"/>
  <c r="V116" i="548"/>
  <c r="V117" i="548"/>
  <c r="V118" i="548"/>
  <c r="V119" i="548"/>
  <c r="V120" i="548"/>
  <c r="V121" i="548"/>
  <c r="V122" i="548"/>
  <c r="V123" i="548"/>
  <c r="V124" i="548"/>
  <c r="V125" i="548"/>
  <c r="V126" i="548"/>
  <c r="Z71" i="548"/>
  <c r="Z72" i="548"/>
  <c r="Z73" i="548"/>
  <c r="Z74" i="548"/>
  <c r="Z75" i="548"/>
  <c r="Z76" i="548"/>
  <c r="Z77" i="548"/>
  <c r="Z78" i="548"/>
  <c r="Z79" i="548"/>
  <c r="Z80" i="548"/>
  <c r="Z81" i="548"/>
  <c r="Z82" i="548"/>
  <c r="Z83" i="548"/>
  <c r="Z84" i="548"/>
  <c r="Z85" i="548"/>
  <c r="Z86" i="548"/>
  <c r="Z87" i="548"/>
  <c r="Z88" i="548"/>
  <c r="Z89" i="548"/>
  <c r="Z90" i="548"/>
  <c r="Z91" i="548"/>
  <c r="Z92" i="548"/>
  <c r="Z93" i="548"/>
  <c r="Z94" i="548"/>
  <c r="Z95" i="548"/>
  <c r="Z96" i="548"/>
  <c r="Z97" i="548"/>
  <c r="Z98" i="548"/>
  <c r="Z99" i="548"/>
  <c r="Z100" i="548"/>
  <c r="Z101" i="548"/>
  <c r="Z102" i="548"/>
  <c r="Z103" i="548"/>
  <c r="Z104" i="548"/>
  <c r="Z105" i="548"/>
  <c r="Z106" i="548"/>
  <c r="Z107" i="548"/>
  <c r="Z108" i="548"/>
  <c r="Z109" i="548"/>
  <c r="Z110" i="548"/>
  <c r="Z111" i="548"/>
  <c r="Z112" i="548"/>
  <c r="Z113" i="548"/>
  <c r="Z114" i="548"/>
  <c r="Z115" i="548"/>
  <c r="Z116" i="548"/>
  <c r="Z117" i="548"/>
  <c r="Z118" i="548"/>
  <c r="Z119" i="548"/>
  <c r="Z120" i="548"/>
  <c r="Z121" i="548"/>
  <c r="Z122" i="548"/>
  <c r="Z123" i="548"/>
  <c r="Z124" i="548"/>
  <c r="Z125" i="548"/>
  <c r="Z126" i="548"/>
  <c r="L15" i="548"/>
  <c r="L16" i="548"/>
  <c r="L17" i="548"/>
  <c r="L18" i="548"/>
  <c r="U71" i="548"/>
  <c r="U72" i="548"/>
  <c r="U73" i="548"/>
  <c r="U74" i="548"/>
  <c r="U75" i="548"/>
  <c r="U76" i="548"/>
  <c r="U77" i="548"/>
  <c r="U78" i="548"/>
  <c r="U79" i="548"/>
  <c r="U80" i="548"/>
  <c r="U81" i="548"/>
  <c r="U82" i="548"/>
  <c r="U83" i="548"/>
  <c r="U84" i="548"/>
  <c r="U85" i="548"/>
  <c r="U86" i="548"/>
  <c r="U87" i="548"/>
  <c r="U88" i="548"/>
  <c r="U89" i="548"/>
  <c r="U90" i="548"/>
  <c r="U91" i="548"/>
  <c r="U92" i="548"/>
  <c r="U93" i="548"/>
  <c r="U94" i="548"/>
  <c r="U95" i="548"/>
  <c r="U96" i="548"/>
  <c r="U97" i="548"/>
  <c r="U98" i="548"/>
  <c r="U99" i="548"/>
  <c r="U100" i="548"/>
  <c r="U101" i="548"/>
  <c r="U102" i="548"/>
  <c r="U103" i="548"/>
  <c r="U104" i="548"/>
  <c r="U105" i="548"/>
  <c r="U106" i="548"/>
  <c r="U107" i="548"/>
  <c r="U108" i="548"/>
  <c r="U109" i="548"/>
  <c r="U110" i="548"/>
  <c r="U111" i="548"/>
  <c r="U112" i="548"/>
  <c r="U113" i="548"/>
  <c r="U114" i="548"/>
  <c r="U115" i="548"/>
  <c r="U116" i="548"/>
  <c r="U117" i="548"/>
  <c r="U118" i="548"/>
  <c r="U119" i="548"/>
  <c r="U120" i="548"/>
  <c r="U121" i="548"/>
  <c r="U122" i="548"/>
  <c r="U123" i="548"/>
  <c r="U124" i="548"/>
  <c r="U125" i="548"/>
  <c r="U126" i="548"/>
  <c r="AB70" i="548"/>
  <c r="Q70" i="548"/>
  <c r="E70" i="548"/>
  <c r="E71" i="548"/>
  <c r="L20" i="526"/>
  <c r="L21" i="526"/>
  <c r="L56" i="526"/>
  <c r="L57" i="526"/>
  <c r="L58" i="526"/>
  <c r="L59" i="526"/>
  <c r="AA71" i="548"/>
  <c r="AA72" i="548"/>
  <c r="AA73" i="548"/>
  <c r="AA74" i="548"/>
  <c r="AA75" i="548"/>
  <c r="AA76" i="548"/>
  <c r="AA77" i="548"/>
  <c r="AA78" i="548"/>
  <c r="AA79" i="548"/>
  <c r="AA80" i="548"/>
  <c r="AA81" i="548"/>
  <c r="AA82" i="548"/>
  <c r="AA83" i="548"/>
  <c r="AA84" i="548"/>
  <c r="AA85" i="548"/>
  <c r="AA86" i="548"/>
  <c r="AA87" i="548"/>
  <c r="AA88" i="548"/>
  <c r="AA89" i="548"/>
  <c r="AA90" i="548"/>
  <c r="AA91" i="548"/>
  <c r="AA92" i="548"/>
  <c r="AA93" i="548"/>
  <c r="AA94" i="548"/>
  <c r="AA95" i="548"/>
  <c r="AA96" i="548"/>
  <c r="AA97" i="548"/>
  <c r="AA98" i="548"/>
  <c r="AA99" i="548"/>
  <c r="AA100" i="548"/>
  <c r="AA101" i="548"/>
  <c r="AA102" i="548"/>
  <c r="AA103" i="548"/>
  <c r="AA104" i="548"/>
  <c r="AA105" i="548"/>
  <c r="AA106" i="548"/>
  <c r="AA107" i="548"/>
  <c r="AA108" i="548"/>
  <c r="AA109" i="548"/>
  <c r="AA110" i="548"/>
  <c r="AA111" i="548"/>
  <c r="AA112" i="548"/>
  <c r="AA113" i="548"/>
  <c r="AA114" i="548"/>
  <c r="AA115" i="548"/>
  <c r="AA116" i="548"/>
  <c r="AA117" i="548"/>
  <c r="AA118" i="548"/>
  <c r="AA119" i="548"/>
  <c r="AA120" i="548"/>
  <c r="AA121" i="548"/>
  <c r="AA122" i="548"/>
  <c r="AA123" i="548"/>
  <c r="AA124" i="548"/>
  <c r="AA125" i="548"/>
  <c r="AA126" i="548"/>
  <c r="W71" i="548"/>
  <c r="W72" i="548"/>
  <c r="W73" i="548"/>
  <c r="W74" i="548"/>
  <c r="W75" i="548"/>
  <c r="W76" i="548"/>
  <c r="W77" i="548"/>
  <c r="W78" i="548"/>
  <c r="W79" i="548"/>
  <c r="W80" i="548"/>
  <c r="W81" i="548"/>
  <c r="W82" i="548"/>
  <c r="W83" i="548"/>
  <c r="W84" i="548"/>
  <c r="W85" i="548"/>
  <c r="W86" i="548"/>
  <c r="W87" i="548"/>
  <c r="W88" i="548"/>
  <c r="W89" i="548"/>
  <c r="W90" i="548"/>
  <c r="W91" i="548"/>
  <c r="W92" i="548"/>
  <c r="W93" i="548"/>
  <c r="W94" i="548"/>
  <c r="W95" i="548"/>
  <c r="W96" i="548"/>
  <c r="W97" i="548"/>
  <c r="W98" i="548"/>
  <c r="W99" i="548"/>
  <c r="W100" i="548"/>
  <c r="W101" i="548"/>
  <c r="W102" i="548"/>
  <c r="W103" i="548"/>
  <c r="W104" i="548"/>
  <c r="W105" i="548"/>
  <c r="W106" i="548"/>
  <c r="W107" i="548"/>
  <c r="W108" i="548"/>
  <c r="W109" i="548"/>
  <c r="W110" i="548"/>
  <c r="W111" i="548"/>
  <c r="W112" i="548"/>
  <c r="W113" i="548"/>
  <c r="W114" i="548"/>
  <c r="W115" i="548"/>
  <c r="W116" i="548"/>
  <c r="W117" i="548"/>
  <c r="W118" i="548"/>
  <c r="W119" i="548"/>
  <c r="W120" i="548"/>
  <c r="W121" i="548"/>
  <c r="W122" i="548"/>
  <c r="W123" i="548"/>
  <c r="W124" i="548"/>
  <c r="W125" i="548"/>
  <c r="W126" i="548"/>
  <c r="N69" i="548"/>
  <c r="L66" i="548"/>
  <c r="L33" i="548"/>
  <c r="L34" i="548"/>
  <c r="L35" i="548"/>
  <c r="N35" i="548"/>
  <c r="Y71" i="548"/>
  <c r="Y72" i="548"/>
  <c r="Y73" i="548"/>
  <c r="Y74" i="548"/>
  <c r="Y75" i="548"/>
  <c r="Y76" i="548"/>
  <c r="Y77" i="548"/>
  <c r="Y78" i="548"/>
  <c r="Y79" i="548"/>
  <c r="Y80" i="548"/>
  <c r="Y81" i="548"/>
  <c r="Y82" i="548"/>
  <c r="Y83" i="548"/>
  <c r="Y84" i="548"/>
  <c r="Y85" i="548"/>
  <c r="Y86" i="548"/>
  <c r="Y87" i="548"/>
  <c r="Y88" i="548"/>
  <c r="Y89" i="548"/>
  <c r="Y90" i="548"/>
  <c r="Y91" i="548"/>
  <c r="Y92" i="548"/>
  <c r="Y93" i="548"/>
  <c r="Y94" i="548"/>
  <c r="Y95" i="548"/>
  <c r="Y96" i="548"/>
  <c r="Y97" i="548"/>
  <c r="Y98" i="548"/>
  <c r="Y99" i="548"/>
  <c r="Y100" i="548"/>
  <c r="Y101" i="548"/>
  <c r="Y102" i="548"/>
  <c r="Y103" i="548"/>
  <c r="Y104" i="548"/>
  <c r="Y105" i="548"/>
  <c r="Y106" i="548"/>
  <c r="Y107" i="548"/>
  <c r="Y108" i="548"/>
  <c r="Y109" i="548"/>
  <c r="Y110" i="548"/>
  <c r="Y111" i="548"/>
  <c r="Y112" i="548"/>
  <c r="Y113" i="548"/>
  <c r="Y114" i="548"/>
  <c r="Y115" i="548"/>
  <c r="Y116" i="548"/>
  <c r="Y117" i="548"/>
  <c r="Y118" i="548"/>
  <c r="Y119" i="548"/>
  <c r="Y120" i="548"/>
  <c r="Y121" i="548"/>
  <c r="Y122" i="548"/>
  <c r="Y123" i="548"/>
  <c r="Y124" i="548"/>
  <c r="Y125" i="548"/>
  <c r="Y126" i="548"/>
  <c r="N25" i="548"/>
  <c r="L22" i="548"/>
  <c r="X71" i="548"/>
  <c r="X72" i="548"/>
  <c r="X73" i="548"/>
  <c r="X74" i="548"/>
  <c r="X75" i="548"/>
  <c r="X76" i="548"/>
  <c r="X77" i="548"/>
  <c r="X78" i="548"/>
  <c r="X79" i="548"/>
  <c r="X80" i="548"/>
  <c r="X81" i="548"/>
  <c r="X82" i="548"/>
  <c r="X83" i="548"/>
  <c r="X84" i="548"/>
  <c r="X85" i="548"/>
  <c r="X86" i="548"/>
  <c r="X87" i="548"/>
  <c r="X88" i="548"/>
  <c r="X89" i="548"/>
  <c r="X90" i="548"/>
  <c r="X91" i="548"/>
  <c r="X92" i="548"/>
  <c r="X93" i="548"/>
  <c r="X94" i="548"/>
  <c r="X95" i="548"/>
  <c r="X96" i="548"/>
  <c r="X97" i="548"/>
  <c r="X98" i="548"/>
  <c r="X99" i="548"/>
  <c r="X100" i="548"/>
  <c r="X101" i="548"/>
  <c r="X102" i="548"/>
  <c r="X103" i="548"/>
  <c r="X104" i="548"/>
  <c r="X105" i="548"/>
  <c r="X106" i="548"/>
  <c r="X107" i="548"/>
  <c r="X108" i="548"/>
  <c r="X109" i="548"/>
  <c r="X110" i="548"/>
  <c r="X111" i="548"/>
  <c r="X112" i="548"/>
  <c r="X113" i="548"/>
  <c r="X114" i="548"/>
  <c r="X115" i="548"/>
  <c r="X116" i="548"/>
  <c r="X117" i="548"/>
  <c r="X118" i="548"/>
  <c r="X119" i="548"/>
  <c r="X120" i="548"/>
  <c r="X121" i="548"/>
  <c r="X122" i="548"/>
  <c r="X123" i="548"/>
  <c r="X124" i="548"/>
  <c r="X125" i="548"/>
  <c r="X126" i="548"/>
  <c r="N85" i="541"/>
  <c r="L57" i="541"/>
  <c r="L58" i="541"/>
  <c r="L59" i="541"/>
  <c r="N30" i="541"/>
  <c r="P33" i="541"/>
  <c r="L81" i="541"/>
  <c r="L82" i="541"/>
  <c r="L83" i="541"/>
  <c r="N30" i="543"/>
  <c r="L19" i="530"/>
  <c r="L21" i="530"/>
  <c r="L75" i="526"/>
  <c r="L76" i="526"/>
  <c r="L77" i="526"/>
  <c r="L78" i="526"/>
  <c r="L79" i="526"/>
  <c r="L80" i="526"/>
  <c r="L81" i="526"/>
  <c r="L89" i="526"/>
  <c r="Y74" i="517"/>
  <c r="Y75" i="517"/>
  <c r="Y76" i="517"/>
  <c r="Y77" i="517"/>
  <c r="Y78" i="517"/>
  <c r="Y79" i="517"/>
  <c r="Y80" i="517"/>
  <c r="Y81" i="517"/>
  <c r="Y82" i="517"/>
  <c r="Y83" i="517"/>
  <c r="Y84" i="517"/>
  <c r="Y85" i="517"/>
  <c r="Y86" i="517"/>
  <c r="Y87" i="517"/>
  <c r="Y88" i="517"/>
  <c r="Y89" i="517"/>
  <c r="Y90" i="517"/>
  <c r="Y91" i="517"/>
  <c r="Y92" i="517"/>
  <c r="Y93" i="517"/>
  <c r="Y94" i="517"/>
  <c r="Y95" i="517"/>
  <c r="Y96" i="517"/>
  <c r="Y97" i="517"/>
  <c r="Y98" i="517"/>
  <c r="Y99" i="517"/>
  <c r="Y100" i="517"/>
  <c r="Y101" i="517"/>
  <c r="Y102" i="517"/>
  <c r="Y103" i="517"/>
  <c r="Y104" i="517"/>
  <c r="Y105" i="517"/>
  <c r="Y106" i="517"/>
  <c r="Y107" i="517"/>
  <c r="Y108" i="517"/>
  <c r="Y109" i="517"/>
  <c r="Y110" i="517"/>
  <c r="Y111" i="517"/>
  <c r="Y112" i="517"/>
  <c r="Y113" i="517"/>
  <c r="Y114" i="517"/>
  <c r="Y115" i="517"/>
  <c r="Y116" i="517"/>
  <c r="Y117" i="517"/>
  <c r="Y118" i="517"/>
  <c r="Y119" i="517"/>
  <c r="Y120" i="517"/>
  <c r="Y121" i="517"/>
  <c r="Y122" i="517"/>
  <c r="Y123" i="517"/>
  <c r="Y124" i="517"/>
  <c r="Y125" i="517"/>
  <c r="Y126" i="517"/>
  <c r="Y127" i="517"/>
  <c r="Y128" i="517"/>
  <c r="L54" i="517"/>
  <c r="L55" i="517"/>
  <c r="L56" i="517"/>
  <c r="L57" i="517"/>
  <c r="L58" i="517"/>
  <c r="L59" i="517"/>
  <c r="L60" i="517"/>
  <c r="N60" i="517"/>
  <c r="N66" i="517"/>
  <c r="L28" i="517"/>
  <c r="L30" i="517"/>
  <c r="L31" i="517"/>
  <c r="L27" i="517"/>
  <c r="L29" i="517"/>
  <c r="N31" i="517"/>
  <c r="N73" i="517"/>
  <c r="Q71" i="519"/>
  <c r="O71" i="519"/>
  <c r="U71" i="519"/>
  <c r="N18" i="517"/>
  <c r="N11" i="517"/>
  <c r="L8" i="517"/>
  <c r="L9" i="517"/>
  <c r="L10" i="517"/>
  <c r="L11" i="517"/>
  <c r="U90" i="526"/>
  <c r="U91" i="526"/>
  <c r="U92" i="526"/>
  <c r="U93" i="526"/>
  <c r="U94" i="526"/>
  <c r="U95" i="526"/>
  <c r="U96" i="526"/>
  <c r="U97" i="526"/>
  <c r="U98" i="526"/>
  <c r="U99" i="526"/>
  <c r="U100" i="526"/>
  <c r="U101" i="526"/>
  <c r="U102" i="526"/>
  <c r="U103" i="526"/>
  <c r="U104" i="526"/>
  <c r="U105" i="526"/>
  <c r="U106" i="526"/>
  <c r="U107" i="526"/>
  <c r="U108" i="526"/>
  <c r="U109" i="526"/>
  <c r="U110" i="526"/>
  <c r="U111" i="526"/>
  <c r="U112" i="526"/>
  <c r="U113" i="526"/>
  <c r="U114" i="526"/>
  <c r="U115" i="526"/>
  <c r="U116" i="526"/>
  <c r="U117" i="526"/>
  <c r="U118" i="526"/>
  <c r="U119" i="526"/>
  <c r="U120" i="526"/>
  <c r="U121" i="526"/>
  <c r="AB89" i="526"/>
  <c r="Q90" i="526"/>
  <c r="H90" i="526"/>
  <c r="H91" i="526"/>
  <c r="W74" i="517"/>
  <c r="W75" i="517"/>
  <c r="W76" i="517"/>
  <c r="W77" i="517"/>
  <c r="W78" i="517"/>
  <c r="W79" i="517"/>
  <c r="W80" i="517"/>
  <c r="W81" i="517"/>
  <c r="W82" i="517"/>
  <c r="W83" i="517"/>
  <c r="W84" i="517"/>
  <c r="W85" i="517"/>
  <c r="W86" i="517"/>
  <c r="W87" i="517"/>
  <c r="W88" i="517"/>
  <c r="W89" i="517"/>
  <c r="W90" i="517"/>
  <c r="W91" i="517"/>
  <c r="W92" i="517"/>
  <c r="W93" i="517"/>
  <c r="W94" i="517"/>
  <c r="W95" i="517"/>
  <c r="W96" i="517"/>
  <c r="W97" i="517"/>
  <c r="W98" i="517"/>
  <c r="W99" i="517"/>
  <c r="W100" i="517"/>
  <c r="W101" i="517"/>
  <c r="W102" i="517"/>
  <c r="W103" i="517"/>
  <c r="W104" i="517"/>
  <c r="W105" i="517"/>
  <c r="W106" i="517"/>
  <c r="W107" i="517"/>
  <c r="W108" i="517"/>
  <c r="W109" i="517"/>
  <c r="W110" i="517"/>
  <c r="W111" i="517"/>
  <c r="W112" i="517"/>
  <c r="W113" i="517"/>
  <c r="W114" i="517"/>
  <c r="W115" i="517"/>
  <c r="W116" i="517"/>
  <c r="W117" i="517"/>
  <c r="W118" i="517"/>
  <c r="W119" i="517"/>
  <c r="W120" i="517"/>
  <c r="W121" i="517"/>
  <c r="W122" i="517"/>
  <c r="W123" i="517"/>
  <c r="W124" i="517"/>
  <c r="W125" i="517"/>
  <c r="W126" i="517"/>
  <c r="W127" i="517"/>
  <c r="W128" i="517"/>
  <c r="L33" i="517"/>
  <c r="L34" i="517"/>
  <c r="N37" i="517"/>
  <c r="V74" i="517"/>
  <c r="V75" i="517"/>
  <c r="V76" i="517"/>
  <c r="V77" i="517"/>
  <c r="V78" i="517"/>
  <c r="V79" i="517"/>
  <c r="V80" i="517"/>
  <c r="V81" i="517"/>
  <c r="V82" i="517"/>
  <c r="V83" i="517"/>
  <c r="V84" i="517"/>
  <c r="V85" i="517"/>
  <c r="V86" i="517"/>
  <c r="V87" i="517"/>
  <c r="V88" i="517"/>
  <c r="V89" i="517"/>
  <c r="V90" i="517"/>
  <c r="V91" i="517"/>
  <c r="V92" i="517"/>
  <c r="V93" i="517"/>
  <c r="V94" i="517"/>
  <c r="V95" i="517"/>
  <c r="V96" i="517"/>
  <c r="V97" i="517"/>
  <c r="V98" i="517"/>
  <c r="V99" i="517"/>
  <c r="V100" i="517"/>
  <c r="V101" i="517"/>
  <c r="V102" i="517"/>
  <c r="V103" i="517"/>
  <c r="V104" i="517"/>
  <c r="V105" i="517"/>
  <c r="V106" i="517"/>
  <c r="V107" i="517"/>
  <c r="V108" i="517"/>
  <c r="V109" i="517"/>
  <c r="V110" i="517"/>
  <c r="V111" i="517"/>
  <c r="V112" i="517"/>
  <c r="V113" i="517"/>
  <c r="V114" i="517"/>
  <c r="V115" i="517"/>
  <c r="V116" i="517"/>
  <c r="V117" i="517"/>
  <c r="V118" i="517"/>
  <c r="V119" i="517"/>
  <c r="V120" i="517"/>
  <c r="V121" i="517"/>
  <c r="V122" i="517"/>
  <c r="V123" i="517"/>
  <c r="V124" i="517"/>
  <c r="V125" i="517"/>
  <c r="V126" i="517"/>
  <c r="V127" i="517"/>
  <c r="V128" i="517"/>
  <c r="X74" i="517"/>
  <c r="X75" i="517"/>
  <c r="X76" i="517"/>
  <c r="X77" i="517"/>
  <c r="X78" i="517"/>
  <c r="X79" i="517"/>
  <c r="X80" i="517"/>
  <c r="X81" i="517"/>
  <c r="X82" i="517"/>
  <c r="X83" i="517"/>
  <c r="X84" i="517"/>
  <c r="X85" i="517"/>
  <c r="X86" i="517"/>
  <c r="X87" i="517"/>
  <c r="X88" i="517"/>
  <c r="X89" i="517"/>
  <c r="X90" i="517"/>
  <c r="X91" i="517"/>
  <c r="X92" i="517"/>
  <c r="X93" i="517"/>
  <c r="X94" i="517"/>
  <c r="X95" i="517"/>
  <c r="X96" i="517"/>
  <c r="X97" i="517"/>
  <c r="X98" i="517"/>
  <c r="X99" i="517"/>
  <c r="X100" i="517"/>
  <c r="X101" i="517"/>
  <c r="X102" i="517"/>
  <c r="X103" i="517"/>
  <c r="X104" i="517"/>
  <c r="X105" i="517"/>
  <c r="X106" i="517"/>
  <c r="X107" i="517"/>
  <c r="X108" i="517"/>
  <c r="X109" i="517"/>
  <c r="X110" i="517"/>
  <c r="X111" i="517"/>
  <c r="X112" i="517"/>
  <c r="X113" i="517"/>
  <c r="X114" i="517"/>
  <c r="X115" i="517"/>
  <c r="X116" i="517"/>
  <c r="X117" i="517"/>
  <c r="X118" i="517"/>
  <c r="X119" i="517"/>
  <c r="X120" i="517"/>
  <c r="X121" i="517"/>
  <c r="X122" i="517"/>
  <c r="X123" i="517"/>
  <c r="X124" i="517"/>
  <c r="X125" i="517"/>
  <c r="X126" i="517"/>
  <c r="X127" i="517"/>
  <c r="X128" i="517"/>
  <c r="F72" i="554"/>
  <c r="F73" i="554"/>
  <c r="AA74" i="517"/>
  <c r="AA75" i="517"/>
  <c r="AA76" i="517"/>
  <c r="AA77" i="517"/>
  <c r="AA78" i="517"/>
  <c r="AA79" i="517"/>
  <c r="AA80" i="517"/>
  <c r="AA81" i="517"/>
  <c r="AA82" i="517"/>
  <c r="AA83" i="517"/>
  <c r="AA84" i="517"/>
  <c r="AA85" i="517"/>
  <c r="AA86" i="517"/>
  <c r="AA87" i="517"/>
  <c r="AA88" i="517"/>
  <c r="AA89" i="517"/>
  <c r="AA90" i="517"/>
  <c r="AA91" i="517"/>
  <c r="AA92" i="517"/>
  <c r="AA93" i="517"/>
  <c r="AA94" i="517"/>
  <c r="AA95" i="517"/>
  <c r="AA96" i="517"/>
  <c r="AA97" i="517"/>
  <c r="AA98" i="517"/>
  <c r="AA99" i="517"/>
  <c r="AA100" i="517"/>
  <c r="AA101" i="517"/>
  <c r="AA102" i="517"/>
  <c r="AA103" i="517"/>
  <c r="AA104" i="517"/>
  <c r="AA105" i="517"/>
  <c r="AA106" i="517"/>
  <c r="AA107" i="517"/>
  <c r="AA108" i="517"/>
  <c r="AA109" i="517"/>
  <c r="AA110" i="517"/>
  <c r="AA111" i="517"/>
  <c r="AA112" i="517"/>
  <c r="AA113" i="517"/>
  <c r="AA114" i="517"/>
  <c r="AA115" i="517"/>
  <c r="AA116" i="517"/>
  <c r="AA117" i="517"/>
  <c r="AA118" i="517"/>
  <c r="AA119" i="517"/>
  <c r="AA120" i="517"/>
  <c r="AA121" i="517"/>
  <c r="AA122" i="517"/>
  <c r="AA123" i="517"/>
  <c r="AA124" i="517"/>
  <c r="AA125" i="517"/>
  <c r="AA126" i="517"/>
  <c r="AA127" i="517"/>
  <c r="AA128" i="517"/>
  <c r="AB73" i="517"/>
  <c r="Q74" i="517"/>
  <c r="G74" i="517"/>
  <c r="G75" i="517"/>
  <c r="U74" i="517"/>
  <c r="U75" i="517"/>
  <c r="U76" i="517"/>
  <c r="U77" i="517"/>
  <c r="U78" i="517"/>
  <c r="U79" i="517"/>
  <c r="U80" i="517"/>
  <c r="U81" i="517"/>
  <c r="U82" i="517"/>
  <c r="U83" i="517"/>
  <c r="U84" i="517"/>
  <c r="U85" i="517"/>
  <c r="U86" i="517"/>
  <c r="U87" i="517"/>
  <c r="U88" i="517"/>
  <c r="U89" i="517"/>
  <c r="U90" i="517"/>
  <c r="U91" i="517"/>
  <c r="U92" i="517"/>
  <c r="U93" i="517"/>
  <c r="U94" i="517"/>
  <c r="U95" i="517"/>
  <c r="U96" i="517"/>
  <c r="U97" i="517"/>
  <c r="U98" i="517"/>
  <c r="U99" i="517"/>
  <c r="U100" i="517"/>
  <c r="U101" i="517"/>
  <c r="U102" i="517"/>
  <c r="U103" i="517"/>
  <c r="U104" i="517"/>
  <c r="U105" i="517"/>
  <c r="U106" i="517"/>
  <c r="U107" i="517"/>
  <c r="U108" i="517"/>
  <c r="U109" i="517"/>
  <c r="U110" i="517"/>
  <c r="U111" i="517"/>
  <c r="U112" i="517"/>
  <c r="U113" i="517"/>
  <c r="U114" i="517"/>
  <c r="U115" i="517"/>
  <c r="U116" i="517"/>
  <c r="U117" i="517"/>
  <c r="U118" i="517"/>
  <c r="U119" i="517"/>
  <c r="U120" i="517"/>
  <c r="U121" i="517"/>
  <c r="U122" i="517"/>
  <c r="U123" i="517"/>
  <c r="U124" i="517"/>
  <c r="U125" i="517"/>
  <c r="U126" i="517"/>
  <c r="U127" i="517"/>
  <c r="U128" i="517"/>
  <c r="L41" i="517"/>
  <c r="L42" i="517"/>
  <c r="L43" i="517"/>
  <c r="L44" i="517"/>
  <c r="L46" i="517"/>
  <c r="L47" i="517"/>
  <c r="L48" i="517"/>
  <c r="L49" i="517"/>
  <c r="L50" i="517"/>
  <c r="L51" i="517"/>
  <c r="L52" i="517"/>
  <c r="N52" i="517"/>
  <c r="Z74" i="517"/>
  <c r="Z75" i="517"/>
  <c r="Z76" i="517"/>
  <c r="Z77" i="517"/>
  <c r="Z78" i="517"/>
  <c r="Z79" i="517"/>
  <c r="Z80" i="517"/>
  <c r="Z81" i="517"/>
  <c r="Z82" i="517"/>
  <c r="Z83" i="517"/>
  <c r="Z84" i="517"/>
  <c r="Z85" i="517"/>
  <c r="Z86" i="517"/>
  <c r="Z87" i="517"/>
  <c r="Z88" i="517"/>
  <c r="Z89" i="517"/>
  <c r="Z90" i="517"/>
  <c r="Z91" i="517"/>
  <c r="Z92" i="517"/>
  <c r="Z93" i="517"/>
  <c r="Z94" i="517"/>
  <c r="Z95" i="517"/>
  <c r="Z96" i="517"/>
  <c r="Z97" i="517"/>
  <c r="Z98" i="517"/>
  <c r="Z99" i="517"/>
  <c r="Z100" i="517"/>
  <c r="Z101" i="517"/>
  <c r="Z102" i="517"/>
  <c r="Z103" i="517"/>
  <c r="Z104" i="517"/>
  <c r="Z105" i="517"/>
  <c r="Z106" i="517"/>
  <c r="Z107" i="517"/>
  <c r="Z108" i="517"/>
  <c r="Z109" i="517"/>
  <c r="Z110" i="517"/>
  <c r="Z111" i="517"/>
  <c r="Z112" i="517"/>
  <c r="Z113" i="517"/>
  <c r="Z114" i="517"/>
  <c r="Z115" i="517"/>
  <c r="Z116" i="517"/>
  <c r="Z117" i="517"/>
  <c r="Z118" i="517"/>
  <c r="Z119" i="517"/>
  <c r="Z120" i="517"/>
  <c r="Z121" i="517"/>
  <c r="Z122" i="517"/>
  <c r="Z123" i="517"/>
  <c r="Z124" i="517"/>
  <c r="Z125" i="517"/>
  <c r="Z126" i="517"/>
  <c r="Z127" i="517"/>
  <c r="Z128" i="517"/>
  <c r="L15" i="530"/>
  <c r="X90" i="526"/>
  <c r="X91" i="526"/>
  <c r="X92" i="526"/>
  <c r="X93" i="526"/>
  <c r="X94" i="526"/>
  <c r="X95" i="526"/>
  <c r="X96" i="526"/>
  <c r="X97" i="526"/>
  <c r="X98" i="526"/>
  <c r="X99" i="526"/>
  <c r="X100" i="526"/>
  <c r="X101" i="526"/>
  <c r="X102" i="526"/>
  <c r="X103" i="526"/>
  <c r="X104" i="526"/>
  <c r="X105" i="526"/>
  <c r="X106" i="526"/>
  <c r="X107" i="526"/>
  <c r="X108" i="526"/>
  <c r="X109" i="526"/>
  <c r="X110" i="526"/>
  <c r="X111" i="526"/>
  <c r="X112" i="526"/>
  <c r="X113" i="526"/>
  <c r="X114" i="526"/>
  <c r="X115" i="526"/>
  <c r="X116" i="526"/>
  <c r="X117" i="526"/>
  <c r="X118" i="526"/>
  <c r="X119" i="526"/>
  <c r="X120" i="526"/>
  <c r="X121" i="526"/>
  <c r="L8" i="526"/>
  <c r="L9" i="526"/>
  <c r="L10" i="526"/>
  <c r="L11" i="526"/>
  <c r="N11" i="526"/>
  <c r="Z80" i="519"/>
  <c r="Z81" i="519"/>
  <c r="Z82" i="519"/>
  <c r="Z83" i="519"/>
  <c r="Z84" i="519"/>
  <c r="Z85" i="519"/>
  <c r="Z86" i="519"/>
  <c r="Z87" i="519"/>
  <c r="Z88" i="519"/>
  <c r="Z89" i="519"/>
  <c r="Z90" i="519"/>
  <c r="Z91" i="519"/>
  <c r="Z92" i="519"/>
  <c r="Z93" i="519"/>
  <c r="Z94" i="519"/>
  <c r="Z95" i="519"/>
  <c r="Z96" i="519"/>
  <c r="Z97" i="519"/>
  <c r="Z98" i="519"/>
  <c r="Z99" i="519"/>
  <c r="Z100" i="519"/>
  <c r="Z101" i="519"/>
  <c r="Z102" i="519"/>
  <c r="Z103" i="519"/>
  <c r="Z104" i="519"/>
  <c r="Z105" i="519"/>
  <c r="Z106" i="519"/>
  <c r="Z107" i="519"/>
  <c r="Z108" i="519"/>
  <c r="W80" i="519"/>
  <c r="W81" i="519"/>
  <c r="W82" i="519"/>
  <c r="W83" i="519"/>
  <c r="W84" i="519"/>
  <c r="W85" i="519"/>
  <c r="W86" i="519"/>
  <c r="W87" i="519"/>
  <c r="W88" i="519"/>
  <c r="W89" i="519"/>
  <c r="W90" i="519"/>
  <c r="W91" i="519"/>
  <c r="W92" i="519"/>
  <c r="W93" i="519"/>
  <c r="W94" i="519"/>
  <c r="W95" i="519"/>
  <c r="W96" i="519"/>
  <c r="W97" i="519"/>
  <c r="W98" i="519"/>
  <c r="W99" i="519"/>
  <c r="W100" i="519"/>
  <c r="W101" i="519"/>
  <c r="W102" i="519"/>
  <c r="W103" i="519"/>
  <c r="W104" i="519"/>
  <c r="W105" i="519"/>
  <c r="W106" i="519"/>
  <c r="W107" i="519"/>
  <c r="W108" i="519"/>
  <c r="U69" i="519"/>
  <c r="Q69" i="519"/>
  <c r="O69" i="519"/>
  <c r="Q65" i="519"/>
  <c r="O65" i="519"/>
  <c r="O67" i="519"/>
  <c r="U65" i="519"/>
  <c r="Q74" i="519"/>
  <c r="O74" i="519"/>
  <c r="U74" i="519"/>
  <c r="K72" i="554"/>
  <c r="K73" i="554"/>
  <c r="N31" i="412"/>
  <c r="L27" i="412"/>
  <c r="L28" i="412"/>
  <c r="L29" i="412"/>
  <c r="L30" i="412"/>
  <c r="L31" i="412"/>
  <c r="M12" i="519"/>
  <c r="M13" i="519"/>
  <c r="M14" i="519"/>
  <c r="M15" i="519"/>
  <c r="M16" i="519"/>
  <c r="M17" i="519"/>
  <c r="M18" i="519"/>
  <c r="M8" i="519"/>
  <c r="L42" i="412"/>
  <c r="L43" i="412"/>
  <c r="L44" i="412"/>
  <c r="L45" i="412"/>
  <c r="N45" i="412"/>
  <c r="M50" i="519"/>
  <c r="M51" i="519"/>
  <c r="M52" i="519"/>
  <c r="M53" i="519"/>
  <c r="AC79" i="519"/>
  <c r="R80" i="519"/>
  <c r="F80" i="519"/>
  <c r="F81" i="519"/>
  <c r="V80" i="519"/>
  <c r="V81" i="519"/>
  <c r="V82" i="519"/>
  <c r="V83" i="519"/>
  <c r="V84" i="519"/>
  <c r="V85" i="519"/>
  <c r="V86" i="519"/>
  <c r="V87" i="519"/>
  <c r="V88" i="519"/>
  <c r="V89" i="519"/>
  <c r="V90" i="519"/>
  <c r="V91" i="519"/>
  <c r="V92" i="519"/>
  <c r="V93" i="519"/>
  <c r="V94" i="519"/>
  <c r="V95" i="519"/>
  <c r="V96" i="519"/>
  <c r="V97" i="519"/>
  <c r="V98" i="519"/>
  <c r="V99" i="519"/>
  <c r="V100" i="519"/>
  <c r="V101" i="519"/>
  <c r="V102" i="519"/>
  <c r="V103" i="519"/>
  <c r="V104" i="519"/>
  <c r="V105" i="519"/>
  <c r="V106" i="519"/>
  <c r="V107" i="519"/>
  <c r="V108" i="519"/>
  <c r="O18" i="519"/>
  <c r="O38" i="519"/>
  <c r="M32" i="519"/>
  <c r="M36" i="519"/>
  <c r="M37" i="519"/>
  <c r="M38" i="519"/>
  <c r="O60" i="519"/>
  <c r="M57" i="519"/>
  <c r="M58" i="519"/>
  <c r="M59" i="519"/>
  <c r="M60" i="519"/>
  <c r="M61" i="519"/>
  <c r="M62" i="519"/>
  <c r="M63" i="519"/>
  <c r="M64" i="519"/>
  <c r="M65" i="519"/>
  <c r="N24" i="412"/>
  <c r="L20" i="412"/>
  <c r="L21" i="412"/>
  <c r="L22" i="412"/>
  <c r="L23" i="412"/>
  <c r="L24" i="412"/>
  <c r="O28" i="519"/>
  <c r="M21" i="519"/>
  <c r="M26" i="519"/>
  <c r="M27" i="519"/>
  <c r="M28" i="519"/>
  <c r="M22" i="519"/>
  <c r="M23" i="519"/>
  <c r="M24" i="519"/>
  <c r="M25" i="519"/>
  <c r="S67" i="519"/>
  <c r="S68" i="519"/>
  <c r="L72" i="554"/>
  <c r="L73" i="554"/>
  <c r="Y80" i="519"/>
  <c r="Y81" i="519"/>
  <c r="Y82" i="519"/>
  <c r="Y83" i="519"/>
  <c r="Y84" i="519"/>
  <c r="Y85" i="519"/>
  <c r="Y86" i="519"/>
  <c r="Y87" i="519"/>
  <c r="Y88" i="519"/>
  <c r="Y89" i="519"/>
  <c r="Y90" i="519"/>
  <c r="Y91" i="519"/>
  <c r="Y92" i="519"/>
  <c r="Y93" i="519"/>
  <c r="Y94" i="519"/>
  <c r="Y95" i="519"/>
  <c r="Y96" i="519"/>
  <c r="Y97" i="519"/>
  <c r="Y98" i="519"/>
  <c r="Y99" i="519"/>
  <c r="Y100" i="519"/>
  <c r="Y101" i="519"/>
  <c r="Y102" i="519"/>
  <c r="Y103" i="519"/>
  <c r="Y104" i="519"/>
  <c r="Y105" i="519"/>
  <c r="Y106" i="519"/>
  <c r="Y107" i="519"/>
  <c r="Y108" i="519"/>
  <c r="L7" i="412"/>
  <c r="L8" i="412"/>
  <c r="L9" i="412"/>
  <c r="L10" i="412"/>
  <c r="L11" i="412"/>
  <c r="N11" i="412"/>
  <c r="J72" i="554"/>
  <c r="J73" i="554"/>
  <c r="H72" i="554"/>
  <c r="H73" i="554"/>
  <c r="L14" i="412"/>
  <c r="L15" i="412"/>
  <c r="L16" i="412"/>
  <c r="L17" i="412"/>
  <c r="L18" i="412"/>
  <c r="N18" i="412"/>
  <c r="AA80" i="519"/>
  <c r="AA81" i="519"/>
  <c r="AA82" i="519"/>
  <c r="AA83" i="519"/>
  <c r="AA84" i="519"/>
  <c r="AA85" i="519"/>
  <c r="AA86" i="519"/>
  <c r="AA87" i="519"/>
  <c r="AA88" i="519"/>
  <c r="AA89" i="519"/>
  <c r="AA90" i="519"/>
  <c r="AA91" i="519"/>
  <c r="AA92" i="519"/>
  <c r="AA93" i="519"/>
  <c r="AA94" i="519"/>
  <c r="AA95" i="519"/>
  <c r="AA96" i="519"/>
  <c r="AA97" i="519"/>
  <c r="AA98" i="519"/>
  <c r="AA99" i="519"/>
  <c r="AA100" i="519"/>
  <c r="AA101" i="519"/>
  <c r="AA102" i="519"/>
  <c r="AA103" i="519"/>
  <c r="AA104" i="519"/>
  <c r="AA105" i="519"/>
  <c r="AA106" i="519"/>
  <c r="AA107" i="519"/>
  <c r="AA108" i="519"/>
  <c r="L35" i="412"/>
  <c r="L36" i="412"/>
  <c r="L37" i="412"/>
  <c r="L38" i="412"/>
  <c r="L39" i="412"/>
  <c r="L34" i="412"/>
  <c r="N39" i="412"/>
  <c r="S60" i="519"/>
  <c r="G72" i="554"/>
  <c r="G73" i="554"/>
  <c r="U73" i="519"/>
  <c r="Q73" i="519"/>
  <c r="O73" i="519"/>
  <c r="AB80" i="519"/>
  <c r="AB81" i="519"/>
  <c r="AB82" i="519"/>
  <c r="AB83" i="519"/>
  <c r="AB84" i="519"/>
  <c r="AB85" i="519"/>
  <c r="AB86" i="519"/>
  <c r="AB87" i="519"/>
  <c r="AB88" i="519"/>
  <c r="AB89" i="519"/>
  <c r="AB90" i="519"/>
  <c r="AB91" i="519"/>
  <c r="AB92" i="519"/>
  <c r="AB93" i="519"/>
  <c r="AB94" i="519"/>
  <c r="AB95" i="519"/>
  <c r="AB96" i="519"/>
  <c r="AB97" i="519"/>
  <c r="AB98" i="519"/>
  <c r="AB99" i="519"/>
  <c r="AB100" i="519"/>
  <c r="AB101" i="519"/>
  <c r="AB102" i="519"/>
  <c r="AB103" i="519"/>
  <c r="AB104" i="519"/>
  <c r="AB105" i="519"/>
  <c r="AB106" i="519"/>
  <c r="AB107" i="519"/>
  <c r="AB108" i="519"/>
  <c r="L47" i="412"/>
  <c r="L48" i="412"/>
  <c r="L49" i="412"/>
  <c r="L50" i="412"/>
  <c r="L51" i="412"/>
  <c r="N51" i="412"/>
  <c r="L22" i="524"/>
  <c r="L23" i="524"/>
  <c r="L48" i="401"/>
  <c r="L49" i="401"/>
  <c r="L50" i="401"/>
  <c r="L51" i="401"/>
  <c r="L52" i="401"/>
  <c r="N44" i="401"/>
  <c r="L37" i="401"/>
  <c r="L38" i="401"/>
  <c r="L39" i="401"/>
  <c r="L40" i="401"/>
  <c r="L41" i="401"/>
  <c r="L42" i="401"/>
  <c r="L43" i="401"/>
  <c r="L44" i="401"/>
  <c r="L34" i="401"/>
  <c r="L35" i="401"/>
  <c r="N67" i="401"/>
  <c r="L12" i="399"/>
  <c r="L13" i="399"/>
  <c r="L15" i="399"/>
  <c r="N21" i="399"/>
  <c r="N60" i="399"/>
  <c r="L57" i="399"/>
  <c r="L58" i="399"/>
  <c r="L59" i="399"/>
  <c r="L60" i="399"/>
  <c r="L9" i="406"/>
  <c r="N12" i="406"/>
  <c r="L8" i="406"/>
  <c r="L61" i="543"/>
  <c r="L47" i="549"/>
  <c r="L57" i="549"/>
  <c r="L58" i="549"/>
  <c r="L59" i="549"/>
  <c r="L60" i="549"/>
  <c r="L61" i="549"/>
  <c r="L62" i="549"/>
  <c r="L63" i="549"/>
  <c r="N54" i="549"/>
  <c r="N63" i="549"/>
  <c r="L48" i="549"/>
  <c r="L49" i="549"/>
  <c r="L50" i="549"/>
  <c r="L51" i="549"/>
  <c r="L52" i="549"/>
  <c r="L53" i="549"/>
  <c r="L54" i="549"/>
  <c r="L20" i="530"/>
  <c r="L22" i="530"/>
  <c r="L23" i="530"/>
  <c r="L60" i="541"/>
  <c r="L84" i="541"/>
  <c r="N45" i="540"/>
  <c r="N59" i="546"/>
  <c r="N58" i="518"/>
  <c r="L14" i="546"/>
  <c r="L15" i="546"/>
  <c r="R21" i="481"/>
  <c r="L24" i="545"/>
  <c r="L25" i="545"/>
  <c r="L26" i="545"/>
  <c r="L44" i="544"/>
  <c r="L45" i="544"/>
  <c r="L7" i="407"/>
  <c r="L8" i="407"/>
  <c r="L29" i="546"/>
  <c r="L9" i="541"/>
  <c r="L10" i="541"/>
  <c r="L11" i="541"/>
  <c r="L12" i="541"/>
  <c r="L13" i="541"/>
  <c r="AB78" i="540"/>
  <c r="L46" i="544"/>
  <c r="L47" i="544"/>
  <c r="L48" i="544"/>
  <c r="N36" i="540"/>
  <c r="N81" i="546"/>
  <c r="L18" i="481"/>
  <c r="L19" i="481"/>
  <c r="L20" i="481"/>
  <c r="L41" i="540"/>
  <c r="L42" i="540"/>
  <c r="L43" i="540"/>
  <c r="L44" i="540"/>
  <c r="N49" i="518"/>
  <c r="AA78" i="549"/>
  <c r="AA79" i="549"/>
  <c r="AA80" i="549"/>
  <c r="AA81" i="549"/>
  <c r="AA82" i="549"/>
  <c r="AA83" i="549"/>
  <c r="AA84" i="549"/>
  <c r="AA85" i="549"/>
  <c r="AA86" i="549"/>
  <c r="AA87" i="549"/>
  <c r="AA88" i="549"/>
  <c r="AA89" i="549"/>
  <c r="AA90" i="549"/>
  <c r="AA91" i="549"/>
  <c r="AA92" i="549"/>
  <c r="AA93" i="549"/>
  <c r="AA94" i="549"/>
  <c r="AA95" i="549"/>
  <c r="AA96" i="549"/>
  <c r="AA97" i="549"/>
  <c r="AA98" i="549"/>
  <c r="AA99" i="549"/>
  <c r="AA100" i="549"/>
  <c r="AA101" i="549"/>
  <c r="AA102" i="549"/>
  <c r="AA103" i="549"/>
  <c r="AA104" i="549"/>
  <c r="AA105" i="549"/>
  <c r="AA106" i="549"/>
  <c r="AA107" i="549"/>
  <c r="AA108" i="549"/>
  <c r="AA109" i="549"/>
  <c r="AA110" i="549"/>
  <c r="AA111" i="549"/>
  <c r="AA112" i="549"/>
  <c r="AA113" i="549"/>
  <c r="AA114" i="549"/>
  <c r="AA115" i="549"/>
  <c r="AA116" i="549"/>
  <c r="AA117" i="549"/>
  <c r="AA118" i="549"/>
  <c r="AA119" i="549"/>
  <c r="AA120" i="549"/>
  <c r="AA121" i="549"/>
  <c r="AA122" i="549"/>
  <c r="AA123" i="549"/>
  <c r="AA124" i="549"/>
  <c r="AA125" i="549"/>
  <c r="AA126" i="549"/>
  <c r="AA127" i="549"/>
  <c r="AA128" i="549"/>
  <c r="AA129" i="549"/>
  <c r="AA130" i="549"/>
  <c r="AA131" i="549"/>
  <c r="AA132" i="549"/>
  <c r="AA133" i="549"/>
  <c r="Y68" i="399"/>
  <c r="Y69" i="399"/>
  <c r="Y70" i="399"/>
  <c r="Y71" i="399"/>
  <c r="Y72" i="399"/>
  <c r="Y73" i="399"/>
  <c r="Y74" i="399"/>
  <c r="Y75" i="399"/>
  <c r="Y76" i="399"/>
  <c r="Y77" i="399"/>
  <c r="Y78" i="399"/>
  <c r="Y79" i="399"/>
  <c r="Y80" i="399"/>
  <c r="Y81" i="399"/>
  <c r="Y82" i="399"/>
  <c r="Y83" i="399"/>
  <c r="Y84" i="399"/>
  <c r="Y85" i="399"/>
  <c r="Y86" i="399"/>
  <c r="Y87" i="399"/>
  <c r="Y88" i="399"/>
  <c r="Y89" i="399"/>
  <c r="Y90" i="399"/>
  <c r="Y91" i="399"/>
  <c r="Y92" i="399"/>
  <c r="Y93" i="399"/>
  <c r="Y94" i="399"/>
  <c r="Y95" i="399"/>
  <c r="Y96" i="399"/>
  <c r="Y97" i="399"/>
  <c r="Y98" i="399"/>
  <c r="Y99" i="399"/>
  <c r="Y100" i="399"/>
  <c r="Y101" i="399"/>
  <c r="Y102" i="399"/>
  <c r="Y103" i="399"/>
  <c r="Y104" i="399"/>
  <c r="Y105" i="399"/>
  <c r="Y106" i="399"/>
  <c r="Y107" i="399"/>
  <c r="Y108" i="399"/>
  <c r="Y109" i="399"/>
  <c r="Y110" i="399"/>
  <c r="Y111" i="399"/>
  <c r="L64" i="518"/>
  <c r="L65" i="518"/>
  <c r="L66" i="518"/>
  <c r="L67" i="518"/>
  <c r="L61" i="518"/>
  <c r="L62" i="518"/>
  <c r="L63" i="518"/>
  <c r="I11" i="38"/>
  <c r="AB62" i="406"/>
  <c r="Q62" i="406"/>
  <c r="K62" i="406"/>
  <c r="K63" i="406"/>
  <c r="U63" i="406"/>
  <c r="U64" i="406"/>
  <c r="U65" i="406"/>
  <c r="U66" i="406"/>
  <c r="U67" i="406"/>
  <c r="U68" i="406"/>
  <c r="U71" i="406"/>
  <c r="U72" i="406"/>
  <c r="U73" i="406"/>
  <c r="U74" i="406"/>
  <c r="U75" i="406"/>
  <c r="U76" i="406"/>
  <c r="U77" i="406"/>
  <c r="U78" i="406"/>
  <c r="U79" i="406"/>
  <c r="U80" i="406"/>
  <c r="U81" i="406"/>
  <c r="U82" i="406"/>
  <c r="U83" i="406"/>
  <c r="U84" i="406"/>
  <c r="U85" i="406"/>
  <c r="U86" i="406"/>
  <c r="U87" i="406"/>
  <c r="U88" i="406"/>
  <c r="U89" i="406"/>
  <c r="U90" i="406"/>
  <c r="U91" i="406"/>
  <c r="U92" i="406"/>
  <c r="U93" i="406"/>
  <c r="U94" i="406"/>
  <c r="U95" i="406"/>
  <c r="U96" i="406"/>
  <c r="U97" i="406"/>
  <c r="U98" i="406"/>
  <c r="U99" i="406"/>
  <c r="U100" i="406"/>
  <c r="U101" i="406"/>
  <c r="U102" i="406"/>
  <c r="U103" i="406"/>
  <c r="U104" i="406"/>
  <c r="U105" i="406"/>
  <c r="U106" i="406"/>
  <c r="U107" i="406"/>
  <c r="U108" i="406"/>
  <c r="U109" i="406"/>
  <c r="U110" i="406"/>
  <c r="U111" i="406"/>
  <c r="U112" i="406"/>
  <c r="U113" i="406"/>
  <c r="U114" i="406"/>
  <c r="U115" i="406"/>
  <c r="U116" i="406"/>
  <c r="U117" i="406"/>
  <c r="U118" i="406"/>
  <c r="U119" i="406"/>
  <c r="U120" i="406"/>
  <c r="X78" i="549"/>
  <c r="X79" i="549"/>
  <c r="X80" i="549"/>
  <c r="X81" i="549"/>
  <c r="X82" i="549"/>
  <c r="X83" i="549"/>
  <c r="X84" i="549"/>
  <c r="X85" i="549"/>
  <c r="X86" i="549"/>
  <c r="X87" i="549"/>
  <c r="X88" i="549"/>
  <c r="X89" i="549"/>
  <c r="X90" i="549"/>
  <c r="X91" i="549"/>
  <c r="X92" i="549"/>
  <c r="X93" i="549"/>
  <c r="X94" i="549"/>
  <c r="X95" i="549"/>
  <c r="X96" i="549"/>
  <c r="X97" i="549"/>
  <c r="X98" i="549"/>
  <c r="X99" i="549"/>
  <c r="X100" i="549"/>
  <c r="X101" i="549"/>
  <c r="X102" i="549"/>
  <c r="X103" i="549"/>
  <c r="X104" i="549"/>
  <c r="X105" i="549"/>
  <c r="X106" i="549"/>
  <c r="X107" i="549"/>
  <c r="X108" i="549"/>
  <c r="X109" i="549"/>
  <c r="X110" i="549"/>
  <c r="X111" i="549"/>
  <c r="X112" i="549"/>
  <c r="X113" i="549"/>
  <c r="X114" i="549"/>
  <c r="X115" i="549"/>
  <c r="X116" i="549"/>
  <c r="X117" i="549"/>
  <c r="X118" i="549"/>
  <c r="X119" i="549"/>
  <c r="X120" i="549"/>
  <c r="X121" i="549"/>
  <c r="X122" i="549"/>
  <c r="X123" i="549"/>
  <c r="X124" i="549"/>
  <c r="X125" i="549"/>
  <c r="X126" i="549"/>
  <c r="X127" i="549"/>
  <c r="X128" i="549"/>
  <c r="X129" i="549"/>
  <c r="X130" i="549"/>
  <c r="X131" i="549"/>
  <c r="X132" i="549"/>
  <c r="X133" i="549"/>
  <c r="N36" i="549"/>
  <c r="L9" i="407"/>
  <c r="L10" i="407"/>
  <c r="X68" i="399"/>
  <c r="X69" i="399"/>
  <c r="X70" i="399"/>
  <c r="X71" i="399"/>
  <c r="X72" i="399"/>
  <c r="X73" i="399"/>
  <c r="X74" i="399"/>
  <c r="X75" i="399"/>
  <c r="X76" i="399"/>
  <c r="X77" i="399"/>
  <c r="X78" i="399"/>
  <c r="X79" i="399"/>
  <c r="X80" i="399"/>
  <c r="X81" i="399"/>
  <c r="X82" i="399"/>
  <c r="X83" i="399"/>
  <c r="X84" i="399"/>
  <c r="X85" i="399"/>
  <c r="X86" i="399"/>
  <c r="X87" i="399"/>
  <c r="X88" i="399"/>
  <c r="X89" i="399"/>
  <c r="X90" i="399"/>
  <c r="X91" i="399"/>
  <c r="X92" i="399"/>
  <c r="X93" i="399"/>
  <c r="X94" i="399"/>
  <c r="X95" i="399"/>
  <c r="X96" i="399"/>
  <c r="X97" i="399"/>
  <c r="X98" i="399"/>
  <c r="X99" i="399"/>
  <c r="X100" i="399"/>
  <c r="X101" i="399"/>
  <c r="X102" i="399"/>
  <c r="X103" i="399"/>
  <c r="X104" i="399"/>
  <c r="X105" i="399"/>
  <c r="X106" i="399"/>
  <c r="X107" i="399"/>
  <c r="X108" i="399"/>
  <c r="X109" i="399"/>
  <c r="X110" i="399"/>
  <c r="X111" i="399"/>
  <c r="AA68" i="399"/>
  <c r="AA69" i="399"/>
  <c r="AA70" i="399"/>
  <c r="AA71" i="399"/>
  <c r="AA72" i="399"/>
  <c r="AA73" i="399"/>
  <c r="AA74" i="399"/>
  <c r="AA75" i="399"/>
  <c r="AA76" i="399"/>
  <c r="AA77" i="399"/>
  <c r="AA78" i="399"/>
  <c r="AA79" i="399"/>
  <c r="AA80" i="399"/>
  <c r="AA81" i="399"/>
  <c r="AA82" i="399"/>
  <c r="AA83" i="399"/>
  <c r="AA84" i="399"/>
  <c r="AA85" i="399"/>
  <c r="AA86" i="399"/>
  <c r="AA87" i="399"/>
  <c r="AA88" i="399"/>
  <c r="AA89" i="399"/>
  <c r="AA90" i="399"/>
  <c r="AA91" i="399"/>
  <c r="AA92" i="399"/>
  <c r="AA93" i="399"/>
  <c r="AA94" i="399"/>
  <c r="AA95" i="399"/>
  <c r="AA96" i="399"/>
  <c r="AA97" i="399"/>
  <c r="AA98" i="399"/>
  <c r="AA99" i="399"/>
  <c r="AA100" i="399"/>
  <c r="AA101" i="399"/>
  <c r="AA102" i="399"/>
  <c r="AA103" i="399"/>
  <c r="AA104" i="399"/>
  <c r="AA105" i="399"/>
  <c r="AA106" i="399"/>
  <c r="AA107" i="399"/>
  <c r="AA108" i="399"/>
  <c r="AA109" i="399"/>
  <c r="AA110" i="399"/>
  <c r="AA111" i="399"/>
  <c r="L21" i="406"/>
  <c r="L22" i="406"/>
  <c r="L23" i="406"/>
  <c r="L24" i="406"/>
  <c r="L25" i="406"/>
  <c r="N25" i="406"/>
  <c r="N69" i="546"/>
  <c r="N32" i="518"/>
  <c r="L28" i="518"/>
  <c r="L29" i="518"/>
  <c r="L30" i="518"/>
  <c r="L31" i="518"/>
  <c r="L32" i="518"/>
  <c r="L25" i="518"/>
  <c r="L26" i="518"/>
  <c r="L27" i="518"/>
  <c r="N74" i="518"/>
  <c r="B29" i="38"/>
  <c r="L32" i="525"/>
  <c r="L33" i="525"/>
  <c r="L34" i="525"/>
  <c r="L35" i="525"/>
  <c r="N39" i="525"/>
  <c r="AA63" i="406"/>
  <c r="AA64" i="406"/>
  <c r="AA65" i="406"/>
  <c r="AA66" i="406"/>
  <c r="AA67" i="406"/>
  <c r="AA68" i="406"/>
  <c r="AA71" i="406"/>
  <c r="AA72" i="406"/>
  <c r="AA73" i="406"/>
  <c r="AA74" i="406"/>
  <c r="AA75" i="406"/>
  <c r="AA76" i="406"/>
  <c r="AA77" i="406"/>
  <c r="AA78" i="406"/>
  <c r="AA79" i="406"/>
  <c r="AA80" i="406"/>
  <c r="AA81" i="406"/>
  <c r="AA82" i="406"/>
  <c r="AA83" i="406"/>
  <c r="AA84" i="406"/>
  <c r="AA85" i="406"/>
  <c r="AA86" i="406"/>
  <c r="AA87" i="406"/>
  <c r="AA88" i="406"/>
  <c r="AA89" i="406"/>
  <c r="AA90" i="406"/>
  <c r="AA91" i="406"/>
  <c r="AA92" i="406"/>
  <c r="AA93" i="406"/>
  <c r="AA94" i="406"/>
  <c r="AA95" i="406"/>
  <c r="AA96" i="406"/>
  <c r="AA97" i="406"/>
  <c r="AA98" i="406"/>
  <c r="AA99" i="406"/>
  <c r="AA100" i="406"/>
  <c r="AA101" i="406"/>
  <c r="AA102" i="406"/>
  <c r="AA103" i="406"/>
  <c r="AA104" i="406"/>
  <c r="AA105" i="406"/>
  <c r="AA106" i="406"/>
  <c r="AA107" i="406"/>
  <c r="AA108" i="406"/>
  <c r="AA109" i="406"/>
  <c r="AA110" i="406"/>
  <c r="AA111" i="406"/>
  <c r="AA112" i="406"/>
  <c r="AA113" i="406"/>
  <c r="AA114" i="406"/>
  <c r="AA115" i="406"/>
  <c r="AA116" i="406"/>
  <c r="AA117" i="406"/>
  <c r="AA118" i="406"/>
  <c r="AA119" i="406"/>
  <c r="AA120" i="406"/>
  <c r="V78" i="549"/>
  <c r="V79" i="549"/>
  <c r="V80" i="549"/>
  <c r="V81" i="549"/>
  <c r="V82" i="549"/>
  <c r="V83" i="549"/>
  <c r="V84" i="549"/>
  <c r="V85" i="549"/>
  <c r="V86" i="549"/>
  <c r="V87" i="549"/>
  <c r="V88" i="549"/>
  <c r="V89" i="549"/>
  <c r="V90" i="549"/>
  <c r="V91" i="549"/>
  <c r="V92" i="549"/>
  <c r="V93" i="549"/>
  <c r="V94" i="549"/>
  <c r="V95" i="549"/>
  <c r="V96" i="549"/>
  <c r="V97" i="549"/>
  <c r="V98" i="549"/>
  <c r="V99" i="549"/>
  <c r="V100" i="549"/>
  <c r="V101" i="549"/>
  <c r="V102" i="549"/>
  <c r="V103" i="549"/>
  <c r="V104" i="549"/>
  <c r="V105" i="549"/>
  <c r="V106" i="549"/>
  <c r="V107" i="549"/>
  <c r="V108" i="549"/>
  <c r="V109" i="549"/>
  <c r="V110" i="549"/>
  <c r="V111" i="549"/>
  <c r="V112" i="549"/>
  <c r="V113" i="549"/>
  <c r="V114" i="549"/>
  <c r="V115" i="549"/>
  <c r="V116" i="549"/>
  <c r="V117" i="549"/>
  <c r="V118" i="549"/>
  <c r="V119" i="549"/>
  <c r="V120" i="549"/>
  <c r="V121" i="549"/>
  <c r="V122" i="549"/>
  <c r="V123" i="549"/>
  <c r="V124" i="549"/>
  <c r="V125" i="549"/>
  <c r="V126" i="549"/>
  <c r="V127" i="549"/>
  <c r="V128" i="549"/>
  <c r="V129" i="549"/>
  <c r="V130" i="549"/>
  <c r="V131" i="549"/>
  <c r="V132" i="549"/>
  <c r="V133" i="549"/>
  <c r="X56" i="407"/>
  <c r="X57" i="407"/>
  <c r="X58" i="407"/>
  <c r="X59" i="407"/>
  <c r="X60" i="407"/>
  <c r="X61" i="407"/>
  <c r="X62" i="407"/>
  <c r="X63" i="407"/>
  <c r="X64" i="407"/>
  <c r="X65" i="407"/>
  <c r="X66" i="407"/>
  <c r="X67" i="407"/>
  <c r="X68" i="407"/>
  <c r="X69" i="407"/>
  <c r="X70" i="407"/>
  <c r="X71" i="407"/>
  <c r="X72" i="407"/>
  <c r="X73" i="407"/>
  <c r="X74" i="407"/>
  <c r="X75" i="407"/>
  <c r="X76" i="407"/>
  <c r="X77" i="407"/>
  <c r="X78" i="407"/>
  <c r="X79" i="407"/>
  <c r="X80" i="407"/>
  <c r="X81" i="407"/>
  <c r="X82" i="407"/>
  <c r="X83" i="407"/>
  <c r="X84" i="407"/>
  <c r="X85" i="407"/>
  <c r="X86" i="407"/>
  <c r="X87" i="407"/>
  <c r="X88" i="407"/>
  <c r="X89" i="407"/>
  <c r="X90" i="407"/>
  <c r="X91" i="407"/>
  <c r="X92" i="407"/>
  <c r="X93" i="407"/>
  <c r="X94" i="407"/>
  <c r="X95" i="407"/>
  <c r="X96" i="407"/>
  <c r="X97" i="407"/>
  <c r="X98" i="407"/>
  <c r="X99" i="407"/>
  <c r="X100" i="407"/>
  <c r="X101" i="407"/>
  <c r="X102" i="407"/>
  <c r="X103" i="407"/>
  <c r="X104" i="407"/>
  <c r="X105" i="407"/>
  <c r="X106" i="407"/>
  <c r="X107" i="407"/>
  <c r="X108" i="407"/>
  <c r="W112" i="399"/>
  <c r="W113" i="399"/>
  <c r="W114" i="399"/>
  <c r="W115" i="399"/>
  <c r="W116" i="399"/>
  <c r="W117" i="399"/>
  <c r="W118" i="399"/>
  <c r="W119" i="399"/>
  <c r="W120" i="399"/>
  <c r="W121" i="399"/>
  <c r="W122" i="399"/>
  <c r="W123" i="399"/>
  <c r="E8" i="38"/>
  <c r="N55" i="525"/>
  <c r="L27" i="407"/>
  <c r="L30" i="407"/>
  <c r="L31" i="407"/>
  <c r="L44" i="518"/>
  <c r="L45" i="518"/>
  <c r="L46" i="518"/>
  <c r="L47" i="518"/>
  <c r="L48" i="518"/>
  <c r="L49" i="518"/>
  <c r="L50" i="406"/>
  <c r="L51" i="406"/>
  <c r="L52" i="406"/>
  <c r="N55" i="406"/>
  <c r="N61" i="406"/>
  <c r="U78" i="549"/>
  <c r="U79" i="549"/>
  <c r="U80" i="549"/>
  <c r="U81" i="549"/>
  <c r="U82" i="549"/>
  <c r="U83" i="549"/>
  <c r="U84" i="549"/>
  <c r="U85" i="549"/>
  <c r="U86" i="549"/>
  <c r="U87" i="549"/>
  <c r="U88" i="549"/>
  <c r="U89" i="549"/>
  <c r="U90" i="549"/>
  <c r="U91" i="549"/>
  <c r="U92" i="549"/>
  <c r="U93" i="549"/>
  <c r="U94" i="549"/>
  <c r="U95" i="549"/>
  <c r="U96" i="549"/>
  <c r="U97" i="549"/>
  <c r="U98" i="549"/>
  <c r="U99" i="549"/>
  <c r="U100" i="549"/>
  <c r="U101" i="549"/>
  <c r="U102" i="549"/>
  <c r="U103" i="549"/>
  <c r="U104" i="549"/>
  <c r="U105" i="549"/>
  <c r="U106" i="549"/>
  <c r="U107" i="549"/>
  <c r="U108" i="549"/>
  <c r="U109" i="549"/>
  <c r="U110" i="549"/>
  <c r="U111" i="549"/>
  <c r="U112" i="549"/>
  <c r="U113" i="549"/>
  <c r="U114" i="549"/>
  <c r="U115" i="549"/>
  <c r="U116" i="549"/>
  <c r="U117" i="549"/>
  <c r="U118" i="549"/>
  <c r="U119" i="549"/>
  <c r="U120" i="549"/>
  <c r="U121" i="549"/>
  <c r="U122" i="549"/>
  <c r="U123" i="549"/>
  <c r="U124" i="549"/>
  <c r="U125" i="549"/>
  <c r="U126" i="549"/>
  <c r="U127" i="549"/>
  <c r="U128" i="549"/>
  <c r="U129" i="549"/>
  <c r="U130" i="549"/>
  <c r="U131" i="549"/>
  <c r="U132" i="549"/>
  <c r="U133" i="549"/>
  <c r="AB77" i="549"/>
  <c r="Q77" i="549"/>
  <c r="I77" i="549"/>
  <c r="I78" i="549"/>
  <c r="U69" i="401"/>
  <c r="U70" i="401"/>
  <c r="U71" i="401"/>
  <c r="U72" i="401"/>
  <c r="U73" i="401"/>
  <c r="U74" i="401"/>
  <c r="U75" i="401"/>
  <c r="U76" i="401"/>
  <c r="U77" i="401"/>
  <c r="U78" i="401"/>
  <c r="U79" i="401"/>
  <c r="U80" i="401"/>
  <c r="U81" i="401"/>
  <c r="U82" i="401"/>
  <c r="U83" i="401"/>
  <c r="U84" i="401"/>
  <c r="U85" i="401"/>
  <c r="U86" i="401"/>
  <c r="U87" i="401"/>
  <c r="U88" i="401"/>
  <c r="U89" i="401"/>
  <c r="U90" i="401"/>
  <c r="U91" i="401"/>
  <c r="U92" i="401"/>
  <c r="U93" i="401"/>
  <c r="U94" i="401"/>
  <c r="U95" i="401"/>
  <c r="U96" i="401"/>
  <c r="U97" i="401"/>
  <c r="U98" i="401"/>
  <c r="U99" i="401"/>
  <c r="U100" i="401"/>
  <c r="U101" i="401"/>
  <c r="U102" i="401"/>
  <c r="U103" i="401"/>
  <c r="U104" i="401"/>
  <c r="L41" i="406"/>
  <c r="L42" i="406"/>
  <c r="L43" i="406"/>
  <c r="L44" i="406"/>
  <c r="L45" i="406"/>
  <c r="L46" i="406"/>
  <c r="L47" i="406"/>
  <c r="N47" i="406"/>
  <c r="L16" i="541"/>
  <c r="L17" i="541"/>
  <c r="L18" i="541"/>
  <c r="L19" i="541"/>
  <c r="L20" i="541"/>
  <c r="L21" i="541"/>
  <c r="L25" i="541"/>
  <c r="L26" i="541"/>
  <c r="L27" i="541"/>
  <c r="L42" i="546"/>
  <c r="L43" i="546"/>
  <c r="L44" i="546"/>
  <c r="L45" i="546"/>
  <c r="L46" i="546"/>
  <c r="L47" i="546"/>
  <c r="L48" i="546"/>
  <c r="Y63" i="406"/>
  <c r="Y64" i="406"/>
  <c r="Y65" i="406"/>
  <c r="Y66" i="406"/>
  <c r="Y67" i="406"/>
  <c r="Y68" i="406"/>
  <c r="Y71" i="406"/>
  <c r="Y72" i="406"/>
  <c r="Y73" i="406"/>
  <c r="Y74" i="406"/>
  <c r="Y75" i="406"/>
  <c r="Y76" i="406"/>
  <c r="Y77" i="406"/>
  <c r="Y78" i="406"/>
  <c r="Y79" i="406"/>
  <c r="Y80" i="406"/>
  <c r="Y81" i="406"/>
  <c r="Y82" i="406"/>
  <c r="Y83" i="406"/>
  <c r="Y84" i="406"/>
  <c r="Y85" i="406"/>
  <c r="Y86" i="406"/>
  <c r="Y87" i="406"/>
  <c r="Y88" i="406"/>
  <c r="Y89" i="406"/>
  <c r="Y90" i="406"/>
  <c r="Y91" i="406"/>
  <c r="Y92" i="406"/>
  <c r="Y93" i="406"/>
  <c r="Y94" i="406"/>
  <c r="Y95" i="406"/>
  <c r="Y96" i="406"/>
  <c r="Y97" i="406"/>
  <c r="Y98" i="406"/>
  <c r="Y99" i="406"/>
  <c r="Y100" i="406"/>
  <c r="Y101" i="406"/>
  <c r="Y102" i="406"/>
  <c r="Y103" i="406"/>
  <c r="Y104" i="406"/>
  <c r="Y105" i="406"/>
  <c r="Y106" i="406"/>
  <c r="Y107" i="406"/>
  <c r="Y108" i="406"/>
  <c r="Y109" i="406"/>
  <c r="Y110" i="406"/>
  <c r="Y111" i="406"/>
  <c r="Y112" i="406"/>
  <c r="Y113" i="406"/>
  <c r="Y114" i="406"/>
  <c r="Y115" i="406"/>
  <c r="Y116" i="406"/>
  <c r="Y117" i="406"/>
  <c r="Y118" i="406"/>
  <c r="Y119" i="406"/>
  <c r="Y120" i="406"/>
  <c r="L16" i="399"/>
  <c r="H9" i="547"/>
  <c r="N67" i="518"/>
  <c r="Y78" i="549"/>
  <c r="Y79" i="549"/>
  <c r="Y80" i="549"/>
  <c r="Y81" i="549"/>
  <c r="Y82" i="549"/>
  <c r="Y83" i="549"/>
  <c r="Y84" i="549"/>
  <c r="Y85" i="549"/>
  <c r="Y86" i="549"/>
  <c r="Y87" i="549"/>
  <c r="Y88" i="549"/>
  <c r="Y89" i="549"/>
  <c r="Y90" i="549"/>
  <c r="Y91" i="549"/>
  <c r="Y92" i="549"/>
  <c r="Y93" i="549"/>
  <c r="Y94" i="549"/>
  <c r="Y95" i="549"/>
  <c r="Y96" i="549"/>
  <c r="Y97" i="549"/>
  <c r="Y98" i="549"/>
  <c r="Y99" i="549"/>
  <c r="Y100" i="549"/>
  <c r="Y101" i="549"/>
  <c r="Y102" i="549"/>
  <c r="Y103" i="549"/>
  <c r="Y104" i="549"/>
  <c r="Y105" i="549"/>
  <c r="Y106" i="549"/>
  <c r="Y107" i="549"/>
  <c r="Y108" i="549"/>
  <c r="Y109" i="549"/>
  <c r="Y110" i="549"/>
  <c r="Y111" i="549"/>
  <c r="Y112" i="549"/>
  <c r="Y113" i="549"/>
  <c r="Y114" i="549"/>
  <c r="Y115" i="549"/>
  <c r="Y116" i="549"/>
  <c r="Y117" i="549"/>
  <c r="Y118" i="549"/>
  <c r="Y119" i="549"/>
  <c r="Y120" i="549"/>
  <c r="Y121" i="549"/>
  <c r="Y122" i="549"/>
  <c r="Y123" i="549"/>
  <c r="Y124" i="549"/>
  <c r="Y125" i="549"/>
  <c r="Y126" i="549"/>
  <c r="Y127" i="549"/>
  <c r="Y128" i="549"/>
  <c r="Y129" i="549"/>
  <c r="Y130" i="549"/>
  <c r="Y131" i="549"/>
  <c r="Y132" i="549"/>
  <c r="Y133" i="549"/>
  <c r="L52" i="399"/>
  <c r="L53" i="399"/>
  <c r="N53" i="399"/>
  <c r="L8" i="546"/>
  <c r="L9" i="546"/>
  <c r="L10" i="546"/>
  <c r="L11" i="546"/>
  <c r="L30" i="546"/>
  <c r="L31" i="546"/>
  <c r="L32" i="546"/>
  <c r="L33" i="546"/>
  <c r="L34" i="546"/>
  <c r="L35" i="546"/>
  <c r="L36" i="546"/>
  <c r="L41" i="541"/>
  <c r="L42" i="541"/>
  <c r="L43" i="541"/>
  <c r="L44" i="541"/>
  <c r="X63" i="525"/>
  <c r="X64" i="525"/>
  <c r="X65" i="525"/>
  <c r="X66" i="525"/>
  <c r="L33" i="549"/>
  <c r="N44" i="549"/>
  <c r="L52" i="518"/>
  <c r="L53" i="518"/>
  <c r="L54" i="518"/>
  <c r="L55" i="518"/>
  <c r="L56" i="518"/>
  <c r="L57" i="518"/>
  <c r="L58" i="518"/>
  <c r="L37" i="399"/>
  <c r="L38" i="399"/>
  <c r="L39" i="399"/>
  <c r="L40" i="399"/>
  <c r="L41" i="399"/>
  <c r="N41" i="399"/>
  <c r="N20" i="404"/>
  <c r="L15" i="404"/>
  <c r="L16" i="404"/>
  <c r="L17" i="404"/>
  <c r="L18" i="404"/>
  <c r="L19" i="404"/>
  <c r="L20" i="404"/>
  <c r="X63" i="406"/>
  <c r="X64" i="406"/>
  <c r="X65" i="406"/>
  <c r="X66" i="406"/>
  <c r="X67" i="406"/>
  <c r="X68" i="406"/>
  <c r="X71" i="406"/>
  <c r="X72" i="406"/>
  <c r="X73" i="406"/>
  <c r="X74" i="406"/>
  <c r="X75" i="406"/>
  <c r="X76" i="406"/>
  <c r="X77" i="406"/>
  <c r="X78" i="406"/>
  <c r="X79" i="406"/>
  <c r="X80" i="406"/>
  <c r="X81" i="406"/>
  <c r="X82" i="406"/>
  <c r="X83" i="406"/>
  <c r="X84" i="406"/>
  <c r="X85" i="406"/>
  <c r="X86" i="406"/>
  <c r="X87" i="406"/>
  <c r="X88" i="406"/>
  <c r="X89" i="406"/>
  <c r="X90" i="406"/>
  <c r="X91" i="406"/>
  <c r="X92" i="406"/>
  <c r="X93" i="406"/>
  <c r="X94" i="406"/>
  <c r="X95" i="406"/>
  <c r="X96" i="406"/>
  <c r="X97" i="406"/>
  <c r="X98" i="406"/>
  <c r="X99" i="406"/>
  <c r="X100" i="406"/>
  <c r="X101" i="406"/>
  <c r="X102" i="406"/>
  <c r="X103" i="406"/>
  <c r="X104" i="406"/>
  <c r="X105" i="406"/>
  <c r="X106" i="406"/>
  <c r="X107" i="406"/>
  <c r="X108" i="406"/>
  <c r="X109" i="406"/>
  <c r="X110" i="406"/>
  <c r="X111" i="406"/>
  <c r="X112" i="406"/>
  <c r="X113" i="406"/>
  <c r="X114" i="406"/>
  <c r="X115" i="406"/>
  <c r="X116" i="406"/>
  <c r="X117" i="406"/>
  <c r="X118" i="406"/>
  <c r="X119" i="406"/>
  <c r="X120" i="406"/>
  <c r="AB62" i="525"/>
  <c r="Q63" i="525"/>
  <c r="E63" i="525"/>
  <c r="E64" i="525"/>
  <c r="G63" i="525"/>
  <c r="G64" i="525"/>
  <c r="W63" i="525"/>
  <c r="W64" i="525"/>
  <c r="W65" i="525"/>
  <c r="W66" i="525"/>
  <c r="L66" i="549"/>
  <c r="L67" i="549"/>
  <c r="L68" i="549"/>
  <c r="L69" i="549"/>
  <c r="L70" i="549"/>
  <c r="L71" i="549"/>
  <c r="N71" i="549"/>
  <c r="L23" i="399"/>
  <c r="L24" i="399"/>
  <c r="L25" i="399"/>
  <c r="L26" i="399"/>
  <c r="L27" i="399"/>
  <c r="L28" i="399"/>
  <c r="N28" i="399"/>
  <c r="L21" i="546"/>
  <c r="L22" i="546"/>
  <c r="L23" i="546"/>
  <c r="L24" i="546"/>
  <c r="L25" i="546"/>
  <c r="L26" i="546"/>
  <c r="L7" i="545"/>
  <c r="L8" i="545"/>
  <c r="L9" i="545"/>
  <c r="L10" i="545"/>
  <c r="L11" i="545"/>
  <c r="AA63" i="525"/>
  <c r="AA64" i="525"/>
  <c r="AA65" i="525"/>
  <c r="AA66" i="525"/>
  <c r="AA67" i="525"/>
  <c r="N41" i="518"/>
  <c r="L34" i="518"/>
  <c r="L35" i="518"/>
  <c r="L36" i="518"/>
  <c r="L37" i="518"/>
  <c r="L38" i="518"/>
  <c r="L39" i="518"/>
  <c r="L40" i="518"/>
  <c r="L41" i="518"/>
  <c r="L46" i="545"/>
  <c r="L47" i="545"/>
  <c r="L48" i="545"/>
  <c r="L49" i="545"/>
  <c r="L50" i="545"/>
  <c r="L51" i="545"/>
  <c r="L52" i="545"/>
  <c r="N52" i="545"/>
  <c r="AA56" i="407"/>
  <c r="AA57" i="407"/>
  <c r="AA58" i="407"/>
  <c r="AA59" i="407"/>
  <c r="AA60" i="407"/>
  <c r="AA61" i="407"/>
  <c r="AA62" i="407"/>
  <c r="AA63" i="407"/>
  <c r="AA64" i="407"/>
  <c r="AA65" i="407"/>
  <c r="AA66" i="407"/>
  <c r="AA67" i="407"/>
  <c r="AA68" i="407"/>
  <c r="AA69" i="407"/>
  <c r="AA70" i="407"/>
  <c r="AA71" i="407"/>
  <c r="AA72" i="407"/>
  <c r="AA73" i="407"/>
  <c r="AA74" i="407"/>
  <c r="AA75" i="407"/>
  <c r="AA76" i="407"/>
  <c r="AA77" i="407"/>
  <c r="AA78" i="407"/>
  <c r="AA79" i="407"/>
  <c r="AA80" i="407"/>
  <c r="AA81" i="407"/>
  <c r="AA82" i="407"/>
  <c r="AA83" i="407"/>
  <c r="AA84" i="407"/>
  <c r="AA85" i="407"/>
  <c r="AA86" i="407"/>
  <c r="AA87" i="407"/>
  <c r="AA88" i="407"/>
  <c r="AA89" i="407"/>
  <c r="AA90" i="407"/>
  <c r="AA91" i="407"/>
  <c r="AA92" i="407"/>
  <c r="AA93" i="407"/>
  <c r="AA94" i="407"/>
  <c r="AA95" i="407"/>
  <c r="AA96" i="407"/>
  <c r="AA97" i="407"/>
  <c r="AA98" i="407"/>
  <c r="AA99" i="407"/>
  <c r="AA100" i="407"/>
  <c r="AA101" i="407"/>
  <c r="AA102" i="407"/>
  <c r="AA103" i="407"/>
  <c r="AA104" i="407"/>
  <c r="AA105" i="407"/>
  <c r="AA106" i="407"/>
  <c r="AA107" i="407"/>
  <c r="AA108" i="407"/>
  <c r="N19" i="540"/>
  <c r="N13" i="525"/>
  <c r="L7" i="525"/>
  <c r="L8" i="525"/>
  <c r="L9" i="525"/>
  <c r="L10" i="525"/>
  <c r="L11" i="525"/>
  <c r="L12" i="525"/>
  <c r="L13" i="525"/>
  <c r="Z56" i="407"/>
  <c r="Z57" i="407"/>
  <c r="Z58" i="407"/>
  <c r="Z59" i="407"/>
  <c r="Z60" i="407"/>
  <c r="Z61" i="407"/>
  <c r="Z62" i="407"/>
  <c r="Z63" i="407"/>
  <c r="Z64" i="407"/>
  <c r="Z65" i="407"/>
  <c r="Z66" i="407"/>
  <c r="Z67" i="407"/>
  <c r="Z68" i="407"/>
  <c r="Z69" i="407"/>
  <c r="Z70" i="407"/>
  <c r="Z71" i="407"/>
  <c r="Z72" i="407"/>
  <c r="Z73" i="407"/>
  <c r="Z74" i="407"/>
  <c r="Z75" i="407"/>
  <c r="Z76" i="407"/>
  <c r="Z77" i="407"/>
  <c r="Z78" i="407"/>
  <c r="Z79" i="407"/>
  <c r="Z80" i="407"/>
  <c r="Z81" i="407"/>
  <c r="Z82" i="407"/>
  <c r="Z83" i="407"/>
  <c r="Z84" i="407"/>
  <c r="Z85" i="407"/>
  <c r="Z86" i="407"/>
  <c r="Z87" i="407"/>
  <c r="Z88" i="407"/>
  <c r="Z89" i="407"/>
  <c r="Z90" i="407"/>
  <c r="Z91" i="407"/>
  <c r="Z92" i="407"/>
  <c r="Z93" i="407"/>
  <c r="Z94" i="407"/>
  <c r="Z95" i="407"/>
  <c r="Z96" i="407"/>
  <c r="Z97" i="407"/>
  <c r="Z98" i="407"/>
  <c r="Z99" i="407"/>
  <c r="Z100" i="407"/>
  <c r="Z101" i="407"/>
  <c r="Z102" i="407"/>
  <c r="Z103" i="407"/>
  <c r="Z104" i="407"/>
  <c r="Z105" i="407"/>
  <c r="Z106" i="407"/>
  <c r="Z107" i="407"/>
  <c r="Z108" i="407"/>
  <c r="AB56" i="545"/>
  <c r="U57" i="545"/>
  <c r="U58" i="545"/>
  <c r="U59" i="545"/>
  <c r="U60" i="545"/>
  <c r="U61" i="545"/>
  <c r="U62" i="545"/>
  <c r="U63" i="545"/>
  <c r="U64" i="545"/>
  <c r="U65" i="545"/>
  <c r="U66" i="545"/>
  <c r="U67" i="545"/>
  <c r="U68" i="545"/>
  <c r="U69" i="545"/>
  <c r="U70" i="545"/>
  <c r="U71" i="545"/>
  <c r="U72" i="545"/>
  <c r="U73" i="545"/>
  <c r="U74" i="545"/>
  <c r="U75" i="545"/>
  <c r="U76" i="545"/>
  <c r="U77" i="545"/>
  <c r="U78" i="545"/>
  <c r="U79" i="545"/>
  <c r="U80" i="545"/>
  <c r="U81" i="545"/>
  <c r="U82" i="545"/>
  <c r="U83" i="545"/>
  <c r="U84" i="545"/>
  <c r="U85" i="545"/>
  <c r="U86" i="545"/>
  <c r="U87" i="545"/>
  <c r="U88" i="545"/>
  <c r="U89" i="545"/>
  <c r="U90" i="545"/>
  <c r="U91" i="545"/>
  <c r="U92" i="545"/>
  <c r="U93" i="545"/>
  <c r="U94" i="545"/>
  <c r="U95" i="545"/>
  <c r="U96" i="545"/>
  <c r="U97" i="545"/>
  <c r="U98" i="545"/>
  <c r="U99" i="545"/>
  <c r="U100" i="545"/>
  <c r="U101" i="545"/>
  <c r="U102" i="545"/>
  <c r="U103" i="545"/>
  <c r="U104" i="545"/>
  <c r="U105" i="545"/>
  <c r="U106" i="545"/>
  <c r="U107" i="545"/>
  <c r="U108" i="545"/>
  <c r="U109" i="545"/>
  <c r="Z68" i="399"/>
  <c r="Z69" i="399"/>
  <c r="Z70" i="399"/>
  <c r="Z71" i="399"/>
  <c r="Z72" i="399"/>
  <c r="Z73" i="399"/>
  <c r="Z74" i="399"/>
  <c r="Z75" i="399"/>
  <c r="Z76" i="399"/>
  <c r="Z77" i="399"/>
  <c r="Z78" i="399"/>
  <c r="Z79" i="399"/>
  <c r="Z80" i="399"/>
  <c r="Z81" i="399"/>
  <c r="Z82" i="399"/>
  <c r="Z83" i="399"/>
  <c r="Z84" i="399"/>
  <c r="Z85" i="399"/>
  <c r="Z86" i="399"/>
  <c r="Z87" i="399"/>
  <c r="Z88" i="399"/>
  <c r="Z89" i="399"/>
  <c r="Z90" i="399"/>
  <c r="Z91" i="399"/>
  <c r="Z92" i="399"/>
  <c r="Z93" i="399"/>
  <c r="Z94" i="399"/>
  <c r="Z95" i="399"/>
  <c r="Z96" i="399"/>
  <c r="Z97" i="399"/>
  <c r="Z98" i="399"/>
  <c r="Z99" i="399"/>
  <c r="Z100" i="399"/>
  <c r="Z101" i="399"/>
  <c r="Z102" i="399"/>
  <c r="Z103" i="399"/>
  <c r="Z104" i="399"/>
  <c r="Z105" i="399"/>
  <c r="Z106" i="399"/>
  <c r="Z107" i="399"/>
  <c r="Z108" i="399"/>
  <c r="Z109" i="399"/>
  <c r="Z110" i="399"/>
  <c r="Z111" i="399"/>
  <c r="N55" i="546"/>
  <c r="N21" i="541"/>
  <c r="I63" i="525"/>
  <c r="I64" i="525"/>
  <c r="Y63" i="525"/>
  <c r="Y64" i="525"/>
  <c r="Y65" i="525"/>
  <c r="Y66" i="525"/>
  <c r="Y67" i="525"/>
  <c r="V56" i="407"/>
  <c r="V57" i="407"/>
  <c r="V58" i="407"/>
  <c r="V59" i="407"/>
  <c r="V60" i="407"/>
  <c r="V61" i="407"/>
  <c r="V62" i="407"/>
  <c r="V63" i="407"/>
  <c r="V64" i="407"/>
  <c r="V65" i="407"/>
  <c r="V66" i="407"/>
  <c r="V67" i="407"/>
  <c r="V68" i="407"/>
  <c r="V69" i="407"/>
  <c r="V70" i="407"/>
  <c r="V71" i="407"/>
  <c r="V72" i="407"/>
  <c r="V73" i="407"/>
  <c r="V74" i="407"/>
  <c r="V75" i="407"/>
  <c r="V76" i="407"/>
  <c r="V77" i="407"/>
  <c r="V78" i="407"/>
  <c r="V79" i="407"/>
  <c r="V80" i="407"/>
  <c r="V81" i="407"/>
  <c r="V82" i="407"/>
  <c r="V83" i="407"/>
  <c r="V84" i="407"/>
  <c r="V85" i="407"/>
  <c r="V86" i="407"/>
  <c r="V87" i="407"/>
  <c r="V88" i="407"/>
  <c r="V89" i="407"/>
  <c r="V90" i="407"/>
  <c r="V91" i="407"/>
  <c r="V92" i="407"/>
  <c r="V93" i="407"/>
  <c r="V94" i="407"/>
  <c r="V95" i="407"/>
  <c r="V96" i="407"/>
  <c r="V97" i="407"/>
  <c r="V98" i="407"/>
  <c r="V99" i="407"/>
  <c r="V100" i="407"/>
  <c r="V101" i="407"/>
  <c r="V102" i="407"/>
  <c r="V103" i="407"/>
  <c r="V104" i="407"/>
  <c r="V105" i="407"/>
  <c r="V106" i="407"/>
  <c r="V107" i="407"/>
  <c r="V108" i="407"/>
  <c r="L35" i="404"/>
  <c r="L36" i="404"/>
  <c r="L37" i="404"/>
  <c r="L38" i="404"/>
  <c r="L39" i="404"/>
  <c r="L40" i="404"/>
  <c r="L41" i="404"/>
  <c r="L42" i="404"/>
  <c r="N43" i="404"/>
  <c r="V63" i="525"/>
  <c r="V64" i="525"/>
  <c r="V65" i="525"/>
  <c r="V66" i="525"/>
  <c r="L29" i="540"/>
  <c r="L30" i="540"/>
  <c r="L31" i="540"/>
  <c r="L32" i="540"/>
  <c r="L33" i="540"/>
  <c r="L34" i="540"/>
  <c r="L35" i="540"/>
  <c r="L22" i="549"/>
  <c r="L23" i="549"/>
  <c r="N28" i="549"/>
  <c r="L42" i="525"/>
  <c r="L43" i="525"/>
  <c r="L44" i="525"/>
  <c r="L45" i="525"/>
  <c r="N49" i="525"/>
  <c r="N27" i="404"/>
  <c r="L22" i="404"/>
  <c r="L23" i="404"/>
  <c r="L24" i="404"/>
  <c r="L25" i="404"/>
  <c r="L26" i="404"/>
  <c r="L27" i="404"/>
  <c r="J63" i="525"/>
  <c r="J64" i="525"/>
  <c r="Z63" i="525"/>
  <c r="Z64" i="525"/>
  <c r="Z65" i="525"/>
  <c r="Z66" i="525"/>
  <c r="Z67" i="525"/>
  <c r="AB52" i="407"/>
  <c r="L67" i="544"/>
  <c r="L68" i="544"/>
  <c r="L69" i="544"/>
  <c r="L70" i="544"/>
  <c r="L71" i="544"/>
  <c r="L72" i="544"/>
  <c r="L73" i="544"/>
  <c r="L75" i="518"/>
  <c r="L76" i="518"/>
  <c r="L77" i="518"/>
  <c r="L78" i="518"/>
  <c r="L73" i="549"/>
  <c r="L74" i="549"/>
  <c r="L75" i="549"/>
  <c r="L76" i="549"/>
  <c r="N76" i="549"/>
  <c r="L30" i="399"/>
  <c r="L31" i="399"/>
  <c r="L32" i="399"/>
  <c r="L33" i="399"/>
  <c r="L34" i="399"/>
  <c r="L35" i="399"/>
  <c r="N35" i="399"/>
  <c r="L39" i="545"/>
  <c r="L40" i="545"/>
  <c r="L41" i="545"/>
  <c r="L42" i="545"/>
  <c r="L43" i="545"/>
  <c r="L44" i="545"/>
  <c r="V63" i="406"/>
  <c r="V64" i="406"/>
  <c r="V65" i="406"/>
  <c r="V66" i="406"/>
  <c r="V67" i="406"/>
  <c r="V68" i="406"/>
  <c r="V71" i="406"/>
  <c r="V72" i="406"/>
  <c r="V73" i="406"/>
  <c r="V74" i="406"/>
  <c r="V75" i="406"/>
  <c r="V76" i="406"/>
  <c r="V77" i="406"/>
  <c r="V78" i="406"/>
  <c r="V79" i="406"/>
  <c r="V80" i="406"/>
  <c r="V81" i="406"/>
  <c r="V82" i="406"/>
  <c r="V83" i="406"/>
  <c r="V84" i="406"/>
  <c r="V85" i="406"/>
  <c r="V86" i="406"/>
  <c r="V87" i="406"/>
  <c r="V88" i="406"/>
  <c r="V89" i="406"/>
  <c r="V90" i="406"/>
  <c r="V91" i="406"/>
  <c r="V92" i="406"/>
  <c r="V93" i="406"/>
  <c r="V94" i="406"/>
  <c r="V95" i="406"/>
  <c r="V96" i="406"/>
  <c r="V97" i="406"/>
  <c r="V98" i="406"/>
  <c r="V99" i="406"/>
  <c r="V100" i="406"/>
  <c r="V101" i="406"/>
  <c r="V102" i="406"/>
  <c r="V103" i="406"/>
  <c r="V104" i="406"/>
  <c r="V105" i="406"/>
  <c r="V106" i="406"/>
  <c r="V107" i="406"/>
  <c r="V108" i="406"/>
  <c r="V109" i="406"/>
  <c r="V110" i="406"/>
  <c r="V111" i="406"/>
  <c r="V112" i="406"/>
  <c r="V113" i="406"/>
  <c r="V114" i="406"/>
  <c r="V115" i="406"/>
  <c r="V116" i="406"/>
  <c r="V117" i="406"/>
  <c r="V118" i="406"/>
  <c r="V119" i="406"/>
  <c r="V120" i="406"/>
  <c r="L13" i="545"/>
  <c r="L14" i="545"/>
  <c r="L15" i="545"/>
  <c r="L16" i="545"/>
  <c r="L17" i="545"/>
  <c r="L18" i="545"/>
  <c r="L19" i="545"/>
  <c r="L20" i="545"/>
  <c r="N20" i="545"/>
  <c r="AB79" i="518"/>
  <c r="Q80" i="518"/>
  <c r="G80" i="518"/>
  <c r="G81" i="518"/>
  <c r="N53" i="540"/>
  <c r="L48" i="541"/>
  <c r="L49" i="541"/>
  <c r="L50" i="541"/>
  <c r="L51" i="541"/>
  <c r="L52" i="541"/>
  <c r="L25" i="525"/>
  <c r="L26" i="525"/>
  <c r="L15" i="549"/>
  <c r="N20" i="549"/>
  <c r="W56" i="407"/>
  <c r="W57" i="407"/>
  <c r="W58" i="407"/>
  <c r="W59" i="407"/>
  <c r="W60" i="407"/>
  <c r="W61" i="407"/>
  <c r="W62" i="407"/>
  <c r="W63" i="407"/>
  <c r="W64" i="407"/>
  <c r="W65" i="407"/>
  <c r="W66" i="407"/>
  <c r="W67" i="407"/>
  <c r="W68" i="407"/>
  <c r="W69" i="407"/>
  <c r="W70" i="407"/>
  <c r="W71" i="407"/>
  <c r="W72" i="407"/>
  <c r="W73" i="407"/>
  <c r="W74" i="407"/>
  <c r="W75" i="407"/>
  <c r="W76" i="407"/>
  <c r="W77" i="407"/>
  <c r="W78" i="407"/>
  <c r="W79" i="407"/>
  <c r="W80" i="407"/>
  <c r="W81" i="407"/>
  <c r="W82" i="407"/>
  <c r="W83" i="407"/>
  <c r="W84" i="407"/>
  <c r="W85" i="407"/>
  <c r="W86" i="407"/>
  <c r="W87" i="407"/>
  <c r="W88" i="407"/>
  <c r="W89" i="407"/>
  <c r="W90" i="407"/>
  <c r="W91" i="407"/>
  <c r="W92" i="407"/>
  <c r="W93" i="407"/>
  <c r="W94" i="407"/>
  <c r="W95" i="407"/>
  <c r="W96" i="407"/>
  <c r="W97" i="407"/>
  <c r="W98" i="407"/>
  <c r="W99" i="407"/>
  <c r="W100" i="407"/>
  <c r="W101" i="407"/>
  <c r="W102" i="407"/>
  <c r="W103" i="407"/>
  <c r="W104" i="407"/>
  <c r="W105" i="407"/>
  <c r="W106" i="407"/>
  <c r="W107" i="407"/>
  <c r="W108" i="407"/>
  <c r="U87" i="546"/>
  <c r="U88" i="546"/>
  <c r="U90" i="546"/>
  <c r="U92" i="546"/>
  <c r="U94" i="546"/>
  <c r="U97" i="546"/>
  <c r="U98" i="546"/>
  <c r="U99" i="546"/>
  <c r="U100" i="546"/>
  <c r="U101" i="546"/>
  <c r="U102" i="546"/>
  <c r="U103" i="546"/>
  <c r="U104" i="546"/>
  <c r="U105" i="546"/>
  <c r="U106" i="546"/>
  <c r="U107" i="546"/>
  <c r="U108" i="546"/>
  <c r="U109" i="546"/>
  <c r="U110" i="546"/>
  <c r="U111" i="546"/>
  <c r="U112" i="546"/>
  <c r="U113" i="546"/>
  <c r="U114" i="546"/>
  <c r="U115" i="546"/>
  <c r="U116" i="546"/>
  <c r="U117" i="546"/>
  <c r="U118" i="546"/>
  <c r="U119" i="546"/>
  <c r="U120" i="546"/>
  <c r="U121" i="546"/>
  <c r="U122" i="546"/>
  <c r="U123" i="546"/>
  <c r="U124" i="546"/>
  <c r="U125" i="546"/>
  <c r="U126" i="546"/>
  <c r="U127" i="546"/>
  <c r="U128" i="546"/>
  <c r="U129" i="546"/>
  <c r="U130" i="546"/>
  <c r="U131" i="546"/>
  <c r="U132" i="546"/>
  <c r="U133" i="546"/>
  <c r="U134" i="546"/>
  <c r="U135" i="546"/>
  <c r="U136" i="546"/>
  <c r="U137" i="546"/>
  <c r="U138" i="546"/>
  <c r="U139" i="546"/>
  <c r="U140" i="546"/>
  <c r="U141" i="546"/>
  <c r="U142" i="546"/>
  <c r="U143" i="546"/>
  <c r="U144" i="546"/>
  <c r="AB86" i="546"/>
  <c r="L15" i="407"/>
  <c r="L16" i="407"/>
  <c r="L17" i="407"/>
  <c r="N17" i="407"/>
  <c r="N14" i="518"/>
  <c r="L7" i="518"/>
  <c r="L8" i="518"/>
  <c r="L9" i="518"/>
  <c r="L10" i="518"/>
  <c r="L11" i="518"/>
  <c r="L12" i="518"/>
  <c r="L13" i="518"/>
  <c r="L14" i="518"/>
  <c r="L15" i="525"/>
  <c r="L16" i="525"/>
  <c r="L17" i="525"/>
  <c r="L18" i="525"/>
  <c r="L19" i="525"/>
  <c r="L20" i="525"/>
  <c r="N20" i="525"/>
  <c r="L11" i="407"/>
  <c r="L12" i="407"/>
  <c r="L22" i="401"/>
  <c r="L23" i="401"/>
  <c r="L24" i="401"/>
  <c r="L25" i="401"/>
  <c r="L26" i="401"/>
  <c r="L27" i="401"/>
  <c r="L28" i="401"/>
  <c r="N28" i="401"/>
  <c r="L8" i="549"/>
  <c r="L9" i="549"/>
  <c r="L10" i="549"/>
  <c r="L11" i="549"/>
  <c r="L12" i="549"/>
  <c r="L13" i="549"/>
  <c r="N13" i="549"/>
  <c r="Y56" i="407"/>
  <c r="Y57" i="407"/>
  <c r="Y58" i="407"/>
  <c r="Y59" i="407"/>
  <c r="Y60" i="407"/>
  <c r="Y61" i="407"/>
  <c r="Y62" i="407"/>
  <c r="Y63" i="407"/>
  <c r="Y64" i="407"/>
  <c r="Y65" i="407"/>
  <c r="Y66" i="407"/>
  <c r="Y67" i="407"/>
  <c r="Y68" i="407"/>
  <c r="Y69" i="407"/>
  <c r="Y70" i="407"/>
  <c r="Y71" i="407"/>
  <c r="Y72" i="407"/>
  <c r="Y73" i="407"/>
  <c r="Y74" i="407"/>
  <c r="Y75" i="407"/>
  <c r="Y76" i="407"/>
  <c r="Y77" i="407"/>
  <c r="Y78" i="407"/>
  <c r="Y79" i="407"/>
  <c r="Y80" i="407"/>
  <c r="Y81" i="407"/>
  <c r="Y82" i="407"/>
  <c r="Y83" i="407"/>
  <c r="Y84" i="407"/>
  <c r="Y85" i="407"/>
  <c r="Y86" i="407"/>
  <c r="Y87" i="407"/>
  <c r="Y88" i="407"/>
  <c r="Y89" i="407"/>
  <c r="Y90" i="407"/>
  <c r="Y91" i="407"/>
  <c r="Y92" i="407"/>
  <c r="Y93" i="407"/>
  <c r="Y94" i="407"/>
  <c r="Y95" i="407"/>
  <c r="Y96" i="407"/>
  <c r="Y97" i="407"/>
  <c r="Y98" i="407"/>
  <c r="Y99" i="407"/>
  <c r="Y100" i="407"/>
  <c r="Y101" i="407"/>
  <c r="Y102" i="407"/>
  <c r="Y103" i="407"/>
  <c r="Y104" i="407"/>
  <c r="Y105" i="407"/>
  <c r="Y106" i="407"/>
  <c r="Y107" i="407"/>
  <c r="Y108" i="407"/>
  <c r="V68" i="399"/>
  <c r="V69" i="399"/>
  <c r="V70" i="399"/>
  <c r="V71" i="399"/>
  <c r="V72" i="399"/>
  <c r="V73" i="399"/>
  <c r="V74" i="399"/>
  <c r="V75" i="399"/>
  <c r="V76" i="399"/>
  <c r="V77" i="399"/>
  <c r="V78" i="399"/>
  <c r="V79" i="399"/>
  <c r="V80" i="399"/>
  <c r="V81" i="399"/>
  <c r="V82" i="399"/>
  <c r="V83" i="399"/>
  <c r="V84" i="399"/>
  <c r="V85" i="399"/>
  <c r="V86" i="399"/>
  <c r="V87" i="399"/>
  <c r="V88" i="399"/>
  <c r="V89" i="399"/>
  <c r="V90" i="399"/>
  <c r="V91" i="399"/>
  <c r="V92" i="399"/>
  <c r="V93" i="399"/>
  <c r="V94" i="399"/>
  <c r="V95" i="399"/>
  <c r="V96" i="399"/>
  <c r="V97" i="399"/>
  <c r="V98" i="399"/>
  <c r="V99" i="399"/>
  <c r="V100" i="399"/>
  <c r="V101" i="399"/>
  <c r="V102" i="399"/>
  <c r="V103" i="399"/>
  <c r="V104" i="399"/>
  <c r="V105" i="399"/>
  <c r="V106" i="399"/>
  <c r="V107" i="399"/>
  <c r="V108" i="399"/>
  <c r="V109" i="399"/>
  <c r="V110" i="399"/>
  <c r="V111" i="399"/>
  <c r="L7" i="401"/>
  <c r="L8" i="401"/>
  <c r="L9" i="401"/>
  <c r="L10" i="401"/>
  <c r="N12" i="401"/>
  <c r="L31" i="545"/>
  <c r="L32" i="545"/>
  <c r="L33" i="545"/>
  <c r="L34" i="545"/>
  <c r="L35" i="545"/>
  <c r="L36" i="545"/>
  <c r="L16" i="518"/>
  <c r="L17" i="518"/>
  <c r="L18" i="518"/>
  <c r="L19" i="518"/>
  <c r="L20" i="518"/>
  <c r="L21" i="518"/>
  <c r="L22" i="518"/>
  <c r="L23" i="518"/>
  <c r="N23" i="518"/>
  <c r="L61" i="517"/>
  <c r="L62" i="517"/>
  <c r="L63" i="517"/>
  <c r="L64" i="517"/>
  <c r="D9" i="38"/>
  <c r="V67" i="525"/>
  <c r="I9" i="38"/>
  <c r="W67" i="525"/>
  <c r="G9" i="38"/>
  <c r="E9" i="38"/>
  <c r="X67" i="525"/>
  <c r="X68" i="525"/>
  <c r="U68" i="525"/>
  <c r="H9" i="38"/>
  <c r="F9" i="38"/>
  <c r="D72" i="4"/>
  <c r="C71" i="4"/>
  <c r="I18" i="14"/>
  <c r="G47" i="394"/>
  <c r="G48" i="394"/>
  <c r="F47" i="394"/>
  <c r="F48" i="394"/>
  <c r="J47" i="394"/>
  <c r="J48" i="394"/>
  <c r="E47" i="394"/>
  <c r="E48" i="394"/>
  <c r="H47" i="394"/>
  <c r="H48" i="394"/>
  <c r="K47" i="394"/>
  <c r="K48" i="394"/>
  <c r="F8" i="14"/>
  <c r="H6" i="14"/>
  <c r="H17" i="14"/>
  <c r="G18" i="14"/>
  <c r="L6" i="14"/>
  <c r="L17" i="14"/>
  <c r="K18" i="14"/>
  <c r="D6" i="14"/>
  <c r="D17" i="14"/>
  <c r="E6" i="14"/>
  <c r="E17" i="14"/>
  <c r="F14" i="14"/>
  <c r="M66" i="519"/>
  <c r="M67" i="519"/>
  <c r="N55" i="543"/>
  <c r="L80" i="519"/>
  <c r="L81" i="519"/>
  <c r="H70" i="548"/>
  <c r="H71" i="548"/>
  <c r="I70" i="548"/>
  <c r="I71" i="548"/>
  <c r="K70" i="548"/>
  <c r="K71" i="548"/>
  <c r="K80" i="519"/>
  <c r="K81" i="519"/>
  <c r="L23" i="548"/>
  <c r="L24" i="548"/>
  <c r="L25" i="548"/>
  <c r="L44" i="526"/>
  <c r="L45" i="526"/>
  <c r="L67" i="548"/>
  <c r="L68" i="548"/>
  <c r="L69" i="548"/>
  <c r="G70" i="548"/>
  <c r="G71" i="548"/>
  <c r="F70" i="548"/>
  <c r="F71" i="548"/>
  <c r="J70" i="548"/>
  <c r="J71" i="548"/>
  <c r="L31" i="541"/>
  <c r="L32" i="541"/>
  <c r="L33" i="541"/>
  <c r="L34" i="541"/>
  <c r="L35" i="541"/>
  <c r="L36" i="541"/>
  <c r="J74" i="517"/>
  <c r="J75" i="517"/>
  <c r="H80" i="519"/>
  <c r="H81" i="519"/>
  <c r="K74" i="517"/>
  <c r="K75" i="517"/>
  <c r="I74" i="517"/>
  <c r="I75" i="517"/>
  <c r="H74" i="517"/>
  <c r="H75" i="517"/>
  <c r="G90" i="526"/>
  <c r="G91" i="526"/>
  <c r="I90" i="526"/>
  <c r="I91" i="526"/>
  <c r="K90" i="526"/>
  <c r="K91" i="526"/>
  <c r="E90" i="526"/>
  <c r="E91" i="526"/>
  <c r="F90" i="526"/>
  <c r="F91" i="526"/>
  <c r="J90" i="526"/>
  <c r="J91" i="526"/>
  <c r="L36" i="517"/>
  <c r="L37" i="517"/>
  <c r="L35" i="517"/>
  <c r="L20" i="517"/>
  <c r="E74" i="517"/>
  <c r="E75" i="517"/>
  <c r="F74" i="517"/>
  <c r="F75" i="517"/>
  <c r="L65" i="517"/>
  <c r="L66" i="517"/>
  <c r="S69" i="519"/>
  <c r="S70" i="519"/>
  <c r="E80" i="519"/>
  <c r="E81" i="519"/>
  <c r="M70" i="519"/>
  <c r="M71" i="519"/>
  <c r="M72" i="519"/>
  <c r="M73" i="519"/>
  <c r="M74" i="519"/>
  <c r="M75" i="519"/>
  <c r="O75" i="519"/>
  <c r="I80" i="519"/>
  <c r="I81" i="519"/>
  <c r="G80" i="519"/>
  <c r="G81" i="519"/>
  <c r="M9" i="519"/>
  <c r="M10" i="519"/>
  <c r="M11" i="519"/>
  <c r="L13" i="407"/>
  <c r="L10" i="406"/>
  <c r="L11" i="406"/>
  <c r="L12" i="406"/>
  <c r="L24" i="549"/>
  <c r="L25" i="549"/>
  <c r="L34" i="549"/>
  <c r="L16" i="549"/>
  <c r="L17" i="549"/>
  <c r="L18" i="549"/>
  <c r="L19" i="549"/>
  <c r="L20" i="549"/>
  <c r="L11" i="401"/>
  <c r="L12" i="401"/>
  <c r="F62" i="406"/>
  <c r="F63" i="406"/>
  <c r="H62" i="406"/>
  <c r="H63" i="406"/>
  <c r="H63" i="525"/>
  <c r="H64" i="525"/>
  <c r="I62" i="406"/>
  <c r="I63" i="406"/>
  <c r="K77" i="549"/>
  <c r="K78" i="549"/>
  <c r="H80" i="518"/>
  <c r="H81" i="518"/>
  <c r="K80" i="518"/>
  <c r="K81" i="518"/>
  <c r="I80" i="518"/>
  <c r="I81" i="518"/>
  <c r="F63" i="525"/>
  <c r="F64" i="525"/>
  <c r="L16" i="546"/>
  <c r="L17" i="546"/>
  <c r="L18" i="546"/>
  <c r="C11" i="38"/>
  <c r="E11" i="38"/>
  <c r="G11" i="38"/>
  <c r="F11" i="38"/>
  <c r="L41" i="549"/>
  <c r="L42" i="549"/>
  <c r="L43" i="549"/>
  <c r="L44" i="549"/>
  <c r="L38" i="549"/>
  <c r="L39" i="549"/>
  <c r="L40" i="549"/>
  <c r="H11" i="38"/>
  <c r="J77" i="549"/>
  <c r="J78" i="549"/>
  <c r="E77" i="549"/>
  <c r="E78" i="549"/>
  <c r="G77" i="549"/>
  <c r="G78" i="549"/>
  <c r="F77" i="549"/>
  <c r="F78" i="549"/>
  <c r="H4" i="547"/>
  <c r="J62" i="406"/>
  <c r="J63" i="406"/>
  <c r="G62" i="406"/>
  <c r="G63" i="406"/>
  <c r="AA112" i="399"/>
  <c r="AA113" i="399"/>
  <c r="AA114" i="399"/>
  <c r="AA115" i="399"/>
  <c r="AA116" i="399"/>
  <c r="AA117" i="399"/>
  <c r="AA118" i="399"/>
  <c r="AA119" i="399"/>
  <c r="AA120" i="399"/>
  <c r="AA121" i="399"/>
  <c r="AA122" i="399"/>
  <c r="AA123" i="399"/>
  <c r="I8" i="38"/>
  <c r="G8" i="38"/>
  <c r="Y112" i="399"/>
  <c r="Y113" i="399"/>
  <c r="Y114" i="399"/>
  <c r="Y115" i="399"/>
  <c r="Y116" i="399"/>
  <c r="Y117" i="399"/>
  <c r="Y118" i="399"/>
  <c r="Y119" i="399"/>
  <c r="Y120" i="399"/>
  <c r="Y121" i="399"/>
  <c r="Y122" i="399"/>
  <c r="Y123" i="399"/>
  <c r="H8" i="38"/>
  <c r="Z112" i="399"/>
  <c r="Z113" i="399"/>
  <c r="Z114" i="399"/>
  <c r="Z115" i="399"/>
  <c r="Z116" i="399"/>
  <c r="Z117" i="399"/>
  <c r="Z118" i="399"/>
  <c r="Z119" i="399"/>
  <c r="Z120" i="399"/>
  <c r="Z121" i="399"/>
  <c r="Z122" i="399"/>
  <c r="Z123" i="399"/>
  <c r="L54" i="406"/>
  <c r="L53" i="406"/>
  <c r="L37" i="525"/>
  <c r="L38" i="525"/>
  <c r="L39" i="525"/>
  <c r="L36" i="525"/>
  <c r="E62" i="406"/>
  <c r="E63" i="406"/>
  <c r="U56" i="407"/>
  <c r="U57" i="407"/>
  <c r="U58" i="407"/>
  <c r="U59" i="407"/>
  <c r="U60" i="407"/>
  <c r="U61" i="407"/>
  <c r="U62" i="407"/>
  <c r="U63" i="407"/>
  <c r="U64" i="407"/>
  <c r="U65" i="407"/>
  <c r="U66" i="407"/>
  <c r="U67" i="407"/>
  <c r="U68" i="407"/>
  <c r="U69" i="407"/>
  <c r="U70" i="407"/>
  <c r="U71" i="407"/>
  <c r="U72" i="407"/>
  <c r="U73" i="407"/>
  <c r="U74" i="407"/>
  <c r="U75" i="407"/>
  <c r="U76" i="407"/>
  <c r="U77" i="407"/>
  <c r="U78" i="407"/>
  <c r="U79" i="407"/>
  <c r="U80" i="407"/>
  <c r="U81" i="407"/>
  <c r="U82" i="407"/>
  <c r="U83" i="407"/>
  <c r="U84" i="407"/>
  <c r="U85" i="407"/>
  <c r="U86" i="407"/>
  <c r="U87" i="407"/>
  <c r="U88" i="407"/>
  <c r="U89" i="407"/>
  <c r="U90" i="407"/>
  <c r="U91" i="407"/>
  <c r="U92" i="407"/>
  <c r="U93" i="407"/>
  <c r="U94" i="407"/>
  <c r="U95" i="407"/>
  <c r="U96" i="407"/>
  <c r="U97" i="407"/>
  <c r="U98" i="407"/>
  <c r="U99" i="407"/>
  <c r="U100" i="407"/>
  <c r="U101" i="407"/>
  <c r="U102" i="407"/>
  <c r="U103" i="407"/>
  <c r="U104" i="407"/>
  <c r="U105" i="407"/>
  <c r="U106" i="407"/>
  <c r="U107" i="407"/>
  <c r="U108" i="407"/>
  <c r="L17" i="399"/>
  <c r="H10" i="547"/>
  <c r="F8" i="38"/>
  <c r="X112" i="399"/>
  <c r="X113" i="399"/>
  <c r="X114" i="399"/>
  <c r="X115" i="399"/>
  <c r="X116" i="399"/>
  <c r="X117" i="399"/>
  <c r="X118" i="399"/>
  <c r="X119" i="399"/>
  <c r="X120" i="399"/>
  <c r="X121" i="399"/>
  <c r="X122" i="399"/>
  <c r="X123" i="399"/>
  <c r="V112" i="399"/>
  <c r="V113" i="399"/>
  <c r="V114" i="399"/>
  <c r="V115" i="399"/>
  <c r="V116" i="399"/>
  <c r="V117" i="399"/>
  <c r="V118" i="399"/>
  <c r="V119" i="399"/>
  <c r="V120" i="399"/>
  <c r="V121" i="399"/>
  <c r="V122" i="399"/>
  <c r="V123" i="399"/>
  <c r="D8" i="38"/>
  <c r="L18" i="407"/>
  <c r="L27" i="525"/>
  <c r="L29" i="525"/>
  <c r="L28" i="525"/>
  <c r="E80" i="518"/>
  <c r="E81" i="518"/>
  <c r="J80" i="518"/>
  <c r="J81" i="518"/>
  <c r="L47" i="525"/>
  <c r="L48" i="525"/>
  <c r="L49" i="525"/>
  <c r="L46" i="525"/>
  <c r="K63" i="525"/>
  <c r="K64" i="525"/>
  <c r="F80" i="518"/>
  <c r="F81" i="518"/>
  <c r="D11" i="38"/>
  <c r="H77" i="549"/>
  <c r="H78" i="549"/>
  <c r="Z68" i="525"/>
  <c r="Z108" i="525"/>
  <c r="Z106" i="525"/>
  <c r="V68" i="525"/>
  <c r="V106" i="525"/>
  <c r="V108" i="525"/>
  <c r="U106" i="525"/>
  <c r="U108" i="525"/>
  <c r="AA68" i="525"/>
  <c r="AA106" i="525"/>
  <c r="W68" i="525"/>
  <c r="W106" i="525"/>
  <c r="Y68" i="525"/>
  <c r="Y106" i="525"/>
  <c r="X106" i="525"/>
  <c r="X108" i="525"/>
  <c r="C72" i="4"/>
  <c r="D73" i="4"/>
  <c r="N14" i="14"/>
  <c r="F6" i="14"/>
  <c r="F17" i="14"/>
  <c r="D18" i="14"/>
  <c r="N18" i="14"/>
  <c r="M76" i="519"/>
  <c r="L21" i="517"/>
  <c r="L22" i="517"/>
  <c r="L23" i="517"/>
  <c r="L24" i="517"/>
  <c r="S71" i="519"/>
  <c r="L35" i="549"/>
  <c r="L36" i="549"/>
  <c r="L26" i="549"/>
  <c r="L27" i="549"/>
  <c r="L28" i="549"/>
  <c r="L55" i="406"/>
  <c r="L58" i="406"/>
  <c r="L59" i="406"/>
  <c r="L60" i="406"/>
  <c r="L61" i="406"/>
  <c r="L57" i="406"/>
  <c r="H5" i="547"/>
  <c r="H11" i="547"/>
  <c r="L18" i="399"/>
  <c r="B11" i="38"/>
  <c r="W108" i="525"/>
  <c r="AA108" i="525"/>
  <c r="Y108" i="525"/>
  <c r="C73" i="4"/>
  <c r="D74" i="4"/>
  <c r="S72" i="519"/>
  <c r="S73" i="519"/>
  <c r="S74" i="519"/>
  <c r="H12" i="547"/>
  <c r="L19" i="399"/>
  <c r="D75" i="4"/>
  <c r="C74" i="4"/>
  <c r="S75" i="519"/>
  <c r="H13" i="547"/>
  <c r="L20" i="399"/>
  <c r="C75" i="4"/>
  <c r="D76" i="4"/>
  <c r="S76" i="519"/>
  <c r="L21" i="399"/>
  <c r="F15" i="547"/>
  <c r="H14" i="547"/>
  <c r="D77" i="4"/>
  <c r="C76" i="4"/>
  <c r="S77" i="519"/>
  <c r="S78" i="519"/>
  <c r="D78" i="4"/>
  <c r="C77" i="4"/>
  <c r="S79" i="519"/>
  <c r="D79" i="4"/>
  <c r="C79" i="4"/>
  <c r="C78" i="4"/>
  <c r="U66" i="399"/>
  <c r="U67" i="399"/>
  <c r="U68" i="399"/>
  <c r="U69" i="399"/>
  <c r="U70" i="399"/>
  <c r="U71" i="399"/>
  <c r="U72" i="399"/>
  <c r="U73" i="399"/>
  <c r="U74" i="399"/>
  <c r="U75" i="399"/>
  <c r="U76" i="399"/>
  <c r="U77" i="399"/>
  <c r="U78" i="399"/>
  <c r="U79" i="399"/>
  <c r="U80" i="399"/>
  <c r="U81" i="399"/>
  <c r="U82" i="399"/>
  <c r="U83" i="399"/>
  <c r="U84" i="399"/>
  <c r="U85" i="399"/>
  <c r="U86" i="399"/>
  <c r="U87" i="399"/>
  <c r="U88" i="399"/>
  <c r="U89" i="399"/>
  <c r="U90" i="399"/>
  <c r="U91" i="399"/>
  <c r="U92" i="399"/>
  <c r="U93" i="399"/>
  <c r="U94" i="399"/>
  <c r="U95" i="399"/>
  <c r="U96" i="399"/>
  <c r="U97" i="399"/>
  <c r="U98" i="399"/>
  <c r="U99" i="399"/>
  <c r="U100" i="399"/>
  <c r="U101" i="399"/>
  <c r="AB67" i="399"/>
  <c r="U102" i="399"/>
  <c r="U103" i="399"/>
  <c r="U104" i="399"/>
  <c r="U105" i="399"/>
  <c r="U106" i="399"/>
  <c r="U107" i="399"/>
  <c r="U108" i="399"/>
  <c r="U109" i="399"/>
  <c r="U110" i="399"/>
  <c r="U111" i="399"/>
  <c r="U112" i="399"/>
  <c r="U113" i="399"/>
  <c r="U114" i="399"/>
  <c r="U115" i="399"/>
  <c r="U116" i="399"/>
  <c r="U117" i="399"/>
  <c r="U118" i="399"/>
  <c r="U119" i="399"/>
  <c r="U120" i="399"/>
  <c r="U121" i="399"/>
  <c r="U122" i="399"/>
  <c r="U123" i="399"/>
  <c r="C8" i="38"/>
  <c r="C9" i="38"/>
  <c r="B9" i="38"/>
  <c r="T66" i="399"/>
  <c r="S66" i="399"/>
  <c r="B8" i="38"/>
  <c r="AP26" i="3"/>
  <c r="AP21" i="3"/>
  <c r="AP43" i="3"/>
  <c r="AP42" i="3"/>
  <c r="AP41" i="3"/>
  <c r="AP40" i="3"/>
  <c r="AP25" i="3"/>
  <c r="AP24" i="3"/>
  <c r="AP23" i="3"/>
  <c r="AP22" i="3"/>
  <c r="AW31" i="3"/>
  <c r="AW30" i="3"/>
  <c r="AW29" i="3"/>
  <c r="AW28" i="3"/>
  <c r="AW25" i="3"/>
  <c r="AW24" i="3"/>
  <c r="AW23" i="3"/>
  <c r="AW22" i="3"/>
  <c r="AW26" i="3"/>
  <c r="AW21" i="3"/>
  <c r="AR43" i="3"/>
  <c r="AR42" i="3"/>
  <c r="AR41" i="3"/>
  <c r="AR40" i="3"/>
  <c r="AR25" i="3"/>
  <c r="AR24" i="3"/>
  <c r="AR23" i="3"/>
  <c r="AR22" i="3"/>
  <c r="AR26" i="3"/>
  <c r="AR21" i="3"/>
  <c r="AJ31" i="3"/>
  <c r="AJ30" i="3"/>
  <c r="AJ29" i="3"/>
  <c r="AJ28" i="3"/>
  <c r="AJ26" i="3"/>
  <c r="AJ21" i="3"/>
  <c r="AJ25" i="3"/>
  <c r="AJ24" i="3"/>
  <c r="AJ23" i="3"/>
  <c r="AJ22" i="3"/>
  <c r="AU26" i="3"/>
  <c r="AU21" i="3"/>
  <c r="AU31" i="3"/>
  <c r="AU30" i="3"/>
  <c r="AU29" i="3"/>
  <c r="AU28" i="3"/>
  <c r="AU25" i="3"/>
  <c r="AU24" i="3"/>
  <c r="AU23" i="3"/>
  <c r="AU22" i="3"/>
  <c r="AQ43" i="3"/>
  <c r="AQ42" i="3"/>
  <c r="AQ41" i="3"/>
  <c r="AQ40" i="3"/>
  <c r="AQ26" i="3"/>
  <c r="AQ25" i="3"/>
  <c r="AQ24" i="3"/>
  <c r="AQ23" i="3"/>
  <c r="AQ22" i="3"/>
  <c r="AQ21" i="3"/>
  <c r="AI26" i="3"/>
  <c r="AI21" i="3"/>
  <c r="AI31" i="3"/>
  <c r="AI30" i="3"/>
  <c r="AI29" i="3"/>
  <c r="AI28" i="3"/>
  <c r="AI25" i="3"/>
  <c r="AI24" i="3"/>
  <c r="AI23" i="3"/>
  <c r="AI22" i="3"/>
  <c r="AK26" i="3"/>
  <c r="AK25" i="3"/>
  <c r="AK24" i="3"/>
  <c r="AK23" i="3"/>
  <c r="AK22" i="3"/>
  <c r="AK31" i="3"/>
  <c r="AK30" i="3"/>
  <c r="AK29" i="3"/>
  <c r="AK28" i="3"/>
  <c r="AK21" i="3"/>
  <c r="AM26" i="3"/>
  <c r="AM21" i="3"/>
  <c r="AM37" i="3"/>
  <c r="AM36" i="3"/>
  <c r="AM35" i="3"/>
  <c r="AM34" i="3"/>
  <c r="AM25" i="3"/>
  <c r="AM24" i="3"/>
  <c r="AM23" i="3"/>
  <c r="AM22" i="3"/>
  <c r="AN37" i="3"/>
  <c r="AN36" i="3"/>
  <c r="AN35" i="3"/>
  <c r="AN34" i="3"/>
  <c r="AN26" i="3"/>
  <c r="AN25" i="3"/>
  <c r="AN24" i="3"/>
  <c r="AN23" i="3"/>
  <c r="AN22" i="3"/>
  <c r="AN21" i="3"/>
  <c r="AS26" i="3"/>
  <c r="AS21" i="3"/>
  <c r="AS37" i="3"/>
  <c r="AS36" i="3"/>
  <c r="AS35" i="3"/>
  <c r="AS34" i="3"/>
  <c r="AS25" i="3"/>
  <c r="AS24" i="3"/>
  <c r="AS23" i="3"/>
  <c r="AS22" i="3"/>
  <c r="AV31" i="3"/>
  <c r="AV30" i="3"/>
  <c r="AV29" i="3"/>
  <c r="AV28" i="3"/>
  <c r="AV26" i="3"/>
  <c r="AV25" i="3"/>
  <c r="AV24" i="3"/>
  <c r="AV23" i="3"/>
  <c r="AV22" i="3"/>
  <c r="AV21" i="3"/>
  <c r="AT37" i="3"/>
  <c r="AT36" i="3"/>
  <c r="AT35" i="3"/>
  <c r="AT26" i="3"/>
  <c r="AT25" i="3"/>
  <c r="AT24" i="3"/>
  <c r="AT23" i="3"/>
  <c r="AT22" i="3"/>
  <c r="AT21" i="3"/>
  <c r="AL26" i="3"/>
  <c r="AL21" i="3"/>
  <c r="AL37" i="3"/>
  <c r="AL36" i="3"/>
  <c r="AL35" i="3"/>
  <c r="AL34" i="3"/>
  <c r="AL25" i="3"/>
  <c r="AL24" i="3"/>
  <c r="AL23" i="3"/>
  <c r="AL22" i="3"/>
  <c r="R46" i="398" l="1"/>
  <c r="V66" i="398"/>
  <c r="Z66" i="398"/>
  <c r="W66" i="398"/>
  <c r="AA66" i="398"/>
  <c r="X66" i="398"/>
  <c r="U66" i="398"/>
  <c r="Y66" i="398"/>
  <c r="W33" i="398"/>
  <c r="AA33" i="398"/>
  <c r="X33" i="398"/>
  <c r="U33" i="398"/>
  <c r="Y33" i="398"/>
  <c r="V33" i="398"/>
  <c r="Z33" i="398"/>
  <c r="X60" i="398"/>
  <c r="U60" i="398"/>
  <c r="Y60" i="398"/>
  <c r="V60" i="398"/>
  <c r="Z60" i="398"/>
  <c r="W60" i="398"/>
  <c r="AA60" i="398"/>
  <c r="V26" i="398"/>
  <c r="Z26" i="398"/>
  <c r="W26" i="398"/>
  <c r="AA26" i="398"/>
  <c r="X26" i="398"/>
  <c r="Y26" i="398"/>
  <c r="U26" i="398"/>
  <c r="O8" i="398"/>
  <c r="V8" i="398"/>
  <c r="Z8" i="398"/>
  <c r="W8" i="398"/>
  <c r="AA8" i="398"/>
  <c r="X8" i="398"/>
  <c r="U8" i="398"/>
  <c r="Y8" i="398"/>
  <c r="R12" i="398"/>
  <c r="Q12" i="398" s="1"/>
  <c r="R66" i="398"/>
  <c r="U52" i="398"/>
  <c r="Y52" i="398"/>
  <c r="V52" i="398"/>
  <c r="Z52" i="398"/>
  <c r="W52" i="398"/>
  <c r="AA52" i="398"/>
  <c r="X52" i="398"/>
  <c r="U19" i="398"/>
  <c r="Y19" i="398"/>
  <c r="V19" i="398"/>
  <c r="Z19" i="398"/>
  <c r="W19" i="398"/>
  <c r="AA19" i="398"/>
  <c r="X19" i="398"/>
  <c r="W46" i="398"/>
  <c r="AA46" i="398"/>
  <c r="X46" i="398"/>
  <c r="U46" i="398"/>
  <c r="Y46" i="398"/>
  <c r="V46" i="398"/>
  <c r="Z46" i="398"/>
  <c r="W12" i="398"/>
  <c r="AA12" i="398"/>
  <c r="X12" i="398"/>
  <c r="U12" i="398"/>
  <c r="Y12" i="398"/>
  <c r="V12" i="398"/>
  <c r="Z12" i="398"/>
  <c r="C14" i="398"/>
  <c r="C22" i="398"/>
  <c r="C31" i="398"/>
  <c r="C40" i="398"/>
  <c r="C20" i="398"/>
  <c r="C61" i="398"/>
  <c r="C53" i="398"/>
  <c r="C27" i="398"/>
  <c r="O6" i="398"/>
  <c r="Z6" i="398"/>
  <c r="AA6" i="398"/>
  <c r="C48" i="398"/>
  <c r="C58" i="398"/>
  <c r="C17" i="398"/>
  <c r="C30" i="398"/>
  <c r="C50" i="398"/>
  <c r="C56" i="398"/>
  <c r="C15" i="398"/>
  <c r="C54" i="398"/>
  <c r="C63" i="398"/>
  <c r="C41" i="398"/>
  <c r="C45" i="398"/>
  <c r="C51" i="398"/>
  <c r="C64" i="398"/>
  <c r="C9" i="398"/>
  <c r="C25" i="398"/>
  <c r="C42" i="398"/>
  <c r="C65" i="398"/>
  <c r="C43" i="398"/>
  <c r="C59" i="398"/>
  <c r="C7" i="398"/>
  <c r="C11" i="398"/>
  <c r="C44" i="398"/>
  <c r="C32" i="398"/>
  <c r="C29" i="398"/>
  <c r="C62" i="398"/>
  <c r="C23" i="398"/>
  <c r="C57" i="398"/>
  <c r="C47" i="398"/>
  <c r="C18" i="398"/>
  <c r="C10" i="398"/>
  <c r="C55" i="398"/>
  <c r="C49" i="398"/>
  <c r="C21" i="398"/>
  <c r="C13" i="398"/>
  <c r="C28" i="398"/>
  <c r="C24" i="398"/>
  <c r="C16" i="398"/>
  <c r="Y63" i="560"/>
  <c r="O37" i="396"/>
  <c r="C22" i="396"/>
  <c r="U4" i="396"/>
  <c r="C8" i="396"/>
  <c r="C36" i="396"/>
  <c r="C25" i="396"/>
  <c r="C35" i="396"/>
  <c r="C23" i="396"/>
  <c r="C15" i="396"/>
  <c r="R20" i="396"/>
  <c r="Q20" i="396" s="1"/>
  <c r="Y4" i="396"/>
  <c r="C6" i="396"/>
  <c r="O34" i="396"/>
  <c r="C26" i="396"/>
  <c r="Q38" i="396"/>
  <c r="C6" i="38"/>
  <c r="C48" i="38" s="1"/>
  <c r="I49" i="38" s="1"/>
  <c r="M40" i="38" s="1"/>
  <c r="C14" i="396"/>
  <c r="O14" i="396" s="1"/>
  <c r="H6" i="38"/>
  <c r="H48" i="38" s="1"/>
  <c r="C11" i="396"/>
  <c r="O31" i="396"/>
  <c r="R27" i="396"/>
  <c r="O16" i="396"/>
  <c r="G6" i="38"/>
  <c r="G48" i="38" s="1"/>
  <c r="F6" i="38"/>
  <c r="F48" i="38" s="1"/>
  <c r="I6" i="38"/>
  <c r="I48" i="38" s="1"/>
  <c r="Q32" i="396"/>
  <c r="W4" i="396"/>
  <c r="E6" i="38"/>
  <c r="E48" i="38" s="1"/>
  <c r="D6" i="38"/>
  <c r="B6" i="38" s="1"/>
  <c r="C24" i="396"/>
  <c r="C17" i="396"/>
  <c r="C30" i="396"/>
  <c r="O30" i="396" s="1"/>
  <c r="C18" i="396"/>
  <c r="Q27" i="396"/>
  <c r="O24" i="396"/>
  <c r="C9" i="396"/>
  <c r="P7" i="396"/>
  <c r="N7" i="396" s="1"/>
  <c r="O29" i="396"/>
  <c r="D48" i="38"/>
  <c r="P38" i="560"/>
  <c r="N38" i="560" s="1"/>
  <c r="L39" i="560" s="1"/>
  <c r="C53" i="560"/>
  <c r="C22" i="560"/>
  <c r="O22" i="560" s="1"/>
  <c r="C59" i="560"/>
  <c r="C21" i="560"/>
  <c r="O21" i="560" s="1"/>
  <c r="T21" i="560" s="1"/>
  <c r="Z67" i="560"/>
  <c r="C65" i="560"/>
  <c r="O65" i="560" s="1"/>
  <c r="L17" i="563"/>
  <c r="L16" i="563"/>
  <c r="U67" i="560"/>
  <c r="AA63" i="560"/>
  <c r="Y67" i="560"/>
  <c r="Z17" i="560"/>
  <c r="U63" i="560"/>
  <c r="U38" i="560"/>
  <c r="V29" i="560"/>
  <c r="V17" i="560"/>
  <c r="O61" i="560"/>
  <c r="AA59" i="560"/>
  <c r="U56" i="560"/>
  <c r="Z36" i="560"/>
  <c r="W19" i="560"/>
  <c r="AA67" i="560"/>
  <c r="O67" i="560"/>
  <c r="T67" i="560" s="1"/>
  <c r="V63" i="560"/>
  <c r="O59" i="560"/>
  <c r="T59" i="560" s="1"/>
  <c r="T63" i="560"/>
  <c r="P63" i="560"/>
  <c r="N63" i="560" s="1"/>
  <c r="O55" i="560"/>
  <c r="W55" i="560"/>
  <c r="Y55" i="560"/>
  <c r="U55" i="560"/>
  <c r="Z55" i="560"/>
  <c r="V55" i="560"/>
  <c r="AA55" i="560"/>
  <c r="AA13" i="560"/>
  <c r="Z10" i="560"/>
  <c r="W69" i="560"/>
  <c r="W65" i="560"/>
  <c r="V59" i="560"/>
  <c r="X58" i="560"/>
  <c r="X56" i="560"/>
  <c r="V38" i="560"/>
  <c r="V25" i="560"/>
  <c r="Y21" i="560"/>
  <c r="V50" i="560"/>
  <c r="AA69" i="560"/>
  <c r="AA65" i="560"/>
  <c r="Z63" i="560"/>
  <c r="W59" i="560"/>
  <c r="Z38" i="560"/>
  <c r="V6" i="395"/>
  <c r="C53" i="395"/>
  <c r="T34" i="395"/>
  <c r="U5" i="395"/>
  <c r="C41" i="395"/>
  <c r="O41" i="395" s="1"/>
  <c r="C20" i="395"/>
  <c r="O20" i="395" s="1"/>
  <c r="P20" i="395" s="1"/>
  <c r="N20" i="395" s="1"/>
  <c r="C58" i="395"/>
  <c r="C52" i="395"/>
  <c r="C13" i="395"/>
  <c r="O13" i="395" s="1"/>
  <c r="C68" i="395"/>
  <c r="R14" i="395"/>
  <c r="T27" i="395"/>
  <c r="T36" i="395"/>
  <c r="O67" i="395"/>
  <c r="T67" i="395" s="1"/>
  <c r="P40" i="395"/>
  <c r="N40" i="395" s="1"/>
  <c r="T40" i="395"/>
  <c r="T26" i="395"/>
  <c r="T31" i="395"/>
  <c r="C66" i="395"/>
  <c r="C16" i="395"/>
  <c r="O16" i="395" s="1"/>
  <c r="C59" i="395"/>
  <c r="R54" i="395"/>
  <c r="Q54" i="395" s="1"/>
  <c r="C57" i="395"/>
  <c r="C47" i="395"/>
  <c r="C45" i="395"/>
  <c r="O45" i="395" s="1"/>
  <c r="R28" i="395"/>
  <c r="Q28" i="395" s="1"/>
  <c r="R69" i="395"/>
  <c r="B5" i="38"/>
  <c r="O64" i="395"/>
  <c r="T37" i="395"/>
  <c r="O56" i="395"/>
  <c r="P43" i="395"/>
  <c r="N43" i="395" s="1"/>
  <c r="T43" i="395"/>
  <c r="T41" i="395"/>
  <c r="P41" i="395"/>
  <c r="N41" i="395" s="1"/>
  <c r="O63" i="395"/>
  <c r="T17" i="395"/>
  <c r="P67" i="395"/>
  <c r="N67" i="395" s="1"/>
  <c r="T20" i="395"/>
  <c r="O46" i="395"/>
  <c r="C19" i="395"/>
  <c r="O19" i="395" s="1"/>
  <c r="C62" i="395"/>
  <c r="C25" i="395"/>
  <c r="O25" i="395" s="1"/>
  <c r="P25" i="395" s="1"/>
  <c r="N25" i="395" s="1"/>
  <c r="C24" i="395"/>
  <c r="O24" i="395" s="1"/>
  <c r="P24" i="395" s="1"/>
  <c r="N24" i="395" s="1"/>
  <c r="C42" i="395"/>
  <c r="O42" i="395" s="1"/>
  <c r="O47" i="395"/>
  <c r="O68" i="395"/>
  <c r="O59" i="395"/>
  <c r="C44" i="395"/>
  <c r="O44" i="395" s="1"/>
  <c r="C12" i="395"/>
  <c r="O12" i="395" s="1"/>
  <c r="C29" i="395"/>
  <c r="O29" i="395" s="1"/>
  <c r="R60" i="395"/>
  <c r="Q60" i="395" s="1"/>
  <c r="O57" i="395"/>
  <c r="O58" i="395"/>
  <c r="C18" i="395"/>
  <c r="O18" i="395" s="1"/>
  <c r="R48" i="395"/>
  <c r="R21" i="395"/>
  <c r="L41" i="395"/>
  <c r="L42" i="395" s="1"/>
  <c r="R38" i="395"/>
  <c r="C8" i="395"/>
  <c r="O52" i="395"/>
  <c r="P52" i="395" s="1"/>
  <c r="N52" i="395" s="1"/>
  <c r="O51" i="395"/>
  <c r="P51" i="395" s="1"/>
  <c r="N51" i="395" s="1"/>
  <c r="O53" i="395"/>
  <c r="P53" i="395" s="1"/>
  <c r="N53" i="395" s="1"/>
  <c r="C9" i="395"/>
  <c r="C11" i="395"/>
  <c r="C10" i="395"/>
  <c r="T69" i="560"/>
  <c r="P69" i="560"/>
  <c r="N69" i="560" s="1"/>
  <c r="U39" i="560"/>
  <c r="Z39" i="560"/>
  <c r="T29" i="560"/>
  <c r="P29" i="560"/>
  <c r="N29" i="560" s="1"/>
  <c r="U20" i="560"/>
  <c r="O20" i="560"/>
  <c r="AA20" i="560"/>
  <c r="V20" i="560"/>
  <c r="U51" i="560"/>
  <c r="Y51" i="560"/>
  <c r="O51" i="560"/>
  <c r="V51" i="560"/>
  <c r="AA51" i="560"/>
  <c r="W51" i="560"/>
  <c r="X51" i="560"/>
  <c r="T17" i="560"/>
  <c r="P17" i="560"/>
  <c r="N17" i="560" s="1"/>
  <c r="X18" i="560"/>
  <c r="Y17" i="560"/>
  <c r="U17" i="560"/>
  <c r="C16" i="560"/>
  <c r="C8" i="560"/>
  <c r="P21" i="560"/>
  <c r="N21" i="560" s="1"/>
  <c r="P36" i="560"/>
  <c r="N36" i="560" s="1"/>
  <c r="Z69" i="560"/>
  <c r="V69" i="560"/>
  <c r="X66" i="560"/>
  <c r="Z65" i="560"/>
  <c r="V65" i="560"/>
  <c r="X64" i="560"/>
  <c r="Z62" i="560"/>
  <c r="W61" i="560"/>
  <c r="X61" i="560"/>
  <c r="W58" i="560"/>
  <c r="C57" i="560"/>
  <c r="V57" i="560" s="1"/>
  <c r="X53" i="560"/>
  <c r="W52" i="560"/>
  <c r="X50" i="560"/>
  <c r="AA45" i="560"/>
  <c r="Y36" i="560"/>
  <c r="C33" i="560"/>
  <c r="V33" i="560" s="1"/>
  <c r="AA29" i="560"/>
  <c r="U29" i="560"/>
  <c r="X24" i="560"/>
  <c r="C23" i="560"/>
  <c r="V22" i="560"/>
  <c r="X21" i="560"/>
  <c r="O50" i="560"/>
  <c r="C48" i="560"/>
  <c r="P59" i="560"/>
  <c r="N59" i="560" s="1"/>
  <c r="C6" i="560"/>
  <c r="W18" i="560"/>
  <c r="X17" i="560"/>
  <c r="X10" i="560"/>
  <c r="Y69" i="560"/>
  <c r="U69" i="560"/>
  <c r="Y65" i="560"/>
  <c r="U65" i="560"/>
  <c r="W64" i="560"/>
  <c r="X63" i="560"/>
  <c r="X62" i="560"/>
  <c r="AA61" i="560"/>
  <c r="V61" i="560"/>
  <c r="C60" i="560"/>
  <c r="Y59" i="560"/>
  <c r="U59" i="560"/>
  <c r="V58" i="560"/>
  <c r="W53" i="560"/>
  <c r="W50" i="560"/>
  <c r="W45" i="560"/>
  <c r="C42" i="560"/>
  <c r="C41" i="560"/>
  <c r="X37" i="560"/>
  <c r="V36" i="560"/>
  <c r="X35" i="560"/>
  <c r="X29" i="560"/>
  <c r="W24" i="560"/>
  <c r="V21" i="560"/>
  <c r="AA17" i="560"/>
  <c r="W17" i="560"/>
  <c r="C15" i="560"/>
  <c r="C14" i="560"/>
  <c r="AA14" i="560" s="1"/>
  <c r="C7" i="560"/>
  <c r="C12" i="560"/>
  <c r="X71" i="560"/>
  <c r="X69" i="560"/>
  <c r="W67" i="560"/>
  <c r="X67" i="560"/>
  <c r="X65" i="560"/>
  <c r="W63" i="560"/>
  <c r="Z61" i="560"/>
  <c r="U61" i="560"/>
  <c r="AA58" i="560"/>
  <c r="O58" i="560"/>
  <c r="Z56" i="560"/>
  <c r="X55" i="560"/>
  <c r="Z53" i="560"/>
  <c r="V53" i="560"/>
  <c r="Z52" i="560"/>
  <c r="Z50" i="560"/>
  <c r="W49" i="560"/>
  <c r="X46" i="560"/>
  <c r="V45" i="560"/>
  <c r="Y38" i="560"/>
  <c r="W37" i="560"/>
  <c r="U36" i="560"/>
  <c r="W29" i="560"/>
  <c r="C28" i="560"/>
  <c r="C27" i="560"/>
  <c r="AA24" i="560"/>
  <c r="U21" i="560"/>
  <c r="Y20" i="560"/>
  <c r="C54" i="560"/>
  <c r="Y49" i="560"/>
  <c r="W47" i="560"/>
  <c r="O68" i="560"/>
  <c r="W68" i="560"/>
  <c r="AA68" i="560"/>
  <c r="U68" i="560"/>
  <c r="Y68" i="560"/>
  <c r="V68" i="560"/>
  <c r="X68" i="560"/>
  <c r="O40" i="560"/>
  <c r="W40" i="560"/>
  <c r="AA40" i="560"/>
  <c r="X40" i="560"/>
  <c r="U40" i="560"/>
  <c r="V40" i="560"/>
  <c r="Y40" i="560"/>
  <c r="Z40" i="560"/>
  <c r="P67" i="560"/>
  <c r="U66" i="560"/>
  <c r="Y66" i="560"/>
  <c r="O66" i="560"/>
  <c r="W66" i="560"/>
  <c r="AA66" i="560"/>
  <c r="V66" i="560"/>
  <c r="X19" i="560"/>
  <c r="O19" i="560"/>
  <c r="U19" i="560"/>
  <c r="Z19" i="560"/>
  <c r="V19" i="560"/>
  <c r="AA19" i="560"/>
  <c r="U70" i="560"/>
  <c r="Y70" i="560"/>
  <c r="O70" i="560"/>
  <c r="W70" i="560"/>
  <c r="AA70" i="560"/>
  <c r="V70" i="560"/>
  <c r="X70" i="560"/>
  <c r="Z68" i="560"/>
  <c r="T65" i="560"/>
  <c r="P65" i="560"/>
  <c r="N65" i="560" s="1"/>
  <c r="V13" i="560"/>
  <c r="Z13" i="560"/>
  <c r="O13" i="560"/>
  <c r="X13" i="560"/>
  <c r="U13" i="560"/>
  <c r="W13" i="560"/>
  <c r="Z66" i="560"/>
  <c r="U16" i="560"/>
  <c r="Y16" i="560"/>
  <c r="O16" i="560"/>
  <c r="W16" i="560"/>
  <c r="U14" i="560"/>
  <c r="C9" i="560"/>
  <c r="C11" i="560"/>
  <c r="X16" i="560"/>
  <c r="U10" i="560"/>
  <c r="Y10" i="560"/>
  <c r="O10" i="560"/>
  <c r="W10" i="560"/>
  <c r="AA10" i="560"/>
  <c r="O62" i="560"/>
  <c r="W62" i="560"/>
  <c r="AA62" i="560"/>
  <c r="U62" i="560"/>
  <c r="Y62" i="560"/>
  <c r="Z60" i="560"/>
  <c r="V56" i="560"/>
  <c r="AA49" i="560"/>
  <c r="V49" i="560"/>
  <c r="Y47" i="560"/>
  <c r="Z45" i="560"/>
  <c r="U45" i="560"/>
  <c r="V41" i="560"/>
  <c r="Y39" i="560"/>
  <c r="O27" i="560"/>
  <c r="W27" i="560"/>
  <c r="AA27" i="560"/>
  <c r="X27" i="560"/>
  <c r="U27" i="560"/>
  <c r="Y27" i="560"/>
  <c r="Z49" i="560"/>
  <c r="U49" i="560"/>
  <c r="X47" i="560"/>
  <c r="Y45" i="560"/>
  <c r="O45" i="560"/>
  <c r="AA41" i="560"/>
  <c r="V39" i="560"/>
  <c r="Z33" i="560"/>
  <c r="U31" i="560"/>
  <c r="Y31" i="560"/>
  <c r="V31" i="560"/>
  <c r="Z31" i="560"/>
  <c r="O31" i="560"/>
  <c r="W31" i="560"/>
  <c r="AA31" i="560"/>
  <c r="O25" i="560"/>
  <c r="W25" i="560"/>
  <c r="AA25" i="560"/>
  <c r="X25" i="560"/>
  <c r="U25" i="560"/>
  <c r="Y25" i="560"/>
  <c r="O60" i="560"/>
  <c r="W60" i="560"/>
  <c r="AA60" i="560"/>
  <c r="U58" i="560"/>
  <c r="Y58" i="560"/>
  <c r="X41" i="560"/>
  <c r="U41" i="560"/>
  <c r="Y41" i="560"/>
  <c r="U35" i="560"/>
  <c r="Y35" i="560"/>
  <c r="V35" i="560"/>
  <c r="Z35" i="560"/>
  <c r="O35" i="560"/>
  <c r="W35" i="560"/>
  <c r="AA35" i="560"/>
  <c r="O56" i="560"/>
  <c r="T56" i="560" s="1"/>
  <c r="W56" i="560"/>
  <c r="AA56" i="560"/>
  <c r="O39" i="560"/>
  <c r="W39" i="560"/>
  <c r="AA39" i="560"/>
  <c r="X39" i="560"/>
  <c r="O33" i="560"/>
  <c r="W33" i="560"/>
  <c r="AA33" i="560"/>
  <c r="X33" i="560"/>
  <c r="U33" i="560"/>
  <c r="Y33" i="560"/>
  <c r="O49" i="560"/>
  <c r="X49" i="560"/>
  <c r="O47" i="560"/>
  <c r="V47" i="560"/>
  <c r="Z47" i="560"/>
  <c r="X38" i="560"/>
  <c r="X36" i="560"/>
  <c r="Z30" i="560"/>
  <c r="Z28" i="560"/>
  <c r="Y5" i="560"/>
  <c r="Y23" i="560"/>
  <c r="U23" i="560"/>
  <c r="Y22" i="560"/>
  <c r="U22" i="560"/>
  <c r="X20" i="560"/>
  <c r="Y52" i="560"/>
  <c r="Z51" i="560"/>
  <c r="Y48" i="560"/>
  <c r="C43" i="560"/>
  <c r="AA38" i="560"/>
  <c r="W38" i="560"/>
  <c r="Z37" i="560"/>
  <c r="AA36" i="560"/>
  <c r="W36" i="560"/>
  <c r="Y30" i="560"/>
  <c r="Z29" i="560"/>
  <c r="Y28" i="560"/>
  <c r="X23" i="560"/>
  <c r="X22" i="560"/>
  <c r="AA21" i="560"/>
  <c r="W21" i="560"/>
  <c r="Z20" i="560"/>
  <c r="W20" i="560"/>
  <c r="Y29" i="560"/>
  <c r="Z24" i="560"/>
  <c r="AA23" i="560"/>
  <c r="W23" i="560"/>
  <c r="AA22" i="560"/>
  <c r="W22" i="560"/>
  <c r="Z21" i="560"/>
  <c r="Q67" i="398" l="1"/>
  <c r="W21" i="398"/>
  <c r="AA21" i="398"/>
  <c r="X21" i="398"/>
  <c r="U21" i="398"/>
  <c r="Y21" i="398"/>
  <c r="Z21" i="398"/>
  <c r="V21" i="398"/>
  <c r="U44" i="398"/>
  <c r="Y44" i="398"/>
  <c r="V44" i="398"/>
  <c r="Z44" i="398"/>
  <c r="W44" i="398"/>
  <c r="AA44" i="398"/>
  <c r="X44" i="398"/>
  <c r="X41" i="398"/>
  <c r="U41" i="398"/>
  <c r="Y41" i="398"/>
  <c r="V41" i="398"/>
  <c r="Z41" i="398"/>
  <c r="W41" i="398"/>
  <c r="AA41" i="398"/>
  <c r="X28" i="398"/>
  <c r="U28" i="398"/>
  <c r="Y28" i="398"/>
  <c r="V28" i="398"/>
  <c r="Z28" i="398"/>
  <c r="W28" i="398"/>
  <c r="AA28" i="398"/>
  <c r="U55" i="398"/>
  <c r="Y55" i="398"/>
  <c r="V55" i="398"/>
  <c r="Z55" i="398"/>
  <c r="W55" i="398"/>
  <c r="AA55" i="398"/>
  <c r="X55" i="398"/>
  <c r="W57" i="398"/>
  <c r="AA57" i="398"/>
  <c r="X57" i="398"/>
  <c r="U57" i="398"/>
  <c r="Y57" i="398"/>
  <c r="V57" i="398"/>
  <c r="Z57" i="398"/>
  <c r="W29" i="398"/>
  <c r="AA29" i="398"/>
  <c r="X29" i="398"/>
  <c r="U29" i="398"/>
  <c r="Y29" i="398"/>
  <c r="V29" i="398"/>
  <c r="Z29" i="398"/>
  <c r="W7" i="398"/>
  <c r="AA7" i="398"/>
  <c r="X7" i="398"/>
  <c r="U7" i="398"/>
  <c r="Y7" i="398"/>
  <c r="V7" i="398"/>
  <c r="Z7" i="398"/>
  <c r="W42" i="398"/>
  <c r="AA42" i="398"/>
  <c r="X42" i="398"/>
  <c r="U42" i="398"/>
  <c r="Y42" i="398"/>
  <c r="V42" i="398"/>
  <c r="Z42" i="398"/>
  <c r="V51" i="398"/>
  <c r="Z51" i="398"/>
  <c r="W51" i="398"/>
  <c r="AA51" i="398"/>
  <c r="X51" i="398"/>
  <c r="U51" i="398"/>
  <c r="Y51" i="398"/>
  <c r="W54" i="398"/>
  <c r="X54" i="398"/>
  <c r="U54" i="398"/>
  <c r="Z54" i="398"/>
  <c r="AA54" i="398"/>
  <c r="V54" i="398"/>
  <c r="Y54" i="398"/>
  <c r="V30" i="398"/>
  <c r="Z30" i="398"/>
  <c r="W30" i="398"/>
  <c r="AA30" i="398"/>
  <c r="X30" i="398"/>
  <c r="Y30" i="398"/>
  <c r="U30" i="398"/>
  <c r="X53" i="398"/>
  <c r="U53" i="398"/>
  <c r="Y53" i="398"/>
  <c r="V53" i="398"/>
  <c r="Z53" i="398"/>
  <c r="AA53" i="398"/>
  <c r="W53" i="398"/>
  <c r="U40" i="398"/>
  <c r="Y40" i="398"/>
  <c r="V40" i="398"/>
  <c r="Z40" i="398"/>
  <c r="W40" i="398"/>
  <c r="AA40" i="398"/>
  <c r="X40" i="398"/>
  <c r="X16" i="398"/>
  <c r="U16" i="398"/>
  <c r="Y16" i="398"/>
  <c r="V16" i="398"/>
  <c r="Z16" i="398"/>
  <c r="W16" i="398"/>
  <c r="AA16" i="398"/>
  <c r="V18" i="398"/>
  <c r="Z18" i="398"/>
  <c r="W18" i="398"/>
  <c r="AA18" i="398"/>
  <c r="X18" i="398"/>
  <c r="U18" i="398"/>
  <c r="Y18" i="398"/>
  <c r="V43" i="398"/>
  <c r="Z43" i="398"/>
  <c r="W43" i="398"/>
  <c r="AA43" i="398"/>
  <c r="X43" i="398"/>
  <c r="U43" i="398"/>
  <c r="Y43" i="398"/>
  <c r="X56" i="398"/>
  <c r="U56" i="398"/>
  <c r="Y56" i="398"/>
  <c r="V56" i="398"/>
  <c r="Z56" i="398"/>
  <c r="W56" i="398"/>
  <c r="AA56" i="398"/>
  <c r="V22" i="398"/>
  <c r="Z22" i="398"/>
  <c r="W22" i="398"/>
  <c r="AA22" i="398"/>
  <c r="X22" i="398"/>
  <c r="U22" i="398"/>
  <c r="Y22" i="398"/>
  <c r="W13" i="398"/>
  <c r="AA13" i="398"/>
  <c r="X13" i="398"/>
  <c r="Y13" i="398"/>
  <c r="Z13" i="398"/>
  <c r="U13" i="398"/>
  <c r="V13" i="398"/>
  <c r="Y10" i="398"/>
  <c r="U10" i="398"/>
  <c r="Z10" i="398"/>
  <c r="W10" i="398"/>
  <c r="AA10" i="398"/>
  <c r="X10" i="398"/>
  <c r="V10" i="398"/>
  <c r="X32" i="398"/>
  <c r="U32" i="398"/>
  <c r="Y32" i="398"/>
  <c r="V32" i="398"/>
  <c r="Z32" i="398"/>
  <c r="W32" i="398"/>
  <c r="AA32" i="398"/>
  <c r="U59" i="398"/>
  <c r="Y59" i="398"/>
  <c r="V59" i="398"/>
  <c r="Z59" i="398"/>
  <c r="W59" i="398"/>
  <c r="AA59" i="398"/>
  <c r="X59" i="398"/>
  <c r="W25" i="398"/>
  <c r="AA25" i="398"/>
  <c r="X25" i="398"/>
  <c r="U25" i="398"/>
  <c r="Y25" i="398"/>
  <c r="Z25" i="398"/>
  <c r="V25" i="398"/>
  <c r="X45" i="398"/>
  <c r="U45" i="398"/>
  <c r="Y45" i="398"/>
  <c r="V45" i="398"/>
  <c r="Z45" i="398"/>
  <c r="W45" i="398"/>
  <c r="AA45" i="398"/>
  <c r="U15" i="398"/>
  <c r="Y15" i="398"/>
  <c r="V15" i="398"/>
  <c r="Z15" i="398"/>
  <c r="W15" i="398"/>
  <c r="AA15" i="398"/>
  <c r="X15" i="398"/>
  <c r="W17" i="398"/>
  <c r="AA17" i="398"/>
  <c r="X17" i="398"/>
  <c r="U17" i="398"/>
  <c r="Y17" i="398"/>
  <c r="Z17" i="398"/>
  <c r="V17" i="398"/>
  <c r="U31" i="398"/>
  <c r="Y31" i="398"/>
  <c r="V31" i="398"/>
  <c r="Z31" i="398"/>
  <c r="W31" i="398"/>
  <c r="AA31" i="398"/>
  <c r="X31" i="398"/>
  <c r="U23" i="398"/>
  <c r="Y23" i="398"/>
  <c r="V23" i="398"/>
  <c r="Z23" i="398"/>
  <c r="W23" i="398"/>
  <c r="AA23" i="398"/>
  <c r="X23" i="398"/>
  <c r="U9" i="398"/>
  <c r="Y9" i="398"/>
  <c r="V9" i="398"/>
  <c r="Z9" i="398"/>
  <c r="W9" i="398"/>
  <c r="AA9" i="398"/>
  <c r="X9" i="398"/>
  <c r="V58" i="398"/>
  <c r="Z58" i="398"/>
  <c r="W58" i="398"/>
  <c r="AA58" i="398"/>
  <c r="X58" i="398"/>
  <c r="U58" i="398"/>
  <c r="Y58" i="398"/>
  <c r="W61" i="398"/>
  <c r="AA61" i="398"/>
  <c r="X61" i="398"/>
  <c r="U61" i="398"/>
  <c r="Y61" i="398"/>
  <c r="V61" i="398"/>
  <c r="Z61" i="398"/>
  <c r="X24" i="398"/>
  <c r="U24" i="398"/>
  <c r="Y24" i="398"/>
  <c r="V24" i="398"/>
  <c r="Z24" i="398"/>
  <c r="W24" i="398"/>
  <c r="AA24" i="398"/>
  <c r="X49" i="398"/>
  <c r="U49" i="398"/>
  <c r="Y49" i="398"/>
  <c r="V49" i="398"/>
  <c r="Z49" i="398"/>
  <c r="AA49" i="398"/>
  <c r="W49" i="398"/>
  <c r="V47" i="398"/>
  <c r="Z47" i="398"/>
  <c r="W47" i="398"/>
  <c r="AA47" i="398"/>
  <c r="X47" i="398"/>
  <c r="U47" i="398"/>
  <c r="Y47" i="398"/>
  <c r="V62" i="398"/>
  <c r="Z62" i="398"/>
  <c r="W62" i="398"/>
  <c r="AA62" i="398"/>
  <c r="X62" i="398"/>
  <c r="U62" i="398"/>
  <c r="Y62" i="398"/>
  <c r="X11" i="398"/>
  <c r="U11" i="398"/>
  <c r="Y11" i="398"/>
  <c r="V11" i="398"/>
  <c r="Z11" i="398"/>
  <c r="W11" i="398"/>
  <c r="AA11" i="398"/>
  <c r="W65" i="398"/>
  <c r="AA65" i="398"/>
  <c r="X65" i="398"/>
  <c r="U65" i="398"/>
  <c r="Y65" i="398"/>
  <c r="V65" i="398"/>
  <c r="Z65" i="398"/>
  <c r="X64" i="398"/>
  <c r="U64" i="398"/>
  <c r="Y64" i="398"/>
  <c r="V64" i="398"/>
  <c r="Z64" i="398"/>
  <c r="W64" i="398"/>
  <c r="AA64" i="398"/>
  <c r="U63" i="398"/>
  <c r="Y63" i="398"/>
  <c r="G7" i="38" s="1"/>
  <c r="V63" i="398"/>
  <c r="Z63" i="398"/>
  <c r="W63" i="398"/>
  <c r="AA63" i="398"/>
  <c r="X63" i="398"/>
  <c r="W50" i="398"/>
  <c r="AA50" i="398"/>
  <c r="X50" i="398"/>
  <c r="U50" i="398"/>
  <c r="Y50" i="398"/>
  <c r="V50" i="398"/>
  <c r="Z50" i="398"/>
  <c r="U48" i="398"/>
  <c r="Y48" i="398"/>
  <c r="V48" i="398"/>
  <c r="Z48" i="398"/>
  <c r="W48" i="398"/>
  <c r="AA48" i="398"/>
  <c r="X48" i="398"/>
  <c r="U27" i="398"/>
  <c r="Y27" i="398"/>
  <c r="V27" i="398"/>
  <c r="Z27" i="398"/>
  <c r="W27" i="398"/>
  <c r="AA27" i="398"/>
  <c r="X27" i="398"/>
  <c r="X20" i="398"/>
  <c r="U20" i="398"/>
  <c r="Y20" i="398"/>
  <c r="V20" i="398"/>
  <c r="Z20" i="398"/>
  <c r="W20" i="398"/>
  <c r="AA20" i="398"/>
  <c r="V14" i="398"/>
  <c r="Z14" i="398"/>
  <c r="W14" i="398"/>
  <c r="AA14" i="398"/>
  <c r="X14" i="398"/>
  <c r="U14" i="398"/>
  <c r="Y14" i="398"/>
  <c r="P8" i="398"/>
  <c r="N8" i="398" s="1"/>
  <c r="T8" i="398"/>
  <c r="O55" i="398"/>
  <c r="T55" i="398" s="1"/>
  <c r="O32" i="398"/>
  <c r="T32" i="398" s="1"/>
  <c r="O59" i="398"/>
  <c r="T59" i="398" s="1"/>
  <c r="O25" i="398"/>
  <c r="T25" i="398" s="1"/>
  <c r="O45" i="398"/>
  <c r="T45" i="398" s="1"/>
  <c r="O56" i="398"/>
  <c r="T56" i="398" s="1"/>
  <c r="O17" i="398"/>
  <c r="T17" i="398" s="1"/>
  <c r="T39" i="398"/>
  <c r="O14" i="398"/>
  <c r="T14" i="398" s="1"/>
  <c r="O16" i="398"/>
  <c r="T16" i="398" s="1"/>
  <c r="O13" i="398"/>
  <c r="T13" i="398" s="1"/>
  <c r="O23" i="398"/>
  <c r="T23" i="398" s="1"/>
  <c r="O44" i="398"/>
  <c r="T44" i="398" s="1"/>
  <c r="O43" i="398"/>
  <c r="T43" i="398" s="1"/>
  <c r="O9" i="398"/>
  <c r="T9" i="398" s="1"/>
  <c r="O41" i="398"/>
  <c r="T41" i="398" s="1"/>
  <c r="E7" i="38"/>
  <c r="I7" i="38"/>
  <c r="F7" i="38"/>
  <c r="D7" i="38"/>
  <c r="H7" i="38"/>
  <c r="O63" i="398"/>
  <c r="T63" i="398" s="1"/>
  <c r="O50" i="398"/>
  <c r="O58" i="398"/>
  <c r="T58" i="398" s="1"/>
  <c r="T6" i="398"/>
  <c r="P6" i="398"/>
  <c r="N6" i="398" s="1"/>
  <c r="O61" i="398"/>
  <c r="T61" i="398" s="1"/>
  <c r="O40" i="398"/>
  <c r="T40" i="398" s="1"/>
  <c r="O24" i="398"/>
  <c r="T24" i="398" s="1"/>
  <c r="O21" i="398"/>
  <c r="T21" i="398" s="1"/>
  <c r="O10" i="398"/>
  <c r="T10" i="398" s="1"/>
  <c r="O47" i="398"/>
  <c r="O62" i="398"/>
  <c r="T62" i="398" s="1"/>
  <c r="O11" i="398"/>
  <c r="T11" i="398" s="1"/>
  <c r="O65" i="398"/>
  <c r="T65" i="398" s="1"/>
  <c r="C7" i="38"/>
  <c r="O64" i="398"/>
  <c r="T64" i="398" s="1"/>
  <c r="O54" i="398"/>
  <c r="O30" i="398"/>
  <c r="T30" i="398" s="1"/>
  <c r="O48" i="398"/>
  <c r="O27" i="398"/>
  <c r="T27" i="398" s="1"/>
  <c r="O20" i="398"/>
  <c r="T20" i="398" s="1"/>
  <c r="O31" i="398"/>
  <c r="T31" i="398" s="1"/>
  <c r="O28" i="398"/>
  <c r="T28" i="398" s="1"/>
  <c r="O49" i="398"/>
  <c r="O18" i="398"/>
  <c r="T18" i="398" s="1"/>
  <c r="O57" i="398"/>
  <c r="O29" i="398"/>
  <c r="T29" i="398" s="1"/>
  <c r="O7" i="398"/>
  <c r="T7" i="398" s="1"/>
  <c r="O42" i="398"/>
  <c r="T42" i="398" s="1"/>
  <c r="O51" i="398"/>
  <c r="O15" i="398"/>
  <c r="T15" i="398" s="1"/>
  <c r="O53" i="398"/>
  <c r="T53" i="398" s="1"/>
  <c r="O22" i="398"/>
  <c r="T22" i="398" s="1"/>
  <c r="O22" i="396"/>
  <c r="C28" i="396"/>
  <c r="C39" i="396"/>
  <c r="C33" i="396"/>
  <c r="C13" i="396"/>
  <c r="C21" i="396"/>
  <c r="C5" i="396"/>
  <c r="P37" i="396"/>
  <c r="N37" i="396" s="1"/>
  <c r="O23" i="396"/>
  <c r="B48" i="38"/>
  <c r="O11" i="396"/>
  <c r="O26" i="396"/>
  <c r="O35" i="396"/>
  <c r="P31" i="396"/>
  <c r="N31" i="396" s="1"/>
  <c r="O8" i="396"/>
  <c r="P34" i="396"/>
  <c r="N34" i="396" s="1"/>
  <c r="O6" i="396"/>
  <c r="O25" i="396"/>
  <c r="O15" i="396"/>
  <c r="O36" i="396"/>
  <c r="P30" i="396"/>
  <c r="N30" i="396" s="1"/>
  <c r="P16" i="396"/>
  <c r="N16" i="396" s="1"/>
  <c r="O17" i="396"/>
  <c r="C10" i="396"/>
  <c r="O18" i="396"/>
  <c r="P14" i="396"/>
  <c r="N14" i="396" s="1"/>
  <c r="O9" i="396"/>
  <c r="P24" i="396"/>
  <c r="N24" i="396" s="1"/>
  <c r="P29" i="396"/>
  <c r="N29" i="396" s="1"/>
  <c r="X59" i="560"/>
  <c r="Z59" i="560"/>
  <c r="T22" i="560"/>
  <c r="P22" i="560"/>
  <c r="N22" i="560" s="1"/>
  <c r="Z22" i="560"/>
  <c r="O53" i="560"/>
  <c r="AA53" i="560"/>
  <c r="U53" i="560"/>
  <c r="Y53" i="560"/>
  <c r="W14" i="560"/>
  <c r="X14" i="560"/>
  <c r="Y14" i="560"/>
  <c r="O14" i="560"/>
  <c r="T61" i="560"/>
  <c r="P61" i="560"/>
  <c r="N61" i="560" s="1"/>
  <c r="P55" i="560"/>
  <c r="N55" i="560" s="1"/>
  <c r="T55" i="560"/>
  <c r="T35" i="395"/>
  <c r="T13" i="395"/>
  <c r="P13" i="395"/>
  <c r="N13" i="395" s="1"/>
  <c r="C7" i="395"/>
  <c r="C23" i="395"/>
  <c r="C55" i="395"/>
  <c r="C15" i="395"/>
  <c r="C65" i="395"/>
  <c r="C61" i="395"/>
  <c r="C50" i="395"/>
  <c r="P16" i="395"/>
  <c r="N16" i="395" s="1"/>
  <c r="T16" i="395"/>
  <c r="O66" i="395"/>
  <c r="T45" i="395"/>
  <c r="P45" i="395"/>
  <c r="N45" i="395" s="1"/>
  <c r="T30" i="395"/>
  <c r="T18" i="395"/>
  <c r="P18" i="395"/>
  <c r="N18" i="395" s="1"/>
  <c r="T59" i="395"/>
  <c r="P59" i="395"/>
  <c r="N59" i="395" s="1"/>
  <c r="T42" i="395"/>
  <c r="P42" i="395"/>
  <c r="N42" i="395" s="1"/>
  <c r="T33" i="395"/>
  <c r="T63" i="395"/>
  <c r="P63" i="395"/>
  <c r="N63" i="395" s="1"/>
  <c r="T56" i="395"/>
  <c r="P56" i="395"/>
  <c r="N56" i="395" s="1"/>
  <c r="P29" i="395"/>
  <c r="N29" i="395" s="1"/>
  <c r="T29" i="395"/>
  <c r="P68" i="395"/>
  <c r="N68" i="395" s="1"/>
  <c r="T68" i="395"/>
  <c r="T24" i="395"/>
  <c r="T19" i="395"/>
  <c r="P19" i="395"/>
  <c r="N19" i="395" s="1"/>
  <c r="T58" i="395"/>
  <c r="P58" i="395"/>
  <c r="N58" i="395" s="1"/>
  <c r="T12" i="395"/>
  <c r="P12" i="395"/>
  <c r="N12" i="395" s="1"/>
  <c r="P47" i="395"/>
  <c r="N47" i="395" s="1"/>
  <c r="T47" i="395"/>
  <c r="T25" i="395"/>
  <c r="P46" i="395"/>
  <c r="N46" i="395" s="1"/>
  <c r="T46" i="395"/>
  <c r="T64" i="395"/>
  <c r="P64" i="395"/>
  <c r="N64" i="395" s="1"/>
  <c r="T57" i="395"/>
  <c r="P57" i="395"/>
  <c r="N57" i="395" s="1"/>
  <c r="P44" i="395"/>
  <c r="N44" i="395" s="1"/>
  <c r="T44" i="395"/>
  <c r="O62" i="395"/>
  <c r="O10" i="395"/>
  <c r="O11" i="395"/>
  <c r="T32" i="395"/>
  <c r="O9" i="395"/>
  <c r="O8" i="395"/>
  <c r="U42" i="560"/>
  <c r="W42" i="560"/>
  <c r="X42" i="560"/>
  <c r="O42" i="560"/>
  <c r="Z42" i="560"/>
  <c r="V42" i="560"/>
  <c r="AA42" i="560"/>
  <c r="Y6" i="560"/>
  <c r="X6" i="560"/>
  <c r="U6" i="560"/>
  <c r="AA6" i="560"/>
  <c r="W6" i="560"/>
  <c r="O6" i="560"/>
  <c r="Z6" i="560"/>
  <c r="V6" i="560"/>
  <c r="T58" i="560"/>
  <c r="P58" i="560"/>
  <c r="N58" i="560" s="1"/>
  <c r="V14" i="560"/>
  <c r="Z14" i="560"/>
  <c r="V8" i="560"/>
  <c r="Z8" i="560"/>
  <c r="W8" i="560"/>
  <c r="AA8" i="560"/>
  <c r="X8" i="560"/>
  <c r="O8" i="560"/>
  <c r="U8" i="560"/>
  <c r="Y8" i="560"/>
  <c r="T20" i="560"/>
  <c r="P20" i="560"/>
  <c r="N20" i="560" s="1"/>
  <c r="W7" i="560"/>
  <c r="AA7" i="560"/>
  <c r="O7" i="560"/>
  <c r="X7" i="560"/>
  <c r="U7" i="560"/>
  <c r="Y7" i="560"/>
  <c r="V7" i="560"/>
  <c r="Z7" i="560"/>
  <c r="P51" i="560"/>
  <c r="N51" i="560" s="1"/>
  <c r="T51" i="560"/>
  <c r="O57" i="560"/>
  <c r="U54" i="560"/>
  <c r="Y54" i="560"/>
  <c r="O54" i="560"/>
  <c r="V54" i="560"/>
  <c r="Z54" i="560"/>
  <c r="W54" i="560"/>
  <c r="AA54" i="560"/>
  <c r="X54" i="560"/>
  <c r="V27" i="560"/>
  <c r="Z27" i="560"/>
  <c r="W15" i="560"/>
  <c r="AA15" i="560"/>
  <c r="O15" i="560"/>
  <c r="X15" i="560"/>
  <c r="U15" i="560"/>
  <c r="Y15" i="560"/>
  <c r="V15" i="560"/>
  <c r="Z15" i="560"/>
  <c r="X48" i="560"/>
  <c r="U48" i="560"/>
  <c r="Z48" i="560"/>
  <c r="V48" i="560"/>
  <c r="AA48" i="560"/>
  <c r="O48" i="560"/>
  <c r="W48" i="560"/>
  <c r="O23" i="560"/>
  <c r="Z23" i="560"/>
  <c r="V23" i="560"/>
  <c r="Z16" i="560"/>
  <c r="AA16" i="560"/>
  <c r="V16" i="560"/>
  <c r="X57" i="560"/>
  <c r="W57" i="560"/>
  <c r="Z57" i="560"/>
  <c r="U57" i="560"/>
  <c r="Y42" i="560"/>
  <c r="Y57" i="560"/>
  <c r="AA57" i="560"/>
  <c r="U28" i="560"/>
  <c r="X28" i="560"/>
  <c r="O28" i="560"/>
  <c r="AA28" i="560"/>
  <c r="V28" i="560"/>
  <c r="W28" i="560"/>
  <c r="W12" i="560"/>
  <c r="AA12" i="560"/>
  <c r="O12" i="560"/>
  <c r="X12" i="560"/>
  <c r="U12" i="560"/>
  <c r="Y12" i="560"/>
  <c r="V12" i="560"/>
  <c r="Z12" i="560"/>
  <c r="O41" i="560"/>
  <c r="W41" i="560"/>
  <c r="Z41" i="560"/>
  <c r="U60" i="560"/>
  <c r="Y60" i="560"/>
  <c r="V60" i="560"/>
  <c r="X60" i="560"/>
  <c r="T50" i="560"/>
  <c r="P50" i="560"/>
  <c r="N50" i="560" s="1"/>
  <c r="T25" i="560"/>
  <c r="P25" i="560"/>
  <c r="N25" i="560" s="1"/>
  <c r="T14" i="560"/>
  <c r="P14" i="560"/>
  <c r="N14" i="560" s="1"/>
  <c r="T70" i="560"/>
  <c r="P70" i="560"/>
  <c r="N70" i="560" s="1"/>
  <c r="T66" i="560"/>
  <c r="P66" i="560"/>
  <c r="N66" i="560" s="1"/>
  <c r="T68" i="560"/>
  <c r="P68" i="560"/>
  <c r="N68" i="560" s="1"/>
  <c r="T49" i="560"/>
  <c r="P49" i="560"/>
  <c r="N49" i="560" s="1"/>
  <c r="T35" i="560"/>
  <c r="P35" i="560"/>
  <c r="N35" i="560" s="1"/>
  <c r="T57" i="560"/>
  <c r="P57" i="560"/>
  <c r="N57" i="560" s="1"/>
  <c r="V43" i="560"/>
  <c r="Z43" i="560"/>
  <c r="W43" i="560"/>
  <c r="O43" i="560"/>
  <c r="X43" i="560"/>
  <c r="Y43" i="560"/>
  <c r="U43" i="560"/>
  <c r="AA43" i="560"/>
  <c r="P47" i="560"/>
  <c r="N47" i="560" s="1"/>
  <c r="T47" i="560"/>
  <c r="T33" i="560"/>
  <c r="P33" i="560"/>
  <c r="N33" i="560" s="1"/>
  <c r="T39" i="560"/>
  <c r="P39" i="560"/>
  <c r="N39" i="560" s="1"/>
  <c r="P60" i="560"/>
  <c r="T60" i="560"/>
  <c r="P10" i="560"/>
  <c r="N10" i="560" s="1"/>
  <c r="T10" i="560"/>
  <c r="T13" i="560"/>
  <c r="P13" i="560"/>
  <c r="N13" i="560" s="1"/>
  <c r="L66" i="560"/>
  <c r="T40" i="560"/>
  <c r="P40" i="560"/>
  <c r="N40" i="560" s="1"/>
  <c r="V9" i="560"/>
  <c r="Z9" i="560"/>
  <c r="X9" i="560"/>
  <c r="U9" i="560"/>
  <c r="W9" i="560"/>
  <c r="Y9" i="560"/>
  <c r="O9" i="560"/>
  <c r="AA9" i="560"/>
  <c r="T19" i="560"/>
  <c r="P19" i="560"/>
  <c r="N19" i="560" s="1"/>
  <c r="L20" i="560" s="1"/>
  <c r="C32" i="560"/>
  <c r="C34" i="560"/>
  <c r="C44" i="560"/>
  <c r="C26" i="560"/>
  <c r="T31" i="560"/>
  <c r="P31" i="560"/>
  <c r="N31" i="560" s="1"/>
  <c r="T45" i="560"/>
  <c r="P45" i="560"/>
  <c r="N45" i="560" s="1"/>
  <c r="T27" i="560"/>
  <c r="P27" i="560"/>
  <c r="N27" i="560" s="1"/>
  <c r="T62" i="560"/>
  <c r="P62" i="560"/>
  <c r="N62" i="560" s="1"/>
  <c r="X11" i="560"/>
  <c r="V11" i="560"/>
  <c r="Z11" i="560"/>
  <c r="Y11" i="560"/>
  <c r="AA11" i="560"/>
  <c r="U11" i="560"/>
  <c r="W11" i="560"/>
  <c r="O11" i="560"/>
  <c r="T16" i="560"/>
  <c r="P16" i="560"/>
  <c r="N16" i="560" s="1"/>
  <c r="AA67" i="398" l="1"/>
  <c r="K67" i="398" s="1"/>
  <c r="K68" i="398" s="1"/>
  <c r="P51" i="398"/>
  <c r="N51" i="398" s="1"/>
  <c r="T51" i="398"/>
  <c r="P57" i="398"/>
  <c r="N57" i="398" s="1"/>
  <c r="T57" i="398"/>
  <c r="P50" i="398"/>
  <c r="N50" i="398" s="1"/>
  <c r="T50" i="398"/>
  <c r="P54" i="398"/>
  <c r="N54" i="398" s="1"/>
  <c r="T54" i="398"/>
  <c r="P49" i="398"/>
  <c r="N49" i="398" s="1"/>
  <c r="T49" i="398"/>
  <c r="P48" i="398"/>
  <c r="N48" i="398" s="1"/>
  <c r="T48" i="398"/>
  <c r="P47" i="398"/>
  <c r="N47" i="398" s="1"/>
  <c r="L48" i="398" s="1"/>
  <c r="T47" i="398"/>
  <c r="B7" i="38"/>
  <c r="AA68" i="398"/>
  <c r="P15" i="398"/>
  <c r="N15" i="398" s="1"/>
  <c r="P22" i="398"/>
  <c r="N22" i="398" s="1"/>
  <c r="L23" i="398" s="1"/>
  <c r="Y67" i="398"/>
  <c r="W67" i="398"/>
  <c r="P29" i="398"/>
  <c r="N29" i="398" s="1"/>
  <c r="P31" i="398"/>
  <c r="N31" i="398" s="1"/>
  <c r="P58" i="398"/>
  <c r="N58" i="398" s="1"/>
  <c r="P63" i="398"/>
  <c r="N63" i="398" s="1"/>
  <c r="P43" i="398"/>
  <c r="N43" i="398" s="1"/>
  <c r="P44" i="398"/>
  <c r="N44" i="398" s="1"/>
  <c r="P17" i="398"/>
  <c r="N17" i="398" s="1"/>
  <c r="P56" i="398"/>
  <c r="N56" i="398" s="1"/>
  <c r="P59" i="398"/>
  <c r="N59" i="398" s="1"/>
  <c r="P55" i="398"/>
  <c r="N55" i="398" s="1"/>
  <c r="P53" i="398"/>
  <c r="N53" i="398" s="1"/>
  <c r="Z67" i="398"/>
  <c r="P7" i="398"/>
  <c r="N7" i="398" s="1"/>
  <c r="P28" i="398"/>
  <c r="N28" i="398" s="1"/>
  <c r="P20" i="398"/>
  <c r="N20" i="398" s="1"/>
  <c r="L21" i="398" s="1"/>
  <c r="L22" i="398" s="1"/>
  <c r="P11" i="398"/>
  <c r="N11" i="398" s="1"/>
  <c r="P10" i="398"/>
  <c r="N10" i="398" s="1"/>
  <c r="P16" i="398"/>
  <c r="N16" i="398" s="1"/>
  <c r="P14" i="398"/>
  <c r="N14" i="398" s="1"/>
  <c r="P25" i="398"/>
  <c r="N25" i="398" s="1"/>
  <c r="P42" i="398"/>
  <c r="N42" i="398" s="1"/>
  <c r="U67" i="398"/>
  <c r="V67" i="398"/>
  <c r="P18" i="398"/>
  <c r="N18" i="398" s="1"/>
  <c r="P30" i="398"/>
  <c r="N30" i="398" s="1"/>
  <c r="P64" i="398"/>
  <c r="N64" i="398" s="1"/>
  <c r="P65" i="398"/>
  <c r="N65" i="398" s="1"/>
  <c r="P62" i="398"/>
  <c r="N62" i="398" s="1"/>
  <c r="P40" i="398"/>
  <c r="N40" i="398" s="1"/>
  <c r="P61" i="398"/>
  <c r="N61" i="398" s="1"/>
  <c r="L7" i="398"/>
  <c r="L8" i="398" s="1"/>
  <c r="L9" i="398" s="1"/>
  <c r="P23" i="398"/>
  <c r="N23" i="398" s="1"/>
  <c r="P13" i="398"/>
  <c r="N13" i="398" s="1"/>
  <c r="L14" i="398" s="1"/>
  <c r="L15" i="398" s="1"/>
  <c r="L16" i="398" s="1"/>
  <c r="P45" i="398"/>
  <c r="N45" i="398" s="1"/>
  <c r="P32" i="398"/>
  <c r="N32" i="398" s="1"/>
  <c r="X67" i="398"/>
  <c r="P27" i="398"/>
  <c r="N27" i="398" s="1"/>
  <c r="P21" i="398"/>
  <c r="P24" i="398"/>
  <c r="N24" i="398" s="1"/>
  <c r="P41" i="398"/>
  <c r="N41" i="398" s="1"/>
  <c r="P9" i="398"/>
  <c r="N9" i="398" s="1"/>
  <c r="L40" i="398"/>
  <c r="O21" i="396"/>
  <c r="O13" i="396"/>
  <c r="O33" i="396"/>
  <c r="O28" i="396"/>
  <c r="X5" i="396"/>
  <c r="Y5" i="396"/>
  <c r="U5" i="396"/>
  <c r="AA5" i="396"/>
  <c r="W5" i="396"/>
  <c r="Z5" i="396"/>
  <c r="O5" i="396"/>
  <c r="V5" i="396"/>
  <c r="O39" i="396"/>
  <c r="P22" i="396"/>
  <c r="N22" i="396" s="1"/>
  <c r="P15" i="396"/>
  <c r="N15" i="396" s="1"/>
  <c r="P6" i="396"/>
  <c r="N6" i="396" s="1"/>
  <c r="P8" i="396"/>
  <c r="N8" i="396" s="1"/>
  <c r="N38" i="396"/>
  <c r="P36" i="396"/>
  <c r="N36" i="396" s="1"/>
  <c r="P26" i="396"/>
  <c r="N26" i="396" s="1"/>
  <c r="P23" i="396"/>
  <c r="N23" i="396" s="1"/>
  <c r="P25" i="396"/>
  <c r="N25" i="396" s="1"/>
  <c r="P35" i="396"/>
  <c r="N35" i="396" s="1"/>
  <c r="P11" i="396"/>
  <c r="N11" i="396" s="1"/>
  <c r="O10" i="396"/>
  <c r="U40" i="396"/>
  <c r="P17" i="396"/>
  <c r="N17" i="396" s="1"/>
  <c r="P18" i="396"/>
  <c r="N18" i="396" s="1"/>
  <c r="P9" i="396"/>
  <c r="N9" i="396" s="1"/>
  <c r="T53" i="560"/>
  <c r="P53" i="560"/>
  <c r="N53" i="560" s="1"/>
  <c r="N71" i="560"/>
  <c r="O61" i="395"/>
  <c r="O23" i="395"/>
  <c r="O65" i="395"/>
  <c r="X7" i="395"/>
  <c r="O7" i="395"/>
  <c r="Y7" i="395"/>
  <c r="U7" i="395"/>
  <c r="W7" i="395"/>
  <c r="V7" i="395"/>
  <c r="AA7" i="395"/>
  <c r="Z7" i="395"/>
  <c r="O15" i="395"/>
  <c r="O50" i="395"/>
  <c r="P50" i="395" s="1"/>
  <c r="N50" i="395" s="1"/>
  <c r="O55" i="395"/>
  <c r="X70" i="395"/>
  <c r="X71" i="395" s="1"/>
  <c r="X79" i="395" s="1"/>
  <c r="X80" i="395" s="1"/>
  <c r="X81" i="395" s="1"/>
  <c r="X82" i="395" s="1"/>
  <c r="X83" i="395" s="1"/>
  <c r="X84" i="395" s="1"/>
  <c r="X85" i="395" s="1"/>
  <c r="X86" i="395" s="1"/>
  <c r="X87" i="395" s="1"/>
  <c r="X88" i="395" s="1"/>
  <c r="X89" i="395" s="1"/>
  <c r="X90" i="395" s="1"/>
  <c r="X91" i="395" s="1"/>
  <c r="X92" i="395" s="1"/>
  <c r="X93" i="395" s="1"/>
  <c r="X94" i="395" s="1"/>
  <c r="X95" i="395" s="1"/>
  <c r="X96" i="395" s="1"/>
  <c r="X97" i="395" s="1"/>
  <c r="X98" i="395" s="1"/>
  <c r="X99" i="395" s="1"/>
  <c r="T66" i="395"/>
  <c r="P66" i="395"/>
  <c r="N66" i="395" s="1"/>
  <c r="W70" i="395"/>
  <c r="W71" i="395" s="1"/>
  <c r="W79" i="395" s="1"/>
  <c r="W80" i="395" s="1"/>
  <c r="W81" i="395" s="1"/>
  <c r="W82" i="395" s="1"/>
  <c r="W83" i="395" s="1"/>
  <c r="W84" i="395" s="1"/>
  <c r="W85" i="395" s="1"/>
  <c r="W86" i="395" s="1"/>
  <c r="W87" i="395" s="1"/>
  <c r="W88" i="395" s="1"/>
  <c r="W89" i="395" s="1"/>
  <c r="W90" i="395" s="1"/>
  <c r="W91" i="395" s="1"/>
  <c r="W92" i="395" s="1"/>
  <c r="W93" i="395" s="1"/>
  <c r="W94" i="395" s="1"/>
  <c r="W95" i="395" s="1"/>
  <c r="W96" i="395" s="1"/>
  <c r="W97" i="395" s="1"/>
  <c r="W98" i="395" s="1"/>
  <c r="W99" i="395" s="1"/>
  <c r="N48" i="395"/>
  <c r="T62" i="395"/>
  <c r="P62" i="395"/>
  <c r="N62" i="395" s="1"/>
  <c r="V70" i="395"/>
  <c r="V71" i="395" s="1"/>
  <c r="V79" i="395" s="1"/>
  <c r="V80" i="395" s="1"/>
  <c r="V81" i="395" s="1"/>
  <c r="V82" i="395" s="1"/>
  <c r="V83" i="395" s="1"/>
  <c r="V84" i="395" s="1"/>
  <c r="V85" i="395" s="1"/>
  <c r="V86" i="395" s="1"/>
  <c r="V87" i="395" s="1"/>
  <c r="V88" i="395" s="1"/>
  <c r="V89" i="395" s="1"/>
  <c r="V90" i="395" s="1"/>
  <c r="V91" i="395" s="1"/>
  <c r="V92" i="395" s="1"/>
  <c r="V93" i="395" s="1"/>
  <c r="V94" i="395" s="1"/>
  <c r="V95" i="395" s="1"/>
  <c r="V96" i="395" s="1"/>
  <c r="V97" i="395" s="1"/>
  <c r="V98" i="395" s="1"/>
  <c r="V99" i="395" s="1"/>
  <c r="L43" i="395"/>
  <c r="L44" i="395" s="1"/>
  <c r="L45" i="395" s="1"/>
  <c r="L46" i="395" s="1"/>
  <c r="L47" i="395" s="1"/>
  <c r="L48" i="395" s="1"/>
  <c r="U70" i="395"/>
  <c r="U71" i="395" s="1"/>
  <c r="U79" i="395" s="1"/>
  <c r="U80" i="395" s="1"/>
  <c r="U81" i="395" s="1"/>
  <c r="U82" i="395" s="1"/>
  <c r="U83" i="395" s="1"/>
  <c r="U84" i="395" s="1"/>
  <c r="U85" i="395" s="1"/>
  <c r="U86" i="395" s="1"/>
  <c r="U87" i="395" s="1"/>
  <c r="U88" i="395" s="1"/>
  <c r="U89" i="395" s="1"/>
  <c r="U90" i="395" s="1"/>
  <c r="U91" i="395" s="1"/>
  <c r="U92" i="395" s="1"/>
  <c r="U93" i="395" s="1"/>
  <c r="U94" i="395" s="1"/>
  <c r="U95" i="395" s="1"/>
  <c r="U96" i="395" s="1"/>
  <c r="U97" i="395" s="1"/>
  <c r="U98" i="395" s="1"/>
  <c r="U99" i="395" s="1"/>
  <c r="Z70" i="395"/>
  <c r="Z71" i="395" s="1"/>
  <c r="Z79" i="395" s="1"/>
  <c r="Z80" i="395" s="1"/>
  <c r="Z81" i="395" s="1"/>
  <c r="Z82" i="395" s="1"/>
  <c r="Z83" i="395" s="1"/>
  <c r="Z84" i="395" s="1"/>
  <c r="Z85" i="395" s="1"/>
  <c r="Z86" i="395" s="1"/>
  <c r="Z87" i="395" s="1"/>
  <c r="Z88" i="395" s="1"/>
  <c r="Z89" i="395" s="1"/>
  <c r="Z90" i="395" s="1"/>
  <c r="Z91" i="395" s="1"/>
  <c r="Z92" i="395" s="1"/>
  <c r="Z93" i="395" s="1"/>
  <c r="Z94" i="395" s="1"/>
  <c r="Z95" i="395" s="1"/>
  <c r="Z96" i="395" s="1"/>
  <c r="Z97" i="395" s="1"/>
  <c r="Z98" i="395" s="1"/>
  <c r="Z99" i="395" s="1"/>
  <c r="AA70" i="395"/>
  <c r="AA71" i="395" s="1"/>
  <c r="AA79" i="395" s="1"/>
  <c r="AA80" i="395" s="1"/>
  <c r="AA81" i="395" s="1"/>
  <c r="AA82" i="395" s="1"/>
  <c r="AA83" i="395" s="1"/>
  <c r="AA84" i="395" s="1"/>
  <c r="AA85" i="395" s="1"/>
  <c r="AA86" i="395" s="1"/>
  <c r="AA87" i="395" s="1"/>
  <c r="AA88" i="395" s="1"/>
  <c r="AA89" i="395" s="1"/>
  <c r="AA90" i="395" s="1"/>
  <c r="AA91" i="395" s="1"/>
  <c r="AA92" i="395" s="1"/>
  <c r="AA93" i="395" s="1"/>
  <c r="AA94" i="395" s="1"/>
  <c r="AA95" i="395" s="1"/>
  <c r="AA96" i="395" s="1"/>
  <c r="AA97" i="395" s="1"/>
  <c r="AA98" i="395" s="1"/>
  <c r="AA99" i="395" s="1"/>
  <c r="Y70" i="395"/>
  <c r="Y71" i="395" s="1"/>
  <c r="Y79" i="395" s="1"/>
  <c r="Y80" i="395" s="1"/>
  <c r="Y81" i="395" s="1"/>
  <c r="Y82" i="395" s="1"/>
  <c r="Y83" i="395" s="1"/>
  <c r="Y84" i="395" s="1"/>
  <c r="Y85" i="395" s="1"/>
  <c r="Y86" i="395" s="1"/>
  <c r="Y87" i="395" s="1"/>
  <c r="Y88" i="395" s="1"/>
  <c r="Y89" i="395" s="1"/>
  <c r="Y90" i="395" s="1"/>
  <c r="Y91" i="395" s="1"/>
  <c r="Y92" i="395" s="1"/>
  <c r="Y93" i="395" s="1"/>
  <c r="Y94" i="395" s="1"/>
  <c r="Y95" i="395" s="1"/>
  <c r="Y96" i="395" s="1"/>
  <c r="Y97" i="395" s="1"/>
  <c r="Y98" i="395" s="1"/>
  <c r="Y99" i="395" s="1"/>
  <c r="P9" i="395"/>
  <c r="N9" i="395" s="1"/>
  <c r="T9" i="395"/>
  <c r="P8" i="395"/>
  <c r="N8" i="395" s="1"/>
  <c r="T8" i="395"/>
  <c r="P11" i="395"/>
  <c r="N11" i="395" s="1"/>
  <c r="T11" i="395"/>
  <c r="P10" i="395"/>
  <c r="N10" i="395" s="1"/>
  <c r="T10" i="395"/>
  <c r="T6" i="560"/>
  <c r="P6" i="560"/>
  <c r="N6" i="560" s="1"/>
  <c r="L7" i="560" s="1"/>
  <c r="L21" i="560"/>
  <c r="L22" i="560" s="1"/>
  <c r="L23" i="560" s="1"/>
  <c r="P48" i="560"/>
  <c r="N48" i="560" s="1"/>
  <c r="T48" i="560"/>
  <c r="T7" i="560"/>
  <c r="P7" i="560"/>
  <c r="N7" i="560" s="1"/>
  <c r="T42" i="560"/>
  <c r="P42" i="560"/>
  <c r="N42" i="560" s="1"/>
  <c r="T41" i="560"/>
  <c r="P41" i="560"/>
  <c r="N41" i="560" s="1"/>
  <c r="T28" i="560"/>
  <c r="P28" i="560"/>
  <c r="N28" i="560" s="1"/>
  <c r="T15" i="560"/>
  <c r="P15" i="560"/>
  <c r="N15" i="560" s="1"/>
  <c r="P12" i="560"/>
  <c r="N12" i="560" s="1"/>
  <c r="T12" i="560"/>
  <c r="P54" i="560"/>
  <c r="N54" i="560" s="1"/>
  <c r="T54" i="560"/>
  <c r="P8" i="560"/>
  <c r="N8" i="560" s="1"/>
  <c r="T8" i="560"/>
  <c r="L67" i="560"/>
  <c r="L68" i="560" s="1"/>
  <c r="L69" i="560" s="1"/>
  <c r="L70" i="560" s="1"/>
  <c r="L71" i="560" s="1"/>
  <c r="T23" i="560"/>
  <c r="P23" i="560"/>
  <c r="N23" i="560" s="1"/>
  <c r="V32" i="560"/>
  <c r="Z32" i="560"/>
  <c r="O32" i="560"/>
  <c r="W32" i="560"/>
  <c r="AA32" i="560"/>
  <c r="X32" i="560"/>
  <c r="U32" i="560"/>
  <c r="Y32" i="560"/>
  <c r="P9" i="560"/>
  <c r="N9" i="560" s="1"/>
  <c r="T9" i="560"/>
  <c r="T43" i="560"/>
  <c r="P43" i="560"/>
  <c r="N43" i="560" s="1"/>
  <c r="N64" i="560"/>
  <c r="L58" i="560"/>
  <c r="L59" i="560" s="1"/>
  <c r="L60" i="560" s="1"/>
  <c r="L61" i="560" s="1"/>
  <c r="L62" i="560" s="1"/>
  <c r="L63" i="560" s="1"/>
  <c r="L64" i="560" s="1"/>
  <c r="N18" i="560"/>
  <c r="O44" i="560"/>
  <c r="W44" i="560"/>
  <c r="AA44" i="560"/>
  <c r="V44" i="560"/>
  <c r="X44" i="560"/>
  <c r="Y44" i="560"/>
  <c r="U44" i="560"/>
  <c r="Z44" i="560"/>
  <c r="L26" i="560"/>
  <c r="P11" i="560"/>
  <c r="N11" i="560" s="1"/>
  <c r="T11" i="560"/>
  <c r="O26" i="560"/>
  <c r="W26" i="560"/>
  <c r="AA26" i="560"/>
  <c r="X26" i="560"/>
  <c r="U26" i="560"/>
  <c r="Y26" i="560"/>
  <c r="Z26" i="560"/>
  <c r="V26" i="560"/>
  <c r="L32" i="560"/>
  <c r="X34" i="560"/>
  <c r="U34" i="560"/>
  <c r="Y34" i="560"/>
  <c r="V34" i="560"/>
  <c r="Z34" i="560"/>
  <c r="O34" i="560"/>
  <c r="W34" i="560"/>
  <c r="AA34" i="560"/>
  <c r="L41" i="560"/>
  <c r="L42" i="560" s="1"/>
  <c r="L48" i="560"/>
  <c r="L49" i="560" s="1"/>
  <c r="L50" i="560" s="1"/>
  <c r="L51" i="560" s="1"/>
  <c r="L52" i="560" s="1"/>
  <c r="L53" i="560" s="1"/>
  <c r="L54" i="560" s="1"/>
  <c r="L55" i="560" s="1"/>
  <c r="L56" i="560" s="1"/>
  <c r="N56" i="560" l="1"/>
  <c r="U72" i="560"/>
  <c r="L49" i="398"/>
  <c r="L50" i="398" s="1"/>
  <c r="L51" i="398" s="1"/>
  <c r="L52" i="398" s="1"/>
  <c r="L17" i="398"/>
  <c r="L18" i="398" s="1"/>
  <c r="L19" i="398" s="1"/>
  <c r="L24" i="398"/>
  <c r="L25" i="398" s="1"/>
  <c r="L26" i="398"/>
  <c r="L10" i="398"/>
  <c r="L11" i="398" s="1"/>
  <c r="L12" i="398" s="1"/>
  <c r="G67" i="398"/>
  <c r="G68" i="398" s="1"/>
  <c r="W68" i="398"/>
  <c r="F67" i="398"/>
  <c r="F68" i="398" s="1"/>
  <c r="V68" i="398"/>
  <c r="J67" i="398"/>
  <c r="J68" i="398" s="1"/>
  <c r="Z68" i="398"/>
  <c r="I67" i="398"/>
  <c r="I68" i="398" s="1"/>
  <c r="Y68" i="398"/>
  <c r="L28" i="398"/>
  <c r="L29" i="398" s="1"/>
  <c r="L30" i="398" s="1"/>
  <c r="L31" i="398" s="1"/>
  <c r="L32" i="398" s="1"/>
  <c r="L33" i="398" s="1"/>
  <c r="E67" i="398"/>
  <c r="E68" i="398" s="1"/>
  <c r="AB67" i="398"/>
  <c r="U68" i="398"/>
  <c r="L41" i="398"/>
  <c r="L42" i="398" s="1"/>
  <c r="L43" i="398" s="1"/>
  <c r="L44" i="398" s="1"/>
  <c r="L45" i="398" s="1"/>
  <c r="L46" i="398" s="1"/>
  <c r="X68" i="398"/>
  <c r="H67" i="398"/>
  <c r="H68" i="398" s="1"/>
  <c r="L62" i="398"/>
  <c r="L63" i="398" s="1"/>
  <c r="L64" i="398" s="1"/>
  <c r="L65" i="398" s="1"/>
  <c r="L66" i="398" s="1"/>
  <c r="L55" i="398"/>
  <c r="L56" i="398" s="1"/>
  <c r="L54" i="398"/>
  <c r="Y40" i="396"/>
  <c r="P33" i="396"/>
  <c r="N33" i="396" s="1"/>
  <c r="L34" i="396" s="1"/>
  <c r="L35" i="396" s="1"/>
  <c r="L36" i="396" s="1"/>
  <c r="L37" i="396" s="1"/>
  <c r="L38" i="396" s="1"/>
  <c r="P13" i="396"/>
  <c r="N13" i="396" s="1"/>
  <c r="L14" i="396" s="1"/>
  <c r="L15" i="396" s="1"/>
  <c r="L16" i="396" s="1"/>
  <c r="L17" i="396" s="1"/>
  <c r="L18" i="396" s="1"/>
  <c r="L19" i="396" s="1"/>
  <c r="L20" i="396" s="1"/>
  <c r="P21" i="396"/>
  <c r="N21" i="396" s="1"/>
  <c r="L22" i="396" s="1"/>
  <c r="L23" i="396" s="1"/>
  <c r="X40" i="396"/>
  <c r="P28" i="396"/>
  <c r="N28" i="396" s="1"/>
  <c r="L29" i="396" s="1"/>
  <c r="L30" i="396" s="1"/>
  <c r="L31" i="396" s="1"/>
  <c r="L32" i="396" s="1"/>
  <c r="L24" i="396"/>
  <c r="L25" i="396" s="1"/>
  <c r="L26" i="396" s="1"/>
  <c r="L27" i="396" s="1"/>
  <c r="P39" i="396"/>
  <c r="N39" i="396" s="1"/>
  <c r="P5" i="396"/>
  <c r="N5" i="396" s="1"/>
  <c r="L6" i="396" s="1"/>
  <c r="L7" i="396" s="1"/>
  <c r="L8" i="396" s="1"/>
  <c r="L9" i="396" s="1"/>
  <c r="L10" i="396" s="1"/>
  <c r="T5" i="396"/>
  <c r="V40" i="396"/>
  <c r="AA40" i="396"/>
  <c r="P10" i="396"/>
  <c r="N10" i="396" s="1"/>
  <c r="N12" i="396" s="1"/>
  <c r="Z40" i="396"/>
  <c r="W40" i="396"/>
  <c r="Z72" i="560"/>
  <c r="Z73" i="560" s="1"/>
  <c r="Z74" i="560" s="1"/>
  <c r="Z75" i="560" s="1"/>
  <c r="Z76" i="560" s="1"/>
  <c r="Z77" i="560" s="1"/>
  <c r="Z78" i="560" s="1"/>
  <c r="Z79" i="560" s="1"/>
  <c r="Z80" i="560" s="1"/>
  <c r="Z81" i="560" s="1"/>
  <c r="Z82" i="560" s="1"/>
  <c r="Z83" i="560" s="1"/>
  <c r="Z84" i="560" s="1"/>
  <c r="Z85" i="560" s="1"/>
  <c r="Z86" i="560" s="1"/>
  <c r="Z87" i="560" s="1"/>
  <c r="Z88" i="560" s="1"/>
  <c r="Z89" i="560" s="1"/>
  <c r="Z90" i="560" s="1"/>
  <c r="Z91" i="560" s="1"/>
  <c r="Z92" i="560" s="1"/>
  <c r="Z93" i="560" s="1"/>
  <c r="Z94" i="560" s="1"/>
  <c r="Z95" i="560" s="1"/>
  <c r="Z96" i="560" s="1"/>
  <c r="Z97" i="560" s="1"/>
  <c r="Z98" i="560" s="1"/>
  <c r="Z99" i="560" s="1"/>
  <c r="Z100" i="560" s="1"/>
  <c r="Z101" i="560" s="1"/>
  <c r="Z102" i="560" s="1"/>
  <c r="Z103" i="560" s="1"/>
  <c r="Z104" i="560" s="1"/>
  <c r="Z105" i="560" s="1"/>
  <c r="Z106" i="560" s="1"/>
  <c r="Z107" i="560" s="1"/>
  <c r="Z108" i="560" s="1"/>
  <c r="Z109" i="560" s="1"/>
  <c r="Z110" i="560" s="1"/>
  <c r="Z111" i="560" s="1"/>
  <c r="Z112" i="560" s="1"/>
  <c r="Z113" i="560" s="1"/>
  <c r="Z114" i="560" s="1"/>
  <c r="Z115" i="560" s="1"/>
  <c r="Z116" i="560" s="1"/>
  <c r="Z117" i="560" s="1"/>
  <c r="Z118" i="560" s="1"/>
  <c r="Z119" i="560" s="1"/>
  <c r="Z120" i="560" s="1"/>
  <c r="Z121" i="560" s="1"/>
  <c r="Z122" i="560" s="1"/>
  <c r="Z123" i="560" s="1"/>
  <c r="Z124" i="560" s="1"/>
  <c r="Z125" i="560" s="1"/>
  <c r="Z126" i="560" s="1"/>
  <c r="Z127" i="560" s="1"/>
  <c r="Z128" i="560" s="1"/>
  <c r="AA72" i="560"/>
  <c r="AA73" i="560" s="1"/>
  <c r="AA74" i="560" s="1"/>
  <c r="AA75" i="560" s="1"/>
  <c r="AA76" i="560" s="1"/>
  <c r="AA77" i="560" s="1"/>
  <c r="AA78" i="560" s="1"/>
  <c r="AA79" i="560" s="1"/>
  <c r="AA80" i="560" s="1"/>
  <c r="AA81" i="560" s="1"/>
  <c r="AA82" i="560" s="1"/>
  <c r="AA83" i="560" s="1"/>
  <c r="AA84" i="560" s="1"/>
  <c r="AA85" i="560" s="1"/>
  <c r="AA86" i="560" s="1"/>
  <c r="AA87" i="560" s="1"/>
  <c r="AA88" i="560" s="1"/>
  <c r="AA89" i="560" s="1"/>
  <c r="AA90" i="560" s="1"/>
  <c r="AA91" i="560" s="1"/>
  <c r="AA92" i="560" s="1"/>
  <c r="AA93" i="560" s="1"/>
  <c r="AA94" i="560" s="1"/>
  <c r="AA95" i="560" s="1"/>
  <c r="AA96" i="560" s="1"/>
  <c r="AA97" i="560" s="1"/>
  <c r="AA98" i="560" s="1"/>
  <c r="AA99" i="560" s="1"/>
  <c r="AA100" i="560" s="1"/>
  <c r="AA101" i="560" s="1"/>
  <c r="AA102" i="560" s="1"/>
  <c r="AA103" i="560" s="1"/>
  <c r="AA104" i="560" s="1"/>
  <c r="AA105" i="560" s="1"/>
  <c r="AA106" i="560" s="1"/>
  <c r="AA107" i="560" s="1"/>
  <c r="AA108" i="560" s="1"/>
  <c r="AA109" i="560" s="1"/>
  <c r="AA110" i="560" s="1"/>
  <c r="AA111" i="560" s="1"/>
  <c r="AA112" i="560" s="1"/>
  <c r="AA113" i="560" s="1"/>
  <c r="AA114" i="560" s="1"/>
  <c r="AA115" i="560" s="1"/>
  <c r="AA116" i="560" s="1"/>
  <c r="AA117" i="560" s="1"/>
  <c r="AA118" i="560" s="1"/>
  <c r="AA119" i="560" s="1"/>
  <c r="AA120" i="560" s="1"/>
  <c r="AA121" i="560" s="1"/>
  <c r="AA122" i="560" s="1"/>
  <c r="AA123" i="560" s="1"/>
  <c r="AA124" i="560" s="1"/>
  <c r="AA125" i="560" s="1"/>
  <c r="AA126" i="560" s="1"/>
  <c r="AA127" i="560" s="1"/>
  <c r="AA128" i="560" s="1"/>
  <c r="L51" i="395"/>
  <c r="L52" i="395" s="1"/>
  <c r="L53" i="395" s="1"/>
  <c r="L54" i="395" s="1"/>
  <c r="N54" i="395"/>
  <c r="P55" i="395"/>
  <c r="N55" i="395" s="1"/>
  <c r="T55" i="395"/>
  <c r="T7" i="395"/>
  <c r="P7" i="395"/>
  <c r="N7" i="395" s="1"/>
  <c r="L8" i="395" s="1"/>
  <c r="L9" i="395" s="1"/>
  <c r="L10" i="395" s="1"/>
  <c r="L11" i="395" s="1"/>
  <c r="L12" i="395" s="1"/>
  <c r="L13" i="395" s="1"/>
  <c r="L14" i="395" s="1"/>
  <c r="T65" i="395"/>
  <c r="P65" i="395"/>
  <c r="N65" i="395" s="1"/>
  <c r="P15" i="395"/>
  <c r="N15" i="395" s="1"/>
  <c r="T15" i="395"/>
  <c r="P23" i="395"/>
  <c r="N23" i="395" s="1"/>
  <c r="T23" i="395"/>
  <c r="P61" i="395"/>
  <c r="N61" i="395" s="1"/>
  <c r="T61" i="395"/>
  <c r="AB70" i="395"/>
  <c r="Q70" i="395" s="1"/>
  <c r="J70" i="395" s="1"/>
  <c r="Q79" i="395"/>
  <c r="N14" i="395"/>
  <c r="Y72" i="560"/>
  <c r="Y73" i="560" s="1"/>
  <c r="Y74" i="560" s="1"/>
  <c r="Y75" i="560" s="1"/>
  <c r="Y76" i="560" s="1"/>
  <c r="Y77" i="560" s="1"/>
  <c r="Y78" i="560" s="1"/>
  <c r="Y79" i="560" s="1"/>
  <c r="Y80" i="560" s="1"/>
  <c r="Y81" i="560" s="1"/>
  <c r="Y82" i="560" s="1"/>
  <c r="Y83" i="560" s="1"/>
  <c r="Y84" i="560" s="1"/>
  <c r="Y85" i="560" s="1"/>
  <c r="Y86" i="560" s="1"/>
  <c r="Y87" i="560" s="1"/>
  <c r="Y88" i="560" s="1"/>
  <c r="Y89" i="560" s="1"/>
  <c r="Y90" i="560" s="1"/>
  <c r="Y91" i="560" s="1"/>
  <c r="Y92" i="560" s="1"/>
  <c r="Y93" i="560" s="1"/>
  <c r="Y94" i="560" s="1"/>
  <c r="Y95" i="560" s="1"/>
  <c r="Y96" i="560" s="1"/>
  <c r="Y97" i="560" s="1"/>
  <c r="Y98" i="560" s="1"/>
  <c r="Y99" i="560" s="1"/>
  <c r="Y100" i="560" s="1"/>
  <c r="Y101" i="560" s="1"/>
  <c r="Y102" i="560" s="1"/>
  <c r="Y103" i="560" s="1"/>
  <c r="Y104" i="560" s="1"/>
  <c r="Y105" i="560" s="1"/>
  <c r="Y106" i="560" s="1"/>
  <c r="Y107" i="560" s="1"/>
  <c r="Y108" i="560" s="1"/>
  <c r="Y109" i="560" s="1"/>
  <c r="Y110" i="560" s="1"/>
  <c r="Y111" i="560" s="1"/>
  <c r="Y112" i="560" s="1"/>
  <c r="Y113" i="560" s="1"/>
  <c r="Y114" i="560" s="1"/>
  <c r="Y115" i="560" s="1"/>
  <c r="Y116" i="560" s="1"/>
  <c r="Y117" i="560" s="1"/>
  <c r="Y118" i="560" s="1"/>
  <c r="Y119" i="560" s="1"/>
  <c r="Y120" i="560" s="1"/>
  <c r="Y121" i="560" s="1"/>
  <c r="Y122" i="560" s="1"/>
  <c r="Y123" i="560" s="1"/>
  <c r="Y124" i="560" s="1"/>
  <c r="Y125" i="560" s="1"/>
  <c r="Y126" i="560" s="1"/>
  <c r="Y127" i="560" s="1"/>
  <c r="Y128" i="560" s="1"/>
  <c r="W72" i="560"/>
  <c r="W73" i="560" s="1"/>
  <c r="W74" i="560" s="1"/>
  <c r="W75" i="560" s="1"/>
  <c r="W76" i="560" s="1"/>
  <c r="W77" i="560" s="1"/>
  <c r="W78" i="560" s="1"/>
  <c r="W79" i="560" s="1"/>
  <c r="W80" i="560" s="1"/>
  <c r="W81" i="560" s="1"/>
  <c r="W82" i="560" s="1"/>
  <c r="W83" i="560" s="1"/>
  <c r="W84" i="560" s="1"/>
  <c r="W85" i="560" s="1"/>
  <c r="W86" i="560" s="1"/>
  <c r="W87" i="560" s="1"/>
  <c r="W88" i="560" s="1"/>
  <c r="W89" i="560" s="1"/>
  <c r="W90" i="560" s="1"/>
  <c r="W91" i="560" s="1"/>
  <c r="W92" i="560" s="1"/>
  <c r="W93" i="560" s="1"/>
  <c r="W94" i="560" s="1"/>
  <c r="W95" i="560" s="1"/>
  <c r="W96" i="560" s="1"/>
  <c r="W97" i="560" s="1"/>
  <c r="W98" i="560" s="1"/>
  <c r="W99" i="560" s="1"/>
  <c r="W100" i="560" s="1"/>
  <c r="W101" i="560" s="1"/>
  <c r="W102" i="560" s="1"/>
  <c r="W103" i="560" s="1"/>
  <c r="W104" i="560" s="1"/>
  <c r="W105" i="560" s="1"/>
  <c r="W106" i="560" s="1"/>
  <c r="W107" i="560" s="1"/>
  <c r="W108" i="560" s="1"/>
  <c r="W109" i="560" s="1"/>
  <c r="W110" i="560" s="1"/>
  <c r="W111" i="560" s="1"/>
  <c r="W112" i="560" s="1"/>
  <c r="W113" i="560" s="1"/>
  <c r="W114" i="560" s="1"/>
  <c r="W115" i="560" s="1"/>
  <c r="W116" i="560" s="1"/>
  <c r="W117" i="560" s="1"/>
  <c r="W118" i="560" s="1"/>
  <c r="W119" i="560" s="1"/>
  <c r="W120" i="560" s="1"/>
  <c r="W121" i="560" s="1"/>
  <c r="W122" i="560" s="1"/>
  <c r="W123" i="560" s="1"/>
  <c r="W124" i="560" s="1"/>
  <c r="W125" i="560" s="1"/>
  <c r="W126" i="560" s="1"/>
  <c r="W127" i="560" s="1"/>
  <c r="W128" i="560" s="1"/>
  <c r="L14" i="560"/>
  <c r="L15" i="560" s="1"/>
  <c r="L16" i="560" s="1"/>
  <c r="L17" i="560" s="1"/>
  <c r="L18" i="560" s="1"/>
  <c r="L9" i="560"/>
  <c r="L10" i="560" s="1"/>
  <c r="L11" i="560" s="1"/>
  <c r="L12" i="560" s="1"/>
  <c r="L13" i="560" s="1"/>
  <c r="L43" i="560"/>
  <c r="L44" i="560" s="1"/>
  <c r="V72" i="560"/>
  <c r="V73" i="560" s="1"/>
  <c r="V74" i="560" s="1"/>
  <c r="V75" i="560" s="1"/>
  <c r="V76" i="560" s="1"/>
  <c r="V77" i="560" s="1"/>
  <c r="V78" i="560" s="1"/>
  <c r="V79" i="560" s="1"/>
  <c r="V80" i="560" s="1"/>
  <c r="V81" i="560" s="1"/>
  <c r="V82" i="560" s="1"/>
  <c r="V83" i="560" s="1"/>
  <c r="V84" i="560" s="1"/>
  <c r="V85" i="560" s="1"/>
  <c r="V86" i="560" s="1"/>
  <c r="V87" i="560" s="1"/>
  <c r="V88" i="560" s="1"/>
  <c r="V89" i="560" s="1"/>
  <c r="V90" i="560" s="1"/>
  <c r="V91" i="560" s="1"/>
  <c r="V92" i="560" s="1"/>
  <c r="V93" i="560" s="1"/>
  <c r="V94" i="560" s="1"/>
  <c r="V95" i="560" s="1"/>
  <c r="V96" i="560" s="1"/>
  <c r="V97" i="560" s="1"/>
  <c r="V98" i="560" s="1"/>
  <c r="V99" i="560" s="1"/>
  <c r="V100" i="560" s="1"/>
  <c r="V101" i="560" s="1"/>
  <c r="V102" i="560" s="1"/>
  <c r="V103" i="560" s="1"/>
  <c r="V104" i="560" s="1"/>
  <c r="V105" i="560" s="1"/>
  <c r="V106" i="560" s="1"/>
  <c r="V107" i="560" s="1"/>
  <c r="V108" i="560" s="1"/>
  <c r="V109" i="560" s="1"/>
  <c r="V110" i="560" s="1"/>
  <c r="V111" i="560" s="1"/>
  <c r="V112" i="560" s="1"/>
  <c r="V113" i="560" s="1"/>
  <c r="V114" i="560" s="1"/>
  <c r="V115" i="560" s="1"/>
  <c r="V116" i="560" s="1"/>
  <c r="V117" i="560" s="1"/>
  <c r="V118" i="560" s="1"/>
  <c r="V119" i="560" s="1"/>
  <c r="V120" i="560" s="1"/>
  <c r="V121" i="560" s="1"/>
  <c r="V122" i="560" s="1"/>
  <c r="V123" i="560" s="1"/>
  <c r="V124" i="560" s="1"/>
  <c r="V125" i="560" s="1"/>
  <c r="V126" i="560" s="1"/>
  <c r="V127" i="560" s="1"/>
  <c r="V128" i="560" s="1"/>
  <c r="X72" i="560"/>
  <c r="X73" i="560" s="1"/>
  <c r="X74" i="560" s="1"/>
  <c r="X75" i="560" s="1"/>
  <c r="X76" i="560" s="1"/>
  <c r="X77" i="560" s="1"/>
  <c r="X78" i="560" s="1"/>
  <c r="X79" i="560" s="1"/>
  <c r="X80" i="560" s="1"/>
  <c r="X81" i="560" s="1"/>
  <c r="X82" i="560" s="1"/>
  <c r="X83" i="560" s="1"/>
  <c r="X84" i="560" s="1"/>
  <c r="X85" i="560" s="1"/>
  <c r="X86" i="560" s="1"/>
  <c r="X87" i="560" s="1"/>
  <c r="X88" i="560" s="1"/>
  <c r="X89" i="560" s="1"/>
  <c r="X90" i="560" s="1"/>
  <c r="X91" i="560" s="1"/>
  <c r="X92" i="560" s="1"/>
  <c r="X93" i="560" s="1"/>
  <c r="X94" i="560" s="1"/>
  <c r="X95" i="560" s="1"/>
  <c r="X96" i="560" s="1"/>
  <c r="X97" i="560" s="1"/>
  <c r="X98" i="560" s="1"/>
  <c r="X99" i="560" s="1"/>
  <c r="X100" i="560" s="1"/>
  <c r="X101" i="560" s="1"/>
  <c r="X102" i="560" s="1"/>
  <c r="X103" i="560" s="1"/>
  <c r="X104" i="560" s="1"/>
  <c r="X105" i="560" s="1"/>
  <c r="X106" i="560" s="1"/>
  <c r="X107" i="560" s="1"/>
  <c r="X108" i="560" s="1"/>
  <c r="X109" i="560" s="1"/>
  <c r="X110" i="560" s="1"/>
  <c r="X111" i="560" s="1"/>
  <c r="X112" i="560" s="1"/>
  <c r="X113" i="560" s="1"/>
  <c r="X114" i="560" s="1"/>
  <c r="X115" i="560" s="1"/>
  <c r="X116" i="560" s="1"/>
  <c r="X117" i="560" s="1"/>
  <c r="X118" i="560" s="1"/>
  <c r="X119" i="560" s="1"/>
  <c r="X120" i="560" s="1"/>
  <c r="X121" i="560" s="1"/>
  <c r="X122" i="560" s="1"/>
  <c r="X123" i="560" s="1"/>
  <c r="X124" i="560" s="1"/>
  <c r="X125" i="560" s="1"/>
  <c r="X126" i="560" s="1"/>
  <c r="X127" i="560" s="1"/>
  <c r="X128" i="560" s="1"/>
  <c r="U73" i="560"/>
  <c r="U74" i="560" s="1"/>
  <c r="U75" i="560" s="1"/>
  <c r="U76" i="560" s="1"/>
  <c r="U77" i="560" s="1"/>
  <c r="U78" i="560" s="1"/>
  <c r="U79" i="560" s="1"/>
  <c r="U80" i="560" s="1"/>
  <c r="U81" i="560" s="1"/>
  <c r="U82" i="560" s="1"/>
  <c r="U83" i="560" s="1"/>
  <c r="U84" i="560" s="1"/>
  <c r="U85" i="560" s="1"/>
  <c r="U86" i="560" s="1"/>
  <c r="U87" i="560" s="1"/>
  <c r="U88" i="560" s="1"/>
  <c r="U89" i="560" s="1"/>
  <c r="U90" i="560" s="1"/>
  <c r="U91" i="560" s="1"/>
  <c r="U92" i="560" s="1"/>
  <c r="U93" i="560" s="1"/>
  <c r="U94" i="560" s="1"/>
  <c r="U95" i="560" s="1"/>
  <c r="U96" i="560" s="1"/>
  <c r="U97" i="560" s="1"/>
  <c r="U98" i="560" s="1"/>
  <c r="U99" i="560" s="1"/>
  <c r="U100" i="560" s="1"/>
  <c r="U101" i="560" s="1"/>
  <c r="U102" i="560" s="1"/>
  <c r="U103" i="560" s="1"/>
  <c r="U104" i="560" s="1"/>
  <c r="U105" i="560" s="1"/>
  <c r="U106" i="560" s="1"/>
  <c r="U107" i="560" s="1"/>
  <c r="U108" i="560" s="1"/>
  <c r="U109" i="560" s="1"/>
  <c r="U110" i="560" s="1"/>
  <c r="U111" i="560" s="1"/>
  <c r="U112" i="560" s="1"/>
  <c r="U113" i="560" s="1"/>
  <c r="U114" i="560" s="1"/>
  <c r="U115" i="560" s="1"/>
  <c r="U116" i="560" s="1"/>
  <c r="U117" i="560" s="1"/>
  <c r="U118" i="560" s="1"/>
  <c r="U119" i="560" s="1"/>
  <c r="U120" i="560" s="1"/>
  <c r="U121" i="560" s="1"/>
  <c r="U122" i="560" s="1"/>
  <c r="U123" i="560" s="1"/>
  <c r="U124" i="560" s="1"/>
  <c r="U125" i="560" s="1"/>
  <c r="U126" i="560" s="1"/>
  <c r="U127" i="560" s="1"/>
  <c r="U128" i="560" s="1"/>
  <c r="T34" i="560"/>
  <c r="P34" i="560"/>
  <c r="N34" i="560" s="1"/>
  <c r="T26" i="560"/>
  <c r="P26" i="560"/>
  <c r="N26" i="560" s="1"/>
  <c r="N30" i="560" s="1"/>
  <c r="T32" i="560"/>
  <c r="P32" i="560"/>
  <c r="N32" i="560" s="1"/>
  <c r="N37" i="560" s="1"/>
  <c r="T44" i="560"/>
  <c r="P44" i="560"/>
  <c r="N44" i="560" s="1"/>
  <c r="N46" i="560" s="1"/>
  <c r="L57" i="398" l="1"/>
  <c r="L58" i="398"/>
  <c r="L59" i="398" s="1"/>
  <c r="L60" i="398" s="1"/>
  <c r="N27" i="396"/>
  <c r="L11" i="396"/>
  <c r="L12" i="396" s="1"/>
  <c r="N32" i="396"/>
  <c r="L16" i="395"/>
  <c r="L17" i="395" s="1"/>
  <c r="L18" i="395" s="1"/>
  <c r="L19" i="395" s="1"/>
  <c r="L20" i="395" s="1"/>
  <c r="L21" i="395" s="1"/>
  <c r="N21" i="395"/>
  <c r="L62" i="395"/>
  <c r="L63" i="395" s="1"/>
  <c r="L64" i="395" s="1"/>
  <c r="L65" i="395" s="1"/>
  <c r="L66" i="395" s="1"/>
  <c r="L67" i="395" s="1"/>
  <c r="L68" i="395" s="1"/>
  <c r="L69" i="395" s="1"/>
  <c r="N69" i="395"/>
  <c r="L24" i="395"/>
  <c r="L25" i="395" s="1"/>
  <c r="L26" i="395" s="1"/>
  <c r="L27" i="395" s="1"/>
  <c r="L28" i="395" s="1"/>
  <c r="N28" i="395"/>
  <c r="L56" i="395"/>
  <c r="L57" i="395" s="1"/>
  <c r="L58" i="395" s="1"/>
  <c r="L59" i="395" s="1"/>
  <c r="L60" i="395" s="1"/>
  <c r="N60" i="395"/>
  <c r="I70" i="395"/>
  <c r="E70" i="395"/>
  <c r="F70" i="395"/>
  <c r="F71" i="395" s="1"/>
  <c r="H70" i="395"/>
  <c r="H71" i="395" s="1"/>
  <c r="K70" i="395"/>
  <c r="G70" i="395"/>
  <c r="G71" i="395" s="1"/>
  <c r="E71" i="395"/>
  <c r="AB72" i="560"/>
  <c r="L33" i="560"/>
  <c r="L34" i="560" s="1"/>
  <c r="L35" i="560" s="1"/>
  <c r="L36" i="560" s="1"/>
  <c r="L37" i="560" s="1"/>
  <c r="L27" i="560"/>
  <c r="L28" i="560" s="1"/>
  <c r="L29" i="560" s="1"/>
  <c r="L30" i="560" s="1"/>
  <c r="L45" i="560"/>
  <c r="L46" i="560" s="1"/>
  <c r="S70" i="395" l="1"/>
  <c r="T70" i="395"/>
  <c r="K69" i="530"/>
  <c r="K69" i="530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tc={3F5EDEB4-702B-BA45-BE79-20756961440D}</author>
    <author>tc={10C00638-FCC6-8E4E-B88C-0007D05DFA75}</author>
    <author>tc={5D42900B-04FC-484B-BD25-1B4C26974316}</author>
    <author>tc={B2D462F5-E8C3-4B4F-81AA-458FB5CAADE7}</author>
    <author>tc={A83D8A6B-C76D-5A49-A106-6CE4280D0A5F}</author>
    <author>tc={530DA791-02AB-3441-BE21-41ADC9CB4641}</author>
    <author>tc={83A6B046-782F-BA4C-95B0-A6F37A16997D}</author>
    <author>tc={035E2472-5549-654F-8AD1-D5C8CB2EA4E4}</author>
    <author>tc={5FF26450-7809-CA4A-8CED-43CD02281B95}</author>
    <author>tc={32C42DB5-9767-7848-A391-957188EA7496}</author>
    <author>tc={F7815536-D1F4-694E-955F-C676661ED5D9}</author>
    <author>tc={5CBF6D1E-DDDE-6C4E-A0F9-FCFEC4F8D2CB}</author>
    <author>tc={718B6D3F-06CC-B640-9F4C-F05E238092EC}</author>
    <author>tc={835FDEF4-48BD-2B43-B03E-2A20B38E3CBA}</author>
    <author>tc={8541D22A-D3AA-634D-AEEC-AC7E1D2E97DB}</author>
    <author>tc={BC1611F0-A333-4446-943C-21564B08941F}</author>
    <author>tc={4357AD59-64FB-AB48-9D77-AA7D4859E0D5}</author>
    <author>tc={2B61EB71-08E5-8B4E-A1A5-491DF2078D60}</author>
    <author>tc={6012376D-6044-A141-932C-9701BE98CF6A}</author>
    <author>tc={E2711F9A-4E3E-1440-9B7B-6FA2705803C4}</author>
    <author>tc={273BBAE6-F22E-ED47-AF66-7AD2DA27EE01}</author>
    <author>tc={34876E65-7D16-C749-98AA-F6E7711A1F62}</author>
    <author>tc={4C0FFF7A-888C-5F4F-B5BF-D6C62CF9049A}</author>
    <author>tc={5151C126-CFB1-7D4B-8289-3EA017D19097}</author>
    <author>tc={3090DFD9-A90F-E140-8738-E51C3E78867A}</author>
    <author>tc={46A209A5-0D7B-9840-9318-F83BC7AFFD34}</author>
    <author>tc={085FDBAF-638C-BE45-80F7-F931EA66179A}</author>
    <author>tc={2521F15A-2B0D-A944-A556-7F90C03540F4}</author>
    <author>tc={506820D1-054D-0844-8FCE-9C254E93B330}</author>
  </authors>
  <commentList>
    <comment ref="B1" authorId="0" shapeId="0" xr:uid="{00000000-0006-0000-04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el tiempo inicial en 100 m en función del nivel del deportista. Horas;minutos:segundos.
Ejemplo al escribir 0:01:30, aparecerá 1:30,0</t>
      </text>
    </comment>
    <comment ref="D7" authorId="1" shapeId="0" xr:uid="{00000000-0006-0000-0400-000002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las frecuencias cardiacas correspondientes a cada uno de los tiempos obtenidos en 50 m.</t>
      </text>
    </comment>
    <comment ref="E7" authorId="2" shapeId="0" xr:uid="{00000000-0006-0000-0400-000003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las frecuencias cardiacas correspondientes a cada uno de los tiempos obtenidos en 50 m.</t>
      </text>
    </comment>
    <comment ref="F7" authorId="3" shapeId="0" xr:uid="{00000000-0006-0000-0400-000004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las frecuencias cardiacas correspondientes a cada uno de los tiempos obtenidos en 50 m.</t>
      </text>
    </comment>
    <comment ref="G7" authorId="4" shapeId="0" xr:uid="{00000000-0006-0000-0400-000005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las frecuencias cardiacas correspondientes a cada uno de los tiempos obtenidos en 50 m.</t>
      </text>
    </comment>
    <comment ref="D27" authorId="5" shapeId="0" xr:uid="{00000000-0006-0000-0400-000006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el mejor tiempo</t>
      </text>
    </comment>
    <comment ref="E27" authorId="6" shapeId="0" xr:uid="{00000000-0006-0000-0400-000007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el mejor tiempo</t>
      </text>
    </comment>
    <comment ref="F27" authorId="7" shapeId="0" xr:uid="{00000000-0006-0000-0400-000008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el mejor tiempo</t>
      </text>
    </comment>
    <comment ref="G27" authorId="8" shapeId="0" xr:uid="{00000000-0006-0000-0400-000009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el mejor tiempo</t>
      </text>
    </comment>
    <comment ref="D30" authorId="9" shapeId="0" xr:uid="{00000000-0006-0000-0400-00000A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frecuencia cardiaca correspondiente a l tiempo en 100 de la casilla superior a partir de la curva del gráfico</t>
      </text>
    </comment>
    <comment ref="E30" authorId="10" shapeId="0" xr:uid="{00000000-0006-0000-0400-00000B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frecuencia cardiaca correspondiente a l tiempo en 100 de la casilla superior a partir de la curva del gráfico</t>
      </text>
    </comment>
    <comment ref="F30" authorId="11" shapeId="0" xr:uid="{00000000-0006-0000-0400-00000C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frecuencia cardiaca correspondiente a l tiempo en 100 de la casilla superior a partir de la curva del gráfico</t>
      </text>
    </comment>
    <comment ref="G30" authorId="12" shapeId="0" xr:uid="{00000000-0006-0000-0400-00000D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frecuencia cardiaca correspondiente a l tiempo en 100 de la casilla superior a partir de la curva del gráfico</t>
      </text>
    </comment>
    <comment ref="D32" authorId="13" shapeId="0" xr:uid="{00000000-0006-0000-0400-00000E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frecuencia cardiaca correspondiente a l tiempo en 100 de la casilla superior a partir de la curva del gráfico</t>
      </text>
    </comment>
    <comment ref="E32" authorId="14" shapeId="0" xr:uid="{00000000-0006-0000-0400-00000F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frecuencia cardiaca correspondiente a l tiempo en 100 de la casilla superior a partir de la curva del gráfico</t>
      </text>
    </comment>
    <comment ref="F32" authorId="15" shapeId="0" xr:uid="{00000000-0006-0000-0400-000010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frecuencia cardiaca correspondiente a l tiempo en 100 de la casilla superior a partir de la curva del gráfico</t>
      </text>
    </comment>
    <comment ref="G32" authorId="16" shapeId="0" xr:uid="{00000000-0006-0000-0400-00001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frecuencia cardiaca correspondiente a l tiempo en 100 de la casilla superior a partir de la curva del gráfico</t>
      </text>
    </comment>
    <comment ref="AB33" authorId="17" shapeId="0" xr:uid="{00000000-0006-0000-0400-000012000000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el mejor tiempo obtenido en 100 </t>
      </text>
    </comment>
    <comment ref="AC33" authorId="18" shapeId="0" xr:uid="{00000000-0006-0000-0400-000013000000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el mejor tiempo obtenido en 100 </t>
      </text>
    </comment>
    <comment ref="AD33" authorId="19" shapeId="0" xr:uid="{00000000-0006-0000-0400-000014000000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el mejor tiempo obtenido en 100 </t>
      </text>
    </comment>
    <comment ref="D34" authorId="20" shapeId="0" xr:uid="{00000000-0006-0000-0400-000015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frecuencia cardiaca correspondiente a l tiempo en 100 de la casilla superior a partir de la curva del gráfico</t>
      </text>
    </comment>
    <comment ref="E34" authorId="21" shapeId="0" xr:uid="{00000000-0006-0000-0400-000016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frecuencia cardiaca correspondiente a l tiempo en 100 de la casilla superior a partir de la curva del gráfico</t>
      </text>
    </comment>
    <comment ref="F34" authorId="22" shapeId="0" xr:uid="{00000000-0006-0000-0400-000017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frecuencia cardiaca correspondiente a l tiempo en 100 de la casilla superior a partir de la curva del gráfico</t>
      </text>
    </comment>
    <comment ref="G34" authorId="23" shapeId="0" xr:uid="{00000000-0006-0000-0400-000018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frecuencia cardiaca correspondiente a l tiempo en 100 de la casilla superior a partir de la curva del gráfico</t>
      </text>
    </comment>
    <comment ref="D36" authorId="24" shapeId="0" xr:uid="{00000000-0006-0000-0400-000019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la frecuencia cardiaca correspondiene al mejor tiempo obtenido</t>
      </text>
    </comment>
    <comment ref="E36" authorId="25" shapeId="0" xr:uid="{00000000-0006-0000-0400-00001A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la frecuencia cardiaca correspondiene al mejor tiempo obtenido</t>
      </text>
    </comment>
    <comment ref="F36" authorId="26" shapeId="0" xr:uid="{00000000-0006-0000-0400-00001B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la frecuencia cardiaca correspondiene al mejor tiempo obtenido</t>
      </text>
    </comment>
    <comment ref="G36" authorId="27" shapeId="0" xr:uid="{00000000-0006-0000-0400-00001C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la frecuencia cardiaca correspondiene al mejor tiempo obtenido</t>
      </text>
    </comment>
    <comment ref="D61" authorId="28" shapeId="0" xr:uid="{00000000-0006-0000-0400-00001D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Escribir el tiempo inicial en 100 m en función del nivel del deportista. Horas;minutos:segundos.
Ejemplo al escribir 0:01:30, aparecerá 1:30,0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tc={7A6E9BD7-274A-B444-B871-154AED75AE8D}</author>
  </authors>
  <commentList>
    <comment ref="J38" authorId="0" shapeId="0" xr:uid="{7A6E9BD7-274A-B444-B871-154AED75AE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tc={D92C0887-39E0-4F4D-B1DD-6FF7AAD487EC}</author>
    <author>tc={66271EBF-5370-C74C-93EB-48F47A87AC35}</author>
  </authors>
  <commentList>
    <comment ref="B2" authorId="0" shapeId="0" xr:uid="{00000000-0006-0000-06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carga específica  con números absolutos. Ejemplo: 12,7</t>
      </text>
    </comment>
    <comment ref="B9" authorId="1" shapeId="0" xr:uid="{00000000-0006-0000-0600-000002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carga en forma de números. Ejemplo: para poner 2'30", escribir en cada casilla. Ejemplo: 2,30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tc={27976A5C-88EA-8140-B9BB-60C1A5047836}</author>
    <author>tc={DA085FEE-D508-C447-B775-EA65DB2C9136}</author>
  </authors>
  <commentList>
    <comment ref="C2" authorId="0" shapeId="0" xr:uid="{27976A5C-88EA-8140-B9BB-60C1A504783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carga específica  con números absolutos. Ejemplo: 12,7</t>
      </text>
    </comment>
    <comment ref="C9" authorId="1" shapeId="0" xr:uid="{DA085FEE-D508-C447-B775-EA65DB2C913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carga en forma de números. Ejemplo: para poner 2'30", escribir en cada casilla. Ejemplo: 2,30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tc={468C9658-4192-EE4F-B5E3-3B5CA93C688E}</author>
  </authors>
  <commentList>
    <comment ref="J40" authorId="0" shapeId="0" xr:uid="{468C9658-4192-EE4F-B5E3-3B5CA93C688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tc={BAE4D4E5-DE5E-FD45-9564-C04EF0C7E71C}</author>
  </authors>
  <commentList>
    <comment ref="J25" authorId="0" shapeId="0" xr:uid="{BAE4D4E5-DE5E-FD45-9564-C04EF0C7E71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tc={2B9F2F3F-6520-5C43-B435-DA1227ABA82D}</author>
  </authors>
  <commentList>
    <comment ref="J26" authorId="0" shapeId="0" xr:uid="{2B9F2F3F-6520-5C43-B435-DA1227ABA8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tc={ED7D43A0-F0CF-3E42-A0F3-07CBFC373A7A}</author>
    <author>tc={D619625F-05F8-1C4A-9ED6-3BF72C502681}</author>
  </authors>
  <commentList>
    <comment ref="J19" authorId="0" shapeId="0" xr:uid="{ED7D43A0-F0CF-3E42-A0F3-07CBFC373A7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31" authorId="1" shapeId="0" xr:uid="{D619625F-05F8-1C4A-9ED6-3BF72C5026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tc={69595BF5-75BD-E543-A286-4F3CA7B3B8AC}</author>
    <author>tc={690FAE00-E855-FF43-B002-F0C187220756}</author>
  </authors>
  <commentList>
    <comment ref="B2" authorId="0" shapeId="0" xr:uid="{00000000-0006-0000-15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carga específica  con números absolutos. Ejemplo: 12,7</t>
      </text>
    </comment>
    <comment ref="B9" authorId="1" shapeId="0" xr:uid="{00000000-0006-0000-1500-000002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carga en forma de números. Ejemplo: para poner 2'30", escribir en cada casilla. Ejemplo: 2,30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tc={07C5974C-F863-594C-B704-805551D11B14}</author>
    <author>tc={05BE3445-7073-3744-A2C2-608FB4653DD1}</author>
    <author>tc={2A815B0F-F187-FE4A-BEEB-C0E145BA2D07}</author>
    <author>tc={101BC5A7-267B-B444-9D7C-12D255A5F5F3}</author>
    <author>tc={E045E7B2-9694-A84C-ACA7-184025CDC5DE}</author>
    <author>tc={B44003D5-8E75-9842-A76C-3A191E6D443D}</author>
    <author>tc={49824D89-5E4A-2540-8644-FF324B5057C4}</author>
    <author>tc={BA1494E1-33B9-BE4C-933B-8E4E16B4A2AB}</author>
  </authors>
  <commentList>
    <comment ref="J7" authorId="0" shapeId="0" xr:uid="{07C5974C-F863-594C-B704-805551D11B1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8" authorId="1" shapeId="0" xr:uid="{05BE3445-7073-3744-A2C2-608FB4653DD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9" authorId="2" shapeId="0" xr:uid="{2A815B0F-F187-FE4A-BEEB-C0E145BA2D0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20" authorId="3" shapeId="0" xr:uid="{101BC5A7-267B-B444-9D7C-12D255A5F5F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22" authorId="4" shapeId="0" xr:uid="{E045E7B2-9694-A84C-ACA7-184025CDC5D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46" authorId="5" shapeId="0" xr:uid="{B44003D5-8E75-9842-A76C-3A191E6D443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47" authorId="6" shapeId="0" xr:uid="{49824D89-5E4A-2540-8644-FF324B5057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48" authorId="7" shapeId="0" xr:uid="{BA1494E1-33B9-BE4C-933B-8E4E16B4A2A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tc={99FA3303-5C1B-0F4A-A5E9-33BA892196D8}</author>
    <author>tc={61DB8F42-F9AA-E948-AB28-36C2AF178DB3}</author>
  </authors>
  <commentList>
    <comment ref="J349" authorId="0" shapeId="0" xr:uid="{99FA3303-5C1B-0F4A-A5E9-33BA892196D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353" authorId="1" shapeId="0" xr:uid="{61DB8F42-F9AA-E948-AB28-36C2AF178DB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tc={34663867-5473-004A-B5B7-4AF21F85E87B}</author>
    <author>tc={B306EFE3-685B-744B-AA35-CC03FC9BDF69}</author>
  </authors>
  <commentList>
    <comment ref="B2" authorId="0" shapeId="0" xr:uid="{34663867-5473-004A-B5B7-4AF21F85E87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carga específica  con números absolutos. Ejemplo: 12,7</t>
      </text>
    </comment>
    <comment ref="B9" authorId="1" shapeId="0" xr:uid="{B306EFE3-685B-744B-AA35-CC03FC9BDF6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Introducir la carga en forma de números. Ejemplo: para poner 2'30", escribir en cada casilla. Ejemplo: 2,30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tc={5499C4DA-ED18-AA41-96B6-5A2CFF2691D3}</author>
    <author>tc={45BDE4CD-6D66-6847-9B83-4C2DC901CF37}</author>
  </authors>
  <commentList>
    <comment ref="B4" authorId="0" shapeId="0" xr:uid="{00000000-0006-0000-4B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 carga viene expresada en metros de cada tipo de ejercicios.</t>
      </text>
    </comment>
    <comment ref="B11" authorId="1" shapeId="0" xr:uid="{00000000-0006-0000-4B00-000002000000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 la carga en forma de minutos realizandola. Ejemplo: poner 12.siignifica 12 minutos con ese tipo de gimnasia 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tc={51C63449-77F9-B647-8FE4-0A54739A908F}</author>
    <author>tc={8272D241-429F-2749-91CE-1A97D1532E6A}</author>
  </authors>
  <commentList>
    <comment ref="J34" authorId="0" shapeId="0" xr:uid="{51C63449-77F9-B647-8FE4-0A54739A908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48" authorId="1" shapeId="0" xr:uid="{8272D241-429F-2749-91CE-1A97D1532E6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tc={03DE92B7-1638-3945-91F7-B89EC7DEE7B6}</author>
    <author>tc={2F64231A-94EA-6541-879C-F0E3586A98BB}</author>
    <author>tc={1E4CB98F-119F-EC4F-83A6-230764F9E74F}</author>
    <author>tc={37EA0C6F-C931-944B-9F99-DF8AA0B32E03}</author>
    <author>tc={A8DEF5EE-6767-D046-BFC6-701565F524A5}</author>
  </authors>
  <commentList>
    <comment ref="J17" authorId="0" shapeId="0" xr:uid="{03DE92B7-1638-3945-91F7-B89EC7DEE7B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18" authorId="1" shapeId="0" xr:uid="{2F64231A-94EA-6541-879C-F0E3586A98B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19" authorId="2" shapeId="0" xr:uid="{1E4CB98F-119F-EC4F-83A6-230764F9E74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20" authorId="3" shapeId="0" xr:uid="{37EA0C6F-C931-944B-9F99-DF8AA0B32E0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21" authorId="4" shapeId="0" xr:uid="{A8DEF5EE-6767-D046-BFC6-701565F524A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tc={C4007028-5D70-9544-B4C9-9D16152242CE}</author>
    <author>tc={79FBB53E-8C8B-DA41-86C1-7611E3D27CD7}</author>
    <author>tc={86495838-D868-064E-B9E9-7EB98BF7EE08}</author>
    <author>tc={4E407EBE-6DFA-644F-8246-E9F395AAF974}</author>
    <author>tc={0DE33632-0C25-9842-8450-172AE58AD6FF}</author>
    <author>tc={487E25D9-60C9-0A47-A521-72190E87584D}</author>
    <author>tc={A131554A-F70D-794D-9E49-6E172C1450A6}</author>
    <author>tc={B888B7E6-B756-C742-9C9F-9EF9A55EC0D7}</author>
    <author>tc={58D80E59-D7D3-DC45-A669-9F370F10D999}</author>
    <author>tc={A395A788-1530-3C41-9C30-E4F1D68C4597}</author>
  </authors>
  <commentList>
    <comment ref="J15" authorId="0" shapeId="0" xr:uid="{C4007028-5D70-9544-B4C9-9D16152242C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20" authorId="1" shapeId="0" xr:uid="{79FBB53E-8C8B-DA41-86C1-7611E3D27CD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22" authorId="2" shapeId="0" xr:uid="{86495838-D868-064E-B9E9-7EB98BF7EE0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27" authorId="3" shapeId="0" xr:uid="{4E407EBE-6DFA-644F-8246-E9F395AAF97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28" authorId="4" shapeId="0" xr:uid="{0DE33632-0C25-9842-8450-172AE58AD6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29" authorId="5" shapeId="0" xr:uid="{487E25D9-60C9-0A47-A521-72190E8758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40" authorId="6" shapeId="0" xr:uid="{A131554A-F70D-794D-9E49-6E172C1450A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47" authorId="7" shapeId="0" xr:uid="{B888B7E6-B756-C742-9C9F-9EF9A55EC0D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55" authorId="8" shapeId="0" xr:uid="{58D80E59-D7D3-DC45-A669-9F370F10D99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70" authorId="9" shapeId="0" xr:uid="{A395A788-1530-3C41-9C30-E4F1D68C459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tc={C77D5988-A847-384E-B8E0-AD90625F7912}</author>
    <author>tc={D86A2818-DA53-6E4F-A662-EB034DA9DFE4}</author>
  </authors>
  <commentList>
    <comment ref="K10" authorId="0" shapeId="0" xr:uid="{C77D5988-A847-384E-B8E0-AD90625F791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K22" authorId="1" shapeId="0" xr:uid="{D86A2818-DA53-6E4F-A662-EB034DA9DFE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tc={600495EF-9FAF-5341-B424-731A7CDBB5D4}</author>
  </authors>
  <commentList>
    <comment ref="K68" authorId="0" shapeId="0" xr:uid="{600495EF-9FAF-5341-B424-731A7CDBB5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tc={7121A995-5813-964F-9801-E362AAB93307}</author>
    <author>tc={81F73874-A7D8-DF42-9104-3A1FE9070B57}</author>
  </authors>
  <commentList>
    <comment ref="J7" authorId="0" shapeId="0" xr:uid="{7121A995-5813-964F-9801-E362AAB9330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44" authorId="1" shapeId="0" xr:uid="{81F73874-A7D8-DF42-9104-3A1FE9070B5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tc={CFCA3945-AFF7-BA4E-A601-89490DF29E8F}</author>
    <author>tc={E32B3708-37B2-1044-AFCD-E5020DDCA4BF}</author>
    <author>tc={E8816171-DD7D-444A-978C-85ACF5CF91BA}</author>
    <author>tc={1BBFF7B3-5EA0-7E41-88BE-89FE375F9C2D}</author>
    <author>tc={CD4C1990-D6F5-7C46-A161-26848830B1AE}</author>
    <author>tc={6251F1B0-CD13-AC4B-AEA0-A2B78413AC8E}</author>
    <author>tc={3C1C2A1E-D49F-DC4D-BBC9-534B9A2EDC1F}</author>
    <author>tc={53D77E32-CF40-3F41-9271-A34567DA2B3D}</author>
    <author>tc={F69727B1-BF3E-B444-96A3-D6F235E4E105}</author>
    <author>tc={F8ACBD4A-95A6-DF4F-A677-8D88A27608D5}</author>
    <author>tc={17C26414-9829-2B43-A249-CB0A8DC0AD67}</author>
    <author>tc={2A31AAAA-B035-444E-BA3A-75C7D4B1B1F7}</author>
    <author>tc={1FE16CC7-6972-394B-8A2F-FF65E044DC33}</author>
    <author>tc={7179E282-6EA2-4A45-AC7B-45017FDD6773}</author>
    <author>tc={25EA933E-7689-B947-B305-23E6BCC2E37A}</author>
    <author>tc={8641801E-43FE-3C43-B21F-9EA72508B312}</author>
    <author>tc={6AEA9379-881A-EE4C-AD91-621E0982E0BD}</author>
    <author>tc={42B798D7-41D5-3F49-A9A5-B259E8A4ED9E}</author>
  </authors>
  <commentList>
    <comment ref="J11" authorId="0" shapeId="0" xr:uid="{CFCA3945-AFF7-BA4E-A601-89490DF29E8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15" authorId="1" shapeId="0" xr:uid="{E32B3708-37B2-1044-AFCD-E5020DDCA4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40" authorId="2" shapeId="0" xr:uid="{E8816171-DD7D-444A-978C-85ACF5CF91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44" authorId="3" shapeId="0" xr:uid="{1BBFF7B3-5EA0-7E41-88BE-89FE375F9C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61" authorId="4" shapeId="0" xr:uid="{CD4C1990-D6F5-7C46-A161-26848830B1A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62" authorId="5" shapeId="0" xr:uid="{6251F1B0-CD13-AC4B-AEA0-A2B78413AC8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63" authorId="6" shapeId="0" xr:uid="{3C1C2A1E-D49F-DC4D-BBC9-534B9A2EDC1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66" authorId="7" shapeId="0" xr:uid="{53D77E32-CF40-3F41-9271-A34567DA2B3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67" authorId="8" shapeId="0" xr:uid="{F69727B1-BF3E-B444-96A3-D6F235E4E10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68" authorId="9" shapeId="0" xr:uid="{F8ACBD4A-95A6-DF4F-A677-8D88A27608D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71" authorId="10" shapeId="0" xr:uid="{17C26414-9829-2B43-A249-CB0A8DC0AD6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72" authorId="11" shapeId="0" xr:uid="{2A31AAAA-B035-444E-BA3A-75C7D4B1B1F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73" authorId="12" shapeId="0" xr:uid="{1FE16CC7-6972-394B-8A2F-FF65E044DC3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106" authorId="13" shapeId="0" xr:uid="{7179E282-6EA2-4A45-AC7B-45017FDD67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107" authorId="14" shapeId="0" xr:uid="{25EA933E-7689-B947-B305-23E6BCC2E37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108" authorId="15" shapeId="0" xr:uid="{8641801E-43FE-3C43-B21F-9EA72508B31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109" authorId="16" shapeId="0" xr:uid="{6AEA9379-881A-EE4C-AD91-621E0982E0B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110" authorId="17" shapeId="0" xr:uid="{42B798D7-41D5-3F49-A9A5-B259E8A4ED9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tc={FD97B881-B53B-7F48-BFCC-ADDAD08E79B5}</author>
    <author>tc={CF511AFD-8D3A-EA45-842B-FAACD1D2DD77}</author>
    <author>tc={30115460-A9D1-1A4F-9568-2A2D710161C5}</author>
    <author>tc={6A6AD2A2-BBD7-9B47-9903-35C684D53445}</author>
    <author>tc={23A73E4F-9A14-B742-AF93-04A30BEE16D1}</author>
  </authors>
  <commentList>
    <comment ref="J17" authorId="0" shapeId="0" xr:uid="{FD97B881-B53B-7F48-BFCC-ADDAD08E79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18" authorId="1" shapeId="0" xr:uid="{CF511AFD-8D3A-EA45-842B-FAACD1D2DD7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19" authorId="2" shapeId="0" xr:uid="{30115460-A9D1-1A4F-9568-2A2D710161C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20" authorId="3" shapeId="0" xr:uid="{6A6AD2A2-BBD7-9B47-9903-35C684D5344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  <comment ref="J21" authorId="4" shapeId="0" xr:uid="{23A73E4F-9A14-B742-AF93-04A30BEE16D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tc={DD654ED6-D5D0-7846-A740-A048C219948F}</author>
  </authors>
  <commentList>
    <comment ref="J31" authorId="0" shapeId="0" xr:uid="{DD654ED6-D5D0-7846-A740-A048C219948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L72" authorId="0" shapeId="0" xr:uid="{EBFEB2CB-42B7-BD4E-92B4-32954A2D66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tc={BEA70F6F-05C1-6A4D-86E8-01C6FD38A76B}</author>
  </authors>
  <commentList>
    <comment ref="J49" authorId="0" shapeId="0" xr:uid="{BEA70F6F-05C1-6A4D-86E8-01C6FD38A76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tc={2E754016-A99C-4247-BF1B-43A2FA0AB063}</author>
  </authors>
  <commentList>
    <comment ref="J17" authorId="0" shapeId="0" xr:uid="{2E754016-A99C-4247-BF1B-43A2FA0AB06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vale 32,xx solo vale 32,00 o menos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<sst xmlns="http://schemas.openxmlformats.org/spreadsheetml/2006/main" count="12355" uniqueCount="2642">
  <si>
    <t>Asistidos de espalda + Crawll</t>
  </si>
  <si>
    <t>Asistidos de espalda + mariposa</t>
  </si>
  <si>
    <t>braza + piernas de crawll</t>
  </si>
  <si>
    <t>Braza + Pies de braza</t>
  </si>
  <si>
    <t>Braza 25 doble brazada + 50 nadar</t>
  </si>
  <si>
    <t>brazos (30m Prof. + 20m rapida) + Mar (30m prof. + 20m rap)</t>
  </si>
  <si>
    <t>brazos alternativa y palas+ goma 25</t>
  </si>
  <si>
    <t>Brazos con palas tubo y gafas + pies  crawll</t>
  </si>
  <si>
    <t>Brazos con tubo y gafas+ Espalda con pull.</t>
  </si>
  <si>
    <t>Brazos de Espalda con palas + pies de crawll</t>
  </si>
  <si>
    <t>Brazos de marip. pies de crawll+pies esp.</t>
  </si>
  <si>
    <t>Brazos de mariposa + mariposa con aletas</t>
  </si>
  <si>
    <t xml:space="preserve">brazos espalda con palas + pies </t>
  </si>
  <si>
    <t>Brazos palas+ L ( con aletas) (resp cada 4)</t>
  </si>
  <si>
    <t>brs con palas, + pies con aletas, alternar</t>
  </si>
  <si>
    <t>con goma de 25 y palas, Crawll+ pies</t>
  </si>
  <si>
    <t>400+300+200+100 todo fuerte</t>
  </si>
  <si>
    <t>Fuertes</t>
  </si>
  <si>
    <t>Moderados</t>
  </si>
  <si>
    <t>Espalda +pies de espalda sub. con aletas + Espalda</t>
  </si>
  <si>
    <t>IV</t>
  </si>
  <si>
    <t>H</t>
  </si>
  <si>
    <t>Y</t>
  </si>
  <si>
    <t>Con palas y aletas</t>
  </si>
  <si>
    <t xml:space="preserve">Con palas y aletas </t>
  </si>
  <si>
    <t>Mariposa +Espalda</t>
  </si>
  <si>
    <t>Mar. (con Alt. y palas) + L (Alt. y palas)</t>
  </si>
  <si>
    <t>Mariposa  25 doble brazada + 25 Crawll</t>
  </si>
  <si>
    <t>Mariposa + espalda con palas</t>
  </si>
  <si>
    <t>Mariposa + pies de mariposa con aletas ( solo los pies)</t>
  </si>
  <si>
    <t>Mariposa con aletas y resist.+asist.</t>
  </si>
  <si>
    <t>Mariposa con palas + espalda 2 brazadas con tres sub pies)</t>
  </si>
  <si>
    <t>marp inv. sub.+ pies de crawll+pies esp.</t>
  </si>
  <si>
    <t>Nadar + pies de crawll</t>
  </si>
  <si>
    <t>Nadar a gusto + pies de mariposa con aletas</t>
  </si>
  <si>
    <t>Nadar con tubo gaf. y goma de 20 + palas</t>
  </si>
  <si>
    <t>Piernas de crawll + piernas de espalda sub.</t>
  </si>
  <si>
    <t>o</t>
  </si>
  <si>
    <t>Piernas marp. con aletas + pies de crawll sin</t>
  </si>
  <si>
    <t>Pies de crawll + crawll</t>
  </si>
  <si>
    <t>Pies de crawll + pies de braza</t>
  </si>
  <si>
    <t>pies de crawll + pies de mariposa</t>
  </si>
  <si>
    <t>Uno a mariposa con palas otro espalda con palas</t>
  </si>
  <si>
    <t xml:space="preserve"> 1x M. (resp. cada 3 )+ 2x Ep</t>
  </si>
  <si>
    <t>Pies de crawll+ mar sub+ espalda nadar</t>
  </si>
  <si>
    <t>Pies de mariposa + pies de Braza + Pies de Crawll</t>
  </si>
  <si>
    <t xml:space="preserve"> 2x Esp. + 2x Mar. (Aletas)+L.</t>
  </si>
  <si>
    <t xml:space="preserve"> 3 x espalda aritmo de co2 + pies a tope</t>
  </si>
  <si>
    <t>San Sebastian</t>
  </si>
  <si>
    <t>50B</t>
  </si>
  <si>
    <t>100B</t>
  </si>
  <si>
    <t>200B</t>
  </si>
  <si>
    <t>MEJORES MARCAS en 50m</t>
  </si>
  <si>
    <t>Grafica lineal,</t>
  </si>
  <si>
    <t>OBJETIVOS CONSEGUIDOS</t>
  </si>
  <si>
    <t>V11</t>
  </si>
  <si>
    <t>V12</t>
  </si>
  <si>
    <t>2x espalda, + 2 x crawll</t>
  </si>
  <si>
    <t>3 x espalda + 1 x crawll</t>
  </si>
  <si>
    <t>Estilos sin braza</t>
  </si>
  <si>
    <t>º</t>
  </si>
  <si>
    <t>3 x espalda + 1 x pies de espalda submarinos</t>
  </si>
  <si>
    <t>Alternativa + pies de braza + punto muerto + pies crawll</t>
  </si>
  <si>
    <t>Braza asist.+ aletas + asist + aletas</t>
  </si>
  <si>
    <t>Ep. +Pies Ep.+M.+L.</t>
  </si>
  <si>
    <t>Espalda asistidos+ aletas + asist + aletas</t>
  </si>
  <si>
    <t>mariposa + pies de marip+ crawll + pies de crawll</t>
  </si>
  <si>
    <t xml:space="preserve"> 2x Esp.(Jun. braza) + 2x Mar. (Aletas)+L.</t>
  </si>
  <si>
    <t>50+25 3 x Espalda + 2 x Crawll</t>
  </si>
  <si>
    <t>Crawll+ pies de crawll + pies de mariposa + pies de espalda + crawll</t>
  </si>
  <si>
    <t>Ep (brazos)+Ep (Piernas Aletas ) + Ep ( nadar )</t>
  </si>
  <si>
    <t>Esp, + mar+ craw ,asistidos, con palas</t>
  </si>
  <si>
    <t>Esp. , pies de esp. con aletas, + braz, esp. con pull.</t>
  </si>
  <si>
    <t>Espalda , Mariposa ( 2xProfunda +1x rapida )</t>
  </si>
  <si>
    <t>Espalda + braza + mariposa</t>
  </si>
  <si>
    <t>Espalda + Mariposa + espalda con aletas</t>
  </si>
  <si>
    <t>Minut x 100</t>
  </si>
  <si>
    <t>A1</t>
  </si>
  <si>
    <t>A2</t>
  </si>
  <si>
    <t>A3</t>
  </si>
  <si>
    <t>A4</t>
  </si>
  <si>
    <t>A5</t>
  </si>
  <si>
    <t>A6</t>
  </si>
  <si>
    <t>A7</t>
  </si>
  <si>
    <t>A8</t>
  </si>
  <si>
    <t xml:space="preserve"> </t>
  </si>
  <si>
    <t>USA</t>
  </si>
  <si>
    <t>100 C +200 X +100 Pies</t>
  </si>
  <si>
    <t>Crawll con palas</t>
  </si>
  <si>
    <t>25 E, tecnica + 25 E larga</t>
  </si>
  <si>
    <t xml:space="preserve">2x E Laga + 1 x E tope </t>
  </si>
  <si>
    <t>Piernas de E.</t>
  </si>
  <si>
    <t>Crawll + Espalda</t>
  </si>
  <si>
    <t xml:space="preserve">2x C Laga + 4 x C tope </t>
  </si>
  <si>
    <t>1x C larga + 5 x C fuerte</t>
  </si>
  <si>
    <t>1x Suave + 3 x (M + E )</t>
  </si>
  <si>
    <t xml:space="preserve">  REALIZADO</t>
  </si>
  <si>
    <t xml:space="preserve">  AERÓB-ANAER.</t>
  </si>
  <si>
    <t>TEMPORADA.-</t>
  </si>
  <si>
    <t xml:space="preserve">TEMPORADA </t>
  </si>
  <si>
    <t>DEPORTISTA</t>
  </si>
  <si>
    <t>Estatura</t>
  </si>
  <si>
    <t>Fecha nto.</t>
  </si>
  <si>
    <t>Peso forma</t>
  </si>
  <si>
    <t>Club</t>
  </si>
  <si>
    <t>C.N.EASO</t>
  </si>
  <si>
    <t>Especialid.</t>
  </si>
  <si>
    <t>Dirección</t>
  </si>
  <si>
    <t>Teléfono</t>
  </si>
  <si>
    <t xml:space="preserve">        OBJETIVOS COMPETICIONES</t>
  </si>
  <si>
    <t xml:space="preserve">    COMPETICIONES SECUNDARIAS</t>
  </si>
  <si>
    <t>OBJETIVOS TÉCNICO- TÁCTICOS</t>
  </si>
  <si>
    <t>PRUEBA</t>
  </si>
  <si>
    <t>AÑO</t>
  </si>
  <si>
    <t>MARCA</t>
  </si>
  <si>
    <t>FECHA</t>
  </si>
  <si>
    <t>PROGRAM.</t>
  </si>
  <si>
    <t>REALIZADA</t>
  </si>
  <si>
    <t>LUGAR</t>
  </si>
  <si>
    <t>DISTAN</t>
  </si>
  <si>
    <t>50M</t>
  </si>
  <si>
    <t>100M</t>
  </si>
  <si>
    <t>50E</t>
  </si>
  <si>
    <t>100E</t>
  </si>
  <si>
    <t>200E</t>
  </si>
  <si>
    <t>50L</t>
  </si>
  <si>
    <t>100L</t>
  </si>
  <si>
    <t>Observaciones</t>
  </si>
  <si>
    <t>PROGR</t>
  </si>
  <si>
    <t>REALIZA</t>
  </si>
  <si>
    <t>200L</t>
  </si>
  <si>
    <t>400L</t>
  </si>
  <si>
    <t>OTROS OBJETIVOS</t>
  </si>
  <si>
    <t>800L</t>
  </si>
  <si>
    <t>200X</t>
  </si>
  <si>
    <t>400X</t>
  </si>
  <si>
    <t>c</t>
  </si>
  <si>
    <t>a</t>
  </si>
  <si>
    <t>A</t>
  </si>
  <si>
    <t>I</t>
  </si>
  <si>
    <t>C</t>
  </si>
  <si>
    <t>Espalda 10m + viraje +30m, impulso fuerte</t>
  </si>
  <si>
    <t>N +D</t>
  </si>
  <si>
    <t>Espalda con palas y aletas + espalda + espalda</t>
  </si>
  <si>
    <t>Espalda, 10 m.+ viraje + 15 m. impulso a tope</t>
  </si>
  <si>
    <t>Marip. asist + aletas + asist</t>
  </si>
  <si>
    <t>Mariposa+3x pies de mariposa + espalda</t>
  </si>
  <si>
    <t>Pies crawll +  pies espalda +pies  mar sub</t>
  </si>
  <si>
    <t>Pies de crawll aletas + pies de braza + pies de crawll</t>
  </si>
  <si>
    <t>Calentamiento a estilo libre</t>
  </si>
  <si>
    <t xml:space="preserve">E.P. tratando de mejorar estilo, con Plomos </t>
  </si>
  <si>
    <t>Masaje</t>
  </si>
  <si>
    <t>Calentamiento de competición</t>
  </si>
  <si>
    <t>secundarias</t>
  </si>
  <si>
    <t>Vasca</t>
  </si>
  <si>
    <t>Provincial</t>
  </si>
  <si>
    <t>Estatal</t>
  </si>
  <si>
    <t>Recuperación</t>
  </si>
  <si>
    <t>FC</t>
  </si>
  <si>
    <t>Mejor tiempo</t>
  </si>
  <si>
    <t>RITMOS DE TRABAJO</t>
  </si>
  <si>
    <t>1.-K1</t>
  </si>
  <si>
    <t>Ritmo</t>
  </si>
  <si>
    <t>2.-K2</t>
  </si>
  <si>
    <t>3.-K3</t>
  </si>
  <si>
    <t>4.-V.A.M.</t>
  </si>
  <si>
    <t>5.- Lac.1</t>
  </si>
  <si>
    <t>6.- Lác.2</t>
  </si>
  <si>
    <t>7.- Aláct</t>
  </si>
  <si>
    <t>TEST1</t>
  </si>
  <si>
    <t>media de la semana</t>
  </si>
  <si>
    <t xml:space="preserve">VARIANDO ESTILOS </t>
  </si>
  <si>
    <t>VARIANDO ESTILOS</t>
  </si>
  <si>
    <t>TEST2</t>
  </si>
  <si>
    <t>TEST3</t>
  </si>
  <si>
    <t>TEST4</t>
  </si>
  <si>
    <t>Espalda + crawll+ Espalda + marip. + espalda</t>
  </si>
  <si>
    <t>Pies + brazos+ brazos+ pies + brazos</t>
  </si>
  <si>
    <t>5 xBraza+2x pies de braza</t>
  </si>
  <si>
    <t>Ep(2x M 16,5con s. y17,8+2xEsp.16,5s. y 17,9+2xL 14,8s. y 15,9)</t>
  </si>
  <si>
    <t>mic A9</t>
  </si>
  <si>
    <t>mic A10</t>
  </si>
  <si>
    <t>3 x crawll + 3 x espalda + 3 x mariposa con aletas</t>
  </si>
  <si>
    <t>6 espalda + 6 mariposa + 12 crawll</t>
  </si>
  <si>
    <t>Los ritmos y pulsos que serán encomendados se  darán a partir de las curvas generadas en el gráfico</t>
  </si>
  <si>
    <t>Rit. C.</t>
  </si>
  <si>
    <t>Piernas de mariposa</t>
  </si>
  <si>
    <t>Libro de Entrenamientos</t>
  </si>
  <si>
    <t>Entrenador</t>
  </si>
  <si>
    <t>José E Alonso</t>
  </si>
  <si>
    <t>Nadador/a</t>
  </si>
  <si>
    <t xml:space="preserve">ã </t>
  </si>
  <si>
    <t>C.N.Easo 1998</t>
  </si>
  <si>
    <t>,</t>
  </si>
  <si>
    <t>Calentar</t>
  </si>
  <si>
    <t xml:space="preserve">  AERÓBICO 1</t>
  </si>
  <si>
    <t xml:space="preserve">  AERÓBICO 2</t>
  </si>
  <si>
    <t xml:space="preserve">  AERÓBICO 3</t>
  </si>
  <si>
    <t xml:space="preserve">  LÁCTICO 1</t>
  </si>
  <si>
    <t xml:space="preserve">  LÁCTICO 2</t>
  </si>
  <si>
    <t xml:space="preserve">  ALÁCTICO</t>
  </si>
  <si>
    <t>TOTAL KM. NADADOS</t>
  </si>
  <si>
    <t>LÁCTI 1</t>
  </si>
  <si>
    <t>LÁCTI 2</t>
  </si>
  <si>
    <t>ALÁCTI</t>
  </si>
  <si>
    <t>F.RS.AE.</t>
  </si>
  <si>
    <t>FR.A-L</t>
  </si>
  <si>
    <t>FR.LC</t>
  </si>
  <si>
    <t>F.MAX.</t>
  </si>
  <si>
    <t>F.R.G.</t>
  </si>
  <si>
    <t>m</t>
  </si>
  <si>
    <t>TOTAL</t>
  </si>
  <si>
    <t>Abr</t>
  </si>
  <si>
    <t>m. Equiv.</t>
  </si>
  <si>
    <t>L</t>
  </si>
  <si>
    <t>M</t>
  </si>
  <si>
    <t>X</t>
  </si>
  <si>
    <t>J</t>
  </si>
  <si>
    <t>V</t>
  </si>
  <si>
    <t>S</t>
  </si>
  <si>
    <t>D</t>
  </si>
  <si>
    <t>Seco minutos</t>
  </si>
  <si>
    <t>Dinámica de carga</t>
  </si>
  <si>
    <t>calendario</t>
  </si>
  <si>
    <t>Viernes</t>
  </si>
  <si>
    <t>Domingo</t>
  </si>
  <si>
    <t>Lunes</t>
  </si>
  <si>
    <t>Martes</t>
  </si>
  <si>
    <t>Miércoles</t>
  </si>
  <si>
    <t>Jueves</t>
  </si>
  <si>
    <t>Sábado</t>
  </si>
  <si>
    <t>Hor. agua</t>
  </si>
  <si>
    <t>Din. carga</t>
  </si>
  <si>
    <t>Seco</t>
  </si>
  <si>
    <t>martes</t>
  </si>
  <si>
    <t>miercoles</t>
  </si>
  <si>
    <t>jueves</t>
  </si>
  <si>
    <t>viernes</t>
  </si>
  <si>
    <t>sabado</t>
  </si>
  <si>
    <t>domingo</t>
  </si>
  <si>
    <t>metros</t>
  </si>
  <si>
    <t>veloc.</t>
  </si>
  <si>
    <t>Tiem</t>
  </si>
  <si>
    <t>Ae1</t>
  </si>
  <si>
    <t>Ae2</t>
  </si>
  <si>
    <t>Ae3</t>
  </si>
  <si>
    <t>Mox</t>
  </si>
  <si>
    <t>Lac1</t>
  </si>
  <si>
    <t>Lac2</t>
  </si>
  <si>
    <t>Vel</t>
  </si>
  <si>
    <t>Colocar % de el Mesociclo correspondiente</t>
  </si>
  <si>
    <t xml:space="preserve">Copiar </t>
  </si>
  <si>
    <t>Control méd.</t>
  </si>
  <si>
    <t xml:space="preserve">Competiciones </t>
  </si>
  <si>
    <t>Competición</t>
  </si>
  <si>
    <t>o test</t>
  </si>
  <si>
    <t>Estilos 25pies + 25 NADAR</t>
  </si>
  <si>
    <t>Elegir</t>
  </si>
  <si>
    <t>Ep Asistidos, con goma y 2 a pies</t>
  </si>
  <si>
    <t>Estilos + elegir</t>
  </si>
  <si>
    <t>25pie+50tec+75eleg+100estil</t>
  </si>
  <si>
    <t>2*Prog.+4* farlek</t>
  </si>
  <si>
    <t>Tem./25</t>
  </si>
  <si>
    <t>Nadar comoda pero un poco fuertecillo</t>
  </si>
  <si>
    <t>Salida, con peso adicional, de E.P.</t>
  </si>
  <si>
    <t xml:space="preserve">Parada </t>
  </si>
  <si>
    <t>Aerobico 2</t>
  </si>
  <si>
    <t xml:space="preserve"> 87%</t>
  </si>
  <si>
    <t>150 +50rapido</t>
  </si>
  <si>
    <t>50+100+150+200</t>
  </si>
  <si>
    <t>May</t>
  </si>
  <si>
    <t>Aerobico 3</t>
  </si>
  <si>
    <t>Ejercicios de técnica</t>
  </si>
  <si>
    <t>Consumo max de O2</t>
  </si>
  <si>
    <t>200Pul</t>
  </si>
  <si>
    <t>Tolerancia al Lactato</t>
  </si>
  <si>
    <t>Tiem.</t>
  </si>
  <si>
    <t>Mar</t>
  </si>
  <si>
    <t xml:space="preserve"> 98%</t>
  </si>
  <si>
    <t>Bra</t>
  </si>
  <si>
    <t>Lib</t>
  </si>
  <si>
    <t>Esp</t>
  </si>
  <si>
    <t>25+25</t>
  </si>
  <si>
    <t>En distintos estilos</t>
  </si>
  <si>
    <t>Mariposa</t>
  </si>
  <si>
    <t>50+25</t>
  </si>
  <si>
    <t>25+50</t>
  </si>
  <si>
    <t>25+25+25</t>
  </si>
  <si>
    <t>50+50</t>
  </si>
  <si>
    <t>25+50+25</t>
  </si>
  <si>
    <t>75+25</t>
  </si>
  <si>
    <t>25+25+50</t>
  </si>
  <si>
    <t>50+25+75</t>
  </si>
  <si>
    <t>25+50+75</t>
  </si>
  <si>
    <t>25+100+75</t>
  </si>
  <si>
    <t>50+100+50</t>
  </si>
  <si>
    <t>Producción de lactato</t>
  </si>
  <si>
    <t xml:space="preserve"> 92%</t>
  </si>
  <si>
    <t>Espalda</t>
  </si>
  <si>
    <t>Braza</t>
  </si>
  <si>
    <t>Crawll</t>
  </si>
  <si>
    <t>Velocidad</t>
  </si>
  <si>
    <t>Salir del fondo de la piscina saltando</t>
  </si>
  <si>
    <t>Salir pegada a la pared manos atras y empujar</t>
  </si>
  <si>
    <t>Arrancada con palas</t>
  </si>
  <si>
    <t>Arrancar desde la posicion</t>
  </si>
  <si>
    <t>Salida normal sin deslizar solo salto</t>
  </si>
  <si>
    <t>Salida, con peso adicional</t>
  </si>
  <si>
    <t>Salida del viraje, con peso adicional</t>
  </si>
  <si>
    <t>viraje y salida</t>
  </si>
  <si>
    <t>Acercamiento y viraje</t>
  </si>
  <si>
    <t>salida con peso adicional</t>
  </si>
  <si>
    <t>Salida normal</t>
  </si>
  <si>
    <t>aceleración  uniformr</t>
  </si>
  <si>
    <t>velocidad entre marcas, lanzada</t>
  </si>
  <si>
    <t>Ep</t>
  </si>
  <si>
    <t>Tope</t>
  </si>
  <si>
    <t>aceleración uniforme</t>
  </si>
  <si>
    <t>Acercamiento y viraje normal</t>
  </si>
  <si>
    <t>arrancada y nado</t>
  </si>
  <si>
    <t>El test se realiza siempre a los mismos ritmos preestablecidos y son las pulsaciones correspondientes a esos ritmos las que irán variando.</t>
  </si>
  <si>
    <t>Para cada deportista se preestablecen ritmos determinados</t>
  </si>
  <si>
    <t>Hacer todos los cálculos de ritmo en función de la velocidad aeróbica máxima</t>
  </si>
  <si>
    <t>Asignar el primer ritmo de 100 según el nivel del atleta.</t>
  </si>
  <si>
    <t>Dar al botón y se asignarán automáticamente los ritmos de cada 100 y del 50</t>
  </si>
  <si>
    <t>No borrar</t>
  </si>
  <si>
    <t>REPETIC.</t>
  </si>
  <si>
    <t>50 M</t>
  </si>
  <si>
    <t>100 M</t>
  </si>
  <si>
    <t>DOSIFICACIÓN</t>
  </si>
  <si>
    <t>K1</t>
  </si>
  <si>
    <t>%</t>
  </si>
  <si>
    <t>K2</t>
  </si>
  <si>
    <t>K3</t>
  </si>
  <si>
    <t>Lac.1</t>
  </si>
  <si>
    <t>Lác.2</t>
  </si>
  <si>
    <t>Aláct.</t>
  </si>
  <si>
    <t>Progresión</t>
  </si>
  <si>
    <t>h:mm:ss</t>
  </si>
  <si>
    <t>AERÓ 1</t>
  </si>
  <si>
    <t>AERÓ 2</t>
  </si>
  <si>
    <t>AERÓ 3</t>
  </si>
  <si>
    <t>AE-LC</t>
  </si>
  <si>
    <t>Fuerza explosiva y maxima</t>
  </si>
  <si>
    <t>A) TRABAJO PROGRAMADO</t>
  </si>
  <si>
    <t xml:space="preserve">  TRABAJO PROGRAMADO</t>
  </si>
  <si>
    <t>DÍA</t>
  </si>
  <si>
    <t>SESIÓN</t>
  </si>
  <si>
    <t>Ritmo/cada 25</t>
  </si>
  <si>
    <t>Nº de series</t>
  </si>
  <si>
    <t>Repeticiones</t>
  </si>
  <si>
    <t>Distancia</t>
  </si>
  <si>
    <t>Descansos/Rep.</t>
  </si>
  <si>
    <t>Intérvalos/ser</t>
  </si>
  <si>
    <t>Ejercicio</t>
  </si>
  <si>
    <t>Coeficiente</t>
  </si>
  <si>
    <t xml:space="preserve">     Pegar valor</t>
  </si>
  <si>
    <t>Colocar dinámica de carga del mesociclo</t>
  </si>
  <si>
    <t xml:space="preserve">Colocar tiempo de seco del mesociclo </t>
  </si>
  <si>
    <t>MEDIOS</t>
  </si>
  <si>
    <t xml:space="preserve">     LISTAS PERSONALIZADAS</t>
  </si>
  <si>
    <t>Aerobico 1</t>
  </si>
  <si>
    <t>Nº Ser.</t>
  </si>
  <si>
    <t xml:space="preserve">Rep </t>
  </si>
  <si>
    <t>dist.</t>
  </si>
  <si>
    <t>des.</t>
  </si>
  <si>
    <t>interv.</t>
  </si>
  <si>
    <t>Estilo</t>
  </si>
  <si>
    <t>Duración</t>
  </si>
  <si>
    <t>Tiem./25</t>
  </si>
  <si>
    <t xml:space="preserve"> % exf.</t>
  </si>
  <si>
    <t>Total Grupo</t>
  </si>
  <si>
    <t>100+100+200+200</t>
  </si>
  <si>
    <t>50+100+150+200+250</t>
  </si>
  <si>
    <t>VARIANDO ESTILOS y piernas</t>
  </si>
  <si>
    <t>V10</t>
  </si>
  <si>
    <t>300+100+400+100</t>
  </si>
  <si>
    <t>400+200+400+200</t>
  </si>
  <si>
    <t>100+200+400+800</t>
  </si>
  <si>
    <t>400+100+400+100+400+100+400+100</t>
  </si>
  <si>
    <t>(50+5"des+25)y(25+5"des+50)2º25 sin res.</t>
  </si>
  <si>
    <t>100+100+200   Mariposa +   espalda +  crawll</t>
  </si>
  <si>
    <t>100+100+200 mariposa +mariposa + pies de crawll</t>
  </si>
  <si>
    <t>100+100+200+200  lento rap. rap. lento</t>
  </si>
  <si>
    <t>100+100+200+200 tope suave + tope suave</t>
  </si>
  <si>
    <t>100+100+200+200+100</t>
  </si>
  <si>
    <t>100+100+200+200Nadar</t>
  </si>
  <si>
    <t>100+2*50 Espalda a ritmo de 100</t>
  </si>
  <si>
    <t>100+200+400+800 empezar 180 pul. acabar 140</t>
  </si>
  <si>
    <t>100+50+50</t>
  </si>
  <si>
    <t>2 a ritmo 1 a tope ( Mariposa)</t>
  </si>
  <si>
    <t xml:space="preserve">25+100+75 Espalda </t>
  </si>
  <si>
    <t>25+100+75 Espalda   (Ojo salidas y vueltas)</t>
  </si>
  <si>
    <t>2x cada estilo</t>
  </si>
  <si>
    <t>3 paradas de 5 seg</t>
  </si>
  <si>
    <t xml:space="preserve">Salida normal </t>
  </si>
  <si>
    <t>300+100+100 Espalda , cuidando estilo y agarrando</t>
  </si>
  <si>
    <t xml:space="preserve">Con palas </t>
  </si>
  <si>
    <t>300+100+400+100+500+100</t>
  </si>
  <si>
    <t>300+100+400+100+500+100 lento rap etc.goma 25</t>
  </si>
  <si>
    <t>300+100+400+100+500+100 lento rap palas</t>
  </si>
  <si>
    <t>400+100+400+100+400+100+400+100 a voluntad</t>
  </si>
  <si>
    <t>400+200+200 Crawll con palas</t>
  </si>
  <si>
    <t xml:space="preserve">50+100+50 crawll </t>
  </si>
  <si>
    <t>50+2*25 ( 50 a braza + 25 a crawll)</t>
  </si>
  <si>
    <t>50+2*25 ( las de 50 crawll las de 25 mariposa)</t>
  </si>
  <si>
    <t>50+2*25 Espalda</t>
  </si>
  <si>
    <t>acercamiento y viraje, con peso adicional</t>
  </si>
  <si>
    <t>Acercamiento y viraje toda vuelta buceada</t>
  </si>
  <si>
    <t>Ep Asistidos</t>
  </si>
  <si>
    <t>Ep Resistidos</t>
  </si>
  <si>
    <t>Estilo Prp.</t>
  </si>
  <si>
    <t>Estilo Prp.25 rojo+25 blanco</t>
  </si>
  <si>
    <t>Asistidos</t>
  </si>
  <si>
    <t>Con aletas</t>
  </si>
  <si>
    <t>Con goma</t>
  </si>
  <si>
    <t>Est. propio</t>
  </si>
  <si>
    <t>50+50 libres ,profundo + rapido</t>
  </si>
  <si>
    <t>8 paradas de 10 seg</t>
  </si>
  <si>
    <t xml:space="preserve">Braza ( 3 descansos por largo) </t>
  </si>
  <si>
    <t>Ligas</t>
  </si>
  <si>
    <t>Internacional</t>
  </si>
  <si>
    <t>Braza (con sal. y de forma progresiva)</t>
  </si>
  <si>
    <t>Braza Mirar tecnica al max.</t>
  </si>
  <si>
    <t xml:space="preserve">crawll </t>
  </si>
  <si>
    <t>crawll (1m 24") + 1m 26"</t>
  </si>
  <si>
    <t>Crawll + Crawll</t>
  </si>
  <si>
    <t>Crawll alternativa</t>
  </si>
  <si>
    <t>crawll alternativa y pm.</t>
  </si>
  <si>
    <t>E.Propio</t>
  </si>
  <si>
    <t>Crawll con salida de arriva</t>
  </si>
  <si>
    <t>Crawll saltando</t>
  </si>
  <si>
    <t>Crawll saltando con carrera</t>
  </si>
  <si>
    <t>E.P. y/o variando estilos a gusto</t>
  </si>
  <si>
    <t>Ep  ( con salida imp y correr y vuelt par.)</t>
  </si>
  <si>
    <t>Ep ( Ensayando o viraje o vuelta)</t>
  </si>
  <si>
    <t>Ep ( J todo a espalda )</t>
  </si>
  <si>
    <t>Ep ( J. Esp. 35,1 ; B.L. 33,1; se vira nad y vira)</t>
  </si>
  <si>
    <t xml:space="preserve">Piernas de mariposa, con aletas </t>
  </si>
  <si>
    <t>Ep ( J.L. 13,8 con sal. y 14,9 con vir: B.L. 14,6;15,8)</t>
  </si>
  <si>
    <t>Ep ( L 28,7 sal y 30,3 vir )3 de cada</t>
  </si>
  <si>
    <t>Ep ( L+M+E+E)</t>
  </si>
  <si>
    <t>Ep ( maxima velocidad de brazos)</t>
  </si>
  <si>
    <t>Ep ( Respirando 3 veces) ( J 3X)</t>
  </si>
  <si>
    <t>MARCAS A CONSEGUIR, en P de 50m</t>
  </si>
  <si>
    <t>Duración/Ejerc.</t>
  </si>
  <si>
    <t>Tiempo base</t>
  </si>
  <si>
    <t>Tiempo</t>
  </si>
  <si>
    <t>Observaciones, pulso, %exf….</t>
  </si>
  <si>
    <t xml:space="preserve"> KILÓMETROS T.</t>
  </si>
  <si>
    <t>MINUTOS F.R.</t>
  </si>
  <si>
    <t xml:space="preserve"> AERÓBICO 1</t>
  </si>
  <si>
    <t xml:space="preserve"> AERÓBICO 2</t>
  </si>
  <si>
    <t xml:space="preserve"> AERÓBICO 3</t>
  </si>
  <si>
    <t xml:space="preserve"> AERÓB-ANAER.</t>
  </si>
  <si>
    <t xml:space="preserve"> LÁCTICO 1</t>
  </si>
  <si>
    <t xml:space="preserve"> LÁCTICO 2</t>
  </si>
  <si>
    <t xml:space="preserve"> ALÁCTICO</t>
  </si>
  <si>
    <t>E</t>
  </si>
  <si>
    <t>U</t>
  </si>
  <si>
    <t>N</t>
  </si>
  <si>
    <t>T</t>
  </si>
  <si>
    <t>R</t>
  </si>
  <si>
    <t xml:space="preserve">       Lunes</t>
  </si>
  <si>
    <t xml:space="preserve">      Martes</t>
  </si>
  <si>
    <t xml:space="preserve">     Miércoles</t>
  </si>
  <si>
    <t xml:space="preserve">      Viernes</t>
  </si>
  <si>
    <t>Mañana</t>
  </si>
  <si>
    <t>Tarde</t>
  </si>
  <si>
    <t>AE1</t>
  </si>
  <si>
    <t>AE2</t>
  </si>
  <si>
    <t>AE3</t>
  </si>
  <si>
    <t>CO2</t>
  </si>
  <si>
    <t>LACT 1</t>
  </si>
  <si>
    <t>LACT 2</t>
  </si>
  <si>
    <t>ANAER</t>
  </si>
  <si>
    <t>Total</t>
  </si>
  <si>
    <t>Minutos</t>
  </si>
  <si>
    <t xml:space="preserve"> de Seco</t>
  </si>
  <si>
    <t>nº de O</t>
  </si>
  <si>
    <t>Med</t>
  </si>
  <si>
    <t>Miem</t>
  </si>
  <si>
    <t>no</t>
  </si>
  <si>
    <t>mic A1</t>
  </si>
  <si>
    <t>mic A2</t>
  </si>
  <si>
    <t>mic A3</t>
  </si>
  <si>
    <t>mic A4</t>
  </si>
  <si>
    <t>mic A5</t>
  </si>
  <si>
    <t>mic A6</t>
  </si>
  <si>
    <t>Ep( Esp. 33,4 con sal)</t>
  </si>
  <si>
    <t>Ep( J. Esp. 15,5con S.+16,9+17,2+16,9con vi;)</t>
  </si>
  <si>
    <t>Ep( J. Mar. 15,5 con sa.+16,8 ,17,5,17,7 vir;(B. L 14,6,15,8,16,2.15,9)</t>
  </si>
  <si>
    <t>V1</t>
  </si>
  <si>
    <t>V2</t>
  </si>
  <si>
    <t>V3</t>
  </si>
  <si>
    <t xml:space="preserve">Con palas y tubo </t>
  </si>
  <si>
    <t>V4</t>
  </si>
  <si>
    <t>V5</t>
  </si>
  <si>
    <t>V6</t>
  </si>
  <si>
    <t>V7</t>
  </si>
  <si>
    <t>V8</t>
  </si>
  <si>
    <t>V9</t>
  </si>
  <si>
    <t>Ep. ( descanso nadando 300m)</t>
  </si>
  <si>
    <t>Ep. (controlar bien tiempo y descanso)</t>
  </si>
  <si>
    <t>Ep. (des.15"+10")(des.4'nadar)(tiem=n+d)</t>
  </si>
  <si>
    <t>Ep. (Impares salida, pares volver y vuelta )</t>
  </si>
  <si>
    <t>Ep. (Impares salida, pares volver)</t>
  </si>
  <si>
    <t>Ep. Espalda</t>
  </si>
  <si>
    <t>Ep. Parar cada 3 ciclos  10seg</t>
  </si>
  <si>
    <t>Ep.( Salir de 25 corriendo y vuelta) (1ºy2ºc. muy fuerte)</t>
  </si>
  <si>
    <t>Ep.( Salir de 25 y vuelta) (1ºy2ºc. muy fuerte)</t>
  </si>
  <si>
    <t>Esp.(Salir de 12,5 arrancar y vuelta)</t>
  </si>
  <si>
    <t>Espal.(aprox.45m+T+95+2xT)(T=25")</t>
  </si>
  <si>
    <t>Espal.6 pat marp y acabar crawll atope</t>
  </si>
  <si>
    <t xml:space="preserve">Espalda </t>
  </si>
  <si>
    <t>Espalda a ritmo de 100, nadando profundo</t>
  </si>
  <si>
    <t>Espalda a tope, tiempo de 200 de prueba</t>
  </si>
  <si>
    <t>Espalda a velocidad de 200 con salidas</t>
  </si>
  <si>
    <t>Espalda con salidas</t>
  </si>
  <si>
    <t>Espalda esprines</t>
  </si>
  <si>
    <t>Espalda(aprox.48m+T+97+2xT)(T=25")</t>
  </si>
  <si>
    <t xml:space="preserve">Espalda,   hacer salida y viraje  perfectos </t>
  </si>
  <si>
    <t>Espalda, cuidar vuelta y salida</t>
  </si>
  <si>
    <t>Nivel de carga</t>
  </si>
  <si>
    <t>Estado de forma</t>
  </si>
  <si>
    <t xml:space="preserve">Esprines, volver andando </t>
  </si>
  <si>
    <t>SALIDAS</t>
  </si>
  <si>
    <t>VIRAJES</t>
  </si>
  <si>
    <t>Estilo distinto del Crawll, preferible Mariposa</t>
  </si>
  <si>
    <t>Estilo libre , cada 150 un esprin de 25</t>
  </si>
  <si>
    <t>Estilo libre(Cada 100m, 25 fuerte)</t>
  </si>
  <si>
    <t>Estilo libre(Cada 200m, 25 fuerte)</t>
  </si>
  <si>
    <t>Estilo propio menos crawll, solo un estilo</t>
  </si>
  <si>
    <t>Estilo variado</t>
  </si>
  <si>
    <t>Estilo vario, saliendo corriendo de arriba</t>
  </si>
  <si>
    <t>Estilos</t>
  </si>
  <si>
    <t>Estilos menos espalda</t>
  </si>
  <si>
    <t>Palas,</t>
  </si>
  <si>
    <t>Ep ( respirando cada 3)</t>
  </si>
  <si>
    <t>Ep ( Salir y a tope sin resp.)</t>
  </si>
  <si>
    <t>Ep (con sensación agarre ultimo de brazada)</t>
  </si>
  <si>
    <t>Ep (J. Esp. 33,4 con sal. 35,1vir) ( B. L. 31,4 con sal. 33,1 vir)</t>
  </si>
  <si>
    <t>Ep (J.M. 33,3 ; B. L. 32,4)</t>
  </si>
  <si>
    <t>Ep (salida y viraje, muy fuertes)</t>
  </si>
  <si>
    <t>Ep Ritmo de  50 en negativo</t>
  </si>
  <si>
    <t>Ep Ritmo de 100 en negativo</t>
  </si>
  <si>
    <t>Ep( B L, J 3x +L)</t>
  </si>
  <si>
    <t>Ep( B.L. 14,6con S.+15,8+16,2+15,9 con vi;)</t>
  </si>
  <si>
    <t>Ep( B.L. 38,7 n+d)</t>
  </si>
  <si>
    <t>Mariposa respirando cada 3</t>
  </si>
  <si>
    <t>Marp. resp cada 4</t>
  </si>
  <si>
    <t>Nadar a tope</t>
  </si>
  <si>
    <t>Nadar de calentamiento</t>
  </si>
  <si>
    <t>nadar de forma compensatoria</t>
  </si>
  <si>
    <t>(110-100-90-80-70-60-50-40-30-20-10)desc.</t>
  </si>
  <si>
    <t xml:space="preserve">Nadar E.P. con los puños cerrados </t>
  </si>
  <si>
    <t>Piernas + brazos + nadar</t>
  </si>
  <si>
    <t>Con aletas a mariposa</t>
  </si>
  <si>
    <t>mariposa</t>
  </si>
  <si>
    <t>Nadar respiración altern ¡¡ No comerse nada ¡¡</t>
  </si>
  <si>
    <t>Nadar suave</t>
  </si>
  <si>
    <t>Salidas a max. distancia, caer lo mas lejos pos.</t>
  </si>
  <si>
    <t>Salidas con buceo largo</t>
  </si>
  <si>
    <t>Espalda  12,5 virje y 12,5 Impulso y buceo largo</t>
  </si>
  <si>
    <t>Espalda  25+75+50+50   desc. 5+5+5</t>
  </si>
  <si>
    <t>Espalda  esprines con salida</t>
  </si>
  <si>
    <t>Espalda  forzando</t>
  </si>
  <si>
    <t>Espalda (5 patadas de mar. sub.  salir y acab. a  crwll)</t>
  </si>
  <si>
    <t>Espalda (75m+T+125m+2xT) ( T=4' )</t>
  </si>
  <si>
    <t>Espalda , 10m  + viraje + 40m</t>
  </si>
  <si>
    <t>Espalda , a ritmo de 200</t>
  </si>
  <si>
    <t xml:space="preserve">Espalda , con salida y vuelta, </t>
  </si>
  <si>
    <t>Espalda a ritmo de 100</t>
  </si>
  <si>
    <t>Asistidos a espalda / o con aletas a tope</t>
  </si>
  <si>
    <t>Asistidos con goma espacialmente a espalda</t>
  </si>
  <si>
    <t>Asistidos con palas</t>
  </si>
  <si>
    <t>Asistidos de mariposa</t>
  </si>
  <si>
    <t>Asistidos espalda ( si no se puede, con aletas)</t>
  </si>
  <si>
    <t>Asistidos variando estilos mas a espalda</t>
  </si>
  <si>
    <t>Braza con palas</t>
  </si>
  <si>
    <t>Braza con palas y resp. cada 2</t>
  </si>
  <si>
    <t>Brazos</t>
  </si>
  <si>
    <t>Brazos (L+M+E+L) el que no pueda M 50+100L</t>
  </si>
  <si>
    <t>Brazos (L+M+E+L) el que no pueda M 50+350L</t>
  </si>
  <si>
    <t>Brazos braza</t>
  </si>
  <si>
    <t>Brazos con gafas y tubo</t>
  </si>
  <si>
    <t>Brazos con goma y sin pull (J3X,M con Pull)</t>
  </si>
  <si>
    <t>brazos con palas</t>
  </si>
  <si>
    <t>Brazos con palas y aletas</t>
  </si>
  <si>
    <t>Brazos con palas y aro</t>
  </si>
  <si>
    <t>brazos con palas y goma (Ep. + L) (una de cada)</t>
  </si>
  <si>
    <t>Brazos con palas y pull.</t>
  </si>
  <si>
    <t>brazos con palas, Tubo y gafas</t>
  </si>
  <si>
    <t>Brazos Crawll</t>
  </si>
  <si>
    <t>brazos de crawll + pies + brazos(200)</t>
  </si>
  <si>
    <t>brazos de crawll con palas + pies de crawll</t>
  </si>
  <si>
    <t>Brazos de mariposa</t>
  </si>
  <si>
    <t>Brazos de mariposa con palas</t>
  </si>
  <si>
    <t>J M yRes L( resp, 1+2+3+4+3+2+1+2+3+4+....)</t>
  </si>
  <si>
    <t>L ( J. Im. 14,2 con sal, par 15,3 con vuel.: B. 14,6;15,8)</t>
  </si>
  <si>
    <t>L ( Nadar resp cada 6 )( Fuertecillo)</t>
  </si>
  <si>
    <t>L esprines volver andando( con aletas)</t>
  </si>
  <si>
    <t>L( salis de 25 y viraje) 1ºy2ºc. muy fuerte)</t>
  </si>
  <si>
    <t>Lib (al loro con los descansos)</t>
  </si>
  <si>
    <t>Lib (descansar nadando 400)</t>
  </si>
  <si>
    <t>Lib. ( descanso nadando 200m)</t>
  </si>
  <si>
    <t>Libre resp cada 6</t>
  </si>
  <si>
    <t>Libres</t>
  </si>
  <si>
    <t>Libres a 6 respiraciones</t>
  </si>
  <si>
    <t>Libres( respiración Alter)</t>
  </si>
  <si>
    <t>Mar. (procurar mant. vel. cada ser.)</t>
  </si>
  <si>
    <t>Mar. (salida y viraje, muy fuertes)</t>
  </si>
  <si>
    <t>Marip.(tiempo y descansos)</t>
  </si>
  <si>
    <t xml:space="preserve">Mariposa </t>
  </si>
  <si>
    <t>Mariposa ( 2xProfunda +1x rapida )</t>
  </si>
  <si>
    <t>Mariposa (Las dos)</t>
  </si>
  <si>
    <t>mariposa (nadar respirando cada 3)</t>
  </si>
  <si>
    <t>Crawll con palas y pull y pies atados</t>
  </si>
  <si>
    <t>Crawll con tubo aletas  y de todo</t>
  </si>
  <si>
    <t>Crawll, con gafas tubo</t>
  </si>
  <si>
    <t>Ensayo test de lactato</t>
  </si>
  <si>
    <t>Ep ( Con aletas )( J. M,E,L,E,L)5 de cada</t>
  </si>
  <si>
    <t>Ep ( Esp. Asistidos con cuerda)</t>
  </si>
  <si>
    <t>Ep ( Una con aletas Otra no ) J Esp.</t>
  </si>
  <si>
    <t>Nado + descanso</t>
  </si>
  <si>
    <t>400+200+400+200+400+200</t>
  </si>
  <si>
    <t>Ep Con Aletas Junkal a mariposa</t>
  </si>
  <si>
    <t>Ep(  J. M. 40,4 n+d ;B.L. 38,7 n+d)</t>
  </si>
  <si>
    <t>Ep( Asistidos B y J, resto con Aletas)(J3X)</t>
  </si>
  <si>
    <t>Salidas de espalda con una brazada</t>
  </si>
  <si>
    <t>Salir de 25 arrancar y vuelta</t>
  </si>
  <si>
    <t>una espalda (1m 28") una a crawll (1m 24")</t>
  </si>
  <si>
    <t>variando velocidades a la orden</t>
  </si>
  <si>
    <t>si</t>
  </si>
  <si>
    <t>100+100+200+200 crawll palas tubo gafas y aletas</t>
  </si>
  <si>
    <t>100+100+200+200 gafas tubo palas y goma 25</t>
  </si>
  <si>
    <t>100+100+200+200 Nadar con tubo y gafas</t>
  </si>
  <si>
    <t>100+100+200+200Gafas tubo y aletas</t>
  </si>
  <si>
    <t>100+100+200+200Nadar con palas tubo y gafas</t>
  </si>
  <si>
    <t>100+200+400 Nadar con tubo y gafas</t>
  </si>
  <si>
    <t>100+200+400+800Nadar con tubo y gafas</t>
  </si>
  <si>
    <t>200+200+200 Brazos con palas</t>
  </si>
  <si>
    <t>25+50+25espalda con palas y aletas</t>
  </si>
  <si>
    <t>400+200 pies de cxrawll</t>
  </si>
  <si>
    <t>400+200+400+200 Brazos con palas</t>
  </si>
  <si>
    <t>400+200+400+200 Crawll + Espalda + Braza + espalda</t>
  </si>
  <si>
    <t>400+200+400+200 Crawll con palas</t>
  </si>
  <si>
    <t>50+25 crawll con palas y sin hasta el final</t>
  </si>
  <si>
    <t>75+50+25 Espalda con  palas grandes</t>
  </si>
  <si>
    <t>Alternativa y con aletas</t>
  </si>
  <si>
    <t>Alternativa y palas</t>
  </si>
  <si>
    <t>Asistidos a espalda</t>
  </si>
  <si>
    <t>Mariposa con palas y aletas</t>
  </si>
  <si>
    <t>Mariposa, pies con aletas</t>
  </si>
  <si>
    <t>Nadar alternativa con palas y aletas</t>
  </si>
  <si>
    <t>Nadar con  palas  y sin palas</t>
  </si>
  <si>
    <t>Nadar con aletas</t>
  </si>
  <si>
    <t>Nadar con camiseta</t>
  </si>
  <si>
    <t>ES LO QUE FALTA</t>
  </si>
  <si>
    <t>Nadar con goma 25</t>
  </si>
  <si>
    <t>Nadar con palas grandes</t>
  </si>
  <si>
    <t>nadar con palas y aletas</t>
  </si>
  <si>
    <t>Nadar con tabla y una mano</t>
  </si>
  <si>
    <t>Nadar con tubo gafas palas  y goma de 20</t>
  </si>
  <si>
    <t>Nadar con tubo gafas y aletas (esagerar  hombros)</t>
  </si>
  <si>
    <t>Nadar con tubo y gafas</t>
  </si>
  <si>
    <t>Nadar crawll alternativa con palas</t>
  </si>
  <si>
    <t>Nadar de calentamiento con palas</t>
  </si>
  <si>
    <t>Nadar de relajación</t>
  </si>
  <si>
    <t>Palas tubo gafas pull goma y la pera</t>
  </si>
  <si>
    <t xml:space="preserve">Piernas </t>
  </si>
  <si>
    <t>Piernas  Fuertecillo</t>
  </si>
  <si>
    <t>Piernas ( 200 de cada estilo)( J2xM)(B4xL)</t>
  </si>
  <si>
    <t>Piernas a tope</t>
  </si>
  <si>
    <t>O</t>
  </si>
  <si>
    <t>Brazos de mariposa con pull</t>
  </si>
  <si>
    <t>brazos espalda con goma de 25 palas</t>
  </si>
  <si>
    <t>Brazos sin pull</t>
  </si>
  <si>
    <t>Brazos x 3 est. con goma y sin Puyll M con Pull</t>
  </si>
  <si>
    <t xml:space="preserve">Brazos, (palas y goma) </t>
  </si>
  <si>
    <t>Crawll (Con gafas de buceo y tubo)</t>
  </si>
  <si>
    <t>Crawll brazos con palas</t>
  </si>
  <si>
    <t>Crawll con aletas</t>
  </si>
  <si>
    <t>Crawll con gafas tubo y aletas</t>
  </si>
  <si>
    <t>Crawll con palas (Tiempo de cada 200  5m52")</t>
  </si>
  <si>
    <t>Crawll con palas Bracistas a braza</t>
  </si>
  <si>
    <t>Crawll con palas tubo y gafas</t>
  </si>
  <si>
    <t>Lunes Tarde</t>
  </si>
  <si>
    <t xml:space="preserve"> con salida y a tope</t>
  </si>
  <si>
    <t>100 media marcha descansar 10" y 50 fuerte a ESPALDA</t>
  </si>
  <si>
    <t>crawll con palas y aletas</t>
  </si>
  <si>
    <t>Crawll con palas y alternativa</t>
  </si>
  <si>
    <t>A13</t>
  </si>
  <si>
    <t>A17</t>
  </si>
  <si>
    <t>A18</t>
  </si>
  <si>
    <t>LA</t>
  </si>
  <si>
    <t>TIEM.</t>
  </si>
  <si>
    <t>INTERVALO</t>
  </si>
  <si>
    <t>H.R.</t>
  </si>
  <si>
    <t>Hz.</t>
  </si>
  <si>
    <t>Toma 1</t>
  </si>
  <si>
    <t>Toma 2</t>
  </si>
  <si>
    <t>crawll</t>
  </si>
  <si>
    <t>Nadar</t>
  </si>
  <si>
    <t>Estilo propio</t>
  </si>
  <si>
    <t>Tecnica</t>
  </si>
  <si>
    <t>Suave</t>
  </si>
  <si>
    <t>Con  palas</t>
  </si>
  <si>
    <t>Nadar + desc.</t>
  </si>
  <si>
    <t>Calentamiento</t>
  </si>
  <si>
    <t>II</t>
  </si>
  <si>
    <t>Hora de Comienzo</t>
  </si>
  <si>
    <t>50 Marip. 100 esp.,150 braza</t>
  </si>
  <si>
    <t>III</t>
  </si>
  <si>
    <t>COPIA VALORES DE KM. REALIZADOS, LOS SUMA Y</t>
  </si>
  <si>
    <t>LLEVA LAS SUMAS A LA TABLA PRINCIPAL</t>
  </si>
  <si>
    <t xml:space="preserve">Crawll </t>
  </si>
  <si>
    <t>bazos con palas</t>
  </si>
  <si>
    <t>A19</t>
  </si>
  <si>
    <t>A20</t>
  </si>
  <si>
    <t>A21</t>
  </si>
  <si>
    <t>A22</t>
  </si>
  <si>
    <t>A23</t>
  </si>
  <si>
    <t>A24</t>
  </si>
  <si>
    <t>Piernas</t>
  </si>
  <si>
    <t>Ep( Asistidos J. y B.)</t>
  </si>
  <si>
    <t>Espalda  con aletas</t>
  </si>
  <si>
    <t>Espalda , Asistido</t>
  </si>
  <si>
    <t>Espalda asistidos y/o Aletas</t>
  </si>
  <si>
    <t>Espalda con aletas</t>
  </si>
  <si>
    <t>Espalda con aletas y palas</t>
  </si>
  <si>
    <t>Espalda con palas</t>
  </si>
  <si>
    <t>Espalda con palas grandes</t>
  </si>
  <si>
    <t>Espalda con salida una con vuelta otra, etc.</t>
  </si>
  <si>
    <t>Espalda con salida y 60 ciclos</t>
  </si>
  <si>
    <t>Espalda con salida y viraje</t>
  </si>
  <si>
    <t>Espalda, con palas y aletas</t>
  </si>
  <si>
    <t>Espalda, con salida</t>
  </si>
  <si>
    <t>Estirar la goma hasta poder hacer 20 m en 20 seg.</t>
  </si>
  <si>
    <t>L (brazos, palas  y gomas)+ pies L fuerte</t>
  </si>
  <si>
    <t>L. (con palas ) y res. (sensación de agarre instantaneo)</t>
  </si>
  <si>
    <t>Libre con palas</t>
  </si>
  <si>
    <t>Libres (brazos con goma y sin Pull)</t>
  </si>
  <si>
    <t>M (brazos, palas  y gomas)+ pies L fuerte</t>
  </si>
  <si>
    <t>M (con aletas) el que no pueda M 20+20 L.</t>
  </si>
  <si>
    <t>M (con aletas) el que no pueda M 50+150L</t>
  </si>
  <si>
    <t>M,E,L,( Asistidos de menos a mas Ciclos/seg)</t>
  </si>
  <si>
    <t>Mar. (resp 1+2+3+4+3+2)</t>
  </si>
  <si>
    <t>Marip. aletas</t>
  </si>
  <si>
    <t>Mariposa  con aletas</t>
  </si>
  <si>
    <t>Mariposa con aletas</t>
  </si>
  <si>
    <t>Mariposa con palas</t>
  </si>
  <si>
    <t>Mariposa con palas ( 1 descanso  por largo)</t>
  </si>
  <si>
    <t>Mariposa con palas + pies sub. esp. con aletas + crawll</t>
  </si>
  <si>
    <t>100 a cada estilo</t>
  </si>
  <si>
    <t>A25</t>
  </si>
  <si>
    <t>A26</t>
  </si>
  <si>
    <t>A27</t>
  </si>
  <si>
    <t>A28</t>
  </si>
  <si>
    <t>A29</t>
  </si>
  <si>
    <t>A30</t>
  </si>
  <si>
    <t>A31</t>
  </si>
  <si>
    <t>Nadar con palas</t>
  </si>
  <si>
    <t>Suavizar</t>
  </si>
  <si>
    <t>tope E.P.</t>
  </si>
  <si>
    <t>Piernas de  submarinas con salida de espalda y aletas</t>
  </si>
  <si>
    <t>Piernas de braza</t>
  </si>
  <si>
    <t>Piernas de crawll</t>
  </si>
  <si>
    <t>piernas de Crawll y / o Espalda</t>
  </si>
  <si>
    <t>Piernas E.p.  muy fuerte</t>
  </si>
  <si>
    <t>piernas variando crawll y espalda</t>
  </si>
  <si>
    <t>Pies de crawll a tope</t>
  </si>
  <si>
    <t>pies de L fuerte</t>
  </si>
  <si>
    <t>Pies fuerte</t>
  </si>
  <si>
    <t>Pies y un brazo con tabla (Cuidar estilo)</t>
  </si>
  <si>
    <t>pies(sin tabla,con gafas y tubo)Cabeza hundida</t>
  </si>
  <si>
    <t>tubo</t>
  </si>
  <si>
    <t>Palas</t>
  </si>
  <si>
    <t>compensatorios</t>
  </si>
  <si>
    <t>B</t>
  </si>
  <si>
    <t>Nadar, cuidando estilo</t>
  </si>
  <si>
    <t>mic A11</t>
  </si>
  <si>
    <t>mic A12</t>
  </si>
  <si>
    <t>mic A13</t>
  </si>
  <si>
    <t>mic A14</t>
  </si>
  <si>
    <t>mic A15</t>
  </si>
  <si>
    <t>mic A16</t>
  </si>
  <si>
    <t>50+26</t>
  </si>
  <si>
    <t>A9</t>
  </si>
  <si>
    <t>A10</t>
  </si>
  <si>
    <t>A11</t>
  </si>
  <si>
    <t>A12</t>
  </si>
  <si>
    <t>Ep (tecn.de salid. y virajes)+ M (tecn.de salid. y virajes)</t>
  </si>
  <si>
    <t>Ep (tecn.de salidas)+ M (tecn.de salidas)</t>
  </si>
  <si>
    <t>Espalda , Mariposa ( 1xProfunda +1x rapida )</t>
  </si>
  <si>
    <t>Espalda , viraje + nadar 40 , impulso muy fuerte</t>
  </si>
  <si>
    <t>Espalda + crawll alternando</t>
  </si>
  <si>
    <t>Espalda con salida y 50 ciclos</t>
  </si>
  <si>
    <t>Espalda,  salida + 2 brazadas completas, ver distancia</t>
  </si>
  <si>
    <t>Espalda, salida y buceo + una brazada</t>
  </si>
  <si>
    <t>J. L.(resp. cada 5 b.)+M(aletas);S y res. L + B.(resp cad. 2 )</t>
  </si>
  <si>
    <t>salidas ( espal. + crawll) + virajes espalda</t>
  </si>
  <si>
    <t>Salidas y virajes</t>
  </si>
  <si>
    <t>u</t>
  </si>
  <si>
    <t>(Ep. + L) ( brazos con palas y goma)(una de cada)</t>
  </si>
  <si>
    <t>10xMariposa+ 10 pies crawll</t>
  </si>
  <si>
    <t>16 xMariposa con aletas + 4 sin aletas</t>
  </si>
  <si>
    <t>1x pies de cada estilo+ 3x espalda</t>
  </si>
  <si>
    <t>1xNadar resp cada 3,5,7,9.+1xpies(rep tubo)</t>
  </si>
  <si>
    <t>25 pies de mar invert y sub +50 mariposa</t>
  </si>
  <si>
    <t>A) EQUIPO</t>
  </si>
  <si>
    <t>Crawll + piernas de crawll</t>
  </si>
  <si>
    <t>Crawll + pies de crawll</t>
  </si>
  <si>
    <t>Crawll + pies de espalda y crawll una y una</t>
  </si>
  <si>
    <t>Crawll respiración alternativa + pies</t>
  </si>
  <si>
    <t>Crawlll + crawll con palas</t>
  </si>
  <si>
    <t>Ep. + L ( brazos con palas y goma)</t>
  </si>
  <si>
    <t>Esp, +  craw ,asistidos, con palas</t>
  </si>
  <si>
    <t>Espal. con tubo gaf. y goma de 20 + palas</t>
  </si>
  <si>
    <t>Espalda + espalda con palas</t>
  </si>
  <si>
    <t>espalda + pies de espalda con aletas alternando</t>
  </si>
  <si>
    <t>Espalda con aletas + salida con buceo</t>
  </si>
  <si>
    <t>L (brazos) + L ( pies)+Ep.(nadar)</t>
  </si>
  <si>
    <t>Libre + pies de mariposa con  aletas</t>
  </si>
  <si>
    <t>Libres +pies de mariposa sub</t>
  </si>
  <si>
    <t>Libres a 6 respiraciones+ pies de crawll</t>
  </si>
  <si>
    <t>M (bra. palas)+Braz. ( nadar)</t>
  </si>
  <si>
    <t>M (bra. palas)+esp ( nadar)</t>
  </si>
  <si>
    <t>M (bra. palas)+M ( nadar)(res. con max sens. de agarre)</t>
  </si>
  <si>
    <t xml:space="preserve">M (bra. palas)+M ( nadar); Sar,Jorg.y Bel. M=B </t>
  </si>
  <si>
    <t>M (bra. palas)+M ( nadar); Sar,M=B ;By J M=L.</t>
  </si>
  <si>
    <t>M (nadar y aletas)+(nadar y vir. fuerte)</t>
  </si>
  <si>
    <t>Potencia ( aletas 1M ,1 E )</t>
  </si>
  <si>
    <t>Prueba de 800</t>
  </si>
  <si>
    <t>Relajar</t>
  </si>
  <si>
    <t>Resistidos  Espalda con palas ( 1 descanso  por largo)</t>
  </si>
  <si>
    <t>Resistidos con palas Crawll ( 3 descansos por largo)</t>
  </si>
  <si>
    <t>Resistidos con palas Espalda</t>
  </si>
  <si>
    <t>Resistidos con palas Espalda ( 3 descansos por largo)</t>
  </si>
  <si>
    <t>Resistidos crawll</t>
  </si>
  <si>
    <t>Resistidos fundamentalmente a espalda</t>
  </si>
  <si>
    <t>Resistidos Mariposa</t>
  </si>
  <si>
    <t>Resistidos Mariposa ( 5 descansos  por largo)</t>
  </si>
  <si>
    <t>Resistidos Mariposa con palas ( 1 descanso  por largo)</t>
  </si>
  <si>
    <t>Respiración Alternativa</t>
  </si>
  <si>
    <t xml:space="preserve">Respiracion cada 4 </t>
  </si>
  <si>
    <t>Respirando cada 6</t>
  </si>
  <si>
    <t>25 salidas crawll + 25 espalda</t>
  </si>
  <si>
    <t>300+100+400+100+500+100 Crawll y/o Espalda</t>
  </si>
  <si>
    <t>50+50Espalda</t>
  </si>
  <si>
    <t>75+50+25 Espalda  ( Desc. 15 y 10 seg.)</t>
  </si>
  <si>
    <t>Braza + Crawll</t>
  </si>
  <si>
    <t>Crawll (GyT)+Esp.(cada 4 braz,4pat sub.)</t>
  </si>
  <si>
    <t>crawll + Mariposa</t>
  </si>
  <si>
    <t>Crawll cada 5 respirar + crawll alternativa</t>
  </si>
  <si>
    <t>Ep (nadar y aletas)+(nadar y vir. fuerte)</t>
  </si>
  <si>
    <t xml:space="preserve"> 1x M. (resp. cada 3 )+ 2x Ep.(con  Salid. y viraj.)</t>
  </si>
  <si>
    <t xml:space="preserve"> L (brazos palas)+L (pies fuerte)+L (resp. cada 6 )</t>
  </si>
  <si>
    <t>. (brazos) + Mar. ( pies)+.(nadar)</t>
  </si>
  <si>
    <t>alternativa+ pies+Espalda</t>
  </si>
  <si>
    <t xml:space="preserve">Asistidos de espalda+mar+espal </t>
  </si>
  <si>
    <t>Braza + pies de braza + braza</t>
  </si>
  <si>
    <t>Brazos ,+ pies de braza, +  brazos de braza</t>
  </si>
  <si>
    <t>Brazos con aro+pies+nadar</t>
  </si>
  <si>
    <t>Brazos espalda, + pies de craw. + brazos espalda</t>
  </si>
  <si>
    <t>Brazoz L + M Aletas + Crawll</t>
  </si>
  <si>
    <t>Crawll + crawll + pies de crawll</t>
  </si>
  <si>
    <t>Crawll + pies de crawll+ pies de mariposa</t>
  </si>
  <si>
    <t>Crawll asist + aletas + asist</t>
  </si>
  <si>
    <t>crawll con aletas+ pies +nadar</t>
  </si>
  <si>
    <t>Crawll con palas+espalda con palas + pies</t>
  </si>
  <si>
    <t>crawll tubo y aletas+ crawll tubo + mariposa  aletas</t>
  </si>
  <si>
    <t>Crw. + Pies de Crw. + Espalda</t>
  </si>
  <si>
    <t>400+100Brazos con goma de 25</t>
  </si>
  <si>
    <t>50+50 Braza+ pies de braza</t>
  </si>
  <si>
    <t>ESPALDA</t>
  </si>
  <si>
    <t>630 13 77 30</t>
  </si>
  <si>
    <t>Entrenamientos de M Pheps</t>
  </si>
  <si>
    <t>MARIPOSA</t>
  </si>
  <si>
    <t>Muy bien el aerobico,LIGERO</t>
  </si>
  <si>
    <t>AMARILLAS INTENSAS, Verdes azules y rojas</t>
  </si>
  <si>
    <t>NADAR</t>
  </si>
  <si>
    <t>CRAWLL</t>
  </si>
  <si>
    <t>MARIPOSA CON ALETAS</t>
  </si>
  <si>
    <t>PROPIO</t>
  </si>
  <si>
    <t>progresivas de ESPALDA, de la 1 a la 10</t>
  </si>
  <si>
    <t>Coordinación de crawll</t>
  </si>
  <si>
    <t>ESPLDA</t>
  </si>
  <si>
    <t>tubo, RESPIRANDO CADA 4</t>
  </si>
  <si>
    <r>
      <t>30( Salida en el 1er 30)</t>
    </r>
    <r>
      <rPr>
        <b/>
        <sz val="8"/>
        <rFont val="Arial"/>
        <family val="2"/>
      </rPr>
      <t>+</t>
    </r>
    <r>
      <rPr>
        <b/>
        <sz val="8"/>
        <rFont val="Arial"/>
        <family val="2"/>
      </rPr>
      <t>30( viraje en el 2º 30)</t>
    </r>
  </si>
  <si>
    <t>2 X CAMBIO DE ESTILOS, VIRAJES salir del 25</t>
  </si>
  <si>
    <t>ESPRINES, UNO DE CADA</t>
  </si>
  <si>
    <t xml:space="preserve">SALIDAS </t>
  </si>
  <si>
    <r>
      <t>Esprines</t>
    </r>
    <r>
      <rPr>
        <b/>
        <sz val="8"/>
        <color indexed="9"/>
        <rFont val="Arial"/>
        <family val="2"/>
      </rPr>
      <t>, variando estilos</t>
    </r>
  </si>
  <si>
    <t>Piernas submarinas  Mariposa)</t>
  </si>
  <si>
    <r>
      <t xml:space="preserve">Piernas tres estilos, </t>
    </r>
    <r>
      <rPr>
        <b/>
        <sz val="8"/>
        <rFont val="Arial"/>
        <family val="2"/>
      </rPr>
      <t>sin espalda</t>
    </r>
  </si>
  <si>
    <t>Con aletas, ESPALDA A TOPE</t>
  </si>
  <si>
    <t>?</t>
  </si>
  <si>
    <t xml:space="preserve">  Piernas de Mariposa,</t>
  </si>
  <si>
    <t>ESTILOS</t>
  </si>
  <si>
    <t>ASISTIDOS</t>
  </si>
  <si>
    <t>SUAVIZAR</t>
  </si>
  <si>
    <t>Maider Redin Pagalday</t>
  </si>
  <si>
    <t>200M</t>
  </si>
  <si>
    <t>1500L</t>
  </si>
  <si>
    <t>TIPO</t>
  </si>
  <si>
    <t>prueba</t>
  </si>
  <si>
    <t>Crawll CON ALETAS</t>
  </si>
  <si>
    <t>PIERNAS SUBMARINAS</t>
  </si>
  <si>
    <t>Piernas de Espalda cuidando estilo</t>
  </si>
  <si>
    <t>Piernas SUBMARINAS con aletas</t>
  </si>
  <si>
    <t>MASAJE</t>
  </si>
  <si>
    <t>SOLO EMPUJE, BUCEO 14M CRONO A CABEZA</t>
  </si>
  <si>
    <t>SALIDAS, BUCEO 14M CRONO A CABEZA</t>
  </si>
  <si>
    <t>15+15 GIRO, TOPE Y CRONO A CABEZA</t>
  </si>
  <si>
    <t>7,5+7,5 GIRO, TOPE Y CRONO A CABEZA</t>
  </si>
  <si>
    <t>TIEMPOS EN SEGUNDOS 1</t>
  </si>
  <si>
    <t>TIEMPOS EN SEGUNDOS 2</t>
  </si>
  <si>
    <t>Crawll, negativo A1,2</t>
  </si>
  <si>
    <t>100+100+200</t>
  </si>
  <si>
    <t>TECNICA Y VIRAJES</t>
  </si>
  <si>
    <t>Salida perfecta,</t>
  </si>
  <si>
    <t>BUCEOS CORTOS Y RAPIDOS, DESCANSO ACTIVO</t>
  </si>
  <si>
    <t>Calentamiento, con palas</t>
  </si>
  <si>
    <t>bloque</t>
  </si>
  <si>
    <t xml:space="preserve">braza con palas </t>
  </si>
  <si>
    <t>remadas , varias</t>
  </si>
  <si>
    <t xml:space="preserve">arrancadas y viraje cuando toca </t>
  </si>
  <si>
    <t>Piernas E.P. + crawll ( cada 100)</t>
  </si>
  <si>
    <t>Mari Polo+ E  pull + C (pm 12-10-8-6t)</t>
  </si>
  <si>
    <t>Esprines de e.p.</t>
  </si>
  <si>
    <t>Buceos crono</t>
  </si>
  <si>
    <t>Salidas</t>
  </si>
  <si>
    <t>UNA ACROL UNA A ESTILOS</t>
  </si>
  <si>
    <t xml:space="preserve">PULL Y PALAS </t>
  </si>
  <si>
    <t>CRAWLL CON palas en negat.</t>
  </si>
  <si>
    <t>Estilo propio ( E)&lt;1:16</t>
  </si>
  <si>
    <t>Estilo propio ( E)&lt;34</t>
  </si>
  <si>
    <t>CROL SALIR, CADA 1:10"</t>
  </si>
  <si>
    <t>Entreno del 100 ( descanso 40-35-30 )</t>
  </si>
  <si>
    <t>LAVAR</t>
  </si>
  <si>
    <t xml:space="preserve"> EP. CON SALIDA Y LLEGAD. BUENAS</t>
  </si>
  <si>
    <t>VARIADO</t>
  </si>
  <si>
    <t>2M+2E+2C</t>
  </si>
  <si>
    <t>VI</t>
  </si>
  <si>
    <t>25+25, ( EL ULTIMO A TOPE) ESP.</t>
  </si>
  <si>
    <t xml:space="preserve">ESPALDA, </t>
  </si>
  <si>
    <t xml:space="preserve">E CON SALIDA Y BUEN BUCEO ( 3 A 33) </t>
  </si>
  <si>
    <t>TECNICAS Y PULIR DEFECTOS</t>
  </si>
  <si>
    <t>distancia</t>
  </si>
  <si>
    <t>50+100</t>
  </si>
  <si>
    <t xml:space="preserve"> ESTILOS </t>
  </si>
  <si>
    <t>espalda con palas</t>
  </si>
  <si>
    <t>CON SALIDA Y TODO</t>
  </si>
  <si>
    <t>PREPARACION FISICA Y ESTRUCT.  FISIOLOGICA</t>
  </si>
  <si>
    <t xml:space="preserve">AEROBICO </t>
  </si>
  <si>
    <t>FLEXIBILIDAD</t>
  </si>
  <si>
    <t>FUERZA MAXIMA</t>
  </si>
  <si>
    <t>FUERZA RESISTENCIA</t>
  </si>
  <si>
    <t>ESPRINES DE ESPALDA CON SALIDA</t>
  </si>
  <si>
    <t>salida y esprines, en los 4 estilos</t>
  </si>
  <si>
    <t>12,5+12,5 Mariposa</t>
  </si>
  <si>
    <t xml:space="preserve"> Espalda</t>
  </si>
  <si>
    <t>Piernas espalda fuertes</t>
  </si>
  <si>
    <t>ESPRINES resistidos</t>
  </si>
  <si>
    <t>100C+100B+100E+100M</t>
  </si>
  <si>
    <t>100C+100B+100E+100B+100C</t>
  </si>
  <si>
    <t>50+100+150+200+250 Con tubo</t>
  </si>
  <si>
    <t xml:space="preserve">brazos </t>
  </si>
  <si>
    <t>Piernas de espalda</t>
  </si>
  <si>
    <t>Estilos, O LO QUE QUIERAS 10 MIN</t>
  </si>
  <si>
    <t>Nadar suave, O LO QUE QUIERAS 10 MIN</t>
  </si>
  <si>
    <t>Estilo Prp.25 rojo</t>
  </si>
  <si>
    <t>En DOS estilos</t>
  </si>
  <si>
    <t xml:space="preserve">MARIPOSA </t>
  </si>
  <si>
    <t xml:space="preserve">Masaje </t>
  </si>
  <si>
    <t>Calentar todo</t>
  </si>
  <si>
    <t xml:space="preserve">E CON SALIDA Y BUEN BUCEO ( 2 A 39) </t>
  </si>
  <si>
    <t>Piernas tres estilos,sin espalda</t>
  </si>
  <si>
    <t>Esprines, variando estilos</t>
  </si>
  <si>
    <t>Piernas tres estilos, sin espalda</t>
  </si>
  <si>
    <t>M. piernas subm., con aletas</t>
  </si>
  <si>
    <t>hora de inicio</t>
  </si>
  <si>
    <t>recup.</t>
  </si>
  <si>
    <t>GIMNASIA</t>
  </si>
  <si>
    <t xml:space="preserve">AGENDA </t>
  </si>
  <si>
    <t>ResultadoPOSITIVO, avance personal en ejecución seco y agua, varias competiciones y forma física final después de puesta a punto optima OK, Objetivo cumplido</t>
  </si>
  <si>
    <t>Proponer a la nadadora su opinion, entrega, aceptación y compromiso a la Planificación general, de abril a julio 2018, como pasó previo indispensable para obtener los resultados deseados</t>
  </si>
  <si>
    <t xml:space="preserve">Compromiso férreo, desde ya, de iniciar un REGIMEN alimentario, adaptado a su persona y programa se entrenamiento,  elaborado médicamente, con el fin de bajar lentamente de peso y de % graso mediante un cambio de hábitos alimenticios, en el convencimiento de la extraordinaria ventaja de conseguir un cuerpo más ligero </t>
  </si>
  <si>
    <t>A la par, someterse a un programa de SECO  completo e intenso estas primeras semanas y de mayor calidad después, aprovechando su adelgazamiento, necesidad física, conveniencia, reciente experiencia positiva y convencimiento real de que su acondicionamiento físico, fortalecimiento y resistencia específica, redundarán, por si solos, en la mejora de su natacion</t>
  </si>
  <si>
    <t>Competir y COMPETIR , utilizado como mejor entrenamiento posible, mínimo cada 15 días, el mayor número de pruebas de los tres estilos(4), de estilos individual, de 50/100/200mts. (400), buscando competiciones en Madrid, Barcelona, Valencia, Aragón y Andalucía, donde se encuentran rivales de nivel con la que se tendrá que medir en julio en Sevilla en el cpto de España d verano</t>
  </si>
  <si>
    <t>Utilizar de forma fija, en fechas concretas, periódicas, programadas, LOS APOYOS:</t>
  </si>
  <si>
    <t>Visitas Médicas y sus aportes complementarios alimenticios,    Seguimiento psicológico deportivo,</t>
  </si>
  <si>
    <t>Iniciar las 2,3 primeras  semanas un PROGRAMA TECNICO acuático totalmente diferente, de contraste, aerobico,
Mixto, a estilos, sumatorio de acumulación de tareas que no domina, con el fin de seguir recuperando paulatinamente la base aerobica de la que carece Maider</t>
  </si>
  <si>
    <t>Fijar unos OBJETIVOS consensuados, fijos, con un % de mejora posible, real, acometible y motivan le, con cierta elasticidad, pero asumible, con objetivos parciales y resultado final de valor de cara a la importante temporada 2018/19, decisiva en el proceso de esta posibilitada nadadora de futuro</t>
  </si>
  <si>
    <t>De acuerdo con todos los datos de las dos últimas temporadas elaborar una PLANIFICACIÓN de Agua, específica, concreta, definida, experta, detallada y exigente, para iniciar a primeros de mayo con el tiempo hasta finales de junio, justo para afinar en</t>
  </si>
  <si>
    <t>Julio y participar al 100% con garantías de éxito en objetivo</t>
  </si>
  <si>
    <t>Enmarcar estas dos temporadas en un PROGRAMA biannual para las dos temporadas siguientes, 2018/19 y 2019/20, fijándose esa meta como alto rendimiento nacional (internac.) y para decidir, en ese momento plazo para su máximo nivel posible en un plazo  de tiempo determinado con, por ejemplo, 2021, 2022, 22, 22 años</t>
  </si>
  <si>
    <t>CONCLUSIONES</t>
  </si>
  <si>
    <t xml:space="preserve">Entrenamiento de la Recuperación pautado y diverso. No esporádicamente sino de forma constante. </t>
  </si>
  <si>
    <t>6.1</t>
  </si>
  <si>
    <t>6.2</t>
  </si>
  <si>
    <t>6.3</t>
  </si>
  <si>
    <t>INFORMACIÓN DEL PRIMER MESOCICLO DE LA TEMPORADA 2017/2018</t>
  </si>
  <si>
    <t>9.2</t>
  </si>
  <si>
    <t xml:space="preserve">9.1                  </t>
  </si>
  <si>
    <t>OPINION</t>
  </si>
  <si>
    <t>COMPROM.</t>
  </si>
  <si>
    <t>ACEPTACION</t>
  </si>
  <si>
    <t>ENTREGA</t>
  </si>
  <si>
    <t>REGIMEN</t>
  </si>
  <si>
    <t>SECO INTENSO</t>
  </si>
  <si>
    <t>COMPETIR MUCHO</t>
  </si>
  <si>
    <t xml:space="preserve">HUM. </t>
  </si>
  <si>
    <t>MAT.</t>
  </si>
  <si>
    <t>AEROBICO</t>
  </si>
  <si>
    <t>OBJETIVOS</t>
  </si>
  <si>
    <t>PLANIFIC.</t>
  </si>
  <si>
    <t>Pr.DOS SIGU.</t>
  </si>
  <si>
    <t>Esp. nadar con tecnica muy buena</t>
  </si>
  <si>
    <t xml:space="preserve">100+100 + 400 </t>
  </si>
  <si>
    <t>piernas con aletas, 2 de cada</t>
  </si>
  <si>
    <t>piernas de mariposa</t>
  </si>
  <si>
    <t>Brazos, con palas</t>
  </si>
  <si>
    <t>nadar con palas y pull a espalda</t>
  </si>
  <si>
    <t>25+25 ESPALDA</t>
  </si>
  <si>
    <t>1m68</t>
  </si>
  <si>
    <t>Entreno del 100 estilos( @ entre 10-20-30 )( inv)</t>
  </si>
  <si>
    <t>Calentamiento, con palas y aletas</t>
  </si>
  <si>
    <t>TRX , ejercicios de fuerza resistencia</t>
  </si>
  <si>
    <t>6xCROL  TOPE+6x PIERNAS TOPE</t>
  </si>
  <si>
    <t>10 +10 BUCEOS  Mariposa +Espalda</t>
  </si>
  <si>
    <t>Carrera continua A3, maquina de esqui A3</t>
  </si>
  <si>
    <t>(SAL15+5) + 20Volver+(empuj 15+5) @20 llegada</t>
  </si>
  <si>
    <t>marip.</t>
  </si>
  <si>
    <t>Esp.</t>
  </si>
  <si>
    <t xml:space="preserve">E CON SALIDA Y BUEN BUCEO ( 3 A 35) </t>
  </si>
  <si>
    <t>1/2 X- M,E</t>
  </si>
  <si>
    <t>CRAWLL CON PALAS, CADA 1:50</t>
  </si>
  <si>
    <t>mariposa, respirando cada 3</t>
  </si>
  <si>
    <t>EstiloS ( Valoración de tramos  ( M,7" E  y  B.7"C )</t>
  </si>
  <si>
    <t>Deslizar estirada, tras dos ciclos de braza, fuertes</t>
  </si>
  <si>
    <t>tope con salida, uno de cada estilo</t>
  </si>
  <si>
    <t>Nadar  ¡¡¡¡ SIN PARAR!!!! Suave</t>
  </si>
  <si>
    <t>piernas, 15m. Msub + 10 crawll sin tabla</t>
  </si>
  <si>
    <t xml:space="preserve">Pull y palas ,6 a Esp. + 6 Braz. </t>
  </si>
  <si>
    <t>E-E-B-B</t>
  </si>
  <si>
    <t>estilos</t>
  </si>
  <si>
    <t>12,5 easpalda 12,5PIERNAS DE ESP. Alternando</t>
  </si>
  <si>
    <t>NADAR, PIERNAS, NADAR CON PALAS , NADAR</t>
  </si>
  <si>
    <t>Esprines, variando 2 estilos, 10 CON PLOMOS</t>
  </si>
  <si>
    <t>MARIPOSA , CON ALETAS</t>
  </si>
  <si>
    <t>Piernas submarinas  ESPALDA  a 45 grados</t>
  </si>
  <si>
    <t>Piernas sub. MARIPOSA a 90 grados alternando</t>
  </si>
  <si>
    <t>ESPALDA, CON ALETAS</t>
  </si>
  <si>
    <t>GRAWLL Y ESPALDA ALTERNANDO</t>
  </si>
  <si>
    <t>(M,M,E)  6 veces</t>
  </si>
  <si>
    <t>25+10 Los 10 ultimos a ganar liebre ( espalda)</t>
  </si>
  <si>
    <t>MARIPOSA, ESPALDA</t>
  </si>
  <si>
    <t>NO</t>
  </si>
  <si>
    <t>Sal. Del 25 piernas tope y viraje com.</t>
  </si>
  <si>
    <t xml:space="preserve">E.Propio, salida y  piernas a tope </t>
  </si>
  <si>
    <t>Esprines de e.p. PIERNAS</t>
  </si>
  <si>
    <t>CON ALETAS Y DOS BRAZOS segu.</t>
  </si>
  <si>
    <t>Ritmo de 400 L, prueba</t>
  </si>
  <si>
    <t>HORA</t>
  </si>
  <si>
    <t>' seg15 Macro</t>
  </si>
  <si>
    <t>' Macro grabada 10/03/96</t>
  </si>
  <si>
    <t>'</t>
  </si>
  <si>
    <t>Proced seg15()</t>
  </si>
  <si>
    <t xml:space="preserve">    CeldaActiva.FórmulaL1C1 = "0:00:15"</t>
  </si>
  <si>
    <t>Fin Proced</t>
  </si>
  <si>
    <t>' seg20 Macro</t>
  </si>
  <si>
    <t>Proced seg20()</t>
  </si>
  <si>
    <t xml:space="preserve">    CeldaActiva.FórmulaL1C1 = "0:00:20"</t>
  </si>
  <si>
    <t>' seg30 Macro</t>
  </si>
  <si>
    <t>Proced seg30()</t>
  </si>
  <si>
    <t xml:space="preserve">    CeldaActiva.FórmulaL1C1 = "0:00:30"</t>
  </si>
  <si>
    <t>' seg40 Macro</t>
  </si>
  <si>
    <t>Proced seg40()</t>
  </si>
  <si>
    <t xml:space="preserve">    CeldaActiva.FórmulaL1C1 = "0:00:40"</t>
  </si>
  <si>
    <t>' min1 Macro</t>
  </si>
  <si>
    <t>Proced min1()</t>
  </si>
  <si>
    <t xml:space="preserve">    CeldaActiva.FórmulaL1C1 = "0:01:00"</t>
  </si>
  <si>
    <t>' Min2 Macro</t>
  </si>
  <si>
    <t>Proced Min2()</t>
  </si>
  <si>
    <t xml:space="preserve">    CeldaActiva.FórmulaL1C1 = "0:02:00"</t>
  </si>
  <si>
    <t>' Min3 Macro</t>
  </si>
  <si>
    <t>Proced Min3()</t>
  </si>
  <si>
    <t xml:space="preserve">    CeldaActiva.FórmulaL1C1 = "0:03:00"</t>
  </si>
  <si>
    <t>' min4 Macro</t>
  </si>
  <si>
    <t>Proced min4()</t>
  </si>
  <si>
    <t xml:space="preserve">    CeldaActiva.FórmulaL1C1 = "0:04:00"</t>
  </si>
  <si>
    <t>' min5 Macro</t>
  </si>
  <si>
    <t>Proced min5()</t>
  </si>
  <si>
    <t xml:space="preserve">    CeldaActiva.FórmulaL1C1 = "0:05:00"</t>
  </si>
  <si>
    <t>' seg5 Macro</t>
  </si>
  <si>
    <t>Proced seg5()</t>
  </si>
  <si>
    <t xml:space="preserve">    CeldaActiva.FórmulaL1C1 = "0:00:05"</t>
  </si>
  <si>
    <t>' seg10 Macro</t>
  </si>
  <si>
    <t>Proced seg10()</t>
  </si>
  <si>
    <t xml:space="preserve">    CeldaActiva.FórmulaL1C1 = "0:00:10"</t>
  </si>
  <si>
    <t>V.O2 Max. max</t>
  </si>
  <si>
    <t>PROTOCOLO 200</t>
  </si>
  <si>
    <t>LACT.</t>
  </si>
  <si>
    <t>C. resp. Cada 4  V. rapid. Y largos</t>
  </si>
  <si>
    <t>Mariposa Progresiva ( 4/3 + 3/1 + Normal 2/1),200</t>
  </si>
  <si>
    <t>3 A CRALL + 3 A BRAZA</t>
  </si>
  <si>
    <t>ALTERNANDO 2 a M y 2 a E</t>
  </si>
  <si>
    <t>6 nadar+ 4 pat. atipica. (Variando ... )</t>
  </si>
  <si>
    <t xml:space="preserve">CROL 3 BRAZADAS Y 4 BRAZADAS , </t>
  </si>
  <si>
    <t>CROL 3/4 BRAZADAS  vel. Unif.</t>
  </si>
  <si>
    <t>piernas de CROL</t>
  </si>
  <si>
    <t>Crol, cuidar virajes</t>
  </si>
  <si>
    <t>25 a M + 50 a E</t>
  </si>
  <si>
    <t>Mariposa buceo 15m y sin respirar</t>
  </si>
  <si>
    <t>DESCANSO 5 MINUTOS</t>
  </si>
  <si>
    <t>M + E + C ( TECNICA CUIDADA)</t>
  </si>
  <si>
    <t>Estilos C.E.M.</t>
  </si>
  <si>
    <t>(1ª a E. 2ª a M. 3ª a C.)  piernas</t>
  </si>
  <si>
    <t>(1ª a E. 2ª a M. 3ª a C.) con aletas</t>
  </si>
  <si>
    <t xml:space="preserve"> Nadar  CRAWLL MUY BIEN.</t>
  </si>
  <si>
    <t>#</t>
  </si>
  <si>
    <t>200C+200X+200E+200Bdelf.+200X+200M</t>
  </si>
  <si>
    <t>M.  (150Gris y 50 Amarillo I)</t>
  </si>
  <si>
    <t>Con aletas C+M+E  ult. Gris</t>
  </si>
  <si>
    <t>variado Tecnica ( agarre en c:)</t>
  </si>
  <si>
    <t>1 sin material y 1 con palas ¨haciendo 150 C --100 B.delf.--200E --150 M en cada una, el C con mucho rolido</t>
  </si>
  <si>
    <t>VER TIEMPO Y PULSO, respi.c.2/3 f y l Ok. Virajes 10m. Nadar en negativo</t>
  </si>
  <si>
    <t>M CON PULL CADA 1:10</t>
  </si>
  <si>
    <t>E CON PULL CADA 1:50</t>
  </si>
  <si>
    <t>2x(50M+100E) SEGUIDO, CADA 4:10</t>
  </si>
  <si>
    <t>la pagina tiene  27 columnas</t>
  </si>
  <si>
    <t>Voy a comentar filas de la 13 a la 20</t>
  </si>
  <si>
    <r>
      <rPr>
        <b/>
        <sz val="10"/>
        <color theme="1"/>
        <rFont val="Arial"/>
        <family val="2"/>
      </rPr>
      <t>FILA 13</t>
    </r>
    <r>
      <rPr>
        <b/>
        <sz val="10"/>
        <color rgb="FFE660E6"/>
        <rFont val="Arial"/>
        <family val="2"/>
      </rPr>
      <t xml:space="preserve">  2 REPETICIONES DE 600 metros con 20" de descanso i 110" de intervalo</t>
    </r>
  </si>
  <si>
    <r>
      <rPr>
        <b/>
        <sz val="10"/>
        <color theme="1"/>
        <rFont val="Arial"/>
        <family val="2"/>
      </rPr>
      <t>FILA 14</t>
    </r>
    <r>
      <rPr>
        <b/>
        <sz val="10"/>
        <color rgb="FFE660E6"/>
        <rFont val="Arial"/>
        <family val="2"/>
      </rPr>
      <t xml:space="preserve">  16 REPETICIONES DE 100 metros con 22" de descanso y 1'10" de intervalo</t>
    </r>
  </si>
  <si>
    <r>
      <rPr>
        <b/>
        <sz val="10"/>
        <color theme="1"/>
        <rFont val="Arial"/>
        <family val="2"/>
      </rPr>
      <t xml:space="preserve">FILA 15,  </t>
    </r>
    <r>
      <rPr>
        <b/>
        <sz val="10"/>
        <color rgb="FFE660E6"/>
        <rFont val="Arial"/>
        <family val="2"/>
      </rPr>
      <t>2 veces 1 REPETICION DE 400 metros con 00" de descanso y 25" de intervalo</t>
    </r>
  </si>
  <si>
    <r>
      <rPr>
        <b/>
        <sz val="10"/>
        <color theme="1"/>
        <rFont val="Arial"/>
        <family val="2"/>
      </rPr>
      <t xml:space="preserve">FILA 16,  </t>
    </r>
    <r>
      <rPr>
        <b/>
        <sz val="10"/>
        <color rgb="FFE660E6"/>
        <rFont val="Arial"/>
        <family val="2"/>
      </rPr>
      <t>2 veces 1 REPETICION DE 400 metros con 00" de descanso y 25" de intervalo</t>
    </r>
  </si>
  <si>
    <r>
      <rPr>
        <b/>
        <sz val="10"/>
        <color theme="1"/>
        <rFont val="Arial"/>
        <family val="2"/>
      </rPr>
      <t>FILA 17</t>
    </r>
    <r>
      <rPr>
        <b/>
        <sz val="10"/>
        <color rgb="FFE660E6"/>
        <rFont val="Arial"/>
        <family val="2"/>
      </rPr>
      <t xml:space="preserve">  10 REPETICIONES DE 50 metros con 30" de descanso y 1'10" de intervalo</t>
    </r>
  </si>
  <si>
    <r>
      <rPr>
        <b/>
        <sz val="10"/>
        <color theme="1"/>
        <rFont val="Arial"/>
        <family val="2"/>
      </rPr>
      <t>FILA 18</t>
    </r>
    <r>
      <rPr>
        <b/>
        <sz val="10"/>
        <color rgb="FFE660E6"/>
        <rFont val="Arial"/>
        <family val="2"/>
      </rPr>
      <t xml:space="preserve">  8 REPETICIONES DE 100 metros con 30" de descanso y 1'50" de intervalo</t>
    </r>
  </si>
  <si>
    <r>
      <rPr>
        <b/>
        <sz val="10"/>
        <color theme="1"/>
        <rFont val="Arial"/>
        <family val="2"/>
      </rPr>
      <t>FILA 19</t>
    </r>
    <r>
      <rPr>
        <b/>
        <sz val="10"/>
        <color rgb="FFE660E6"/>
        <rFont val="Arial"/>
        <family val="2"/>
      </rPr>
      <t xml:space="preserve">  3 REPETICIONES DE 300 metros con 30" de descanso y 1'00" de intervalo</t>
    </r>
  </si>
  <si>
    <r>
      <rPr>
        <b/>
        <sz val="10"/>
        <color theme="1"/>
        <rFont val="Arial"/>
        <family val="2"/>
      </rPr>
      <t>FILA 20</t>
    </r>
    <r>
      <rPr>
        <b/>
        <sz val="10"/>
        <color rgb="FFE660E6"/>
        <rFont val="Arial"/>
        <family val="2"/>
      </rPr>
      <t xml:space="preserve">  HORA DE FINALIZACION ( si 19:00:00 en el agua) y suma de metros</t>
    </r>
  </si>
  <si>
    <t>sii</t>
  </si>
  <si>
    <t>Explicacion de las columnas con formulas</t>
  </si>
  <si>
    <t>LA MANCHA NEGRA DICE LA COLUMNA QUE TIENE FORMULA</t>
  </si>
  <si>
    <t>" SI SI(D18=1;U$5;SI(D18=2;V$5;SI(D18=3;W$5;SI(D18=4;X$5;SI(D18=5;Y$5;SI(D18=6;Z$5;SI(D18=7;AA$5;0)))))))</t>
  </si>
  <si>
    <t>COEFICIENTE: 1=BLANCO (A0 )- 2= GRIS (A1)- 3=AMARILLO (A2)-4= Intenso ( CO2MAX ) - 5 = VERDE (prd. Lact)- 6=AZUL( Tola)- 7 = ROJO ( Anaer.)</t>
  </si>
  <si>
    <t>Coeficiente de actividad</t>
  </si>
  <si>
    <t>tiempo de cada linea</t>
  </si>
  <si>
    <t xml:space="preserve">Tiempo en 25m según el nivel del nadador, formula conbinada </t>
  </si>
  <si>
    <t xml:space="preserve">tiempo de la distancia unidad, conbinada </t>
  </si>
  <si>
    <t>distancia nadada en cada linea</t>
  </si>
  <si>
    <t>hora de comienzo de cada linea</t>
  </si>
  <si>
    <t>"=L(n-1)+N(n-1)"</t>
  </si>
  <si>
    <t>entre 1 y 2,5</t>
  </si>
  <si>
    <t>=P(n)*E(n)*F(n)+I(n)*F(n)*E(n)+J(n)*E(n)</t>
  </si>
  <si>
    <t>"=C(n)*(G(n)/25)"</t>
  </si>
  <si>
    <t>(n)    Significa la linea n la que sea</t>
  </si>
  <si>
    <t>"=E(n)*F(n)*G(n)"</t>
  </si>
  <si>
    <t>"=O19*M19"</t>
  </si>
  <si>
    <t>M--E--ME--C ( piernas con aletas)</t>
  </si>
  <si>
    <t>M--E--ME--C ( nadar con aletas)</t>
  </si>
  <si>
    <t>Variopintos</t>
  </si>
  <si>
    <t>400 C+ +200 B+100 E(G).+100 M (A.c.)</t>
  </si>
  <si>
    <t>SINSALIDA MARIPOSA</t>
  </si>
  <si>
    <t>SINSALIDA CRAWLL</t>
  </si>
  <si>
    <t>TiempoS CONSIDERADOS EN PISCINA CORTA</t>
  </si>
  <si>
    <t>25+25 M</t>
  </si>
  <si>
    <t>RITMO, 1 M+1 C</t>
  </si>
  <si>
    <t>Libre</t>
  </si>
  <si>
    <t>Libre relajo</t>
  </si>
  <si>
    <t>calentar</t>
  </si>
  <si>
    <t>Mariposa,crol,mariposa, mariposa</t>
  </si>
  <si>
    <t xml:space="preserve">100 en 4 cosas </t>
  </si>
  <si>
    <t>2M,2E,2C, salida y crono</t>
  </si>
  <si>
    <t>25+25 (2 A ESP. con sal) (2 A M con sal)</t>
  </si>
  <si>
    <t>buceos E. con aletas 10 respiraciones</t>
  </si>
  <si>
    <t>T.deESPALDA, GIRAR BIEN LA MANO</t>
  </si>
  <si>
    <t>maquina de resistidos</t>
  </si>
  <si>
    <t xml:space="preserve"> Asistidos N y buc. asistido</t>
  </si>
  <si>
    <t xml:space="preserve">pier. de Mariposa, fuertes con aletas </t>
  </si>
  <si>
    <t xml:space="preserve">aletas grandes, palas </t>
  </si>
  <si>
    <t>Espalda 16m buceo s.  8m buc. Vi.</t>
  </si>
  <si>
    <t>25+25+12,5+12,5 M.</t>
  </si>
  <si>
    <t>25+25+12,5+12,5 E. 16m buc.s +8 m buc v.</t>
  </si>
  <si>
    <t>25+25, (  TOPE) ESP. Buc. Libre</t>
  </si>
  <si>
    <t xml:space="preserve">pier. de Mariposa, fuertes </t>
  </si>
  <si>
    <t>Brazos, CON PULL</t>
  </si>
  <si>
    <t>Piernas , VARIADAS, Submarinas</t>
  </si>
  <si>
    <t>4X E CON SALIDA Y BUEN BUCEO ( A 34) Y...... 4X M CON VIRAJE Y BUEN BUCEO ( A 34)</t>
  </si>
  <si>
    <t xml:space="preserve"> MARIPOSA CON EMPUJE</t>
  </si>
  <si>
    <t>CON EMPUJE</t>
  </si>
  <si>
    <t>Mariposa, brazo der.</t>
  </si>
  <si>
    <t>Mariposa, brazo izq.</t>
  </si>
  <si>
    <t xml:space="preserve">baño Libre ( Amarillo c+ gris), descanso activo </t>
  </si>
  <si>
    <t>Piernas,</t>
  </si>
  <si>
    <t xml:space="preserve">Piernas, </t>
  </si>
  <si>
    <t>MARIPOSA CON SALIDA +ESPALDA CON EMPUJE</t>
  </si>
  <si>
    <t>00:52</t>
  </si>
  <si>
    <t>CALENTAMIENTO, SALTOS Y tal</t>
  </si>
  <si>
    <t>25+50, Crawll</t>
  </si>
  <si>
    <t>Buceos, completos</t>
  </si>
  <si>
    <t xml:space="preserve">15+15  buceo y nado, Mariposa y Espalda </t>
  </si>
  <si>
    <t xml:space="preserve"> Mariposa y Espalda (con  salida y todo)</t>
  </si>
  <si>
    <t>Salidas perfectas,</t>
  </si>
  <si>
    <t>Estilo A VOLUNTAD, CON SALIDA O LLEGADA</t>
  </si>
  <si>
    <t>Micro-ciclos</t>
  </si>
  <si>
    <t>Macro-ciclos</t>
  </si>
  <si>
    <t>Meso-ciclos</t>
  </si>
  <si>
    <t>Segundo Macro ciclo-al Open</t>
  </si>
  <si>
    <t>Tercer macrociclo de Verano</t>
  </si>
  <si>
    <t>Transformacion 1+2+3+4</t>
  </si>
  <si>
    <t>REALIZAZION     1+2+3+4</t>
  </si>
  <si>
    <t>A14</t>
  </si>
  <si>
    <t>A15</t>
  </si>
  <si>
    <t>A16</t>
  </si>
  <si>
    <t>Velocidad en m/seg</t>
  </si>
  <si>
    <t>M. piernas subm, BUCEOS RAPIDOS</t>
  </si>
  <si>
    <t>Esprines, variando estilos PIERNAS</t>
  </si>
  <si>
    <t>BRAZA</t>
  </si>
  <si>
    <t>LIBRES</t>
  </si>
  <si>
    <t>BRAZA, PIERNAS</t>
  </si>
  <si>
    <t>BRAZA, TECNICAS RAPIDAS</t>
  </si>
  <si>
    <t>suavizar</t>
  </si>
  <si>
    <t>MARIP. 1 RESP, 2 NO, ALTA FRECUENC IA</t>
  </si>
  <si>
    <t>con tecnica muy buena a espalda</t>
  </si>
  <si>
    <t>Estilos  Propios</t>
  </si>
  <si>
    <t>RESISTIDOS a M y E, alternando</t>
  </si>
  <si>
    <t>con tecnica muy buena 25E+25M</t>
  </si>
  <si>
    <t>Mariposa, Aguantar  uniforme</t>
  </si>
  <si>
    <t>MARIPOSA , CADA 4 PROGR. 1ª &lt; 38,50</t>
  </si>
  <si>
    <t>q</t>
  </si>
  <si>
    <t>Maider</t>
  </si>
  <si>
    <t>UNIDADES</t>
  </si>
  <si>
    <t xml:space="preserve">Masa </t>
  </si>
  <si>
    <t>kg</t>
  </si>
  <si>
    <t>Volumen</t>
  </si>
  <si>
    <t>m3 ; litr.</t>
  </si>
  <si>
    <t>densidad</t>
  </si>
  <si>
    <t>Kg/litro</t>
  </si>
  <si>
    <t>Valores, norm.</t>
  </si>
  <si>
    <t>Densidad</t>
  </si>
  <si>
    <t>Cuerpo</t>
  </si>
  <si>
    <t>A)</t>
  </si>
  <si>
    <t>Se supone que la variacion de peso es importante, con una teoria</t>
  </si>
  <si>
    <t>Grasa</t>
  </si>
  <si>
    <t xml:space="preserve">simplista, por la cual si adelgazamos 3 Kg nos ahorramos energia y </t>
  </si>
  <si>
    <t>Musculo</t>
  </si>
  <si>
    <t xml:space="preserve">correriamos mas. Esto que podria ser logico en seco en el agua no es </t>
  </si>
  <si>
    <t>Volumen total  m3</t>
  </si>
  <si>
    <t>tan claro, veamos.</t>
  </si>
  <si>
    <t>Masa</t>
  </si>
  <si>
    <t>volumen</t>
  </si>
  <si>
    <t>,- kg</t>
  </si>
  <si>
    <t>B)</t>
  </si>
  <si>
    <t xml:space="preserve">Partiendo de la teoria de las invariantes, tenemos dos: a) el peso </t>
  </si>
  <si>
    <t>En kg,</t>
  </si>
  <si>
    <t>en litros</t>
  </si>
  <si>
    <t>de los huesos y b) el peso de los musculos, (Parece logico no disminu-</t>
  </si>
  <si>
    <t>peso</t>
  </si>
  <si>
    <t>ir la masa muscular, fuerza)</t>
  </si>
  <si>
    <t>huesos</t>
  </si>
  <si>
    <t>C)</t>
  </si>
  <si>
    <t>El mayor responsable de la flotabilidad estatica, es la grasa.</t>
  </si>
  <si>
    <t>Musculos</t>
  </si>
  <si>
    <t xml:space="preserve">HOJA DE CALCULO </t>
  </si>
  <si>
    <t>Podemos modificar los cuadros amarillos y vemos como reacciona</t>
  </si>
  <si>
    <t>Flotabilidad, estat.</t>
  </si>
  <si>
    <t>la flotabilidad, estatica.</t>
  </si>
  <si>
    <t>Si queremos probar a mas peso, ponerle un - delante (-)x(-)= +</t>
  </si>
  <si>
    <t>Lo morado es la flotabilidad estatica</t>
  </si>
  <si>
    <t>comparacion desde el nivel de agua Azul</t>
  </si>
  <si>
    <t>lo mas provable es que quitar grasa sea contraproducente</t>
  </si>
  <si>
    <t>MORALEJA</t>
  </si>
  <si>
    <t>Habra que descubrir el peso IDEAL</t>
  </si>
  <si>
    <t xml:space="preserve">Y…. No variarlo, </t>
  </si>
  <si>
    <t>V13-14</t>
  </si>
  <si>
    <t>KILOMETROS TOTALES NADADOS EN LA TEMPORADA</t>
  </si>
  <si>
    <t>Mariposa est, resist.</t>
  </si>
  <si>
    <t>##</t>
  </si>
  <si>
    <t>Braza con tecnica</t>
  </si>
  <si>
    <t>DE MEDIA</t>
  </si>
  <si>
    <t>PIERNAS de crawll fuertes</t>
  </si>
  <si>
    <t xml:space="preserve">Piernas submarinas, mariposa con aletas a llegar </t>
  </si>
  <si>
    <t>50+100+150+100+200</t>
  </si>
  <si>
    <t>AL GUSTO</t>
  </si>
  <si>
    <t>PISC. 20</t>
  </si>
  <si>
    <t xml:space="preserve">ESPRINES resistidos, MAQUINA </t>
  </si>
  <si>
    <t>CONCENTRACION PSICOLOGICA / MASAJE/ GIMNASIO</t>
  </si>
  <si>
    <t>segundos</t>
  </si>
  <si>
    <t>______    2</t>
  </si>
  <si>
    <t>______    3</t>
  </si>
  <si>
    <t>______    4</t>
  </si>
  <si>
    <t>______    5</t>
  </si>
  <si>
    <t>______    6</t>
  </si>
  <si>
    <t>______    7</t>
  </si>
  <si>
    <t>______    8</t>
  </si>
  <si>
    <t>series    - 1</t>
  </si>
  <si>
    <t>K</t>
  </si>
  <si>
    <t>TOMAS DEL 1 /11/19</t>
  </si>
  <si>
    <t>FALTA</t>
  </si>
  <si>
    <t>MEDIAS</t>
  </si>
  <si>
    <t>Preparacion 50M en ......</t>
  </si>
  <si>
    <t>Crawll progresivas de 4 en 4 gris+am+int</t>
  </si>
  <si>
    <t>25+25+25+25Mariposa</t>
  </si>
  <si>
    <t>25 larga + 25 prog + 25 tope a crawll</t>
  </si>
  <si>
    <t>Esprines de Crawll</t>
  </si>
  <si>
    <t>50+50+50 uno a cada estiloM+E+C</t>
  </si>
  <si>
    <t>TRES DÍAS, DE REGENERACIÓN, PSEUDO DESCANSO. AER1, FRACCIONADO Y CONTINUO, MEZCLADO</t>
  </si>
  <si>
    <t>CON TECNICA DE TODO TIPO Y CADA SESIÓN CON MATERIAL Y SIN, AL 50%, POQUÍSIMO MUY FUERTE,</t>
  </si>
  <si>
    <t>SERÁN MUY DOLOROSAS PERO SI ÓPTIMAS, DE VELOCIDAD DE CARRERA PERMANENTE, CON</t>
  </si>
  <si>
    <t xml:space="preserve">ESFUERZO MENTAL Y CONCENTRACION PERFECTAS PARA SEGUIR SALIENDO,NADANDO, RESPIRANDO </t>
  </si>
  <si>
    <t xml:space="preserve">AL 100% EN CORRER Y EN HACER, CONSTANTEMENTE, LLEGADAS DE 5MTS, EN TODO TIPO DE </t>
  </si>
  <si>
    <t>RECUPERAR FISICA Y MENTALMENTE.</t>
  </si>
  <si>
    <t>EL CPTO, MUCHA ALEGRIA....POR EL  PASO DE GIGANTE DADO DE CARA, A LARGA,</t>
  </si>
  <si>
    <t xml:space="preserve">P E R O:"REUNIÓN PERSONAL CON MI PEZ Y UNA VUELTA DE TUERCA PARA QUE HAGA EL MAYOR </t>
  </si>
  <si>
    <t>ESFUERZO DE SU VIDA DEPORTIVA DURANTE DOS SEMANAS Y MEDIA DURAS DURAS, MÁXIMAS, QUE NO</t>
  </si>
  <si>
    <t xml:space="preserve">Y COMPITIENDO IGUAL DE BIEN, SUMEMOS, MOTIVSR CON QUE CASI TODO LO QUE HACES LO HACES BIEN </t>
  </si>
  <si>
    <t xml:space="preserve">AHORA YA VALES 27.00 REALES SEGURO, EL SUEÑO ES MUY POSIBLE SI TE EMPLEAS 20 DÍAS AM Y PM, </t>
  </si>
  <si>
    <t>CONDICIONES EN 2".....3" MUY CORTOS........CON ESO Y TU INGENIO, TU GENIO, HACER 26.... LARGO</t>
  </si>
  <si>
    <t xml:space="preserve">NO ES IMPOSIBLE PORQUE TIENES QUE VER QUE YA NADAS 15 EN 6.5 Y TRES VECES 10MTS SIN </t>
  </si>
  <si>
    <t>EN 5,8(6.00 EL ULTIMO) Y ESO, A FALTA DE HACER 3.00 LOS ULT 5, YA SON 27.00, DE TI DEPENDE.....</t>
  </si>
  <si>
    <t xml:space="preserve">Y S YO TE TENGO CONVENCER DE QUE TIENES QUE HACER EN LA PISCINA Y EL RESTO DEL DÍA </t>
  </si>
  <si>
    <t>LO QUE AÚN NO HAS HECHO MUNCA EN ESTOS 3 AÑOS, O SEA, CALIDAD DE ENTRENAMIENTO VELOCIDAD</t>
  </si>
  <si>
    <t>O SEA, CALIDAD DE ENTRENAMIENTO VELOCIDAD DE LLEGADAS MEJOR QUE NUNCA......!!!!</t>
  </si>
  <si>
    <t>M. 90%, 95% y Tope, 32-32-31-30</t>
  </si>
  <si>
    <t>M desde abajo, crono (15 y 25)</t>
  </si>
  <si>
    <t>15+V.+15</t>
  </si>
  <si>
    <t>M con buceo de 10m minimo</t>
  </si>
  <si>
    <t>M lleg. Perf. T. en 15,25,35,45,50</t>
  </si>
  <si>
    <t>1pala y 1 aleta cruzadas Cr,</t>
  </si>
  <si>
    <t xml:space="preserve"> ESTILOS</t>
  </si>
  <si>
    <t>suave</t>
  </si>
  <si>
    <t xml:space="preserve">1 a CR, 3br. 1 a 3 estilos y 50 M </t>
  </si>
  <si>
    <t>7(15,5 puños 12,5N....)y 7(12,5 dedos...)</t>
  </si>
  <si>
    <t>1 piernas de M + 1 C</t>
  </si>
  <si>
    <t>M 2 con pb.2 sin ..crono 15m (20mTOPE)</t>
  </si>
  <si>
    <t>M. 20m tope 10m suave 20m a tope</t>
  </si>
  <si>
    <t>palas peq.</t>
  </si>
  <si>
    <t>sin palas</t>
  </si>
  <si>
    <t>M. 20m tope 10m suave 20m a 95%</t>
  </si>
  <si>
    <t>espalda con pull en cabeza</t>
  </si>
  <si>
    <t>NOS  largos  buceos, 2 resp/larg</t>
  </si>
  <si>
    <t>X INVERSOS, 1nor,+2 otro batido</t>
  </si>
  <si>
    <t>Maq. Res. Alto pesp</t>
  </si>
  <si>
    <t>goma resistida / asistida TOPE</t>
  </si>
  <si>
    <t>100,75,50,25,y25,50,75,100 C,B,E,M</t>
  </si>
  <si>
    <t>30m a 3 resp, 20 al gusto</t>
  </si>
  <si>
    <t>M. aletas  95% y Tope,   25 sub</t>
  </si>
  <si>
    <t>M. aletas 100% y Tope,   15 sub</t>
  </si>
  <si>
    <t>M. aletas 100% y Tope,   10 sub</t>
  </si>
  <si>
    <t>M. al 95% una con emp, otra llegada</t>
  </si>
  <si>
    <t>TECNICA tres estilos,sin BRAZA</t>
  </si>
  <si>
    <t>M. 30m al 95% + 20m llegada, ipox.</t>
  </si>
  <si>
    <t>M. 14m sub. + 16nad.</t>
  </si>
  <si>
    <t>M. 20m sub. +10nad.</t>
  </si>
  <si>
    <t>M. 30m tope + 20m., 7 nad. + 5 a pi</t>
  </si>
  <si>
    <t>RESISTIR !!</t>
  </si>
  <si>
    <t>M. 2 a 1 br., 2 a 2,2 a 3, 2 a 4 ......</t>
  </si>
  <si>
    <t>M. con aletas y 3 kg de plomos</t>
  </si>
  <si>
    <t>2 Pienas de M +3 nad M.  TOPE</t>
  </si>
  <si>
    <t>1 Pienas de M +2 nad M. + 1 pier.M.</t>
  </si>
  <si>
    <t>M. nadar a tope</t>
  </si>
  <si>
    <t xml:space="preserve">20 sub. + 30 nad + 15sub +15 nad </t>
  </si>
  <si>
    <t>15+35+15+15</t>
  </si>
  <si>
    <t>MARIPOSA CON BAÑADOR LARGO</t>
  </si>
  <si>
    <t>PONERSE EL LARGO</t>
  </si>
  <si>
    <t>VARIANDO ( CALENT.DE COMP)</t>
  </si>
  <si>
    <t>,-50-40</t>
  </si>
  <si>
    <t>CON SALIDA AL 95%</t>
  </si>
  <si>
    <t>,-2X50-3X40</t>
  </si>
  <si>
    <t>CON SALIDA AL 100%</t>
  </si>
  <si>
    <t>LIBRE al gusto</t>
  </si>
  <si>
    <t>estudio de virajes</t>
  </si>
  <si>
    <t>asistidos</t>
  </si>
  <si>
    <t>2 Estilos salida de abajo . Y 2 brazadas</t>
  </si>
  <si>
    <t>,-60-50</t>
  </si>
  <si>
    <t>,-2X60-3X50</t>
  </si>
  <si>
    <t>( desc. 40-35-30-25-20-15-10 ) ESPAL.</t>
  </si>
  <si>
    <t>( des. 40-35-30-25-20-15-10 )MAR.</t>
  </si>
  <si>
    <t>PIERNAS buceos largos</t>
  </si>
  <si>
    <t>Est. Inver. Ba. atip.</t>
  </si>
  <si>
    <t>4 br.M con pull + 4 piern M.</t>
  </si>
  <si>
    <t>,-40-30</t>
  </si>
  <si>
    <t>,-2X40-3X30</t>
  </si>
  <si>
    <t>Marip.</t>
  </si>
  <si>
    <t>(comp.) o Interv. Verdes</t>
  </si>
  <si>
    <t xml:space="preserve">Salida, con peso adicional  </t>
  </si>
  <si>
    <t>Calentamiento C,E X,M</t>
  </si>
  <si>
    <t>TCA.</t>
  </si>
  <si>
    <t>BRAZS, Pull. Palas</t>
  </si>
  <si>
    <t>PIES, con tabla</t>
  </si>
  <si>
    <t>AER. CRAWLL</t>
  </si>
  <si>
    <t>Calentamiento 2C,2B, 2E,2M</t>
  </si>
  <si>
    <t>AER. CRAWLL, neg. Cada 1:40</t>
  </si>
  <si>
    <t>Calentam.con aletas C,E X,M (b pies m)</t>
  </si>
  <si>
    <t xml:space="preserve">TCA. Con palas </t>
  </si>
  <si>
    <t xml:space="preserve">PIES, con tabla y aletas </t>
  </si>
  <si>
    <t>AER. CRAWLL negativo dentro del 100</t>
  </si>
  <si>
    <t>Calentamiento 2C,2B, 2E,2M, con PULL</t>
  </si>
  <si>
    <t>TCA. Cada 3 una con puños cerrados</t>
  </si>
  <si>
    <t>AER. CRAWLL, una C , una E alternando</t>
  </si>
  <si>
    <t>con Aletas,  M y C alternando cada 100</t>
  </si>
  <si>
    <t>Calentamiento 2C,2B, 2E,2M, con Pal. Pequ.</t>
  </si>
  <si>
    <t>TCA. , con aletas</t>
  </si>
  <si>
    <t xml:space="preserve"> CRAWLL negativo dentro del 100</t>
  </si>
  <si>
    <t>8 sin y 8 con aletas SUBMARINAS</t>
  </si>
  <si>
    <t>Con alet, a M, 6x (25 polo+25n.- 25 izq. + 25 n.- 25 der+25n)</t>
  </si>
  <si>
    <t xml:space="preserve">Aerobico 2-3e UMBRAL </t>
  </si>
  <si>
    <t>Entrenos tecnicos Virajes/Salidas/Legadas</t>
  </si>
  <si>
    <r>
      <t xml:space="preserve">salida antes del 15, </t>
    </r>
    <r>
      <rPr>
        <b/>
        <sz val="8"/>
        <rFont val="Arial"/>
        <family val="2"/>
      </rPr>
      <t>N y viraje,</t>
    </r>
    <r>
      <rPr>
        <sz val="8"/>
        <rFont val="Arial"/>
        <family val="2"/>
      </rPr>
      <t xml:space="preserve"> buceo 15m (OBJETIVO velocidad+crono+nº de bra.)</t>
    </r>
  </si>
  <si>
    <t>IDEM CON LOS OJOS CERRADOS</t>
  </si>
  <si>
    <t>IDEM CON LOS OJOS ABIERTOS</t>
  </si>
  <si>
    <t>IDEM, ( tiem. de manos a pies) nado suave</t>
  </si>
  <si>
    <t>MARIP.</t>
  </si>
  <si>
    <t>Prog. Cad 2</t>
  </si>
  <si>
    <t>90%a100%- ( Objetivo empuje, hay que tomar 15m,10m y buc 15)</t>
  </si>
  <si>
    <t>Espald</t>
  </si>
  <si>
    <r>
      <t>salida antes del 15, N y viraje,</t>
    </r>
    <r>
      <rPr>
        <sz val="8"/>
        <color theme="0"/>
        <rFont val="Arial"/>
        <family val="2"/>
      </rPr>
      <t xml:space="preserve"> PARO (OBJETIVO velocidad GIRO con y sin fat.).)</t>
    </r>
  </si>
  <si>
    <t>Croll , braz. la y baja frec. VIRAJES! a M</t>
  </si>
  <si>
    <t>Lactato 1 (1)</t>
  </si>
  <si>
    <t>Lactato 2</t>
  </si>
  <si>
    <t>mariposa,  Sopla -aire</t>
  </si>
  <si>
    <t>mariposa, sopla sopla aire</t>
  </si>
  <si>
    <t>mariposa, sopla sopla sopla aire</t>
  </si>
  <si>
    <t>Mariposa sopla sopla aire</t>
  </si>
  <si>
    <t>Ejercicio lactato 3</t>
  </si>
  <si>
    <t>SINSALIDA pierna de M. con aletas</t>
  </si>
  <si>
    <t>25+25+25, (2 a M. con sal) (2 a M sin sal)</t>
  </si>
  <si>
    <t>400 C+200 B+100 E(gris)+100 M (A.cla.)</t>
  </si>
  <si>
    <t>Mariposa con sal. buceados enteros</t>
  </si>
  <si>
    <t>25+25 M, buceo 16,15,14,13 en salida</t>
  </si>
  <si>
    <t>25+25 M buceo 14m todas , en salida</t>
  </si>
  <si>
    <t>SALIDAS DE Maripòsa</t>
  </si>
  <si>
    <t>LLEGADAS DE Mariposa</t>
  </si>
  <si>
    <t>CON SALIDA Y TODO a porm 12" todas</t>
  </si>
  <si>
    <t>RITMO, por debajo de 33 discip. Resp.</t>
  </si>
  <si>
    <t xml:space="preserve">Pesas, Maider hercolina de velocidad </t>
  </si>
  <si>
    <t>C. buceos a M.16m s.+ 11m v.</t>
  </si>
  <si>
    <t>50+25, (2 A Crw. sin sal) (2 A M sin sal)</t>
  </si>
  <si>
    <t>25+25 Crw</t>
  </si>
  <si>
    <t>Brazos de mariposa con pull suave</t>
  </si>
  <si>
    <t>Tecnica de virajes</t>
  </si>
  <si>
    <t>Estilo propio ( )</t>
  </si>
  <si>
    <t>Con aletas, crw. A TOPE</t>
  </si>
  <si>
    <t>25+25+12,5+12,5 Crw.. 6m buc.+4 m con v.</t>
  </si>
  <si>
    <t>Mariposa, suave disc. Resp.</t>
  </si>
  <si>
    <t>25+25, (  TOPE) Crw..</t>
  </si>
  <si>
    <t>DISTANCIA EQUIV.</t>
  </si>
  <si>
    <t>TIEMP. DE ACCION</t>
  </si>
  <si>
    <t>SAL TOS</t>
  </si>
  <si>
    <t xml:space="preserve">BICHOS </t>
  </si>
  <si>
    <t>3 COSAS. 6 SER. 10 REP.</t>
  </si>
  <si>
    <t>mas</t>
  </si>
  <si>
    <t>E CON SALIDA Y BUEN BUCEO</t>
  </si>
  <si>
    <t xml:space="preserve">BRAZOS PALAS, PULL </t>
  </si>
  <si>
    <t>*</t>
  </si>
  <si>
    <t>**</t>
  </si>
  <si>
    <t>Trabajo de las llegadas</t>
  </si>
  <si>
    <t>Velocidad cualitativa los ultimos 15m</t>
  </si>
  <si>
    <t>lo mismo a tope 10 ultimos metros</t>
  </si>
  <si>
    <t>Medir frecuencia de brazadas   en la llegada  ( Mano 1,2 y llega completas) ( Llega siempre con la misma manio?)</t>
  </si>
  <si>
    <t>Estudio del Hipoxico, calcular pared</t>
  </si>
  <si>
    <t>Estudio de las brazadas completas en los ultimos 5 m  y su tiempo, ( hacer grafica, f´=0)</t>
  </si>
  <si>
    <t>calcular la funcion t= (f,amplitud)</t>
  </si>
  <si>
    <t>series</t>
  </si>
  <si>
    <t>Toque maximo con manos abajo y fuerza pies empuje  ( Calculo de la presion)</t>
  </si>
  <si>
    <t>de</t>
  </si>
  <si>
    <t>Ejer.2.-</t>
  </si>
  <si>
    <t>Ejer.1.-</t>
  </si>
  <si>
    <t>Ejer.3.-</t>
  </si>
  <si>
    <t>Ejer.4.-</t>
  </si>
  <si>
    <t>Ejer.5.-</t>
  </si>
  <si>
    <t>Ejer.6.-</t>
  </si>
  <si>
    <t>CALENTAMIENTO, SALTOS Y ASISTIDOS</t>
  </si>
  <si>
    <t>SPA</t>
  </si>
  <si>
    <t xml:space="preserve"> Cuidando la brazada larga y profunda</t>
  </si>
  <si>
    <t>Masaje Preparación Psicologica y extrategia</t>
  </si>
  <si>
    <t xml:space="preserve"> E. Este es un ejercicio para aguantar los ultimos 10m, ojo al descanso</t>
  </si>
  <si>
    <t>M.Este es un ejercicio de producción de lactato, vital hacer bien el descanso</t>
  </si>
  <si>
    <t xml:space="preserve"> insistiendo en la tecnica, aunque te pares PLOMOS</t>
  </si>
  <si>
    <t>10+10+10+10 CADA 10 PROGRESIVAS, DESC. AUMENTAMOS 15 SEGUNDOS CADA 10</t>
  </si>
  <si>
    <t xml:space="preserve">Salida, </t>
  </si>
  <si>
    <t>MARIPÒSA ( tec. Del 1ER 50.)</t>
  </si>
  <si>
    <t>10 +10 BUCEOS  Mariposa +Espalda EMPUJE</t>
  </si>
  <si>
    <t>CLENTAMIENTO DE COMPETICION</t>
  </si>
  <si>
    <t xml:space="preserve">1/2h.    </t>
  </si>
  <si>
    <t xml:space="preserve"> M( t de tramos ) ( S,14.5 N, 10,5)  y( N15 Vir 5+5) </t>
  </si>
  <si>
    <t xml:space="preserve">Nadar, </t>
  </si>
  <si>
    <t>200+200</t>
  </si>
  <si>
    <t>400+400</t>
  </si>
  <si>
    <t>50 rapido 50 largo etc. A crawll</t>
  </si>
  <si>
    <t>Esprines, variando Marip, 10 CON PLOMOS</t>
  </si>
  <si>
    <t>brazos mariposa con 3 brazadas sin resp. ( pull)</t>
  </si>
  <si>
    <t>tubo doble, cabeza baja</t>
  </si>
  <si>
    <t>25+25 Mariposa</t>
  </si>
  <si>
    <t>60 min</t>
  </si>
  <si>
    <t>5 veces</t>
  </si>
  <si>
    <t>Con gomas en progresivo 20 seg paro 20 seg y super rapido 10 seg</t>
  </si>
  <si>
    <t>Descanso entre cada una 1 minuto</t>
  </si>
  <si>
    <t>N.</t>
  </si>
  <si>
    <t>5 series</t>
  </si>
  <si>
    <t>Tiempo de la serie= 5 min</t>
  </si>
  <si>
    <t>Tiemopo de descansos 4 minutos</t>
  </si>
  <si>
    <t>45 min</t>
  </si>
  <si>
    <t>1H 45 min,</t>
  </si>
  <si>
    <t>Mariposa 5 metros finales Hipoxico</t>
  </si>
  <si>
    <t>25+25+25+( 10+5), 5 m. finales Hipoxico</t>
  </si>
  <si>
    <t>( 15+10)</t>
  </si>
  <si>
    <t>Esprines, variando 4 estilos, 5m.F. Hipox.</t>
  </si>
  <si>
    <t>Mariposa _crawll 25+25; 5 m. finales Hipoxico</t>
  </si>
  <si>
    <t>25+25+25 Ep,salir en 25 y  5m.F. Hipox.</t>
  </si>
  <si>
    <t>Esprines, variando estilos,  5m.F. Hipox.</t>
  </si>
  <si>
    <t>TOPE CRONO !!!!!,  5m.F. Hipox.</t>
  </si>
  <si>
    <t>200+400+200+400 , 5m.F. HiPx.(CADA DIST)</t>
  </si>
  <si>
    <t>haciendo 3 estilos cada 350, (50+100+200)</t>
  </si>
  <si>
    <t>E 2 con pb. 2 sin ......crono 15m</t>
  </si>
  <si>
    <t>NOS, variando angulos. 0,45,90,135,180 gr.</t>
  </si>
  <si>
    <t xml:space="preserve">variando cosas y tecnica, medir llagadas </t>
  </si>
  <si>
    <t>Espalda, llegada en rojo</t>
  </si>
  <si>
    <t>TEST PR. DE Mar 50 con viraj.  5m.F. Hipox.</t>
  </si>
  <si>
    <t>4 bra. Pull y palas goma en pies</t>
  </si>
  <si>
    <t>bazos con palas, o E. DE tecnica, M</t>
  </si>
  <si>
    <t>crawll tecnicos ( Tot INM.)</t>
  </si>
  <si>
    <t>NOS  largos  buceos, solo 2 resp/larg</t>
  </si>
  <si>
    <t>M. 5m viraje + 12m buceo y 10  hipox.</t>
  </si>
  <si>
    <t>Estilos, cambios en rojo</t>
  </si>
  <si>
    <t>(20+20)M. 3 Salidas y 3 llegadas</t>
  </si>
  <si>
    <t xml:space="preserve"> M.15m sub. 15m  nadar,con  salidas</t>
  </si>
  <si>
    <t xml:space="preserve"> M.15m sub. 15m  nadar, con  llegadas </t>
  </si>
  <si>
    <t>3 Pi. Sub., 2 L pull, 2 nadar L</t>
  </si>
  <si>
    <t>ESTILOS INVERSOS PROGRESIVOS</t>
  </si>
  <si>
    <t>Ent. AGUANTE ( descanso 40-35-30-25-20-15-10 )</t>
  </si>
  <si>
    <t>MUY progres. 25 (Gris), 25 (Gris), 50 tope</t>
  </si>
  <si>
    <t xml:space="preserve">25 C +25M seguido </t>
  </si>
  <si>
    <t>M *((25+25)+ (25+25+25)+ (25+25+25+25)+ (25+25+25+25+25+)+ (25+25+25+25+25+25))</t>
  </si>
  <si>
    <t>Piernas de Crawll a tope</t>
  </si>
  <si>
    <t>MARIPOSA , RESPIRANDO CADA 4</t>
  </si>
  <si>
    <r>
      <t>Mariposa</t>
    </r>
    <r>
      <rPr>
        <b/>
        <sz val="8"/>
        <color rgb="FFFF0000"/>
        <rFont val="Arial"/>
        <family val="2"/>
      </rPr>
      <t xml:space="preserve"> piernas Submarinas </t>
    </r>
  </si>
  <si>
    <t>M*((25+25)+(25+25+25)+(25+25+25+25)+(25+25+25+25+25+)+(25+25+25+25+25+25))</t>
  </si>
  <si>
    <t>M *(50+25)+ (25+25+25)+ (12,5+25+37,5+50+25)</t>
  </si>
  <si>
    <t>50L+25E+25Esp+12,5M+12,5M+12,5M+12,5M+4X12,5 L, LAS M EN ROJO</t>
  </si>
  <si>
    <t>BRAZOS PALAS, PULL Y GOMA CRALL</t>
  </si>
  <si>
    <t>libre</t>
  </si>
  <si>
    <t>£</t>
  </si>
  <si>
    <t>Anterior</t>
  </si>
  <si>
    <t xml:space="preserve">tiempo en segundos </t>
  </si>
  <si>
    <t>Actual</t>
  </si>
  <si>
    <t xml:space="preserve">coeficiente de mejora </t>
  </si>
  <si>
    <t>Prueba</t>
  </si>
  <si>
    <t>estilo</t>
  </si>
  <si>
    <t>velocidad media</t>
  </si>
  <si>
    <t>LO QUE LLAMAN en%</t>
  </si>
  <si>
    <t>Entrenos a  ritmos de prueba en 50m</t>
  </si>
  <si>
    <t>Salida@30" +15conV y15@25"y 25m @20"+15llegada</t>
  </si>
  <si>
    <t>Quinta</t>
  </si>
  <si>
    <t>1 X Comoda</t>
  </si>
  <si>
    <t>Crawll, sentir el deslizamiento</t>
  </si>
  <si>
    <r>
      <t>Con salida@30"+</t>
    </r>
    <r>
      <rPr>
        <b/>
        <sz val="8"/>
        <color theme="3"/>
        <rFont val="TimesNewRomanPS"/>
      </rPr>
      <t>(15 conV y 10)@25"</t>
    </r>
    <r>
      <rPr>
        <b/>
        <sz val="8"/>
        <rFont val="TimesNewRomanPS"/>
        <family val="1"/>
      </rPr>
      <t xml:space="preserve"> +</t>
    </r>
    <r>
      <rPr>
        <b/>
        <sz val="8"/>
        <color rgb="FF7030A0"/>
        <rFont val="TimesNewRomanPS"/>
      </rPr>
      <t>25m@20"</t>
    </r>
    <r>
      <rPr>
        <b/>
        <sz val="8"/>
        <rFont val="TimesNewRomanPS"/>
        <family val="1"/>
      </rPr>
      <t>+</t>
    </r>
    <r>
      <rPr>
        <b/>
        <sz val="8"/>
        <color rgb="FFFF0000"/>
        <rFont val="TimesNewRomanPS"/>
      </rPr>
      <t>15llegada</t>
    </r>
  </si>
  <si>
    <t xml:space="preserve">Salida, con peso adicional </t>
  </si>
  <si>
    <t>4((pull,palas y goma)(CRAWLL</t>
  </si>
  <si>
    <t xml:space="preserve">4 pies sin tabla (M ) sin + repetir con aletas </t>
  </si>
  <si>
    <t>Al gusto</t>
  </si>
  <si>
    <t xml:space="preserve">Estilos, con piernas cambiadas de estilo,200 </t>
  </si>
  <si>
    <t>30m ejerc. 2x1 braz+2x otr + 2 ( puños) ,200</t>
  </si>
  <si>
    <t>6 con Pull+6 CON PALAS+6 NADAR, crawll</t>
  </si>
  <si>
    <t>300 M punto semimuerto,deslizamiento cabeza baja</t>
  </si>
  <si>
    <t>Crawll y salida y volver arrancada</t>
  </si>
  <si>
    <t>Ent del 100 ( descanso 40-35-30 ) Mariposa</t>
  </si>
  <si>
    <t>75+ 50 15 buceos largos, CRAWLL</t>
  </si>
  <si>
    <t>Estilos C.E.B.</t>
  </si>
  <si>
    <t>croll CON PULL Y Palas</t>
  </si>
  <si>
    <t>Esprines de Mariposa</t>
  </si>
  <si>
    <t>NADAR E + PIERNAS M</t>
  </si>
  <si>
    <t>Crawll + piernas de Mariposa</t>
  </si>
  <si>
    <t>Mariposa con salida, vuelta arrancada y Ll</t>
  </si>
  <si>
    <r>
      <t xml:space="preserve">M.  ( 35+35+35 ) </t>
    </r>
    <r>
      <rPr>
        <b/>
        <sz val="8"/>
        <color rgb="FFFF0000"/>
        <rFont val="Arial"/>
        <family val="2"/>
      </rPr>
      <t>VIR</t>
    </r>
    <r>
      <rPr>
        <b/>
        <sz val="8"/>
        <rFont val="Arial"/>
        <family val="2"/>
      </rPr>
      <t>. Salir de donde  llega</t>
    </r>
  </si>
  <si>
    <t>Final</t>
  </si>
  <si>
    <t>Calentamiento 2C,2B, 2E,2M  ( 10" entre)</t>
  </si>
  <si>
    <t>Ent del 100 ( descansoS 40-35-30 )</t>
  </si>
  <si>
    <t>90%a100%( Obj- empuje, hay que tomar 15m,10m y buc15)</t>
  </si>
  <si>
    <t>$$$$E</t>
  </si>
  <si>
    <t>££</t>
  </si>
  <si>
    <t>Con salida, tiempos cada 5m, al 95%</t>
  </si>
  <si>
    <t>salir del 25 + viraje , tiempos 100%</t>
  </si>
  <si>
    <t>25m con llegada al 100%</t>
  </si>
  <si>
    <t>.</t>
  </si>
  <si>
    <t>negativo 100C y 50 M Seguido</t>
  </si>
  <si>
    <t>25+25, buc.16+9con salid.y14+11sin.</t>
  </si>
  <si>
    <t>Crawll en negativo</t>
  </si>
  <si>
    <t>ALETAS</t>
  </si>
  <si>
    <t>CALENTAMIENTO DE COMPETICION</t>
  </si>
  <si>
    <t>TiempoS CONSIDERADOS EN PISCINA Larga</t>
  </si>
  <si>
    <t>M. Frac. Sal.15+10+10+5 ( lleg.)</t>
  </si>
  <si>
    <t>arrancadas ,Sal.15+10+10+5 ( lleg.)</t>
  </si>
  <si>
    <t>SINSALIDA Mariposa</t>
  </si>
  <si>
    <t>Estilos sin Mariposa</t>
  </si>
  <si>
    <t>VIAJE</t>
  </si>
  <si>
    <t>2M, 2C, salida y crono</t>
  </si>
  <si>
    <t>MARIPOSA, SALIDA + HIPOSICAS</t>
  </si>
  <si>
    <t>Palas pequeñas</t>
  </si>
  <si>
    <t>25+25+25 Ep,salir en 25 y  5 m.F. Hipox.</t>
  </si>
  <si>
    <t>Mariposa _crawll 25 y 25; 5 m.finales Hipoxico</t>
  </si>
  <si>
    <t>Ejercicio F1 de tecnica, SIN-CON-SIN</t>
  </si>
  <si>
    <t>Ejercicio F2 de tecnica: PM. TRES PATADAS Y PMADELANTE 15m + 10m semimuerto</t>
  </si>
  <si>
    <t>Piernas submarinas  Mariposa</t>
  </si>
  <si>
    <t>Monoaleta</t>
  </si>
  <si>
    <t>Mariposa 7 metros finales Hipoxico</t>
  </si>
  <si>
    <t>Ejercicio F2 de tecnica, SIN-CON-SIN</t>
  </si>
  <si>
    <t>Crawll progresivos cada 2</t>
  </si>
  <si>
    <t>Alet Peq.</t>
  </si>
  <si>
    <t>Pal peq.</t>
  </si>
  <si>
    <t>EN LARGA</t>
  </si>
  <si>
    <t>monsihay</t>
  </si>
  <si>
    <t>MEDIA</t>
  </si>
  <si>
    <t>calentam. Competicion</t>
  </si>
  <si>
    <t>pier. de M con Tabla, MonoA. (core)</t>
  </si>
  <si>
    <t>bazos con palas,  DE tecnica M</t>
  </si>
  <si>
    <t>baz.con sin con, tecnicas F1yF2 , M</t>
  </si>
  <si>
    <t>PAL.peq.</t>
  </si>
  <si>
    <t>NOS largos con y sin, solo 2 resp/larg</t>
  </si>
  <si>
    <t>EN corta</t>
  </si>
  <si>
    <t>estilos ( 32*12,5)</t>
  </si>
  <si>
    <t>VIAJE A SABADELL</t>
  </si>
  <si>
    <t>SA</t>
  </si>
  <si>
    <t>BA</t>
  </si>
  <si>
    <t>DO</t>
  </si>
  <si>
    <t>MI</t>
  </si>
  <si>
    <t>CALENTAMIENTO</t>
  </si>
  <si>
    <t>Salida</t>
  </si>
  <si>
    <t>del 15 al 50+ vuelta, 25 lanzada</t>
  </si>
  <si>
    <t>Segundo 50 a 33</t>
  </si>
  <si>
    <t>Piernas submarinas  Mariposa) ®espirar 2veces</t>
  </si>
  <si>
    <t xml:space="preserve">M CON VIRAJE Y BUEN BUCEO ( 3 A 33) </t>
  </si>
  <si>
    <t>4X E CON SALIDA Y BUEN BUCEO ( 2 A 34) Y 4X M CON VIRAJE Y BUEN BUCEO ( A 34)</t>
  </si>
  <si>
    <t xml:space="preserve">E CON SALIDA Y BUEN BUCEO ( 2 A 36) </t>
  </si>
  <si>
    <t xml:space="preserve">E CON SALIDA Y BUEN BUCEO ( 2 A 34) </t>
  </si>
  <si>
    <t>RITMO</t>
  </si>
  <si>
    <t>DE</t>
  </si>
  <si>
    <t xml:space="preserve"> 0:00:32</t>
  </si>
  <si>
    <t>OB. SI</t>
  </si>
  <si>
    <t>OB. NO</t>
  </si>
  <si>
    <t>SI OBJETIVO, NO SE HA CUMPLIDO</t>
  </si>
  <si>
    <t>NADAR CON mono ALETAS cada 2, 25m a M</t>
  </si>
  <si>
    <t>MONOA</t>
  </si>
  <si>
    <t>CORRECCIÓN DE ESTILO, tecnicas</t>
  </si>
  <si>
    <t>25+25 TOPE TOPE TOPE, M</t>
  </si>
  <si>
    <t xml:space="preserve">E CON SALIDA Y BUEN BUCEO ( 3 A 37) </t>
  </si>
  <si>
    <t xml:space="preserve">Piernas  FURTES EN M </t>
  </si>
  <si>
    <t>25+25  Mariposa)</t>
  </si>
  <si>
    <t>tope M</t>
  </si>
  <si>
    <t>Estudio de la prueba ( 3 A crawll. Y 2 A M )</t>
  </si>
  <si>
    <t>CALENT. ESPECIFICO</t>
  </si>
  <si>
    <t xml:space="preserve">M CON SALIDA Y BUEN BUCEO ( 2 A 39) </t>
  </si>
  <si>
    <t xml:space="preserve">M CON SALIDA Y BUEN BUCEO ( 2 A 36) </t>
  </si>
  <si>
    <t xml:space="preserve">M CON SALIDA Y BUEN BUCEO ( 2 A 34) </t>
  </si>
  <si>
    <t xml:space="preserve">M SIN SALIDA Y BUEN BUCEO ( 1 A 32) </t>
  </si>
  <si>
    <t>25+25 'ESPALDA CON SALIDA</t>
  </si>
  <si>
    <t>25+25 'ESPALDA CON EMPUJE</t>
  </si>
  <si>
    <t xml:space="preserve"> 0:00:33</t>
  </si>
  <si>
    <t>25+25 M CON SALIDA</t>
  </si>
  <si>
    <t>25+25 MARIPOSA CON EMPUJE</t>
  </si>
  <si>
    <t xml:space="preserve">25+25 MARIPOSA CON SALIDA </t>
  </si>
  <si>
    <t>SIN sal. 25+25 - SI OBJETIVO CUMPLIDO E, SI NO M</t>
  </si>
  <si>
    <t>MARIPOSA -ESPALDA ALTERNANDO</t>
  </si>
  <si>
    <t xml:space="preserve"> M CON SALIDA</t>
  </si>
  <si>
    <t xml:space="preserve">MARIPOSA CON SALIDA </t>
  </si>
  <si>
    <t>Maquina de poleas R+A</t>
  </si>
  <si>
    <t>Mariposa sin respirar</t>
  </si>
  <si>
    <t>Mariposa , agusto y rapido</t>
  </si>
  <si>
    <t>25+25-Mariposa</t>
  </si>
  <si>
    <t>Crawll + espalda, (50+50)@5</t>
  </si>
  <si>
    <t>Libre ( Amarillo c+ gris) farlec</t>
  </si>
  <si>
    <t>Abr  ( All best repetition)</t>
  </si>
  <si>
    <t>CALENT</t>
  </si>
  <si>
    <t xml:space="preserve"> ESPECIFICO</t>
  </si>
  <si>
    <t>Esp.-1-(30@5"+20)Sal18m-espr.tope, 2,3,4 idem con emp.</t>
  </si>
  <si>
    <t>Marip.-1-(25@5"+25)Sal16m-espr.tope, 2,3 idem con emp.</t>
  </si>
  <si>
    <t>Esp.-1-(25@5"+25)Sal15m-espr.tope, 2,3 idem con emp.</t>
  </si>
  <si>
    <t>Marip.-1-(20@5"+30)Sal14m-espr.tope, 2 idem con emp.</t>
  </si>
  <si>
    <t>crol</t>
  </si>
  <si>
    <t>PROGRESIVAS  EN CADA 100 salida 16m  viraje 12m</t>
  </si>
  <si>
    <t>Espald.</t>
  </si>
  <si>
    <t>Mariposa, las 2 ultimas de cada 8 fuerte con llegada</t>
  </si>
  <si>
    <t>Especif.</t>
  </si>
  <si>
    <t xml:space="preserve"> '4M+4 PIERNAS CROL+4 ESPALDA  TOPE, CON SALIDA</t>
  </si>
  <si>
    <t>Marip</t>
  </si>
  <si>
    <t>Bronce</t>
  </si>
  <si>
    <t>TECNICAS  (Salida a respirar) y POLO altos</t>
  </si>
  <si>
    <t>buceos lanzada  frecuencia/ velocidad con mono</t>
  </si>
  <si>
    <t>buceos lanzada  frecuencia/ velocidad con aletas G</t>
  </si>
  <si>
    <t>buceos lanzada  frecuencia/ velocidad aletas peq.</t>
  </si>
  <si>
    <t>buceos lanzada asistida</t>
  </si>
  <si>
    <t>llegada hipoxica</t>
  </si>
  <si>
    <r>
      <t>es a tope, se convierte en azul, Por el agobio ,</t>
    </r>
    <r>
      <rPr>
        <b/>
        <sz val="10"/>
        <color rgb="FFFF0000"/>
        <rFont val="Arial"/>
        <family val="2"/>
      </rPr>
      <t xml:space="preserve"> </t>
    </r>
    <r>
      <rPr>
        <b/>
        <sz val="9"/>
        <color rgb="FFFF0000"/>
        <rFont val="Arial"/>
        <family val="2"/>
      </rPr>
      <t>DESC-  EXACTOS</t>
    </r>
  </si>
  <si>
    <t>velocidad , con tecnica del anterior</t>
  </si>
  <si>
    <t>velocidad entre marcas, lanzada espalda</t>
  </si>
  <si>
    <t xml:space="preserve"> 100%</t>
  </si>
  <si>
    <r>
      <t xml:space="preserve">(50C+50M+50C) </t>
    </r>
    <r>
      <rPr>
        <b/>
        <sz val="8"/>
        <color theme="0"/>
        <rFont val="Arial"/>
        <family val="2"/>
      </rPr>
      <t>aletas y resp. cada 3</t>
    </r>
    <r>
      <rPr>
        <b/>
        <sz val="8"/>
        <rFont val="Arial"/>
        <family val="2"/>
      </rPr>
      <t xml:space="preserve"> EN LA MARIp.</t>
    </r>
  </si>
  <si>
    <t>Buscar perfeccion</t>
  </si>
  <si>
    <t xml:space="preserve">M CON SALIDA Y BUEN BUCEO </t>
  </si>
  <si>
    <t xml:space="preserve">M SIN SALIDA Y BUEN BUCEO ( 1 A 30) </t>
  </si>
  <si>
    <t>Mariposa CON EMPUJE</t>
  </si>
  <si>
    <t xml:space="preserve">Eliminaorias </t>
  </si>
  <si>
    <t>Final Sexta</t>
  </si>
  <si>
    <t>crawll , total inmersión, 5x4 ejer.</t>
  </si>
  <si>
    <t>Aprendizaje de braza</t>
  </si>
  <si>
    <t>M. piernas subm., con aletas 3 EST.</t>
  </si>
  <si>
    <t>Esprines, variando LLEGADAS</t>
  </si>
  <si>
    <t>Gimnasio</t>
  </si>
  <si>
    <t>Mariposa _crawll 25+25</t>
  </si>
  <si>
    <t xml:space="preserve">e.p. CON PALAS Y ALETAS </t>
  </si>
  <si>
    <t>ESPALDA 25+25</t>
  </si>
  <si>
    <t>Estudio de ANAEROBICOS</t>
  </si>
  <si>
    <t>Estimulación de encimas</t>
  </si>
  <si>
    <t xml:space="preserve"> CREATIN FOSFOQUINASA- ANA.ALAC-</t>
  </si>
  <si>
    <t>GLUCOLITICAS -ANA. LACTICO</t>
  </si>
  <si>
    <t>6" buceo +6 brazadas--hasta que la vel. baje</t>
  </si>
  <si>
    <t>20"bra.a tope +3´suav.--hasta que la vel. Baje en las 20</t>
  </si>
  <si>
    <t xml:space="preserve">OXIDATIVAS- AEROBICO 2 y 3 </t>
  </si>
  <si>
    <t>OXIDATIVAS- AEROBICO 3 y cO2 max</t>
  </si>
  <si>
    <t>de (5 a 7 ser.)cO2 max 3´-3,5´-4´--hasta que la vel. baje</t>
  </si>
  <si>
    <t xml:space="preserve">NOS sin salir, lo que se pueda de 25 M y E </t>
  </si>
  <si>
    <t>Piernas de espalda con cortas</t>
  </si>
  <si>
    <t>50+100+150+450 TECNICA</t>
  </si>
  <si>
    <t>con tecnica muy buena 25C+25M</t>
  </si>
  <si>
    <t>100+400TECNICA</t>
  </si>
  <si>
    <t>Con aletas 2 C+2 M+2 E</t>
  </si>
  <si>
    <t>arrancada y nado Espalda</t>
  </si>
  <si>
    <t>con pull</t>
  </si>
  <si>
    <t>100+100 + 400 crawll</t>
  </si>
  <si>
    <t>20"a tope +3´.--hasta que la vel. Baje en las 20</t>
  </si>
  <si>
    <t>encimas oxid.</t>
  </si>
  <si>
    <t>Ep MAQU. resistidos , mariposa y espalda</t>
  </si>
  <si>
    <t>ANA-LAC.</t>
  </si>
  <si>
    <t>ANA_ALA</t>
  </si>
  <si>
    <t>con tecnica muy buena 75C+25M@10</t>
  </si>
  <si>
    <t>25NOS y seg. sss aire + 25NOS y seg con aletas 2 aire</t>
  </si>
  <si>
    <t>de (5 a 7 series.)cO2 max 3´-3,5´-4´--hasta que la vel. baje</t>
  </si>
  <si>
    <t>oxidativas</t>
  </si>
  <si>
    <t xml:space="preserve"> 3 estilos ,(2 C02 +1 azul), cada 3´azul</t>
  </si>
  <si>
    <t>Con palas grandes</t>
  </si>
  <si>
    <t>piernas de espalda a tope</t>
  </si>
  <si>
    <r>
      <t>300+</t>
    </r>
    <r>
      <rPr>
        <b/>
        <sz val="8"/>
        <color rgb="FF3366FF"/>
        <rFont val="Arial MT"/>
      </rPr>
      <t>200</t>
    </r>
    <r>
      <rPr>
        <b/>
        <sz val="8"/>
        <rFont val="Arial MT"/>
      </rPr>
      <t>+</t>
    </r>
    <r>
      <rPr>
        <b/>
        <sz val="8"/>
        <color theme="1" tint="0.499984740745262"/>
        <rFont val="Arial MT"/>
      </rPr>
      <t>100</t>
    </r>
    <r>
      <rPr>
        <b/>
        <sz val="8"/>
        <rFont val="Arial MT"/>
      </rPr>
      <t>+</t>
    </r>
    <r>
      <rPr>
        <b/>
        <sz val="8"/>
        <color rgb="FF3366FF"/>
        <rFont val="Arial MT"/>
      </rPr>
      <t>200</t>
    </r>
    <r>
      <rPr>
        <b/>
        <sz val="8"/>
        <rFont val="Arial MT"/>
      </rPr>
      <t>+</t>
    </r>
    <r>
      <rPr>
        <b/>
        <sz val="8"/>
        <color rgb="FFFFC000"/>
        <rFont val="Arial MT"/>
      </rPr>
      <t>100</t>
    </r>
    <r>
      <rPr>
        <b/>
        <sz val="8"/>
        <rFont val="Arial MT"/>
      </rPr>
      <t>+</t>
    </r>
    <r>
      <rPr>
        <b/>
        <sz val="8"/>
        <color rgb="FF3366FF"/>
        <rFont val="Arial MT"/>
      </rPr>
      <t>200+</t>
    </r>
    <r>
      <rPr>
        <b/>
        <sz val="8"/>
        <color rgb="FFFFC000"/>
        <rFont val="Arial MT"/>
      </rPr>
      <t>100</t>
    </r>
    <r>
      <rPr>
        <b/>
        <sz val="8"/>
        <rFont val="Arial MT"/>
      </rPr>
      <t>+</t>
    </r>
    <r>
      <rPr>
        <b/>
        <sz val="8"/>
        <color rgb="FFFF0000"/>
        <rFont val="Arial MT"/>
      </rPr>
      <t>50 Mariposa</t>
    </r>
  </si>
  <si>
    <t>pull y palas ( 2 M  3 (bra) + 4 E  +2 L,( 6 bra.))</t>
  </si>
  <si>
    <t>Nadar ( 2 M  3 (bra) + 4 E  +2 L,( 6 bra.))</t>
  </si>
  <si>
    <t>Piernas ( 2 M  3 (bra) + 4 E  +2 L,( 6 bra.))</t>
  </si>
  <si>
    <t xml:space="preserve">Piernas a tope  mariposa </t>
  </si>
  <si>
    <t>Piernas Marp. 25 seguido</t>
  </si>
  <si>
    <t>crol 2 por una a marip. Sin salida y llegada</t>
  </si>
  <si>
    <t>300+TECNICA 4</t>
  </si>
  <si>
    <t>Piernas ( 2 M, 3 bra + 4 E, cicl. +2 L, 6 bra.)</t>
  </si>
  <si>
    <t>MARIPOSA ARRANCADAS</t>
  </si>
  <si>
    <t>NOS sin salir, cada 25</t>
  </si>
  <si>
    <t>con tecnica muy buena</t>
  </si>
  <si>
    <t>nadando cada una en negativo</t>
  </si>
  <si>
    <t>Nadar, ver pulso y pulso +1</t>
  </si>
  <si>
    <t>CALENTAMIENTO SECO</t>
  </si>
  <si>
    <t>CONCENTRACION PSICOLOGICA</t>
  </si>
  <si>
    <t xml:space="preserve">PIERNAS </t>
  </si>
  <si>
    <t>Nota podemos Cambiar 1H por PROTOCOLO LACTATO</t>
  </si>
  <si>
    <t>Sabado</t>
  </si>
  <si>
    <t>15 MIN CATENTAMIENTO ACTIVO ( BICHOS)</t>
  </si>
  <si>
    <t>G</t>
  </si>
  <si>
    <t>15 MIN CATENTAMIENTO ACTIVO ( saltos)</t>
  </si>
  <si>
    <t>crawll resp cada 3/4</t>
  </si>
  <si>
    <t>1Pull C, 1Espalda, 1 aletas PM, 1 C</t>
  </si>
  <si>
    <t>Descanso entre sesiones de agua</t>
  </si>
  <si>
    <t>La cabeza mira al fondo antes te meter las manos</t>
  </si>
  <si>
    <t>Mariposa 1º desc 3´-2º desc 2´-3ºdesc 3´y 4º piernas sin tabla 15m sub cada 1´30"</t>
  </si>
  <si>
    <t>Espalda y crwll alternando, ¡¡¡gris no blanco!!!</t>
  </si>
  <si>
    <t>REGRESIVOS poco a poco de gris a blanco</t>
  </si>
  <si>
    <t>Baño</t>
  </si>
  <si>
    <t>CRAWL CON PALAS</t>
  </si>
  <si>
    <t xml:space="preserve"> con empuje E,C.M 15m sub. , import. Frec = 1º y 2º 25</t>
  </si>
  <si>
    <t>Mariposa, 20 al 95% y 5 a TOPE!!</t>
  </si>
  <si>
    <t>150 blanco y 150 gris</t>
  </si>
  <si>
    <t>piernas con aletas y sin aletas. mariposa</t>
  </si>
  <si>
    <t>con tecnica muy buena a BRAZA</t>
  </si>
  <si>
    <t>Mariposa,  a TOPE!!</t>
  </si>
  <si>
    <t>CRAWL CON PALAS, PEQUEÑAS</t>
  </si>
  <si>
    <t xml:space="preserve"> con empuje E,C.B 15m sub. , import. Frec = 1º y 2º 25</t>
  </si>
  <si>
    <t>Mariposa,45 al 95% y 5 a TOPE!!</t>
  </si>
  <si>
    <t>Tec. Itals de M y las amarillas nadar PERFECTO</t>
  </si>
  <si>
    <t>de media</t>
  </si>
  <si>
    <t>15-25-35-45</t>
  </si>
  <si>
    <t>hacer (15 salida-25 nadar-35pies-45nadar) M</t>
  </si>
  <si>
    <t>15-20-25-30-35-40-45-50</t>
  </si>
  <si>
    <t>hacer M super a tope ( 15m y 1:30 desc.....)!!!!</t>
  </si>
  <si>
    <t>Es un ejercicio de potencia puro</t>
  </si>
  <si>
    <t>O hacer dos sesiones, como os venga bien</t>
  </si>
  <si>
    <t>1/5/2021</t>
  </si>
  <si>
    <t>Domin</t>
  </si>
  <si>
    <t>lunes</t>
  </si>
  <si>
    <t>FIES</t>
  </si>
  <si>
    <t>TA</t>
  </si>
  <si>
    <t xml:space="preserve"> CREATIN FOSFOQUINASA- ANAEROBICO-ALACTICO  UNO A MARIPOSA Y EL OTRO AESPALDA</t>
  </si>
  <si>
    <t>15 MIN ESTIRAMIENTOS Y FLEXIBILIDAD</t>
  </si>
  <si>
    <t>todos 25@5</t>
  </si>
  <si>
    <t xml:space="preserve">MARIPOSA '25+25 </t>
  </si>
  <si>
    <t>CON SALIDA ( RECORD PERSONAL DE ANDORRA)</t>
  </si>
  <si>
    <t xml:space="preserve">RITMO, 1 M+1 C  </t>
  </si>
  <si>
    <t>ojo a este ejercicio, cada color se para 5" cada 25m y 20" cada color, pero hay que sacar 5 velocidades</t>
  </si>
  <si>
    <t>HAY QUE CONSEGUIR ESTOS TIEMPOS!!!</t>
  </si>
  <si>
    <t>hacer Crawll super a tope ( 15m y 1:30 desc.....)!!!!</t>
  </si>
  <si>
    <t>C. buceos a C.16m s.+ 11m v.</t>
  </si>
  <si>
    <t>Estilos  cada vez dejo uno en rueda</t>
  </si>
  <si>
    <t>25+25+12,5+12,5 Crawll</t>
  </si>
  <si>
    <t xml:space="preserve"> CON SALI.yLLEGAD. BUENAS a M</t>
  </si>
  <si>
    <t>5/5/2021</t>
  </si>
  <si>
    <t>mierc</t>
  </si>
  <si>
    <t xml:space="preserve">viernes </t>
  </si>
  <si>
    <t>Compe</t>
  </si>
  <si>
    <t>COMPETICION</t>
  </si>
  <si>
    <t>CALEENTAMIENTO</t>
  </si>
  <si>
    <t>Mariposa, todas iguales, entre 36 y 37</t>
  </si>
  <si>
    <t>C. palas y cada 100 ;  20m finales  a Mariposa</t>
  </si>
  <si>
    <t xml:space="preserve">Asistidos a Mariposa </t>
  </si>
  <si>
    <t>50+100+150</t>
  </si>
  <si>
    <t>NOS variados bucear lo mas  a 25 seguidos</t>
  </si>
  <si>
    <t>Nadar crawll, fuerte</t>
  </si>
  <si>
    <t>400+100</t>
  </si>
  <si>
    <t>Ejercicios de técnica de E.P.</t>
  </si>
  <si>
    <t>Mariposa uniforme</t>
  </si>
  <si>
    <r>
      <t xml:space="preserve">Piernas </t>
    </r>
    <r>
      <rPr>
        <b/>
        <sz val="8"/>
        <rFont val="Arial"/>
        <family val="2"/>
      </rPr>
      <t>MARIPOSA CON ALETAS</t>
    </r>
  </si>
  <si>
    <t>Piernas , BUCEADAS DE MARIP.</t>
  </si>
  <si>
    <t xml:space="preserve"> Piernas Espalda</t>
  </si>
  <si>
    <t>Espalda en N+mar+Crall+espalda en N</t>
  </si>
  <si>
    <t>Clasificación</t>
  </si>
  <si>
    <t>Semi -Final</t>
  </si>
  <si>
    <t>GRAN PRIX  open de  Gijon</t>
  </si>
  <si>
    <t>Saltos, ANGULOS DE ENTRADA</t>
  </si>
  <si>
    <t>MARIPOSA dos iguales, ESTILO PERFECT.</t>
  </si>
  <si>
    <t>1 A MARIPOSA,  1  ATAQUE DE BRAZA</t>
  </si>
  <si>
    <t>Ejercicios con técnica de ( salidas / llegadas)</t>
  </si>
  <si>
    <t>Tramo1</t>
  </si>
  <si>
    <t>Tramo 2</t>
  </si>
  <si>
    <t>Tramo 3</t>
  </si>
  <si>
    <t>tramo 4</t>
  </si>
  <si>
    <t>llegada</t>
  </si>
  <si>
    <t>Metros</t>
  </si>
  <si>
    <t>Teorico</t>
  </si>
  <si>
    <t>Record de Euskadi</t>
  </si>
  <si>
    <t>Ultimo en Anoeta, Saria 21</t>
  </si>
  <si>
    <t>Record de Euskadi 5/12/2020 en CASTELLON</t>
  </si>
  <si>
    <t>Marca del Gipuzkoa Saria recien salida del Covid 6/6/2021</t>
  </si>
  <si>
    <t xml:space="preserve">Salida </t>
  </si>
  <si>
    <t>Tanda 1</t>
  </si>
  <si>
    <t>tramo 1</t>
  </si>
  <si>
    <t>Tramo2</t>
  </si>
  <si>
    <t>tramo 3</t>
  </si>
  <si>
    <t>Tanda 2</t>
  </si>
  <si>
    <t>Tanda 3</t>
  </si>
  <si>
    <t>Tanda 4</t>
  </si>
  <si>
    <t>Tanda 5</t>
  </si>
  <si>
    <t>Tanda 6</t>
  </si>
  <si>
    <t>Tanda 7</t>
  </si>
  <si>
    <t>Tanda 8</t>
  </si>
  <si>
    <t>Tanda 9</t>
  </si>
  <si>
    <t>Tanda 10</t>
  </si>
  <si>
    <t>ejemplo</t>
  </si>
  <si>
    <t>Tramo de la salida</t>
  </si>
  <si>
    <t>Tramo 4</t>
  </si>
  <si>
    <t>llegadas</t>
  </si>
  <si>
    <t>EJEMPLOS</t>
  </si>
  <si>
    <t>Nadar CRAWLL</t>
  </si>
  <si>
    <t>Buceos DE MARIPOSA, respiramos 2 max.</t>
  </si>
  <si>
    <t>Buceos , M no respirar</t>
  </si>
  <si>
    <t>Arrancada y nado</t>
  </si>
  <si>
    <t xml:space="preserve">Estilos  pies </t>
  </si>
  <si>
    <t>75(80%)+50+50+25+25(95%) Crawll</t>
  </si>
  <si>
    <t>25+50+75 Braza-Crawll</t>
  </si>
  <si>
    <t>Estilo estilos</t>
  </si>
  <si>
    <t>75(80%)+50+50+25+25(95%) estilos</t>
  </si>
  <si>
    <t>25+50+75 Espalda- braza- crawll</t>
  </si>
  <si>
    <t>Acercamiento y viraje normal 3 a cada cambio</t>
  </si>
  <si>
    <t>LA TARDE EN PISCINA DE 25</t>
  </si>
  <si>
    <t>EN PISCINA DE 25</t>
  </si>
  <si>
    <t>Gimnasia de Mireia</t>
  </si>
  <si>
    <t>M **((12,5+12,5)+ (12,5+12,5+12,5+12,5)+(12,5+12,5+12.5+12,5+12,5+12,5)) todos los 12,5 sin respirar</t>
  </si>
  <si>
    <r>
      <t>Crawll,</t>
    </r>
    <r>
      <rPr>
        <b/>
        <sz val="8"/>
        <color rgb="FFFF0000"/>
        <rFont val="Arial"/>
        <family val="2"/>
      </rPr>
      <t xml:space="preserve"> los virajes de 15m y en rojo</t>
    </r>
  </si>
  <si>
    <t>MARIPOSA, CON ALETA IZQ. Y SOLO MANO DERECHA</t>
  </si>
  <si>
    <t>MARIPOSA, CON ALETA DERECHA Y SOLO MANO IZQ.</t>
  </si>
  <si>
    <t>MARIPOSA RESPIRANDO CADA TRES TODAS Y BUCEOS DE 13 M TODAS LAS V.</t>
  </si>
  <si>
    <t>CRAWLL, CON ALETA IZQ. Y PALA MANO DERECHA</t>
  </si>
  <si>
    <t>CRAWLL, CON ALETA DERECHA Y PALA  MANO IZQ.</t>
  </si>
  <si>
    <t>CRAWLL A TOPE</t>
  </si>
  <si>
    <t>Mariposa ( ALVARO CRAWLL)</t>
  </si>
  <si>
    <t xml:space="preserve">A) Maider </t>
  </si>
  <si>
    <t>CASA</t>
  </si>
  <si>
    <t>25+25 (2 A CROLL. con sal) (2 A M con sal)</t>
  </si>
  <si>
    <t>M  2 con pb. 2 sin  ( alternando) ......crono 15m</t>
  </si>
  <si>
    <t xml:space="preserve"> Nº de series </t>
  </si>
  <si>
    <t>CON SALIDA AL 100%.........37.....31.....25</t>
  </si>
  <si>
    <t>CON SALIDA AL 95%...........39---33---26</t>
  </si>
  <si>
    <t>M. TECNICA muy buena, disciplina de respir.</t>
  </si>
  <si>
    <t>PUESTA A PUNTO España G. Canarias</t>
  </si>
  <si>
    <r>
      <t xml:space="preserve">(50C+50M+50C) </t>
    </r>
    <r>
      <rPr>
        <b/>
        <sz val="8"/>
        <color theme="0"/>
        <rFont val="Arial"/>
        <family val="2"/>
      </rPr>
      <t xml:space="preserve"> con aletas y resp.cada 3</t>
    </r>
    <r>
      <rPr>
        <b/>
        <sz val="8"/>
        <rFont val="Arial"/>
        <family val="2"/>
      </rPr>
      <t xml:space="preserve"> EN LA M</t>
    </r>
  </si>
  <si>
    <t xml:space="preserve">Piernas E.P. </t>
  </si>
  <si>
    <t>Ent.reno del 100 POR TRAMOS. CON LARGO</t>
  </si>
  <si>
    <t>VIAJE A LAS PALMAS</t>
  </si>
  <si>
    <t>Camp. de ESPAÑA</t>
  </si>
  <si>
    <t>ELIM</t>
  </si>
  <si>
    <t>FIN</t>
  </si>
  <si>
    <t>LIBRE</t>
  </si>
  <si>
    <t>TOCAR AGUA</t>
  </si>
  <si>
    <t>COMPETICION 1</t>
  </si>
  <si>
    <t>VELOCIDAD PURA</t>
  </si>
  <si>
    <t>COMPETICION 2</t>
  </si>
  <si>
    <t>VELOCIDAD RESISTIDA</t>
  </si>
  <si>
    <t>..------------..-</t>
  </si>
  <si>
    <t>PRIMERA</t>
  </si>
  <si>
    <t>R.E</t>
  </si>
  <si>
    <t>CAMP. DE ESPAÑA</t>
  </si>
  <si>
    <t>OCTABA</t>
  </si>
  <si>
    <t>QUINTA</t>
  </si>
  <si>
    <t>A 8 cent. RE</t>
  </si>
  <si>
    <t>2021/2022</t>
  </si>
  <si>
    <t>FORTAlecimiento ENORME del CORE</t>
  </si>
  <si>
    <t>1 h</t>
  </si>
  <si>
    <t>Fuerza maquinas ( gimnasio)</t>
  </si>
  <si>
    <t>TEST , 100 ( progresiv)</t>
  </si>
  <si>
    <t>Porcentajes</t>
  </si>
  <si>
    <t>mariposa, c, 2-3-4- Cambio resp, cada 25</t>
  </si>
  <si>
    <t>12,5+12,5 TOPE TOPE TOPE, ( Mariposa)</t>
  </si>
  <si>
    <t>CROL SALIR, CADA 1m</t>
  </si>
  <si>
    <t>AD</t>
  </si>
  <si>
    <t>TOMA DE TIEMPOS Y CICLOS CADA 100</t>
  </si>
  <si>
    <t>Progresivas Crawll y apuntar ( corr. Resp der)</t>
  </si>
  <si>
    <t>Progresivas MARIPOSA , cada una y apuntar</t>
  </si>
  <si>
    <t>piernas sub. Con aleta de Sirena, ( 25m sin resp)</t>
  </si>
  <si>
    <t>Pier. de MA, sub.gris, con  aleta de sirena</t>
  </si>
  <si>
    <t>Progresivas espalda y apuntar  ( E.P.), cada una</t>
  </si>
  <si>
    <t>MARIPOSA, respirando cada 3 ( aguantar!!, discip))</t>
  </si>
  <si>
    <r>
      <t xml:space="preserve">Piernas submarinas  Mariposa), </t>
    </r>
    <r>
      <rPr>
        <sz val="8"/>
        <rFont val="Arial"/>
        <family val="2"/>
      </rPr>
      <t>sirena</t>
    </r>
  </si>
  <si>
    <t>SIRENA</t>
  </si>
  <si>
    <t>Mariposa con aletas ( Buceos largos)</t>
  </si>
  <si>
    <t>Salida normal y crono( Con salida Hincapié FASE 2)</t>
  </si>
  <si>
    <t>Salida c.peso y sin  ( Con salida Hincapié FASE 2)</t>
  </si>
  <si>
    <t>Espalda,  NO CABECEAR!!</t>
  </si>
  <si>
    <t>Mariposa , Con aletas, RESP. CADA 4 (3 no ,1 si)</t>
  </si>
  <si>
    <t>Mariposa, Con aletas</t>
  </si>
  <si>
    <t>Salidas fuertes (¡¡¡ Vigilar,Angulo de entrada!!!!)</t>
  </si>
  <si>
    <t xml:space="preserve">Nadar </t>
  </si>
  <si>
    <t xml:space="preserve">M. con aletas  3 kg plom. </t>
  </si>
  <si>
    <t>Piernas sub. mariposa con aleta sirena</t>
  </si>
  <si>
    <t xml:space="preserve">Braza </t>
  </si>
  <si>
    <t xml:space="preserve">Brazos, CON PALAS </t>
  </si>
  <si>
    <r>
      <t>"</t>
    </r>
    <r>
      <rPr>
        <b/>
        <sz val="8"/>
        <color theme="0"/>
        <rFont val="Arial MT"/>
      </rPr>
      <t>-5-</t>
    </r>
    <r>
      <rPr>
        <b/>
        <sz val="8"/>
        <color theme="0" tint="-0.249977111117893"/>
        <rFont val="Arial MT"/>
      </rPr>
      <t>15-25</t>
    </r>
    <r>
      <rPr>
        <b/>
        <sz val="8"/>
        <color theme="0" tint="-0.499984740745262"/>
        <rFont val="Arial MT"/>
      </rPr>
      <t>-</t>
    </r>
    <r>
      <rPr>
        <b/>
        <sz val="8"/>
        <color rgb="FFEBEDB1"/>
        <rFont val="Arial MT"/>
      </rPr>
      <t>30"-35"</t>
    </r>
    <r>
      <rPr>
        <b/>
        <sz val="8"/>
        <color indexed="8"/>
        <rFont val="Arial MT"/>
      </rPr>
      <t>-</t>
    </r>
    <r>
      <rPr>
        <b/>
        <sz val="8"/>
        <color rgb="FFFFFF00"/>
        <rFont val="Arial MT"/>
      </rPr>
      <t>40"-45"</t>
    </r>
    <r>
      <rPr>
        <b/>
        <sz val="8"/>
        <color indexed="8"/>
        <rFont val="Arial MT"/>
      </rPr>
      <t>-</t>
    </r>
    <r>
      <rPr>
        <b/>
        <sz val="8"/>
        <color rgb="FF00FF00"/>
        <rFont val="Arial MT"/>
      </rPr>
      <t>(25+25)</t>
    </r>
    <r>
      <rPr>
        <b/>
        <sz val="8"/>
        <color indexed="8"/>
        <rFont val="Arial MT"/>
      </rPr>
      <t>-</t>
    </r>
    <r>
      <rPr>
        <b/>
        <sz val="8"/>
        <color rgb="FF0000FF"/>
        <rFont val="Arial MT"/>
      </rPr>
      <t>1:00-1:10</t>
    </r>
    <r>
      <rPr>
        <b/>
        <sz val="8"/>
        <color indexed="8"/>
        <rFont val="Arial MT"/>
      </rPr>
      <t xml:space="preserve"> -</t>
    </r>
    <r>
      <rPr>
        <b/>
        <sz val="8"/>
        <color rgb="FFFF0000"/>
        <rFont val="Arial MT"/>
      </rPr>
      <t>1:30</t>
    </r>
    <r>
      <rPr>
        <b/>
        <sz val="8"/>
        <color indexed="8"/>
        <rFont val="Arial MT"/>
      </rPr>
      <t>-"</t>
    </r>
  </si>
  <si>
    <t>Salida normal MARIPOSA y filip. De abajo ( alter)</t>
  </si>
  <si>
    <t>Con Pull a 4 brazadas  ( ver Pulso)</t>
  </si>
  <si>
    <t>Piernas de Mariposa  ( ver Pulso)</t>
  </si>
  <si>
    <t xml:space="preserve">Piernas de M, virajes a 15m (Pulso) </t>
  </si>
  <si>
    <t xml:space="preserve">Braza, Con aletas Batido casi mariposa </t>
  </si>
  <si>
    <t>Pull C a tres brazadas  ( ver Pulso)</t>
  </si>
  <si>
    <t>MARTES</t>
  </si>
  <si>
    <t>MIERCOLES</t>
  </si>
  <si>
    <t>JUEVES</t>
  </si>
  <si>
    <t>VIERNES</t>
  </si>
  <si>
    <t>m.</t>
  </si>
  <si>
    <t>SER.</t>
  </si>
  <si>
    <t>LUNES mañana</t>
  </si>
  <si>
    <t>inter.</t>
  </si>
  <si>
    <t>hora</t>
  </si>
  <si>
    <t>Tot.m</t>
  </si>
  <si>
    <t>desc.</t>
  </si>
  <si>
    <t>ESPRINES asistidos</t>
  </si>
  <si>
    <t>Piernas submarinas  ESPALDA y A 45º</t>
  </si>
  <si>
    <t>A LOS TIEMPOS</t>
  </si>
  <si>
    <t>A) PREPARACION especial 100 M</t>
  </si>
  <si>
    <t>1 y3 con salida vuelta larga perfecta cr, 15 y 25m</t>
  </si>
  <si>
    <t xml:space="preserve"> vueltas Aproximacion giro y despegue  y buceo  </t>
  </si>
  <si>
    <t>Cr. 10 y 5</t>
  </si>
  <si>
    <t>la 1 con palas y la 5 con aletas</t>
  </si>
  <si>
    <t>la 1 conaletas y la 5 con Palas</t>
  </si>
  <si>
    <t>A)TRABAJO PROGRAMADO</t>
  </si>
  <si>
    <t>variando mariposa y crall al gusto</t>
  </si>
  <si>
    <t>Esprines, variando estilos al gusto</t>
  </si>
  <si>
    <t>M. 5m viraje + 10m buceo +2m RESP y 10m hipox.</t>
  </si>
  <si>
    <t>A) TRABAJO PROGRAMADO, PUESTA A PUNTO ESPAÑA CORTA 2021</t>
  </si>
  <si>
    <t>p</t>
  </si>
  <si>
    <t>Estilos a competir</t>
  </si>
  <si>
    <t>TECNICAS</t>
  </si>
  <si>
    <t>Esprines, variando COSAS, 5m.F. Hipox.</t>
  </si>
  <si>
    <t>LO QUE SE PUEDA</t>
  </si>
  <si>
    <t>4 Asistidos, y 2 a pies plomos y sub. O B.V.</t>
  </si>
  <si>
    <t>Viaje a Castellon</t>
  </si>
  <si>
    <t xml:space="preserve"> Relevo  M-</t>
  </si>
  <si>
    <t>10mV. rapid. Y 10m larg. A MARIPOSA</t>
  </si>
  <si>
    <t>NOS con aletas buceo Completo</t>
  </si>
  <si>
    <t>Crawll punto muerto 3 patadas  y 1 brazo, 200</t>
  </si>
  <si>
    <t>Cambio de los Nuevos  tipos de entrenos</t>
  </si>
  <si>
    <t>Pilates dirigido a la RESISTENCIA MUSCULAR ESPECIFICA</t>
  </si>
  <si>
    <t xml:space="preserve">Repeticiones de 3x20"  ( al 95% con velocidad maxima de ciclos) </t>
  </si>
  <si>
    <t>movimientos Pliometricos de brazos de mariposa ( tipo saltos, )</t>
  </si>
  <si>
    <t>--</t>
  </si>
  <si>
    <t>Multisaltos</t>
  </si>
  <si>
    <t>( Patadas a muchos ciclos)</t>
  </si>
  <si>
    <t>Aerobicos de piscina</t>
  </si>
  <si>
    <t xml:space="preserve">  --</t>
  </si>
  <si>
    <t>40x 25 M ritmo uniforme respiracion (no si, no si) 2x1, (nd @35")</t>
  </si>
  <si>
    <t>( comprobar lactato = 4)</t>
  </si>
  <si>
    <t>30x 25 M ritmo uniforme respiracion (no si, no si) 2x1, (nd @50")</t>
  </si>
  <si>
    <t>( comprobar lactato = 6a7)</t>
  </si>
  <si>
    <t>Medir frecuencia media, pulso final y ritmo medio</t>
  </si>
  <si>
    <t>salidas</t>
  </si>
  <si>
    <t>volteos</t>
  </si>
  <si>
    <t>buceos</t>
  </si>
  <si>
    <t>Preparacion Psicologica</t>
  </si>
  <si>
    <t>Concentraciones</t>
  </si>
  <si>
    <t>Visualizaciones</t>
  </si>
  <si>
    <t>Relajaciones</t>
  </si>
  <si>
    <t xml:space="preserve">    --</t>
  </si>
  <si>
    <t>Volumenes de Aerobico ligero en Espalda y Crawll</t>
  </si>
  <si>
    <t>20x 75</t>
  </si>
  <si>
    <t>1x1.500</t>
  </si>
  <si>
    <t>2x800</t>
  </si>
  <si>
    <t>Comenzar el ritmo de prueba el 1 de febrero</t>
  </si>
  <si>
    <t>Verdes</t>
  </si>
  <si>
    <t>Azules y moradas</t>
  </si>
  <si>
    <t>Rojas</t>
  </si>
  <si>
    <t>(1ª a E. 2ª  a C.) con aletas</t>
  </si>
  <si>
    <t>Mariposa con aletas, empuje</t>
  </si>
  <si>
    <r>
      <t>Croll , braz. larga y baja frec.</t>
    </r>
    <r>
      <rPr>
        <b/>
        <sz val="8"/>
        <color rgb="FFFF000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VIRAJES!</t>
    </r>
  </si>
  <si>
    <t>Mariposa buceo 15m y sin respirar, resto</t>
  </si>
  <si>
    <t xml:space="preserve">Tecnicas </t>
  </si>
  <si>
    <t>35+35 Espalda</t>
  </si>
  <si>
    <t>Nadar espalda muy bien</t>
  </si>
  <si>
    <t>90% ( 15m buceo + 10m + 10)</t>
  </si>
  <si>
    <t>100% ( 15m buceo + 10m + 10)</t>
  </si>
  <si>
    <t>100% ( 15m buceo + 10m@15+ 10)</t>
  </si>
  <si>
    <t xml:space="preserve"> buceos largos, CRAWLL</t>
  </si>
  <si>
    <t>(1ª a E. 2ª a C.)  piernas</t>
  </si>
  <si>
    <t xml:space="preserve">30 C + 35Mcon viraje </t>
  </si>
  <si>
    <t xml:space="preserve"> SUBMARINAS</t>
  </si>
  <si>
    <t>Crawll respiracion 3-5-3-5-3-5-</t>
  </si>
  <si>
    <t xml:space="preserve">Estilos </t>
  </si>
  <si>
    <t>Campeonato de Guipuzkoa</t>
  </si>
  <si>
    <t>si podemos EN LARGA</t>
  </si>
  <si>
    <t>Plata</t>
  </si>
  <si>
    <t xml:space="preserve">Ejercicio F1 de tecnica:15m a Mpolo+ 10m n. </t>
  </si>
  <si>
    <t>Palas peq.</t>
  </si>
  <si>
    <t>(6x100-15+(8*50-10")+(8*25-5")</t>
  </si>
  <si>
    <t>(15+10)</t>
  </si>
  <si>
    <t xml:space="preserve">Ejercicio F2 de tecnica: PM. TRES PATADAS </t>
  </si>
  <si>
    <t>a ruptura</t>
  </si>
  <si>
    <t>MARIPOSA  Con Salida</t>
  </si>
  <si>
    <t>MARIPOSA  Con Salida ( Loitzune E)</t>
  </si>
  <si>
    <t xml:space="preserve">MARIPOSA  Con Salida </t>
  </si>
  <si>
    <t>En corta</t>
  </si>
  <si>
    <t>V COMP</t>
  </si>
  <si>
    <t xml:space="preserve">MARIPOSA. CON ALETAS </t>
  </si>
  <si>
    <t>M.20m+ 30m tope ., 7 nad. + 5 a pi</t>
  </si>
  <si>
    <t>A)TRABAJO PROGRAMADO ( puesta a punto, al OPEN DE MALAGA , poco a poco)</t>
  </si>
  <si>
    <t xml:space="preserve">Copa de Euskalerria </t>
  </si>
  <si>
    <t>Copa 2ª jornada EUSKALERRIA</t>
  </si>
  <si>
    <t xml:space="preserve"> MARIPOSA </t>
  </si>
  <si>
    <t>Esprines, variando M Y E,  5m.F. Hipox.</t>
  </si>
  <si>
    <t>ESPALDA PULL EN LA FRENTE</t>
  </si>
  <si>
    <t>12,5+12,5 TOPE TOPE TOPE, E</t>
  </si>
  <si>
    <t xml:space="preserve">Asistidos, M Y E </t>
  </si>
  <si>
    <t>37,5+12,5 ESPALDA</t>
  </si>
  <si>
    <t>25+25+12,5+12,5+12,5+12,5 MARIPOSA</t>
  </si>
  <si>
    <t>28/2/2022 y Covid positivo</t>
  </si>
  <si>
    <t>tope CRAWLL</t>
  </si>
  <si>
    <t>PROGRESIVAS  EN CADA UNA BUCEO 9"</t>
  </si>
  <si>
    <t>nadar</t>
  </si>
  <si>
    <t>PALADAS POR MINUTO COMPETAS</t>
  </si>
  <si>
    <t>METR. EQUIV.</t>
  </si>
  <si>
    <t xml:space="preserve"> con goma  muy tensa mariposa</t>
  </si>
  <si>
    <t>34+34  equivalentes. Osea 22"+ desc 5"+  22"</t>
  </si>
  <si>
    <t>Marip., las 2 ultimas de cada 4 fuerte con (TOQUE MAQ.)</t>
  </si>
  <si>
    <t xml:space="preserve"> CON COR.  (BUCEO-RESP-BUZ....)-CRAWLL</t>
  </si>
  <si>
    <t xml:space="preserve"> A LLEGAR (BUCEO-RESP-BUZ....) MARIPOSA</t>
  </si>
  <si>
    <t xml:space="preserve">M CON SALIDA  (BUCEO-RESP-BUZ....) ( 2 A 34) </t>
  </si>
  <si>
    <t xml:space="preserve">M SIN SALIDA (BUCEO-RESP-BUZ....) ( 1 A 32) </t>
  </si>
  <si>
    <t>Esp.-1-(30@5"+20)Sal(9")-espr.tope, 2,3,4 idem con BUZ</t>
  </si>
  <si>
    <t>Marip.-1-(25@5"+25Sal(9")-espr.tope, 2,3 idem con BUZ</t>
  </si>
  <si>
    <t>Crawwl contar 29 completas</t>
  </si>
  <si>
    <t>Crawwl contar 32 completas</t>
  </si>
  <si>
    <t>M. piernas subm., con aletas contar 60</t>
  </si>
  <si>
    <t xml:space="preserve">Buceos de mariposa </t>
  </si>
  <si>
    <t xml:space="preserve">Esprines, variando </t>
  </si>
  <si>
    <t>es a tope,</t>
  </si>
  <si>
    <t xml:space="preserve"> se convi.</t>
  </si>
  <si>
    <t xml:space="preserve"> en azul, </t>
  </si>
  <si>
    <t xml:space="preserve"> agobio</t>
  </si>
  <si>
    <t>RESISTIDOS</t>
  </si>
  <si>
    <t xml:space="preserve">A) MAIDER </t>
  </si>
  <si>
    <t>Masaje ??????? Concent psicolog. Visualiz 200</t>
  </si>
  <si>
    <t>descalif.</t>
  </si>
  <si>
    <t>Oro</t>
  </si>
  <si>
    <t>buceos lanzada  frecuencia/ velocidad  de la patada</t>
  </si>
  <si>
    <t>buceos lanzada asistida altisima frecuencia</t>
  </si>
  <si>
    <t>Progresivas cada 4</t>
  </si>
  <si>
    <t>Ruptura</t>
  </si>
  <si>
    <t>MARIPOSA , tiempos en 15m, 25m y 35m</t>
  </si>
  <si>
    <t>MARIPOSA , tiempos en 15m y 10m</t>
  </si>
  <si>
    <t>MARIPOSA , tiempos 10 , 10 con vir , 10 10 llegada</t>
  </si>
  <si>
    <t>CRALL -ESPALDA ALTERNANDO</t>
  </si>
  <si>
    <t>CRAWLL CON ALETAS</t>
  </si>
  <si>
    <t>penultimo sabado antes del Open</t>
  </si>
  <si>
    <t>CALENTAMIENTO, competicion</t>
  </si>
  <si>
    <t>???????</t>
  </si>
  <si>
    <t>PUESTA A PUNTO España, Open Malaga</t>
  </si>
  <si>
    <t>CON SALIDA AL 95%...........27,5---33---26,9</t>
  </si>
  <si>
    <t>CON SALIDA AL 100%.........31.....31.....26...26...26</t>
  </si>
  <si>
    <t>estudio de virajes, virajes y virajes</t>
  </si>
  <si>
    <t>domingo a Miercoles</t>
  </si>
  <si>
    <t>CAMPEONATO DE ESPAÑA open de  Malaga</t>
  </si>
  <si>
    <t>Dia 9/4</t>
  </si>
  <si>
    <t>Viaje y ......</t>
  </si>
  <si>
    <t>Dia 8/4</t>
  </si>
  <si>
    <t>Dia7/4</t>
  </si>
  <si>
    <t>M6,20"+7,8"+7,8"+7,8"+2,8"+10,2"+6,6"+6,5"+6,7"+2,58"</t>
  </si>
  <si>
    <t>M6,20"+7,2"+7,2"+7,2"+2,8"+10,2"+6,6"+6,5"+6,7"+2,58"</t>
  </si>
  <si>
    <t>M6,20"+6,9"+6,9"+6,9"+2,8"+9,9"+6,6"+6,5"+6,7"+2,58"</t>
  </si>
  <si>
    <t>CALENTAMIENTOs DE COMPETICION</t>
  </si>
  <si>
    <t>Eliminatoria</t>
  </si>
  <si>
    <t>Finales</t>
  </si>
  <si>
    <t>eliminatoria</t>
  </si>
  <si>
    <t>RECORD E</t>
  </si>
  <si>
    <t>¡¡¡REDACCION DE LAS CUATRO SENSACIONES!!!</t>
  </si>
  <si>
    <t>EJEMPLOS DE REDACCIÓN</t>
  </si>
  <si>
    <t>No noto cansancio, pero no podia correr mas…...</t>
  </si>
  <si>
    <t>desde el principio …...</t>
  </si>
  <si>
    <t xml:space="preserve">no me cansaba, pero…..... </t>
  </si>
  <si>
    <t>notaba como que no podia mantener el …..</t>
  </si>
  <si>
    <t>poner lo que se sien. lo mas claro posible</t>
  </si>
  <si>
    <t>Tope ciclos</t>
  </si>
  <si>
    <t>Tope fuerza</t>
  </si>
  <si>
    <t>ritmo unifor.</t>
  </si>
  <si>
    <t>altern gr. y am.</t>
  </si>
  <si>
    <t>Campeonato de España de UNIVERSITARIO</t>
  </si>
  <si>
    <t>55</t>
  </si>
  <si>
    <t>maroposa</t>
  </si>
  <si>
    <t>PESAS-GIMNASIA 2º SEMANA</t>
  </si>
  <si>
    <r>
      <t>200+</t>
    </r>
    <r>
      <rPr>
        <b/>
        <sz val="8"/>
        <color rgb="FFFFFF00"/>
        <rFont val="Arial MT"/>
      </rPr>
      <t>400</t>
    </r>
    <r>
      <rPr>
        <b/>
        <sz val="8"/>
        <rFont val="Arial MT"/>
      </rPr>
      <t xml:space="preserve"> CRAWLL</t>
    </r>
  </si>
  <si>
    <t>saltos ( salidas a controlar)  tiempos</t>
  </si>
  <si>
    <r>
      <rPr>
        <b/>
        <sz val="8"/>
        <color rgb="FF3366FF"/>
        <rFont val="Arial MT"/>
      </rPr>
      <t>200</t>
    </r>
    <r>
      <rPr>
        <b/>
        <sz val="8"/>
        <rFont val="Arial MT"/>
      </rPr>
      <t>+</t>
    </r>
    <r>
      <rPr>
        <b/>
        <sz val="8"/>
        <color rgb="FFFFC000"/>
        <rFont val="Arial MT"/>
      </rPr>
      <t>100</t>
    </r>
    <r>
      <rPr>
        <b/>
        <sz val="8"/>
        <rFont val="Arial MT"/>
      </rPr>
      <t>+</t>
    </r>
    <r>
      <rPr>
        <b/>
        <sz val="8"/>
        <color rgb="FF3366FF"/>
        <rFont val="Arial MT"/>
      </rPr>
      <t>200+</t>
    </r>
    <r>
      <rPr>
        <b/>
        <sz val="8"/>
        <color rgb="FFFFC000"/>
        <rFont val="Arial MT"/>
      </rPr>
      <t>100</t>
    </r>
    <r>
      <rPr>
        <b/>
        <sz val="8"/>
        <rFont val="Arial MT"/>
      </rPr>
      <t>+</t>
    </r>
    <r>
      <rPr>
        <b/>
        <sz val="8"/>
        <color rgb="FFFF0000"/>
        <rFont val="Arial MT"/>
      </rPr>
      <t>50 Mariposa</t>
    </r>
  </si>
  <si>
    <t>Conbinada</t>
  </si>
  <si>
    <t>tiempo apnea parada @ tiemp. 25 NOS</t>
  </si>
  <si>
    <t xml:space="preserve">Salidas normal </t>
  </si>
  <si>
    <t>Clasificación   ALBA</t>
  </si>
  <si>
    <t>Final   ALBA</t>
  </si>
  <si>
    <t>Clasificación   PORTUGUESA</t>
  </si>
  <si>
    <t>Final   PORTUGUESA</t>
  </si>
  <si>
    <t>&lt;</t>
  </si>
  <si>
    <t>Clas. POR.</t>
  </si>
  <si>
    <t>Final   POR.</t>
  </si>
  <si>
    <t>Final Maider</t>
  </si>
  <si>
    <t>Clas.ALBA</t>
  </si>
  <si>
    <t>Final ALBA</t>
  </si>
  <si>
    <t>Clas.Maider</t>
  </si>
  <si>
    <t>tiempo</t>
  </si>
  <si>
    <t>paso  50</t>
  </si>
  <si>
    <t>1er 50</t>
  </si>
  <si>
    <t>2do 50</t>
  </si>
  <si>
    <t>A ratos  EN</t>
  </si>
  <si>
    <t>25+G53:I53</t>
  </si>
  <si>
    <t>MONACO</t>
  </si>
  <si>
    <t>SECO</t>
  </si>
  <si>
    <t>????</t>
  </si>
  <si>
    <t>17/5/2022</t>
  </si>
  <si>
    <t>MAIDER</t>
  </si>
  <si>
    <t xml:space="preserve">Piernas dos estilos, </t>
  </si>
  <si>
    <t>cuartos</t>
  </si>
  <si>
    <t>semi final</t>
  </si>
  <si>
    <t>eliminatorias</t>
  </si>
  <si>
    <t>final</t>
  </si>
  <si>
    <t>1 ronda</t>
  </si>
  <si>
    <t>octavos</t>
  </si>
  <si>
    <t>Novena</t>
  </si>
  <si>
    <t>14 ava</t>
  </si>
  <si>
    <t>16 ava</t>
  </si>
  <si>
    <t>Monaco elim.</t>
  </si>
  <si>
    <t>Monaco Final</t>
  </si>
  <si>
    <t>MalagaFinal</t>
  </si>
  <si>
    <t>Malaga Elim</t>
  </si>
  <si>
    <t>Gijon</t>
  </si>
  <si>
    <t>Canet</t>
  </si>
  <si>
    <t>Al gusto     CANET</t>
  </si>
  <si>
    <t>Record Euskadi</t>
  </si>
  <si>
    <t>19 ava</t>
  </si>
  <si>
    <t>??</t>
  </si>
  <si>
    <t>25+50+25 BRAZA</t>
  </si>
  <si>
    <t>B. 75+ 50 15 buceo y buena llegada</t>
  </si>
  <si>
    <t xml:space="preserve">75 C+ 25M </t>
  </si>
  <si>
    <t>CON SA.-</t>
  </si>
  <si>
    <t xml:space="preserve"> MARIPOSA A TOPE ( 7-13-Y&lt; 7 EN ULT5 10)</t>
  </si>
  <si>
    <t>VO.AL 25</t>
  </si>
  <si>
    <t>MARIPOSA CON VUELTA  ( TIEMOS!!!)</t>
  </si>
  <si>
    <t>200X y 200B</t>
  </si>
  <si>
    <t>A) TRABAJO PROGRAMADO, PUESTA A PUNTO ESPAÑA 50m.2022</t>
  </si>
  <si>
    <t>Tramo 4 ( 15,virje 15) resp. Tiempo</t>
  </si>
  <si>
    <t>Tramo 2 (de la salida a 25)</t>
  </si>
  <si>
    <t xml:space="preserve">como estas en la calle 1 estira la goma y salta </t>
  </si>
  <si>
    <t>TEST PROGRIDONEO</t>
  </si>
  <si>
    <t>la 1 con K34aletas y la 5 con Palas</t>
  </si>
  <si>
    <t>CAMPEONATO DE GIPUZKOA</t>
  </si>
  <si>
    <t>RELEVO</t>
  </si>
  <si>
    <t>0:01:00.83</t>
  </si>
  <si>
    <t>EUSKALERRIA absoluto TOLOSA 25m</t>
  </si>
  <si>
    <t>Martiposa</t>
  </si>
  <si>
    <t xml:space="preserve">Nadar con palas </t>
  </si>
  <si>
    <t>(Tramo de la salida + tramo 1) (7+6)&lt;13</t>
  </si>
  <si>
    <t>Tramo 2 &lt;12</t>
  </si>
  <si>
    <t>Tramo 3&lt;12</t>
  </si>
  <si>
    <t>Cuarta</t>
  </si>
  <si>
    <t>Cuartas</t>
  </si>
  <si>
    <t>100+300+100+300 , 5m.F. HiPx.(CADA DIST)</t>
  </si>
  <si>
    <t>Sem. 4</t>
  </si>
  <si>
    <t>Puesta a punto de Sabadell</t>
  </si>
  <si>
    <t>Descanso 5 min</t>
  </si>
  <si>
    <t>M.  + M POLO, con palas normales</t>
  </si>
  <si>
    <t>2 Mariposa con palas pequ. Y 2 Cr.</t>
  </si>
  <si>
    <t>A espalda</t>
  </si>
  <si>
    <t>Espalda progresivas con palas</t>
  </si>
  <si>
    <t>Asistidos MyE</t>
  </si>
  <si>
    <t>EJERCICIO LACTATO 1</t>
  </si>
  <si>
    <t>2022/2023</t>
  </si>
  <si>
    <t>Miles de m.</t>
  </si>
  <si>
    <t>competición</t>
  </si>
  <si>
    <t>con salidas a crawll</t>
  </si>
  <si>
    <t xml:space="preserve">E y L CON SALIDA Y BUEN BUCEO ( 2 A 42) </t>
  </si>
  <si>
    <t>X CON SALIDA Y BUEN BUCEO  de 2 en 2</t>
  </si>
  <si>
    <t xml:space="preserve">M CON SALIDA Y BUEN BUCEO ( 3 A 33) </t>
  </si>
  <si>
    <t>Micros Integrados</t>
  </si>
  <si>
    <t>Micros sobre ATR</t>
  </si>
  <si>
    <t>coclos</t>
  </si>
  <si>
    <t>Frecuencia</t>
  </si>
  <si>
    <t>tiempo -paros</t>
  </si>
  <si>
    <t>Pier. de MA, sub.gris  con ala de buceo Y 2 PLOMOS</t>
  </si>
  <si>
    <t>100+200+200</t>
  </si>
  <si>
    <t>Mariposa (95% , 10 de las 12 y 2 al 100%)(5+1 y5+1)</t>
  </si>
  <si>
    <t>"200 ( 10seg. Entre 200) Crawll</t>
  </si>
  <si>
    <t>Mariposa (95% ,14 de las 16 y 2 al 100%)(5+1 y5+1)</t>
  </si>
  <si>
    <t>Tiempos en U invertida</t>
  </si>
  <si>
    <t xml:space="preserve">Propio </t>
  </si>
  <si>
    <t>25-25-25  espalda, braza,crawll</t>
  </si>
  <si>
    <t>Nadar, LIBRE</t>
  </si>
  <si>
    <t>estilos 25 DE CADA</t>
  </si>
  <si>
    <r>
      <t xml:space="preserve">Estilo propio </t>
    </r>
    <r>
      <rPr>
        <b/>
        <sz val="8"/>
        <color theme="1"/>
        <rFont val="Arial"/>
        <family val="2"/>
      </rPr>
      <t xml:space="preserve"> (1-ESPALDA 20" y ama. cla.)</t>
    </r>
  </si>
  <si>
    <t>estilos propios,          ( 3 de cada a  tope )</t>
  </si>
  <si>
    <t>PREPARACIÓN</t>
  </si>
  <si>
    <t>Meso2 Transformacion lactacida</t>
  </si>
  <si>
    <t>Acumulación, A1-A2+cO2</t>
  </si>
  <si>
    <t>mic A7</t>
  </si>
  <si>
    <t>mic A8</t>
  </si>
  <si>
    <t>100C+50M</t>
  </si>
  <si>
    <t>(M,M,E)  1 vez</t>
  </si>
  <si>
    <t>LAS QUE QUEPAN</t>
  </si>
  <si>
    <t>Mariposa 10x A1, 15xA2 y 15xA3 ( bien)</t>
  </si>
  <si>
    <t xml:space="preserve">con Salida  y con  llegada </t>
  </si>
  <si>
    <t>200C+200X+200E+.........</t>
  </si>
  <si>
    <t>200C+200X+200 (pier. Marip. Con aletas)</t>
  </si>
  <si>
    <t>200(pier.Marip.Con aletas)+(200+200)Crawll</t>
  </si>
  <si>
    <t>LOGROÑO</t>
  </si>
  <si>
    <t>Mariposa                                     1:00,99</t>
  </si>
  <si>
    <t>Espalda                                      1:04,19</t>
  </si>
  <si>
    <t>Estilos                                      2:28,12</t>
  </si>
  <si>
    <t>200+100suave</t>
  </si>
  <si>
    <t>50cr.+2x50M+50cr.</t>
  </si>
  <si>
    <t>50cr.+2x50M+25cr.</t>
  </si>
  <si>
    <t>100+des+3x25crono con aletas</t>
  </si>
  <si>
    <t>150+des+2x25crono con aletas</t>
  </si>
  <si>
    <t>25+des+25+des+25+des+25</t>
  </si>
  <si>
    <t>Buceos, 6 con aletas, 6 sin</t>
  </si>
  <si>
    <t>25+50+50+25Mariposa</t>
  </si>
  <si>
    <t>LIGA GI</t>
  </si>
  <si>
    <t>ciclos</t>
  </si>
  <si>
    <t xml:space="preserve">En esprin                                        desde el poyete                            </t>
  </si>
  <si>
    <t>En esprin    a ritmo de prueba</t>
  </si>
  <si>
    <t>en potencia a ritmo de prueba</t>
  </si>
  <si>
    <t>en TOLA a ritmo de prueba</t>
  </si>
  <si>
    <t>Toma de decisiones</t>
  </si>
  <si>
    <t>CALENTAMIENTOS , VARIADOS</t>
  </si>
  <si>
    <t>SALIDAS  TODAS BAJO " Tiempo"</t>
  </si>
  <si>
    <t>del 15 al 25 lanzada cabeza-cabeza</t>
  </si>
  <si>
    <t xml:space="preserve">maquina resistida , escalera subir bajar </t>
  </si>
  <si>
    <t>Val Med.</t>
  </si>
  <si>
    <t>llegadas con decisiones entre 10 y 3m</t>
  </si>
  <si>
    <t>fase demoledora</t>
  </si>
  <si>
    <t>200+400 , 5m.F. HiPx.(CADA DIST)</t>
  </si>
  <si>
    <t>resultados CASTELLON 2022</t>
  </si>
  <si>
    <t>0:00:27,97       y      0:00:28,06</t>
  </si>
  <si>
    <t>1:01,81          y         0:01:02,31</t>
  </si>
  <si>
    <t>0:00:30,97        y      0:00:30,80</t>
  </si>
  <si>
    <t>0:00:27,21      y      0:00:27,20</t>
  </si>
  <si>
    <t>ORO</t>
  </si>
  <si>
    <t>5ta</t>
  </si>
  <si>
    <t>MA.  2 MANOS ALTERNAS, PENSAR Y PERFECTA LA 2ª</t>
  </si>
  <si>
    <t>200 C normal con virajes largos y rapidos</t>
  </si>
  <si>
    <t>200 E con rolido 6 tiempos</t>
  </si>
  <si>
    <t>3 BRAZOS CON PULL Y GOMA , Crawll</t>
  </si>
  <si>
    <t>3 PIES TABLA , Crall</t>
  </si>
  <si>
    <t>3 respirando cada 4 , Crawll</t>
  </si>
  <si>
    <t xml:space="preserve"> aletas respirando al gusto, MARIPOSA, 15m A TOPE</t>
  </si>
  <si>
    <t>Espalda ,16  con aletas  +16 sin , CABEZA QUIETA!</t>
  </si>
  <si>
    <t xml:space="preserve">Ep Asistidos  </t>
  </si>
  <si>
    <t>20+25, VIRAJES buceos &gt;10m Mariposa ( CON S.C. 20+20)</t>
  </si>
  <si>
    <t>dia</t>
  </si>
  <si>
    <t xml:space="preserve"> Cuidando la brazada larga y profunda LIBRE</t>
  </si>
  <si>
    <t xml:space="preserve"> CRAWLL, RESPIRANDO CADA 4/5, buceo largo</t>
  </si>
  <si>
    <t>Con aletas (400 C+ 300E)</t>
  </si>
  <si>
    <t>A tope, CRONO, ( t&lt;31)</t>
  </si>
  <si>
    <r>
      <t xml:space="preserve">2x(Salida buceo15, </t>
    </r>
    <r>
      <rPr>
        <sz val="8"/>
        <color theme="0"/>
        <rFont val="Arial"/>
        <family val="2"/>
      </rPr>
      <t>(veloc.+nº de bra.) empuje buceo 12m)</t>
    </r>
  </si>
  <si>
    <t>RESISTIDOS, MAQUINA VELOCIDAD 1,6m/seg</t>
  </si>
  <si>
    <t>MARIPOSA, Empujes + HIPOSICAS</t>
  </si>
  <si>
    <r>
      <t xml:space="preserve">2x(20m viraje +20, </t>
    </r>
    <r>
      <rPr>
        <sz val="8"/>
        <color theme="0"/>
        <rFont val="Arial"/>
        <family val="2"/>
      </rPr>
      <t>(veloc.+nº de bra.)  buceo 12m)</t>
    </r>
  </si>
  <si>
    <t>2x(20m viraje +20, (veloc.+nº de bra.)  buceo 12m)</t>
  </si>
  <si>
    <t>A tope, CRONO, ( t&lt;25)</t>
  </si>
  <si>
    <t>Con aletas (400 C+ 300E) TEC</t>
  </si>
  <si>
    <t>DESCANSO ( SPA?)</t>
  </si>
  <si>
    <t>frecuencia</t>
  </si>
  <si>
    <t>nº de brazadas</t>
  </si>
  <si>
    <t>tiempo del vir.</t>
  </si>
  <si>
    <t>amplitud</t>
  </si>
  <si>
    <t>Vel. Med.</t>
  </si>
  <si>
    <t>Analisis del 26,37 del relevo, COPA 2023</t>
  </si>
  <si>
    <t xml:space="preserve"> ( posta de mariposa)</t>
  </si>
  <si>
    <t>tiem. en 14,5m</t>
  </si>
  <si>
    <t>tiem.en 12,5m</t>
  </si>
  <si>
    <t>Contadas</t>
  </si>
  <si>
    <t>Seg.</t>
  </si>
  <si>
    <t>Braz./ min</t>
  </si>
  <si>
    <t>m./ braz.</t>
  </si>
  <si>
    <t>m./seg.</t>
  </si>
  <si>
    <t>en la salida inicio del Buceo/ final del buceo</t>
  </si>
  <si>
    <t>en el  viraje inicio del Buceo/ final del buceo</t>
  </si>
  <si>
    <t xml:space="preserve">Leyenda </t>
  </si>
  <si>
    <t>valores observados y/o medidos</t>
  </si>
  <si>
    <t>valores por cálculos físico/matemáticos</t>
  </si>
  <si>
    <t>A32</t>
  </si>
  <si>
    <t>A33</t>
  </si>
  <si>
    <t>HUMBRAL AEROBICO</t>
  </si>
  <si>
    <t>HUMBRAL ANAEROBICO</t>
  </si>
  <si>
    <t>CONSUMO MAX de O2</t>
  </si>
  <si>
    <t>ANAEROBICO</t>
  </si>
  <si>
    <t>VELOCIDAD MAXIMA</t>
  </si>
  <si>
    <t>POTENCIA MAXIMA</t>
  </si>
  <si>
    <t>Sesión</t>
  </si>
  <si>
    <t>Objetivos de las Sesiones</t>
  </si>
  <si>
    <t>Aerobico</t>
  </si>
  <si>
    <t>Glucolitico</t>
  </si>
  <si>
    <t>Creatinfosfatico</t>
  </si>
  <si>
    <t>###</t>
  </si>
  <si>
    <t>LOS</t>
  </si>
  <si>
    <t>MICROCICLOS</t>
  </si>
  <si>
    <t xml:space="preserve">TecniCa , con visualizacion y repeticiones </t>
  </si>
  <si>
    <t>CORTA</t>
  </si>
  <si>
    <t>CONTENIDOS DE ENTRENAMIENTO / INTENSIDAD _ COLORES</t>
  </si>
  <si>
    <t>Proxima</t>
  </si>
  <si>
    <t>maquina de resistidos, vel. ascendente</t>
  </si>
  <si>
    <t>peso+&gt;-</t>
  </si>
  <si>
    <t>RITMO, por debajo de 33 suma discip. Resp.</t>
  </si>
  <si>
    <t>25 C , 25 M,25E  paro 5" entre</t>
  </si>
  <si>
    <t>0:002:00</t>
  </si>
  <si>
    <t>v</t>
  </si>
  <si>
    <t>Maripposa</t>
  </si>
  <si>
    <t>RELEVO MISTO</t>
  </si>
  <si>
    <t>mic A23</t>
  </si>
  <si>
    <t>mic A24</t>
  </si>
  <si>
    <t>mic A25</t>
  </si>
  <si>
    <t>mic A26</t>
  </si>
  <si>
    <t>mic A27</t>
  </si>
  <si>
    <t>mic A28</t>
  </si>
  <si>
    <t>mic A29</t>
  </si>
  <si>
    <t>mic A30</t>
  </si>
  <si>
    <t>Ejercicios de técnica, de Tot.Imm.ejercicio 2</t>
  </si>
  <si>
    <t>TI</t>
  </si>
  <si>
    <t>tecnica, ejercicio 3 de Ti</t>
  </si>
  <si>
    <t>Seco minimo</t>
  </si>
  <si>
    <t>est Pr.</t>
  </si>
  <si>
    <t>REISTIDOS</t>
  </si>
  <si>
    <t>UNO CADA</t>
  </si>
  <si>
    <t xml:space="preserve">MAIDER Esp., no cabecear_ADRIANA Bra.largas </t>
  </si>
  <si>
    <t>Mraza, RESP. CADA (2 no ,1 si)</t>
  </si>
  <si>
    <t>resistidas</t>
  </si>
  <si>
    <t>cada 1 a su estilo</t>
  </si>
  <si>
    <t>Propio , excepto braza, Con aletas</t>
  </si>
  <si>
    <t>SALIDAS 20 M</t>
  </si>
  <si>
    <t>Iñigo</t>
  </si>
  <si>
    <t>total</t>
  </si>
  <si>
    <t>met.</t>
  </si>
  <si>
    <t>t 200</t>
  </si>
  <si>
    <t>Telmo</t>
  </si>
  <si>
    <t>Maddi</t>
  </si>
  <si>
    <t>Adriamna</t>
  </si>
  <si>
    <t>Pablo</t>
  </si>
  <si>
    <t>t 100</t>
  </si>
  <si>
    <t>Maider MARIPOSA - Adriana BRAZA</t>
  </si>
  <si>
    <t>dos estilos in-propios</t>
  </si>
  <si>
    <t>25+25+25  (25, 5'' + 25, 10'')  braza, espaldistas, esp.</t>
  </si>
  <si>
    <t>G -----F</t>
  </si>
  <si>
    <t>r ------R</t>
  </si>
  <si>
    <t>u -----A</t>
  </si>
  <si>
    <t>p------N</t>
  </si>
  <si>
    <t>o -----C</t>
  </si>
  <si>
    <t xml:space="preserve">      ------I</t>
  </si>
  <si>
    <t>dos estilos in-propios, bracistas Braza</t>
  </si>
  <si>
    <t>MARIPOSA todos</t>
  </si>
  <si>
    <t xml:space="preserve"> ------A</t>
  </si>
  <si>
    <t>SOLO</t>
  </si>
  <si>
    <t xml:space="preserve">ESPRINES asistidos </t>
  </si>
  <si>
    <t>12,5 espalda 12,5PIERNAS DE ESP. Alternando</t>
  </si>
  <si>
    <t>estilos   ( 1 de cada a  tope )</t>
  </si>
  <si>
    <t>Q</t>
  </si>
  <si>
    <t>P</t>
  </si>
  <si>
    <t xml:space="preserve">EL </t>
  </si>
  <si>
    <t>E----V</t>
  </si>
  <si>
    <t>S----O</t>
  </si>
  <si>
    <t>T----L</t>
  </si>
  <si>
    <t>I-----U</t>
  </si>
  <si>
    <t>L----N</t>
  </si>
  <si>
    <t>O----T.</t>
  </si>
  <si>
    <t xml:space="preserve">ASISTIDOS EN DESCANSO DE DADA </t>
  </si>
  <si>
    <t>CALENTAMIENTO AL GUSTO 10 MIN</t>
  </si>
  <si>
    <t xml:space="preserve">VIAJE A FRANCIA </t>
  </si>
  <si>
    <t>VILLEFRANCHE-SUR-SAÓNE</t>
  </si>
  <si>
    <r>
      <t xml:space="preserve">¡¡¡ </t>
    </r>
    <r>
      <rPr>
        <b/>
        <sz val="8"/>
        <color rgb="FFFF0000"/>
        <rFont val="Arial"/>
        <family val="2"/>
      </rPr>
      <t>COMO HACER 32 EN EL SEGUNDO 50</t>
    </r>
    <r>
      <rPr>
        <b/>
        <sz val="8"/>
        <color indexed="8"/>
        <rFont val="Arial"/>
        <family val="2"/>
      </rPr>
      <t>……!!!</t>
    </r>
  </si>
  <si>
    <t>LIGA, GUIPUZCOA</t>
  </si>
  <si>
    <t>Ti.  Braza</t>
  </si>
  <si>
    <t>Ti.De Braza</t>
  </si>
  <si>
    <t>M. con aletas y 3 kg de plomos  ( Ad.M=B)</t>
  </si>
  <si>
    <t>M. nadar a tope ( Ad.M=B)</t>
  </si>
  <si>
    <t>1 Pier. de M y 2 nad M. y 1 pier.M.( Ad.M=B)</t>
  </si>
  <si>
    <t>2 Pienas de M y 3 nad M.  TOPE ( Ad.M=B)</t>
  </si>
  <si>
    <t>20 sub.y 30 nad y 15sub y 5 nad ( Ad.M=B)</t>
  </si>
  <si>
    <t>15+35+15+15 ( tiempo de nado)</t>
  </si>
  <si>
    <t xml:space="preserve">FONDISTAS </t>
  </si>
  <si>
    <t>CRALL</t>
  </si>
  <si>
    <t>Fondistas NO</t>
  </si>
  <si>
    <t>Fondistas</t>
  </si>
  <si>
    <t>Telmo, Mateo y Voluntario/a</t>
  </si>
  <si>
    <t>CRAWLL CON BAÑADOR LARGO</t>
  </si>
  <si>
    <t>EP. CON BAÑADOR LARGO</t>
  </si>
  <si>
    <t>A)TRABAJO PROGRAMADO , SEMANA IMPORTANTE</t>
  </si>
  <si>
    <t>Mariposa con aletas, empuje AD=BR.</t>
  </si>
  <si>
    <t>FONDISTAS</t>
  </si>
  <si>
    <t>Fnd. NO</t>
  </si>
  <si>
    <t>Crawll y salida</t>
  </si>
  <si>
    <t>A tope</t>
  </si>
  <si>
    <t xml:space="preserve">Crawll  2 con pb. 2 sin ......crono </t>
  </si>
  <si>
    <t>con palas grandees</t>
  </si>
  <si>
    <t>B. 75+ 25, (15 buceo y buena llegada)</t>
  </si>
  <si>
    <t>PIERNAS</t>
  </si>
  <si>
    <t>1311/2023</t>
  </si>
  <si>
    <t>t</t>
  </si>
  <si>
    <t>SALIDAS, HACER BIEN, CO....!!!!</t>
  </si>
  <si>
    <t>VIRAJES, Y ESTO TAMBIEN!!!</t>
  </si>
  <si>
    <t xml:space="preserve">50 EP +150C seguido </t>
  </si>
  <si>
    <t>Alternando OTRO y espalda</t>
  </si>
  <si>
    <t xml:space="preserve">Piernas SUB. ( viraje 5 ) </t>
  </si>
  <si>
    <t>50 Mariposa Polo+ 100 E/B con pull +150 C (pm)</t>
  </si>
  <si>
    <t>tope</t>
  </si>
  <si>
    <t xml:space="preserve">20 M +25C seguido </t>
  </si>
  <si>
    <t>ESTILO PROPIO CON PALAS PEQUEÑAS</t>
  </si>
  <si>
    <t>Ejercicio F2 de tecnica: Pm.</t>
  </si>
  <si>
    <t>Pal.peq.</t>
  </si>
  <si>
    <t>25+25+25 ESTILO PROPIO</t>
  </si>
  <si>
    <t>RESISTIDOS maquina</t>
  </si>
  <si>
    <r>
      <rPr>
        <b/>
        <sz val="9"/>
        <color rgb="FFFFFF00"/>
        <rFont val="Arial"/>
        <family val="2"/>
      </rPr>
      <t>MARIPOSA  Con Salida</t>
    </r>
    <r>
      <rPr>
        <b/>
        <sz val="9"/>
        <color indexed="9"/>
        <rFont val="Arial"/>
        <family val="2"/>
      </rPr>
      <t xml:space="preserve"> (</t>
    </r>
    <r>
      <rPr>
        <b/>
        <sz val="9"/>
        <color rgb="FFFFC000"/>
        <rFont val="Arial"/>
        <family val="2"/>
      </rPr>
      <t>Adriana B</t>
    </r>
    <r>
      <rPr>
        <b/>
        <sz val="9"/>
        <color indexed="9"/>
        <rFont val="Arial"/>
        <family val="2"/>
      </rPr>
      <t>)</t>
    </r>
  </si>
  <si>
    <t>M respirar dos veces en 30m , 3 y 4</t>
  </si>
  <si>
    <t>Torneo Internacional ORDZIA</t>
  </si>
  <si>
    <t>PRIMER MACROCICLO ESPECIAL AL C.ORDIZIA</t>
  </si>
  <si>
    <t>TEMPORADA  2023-2024</t>
  </si>
  <si>
    <t xml:space="preserve"> 0:27:80</t>
  </si>
  <si>
    <t>Adriana</t>
  </si>
  <si>
    <t>Calentar todo......</t>
  </si>
  <si>
    <t>Est, propio, SALIDA + HIPOSICAS</t>
  </si>
  <si>
    <r>
      <t xml:space="preserve">2C,2B, 2E,2M  ( 10" entre) ( </t>
    </r>
    <r>
      <rPr>
        <b/>
        <sz val="8"/>
        <color rgb="FF0000FF"/>
        <rFont val="Arial"/>
        <family val="2"/>
      </rPr>
      <t>las 2M solo&lt;1:28. ó  2C</t>
    </r>
    <r>
      <rPr>
        <b/>
        <sz val="8"/>
        <rFont val="Arial"/>
        <family val="2"/>
      </rPr>
      <t>)</t>
    </r>
  </si>
  <si>
    <t>TCA. De crawll</t>
  </si>
  <si>
    <t>PIES, con tabla de Mariposa con aletas  (20+20 sub,)</t>
  </si>
  <si>
    <r>
      <t>Estilo propio (</t>
    </r>
    <r>
      <rPr>
        <b/>
        <sz val="8"/>
        <color rgb="FF0000FF"/>
        <rFont val="Arial MT"/>
      </rPr>
      <t xml:space="preserve"> el que tenga uno, ó crol</t>
    </r>
    <r>
      <rPr>
        <b/>
        <sz val="8"/>
        <color indexed="9"/>
        <rFont val="Arial MT"/>
      </rPr>
      <t>)</t>
    </r>
  </si>
  <si>
    <t>90%a100%( Obj- empuje, tiempo en 15m,10m y buc15)</t>
  </si>
  <si>
    <r>
      <t>Ent del 100 ( descansoS 40-35-30 )_</t>
    </r>
    <r>
      <rPr>
        <b/>
        <sz val="8"/>
        <color rgb="FF0000FF"/>
        <rFont val="Arial MT"/>
      </rPr>
      <t>(T&lt;12" ó Crol)</t>
    </r>
  </si>
  <si>
    <r>
      <t xml:space="preserve">3 A CRALL + 3 A BRAZA ( </t>
    </r>
    <r>
      <rPr>
        <b/>
        <sz val="8"/>
        <color rgb="FF0000FF"/>
        <rFont val="Arial"/>
        <family val="2"/>
      </rPr>
      <t>T&lt;1:37 ó Crol</t>
    </r>
    <r>
      <rPr>
        <b/>
        <sz val="8"/>
        <rFont val="Arial"/>
        <family val="2"/>
      </rPr>
      <t>)</t>
    </r>
  </si>
  <si>
    <r>
      <t>2M,2E,2C, salida y crono (</t>
    </r>
    <r>
      <rPr>
        <b/>
        <sz val="8"/>
        <color rgb="FF0000FF"/>
        <rFont val="Arial MT"/>
      </rPr>
      <t xml:space="preserve"> las 2M solo&lt;2min. ó  2C</t>
    </r>
    <r>
      <rPr>
        <b/>
        <sz val="8"/>
        <color indexed="8"/>
        <rFont val="Arial MT"/>
      </rPr>
      <t>)</t>
    </r>
  </si>
  <si>
    <r>
      <t>2M, 2C, salida y crono  (</t>
    </r>
    <r>
      <rPr>
        <b/>
        <sz val="8"/>
        <color rgb="FF0000FF"/>
        <rFont val="Arial MT"/>
      </rPr>
      <t xml:space="preserve"> las 2M solo&lt;1:42. ó  2C</t>
    </r>
    <r>
      <rPr>
        <b/>
        <sz val="8"/>
        <color indexed="8"/>
        <rFont val="Arial MT"/>
      </rPr>
      <t>)</t>
    </r>
  </si>
  <si>
    <r>
      <t xml:space="preserve">MARIPOSA   ( </t>
    </r>
    <r>
      <rPr>
        <b/>
        <sz val="8"/>
        <color rgb="FF0000FF"/>
        <rFont val="Arial MT"/>
      </rPr>
      <t>las 2M solo&lt;3:06. ó  2C</t>
    </r>
    <r>
      <rPr>
        <b/>
        <sz val="8"/>
        <color indexed="8"/>
        <rFont val="Arial MT"/>
      </rPr>
      <t>)</t>
    </r>
  </si>
  <si>
    <r>
      <t>CRol, neg. Cada (</t>
    </r>
    <r>
      <rPr>
        <b/>
        <sz val="8"/>
        <color rgb="FF0000FF"/>
        <rFont val="Arial MT"/>
      </rPr>
      <t xml:space="preserve"> con buena tecnica ó alo anterior</t>
    </r>
    <r>
      <rPr>
        <b/>
        <sz val="8"/>
        <color indexed="8"/>
        <rFont val="Arial MT"/>
      </rPr>
      <t>)</t>
    </r>
  </si>
  <si>
    <t>Espalda, crawll + 2 x Morhaus</t>
  </si>
  <si>
    <t xml:space="preserve"> uno a braza</t>
  </si>
  <si>
    <t>espalda +crawll, bracistas dos a braz.</t>
  </si>
  <si>
    <t>Ep Resistidos + Asistidos</t>
  </si>
  <si>
    <t>50+25+75 Ep. ( 15 seg entre 150)</t>
  </si>
  <si>
    <t>Piernas buceadas</t>
  </si>
  <si>
    <t>25+100+75 Estilo propio</t>
  </si>
  <si>
    <t>Con aletas, bracistas cortas</t>
  </si>
  <si>
    <t>Estilo propio con palas</t>
  </si>
  <si>
    <t>Piernas ,</t>
  </si>
  <si>
    <t>Cada tres uno a E.P.</t>
  </si>
  <si>
    <t>Progresivos del 8 al 16</t>
  </si>
  <si>
    <t>Ep Cuenta tambien la vuelta suave</t>
  </si>
  <si>
    <t>(EP,EP,E)  6 veces</t>
  </si>
  <si>
    <t>Mat-Pab</t>
  </si>
  <si>
    <t>Mai- Adr.</t>
  </si>
  <si>
    <t>Mad-Iñi</t>
  </si>
  <si>
    <t>Oih-Ire</t>
  </si>
  <si>
    <t>Tel-Lib</t>
  </si>
  <si>
    <t xml:space="preserve"> Asistidos largos, ó esprines enemigos</t>
  </si>
  <si>
    <t>Calent.compet., DE VERDAD!!!</t>
  </si>
  <si>
    <t>los sin prop. Mariposa,  los con prop.</t>
  </si>
  <si>
    <t>TODOS</t>
  </si>
  <si>
    <t>CAPTURA</t>
  </si>
  <si>
    <t>Estilo propio con palas, PROGRESIVOS</t>
  </si>
  <si>
    <t>CRAWLL uno a braza TODOS</t>
  </si>
  <si>
    <t>SABADO</t>
  </si>
  <si>
    <t>Dia de San Sebastian</t>
  </si>
  <si>
    <r>
      <t>Mariposa ,</t>
    </r>
    <r>
      <rPr>
        <b/>
        <sz val="8"/>
        <color rgb="FFFFC000"/>
        <rFont val="Arial"/>
        <family val="2"/>
      </rPr>
      <t>Adriana Braza</t>
    </r>
  </si>
  <si>
    <r>
      <t xml:space="preserve">Mariposa  </t>
    </r>
    <r>
      <rPr>
        <b/>
        <sz val="8"/>
        <color rgb="FFFFC000"/>
        <rFont val="Arial"/>
        <family val="2"/>
      </rPr>
      <t>Adriana Braza</t>
    </r>
  </si>
  <si>
    <r>
      <t xml:space="preserve">Mariposa </t>
    </r>
    <r>
      <rPr>
        <b/>
        <sz val="8"/>
        <color rgb="FFFFC000"/>
        <rFont val="Arial"/>
        <family val="2"/>
      </rPr>
      <t>Adriana Braza</t>
    </r>
  </si>
  <si>
    <t xml:space="preserve">  crawll, bracistas B, tres</t>
  </si>
  <si>
    <t>Piernas subn.Mar.-  ESPALDA  a 45 grados</t>
  </si>
  <si>
    <t>25M+25E+12,5B+12,5L</t>
  </si>
  <si>
    <t>25M+25E+12,5B+12,5L 16m buc.s +8 m buc v.</t>
  </si>
  <si>
    <t>E.P</t>
  </si>
  <si>
    <t>25 E , 25 B,25L  paro 5" entre</t>
  </si>
  <si>
    <t>Campeonato</t>
  </si>
  <si>
    <t>DE EUSKALERRIA</t>
  </si>
  <si>
    <t>GRUPO ESPAÑA Y LOS QUE NO NADAN EUSKADI</t>
  </si>
  <si>
    <t>para 2 opuestos</t>
  </si>
  <si>
    <t>resto?</t>
  </si>
  <si>
    <t>Estilos, 10 MIN</t>
  </si>
  <si>
    <t>Nadar suave,  10 MIN</t>
  </si>
  <si>
    <t>EP *(50+25)+ (25+25+25)+ (12,5+25+37,5+50+25)</t>
  </si>
  <si>
    <t>Piernas E.P. + crawll ( cada 100 , cambia)</t>
  </si>
  <si>
    <r>
      <rPr>
        <b/>
        <sz val="8"/>
        <color rgb="FFF2BAF2"/>
        <rFont val="Arial"/>
        <family val="2"/>
      </rPr>
      <t>MAIDER Mariposa</t>
    </r>
    <r>
      <rPr>
        <b/>
        <sz val="8"/>
        <rFont val="Arial"/>
        <family val="2"/>
      </rPr>
      <t xml:space="preserve"> . </t>
    </r>
    <r>
      <rPr>
        <b/>
        <sz val="8"/>
        <color theme="9" tint="-0.249977111117893"/>
        <rFont val="Arial"/>
        <family val="2"/>
      </rPr>
      <t>ADRIANA Braza</t>
    </r>
  </si>
  <si>
    <r>
      <rPr>
        <b/>
        <sz val="8"/>
        <color theme="5" tint="0.79998168889431442"/>
        <rFont val="Arial"/>
        <family val="2"/>
      </rPr>
      <t>MAIDER Mariposa</t>
    </r>
    <r>
      <rPr>
        <b/>
        <sz val="8"/>
        <color rgb="FFFFC000"/>
        <rFont val="Arial"/>
        <family val="2"/>
      </rPr>
      <t xml:space="preserve"> . ADRIANA Braza</t>
    </r>
  </si>
  <si>
    <r>
      <rPr>
        <b/>
        <sz val="8"/>
        <color rgb="FFEA56E1"/>
        <rFont val="Arial"/>
        <family val="2"/>
      </rPr>
      <t>MAIDER Mariposa</t>
    </r>
    <r>
      <rPr>
        <b/>
        <sz val="8"/>
        <rFont val="Arial"/>
        <family val="2"/>
      </rPr>
      <t xml:space="preserve"> . </t>
    </r>
    <r>
      <rPr>
        <b/>
        <sz val="8"/>
        <color theme="9" tint="-0.249977111117893"/>
        <rFont val="Arial"/>
        <family val="2"/>
      </rPr>
      <t>ADRIANA Braza</t>
    </r>
  </si>
  <si>
    <r>
      <rPr>
        <b/>
        <sz val="8"/>
        <color rgb="FFEA56E1"/>
        <rFont val="Arial"/>
        <family val="2"/>
      </rPr>
      <t xml:space="preserve">MAIDER Mariposa </t>
    </r>
    <r>
      <rPr>
        <b/>
        <sz val="8"/>
        <rFont val="Arial"/>
        <family val="2"/>
      </rPr>
      <t xml:space="preserve">. </t>
    </r>
    <r>
      <rPr>
        <b/>
        <sz val="8"/>
        <color theme="9" tint="-0.249977111117893"/>
        <rFont val="Arial"/>
        <family val="2"/>
      </rPr>
      <t>ADRIANA Braza</t>
    </r>
  </si>
  <si>
    <r>
      <t>MAIDER Mariposa</t>
    </r>
    <r>
      <rPr>
        <b/>
        <sz val="8"/>
        <rFont val="Arial"/>
        <family val="2"/>
      </rPr>
      <t xml:space="preserve"> . </t>
    </r>
    <r>
      <rPr>
        <b/>
        <sz val="8"/>
        <color rgb="FFE26B0A"/>
        <rFont val="Arial"/>
        <family val="2"/>
      </rPr>
      <t>ADRIANA Braza</t>
    </r>
  </si>
  <si>
    <t>mariposa,  Sopla -aire . ADRIANA Braza</t>
  </si>
  <si>
    <t>mariposa, sopla sopla sopla aire ,. ADRIANA Braza</t>
  </si>
  <si>
    <t>PUESTA A P. España, Open SABADELL</t>
  </si>
  <si>
    <t>OPEN. de ESPAÑA</t>
  </si>
  <si>
    <t>ESpalda</t>
  </si>
  <si>
    <t>25+25 (2 A ESP. con sal) (2 E P con sal)</t>
  </si>
  <si>
    <t>SINSALIDA MARIPOSA- Adriana Braza</t>
  </si>
  <si>
    <t>Mariposa,crol,mariposa, mariposa ( ADR. M=B)</t>
  </si>
  <si>
    <t>Espalda 16m buceo s.  8m buc. Vi.(ADRI FILIP.)</t>
  </si>
  <si>
    <t>25+25+12,5+12,5 M.     ( ADR. M=B)</t>
  </si>
  <si>
    <t>25+25+12,5+12,5 E. (+8 m buc v.) .(ADRI FILIP.)</t>
  </si>
  <si>
    <t>8+8+8+8 CADA 8PROGRESIVAS, DESC. AUMENTAMOS 15 SEGUNDOS CADA 10</t>
  </si>
  <si>
    <t>mariposa,Espalda,braza,crol</t>
  </si>
  <si>
    <t xml:space="preserve"> ESTILOS en cortita, si podemos</t>
  </si>
  <si>
    <t xml:space="preserve"> 8 ESTILOS en cortita, si podemos, cada crol , llegada</t>
  </si>
  <si>
    <t>CRAWLL con aletas ,</t>
  </si>
  <si>
    <t>SALIDAS espalda  con barra</t>
  </si>
  <si>
    <t xml:space="preserve">Pier. de MA, sub.gris  Otra (azul) </t>
  </si>
  <si>
    <t xml:space="preserve">Progresivas espalda y apuntar  </t>
  </si>
  <si>
    <r>
      <t>Fecha actual del microciclo</t>
    </r>
    <r>
      <rPr>
        <sz val="10"/>
        <rFont val="Arial"/>
        <family val="2"/>
      </rPr>
      <t xml:space="preserve">: Semana del </t>
    </r>
    <r>
      <rPr>
        <b/>
        <sz val="10"/>
        <rFont val="Arial"/>
        <family val="2"/>
      </rPr>
      <t xml:space="preserve">9 al 15 de </t>
    </r>
  </si>
  <si>
    <t>septiembre de 2025</t>
  </si>
  <si>
    <t xml:space="preserve"> Transición hacia ritmos de competición y transferencia</t>
  </si>
  <si>
    <r>
      <t>Fase de preparación</t>
    </r>
    <r>
      <rPr>
        <sz val="10"/>
        <rFont val="Arial"/>
        <family val="2"/>
      </rPr>
      <t xml:space="preserve">: 🧱 Construcción específica → </t>
    </r>
  </si>
  <si>
    <r>
      <t>Estilo fuerte</t>
    </r>
    <r>
      <rPr>
        <sz val="10"/>
        <rFont val="Arial"/>
        <family val="2"/>
      </rPr>
      <t>: Espalda, mariposa, libre</t>
    </r>
  </si>
  <si>
    <t>300 suaves (crawl + espalda + mariposa)</t>
  </si>
  <si>
    <t xml:space="preserve">DRILLS de M. E. B. </t>
  </si>
  <si>
    <t>progresivas Mariposa espalda crol</t>
  </si>
  <si>
    <t xml:space="preserve"> 1 a brazos otra piernas de Braza , tecnicas DRILLS</t>
  </si>
  <si>
    <t>Fuerza  máxima resist (25+25)(br+pier) B</t>
  </si>
  <si>
    <t>progresivas espalda Braza Crol</t>
  </si>
  <si>
    <t>s</t>
  </si>
  <si>
    <t>3x75 (25M + 25E + 25L) a ritmo controlado</t>
  </si>
  <si>
    <t>Salidas grabadas + 15m</t>
  </si>
  <si>
    <t>4x25 frecuencia objetivo ( espalda braza)</t>
  </si>
  <si>
    <t>Salidas con break out y llegadas tecnica</t>
  </si>
  <si>
    <t>TEST TECNICO</t>
  </si>
  <si>
    <t>M-E-C ritmo de 200</t>
  </si>
  <si>
    <t>velocidad casi maxima sostenida</t>
  </si>
  <si>
    <t xml:space="preserve"> M-E con break-outs al 20</t>
  </si>
  <si>
    <t>Pier. de MA, sub.gris  con buceo Y 2 PLOMOS</t>
  </si>
  <si>
    <t>Brazos de espalda, con tabla vertical</t>
  </si>
  <si>
    <t>Maquina de resistidos a espalda muchos ciclos</t>
  </si>
  <si>
    <t>solo Maider</t>
  </si>
  <si>
    <t>Solo Maider</t>
  </si>
  <si>
    <t>maider4x2</t>
  </si>
  <si>
    <t>ritmo sostenido a E</t>
  </si>
  <si>
    <t>maider4x4</t>
  </si>
  <si>
    <t>maider 1x1</t>
  </si>
  <si>
    <t xml:space="preserve">una a cada estilo ritmo sostenido </t>
  </si>
  <si>
    <t>caletamiento</t>
  </si>
  <si>
    <t>TEST progresivo</t>
  </si>
  <si>
    <t>piernas,de M. 6 sin aletas+ 6 con ( 15sa+10superficie)</t>
  </si>
  <si>
    <t>i</t>
  </si>
  <si>
    <t>d</t>
  </si>
  <si>
    <t>e</t>
  </si>
  <si>
    <t>r</t>
  </si>
  <si>
    <t>25+25+25+25 M-E ( Con una salida )</t>
  </si>
  <si>
    <t>Espalda-braza saliendo del 25 y viraje</t>
  </si>
  <si>
    <t xml:space="preserve">Crawll 6 brazadas+ 5+4+3+2+1 </t>
  </si>
  <si>
    <t>Espalda (95% ,14 de las 16 y 2 al 100%)(5+1 y5+1)</t>
  </si>
  <si>
    <t>RUPTURA</t>
  </si>
  <si>
    <t>REISTIDOS M y E</t>
  </si>
  <si>
    <t>Espalda-Braza  (ESPRIN 25 CADA 75) viraje nuevo</t>
  </si>
  <si>
    <t>Estio prppio</t>
  </si>
  <si>
    <t>n</t>
  </si>
  <si>
    <t>fase 3 del 100, estilo propio ( 25 viraje 25)</t>
  </si>
  <si>
    <t xml:space="preserve"> 100, estilo propio </t>
  </si>
  <si>
    <t>📌 Condicionantes del microciclo</t>
  </si>
  <si>
    <t>🎯 Objetivos del microciclo</t>
  </si>
  <si>
    <r>
      <t>Proceso de hombro inestable</t>
    </r>
    <r>
      <rPr>
        <sz val="10"/>
        <rFont val="Arial"/>
        <family val="2"/>
      </rPr>
      <t xml:space="preserve">: </t>
    </r>
  </si>
  <si>
    <r>
      <t>Viaje largo (jueves 9)</t>
    </r>
    <r>
      <rPr>
        <sz val="10"/>
        <rFont val="Arial"/>
        <family val="2"/>
      </rPr>
      <t xml:space="preserve">: </t>
    </r>
  </si>
  <si>
    <t xml:space="preserve">Competición exigente (8 pruebas en 3 días): </t>
  </si>
  <si>
    <r>
      <t>Objetivo prioritario</t>
    </r>
    <r>
      <rPr>
        <sz val="10"/>
        <rFont val="Arial"/>
        <family val="2"/>
      </rPr>
      <t xml:space="preserve">: </t>
    </r>
  </si>
  <si>
    <t>Mantener chispa neuromuscular</t>
  </si>
  <si>
    <t xml:space="preserve"> (velocidad / explosividad).</t>
  </si>
  <si>
    <t>Controlar técnica bajo fatiga ligera</t>
  </si>
  <si>
    <t xml:space="preserve"> (no sobrecargar el hombro).</t>
  </si>
  <si>
    <r>
      <t>Simular parciales y salidas específicas</t>
    </r>
    <r>
      <rPr>
        <sz val="10"/>
        <rFont val="Arial"/>
        <family val="2"/>
      </rPr>
      <t xml:space="preserve">, </t>
    </r>
  </si>
  <si>
    <t>sobre todo 50 espalda y 100 estilos.</t>
  </si>
  <si>
    <r>
      <t>Optimizar recuperación y movilidad</t>
    </r>
    <r>
      <rPr>
        <sz val="10"/>
        <rFont val="Arial"/>
        <family val="2"/>
      </rPr>
      <t xml:space="preserve"> → </t>
    </r>
  </si>
  <si>
    <t>evitar rigidez antes del viaje.</t>
  </si>
  <si>
    <r>
      <t xml:space="preserve">Voy a diseñar este </t>
    </r>
    <r>
      <rPr>
        <b/>
        <sz val="12"/>
        <rFont val="Arial"/>
        <family val="2"/>
      </rPr>
      <t>microciclo previo a Saint Dizier (Semana del 29/09 al 05/10/2025)</t>
    </r>
    <r>
      <rPr>
        <sz val="12"/>
        <rFont val="Arial"/>
        <family val="2"/>
      </rPr>
      <t>, teniendo en cuenta el contexto:</t>
    </r>
  </si>
  <si>
    <t>Carga previa alta</t>
  </si>
  <si>
    <t xml:space="preserve"> (venimos de acumulación→ ahora toca puesta a punto progresiva).</t>
  </si>
  <si>
    <t>Debemos cuidar volumen y cargas sobre hombro, sin perder ritmo competitivo.</t>
  </si>
  <si>
    <t>La fatiga logística debe entrar en la planificación.</t>
  </si>
  <si>
    <t>Necesita reserva energética, estabilidad técnica y confianza.</t>
  </si>
  <si>
    <t>Llegar con frescura, con memoria de velocidad y sin riesgo de lesión, manteniendo confianza en E y X</t>
  </si>
  <si>
    <r>
      <t>Reducir volumen total</t>
    </r>
    <r>
      <rPr>
        <sz val="10"/>
        <rFont val="Arial"/>
        <family val="2"/>
      </rPr>
      <t xml:space="preserve"> → </t>
    </r>
    <r>
      <rPr>
        <sz val="8"/>
        <rFont val="Arial"/>
        <family val="2"/>
      </rPr>
      <t>~60% del habitual.</t>
    </r>
  </si>
  <si>
    <t>Con aletas, crall muy plano ( como M alternativa)</t>
  </si>
  <si>
    <t>E, manos rectas sin balanceo y con almohada</t>
  </si>
  <si>
    <t>3 E y 3 a M</t>
  </si>
  <si>
    <t xml:space="preserve">Salidas </t>
  </si>
  <si>
    <t>primera a M.Econ salida   y las 2 ultimas B-C</t>
  </si>
  <si>
    <t>PERFEC.</t>
  </si>
  <si>
    <t>Suavizado activo</t>
  </si>
  <si>
    <t xml:space="preserve">Arrancadas progresiva 5 brazadas </t>
  </si>
  <si>
    <t>Con aletas , ( larguitas)</t>
  </si>
  <si>
    <t>Piernas SUBMARINAS con aletas SIRENA</t>
  </si>
  <si>
    <t>DRILS DE BRAZA</t>
  </si>
  <si>
    <t>Suavizado activo, espalda plana brazos rectos</t>
  </si>
  <si>
    <t xml:space="preserve">ajustar </t>
  </si>
  <si>
    <t>carga según informe del RM si OK, seguir con</t>
  </si>
  <si>
    <t>Espalda-Braza solo el viraje -5m+5m rojo</t>
  </si>
  <si>
    <t xml:space="preserve">Piernas SUBMARINAS con aletas </t>
  </si>
  <si>
    <t>Mariposa (95% ,6 de las 8 y 2 al 100%)(3+1 y3+1)</t>
  </si>
  <si>
    <t>Espalda (95% ,6 de las 8 y 2 al 100%)(3+1 y3+1)</t>
  </si>
  <si>
    <t>25M , 25 E y25C, race pace</t>
  </si>
  <si>
    <t>E a race tempo 48 p/min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</si>
</sst>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8" formatCode="#,##0.00\ &quot;€&quot;;[Red]\-#,##0.00\ &quot;€&quot;"/>
    <numFmt numFmtId="164" formatCode="_-* #,##0\ _P_t_s_-;\-* #,##0\ _P_t_s_-;_-* &quot;-&quot;\ _P_t_s_-;_-@_-"/>
    <numFmt numFmtId="165" formatCode="#,##0.0"/>
    <numFmt numFmtId="166" formatCode="0.0"/>
    <numFmt numFmtId="167" formatCode="d/mm"/>
    <numFmt numFmtId="168" formatCode="m:ss"/>
    <numFmt numFmtId="169" formatCode="d/m"/>
    <numFmt numFmtId="170" formatCode="m:ss.0"/>
    <numFmt numFmtId="171" formatCode="0_)"/>
    <numFmt numFmtId="172" formatCode="General_)"/>
    <numFmt numFmtId="173" formatCode="mm:ss.00"/>
    <numFmt numFmtId="174" formatCode="h:mm:ss.00"/>
    <numFmt numFmtId="175" formatCode="_-* #,##0.00\ [$€]_-;\-* #,##0.00\ [$€]_-;_-* &quot;-&quot;??\ [$€]_-;_-@_-"/>
    <numFmt numFmtId="176" formatCode="h:mm:ss;@"/>
    <numFmt numFmtId="177" formatCode="[$-F400]h:mm:ss\ AM/PM"/>
    <numFmt numFmtId="178" formatCode="d\-m\-yy;@"/>
    <numFmt numFmtId="179" formatCode="[$-C0A]d\ &quot;de&quot;\ mmmm\ &quot;de&quot;\ yyyy;@"/>
    <numFmt numFmtId="180" formatCode="[$-F400]h:mm:ss\ \pm/\pm"/>
    <numFmt numFmtId="181" formatCode="ss.00"/>
    <numFmt numFmtId="182" formatCode="0.000"/>
    <numFmt numFmtId="183" formatCode="[h]:mm:ss.00"/>
    <numFmt numFmtId="184" formatCode="[$-F800]dddd\,\ mmmm\ dd\,\ yyyy"/>
    <numFmt numFmtId="185" formatCode="m:ss.00"/>
    <numFmt numFmtId="186" formatCode="#,##0;[Red]#,##0"/>
  </numFmts>
  <fonts count="439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name val="MS Sans Serif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8"/>
      <name val="Arial"/>
      <family val="2"/>
    </font>
    <font>
      <sz val="8"/>
      <color indexed="8"/>
      <name val="Arial"/>
      <family val="2"/>
    </font>
    <font>
      <b/>
      <sz val="8"/>
      <color indexed="9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b/>
      <sz val="10"/>
      <color indexed="9"/>
      <name val="Arial"/>
      <family val="2"/>
    </font>
    <font>
      <b/>
      <sz val="8"/>
      <color indexed="8"/>
      <name val="Arial"/>
      <family val="2"/>
    </font>
    <font>
      <b/>
      <sz val="10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10"/>
      <color indexed="9"/>
      <name val="Arial"/>
      <family val="2"/>
    </font>
    <font>
      <b/>
      <sz val="8"/>
      <color indexed="9"/>
      <name val="Arial"/>
      <family val="2"/>
    </font>
    <font>
      <b/>
      <sz val="10"/>
      <color indexed="16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MS Sans Serif"/>
    </font>
    <font>
      <sz val="8"/>
      <color indexed="34"/>
      <name val="MS Sans Serif"/>
      <family val="2"/>
    </font>
    <font>
      <b/>
      <sz val="13.5"/>
      <color indexed="34"/>
      <name val="MS Sans Serif"/>
      <family val="2"/>
    </font>
    <font>
      <sz val="13.5"/>
      <color indexed="34"/>
      <name val="MS Sans Serif"/>
      <family val="2"/>
    </font>
    <font>
      <b/>
      <sz val="10"/>
      <color indexed="34"/>
      <name val="MS Sans Serif"/>
      <family val="2"/>
    </font>
    <font>
      <b/>
      <sz val="12"/>
      <color indexed="9"/>
      <name val="MS Sans Serif"/>
      <family val="2"/>
    </font>
    <font>
      <b/>
      <sz val="10"/>
      <color indexed="9"/>
      <name val="MS Sans Serif"/>
      <family val="2"/>
    </font>
    <font>
      <sz val="8"/>
      <color indexed="9"/>
      <name val="MS Sans Serif"/>
      <family val="2"/>
    </font>
    <font>
      <b/>
      <sz val="8"/>
      <color indexed="34"/>
      <name val="MS Sans Serif"/>
      <family val="2"/>
    </font>
    <font>
      <sz val="10"/>
      <color indexed="34"/>
      <name val="MS Sans Serif"/>
      <family val="2"/>
    </font>
    <font>
      <sz val="10"/>
      <color indexed="9"/>
      <name val="MS Sans Serif"/>
      <family val="2"/>
    </font>
    <font>
      <b/>
      <sz val="8"/>
      <color indexed="8"/>
      <name val="MS Sans Serif"/>
      <family val="2"/>
    </font>
    <font>
      <b/>
      <sz val="8"/>
      <name val="MS Sans Serif"/>
      <family val="2"/>
    </font>
    <font>
      <b/>
      <sz val="8"/>
      <name val="MS Sans Serif"/>
      <family val="2"/>
    </font>
    <font>
      <sz val="7"/>
      <name val="MS Sans Serif"/>
      <family val="2"/>
    </font>
    <font>
      <sz val="8.5"/>
      <color indexed="34"/>
      <name val="MS Sans Serif"/>
      <family val="2"/>
    </font>
    <font>
      <sz val="7"/>
      <color indexed="34"/>
      <name val="MS Sans Serif"/>
      <family val="2"/>
    </font>
    <font>
      <sz val="10"/>
      <color indexed="13"/>
      <name val="Arial"/>
      <family val="2"/>
    </font>
    <font>
      <b/>
      <sz val="12"/>
      <color indexed="12"/>
      <name val="Arial"/>
      <family val="2"/>
    </font>
    <font>
      <b/>
      <sz val="12"/>
      <name val="Arial"/>
      <family val="2"/>
    </font>
    <font>
      <sz val="7"/>
      <name val="Arial"/>
      <family val="2"/>
    </font>
    <font>
      <b/>
      <sz val="6"/>
      <name val="Arial"/>
      <family val="2"/>
    </font>
    <font>
      <b/>
      <sz val="7"/>
      <name val="Arial"/>
      <family val="2"/>
    </font>
    <font>
      <b/>
      <sz val="8"/>
      <color indexed="10"/>
      <name val="Arial"/>
      <family val="2"/>
    </font>
    <font>
      <sz val="8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b/>
      <sz val="16"/>
      <color indexed="18"/>
      <name val="Arial"/>
      <family val="2"/>
    </font>
    <font>
      <b/>
      <sz val="10"/>
      <color indexed="10"/>
      <name val="Arial"/>
      <family val="2"/>
    </font>
    <font>
      <b/>
      <sz val="11"/>
      <color indexed="9"/>
      <name val="Arial"/>
      <family val="2"/>
    </font>
    <font>
      <b/>
      <sz val="14"/>
      <color indexed="9"/>
      <name val="Arial"/>
      <family val="2"/>
    </font>
    <font>
      <sz val="8"/>
      <color indexed="9"/>
      <name val="Arial"/>
      <family val="2"/>
    </font>
    <font>
      <b/>
      <sz val="7"/>
      <color indexed="9"/>
      <name val="Arial"/>
      <family val="2"/>
    </font>
    <font>
      <sz val="7"/>
      <color indexed="9"/>
      <name val="Arial"/>
      <family val="2"/>
    </font>
    <font>
      <b/>
      <sz val="10"/>
      <color indexed="13"/>
      <name val="Arial"/>
      <family val="2"/>
    </font>
    <font>
      <b/>
      <sz val="14"/>
      <color indexed="13"/>
      <name val="Arial"/>
      <family val="2"/>
    </font>
    <font>
      <b/>
      <sz val="10"/>
      <color indexed="12"/>
      <name val="Arial"/>
      <family val="2"/>
    </font>
    <font>
      <b/>
      <sz val="18"/>
      <color indexed="9"/>
      <name val="Arial"/>
      <family val="2"/>
    </font>
    <font>
      <sz val="10"/>
      <color indexed="37"/>
      <name val="Arial"/>
      <family val="2"/>
    </font>
    <font>
      <b/>
      <sz val="10"/>
      <color indexed="37"/>
      <name val="Arial"/>
      <family val="2"/>
    </font>
    <font>
      <b/>
      <sz val="8"/>
      <color indexed="37"/>
      <name val="Arial"/>
      <family val="2"/>
    </font>
    <font>
      <b/>
      <sz val="10"/>
      <color indexed="32"/>
      <name val="Arial"/>
      <family val="2"/>
    </font>
    <font>
      <b/>
      <sz val="7"/>
      <color indexed="32"/>
      <name val="Arial"/>
      <family val="2"/>
    </font>
    <font>
      <sz val="7"/>
      <color indexed="8"/>
      <name val="Arial"/>
      <family val="2"/>
    </font>
    <font>
      <b/>
      <sz val="8"/>
      <color indexed="16"/>
      <name val="Arial"/>
      <family val="2"/>
    </font>
    <font>
      <b/>
      <sz val="7"/>
      <color indexed="16"/>
      <name val="Arial"/>
      <family val="2"/>
    </font>
    <font>
      <b/>
      <i/>
      <sz val="18"/>
      <color indexed="9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sz val="16"/>
      <color indexed="13"/>
      <name val="Arial"/>
      <family val="2"/>
    </font>
    <font>
      <b/>
      <sz val="11"/>
      <name val="Arial"/>
      <family val="2"/>
    </font>
    <font>
      <b/>
      <sz val="11"/>
      <color indexed="8"/>
      <name val="Arial"/>
      <family val="2"/>
    </font>
    <font>
      <sz val="9"/>
      <name val="Arial"/>
      <family val="2"/>
    </font>
    <font>
      <b/>
      <sz val="12"/>
      <color indexed="16"/>
      <name val="Arial"/>
      <family val="2"/>
    </font>
    <font>
      <sz val="6"/>
      <color indexed="9"/>
      <name val="Arial"/>
      <family val="2"/>
    </font>
    <font>
      <b/>
      <sz val="22"/>
      <color indexed="9"/>
      <name val="Arial"/>
      <family val="2"/>
    </font>
    <font>
      <i/>
      <sz val="18"/>
      <color indexed="9"/>
      <name val="Arial"/>
      <family val="2"/>
    </font>
    <font>
      <b/>
      <sz val="7"/>
      <color indexed="32"/>
      <name val="Arial"/>
      <family val="2"/>
    </font>
    <font>
      <sz val="8"/>
      <name val="Arial MT"/>
    </font>
    <font>
      <sz val="10"/>
      <name val="Arial MT"/>
    </font>
    <font>
      <b/>
      <sz val="14"/>
      <name val="Arial MT"/>
    </font>
    <font>
      <b/>
      <sz val="8"/>
      <color indexed="8"/>
      <name val="Arial MT"/>
    </font>
    <font>
      <b/>
      <sz val="10"/>
      <name val="Arial MT"/>
    </font>
    <font>
      <b/>
      <sz val="8"/>
      <name val="Arial MT"/>
    </font>
    <font>
      <sz val="12"/>
      <color indexed="8"/>
      <name val="Arial MT"/>
    </font>
    <font>
      <b/>
      <sz val="8"/>
      <name val="TimesNewRomanPS"/>
      <family val="1"/>
    </font>
    <font>
      <sz val="10"/>
      <color indexed="8"/>
      <name val="Arial MT"/>
    </font>
    <font>
      <sz val="10"/>
      <name val="Arial"/>
      <family val="2"/>
    </font>
    <font>
      <sz val="10"/>
      <name val="Arial"/>
      <family val="2"/>
    </font>
    <font>
      <b/>
      <sz val="10"/>
      <color indexed="8"/>
      <name val="Arial MT"/>
    </font>
    <font>
      <b/>
      <sz val="6"/>
      <name val="TimesNewRomanPS"/>
    </font>
    <font>
      <b/>
      <sz val="8"/>
      <name val="TimesNewRomanPS"/>
      <family val="1"/>
    </font>
    <font>
      <b/>
      <sz val="18"/>
      <name val="Arial"/>
      <family val="2"/>
    </font>
    <font>
      <b/>
      <sz val="11"/>
      <name val="Arial"/>
      <family val="2"/>
    </font>
    <font>
      <b/>
      <sz val="12"/>
      <name val="Arial MT"/>
    </font>
    <font>
      <sz val="10"/>
      <color indexed="9"/>
      <name val="Arial"/>
      <family val="2"/>
    </font>
    <font>
      <sz val="10"/>
      <color indexed="9"/>
      <name val="Arial MT"/>
    </font>
    <font>
      <b/>
      <sz val="10"/>
      <color indexed="9"/>
      <name val="Arial MT"/>
    </font>
    <font>
      <sz val="8"/>
      <color indexed="37"/>
      <name val="Arial"/>
      <family val="2"/>
    </font>
    <font>
      <b/>
      <sz val="10"/>
      <color indexed="10"/>
      <name val="Arial"/>
      <family val="2"/>
    </font>
    <font>
      <b/>
      <sz val="10"/>
      <color indexed="14"/>
      <name val="Arial"/>
      <family val="2"/>
    </font>
    <font>
      <b/>
      <sz val="7"/>
      <color indexed="36"/>
      <name val="Arial"/>
      <family val="2"/>
    </font>
    <font>
      <b/>
      <sz val="10"/>
      <color indexed="36"/>
      <name val="Arial"/>
      <family val="2"/>
    </font>
    <font>
      <b/>
      <sz val="8"/>
      <color indexed="9"/>
      <name val="Arial MT"/>
    </font>
    <font>
      <b/>
      <sz val="8"/>
      <color indexed="9"/>
      <name val="TimesNewRomanPS"/>
      <family val="1"/>
    </font>
    <font>
      <sz val="6"/>
      <color indexed="8"/>
      <name val="Arial"/>
      <family val="2"/>
    </font>
    <font>
      <sz val="6"/>
      <name val="Arial"/>
      <family val="2"/>
    </font>
    <font>
      <sz val="6"/>
      <color indexed="8"/>
      <name val="Arial"/>
      <family val="2"/>
    </font>
    <font>
      <sz val="6"/>
      <color indexed="9"/>
      <name val="Arial MT"/>
    </font>
    <font>
      <sz val="6"/>
      <color indexed="16"/>
      <name val="Arial"/>
      <family val="2"/>
    </font>
    <font>
      <sz val="6"/>
      <name val="Arial MT"/>
    </font>
    <font>
      <sz val="6"/>
      <name val="TimesNewRomanPS"/>
      <family val="1"/>
    </font>
    <font>
      <sz val="6"/>
      <color indexed="8"/>
      <name val="Arial MT"/>
    </font>
    <font>
      <sz val="6"/>
      <color indexed="9"/>
      <name val="Arial"/>
      <family val="2"/>
    </font>
    <font>
      <sz val="5"/>
      <name val="Arial"/>
      <family val="2"/>
    </font>
    <font>
      <sz val="48"/>
      <name val="Arial"/>
      <family val="2"/>
    </font>
    <font>
      <sz val="6"/>
      <name val="Arial MT"/>
    </font>
    <font>
      <sz val="6"/>
      <color indexed="13"/>
      <name val="Arial"/>
      <family val="2"/>
    </font>
    <font>
      <sz val="6"/>
      <name val="Arial"/>
      <family val="2"/>
    </font>
    <font>
      <b/>
      <sz val="9"/>
      <color indexed="9"/>
      <name val="Arial"/>
      <family val="2"/>
    </font>
    <font>
      <i/>
      <sz val="26"/>
      <color indexed="9"/>
      <name val="Arial"/>
      <family val="2"/>
    </font>
    <font>
      <b/>
      <sz val="16"/>
      <name val="Symbol"/>
      <family val="1"/>
    </font>
    <font>
      <b/>
      <sz val="16"/>
      <name val="Arial"/>
      <family val="2"/>
    </font>
    <font>
      <sz val="10"/>
      <color indexed="10"/>
      <name val="Arial"/>
      <family val="2"/>
    </font>
    <font>
      <b/>
      <sz val="7"/>
      <color indexed="10"/>
      <name val="Arial"/>
      <family val="2"/>
    </font>
    <font>
      <b/>
      <sz val="10"/>
      <color indexed="20"/>
      <name val="Arial"/>
      <family val="2"/>
    </font>
    <font>
      <b/>
      <sz val="16"/>
      <name val="Arial"/>
      <family val="2"/>
    </font>
    <font>
      <sz val="10"/>
      <color indexed="58"/>
      <name val="Arial"/>
      <family val="2"/>
    </font>
    <font>
      <b/>
      <sz val="10"/>
      <color indexed="58"/>
      <name val="Arial"/>
      <family val="2"/>
    </font>
    <font>
      <sz val="6"/>
      <color indexed="58"/>
      <name val="Arial"/>
      <family val="2"/>
    </font>
    <font>
      <b/>
      <sz val="10"/>
      <color indexed="58"/>
      <name val="Arial"/>
      <family val="2"/>
    </font>
    <font>
      <b/>
      <sz val="8"/>
      <color indexed="58"/>
      <name val="Arial"/>
      <family val="2"/>
    </font>
    <font>
      <sz val="8"/>
      <color indexed="58"/>
      <name val="Arial"/>
      <family val="2"/>
    </font>
    <font>
      <b/>
      <sz val="10"/>
      <color indexed="58"/>
      <name val="Arial MT"/>
    </font>
    <font>
      <sz val="10"/>
      <color indexed="13"/>
      <name val="Arial"/>
      <family val="2"/>
    </font>
    <font>
      <sz val="10"/>
      <color indexed="13"/>
      <name val="Arial MT"/>
    </font>
    <font>
      <b/>
      <sz val="8"/>
      <color indexed="13"/>
      <name val="Arial MT"/>
    </font>
    <font>
      <sz val="6"/>
      <color indexed="13"/>
      <name val="Arial MT"/>
    </font>
    <font>
      <b/>
      <sz val="10"/>
      <color indexed="13"/>
      <name val="Arial MT"/>
    </font>
    <font>
      <b/>
      <sz val="8"/>
      <color indexed="13"/>
      <name val="Arial"/>
      <family val="2"/>
    </font>
    <font>
      <sz val="6"/>
      <color indexed="13"/>
      <name val="Arial"/>
      <family val="2"/>
    </font>
    <font>
      <b/>
      <sz val="12"/>
      <color indexed="10"/>
      <name val="Arial"/>
      <family val="2"/>
    </font>
    <font>
      <b/>
      <sz val="12"/>
      <color indexed="8"/>
      <name val="Arial MT"/>
    </font>
    <font>
      <sz val="12"/>
      <color indexed="9"/>
      <name val="Arial MT"/>
    </font>
    <font>
      <sz val="12"/>
      <name val="Arial MT"/>
    </font>
    <font>
      <b/>
      <sz val="7"/>
      <color indexed="14"/>
      <name val="Arial"/>
      <family val="2"/>
    </font>
    <font>
      <b/>
      <sz val="12"/>
      <color indexed="8"/>
      <name val="Arial"/>
      <family val="2"/>
    </font>
    <font>
      <b/>
      <sz val="14"/>
      <color indexed="10"/>
      <name val="Arial MT"/>
    </font>
    <font>
      <sz val="10"/>
      <name val="Symbol"/>
      <family val="1"/>
    </font>
    <font>
      <sz val="8"/>
      <color indexed="8"/>
      <name val="Arial MT"/>
    </font>
    <font>
      <b/>
      <sz val="12"/>
      <color indexed="13"/>
      <name val="Arial"/>
      <family val="2"/>
    </font>
    <font>
      <b/>
      <sz val="7"/>
      <color indexed="20"/>
      <name val="Arial"/>
      <family val="2"/>
    </font>
    <font>
      <b/>
      <sz val="16"/>
      <color indexed="20"/>
      <name val="Arial"/>
      <family val="2"/>
    </font>
    <font>
      <b/>
      <sz val="20"/>
      <color indexed="43"/>
      <name val="Arial Black"/>
      <family val="2"/>
    </font>
    <font>
      <b/>
      <sz val="6"/>
      <color indexed="9"/>
      <name val="Arial"/>
      <family val="2"/>
    </font>
    <font>
      <b/>
      <sz val="6"/>
      <color indexed="9"/>
      <name val="Arial MT"/>
    </font>
    <font>
      <b/>
      <sz val="10"/>
      <color indexed="9"/>
      <name val="Arial"/>
      <family val="2"/>
    </font>
    <font>
      <sz val="8"/>
      <color indexed="9"/>
      <name val="Arial MT"/>
    </font>
    <font>
      <b/>
      <sz val="6"/>
      <color indexed="9"/>
      <name val="Arial"/>
      <family val="2"/>
    </font>
    <font>
      <b/>
      <sz val="7"/>
      <name val="Arial"/>
      <family val="2"/>
    </font>
    <font>
      <sz val="8"/>
      <color indexed="46"/>
      <name val="Arial"/>
      <family val="2"/>
    </font>
    <font>
      <sz val="8"/>
      <name val="TimesNewRomanPS"/>
      <family val="1"/>
    </font>
    <font>
      <sz val="8"/>
      <color indexed="10"/>
      <name val="Arial"/>
      <family val="2"/>
    </font>
    <font>
      <sz val="10"/>
      <color indexed="46"/>
      <name val="Arial"/>
      <family val="2"/>
    </font>
    <font>
      <b/>
      <sz val="6"/>
      <color indexed="8"/>
      <name val="Arial"/>
      <family val="2"/>
    </font>
    <font>
      <b/>
      <sz val="6"/>
      <name val="Arial MT"/>
    </font>
    <font>
      <b/>
      <sz val="10"/>
      <color indexed="9"/>
      <name val="TimesNewRomanPS"/>
      <family val="1"/>
    </font>
    <font>
      <b/>
      <sz val="28"/>
      <name val="Arial"/>
      <family val="2"/>
    </font>
    <font>
      <u/>
      <sz val="10"/>
      <name val="Arial"/>
      <family val="2"/>
    </font>
    <font>
      <b/>
      <u/>
      <sz val="8"/>
      <color indexed="8"/>
      <name val="Arial"/>
      <family val="2"/>
    </font>
    <font>
      <b/>
      <u/>
      <sz val="10"/>
      <name val="Arial"/>
      <family val="2"/>
    </font>
    <font>
      <u/>
      <sz val="6"/>
      <name val="Arial"/>
      <family val="2"/>
    </font>
    <font>
      <b/>
      <u/>
      <sz val="10"/>
      <color indexed="8"/>
      <name val="Arial"/>
      <family val="2"/>
    </font>
    <font>
      <u/>
      <sz val="8"/>
      <color indexed="8"/>
      <name val="Arial"/>
      <family val="2"/>
    </font>
    <font>
      <u/>
      <sz val="10"/>
      <color indexed="9"/>
      <name val="Arial"/>
      <family val="2"/>
    </font>
    <font>
      <u/>
      <sz val="7"/>
      <color indexed="9"/>
      <name val="Arial"/>
      <family val="2"/>
    </font>
    <font>
      <u/>
      <sz val="10"/>
      <color indexed="58"/>
      <name val="Arial"/>
      <family val="2"/>
    </font>
    <font>
      <b/>
      <u/>
      <sz val="10"/>
      <color indexed="58"/>
      <name val="Arial"/>
      <family val="2"/>
    </font>
    <font>
      <u/>
      <sz val="6"/>
      <color indexed="58"/>
      <name val="Arial"/>
      <family val="2"/>
    </font>
    <font>
      <b/>
      <u/>
      <sz val="8"/>
      <color indexed="58"/>
      <name val="Arial"/>
      <family val="2"/>
    </font>
    <font>
      <b/>
      <u/>
      <sz val="8"/>
      <color indexed="9"/>
      <name val="Arial"/>
      <family val="2"/>
    </font>
    <font>
      <u/>
      <sz val="6"/>
      <color indexed="9"/>
      <name val="Arial"/>
      <family val="2"/>
    </font>
    <font>
      <b/>
      <u/>
      <sz val="8"/>
      <name val="Arial"/>
      <family val="2"/>
    </font>
    <font>
      <b/>
      <u/>
      <sz val="10"/>
      <color indexed="9"/>
      <name val="Arial"/>
      <family val="2"/>
    </font>
    <font>
      <u/>
      <sz val="8"/>
      <name val="Arial MT"/>
    </font>
    <font>
      <u/>
      <sz val="10"/>
      <name val="Arial MT"/>
    </font>
    <font>
      <b/>
      <u/>
      <sz val="8"/>
      <name val="Arial MT"/>
    </font>
    <font>
      <u/>
      <sz val="6"/>
      <name val="Arial MT"/>
    </font>
    <font>
      <u/>
      <sz val="8"/>
      <color indexed="58"/>
      <name val="Arial"/>
      <family val="2"/>
    </font>
    <font>
      <u/>
      <sz val="10"/>
      <color indexed="8"/>
      <name val="Arial MT"/>
    </font>
    <font>
      <u/>
      <sz val="10"/>
      <color indexed="9"/>
      <name val="Arial MT"/>
    </font>
    <font>
      <b/>
      <u/>
      <sz val="8"/>
      <color indexed="9"/>
      <name val="Arial MT"/>
    </font>
    <font>
      <u/>
      <sz val="6"/>
      <color indexed="9"/>
      <name val="Arial MT"/>
    </font>
    <font>
      <u/>
      <sz val="6"/>
      <color indexed="8"/>
      <name val="Arial"/>
      <family val="2"/>
    </font>
    <font>
      <u/>
      <sz val="8"/>
      <color indexed="9"/>
      <name val="Arial"/>
      <family val="2"/>
    </font>
    <font>
      <b/>
      <u/>
      <sz val="7"/>
      <color indexed="9"/>
      <name val="Arial"/>
      <family val="2"/>
    </font>
    <font>
      <b/>
      <sz val="8"/>
      <color indexed="58"/>
      <name val="Arial MT"/>
    </font>
    <font>
      <b/>
      <sz val="6"/>
      <color indexed="8"/>
      <name val="Arial MT"/>
    </font>
    <font>
      <b/>
      <sz val="8"/>
      <color indexed="10"/>
      <name val="Arial MT"/>
    </font>
    <font>
      <sz val="9"/>
      <color indexed="9"/>
      <name val="Arial MT"/>
    </font>
    <font>
      <sz val="10"/>
      <color indexed="9"/>
      <name val="Arial"/>
      <family val="2"/>
    </font>
    <font>
      <sz val="8"/>
      <color indexed="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b/>
      <sz val="10"/>
      <color indexed="9"/>
      <name val="Arial"/>
      <family val="2"/>
    </font>
    <font>
      <sz val="10"/>
      <color indexed="9"/>
      <name val="Arial MT"/>
    </font>
    <font>
      <sz val="6"/>
      <color indexed="9"/>
      <name val="Arial"/>
      <family val="2"/>
    </font>
    <font>
      <sz val="10"/>
      <color indexed="54"/>
      <name val="Arial"/>
      <family val="2"/>
    </font>
    <font>
      <sz val="10"/>
      <color indexed="9"/>
      <name val="Arial"/>
      <family val="2"/>
    </font>
    <font>
      <sz val="10"/>
      <color indexed="9"/>
      <name val="Arial MT"/>
    </font>
    <font>
      <b/>
      <sz val="8"/>
      <color indexed="9"/>
      <name val="Arial MT"/>
    </font>
    <font>
      <sz val="6"/>
      <color indexed="9"/>
      <name val="Arial MT"/>
    </font>
    <font>
      <b/>
      <sz val="10"/>
      <color indexed="9"/>
      <name val="Arial MT"/>
    </font>
    <font>
      <sz val="8"/>
      <color indexed="8"/>
      <name val="Arial MT"/>
    </font>
    <font>
      <b/>
      <sz val="10"/>
      <color indexed="9"/>
      <name val="Arial MT"/>
    </font>
    <font>
      <b/>
      <sz val="8"/>
      <color indexed="9"/>
      <name val="Arial"/>
      <family val="2"/>
    </font>
    <font>
      <sz val="10"/>
      <color indexed="53"/>
      <name val="Arial"/>
      <family val="2"/>
    </font>
    <font>
      <b/>
      <sz val="8"/>
      <color indexed="9"/>
      <name val="Arial MT"/>
    </font>
    <font>
      <b/>
      <sz val="8"/>
      <color indexed="8"/>
      <name val="Arial MT"/>
    </font>
    <font>
      <b/>
      <sz val="9"/>
      <color indexed="9"/>
      <name val="Arial"/>
      <family val="2"/>
    </font>
    <font>
      <sz val="9"/>
      <color indexed="9"/>
      <name val="Arial"/>
      <family val="2"/>
    </font>
    <font>
      <sz val="6"/>
      <color indexed="9"/>
      <name val="Arial MT"/>
    </font>
    <font>
      <b/>
      <sz val="8"/>
      <color indexed="12"/>
      <name val="Arial MT"/>
    </font>
    <font>
      <b/>
      <u/>
      <sz val="16"/>
      <color indexed="18"/>
      <name val="Arial"/>
      <family val="2"/>
    </font>
    <font>
      <u/>
      <sz val="7"/>
      <color indexed="8"/>
      <name val="Arial"/>
      <family val="2"/>
    </font>
    <font>
      <u/>
      <sz val="10"/>
      <color indexed="8"/>
      <name val="Arial"/>
      <family val="2"/>
    </font>
    <font>
      <b/>
      <u/>
      <sz val="10"/>
      <color indexed="10"/>
      <name val="Arial"/>
      <family val="2"/>
    </font>
    <font>
      <b/>
      <u/>
      <sz val="10"/>
      <name val="Arial MT"/>
    </font>
    <font>
      <b/>
      <u/>
      <sz val="6"/>
      <color indexed="9"/>
      <name val="Arial"/>
      <family val="2"/>
    </font>
    <font>
      <b/>
      <u/>
      <sz val="10"/>
      <color indexed="9"/>
      <name val="Arial MT"/>
    </font>
    <font>
      <b/>
      <u/>
      <sz val="8"/>
      <color indexed="9"/>
      <name val="TimesNewRomanPS"/>
      <family val="1"/>
    </font>
    <font>
      <b/>
      <u/>
      <sz val="8"/>
      <name val="TimesNewRomanPS"/>
      <family val="1"/>
    </font>
    <font>
      <b/>
      <u/>
      <sz val="6"/>
      <color indexed="9"/>
      <name val="Arial MT"/>
    </font>
    <font>
      <b/>
      <u/>
      <sz val="10"/>
      <color indexed="8"/>
      <name val="Arial MT"/>
    </font>
    <font>
      <sz val="11"/>
      <color indexed="20"/>
      <name val="Calibri"/>
      <family val="2"/>
    </font>
    <font>
      <b/>
      <u/>
      <sz val="12"/>
      <name val="Arial"/>
      <family val="2"/>
    </font>
    <font>
      <b/>
      <u/>
      <sz val="18"/>
      <name val="Arial"/>
      <family val="2"/>
    </font>
    <font>
      <b/>
      <u/>
      <sz val="11"/>
      <name val="Arial"/>
      <family val="2"/>
    </font>
    <font>
      <u/>
      <sz val="10"/>
      <name val="TimesNewRomanPS"/>
      <family val="1"/>
    </font>
    <font>
      <b/>
      <u/>
      <sz val="10"/>
      <color indexed="9"/>
      <name val="TimesNewRomanPS"/>
      <family val="1"/>
    </font>
    <font>
      <u/>
      <sz val="8"/>
      <color indexed="9"/>
      <name val="Arial MT"/>
    </font>
    <font>
      <sz val="9"/>
      <color indexed="8"/>
      <name val="Arial MT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1"/>
      <name val="Arial"/>
      <family val="2"/>
    </font>
    <font>
      <sz val="20"/>
      <name val="Arial"/>
      <family val="2"/>
    </font>
    <font>
      <b/>
      <sz val="7"/>
      <color indexed="8"/>
      <name val="Arial"/>
      <family val="2"/>
    </font>
    <font>
      <sz val="11"/>
      <color theme="1"/>
      <name val="Calibri"/>
      <family val="2"/>
    </font>
    <font>
      <sz val="10"/>
      <color rgb="FFFFFFFF"/>
      <name val="Arial"/>
      <family val="2"/>
    </font>
    <font>
      <sz val="10"/>
      <color rgb="FFFFFFFF"/>
      <name val="Arial MT"/>
    </font>
    <font>
      <sz val="8"/>
      <color rgb="FFFFFFFF"/>
      <name val="Arial MT"/>
    </font>
    <font>
      <b/>
      <sz val="8"/>
      <color rgb="FFFFFFFF"/>
      <name val="Arial"/>
      <family val="2"/>
    </font>
    <font>
      <b/>
      <sz val="10"/>
      <color rgb="FFFFFFFF"/>
      <name val="Arial MT"/>
    </font>
    <font>
      <b/>
      <sz val="8"/>
      <color rgb="FFFFFFFF"/>
      <name val="Arial MT"/>
    </font>
    <font>
      <sz val="8"/>
      <color rgb="FF003300"/>
      <name val="Arial"/>
      <family val="2"/>
    </font>
    <font>
      <sz val="9"/>
      <name val="Arial MT"/>
    </font>
    <font>
      <b/>
      <sz val="8"/>
      <color theme="0"/>
      <name val="Arial"/>
      <family val="2"/>
    </font>
    <font>
      <b/>
      <sz val="8"/>
      <color rgb="FFFFFF00"/>
      <name val="Arial"/>
      <family val="2"/>
    </font>
    <font>
      <b/>
      <sz val="8"/>
      <color indexed="20"/>
      <name val="Calibri"/>
      <family val="2"/>
    </font>
    <font>
      <b/>
      <sz val="10"/>
      <color rgb="FFFFFF00"/>
      <name val="Arial MT"/>
    </font>
    <font>
      <sz val="10"/>
      <color theme="1"/>
      <name val="Arial"/>
      <family val="2"/>
    </font>
    <font>
      <b/>
      <sz val="8"/>
      <color theme="1"/>
      <name val="Arial"/>
      <family val="2"/>
    </font>
    <font>
      <b/>
      <sz val="8"/>
      <color rgb="FFFF0000"/>
      <name val="Arial"/>
      <family val="2"/>
    </font>
    <font>
      <sz val="4"/>
      <name val="Arial"/>
      <family val="2"/>
    </font>
    <font>
      <b/>
      <sz val="10"/>
      <color rgb="FFFF0000"/>
      <name val="Arial MT"/>
    </font>
    <font>
      <b/>
      <sz val="10"/>
      <color rgb="FFFF0000"/>
      <name val="Arial"/>
      <family val="2"/>
    </font>
    <font>
      <sz val="8"/>
      <color theme="1"/>
      <name val="Arial MT"/>
    </font>
    <font>
      <sz val="10"/>
      <color theme="1"/>
      <name val="Arial MT"/>
    </font>
    <font>
      <b/>
      <sz val="8"/>
      <color theme="1"/>
      <name val="Arial MT"/>
    </font>
    <font>
      <sz val="9"/>
      <color theme="1"/>
      <name val="Arial MT"/>
    </font>
    <font>
      <sz val="6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 MT"/>
    </font>
    <font>
      <b/>
      <sz val="8"/>
      <color theme="1"/>
      <name val="TimesNewRomanPS"/>
      <family val="1"/>
    </font>
    <font>
      <sz val="10"/>
      <color theme="7" tint="0.59999389629810485"/>
      <name val="Arial"/>
      <family val="2"/>
    </font>
    <font>
      <sz val="10"/>
      <color theme="7" tint="0.39997558519241921"/>
      <name val="Arial"/>
      <family val="2"/>
    </font>
    <font>
      <sz val="6"/>
      <color rgb="FFFFFFFF"/>
      <name val="Arial MT"/>
    </font>
    <font>
      <b/>
      <sz val="10"/>
      <color theme="1"/>
      <name val="Arial"/>
      <family val="2"/>
    </font>
    <font>
      <b/>
      <sz val="12"/>
      <color rgb="FFE660E6"/>
      <name val="Arial"/>
      <family val="2"/>
    </font>
    <font>
      <b/>
      <sz val="10"/>
      <color rgb="FFE660E6"/>
      <name val="Arial"/>
      <family val="2"/>
    </font>
    <font>
      <b/>
      <sz val="14"/>
      <color rgb="FF7030A0"/>
      <name val="Arial"/>
      <family val="2"/>
    </font>
    <font>
      <b/>
      <sz val="12"/>
      <color rgb="FF7030A0"/>
      <name val="Arial"/>
      <family val="2"/>
    </font>
    <font>
      <sz val="12"/>
      <color indexed="8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8"/>
      <color theme="7" tint="0.39997558519241921"/>
      <name val="Arial MT"/>
    </font>
    <font>
      <sz val="8"/>
      <color theme="7" tint="0.39997558519241921"/>
      <name val="Arial"/>
      <family val="2"/>
    </font>
    <font>
      <b/>
      <sz val="10"/>
      <color theme="0" tint="-0.14999847407452621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b/>
      <sz val="10"/>
      <color indexed="18"/>
      <name val="Arial"/>
      <family val="2"/>
    </font>
    <font>
      <sz val="10"/>
      <color rgb="FFFF0000"/>
      <name val="Arial MT"/>
    </font>
    <font>
      <sz val="8"/>
      <color theme="0"/>
      <name val="Arial"/>
      <family val="2"/>
    </font>
    <font>
      <b/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2"/>
      <color rgb="FFFFFF00"/>
      <name val="Calibri"/>
      <family val="2"/>
      <scheme val="minor"/>
    </font>
    <font>
      <b/>
      <sz val="72"/>
      <color theme="1"/>
      <name val="Arial"/>
      <family val="2"/>
    </font>
    <font>
      <sz val="8"/>
      <color indexed="14"/>
      <name val="Arial"/>
      <family val="2"/>
    </font>
    <font>
      <sz val="10"/>
      <color rgb="FF000000"/>
      <name val="Arial MT"/>
    </font>
    <font>
      <b/>
      <sz val="8"/>
      <color rgb="FF000000"/>
      <name val="Arial"/>
      <family val="2"/>
    </font>
    <font>
      <sz val="11"/>
      <name val="Arial"/>
      <family val="2"/>
    </font>
    <font>
      <sz val="6"/>
      <color theme="0"/>
      <name val="Arial"/>
      <family val="2"/>
    </font>
    <font>
      <b/>
      <sz val="10"/>
      <color theme="0"/>
      <name val="Arial MT"/>
    </font>
    <font>
      <b/>
      <sz val="8"/>
      <color theme="0"/>
      <name val="Arial MT"/>
    </font>
    <font>
      <b/>
      <sz val="6"/>
      <color theme="1"/>
      <name val="Arial"/>
      <family val="2"/>
    </font>
    <font>
      <b/>
      <sz val="16"/>
      <color theme="0"/>
      <name val="Arial"/>
      <family val="2"/>
    </font>
    <font>
      <sz val="10"/>
      <color theme="3"/>
      <name val="Arial"/>
      <family val="2"/>
    </font>
    <font>
      <b/>
      <sz val="10"/>
      <color theme="3"/>
      <name val="Arial"/>
      <family val="2"/>
    </font>
    <font>
      <b/>
      <sz val="14"/>
      <color theme="3"/>
      <name val="Arial"/>
      <family val="2"/>
    </font>
    <font>
      <sz val="8"/>
      <color rgb="FF000000"/>
      <name val="Arial"/>
      <family val="2"/>
    </font>
    <font>
      <b/>
      <sz val="16"/>
      <color rgb="FF000080"/>
      <name val="Arial"/>
      <family val="2"/>
    </font>
    <font>
      <b/>
      <sz val="10"/>
      <color rgb="FF000000"/>
      <name val="Arial"/>
      <family val="2"/>
    </font>
    <font>
      <sz val="6"/>
      <color rgb="FF000000"/>
      <name val="Arial"/>
      <family val="2"/>
    </font>
    <font>
      <sz val="6"/>
      <color rgb="FFFFFFFF"/>
      <name val="Arial"/>
      <family val="2"/>
    </font>
    <font>
      <b/>
      <sz val="10"/>
      <color rgb="FFFFFFFF"/>
      <name val="Arial"/>
      <family val="2"/>
    </font>
    <font>
      <b/>
      <sz val="8"/>
      <color rgb="FF000000"/>
      <name val="Arial MT"/>
    </font>
    <font>
      <sz val="8"/>
      <color rgb="FF000000"/>
      <name val="Arial MT"/>
    </font>
    <font>
      <b/>
      <sz val="8"/>
      <color rgb="FF0000FF"/>
      <name val="Arial MT"/>
    </font>
    <font>
      <sz val="8"/>
      <color rgb="FFFFFFFF"/>
      <name val="Arial"/>
      <family val="2"/>
    </font>
    <font>
      <b/>
      <sz val="8"/>
      <color rgb="FFFFFFFF"/>
      <name val="TimesNewRomanPS"/>
      <family val="1"/>
    </font>
    <font>
      <b/>
      <sz val="7"/>
      <color rgb="FFFFFFFF"/>
      <name val="Arial"/>
      <family val="2"/>
    </font>
    <font>
      <sz val="8"/>
      <color rgb="FF969696"/>
      <name val="Arial"/>
      <family val="2"/>
    </font>
    <font>
      <b/>
      <sz val="8"/>
      <color rgb="FFFFFF00"/>
      <name val="Arial MT"/>
    </font>
    <font>
      <b/>
      <u/>
      <sz val="8"/>
      <color rgb="FF000000"/>
      <name val="Arial"/>
      <family val="2"/>
    </font>
    <font>
      <sz val="8"/>
      <color indexed="16"/>
      <name val="Arial"/>
      <family val="2"/>
    </font>
    <font>
      <b/>
      <sz val="8"/>
      <color rgb="FF7030A0"/>
      <name val="Arial"/>
      <family val="2"/>
    </font>
    <font>
      <b/>
      <sz val="8"/>
      <color rgb="FF7030A0"/>
      <name val="Arial MT"/>
    </font>
    <font>
      <b/>
      <sz val="11"/>
      <color rgb="FF000000"/>
      <name val="Lucida Grande"/>
      <family val="2"/>
    </font>
    <font>
      <b/>
      <sz val="7"/>
      <color rgb="FF000000"/>
      <name val="Arial"/>
      <family val="2"/>
    </font>
    <font>
      <sz val="16"/>
      <name val="Arial"/>
      <family val="2"/>
    </font>
    <font>
      <sz val="25"/>
      <name val="Arial"/>
      <family val="2"/>
    </font>
    <font>
      <b/>
      <sz val="22"/>
      <name val="Arial"/>
      <family val="2"/>
    </font>
    <font>
      <b/>
      <sz val="22"/>
      <color rgb="FFFF0000"/>
      <name val="Arial"/>
      <family val="2"/>
    </font>
    <font>
      <sz val="10"/>
      <color rgb="FF7030A0"/>
      <name val="Arial MT"/>
    </font>
    <font>
      <sz val="10"/>
      <color rgb="FFFFFF00"/>
      <name val="Arial MT"/>
    </font>
    <font>
      <b/>
      <sz val="8"/>
      <color theme="3"/>
      <name val="TimesNewRomanPS"/>
    </font>
    <font>
      <b/>
      <sz val="8"/>
      <color rgb="FF7030A0"/>
      <name val="TimesNewRomanPS"/>
    </font>
    <font>
      <b/>
      <sz val="8"/>
      <color rgb="FFFF0000"/>
      <name val="TimesNewRomanPS"/>
    </font>
    <font>
      <b/>
      <sz val="12"/>
      <color indexed="9"/>
      <name val="Arial MT"/>
    </font>
    <font>
      <sz val="8"/>
      <color theme="0"/>
      <name val="Arial MT"/>
    </font>
    <font>
      <sz val="8"/>
      <color rgb="FF00FF00"/>
      <name val="Arial"/>
      <family val="2"/>
    </font>
    <font>
      <u/>
      <sz val="6"/>
      <name val="TimesNewRomanPS"/>
      <family val="1"/>
    </font>
    <font>
      <u/>
      <sz val="10"/>
      <color rgb="FF92D050"/>
      <name val="Arial"/>
      <family val="2"/>
    </font>
    <font>
      <u/>
      <sz val="10"/>
      <color theme="1"/>
      <name val="Arial"/>
      <family val="2"/>
    </font>
    <font>
      <b/>
      <sz val="9"/>
      <color rgb="FFFF0000"/>
      <name val="Arial"/>
      <family val="2"/>
    </font>
    <font>
      <sz val="20"/>
      <color theme="0"/>
      <name val="Arial"/>
      <family val="2"/>
    </font>
    <font>
      <b/>
      <sz val="10"/>
      <color theme="0" tint="-0.249977111117893"/>
      <name val="Arial"/>
      <family val="2"/>
    </font>
    <font>
      <b/>
      <sz val="12"/>
      <color theme="0" tint="-0.249977111117893"/>
      <name val="Arial"/>
      <family val="2"/>
    </font>
    <font>
      <sz val="8"/>
      <color theme="0" tint="-0.249977111117893"/>
      <name val="Arial"/>
      <family val="2"/>
    </font>
    <font>
      <b/>
      <sz val="7"/>
      <color theme="0" tint="-0.249977111117893"/>
      <name val="Arial"/>
      <family val="2"/>
    </font>
    <font>
      <sz val="10"/>
      <color theme="0" tint="-0.249977111117893"/>
      <name val="Arial"/>
      <family val="2"/>
    </font>
    <font>
      <b/>
      <sz val="8"/>
      <color theme="0" tint="-0.249977111117893"/>
      <name val="Arial"/>
      <family val="2"/>
    </font>
    <font>
      <b/>
      <sz val="8"/>
      <color rgb="FF3366FF"/>
      <name val="Arial MT"/>
    </font>
    <font>
      <b/>
      <sz val="8"/>
      <color theme="1" tint="0.499984740745262"/>
      <name val="Arial MT"/>
    </font>
    <font>
      <b/>
      <sz val="8"/>
      <color rgb="FFFFC000"/>
      <name val="Arial MT"/>
    </font>
    <font>
      <b/>
      <sz val="8"/>
      <color rgb="FFFF0000"/>
      <name val="Arial MT"/>
    </font>
    <font>
      <sz val="10"/>
      <color rgb="FF969696"/>
      <name val="Arial"/>
      <family val="2"/>
    </font>
    <font>
      <sz val="8"/>
      <name val="Arial"/>
      <family val="2"/>
    </font>
    <font>
      <b/>
      <sz val="6"/>
      <color theme="0"/>
      <name val="Arial MT"/>
    </font>
    <font>
      <b/>
      <sz val="9"/>
      <color rgb="FFFFFFFF"/>
      <name val="Arial"/>
      <family val="2"/>
    </font>
    <font>
      <b/>
      <sz val="7"/>
      <color rgb="FF800080"/>
      <name val="Arial"/>
      <family val="2"/>
    </font>
    <font>
      <b/>
      <sz val="7"/>
      <color rgb="FFFF00FF"/>
      <name val="Arial"/>
      <family val="2"/>
    </font>
    <font>
      <b/>
      <sz val="6"/>
      <name val="TimesNewRomanPS"/>
      <family val="1"/>
    </font>
    <font>
      <b/>
      <sz val="8"/>
      <color theme="0" tint="-0.14999847407452621"/>
      <name val="Arial MT"/>
    </font>
    <font>
      <sz val="20"/>
      <color rgb="FFFF0000"/>
      <name val="Arial"/>
      <family val="2"/>
    </font>
    <font>
      <b/>
      <sz val="20"/>
      <color indexed="9"/>
      <name val="Arial"/>
      <family val="2"/>
    </font>
    <font>
      <b/>
      <sz val="20"/>
      <color rgb="FFFF0000"/>
      <name val="Arial"/>
      <family val="2"/>
    </font>
    <font>
      <sz val="5"/>
      <color theme="0"/>
      <name val="Arial"/>
      <family val="2"/>
    </font>
    <font>
      <b/>
      <sz val="7"/>
      <color theme="1"/>
      <name val="Arial"/>
      <family val="2"/>
    </font>
    <font>
      <sz val="8"/>
      <color rgb="FFE660E6"/>
      <name val="Arial"/>
      <family val="2"/>
    </font>
    <font>
      <sz val="10"/>
      <color rgb="FFE660E6"/>
      <name val="Arial"/>
      <family val="2"/>
    </font>
    <font>
      <b/>
      <sz val="8"/>
      <color theme="0" tint="-0.499984740745262"/>
      <name val="Arial MT"/>
    </font>
    <font>
      <b/>
      <sz val="8"/>
      <color rgb="FF00FF00"/>
      <name val="Arial MT"/>
    </font>
    <font>
      <b/>
      <sz val="8"/>
      <color rgb="FFEBEDB1"/>
      <name val="Arial MT"/>
    </font>
    <font>
      <b/>
      <sz val="8"/>
      <color theme="0" tint="-0.249977111117893"/>
      <name val="Arial MT"/>
    </font>
    <font>
      <sz val="10"/>
      <color theme="0"/>
      <name val="Arial MT"/>
    </font>
    <font>
      <b/>
      <sz val="9"/>
      <color indexed="13"/>
      <name val="Arial"/>
      <family val="2"/>
    </font>
    <font>
      <b/>
      <sz val="20"/>
      <name val="Arial"/>
      <family val="2"/>
    </font>
    <font>
      <b/>
      <sz val="6"/>
      <color theme="0"/>
      <name val="Arial"/>
      <family val="2"/>
    </font>
    <font>
      <u/>
      <sz val="8"/>
      <name val="Arial"/>
      <family val="2"/>
    </font>
    <font>
      <b/>
      <u/>
      <sz val="10"/>
      <color theme="0" tint="-0.34998626667073579"/>
      <name val="Arial"/>
      <family val="2"/>
    </font>
    <font>
      <u/>
      <sz val="10"/>
      <color theme="0" tint="-0.34998626667073579"/>
      <name val="Arial"/>
      <family val="2"/>
    </font>
    <font>
      <u/>
      <sz val="8"/>
      <color theme="0" tint="-0.34998626667073579"/>
      <name val="Arial"/>
      <family val="2"/>
    </font>
    <font>
      <sz val="10"/>
      <color theme="0" tint="-0.34998626667073579"/>
      <name val="Arial"/>
      <family val="2"/>
    </font>
    <font>
      <b/>
      <sz val="7"/>
      <color rgb="FFFFFF00"/>
      <name val="Arial"/>
      <family val="2"/>
    </font>
    <font>
      <sz val="10"/>
      <color rgb="FF7030A0"/>
      <name val="Arial"/>
      <family val="2"/>
    </font>
    <font>
      <b/>
      <sz val="10"/>
      <color rgb="FF7030A0"/>
      <name val="Arial"/>
      <family val="2"/>
    </font>
    <font>
      <sz val="8"/>
      <color rgb="FF00FFFF"/>
      <name val="Arial"/>
      <family val="2"/>
    </font>
    <font>
      <u/>
      <sz val="10"/>
      <color rgb="FFFF0000"/>
      <name val="Arial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7"/>
      <color theme="0"/>
      <name val="Arial MT"/>
    </font>
    <font>
      <sz val="10"/>
      <color rgb="FFFFFF00"/>
      <name val="Arial"/>
      <family val="2"/>
    </font>
    <font>
      <b/>
      <sz val="10"/>
      <color rgb="FFFFFF00"/>
      <name val="Arial"/>
      <family val="2"/>
    </font>
    <font>
      <sz val="8"/>
      <color rgb="FF7030A0"/>
      <name val="Arial MT"/>
    </font>
    <font>
      <b/>
      <u/>
      <sz val="10"/>
      <color rgb="FFFFFFFF"/>
      <name val="Arial MT"/>
    </font>
    <font>
      <b/>
      <u/>
      <sz val="8"/>
      <color rgb="FFFFFFFF"/>
      <name val="Arial MT"/>
    </font>
    <font>
      <b/>
      <sz val="10"/>
      <color rgb="FFFFC000"/>
      <name val="Arial"/>
      <family val="2"/>
    </font>
    <font>
      <b/>
      <sz val="8"/>
      <color theme="7" tint="0.39997558519241921"/>
      <name val="Arial"/>
      <family val="2"/>
    </font>
    <font>
      <b/>
      <sz val="10"/>
      <color rgb="FF7030A0"/>
      <name val="Arial MT"/>
    </font>
    <font>
      <b/>
      <u/>
      <sz val="10"/>
      <color theme="1"/>
      <name val="Arial"/>
      <family val="2"/>
    </font>
    <font>
      <b/>
      <sz val="8"/>
      <color rgb="FF0000FF"/>
      <name val="Arial"/>
      <family val="2"/>
    </font>
    <font>
      <b/>
      <sz val="8"/>
      <color rgb="FF0000FF"/>
      <name val="TimesNewRomanPS"/>
      <family val="1"/>
    </font>
    <font>
      <b/>
      <sz val="7"/>
      <color rgb="FF7030A0"/>
      <name val="Arial"/>
      <family val="2"/>
    </font>
    <font>
      <sz val="8"/>
      <color rgb="FFFFFF00"/>
      <name val="Arial MT"/>
    </font>
    <font>
      <b/>
      <sz val="9"/>
      <color theme="1"/>
      <name val="Arial"/>
      <family val="2"/>
    </font>
    <font>
      <b/>
      <sz val="12"/>
      <color theme="0"/>
      <name val="Arial"/>
      <family val="2"/>
    </font>
    <font>
      <b/>
      <sz val="22"/>
      <color theme="0"/>
      <name val="Arial"/>
      <family val="2"/>
    </font>
    <font>
      <b/>
      <sz val="8"/>
      <color rgb="FFFFFF00"/>
      <name val="TimesNewRomanPS"/>
      <family val="1"/>
    </font>
    <font>
      <sz val="6"/>
      <color rgb="FFFFFF00"/>
      <name val="TimesNewRomanPS"/>
      <family val="1"/>
    </font>
    <font>
      <sz val="8"/>
      <color rgb="FFFFFF00"/>
      <name val="Arial"/>
      <family val="2"/>
    </font>
    <font>
      <sz val="22"/>
      <color indexed="8"/>
      <name val="Arial"/>
      <family val="2"/>
    </font>
    <font>
      <b/>
      <sz val="7"/>
      <color indexed="8"/>
      <name val="Arial MT"/>
    </font>
    <font>
      <b/>
      <sz val="9"/>
      <color rgb="FFFFFF00"/>
      <name val="Arial"/>
      <family val="2"/>
    </font>
    <font>
      <b/>
      <sz val="9"/>
      <color rgb="FFFFC000"/>
      <name val="Arial"/>
      <family val="2"/>
    </font>
    <font>
      <b/>
      <sz val="9"/>
      <color indexed="9"/>
      <name val="Arial MT"/>
    </font>
    <font>
      <b/>
      <sz val="9"/>
      <color rgb="FFFFFF00"/>
      <name val="Arial MT"/>
    </font>
    <font>
      <b/>
      <sz val="9"/>
      <name val="Arial MT"/>
    </font>
    <font>
      <b/>
      <sz val="9"/>
      <color indexed="8"/>
      <name val="Arial MT"/>
    </font>
    <font>
      <b/>
      <sz val="9"/>
      <color theme="1"/>
      <name val="Arial MT"/>
    </font>
    <font>
      <b/>
      <sz val="9"/>
      <color indexed="9"/>
      <name val="TimesNewRomanPS"/>
      <family val="1"/>
    </font>
    <font>
      <b/>
      <sz val="9"/>
      <color indexed="14"/>
      <name val="Arial"/>
      <family val="2"/>
    </font>
    <font>
      <b/>
      <sz val="9"/>
      <color theme="7" tint="0.59999389629810485"/>
      <name val="Arial"/>
      <family val="2"/>
    </font>
    <font>
      <sz val="20"/>
      <color theme="0"/>
      <name val="Arial MT"/>
    </font>
    <font>
      <b/>
      <sz val="10"/>
      <name val="Symbol"/>
      <family val="1"/>
    </font>
    <font>
      <b/>
      <sz val="20"/>
      <color theme="1"/>
      <name val="Arial"/>
      <family val="2"/>
    </font>
    <font>
      <b/>
      <sz val="8"/>
      <color rgb="FFFFC000"/>
      <name val="Arial"/>
      <family val="2"/>
    </font>
    <font>
      <b/>
      <sz val="8"/>
      <color rgb="FFEA56E1"/>
      <name val="Arial"/>
      <family val="2"/>
    </font>
    <font>
      <b/>
      <sz val="8"/>
      <color rgb="FFF2BAF2"/>
      <name val="Arial"/>
      <family val="2"/>
    </font>
    <font>
      <b/>
      <sz val="8"/>
      <color theme="9" tint="-0.249977111117893"/>
      <name val="Arial"/>
      <family val="2"/>
    </font>
    <font>
      <b/>
      <sz val="8"/>
      <color theme="5" tint="0.79998168889431442"/>
      <name val="Arial"/>
      <family val="2"/>
    </font>
    <font>
      <b/>
      <sz val="8"/>
      <color rgb="FFE26B0A"/>
      <name val="Arial"/>
      <family val="2"/>
    </font>
    <font>
      <b/>
      <sz val="7"/>
      <color indexed="9"/>
      <name val="Arial MT"/>
    </font>
    <font>
      <b/>
      <sz val="14"/>
      <color theme="1"/>
      <name val="Arial"/>
      <family val="2"/>
    </font>
    <font>
      <sz val="12"/>
      <name val="Arial"/>
      <family val="2"/>
    </font>
    <font>
      <b/>
      <sz val="18"/>
      <color rgb="FFFFFF00"/>
      <name val="Arial"/>
      <family val="2"/>
    </font>
  </fonts>
  <fills count="217">
    <fill>
      <patternFill patternType="none"/>
    </fill>
    <fill>
      <patternFill patternType="gray125"/>
    </fill>
    <fill>
      <patternFill patternType="solid">
        <fgColor indexed="46"/>
      </patternFill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6"/>
        <bgColor indexed="26"/>
      </patternFill>
    </fill>
    <fill>
      <patternFill patternType="solid">
        <fgColor indexed="13"/>
        <bgColor indexed="26"/>
      </patternFill>
    </fill>
    <fill>
      <patternFill patternType="solid">
        <fgColor indexed="11"/>
        <bgColor indexed="26"/>
      </patternFill>
    </fill>
    <fill>
      <patternFill patternType="solid">
        <fgColor indexed="11"/>
        <bgColor indexed="43"/>
      </patternFill>
    </fill>
    <fill>
      <patternFill patternType="solid">
        <fgColor indexed="10"/>
        <bgColor indexed="26"/>
      </patternFill>
    </fill>
    <fill>
      <patternFill patternType="solid">
        <fgColor indexed="34"/>
        <bgColor indexed="26"/>
      </patternFill>
    </fill>
    <fill>
      <patternFill patternType="solid">
        <fgColor indexed="55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2"/>
        <bgColor indexed="26"/>
      </patternFill>
    </fill>
    <fill>
      <patternFill patternType="solid">
        <fgColor indexed="12"/>
        <bgColor indexed="26"/>
      </patternFill>
    </fill>
    <fill>
      <patternFill patternType="solid">
        <fgColor indexed="12"/>
        <bgColor indexed="43"/>
      </patternFill>
    </fill>
    <fill>
      <patternFill patternType="solid">
        <fgColor indexed="3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0"/>
        <bgColor indexed="45"/>
      </patternFill>
    </fill>
    <fill>
      <patternFill patternType="solid">
        <fgColor indexed="41"/>
        <bgColor indexed="26"/>
      </patternFill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5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22"/>
        <bgColor indexed="26"/>
      </patternFill>
    </fill>
    <fill>
      <patternFill patternType="solid">
        <fgColor indexed="14"/>
        <bgColor indexed="26"/>
      </patternFill>
    </fill>
    <fill>
      <patternFill patternType="solid">
        <fgColor indexed="14"/>
        <bgColor indexed="45"/>
      </patternFill>
    </fill>
    <fill>
      <patternFill patternType="solid">
        <fgColor indexed="20"/>
        <bgColor indexed="26"/>
      </patternFill>
    </fill>
    <fill>
      <patternFill patternType="solid">
        <fgColor indexed="20"/>
        <bgColor indexed="45"/>
      </patternFill>
    </fill>
    <fill>
      <patternFill patternType="solid">
        <fgColor indexed="20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55"/>
        <bgColor indexed="45"/>
      </patternFill>
    </fill>
    <fill>
      <patternFill patternType="solid">
        <fgColor indexed="45"/>
        <bgColor indexed="26"/>
      </patternFill>
    </fill>
    <fill>
      <patternFill patternType="solid">
        <fgColor indexed="15"/>
        <bgColor indexed="26"/>
      </patternFill>
    </fill>
    <fill>
      <patternFill patternType="solid">
        <fgColor indexed="31"/>
        <bgColor indexed="26"/>
      </patternFill>
    </fill>
    <fill>
      <patternFill patternType="solid">
        <fgColor indexed="46"/>
        <bgColor indexed="26"/>
      </patternFill>
    </fill>
    <fill>
      <patternFill patternType="solid">
        <fgColor indexed="24"/>
        <bgColor indexed="26"/>
      </patternFill>
    </fill>
    <fill>
      <patternFill patternType="solid">
        <fgColor indexed="25"/>
        <bgColor indexed="26"/>
      </patternFill>
    </fill>
    <fill>
      <patternFill patternType="solid">
        <fgColor indexed="14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9"/>
        <bgColor indexed="45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45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43"/>
      </patternFill>
    </fill>
    <fill>
      <patternFill patternType="solid">
        <fgColor indexed="29"/>
        <bgColor indexed="64"/>
      </patternFill>
    </fill>
    <fill>
      <patternFill patternType="solid">
        <fgColor indexed="29"/>
        <bgColor indexed="26"/>
      </patternFill>
    </fill>
    <fill>
      <patternFill patternType="solid">
        <fgColor indexed="9"/>
        <bgColor indexed="8"/>
      </patternFill>
    </fill>
    <fill>
      <patternFill patternType="solid">
        <fgColor indexed="23"/>
        <bgColor indexed="26"/>
      </patternFill>
    </fill>
    <fill>
      <patternFill patternType="solid">
        <fgColor indexed="8"/>
        <bgColor indexed="26"/>
      </patternFill>
    </fill>
    <fill>
      <patternFill patternType="solid">
        <fgColor indexed="54"/>
        <bgColor indexed="26"/>
      </patternFill>
    </fill>
    <fill>
      <patternFill patternType="solid">
        <fgColor indexed="48"/>
        <bgColor indexed="26"/>
      </patternFill>
    </fill>
    <fill>
      <patternFill patternType="solid">
        <fgColor indexed="53"/>
        <bgColor indexed="43"/>
      </patternFill>
    </fill>
    <fill>
      <patternFill patternType="solid">
        <fgColor indexed="45"/>
        <bgColor indexed="8"/>
      </patternFill>
    </fill>
    <fill>
      <patternFill patternType="solid">
        <fgColor rgb="FFFF0000"/>
        <bgColor rgb="FFFFFFC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5" tint="0.59999389629810485"/>
        <bgColor indexed="26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43"/>
      </patternFill>
    </fill>
    <fill>
      <patternFill patternType="solid">
        <fgColor theme="5" tint="0.39997558519241921"/>
        <bgColor indexed="26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rgb="FFFFFFC0"/>
      </patternFill>
    </fill>
    <fill>
      <patternFill patternType="solid">
        <fgColor rgb="FF969696"/>
        <bgColor rgb="FFFFFFC0"/>
      </patternFill>
    </fill>
    <fill>
      <patternFill patternType="solid">
        <fgColor rgb="FFFFFFC0"/>
        <bgColor rgb="FFFFFFC0"/>
      </patternFill>
    </fill>
    <fill>
      <patternFill patternType="solid">
        <fgColor rgb="FFCC9CCC"/>
        <bgColor rgb="FFFFFFC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00FF"/>
        <bgColor rgb="FFFFFF99"/>
      </patternFill>
    </fill>
    <fill>
      <patternFill patternType="solid">
        <fgColor theme="0" tint="-0.14999847407452621"/>
        <bgColor indexed="26"/>
      </patternFill>
    </fill>
    <fill>
      <patternFill patternType="solid">
        <fgColor theme="0"/>
        <bgColor indexed="26"/>
      </patternFill>
    </fill>
    <fill>
      <patternFill patternType="solid">
        <fgColor theme="0" tint="-0.499984740745262"/>
        <bgColor indexed="26"/>
      </patternFill>
    </fill>
    <fill>
      <patternFill patternType="solid">
        <fgColor rgb="FF00B0F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34998626667073579"/>
        <bgColor indexed="26"/>
      </patternFill>
    </fill>
    <fill>
      <patternFill patternType="solid">
        <fgColor rgb="FFFFFFCC"/>
        <bgColor indexed="26"/>
      </patternFill>
    </fill>
    <fill>
      <patternFill patternType="solid">
        <fgColor rgb="FFFFFFCC"/>
        <bgColor indexed="45"/>
      </patternFill>
    </fill>
    <fill>
      <patternFill patternType="solid">
        <fgColor theme="7" tint="0.59999389629810485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26"/>
      </patternFill>
    </fill>
    <fill>
      <patternFill patternType="solid">
        <fgColor rgb="FF00FF00"/>
        <bgColor indexed="26"/>
      </patternFill>
    </fill>
    <fill>
      <patternFill patternType="solid">
        <fgColor rgb="FFFFFF00"/>
        <bgColor indexed="45"/>
      </patternFill>
    </fill>
    <fill>
      <patternFill patternType="solid">
        <fgColor theme="1"/>
        <bgColor indexed="26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21"/>
        <bgColor indexed="43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26"/>
      </patternFill>
    </fill>
    <fill>
      <patternFill patternType="solid">
        <fgColor rgb="FFE660E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660E6"/>
        <bgColor indexed="26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499984740745262"/>
        <bgColor indexed="9"/>
      </patternFill>
    </fill>
    <fill>
      <patternFill patternType="solid">
        <fgColor rgb="FFE660E6"/>
        <bgColor rgb="FFFFFFC0"/>
      </patternFill>
    </fill>
    <fill>
      <patternFill patternType="solid">
        <fgColor rgb="FF69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366FF"/>
        <bgColor indexed="26"/>
      </patternFill>
    </fill>
    <fill>
      <patternFill patternType="solid">
        <fgColor rgb="FF3366FF"/>
        <bgColor indexed="45"/>
      </patternFill>
    </fill>
    <fill>
      <patternFill patternType="solid">
        <fgColor theme="7" tint="0.79998168889431442"/>
        <bgColor indexed="26"/>
      </patternFill>
    </fill>
    <fill>
      <patternFill patternType="solid">
        <fgColor theme="9"/>
        <bgColor indexed="26"/>
      </patternFill>
    </fill>
    <fill>
      <patternFill patternType="solid">
        <fgColor rgb="FF814018"/>
        <bgColor indexed="26"/>
      </patternFill>
    </fill>
    <fill>
      <patternFill patternType="solid">
        <fgColor rgb="FF0000FF"/>
        <bgColor indexed="43"/>
      </patternFill>
    </fill>
    <fill>
      <patternFill patternType="solid">
        <fgColor rgb="FF0000FF"/>
        <bgColor indexed="26"/>
      </patternFill>
    </fill>
    <fill>
      <patternFill patternType="solid">
        <fgColor rgb="FFFF0000"/>
        <bgColor indexed="26"/>
      </patternFill>
    </fill>
    <fill>
      <patternFill patternType="solid">
        <fgColor rgb="FFFF0000"/>
        <bgColor indexed="43"/>
      </patternFill>
    </fill>
    <fill>
      <patternFill patternType="solid">
        <fgColor rgb="FF7030A0"/>
        <bgColor indexed="26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rgb="FFCC9CCC"/>
      </patternFill>
    </fill>
    <fill>
      <patternFill patternType="solid">
        <fgColor rgb="FF0000FF"/>
        <bgColor indexed="45"/>
      </patternFill>
    </fill>
    <fill>
      <patternFill patternType="solid">
        <fgColor rgb="FFF2BAF2"/>
        <bgColor indexed="64"/>
      </patternFill>
    </fill>
    <fill>
      <patternFill patternType="solid">
        <fgColor rgb="FFF2BAF2"/>
        <bgColor indexed="26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69696"/>
        <bgColor rgb="FF000000"/>
      </patternFill>
    </fill>
    <fill>
      <patternFill patternType="solid">
        <fgColor rgb="FF000000"/>
        <bgColor rgb="FFFFFFC0"/>
      </patternFill>
    </fill>
    <fill>
      <patternFill patternType="solid">
        <fgColor rgb="FF0000FF"/>
        <bgColor rgb="FFFFFFC0"/>
      </patternFill>
    </fill>
    <fill>
      <patternFill patternType="solid">
        <fgColor rgb="FFFFFF00"/>
        <bgColor rgb="FFFFFFC0"/>
      </patternFill>
    </fill>
    <fill>
      <patternFill patternType="solid">
        <fgColor rgb="FFFFFFFF"/>
        <bgColor rgb="FFCC9CCC"/>
      </patternFill>
    </fill>
    <fill>
      <patternFill patternType="solid">
        <fgColor rgb="FF000000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rgb="FF92D050"/>
        <bgColor indexed="26"/>
      </patternFill>
    </fill>
    <fill>
      <patternFill patternType="solid">
        <fgColor rgb="FF92D050"/>
        <bgColor indexed="43"/>
      </patternFill>
    </fill>
    <fill>
      <patternFill patternType="solid">
        <fgColor rgb="FFFFAEAE"/>
        <bgColor indexed="64"/>
      </patternFill>
    </fill>
    <fill>
      <patternFill patternType="solid">
        <fgColor theme="9" tint="-0.249977111117893"/>
        <bgColor indexed="26"/>
      </patternFill>
    </fill>
    <fill>
      <patternFill patternType="solid">
        <fgColor theme="5" tint="0.79998168889431442"/>
        <bgColor indexed="26"/>
      </patternFill>
    </fill>
    <fill>
      <patternFill patternType="solid">
        <fgColor rgb="FF979797"/>
        <bgColor indexed="26"/>
      </patternFill>
    </fill>
    <fill>
      <patternFill patternType="solid">
        <fgColor indexed="45"/>
        <bgColor indexed="43"/>
      </patternFill>
    </fill>
    <fill>
      <patternFill patternType="solid">
        <fgColor rgb="FFFF060D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C000"/>
        <bgColor indexed="26"/>
      </patternFill>
    </fill>
    <fill>
      <patternFill patternType="solid">
        <fgColor rgb="FF969696"/>
        <bgColor indexed="26"/>
      </patternFill>
    </fill>
    <fill>
      <patternFill patternType="solid">
        <fgColor rgb="FFFFFF00"/>
        <bgColor indexed="8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60D"/>
        <bgColor indexed="45"/>
      </patternFill>
    </fill>
    <fill>
      <patternFill patternType="solid">
        <fgColor rgb="FFFFC000"/>
        <bgColor indexed="45"/>
      </patternFill>
    </fill>
    <fill>
      <patternFill patternType="solid">
        <fgColor rgb="FF00B050"/>
        <bgColor indexed="26"/>
      </patternFill>
    </fill>
    <fill>
      <patternFill patternType="solid">
        <fgColor rgb="FFC00000"/>
        <bgColor indexed="26"/>
      </patternFill>
    </fill>
    <fill>
      <patternFill patternType="solid">
        <fgColor rgb="FF666699"/>
        <bgColor rgb="FFFFFFC0"/>
      </patternFill>
    </fill>
    <fill>
      <patternFill patternType="solid">
        <fgColor rgb="FFFFFF99"/>
        <bgColor rgb="FFFFFFC0"/>
      </patternFill>
    </fill>
    <fill>
      <patternFill patternType="solid">
        <fgColor rgb="FFFF0000"/>
        <bgColor rgb="FFFFFF99"/>
      </patternFill>
    </fill>
    <fill>
      <patternFill patternType="solid">
        <fgColor rgb="FFEBEDB1"/>
        <bgColor indexed="26"/>
      </patternFill>
    </fill>
    <fill>
      <patternFill patternType="solid">
        <fgColor rgb="FFCC9CCC"/>
        <bgColor rgb="FF000000"/>
      </patternFill>
    </fill>
    <fill>
      <patternFill patternType="solid">
        <fgColor rgb="FFE660E6"/>
        <bgColor indexed="43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7030A0"/>
        <bgColor indexed="43"/>
      </patternFill>
    </fill>
    <fill>
      <patternFill patternType="solid">
        <fgColor rgb="FF00B0F0"/>
        <bgColor indexed="26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E33634"/>
        <bgColor indexed="64"/>
      </patternFill>
    </fill>
    <fill>
      <patternFill patternType="solid">
        <fgColor theme="8" tint="0.59999389629810485"/>
        <bgColor indexed="26"/>
      </patternFill>
    </fill>
    <fill>
      <patternFill patternType="solid">
        <fgColor rgb="FF7030A0"/>
        <bgColor indexed="45"/>
      </patternFill>
    </fill>
    <fill>
      <patternFill patternType="solid">
        <fgColor rgb="FF00FF00"/>
        <bgColor rgb="FFFFFFC0"/>
      </patternFill>
    </fill>
    <fill>
      <patternFill patternType="solid">
        <fgColor theme="0"/>
        <bgColor indexed="45"/>
      </patternFill>
    </fill>
    <fill>
      <patternFill patternType="solid">
        <fgColor rgb="FF7030A0"/>
        <bgColor rgb="FFFFFFC0"/>
      </patternFill>
    </fill>
    <fill>
      <patternFill patternType="solid">
        <fgColor rgb="FF7030A0"/>
        <bgColor rgb="FFFFFF99"/>
      </patternFill>
    </fill>
    <fill>
      <patternFill patternType="solid">
        <fgColor rgb="FF00FFF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45"/>
      </patternFill>
    </fill>
    <fill>
      <patternFill patternType="solid">
        <fgColor rgb="FFC00000"/>
        <bgColor indexed="64"/>
      </patternFill>
    </fill>
    <fill>
      <patternFill patternType="solid">
        <fgColor rgb="FFC00000"/>
        <bgColor indexed="45"/>
      </patternFill>
    </fill>
    <fill>
      <patternFill patternType="solid">
        <fgColor rgb="FF33A017"/>
        <bgColor indexed="26"/>
      </patternFill>
    </fill>
    <fill>
      <patternFill patternType="solid">
        <fgColor theme="9" tint="0.79998168889431442"/>
        <bgColor rgb="FFFFFFC0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FF00"/>
        <bgColor indexed="43"/>
      </patternFill>
    </fill>
    <fill>
      <patternFill patternType="solid">
        <fgColor rgb="FFFFECB6"/>
        <bgColor indexed="64"/>
      </patternFill>
    </fill>
    <fill>
      <patternFill patternType="solid">
        <fgColor rgb="FFFF9183"/>
        <bgColor indexed="64"/>
      </patternFill>
    </fill>
    <fill>
      <patternFill patternType="solid">
        <fgColor rgb="FFEA56E1"/>
        <bgColor indexed="64"/>
      </patternFill>
    </fill>
    <fill>
      <patternFill patternType="solid">
        <fgColor rgb="FFEDF0BE"/>
        <bgColor indexed="64"/>
      </patternFill>
    </fill>
    <fill>
      <patternFill patternType="solid">
        <fgColor rgb="FFEDF0BE"/>
        <bgColor indexed="26"/>
      </patternFill>
    </fill>
    <fill>
      <patternFill patternType="solid">
        <fgColor rgb="FFFF9183"/>
        <bgColor indexed="26"/>
      </patternFill>
    </fill>
    <fill>
      <patternFill patternType="solid">
        <fgColor rgb="FFE75FE8"/>
        <bgColor indexed="64"/>
      </patternFill>
    </fill>
    <fill>
      <patternFill patternType="solid">
        <fgColor rgb="FFE75FE8"/>
        <bgColor indexed="26"/>
      </patternFill>
    </fill>
    <fill>
      <patternFill patternType="solid">
        <fgColor theme="0" tint="-0.14999847407452621"/>
        <bgColor indexed="43"/>
      </patternFill>
    </fill>
    <fill>
      <patternFill patternType="solid">
        <fgColor rgb="FFE960E1"/>
        <bgColor indexed="26"/>
      </patternFill>
    </fill>
    <fill>
      <patternFill patternType="solid">
        <fgColor rgb="FFE960E1"/>
        <bgColor indexed="43"/>
      </patternFill>
    </fill>
    <fill>
      <patternFill patternType="solid">
        <fgColor rgb="FFE960E1"/>
        <bgColor indexed="45"/>
      </patternFill>
    </fill>
    <fill>
      <patternFill patternType="solid">
        <fgColor rgb="FFEDF0BE"/>
        <bgColor rgb="FFFFFFC0"/>
      </patternFill>
    </fill>
    <fill>
      <patternFill patternType="solid">
        <fgColor rgb="FFEDF0BE"/>
        <bgColor indexed="43"/>
      </patternFill>
    </fill>
  </fills>
  <borders count="487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thin">
        <color indexed="9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indexed="9"/>
      </right>
      <top style="double">
        <color auto="1"/>
      </top>
      <bottom style="double">
        <color indexed="9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indexed="9"/>
      </right>
      <top style="double">
        <color auto="1"/>
      </top>
      <bottom style="double">
        <color indexed="9"/>
      </bottom>
      <diagonal/>
    </border>
    <border>
      <left/>
      <right style="thin">
        <color indexed="9"/>
      </right>
      <top style="double">
        <color auto="1"/>
      </top>
      <bottom style="double">
        <color indexed="9"/>
      </bottom>
      <diagonal/>
    </border>
    <border>
      <left style="double">
        <color auto="1"/>
      </left>
      <right/>
      <top style="double">
        <color indexed="9"/>
      </top>
      <bottom/>
      <diagonal/>
    </border>
    <border>
      <left/>
      <right/>
      <top style="double">
        <color indexed="9"/>
      </top>
      <bottom/>
      <diagonal/>
    </border>
    <border>
      <left style="double">
        <color indexed="9"/>
      </left>
      <right style="double">
        <color indexed="8"/>
      </right>
      <top style="double">
        <color indexed="9"/>
      </top>
      <bottom style="double">
        <color indexed="9"/>
      </bottom>
      <diagonal/>
    </border>
    <border>
      <left/>
      <right/>
      <top/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/>
      <bottom style="hair">
        <color indexed="8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thin">
        <color auto="1"/>
      </bottom>
      <diagonal/>
    </border>
    <border>
      <left/>
      <right style="hair">
        <color auto="1"/>
      </right>
      <top style="medium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ck">
        <color indexed="18"/>
      </left>
      <right style="thick">
        <color indexed="18"/>
      </right>
      <top style="thick">
        <color indexed="18"/>
      </top>
      <bottom style="thick">
        <color indexed="1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medium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indexed="9"/>
      </bottom>
      <diagonal/>
    </border>
    <border>
      <left/>
      <right/>
      <top style="double">
        <color indexed="9"/>
      </top>
      <bottom style="double">
        <color indexed="9"/>
      </bottom>
      <diagonal/>
    </border>
    <border>
      <left style="double">
        <color indexed="9"/>
      </left>
      <right/>
      <top style="double">
        <color indexed="9"/>
      </top>
      <bottom style="double">
        <color indexed="9"/>
      </bottom>
      <diagonal/>
    </border>
    <border>
      <left/>
      <right style="double">
        <color indexed="9"/>
      </right>
      <top style="double">
        <color indexed="9"/>
      </top>
      <bottom style="double">
        <color indexed="9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8"/>
      </left>
      <right style="medium">
        <color auto="1"/>
      </right>
      <top style="thin">
        <color indexed="8"/>
      </top>
      <bottom style="thin">
        <color indexed="8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double">
        <color auto="1"/>
      </right>
      <top/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/>
      <bottom style="double">
        <color indexed="9"/>
      </bottom>
      <diagonal/>
    </border>
    <border>
      <left/>
      <right style="double">
        <color indexed="9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double">
        <color auto="1"/>
      </right>
      <top style="medium">
        <color auto="1"/>
      </top>
      <bottom/>
      <diagonal/>
    </border>
    <border>
      <left/>
      <right style="double">
        <color auto="1"/>
      </right>
      <top style="medium">
        <color auto="1"/>
      </top>
      <bottom/>
      <diagonal/>
    </border>
    <border>
      <left style="medium">
        <color auto="1"/>
      </left>
      <right style="double">
        <color auto="1"/>
      </right>
      <top/>
      <bottom/>
      <diagonal/>
    </border>
    <border>
      <left style="medium">
        <color auto="1"/>
      </left>
      <right style="double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indexed="8"/>
      </right>
      <top/>
      <bottom/>
      <diagonal/>
    </border>
    <border>
      <left style="thin">
        <color auto="1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7030A0"/>
      </left>
      <right/>
      <top style="medium">
        <color rgb="FF7030A0"/>
      </top>
      <bottom style="medium">
        <color rgb="FF7030A0"/>
      </bottom>
      <diagonal/>
    </border>
    <border>
      <left/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medium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8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medium">
        <color auto="1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medium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rgb="FFFF0000"/>
      </left>
      <right style="thin">
        <color auto="1"/>
      </right>
      <top style="medium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rgb="FFFF0000"/>
      </top>
      <bottom style="thin">
        <color auto="1"/>
      </bottom>
      <diagonal/>
    </border>
    <border>
      <left style="medium">
        <color rgb="FFFF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thin">
        <color auto="1"/>
      </right>
      <top style="thin">
        <color auto="1"/>
      </top>
      <bottom style="medium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FF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rgb="FFFF0000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rgb="FFFF0000"/>
      </left>
      <right/>
      <top style="medium">
        <color rgb="FFFF0000"/>
      </top>
      <bottom style="thin">
        <color auto="1"/>
      </bottom>
      <diagonal/>
    </border>
    <border>
      <left style="medium">
        <color rgb="FFFF0000"/>
      </left>
      <right/>
      <top style="thin">
        <color auto="1"/>
      </top>
      <bottom style="thin">
        <color auto="1"/>
      </bottom>
      <diagonal/>
    </border>
    <border>
      <left/>
      <right style="medium">
        <color rgb="FFFF0000"/>
      </right>
      <top style="medium">
        <color rgb="FFFF0000"/>
      </top>
      <bottom style="thin">
        <color auto="1"/>
      </bottom>
      <diagonal/>
    </border>
    <border>
      <left/>
      <right style="medium">
        <color rgb="FFFF0000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medium">
        <color rgb="FFFF0000"/>
      </left>
      <right/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medium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 style="thin">
        <color auto="1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rgb="FFFF0000"/>
      </bottom>
      <diagonal/>
    </border>
    <border>
      <left style="medium">
        <color rgb="FFFF0000"/>
      </left>
      <right style="thin">
        <color rgb="FFFF0000"/>
      </right>
      <top style="medium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medium">
        <color rgb="FFFF0000"/>
      </top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 style="medium">
        <color rgb="FFFF0000"/>
      </top>
      <bottom style="thin">
        <color rgb="FFFF0000"/>
      </bottom>
      <diagonal/>
    </border>
    <border>
      <left style="medium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 style="thin">
        <color rgb="FFFF0000"/>
      </top>
      <bottom style="thin">
        <color rgb="FFFF0000"/>
      </bottom>
      <diagonal/>
    </border>
    <border>
      <left style="medium">
        <color rgb="FFFF0000"/>
      </left>
      <right style="thin">
        <color rgb="FFFF0000"/>
      </right>
      <top style="thin">
        <color rgb="FFFF0000"/>
      </top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medium">
        <color rgb="FFFF0000"/>
      </bottom>
      <diagonal/>
    </border>
    <border>
      <left style="thin">
        <color rgb="FFFF0000"/>
      </left>
      <right style="medium">
        <color rgb="FFFF0000"/>
      </right>
      <top style="thin">
        <color rgb="FFFF0000"/>
      </top>
      <bottom style="medium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auto="1"/>
      </top>
      <bottom style="medium">
        <color auto="1"/>
      </bottom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 style="thin">
        <color auto="1"/>
      </top>
      <bottom style="medium">
        <color auto="1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</borders>
  <cellStyleXfs count="168">
    <xf numFmtId="0" fontId="0" fillId="0" borderId="0"/>
    <xf numFmtId="175" fontId="2" fillId="0" borderId="0" applyFont="0" applyFill="0" applyBorder="0" applyAlignment="0" applyProtection="0"/>
    <xf numFmtId="0" fontId="237" fillId="2" borderId="0" applyNumberFormat="0" applyBorder="0" applyAlignment="0" applyProtection="0"/>
    <xf numFmtId="164" fontId="2" fillId="0" borderId="0" applyFont="0" applyFill="0" applyBorder="0" applyAlignment="0" applyProtection="0"/>
    <xf numFmtId="0" fontId="3" fillId="0" borderId="0"/>
    <xf numFmtId="0" fontId="3" fillId="0" borderId="0"/>
    <xf numFmtId="0" fontId="21" fillId="0" borderId="0"/>
    <xf numFmtId="0" fontId="3" fillId="0" borderId="0"/>
    <xf numFmtId="0" fontId="21" fillId="0" borderId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" fillId="0" borderId="0"/>
  </cellStyleXfs>
  <cellXfs count="8157">
    <xf numFmtId="0" fontId="0" fillId="0" borderId="0" xfId="0"/>
    <xf numFmtId="0" fontId="0" fillId="3" borderId="0" xfId="0" applyFill="1"/>
    <xf numFmtId="0" fontId="22" fillId="4" borderId="0" xfId="4" applyFont="1" applyFill="1"/>
    <xf numFmtId="0" fontId="23" fillId="5" borderId="0" xfId="4" applyFont="1" applyFill="1"/>
    <xf numFmtId="0" fontId="0" fillId="4" borderId="0" xfId="0" applyFill="1"/>
    <xf numFmtId="0" fontId="22" fillId="0" borderId="0" xfId="4" applyFont="1"/>
    <xf numFmtId="0" fontId="26" fillId="5" borderId="0" xfId="4" applyFont="1" applyFill="1"/>
    <xf numFmtId="0" fontId="29" fillId="5" borderId="0" xfId="4" applyFont="1" applyFill="1" applyBorder="1" applyAlignment="1">
      <alignment vertical="center"/>
    </xf>
    <xf numFmtId="0" fontId="30" fillId="5" borderId="0" xfId="4" applyFont="1" applyFill="1"/>
    <xf numFmtId="0" fontId="32" fillId="5" borderId="0" xfId="4" applyFont="1" applyFill="1" applyBorder="1" applyAlignment="1">
      <alignment vertical="center"/>
    </xf>
    <xf numFmtId="0" fontId="23" fillId="5" borderId="0" xfId="4" applyFont="1" applyFill="1" applyBorder="1"/>
    <xf numFmtId="0" fontId="23" fillId="5" borderId="0" xfId="4" applyFont="1" applyFill="1" applyBorder="1" applyAlignment="1">
      <alignment horizontal="center" vertical="center"/>
    </xf>
    <xf numFmtId="0" fontId="22" fillId="4" borderId="0" xfId="4" applyFont="1" applyFill="1" applyBorder="1" applyAlignment="1">
      <alignment horizontal="center" vertical="center"/>
    </xf>
    <xf numFmtId="0" fontId="22" fillId="0" borderId="0" xfId="4" applyFont="1" applyAlignment="1">
      <alignment horizontal="center" vertical="center"/>
    </xf>
    <xf numFmtId="0" fontId="23" fillId="5" borderId="0" xfId="4" applyFont="1" applyFill="1" applyBorder="1" applyAlignment="1">
      <alignment horizontal="center"/>
    </xf>
    <xf numFmtId="0" fontId="22" fillId="4" borderId="0" xfId="4" applyFont="1" applyFill="1" applyBorder="1"/>
    <xf numFmtId="166" fontId="22" fillId="0" borderId="0" xfId="4" applyNumberFormat="1" applyFont="1" applyAlignment="1">
      <alignment horizontal="center" vertical="center"/>
    </xf>
    <xf numFmtId="0" fontId="22" fillId="0" borderId="0" xfId="4" applyFont="1" applyAlignment="1">
      <alignment horizontal="center"/>
    </xf>
    <xf numFmtId="0" fontId="37" fillId="5" borderId="0" xfId="4" applyFont="1" applyFill="1" applyAlignment="1">
      <alignment vertical="center"/>
    </xf>
    <xf numFmtId="0" fontId="38" fillId="5" borderId="0" xfId="4" applyFont="1" applyFill="1" applyBorder="1" applyAlignment="1">
      <alignment horizontal="center"/>
    </xf>
    <xf numFmtId="0" fontId="22" fillId="5" borderId="0" xfId="4" applyFont="1" applyFill="1"/>
    <xf numFmtId="0" fontId="19" fillId="0" borderId="0" xfId="7" applyFont="1" applyAlignment="1">
      <alignment horizontal="right"/>
    </xf>
    <xf numFmtId="0" fontId="19" fillId="0" borderId="0" xfId="7" applyFont="1"/>
    <xf numFmtId="0" fontId="10" fillId="0" borderId="0" xfId="7" applyFont="1"/>
    <xf numFmtId="0" fontId="15" fillId="0" borderId="0" xfId="7" applyFont="1"/>
    <xf numFmtId="0" fontId="15" fillId="0" borderId="2" xfId="7" applyFont="1" applyBorder="1"/>
    <xf numFmtId="0" fontId="15" fillId="0" borderId="3" xfId="7" applyFont="1" applyBorder="1"/>
    <xf numFmtId="0" fontId="15" fillId="0" borderId="4" xfId="7" applyFont="1" applyBorder="1"/>
    <xf numFmtId="0" fontId="42" fillId="0" borderId="0" xfId="7" applyFont="1" applyBorder="1"/>
    <xf numFmtId="0" fontId="19" fillId="0" borderId="3" xfId="7" applyFont="1" applyBorder="1" applyAlignment="1">
      <alignment horizontal="left"/>
    </xf>
    <xf numFmtId="0" fontId="19" fillId="0" borderId="5" xfId="7" applyFont="1" applyBorder="1" applyAlignment="1">
      <alignment horizontal="left"/>
    </xf>
    <xf numFmtId="0" fontId="19" fillId="0" borderId="0" xfId="7" applyFont="1" applyAlignment="1">
      <alignment horizontal="left"/>
    </xf>
    <xf numFmtId="0" fontId="19" fillId="0" borderId="0" xfId="7" applyFont="1" applyBorder="1" applyAlignment="1">
      <alignment horizontal="left"/>
    </xf>
    <xf numFmtId="1" fontId="10" fillId="0" borderId="0" xfId="7" applyNumberFormat="1" applyFont="1" applyBorder="1" applyAlignment="1">
      <alignment horizontal="center"/>
    </xf>
    <xf numFmtId="0" fontId="10" fillId="0" borderId="0" xfId="7" applyFont="1" applyBorder="1" applyAlignment="1">
      <alignment horizontal="center"/>
    </xf>
    <xf numFmtId="0" fontId="42" fillId="0" borderId="0" xfId="7" applyFont="1" applyAlignment="1">
      <alignment horizontal="left"/>
    </xf>
    <xf numFmtId="0" fontId="42" fillId="0" borderId="0" xfId="7" applyFont="1" applyAlignment="1"/>
    <xf numFmtId="0" fontId="19" fillId="0" borderId="0" xfId="8" applyFont="1"/>
    <xf numFmtId="21" fontId="15" fillId="0" borderId="0" xfId="7" applyNumberFormat="1" applyFont="1"/>
    <xf numFmtId="21" fontId="19" fillId="0" borderId="0" xfId="7" applyNumberFormat="1" applyFont="1"/>
    <xf numFmtId="0" fontId="19" fillId="0" borderId="0" xfId="7" applyFont="1" applyBorder="1"/>
    <xf numFmtId="0" fontId="42" fillId="0" borderId="0" xfId="7" applyFont="1" applyBorder="1" applyAlignment="1">
      <alignment horizontal="right"/>
    </xf>
    <xf numFmtId="0" fontId="15" fillId="0" borderId="0" xfId="0" applyFont="1"/>
    <xf numFmtId="0" fontId="47" fillId="0" borderId="0" xfId="7" applyFont="1" applyAlignment="1">
      <alignment horizontal="right"/>
    </xf>
    <xf numFmtId="0" fontId="42" fillId="0" borderId="0" xfId="7" applyFont="1"/>
    <xf numFmtId="0" fontId="1" fillId="0" borderId="0" xfId="0" applyFont="1" applyBorder="1"/>
    <xf numFmtId="0" fontId="1" fillId="0" borderId="0" xfId="0" applyFont="1" applyAlignment="1">
      <alignment horizontal="center"/>
    </xf>
    <xf numFmtId="0" fontId="53" fillId="6" borderId="6" xfId="0" applyFont="1" applyFill="1" applyBorder="1" applyAlignment="1">
      <alignment horizontal="center"/>
    </xf>
    <xf numFmtId="0" fontId="52" fillId="6" borderId="7" xfId="0" applyFont="1" applyFill="1" applyBorder="1" applyAlignment="1">
      <alignment horizontal="center" textRotation="90"/>
    </xf>
    <xf numFmtId="0" fontId="0" fillId="0" borderId="0" xfId="0" applyAlignment="1">
      <alignment horizontal="center"/>
    </xf>
    <xf numFmtId="0" fontId="16" fillId="7" borderId="0" xfId="0" applyFont="1" applyFill="1" applyAlignment="1">
      <alignment horizontal="center"/>
    </xf>
    <xf numFmtId="0" fontId="42" fillId="0" borderId="0" xfId="0" applyFont="1"/>
    <xf numFmtId="0" fontId="0" fillId="3" borderId="0" xfId="0" applyFill="1" applyAlignment="1">
      <alignment horizontal="center"/>
    </xf>
    <xf numFmtId="0" fontId="0" fillId="3" borderId="0" xfId="0" applyFill="1" applyAlignment="1"/>
    <xf numFmtId="0" fontId="0" fillId="0" borderId="0" xfId="0" applyAlignment="1">
      <alignment horizontal="left"/>
    </xf>
    <xf numFmtId="0" fontId="0" fillId="0" borderId="0" xfId="0" applyAlignment="1"/>
    <xf numFmtId="0" fontId="57" fillId="4" borderId="8" xfId="0" applyFont="1" applyFill="1" applyBorder="1" applyAlignment="1">
      <alignment horizontal="left"/>
    </xf>
    <xf numFmtId="0" fontId="58" fillId="4" borderId="9" xfId="0" applyFont="1" applyFill="1" applyBorder="1"/>
    <xf numFmtId="0" fontId="39" fillId="4" borderId="9" xfId="0" applyFont="1" applyFill="1" applyBorder="1"/>
    <xf numFmtId="0" fontId="57" fillId="4" borderId="10" xfId="0" applyFont="1" applyFill="1" applyBorder="1"/>
    <xf numFmtId="0" fontId="1" fillId="0" borderId="0" xfId="0" applyFont="1"/>
    <xf numFmtId="0" fontId="11" fillId="3" borderId="0" xfId="0" applyFont="1" applyFill="1" applyBorder="1"/>
    <xf numFmtId="0" fontId="6" fillId="3" borderId="0" xfId="0" applyFont="1" applyFill="1" applyBorder="1"/>
    <xf numFmtId="0" fontId="1" fillId="3" borderId="0" xfId="0" applyFont="1" applyFill="1"/>
    <xf numFmtId="0" fontId="11" fillId="3" borderId="11" xfId="0" applyFont="1" applyFill="1" applyBorder="1" applyAlignment="1">
      <alignment horizontal="center"/>
    </xf>
    <xf numFmtId="0" fontId="11" fillId="3" borderId="1" xfId="0" applyFont="1" applyFill="1" applyBorder="1"/>
    <xf numFmtId="0" fontId="6" fillId="3" borderId="1" xfId="0" applyFont="1" applyFill="1" applyBorder="1"/>
    <xf numFmtId="0" fontId="11" fillId="3" borderId="12" xfId="0" applyFont="1" applyFill="1" applyBorder="1" applyAlignment="1">
      <alignment horizontal="center"/>
    </xf>
    <xf numFmtId="0" fontId="6" fillId="3" borderId="13" xfId="0" applyFont="1" applyFill="1" applyBorder="1"/>
    <xf numFmtId="0" fontId="6" fillId="3" borderId="14" xfId="0" applyFont="1" applyFill="1" applyBorder="1"/>
    <xf numFmtId="0" fontId="6" fillId="3" borderId="15" xfId="0" applyFont="1" applyFill="1" applyBorder="1"/>
    <xf numFmtId="0" fontId="13" fillId="0" borderId="12" xfId="0" applyFont="1" applyBorder="1" applyAlignment="1">
      <alignment horizontal="center"/>
    </xf>
    <xf numFmtId="0" fontId="6" fillId="0" borderId="0" xfId="0" applyFont="1" applyBorder="1"/>
    <xf numFmtId="0" fontId="6" fillId="0" borderId="0" xfId="0" applyFont="1"/>
    <xf numFmtId="0" fontId="13" fillId="0" borderId="0" xfId="0" applyFont="1" applyAlignment="1">
      <alignment horizontal="center"/>
    </xf>
    <xf numFmtId="0" fontId="59" fillId="0" borderId="0" xfId="0" applyFont="1"/>
    <xf numFmtId="0" fontId="16" fillId="7" borderId="0" xfId="0" applyFont="1" applyFill="1"/>
    <xf numFmtId="0" fontId="16" fillId="7" borderId="0" xfId="0" applyFont="1" applyFill="1" applyAlignment="1"/>
    <xf numFmtId="0" fontId="54" fillId="7" borderId="0" xfId="0" applyFont="1" applyFill="1" applyAlignment="1">
      <alignment horizontal="center"/>
    </xf>
    <xf numFmtId="0" fontId="54" fillId="7" borderId="0" xfId="0" applyFont="1" applyFill="1"/>
    <xf numFmtId="0" fontId="0" fillId="7" borderId="0" xfId="0" applyFill="1"/>
    <xf numFmtId="0" fontId="62" fillId="3" borderId="1" xfId="0" applyFont="1" applyFill="1" applyBorder="1" applyAlignment="1">
      <alignment horizontal="center"/>
    </xf>
    <xf numFmtId="0" fontId="63" fillId="3" borderId="1" xfId="0" applyFont="1" applyFill="1" applyBorder="1" applyAlignment="1">
      <alignment horizontal="center"/>
    </xf>
    <xf numFmtId="0" fontId="63" fillId="3" borderId="18" xfId="0" applyFont="1" applyFill="1" applyBorder="1" applyAlignment="1">
      <alignment horizontal="left"/>
    </xf>
    <xf numFmtId="0" fontId="63" fillId="3" borderId="12" xfId="0" applyFont="1" applyFill="1" applyBorder="1" applyAlignment="1">
      <alignment horizontal="center"/>
    </xf>
    <xf numFmtId="0" fontId="63" fillId="3" borderId="0" xfId="0" applyFont="1" applyFill="1" applyBorder="1"/>
    <xf numFmtId="0" fontId="63" fillId="3" borderId="19" xfId="0" applyFont="1" applyFill="1" applyBorder="1" applyAlignment="1">
      <alignment horizontal="center"/>
    </xf>
    <xf numFmtId="166" fontId="18" fillId="9" borderId="20" xfId="0" applyNumberFormat="1" applyFont="1" applyFill="1" applyBorder="1" applyAlignment="1">
      <alignment horizontal="center"/>
    </xf>
    <xf numFmtId="3" fontId="8" fillId="7" borderId="21" xfId="0" applyNumberFormat="1" applyFont="1" applyFill="1" applyBorder="1" applyAlignment="1">
      <alignment horizontal="center"/>
    </xf>
    <xf numFmtId="0" fontId="72" fillId="4" borderId="9" xfId="0" applyFont="1" applyFill="1" applyBorder="1"/>
    <xf numFmtId="0" fontId="73" fillId="0" borderId="12" xfId="0" applyFont="1" applyBorder="1" applyAlignment="1">
      <alignment horizontal="center"/>
    </xf>
    <xf numFmtId="0" fontId="73" fillId="0" borderId="0" xfId="0" applyFont="1" applyAlignment="1">
      <alignment horizontal="center"/>
    </xf>
    <xf numFmtId="0" fontId="8" fillId="7" borderId="24" xfId="4" applyFont="1" applyFill="1" applyBorder="1" applyAlignment="1">
      <alignment horizontal="center" textRotation="90"/>
    </xf>
    <xf numFmtId="0" fontId="8" fillId="7" borderId="25" xfId="4" applyFont="1" applyFill="1" applyBorder="1" applyAlignment="1">
      <alignment horizontal="center" textRotation="90"/>
    </xf>
    <xf numFmtId="0" fontId="11" fillId="12" borderId="26" xfId="0" applyFont="1" applyFill="1" applyBorder="1" applyAlignment="1">
      <alignment horizontal="left"/>
    </xf>
    <xf numFmtId="0" fontId="16" fillId="12" borderId="27" xfId="0" applyFont="1" applyFill="1" applyBorder="1" applyAlignment="1">
      <alignment horizontal="center"/>
    </xf>
    <xf numFmtId="3" fontId="17" fillId="12" borderId="28" xfId="0" applyNumberFormat="1" applyFont="1" applyFill="1" applyBorder="1" applyAlignment="1">
      <alignment horizontal="center"/>
    </xf>
    <xf numFmtId="0" fontId="56" fillId="0" borderId="0" xfId="0" applyFont="1"/>
    <xf numFmtId="165" fontId="56" fillId="0" borderId="0" xfId="0" applyNumberFormat="1" applyFont="1"/>
    <xf numFmtId="0" fontId="31" fillId="5" borderId="0" xfId="4" applyFont="1" applyFill="1" applyAlignment="1"/>
    <xf numFmtId="0" fontId="1" fillId="8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42" fillId="3" borderId="0" xfId="7" applyFont="1" applyFill="1" applyBorder="1" applyAlignment="1">
      <alignment horizontal="left"/>
    </xf>
    <xf numFmtId="166" fontId="46" fillId="3" borderId="0" xfId="7" applyNumberFormat="1" applyFont="1" applyFill="1" applyBorder="1" applyAlignment="1">
      <alignment horizontal="center"/>
    </xf>
    <xf numFmtId="0" fontId="19" fillId="0" borderId="0" xfId="7" applyFont="1" applyProtection="1">
      <protection locked="0"/>
    </xf>
    <xf numFmtId="0" fontId="19" fillId="0" borderId="0" xfId="7" applyFont="1" applyAlignment="1" applyProtection="1">
      <alignment horizontal="right"/>
      <protection locked="0"/>
    </xf>
    <xf numFmtId="0" fontId="61" fillId="3" borderId="11" xfId="0" applyFont="1" applyFill="1" applyBorder="1" applyProtection="1">
      <protection locked="0"/>
    </xf>
    <xf numFmtId="0" fontId="23" fillId="5" borderId="0" xfId="4" applyFont="1" applyFill="1" applyProtection="1">
      <protection locked="0"/>
    </xf>
    <xf numFmtId="0" fontId="0" fillId="4" borderId="0" xfId="0" applyFill="1" applyProtection="1">
      <protection locked="0"/>
    </xf>
    <xf numFmtId="0" fontId="23" fillId="5" borderId="0" xfId="4" applyFont="1" applyFill="1" applyBorder="1" applyAlignment="1" applyProtection="1">
      <alignment horizontal="center" vertical="center"/>
      <protection locked="0"/>
    </xf>
    <xf numFmtId="0" fontId="33" fillId="0" borderId="30" xfId="4" applyFont="1" applyBorder="1" applyAlignment="1" applyProtection="1">
      <alignment horizontal="center" vertical="center"/>
    </xf>
    <xf numFmtId="168" fontId="20" fillId="8" borderId="32" xfId="7" applyNumberFormat="1" applyFont="1" applyFill="1" applyBorder="1" applyProtection="1"/>
    <xf numFmtId="168" fontId="20" fillId="8" borderId="33" xfId="7" applyNumberFormat="1" applyFont="1" applyFill="1" applyBorder="1" applyProtection="1"/>
    <xf numFmtId="168" fontId="20" fillId="8" borderId="34" xfId="7" applyNumberFormat="1" applyFont="1" applyFill="1" applyBorder="1" applyProtection="1"/>
    <xf numFmtId="168" fontId="20" fillId="8" borderId="35" xfId="7" applyNumberFormat="1" applyFont="1" applyFill="1" applyBorder="1" applyProtection="1"/>
    <xf numFmtId="168" fontId="20" fillId="8" borderId="36" xfId="7" applyNumberFormat="1" applyFont="1" applyFill="1" applyBorder="1" applyProtection="1"/>
    <xf numFmtId="168" fontId="20" fillId="8" borderId="37" xfId="7" applyNumberFormat="1" applyFont="1" applyFill="1" applyBorder="1" applyProtection="1"/>
    <xf numFmtId="168" fontId="20" fillId="8" borderId="38" xfId="7" applyNumberFormat="1" applyFont="1" applyFill="1" applyBorder="1" applyProtection="1"/>
    <xf numFmtId="168" fontId="20" fillId="8" borderId="39" xfId="7" applyNumberFormat="1" applyFont="1" applyFill="1" applyBorder="1" applyProtection="1"/>
    <xf numFmtId="0" fontId="19" fillId="0" borderId="0" xfId="7" applyFont="1" applyProtection="1"/>
    <xf numFmtId="0" fontId="46" fillId="0" borderId="0" xfId="7" applyFont="1" applyProtection="1"/>
    <xf numFmtId="0" fontId="46" fillId="0" borderId="0" xfId="7" applyFont="1" applyAlignment="1" applyProtection="1">
      <alignment horizontal="center"/>
    </xf>
    <xf numFmtId="0" fontId="19" fillId="0" borderId="0" xfId="7" applyFont="1" applyAlignment="1" applyProtection="1">
      <alignment horizontal="left"/>
    </xf>
    <xf numFmtId="0" fontId="19" fillId="0" borderId="0" xfId="7" applyFont="1" applyBorder="1" applyProtection="1"/>
    <xf numFmtId="0" fontId="19" fillId="0" borderId="0" xfId="7" applyFont="1" applyAlignment="1" applyProtection="1">
      <alignment horizontal="right"/>
    </xf>
    <xf numFmtId="0" fontId="20" fillId="0" borderId="0" xfId="7" applyFont="1" applyAlignment="1" applyProtection="1">
      <alignment horizontal="center"/>
    </xf>
    <xf numFmtId="166" fontId="19" fillId="0" borderId="0" xfId="7" applyNumberFormat="1" applyFont="1" applyBorder="1" applyAlignment="1" applyProtection="1">
      <alignment horizontal="left"/>
    </xf>
    <xf numFmtId="2" fontId="19" fillId="0" borderId="0" xfId="7" applyNumberFormat="1" applyFont="1" applyBorder="1" applyAlignment="1" applyProtection="1">
      <alignment horizontal="right"/>
    </xf>
    <xf numFmtId="0" fontId="10" fillId="0" borderId="0" xfId="7" applyFont="1" applyAlignment="1" applyProtection="1">
      <alignment horizontal="right"/>
    </xf>
    <xf numFmtId="0" fontId="19" fillId="0" borderId="0" xfId="8" applyFont="1" applyProtection="1"/>
    <xf numFmtId="0" fontId="19" fillId="0" borderId="0" xfId="8" applyFont="1" applyProtection="1">
      <protection locked="0"/>
    </xf>
    <xf numFmtId="0" fontId="19" fillId="0" borderId="40" xfId="7" applyFont="1" applyBorder="1" applyAlignment="1" applyProtection="1">
      <alignment horizontal="center"/>
      <protection locked="0"/>
    </xf>
    <xf numFmtId="1" fontId="10" fillId="8" borderId="41" xfId="7" applyNumberFormat="1" applyFont="1" applyFill="1" applyBorder="1" applyAlignment="1" applyProtection="1">
      <alignment horizontal="center"/>
      <protection locked="0"/>
    </xf>
    <xf numFmtId="45" fontId="19" fillId="0" borderId="42" xfId="7" applyNumberFormat="1" applyFont="1" applyBorder="1" applyAlignment="1" applyProtection="1">
      <alignment horizontal="right"/>
      <protection locked="0"/>
    </xf>
    <xf numFmtId="0" fontId="74" fillId="0" borderId="0" xfId="0" applyFont="1" applyBorder="1" applyProtection="1">
      <protection locked="0"/>
    </xf>
    <xf numFmtId="0" fontId="6" fillId="0" borderId="0" xfId="0" applyFont="1" applyBorder="1" applyProtection="1">
      <protection locked="0"/>
    </xf>
    <xf numFmtId="0" fontId="74" fillId="0" borderId="0" xfId="0" applyFont="1" applyProtection="1">
      <protection locked="0"/>
    </xf>
    <xf numFmtId="0" fontId="6" fillId="0" borderId="0" xfId="0" applyFont="1" applyProtection="1">
      <protection locked="0"/>
    </xf>
    <xf numFmtId="0" fontId="16" fillId="3" borderId="0" xfId="0" applyFont="1" applyFill="1" applyProtection="1">
      <protection locked="0"/>
    </xf>
    <xf numFmtId="0" fontId="11" fillId="3" borderId="0" xfId="0" applyFont="1" applyFill="1" applyProtection="1">
      <protection locked="0"/>
    </xf>
    <xf numFmtId="21" fontId="11" fillId="3" borderId="0" xfId="0" applyNumberFormat="1" applyFont="1" applyFill="1" applyAlignment="1" applyProtection="1">
      <alignment horizontal="center"/>
      <protection locked="0"/>
    </xf>
    <xf numFmtId="0" fontId="11" fillId="3" borderId="0" xfId="0" applyFont="1" applyFill="1" applyAlignment="1" applyProtection="1">
      <alignment horizontal="center"/>
      <protection locked="0"/>
    </xf>
    <xf numFmtId="0" fontId="56" fillId="3" borderId="0" xfId="0" applyFont="1" applyFill="1" applyAlignment="1" applyProtection="1">
      <alignment horizontal="center"/>
      <protection locked="0"/>
    </xf>
    <xf numFmtId="0" fontId="56" fillId="3" borderId="0" xfId="0" applyFont="1" applyFill="1" applyProtection="1">
      <protection locked="0"/>
    </xf>
    <xf numFmtId="0" fontId="55" fillId="3" borderId="0" xfId="0" applyFont="1" applyFill="1" applyProtection="1">
      <protection locked="0"/>
    </xf>
    <xf numFmtId="21" fontId="55" fillId="3" borderId="0" xfId="0" applyNumberFormat="1" applyFont="1" applyFill="1" applyAlignment="1" applyProtection="1">
      <alignment horizontal="center"/>
      <protection locked="0"/>
    </xf>
    <xf numFmtId="0" fontId="55" fillId="3" borderId="0" xfId="0" applyFont="1" applyFill="1" applyAlignment="1" applyProtection="1">
      <alignment horizontal="center"/>
      <protection locked="0"/>
    </xf>
    <xf numFmtId="3" fontId="55" fillId="3" borderId="0" xfId="0" applyNumberFormat="1" applyFont="1" applyFill="1" applyAlignment="1" applyProtection="1">
      <alignment horizontal="center"/>
      <protection locked="0"/>
    </xf>
    <xf numFmtId="3" fontId="11" fillId="3" borderId="0" xfId="0" applyNumberFormat="1" applyFont="1" applyFill="1" applyAlignment="1" applyProtection="1">
      <alignment horizontal="center"/>
      <protection locked="0"/>
    </xf>
    <xf numFmtId="0" fontId="54" fillId="3" borderId="0" xfId="0" applyFont="1" applyFill="1" applyAlignment="1" applyProtection="1">
      <alignment horizontal="center"/>
      <protection locked="0"/>
    </xf>
    <xf numFmtId="0" fontId="8" fillId="3" borderId="0" xfId="0" applyFont="1" applyFill="1" applyAlignment="1" applyProtection="1">
      <alignment horizontal="center"/>
      <protection locked="0"/>
    </xf>
    <xf numFmtId="0" fontId="54" fillId="3" borderId="43" xfId="0" applyFont="1" applyFill="1" applyBorder="1" applyAlignment="1" applyProtection="1">
      <alignment horizontal="center"/>
      <protection locked="0"/>
    </xf>
    <xf numFmtId="0" fontId="54" fillId="3" borderId="44" xfId="0" applyFont="1" applyFill="1" applyBorder="1" applyAlignment="1" applyProtection="1">
      <alignment horizontal="center"/>
      <protection locked="0"/>
    </xf>
    <xf numFmtId="0" fontId="8" fillId="3" borderId="44" xfId="0" applyFont="1" applyFill="1" applyBorder="1" applyAlignment="1" applyProtection="1">
      <alignment horizontal="center"/>
      <protection locked="0"/>
    </xf>
    <xf numFmtId="0" fontId="8" fillId="3" borderId="45" xfId="0" applyFont="1" applyFill="1" applyBorder="1" applyAlignment="1" applyProtection="1">
      <alignment horizontal="center"/>
      <protection locked="0"/>
    </xf>
    <xf numFmtId="0" fontId="1" fillId="3" borderId="0" xfId="0" applyFont="1" applyFill="1" applyAlignment="1" applyProtection="1">
      <alignment horizontal="center"/>
      <protection locked="0"/>
    </xf>
    <xf numFmtId="3" fontId="6" fillId="3" borderId="0" xfId="0" applyNumberFormat="1" applyFont="1" applyFill="1" applyAlignment="1" applyProtection="1">
      <alignment horizontal="center"/>
      <protection locked="0"/>
    </xf>
    <xf numFmtId="0" fontId="27" fillId="5" borderId="46" xfId="4" applyFont="1" applyFill="1" applyBorder="1" applyAlignment="1" applyProtection="1">
      <protection locked="0"/>
    </xf>
    <xf numFmtId="0" fontId="28" fillId="5" borderId="46" xfId="4" applyFont="1" applyFill="1" applyBorder="1" applyAlignment="1" applyProtection="1">
      <alignment vertical="center"/>
      <protection locked="0"/>
    </xf>
    <xf numFmtId="0" fontId="29" fillId="5" borderId="46" xfId="4" applyFont="1" applyFill="1" applyBorder="1" applyAlignment="1" applyProtection="1">
      <alignment vertical="center"/>
      <protection locked="0"/>
    </xf>
    <xf numFmtId="0" fontId="28" fillId="5" borderId="46" xfId="4" applyFont="1" applyFill="1" applyBorder="1" applyAlignment="1" applyProtection="1">
      <protection locked="0"/>
    </xf>
    <xf numFmtId="0" fontId="32" fillId="5" borderId="46" xfId="4" applyFont="1" applyFill="1" applyBorder="1" applyAlignment="1" applyProtection="1">
      <protection locked="0"/>
    </xf>
    <xf numFmtId="0" fontId="28" fillId="5" borderId="47" xfId="4" applyFont="1" applyFill="1" applyBorder="1" applyAlignment="1" applyProtection="1">
      <protection locked="0"/>
    </xf>
    <xf numFmtId="0" fontId="32" fillId="5" borderId="47" xfId="4" applyFont="1" applyFill="1" applyBorder="1" applyAlignment="1" applyProtection="1">
      <protection locked="0"/>
    </xf>
    <xf numFmtId="0" fontId="22" fillId="0" borderId="48" xfId="4" applyFont="1" applyBorder="1" applyAlignment="1" applyProtection="1">
      <alignment horizontal="center"/>
      <protection locked="0"/>
    </xf>
    <xf numFmtId="0" fontId="22" fillId="0" borderId="49" xfId="4" applyFont="1" applyBorder="1" applyAlignment="1" applyProtection="1">
      <alignment horizontal="center"/>
      <protection locked="0"/>
    </xf>
    <xf numFmtId="0" fontId="22" fillId="0" borderId="12" xfId="4" applyFont="1" applyBorder="1" applyAlignment="1" applyProtection="1">
      <alignment horizontal="center"/>
      <protection locked="0"/>
    </xf>
    <xf numFmtId="0" fontId="22" fillId="0" borderId="50" xfId="4" applyFont="1" applyBorder="1" applyAlignment="1" applyProtection="1">
      <alignment horizontal="center"/>
      <protection locked="0"/>
    </xf>
    <xf numFmtId="0" fontId="22" fillId="0" borderId="51" xfId="4" applyFont="1" applyBorder="1" applyAlignment="1" applyProtection="1">
      <alignment horizontal="center"/>
      <protection locked="0"/>
    </xf>
    <xf numFmtId="0" fontId="22" fillId="0" borderId="52" xfId="4" applyFont="1" applyBorder="1" applyProtection="1">
      <protection locked="0"/>
    </xf>
    <xf numFmtId="0" fontId="22" fillId="0" borderId="53" xfId="4" applyFont="1" applyBorder="1" applyProtection="1">
      <protection locked="0"/>
    </xf>
    <xf numFmtId="0" fontId="22" fillId="0" borderId="22" xfId="4" applyFont="1" applyBorder="1" applyProtection="1">
      <protection locked="0"/>
    </xf>
    <xf numFmtId="0" fontId="22" fillId="0" borderId="40" xfId="4" applyFont="1" applyBorder="1" applyProtection="1">
      <protection locked="0"/>
    </xf>
    <xf numFmtId="0" fontId="22" fillId="0" borderId="54" xfId="4" applyFont="1" applyBorder="1" applyProtection="1">
      <protection locked="0"/>
    </xf>
    <xf numFmtId="0" fontId="22" fillId="0" borderId="55" xfId="4" applyFont="1" applyBorder="1" applyProtection="1">
      <protection locked="0"/>
    </xf>
    <xf numFmtId="0" fontId="22" fillId="0" borderId="56" xfId="4" applyFont="1" applyBorder="1" applyProtection="1">
      <protection locked="0"/>
    </xf>
    <xf numFmtId="0" fontId="22" fillId="0" borderId="57" xfId="4" applyFont="1" applyBorder="1" applyProtection="1">
      <protection locked="0"/>
    </xf>
    <xf numFmtId="0" fontId="22" fillId="0" borderId="58" xfId="4" applyFont="1" applyBorder="1" applyAlignment="1" applyProtection="1">
      <alignment horizontal="left"/>
      <protection locked="0"/>
    </xf>
    <xf numFmtId="0" fontId="22" fillId="0" borderId="59" xfId="4" applyFont="1" applyBorder="1" applyAlignment="1" applyProtection="1">
      <alignment horizontal="left"/>
      <protection locked="0"/>
    </xf>
    <xf numFmtId="0" fontId="22" fillId="0" borderId="60" xfId="4" applyFont="1" applyBorder="1" applyAlignment="1" applyProtection="1">
      <alignment horizontal="left"/>
      <protection locked="0"/>
    </xf>
    <xf numFmtId="0" fontId="28" fillId="5" borderId="46" xfId="4" applyFont="1" applyFill="1" applyBorder="1" applyAlignment="1" applyProtection="1">
      <alignment horizontal="left" vertical="center"/>
      <protection locked="0"/>
    </xf>
    <xf numFmtId="0" fontId="31" fillId="5" borderId="46" xfId="4" applyFont="1" applyFill="1" applyBorder="1" applyProtection="1">
      <protection locked="0"/>
    </xf>
    <xf numFmtId="0" fontId="28" fillId="5" borderId="47" xfId="4" applyFont="1" applyFill="1" applyBorder="1" applyAlignment="1" applyProtection="1">
      <alignment horizontal="left" vertical="center"/>
      <protection locked="0"/>
    </xf>
    <xf numFmtId="0" fontId="26" fillId="5" borderId="0" xfId="4" applyFont="1" applyFill="1" applyAlignment="1" applyProtection="1">
      <alignment horizontal="left"/>
    </xf>
    <xf numFmtId="0" fontId="26" fillId="5" borderId="0" xfId="4" applyFont="1" applyFill="1" applyProtection="1"/>
    <xf numFmtId="0" fontId="24" fillId="5" borderId="0" xfId="4" applyFont="1" applyFill="1" applyProtection="1"/>
    <xf numFmtId="0" fontId="23" fillId="5" borderId="0" xfId="4" applyFont="1" applyFill="1" applyProtection="1"/>
    <xf numFmtId="0" fontId="30" fillId="5" borderId="0" xfId="4" applyFont="1" applyFill="1" applyAlignment="1" applyProtection="1">
      <alignment horizontal="center"/>
    </xf>
    <xf numFmtId="0" fontId="23" fillId="5" borderId="0" xfId="4" applyFont="1" applyFill="1" applyBorder="1" applyProtection="1"/>
    <xf numFmtId="0" fontId="30" fillId="5" borderId="0" xfId="4" applyFont="1" applyFill="1" applyAlignment="1" applyProtection="1">
      <alignment horizontal="left"/>
    </xf>
    <xf numFmtId="0" fontId="30" fillId="5" borderId="0" xfId="4" applyFont="1" applyFill="1" applyProtection="1"/>
    <xf numFmtId="0" fontId="0" fillId="4" borderId="0" xfId="0" applyFill="1" applyProtection="1"/>
    <xf numFmtId="0" fontId="30" fillId="5" borderId="0" xfId="4" applyFont="1" applyFill="1" applyBorder="1" applyAlignment="1" applyProtection="1">
      <alignment horizontal="left"/>
    </xf>
    <xf numFmtId="0" fontId="34" fillId="0" borderId="62" xfId="4" applyFont="1" applyBorder="1" applyAlignment="1" applyProtection="1">
      <alignment horizontal="center" vertical="center"/>
    </xf>
    <xf numFmtId="0" fontId="34" fillId="0" borderId="63" xfId="4" applyFont="1" applyBorder="1" applyAlignment="1" applyProtection="1">
      <alignment horizontal="center" vertical="center"/>
    </xf>
    <xf numFmtId="0" fontId="34" fillId="0" borderId="64" xfId="4" applyFont="1" applyBorder="1" applyAlignment="1" applyProtection="1">
      <alignment horizontal="center" vertical="center"/>
    </xf>
    <xf numFmtId="0" fontId="34" fillId="0" borderId="65" xfId="4" applyFont="1" applyBorder="1" applyAlignment="1" applyProtection="1">
      <alignment horizontal="center" vertical="center"/>
    </xf>
    <xf numFmtId="0" fontId="33" fillId="0" borderId="32" xfId="4" applyFont="1" applyBorder="1" applyAlignment="1" applyProtection="1">
      <alignment horizontal="center" vertical="center"/>
    </xf>
    <xf numFmtId="0" fontId="33" fillId="0" borderId="66" xfId="4" applyFont="1" applyBorder="1" applyAlignment="1" applyProtection="1">
      <alignment horizontal="center"/>
    </xf>
    <xf numFmtId="0" fontId="33" fillId="0" borderId="67" xfId="4" applyFont="1" applyBorder="1" applyAlignment="1" applyProtection="1">
      <alignment horizontal="center"/>
    </xf>
    <xf numFmtId="0" fontId="33" fillId="0" borderId="32" xfId="4" applyFont="1" applyBorder="1" applyAlignment="1" applyProtection="1">
      <alignment horizontal="center"/>
    </xf>
    <xf numFmtId="0" fontId="33" fillId="0" borderId="68" xfId="4" applyFont="1" applyBorder="1" applyAlignment="1" applyProtection="1">
      <alignment horizontal="center"/>
    </xf>
    <xf numFmtId="0" fontId="22" fillId="4" borderId="0" xfId="4" applyFont="1" applyFill="1" applyAlignment="1" applyProtection="1">
      <alignment horizontal="center" vertical="center"/>
    </xf>
    <xf numFmtId="0" fontId="50" fillId="3" borderId="0" xfId="0" applyFont="1" applyFill="1" applyProtection="1"/>
    <xf numFmtId="0" fontId="0" fillId="3" borderId="0" xfId="0" applyFill="1" applyProtection="1"/>
    <xf numFmtId="0" fontId="12" fillId="3" borderId="0" xfId="0" applyFont="1" applyFill="1" applyAlignment="1" applyProtection="1">
      <alignment horizontal="left" vertical="center"/>
    </xf>
    <xf numFmtId="0" fontId="12" fillId="3" borderId="0" xfId="0" applyFont="1" applyFill="1" applyAlignment="1" applyProtection="1">
      <alignment horizontal="center" vertical="center"/>
    </xf>
    <xf numFmtId="21" fontId="1" fillId="3" borderId="0" xfId="0" applyNumberFormat="1" applyFont="1" applyFill="1" applyAlignment="1" applyProtection="1">
      <alignment horizontal="center"/>
    </xf>
    <xf numFmtId="0" fontId="1" fillId="3" borderId="0" xfId="0" applyFont="1" applyFill="1" applyAlignment="1" applyProtection="1">
      <alignment horizontal="center"/>
    </xf>
    <xf numFmtId="3" fontId="6" fillId="3" borderId="0" xfId="0" applyNumberFormat="1" applyFont="1" applyFill="1" applyAlignment="1" applyProtection="1">
      <alignment horizontal="center"/>
    </xf>
    <xf numFmtId="0" fontId="7" fillId="3" borderId="0" xfId="0" applyFont="1" applyFill="1" applyAlignment="1" applyProtection="1">
      <alignment horizontal="center"/>
    </xf>
    <xf numFmtId="0" fontId="12" fillId="3" borderId="0" xfId="0" applyFont="1" applyFill="1" applyAlignment="1" applyProtection="1">
      <alignment horizontal="center"/>
    </xf>
    <xf numFmtId="0" fontId="66" fillId="3" borderId="0" xfId="0" applyFont="1" applyFill="1" applyAlignment="1" applyProtection="1">
      <alignment horizontal="left"/>
    </xf>
    <xf numFmtId="0" fontId="16" fillId="3" borderId="0" xfId="0" applyFont="1" applyFill="1" applyProtection="1"/>
    <xf numFmtId="0" fontId="56" fillId="3" borderId="0" xfId="0" applyFont="1" applyFill="1" applyAlignment="1" applyProtection="1">
      <alignment horizontal="center"/>
    </xf>
    <xf numFmtId="0" fontId="4" fillId="3" borderId="0" xfId="0" applyFont="1" applyFill="1" applyProtection="1"/>
    <xf numFmtId="0" fontId="5" fillId="3" borderId="0" xfId="0" applyFont="1" applyFill="1" applyProtection="1"/>
    <xf numFmtId="0" fontId="1" fillId="3" borderId="0" xfId="0" applyFont="1" applyFill="1" applyAlignment="1" applyProtection="1">
      <alignment horizontal="left"/>
    </xf>
    <xf numFmtId="0" fontId="51" fillId="3" borderId="0" xfId="0" applyFont="1" applyFill="1" applyAlignment="1" applyProtection="1">
      <alignment horizontal="left"/>
    </xf>
    <xf numFmtId="3" fontId="9" fillId="3" borderId="69" xfId="0" applyNumberFormat="1" applyFont="1" applyFill="1" applyBorder="1" applyAlignment="1" applyProtection="1">
      <alignment horizontal="center" textRotation="90"/>
    </xf>
    <xf numFmtId="0" fontId="8" fillId="3" borderId="0" xfId="0" applyFont="1" applyFill="1" applyProtection="1"/>
    <xf numFmtId="45" fontId="77" fillId="3" borderId="0" xfId="0" applyNumberFormat="1" applyFont="1" applyFill="1" applyAlignment="1" applyProtection="1">
      <alignment horizontal="left"/>
    </xf>
    <xf numFmtId="0" fontId="77" fillId="3" borderId="0" xfId="0" applyFont="1" applyFill="1" applyAlignment="1" applyProtection="1">
      <alignment horizontal="center"/>
    </xf>
    <xf numFmtId="0" fontId="10" fillId="3" borderId="0" xfId="0" applyFont="1" applyFill="1" applyProtection="1"/>
    <xf numFmtId="3" fontId="6" fillId="3" borderId="70" xfId="0" applyNumberFormat="1" applyFont="1" applyFill="1" applyBorder="1" applyAlignment="1" applyProtection="1">
      <alignment horizontal="center"/>
    </xf>
    <xf numFmtId="0" fontId="11" fillId="3" borderId="0" xfId="0" applyFont="1" applyFill="1" applyProtection="1"/>
    <xf numFmtId="0" fontId="77" fillId="0" borderId="0" xfId="0" applyFont="1" applyProtection="1"/>
    <xf numFmtId="45" fontId="77" fillId="3" borderId="0" xfId="0" applyNumberFormat="1" applyFont="1" applyFill="1" applyAlignment="1" applyProtection="1">
      <alignment horizontal="center"/>
    </xf>
    <xf numFmtId="0" fontId="13" fillId="3" borderId="0" xfId="0" applyFont="1" applyFill="1" applyProtection="1"/>
    <xf numFmtId="166" fontId="14" fillId="3" borderId="71" xfId="0" applyNumberFormat="1" applyFont="1" applyFill="1" applyBorder="1" applyAlignment="1" applyProtection="1">
      <alignment horizontal="center"/>
    </xf>
    <xf numFmtId="21" fontId="14" fillId="3" borderId="71" xfId="0" applyNumberFormat="1" applyFont="1" applyFill="1" applyBorder="1" applyAlignment="1" applyProtection="1">
      <alignment horizontal="center"/>
    </xf>
    <xf numFmtId="166" fontId="56" fillId="3" borderId="0" xfId="0" applyNumberFormat="1" applyFont="1" applyFill="1" applyAlignment="1" applyProtection="1">
      <alignment horizontal="center"/>
    </xf>
    <xf numFmtId="0" fontId="68" fillId="3" borderId="0" xfId="0" applyFont="1" applyFill="1" applyAlignment="1" applyProtection="1">
      <alignment horizontal="left" vertical="center"/>
    </xf>
    <xf numFmtId="0" fontId="17" fillId="3" borderId="0" xfId="0" applyFont="1" applyFill="1" applyAlignment="1" applyProtection="1">
      <alignment horizontal="center" vertical="center"/>
    </xf>
    <xf numFmtId="21" fontId="8" fillId="3" borderId="0" xfId="0" applyNumberFormat="1" applyFont="1" applyFill="1" applyAlignment="1" applyProtection="1">
      <alignment horizontal="center" vertical="center"/>
    </xf>
    <xf numFmtId="0" fontId="8" fillId="3" borderId="0" xfId="0" applyFont="1" applyFill="1" applyAlignment="1" applyProtection="1">
      <alignment horizontal="center" vertical="center"/>
    </xf>
    <xf numFmtId="0" fontId="67" fillId="3" borderId="0" xfId="0" applyFont="1" applyFill="1" applyAlignment="1" applyProtection="1">
      <alignment horizontal="center" vertical="center"/>
    </xf>
    <xf numFmtId="21" fontId="67" fillId="3" borderId="0" xfId="0" applyNumberFormat="1" applyFont="1" applyFill="1" applyAlignment="1" applyProtection="1">
      <alignment horizontal="center" vertical="center"/>
    </xf>
    <xf numFmtId="3" fontId="48" fillId="3" borderId="5" xfId="0" applyNumberFormat="1" applyFont="1" applyFill="1" applyBorder="1" applyAlignment="1" applyProtection="1">
      <alignment horizontal="left" vertical="center"/>
    </xf>
    <xf numFmtId="3" fontId="6" fillId="3" borderId="72" xfId="0" applyNumberFormat="1" applyFont="1" applyFill="1" applyBorder="1" applyAlignment="1" applyProtection="1">
      <alignment horizontal="center" vertical="center"/>
    </xf>
    <xf numFmtId="165" fontId="18" fillId="13" borderId="23" xfId="0" applyNumberFormat="1" applyFont="1" applyFill="1" applyBorder="1" applyAlignment="1" applyProtection="1">
      <alignment horizontal="center" vertical="center"/>
    </xf>
    <xf numFmtId="166" fontId="18" fillId="13" borderId="21" xfId="0" applyNumberFormat="1" applyFont="1" applyFill="1" applyBorder="1" applyAlignment="1" applyProtection="1">
      <alignment horizontal="center" vertical="center"/>
    </xf>
    <xf numFmtId="21" fontId="11" fillId="3" borderId="0" xfId="0" applyNumberFormat="1" applyFont="1" applyFill="1" applyAlignment="1" applyProtection="1">
      <alignment horizontal="center"/>
    </xf>
    <xf numFmtId="0" fontId="11" fillId="3" borderId="0" xfId="0" applyFont="1" applyFill="1" applyAlignment="1" applyProtection="1">
      <alignment horizontal="center"/>
    </xf>
    <xf numFmtId="0" fontId="54" fillId="3" borderId="0" xfId="0" applyFont="1" applyFill="1" applyProtection="1"/>
    <xf numFmtId="0" fontId="19" fillId="3" borderId="0" xfId="0" applyFont="1" applyFill="1" applyProtection="1"/>
    <xf numFmtId="21" fontId="11" fillId="3" borderId="0" xfId="0" applyNumberFormat="1" applyFont="1" applyFill="1" applyProtection="1"/>
    <xf numFmtId="0" fontId="56" fillId="3" borderId="0" xfId="0" applyFont="1" applyFill="1" applyProtection="1"/>
    <xf numFmtId="0" fontId="55" fillId="3" borderId="0" xfId="0" applyFont="1" applyFill="1" applyProtection="1"/>
    <xf numFmtId="21" fontId="55" fillId="3" borderId="0" xfId="0" applyNumberFormat="1" applyFont="1" applyFill="1" applyAlignment="1" applyProtection="1">
      <alignment horizontal="center"/>
    </xf>
    <xf numFmtId="0" fontId="55" fillId="3" borderId="0" xfId="0" applyFont="1" applyFill="1" applyAlignment="1" applyProtection="1">
      <alignment horizontal="center"/>
    </xf>
    <xf numFmtId="0" fontId="7" fillId="3" borderId="0" xfId="0" applyFont="1" applyFill="1" applyAlignment="1" applyProtection="1">
      <alignment horizontal="center"/>
      <protection locked="0"/>
    </xf>
    <xf numFmtId="0" fontId="12" fillId="3" borderId="0" xfId="0" applyFont="1" applyFill="1" applyAlignment="1" applyProtection="1">
      <alignment horizontal="center"/>
      <protection locked="0"/>
    </xf>
    <xf numFmtId="170" fontId="46" fillId="0" borderId="0" xfId="7" applyNumberFormat="1" applyFont="1" applyAlignment="1" applyProtection="1">
      <alignment horizontal="center"/>
    </xf>
    <xf numFmtId="170" fontId="45" fillId="0" borderId="73" xfId="7" applyNumberFormat="1" applyFont="1" applyBorder="1" applyAlignment="1" applyProtection="1">
      <alignment horizontal="center"/>
      <protection locked="0"/>
    </xf>
    <xf numFmtId="170" fontId="46" fillId="0" borderId="0" xfId="7" applyNumberFormat="1" applyFont="1" applyBorder="1" applyAlignment="1" applyProtection="1">
      <alignment horizontal="center"/>
    </xf>
    <xf numFmtId="0" fontId="54" fillId="0" borderId="0" xfId="7" applyFont="1" applyProtection="1"/>
    <xf numFmtId="47" fontId="56" fillId="0" borderId="74" xfId="7" applyNumberFormat="1" applyFont="1" applyBorder="1" applyProtection="1"/>
    <xf numFmtId="47" fontId="56" fillId="0" borderId="75" xfId="7" applyNumberFormat="1" applyFont="1" applyBorder="1" applyProtection="1"/>
    <xf numFmtId="47" fontId="56" fillId="0" borderId="76" xfId="7" applyNumberFormat="1" applyFont="1" applyBorder="1" applyProtection="1"/>
    <xf numFmtId="0" fontId="25" fillId="5" borderId="0" xfId="4" quotePrefix="1" applyFont="1" applyFill="1" applyAlignment="1" applyProtection="1">
      <alignment horizontal="left"/>
      <protection locked="0"/>
    </xf>
    <xf numFmtId="14" fontId="28" fillId="5" borderId="46" xfId="4" applyNumberFormat="1" applyFont="1" applyFill="1" applyBorder="1" applyAlignment="1" applyProtection="1">
      <protection locked="0"/>
    </xf>
    <xf numFmtId="1" fontId="80" fillId="3" borderId="77" xfId="0" applyNumberFormat="1" applyFont="1" applyFill="1" applyBorder="1" applyAlignment="1" applyProtection="1">
      <alignment horizontal="center"/>
      <protection locked="0"/>
    </xf>
    <xf numFmtId="1" fontId="65" fillId="3" borderId="52" xfId="0" applyNumberFormat="1" applyFont="1" applyFill="1" applyBorder="1" applyAlignment="1" applyProtection="1">
      <alignment horizontal="center"/>
      <protection locked="0"/>
    </xf>
    <xf numFmtId="1" fontId="64" fillId="9" borderId="52" xfId="0" applyNumberFormat="1" applyFont="1" applyFill="1" applyBorder="1" applyAlignment="1">
      <alignment horizontal="center"/>
    </xf>
    <xf numFmtId="0" fontId="62" fillId="3" borderId="0" xfId="0" applyFont="1" applyFill="1" applyBorder="1" applyAlignment="1">
      <alignment horizontal="right"/>
    </xf>
    <xf numFmtId="1" fontId="64" fillId="9" borderId="78" xfId="0" applyNumberFormat="1" applyFont="1" applyFill="1" applyBorder="1" applyAlignment="1">
      <alignment horizontal="center"/>
    </xf>
    <xf numFmtId="1" fontId="64" fillId="9" borderId="40" xfId="0" applyNumberFormat="1" applyFont="1" applyFill="1" applyBorder="1" applyAlignment="1">
      <alignment horizontal="center"/>
    </xf>
    <xf numFmtId="1" fontId="64" fillId="9" borderId="22" xfId="0" applyNumberFormat="1" applyFont="1" applyFill="1" applyBorder="1" applyAlignment="1">
      <alignment horizontal="center"/>
    </xf>
    <xf numFmtId="0" fontId="62" fillId="3" borderId="79" xfId="0" applyFont="1" applyFill="1" applyBorder="1" applyAlignment="1">
      <alignment horizontal="right"/>
    </xf>
    <xf numFmtId="0" fontId="81" fillId="3" borderId="0" xfId="0" applyFont="1" applyFill="1"/>
    <xf numFmtId="0" fontId="82" fillId="14" borderId="0" xfId="0" applyFont="1" applyFill="1"/>
    <xf numFmtId="0" fontId="84" fillId="14" borderId="80" xfId="0" applyFont="1" applyFill="1" applyBorder="1"/>
    <xf numFmtId="0" fontId="84" fillId="14" borderId="80" xfId="0" quotePrefix="1" applyFont="1" applyFill="1" applyBorder="1" applyAlignment="1">
      <alignment horizontal="left"/>
    </xf>
    <xf numFmtId="21" fontId="81" fillId="14" borderId="35" xfId="0" applyNumberFormat="1" applyFont="1" applyFill="1" applyBorder="1"/>
    <xf numFmtId="0" fontId="0" fillId="14" borderId="35" xfId="0" applyFill="1" applyBorder="1"/>
    <xf numFmtId="21" fontId="82" fillId="14" borderId="35" xfId="0" applyNumberFormat="1" applyFont="1" applyFill="1" applyBorder="1"/>
    <xf numFmtId="0" fontId="86" fillId="14" borderId="35" xfId="0" quotePrefix="1" applyFont="1" applyFill="1" applyBorder="1" applyAlignment="1">
      <alignment horizontal="left"/>
    </xf>
    <xf numFmtId="0" fontId="86" fillId="15" borderId="80" xfId="0" applyFont="1" applyFill="1" applyBorder="1"/>
    <xf numFmtId="0" fontId="86" fillId="15" borderId="80" xfId="0" quotePrefix="1" applyFont="1" applyFill="1" applyBorder="1" applyAlignment="1">
      <alignment horizontal="left"/>
    </xf>
    <xf numFmtId="0" fontId="0" fillId="15" borderId="35" xfId="0" applyFill="1" applyBorder="1"/>
    <xf numFmtId="21" fontId="0" fillId="15" borderId="35" xfId="0" applyNumberFormat="1" applyFill="1" applyBorder="1"/>
    <xf numFmtId="0" fontId="84" fillId="16" borderId="80" xfId="0" applyFont="1" applyFill="1" applyBorder="1"/>
    <xf numFmtId="0" fontId="84" fillId="16" borderId="80" xfId="0" quotePrefix="1" applyFont="1" applyFill="1" applyBorder="1" applyAlignment="1">
      <alignment horizontal="left"/>
    </xf>
    <xf numFmtId="0" fontId="0" fillId="0" borderId="0" xfId="0" applyFill="1"/>
    <xf numFmtId="0" fontId="88" fillId="0" borderId="81" xfId="0" applyFont="1" applyFill="1" applyBorder="1" applyAlignment="1" applyProtection="1">
      <alignment horizontal="center"/>
    </xf>
    <xf numFmtId="0" fontId="88" fillId="0" borderId="0" xfId="0" applyFont="1" applyFill="1" applyAlignment="1" applyProtection="1">
      <alignment horizontal="center"/>
    </xf>
    <xf numFmtId="0" fontId="84" fillId="0" borderId="80" xfId="0" applyFont="1" applyFill="1" applyBorder="1"/>
    <xf numFmtId="0" fontId="88" fillId="0" borderId="82" xfId="0" applyFont="1" applyFill="1" applyBorder="1" applyAlignment="1" applyProtection="1">
      <alignment horizontal="center"/>
    </xf>
    <xf numFmtId="21" fontId="0" fillId="17" borderId="35" xfId="0" applyNumberFormat="1" applyFill="1" applyBorder="1"/>
    <xf numFmtId="0" fontId="0" fillId="18" borderId="83" xfId="0" applyFill="1" applyBorder="1" applyProtection="1"/>
    <xf numFmtId="0" fontId="88" fillId="18" borderId="83" xfId="0" applyFont="1" applyFill="1" applyBorder="1" applyProtection="1"/>
    <xf numFmtId="0" fontId="88" fillId="18" borderId="84" xfId="0" applyFont="1" applyFill="1" applyBorder="1" applyProtection="1"/>
    <xf numFmtId="21" fontId="0" fillId="19" borderId="35" xfId="0" applyNumberFormat="1" applyFill="1" applyBorder="1"/>
    <xf numFmtId="0" fontId="83" fillId="14" borderId="0" xfId="0" applyFont="1" applyFill="1" applyAlignment="1">
      <alignment horizontal="left"/>
    </xf>
    <xf numFmtId="21" fontId="0" fillId="20" borderId="35" xfId="0" applyNumberFormat="1" applyFill="1" applyBorder="1"/>
    <xf numFmtId="21" fontId="85" fillId="14" borderId="35" xfId="0" quotePrefix="1" applyNumberFormat="1" applyFont="1" applyFill="1" applyBorder="1" applyAlignment="1">
      <alignment horizontal="center"/>
    </xf>
    <xf numFmtId="21" fontId="85" fillId="20" borderId="35" xfId="0" quotePrefix="1" applyNumberFormat="1" applyFont="1" applyFill="1" applyBorder="1" applyAlignment="1">
      <alignment horizontal="center"/>
    </xf>
    <xf numFmtId="21" fontId="85" fillId="15" borderId="35" xfId="0" quotePrefix="1" applyNumberFormat="1" applyFont="1" applyFill="1" applyBorder="1" applyAlignment="1">
      <alignment horizontal="center"/>
    </xf>
    <xf numFmtId="21" fontId="81" fillId="21" borderId="35" xfId="0" applyNumberFormat="1" applyFont="1" applyFill="1" applyBorder="1"/>
    <xf numFmtId="0" fontId="0" fillId="21" borderId="35" xfId="0" applyFill="1" applyBorder="1"/>
    <xf numFmtId="21" fontId="82" fillId="21" borderId="35" xfId="0" applyNumberFormat="1" applyFont="1" applyFill="1" applyBorder="1"/>
    <xf numFmtId="21" fontId="85" fillId="21" borderId="35" xfId="0" quotePrefix="1" applyNumberFormat="1" applyFont="1" applyFill="1" applyBorder="1" applyAlignment="1">
      <alignment horizontal="center"/>
    </xf>
    <xf numFmtId="0" fontId="89" fillId="16" borderId="35" xfId="0" applyFont="1" applyFill="1" applyBorder="1"/>
    <xf numFmtId="21" fontId="89" fillId="16" borderId="35" xfId="0" applyNumberFormat="1" applyFont="1" applyFill="1" applyBorder="1"/>
    <xf numFmtId="21" fontId="85" fillId="17" borderId="35" xfId="0" quotePrefix="1" applyNumberFormat="1" applyFont="1" applyFill="1" applyBorder="1" applyAlignment="1">
      <alignment horizontal="center"/>
    </xf>
    <xf numFmtId="21" fontId="89" fillId="17" borderId="35" xfId="0" applyNumberFormat="1" applyFont="1" applyFill="1" applyBorder="1"/>
    <xf numFmtId="0" fontId="2" fillId="18" borderId="83" xfId="0" applyFont="1" applyFill="1" applyBorder="1" applyProtection="1"/>
    <xf numFmtId="0" fontId="90" fillId="18" borderId="83" xfId="0" applyFont="1" applyFill="1" applyBorder="1" applyProtection="1"/>
    <xf numFmtId="0" fontId="91" fillId="18" borderId="83" xfId="0" applyFont="1" applyFill="1" applyBorder="1" applyProtection="1"/>
    <xf numFmtId="0" fontId="90" fillId="18" borderId="84" xfId="0" applyFont="1" applyFill="1" applyBorder="1" applyProtection="1"/>
    <xf numFmtId="0" fontId="91" fillId="18" borderId="84" xfId="0" applyFont="1" applyFill="1" applyBorder="1" applyProtection="1"/>
    <xf numFmtId="0" fontId="86" fillId="14" borderId="35" xfId="0" applyFont="1" applyFill="1" applyBorder="1"/>
    <xf numFmtId="0" fontId="9" fillId="0" borderId="0" xfId="0" applyFont="1" applyBorder="1" applyProtection="1">
      <protection locked="0"/>
    </xf>
    <xf numFmtId="0" fontId="20" fillId="21" borderId="35" xfId="0" applyFont="1" applyFill="1" applyBorder="1"/>
    <xf numFmtId="0" fontId="20" fillId="15" borderId="35" xfId="0" applyFont="1" applyFill="1" applyBorder="1"/>
    <xf numFmtId="0" fontId="84" fillId="16" borderId="35" xfId="0" applyFont="1" applyFill="1" applyBorder="1"/>
    <xf numFmtId="0" fontId="20" fillId="18" borderId="83" xfId="0" applyFont="1" applyFill="1" applyBorder="1" applyProtection="1"/>
    <xf numFmtId="0" fontId="9" fillId="0" borderId="0" xfId="0" applyFont="1" applyProtection="1">
      <protection locked="0"/>
    </xf>
    <xf numFmtId="166" fontId="80" fillId="3" borderId="77" xfId="0" applyNumberFormat="1" applyFont="1" applyFill="1" applyBorder="1" applyAlignment="1" applyProtection="1">
      <alignment horizontal="center"/>
      <protection locked="0"/>
    </xf>
    <xf numFmtId="1" fontId="18" fillId="9" borderId="20" xfId="0" applyNumberFormat="1" applyFont="1" applyFill="1" applyBorder="1" applyAlignment="1">
      <alignment horizontal="center"/>
    </xf>
    <xf numFmtId="0" fontId="62" fillId="3" borderId="79" xfId="0" applyFont="1" applyFill="1" applyBorder="1" applyAlignment="1">
      <alignment horizontal="center"/>
    </xf>
    <xf numFmtId="172" fontId="93" fillId="0" borderId="0" xfId="0" applyNumberFormat="1" applyFont="1" applyAlignment="1" applyProtection="1">
      <alignment horizontal="center"/>
    </xf>
    <xf numFmtId="172" fontId="94" fillId="0" borderId="0" xfId="0" applyNumberFormat="1" applyFont="1" applyAlignment="1" applyProtection="1">
      <alignment horizontal="center"/>
    </xf>
    <xf numFmtId="0" fontId="0" fillId="0" borderId="0" xfId="0" applyBorder="1"/>
    <xf numFmtId="21" fontId="85" fillId="14" borderId="35" xfId="0" applyNumberFormat="1" applyFont="1" applyFill="1" applyBorder="1"/>
    <xf numFmtId="0" fontId="9" fillId="3" borderId="85" xfId="4" applyFont="1" applyFill="1" applyBorder="1" applyAlignment="1" applyProtection="1">
      <alignment horizontal="center" textRotation="90"/>
    </xf>
    <xf numFmtId="0" fontId="9" fillId="22" borderId="85" xfId="4" applyFont="1" applyFill="1" applyBorder="1" applyAlignment="1" applyProtection="1">
      <alignment horizontal="center" textRotation="90"/>
    </xf>
    <xf numFmtId="0" fontId="9" fillId="23" borderId="85" xfId="4" applyFont="1" applyFill="1" applyBorder="1" applyAlignment="1" applyProtection="1">
      <alignment horizontal="center" textRotation="90"/>
    </xf>
    <xf numFmtId="0" fontId="9" fillId="24" borderId="85" xfId="4" applyFont="1" applyFill="1" applyBorder="1" applyAlignment="1" applyProtection="1">
      <alignment horizontal="center" textRotation="90"/>
    </xf>
    <xf numFmtId="0" fontId="9" fillId="25" borderId="85" xfId="4" applyFont="1" applyFill="1" applyBorder="1" applyAlignment="1" applyProtection="1">
      <alignment horizontal="center" textRotation="90"/>
    </xf>
    <xf numFmtId="0" fontId="8" fillId="26" borderId="85" xfId="4" applyFont="1" applyFill="1" applyBorder="1" applyAlignment="1" applyProtection="1">
      <alignment horizontal="center" textRotation="90"/>
    </xf>
    <xf numFmtId="0" fontId="8" fillId="27" borderId="85" xfId="4" applyFont="1" applyFill="1" applyBorder="1" applyAlignment="1" applyProtection="1">
      <alignment horizontal="center" textRotation="90"/>
    </xf>
    <xf numFmtId="0" fontId="86" fillId="15" borderId="35" xfId="0" applyFont="1" applyFill="1" applyBorder="1" applyAlignment="1">
      <alignment horizontal="center"/>
    </xf>
    <xf numFmtId="0" fontId="84" fillId="16" borderId="35" xfId="0" quotePrefix="1" applyFont="1" applyFill="1" applyBorder="1" applyAlignment="1">
      <alignment horizontal="center"/>
    </xf>
    <xf numFmtId="21" fontId="0" fillId="0" borderId="0" xfId="0" applyNumberFormat="1" applyFill="1" applyBorder="1"/>
    <xf numFmtId="1" fontId="7" fillId="3" borderId="0" xfId="0" applyNumberFormat="1" applyFont="1" applyFill="1" applyBorder="1" applyAlignment="1" applyProtection="1">
      <alignment horizontal="center"/>
      <protection locked="0"/>
    </xf>
    <xf numFmtId="0" fontId="0" fillId="0" borderId="0" xfId="0" applyFill="1" applyBorder="1"/>
    <xf numFmtId="0" fontId="70" fillId="0" borderId="0" xfId="0" quotePrefix="1" applyFont="1" applyFill="1" applyBorder="1" applyAlignment="1">
      <alignment horizontal="left"/>
    </xf>
    <xf numFmtId="0" fontId="95" fillId="0" borderId="0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86" fillId="14" borderId="86" xfId="0" applyFont="1" applyFill="1" applyBorder="1"/>
    <xf numFmtId="0" fontId="86" fillId="14" borderId="80" xfId="0" applyFont="1" applyFill="1" applyBorder="1"/>
    <xf numFmtId="0" fontId="86" fillId="14" borderId="80" xfId="0" quotePrefix="1" applyFont="1" applyFill="1" applyBorder="1" applyAlignment="1">
      <alignment horizontal="left"/>
    </xf>
    <xf numFmtId="0" fontId="86" fillId="14" borderId="80" xfId="0" applyFont="1" applyFill="1" applyBorder="1" applyAlignment="1">
      <alignment horizontal="left"/>
    </xf>
    <xf numFmtId="0" fontId="86" fillId="14" borderId="80" xfId="0" applyFont="1" applyFill="1" applyBorder="1" applyAlignment="1">
      <alignment horizontal="center"/>
    </xf>
    <xf numFmtId="0" fontId="0" fillId="28" borderId="35" xfId="0" applyFill="1" applyBorder="1"/>
    <xf numFmtId="21" fontId="0" fillId="28" borderId="35" xfId="0" applyNumberFormat="1" applyFill="1" applyBorder="1"/>
    <xf numFmtId="0" fontId="85" fillId="28" borderId="35" xfId="0" applyFont="1" applyFill="1" applyBorder="1" applyAlignment="1">
      <alignment horizontal="center"/>
    </xf>
    <xf numFmtId="0" fontId="9" fillId="0" borderId="87" xfId="0" applyFont="1" applyFill="1" applyBorder="1" applyAlignment="1">
      <alignment horizontal="center" textRotation="90"/>
    </xf>
    <xf numFmtId="0" fontId="9" fillId="0" borderId="31" xfId="0" applyFont="1" applyFill="1" applyBorder="1" applyAlignment="1" applyProtection="1">
      <alignment horizontal="center" textRotation="90"/>
    </xf>
    <xf numFmtId="0" fontId="9" fillId="0" borderId="88" xfId="0" applyFont="1" applyFill="1" applyBorder="1" applyAlignment="1" applyProtection="1">
      <alignment horizontal="center" textRotation="90"/>
    </xf>
    <xf numFmtId="0" fontId="9" fillId="0" borderId="89" xfId="0" applyFont="1" applyFill="1" applyBorder="1" applyAlignment="1">
      <alignment horizontal="center" textRotation="90"/>
    </xf>
    <xf numFmtId="21" fontId="9" fillId="0" borderId="87" xfId="0" applyNumberFormat="1" applyFont="1" applyFill="1" applyBorder="1" applyAlignment="1">
      <alignment horizontal="center" textRotation="90"/>
    </xf>
    <xf numFmtId="0" fontId="9" fillId="0" borderId="89" xfId="0" applyFont="1" applyFill="1" applyBorder="1" applyAlignment="1">
      <alignment horizontal="center" vertical="justify" textRotation="90"/>
    </xf>
    <xf numFmtId="21" fontId="9" fillId="0" borderId="90" xfId="0" applyNumberFormat="1" applyFont="1" applyFill="1" applyBorder="1" applyAlignment="1">
      <alignment horizontal="center" textRotation="90"/>
    </xf>
    <xf numFmtId="0" fontId="6" fillId="0" borderId="91" xfId="0" applyFont="1" applyFill="1" applyBorder="1" applyAlignment="1" applyProtection="1">
      <alignment horizontal="center" textRotation="90"/>
    </xf>
    <xf numFmtId="0" fontId="6" fillId="0" borderId="70" xfId="0" applyFont="1" applyFill="1" applyBorder="1" applyAlignment="1" applyProtection="1">
      <alignment horizontal="center" textRotation="90"/>
    </xf>
    <xf numFmtId="0" fontId="6" fillId="0" borderId="92" xfId="0" applyFont="1" applyFill="1" applyBorder="1" applyAlignment="1">
      <alignment horizontal="center" textRotation="90"/>
    </xf>
    <xf numFmtId="21" fontId="9" fillId="0" borderId="92" xfId="0" applyNumberFormat="1" applyFont="1" applyFill="1" applyBorder="1" applyAlignment="1">
      <alignment horizontal="left"/>
    </xf>
    <xf numFmtId="0" fontId="9" fillId="0" borderId="92" xfId="0" applyFont="1" applyFill="1" applyBorder="1" applyAlignment="1">
      <alignment horizontal="left"/>
    </xf>
    <xf numFmtId="21" fontId="6" fillId="0" borderId="93" xfId="0" applyNumberFormat="1" applyFont="1" applyFill="1" applyBorder="1" applyAlignment="1">
      <alignment horizontal="center" textRotation="90"/>
    </xf>
    <xf numFmtId="0" fontId="92" fillId="0" borderId="0" xfId="0" applyFont="1" applyFill="1" applyBorder="1"/>
    <xf numFmtId="21" fontId="98" fillId="29" borderId="35" xfId="0" applyNumberFormat="1" applyFont="1" applyFill="1" applyBorder="1"/>
    <xf numFmtId="0" fontId="98" fillId="30" borderId="83" xfId="0" applyFont="1" applyFill="1" applyBorder="1" applyProtection="1"/>
    <xf numFmtId="21" fontId="99" fillId="29" borderId="35" xfId="0" applyNumberFormat="1" applyFont="1" applyFill="1" applyBorder="1"/>
    <xf numFmtId="0" fontId="17" fillId="30" borderId="83" xfId="0" applyFont="1" applyFill="1" applyBorder="1" applyProtection="1"/>
    <xf numFmtId="21" fontId="100" fillId="29" borderId="35" xfId="0" quotePrefix="1" applyNumberFormat="1" applyFont="1" applyFill="1" applyBorder="1" applyAlignment="1">
      <alignment horizontal="center"/>
    </xf>
    <xf numFmtId="0" fontId="0" fillId="21" borderId="36" xfId="0" applyFill="1" applyBorder="1"/>
    <xf numFmtId="0" fontId="101" fillId="0" borderId="0" xfId="0" applyFont="1"/>
    <xf numFmtId="1" fontId="102" fillId="0" borderId="0" xfId="0" applyNumberFormat="1" applyFont="1"/>
    <xf numFmtId="1" fontId="103" fillId="0" borderId="0" xfId="0" applyNumberFormat="1" applyFont="1"/>
    <xf numFmtId="1" fontId="1" fillId="0" borderId="0" xfId="0" applyNumberFormat="1" applyFont="1"/>
    <xf numFmtId="166" fontId="9" fillId="3" borderId="3" xfId="0" applyNumberFormat="1" applyFont="1" applyFill="1" applyBorder="1" applyAlignment="1" applyProtection="1">
      <alignment horizontal="center"/>
      <protection locked="0" hidden="1"/>
    </xf>
    <xf numFmtId="166" fontId="17" fillId="24" borderId="0" xfId="0" applyNumberFormat="1" applyFont="1" applyFill="1" applyBorder="1" applyAlignment="1" applyProtection="1">
      <alignment horizontal="center"/>
      <protection locked="0" hidden="1"/>
    </xf>
    <xf numFmtId="166" fontId="9" fillId="22" borderId="0" xfId="0" applyNumberFormat="1" applyFont="1" applyFill="1" applyBorder="1" applyAlignment="1" applyProtection="1">
      <alignment horizontal="center"/>
      <protection locked="0" hidden="1"/>
    </xf>
    <xf numFmtId="166" fontId="9" fillId="25" borderId="0" xfId="0" applyNumberFormat="1" applyFont="1" applyFill="1" applyBorder="1" applyAlignment="1" applyProtection="1">
      <alignment horizontal="center"/>
      <protection locked="0" hidden="1"/>
    </xf>
    <xf numFmtId="166" fontId="9" fillId="23" borderId="0" xfId="0" applyNumberFormat="1" applyFont="1" applyFill="1" applyBorder="1" applyAlignment="1" applyProtection="1">
      <alignment horizontal="center"/>
      <protection locked="0" hidden="1"/>
    </xf>
    <xf numFmtId="166" fontId="17" fillId="31" borderId="0" xfId="0" applyNumberFormat="1" applyFont="1" applyFill="1" applyBorder="1" applyAlignment="1" applyProtection="1">
      <alignment horizontal="center"/>
      <protection locked="0" hidden="1"/>
    </xf>
    <xf numFmtId="166" fontId="17" fillId="26" borderId="0" xfId="0" applyNumberFormat="1" applyFont="1" applyFill="1" applyBorder="1" applyAlignment="1" applyProtection="1">
      <alignment horizontal="center"/>
      <protection locked="0" hidden="1"/>
    </xf>
    <xf numFmtId="0" fontId="20" fillId="0" borderId="83" xfId="0" applyFont="1" applyBorder="1"/>
    <xf numFmtId="172" fontId="20" fillId="0" borderId="83" xfId="0" applyNumberFormat="1" applyFont="1" applyBorder="1" applyAlignment="1" applyProtection="1">
      <alignment horizontal="left"/>
    </xf>
    <xf numFmtId="0" fontId="20" fillId="0" borderId="0" xfId="0" applyFont="1" applyBorder="1"/>
    <xf numFmtId="0" fontId="20" fillId="0" borderId="0" xfId="0" applyFont="1" applyBorder="1" applyAlignment="1">
      <alignment horizontal="left"/>
    </xf>
    <xf numFmtId="172" fontId="20" fillId="0" borderId="0" xfId="0" applyNumberFormat="1" applyFont="1" applyBorder="1" applyAlignment="1" applyProtection="1">
      <alignment horizontal="left"/>
    </xf>
    <xf numFmtId="0" fontId="20" fillId="0" borderId="0" xfId="0" applyFont="1"/>
    <xf numFmtId="1" fontId="1" fillId="0" borderId="37" xfId="0" applyNumberFormat="1" applyFont="1" applyFill="1" applyBorder="1"/>
    <xf numFmtId="1" fontId="103" fillId="0" borderId="39" xfId="0" applyNumberFormat="1" applyFont="1" applyFill="1" applyBorder="1"/>
    <xf numFmtId="0" fontId="1" fillId="0" borderId="94" xfId="0" applyFont="1" applyFill="1" applyBorder="1" applyAlignment="1">
      <alignment horizontal="right"/>
    </xf>
    <xf numFmtId="0" fontId="1" fillId="0" borderId="95" xfId="0" applyFont="1" applyFill="1" applyBorder="1" applyAlignment="1">
      <alignment horizontal="left"/>
    </xf>
    <xf numFmtId="0" fontId="1" fillId="0" borderId="42" xfId="0" applyFont="1" applyFill="1" applyBorder="1" applyAlignment="1">
      <alignment horizontal="center"/>
    </xf>
    <xf numFmtId="1" fontId="105" fillId="0" borderId="34" xfId="0" applyNumberFormat="1" applyFont="1" applyFill="1" applyBorder="1"/>
    <xf numFmtId="0" fontId="10" fillId="0" borderId="95" xfId="0" applyFont="1" applyFill="1" applyBorder="1" applyAlignment="1">
      <alignment horizontal="center"/>
    </xf>
    <xf numFmtId="0" fontId="10" fillId="0" borderId="94" xfId="0" applyFont="1" applyFill="1" applyBorder="1" applyAlignment="1">
      <alignment horizontal="center"/>
    </xf>
    <xf numFmtId="0" fontId="6" fillId="0" borderId="0" xfId="0" applyFont="1" applyFill="1" applyBorder="1" applyAlignment="1" applyProtection="1">
      <alignment horizontal="center"/>
    </xf>
    <xf numFmtId="0" fontId="6" fillId="24" borderId="12" xfId="0" applyFont="1" applyFill="1" applyBorder="1" applyAlignment="1" applyProtection="1">
      <alignment horizontal="center"/>
    </xf>
    <xf numFmtId="0" fontId="6" fillId="0" borderId="12" xfId="0" applyFont="1" applyFill="1" applyBorder="1" applyAlignment="1" applyProtection="1">
      <alignment horizontal="center"/>
    </xf>
    <xf numFmtId="0" fontId="5" fillId="24" borderId="12" xfId="0" applyFont="1" applyFill="1" applyBorder="1" applyAlignment="1" applyProtection="1">
      <alignment horizontal="center"/>
    </xf>
    <xf numFmtId="0" fontId="6" fillId="0" borderId="11" xfId="0" applyFont="1" applyFill="1" applyBorder="1" applyAlignment="1" applyProtection="1">
      <alignment horizontal="center"/>
    </xf>
    <xf numFmtId="0" fontId="6" fillId="0" borderId="19" xfId="0" applyFont="1" applyFill="1" applyBorder="1" applyAlignment="1" applyProtection="1">
      <alignment horizontal="center"/>
    </xf>
    <xf numFmtId="0" fontId="6" fillId="24" borderId="0" xfId="0" applyFont="1" applyFill="1" applyBorder="1" applyAlignment="1" applyProtection="1">
      <alignment horizontal="center"/>
    </xf>
    <xf numFmtId="0" fontId="6" fillId="24" borderId="96" xfId="0" applyFont="1" applyFill="1" applyBorder="1" applyAlignment="1" applyProtection="1">
      <alignment horizontal="center"/>
    </xf>
    <xf numFmtId="0" fontId="6" fillId="0" borderId="97" xfId="0" applyFont="1" applyFill="1" applyBorder="1" applyAlignment="1" applyProtection="1">
      <alignment horizontal="center"/>
    </xf>
    <xf numFmtId="0" fontId="1" fillId="32" borderId="0" xfId="0" applyFont="1" applyFill="1" applyAlignment="1">
      <alignment horizontal="center"/>
    </xf>
    <xf numFmtId="1" fontId="1" fillId="32" borderId="0" xfId="0" applyNumberFormat="1" applyFont="1" applyFill="1" applyBorder="1"/>
    <xf numFmtId="1" fontId="103" fillId="32" borderId="0" xfId="0" applyNumberFormat="1" applyFont="1" applyFill="1" applyBorder="1"/>
    <xf numFmtId="0" fontId="1" fillId="32" borderId="0" xfId="0" applyFont="1" applyFill="1"/>
    <xf numFmtId="1" fontId="1" fillId="32" borderId="0" xfId="0" applyNumberFormat="1" applyFont="1" applyFill="1"/>
    <xf numFmtId="0" fontId="0" fillId="32" borderId="0" xfId="0" applyFill="1"/>
    <xf numFmtId="0" fontId="0" fillId="3" borderId="11" xfId="0" applyFill="1" applyBorder="1" applyAlignment="1">
      <alignment horizontal="center"/>
    </xf>
    <xf numFmtId="1" fontId="55" fillId="0" borderId="66" xfId="0" applyNumberFormat="1" applyFont="1" applyFill="1" applyBorder="1" applyAlignment="1" applyProtection="1">
      <alignment horizontal="center"/>
      <protection locked="0"/>
    </xf>
    <xf numFmtId="1" fontId="55" fillId="0" borderId="33" xfId="0" applyNumberFormat="1" applyFont="1" applyFill="1" applyBorder="1" applyAlignment="1" applyProtection="1">
      <alignment horizontal="center"/>
      <protection locked="0"/>
    </xf>
    <xf numFmtId="1" fontId="104" fillId="0" borderId="37" xfId="0" applyNumberFormat="1" applyFont="1" applyFill="1" applyBorder="1" applyAlignment="1" applyProtection="1">
      <alignment horizontal="center"/>
      <protection locked="0"/>
    </xf>
    <xf numFmtId="0" fontId="0" fillId="24" borderId="11" xfId="0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0" fontId="0" fillId="13" borderId="11" xfId="0" applyFill="1" applyBorder="1" applyAlignment="1">
      <alignment horizontal="center"/>
    </xf>
    <xf numFmtId="0" fontId="0" fillId="23" borderId="11" xfId="0" applyFill="1" applyBorder="1" applyAlignment="1">
      <alignment horizontal="center"/>
    </xf>
    <xf numFmtId="0" fontId="0" fillId="31" borderId="11" xfId="0" applyFill="1" applyBorder="1" applyAlignment="1">
      <alignment horizontal="center"/>
    </xf>
    <xf numFmtId="0" fontId="0" fillId="26" borderId="11" xfId="0" applyFill="1" applyBorder="1" applyAlignment="1">
      <alignment horizontal="center"/>
    </xf>
    <xf numFmtId="0" fontId="1" fillId="8" borderId="95" xfId="0" applyFont="1" applyFill="1" applyBorder="1" applyAlignment="1">
      <alignment horizontal="left"/>
    </xf>
    <xf numFmtId="0" fontId="1" fillId="8" borderId="94" xfId="0" applyFont="1" applyFill="1" applyBorder="1" applyAlignment="1">
      <alignment horizontal="right"/>
    </xf>
    <xf numFmtId="0" fontId="10" fillId="8" borderId="95" xfId="0" applyFont="1" applyFill="1" applyBorder="1" applyAlignment="1">
      <alignment horizontal="center"/>
    </xf>
    <xf numFmtId="0" fontId="10" fillId="8" borderId="94" xfId="0" applyFont="1" applyFill="1" applyBorder="1" applyAlignment="1">
      <alignment horizontal="center"/>
    </xf>
    <xf numFmtId="1" fontId="55" fillId="8" borderId="66" xfId="0" applyNumberFormat="1" applyFont="1" applyFill="1" applyBorder="1" applyAlignment="1" applyProtection="1">
      <alignment horizontal="center"/>
      <protection locked="0"/>
    </xf>
    <xf numFmtId="1" fontId="55" fillId="8" borderId="33" xfId="0" applyNumberFormat="1" applyFont="1" applyFill="1" applyBorder="1" applyAlignment="1" applyProtection="1">
      <alignment horizontal="center"/>
      <protection locked="0"/>
    </xf>
    <xf numFmtId="1" fontId="104" fillId="8" borderId="37" xfId="0" applyNumberFormat="1" applyFont="1" applyFill="1" applyBorder="1" applyAlignment="1" applyProtection="1">
      <alignment horizontal="center"/>
      <protection locked="0"/>
    </xf>
    <xf numFmtId="1" fontId="105" fillId="8" borderId="34" xfId="0" applyNumberFormat="1" applyFont="1" applyFill="1" applyBorder="1"/>
    <xf numFmtId="1" fontId="1" fillId="8" borderId="37" xfId="0" applyNumberFormat="1" applyFont="1" applyFill="1" applyBorder="1"/>
    <xf numFmtId="1" fontId="103" fillId="8" borderId="39" xfId="0" applyNumberFormat="1" applyFont="1" applyFill="1" applyBorder="1"/>
    <xf numFmtId="1" fontId="104" fillId="8" borderId="39" xfId="0" applyNumberFormat="1" applyFont="1" applyFill="1" applyBorder="1" applyAlignment="1" applyProtection="1">
      <alignment horizontal="center"/>
      <protection locked="0"/>
    </xf>
    <xf numFmtId="1" fontId="105" fillId="8" borderId="98" xfId="0" applyNumberFormat="1" applyFont="1" applyFill="1" applyBorder="1"/>
    <xf numFmtId="1" fontId="1" fillId="8" borderId="99" xfId="0" applyNumberFormat="1" applyFont="1" applyFill="1" applyBorder="1"/>
    <xf numFmtId="21" fontId="81" fillId="21" borderId="34" xfId="0" applyNumberFormat="1" applyFont="1" applyFill="1" applyBorder="1"/>
    <xf numFmtId="21" fontId="98" fillId="19" borderId="35" xfId="0" applyNumberFormat="1" applyFont="1" applyFill="1" applyBorder="1"/>
    <xf numFmtId="0" fontId="99" fillId="19" borderId="83" xfId="0" applyFont="1" applyFill="1" applyBorder="1"/>
    <xf numFmtId="21" fontId="99" fillId="19" borderId="35" xfId="0" applyNumberFormat="1" applyFont="1" applyFill="1" applyBorder="1"/>
    <xf numFmtId="21" fontId="99" fillId="19" borderId="0" xfId="0" applyNumberFormat="1" applyFont="1" applyFill="1" applyBorder="1"/>
    <xf numFmtId="0" fontId="106" fillId="19" borderId="83" xfId="0" applyFont="1" applyFill="1" applyBorder="1"/>
    <xf numFmtId="21" fontId="100" fillId="19" borderId="35" xfId="0" quotePrefix="1" applyNumberFormat="1" applyFont="1" applyFill="1" applyBorder="1" applyAlignment="1">
      <alignment horizontal="center"/>
    </xf>
    <xf numFmtId="0" fontId="106" fillId="19" borderId="83" xfId="0" quotePrefix="1" applyFont="1" applyFill="1" applyBorder="1" applyAlignment="1">
      <alignment horizontal="left"/>
    </xf>
    <xf numFmtId="0" fontId="99" fillId="19" borderId="35" xfId="0" applyFont="1" applyFill="1" applyBorder="1"/>
    <xf numFmtId="0" fontId="106" fillId="19" borderId="35" xfId="0" applyFont="1" applyFill="1" applyBorder="1"/>
    <xf numFmtId="0" fontId="106" fillId="19" borderId="35" xfId="0" quotePrefix="1" applyFont="1" applyFill="1" applyBorder="1" applyAlignment="1">
      <alignment horizontal="left"/>
    </xf>
    <xf numFmtId="0" fontId="98" fillId="33" borderId="35" xfId="0" applyFont="1" applyFill="1" applyBorder="1" applyProtection="1"/>
    <xf numFmtId="0" fontId="17" fillId="33" borderId="35" xfId="0" applyFont="1" applyFill="1" applyBorder="1" applyProtection="1"/>
    <xf numFmtId="0" fontId="107" fillId="33" borderId="35" xfId="0" applyFont="1" applyFill="1" applyBorder="1" applyProtection="1"/>
    <xf numFmtId="0" fontId="17" fillId="33" borderId="35" xfId="0" quotePrefix="1" applyFont="1" applyFill="1" applyBorder="1" applyAlignment="1" applyProtection="1">
      <alignment horizontal="left"/>
    </xf>
    <xf numFmtId="166" fontId="108" fillId="3" borderId="0" xfId="0" applyNumberFormat="1" applyFont="1" applyFill="1" applyBorder="1" applyAlignment="1" applyProtection="1">
      <alignment horizontal="center"/>
      <protection locked="0"/>
    </xf>
    <xf numFmtId="166" fontId="109" fillId="3" borderId="0" xfId="0" applyNumberFormat="1" applyFont="1" applyFill="1" applyAlignment="1" applyProtection="1">
      <alignment horizontal="center"/>
    </xf>
    <xf numFmtId="166" fontId="110" fillId="0" borderId="87" xfId="0" applyNumberFormat="1" applyFont="1" applyFill="1" applyBorder="1" applyAlignment="1">
      <alignment horizontal="center" textRotation="90"/>
    </xf>
    <xf numFmtId="166" fontId="113" fillId="14" borderId="35" xfId="0" applyNumberFormat="1" applyFont="1" applyFill="1" applyBorder="1"/>
    <xf numFmtId="166" fontId="114" fillId="18" borderId="0" xfId="0" applyNumberFormat="1" applyFont="1" applyFill="1" applyBorder="1" applyProtection="1"/>
    <xf numFmtId="166" fontId="109" fillId="15" borderId="35" xfId="0" applyNumberFormat="1" applyFont="1" applyFill="1" applyBorder="1"/>
    <xf numFmtId="166" fontId="109" fillId="18" borderId="0" xfId="0" applyNumberFormat="1" applyFont="1" applyFill="1" applyBorder="1" applyProtection="1"/>
    <xf numFmtId="166" fontId="109" fillId="21" borderId="35" xfId="0" applyNumberFormat="1" applyFont="1" applyFill="1" applyBorder="1"/>
    <xf numFmtId="166" fontId="116" fillId="30" borderId="0" xfId="0" applyNumberFormat="1" applyFont="1" applyFill="1" applyBorder="1" applyProtection="1"/>
    <xf numFmtId="166" fontId="115" fillId="16" borderId="35" xfId="0" applyNumberFormat="1" applyFont="1" applyFill="1" applyBorder="1"/>
    <xf numFmtId="166" fontId="77" fillId="3" borderId="0" xfId="0" applyNumberFormat="1" applyFont="1" applyFill="1" applyAlignment="1" applyProtection="1">
      <alignment horizontal="center"/>
      <protection locked="0"/>
    </xf>
    <xf numFmtId="166" fontId="77" fillId="3" borderId="0" xfId="0" applyNumberFormat="1" applyFont="1" applyFill="1" applyAlignment="1" applyProtection="1">
      <alignment horizontal="center"/>
    </xf>
    <xf numFmtId="0" fontId="5" fillId="0" borderId="19" xfId="0" applyFont="1" applyFill="1" applyBorder="1" applyAlignment="1" applyProtection="1">
      <alignment horizontal="center"/>
    </xf>
    <xf numFmtId="0" fontId="1" fillId="8" borderId="100" xfId="0" applyFont="1" applyFill="1" applyBorder="1" applyAlignment="1">
      <alignment horizontal="left"/>
    </xf>
    <xf numFmtId="1" fontId="55" fillId="8" borderId="67" xfId="0" applyNumberFormat="1" applyFont="1" applyFill="1" applyBorder="1" applyAlignment="1" applyProtection="1">
      <alignment horizontal="center"/>
      <protection locked="0"/>
    </xf>
    <xf numFmtId="1" fontId="104" fillId="8" borderId="101" xfId="0" applyNumberFormat="1" applyFont="1" applyFill="1" applyBorder="1" applyAlignment="1" applyProtection="1">
      <alignment horizontal="center"/>
      <protection locked="0"/>
    </xf>
    <xf numFmtId="1" fontId="1" fillId="8" borderId="101" xfId="0" applyNumberFormat="1" applyFont="1" applyFill="1" applyBorder="1"/>
    <xf numFmtId="21" fontId="98" fillId="19" borderId="0" xfId="0" applyNumberFormat="1" applyFont="1" applyFill="1" applyBorder="1"/>
    <xf numFmtId="46" fontId="85" fillId="34" borderId="35" xfId="0" quotePrefix="1" applyNumberFormat="1" applyFont="1" applyFill="1" applyBorder="1" applyAlignment="1">
      <alignment horizontal="center"/>
    </xf>
    <xf numFmtId="0" fontId="0" fillId="0" borderId="11" xfId="0" applyBorder="1"/>
    <xf numFmtId="0" fontId="0" fillId="0" borderId="1" xfId="0" applyBorder="1"/>
    <xf numFmtId="0" fontId="0" fillId="0" borderId="12" xfId="0" applyBorder="1"/>
    <xf numFmtId="0" fontId="16" fillId="26" borderId="0" xfId="0" applyFont="1" applyFill="1" applyBorder="1"/>
    <xf numFmtId="0" fontId="0" fillId="0" borderId="102" xfId="0" applyBorder="1"/>
    <xf numFmtId="14" fontId="0" fillId="0" borderId="0" xfId="0" applyNumberFormat="1" applyBorder="1"/>
    <xf numFmtId="46" fontId="85" fillId="34" borderId="34" xfId="0" quotePrefix="1" applyNumberFormat="1" applyFont="1" applyFill="1" applyBorder="1" applyAlignment="1">
      <alignment horizontal="center"/>
    </xf>
    <xf numFmtId="2" fontId="0" fillId="0" borderId="0" xfId="0" applyNumberFormat="1" applyBorder="1"/>
    <xf numFmtId="2" fontId="0" fillId="0" borderId="102" xfId="0" applyNumberFormat="1" applyBorder="1"/>
    <xf numFmtId="2" fontId="0" fillId="35" borderId="0" xfId="0" applyNumberFormat="1" applyFill="1" applyBorder="1"/>
    <xf numFmtId="165" fontId="0" fillId="0" borderId="0" xfId="0" applyNumberFormat="1"/>
    <xf numFmtId="21" fontId="6" fillId="0" borderId="0" xfId="0" applyNumberFormat="1" applyFont="1"/>
    <xf numFmtId="165" fontId="1" fillId="0" borderId="0" xfId="0" applyNumberFormat="1" applyFont="1"/>
    <xf numFmtId="166" fontId="6" fillId="0" borderId="0" xfId="0" applyNumberFormat="1" applyFont="1"/>
    <xf numFmtId="46" fontId="85" fillId="34" borderId="35" xfId="0" applyNumberFormat="1" applyFont="1" applyFill="1" applyBorder="1" applyAlignment="1">
      <alignment horizontal="center"/>
    </xf>
    <xf numFmtId="2" fontId="85" fillId="34" borderId="35" xfId="0" quotePrefix="1" applyNumberFormat="1" applyFont="1" applyFill="1" applyBorder="1" applyAlignment="1">
      <alignment horizontal="center"/>
    </xf>
    <xf numFmtId="2" fontId="0" fillId="0" borderId="0" xfId="0" applyNumberFormat="1"/>
    <xf numFmtId="1" fontId="65" fillId="3" borderId="103" xfId="0" applyNumberFormat="1" applyFont="1" applyFill="1" applyBorder="1" applyAlignment="1" applyProtection="1">
      <alignment horizontal="center"/>
      <protection locked="0"/>
    </xf>
    <xf numFmtId="1" fontId="64" fillId="9" borderId="104" xfId="0" applyNumberFormat="1" applyFont="1" applyFill="1" applyBorder="1" applyAlignment="1">
      <alignment horizontal="center"/>
    </xf>
    <xf numFmtId="0" fontId="118" fillId="0" borderId="0" xfId="0" applyFont="1" applyBorder="1"/>
    <xf numFmtId="0" fontId="0" fillId="8" borderId="0" xfId="0" applyFill="1" applyBorder="1"/>
    <xf numFmtId="0" fontId="1" fillId="35" borderId="42" xfId="0" applyFont="1" applyFill="1" applyBorder="1" applyAlignment="1">
      <alignment horizontal="center"/>
    </xf>
    <xf numFmtId="0" fontId="1" fillId="35" borderId="95" xfId="0" applyFont="1" applyFill="1" applyBorder="1"/>
    <xf numFmtId="0" fontId="0" fillId="35" borderId="94" xfId="0" applyFill="1" applyBorder="1"/>
    <xf numFmtId="21" fontId="99" fillId="26" borderId="35" xfId="0" applyNumberFormat="1" applyFont="1" applyFill="1" applyBorder="1"/>
    <xf numFmtId="0" fontId="99" fillId="26" borderId="35" xfId="0" applyFont="1" applyFill="1" applyBorder="1"/>
    <xf numFmtId="0" fontId="89" fillId="0" borderId="83" xfId="0" applyFont="1" applyFill="1" applyBorder="1"/>
    <xf numFmtId="0" fontId="1" fillId="0" borderId="95" xfId="0" applyFont="1" applyFill="1" applyBorder="1"/>
    <xf numFmtId="0" fontId="0" fillId="0" borderId="94" xfId="0" applyFill="1" applyBorder="1"/>
    <xf numFmtId="0" fontId="1" fillId="22" borderId="42" xfId="0" applyFont="1" applyFill="1" applyBorder="1" applyAlignment="1">
      <alignment horizontal="center"/>
    </xf>
    <xf numFmtId="0" fontId="1" fillId="22" borderId="95" xfId="0" applyFont="1" applyFill="1" applyBorder="1"/>
    <xf numFmtId="0" fontId="0" fillId="22" borderId="94" xfId="0" applyFill="1" applyBorder="1"/>
    <xf numFmtId="2" fontId="16" fillId="7" borderId="0" xfId="0" applyNumberFormat="1" applyFont="1" applyFill="1" applyAlignment="1">
      <alignment horizontal="center"/>
    </xf>
    <xf numFmtId="1" fontId="65" fillId="22" borderId="103" xfId="0" applyNumberFormat="1" applyFont="1" applyFill="1" applyBorder="1" applyAlignment="1" applyProtection="1">
      <alignment horizontal="center"/>
      <protection locked="0"/>
    </xf>
    <xf numFmtId="1" fontId="65" fillId="13" borderId="103" xfId="0" applyNumberFormat="1" applyFont="1" applyFill="1" applyBorder="1" applyAlignment="1" applyProtection="1">
      <alignment horizontal="center"/>
      <protection locked="0"/>
    </xf>
    <xf numFmtId="1" fontId="65" fillId="23" borderId="103" xfId="0" applyNumberFormat="1" applyFont="1" applyFill="1" applyBorder="1" applyAlignment="1" applyProtection="1">
      <alignment horizontal="center"/>
      <protection locked="0"/>
    </xf>
    <xf numFmtId="1" fontId="55" fillId="27" borderId="103" xfId="0" applyNumberFormat="1" applyFont="1" applyFill="1" applyBorder="1" applyAlignment="1" applyProtection="1">
      <alignment horizontal="center"/>
      <protection locked="0"/>
    </xf>
    <xf numFmtId="1" fontId="55" fillId="26" borderId="103" xfId="0" applyNumberFormat="1" applyFont="1" applyFill="1" applyBorder="1" applyAlignment="1" applyProtection="1">
      <alignment horizontal="center"/>
      <protection locked="0"/>
    </xf>
    <xf numFmtId="166" fontId="120" fillId="4" borderId="9" xfId="0" applyNumberFormat="1" applyFont="1" applyFill="1" applyBorder="1"/>
    <xf numFmtId="166" fontId="110" fillId="3" borderId="1" xfId="0" applyNumberFormat="1" applyFont="1" applyFill="1" applyBorder="1"/>
    <xf numFmtId="166" fontId="110" fillId="3" borderId="0" xfId="0" applyNumberFormat="1" applyFont="1" applyFill="1" applyBorder="1"/>
    <xf numFmtId="166" fontId="110" fillId="0" borderId="0" xfId="0" applyNumberFormat="1" applyFont="1" applyBorder="1"/>
    <xf numFmtId="166" fontId="119" fillId="14" borderId="0" xfId="0" applyNumberFormat="1" applyFont="1" applyFill="1" applyProtection="1"/>
    <xf numFmtId="166" fontId="115" fillId="14" borderId="80" xfId="0" applyNumberFormat="1" applyFont="1" applyFill="1" applyBorder="1"/>
    <xf numFmtId="166" fontId="110" fillId="0" borderId="0" xfId="0" applyNumberFormat="1" applyFont="1" applyBorder="1" applyProtection="1">
      <protection locked="0"/>
    </xf>
    <xf numFmtId="166" fontId="113" fillId="15" borderId="80" xfId="0" applyNumberFormat="1" applyFont="1" applyFill="1" applyBorder="1"/>
    <xf numFmtId="166" fontId="115" fillId="16" borderId="80" xfId="0" applyNumberFormat="1" applyFont="1" applyFill="1" applyBorder="1"/>
    <xf numFmtId="166" fontId="114" fillId="0" borderId="0" xfId="0" applyNumberFormat="1" applyFont="1" applyFill="1" applyAlignment="1" applyProtection="1">
      <alignment horizontal="center"/>
    </xf>
    <xf numFmtId="166" fontId="110" fillId="0" borderId="0" xfId="0" applyNumberFormat="1" applyFont="1" applyProtection="1">
      <protection locked="0"/>
    </xf>
    <xf numFmtId="166" fontId="111" fillId="19" borderId="0" xfId="0" applyNumberFormat="1" applyFont="1" applyFill="1" applyBorder="1"/>
    <xf numFmtId="166" fontId="111" fillId="19" borderId="35" xfId="0" applyNumberFormat="1" applyFont="1" applyFill="1" applyBorder="1"/>
    <xf numFmtId="166" fontId="116" fillId="33" borderId="35" xfId="0" applyNumberFormat="1" applyFont="1" applyFill="1" applyBorder="1" applyProtection="1"/>
    <xf numFmtId="166" fontId="116" fillId="33" borderId="35" xfId="0" quotePrefix="1" applyNumberFormat="1" applyFont="1" applyFill="1" applyBorder="1" applyAlignment="1" applyProtection="1">
      <alignment horizontal="left"/>
    </xf>
    <xf numFmtId="166" fontId="111" fillId="0" borderId="35" xfId="0" applyNumberFormat="1" applyFont="1" applyFill="1" applyBorder="1"/>
    <xf numFmtId="166" fontId="121" fillId="0" borderId="0" xfId="0" applyNumberFormat="1" applyFont="1" applyFill="1" applyBorder="1" applyAlignment="1">
      <alignment horizontal="left"/>
    </xf>
    <xf numFmtId="166" fontId="113" fillId="14" borderId="80" xfId="0" applyNumberFormat="1" applyFont="1" applyFill="1" applyBorder="1"/>
    <xf numFmtId="166" fontId="110" fillId="0" borderId="0" xfId="0" applyNumberFormat="1" applyFont="1"/>
    <xf numFmtId="166" fontId="110" fillId="0" borderId="92" xfId="0" applyNumberFormat="1" applyFont="1" applyFill="1" applyBorder="1" applyAlignment="1">
      <alignment horizontal="center"/>
    </xf>
    <xf numFmtId="166" fontId="112" fillId="3" borderId="0" xfId="0" applyNumberFormat="1" applyFont="1" applyFill="1" applyAlignment="1" applyProtection="1">
      <alignment horizontal="center" vertical="center"/>
    </xf>
    <xf numFmtId="0" fontId="6" fillId="0" borderId="79" xfId="0" applyFont="1" applyFill="1" applyBorder="1" applyAlignment="1" applyProtection="1">
      <alignment horizontal="center"/>
    </xf>
    <xf numFmtId="14" fontId="1" fillId="3" borderId="0" xfId="0" applyNumberFormat="1" applyFont="1" applyFill="1" applyAlignment="1" applyProtection="1">
      <alignment horizontal="left"/>
      <protection locked="0"/>
    </xf>
    <xf numFmtId="0" fontId="52" fillId="6" borderId="105" xfId="0" applyFont="1" applyFill="1" applyBorder="1" applyAlignment="1">
      <alignment horizontal="center" textRotation="90"/>
    </xf>
    <xf numFmtId="0" fontId="11" fillId="12" borderId="27" xfId="0" applyFont="1" applyFill="1" applyBorder="1" applyAlignment="1">
      <alignment horizontal="left"/>
    </xf>
    <xf numFmtId="165" fontId="11" fillId="6" borderId="3" xfId="0" applyNumberFormat="1" applyFont="1" applyFill="1" applyBorder="1" applyAlignment="1">
      <alignment horizontal="center"/>
    </xf>
    <xf numFmtId="0" fontId="84" fillId="14" borderId="80" xfId="0" applyFont="1" applyFill="1" applyBorder="1" applyAlignment="1">
      <alignment horizontal="center"/>
    </xf>
    <xf numFmtId="1" fontId="86" fillId="15" borderId="38" xfId="0" quotePrefix="1" applyNumberFormat="1" applyFont="1" applyFill="1" applyBorder="1" applyAlignment="1">
      <alignment horizontal="center"/>
    </xf>
    <xf numFmtId="1" fontId="85" fillId="15" borderId="37" xfId="0" quotePrefix="1" applyNumberFormat="1" applyFont="1" applyFill="1" applyBorder="1" applyAlignment="1">
      <alignment horizontal="center"/>
    </xf>
    <xf numFmtId="0" fontId="88" fillId="18" borderId="83" xfId="0" quotePrefix="1" applyFont="1" applyFill="1" applyBorder="1" applyAlignment="1" applyProtection="1">
      <alignment horizontal="left"/>
    </xf>
    <xf numFmtId="1" fontId="65" fillId="8" borderId="103" xfId="0" applyNumberFormat="1" applyFont="1" applyFill="1" applyBorder="1" applyAlignment="1" applyProtection="1">
      <alignment horizontal="center"/>
      <protection locked="0"/>
    </xf>
    <xf numFmtId="0" fontId="0" fillId="26" borderId="0" xfId="0" applyFill="1"/>
    <xf numFmtId="0" fontId="78" fillId="26" borderId="0" xfId="0" applyFont="1" applyFill="1" applyAlignment="1">
      <alignment horizontal="left"/>
    </xf>
    <xf numFmtId="0" fontId="78" fillId="26" borderId="0" xfId="0" quotePrefix="1" applyFont="1" applyFill="1" applyAlignment="1">
      <alignment horizontal="left"/>
    </xf>
    <xf numFmtId="0" fontId="60" fillId="26" borderId="0" xfId="0" applyFont="1" applyFill="1" applyAlignment="1">
      <alignment horizontal="left"/>
    </xf>
    <xf numFmtId="0" fontId="69" fillId="26" borderId="0" xfId="0" applyFont="1" applyFill="1" applyBorder="1"/>
    <xf numFmtId="0" fontId="78" fillId="26" borderId="0" xfId="0" applyFont="1" applyFill="1"/>
    <xf numFmtId="0" fontId="124" fillId="26" borderId="0" xfId="0" quotePrefix="1" applyFont="1" applyFill="1" applyAlignment="1">
      <alignment horizontal="left"/>
    </xf>
    <xf numFmtId="0" fontId="125" fillId="26" borderId="0" xfId="0" quotePrefix="1" applyFont="1" applyFill="1" applyAlignment="1">
      <alignment horizontal="left"/>
    </xf>
    <xf numFmtId="0" fontId="19" fillId="13" borderId="0" xfId="7" applyFont="1" applyFill="1" applyAlignment="1" applyProtection="1">
      <alignment horizontal="left"/>
    </xf>
    <xf numFmtId="0" fontId="19" fillId="13" borderId="0" xfId="7" applyFont="1" applyFill="1" applyProtection="1"/>
    <xf numFmtId="0" fontId="19" fillId="13" borderId="0" xfId="7" quotePrefix="1" applyFont="1" applyFill="1" applyAlignment="1" applyProtection="1">
      <alignment horizontal="left"/>
    </xf>
    <xf numFmtId="1" fontId="81" fillId="14" borderId="35" xfId="0" applyNumberFormat="1" applyFont="1" applyFill="1" applyBorder="1"/>
    <xf numFmtId="1" fontId="86" fillId="14" borderId="35" xfId="0" applyNumberFormat="1" applyFont="1" applyFill="1" applyBorder="1" applyAlignment="1">
      <alignment horizontal="center"/>
    </xf>
    <xf numFmtId="0" fontId="73" fillId="0" borderId="0" xfId="0" applyFont="1" applyBorder="1" applyAlignment="1">
      <alignment horizontal="center"/>
    </xf>
    <xf numFmtId="1" fontId="86" fillId="21" borderId="35" xfId="0" applyNumberFormat="1" applyFont="1" applyFill="1" applyBorder="1" applyAlignment="1">
      <alignment horizontal="center"/>
    </xf>
    <xf numFmtId="46" fontId="6" fillId="0" borderId="0" xfId="0" applyNumberFormat="1" applyFont="1" applyBorder="1" applyProtection="1">
      <protection locked="0"/>
    </xf>
    <xf numFmtId="0" fontId="11" fillId="6" borderId="5" xfId="0" quotePrefix="1" applyFont="1" applyFill="1" applyBorder="1" applyAlignment="1">
      <alignment horizontal="center"/>
    </xf>
    <xf numFmtId="3" fontId="122" fillId="6" borderId="21" xfId="0" applyNumberFormat="1" applyFont="1" applyFill="1" applyBorder="1" applyAlignment="1">
      <alignment horizontal="center"/>
    </xf>
    <xf numFmtId="0" fontId="0" fillId="0" borderId="35" xfId="0" applyBorder="1"/>
    <xf numFmtId="0" fontId="0" fillId="8" borderId="35" xfId="0" applyFill="1" applyBorder="1"/>
    <xf numFmtId="0" fontId="0" fillId="36" borderId="35" xfId="0" applyFill="1" applyBorder="1"/>
    <xf numFmtId="0" fontId="0" fillId="13" borderId="35" xfId="0" applyFill="1" applyBorder="1"/>
    <xf numFmtId="0" fontId="0" fillId="23" borderId="35" xfId="0" applyFill="1" applyBorder="1"/>
    <xf numFmtId="0" fontId="0" fillId="10" borderId="35" xfId="0" applyFill="1" applyBorder="1"/>
    <xf numFmtId="0" fontId="0" fillId="26" borderId="35" xfId="0" applyFill="1" applyBorder="1"/>
    <xf numFmtId="46" fontId="13" fillId="0" borderId="0" xfId="0" applyNumberFormat="1" applyFont="1"/>
    <xf numFmtId="0" fontId="88" fillId="18" borderId="84" xfId="0" quotePrefix="1" applyFont="1" applyFill="1" applyBorder="1" applyAlignment="1" applyProtection="1">
      <alignment horizontal="left"/>
    </xf>
    <xf numFmtId="0" fontId="98" fillId="33" borderId="83" xfId="0" applyFont="1" applyFill="1" applyBorder="1" applyProtection="1"/>
    <xf numFmtId="166" fontId="116" fillId="33" borderId="0" xfId="0" applyNumberFormat="1" applyFont="1" applyFill="1" applyBorder="1" applyProtection="1"/>
    <xf numFmtId="165" fontId="126" fillId="3" borderId="0" xfId="0" applyNumberFormat="1" applyFont="1" applyFill="1" applyProtection="1"/>
    <xf numFmtId="0" fontId="16" fillId="3" borderId="0" xfId="0" applyFont="1" applyFill="1" applyAlignment="1" applyProtection="1">
      <alignment horizontal="center"/>
    </xf>
    <xf numFmtId="0" fontId="15" fillId="3" borderId="0" xfId="0" applyFont="1" applyFill="1" applyAlignment="1" applyProtection="1">
      <alignment horizontal="center"/>
    </xf>
    <xf numFmtId="0" fontId="75" fillId="0" borderId="0" xfId="0" applyFont="1"/>
    <xf numFmtId="1" fontId="128" fillId="0" borderId="39" xfId="0" applyNumberFormat="1" applyFont="1" applyFill="1" applyBorder="1"/>
    <xf numFmtId="1" fontId="127" fillId="0" borderId="39" xfId="0" applyNumberFormat="1" applyFont="1" applyFill="1" applyBorder="1" applyAlignment="1" applyProtection="1">
      <alignment horizontal="center"/>
      <protection locked="0"/>
    </xf>
    <xf numFmtId="1" fontId="127" fillId="0" borderId="33" xfId="0" applyNumberFormat="1" applyFont="1" applyFill="1" applyBorder="1" applyAlignment="1" applyProtection="1">
      <alignment horizontal="center"/>
      <protection locked="0"/>
    </xf>
    <xf numFmtId="1" fontId="51" fillId="0" borderId="36" xfId="0" applyNumberFormat="1" applyFont="1" applyFill="1" applyBorder="1"/>
    <xf numFmtId="1" fontId="127" fillId="8" borderId="39" xfId="0" applyNumberFormat="1" applyFont="1" applyFill="1" applyBorder="1" applyAlignment="1" applyProtection="1">
      <alignment horizontal="center"/>
      <protection locked="0"/>
    </xf>
    <xf numFmtId="1" fontId="127" fillId="8" borderId="33" xfId="0" applyNumberFormat="1" applyFont="1" applyFill="1" applyBorder="1" applyAlignment="1" applyProtection="1">
      <alignment horizontal="center"/>
      <protection locked="0"/>
    </xf>
    <xf numFmtId="1" fontId="51" fillId="8" borderId="36" xfId="0" applyNumberFormat="1" applyFont="1" applyFill="1" applyBorder="1"/>
    <xf numFmtId="0" fontId="16" fillId="26" borderId="1" xfId="0" applyFont="1" applyFill="1" applyBorder="1"/>
    <xf numFmtId="0" fontId="16" fillId="26" borderId="18" xfId="0" applyFont="1" applyFill="1" applyBorder="1"/>
    <xf numFmtId="0" fontId="1" fillId="0" borderId="12" xfId="0" applyFont="1" applyBorder="1"/>
    <xf numFmtId="0" fontId="1" fillId="0" borderId="19" xfId="0" applyFont="1" applyBorder="1"/>
    <xf numFmtId="1" fontId="85" fillId="15" borderId="99" xfId="0" quotePrefix="1" applyNumberFormat="1" applyFont="1" applyFill="1" applyBorder="1" applyAlignment="1">
      <alignment horizontal="center"/>
    </xf>
    <xf numFmtId="0" fontId="0" fillId="0" borderId="18" xfId="0" applyBorder="1"/>
    <xf numFmtId="0" fontId="0" fillId="8" borderId="1" xfId="0" applyFill="1" applyBorder="1"/>
    <xf numFmtId="14" fontId="1" fillId="3" borderId="0" xfId="0" quotePrefix="1" applyNumberFormat="1" applyFont="1" applyFill="1" applyAlignment="1" applyProtection="1">
      <alignment horizontal="left"/>
      <protection locked="0"/>
    </xf>
    <xf numFmtId="0" fontId="57" fillId="4" borderId="0" xfId="0" applyFont="1" applyFill="1" applyBorder="1"/>
    <xf numFmtId="21" fontId="85" fillId="17" borderId="0" xfId="0" quotePrefix="1" applyNumberFormat="1" applyFont="1" applyFill="1" applyBorder="1" applyAlignment="1">
      <alignment horizontal="center"/>
    </xf>
    <xf numFmtId="21" fontId="100" fillId="29" borderId="0" xfId="0" quotePrefix="1" applyNumberFormat="1" applyFont="1" applyFill="1" applyBorder="1" applyAlignment="1">
      <alignment horizontal="center"/>
    </xf>
    <xf numFmtId="21" fontId="100" fillId="19" borderId="0" xfId="0" quotePrefix="1" applyNumberFormat="1" applyFont="1" applyFill="1" applyBorder="1" applyAlignment="1">
      <alignment horizontal="center"/>
    </xf>
    <xf numFmtId="166" fontId="80" fillId="38" borderId="77" xfId="0" applyNumberFormat="1" applyFont="1" applyFill="1" applyBorder="1" applyAlignment="1" applyProtection="1">
      <alignment horizontal="center"/>
      <protection locked="0"/>
    </xf>
    <xf numFmtId="165" fontId="18" fillId="3" borderId="23" xfId="0" applyNumberFormat="1" applyFont="1" applyFill="1" applyBorder="1" applyAlignment="1" applyProtection="1">
      <alignment horizontal="center" vertical="center"/>
    </xf>
    <xf numFmtId="165" fontId="18" fillId="24" borderId="23" xfId="0" applyNumberFormat="1" applyFont="1" applyFill="1" applyBorder="1" applyAlignment="1" applyProtection="1">
      <alignment horizontal="center" vertical="center"/>
    </xf>
    <xf numFmtId="165" fontId="18" fillId="36" borderId="23" xfId="0" applyNumberFormat="1" applyFont="1" applyFill="1" applyBorder="1" applyAlignment="1" applyProtection="1">
      <alignment horizontal="center" vertical="center"/>
    </xf>
    <xf numFmtId="165" fontId="18" fillId="23" borderId="23" xfId="0" applyNumberFormat="1" applyFont="1" applyFill="1" applyBorder="1" applyAlignment="1" applyProtection="1">
      <alignment horizontal="center" vertical="center"/>
    </xf>
    <xf numFmtId="165" fontId="11" fillId="26" borderId="23" xfId="0" applyNumberFormat="1" applyFont="1" applyFill="1" applyBorder="1" applyAlignment="1" applyProtection="1">
      <alignment horizontal="center" vertical="center"/>
    </xf>
    <xf numFmtId="165" fontId="11" fillId="39" borderId="23" xfId="0" applyNumberFormat="1" applyFont="1" applyFill="1" applyBorder="1" applyAlignment="1" applyProtection="1">
      <alignment horizontal="center" vertical="center"/>
    </xf>
    <xf numFmtId="0" fontId="19" fillId="0" borderId="18" xfId="7" applyFont="1" applyBorder="1" applyProtection="1"/>
    <xf numFmtId="0" fontId="10" fillId="0" borderId="66" xfId="7" applyFont="1" applyBorder="1" applyAlignment="1" applyProtection="1">
      <alignment horizontal="center"/>
    </xf>
    <xf numFmtId="0" fontId="10" fillId="0" borderId="32" xfId="7" applyFont="1" applyBorder="1" applyAlignment="1" applyProtection="1">
      <alignment horizontal="center"/>
    </xf>
    <xf numFmtId="0" fontId="10" fillId="0" borderId="33" xfId="7" applyFont="1" applyBorder="1" applyAlignment="1" applyProtection="1">
      <alignment horizontal="center"/>
    </xf>
    <xf numFmtId="0" fontId="19" fillId="0" borderId="34" xfId="7" applyFont="1" applyBorder="1" applyAlignment="1" applyProtection="1">
      <alignment horizontal="center"/>
    </xf>
    <xf numFmtId="0" fontId="19" fillId="0" borderId="34" xfId="7" applyFont="1" applyBorder="1" applyAlignment="1" applyProtection="1">
      <alignment horizontal="center"/>
      <protection locked="0"/>
    </xf>
    <xf numFmtId="0" fontId="19" fillId="0" borderId="37" xfId="7" applyFont="1" applyBorder="1" applyAlignment="1">
      <alignment horizontal="center"/>
    </xf>
    <xf numFmtId="0" fontId="19" fillId="0" borderId="35" xfId="7" applyFont="1" applyBorder="1" applyAlignment="1" applyProtection="1">
      <alignment horizontal="center"/>
    </xf>
    <xf numFmtId="0" fontId="19" fillId="0" borderId="36" xfId="7" applyFont="1" applyBorder="1" applyAlignment="1" applyProtection="1">
      <alignment horizontal="center"/>
    </xf>
    <xf numFmtId="0" fontId="19" fillId="0" borderId="35" xfId="7" applyFont="1" applyBorder="1" applyAlignment="1" applyProtection="1">
      <alignment horizontal="center"/>
      <protection locked="0"/>
    </xf>
    <xf numFmtId="0" fontId="19" fillId="0" borderId="36" xfId="7" applyFont="1" applyBorder="1" applyAlignment="1" applyProtection="1">
      <alignment horizontal="center"/>
      <protection locked="0"/>
    </xf>
    <xf numFmtId="0" fontId="19" fillId="0" borderId="38" xfId="7" applyFont="1" applyBorder="1" applyAlignment="1">
      <alignment horizontal="center"/>
    </xf>
    <xf numFmtId="0" fontId="19" fillId="0" borderId="39" xfId="7" applyFont="1" applyBorder="1" applyAlignment="1">
      <alignment horizontal="center"/>
    </xf>
    <xf numFmtId="47" fontId="19" fillId="0" borderId="35" xfId="7" applyNumberFormat="1" applyFont="1" applyBorder="1" applyAlignment="1" applyProtection="1">
      <alignment horizontal="center"/>
    </xf>
    <xf numFmtId="47" fontId="19" fillId="0" borderId="35" xfId="7" applyNumberFormat="1" applyFont="1" applyBorder="1" applyAlignment="1" applyProtection="1">
      <alignment horizontal="center"/>
      <protection locked="0"/>
    </xf>
    <xf numFmtId="47" fontId="19" fillId="0" borderId="38" xfId="7" applyNumberFormat="1" applyFont="1" applyBorder="1" applyAlignment="1">
      <alignment horizontal="center"/>
    </xf>
    <xf numFmtId="0" fontId="19" fillId="0" borderId="1" xfId="7" applyFont="1" applyBorder="1"/>
    <xf numFmtId="47" fontId="19" fillId="0" borderId="0" xfId="7" applyNumberFormat="1" applyFont="1" applyBorder="1" applyAlignment="1" applyProtection="1">
      <alignment horizontal="center"/>
    </xf>
    <xf numFmtId="47" fontId="19" fillId="0" borderId="0" xfId="7" applyNumberFormat="1" applyFont="1" applyBorder="1" applyAlignment="1" applyProtection="1">
      <alignment horizontal="center"/>
      <protection locked="0"/>
    </xf>
    <xf numFmtId="47" fontId="19" fillId="0" borderId="79" xfId="7" applyNumberFormat="1" applyFont="1" applyBorder="1" applyAlignment="1">
      <alignment horizontal="center"/>
    </xf>
    <xf numFmtId="0" fontId="10" fillId="0" borderId="112" xfId="7" applyFont="1" applyBorder="1" applyAlignment="1" applyProtection="1">
      <alignment horizontal="left"/>
    </xf>
    <xf numFmtId="47" fontId="19" fillId="0" borderId="0" xfId="7" applyNumberFormat="1" applyFont="1" applyBorder="1"/>
    <xf numFmtId="47" fontId="19" fillId="0" borderId="79" xfId="7" applyNumberFormat="1" applyFont="1" applyBorder="1"/>
    <xf numFmtId="0" fontId="19" fillId="0" borderId="113" xfId="7" applyFont="1" applyBorder="1" applyProtection="1"/>
    <xf numFmtId="0" fontId="10" fillId="0" borderId="11" xfId="8" applyFont="1" applyBorder="1" applyProtection="1"/>
    <xf numFmtId="169" fontId="43" fillId="0" borderId="19" xfId="8" applyNumberFormat="1" applyFont="1" applyBorder="1" applyProtection="1"/>
    <xf numFmtId="0" fontId="6" fillId="0" borderId="114" xfId="0" applyFont="1" applyFill="1" applyBorder="1" applyAlignment="1" applyProtection="1">
      <alignment horizontal="center" textRotation="90"/>
    </xf>
    <xf numFmtId="0" fontId="6" fillId="0" borderId="115" xfId="0" applyFont="1" applyFill="1" applyBorder="1" applyAlignment="1" applyProtection="1">
      <alignment horizontal="center" textRotation="90"/>
    </xf>
    <xf numFmtId="0" fontId="6" fillId="0" borderId="75" xfId="0" applyFont="1" applyFill="1" applyBorder="1" applyAlignment="1">
      <alignment horizontal="center" textRotation="90"/>
    </xf>
    <xf numFmtId="21" fontId="9" fillId="0" borderId="75" xfId="0" applyNumberFormat="1" applyFont="1" applyFill="1" applyBorder="1" applyAlignment="1">
      <alignment horizontal="left"/>
    </xf>
    <xf numFmtId="0" fontId="9" fillId="0" borderId="75" xfId="0" applyFont="1" applyFill="1" applyBorder="1" applyAlignment="1">
      <alignment horizontal="left"/>
    </xf>
    <xf numFmtId="166" fontId="110" fillId="0" borderId="75" xfId="0" applyNumberFormat="1" applyFont="1" applyFill="1" applyBorder="1" applyAlignment="1">
      <alignment horizontal="center"/>
    </xf>
    <xf numFmtId="21" fontId="6" fillId="0" borderId="116" xfId="0" applyNumberFormat="1" applyFont="1" applyFill="1" applyBorder="1" applyAlignment="1">
      <alignment horizontal="center" textRotation="90"/>
    </xf>
    <xf numFmtId="0" fontId="6" fillId="24" borderId="11" xfId="0" applyFont="1" applyFill="1" applyBorder="1" applyAlignment="1" applyProtection="1">
      <alignment horizontal="center"/>
    </xf>
    <xf numFmtId="21" fontId="81" fillId="14" borderId="32" xfId="0" applyNumberFormat="1" applyFont="1" applyFill="1" applyBorder="1"/>
    <xf numFmtId="0" fontId="0" fillId="14" borderId="32" xfId="0" applyFill="1" applyBorder="1"/>
    <xf numFmtId="21" fontId="82" fillId="14" borderId="32" xfId="0" applyNumberFormat="1" applyFont="1" applyFill="1" applyBorder="1"/>
    <xf numFmtId="0" fontId="86" fillId="14" borderId="32" xfId="0" applyFont="1" applyFill="1" applyBorder="1"/>
    <xf numFmtId="166" fontId="113" fillId="14" borderId="32" xfId="0" applyNumberFormat="1" applyFont="1" applyFill="1" applyBorder="1"/>
    <xf numFmtId="21" fontId="85" fillId="14" borderId="32" xfId="0" quotePrefix="1" applyNumberFormat="1" applyFont="1" applyFill="1" applyBorder="1" applyAlignment="1">
      <alignment horizontal="center"/>
    </xf>
    <xf numFmtId="1" fontId="86" fillId="14" borderId="32" xfId="0" applyNumberFormat="1" applyFont="1" applyFill="1" applyBorder="1" applyAlignment="1">
      <alignment horizontal="center"/>
    </xf>
    <xf numFmtId="0" fontId="0" fillId="14" borderId="33" xfId="0" applyFill="1" applyBorder="1"/>
    <xf numFmtId="0" fontId="98" fillId="30" borderId="117" xfId="0" applyFont="1" applyFill="1" applyBorder="1" applyProtection="1"/>
    <xf numFmtId="0" fontId="99" fillId="19" borderId="117" xfId="0" applyFont="1" applyFill="1" applyBorder="1"/>
    <xf numFmtId="0" fontId="6" fillId="24" borderId="19" xfId="0" applyFont="1" applyFill="1" applyBorder="1" applyAlignment="1" applyProtection="1">
      <alignment horizontal="center"/>
    </xf>
    <xf numFmtId="0" fontId="6" fillId="24" borderId="118" xfId="0" applyFont="1" applyFill="1" applyBorder="1" applyAlignment="1" applyProtection="1">
      <alignment horizontal="center"/>
    </xf>
    <xf numFmtId="21" fontId="0" fillId="0" borderId="79" xfId="0" applyNumberFormat="1" applyFill="1" applyBorder="1"/>
    <xf numFmtId="1" fontId="7" fillId="3" borderId="79" xfId="0" applyNumberFormat="1" applyFont="1" applyFill="1" applyBorder="1" applyAlignment="1" applyProtection="1">
      <alignment horizontal="center"/>
      <protection locked="0"/>
    </xf>
    <xf numFmtId="166" fontId="108" fillId="3" borderId="79" xfId="0" applyNumberFormat="1" applyFont="1" applyFill="1" applyBorder="1" applyAlignment="1" applyProtection="1">
      <alignment horizontal="center"/>
      <protection locked="0"/>
    </xf>
    <xf numFmtId="21" fontId="85" fillId="14" borderId="38" xfId="0" applyNumberFormat="1" applyFont="1" applyFill="1" applyBorder="1"/>
    <xf numFmtId="0" fontId="92" fillId="0" borderId="113" xfId="0" applyFont="1" applyFill="1" applyBorder="1"/>
    <xf numFmtId="0" fontId="0" fillId="14" borderId="36" xfId="0" applyFill="1" applyBorder="1"/>
    <xf numFmtId="0" fontId="5" fillId="24" borderId="11" xfId="0" applyFont="1" applyFill="1" applyBorder="1" applyAlignment="1" applyProtection="1">
      <alignment horizontal="center"/>
    </xf>
    <xf numFmtId="21" fontId="82" fillId="21" borderId="32" xfId="0" applyNumberFormat="1" applyFont="1" applyFill="1" applyBorder="1"/>
    <xf numFmtId="0" fontId="134" fillId="0" borderId="31" xfId="0" applyFont="1" applyFill="1" applyBorder="1" applyAlignment="1" applyProtection="1">
      <alignment horizontal="center" textRotation="90"/>
    </xf>
    <xf numFmtId="0" fontId="134" fillId="0" borderId="88" xfId="0" applyFont="1" applyFill="1" applyBorder="1" applyAlignment="1" applyProtection="1">
      <alignment horizontal="center" textRotation="90"/>
    </xf>
    <xf numFmtId="0" fontId="134" fillId="0" borderId="89" xfId="0" applyFont="1" applyFill="1" applyBorder="1" applyAlignment="1">
      <alignment horizontal="center" textRotation="90"/>
    </xf>
    <xf numFmtId="21" fontId="134" fillId="0" borderId="87" xfId="0" applyNumberFormat="1" applyFont="1" applyFill="1" applyBorder="1" applyAlignment="1">
      <alignment horizontal="center" textRotation="90"/>
    </xf>
    <xf numFmtId="0" fontId="134" fillId="0" borderId="87" xfId="0" applyFont="1" applyFill="1" applyBorder="1" applyAlignment="1">
      <alignment horizontal="center" textRotation="90"/>
    </xf>
    <xf numFmtId="0" fontId="134" fillId="0" borderId="89" xfId="0" applyFont="1" applyFill="1" applyBorder="1" applyAlignment="1">
      <alignment horizontal="center" vertical="justify" textRotation="90"/>
    </xf>
    <xf numFmtId="21" fontId="134" fillId="0" borderId="90" xfId="0" applyNumberFormat="1" applyFont="1" applyFill="1" applyBorder="1" applyAlignment="1">
      <alignment horizontal="center" textRotation="90"/>
    </xf>
    <xf numFmtId="0" fontId="133" fillId="0" borderId="58" xfId="0" applyFont="1" applyFill="1" applyBorder="1" applyAlignment="1" applyProtection="1">
      <alignment horizontal="center"/>
    </xf>
    <xf numFmtId="21" fontId="0" fillId="14" borderId="35" xfId="0" applyNumberFormat="1" applyFill="1" applyBorder="1"/>
    <xf numFmtId="21" fontId="130" fillId="8" borderId="119" xfId="0" applyNumberFormat="1" applyFont="1" applyFill="1" applyBorder="1"/>
    <xf numFmtId="1" fontId="135" fillId="8" borderId="38" xfId="0" applyNumberFormat="1" applyFont="1" applyFill="1" applyBorder="1" applyAlignment="1" applyProtection="1">
      <alignment horizontal="center"/>
      <protection locked="0"/>
    </xf>
    <xf numFmtId="21" fontId="85" fillId="40" borderId="38" xfId="0" applyNumberFormat="1" applyFont="1" applyFill="1" applyBorder="1"/>
    <xf numFmtId="166" fontId="132" fillId="8" borderId="38" xfId="0" applyNumberFormat="1" applyFont="1" applyFill="1" applyBorder="1" applyAlignment="1" applyProtection="1">
      <alignment horizontal="center"/>
      <protection locked="0"/>
    </xf>
    <xf numFmtId="172" fontId="85" fillId="8" borderId="39" xfId="0" applyNumberFormat="1" applyFont="1" applyFill="1" applyBorder="1"/>
    <xf numFmtId="0" fontId="133" fillId="0" borderId="59" xfId="0" applyFont="1" applyFill="1" applyBorder="1" applyAlignment="1" applyProtection="1">
      <alignment horizontal="center"/>
    </xf>
    <xf numFmtId="0" fontId="131" fillId="24" borderId="58" xfId="0" applyFont="1" applyFill="1" applyBorder="1" applyAlignment="1" applyProtection="1">
      <alignment horizontal="center"/>
    </xf>
    <xf numFmtId="0" fontId="133" fillId="24" borderId="58" xfId="0" applyFont="1" applyFill="1" applyBorder="1" applyAlignment="1" applyProtection="1">
      <alignment horizontal="center"/>
    </xf>
    <xf numFmtId="0" fontId="86" fillId="14" borderId="35" xfId="0" applyFont="1" applyFill="1" applyBorder="1" applyAlignment="1">
      <alignment horizontal="left"/>
    </xf>
    <xf numFmtId="0" fontId="133" fillId="24" borderId="60" xfId="0" applyFont="1" applyFill="1" applyBorder="1" applyAlignment="1" applyProtection="1">
      <alignment horizontal="center"/>
    </xf>
    <xf numFmtId="0" fontId="133" fillId="24" borderId="0" xfId="0" applyFont="1" applyFill="1" applyBorder="1" applyAlignment="1" applyProtection="1">
      <alignment horizontal="center"/>
    </xf>
    <xf numFmtId="0" fontId="133" fillId="0" borderId="60" xfId="0" applyFont="1" applyFill="1" applyBorder="1" applyAlignment="1" applyProtection="1">
      <alignment horizontal="center"/>
    </xf>
    <xf numFmtId="0" fontId="131" fillId="24" borderId="60" xfId="0" applyFont="1" applyFill="1" applyBorder="1" applyAlignment="1" applyProtection="1">
      <alignment horizontal="center"/>
    </xf>
    <xf numFmtId="21" fontId="8" fillId="8" borderId="0" xfId="0" applyNumberFormat="1" applyFont="1" applyFill="1" applyAlignment="1" applyProtection="1">
      <alignment horizontal="center" vertical="center"/>
    </xf>
    <xf numFmtId="0" fontId="8" fillId="8" borderId="0" xfId="0" applyFont="1" applyFill="1" applyAlignment="1" applyProtection="1">
      <alignment horizontal="center" vertical="center"/>
    </xf>
    <xf numFmtId="21" fontId="67" fillId="8" borderId="0" xfId="0" applyNumberFormat="1" applyFont="1" applyFill="1" applyAlignment="1" applyProtection="1">
      <alignment horizontal="center" vertical="center"/>
    </xf>
    <xf numFmtId="164" fontId="9" fillId="0" borderId="89" xfId="3" applyFont="1" applyFill="1" applyBorder="1" applyAlignment="1">
      <alignment horizontal="center" textRotation="90"/>
    </xf>
    <xf numFmtId="21" fontId="81" fillId="21" borderId="111" xfId="0" applyNumberFormat="1" applyFont="1" applyFill="1" applyBorder="1"/>
    <xf numFmtId="0" fontId="84" fillId="16" borderId="35" xfId="0" quotePrefix="1" applyFont="1" applyFill="1" applyBorder="1" applyAlignment="1">
      <alignment horizontal="left"/>
    </xf>
    <xf numFmtId="1" fontId="135" fillId="3" borderId="0" xfId="0" applyNumberFormat="1" applyFont="1" applyFill="1" applyBorder="1" applyAlignment="1" applyProtection="1">
      <alignment horizontal="center"/>
      <protection locked="0"/>
    </xf>
    <xf numFmtId="21" fontId="81" fillId="14" borderId="111" xfId="0" applyNumberFormat="1" applyFont="1" applyFill="1" applyBorder="1"/>
    <xf numFmtId="1" fontId="135" fillId="0" borderId="0" xfId="0" applyNumberFormat="1" applyFont="1" applyFill="1" applyBorder="1" applyAlignment="1" applyProtection="1">
      <alignment horizontal="center"/>
      <protection locked="0"/>
    </xf>
    <xf numFmtId="21" fontId="136" fillId="14" borderId="0" xfId="0" applyNumberFormat="1" applyFont="1" applyFill="1" applyBorder="1"/>
    <xf numFmtId="0" fontId="136" fillId="0" borderId="102" xfId="0" applyFont="1" applyFill="1" applyBorder="1"/>
    <xf numFmtId="1" fontId="135" fillId="0" borderId="79" xfId="0" applyNumberFormat="1" applyFont="1" applyFill="1" applyBorder="1" applyAlignment="1" applyProtection="1">
      <alignment horizontal="center"/>
      <protection locked="0"/>
    </xf>
    <xf numFmtId="21" fontId="136" fillId="14" borderId="79" xfId="0" applyNumberFormat="1" applyFont="1" applyFill="1" applyBorder="1"/>
    <xf numFmtId="0" fontId="136" fillId="0" borderId="113" xfId="0" applyFont="1" applyFill="1" applyBorder="1"/>
    <xf numFmtId="0" fontId="17" fillId="30" borderId="0" xfId="0" applyFont="1" applyFill="1" applyBorder="1" applyProtection="1"/>
    <xf numFmtId="21" fontId="85" fillId="41" borderId="35" xfId="0" quotePrefix="1" applyNumberFormat="1" applyFont="1" applyFill="1" applyBorder="1" applyAlignment="1">
      <alignment horizontal="center"/>
    </xf>
    <xf numFmtId="173" fontId="23" fillId="5" borderId="0" xfId="4" applyNumberFormat="1" applyFont="1" applyFill="1"/>
    <xf numFmtId="173" fontId="26" fillId="5" borderId="0" xfId="4" applyNumberFormat="1" applyFont="1" applyFill="1" applyAlignment="1" applyProtection="1">
      <alignment horizontal="left"/>
    </xf>
    <xf numFmtId="173" fontId="23" fillId="5" borderId="0" xfId="4" applyNumberFormat="1" applyFont="1" applyFill="1" applyProtection="1"/>
    <xf numFmtId="173" fontId="33" fillId="0" borderId="68" xfId="4" applyNumberFormat="1" applyFont="1" applyBorder="1" applyAlignment="1" applyProtection="1">
      <alignment horizontal="center" vertical="center"/>
    </xf>
    <xf numFmtId="173" fontId="22" fillId="0" borderId="0" xfId="4" applyNumberFormat="1" applyFont="1"/>
    <xf numFmtId="173" fontId="35" fillId="0" borderId="120" xfId="4" applyNumberFormat="1" applyFont="1" applyBorder="1" applyAlignment="1" applyProtection="1">
      <alignment horizontal="center"/>
      <protection locked="0"/>
    </xf>
    <xf numFmtId="173" fontId="22" fillId="5" borderId="0" xfId="4" applyNumberFormat="1" applyFont="1" applyFill="1"/>
    <xf numFmtId="173" fontId="34" fillId="0" borderId="0" xfId="4" applyNumberFormat="1" applyFont="1"/>
    <xf numFmtId="21" fontId="137" fillId="41" borderId="35" xfId="0" applyNumberFormat="1" applyFont="1" applyFill="1" applyBorder="1"/>
    <xf numFmtId="0" fontId="138" fillId="41" borderId="83" xfId="0" applyFont="1" applyFill="1" applyBorder="1"/>
    <xf numFmtId="21" fontId="138" fillId="41" borderId="35" xfId="0" applyNumberFormat="1" applyFont="1" applyFill="1" applyBorder="1"/>
    <xf numFmtId="21" fontId="138" fillId="41" borderId="0" xfId="0" applyNumberFormat="1" applyFont="1" applyFill="1" applyBorder="1"/>
    <xf numFmtId="0" fontId="139" fillId="41" borderId="83" xfId="0" applyFont="1" applyFill="1" applyBorder="1"/>
    <xf numFmtId="166" fontId="140" fillId="41" borderId="0" xfId="0" applyNumberFormat="1" applyFont="1" applyFill="1" applyBorder="1"/>
    <xf numFmtId="21" fontId="141" fillId="41" borderId="35" xfId="0" quotePrefix="1" applyNumberFormat="1" applyFont="1" applyFill="1" applyBorder="1" applyAlignment="1">
      <alignment horizontal="center"/>
    </xf>
    <xf numFmtId="21" fontId="141" fillId="41" borderId="0" xfId="0" quotePrefix="1" applyNumberFormat="1" applyFont="1" applyFill="1" applyBorder="1" applyAlignment="1">
      <alignment horizontal="center"/>
    </xf>
    <xf numFmtId="21" fontId="137" fillId="41" borderId="0" xfId="0" applyNumberFormat="1" applyFont="1" applyFill="1" applyBorder="1"/>
    <xf numFmtId="0" fontId="138" fillId="41" borderId="35" xfId="0" applyFont="1" applyFill="1" applyBorder="1"/>
    <xf numFmtId="0" fontId="139" fillId="41" borderId="35" xfId="0" applyFont="1" applyFill="1" applyBorder="1"/>
    <xf numFmtId="166" fontId="140" fillId="41" borderId="35" xfId="0" applyNumberFormat="1" applyFont="1" applyFill="1" applyBorder="1"/>
    <xf numFmtId="0" fontId="137" fillId="42" borderId="35" xfId="0" applyFont="1" applyFill="1" applyBorder="1" applyProtection="1"/>
    <xf numFmtId="0" fontId="142" fillId="42" borderId="35" xfId="0" applyFont="1" applyFill="1" applyBorder="1" applyProtection="1"/>
    <xf numFmtId="166" fontId="143" fillId="42" borderId="35" xfId="0" applyNumberFormat="1" applyFont="1" applyFill="1" applyBorder="1" applyProtection="1"/>
    <xf numFmtId="0" fontId="142" fillId="42" borderId="35" xfId="0" quotePrefix="1" applyFont="1" applyFill="1" applyBorder="1" applyAlignment="1" applyProtection="1">
      <alignment horizontal="left"/>
    </xf>
    <xf numFmtId="166" fontId="143" fillId="42" borderId="35" xfId="0" quotePrefix="1" applyNumberFormat="1" applyFont="1" applyFill="1" applyBorder="1" applyAlignment="1" applyProtection="1">
      <alignment horizontal="left"/>
    </xf>
    <xf numFmtId="21" fontId="137" fillId="43" borderId="35" xfId="0" applyNumberFormat="1" applyFont="1" applyFill="1" applyBorder="1"/>
    <xf numFmtId="0" fontId="138" fillId="43" borderId="83" xfId="0" applyFont="1" applyFill="1" applyBorder="1"/>
    <xf numFmtId="21" fontId="138" fillId="43" borderId="35" xfId="0" applyNumberFormat="1" applyFont="1" applyFill="1" applyBorder="1"/>
    <xf numFmtId="21" fontId="138" fillId="43" borderId="0" xfId="0" applyNumberFormat="1" applyFont="1" applyFill="1" applyBorder="1"/>
    <xf numFmtId="0" fontId="139" fillId="43" borderId="83" xfId="0" applyFont="1" applyFill="1" applyBorder="1"/>
    <xf numFmtId="166" fontId="140" fillId="43" borderId="0" xfId="0" applyNumberFormat="1" applyFont="1" applyFill="1" applyBorder="1"/>
    <xf numFmtId="21" fontId="141" fillId="43" borderId="35" xfId="0" quotePrefix="1" applyNumberFormat="1" applyFont="1" applyFill="1" applyBorder="1" applyAlignment="1">
      <alignment horizontal="center"/>
    </xf>
    <xf numFmtId="21" fontId="141" fillId="43" borderId="0" xfId="0" quotePrefix="1" applyNumberFormat="1" applyFont="1" applyFill="1" applyBorder="1" applyAlignment="1">
      <alignment horizontal="center"/>
    </xf>
    <xf numFmtId="0" fontId="137" fillId="44" borderId="83" xfId="0" applyFont="1" applyFill="1" applyBorder="1" applyProtection="1"/>
    <xf numFmtId="21" fontId="137" fillId="43" borderId="0" xfId="0" applyNumberFormat="1" applyFont="1" applyFill="1" applyBorder="1"/>
    <xf numFmtId="0" fontId="142" fillId="44" borderId="83" xfId="0" applyFont="1" applyFill="1" applyBorder="1" applyProtection="1"/>
    <xf numFmtId="166" fontId="143" fillId="44" borderId="0" xfId="0" applyNumberFormat="1" applyFont="1" applyFill="1" applyBorder="1" applyProtection="1"/>
    <xf numFmtId="0" fontId="138" fillId="43" borderId="35" xfId="0" applyFont="1" applyFill="1" applyBorder="1"/>
    <xf numFmtId="0" fontId="139" fillId="43" borderId="35" xfId="0" applyFont="1" applyFill="1" applyBorder="1"/>
    <xf numFmtId="166" fontId="140" fillId="43" borderId="35" xfId="0" applyNumberFormat="1" applyFont="1" applyFill="1" applyBorder="1"/>
    <xf numFmtId="0" fontId="137" fillId="44" borderId="35" xfId="0" applyFont="1" applyFill="1" applyBorder="1" applyProtection="1"/>
    <xf numFmtId="0" fontId="142" fillId="44" borderId="35" xfId="0" applyFont="1" applyFill="1" applyBorder="1" applyProtection="1"/>
    <xf numFmtId="166" fontId="143" fillId="44" borderId="35" xfId="0" applyNumberFormat="1" applyFont="1" applyFill="1" applyBorder="1" applyProtection="1"/>
    <xf numFmtId="0" fontId="142" fillId="44" borderId="35" xfId="0" quotePrefix="1" applyFont="1" applyFill="1" applyBorder="1" applyAlignment="1" applyProtection="1">
      <alignment horizontal="left"/>
    </xf>
    <xf numFmtId="166" fontId="143" fillId="44" borderId="35" xfId="0" quotePrefix="1" applyNumberFormat="1" applyFont="1" applyFill="1" applyBorder="1" applyAlignment="1" applyProtection="1">
      <alignment horizontal="left"/>
    </xf>
    <xf numFmtId="21" fontId="137" fillId="45" borderId="35" xfId="0" applyNumberFormat="1" applyFont="1" applyFill="1" applyBorder="1"/>
    <xf numFmtId="0" fontId="138" fillId="45" borderId="35" xfId="0" applyFont="1" applyFill="1" applyBorder="1"/>
    <xf numFmtId="21" fontId="138" fillId="45" borderId="35" xfId="0" applyNumberFormat="1" applyFont="1" applyFill="1" applyBorder="1"/>
    <xf numFmtId="166" fontId="140" fillId="45" borderId="35" xfId="0" applyNumberFormat="1" applyFont="1" applyFill="1" applyBorder="1"/>
    <xf numFmtId="0" fontId="138" fillId="45" borderId="83" xfId="0" applyFont="1" applyFill="1" applyBorder="1"/>
    <xf numFmtId="0" fontId="138" fillId="41" borderId="121" xfId="0" applyFont="1" applyFill="1" applyBorder="1" applyAlignment="1">
      <alignment horizontal="center"/>
    </xf>
    <xf numFmtId="21" fontId="85" fillId="41" borderId="0" xfId="0" quotePrefix="1" applyNumberFormat="1" applyFont="1" applyFill="1" applyBorder="1" applyAlignment="1">
      <alignment horizontal="center"/>
    </xf>
    <xf numFmtId="21" fontId="85" fillId="41" borderId="0" xfId="0" applyNumberFormat="1" applyFont="1" applyFill="1" applyBorder="1"/>
    <xf numFmtId="0" fontId="85" fillId="41" borderId="83" xfId="0" applyFont="1" applyFill="1" applyBorder="1"/>
    <xf numFmtId="21" fontId="1" fillId="41" borderId="0" xfId="0" applyNumberFormat="1" applyFont="1" applyFill="1" applyBorder="1"/>
    <xf numFmtId="21" fontId="85" fillId="41" borderId="35" xfId="0" applyNumberFormat="1" applyFont="1" applyFill="1" applyBorder="1"/>
    <xf numFmtId="0" fontId="144" fillId="3" borderId="0" xfId="0" applyFont="1" applyFill="1" applyAlignment="1" applyProtection="1">
      <alignment horizontal="center"/>
    </xf>
    <xf numFmtId="0" fontId="42" fillId="3" borderId="80" xfId="7" applyFont="1" applyFill="1" applyBorder="1" applyAlignment="1" applyProtection="1">
      <alignment horizontal="left"/>
    </xf>
    <xf numFmtId="0" fontId="42" fillId="3" borderId="122" xfId="7" applyFont="1" applyFill="1" applyBorder="1" applyAlignment="1" applyProtection="1">
      <alignment horizontal="left"/>
    </xf>
    <xf numFmtId="1" fontId="10" fillId="3" borderId="41" xfId="7" applyNumberFormat="1" applyFont="1" applyFill="1" applyBorder="1" applyAlignment="1" applyProtection="1">
      <alignment horizontal="center"/>
      <protection locked="0"/>
    </xf>
    <xf numFmtId="0" fontId="42" fillId="8" borderId="0" xfId="7" applyFont="1" applyFill="1" applyBorder="1" applyAlignment="1" applyProtection="1">
      <alignment horizontal="left"/>
    </xf>
    <xf numFmtId="0" fontId="42" fillId="8" borderId="71" xfId="7" applyFont="1" applyFill="1" applyBorder="1" applyAlignment="1" applyProtection="1">
      <alignment horizontal="left"/>
    </xf>
    <xf numFmtId="0" fontId="42" fillId="8" borderId="80" xfId="7" applyFont="1" applyFill="1" applyBorder="1" applyAlignment="1" applyProtection="1">
      <alignment horizontal="left"/>
    </xf>
    <xf numFmtId="0" fontId="42" fillId="8" borderId="122" xfId="7" applyFont="1" applyFill="1" applyBorder="1" applyAlignment="1" applyProtection="1">
      <alignment horizontal="left"/>
    </xf>
    <xf numFmtId="0" fontId="42" fillId="13" borderId="0" xfId="7" applyFont="1" applyFill="1" applyBorder="1" applyProtection="1"/>
    <xf numFmtId="0" fontId="42" fillId="13" borderId="71" xfId="7" applyFont="1" applyFill="1" applyBorder="1" applyAlignment="1" applyProtection="1">
      <alignment horizontal="left"/>
    </xf>
    <xf numFmtId="168" fontId="45" fillId="13" borderId="123" xfId="7" applyNumberFormat="1" applyFont="1" applyFill="1" applyBorder="1" applyAlignment="1" applyProtection="1">
      <alignment horizontal="center"/>
      <protection locked="0"/>
    </xf>
    <xf numFmtId="0" fontId="42" fillId="13" borderId="79" xfId="7" applyFont="1" applyFill="1" applyBorder="1" applyAlignment="1" applyProtection="1">
      <alignment horizontal="left"/>
    </xf>
    <xf numFmtId="0" fontId="42" fillId="13" borderId="124" xfId="7" applyFont="1" applyFill="1" applyBorder="1" applyAlignment="1" applyProtection="1">
      <alignment horizontal="left"/>
    </xf>
    <xf numFmtId="1" fontId="45" fillId="13" borderId="125" xfId="7" applyNumberFormat="1" applyFont="1" applyFill="1" applyBorder="1" applyAlignment="1" applyProtection="1">
      <alignment horizontal="center"/>
      <protection locked="0"/>
    </xf>
    <xf numFmtId="0" fontId="42" fillId="23" borderId="0" xfId="7" applyFont="1" applyFill="1" applyBorder="1" applyAlignment="1" applyProtection="1">
      <alignment horizontal="left"/>
    </xf>
    <xf numFmtId="0" fontId="42" fillId="23" borderId="71" xfId="7" applyFont="1" applyFill="1" applyBorder="1" applyAlignment="1" applyProtection="1">
      <alignment horizontal="left"/>
    </xf>
    <xf numFmtId="1" fontId="10" fillId="23" borderId="41" xfId="7" applyNumberFormat="1" applyFont="1" applyFill="1" applyBorder="1" applyAlignment="1" applyProtection="1">
      <alignment horizontal="center"/>
      <protection locked="0"/>
    </xf>
    <xf numFmtId="0" fontId="56" fillId="10" borderId="0" xfId="7" applyFont="1" applyFill="1" applyBorder="1" applyAlignment="1" applyProtection="1">
      <alignment horizontal="left"/>
    </xf>
    <xf numFmtId="0" fontId="56" fillId="10" borderId="71" xfId="7" applyFont="1" applyFill="1" applyBorder="1" applyAlignment="1" applyProtection="1">
      <alignment horizontal="left"/>
    </xf>
    <xf numFmtId="0" fontId="56" fillId="10" borderId="80" xfId="7" applyFont="1" applyFill="1" applyBorder="1" applyAlignment="1" applyProtection="1">
      <alignment horizontal="left"/>
    </xf>
    <xf numFmtId="1" fontId="8" fillId="10" borderId="41" xfId="7" applyNumberFormat="1" applyFont="1" applyFill="1" applyBorder="1" applyAlignment="1" applyProtection="1">
      <alignment horizontal="center"/>
      <protection locked="0"/>
    </xf>
    <xf numFmtId="0" fontId="56" fillId="26" borderId="0" xfId="7" applyFont="1" applyFill="1" applyBorder="1" applyAlignment="1" applyProtection="1">
      <alignment horizontal="left"/>
    </xf>
    <xf numFmtId="0" fontId="56" fillId="26" borderId="71" xfId="7" applyFont="1" applyFill="1" applyBorder="1" applyAlignment="1" applyProtection="1">
      <alignment horizontal="left"/>
    </xf>
    <xf numFmtId="168" fontId="54" fillId="26" borderId="31" xfId="7" applyNumberFormat="1" applyFont="1" applyFill="1" applyBorder="1" applyAlignment="1" applyProtection="1">
      <alignment horizontal="center"/>
    </xf>
    <xf numFmtId="0" fontId="56" fillId="26" borderId="29" xfId="7" applyFont="1" applyFill="1" applyBorder="1" applyProtection="1"/>
    <xf numFmtId="0" fontId="56" fillId="26" borderId="72" xfId="7" applyFont="1" applyFill="1" applyBorder="1" applyAlignment="1" applyProtection="1">
      <alignment horizontal="left"/>
    </xf>
    <xf numFmtId="1" fontId="8" fillId="26" borderId="91" xfId="7" applyNumberFormat="1" applyFont="1" applyFill="1" applyBorder="1" applyAlignment="1" applyProtection="1">
      <alignment horizontal="center"/>
      <protection locked="0"/>
    </xf>
    <xf numFmtId="0" fontId="42" fillId="22" borderId="0" xfId="7" applyFont="1" applyFill="1" applyBorder="1" applyAlignment="1" applyProtection="1">
      <alignment horizontal="left"/>
    </xf>
    <xf numFmtId="0" fontId="42" fillId="22" borderId="71" xfId="7" applyFont="1" applyFill="1" applyBorder="1" applyAlignment="1" applyProtection="1">
      <alignment horizontal="left"/>
    </xf>
    <xf numFmtId="0" fontId="42" fillId="22" borderId="79" xfId="7" applyFont="1" applyFill="1" applyBorder="1" applyAlignment="1" applyProtection="1">
      <alignment horizontal="left"/>
    </xf>
    <xf numFmtId="0" fontId="42" fillId="22" borderId="124" xfId="7" applyFont="1" applyFill="1" applyBorder="1" applyAlignment="1" applyProtection="1">
      <alignment horizontal="left"/>
    </xf>
    <xf numFmtId="1" fontId="10" fillId="22" borderId="125" xfId="7" applyNumberFormat="1" applyFont="1" applyFill="1" applyBorder="1" applyAlignment="1" applyProtection="1">
      <alignment horizontal="center"/>
      <protection locked="0"/>
    </xf>
    <xf numFmtId="168" fontId="8" fillId="10" borderId="31" xfId="7" applyNumberFormat="1" applyFont="1" applyFill="1" applyBorder="1" applyAlignment="1" applyProtection="1">
      <alignment horizontal="center"/>
    </xf>
    <xf numFmtId="168" fontId="10" fillId="3" borderId="31" xfId="7" applyNumberFormat="1" applyFont="1" applyFill="1" applyBorder="1" applyAlignment="1" applyProtection="1">
      <alignment horizontal="center"/>
    </xf>
    <xf numFmtId="168" fontId="10" fillId="8" borderId="31" xfId="7" applyNumberFormat="1" applyFont="1" applyFill="1" applyBorder="1" applyAlignment="1" applyProtection="1">
      <alignment horizontal="center"/>
    </xf>
    <xf numFmtId="168" fontId="10" fillId="22" borderId="31" xfId="7" applyNumberFormat="1" applyFont="1" applyFill="1" applyBorder="1" applyAlignment="1" applyProtection="1">
      <alignment horizontal="center"/>
    </xf>
    <xf numFmtId="168" fontId="10" fillId="23" borderId="31" xfId="7" applyNumberFormat="1" applyFont="1" applyFill="1" applyBorder="1" applyAlignment="1" applyProtection="1">
      <alignment horizontal="center"/>
    </xf>
    <xf numFmtId="0" fontId="1" fillId="3" borderId="0" xfId="0" applyFont="1" applyFill="1" applyAlignment="1">
      <alignment horizontal="center"/>
    </xf>
    <xf numFmtId="0" fontId="11" fillId="3" borderId="0" xfId="0" applyFont="1" applyFill="1" applyBorder="1" applyAlignment="1">
      <alignment horizontal="center"/>
    </xf>
    <xf numFmtId="1" fontId="81" fillId="14" borderId="35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86" fillId="15" borderId="80" xfId="0" applyFont="1" applyFill="1" applyBorder="1" applyAlignment="1">
      <alignment horizontal="center"/>
    </xf>
    <xf numFmtId="0" fontId="84" fillId="16" borderId="80" xfId="0" applyFont="1" applyFill="1" applyBorder="1" applyAlignment="1">
      <alignment horizontal="center"/>
    </xf>
    <xf numFmtId="0" fontId="0" fillId="18" borderId="83" xfId="0" applyFill="1" applyBorder="1" applyAlignment="1" applyProtection="1">
      <alignment horizontal="center"/>
    </xf>
    <xf numFmtId="0" fontId="98" fillId="30" borderId="83" xfId="0" applyFont="1" applyFill="1" applyBorder="1" applyAlignment="1" applyProtection="1">
      <alignment horizontal="center"/>
    </xf>
    <xf numFmtId="0" fontId="106" fillId="19" borderId="83" xfId="0" quotePrefix="1" applyFont="1" applyFill="1" applyBorder="1" applyAlignment="1">
      <alignment horizontal="center"/>
    </xf>
    <xf numFmtId="0" fontId="106" fillId="19" borderId="35" xfId="0" quotePrefix="1" applyFont="1" applyFill="1" applyBorder="1" applyAlignment="1">
      <alignment horizontal="center"/>
    </xf>
    <xf numFmtId="0" fontId="107" fillId="33" borderId="35" xfId="0" applyFont="1" applyFill="1" applyBorder="1" applyAlignment="1" applyProtection="1">
      <alignment horizontal="center"/>
    </xf>
    <xf numFmtId="0" fontId="139" fillId="43" borderId="83" xfId="0" quotePrefix="1" applyFont="1" applyFill="1" applyBorder="1" applyAlignment="1">
      <alignment horizontal="center"/>
    </xf>
    <xf numFmtId="0" fontId="86" fillId="41" borderId="83" xfId="0" quotePrefix="1" applyFont="1" applyFill="1" applyBorder="1" applyAlignment="1">
      <alignment horizontal="center"/>
    </xf>
    <xf numFmtId="0" fontId="88" fillId="42" borderId="35" xfId="0" applyFont="1" applyFill="1" applyBorder="1" applyAlignment="1" applyProtection="1">
      <alignment horizontal="center"/>
    </xf>
    <xf numFmtId="0" fontId="86" fillId="41" borderId="35" xfId="0" quotePrefix="1" applyFont="1" applyFill="1" applyBorder="1" applyAlignment="1">
      <alignment horizontal="center"/>
    </xf>
    <xf numFmtId="21" fontId="85" fillId="46" borderId="35" xfId="0" quotePrefix="1" applyNumberFormat="1" applyFont="1" applyFill="1" applyBorder="1" applyAlignment="1">
      <alignment horizontal="center"/>
    </xf>
    <xf numFmtId="21" fontId="85" fillId="16" borderId="35" xfId="0" quotePrefix="1" applyNumberFormat="1" applyFont="1" applyFill="1" applyBorder="1" applyAlignment="1">
      <alignment horizontal="center"/>
    </xf>
    <xf numFmtId="0" fontId="86" fillId="14" borderId="35" xfId="0" quotePrefix="1" applyFont="1" applyFill="1" applyBorder="1" applyAlignment="1">
      <alignment horizontal="center"/>
    </xf>
    <xf numFmtId="0" fontId="86" fillId="21" borderId="35" xfId="0" quotePrefix="1" applyFont="1" applyFill="1" applyBorder="1" applyAlignment="1">
      <alignment horizontal="center"/>
    </xf>
    <xf numFmtId="21" fontId="82" fillId="16" borderId="35" xfId="0" applyNumberFormat="1" applyFont="1" applyFill="1" applyBorder="1"/>
    <xf numFmtId="168" fontId="9" fillId="8" borderId="127" xfId="7" applyNumberFormat="1" applyFont="1" applyFill="1" applyBorder="1" applyAlignment="1" applyProtection="1">
      <alignment horizontal="center"/>
      <protection locked="0"/>
    </xf>
    <xf numFmtId="168" fontId="45" fillId="8" borderId="128" xfId="7" applyNumberFormat="1" applyFont="1" applyFill="1" applyBorder="1" applyAlignment="1" applyProtection="1">
      <alignment horizontal="center"/>
      <protection locked="0"/>
    </xf>
    <xf numFmtId="3" fontId="6" fillId="3" borderId="71" xfId="0" applyNumberFormat="1" applyFont="1" applyFill="1" applyBorder="1" applyAlignment="1" applyProtection="1">
      <alignment horizontal="center"/>
    </xf>
    <xf numFmtId="0" fontId="6" fillId="0" borderId="0" xfId="0" applyFont="1" applyFill="1" applyBorder="1" applyAlignment="1" applyProtection="1">
      <alignment horizontal="center" textRotation="90"/>
    </xf>
    <xf numFmtId="21" fontId="6" fillId="0" borderId="133" xfId="0" applyNumberFormat="1" applyFont="1" applyFill="1" applyBorder="1" applyAlignment="1">
      <alignment horizontal="center" textRotation="90"/>
    </xf>
    <xf numFmtId="1" fontId="80" fillId="3" borderId="134" xfId="0" applyNumberFormat="1" applyFont="1" applyFill="1" applyBorder="1" applyAlignment="1" applyProtection="1">
      <alignment horizontal="center"/>
      <protection locked="0"/>
    </xf>
    <xf numFmtId="1" fontId="13" fillId="0" borderId="19" xfId="0" applyNumberFormat="1" applyFont="1" applyBorder="1"/>
    <xf numFmtId="1" fontId="13" fillId="0" borderId="79" xfId="0" applyNumberFormat="1" applyFont="1" applyBorder="1"/>
    <xf numFmtId="1" fontId="13" fillId="0" borderId="113" xfId="0" applyNumberFormat="1" applyFont="1" applyBorder="1"/>
    <xf numFmtId="0" fontId="0" fillId="14" borderId="0" xfId="0" applyFill="1" applyBorder="1"/>
    <xf numFmtId="0" fontId="20" fillId="21" borderId="35" xfId="0" quotePrefix="1" applyFont="1" applyFill="1" applyBorder="1" applyAlignment="1">
      <alignment horizontal="left"/>
    </xf>
    <xf numFmtId="21" fontId="0" fillId="19" borderId="111" xfId="0" applyNumberFormat="1" applyFill="1" applyBorder="1"/>
    <xf numFmtId="0" fontId="133" fillId="0" borderId="12" xfId="0" applyFont="1" applyFill="1" applyBorder="1" applyAlignment="1" applyProtection="1">
      <alignment horizontal="center"/>
    </xf>
    <xf numFmtId="21" fontId="0" fillId="49" borderId="111" xfId="0" applyNumberFormat="1" applyFill="1" applyBorder="1"/>
    <xf numFmtId="21" fontId="87" fillId="50" borderId="111" xfId="0" applyNumberFormat="1" applyFont="1" applyFill="1" applyBorder="1"/>
    <xf numFmtId="0" fontId="87" fillId="50" borderId="35" xfId="0" applyFont="1" applyFill="1" applyBorder="1"/>
    <xf numFmtId="21" fontId="87" fillId="50" borderId="35" xfId="0" applyNumberFormat="1" applyFont="1" applyFill="1" applyBorder="1"/>
    <xf numFmtId="21" fontId="89" fillId="50" borderId="35" xfId="0" applyNumberFormat="1" applyFont="1" applyFill="1" applyBorder="1"/>
    <xf numFmtId="0" fontId="85" fillId="19" borderId="35" xfId="0" applyFont="1" applyFill="1" applyBorder="1" applyAlignment="1">
      <alignment horizontal="center"/>
    </xf>
    <xf numFmtId="0" fontId="85" fillId="14" borderId="35" xfId="0" applyFont="1" applyFill="1" applyBorder="1" applyAlignment="1">
      <alignment horizontal="center"/>
    </xf>
    <xf numFmtId="0" fontId="0" fillId="0" borderId="79" xfId="0" applyBorder="1"/>
    <xf numFmtId="21" fontId="1" fillId="14" borderId="79" xfId="0" applyNumberFormat="1" applyFont="1" applyFill="1" applyBorder="1"/>
    <xf numFmtId="0" fontId="1" fillId="0" borderId="79" xfId="0" applyFont="1" applyBorder="1" applyAlignment="1">
      <alignment horizontal="center"/>
    </xf>
    <xf numFmtId="0" fontId="1" fillId="0" borderId="113" xfId="0" applyFont="1" applyBorder="1"/>
    <xf numFmtId="0" fontId="82" fillId="28" borderId="35" xfId="0" applyFont="1" applyFill="1" applyBorder="1"/>
    <xf numFmtId="21" fontId="0" fillId="48" borderId="111" xfId="0" applyNumberFormat="1" applyFill="1" applyBorder="1"/>
    <xf numFmtId="0" fontId="0" fillId="14" borderId="111" xfId="0" applyFill="1" applyBorder="1"/>
    <xf numFmtId="0" fontId="1" fillId="14" borderId="35" xfId="0" applyFont="1" applyFill="1" applyBorder="1" applyAlignment="1">
      <alignment horizontal="left"/>
    </xf>
    <xf numFmtId="21" fontId="1" fillId="14" borderId="35" xfId="0" applyNumberFormat="1" applyFont="1" applyFill="1" applyBorder="1"/>
    <xf numFmtId="0" fontId="131" fillId="13" borderId="58" xfId="0" applyFont="1" applyFill="1" applyBorder="1" applyAlignment="1" applyProtection="1">
      <alignment horizontal="center"/>
    </xf>
    <xf numFmtId="0" fontId="133" fillId="24" borderId="59" xfId="0" applyFont="1" applyFill="1" applyBorder="1" applyAlignment="1" applyProtection="1">
      <alignment horizontal="center"/>
    </xf>
    <xf numFmtId="0" fontId="133" fillId="13" borderId="58" xfId="0" applyFont="1" applyFill="1" applyBorder="1" applyAlignment="1" applyProtection="1">
      <alignment horizontal="center"/>
    </xf>
    <xf numFmtId="0" fontId="86" fillId="41" borderId="35" xfId="0" applyFont="1" applyFill="1" applyBorder="1" applyAlignment="1">
      <alignment horizontal="center"/>
    </xf>
    <xf numFmtId="0" fontId="131" fillId="13" borderId="59" xfId="0" applyFont="1" applyFill="1" applyBorder="1" applyAlignment="1" applyProtection="1">
      <alignment horizontal="center"/>
    </xf>
    <xf numFmtId="174" fontId="9" fillId="0" borderId="75" xfId="0" applyNumberFormat="1" applyFont="1" applyFill="1" applyBorder="1" applyAlignment="1">
      <alignment horizontal="center"/>
    </xf>
    <xf numFmtId="21" fontId="85" fillId="21" borderId="32" xfId="0" quotePrefix="1" applyNumberFormat="1" applyFont="1" applyFill="1" applyBorder="1" applyAlignment="1">
      <alignment horizontal="center"/>
    </xf>
    <xf numFmtId="1" fontId="86" fillId="21" borderId="32" xfId="0" applyNumberFormat="1" applyFont="1" applyFill="1" applyBorder="1" applyAlignment="1">
      <alignment horizontal="center"/>
    </xf>
    <xf numFmtId="0" fontId="13" fillId="14" borderId="39" xfId="0" applyFont="1" applyFill="1" applyBorder="1"/>
    <xf numFmtId="0" fontId="55" fillId="3" borderId="0" xfId="0" applyFont="1" applyFill="1" applyBorder="1" applyProtection="1">
      <protection locked="0"/>
    </xf>
    <xf numFmtId="0" fontId="55" fillId="3" borderId="79" xfId="0" applyFont="1" applyFill="1" applyBorder="1" applyProtection="1">
      <protection locked="0"/>
    </xf>
    <xf numFmtId="21" fontId="0" fillId="46" borderId="35" xfId="0" applyNumberFormat="1" applyFill="1" applyBorder="1"/>
    <xf numFmtId="0" fontId="0" fillId="46" borderId="35" xfId="0" applyFill="1" applyBorder="1"/>
    <xf numFmtId="166" fontId="109" fillId="46" borderId="35" xfId="0" applyNumberFormat="1" applyFont="1" applyFill="1" applyBorder="1"/>
    <xf numFmtId="0" fontId="86" fillId="46" borderId="35" xfId="0" applyFont="1" applyFill="1" applyBorder="1" applyAlignment="1">
      <alignment horizontal="center"/>
    </xf>
    <xf numFmtId="0" fontId="0" fillId="46" borderId="36" xfId="0" applyFill="1" applyBorder="1"/>
    <xf numFmtId="0" fontId="148" fillId="3" borderId="79" xfId="0" applyFont="1" applyFill="1" applyBorder="1" applyProtection="1">
      <protection locked="0"/>
    </xf>
    <xf numFmtId="1" fontId="86" fillId="15" borderId="38" xfId="0" applyNumberFormat="1" applyFont="1" applyFill="1" applyBorder="1" applyAlignment="1">
      <alignment horizontal="center"/>
    </xf>
    <xf numFmtId="0" fontId="20" fillId="15" borderId="35" xfId="0" applyFont="1" applyFill="1" applyBorder="1" applyAlignment="1">
      <alignment horizontal="left"/>
    </xf>
    <xf numFmtId="0" fontId="131" fillId="24" borderId="12" xfId="0" applyFont="1" applyFill="1" applyBorder="1" applyAlignment="1" applyProtection="1">
      <alignment horizontal="center"/>
    </xf>
    <xf numFmtId="1" fontId="135" fillId="3" borderId="79" xfId="0" applyNumberFormat="1" applyFont="1" applyFill="1" applyBorder="1" applyAlignment="1" applyProtection="1">
      <alignment horizontal="center"/>
      <protection locked="0"/>
    </xf>
    <xf numFmtId="21" fontId="136" fillId="14" borderId="38" xfId="0" applyNumberFormat="1" applyFont="1" applyFill="1" applyBorder="1"/>
    <xf numFmtId="0" fontId="5" fillId="0" borderId="12" xfId="0" applyFont="1" applyFill="1" applyBorder="1" applyAlignment="1" applyProtection="1">
      <alignment horizontal="center"/>
    </xf>
    <xf numFmtId="0" fontId="9" fillId="0" borderId="0" xfId="0" applyFont="1" applyFill="1" applyBorder="1" applyAlignment="1" applyProtection="1">
      <alignment horizontal="center" textRotation="90"/>
    </xf>
    <xf numFmtId="46" fontId="16" fillId="6" borderId="0" xfId="0" applyNumberFormat="1" applyFont="1" applyFill="1" applyBorder="1"/>
    <xf numFmtId="165" fontId="8" fillId="55" borderId="0" xfId="0" applyNumberFormat="1" applyFont="1" applyFill="1" applyAlignment="1" applyProtection="1">
      <alignment horizontal="center" vertical="center"/>
    </xf>
    <xf numFmtId="166" fontId="76" fillId="3" borderId="0" xfId="0" applyNumberFormat="1" applyFont="1" applyFill="1" applyAlignment="1" applyProtection="1">
      <alignment horizontal="center" vertical="center"/>
    </xf>
    <xf numFmtId="21" fontId="81" fillId="14" borderId="0" xfId="0" applyNumberFormat="1" applyFont="1" applyFill="1" applyBorder="1"/>
    <xf numFmtId="0" fontId="88" fillId="18" borderId="0" xfId="0" applyFont="1" applyFill="1" applyBorder="1" applyProtection="1"/>
    <xf numFmtId="0" fontId="20" fillId="18" borderId="0" xfId="0" applyFont="1" applyFill="1" applyBorder="1" applyProtection="1"/>
    <xf numFmtId="0" fontId="88" fillId="18" borderId="0" xfId="0" quotePrefix="1" applyFont="1" applyFill="1" applyBorder="1" applyAlignment="1" applyProtection="1">
      <alignment horizontal="left"/>
    </xf>
    <xf numFmtId="0" fontId="106" fillId="19" borderId="0" xfId="0" applyFont="1" applyFill="1" applyBorder="1"/>
    <xf numFmtId="0" fontId="17" fillId="33" borderId="0" xfId="0" applyFont="1" applyFill="1" applyBorder="1" applyProtection="1"/>
    <xf numFmtId="0" fontId="139" fillId="43" borderId="0" xfId="0" applyFont="1" applyFill="1" applyBorder="1"/>
    <xf numFmtId="0" fontId="142" fillId="44" borderId="0" xfId="0" applyFont="1" applyFill="1" applyBorder="1" applyProtection="1"/>
    <xf numFmtId="0" fontId="139" fillId="41" borderId="0" xfId="0" applyFont="1" applyFill="1" applyBorder="1"/>
    <xf numFmtId="2" fontId="85" fillId="14" borderId="35" xfId="0" quotePrefix="1" applyNumberFormat="1" applyFont="1" applyFill="1" applyBorder="1" applyAlignment="1">
      <alignment horizontal="center"/>
    </xf>
    <xf numFmtId="2" fontId="85" fillId="14" borderId="35" xfId="0" applyNumberFormat="1" applyFont="1" applyFill="1" applyBorder="1" applyAlignment="1">
      <alignment horizontal="center"/>
    </xf>
    <xf numFmtId="0" fontId="89" fillId="46" borderId="35" xfId="0" applyFont="1" applyFill="1" applyBorder="1"/>
    <xf numFmtId="21" fontId="89" fillId="46" borderId="35" xfId="0" applyNumberFormat="1" applyFont="1" applyFill="1" applyBorder="1"/>
    <xf numFmtId="166" fontId="115" fillId="46" borderId="35" xfId="0" applyNumberFormat="1" applyFont="1" applyFill="1" applyBorder="1"/>
    <xf numFmtId="0" fontId="84" fillId="46" borderId="35" xfId="0" quotePrefix="1" applyFont="1" applyFill="1" applyBorder="1" applyAlignment="1">
      <alignment horizontal="center"/>
    </xf>
    <xf numFmtId="0" fontId="84" fillId="46" borderId="35" xfId="0" quotePrefix="1" applyFont="1" applyFill="1" applyBorder="1" applyAlignment="1">
      <alignment horizontal="left"/>
    </xf>
    <xf numFmtId="0" fontId="1" fillId="0" borderId="95" xfId="0" applyFont="1" applyBorder="1" applyAlignment="1">
      <alignment horizontal="center"/>
    </xf>
    <xf numFmtId="0" fontId="23" fillId="5" borderId="46" xfId="4" quotePrefix="1" applyFont="1" applyFill="1" applyBorder="1" applyAlignment="1" applyProtection="1">
      <alignment horizontal="left"/>
      <protection locked="0"/>
    </xf>
    <xf numFmtId="0" fontId="31" fillId="5" borderId="46" xfId="4" quotePrefix="1" applyFont="1" applyFill="1" applyBorder="1" applyAlignment="1" applyProtection="1">
      <alignment horizontal="left"/>
      <protection locked="0"/>
    </xf>
    <xf numFmtId="0" fontId="22" fillId="0" borderId="0" xfId="4" applyFont="1" applyBorder="1" applyAlignment="1" applyProtection="1">
      <alignment horizontal="center"/>
      <protection locked="0"/>
    </xf>
    <xf numFmtId="0" fontId="22" fillId="0" borderId="12" xfId="4" quotePrefix="1" applyFont="1" applyBorder="1" applyAlignment="1" applyProtection="1">
      <alignment horizontal="center"/>
      <protection locked="0"/>
    </xf>
    <xf numFmtId="0" fontId="22" fillId="0" borderId="50" xfId="4" quotePrefix="1" applyFont="1" applyBorder="1" applyAlignment="1" applyProtection="1">
      <alignment horizontal="center"/>
      <protection locked="0"/>
    </xf>
    <xf numFmtId="0" fontId="30" fillId="5" borderId="0" xfId="4" quotePrefix="1" applyFont="1" applyFill="1" applyAlignment="1" applyProtection="1">
      <alignment horizontal="center"/>
    </xf>
    <xf numFmtId="0" fontId="30" fillId="5" borderId="0" xfId="4" quotePrefix="1" applyFont="1" applyFill="1" applyBorder="1" applyAlignment="1" applyProtection="1">
      <alignment horizontal="center"/>
    </xf>
    <xf numFmtId="0" fontId="16" fillId="26" borderId="137" xfId="0" applyFont="1" applyFill="1" applyBorder="1"/>
    <xf numFmtId="0" fontId="11" fillId="6" borderId="5" xfId="0" applyFont="1" applyFill="1" applyBorder="1" applyAlignment="1">
      <alignment horizontal="center"/>
    </xf>
    <xf numFmtId="1" fontId="57" fillId="4" borderId="9" xfId="0" applyNumberFormat="1" applyFont="1" applyFill="1" applyBorder="1" applyAlignment="1">
      <alignment horizontal="left"/>
    </xf>
    <xf numFmtId="1" fontId="11" fillId="3" borderId="1" xfId="0" applyNumberFormat="1" applyFont="1" applyFill="1" applyBorder="1" applyAlignment="1">
      <alignment horizontal="center"/>
    </xf>
    <xf numFmtId="1" fontId="11" fillId="3" borderId="0" xfId="0" applyNumberFormat="1" applyFont="1" applyFill="1" applyBorder="1" applyAlignment="1">
      <alignment horizontal="center"/>
    </xf>
    <xf numFmtId="1" fontId="13" fillId="0" borderId="0" xfId="0" applyNumberFormat="1" applyFont="1" applyBorder="1" applyAlignment="1">
      <alignment horizontal="center"/>
    </xf>
    <xf numFmtId="1" fontId="81" fillId="3" borderId="0" xfId="0" applyNumberFormat="1" applyFont="1" applyFill="1"/>
    <xf numFmtId="1" fontId="82" fillId="14" borderId="80" xfId="0" applyNumberFormat="1" applyFont="1" applyFill="1" applyBorder="1"/>
    <xf numFmtId="1" fontId="73" fillId="0" borderId="0" xfId="0" applyNumberFormat="1" applyFont="1" applyBorder="1" applyAlignment="1">
      <alignment horizontal="center"/>
    </xf>
    <xf numFmtId="1" fontId="81" fillId="21" borderId="35" xfId="0" applyNumberFormat="1" applyFont="1" applyFill="1" applyBorder="1"/>
    <xf numFmtId="1" fontId="81" fillId="21" borderId="111" xfId="0" applyNumberFormat="1" applyFont="1" applyFill="1" applyBorder="1"/>
    <xf numFmtId="1" fontId="0" fillId="15" borderId="35" xfId="0" applyNumberFormat="1" applyFill="1" applyBorder="1"/>
    <xf numFmtId="1" fontId="0" fillId="20" borderId="35" xfId="0" applyNumberFormat="1" applyFill="1" applyBorder="1"/>
    <xf numFmtId="1" fontId="0" fillId="0" borderId="0" xfId="0" applyNumberFormat="1" applyFill="1"/>
    <xf numFmtId="1" fontId="0" fillId="17" borderId="0" xfId="0" applyNumberFormat="1" applyFill="1" applyBorder="1"/>
    <xf numFmtId="1" fontId="98" fillId="29" borderId="0" xfId="0" applyNumberFormat="1" applyFont="1" applyFill="1" applyBorder="1"/>
    <xf numFmtId="1" fontId="73" fillId="0" borderId="0" xfId="0" applyNumberFormat="1" applyFont="1" applyAlignment="1">
      <alignment horizontal="center"/>
    </xf>
    <xf numFmtId="1" fontId="0" fillId="19" borderId="0" xfId="0" applyNumberFormat="1" applyFill="1" applyBorder="1"/>
    <xf numFmtId="1" fontId="0" fillId="19" borderId="35" xfId="0" applyNumberFormat="1" applyFill="1" applyBorder="1"/>
    <xf numFmtId="1" fontId="0" fillId="0" borderId="0" xfId="0" applyNumberFormat="1" applyFill="1" applyBorder="1"/>
    <xf numFmtId="1" fontId="13" fillId="0" borderId="0" xfId="0" applyNumberFormat="1" applyFont="1" applyAlignment="1">
      <alignment horizontal="center"/>
    </xf>
    <xf numFmtId="1" fontId="12" fillId="3" borderId="0" xfId="0" applyNumberFormat="1" applyFont="1" applyFill="1" applyAlignment="1" applyProtection="1">
      <alignment horizontal="left" vertical="center"/>
    </xf>
    <xf numFmtId="1" fontId="0" fillId="3" borderId="0" xfId="0" applyNumberFormat="1" applyFill="1" applyProtection="1"/>
    <xf numFmtId="1" fontId="9" fillId="0" borderId="89" xfId="0" applyNumberFormat="1" applyFont="1" applyFill="1" applyBorder="1" applyAlignment="1">
      <alignment horizontal="center" textRotation="90"/>
    </xf>
    <xf numFmtId="1" fontId="6" fillId="0" borderId="92" xfId="0" applyNumberFormat="1" applyFont="1" applyFill="1" applyBorder="1" applyAlignment="1">
      <alignment horizontal="center" textRotation="90"/>
    </xf>
    <xf numFmtId="1" fontId="81" fillId="21" borderId="0" xfId="0" applyNumberFormat="1" applyFont="1" applyFill="1" applyBorder="1"/>
    <xf numFmtId="1" fontId="55" fillId="3" borderId="0" xfId="0" applyNumberFormat="1" applyFont="1" applyFill="1" applyProtection="1">
      <protection locked="0"/>
    </xf>
    <xf numFmtId="1" fontId="56" fillId="3" borderId="0" xfId="0" applyNumberFormat="1" applyFont="1" applyFill="1" applyProtection="1">
      <protection locked="0"/>
    </xf>
    <xf numFmtId="1" fontId="16" fillId="3" borderId="0" xfId="0" applyNumberFormat="1" applyFont="1" applyFill="1" applyProtection="1">
      <protection locked="0"/>
    </xf>
    <xf numFmtId="1" fontId="56" fillId="3" borderId="0" xfId="0" applyNumberFormat="1" applyFont="1" applyFill="1" applyProtection="1"/>
    <xf numFmtId="1" fontId="16" fillId="3" borderId="0" xfId="0" applyNumberFormat="1" applyFont="1" applyFill="1" applyProtection="1"/>
    <xf numFmtId="0" fontId="9" fillId="0" borderId="114" xfId="0" applyFont="1" applyFill="1" applyBorder="1" applyAlignment="1" applyProtection="1">
      <alignment horizontal="center" textRotation="90"/>
    </xf>
    <xf numFmtId="0" fontId="9" fillId="0" borderId="115" xfId="0" applyFont="1" applyFill="1" applyBorder="1" applyAlignment="1" applyProtection="1">
      <alignment horizontal="center" textRotation="90"/>
    </xf>
    <xf numFmtId="0" fontId="9" fillId="0" borderId="75" xfId="0" applyFont="1" applyFill="1" applyBorder="1" applyAlignment="1">
      <alignment horizontal="center" textRotation="90"/>
    </xf>
    <xf numFmtId="1" fontId="9" fillId="0" borderId="75" xfId="0" applyNumberFormat="1" applyFont="1" applyFill="1" applyBorder="1" applyAlignment="1">
      <alignment horizontal="center" textRotation="90"/>
    </xf>
    <xf numFmtId="21" fontId="9" fillId="0" borderId="75" xfId="0" applyNumberFormat="1" applyFont="1" applyFill="1" applyBorder="1" applyAlignment="1">
      <alignment horizontal="center" textRotation="90"/>
    </xf>
    <xf numFmtId="166" fontId="110" fillId="0" borderId="75" xfId="0" applyNumberFormat="1" applyFont="1" applyFill="1" applyBorder="1" applyAlignment="1">
      <alignment horizontal="center" textRotation="90"/>
    </xf>
    <xf numFmtId="0" fontId="9" fillId="0" borderId="75" xfId="0" applyFont="1" applyFill="1" applyBorder="1" applyAlignment="1">
      <alignment horizontal="center" vertical="justify" textRotation="90"/>
    </xf>
    <xf numFmtId="21" fontId="9" fillId="0" borderId="116" xfId="0" applyNumberFormat="1" applyFont="1" applyFill="1" applyBorder="1" applyAlignment="1">
      <alignment horizontal="center" textRotation="90"/>
    </xf>
    <xf numFmtId="3" fontId="9" fillId="3" borderId="115" xfId="0" applyNumberFormat="1" applyFont="1" applyFill="1" applyBorder="1" applyAlignment="1" applyProtection="1">
      <alignment horizontal="center" textRotation="90"/>
    </xf>
    <xf numFmtId="1" fontId="81" fillId="14" borderId="32" xfId="0" applyNumberFormat="1" applyFont="1" applyFill="1" applyBorder="1"/>
    <xf numFmtId="1" fontId="81" fillId="21" borderId="80" xfId="0" applyNumberFormat="1" applyFont="1" applyFill="1" applyBorder="1"/>
    <xf numFmtId="1" fontId="0" fillId="15" borderId="80" xfId="0" applyNumberFormat="1" applyFill="1" applyBorder="1"/>
    <xf numFmtId="1" fontId="0" fillId="20" borderId="80" xfId="0" applyNumberFormat="1" applyFill="1" applyBorder="1"/>
    <xf numFmtId="1" fontId="70" fillId="0" borderId="0" xfId="0" quotePrefix="1" applyNumberFormat="1" applyFont="1" applyFill="1" applyBorder="1" applyAlignment="1">
      <alignment horizontal="left"/>
    </xf>
    <xf numFmtId="1" fontId="137" fillId="43" borderId="133" xfId="0" applyNumberFormat="1" applyFont="1" applyFill="1" applyBorder="1"/>
    <xf numFmtId="1" fontId="137" fillId="41" borderId="0" xfId="0" applyNumberFormat="1" applyFont="1" applyFill="1" applyBorder="1"/>
    <xf numFmtId="1" fontId="137" fillId="43" borderId="0" xfId="0" applyNumberFormat="1" applyFont="1" applyFill="1" applyBorder="1"/>
    <xf numFmtId="1" fontId="137" fillId="43" borderId="35" xfId="0" applyNumberFormat="1" applyFont="1" applyFill="1" applyBorder="1"/>
    <xf numFmtId="1" fontId="137" fillId="41" borderId="35" xfId="0" applyNumberFormat="1" applyFont="1" applyFill="1" applyBorder="1"/>
    <xf numFmtId="1" fontId="137" fillId="43" borderId="74" xfId="0" applyNumberFormat="1" applyFont="1" applyFill="1" applyBorder="1"/>
    <xf numFmtId="1" fontId="137" fillId="43" borderId="75" xfId="0" applyNumberFormat="1" applyFont="1" applyFill="1" applyBorder="1"/>
    <xf numFmtId="1" fontId="137" fillId="43" borderId="76" xfId="0" applyNumberFormat="1" applyFont="1" applyFill="1" applyBorder="1"/>
    <xf numFmtId="1" fontId="137" fillId="45" borderId="35" xfId="0" applyNumberFormat="1" applyFont="1" applyFill="1" applyBorder="1"/>
    <xf numFmtId="1" fontId="6" fillId="0" borderId="0" xfId="0" applyNumberFormat="1" applyFont="1"/>
    <xf numFmtId="46" fontId="71" fillId="0" borderId="0" xfId="0" applyNumberFormat="1" applyFont="1" applyFill="1" applyBorder="1" applyAlignment="1">
      <alignment horizontal="left"/>
    </xf>
    <xf numFmtId="46" fontId="6" fillId="0" borderId="0" xfId="0" applyNumberFormat="1" applyFont="1" applyProtection="1">
      <protection locked="0"/>
    </xf>
    <xf numFmtId="46" fontId="84" fillId="0" borderId="80" xfId="0" applyNumberFormat="1" applyFont="1" applyFill="1" applyBorder="1"/>
    <xf numFmtId="1" fontId="6" fillId="0" borderId="75" xfId="0" applyNumberFormat="1" applyFont="1" applyFill="1" applyBorder="1" applyAlignment="1">
      <alignment horizontal="center" textRotation="90"/>
    </xf>
    <xf numFmtId="1" fontId="10" fillId="0" borderId="59" xfId="7" applyNumberFormat="1" applyFont="1" applyBorder="1" applyAlignment="1" applyProtection="1">
      <alignment horizontal="center"/>
    </xf>
    <xf numFmtId="0" fontId="19" fillId="0" borderId="139" xfId="7" applyFont="1" applyBorder="1" applyAlignment="1" applyProtection="1">
      <alignment horizontal="center"/>
      <protection locked="0"/>
    </xf>
    <xf numFmtId="0" fontId="10" fillId="0" borderId="100" xfId="7" applyFont="1" applyBorder="1" applyAlignment="1" applyProtection="1">
      <alignment horizontal="center"/>
    </xf>
    <xf numFmtId="0" fontId="10" fillId="0" borderId="94" xfId="7" applyFont="1" applyBorder="1" applyAlignment="1" applyProtection="1">
      <alignment horizontal="center"/>
    </xf>
    <xf numFmtId="168" fontId="45" fillId="3" borderId="134" xfId="7" applyNumberFormat="1" applyFont="1" applyFill="1" applyBorder="1" applyAlignment="1" applyProtection="1">
      <alignment horizontal="center"/>
      <protection locked="0"/>
    </xf>
    <xf numFmtId="168" fontId="9" fillId="3" borderId="140" xfId="7" applyNumberFormat="1" applyFont="1" applyFill="1" applyBorder="1" applyAlignment="1" applyProtection="1">
      <alignment horizontal="center"/>
      <protection locked="0"/>
    </xf>
    <xf numFmtId="168" fontId="45" fillId="3" borderId="128" xfId="7" applyNumberFormat="1" applyFont="1" applyFill="1" applyBorder="1" applyAlignment="1" applyProtection="1">
      <alignment horizontal="center"/>
      <protection locked="0"/>
    </xf>
    <xf numFmtId="168" fontId="9" fillId="3" borderId="127" xfId="7" applyNumberFormat="1" applyFont="1" applyFill="1" applyBorder="1" applyAlignment="1" applyProtection="1">
      <alignment horizontal="center"/>
      <protection locked="0"/>
    </xf>
    <xf numFmtId="168" fontId="45" fillId="36" borderId="128" xfId="7" applyNumberFormat="1" applyFont="1" applyFill="1" applyBorder="1" applyAlignment="1" applyProtection="1">
      <alignment horizontal="center"/>
      <protection locked="0"/>
    </xf>
    <xf numFmtId="168" fontId="9" fillId="36" borderId="127" xfId="7" applyNumberFormat="1" applyFont="1" applyFill="1" applyBorder="1" applyAlignment="1" applyProtection="1">
      <alignment horizontal="center"/>
      <protection locked="0"/>
    </xf>
    <xf numFmtId="168" fontId="45" fillId="13" borderId="128" xfId="7" applyNumberFormat="1" applyFont="1" applyFill="1" applyBorder="1" applyAlignment="1" applyProtection="1">
      <alignment horizontal="center"/>
      <protection locked="0"/>
    </xf>
    <xf numFmtId="168" fontId="9" fillId="13" borderId="127" xfId="7" applyNumberFormat="1" applyFont="1" applyFill="1" applyBorder="1" applyAlignment="1" applyProtection="1">
      <alignment horizontal="center"/>
      <protection locked="0"/>
    </xf>
    <xf numFmtId="168" fontId="45" fillId="23" borderId="128" xfId="7" applyNumberFormat="1" applyFont="1" applyFill="1" applyBorder="1" applyAlignment="1" applyProtection="1">
      <alignment horizontal="center"/>
      <protection locked="0"/>
    </xf>
    <xf numFmtId="168" fontId="9" fillId="23" borderId="127" xfId="7" applyNumberFormat="1" applyFont="1" applyFill="1" applyBorder="1" applyAlignment="1" applyProtection="1">
      <alignment horizontal="center"/>
      <protection locked="0"/>
    </xf>
    <xf numFmtId="168" fontId="8" fillId="10" borderId="128" xfId="7" applyNumberFormat="1" applyFont="1" applyFill="1" applyBorder="1" applyAlignment="1" applyProtection="1">
      <alignment horizontal="center"/>
      <protection locked="0"/>
    </xf>
    <xf numFmtId="168" fontId="8" fillId="10" borderId="127" xfId="7" applyNumberFormat="1" applyFont="1" applyFill="1" applyBorder="1" applyAlignment="1" applyProtection="1">
      <alignment horizontal="center"/>
      <protection locked="0"/>
    </xf>
    <xf numFmtId="168" fontId="8" fillId="26" borderId="141" xfId="7" applyNumberFormat="1" applyFont="1" applyFill="1" applyBorder="1" applyAlignment="1" applyProtection="1">
      <alignment horizontal="center"/>
      <protection locked="0"/>
    </xf>
    <xf numFmtId="168" fontId="8" fillId="26" borderId="142" xfId="7" applyNumberFormat="1" applyFont="1" applyFill="1" applyBorder="1" applyAlignment="1" applyProtection="1">
      <alignment horizontal="center"/>
      <protection locked="0"/>
    </xf>
    <xf numFmtId="0" fontId="5" fillId="3" borderId="12" xfId="0" applyFont="1" applyFill="1" applyBorder="1" applyAlignment="1" applyProtection="1">
      <alignment horizontal="center"/>
    </xf>
    <xf numFmtId="0" fontId="19" fillId="3" borderId="127" xfId="7" applyFont="1" applyFill="1" applyBorder="1" applyAlignment="1" applyProtection="1">
      <alignment horizontal="center"/>
      <protection locked="0"/>
    </xf>
    <xf numFmtId="1" fontId="0" fillId="0" borderId="79" xfId="0" applyNumberFormat="1" applyFill="1" applyBorder="1"/>
    <xf numFmtId="1" fontId="0" fillId="46" borderId="35" xfId="0" applyNumberFormat="1" applyFill="1" applyBorder="1"/>
    <xf numFmtId="0" fontId="131" fillId="13" borderId="60" xfId="0" applyFont="1" applyFill="1" applyBorder="1" applyAlignment="1" applyProtection="1">
      <alignment horizontal="center"/>
    </xf>
    <xf numFmtId="21" fontId="81" fillId="14" borderId="126" xfId="0" applyNumberFormat="1" applyFont="1" applyFill="1" applyBorder="1"/>
    <xf numFmtId="0" fontId="131" fillId="3" borderId="59" xfId="0" applyFont="1" applyFill="1" applyBorder="1" applyAlignment="1" applyProtection="1">
      <alignment horizontal="center"/>
    </xf>
    <xf numFmtId="0" fontId="133" fillId="3" borderId="94" xfId="0" applyFont="1" applyFill="1" applyBorder="1" applyAlignment="1" applyProtection="1">
      <alignment horizontal="center"/>
    </xf>
    <xf numFmtId="0" fontId="95" fillId="0" borderId="0" xfId="0" quotePrefix="1" applyFont="1" applyBorder="1" applyAlignment="1">
      <alignment horizontal="center"/>
    </xf>
    <xf numFmtId="14" fontId="13" fillId="0" borderId="0" xfId="0" applyNumberFormat="1" applyFont="1" applyBorder="1"/>
    <xf numFmtId="0" fontId="1" fillId="0" borderId="0" xfId="0" quotePrefix="1" applyFont="1" applyBorder="1" applyAlignment="1">
      <alignment horizontal="left"/>
    </xf>
    <xf numFmtId="0" fontId="1" fillId="0" borderId="0" xfId="0" applyFont="1" applyBorder="1" applyAlignment="1">
      <alignment horizontal="left"/>
    </xf>
    <xf numFmtId="14" fontId="96" fillId="0" borderId="0" xfId="0" applyNumberFormat="1" applyFont="1" applyBorder="1"/>
    <xf numFmtId="0" fontId="1" fillId="0" borderId="0" xfId="0" applyFont="1" applyBorder="1" applyAlignment="1">
      <alignment horizontal="center"/>
    </xf>
    <xf numFmtId="0" fontId="0" fillId="0" borderId="113" xfId="0" applyBorder="1"/>
    <xf numFmtId="0" fontId="1" fillId="14" borderId="36" xfId="0" applyFont="1" applyFill="1" applyBorder="1"/>
    <xf numFmtId="0" fontId="0" fillId="0" borderId="100" xfId="0" applyBorder="1"/>
    <xf numFmtId="0" fontId="71" fillId="14" borderId="100" xfId="0" quotePrefix="1" applyFont="1" applyFill="1" applyBorder="1" applyAlignment="1">
      <alignment horizontal="left"/>
    </xf>
    <xf numFmtId="0" fontId="1" fillId="26" borderId="100" xfId="0" applyFont="1" applyFill="1" applyBorder="1"/>
    <xf numFmtId="0" fontId="1" fillId="0" borderId="100" xfId="0" applyFont="1" applyBorder="1" applyAlignment="1">
      <alignment horizontal="center"/>
    </xf>
    <xf numFmtId="164" fontId="9" fillId="0" borderId="75" xfId="3" applyFont="1" applyFill="1" applyBorder="1" applyAlignment="1">
      <alignment horizontal="center" textRotation="90"/>
    </xf>
    <xf numFmtId="1" fontId="55" fillId="3" borderId="0" xfId="0" applyNumberFormat="1" applyFont="1" applyFill="1" applyBorder="1" applyProtection="1">
      <protection locked="0"/>
    </xf>
    <xf numFmtId="1" fontId="129" fillId="0" borderId="0" xfId="0" quotePrefix="1" applyNumberFormat="1" applyFont="1" applyAlignment="1">
      <alignment horizontal="left"/>
    </xf>
    <xf numFmtId="1" fontId="130" fillId="0" borderId="0" xfId="0" applyNumberFormat="1" applyFont="1" applyFill="1" applyBorder="1"/>
    <xf numFmtId="1" fontId="130" fillId="0" borderId="79" xfId="0" applyNumberFormat="1" applyFont="1" applyFill="1" applyBorder="1"/>
    <xf numFmtId="165" fontId="126" fillId="3" borderId="42" xfId="0" applyNumberFormat="1" applyFont="1" applyFill="1" applyBorder="1" applyProtection="1"/>
    <xf numFmtId="15" fontId="1" fillId="0" borderId="0" xfId="0" applyNumberFormat="1" applyFont="1" applyAlignment="1">
      <alignment horizontal="center"/>
    </xf>
    <xf numFmtId="21" fontId="9" fillId="0" borderId="133" xfId="0" applyNumberFormat="1" applyFont="1" applyFill="1" applyBorder="1" applyAlignment="1">
      <alignment horizontal="center" textRotation="90"/>
    </xf>
    <xf numFmtId="0" fontId="88" fillId="57" borderId="35" xfId="0" applyFont="1" applyFill="1" applyBorder="1" applyAlignment="1" applyProtection="1">
      <alignment horizontal="center"/>
    </xf>
    <xf numFmtId="0" fontId="0" fillId="16" borderId="35" xfId="0" applyFill="1" applyBorder="1"/>
    <xf numFmtId="166" fontId="109" fillId="16" borderId="35" xfId="0" applyNumberFormat="1" applyFont="1" applyFill="1" applyBorder="1"/>
    <xf numFmtId="176" fontId="1" fillId="3" borderId="0" xfId="0" applyNumberFormat="1" applyFont="1" applyFill="1" applyAlignment="1" applyProtection="1">
      <alignment horizontal="center"/>
    </xf>
    <xf numFmtId="176" fontId="1" fillId="3" borderId="0" xfId="0" applyNumberFormat="1" applyFont="1" applyFill="1" applyAlignment="1" applyProtection="1">
      <alignment horizontal="left"/>
      <protection locked="0"/>
    </xf>
    <xf numFmtId="176" fontId="9" fillId="0" borderId="87" xfId="0" applyNumberFormat="1" applyFont="1" applyFill="1" applyBorder="1" applyAlignment="1">
      <alignment horizontal="center" textRotation="90"/>
    </xf>
    <xf numFmtId="176" fontId="9" fillId="0" borderId="92" xfId="0" applyNumberFormat="1" applyFont="1" applyFill="1" applyBorder="1" applyAlignment="1">
      <alignment horizontal="left"/>
    </xf>
    <xf numFmtId="176" fontId="9" fillId="0" borderId="75" xfId="0" applyNumberFormat="1" applyFont="1" applyFill="1" applyBorder="1" applyAlignment="1">
      <alignment horizontal="left"/>
    </xf>
    <xf numFmtId="176" fontId="86" fillId="14" borderId="35" xfId="0" applyNumberFormat="1" applyFont="1" applyFill="1" applyBorder="1"/>
    <xf numFmtId="176" fontId="20" fillId="21" borderId="35" xfId="0" applyNumberFormat="1" applyFont="1" applyFill="1" applyBorder="1"/>
    <xf numFmtId="176" fontId="20" fillId="15" borderId="35" xfId="0" applyNumberFormat="1" applyFont="1" applyFill="1" applyBorder="1"/>
    <xf numFmtId="176" fontId="84" fillId="16" borderId="35" xfId="0" applyNumberFormat="1" applyFont="1" applyFill="1" applyBorder="1"/>
    <xf numFmtId="176" fontId="68" fillId="3" borderId="0" xfId="0" applyNumberFormat="1" applyFont="1" applyFill="1" applyAlignment="1" applyProtection="1">
      <alignment horizontal="left" vertical="center"/>
    </xf>
    <xf numFmtId="176" fontId="55" fillId="3" borderId="0" xfId="0" applyNumberFormat="1" applyFont="1" applyFill="1" applyProtection="1">
      <protection locked="0"/>
    </xf>
    <xf numFmtId="176" fontId="55" fillId="3" borderId="0" xfId="0" applyNumberFormat="1" applyFont="1" applyFill="1" applyAlignment="1" applyProtection="1">
      <alignment horizontal="center"/>
      <protection locked="0"/>
    </xf>
    <xf numFmtId="176" fontId="11" fillId="3" borderId="0" xfId="0" applyNumberFormat="1" applyFont="1" applyFill="1" applyAlignment="1" applyProtection="1">
      <alignment horizontal="center"/>
      <protection locked="0"/>
    </xf>
    <xf numFmtId="176" fontId="55" fillId="3" borderId="0" xfId="0" applyNumberFormat="1" applyFont="1" applyFill="1" applyAlignment="1" applyProtection="1">
      <alignment horizontal="center"/>
    </xf>
    <xf numFmtId="176" fontId="11" fillId="3" borderId="0" xfId="0" applyNumberFormat="1" applyFont="1" applyFill="1" applyAlignment="1" applyProtection="1">
      <alignment horizontal="center"/>
    </xf>
    <xf numFmtId="176" fontId="9" fillId="3" borderId="0" xfId="0" applyNumberFormat="1" applyFont="1" applyFill="1" applyBorder="1" applyAlignment="1" applyProtection="1">
      <alignment horizontal="center"/>
      <protection locked="0"/>
    </xf>
    <xf numFmtId="177" fontId="20" fillId="57" borderId="35" xfId="0" applyNumberFormat="1" applyFont="1" applyFill="1" applyBorder="1" applyProtection="1"/>
    <xf numFmtId="176" fontId="20" fillId="17" borderId="35" xfId="0" applyNumberFormat="1" applyFont="1" applyFill="1" applyBorder="1"/>
    <xf numFmtId="177" fontId="17" fillId="29" borderId="35" xfId="0" applyNumberFormat="1" applyFont="1" applyFill="1" applyBorder="1"/>
    <xf numFmtId="176" fontId="17" fillId="19" borderId="35" xfId="0" applyNumberFormat="1" applyFont="1" applyFill="1" applyBorder="1"/>
    <xf numFmtId="21" fontId="86" fillId="14" borderId="35" xfId="0" applyNumberFormat="1" applyFont="1" applyFill="1" applyBorder="1"/>
    <xf numFmtId="178" fontId="1" fillId="3" borderId="0" xfId="0" applyNumberFormat="1" applyFont="1" applyFill="1" applyAlignment="1" applyProtection="1">
      <alignment horizontal="left"/>
      <protection locked="0"/>
    </xf>
    <xf numFmtId="1" fontId="90" fillId="19" borderId="35" xfId="0" applyNumberFormat="1" applyFont="1" applyFill="1" applyBorder="1"/>
    <xf numFmtId="0" fontId="90" fillId="14" borderId="32" xfId="0" applyFont="1" applyFill="1" applyBorder="1"/>
    <xf numFmtId="177" fontId="20" fillId="57" borderId="32" xfId="0" applyNumberFormat="1" applyFont="1" applyFill="1" applyBorder="1" applyProtection="1"/>
    <xf numFmtId="0" fontId="90" fillId="14" borderId="33" xfId="0" applyFont="1" applyFill="1" applyBorder="1"/>
    <xf numFmtId="176" fontId="9" fillId="3" borderId="79" xfId="0" applyNumberFormat="1" applyFont="1" applyFill="1" applyBorder="1" applyAlignment="1" applyProtection="1">
      <alignment horizontal="center"/>
      <protection locked="0"/>
    </xf>
    <xf numFmtId="21" fontId="82" fillId="14" borderId="38" xfId="0" applyNumberFormat="1" applyFont="1" applyFill="1" applyBorder="1"/>
    <xf numFmtId="0" fontId="86" fillId="14" borderId="38" xfId="0" applyFont="1" applyFill="1" applyBorder="1"/>
    <xf numFmtId="21" fontId="85" fillId="14" borderId="38" xfId="0" quotePrefix="1" applyNumberFormat="1" applyFont="1" applyFill="1" applyBorder="1" applyAlignment="1">
      <alignment horizontal="center"/>
    </xf>
    <xf numFmtId="1" fontId="86" fillId="14" borderId="38" xfId="0" applyNumberFormat="1" applyFont="1" applyFill="1" applyBorder="1" applyAlignment="1">
      <alignment horizontal="center"/>
    </xf>
    <xf numFmtId="21" fontId="136" fillId="14" borderId="147" xfId="0" applyNumberFormat="1" applyFont="1" applyFill="1" applyBorder="1"/>
    <xf numFmtId="0" fontId="7" fillId="3" borderId="0" xfId="0" applyFont="1" applyFill="1" applyProtection="1"/>
    <xf numFmtId="0" fontId="7" fillId="3" borderId="0" xfId="0" applyFont="1" applyFill="1" applyBorder="1" applyProtection="1">
      <protection locked="0"/>
    </xf>
    <xf numFmtId="0" fontId="151" fillId="0" borderId="0" xfId="0" applyFont="1" applyBorder="1" applyAlignment="1">
      <alignment horizontal="right"/>
    </xf>
    <xf numFmtId="1" fontId="149" fillId="3" borderId="0" xfId="0" applyNumberFormat="1" applyFont="1" applyFill="1" applyBorder="1" applyAlignment="1" applyProtection="1">
      <alignment horizontal="left"/>
      <protection locked="0"/>
    </xf>
    <xf numFmtId="165" fontId="18" fillId="13" borderId="0" xfId="0" applyNumberFormat="1" applyFont="1" applyFill="1" applyBorder="1" applyAlignment="1" applyProtection="1">
      <alignment horizontal="center" vertical="center"/>
    </xf>
    <xf numFmtId="0" fontId="5" fillId="0" borderId="11" xfId="0" applyFont="1" applyFill="1" applyBorder="1" applyAlignment="1" applyProtection="1">
      <alignment horizontal="center"/>
    </xf>
    <xf numFmtId="0" fontId="5" fillId="0" borderId="0" xfId="0" applyFont="1" applyFill="1" applyBorder="1" applyAlignment="1" applyProtection="1">
      <alignment horizontal="center"/>
    </xf>
    <xf numFmtId="21" fontId="81" fillId="14" borderId="76" xfId="0" applyNumberFormat="1" applyFont="1" applyFill="1" applyBorder="1"/>
    <xf numFmtId="1" fontId="81" fillId="21" borderId="110" xfId="0" applyNumberFormat="1" applyFont="1" applyFill="1" applyBorder="1"/>
    <xf numFmtId="1" fontId="81" fillId="14" borderId="110" xfId="0" applyNumberFormat="1" applyFont="1" applyFill="1" applyBorder="1"/>
    <xf numFmtId="0" fontId="19" fillId="3" borderId="40" xfId="7" applyFont="1" applyFill="1" applyBorder="1" applyAlignment="1" applyProtection="1">
      <alignment horizontal="center"/>
      <protection locked="0"/>
    </xf>
    <xf numFmtId="0" fontId="153" fillId="32" borderId="0" xfId="7" applyFont="1" applyFill="1"/>
    <xf numFmtId="46" fontId="85" fillId="41" borderId="35" xfId="0" quotePrefix="1" applyNumberFormat="1" applyFont="1" applyFill="1" applyBorder="1" applyAlignment="1">
      <alignment horizontal="center"/>
    </xf>
    <xf numFmtId="0" fontId="154" fillId="3" borderId="79" xfId="0" applyFont="1" applyFill="1" applyBorder="1" applyProtection="1">
      <protection locked="0"/>
    </xf>
    <xf numFmtId="1" fontId="155" fillId="0" borderId="0" xfId="0" quotePrefix="1" applyNumberFormat="1" applyFont="1" applyAlignment="1">
      <alignment horizontal="left"/>
    </xf>
    <xf numFmtId="0" fontId="88" fillId="18" borderId="84" xfId="0" applyFont="1" applyFill="1" applyBorder="1" applyAlignment="1" applyProtection="1">
      <alignment horizontal="left"/>
    </xf>
    <xf numFmtId="177" fontId="84" fillId="17" borderId="35" xfId="0" applyNumberFormat="1" applyFont="1" applyFill="1" applyBorder="1"/>
    <xf numFmtId="0" fontId="5" fillId="24" borderId="19" xfId="0" applyFont="1" applyFill="1" applyBorder="1" applyAlignment="1" applyProtection="1">
      <alignment horizontal="center"/>
    </xf>
    <xf numFmtId="0" fontId="8" fillId="33" borderId="35" xfId="0" applyFont="1" applyFill="1" applyBorder="1" applyAlignment="1" applyProtection="1">
      <alignment horizontal="left"/>
    </xf>
    <xf numFmtId="0" fontId="8" fillId="33" borderId="35" xfId="0" quotePrefix="1" applyFont="1" applyFill="1" applyBorder="1" applyAlignment="1" applyProtection="1">
      <alignment horizontal="left"/>
    </xf>
    <xf numFmtId="0" fontId="100" fillId="19" borderId="35" xfId="0" applyFont="1" applyFill="1" applyBorder="1"/>
    <xf numFmtId="21" fontId="100" fillId="19" borderId="35" xfId="0" applyNumberFormat="1" applyFont="1" applyFill="1" applyBorder="1"/>
    <xf numFmtId="166" fontId="158" fillId="19" borderId="35" xfId="0" applyNumberFormat="1" applyFont="1" applyFill="1" applyBorder="1"/>
    <xf numFmtId="0" fontId="159" fillId="33" borderId="35" xfId="0" applyFont="1" applyFill="1" applyBorder="1" applyProtection="1"/>
    <xf numFmtId="21" fontId="159" fillId="19" borderId="35" xfId="0" applyNumberFormat="1" applyFont="1" applyFill="1" applyBorder="1"/>
    <xf numFmtId="0" fontId="100" fillId="19" borderId="83" xfId="0" applyFont="1" applyFill="1" applyBorder="1"/>
    <xf numFmtId="21" fontId="100" fillId="19" borderId="0" xfId="0" applyNumberFormat="1" applyFont="1" applyFill="1" applyBorder="1"/>
    <xf numFmtId="14" fontId="1" fillId="3" borderId="0" xfId="0" applyNumberFormat="1" applyFont="1" applyFill="1" applyAlignment="1" applyProtection="1">
      <alignment horizontal="center"/>
    </xf>
    <xf numFmtId="21" fontId="81" fillId="16" borderId="35" xfId="0" applyNumberFormat="1" applyFont="1" applyFill="1" applyBorder="1"/>
    <xf numFmtId="1" fontId="86" fillId="16" borderId="35" xfId="0" applyNumberFormat="1" applyFont="1" applyFill="1" applyBorder="1" applyAlignment="1">
      <alignment horizontal="center"/>
    </xf>
    <xf numFmtId="0" fontId="0" fillId="16" borderId="36" xfId="0" applyFill="1" applyBorder="1"/>
    <xf numFmtId="21" fontId="160" fillId="19" borderId="35" xfId="0" applyNumberFormat="1" applyFont="1" applyFill="1" applyBorder="1"/>
    <xf numFmtId="21" fontId="160" fillId="29" borderId="35" xfId="0" applyNumberFormat="1" applyFont="1" applyFill="1" applyBorder="1"/>
    <xf numFmtId="21" fontId="100" fillId="29" borderId="35" xfId="0" applyNumberFormat="1" applyFont="1" applyFill="1" applyBorder="1"/>
    <xf numFmtId="1" fontId="1" fillId="19" borderId="35" xfId="0" applyNumberFormat="1" applyFont="1" applyFill="1" applyBorder="1"/>
    <xf numFmtId="166" fontId="158" fillId="19" borderId="0" xfId="0" applyNumberFormat="1" applyFont="1" applyFill="1" applyBorder="1"/>
    <xf numFmtId="0" fontId="13" fillId="13" borderId="0" xfId="7" applyFont="1" applyFill="1"/>
    <xf numFmtId="0" fontId="13" fillId="0" borderId="0" xfId="7" applyFont="1"/>
    <xf numFmtId="1" fontId="55" fillId="6" borderId="42" xfId="7" applyNumberFormat="1" applyFont="1" applyFill="1" applyBorder="1" applyAlignment="1" applyProtection="1">
      <alignment horizontal="center"/>
      <protection locked="0"/>
    </xf>
    <xf numFmtId="1" fontId="162" fillId="23" borderId="42" xfId="7" applyNumberFormat="1" applyFont="1" applyFill="1" applyBorder="1" applyAlignment="1" applyProtection="1">
      <alignment horizontal="center"/>
      <protection locked="0"/>
    </xf>
    <xf numFmtId="1" fontId="162" fillId="58" borderId="42" xfId="7" applyNumberFormat="1" applyFont="1" applyFill="1" applyBorder="1" applyAlignment="1" applyProtection="1">
      <alignment horizontal="center"/>
      <protection locked="0"/>
    </xf>
    <xf numFmtId="167" fontId="55" fillId="10" borderId="42" xfId="7" applyNumberFormat="1" applyFont="1" applyFill="1" applyBorder="1" applyAlignment="1" applyProtection="1">
      <alignment horizontal="center"/>
      <protection locked="0"/>
    </xf>
    <xf numFmtId="1" fontId="1" fillId="19" borderId="0" xfId="0" applyNumberFormat="1" applyFont="1" applyFill="1" applyBorder="1"/>
    <xf numFmtId="166" fontId="161" fillId="33" borderId="35" xfId="0" applyNumberFormat="1" applyFont="1" applyFill="1" applyBorder="1" applyProtection="1"/>
    <xf numFmtId="0" fontId="41" fillId="14" borderId="100" xfId="0" applyFont="1" applyFill="1" applyBorder="1" applyAlignment="1">
      <alignment horizontal="left"/>
    </xf>
    <xf numFmtId="0" fontId="8" fillId="30" borderId="83" xfId="0" applyFont="1" applyFill="1" applyBorder="1" applyProtection="1"/>
    <xf numFmtId="21" fontId="82" fillId="40" borderId="32" xfId="0" applyNumberFormat="1" applyFont="1" applyFill="1" applyBorder="1"/>
    <xf numFmtId="0" fontId="86" fillId="40" borderId="32" xfId="0" applyFont="1" applyFill="1" applyBorder="1"/>
    <xf numFmtId="177" fontId="20" fillId="59" borderId="32" xfId="0" applyNumberFormat="1" applyFont="1" applyFill="1" applyBorder="1" applyProtection="1"/>
    <xf numFmtId="166" fontId="113" fillId="40" borderId="32" xfId="0" applyNumberFormat="1" applyFont="1" applyFill="1" applyBorder="1"/>
    <xf numFmtId="21" fontId="85" fillId="40" borderId="32" xfId="0" quotePrefix="1" applyNumberFormat="1" applyFont="1" applyFill="1" applyBorder="1" applyAlignment="1">
      <alignment horizontal="center"/>
    </xf>
    <xf numFmtId="1" fontId="86" fillId="40" borderId="32" xfId="0" applyNumberFormat="1" applyFont="1" applyFill="1" applyBorder="1" applyAlignment="1">
      <alignment horizontal="center"/>
    </xf>
    <xf numFmtId="0" fontId="0" fillId="40" borderId="33" xfId="0" applyFill="1" applyBorder="1"/>
    <xf numFmtId="0" fontId="10" fillId="15" borderId="35" xfId="0" applyFont="1" applyFill="1" applyBorder="1" applyAlignment="1">
      <alignment horizontal="left"/>
    </xf>
    <xf numFmtId="0" fontId="10" fillId="15" borderId="35" xfId="0" applyFont="1" applyFill="1" applyBorder="1"/>
    <xf numFmtId="0" fontId="10" fillId="15" borderId="35" xfId="0" quotePrefix="1" applyFont="1" applyFill="1" applyBorder="1" applyAlignment="1">
      <alignment horizontal="left"/>
    </xf>
    <xf numFmtId="173" fontId="35" fillId="0" borderId="0" xfId="4" applyNumberFormat="1" applyFont="1" applyBorder="1" applyAlignment="1" applyProtection="1">
      <alignment horizontal="center"/>
      <protection locked="0"/>
    </xf>
    <xf numFmtId="0" fontId="22" fillId="0" borderId="0" xfId="4" applyFont="1" applyBorder="1" applyProtection="1">
      <protection locked="0"/>
    </xf>
    <xf numFmtId="0" fontId="22" fillId="0" borderId="0" xfId="4" applyFont="1" applyBorder="1" applyAlignment="1" applyProtection="1">
      <alignment horizontal="left"/>
      <protection locked="0"/>
    </xf>
    <xf numFmtId="0" fontId="36" fillId="0" borderId="35" xfId="4" applyFont="1" applyBorder="1" applyAlignment="1" applyProtection="1">
      <alignment horizontal="center"/>
      <protection locked="0"/>
    </xf>
    <xf numFmtId="0" fontId="22" fillId="0" borderId="35" xfId="4" applyFont="1" applyBorder="1" applyAlignment="1" applyProtection="1">
      <alignment horizontal="center"/>
      <protection locked="0"/>
    </xf>
    <xf numFmtId="173" fontId="34" fillId="0" borderId="35" xfId="4" applyNumberFormat="1" applyFont="1" applyBorder="1" applyAlignment="1" applyProtection="1">
      <alignment horizontal="center"/>
      <protection locked="0"/>
    </xf>
    <xf numFmtId="173" fontId="35" fillId="0" borderId="35" xfId="4" applyNumberFormat="1" applyFont="1" applyBorder="1" applyAlignment="1" applyProtection="1">
      <alignment horizontal="center"/>
      <protection locked="0"/>
    </xf>
    <xf numFmtId="173" fontId="34" fillId="0" borderId="35" xfId="4" applyNumberFormat="1" applyFont="1" applyBorder="1" applyAlignment="1">
      <alignment horizontal="center"/>
    </xf>
    <xf numFmtId="20" fontId="33" fillId="0" borderId="96" xfId="4" applyNumberFormat="1" applyFont="1" applyBorder="1" applyAlignment="1" applyProtection="1">
      <alignment horizontal="center" vertical="center"/>
    </xf>
    <xf numFmtId="0" fontId="33" fillId="0" borderId="1" xfId="4" applyFont="1" applyBorder="1" applyAlignment="1" applyProtection="1">
      <alignment horizontal="center" vertical="center"/>
    </xf>
    <xf numFmtId="0" fontId="33" fillId="0" borderId="112" xfId="4" applyFont="1" applyBorder="1" applyAlignment="1" applyProtection="1">
      <alignment horizontal="center" vertical="center"/>
    </xf>
    <xf numFmtId="0" fontId="33" fillId="0" borderId="18" xfId="4" applyFont="1" applyBorder="1" applyAlignment="1" applyProtection="1">
      <alignment horizontal="center" vertical="center"/>
    </xf>
    <xf numFmtId="0" fontId="23" fillId="5" borderId="0" xfId="4" applyFont="1" applyFill="1" applyBorder="1" applyAlignment="1" applyProtection="1">
      <alignment horizontal="center"/>
    </xf>
    <xf numFmtId="0" fontId="30" fillId="5" borderId="0" xfId="4" applyFont="1" applyFill="1" applyBorder="1" applyAlignment="1" applyProtection="1">
      <alignment horizontal="center"/>
    </xf>
    <xf numFmtId="0" fontId="22" fillId="0" borderId="35" xfId="4" applyFont="1" applyBorder="1" applyAlignment="1" applyProtection="1">
      <alignment horizontal="left"/>
      <protection locked="0"/>
    </xf>
    <xf numFmtId="167" fontId="22" fillId="0" borderId="35" xfId="4" applyNumberFormat="1" applyFont="1" applyBorder="1" applyAlignment="1" applyProtection="1">
      <alignment horizontal="center"/>
      <protection locked="0"/>
    </xf>
    <xf numFmtId="0" fontId="22" fillId="0" borderId="35" xfId="4" applyFont="1" applyBorder="1"/>
    <xf numFmtId="0" fontId="22" fillId="0" borderId="35" xfId="4" applyFont="1" applyBorder="1" applyAlignment="1">
      <alignment horizontal="center"/>
    </xf>
    <xf numFmtId="0" fontId="22" fillId="13" borderId="35" xfId="4" applyFont="1" applyFill="1" applyBorder="1" applyAlignment="1" applyProtection="1">
      <alignment horizontal="left"/>
      <protection locked="0"/>
    </xf>
    <xf numFmtId="0" fontId="22" fillId="13" borderId="35" xfId="4" applyFont="1" applyFill="1" applyBorder="1" applyAlignment="1" applyProtection="1">
      <alignment horizontal="center"/>
      <protection locked="0"/>
    </xf>
    <xf numFmtId="0" fontId="5" fillId="0" borderId="0" xfId="0" applyFont="1"/>
    <xf numFmtId="0" fontId="6" fillId="60" borderId="0" xfId="0" applyFont="1" applyFill="1"/>
    <xf numFmtId="0" fontId="9" fillId="3" borderId="0" xfId="0" applyFont="1" applyFill="1" applyAlignment="1" applyProtection="1">
      <alignment horizontal="center"/>
    </xf>
    <xf numFmtId="3" fontId="5" fillId="3" borderId="0" xfId="0" applyNumberFormat="1" applyFont="1" applyFill="1" applyAlignment="1" applyProtection="1">
      <alignment horizontal="center"/>
    </xf>
    <xf numFmtId="166" fontId="108" fillId="0" borderId="87" xfId="0" applyNumberFormat="1" applyFont="1" applyFill="1" applyBorder="1" applyAlignment="1">
      <alignment horizontal="center" textRotation="90"/>
    </xf>
    <xf numFmtId="0" fontId="5" fillId="0" borderId="91" xfId="0" applyFont="1" applyFill="1" applyBorder="1" applyAlignment="1" applyProtection="1">
      <alignment horizontal="center" textRotation="90"/>
    </xf>
    <xf numFmtId="0" fontId="5" fillId="0" borderId="70" xfId="0" applyFont="1" applyFill="1" applyBorder="1" applyAlignment="1" applyProtection="1">
      <alignment horizontal="center" textRotation="90"/>
    </xf>
    <xf numFmtId="0" fontId="5" fillId="0" borderId="92" xfId="0" applyFont="1" applyFill="1" applyBorder="1" applyAlignment="1">
      <alignment horizontal="center" textRotation="90"/>
    </xf>
    <xf numFmtId="1" fontId="5" fillId="0" borderId="92" xfId="0" applyNumberFormat="1" applyFont="1" applyFill="1" applyBorder="1" applyAlignment="1">
      <alignment horizontal="center" textRotation="90"/>
    </xf>
    <xf numFmtId="166" fontId="108" fillId="0" borderId="92" xfId="0" applyNumberFormat="1" applyFont="1" applyFill="1" applyBorder="1" applyAlignment="1">
      <alignment horizontal="center"/>
    </xf>
    <xf numFmtId="21" fontId="5" fillId="0" borderId="93" xfId="0" applyNumberFormat="1" applyFont="1" applyFill="1" applyBorder="1" applyAlignment="1">
      <alignment horizontal="center" textRotation="90"/>
    </xf>
    <xf numFmtId="3" fontId="5" fillId="3" borderId="70" xfId="0" applyNumberFormat="1" applyFont="1" applyFill="1" applyBorder="1" applyAlignment="1" applyProtection="1">
      <alignment horizontal="center"/>
    </xf>
    <xf numFmtId="168" fontId="10" fillId="8" borderId="32" xfId="7" applyNumberFormat="1" applyFont="1" applyFill="1" applyBorder="1" applyProtection="1"/>
    <xf numFmtId="0" fontId="1" fillId="3" borderId="0" xfId="0" applyFont="1" applyFill="1" applyProtection="1"/>
    <xf numFmtId="0" fontId="5" fillId="0" borderId="0" xfId="0" applyFont="1" applyFill="1" applyBorder="1" applyAlignment="1" applyProtection="1">
      <alignment horizontal="center" textRotation="90"/>
    </xf>
    <xf numFmtId="0" fontId="5" fillId="0" borderId="75" xfId="0" applyFont="1" applyFill="1" applyBorder="1" applyAlignment="1">
      <alignment horizontal="center" textRotation="90"/>
    </xf>
    <xf numFmtId="1" fontId="5" fillId="0" borderId="75" xfId="0" applyNumberFormat="1" applyFont="1" applyFill="1" applyBorder="1" applyAlignment="1">
      <alignment horizontal="center" textRotation="90"/>
    </xf>
    <xf numFmtId="166" fontId="108" fillId="0" borderId="75" xfId="0" applyNumberFormat="1" applyFont="1" applyFill="1" applyBorder="1" applyAlignment="1">
      <alignment horizontal="center"/>
    </xf>
    <xf numFmtId="21" fontId="5" fillId="0" borderId="133" xfId="0" applyNumberFormat="1" applyFont="1" applyFill="1" applyBorder="1" applyAlignment="1">
      <alignment horizontal="center" textRotation="90"/>
    </xf>
    <xf numFmtId="3" fontId="5" fillId="3" borderId="71" xfId="0" applyNumberFormat="1" applyFont="1" applyFill="1" applyBorder="1" applyAlignment="1" applyProtection="1">
      <alignment horizontal="center"/>
    </xf>
    <xf numFmtId="0" fontId="5" fillId="24" borderId="0" xfId="0" applyFont="1" applyFill="1" applyBorder="1" applyAlignment="1" applyProtection="1">
      <alignment horizontal="center"/>
    </xf>
    <xf numFmtId="0" fontId="5" fillId="24" borderId="96" xfId="0" applyFont="1" applyFill="1" applyBorder="1" applyAlignment="1" applyProtection="1">
      <alignment horizontal="center"/>
    </xf>
    <xf numFmtId="166" fontId="7" fillId="3" borderId="71" xfId="0" applyNumberFormat="1" applyFont="1" applyFill="1" applyBorder="1" applyAlignment="1" applyProtection="1">
      <alignment horizontal="center"/>
    </xf>
    <xf numFmtId="21" fontId="7" fillId="3" borderId="71" xfId="0" applyNumberFormat="1" applyFont="1" applyFill="1" applyBorder="1" applyAlignment="1" applyProtection="1">
      <alignment horizontal="center"/>
    </xf>
    <xf numFmtId="166" fontId="8" fillId="24" borderId="0" xfId="0" applyNumberFormat="1" applyFont="1" applyFill="1" applyBorder="1" applyAlignment="1" applyProtection="1">
      <alignment horizontal="center"/>
      <protection locked="0" hidden="1"/>
    </xf>
    <xf numFmtId="166" fontId="8" fillId="31" borderId="0" xfId="0" applyNumberFormat="1" applyFont="1" applyFill="1" applyBorder="1" applyAlignment="1" applyProtection="1">
      <alignment horizontal="center"/>
      <protection locked="0" hidden="1"/>
    </xf>
    <xf numFmtId="166" fontId="8" fillId="26" borderId="0" xfId="0" applyNumberFormat="1" applyFont="1" applyFill="1" applyBorder="1" applyAlignment="1" applyProtection="1">
      <alignment horizontal="center"/>
      <protection locked="0" hidden="1"/>
    </xf>
    <xf numFmtId="0" fontId="10" fillId="21" borderId="35" xfId="0" applyFont="1" applyFill="1" applyBorder="1"/>
    <xf numFmtId="0" fontId="5" fillId="0" borderId="97" xfId="0" applyFont="1" applyFill="1" applyBorder="1" applyAlignment="1" applyProtection="1">
      <alignment horizontal="center"/>
    </xf>
    <xf numFmtId="0" fontId="5" fillId="0" borderId="79" xfId="0" applyFont="1" applyFill="1" applyBorder="1" applyAlignment="1" applyProtection="1">
      <alignment horizontal="center"/>
    </xf>
    <xf numFmtId="0" fontId="9" fillId="3" borderId="0" xfId="0" applyFont="1" applyFill="1" applyAlignment="1" applyProtection="1">
      <alignment horizontal="left" vertical="center"/>
    </xf>
    <xf numFmtId="1" fontId="9" fillId="3" borderId="0" xfId="0" applyNumberFormat="1" applyFont="1" applyFill="1" applyAlignment="1" applyProtection="1">
      <alignment horizontal="left" vertical="center"/>
    </xf>
    <xf numFmtId="0" fontId="9" fillId="3" borderId="0" xfId="0" applyFont="1" applyFill="1" applyAlignment="1" applyProtection="1">
      <alignment horizontal="center" vertical="center"/>
    </xf>
    <xf numFmtId="3" fontId="5" fillId="3" borderId="72" xfId="0" applyNumberFormat="1" applyFont="1" applyFill="1" applyBorder="1" applyAlignment="1" applyProtection="1">
      <alignment horizontal="center" vertical="center"/>
    </xf>
    <xf numFmtId="0" fontId="2" fillId="3" borderId="0" xfId="0" applyFont="1" applyFill="1" applyAlignment="1" applyProtection="1">
      <alignment horizontal="center"/>
    </xf>
    <xf numFmtId="3" fontId="5" fillId="3" borderId="0" xfId="0" applyNumberFormat="1" applyFont="1" applyFill="1" applyAlignment="1" applyProtection="1">
      <alignment horizontal="center"/>
      <protection locked="0"/>
    </xf>
    <xf numFmtId="0" fontId="9" fillId="3" borderId="0" xfId="0" applyFont="1" applyFill="1" applyAlignment="1" applyProtection="1">
      <alignment horizontal="center"/>
      <protection locked="0"/>
    </xf>
    <xf numFmtId="176" fontId="20" fillId="21" borderId="35" xfId="0" applyNumberFormat="1" applyFont="1" applyFill="1" applyBorder="1" applyAlignment="1">
      <alignment horizontal="center"/>
    </xf>
    <xf numFmtId="176" fontId="9" fillId="16" borderId="35" xfId="0" applyNumberFormat="1" applyFont="1" applyFill="1" applyBorder="1" applyAlignment="1">
      <alignment horizontal="center"/>
    </xf>
    <xf numFmtId="176" fontId="9" fillId="3" borderId="35" xfId="0" applyNumberFormat="1" applyFont="1" applyFill="1" applyBorder="1" applyAlignment="1" applyProtection="1">
      <alignment horizontal="center"/>
      <protection locked="0"/>
    </xf>
    <xf numFmtId="21" fontId="8" fillId="29" borderId="0" xfId="0" quotePrefix="1" applyNumberFormat="1" applyFont="1" applyFill="1" applyBorder="1" applyAlignment="1">
      <alignment horizontal="center"/>
    </xf>
    <xf numFmtId="176" fontId="9" fillId="22" borderId="0" xfId="0" applyNumberFormat="1" applyFont="1" applyFill="1" applyBorder="1" applyAlignment="1" applyProtection="1">
      <alignment horizontal="center"/>
      <protection locked="0"/>
    </xf>
    <xf numFmtId="176" fontId="9" fillId="22" borderId="35" xfId="0" applyNumberFormat="1" applyFont="1" applyFill="1" applyBorder="1" applyAlignment="1" applyProtection="1">
      <alignment horizontal="center"/>
      <protection locked="0"/>
    </xf>
    <xf numFmtId="1" fontId="86" fillId="15" borderId="35" xfId="0" applyNumberFormat="1" applyFont="1" applyFill="1" applyBorder="1" applyAlignment="1">
      <alignment horizontal="center"/>
    </xf>
    <xf numFmtId="176" fontId="20" fillId="15" borderId="35" xfId="0" applyNumberFormat="1" applyFont="1" applyFill="1" applyBorder="1" applyAlignment="1">
      <alignment horizontal="center"/>
    </xf>
    <xf numFmtId="179" fontId="1" fillId="3" borderId="0" xfId="0" quotePrefix="1" applyNumberFormat="1" applyFont="1" applyFill="1" applyAlignment="1" applyProtection="1">
      <alignment horizontal="left"/>
      <protection locked="0"/>
    </xf>
    <xf numFmtId="0" fontId="5" fillId="24" borderId="97" xfId="0" applyFont="1" applyFill="1" applyBorder="1" applyAlignment="1" applyProtection="1">
      <alignment horizontal="center"/>
    </xf>
    <xf numFmtId="176" fontId="10" fillId="21" borderId="35" xfId="0" applyNumberFormat="1" applyFont="1" applyFill="1" applyBorder="1" applyAlignment="1">
      <alignment horizontal="center"/>
    </xf>
    <xf numFmtId="1" fontId="16" fillId="29" borderId="0" xfId="0" applyNumberFormat="1" applyFont="1" applyFill="1" applyBorder="1"/>
    <xf numFmtId="0" fontId="16" fillId="30" borderId="83" xfId="0" applyFont="1" applyFill="1" applyBorder="1" applyProtection="1"/>
    <xf numFmtId="0" fontId="16" fillId="30" borderId="83" xfId="0" applyFont="1" applyFill="1" applyBorder="1" applyAlignment="1" applyProtection="1">
      <alignment horizontal="center"/>
    </xf>
    <xf numFmtId="176" fontId="10" fillId="15" borderId="35" xfId="0" applyNumberFormat="1" applyFont="1" applyFill="1" applyBorder="1" applyAlignment="1">
      <alignment horizontal="center"/>
    </xf>
    <xf numFmtId="176" fontId="10" fillId="15" borderId="35" xfId="0" applyNumberFormat="1" applyFont="1" applyFill="1" applyBorder="1"/>
    <xf numFmtId="176" fontId="10" fillId="21" borderId="35" xfId="0" applyNumberFormat="1" applyFont="1" applyFill="1" applyBorder="1"/>
    <xf numFmtId="176" fontId="10" fillId="17" borderId="35" xfId="0" applyNumberFormat="1" applyFont="1" applyFill="1" applyBorder="1"/>
    <xf numFmtId="0" fontId="5" fillId="0" borderId="96" xfId="0" applyFont="1" applyFill="1" applyBorder="1" applyAlignment="1" applyProtection="1">
      <alignment horizontal="center"/>
    </xf>
    <xf numFmtId="176" fontId="9" fillId="38" borderId="0" xfId="0" applyNumberFormat="1" applyFont="1" applyFill="1" applyBorder="1" applyAlignment="1" applyProtection="1">
      <alignment horizontal="center"/>
      <protection locked="0"/>
    </xf>
    <xf numFmtId="166" fontId="113" fillId="48" borderId="35" xfId="0" applyNumberFormat="1" applyFont="1" applyFill="1" applyBorder="1"/>
    <xf numFmtId="176" fontId="9" fillId="38" borderId="35" xfId="0" applyNumberFormat="1" applyFont="1" applyFill="1" applyBorder="1" applyAlignment="1" applyProtection="1">
      <alignment horizontal="center"/>
      <protection locked="0"/>
    </xf>
    <xf numFmtId="1" fontId="86" fillId="48" borderId="35" xfId="0" applyNumberFormat="1" applyFont="1" applyFill="1" applyBorder="1" applyAlignment="1">
      <alignment horizontal="center"/>
    </xf>
    <xf numFmtId="0" fontId="92" fillId="38" borderId="0" xfId="0" applyFont="1" applyFill="1" applyBorder="1"/>
    <xf numFmtId="0" fontId="19" fillId="14" borderId="32" xfId="0" applyFont="1" applyFill="1" applyBorder="1"/>
    <xf numFmtId="166" fontId="81" fillId="14" borderId="32" xfId="0" applyNumberFormat="1" applyFont="1" applyFill="1" applyBorder="1"/>
    <xf numFmtId="21" fontId="86" fillId="14" borderId="32" xfId="0" quotePrefix="1" applyNumberFormat="1" applyFont="1" applyFill="1" applyBorder="1" applyAlignment="1">
      <alignment horizontal="center"/>
    </xf>
    <xf numFmtId="0" fontId="19" fillId="14" borderId="33" xfId="0" applyFont="1" applyFill="1" applyBorder="1"/>
    <xf numFmtId="0" fontId="19" fillId="15" borderId="35" xfId="0" applyFont="1" applyFill="1" applyBorder="1"/>
    <xf numFmtId="21" fontId="19" fillId="14" borderId="35" xfId="0" applyNumberFormat="1" applyFont="1" applyFill="1" applyBorder="1"/>
    <xf numFmtId="21" fontId="19" fillId="15" borderId="35" xfId="0" applyNumberFormat="1" applyFont="1" applyFill="1" applyBorder="1"/>
    <xf numFmtId="166" fontId="19" fillId="15" borderId="35" xfId="0" applyNumberFormat="1" applyFont="1" applyFill="1" applyBorder="1"/>
    <xf numFmtId="21" fontId="86" fillId="15" borderId="35" xfId="0" quotePrefix="1" applyNumberFormat="1" applyFont="1" applyFill="1" applyBorder="1" applyAlignment="1">
      <alignment horizontal="center"/>
    </xf>
    <xf numFmtId="0" fontId="19" fillId="15" borderId="36" xfId="0" applyFont="1" applyFill="1" applyBorder="1"/>
    <xf numFmtId="0" fontId="54" fillId="30" borderId="83" xfId="0" applyFont="1" applyFill="1" applyBorder="1" applyProtection="1"/>
    <xf numFmtId="166" fontId="54" fillId="30" borderId="0" xfId="0" applyNumberFormat="1" applyFont="1" applyFill="1" applyBorder="1" applyProtection="1"/>
    <xf numFmtId="21" fontId="106" fillId="29" borderId="35" xfId="0" quotePrefix="1" applyNumberFormat="1" applyFont="1" applyFill="1" applyBorder="1" applyAlignment="1">
      <alignment horizontal="center"/>
    </xf>
    <xf numFmtId="21" fontId="106" fillId="29" borderId="0" xfId="0" quotePrefix="1" applyNumberFormat="1" applyFont="1" applyFill="1" applyBorder="1" applyAlignment="1">
      <alignment horizontal="center"/>
    </xf>
    <xf numFmtId="0" fontId="54" fillId="30" borderId="83" xfId="0" applyFont="1" applyFill="1" applyBorder="1" applyAlignment="1" applyProtection="1">
      <alignment horizontal="center"/>
    </xf>
    <xf numFmtId="0" fontId="54" fillId="30" borderId="117" xfId="0" applyFont="1" applyFill="1" applyBorder="1" applyProtection="1"/>
    <xf numFmtId="0" fontId="19" fillId="21" borderId="35" xfId="0" applyFont="1" applyFill="1" applyBorder="1"/>
    <xf numFmtId="166" fontId="19" fillId="21" borderId="35" xfId="0" applyNumberFormat="1" applyFont="1" applyFill="1" applyBorder="1"/>
    <xf numFmtId="21" fontId="86" fillId="21" borderId="35" xfId="0" quotePrefix="1" applyNumberFormat="1" applyFont="1" applyFill="1" applyBorder="1" applyAlignment="1">
      <alignment horizontal="center"/>
    </xf>
    <xf numFmtId="0" fontId="19" fillId="21" borderId="36" xfId="0" applyFont="1" applyFill="1" applyBorder="1"/>
    <xf numFmtId="0" fontId="152" fillId="16" borderId="35" xfId="0" applyFont="1" applyFill="1" applyBorder="1"/>
    <xf numFmtId="21" fontId="152" fillId="16" borderId="35" xfId="0" applyNumberFormat="1" applyFont="1" applyFill="1" applyBorder="1"/>
    <xf numFmtId="180" fontId="84" fillId="16" borderId="35" xfId="0" applyNumberFormat="1" applyFont="1" applyFill="1" applyBorder="1"/>
    <xf numFmtId="166" fontId="152" fillId="16" borderId="35" xfId="0" applyNumberFormat="1" applyFont="1" applyFill="1" applyBorder="1"/>
    <xf numFmtId="21" fontId="86" fillId="20" borderId="35" xfId="0" quotePrefix="1" applyNumberFormat="1" applyFont="1" applyFill="1" applyBorder="1" applyAlignment="1">
      <alignment horizontal="center"/>
    </xf>
    <xf numFmtId="0" fontId="152" fillId="16" borderId="36" xfId="0" applyFont="1" applyFill="1" applyBorder="1"/>
    <xf numFmtId="0" fontId="5" fillId="24" borderId="118" xfId="0" applyFont="1" applyFill="1" applyBorder="1" applyAlignment="1" applyProtection="1">
      <alignment horizontal="center"/>
    </xf>
    <xf numFmtId="166" fontId="7" fillId="3" borderId="79" xfId="0" applyNumberFormat="1" applyFont="1" applyFill="1" applyBorder="1" applyAlignment="1" applyProtection="1">
      <alignment horizontal="center"/>
      <protection locked="0"/>
    </xf>
    <xf numFmtId="21" fontId="86" fillId="14" borderId="38" xfId="0" applyNumberFormat="1" applyFont="1" applyFill="1" applyBorder="1"/>
    <xf numFmtId="0" fontId="84" fillId="0" borderId="113" xfId="0" applyFont="1" applyFill="1" applyBorder="1"/>
    <xf numFmtId="0" fontId="160" fillId="19" borderId="83" xfId="0" applyFont="1" applyFill="1" applyBorder="1"/>
    <xf numFmtId="21" fontId="160" fillId="19" borderId="0" xfId="0" applyNumberFormat="1" applyFont="1" applyFill="1" applyBorder="1"/>
    <xf numFmtId="176" fontId="8" fillId="19" borderId="35" xfId="0" applyNumberFormat="1" applyFont="1" applyFill="1" applyBorder="1"/>
    <xf numFmtId="166" fontId="160" fillId="19" borderId="0" xfId="0" applyNumberFormat="1" applyFont="1" applyFill="1" applyBorder="1"/>
    <xf numFmtId="21" fontId="106" fillId="19" borderId="35" xfId="0" quotePrefix="1" applyNumberFormat="1" applyFont="1" applyFill="1" applyBorder="1" applyAlignment="1">
      <alignment horizontal="center"/>
    </xf>
    <xf numFmtId="21" fontId="106" fillId="19" borderId="0" xfId="0" quotePrefix="1" applyNumberFormat="1" applyFont="1" applyFill="1" applyBorder="1" applyAlignment="1">
      <alignment horizontal="center"/>
    </xf>
    <xf numFmtId="0" fontId="160" fillId="19" borderId="117" xfId="0" applyFont="1" applyFill="1" applyBorder="1"/>
    <xf numFmtId="0" fontId="19" fillId="14" borderId="35" xfId="0" applyFont="1" applyFill="1" applyBorder="1"/>
    <xf numFmtId="166" fontId="81" fillId="14" borderId="35" xfId="0" applyNumberFormat="1" applyFont="1" applyFill="1" applyBorder="1"/>
    <xf numFmtId="21" fontId="86" fillId="14" borderId="35" xfId="0" quotePrefix="1" applyNumberFormat="1" applyFont="1" applyFill="1" applyBorder="1" applyAlignment="1">
      <alignment horizontal="center"/>
    </xf>
    <xf numFmtId="1" fontId="19" fillId="20" borderId="35" xfId="0" applyNumberFormat="1" applyFont="1" applyFill="1" applyBorder="1"/>
    <xf numFmtId="166" fontId="7" fillId="3" borderId="0" xfId="0" applyNumberFormat="1" applyFont="1" applyFill="1" applyBorder="1" applyAlignment="1" applyProtection="1">
      <alignment horizontal="center"/>
      <protection locked="0"/>
    </xf>
    <xf numFmtId="0" fontId="84" fillId="0" borderId="102" xfId="0" applyFont="1" applyFill="1" applyBorder="1"/>
    <xf numFmtId="0" fontId="10" fillId="16" borderId="35" xfId="0" applyFont="1" applyFill="1" applyBorder="1"/>
    <xf numFmtId="0" fontId="160" fillId="19" borderId="35" xfId="0" applyFont="1" applyFill="1" applyBorder="1"/>
    <xf numFmtId="166" fontId="160" fillId="19" borderId="35" xfId="0" applyNumberFormat="1" applyFont="1" applyFill="1" applyBorder="1"/>
    <xf numFmtId="1" fontId="54" fillId="29" borderId="0" xfId="0" applyNumberFormat="1" applyFont="1" applyFill="1" applyBorder="1"/>
    <xf numFmtId="0" fontId="47" fillId="3" borderId="0" xfId="0" applyFont="1" applyFill="1" applyProtection="1"/>
    <xf numFmtId="21" fontId="10" fillId="3" borderId="0" xfId="0" applyNumberFormat="1" applyFont="1" applyFill="1" applyAlignment="1" applyProtection="1">
      <alignment horizontal="center"/>
    </xf>
    <xf numFmtId="0" fontId="10" fillId="3" borderId="0" xfId="0" applyFont="1" applyFill="1" applyAlignment="1" applyProtection="1">
      <alignment horizontal="center"/>
    </xf>
    <xf numFmtId="176" fontId="10" fillId="3" borderId="0" xfId="0" applyNumberFormat="1" applyFont="1" applyFill="1" applyAlignment="1" applyProtection="1">
      <alignment horizontal="center"/>
    </xf>
    <xf numFmtId="166" fontId="19" fillId="3" borderId="0" xfId="0" applyNumberFormat="1" applyFont="1" applyFill="1" applyAlignment="1" applyProtection="1">
      <alignment horizontal="center"/>
    </xf>
    <xf numFmtId="3" fontId="9" fillId="3" borderId="0" xfId="0" applyNumberFormat="1" applyFont="1" applyFill="1" applyAlignment="1" applyProtection="1">
      <alignment horizontal="center"/>
    </xf>
    <xf numFmtId="0" fontId="7" fillId="3" borderId="0" xfId="0" applyFont="1" applyFill="1" applyAlignment="1" applyProtection="1">
      <alignment horizontal="left"/>
    </xf>
    <xf numFmtId="0" fontId="54" fillId="3" borderId="0" xfId="0" applyFont="1" applyFill="1" applyAlignment="1" applyProtection="1">
      <alignment horizontal="center"/>
    </xf>
    <xf numFmtId="0" fontId="9" fillId="3" borderId="0" xfId="0" applyFont="1" applyFill="1" applyProtection="1"/>
    <xf numFmtId="1" fontId="19" fillId="3" borderId="0" xfId="0" applyNumberFormat="1" applyFont="1" applyFill="1" applyProtection="1"/>
    <xf numFmtId="14" fontId="10" fillId="3" borderId="0" xfId="0" applyNumberFormat="1" applyFont="1" applyFill="1" applyAlignment="1" applyProtection="1">
      <alignment horizontal="left"/>
      <protection locked="0"/>
    </xf>
    <xf numFmtId="0" fontId="10" fillId="3" borderId="0" xfId="0" applyFont="1" applyFill="1" applyAlignment="1" applyProtection="1">
      <alignment horizontal="center"/>
      <protection locked="0"/>
    </xf>
    <xf numFmtId="0" fontId="10" fillId="3" borderId="0" xfId="0" applyFont="1" applyFill="1" applyAlignment="1" applyProtection="1">
      <alignment horizontal="left"/>
    </xf>
    <xf numFmtId="14" fontId="10" fillId="3" borderId="0" xfId="0" quotePrefix="1" applyNumberFormat="1" applyFont="1" applyFill="1" applyAlignment="1" applyProtection="1">
      <alignment horizontal="left"/>
      <protection locked="0"/>
    </xf>
    <xf numFmtId="176" fontId="10" fillId="3" borderId="0" xfId="0" applyNumberFormat="1" applyFont="1" applyFill="1" applyAlignment="1" applyProtection="1">
      <alignment horizontal="left"/>
      <protection locked="0"/>
    </xf>
    <xf numFmtId="0" fontId="45" fillId="3" borderId="0" xfId="0" applyFont="1" applyFill="1" applyAlignment="1" applyProtection="1">
      <alignment horizontal="left"/>
    </xf>
    <xf numFmtId="166" fontId="7" fillId="0" borderId="87" xfId="0" applyNumberFormat="1" applyFont="1" applyFill="1" applyBorder="1" applyAlignment="1">
      <alignment horizontal="center" textRotation="90"/>
    </xf>
    <xf numFmtId="45" fontId="54" fillId="3" borderId="0" xfId="0" applyNumberFormat="1" applyFont="1" applyFill="1" applyAlignment="1" applyProtection="1">
      <alignment horizontal="left"/>
    </xf>
    <xf numFmtId="0" fontId="9" fillId="0" borderId="91" xfId="0" applyFont="1" applyFill="1" applyBorder="1" applyAlignment="1" applyProtection="1">
      <alignment horizontal="center" textRotation="90"/>
    </xf>
    <xf numFmtId="0" fontId="9" fillId="0" borderId="70" xfId="0" applyFont="1" applyFill="1" applyBorder="1" applyAlignment="1" applyProtection="1">
      <alignment horizontal="center" textRotation="90"/>
    </xf>
    <xf numFmtId="0" fontId="9" fillId="0" borderId="92" xfId="0" applyFont="1" applyFill="1" applyBorder="1" applyAlignment="1">
      <alignment horizontal="center" textRotation="90"/>
    </xf>
    <xf numFmtId="1" fontId="9" fillId="0" borderId="92" xfId="0" applyNumberFormat="1" applyFont="1" applyFill="1" applyBorder="1" applyAlignment="1">
      <alignment horizontal="center" textRotation="90"/>
    </xf>
    <xf numFmtId="166" fontId="7" fillId="0" borderId="92" xfId="0" applyNumberFormat="1" applyFont="1" applyFill="1" applyBorder="1" applyAlignment="1">
      <alignment horizontal="center"/>
    </xf>
    <xf numFmtId="21" fontId="9" fillId="0" borderId="93" xfId="0" applyNumberFormat="1" applyFont="1" applyFill="1" applyBorder="1" applyAlignment="1">
      <alignment horizontal="center" textRotation="90"/>
    </xf>
    <xf numFmtId="3" fontId="9" fillId="3" borderId="70" xfId="0" applyNumberFormat="1" applyFont="1" applyFill="1" applyBorder="1" applyAlignment="1" applyProtection="1">
      <alignment horizontal="center"/>
    </xf>
    <xf numFmtId="0" fontId="54" fillId="0" borderId="0" xfId="0" applyFont="1" applyProtection="1"/>
    <xf numFmtId="45" fontId="54" fillId="3" borderId="0" xfId="0" applyNumberFormat="1" applyFont="1" applyFill="1" applyAlignment="1" applyProtection="1">
      <alignment horizontal="center"/>
    </xf>
    <xf numFmtId="166" fontId="7" fillId="0" borderId="75" xfId="0" applyNumberFormat="1" applyFont="1" applyFill="1" applyBorder="1" applyAlignment="1">
      <alignment horizontal="center"/>
    </xf>
    <xf numFmtId="3" fontId="9" fillId="3" borderId="71" xfId="0" applyNumberFormat="1" applyFont="1" applyFill="1" applyBorder="1" applyAlignment="1" applyProtection="1">
      <alignment horizontal="center"/>
    </xf>
    <xf numFmtId="0" fontId="9" fillId="24" borderId="0" xfId="0" applyFont="1" applyFill="1" applyBorder="1" applyAlignment="1" applyProtection="1">
      <alignment horizontal="center"/>
    </xf>
    <xf numFmtId="0" fontId="9" fillId="24" borderId="96" xfId="0" applyFont="1" applyFill="1" applyBorder="1" applyAlignment="1" applyProtection="1">
      <alignment horizontal="center"/>
    </xf>
    <xf numFmtId="177" fontId="10" fillId="57" borderId="35" xfId="0" applyNumberFormat="1" applyFont="1" applyFill="1" applyBorder="1" applyProtection="1"/>
    <xf numFmtId="1" fontId="19" fillId="15" borderId="35" xfId="0" applyNumberFormat="1" applyFont="1" applyFill="1" applyBorder="1"/>
    <xf numFmtId="1" fontId="19" fillId="19" borderId="0" xfId="0" applyNumberFormat="1" applyFont="1" applyFill="1" applyBorder="1"/>
    <xf numFmtId="0" fontId="84" fillId="0" borderId="0" xfId="0" applyFont="1" applyFill="1" applyBorder="1"/>
    <xf numFmtId="0" fontId="19" fillId="57" borderId="35" xfId="0" applyFont="1" applyFill="1" applyBorder="1" applyProtection="1"/>
    <xf numFmtId="0" fontId="10" fillId="57" borderId="35" xfId="0" applyFont="1" applyFill="1" applyBorder="1" applyAlignment="1" applyProtection="1">
      <alignment horizontal="left"/>
    </xf>
    <xf numFmtId="166" fontId="19" fillId="57" borderId="35" xfId="0" applyNumberFormat="1" applyFont="1" applyFill="1" applyBorder="1" applyProtection="1"/>
    <xf numFmtId="21" fontId="86" fillId="14" borderId="0" xfId="0" quotePrefix="1" applyNumberFormat="1" applyFont="1" applyFill="1" applyBorder="1" applyAlignment="1">
      <alignment horizontal="center"/>
    </xf>
    <xf numFmtId="0" fontId="81" fillId="14" borderId="83" xfId="0" applyFont="1" applyFill="1" applyBorder="1"/>
    <xf numFmtId="166" fontId="54" fillId="3" borderId="0" xfId="0" applyNumberFormat="1" applyFont="1" applyFill="1" applyAlignment="1" applyProtection="1">
      <alignment horizontal="center"/>
    </xf>
    <xf numFmtId="0" fontId="163" fillId="61" borderId="75" xfId="0" applyFont="1" applyFill="1" applyBorder="1" applyProtection="1"/>
    <xf numFmtId="0" fontId="54" fillId="30" borderId="156" xfId="0" applyFont="1" applyFill="1" applyBorder="1" applyProtection="1"/>
    <xf numFmtId="177" fontId="8" fillId="29" borderId="35" xfId="0" applyNumberFormat="1" applyFont="1" applyFill="1" applyBorder="1"/>
    <xf numFmtId="1" fontId="19" fillId="17" borderId="0" xfId="0" applyNumberFormat="1" applyFont="1" applyFill="1" applyBorder="1"/>
    <xf numFmtId="0" fontId="19" fillId="18" borderId="83" xfId="0" applyFont="1" applyFill="1" applyBorder="1" applyProtection="1"/>
    <xf numFmtId="21" fontId="152" fillId="17" borderId="35" xfId="0" applyNumberFormat="1" applyFont="1" applyFill="1" applyBorder="1"/>
    <xf numFmtId="0" fontId="10" fillId="18" borderId="83" xfId="0" applyFont="1" applyFill="1" applyBorder="1" applyProtection="1"/>
    <xf numFmtId="0" fontId="10" fillId="18" borderId="0" xfId="0" applyFont="1" applyFill="1" applyBorder="1" applyProtection="1"/>
    <xf numFmtId="21" fontId="86" fillId="17" borderId="35" xfId="0" quotePrefix="1" applyNumberFormat="1" applyFont="1" applyFill="1" applyBorder="1" applyAlignment="1">
      <alignment horizontal="center"/>
    </xf>
    <xf numFmtId="21" fontId="86" fillId="17" borderId="0" xfId="0" quotePrefix="1" applyNumberFormat="1" applyFont="1" applyFill="1" applyBorder="1" applyAlignment="1">
      <alignment horizontal="center"/>
    </xf>
    <xf numFmtId="0" fontId="19" fillId="18" borderId="83" xfId="0" applyFont="1" applyFill="1" applyBorder="1" applyAlignment="1" applyProtection="1">
      <alignment horizontal="center"/>
    </xf>
    <xf numFmtId="166" fontId="164" fillId="18" borderId="0" xfId="0" applyNumberFormat="1" applyFont="1" applyFill="1" applyBorder="1" applyProtection="1"/>
    <xf numFmtId="0" fontId="160" fillId="19" borderId="145" xfId="0" applyFont="1" applyFill="1" applyBorder="1"/>
    <xf numFmtId="21" fontId="19" fillId="0" borderId="0" xfId="0" applyNumberFormat="1" applyFont="1" applyFill="1" applyBorder="1"/>
    <xf numFmtId="1" fontId="19" fillId="0" borderId="0" xfId="0" applyNumberFormat="1" applyFont="1" applyFill="1" applyBorder="1"/>
    <xf numFmtId="0" fontId="9" fillId="0" borderId="11" xfId="0" applyFont="1" applyFill="1" applyBorder="1" applyAlignment="1" applyProtection="1">
      <alignment horizontal="center"/>
    </xf>
    <xf numFmtId="0" fontId="9" fillId="0" borderId="12" xfId="0" applyFont="1" applyFill="1" applyBorder="1" applyAlignment="1" applyProtection="1">
      <alignment horizontal="center"/>
    </xf>
    <xf numFmtId="0" fontId="9" fillId="0" borderId="97" xfId="0" applyFont="1" applyFill="1" applyBorder="1" applyAlignment="1" applyProtection="1">
      <alignment horizontal="center"/>
    </xf>
    <xf numFmtId="1" fontId="19" fillId="14" borderId="35" xfId="0" applyNumberFormat="1" applyFont="1" applyFill="1" applyBorder="1"/>
    <xf numFmtId="0" fontId="152" fillId="14" borderId="35" xfId="0" applyFont="1" applyFill="1" applyBorder="1"/>
    <xf numFmtId="0" fontId="152" fillId="40" borderId="35" xfId="0" applyFont="1" applyFill="1" applyBorder="1"/>
    <xf numFmtId="21" fontId="84" fillId="40" borderId="35" xfId="0" applyNumberFormat="1" applyFont="1" applyFill="1" applyBorder="1"/>
    <xf numFmtId="21" fontId="152" fillId="46" borderId="35" xfId="0" applyNumberFormat="1" applyFont="1" applyFill="1" applyBorder="1"/>
    <xf numFmtId="166" fontId="152" fillId="17" borderId="35" xfId="0" applyNumberFormat="1" applyFont="1" applyFill="1" applyBorder="1"/>
    <xf numFmtId="0" fontId="9" fillId="0" borderId="0" xfId="0" applyFont="1" applyFill="1" applyBorder="1" applyAlignment="1" applyProtection="1">
      <alignment horizontal="center"/>
    </xf>
    <xf numFmtId="0" fontId="9" fillId="24" borderId="12" xfId="0" applyFont="1" applyFill="1" applyBorder="1" applyAlignment="1" applyProtection="1">
      <alignment horizontal="center"/>
    </xf>
    <xf numFmtId="0" fontId="9" fillId="0" borderId="19" xfId="0" applyFont="1" applyFill="1" applyBorder="1" applyAlignment="1" applyProtection="1">
      <alignment horizontal="center"/>
    </xf>
    <xf numFmtId="0" fontId="9" fillId="0" borderId="79" xfId="0" applyFont="1" applyFill="1" applyBorder="1" applyAlignment="1" applyProtection="1">
      <alignment horizontal="center"/>
    </xf>
    <xf numFmtId="0" fontId="9" fillId="0" borderId="96" xfId="0" applyFont="1" applyFill="1" applyBorder="1" applyAlignment="1" applyProtection="1">
      <alignment horizontal="center"/>
    </xf>
    <xf numFmtId="3" fontId="9" fillId="3" borderId="5" xfId="0" applyNumberFormat="1" applyFont="1" applyFill="1" applyBorder="1" applyAlignment="1" applyProtection="1">
      <alignment horizontal="left" vertical="center"/>
    </xf>
    <xf numFmtId="3" fontId="9" fillId="3" borderId="72" xfId="0" applyNumberFormat="1" applyFont="1" applyFill="1" applyBorder="1" applyAlignment="1" applyProtection="1">
      <alignment horizontal="center" vertical="center"/>
    </xf>
    <xf numFmtId="165" fontId="67" fillId="13" borderId="23" xfId="0" applyNumberFormat="1" applyFont="1" applyFill="1" applyBorder="1" applyAlignment="1" applyProtection="1">
      <alignment horizontal="center" vertical="center"/>
    </xf>
    <xf numFmtId="165" fontId="165" fillId="3" borderId="0" xfId="0" applyNumberFormat="1" applyFont="1" applyFill="1" applyProtection="1"/>
    <xf numFmtId="0" fontId="8" fillId="3" borderId="0" xfId="0" applyFont="1" applyFill="1" applyProtection="1">
      <protection locked="0"/>
    </xf>
    <xf numFmtId="1" fontId="8" fillId="3" borderId="0" xfId="0" applyNumberFormat="1" applyFont="1" applyFill="1" applyProtection="1">
      <protection locked="0"/>
    </xf>
    <xf numFmtId="176" fontId="8" fillId="3" borderId="0" xfId="0" applyNumberFormat="1" applyFont="1" applyFill="1" applyProtection="1">
      <protection locked="0"/>
    </xf>
    <xf numFmtId="0" fontId="19" fillId="3" borderId="0" xfId="0" applyFont="1" applyFill="1" applyAlignment="1" applyProtection="1">
      <alignment horizontal="center"/>
    </xf>
    <xf numFmtId="0" fontId="54" fillId="3" borderId="0" xfId="0" applyFont="1" applyFill="1" applyProtection="1">
      <protection locked="0"/>
    </xf>
    <xf numFmtId="1" fontId="54" fillId="3" borderId="0" xfId="0" applyNumberFormat="1" applyFont="1" applyFill="1" applyProtection="1">
      <protection locked="0"/>
    </xf>
    <xf numFmtId="21" fontId="8" fillId="3" borderId="0" xfId="0" applyNumberFormat="1" applyFont="1" applyFill="1" applyAlignment="1" applyProtection="1">
      <alignment horizontal="center"/>
      <protection locked="0"/>
    </xf>
    <xf numFmtId="176" fontId="8" fillId="3" borderId="0" xfId="0" applyNumberFormat="1" applyFont="1" applyFill="1" applyAlignment="1" applyProtection="1">
      <alignment horizontal="center"/>
      <protection locked="0"/>
    </xf>
    <xf numFmtId="166" fontId="54" fillId="3" borderId="0" xfId="0" applyNumberFormat="1" applyFont="1" applyFill="1" applyAlignment="1" applyProtection="1">
      <alignment horizontal="center"/>
      <protection locked="0"/>
    </xf>
    <xf numFmtId="3" fontId="8" fillId="3" borderId="0" xfId="0" applyNumberFormat="1" applyFont="1" applyFill="1" applyAlignment="1" applyProtection="1">
      <alignment horizontal="center"/>
      <protection locked="0"/>
    </xf>
    <xf numFmtId="21" fontId="8" fillId="3" borderId="0" xfId="0" applyNumberFormat="1" applyFont="1" applyFill="1" applyProtection="1"/>
    <xf numFmtId="1" fontId="54" fillId="3" borderId="0" xfId="0" applyNumberFormat="1" applyFont="1" applyFill="1" applyProtection="1"/>
    <xf numFmtId="21" fontId="8" fillId="3" borderId="0" xfId="0" applyNumberFormat="1" applyFont="1" applyFill="1" applyAlignment="1" applyProtection="1">
      <alignment horizontal="center"/>
    </xf>
    <xf numFmtId="0" fontId="8" fillId="3" borderId="0" xfId="0" applyFont="1" applyFill="1" applyAlignment="1" applyProtection="1">
      <alignment horizontal="center"/>
    </xf>
    <xf numFmtId="176" fontId="8" fillId="3" borderId="0" xfId="0" applyNumberFormat="1" applyFont="1" applyFill="1" applyAlignment="1" applyProtection="1">
      <alignment horizontal="center"/>
    </xf>
    <xf numFmtId="3" fontId="9" fillId="3" borderId="0" xfId="0" applyNumberFormat="1" applyFont="1" applyFill="1" applyAlignment="1" applyProtection="1">
      <alignment horizontal="center"/>
      <protection locked="0"/>
    </xf>
    <xf numFmtId="0" fontId="19" fillId="61" borderId="75" xfId="0" applyFont="1" applyFill="1" applyBorder="1" applyProtection="1"/>
    <xf numFmtId="0" fontId="19" fillId="57" borderId="74" xfId="0" applyFont="1" applyFill="1" applyBorder="1" applyProtection="1"/>
    <xf numFmtId="0" fontId="19" fillId="21" borderId="111" xfId="0" applyFont="1" applyFill="1" applyBorder="1"/>
    <xf numFmtId="1" fontId="19" fillId="20" borderId="110" xfId="0" applyNumberFormat="1" applyFont="1" applyFill="1" applyBorder="1"/>
    <xf numFmtId="0" fontId="152" fillId="16" borderId="111" xfId="0" applyFont="1" applyFill="1" applyBorder="1"/>
    <xf numFmtId="0" fontId="160" fillId="19" borderId="156" xfId="0" applyFont="1" applyFill="1" applyBorder="1"/>
    <xf numFmtId="1" fontId="19" fillId="19" borderId="35" xfId="0" applyNumberFormat="1" applyFont="1" applyFill="1" applyBorder="1"/>
    <xf numFmtId="21" fontId="106" fillId="19" borderId="35" xfId="0" applyNumberFormat="1" applyFont="1" applyFill="1" applyBorder="1"/>
    <xf numFmtId="1" fontId="81" fillId="21" borderId="157" xfId="0" applyNumberFormat="1" applyFont="1" applyFill="1" applyBorder="1"/>
    <xf numFmtId="0" fontId="0" fillId="21" borderId="111" xfId="0" applyFill="1" applyBorder="1"/>
    <xf numFmtId="1" fontId="0" fillId="20" borderId="110" xfId="0" applyNumberFormat="1" applyFill="1" applyBorder="1"/>
    <xf numFmtId="0" fontId="2" fillId="18" borderId="156" xfId="0" applyFont="1" applyFill="1" applyBorder="1" applyProtection="1"/>
    <xf numFmtId="0" fontId="99" fillId="19" borderId="145" xfId="0" applyFont="1" applyFill="1" applyBorder="1"/>
    <xf numFmtId="1" fontId="81" fillId="16" borderId="111" xfId="0" applyNumberFormat="1" applyFont="1" applyFill="1" applyBorder="1"/>
    <xf numFmtId="176" fontId="10" fillId="16" borderId="35" xfId="0" applyNumberFormat="1" applyFont="1" applyFill="1" applyBorder="1"/>
    <xf numFmtId="1" fontId="0" fillId="15" borderId="110" xfId="0" applyNumberFormat="1" applyFill="1" applyBorder="1"/>
    <xf numFmtId="0" fontId="1" fillId="51" borderId="74" xfId="0" applyFont="1" applyFill="1" applyBorder="1"/>
    <xf numFmtId="0" fontId="0" fillId="15" borderId="111" xfId="0" applyFill="1" applyBorder="1"/>
    <xf numFmtId="0" fontId="166" fillId="61" borderId="76" xfId="0" applyFont="1" applyFill="1" applyBorder="1" applyProtection="1"/>
    <xf numFmtId="0" fontId="5" fillId="62" borderId="12" xfId="0" applyFont="1" applyFill="1" applyBorder="1" applyAlignment="1" applyProtection="1">
      <alignment horizontal="center"/>
    </xf>
    <xf numFmtId="0" fontId="5" fillId="62" borderId="97" xfId="0" applyFont="1" applyFill="1" applyBorder="1" applyAlignment="1" applyProtection="1">
      <alignment horizontal="center"/>
    </xf>
    <xf numFmtId="1" fontId="7" fillId="62" borderId="35" xfId="0" applyNumberFormat="1" applyFont="1" applyFill="1" applyBorder="1" applyAlignment="1" applyProtection="1">
      <alignment horizontal="center"/>
      <protection locked="0"/>
    </xf>
    <xf numFmtId="176" fontId="9" fillId="62" borderId="35" xfId="0" applyNumberFormat="1" applyFont="1" applyFill="1" applyBorder="1" applyAlignment="1" applyProtection="1">
      <alignment horizontal="center"/>
      <protection locked="0"/>
    </xf>
    <xf numFmtId="166" fontId="108" fillId="62" borderId="35" xfId="0" applyNumberFormat="1" applyFont="1" applyFill="1" applyBorder="1" applyAlignment="1" applyProtection="1">
      <alignment horizontal="center"/>
      <protection locked="0"/>
    </xf>
    <xf numFmtId="21" fontId="85" fillId="63" borderId="35" xfId="0" applyNumberFormat="1" applyFont="1" applyFill="1" applyBorder="1"/>
    <xf numFmtId="0" fontId="92" fillId="62" borderId="35" xfId="0" applyFont="1" applyFill="1" applyBorder="1"/>
    <xf numFmtId="0" fontId="160" fillId="19" borderId="35" xfId="0" quotePrefix="1" applyFont="1" applyFill="1" applyBorder="1" applyAlignment="1">
      <alignment horizontal="left"/>
    </xf>
    <xf numFmtId="0" fontId="16" fillId="33" borderId="35" xfId="0" applyFont="1" applyFill="1" applyBorder="1" applyProtection="1"/>
    <xf numFmtId="21" fontId="16" fillId="19" borderId="35" xfId="0" applyNumberFormat="1" applyFont="1" applyFill="1" applyBorder="1"/>
    <xf numFmtId="0" fontId="8" fillId="33" borderId="35" xfId="0" applyFont="1" applyFill="1" applyBorder="1" applyProtection="1"/>
    <xf numFmtId="0" fontId="10" fillId="21" borderId="111" xfId="0" applyFont="1" applyFill="1" applyBorder="1"/>
    <xf numFmtId="1" fontId="204" fillId="64" borderId="0" xfId="0" applyNumberFormat="1" applyFont="1" applyFill="1" applyAlignment="1" applyProtection="1">
      <alignment horizontal="center"/>
      <protection locked="0"/>
    </xf>
    <xf numFmtId="0" fontId="205" fillId="0" borderId="0" xfId="0" applyFont="1" applyAlignment="1">
      <alignment horizontal="center"/>
    </xf>
    <xf numFmtId="176" fontId="206" fillId="64" borderId="0" xfId="0" applyNumberFormat="1" applyFont="1" applyFill="1" applyAlignment="1" applyProtection="1">
      <alignment horizontal="center"/>
      <protection locked="0"/>
    </xf>
    <xf numFmtId="0" fontId="10" fillId="15" borderId="35" xfId="0" applyFont="1" applyFill="1" applyBorder="1" applyAlignment="1">
      <alignment horizontal="justify"/>
    </xf>
    <xf numFmtId="0" fontId="5" fillId="3" borderId="96" xfId="0" applyFont="1" applyFill="1" applyBorder="1" applyAlignment="1" applyProtection="1">
      <alignment horizontal="center"/>
    </xf>
    <xf numFmtId="0" fontId="88" fillId="18" borderId="83" xfId="0" applyFont="1" applyFill="1" applyBorder="1" applyAlignment="1">
      <alignment horizontal="left"/>
    </xf>
    <xf numFmtId="0" fontId="10" fillId="46" borderId="35" xfId="0" applyFont="1" applyFill="1" applyBorder="1"/>
    <xf numFmtId="177" fontId="10" fillId="47" borderId="35" xfId="0" applyNumberFormat="1" applyFont="1" applyFill="1" applyBorder="1" applyProtection="1"/>
    <xf numFmtId="0" fontId="54" fillId="33" borderId="35" xfId="0" applyFont="1" applyFill="1" applyBorder="1" applyProtection="1"/>
    <xf numFmtId="21" fontId="54" fillId="19" borderId="35" xfId="0" applyNumberFormat="1" applyFont="1" applyFill="1" applyBorder="1"/>
    <xf numFmtId="166" fontId="54" fillId="33" borderId="35" xfId="0" applyNumberFormat="1" applyFont="1" applyFill="1" applyBorder="1" applyProtection="1"/>
    <xf numFmtId="21" fontId="86" fillId="16" borderId="35" xfId="0" quotePrefix="1" applyNumberFormat="1" applyFont="1" applyFill="1" applyBorder="1" applyAlignment="1">
      <alignment horizontal="center"/>
    </xf>
    <xf numFmtId="3" fontId="48" fillId="3" borderId="0" xfId="0" applyNumberFormat="1" applyFont="1" applyFill="1" applyBorder="1" applyAlignment="1" applyProtection="1">
      <alignment horizontal="left" vertical="center"/>
    </xf>
    <xf numFmtId="3" fontId="6" fillId="3" borderId="0" xfId="0" applyNumberFormat="1" applyFont="1" applyFill="1" applyBorder="1" applyAlignment="1" applyProtection="1">
      <alignment horizontal="center" vertical="center"/>
    </xf>
    <xf numFmtId="166" fontId="7" fillId="0" borderId="75" xfId="0" applyNumberFormat="1" applyFont="1" applyFill="1" applyBorder="1" applyAlignment="1">
      <alignment horizontal="center" textRotation="90"/>
    </xf>
    <xf numFmtId="0" fontId="10" fillId="21" borderId="32" xfId="0" applyFont="1" applyFill="1" applyBorder="1"/>
    <xf numFmtId="0" fontId="131" fillId="0" borderId="97" xfId="0" applyFont="1" applyFill="1" applyBorder="1" applyAlignment="1" applyProtection="1">
      <alignment horizontal="center"/>
    </xf>
    <xf numFmtId="0" fontId="131" fillId="24" borderId="96" xfId="0" applyFont="1" applyFill="1" applyBorder="1" applyAlignment="1" applyProtection="1">
      <alignment horizontal="center"/>
    </xf>
    <xf numFmtId="21" fontId="99" fillId="19" borderId="0" xfId="0" quotePrefix="1" applyNumberFormat="1" applyFont="1" applyFill="1" applyBorder="1" applyAlignment="1">
      <alignment horizontal="center"/>
    </xf>
    <xf numFmtId="0" fontId="131" fillId="0" borderId="12" xfId="0" applyFont="1" applyFill="1" applyBorder="1" applyAlignment="1" applyProtection="1">
      <alignment horizontal="center"/>
    </xf>
    <xf numFmtId="173" fontId="35" fillId="9" borderId="35" xfId="4" applyNumberFormat="1" applyFont="1" applyFill="1" applyBorder="1" applyAlignment="1" applyProtection="1">
      <alignment horizontal="center"/>
      <protection locked="0"/>
    </xf>
    <xf numFmtId="173" fontId="237" fillId="2" borderId="35" xfId="2" applyNumberFormat="1" applyBorder="1" applyAlignment="1">
      <alignment horizontal="center"/>
    </xf>
    <xf numFmtId="0" fontId="0" fillId="0" borderId="0" xfId="0" applyNumberFormat="1"/>
    <xf numFmtId="0" fontId="56" fillId="0" borderId="0" xfId="0" applyNumberFormat="1" applyFont="1"/>
    <xf numFmtId="0" fontId="42" fillId="0" borderId="0" xfId="0" applyNumberFormat="1" applyFont="1"/>
    <xf numFmtId="16" fontId="22" fillId="0" borderId="52" xfId="4" applyNumberFormat="1" applyFont="1" applyBorder="1" applyProtection="1">
      <protection locked="0"/>
    </xf>
    <xf numFmtId="14" fontId="22" fillId="0" borderId="52" xfId="4" applyNumberFormat="1" applyFont="1" applyBorder="1" applyProtection="1">
      <protection locked="0"/>
    </xf>
    <xf numFmtId="0" fontId="22" fillId="0" borderId="52" xfId="4" applyFont="1" applyBorder="1" applyAlignment="1" applyProtection="1">
      <alignment horizontal="right"/>
      <protection locked="0"/>
    </xf>
    <xf numFmtId="21" fontId="81" fillId="48" borderId="35" xfId="0" applyNumberFormat="1" applyFont="1" applyFill="1" applyBorder="1"/>
    <xf numFmtId="21" fontId="82" fillId="21" borderId="111" xfId="0" applyNumberFormat="1" applyFont="1" applyFill="1" applyBorder="1"/>
    <xf numFmtId="176" fontId="10" fillId="21" borderId="111" xfId="0" applyNumberFormat="1" applyFont="1" applyFill="1" applyBorder="1"/>
    <xf numFmtId="21" fontId="86" fillId="14" borderId="74" xfId="0" applyNumberFormat="1" applyFont="1" applyFill="1" applyBorder="1"/>
    <xf numFmtId="1" fontId="81" fillId="14" borderId="0" xfId="0" applyNumberFormat="1" applyFont="1" applyFill="1" applyBorder="1"/>
    <xf numFmtId="1" fontId="86" fillId="14" borderId="0" xfId="0" applyNumberFormat="1" applyFont="1" applyFill="1" applyBorder="1" applyAlignment="1">
      <alignment horizontal="center"/>
    </xf>
    <xf numFmtId="1" fontId="0" fillId="14" borderId="0" xfId="0" applyNumberFormat="1" applyFill="1" applyBorder="1"/>
    <xf numFmtId="0" fontId="160" fillId="14" borderId="0" xfId="0" applyFont="1" applyFill="1" applyBorder="1"/>
    <xf numFmtId="21" fontId="160" fillId="14" borderId="0" xfId="0" applyNumberFormat="1" applyFont="1" applyFill="1" applyBorder="1"/>
    <xf numFmtId="0" fontId="85" fillId="14" borderId="32" xfId="0" applyFont="1" applyFill="1" applyBorder="1"/>
    <xf numFmtId="0" fontId="0" fillId="14" borderId="33" xfId="0" applyFont="1" applyFill="1" applyBorder="1"/>
    <xf numFmtId="0" fontId="9" fillId="3" borderId="96" xfId="0" applyFont="1" applyFill="1" applyBorder="1" applyAlignment="1" applyProtection="1">
      <alignment horizontal="center"/>
    </xf>
    <xf numFmtId="0" fontId="9" fillId="3" borderId="97" xfId="0" applyFont="1" applyFill="1" applyBorder="1" applyAlignment="1" applyProtection="1">
      <alignment horizontal="center"/>
    </xf>
    <xf numFmtId="0" fontId="160" fillId="19" borderId="83" xfId="0" quotePrefix="1" applyFont="1" applyFill="1" applyBorder="1" applyAlignment="1">
      <alignment horizontal="center"/>
    </xf>
    <xf numFmtId="1" fontId="9" fillId="62" borderId="35" xfId="0" applyNumberFormat="1" applyFont="1" applyFill="1" applyBorder="1" applyAlignment="1" applyProtection="1">
      <alignment horizontal="center"/>
      <protection locked="0"/>
    </xf>
    <xf numFmtId="0" fontId="74" fillId="0" borderId="89" xfId="0" applyFont="1" applyFill="1" applyBorder="1" applyAlignment="1">
      <alignment horizontal="center" vertical="justify" textRotation="90"/>
    </xf>
    <xf numFmtId="0" fontId="210" fillId="67" borderId="58" xfId="0" applyFont="1" applyFill="1" applyBorder="1"/>
    <xf numFmtId="0" fontId="89" fillId="16" borderId="111" xfId="0" applyFont="1" applyFill="1" applyBorder="1"/>
    <xf numFmtId="0" fontId="100" fillId="19" borderId="76" xfId="0" applyFont="1" applyFill="1" applyBorder="1"/>
    <xf numFmtId="0" fontId="89" fillId="67" borderId="59" xfId="0" applyFont="1" applyFill="1" applyBorder="1"/>
    <xf numFmtId="21" fontId="85" fillId="21" borderId="35" xfId="0" quotePrefix="1" applyNumberFormat="1" applyFont="1" applyFill="1" applyBorder="1" applyAlignment="1">
      <alignment horizontal="left"/>
    </xf>
    <xf numFmtId="180" fontId="43" fillId="57" borderId="35" xfId="0" applyNumberFormat="1" applyFont="1" applyFill="1" applyBorder="1" applyProtection="1"/>
    <xf numFmtId="21" fontId="113" fillId="14" borderId="35" xfId="0" applyNumberFormat="1" applyFont="1" applyFill="1" applyBorder="1"/>
    <xf numFmtId="176" fontId="43" fillId="21" borderId="35" xfId="0" applyNumberFormat="1" applyFont="1" applyFill="1" applyBorder="1"/>
    <xf numFmtId="21" fontId="113" fillId="21" borderId="35" xfId="0" applyNumberFormat="1" applyFont="1" applyFill="1" applyBorder="1"/>
    <xf numFmtId="176" fontId="167" fillId="3" borderId="0" xfId="0" applyNumberFormat="1" applyFont="1" applyFill="1" applyBorder="1" applyAlignment="1" applyProtection="1">
      <alignment horizontal="center"/>
      <protection locked="0"/>
    </xf>
    <xf numFmtId="21" fontId="168" fillId="14" borderId="35" xfId="0" applyNumberFormat="1" applyFont="1" applyFill="1" applyBorder="1"/>
    <xf numFmtId="176" fontId="157" fillId="19" borderId="35" xfId="0" applyNumberFormat="1" applyFont="1" applyFill="1" applyBorder="1"/>
    <xf numFmtId="21" fontId="111" fillId="19" borderId="0" xfId="0" applyNumberFormat="1" applyFont="1" applyFill="1" applyBorder="1"/>
    <xf numFmtId="0" fontId="54" fillId="33" borderId="83" xfId="0" applyFont="1" applyFill="1" applyBorder="1" applyProtection="1"/>
    <xf numFmtId="0" fontId="54" fillId="33" borderId="35" xfId="0" quotePrefix="1" applyFont="1" applyFill="1" applyBorder="1" applyAlignment="1" applyProtection="1">
      <alignment horizontal="left"/>
    </xf>
    <xf numFmtId="1" fontId="0" fillId="67" borderId="35" xfId="0" applyNumberFormat="1" applyFill="1" applyBorder="1"/>
    <xf numFmtId="1" fontId="19" fillId="67" borderId="35" xfId="0" applyNumberFormat="1" applyFont="1" applyFill="1" applyBorder="1"/>
    <xf numFmtId="0" fontId="131" fillId="0" borderId="102" xfId="0" applyFont="1" applyFill="1" applyBorder="1" applyAlignment="1" applyProtection="1">
      <alignment horizontal="center"/>
    </xf>
    <xf numFmtId="0" fontId="0" fillId="14" borderId="35" xfId="0" applyFont="1" applyFill="1" applyBorder="1"/>
    <xf numFmtId="0" fontId="0" fillId="21" borderId="36" xfId="0" applyFont="1" applyFill="1" applyBorder="1"/>
    <xf numFmtId="21" fontId="0" fillId="28" borderId="35" xfId="0" applyNumberFormat="1" applyFont="1" applyFill="1" applyBorder="1"/>
    <xf numFmtId="0" fontId="0" fillId="28" borderId="36" xfId="0" applyFont="1" applyFill="1" applyBorder="1"/>
    <xf numFmtId="0" fontId="92" fillId="50" borderId="35" xfId="0" quotePrefix="1" applyFont="1" applyFill="1" applyBorder="1" applyAlignment="1">
      <alignment horizontal="left"/>
    </xf>
    <xf numFmtId="0" fontId="89" fillId="50" borderId="36" xfId="0" applyFont="1" applyFill="1" applyBorder="1"/>
    <xf numFmtId="0" fontId="0" fillId="21" borderId="35" xfId="0" applyFont="1" applyFill="1" applyBorder="1"/>
    <xf numFmtId="0" fontId="0" fillId="19" borderId="36" xfId="0" applyFont="1" applyFill="1" applyBorder="1"/>
    <xf numFmtId="0" fontId="0" fillId="14" borderId="36" xfId="0" applyFont="1" applyFill="1" applyBorder="1"/>
    <xf numFmtId="0" fontId="89" fillId="50" borderId="35" xfId="0" applyFont="1" applyFill="1" applyBorder="1"/>
    <xf numFmtId="0" fontId="0" fillId="0" borderId="100" xfId="0" applyFont="1" applyBorder="1"/>
    <xf numFmtId="0" fontId="0" fillId="0" borderId="94" xfId="0" applyFont="1" applyBorder="1"/>
    <xf numFmtId="0" fontId="81" fillId="28" borderId="35" xfId="0" applyFont="1" applyFill="1" applyBorder="1"/>
    <xf numFmtId="0" fontId="152" fillId="50" borderId="35" xfId="0" applyFont="1" applyFill="1" applyBorder="1"/>
    <xf numFmtId="0" fontId="10" fillId="14" borderId="35" xfId="0" applyFont="1" applyFill="1" applyBorder="1" applyAlignment="1">
      <alignment horizontal="left"/>
    </xf>
    <xf numFmtId="0" fontId="10" fillId="26" borderId="100" xfId="0" applyFont="1" applyFill="1" applyBorder="1"/>
    <xf numFmtId="21" fontId="82" fillId="15" borderId="35" xfId="0" applyNumberFormat="1" applyFont="1" applyFill="1" applyBorder="1"/>
    <xf numFmtId="21" fontId="0" fillId="48" borderId="35" xfId="0" applyNumberFormat="1" applyFill="1" applyBorder="1"/>
    <xf numFmtId="0" fontId="99" fillId="48" borderId="35" xfId="0" applyFont="1" applyFill="1" applyBorder="1"/>
    <xf numFmtId="21" fontId="82" fillId="48" borderId="75" xfId="0" applyNumberFormat="1" applyFont="1" applyFill="1" applyBorder="1" applyAlignment="1">
      <alignment horizontal="center"/>
    </xf>
    <xf numFmtId="21" fontId="99" fillId="48" borderId="35" xfId="0" applyNumberFormat="1" applyFont="1" applyFill="1" applyBorder="1"/>
    <xf numFmtId="0" fontId="160" fillId="48" borderId="35" xfId="0" applyFont="1" applyFill="1" applyBorder="1"/>
    <xf numFmtId="166" fontId="111" fillId="48" borderId="35" xfId="0" applyNumberFormat="1" applyFont="1" applyFill="1" applyBorder="1"/>
    <xf numFmtId="21" fontId="100" fillId="48" borderId="35" xfId="0" quotePrefix="1" applyNumberFormat="1" applyFont="1" applyFill="1" applyBorder="1" applyAlignment="1">
      <alignment horizontal="center"/>
    </xf>
    <xf numFmtId="0" fontId="106" fillId="48" borderId="35" xfId="0" quotePrefix="1" applyFont="1" applyFill="1" applyBorder="1" applyAlignment="1">
      <alignment horizontal="left"/>
    </xf>
    <xf numFmtId="0" fontId="99" fillId="48" borderId="0" xfId="0" applyFont="1" applyFill="1" applyBorder="1"/>
    <xf numFmtId="0" fontId="86" fillId="48" borderId="35" xfId="0" applyFont="1" applyFill="1" applyBorder="1" applyAlignment="1">
      <alignment horizontal="center"/>
    </xf>
    <xf numFmtId="0" fontId="207" fillId="6" borderId="12" xfId="0" applyFont="1" applyFill="1" applyBorder="1" applyAlignment="1" applyProtection="1">
      <alignment horizontal="center"/>
    </xf>
    <xf numFmtId="0" fontId="207" fillId="6" borderId="0" xfId="0" applyFont="1" applyFill="1" applyBorder="1" applyAlignment="1" applyProtection="1">
      <alignment horizontal="center"/>
    </xf>
    <xf numFmtId="0" fontId="211" fillId="66" borderId="35" xfId="0" applyFont="1" applyFill="1" applyBorder="1"/>
    <xf numFmtId="21" fontId="212" fillId="66" borderId="35" xfId="0" applyNumberFormat="1" applyFont="1" applyFill="1" applyBorder="1"/>
    <xf numFmtId="0" fontId="213" fillId="66" borderId="35" xfId="0" applyFont="1" applyFill="1" applyBorder="1" applyAlignment="1">
      <alignment horizontal="left"/>
    </xf>
    <xf numFmtId="166" fontId="214" fillId="66" borderId="35" xfId="0" applyNumberFormat="1" applyFont="1" applyFill="1" applyBorder="1"/>
    <xf numFmtId="21" fontId="215" fillId="66" borderId="35" xfId="0" quotePrefix="1" applyNumberFormat="1" applyFont="1" applyFill="1" applyBorder="1" applyAlignment="1">
      <alignment horizontal="center"/>
    </xf>
    <xf numFmtId="1" fontId="213" fillId="66" borderId="35" xfId="0" applyNumberFormat="1" applyFont="1" applyFill="1" applyBorder="1" applyAlignment="1">
      <alignment horizontal="center"/>
    </xf>
    <xf numFmtId="0" fontId="211" fillId="66" borderId="110" xfId="0" applyFont="1" applyFill="1" applyBorder="1"/>
    <xf numFmtId="0" fontId="9" fillId="0" borderId="114" xfId="0" applyNumberFormat="1" applyFont="1" applyFill="1" applyBorder="1" applyAlignment="1" applyProtection="1">
      <alignment horizontal="center" textRotation="90"/>
    </xf>
    <xf numFmtId="0" fontId="9" fillId="0" borderId="115" xfId="0" applyNumberFormat="1" applyFont="1" applyFill="1" applyBorder="1" applyAlignment="1" applyProtection="1">
      <alignment horizontal="center" textRotation="90"/>
    </xf>
    <xf numFmtId="0" fontId="9" fillId="0" borderId="75" xfId="0" applyNumberFormat="1" applyFont="1" applyFill="1" applyBorder="1" applyAlignment="1">
      <alignment horizontal="center" textRotation="90"/>
    </xf>
    <xf numFmtId="0" fontId="9" fillId="0" borderId="75" xfId="3" applyNumberFormat="1" applyFont="1" applyFill="1" applyBorder="1" applyAlignment="1">
      <alignment horizontal="center" textRotation="90"/>
    </xf>
    <xf numFmtId="0" fontId="110" fillId="0" borderId="75" xfId="0" applyNumberFormat="1" applyFont="1" applyFill="1" applyBorder="1" applyAlignment="1">
      <alignment horizontal="center" textRotation="90"/>
    </xf>
    <xf numFmtId="0" fontId="9" fillId="0" borderId="75" xfId="0" applyNumberFormat="1" applyFont="1" applyFill="1" applyBorder="1" applyAlignment="1">
      <alignment horizontal="center" vertical="justify" textRotation="90"/>
    </xf>
    <xf numFmtId="0" fontId="9" fillId="0" borderId="116" xfId="0" applyNumberFormat="1" applyFont="1" applyFill="1" applyBorder="1" applyAlignment="1">
      <alignment horizontal="center" textRotation="90"/>
    </xf>
    <xf numFmtId="166" fontId="19" fillId="21" borderId="111" xfId="0" applyNumberFormat="1" applyFont="1" applyFill="1" applyBorder="1"/>
    <xf numFmtId="21" fontId="86" fillId="21" borderId="111" xfId="0" applyNumberFormat="1" applyFont="1" applyFill="1" applyBorder="1" applyAlignment="1">
      <alignment horizontal="center"/>
    </xf>
    <xf numFmtId="1" fontId="86" fillId="21" borderId="111" xfId="0" applyNumberFormat="1" applyFont="1" applyFill="1" applyBorder="1" applyAlignment="1">
      <alignment horizontal="center"/>
    </xf>
    <xf numFmtId="1" fontId="19" fillId="17" borderId="0" xfId="0" applyNumberFormat="1" applyFont="1" applyFill="1"/>
    <xf numFmtId="0" fontId="19" fillId="18" borderId="83" xfId="0" applyFont="1" applyFill="1" applyBorder="1"/>
    <xf numFmtId="0" fontId="19" fillId="18" borderId="156" xfId="0" applyFont="1" applyFill="1" applyBorder="1"/>
    <xf numFmtId="21" fontId="216" fillId="17" borderId="129" xfId="0" applyNumberFormat="1" applyFont="1" applyFill="1" applyBorder="1"/>
    <xf numFmtId="21" fontId="81" fillId="21" borderId="129" xfId="0" applyNumberFormat="1" applyFont="1" applyFill="1" applyBorder="1"/>
    <xf numFmtId="21" fontId="86" fillId="21" borderId="129" xfId="0" applyNumberFormat="1" applyFont="1" applyFill="1" applyBorder="1" applyAlignment="1">
      <alignment horizontal="center"/>
    </xf>
    <xf numFmtId="21" fontId="85" fillId="14" borderId="0" xfId="0" applyNumberFormat="1" applyFont="1" applyFill="1" applyBorder="1"/>
    <xf numFmtId="0" fontId="13" fillId="14" borderId="0" xfId="0" applyFont="1" applyFill="1" applyBorder="1"/>
    <xf numFmtId="1" fontId="81" fillId="14" borderId="126" xfId="0" applyNumberFormat="1" applyFont="1" applyFill="1" applyBorder="1"/>
    <xf numFmtId="1" fontId="211" fillId="68" borderId="0" xfId="0" applyNumberFormat="1" applyFont="1" applyFill="1" applyBorder="1"/>
    <xf numFmtId="176" fontId="20" fillId="48" borderId="35" xfId="0" applyNumberFormat="1" applyFont="1" applyFill="1" applyBorder="1"/>
    <xf numFmtId="176" fontId="218" fillId="66" borderId="35" xfId="0" applyNumberFormat="1" applyFont="1" applyFill="1" applyBorder="1"/>
    <xf numFmtId="0" fontId="98" fillId="30" borderId="156" xfId="0" applyFont="1" applyFill="1" applyBorder="1" applyProtection="1"/>
    <xf numFmtId="0" fontId="219" fillId="69" borderId="74" xfId="0" applyFont="1" applyFill="1" applyBorder="1" applyProtection="1"/>
    <xf numFmtId="0" fontId="0" fillId="46" borderId="74" xfId="0" applyFill="1" applyBorder="1"/>
    <xf numFmtId="0" fontId="99" fillId="48" borderId="76" xfId="0" applyFont="1" applyFill="1" applyBorder="1"/>
    <xf numFmtId="0" fontId="98" fillId="69" borderId="76" xfId="0" applyFont="1" applyFill="1" applyBorder="1" applyProtection="1"/>
    <xf numFmtId="21" fontId="212" fillId="66" borderId="111" xfId="0" applyNumberFormat="1" applyFont="1" applyFill="1" applyBorder="1"/>
    <xf numFmtId="0" fontId="5" fillId="6" borderId="12" xfId="0" applyFont="1" applyFill="1" applyBorder="1" applyAlignment="1" applyProtection="1">
      <alignment horizontal="center"/>
    </xf>
    <xf numFmtId="1" fontId="7" fillId="6" borderId="0" xfId="0" applyNumberFormat="1" applyFont="1" applyFill="1" applyBorder="1" applyAlignment="1" applyProtection="1">
      <alignment horizontal="center"/>
      <protection locked="0"/>
    </xf>
    <xf numFmtId="21" fontId="81" fillId="21" borderId="35" xfId="0" applyNumberFormat="1" applyFont="1" applyFill="1" applyBorder="1" applyAlignment="1">
      <alignment horizontal="center"/>
    </xf>
    <xf numFmtId="21" fontId="19" fillId="15" borderId="35" xfId="0" applyNumberFormat="1" applyFont="1" applyFill="1" applyBorder="1" applyAlignment="1">
      <alignment horizontal="center"/>
    </xf>
    <xf numFmtId="21" fontId="152" fillId="16" borderId="35" xfId="0" applyNumberFormat="1" applyFont="1" applyFill="1" applyBorder="1" applyAlignment="1">
      <alignment horizontal="center"/>
    </xf>
    <xf numFmtId="21" fontId="152" fillId="17" borderId="35" xfId="0" applyNumberFormat="1" applyFont="1" applyFill="1" applyBorder="1" applyAlignment="1">
      <alignment horizontal="center"/>
    </xf>
    <xf numFmtId="21" fontId="81" fillId="66" borderId="35" xfId="0" applyNumberFormat="1" applyFont="1" applyFill="1" applyBorder="1"/>
    <xf numFmtId="176" fontId="10" fillId="15" borderId="129" xfId="0" applyNumberFormat="1" applyFont="1" applyFill="1" applyBorder="1"/>
    <xf numFmtId="1" fontId="19" fillId="19" borderId="129" xfId="0" applyNumberFormat="1" applyFont="1" applyFill="1" applyBorder="1"/>
    <xf numFmtId="21" fontId="0" fillId="0" borderId="79" xfId="0" applyNumberFormat="1" applyBorder="1"/>
    <xf numFmtId="1" fontId="19" fillId="0" borderId="79" xfId="0" applyNumberFormat="1" applyFont="1" applyBorder="1"/>
    <xf numFmtId="1" fontId="204" fillId="64" borderId="79" xfId="0" applyNumberFormat="1" applyFont="1" applyFill="1" applyBorder="1" applyAlignment="1" applyProtection="1">
      <alignment horizontal="center"/>
      <protection locked="0"/>
    </xf>
    <xf numFmtId="166" fontId="204" fillId="64" borderId="79" xfId="0" applyNumberFormat="1" applyFont="1" applyFill="1" applyBorder="1" applyAlignment="1" applyProtection="1">
      <alignment horizontal="center"/>
      <protection locked="0"/>
    </xf>
    <xf numFmtId="21" fontId="86" fillId="14" borderId="147" xfId="0" applyNumberFormat="1" applyFont="1" applyFill="1" applyBorder="1"/>
    <xf numFmtId="0" fontId="221" fillId="0" borderId="113" xfId="0" applyFont="1" applyBorder="1"/>
    <xf numFmtId="1" fontId="19" fillId="16" borderId="111" xfId="0" applyNumberFormat="1" applyFont="1" applyFill="1" applyBorder="1"/>
    <xf numFmtId="0" fontId="216" fillId="16" borderId="111" xfId="0" applyFont="1" applyFill="1" applyBorder="1"/>
    <xf numFmtId="21" fontId="216" fillId="16" borderId="111" xfId="0" applyNumberFormat="1" applyFont="1" applyFill="1" applyBorder="1" applyAlignment="1">
      <alignment horizontal="center"/>
    </xf>
    <xf numFmtId="21" fontId="216" fillId="16" borderId="111" xfId="0" applyNumberFormat="1" applyFont="1" applyFill="1" applyBorder="1"/>
    <xf numFmtId="21" fontId="86" fillId="14" borderId="111" xfId="0" applyNumberFormat="1" applyFont="1" applyFill="1" applyBorder="1" applyAlignment="1">
      <alignment horizontal="center"/>
    </xf>
    <xf numFmtId="1" fontId="81" fillId="21" borderId="129" xfId="0" applyNumberFormat="1" applyFont="1" applyFill="1" applyBorder="1"/>
    <xf numFmtId="0" fontId="19" fillId="21" borderId="129" xfId="0" applyFont="1" applyFill="1" applyBorder="1"/>
    <xf numFmtId="21" fontId="81" fillId="21" borderId="129" xfId="0" applyNumberFormat="1" applyFont="1" applyFill="1" applyBorder="1" applyAlignment="1">
      <alignment horizontal="center"/>
    </xf>
    <xf numFmtId="0" fontId="10" fillId="21" borderId="129" xfId="0" applyFont="1" applyFill="1" applyBorder="1"/>
    <xf numFmtId="21" fontId="216" fillId="17" borderId="76" xfId="0" applyNumberFormat="1" applyFont="1" applyFill="1" applyBorder="1" applyAlignment="1">
      <alignment horizontal="center"/>
    </xf>
    <xf numFmtId="176" fontId="10" fillId="17" borderId="76" xfId="0" applyNumberFormat="1" applyFont="1" applyFill="1" applyBorder="1"/>
    <xf numFmtId="21" fontId="86" fillId="14" borderId="76" xfId="0" applyNumberFormat="1" applyFont="1" applyFill="1" applyBorder="1"/>
    <xf numFmtId="166" fontId="204" fillId="64" borderId="0" xfId="0" applyNumberFormat="1" applyFont="1" applyFill="1" applyAlignment="1" applyProtection="1">
      <alignment horizontal="center"/>
      <protection locked="0"/>
    </xf>
    <xf numFmtId="0" fontId="221" fillId="0" borderId="0" xfId="0" applyFont="1"/>
    <xf numFmtId="21" fontId="81" fillId="66" borderId="76" xfId="0" applyNumberFormat="1" applyFont="1" applyFill="1" applyBorder="1"/>
    <xf numFmtId="1" fontId="81" fillId="66" borderId="129" xfId="0" applyNumberFormat="1" applyFont="1" applyFill="1" applyBorder="1"/>
    <xf numFmtId="0" fontId="19" fillId="66" borderId="129" xfId="0" applyFont="1" applyFill="1" applyBorder="1"/>
    <xf numFmtId="21" fontId="81" fillId="66" borderId="129" xfId="0" applyNumberFormat="1" applyFont="1" applyFill="1" applyBorder="1"/>
    <xf numFmtId="0" fontId="10" fillId="66" borderId="129" xfId="0" applyFont="1" applyFill="1" applyBorder="1"/>
    <xf numFmtId="21" fontId="86" fillId="14" borderId="129" xfId="0" applyNumberFormat="1" applyFont="1" applyFill="1" applyBorder="1"/>
    <xf numFmtId="21" fontId="81" fillId="66" borderId="123" xfId="0" applyNumberFormat="1" applyFont="1" applyFill="1" applyBorder="1"/>
    <xf numFmtId="1" fontId="81" fillId="66" borderId="35" xfId="0" applyNumberFormat="1" applyFont="1" applyFill="1" applyBorder="1"/>
    <xf numFmtId="1" fontId="7" fillId="3" borderId="35" xfId="0" applyNumberFormat="1" applyFont="1" applyFill="1" applyBorder="1" applyAlignment="1" applyProtection="1">
      <alignment horizontal="center"/>
      <protection locked="0"/>
    </xf>
    <xf numFmtId="166" fontId="7" fillId="3" borderId="35" xfId="0" applyNumberFormat="1" applyFont="1" applyFill="1" applyBorder="1" applyAlignment="1" applyProtection="1">
      <alignment horizontal="center"/>
      <protection locked="0"/>
    </xf>
    <xf numFmtId="0" fontId="131" fillId="0" borderId="96" xfId="0" applyFont="1" applyFill="1" applyBorder="1" applyAlignment="1" applyProtection="1">
      <alignment horizontal="center"/>
    </xf>
    <xf numFmtId="21" fontId="10" fillId="15" borderId="35" xfId="0" quotePrefix="1" applyNumberFormat="1" applyFont="1" applyFill="1" applyBorder="1" applyAlignment="1">
      <alignment horizontal="center"/>
    </xf>
    <xf numFmtId="0" fontId="10" fillId="15" borderId="35" xfId="0" applyFont="1" applyFill="1" applyBorder="1" applyAlignment="1">
      <alignment horizontal="center"/>
    </xf>
    <xf numFmtId="0" fontId="8" fillId="33" borderId="35" xfId="0" applyFont="1" applyFill="1" applyBorder="1" applyAlignment="1" applyProtection="1">
      <alignment horizontal="center"/>
    </xf>
    <xf numFmtId="1" fontId="9" fillId="3" borderId="0" xfId="0" applyNumberFormat="1" applyFont="1" applyFill="1" applyBorder="1" applyAlignment="1" applyProtection="1">
      <alignment horizontal="center"/>
      <protection locked="0"/>
    </xf>
    <xf numFmtId="0" fontId="8" fillId="30" borderId="83" xfId="0" applyFont="1" applyFill="1" applyBorder="1" applyAlignment="1" applyProtection="1">
      <alignment horizontal="center"/>
    </xf>
    <xf numFmtId="14" fontId="10" fillId="3" borderId="0" xfId="0" applyNumberFormat="1" applyFont="1" applyFill="1" applyAlignment="1" applyProtection="1">
      <alignment horizontal="center"/>
      <protection locked="0"/>
    </xf>
    <xf numFmtId="14" fontId="10" fillId="3" borderId="0" xfId="0" quotePrefix="1" applyNumberFormat="1" applyFont="1" applyFill="1" applyAlignment="1" applyProtection="1">
      <alignment horizontal="center"/>
      <protection locked="0"/>
    </xf>
    <xf numFmtId="0" fontId="10" fillId="21" borderId="35" xfId="0" applyFont="1" applyFill="1" applyBorder="1" applyAlignment="1">
      <alignment horizontal="center"/>
    </xf>
    <xf numFmtId="21" fontId="8" fillId="19" borderId="35" xfId="0" applyNumberFormat="1" applyFont="1" applyFill="1" applyBorder="1" applyAlignment="1">
      <alignment horizontal="center"/>
    </xf>
    <xf numFmtId="177" fontId="10" fillId="57" borderId="32" xfId="0" applyNumberFormat="1" applyFont="1" applyFill="1" applyBorder="1" applyAlignment="1" applyProtection="1">
      <alignment horizontal="center"/>
    </xf>
    <xf numFmtId="47" fontId="22" fillId="0" borderId="35" xfId="4" applyNumberFormat="1" applyFont="1" applyBorder="1" applyAlignment="1" applyProtection="1">
      <alignment horizontal="center"/>
      <protection locked="0"/>
    </xf>
    <xf numFmtId="0" fontId="5" fillId="0" borderId="152" xfId="0" applyFont="1" applyFill="1" applyBorder="1" applyAlignment="1" applyProtection="1">
      <alignment horizontal="center"/>
    </xf>
    <xf numFmtId="0" fontId="5" fillId="0" borderId="71" xfId="0" applyFont="1" applyFill="1" applyBorder="1" applyAlignment="1" applyProtection="1">
      <alignment horizontal="center"/>
    </xf>
    <xf numFmtId="0" fontId="171" fillId="3" borderId="0" xfId="0" applyFont="1" applyFill="1" applyProtection="1"/>
    <xf numFmtId="0" fontId="172" fillId="3" borderId="0" xfId="0" applyFont="1" applyFill="1" applyAlignment="1" applyProtection="1">
      <alignment horizontal="left" vertical="center"/>
    </xf>
    <xf numFmtId="21" fontId="173" fillId="3" borderId="0" xfId="0" applyNumberFormat="1" applyFont="1" applyFill="1" applyAlignment="1" applyProtection="1">
      <alignment horizontal="center"/>
    </xf>
    <xf numFmtId="0" fontId="173" fillId="3" borderId="0" xfId="0" applyFont="1" applyFill="1" applyAlignment="1" applyProtection="1">
      <alignment horizontal="center"/>
    </xf>
    <xf numFmtId="166" fontId="174" fillId="3" borderId="0" xfId="0" applyNumberFormat="1" applyFont="1" applyFill="1" applyAlignment="1" applyProtection="1">
      <alignment horizontal="center"/>
    </xf>
    <xf numFmtId="3" fontId="175" fillId="3" borderId="0" xfId="0" applyNumberFormat="1" applyFont="1" applyFill="1" applyAlignment="1" applyProtection="1">
      <alignment horizontal="center"/>
    </xf>
    <xf numFmtId="0" fontId="176" fillId="3" borderId="0" xfId="0" applyFont="1" applyFill="1" applyAlignment="1" applyProtection="1">
      <alignment horizontal="center"/>
    </xf>
    <xf numFmtId="0" fontId="177" fillId="3" borderId="0" xfId="0" applyFont="1" applyFill="1" applyProtection="1"/>
    <xf numFmtId="0" fontId="178" fillId="3" borderId="0" xfId="0" applyFont="1" applyFill="1" applyAlignment="1" applyProtection="1">
      <alignment horizontal="center"/>
    </xf>
    <xf numFmtId="0" fontId="179" fillId="3" borderId="0" xfId="0" applyFont="1" applyFill="1" applyProtection="1"/>
    <xf numFmtId="0" fontId="180" fillId="3" borderId="0" xfId="0" applyFont="1" applyFill="1" applyAlignment="1" applyProtection="1">
      <alignment horizontal="center"/>
      <protection locked="0"/>
    </xf>
    <xf numFmtId="0" fontId="180" fillId="3" borderId="0" xfId="0" applyFont="1" applyFill="1" applyAlignment="1" applyProtection="1">
      <alignment horizontal="center"/>
    </xf>
    <xf numFmtId="166" fontId="181" fillId="3" borderId="0" xfId="0" applyNumberFormat="1" applyFont="1" applyFill="1" applyAlignment="1" applyProtection="1">
      <alignment horizontal="center"/>
    </xf>
    <xf numFmtId="3" fontId="180" fillId="3" borderId="0" xfId="0" applyNumberFormat="1" applyFont="1" applyFill="1" applyAlignment="1" applyProtection="1">
      <alignment horizontal="center"/>
    </xf>
    <xf numFmtId="0" fontId="182" fillId="0" borderId="89" xfId="0" applyFont="1" applyFill="1" applyBorder="1" applyAlignment="1">
      <alignment horizontal="center" textRotation="90"/>
    </xf>
    <xf numFmtId="0" fontId="182" fillId="0" borderId="87" xfId="0" applyFont="1" applyFill="1" applyBorder="1" applyAlignment="1">
      <alignment horizontal="center" textRotation="90"/>
    </xf>
    <xf numFmtId="166" fontId="181" fillId="0" borderId="87" xfId="0" applyNumberFormat="1" applyFont="1" applyFill="1" applyBorder="1" applyAlignment="1">
      <alignment horizontal="center" textRotation="90"/>
    </xf>
    <xf numFmtId="3" fontId="172" fillId="3" borderId="69" xfId="0" applyNumberFormat="1" applyFont="1" applyFill="1" applyBorder="1" applyAlignment="1" applyProtection="1">
      <alignment horizontal="center" textRotation="90"/>
    </xf>
    <xf numFmtId="0" fontId="183" fillId="3" borderId="0" xfId="0" applyFont="1" applyFill="1" applyProtection="1"/>
    <xf numFmtId="45" fontId="184" fillId="3" borderId="0" xfId="0" applyNumberFormat="1" applyFont="1" applyFill="1" applyAlignment="1" applyProtection="1">
      <alignment horizontal="left"/>
    </xf>
    <xf numFmtId="0" fontId="184" fillId="3" borderId="0" xfId="0" applyFont="1" applyFill="1" applyAlignment="1" applyProtection="1">
      <alignment horizontal="center"/>
    </xf>
    <xf numFmtId="0" fontId="185" fillId="3" borderId="0" xfId="0" applyFont="1" applyFill="1" applyProtection="1"/>
    <xf numFmtId="0" fontId="186" fillId="3" borderId="0" xfId="0" applyFont="1" applyFill="1" applyProtection="1"/>
    <xf numFmtId="1" fontId="187" fillId="14" borderId="35" xfId="0" applyNumberFormat="1" applyFont="1" applyFill="1" applyBorder="1"/>
    <xf numFmtId="21" fontId="188" fillId="14" borderId="35" xfId="0" applyNumberFormat="1" applyFont="1" applyFill="1" applyBorder="1"/>
    <xf numFmtId="0" fontId="189" fillId="14" borderId="35" xfId="0" applyFont="1" applyFill="1" applyBorder="1"/>
    <xf numFmtId="166" fontId="190" fillId="14" borderId="35" xfId="0" applyNumberFormat="1" applyFont="1" applyFill="1" applyBorder="1"/>
    <xf numFmtId="166" fontId="176" fillId="3" borderId="71" xfId="0" applyNumberFormat="1" applyFont="1" applyFill="1" applyBorder="1" applyAlignment="1" applyProtection="1">
      <alignment horizontal="center"/>
    </xf>
    <xf numFmtId="21" fontId="176" fillId="3" borderId="71" xfId="0" applyNumberFormat="1" applyFont="1" applyFill="1" applyBorder="1" applyAlignment="1" applyProtection="1">
      <alignment horizontal="center"/>
    </xf>
    <xf numFmtId="166" fontId="178" fillId="3" borderId="0" xfId="0" applyNumberFormat="1" applyFont="1" applyFill="1" applyAlignment="1" applyProtection="1">
      <alignment horizontal="center"/>
    </xf>
    <xf numFmtId="1" fontId="187" fillId="21" borderId="111" xfId="0" applyNumberFormat="1" applyFont="1" applyFill="1" applyBorder="1"/>
    <xf numFmtId="21" fontId="188" fillId="21" borderId="35" xfId="0" applyNumberFormat="1" applyFont="1" applyFill="1" applyBorder="1"/>
    <xf numFmtId="0" fontId="185" fillId="21" borderId="35" xfId="0" applyFont="1" applyFill="1" applyBorder="1"/>
    <xf numFmtId="166" fontId="174" fillId="21" borderId="35" xfId="0" applyNumberFormat="1" applyFont="1" applyFill="1" applyBorder="1"/>
    <xf numFmtId="1" fontId="191" fillId="3" borderId="79" xfId="0" applyNumberFormat="1" applyFont="1" applyFill="1" applyBorder="1" applyAlignment="1" applyProtection="1">
      <alignment horizontal="center"/>
      <protection locked="0"/>
    </xf>
    <xf numFmtId="1" fontId="171" fillId="19" borderId="35" xfId="0" applyNumberFormat="1" applyFont="1" applyFill="1" applyBorder="1"/>
    <xf numFmtId="21" fontId="177" fillId="19" borderId="35" xfId="0" applyNumberFormat="1" applyFont="1" applyFill="1" applyBorder="1"/>
    <xf numFmtId="21" fontId="193" fillId="19" borderId="35" xfId="0" applyNumberFormat="1" applyFont="1" applyFill="1" applyBorder="1"/>
    <xf numFmtId="166" fontId="195" fillId="19" borderId="35" xfId="0" applyNumberFormat="1" applyFont="1" applyFill="1" applyBorder="1"/>
    <xf numFmtId="1" fontId="187" fillId="14" borderId="38" xfId="0" applyNumberFormat="1" applyFont="1" applyFill="1" applyBorder="1"/>
    <xf numFmtId="21" fontId="188" fillId="14" borderId="38" xfId="0" applyNumberFormat="1" applyFont="1" applyFill="1" applyBorder="1"/>
    <xf numFmtId="166" fontId="190" fillId="14" borderId="38" xfId="0" applyNumberFormat="1" applyFont="1" applyFill="1" applyBorder="1"/>
    <xf numFmtId="1" fontId="179" fillId="0" borderId="79" xfId="0" applyNumberFormat="1" applyFont="1" applyFill="1" applyBorder="1"/>
    <xf numFmtId="166" fontId="181" fillId="3" borderId="79" xfId="0" applyNumberFormat="1" applyFont="1" applyFill="1" applyBorder="1" applyAlignment="1" applyProtection="1">
      <alignment horizontal="center"/>
      <protection locked="0"/>
    </xf>
    <xf numFmtId="1" fontId="171" fillId="3" borderId="1" xfId="0" applyNumberFormat="1" applyFont="1" applyFill="1" applyBorder="1" applyProtection="1"/>
    <xf numFmtId="0" fontId="171" fillId="3" borderId="1" xfId="0" applyFont="1" applyFill="1" applyBorder="1" applyProtection="1"/>
    <xf numFmtId="1" fontId="187" fillId="21" borderId="126" xfId="0" applyNumberFormat="1" applyFont="1" applyFill="1" applyBorder="1"/>
    <xf numFmtId="21" fontId="188" fillId="21" borderId="32" xfId="0" applyNumberFormat="1" applyFont="1" applyFill="1" applyBorder="1"/>
    <xf numFmtId="166" fontId="174" fillId="21" borderId="32" xfId="0" applyNumberFormat="1" applyFont="1" applyFill="1" applyBorder="1"/>
    <xf numFmtId="1" fontId="171" fillId="0" borderId="79" xfId="0" applyNumberFormat="1" applyFont="1" applyFill="1" applyBorder="1"/>
    <xf numFmtId="1" fontId="176" fillId="3" borderId="79" xfId="0" applyNumberFormat="1" applyFont="1" applyFill="1" applyBorder="1" applyAlignment="1" applyProtection="1">
      <alignment horizontal="center"/>
      <protection locked="0"/>
    </xf>
    <xf numFmtId="166" fontId="196" fillId="3" borderId="79" xfId="0" applyNumberFormat="1" applyFont="1" applyFill="1" applyBorder="1" applyAlignment="1" applyProtection="1">
      <alignment horizontal="center"/>
      <protection locked="0"/>
    </xf>
    <xf numFmtId="1" fontId="171" fillId="17" borderId="0" xfId="0" applyNumberFormat="1" applyFont="1" applyFill="1" applyBorder="1"/>
    <xf numFmtId="0" fontId="178" fillId="3" borderId="0" xfId="0" applyFont="1" applyFill="1" applyProtection="1"/>
    <xf numFmtId="21" fontId="186" fillId="3" borderId="0" xfId="0" applyNumberFormat="1" applyFont="1" applyFill="1" applyProtection="1"/>
    <xf numFmtId="21" fontId="198" fillId="3" borderId="0" xfId="0" applyNumberFormat="1" applyFont="1" applyFill="1" applyAlignment="1" applyProtection="1">
      <alignment horizontal="center"/>
    </xf>
    <xf numFmtId="0" fontId="198" fillId="3" borderId="0" xfId="0" applyFont="1" applyFill="1" applyAlignment="1" applyProtection="1">
      <alignment horizontal="center"/>
    </xf>
    <xf numFmtId="166" fontId="184" fillId="3" borderId="0" xfId="0" applyNumberFormat="1" applyFont="1" applyFill="1" applyAlignment="1" applyProtection="1">
      <alignment horizontal="center"/>
    </xf>
    <xf numFmtId="0" fontId="198" fillId="3" borderId="0" xfId="0" applyFont="1" applyFill="1" applyAlignment="1" applyProtection="1">
      <alignment horizontal="center"/>
      <protection locked="0"/>
    </xf>
    <xf numFmtId="0" fontId="178" fillId="3" borderId="0" xfId="0" applyFont="1" applyFill="1" applyAlignment="1" applyProtection="1">
      <alignment horizontal="center"/>
      <protection locked="0"/>
    </xf>
    <xf numFmtId="21" fontId="186" fillId="3" borderId="0" xfId="0" applyNumberFormat="1" applyFont="1" applyFill="1" applyAlignment="1" applyProtection="1">
      <alignment horizontal="center"/>
    </xf>
    <xf numFmtId="0" fontId="186" fillId="3" borderId="0" xfId="0" applyFont="1" applyFill="1" applyAlignment="1" applyProtection="1">
      <alignment horizontal="center"/>
    </xf>
    <xf numFmtId="0" fontId="186" fillId="3" borderId="0" xfId="0" applyFont="1" applyFill="1" applyAlignment="1" applyProtection="1">
      <alignment horizontal="center"/>
      <protection locked="0"/>
    </xf>
    <xf numFmtId="3" fontId="186" fillId="3" borderId="0" xfId="0" applyNumberFormat="1" applyFont="1" applyFill="1" applyAlignment="1" applyProtection="1">
      <alignment horizontal="center"/>
      <protection locked="0"/>
    </xf>
    <xf numFmtId="0" fontId="197" fillId="3" borderId="0" xfId="0" applyFont="1" applyFill="1" applyAlignment="1" applyProtection="1">
      <alignment horizontal="center"/>
      <protection locked="0"/>
    </xf>
    <xf numFmtId="0" fontId="173" fillId="3" borderId="0" xfId="0" applyFont="1" applyFill="1" applyAlignment="1" applyProtection="1">
      <alignment horizontal="center"/>
      <protection locked="0"/>
    </xf>
    <xf numFmtId="0" fontId="176" fillId="3" borderId="0" xfId="0" applyFont="1" applyFill="1" applyAlignment="1" applyProtection="1">
      <alignment horizontal="center"/>
      <protection locked="0"/>
    </xf>
    <xf numFmtId="0" fontId="0" fillId="3" borderId="1" xfId="0" applyFont="1" applyFill="1" applyBorder="1" applyProtection="1"/>
    <xf numFmtId="0" fontId="0" fillId="3" borderId="0" xfId="0" applyFont="1" applyFill="1" applyProtection="1"/>
    <xf numFmtId="0" fontId="0" fillId="14" borderId="39" xfId="0" applyFont="1" applyFill="1" applyBorder="1"/>
    <xf numFmtId="0" fontId="0" fillId="3" borderId="18" xfId="0" applyFont="1" applyFill="1" applyBorder="1" applyProtection="1"/>
    <xf numFmtId="0" fontId="0" fillId="21" borderId="33" xfId="0" applyFont="1" applyFill="1" applyBorder="1"/>
    <xf numFmtId="0" fontId="0" fillId="14" borderId="38" xfId="0" applyFont="1" applyFill="1" applyBorder="1"/>
    <xf numFmtId="0" fontId="0" fillId="21" borderId="32" xfId="0" applyFont="1" applyFill="1" applyBorder="1"/>
    <xf numFmtId="0" fontId="199" fillId="0" borderId="102" xfId="0" applyFont="1" applyFill="1" applyBorder="1"/>
    <xf numFmtId="168" fontId="10" fillId="8" borderId="34" xfId="7" applyNumberFormat="1" applyFont="1" applyFill="1" applyBorder="1" applyProtection="1"/>
    <xf numFmtId="168" fontId="10" fillId="8" borderId="35" xfId="7" applyNumberFormat="1" applyFont="1" applyFill="1" applyBorder="1" applyProtection="1"/>
    <xf numFmtId="168" fontId="10" fillId="8" borderId="36" xfId="7" applyNumberFormat="1" applyFont="1" applyFill="1" applyBorder="1" applyProtection="1"/>
    <xf numFmtId="0" fontId="5" fillId="0" borderId="151" xfId="0" applyFont="1" applyFill="1" applyBorder="1" applyAlignment="1" applyProtection="1">
      <alignment horizontal="center"/>
    </xf>
    <xf numFmtId="0" fontId="5" fillId="0" borderId="148" xfId="0" applyFont="1" applyFill="1" applyBorder="1" applyAlignment="1" applyProtection="1">
      <alignment horizontal="center" textRotation="90"/>
    </xf>
    <xf numFmtId="0" fontId="5" fillId="0" borderId="149" xfId="0" applyFont="1" applyFill="1" applyBorder="1" applyAlignment="1" applyProtection="1">
      <alignment horizontal="center" textRotation="90"/>
    </xf>
    <xf numFmtId="0" fontId="5" fillId="0" borderId="153" xfId="0" applyFont="1" applyFill="1" applyBorder="1" applyAlignment="1" applyProtection="1">
      <alignment horizontal="center"/>
    </xf>
    <xf numFmtId="0" fontId="5" fillId="0" borderId="154" xfId="0" applyFont="1" applyFill="1" applyBorder="1" applyAlignment="1" applyProtection="1">
      <alignment horizontal="center"/>
    </xf>
    <xf numFmtId="0" fontId="5" fillId="0" borderId="124" xfId="0" applyFont="1" applyFill="1" applyBorder="1" applyAlignment="1" applyProtection="1">
      <alignment horizontal="center"/>
    </xf>
    <xf numFmtId="0" fontId="0" fillId="54" borderId="1" xfId="0" applyFont="1" applyFill="1" applyBorder="1" applyAlignment="1" applyProtection="1">
      <alignment horizontal="center"/>
    </xf>
    <xf numFmtId="46" fontId="0" fillId="3" borderId="1" xfId="0" applyNumberFormat="1" applyFont="1" applyFill="1" applyBorder="1" applyProtection="1"/>
    <xf numFmtId="0" fontId="0" fillId="14" borderId="129" xfId="0" applyFill="1" applyBorder="1"/>
    <xf numFmtId="21" fontId="82" fillId="14" borderId="129" xfId="0" applyNumberFormat="1" applyFont="1" applyFill="1" applyBorder="1"/>
    <xf numFmtId="0" fontId="86" fillId="14" borderId="129" xfId="0" applyFont="1" applyFill="1" applyBorder="1"/>
    <xf numFmtId="21" fontId="85" fillId="14" borderId="129" xfId="0" applyNumberFormat="1" applyFont="1" applyFill="1" applyBorder="1" applyAlignment="1">
      <alignment horizontal="center"/>
    </xf>
    <xf numFmtId="1" fontId="86" fillId="14" borderId="129" xfId="0" applyNumberFormat="1" applyFont="1" applyFill="1" applyBorder="1" applyAlignment="1">
      <alignment horizontal="center"/>
    </xf>
    <xf numFmtId="0" fontId="34" fillId="0" borderId="40" xfId="4" applyFont="1" applyBorder="1" applyProtection="1">
      <protection locked="0"/>
    </xf>
    <xf numFmtId="21" fontId="54" fillId="48" borderId="35" xfId="0" applyNumberFormat="1" applyFont="1" applyFill="1" applyBorder="1"/>
    <xf numFmtId="176" fontId="222" fillId="6" borderId="0" xfId="0" applyNumberFormat="1" applyFont="1" applyFill="1" applyBorder="1" applyAlignment="1" applyProtection="1">
      <alignment horizontal="center"/>
      <protection locked="0"/>
    </xf>
    <xf numFmtId="176" fontId="218" fillId="6" borderId="0" xfId="0" applyNumberFormat="1" applyFont="1" applyFill="1" applyBorder="1" applyAlignment="1" applyProtection="1">
      <alignment horizontal="center"/>
      <protection locked="0"/>
    </xf>
    <xf numFmtId="21" fontId="19" fillId="46" borderId="35" xfId="0" applyNumberFormat="1" applyFont="1" applyFill="1" applyBorder="1"/>
    <xf numFmtId="21" fontId="86" fillId="46" borderId="35" xfId="0" quotePrefix="1" applyNumberFormat="1" applyFont="1" applyFill="1" applyBorder="1" applyAlignment="1">
      <alignment horizontal="center"/>
    </xf>
    <xf numFmtId="0" fontId="2" fillId="18" borderId="0" xfId="0" applyFont="1" applyFill="1" applyBorder="1" applyProtection="1"/>
    <xf numFmtId="0" fontId="16" fillId="30" borderId="0" xfId="0" applyFont="1" applyFill="1" applyBorder="1" applyProtection="1"/>
    <xf numFmtId="0" fontId="99" fillId="19" borderId="0" xfId="0" applyFont="1" applyFill="1" applyBorder="1"/>
    <xf numFmtId="3" fontId="48" fillId="3" borderId="0" xfId="0" applyNumberFormat="1" applyFont="1" applyFill="1" applyAlignment="1" applyProtection="1">
      <alignment horizontal="center"/>
    </xf>
    <xf numFmtId="21" fontId="48" fillId="0" borderId="90" xfId="0" applyNumberFormat="1" applyFont="1" applyFill="1" applyBorder="1" applyAlignment="1">
      <alignment horizontal="center" textRotation="90"/>
    </xf>
    <xf numFmtId="21" fontId="48" fillId="0" borderId="116" xfId="0" applyNumberFormat="1" applyFont="1" applyFill="1" applyBorder="1" applyAlignment="1">
      <alignment horizontal="center" textRotation="90"/>
    </xf>
    <xf numFmtId="0" fontId="75" fillId="21" borderId="36" xfId="0" applyFont="1" applyFill="1" applyBorder="1"/>
    <xf numFmtId="0" fontId="202" fillId="19" borderId="83" xfId="0" applyFont="1" applyFill="1" applyBorder="1"/>
    <xf numFmtId="0" fontId="223" fillId="66" borderId="110" xfId="0" applyFont="1" applyFill="1" applyBorder="1"/>
    <xf numFmtId="0" fontId="75" fillId="46" borderId="36" xfId="0" applyFont="1" applyFill="1" applyBorder="1"/>
    <xf numFmtId="0" fontId="122" fillId="3" borderId="0" xfId="0" applyFont="1" applyFill="1" applyProtection="1">
      <protection locked="0"/>
    </xf>
    <xf numFmtId="3" fontId="122" fillId="3" borderId="0" xfId="0" applyNumberFormat="1" applyFont="1" applyFill="1" applyAlignment="1" applyProtection="1">
      <alignment horizontal="center"/>
      <protection locked="0"/>
    </xf>
    <xf numFmtId="3" fontId="48" fillId="3" borderId="0" xfId="0" applyNumberFormat="1" applyFont="1" applyFill="1" applyAlignment="1" applyProtection="1">
      <alignment horizontal="center"/>
      <protection locked="0"/>
    </xf>
    <xf numFmtId="0" fontId="75" fillId="3" borderId="0" xfId="0" applyFont="1" applyFill="1" applyProtection="1"/>
    <xf numFmtId="166" fontId="109" fillId="14" borderId="35" xfId="0" applyNumberFormat="1" applyFont="1" applyFill="1" applyBorder="1"/>
    <xf numFmtId="0" fontId="75" fillId="14" borderId="36" xfId="0" applyFont="1" applyFill="1" applyBorder="1"/>
    <xf numFmtId="0" fontId="75" fillId="16" borderId="36" xfId="0" applyFont="1" applyFill="1" applyBorder="1"/>
    <xf numFmtId="21" fontId="106" fillId="21" borderId="35" xfId="0" quotePrefix="1" applyNumberFormat="1" applyFont="1" applyFill="1" applyBorder="1" applyAlignment="1">
      <alignment horizontal="center"/>
    </xf>
    <xf numFmtId="21" fontId="0" fillId="65" borderId="35" xfId="0" applyNumberFormat="1" applyFill="1" applyBorder="1"/>
    <xf numFmtId="166" fontId="111" fillId="29" borderId="35" xfId="0" applyNumberFormat="1" applyFont="1" applyFill="1" applyBorder="1"/>
    <xf numFmtId="0" fontId="202" fillId="29" borderId="0" xfId="0" applyFont="1" applyFill="1" applyBorder="1"/>
    <xf numFmtId="0" fontId="5" fillId="6" borderId="96" xfId="0" applyFont="1" applyFill="1" applyBorder="1" applyAlignment="1" applyProtection="1">
      <alignment horizontal="center"/>
    </xf>
    <xf numFmtId="21" fontId="0" fillId="66" borderId="0" xfId="0" applyNumberFormat="1" applyFill="1" applyBorder="1"/>
    <xf numFmtId="166" fontId="108" fillId="3" borderId="0" xfId="0" applyNumberFormat="1" applyFont="1" applyFill="1" applyBorder="1" applyAlignment="1" applyProtection="1">
      <protection locked="0"/>
    </xf>
    <xf numFmtId="0" fontId="8" fillId="30" borderId="0" xfId="0" applyFont="1" applyFill="1" applyBorder="1" applyProtection="1"/>
    <xf numFmtId="0" fontId="211" fillId="66" borderId="76" xfId="0" applyFont="1" applyFill="1" applyBorder="1"/>
    <xf numFmtId="21" fontId="212" fillId="66" borderId="76" xfId="0" applyNumberFormat="1" applyFont="1" applyFill="1" applyBorder="1"/>
    <xf numFmtId="0" fontId="213" fillId="66" borderId="76" xfId="0" applyFont="1" applyFill="1" applyBorder="1" applyAlignment="1">
      <alignment horizontal="left"/>
    </xf>
    <xf numFmtId="176" fontId="218" fillId="66" borderId="76" xfId="0" applyNumberFormat="1" applyFont="1" applyFill="1" applyBorder="1"/>
    <xf numFmtId="166" fontId="214" fillId="66" borderId="76" xfId="0" applyNumberFormat="1" applyFont="1" applyFill="1" applyBorder="1"/>
    <xf numFmtId="21" fontId="215" fillId="66" borderId="76" xfId="0" quotePrefix="1" applyNumberFormat="1" applyFont="1" applyFill="1" applyBorder="1" applyAlignment="1">
      <alignment horizontal="center"/>
    </xf>
    <xf numFmtId="1" fontId="213" fillId="66" borderId="76" xfId="0" applyNumberFormat="1" applyFont="1" applyFill="1" applyBorder="1" applyAlignment="1">
      <alignment horizontal="center"/>
    </xf>
    <xf numFmtId="0" fontId="211" fillId="66" borderId="86" xfId="0" applyFont="1" applyFill="1" applyBorder="1"/>
    <xf numFmtId="0" fontId="10" fillId="46" borderId="129" xfId="0" applyFont="1" applyFill="1" applyBorder="1"/>
    <xf numFmtId="0" fontId="86" fillId="46" borderId="129" xfId="0" applyFont="1" applyFill="1" applyBorder="1" applyAlignment="1">
      <alignment horizontal="center"/>
    </xf>
    <xf numFmtId="0" fontId="208" fillId="48" borderId="129" xfId="0" applyFont="1" applyFill="1" applyBorder="1"/>
    <xf numFmtId="21" fontId="82" fillId="48" borderId="123" xfId="0" applyNumberFormat="1" applyFont="1" applyFill="1" applyBorder="1" applyAlignment="1">
      <alignment horizontal="center"/>
    </xf>
    <xf numFmtId="21" fontId="208" fillId="48" borderId="129" xfId="0" applyNumberFormat="1" applyFont="1" applyFill="1" applyBorder="1"/>
    <xf numFmtId="166" fontId="224" fillId="48" borderId="129" xfId="0" applyNumberFormat="1" applyFont="1" applyFill="1" applyBorder="1"/>
    <xf numFmtId="21" fontId="217" fillId="48" borderId="129" xfId="0" applyNumberFormat="1" applyFont="1" applyFill="1" applyBorder="1" applyAlignment="1">
      <alignment horizontal="center"/>
    </xf>
    <xf numFmtId="0" fontId="220" fillId="48" borderId="129" xfId="0" applyFont="1" applyFill="1" applyBorder="1" applyAlignment="1">
      <alignment horizontal="left"/>
    </xf>
    <xf numFmtId="0" fontId="208" fillId="48" borderId="0" xfId="0" applyFont="1" applyFill="1"/>
    <xf numFmtId="0" fontId="203" fillId="29" borderId="129" xfId="0" applyFont="1" applyFill="1" applyBorder="1"/>
    <xf numFmtId="21" fontId="208" fillId="29" borderId="129" xfId="0" applyNumberFormat="1" applyFont="1" applyFill="1" applyBorder="1"/>
    <xf numFmtId="166" fontId="209" fillId="29" borderId="129" xfId="0" applyNumberFormat="1" applyFont="1" applyFill="1" applyBorder="1"/>
    <xf numFmtId="21" fontId="217" fillId="29" borderId="129" xfId="0" applyNumberFormat="1" applyFont="1" applyFill="1" applyBorder="1" applyAlignment="1">
      <alignment horizontal="center"/>
    </xf>
    <xf numFmtId="1" fontId="220" fillId="29" borderId="129" xfId="0" applyNumberFormat="1" applyFont="1" applyFill="1" applyBorder="1" applyAlignment="1">
      <alignment horizontal="center"/>
    </xf>
    <xf numFmtId="0" fontId="203" fillId="29" borderId="158" xfId="0" applyFont="1" applyFill="1" applyBorder="1"/>
    <xf numFmtId="176" fontId="86" fillId="14" borderId="129" xfId="0" applyNumberFormat="1" applyFont="1" applyFill="1" applyBorder="1"/>
    <xf numFmtId="166" fontId="113" fillId="14" borderId="129" xfId="0" applyNumberFormat="1" applyFont="1" applyFill="1" applyBorder="1"/>
    <xf numFmtId="0" fontId="203" fillId="29" borderId="136" xfId="0" applyFont="1" applyFill="1" applyBorder="1"/>
    <xf numFmtId="0" fontId="5" fillId="0" borderId="87" xfId="0" applyFont="1" applyFill="1" applyBorder="1" applyAlignment="1">
      <alignment horizontal="center" textRotation="90"/>
    </xf>
    <xf numFmtId="0" fontId="5" fillId="0" borderId="75" xfId="0" applyFont="1" applyFill="1" applyBorder="1" applyAlignment="1">
      <alignment horizontal="left"/>
    </xf>
    <xf numFmtId="0" fontId="18" fillId="3" borderId="0" xfId="0" applyFont="1" applyFill="1" applyAlignment="1" applyProtection="1">
      <alignment horizontal="left" vertical="center"/>
    </xf>
    <xf numFmtId="0" fontId="11" fillId="33" borderId="35" xfId="0" applyFont="1" applyFill="1" applyBorder="1" applyProtection="1"/>
    <xf numFmtId="0" fontId="1" fillId="14" borderId="39" xfId="0" applyFont="1" applyFill="1" applyBorder="1"/>
    <xf numFmtId="21" fontId="16" fillId="29" borderId="35" xfId="0" applyNumberFormat="1" applyFont="1" applyFill="1" applyBorder="1"/>
    <xf numFmtId="21" fontId="11" fillId="29" borderId="35" xfId="0" quotePrefix="1" applyNumberFormat="1" applyFont="1" applyFill="1" applyBorder="1" applyAlignment="1">
      <alignment horizontal="center"/>
    </xf>
    <xf numFmtId="21" fontId="11" fillId="19" borderId="35" xfId="0" quotePrefix="1" applyNumberFormat="1" applyFont="1" applyFill="1" applyBorder="1" applyAlignment="1">
      <alignment horizontal="center"/>
    </xf>
    <xf numFmtId="0" fontId="10" fillId="14" borderId="35" xfId="0" applyFont="1" applyFill="1" applyBorder="1"/>
    <xf numFmtId="0" fontId="16" fillId="19" borderId="83" xfId="0" applyFont="1" applyFill="1" applyBorder="1"/>
    <xf numFmtId="0" fontId="8" fillId="48" borderId="35" xfId="0" quotePrefix="1" applyFont="1" applyFill="1" applyBorder="1" applyAlignment="1">
      <alignment horizontal="left"/>
    </xf>
    <xf numFmtId="165" fontId="76" fillId="3" borderId="0" xfId="0" applyNumberFormat="1" applyFont="1" applyFill="1" applyAlignment="1" applyProtection="1">
      <alignment horizontal="center" vertical="center"/>
    </xf>
    <xf numFmtId="0" fontId="225" fillId="16" borderId="35" xfId="0" applyFont="1" applyFill="1" applyBorder="1" applyAlignment="1">
      <alignment wrapText="1"/>
    </xf>
    <xf numFmtId="0" fontId="6" fillId="24" borderId="97" xfId="0" applyFont="1" applyFill="1" applyBorder="1" applyAlignment="1" applyProtection="1">
      <alignment horizontal="center"/>
    </xf>
    <xf numFmtId="3" fontId="84" fillId="0" borderId="35" xfId="0" applyNumberFormat="1" applyFont="1" applyFill="1" applyBorder="1"/>
    <xf numFmtId="21" fontId="81" fillId="14" borderId="35" xfId="0" applyNumberFormat="1" applyFont="1" applyFill="1" applyBorder="1" applyAlignment="1">
      <alignment horizontal="center"/>
    </xf>
    <xf numFmtId="166" fontId="135" fillId="0" borderId="0" xfId="0" applyNumberFormat="1" applyFont="1" applyFill="1" applyBorder="1" applyAlignment="1" applyProtection="1">
      <alignment horizontal="center"/>
      <protection locked="0"/>
    </xf>
    <xf numFmtId="21" fontId="81" fillId="21" borderId="32" xfId="0" applyNumberFormat="1" applyFont="1" applyFill="1" applyBorder="1"/>
    <xf numFmtId="0" fontId="88" fillId="18" borderId="83" xfId="0" quotePrefix="1" applyFont="1" applyFill="1" applyBorder="1" applyAlignment="1" applyProtection="1">
      <alignment horizontal="center"/>
    </xf>
    <xf numFmtId="177" fontId="10" fillId="3" borderId="0" xfId="0" applyNumberFormat="1" applyFont="1" applyFill="1" applyAlignment="1" applyProtection="1">
      <alignment horizontal="center"/>
    </xf>
    <xf numFmtId="177" fontId="10" fillId="3" borderId="0" xfId="0" quotePrefix="1" applyNumberFormat="1" applyFont="1" applyFill="1" applyAlignment="1" applyProtection="1">
      <alignment horizontal="left"/>
      <protection locked="0"/>
    </xf>
    <xf numFmtId="177" fontId="9" fillId="0" borderId="87" xfId="0" applyNumberFormat="1" applyFont="1" applyFill="1" applyBorder="1" applyAlignment="1">
      <alignment horizontal="center" textRotation="90"/>
    </xf>
    <xf numFmtId="177" fontId="9" fillId="0" borderId="75" xfId="0" applyNumberFormat="1" applyFont="1" applyFill="1" applyBorder="1" applyAlignment="1">
      <alignment horizontal="center" textRotation="90"/>
    </xf>
    <xf numFmtId="177" fontId="8" fillId="3" borderId="0" xfId="0" applyNumberFormat="1" applyFont="1" applyFill="1" applyProtection="1">
      <protection locked="0"/>
    </xf>
    <xf numFmtId="177" fontId="8" fillId="3" borderId="0" xfId="0" applyNumberFormat="1" applyFont="1" applyFill="1" applyAlignment="1" applyProtection="1">
      <alignment horizontal="center"/>
      <protection locked="0"/>
    </xf>
    <xf numFmtId="177" fontId="8" fillId="3" borderId="0" xfId="0" applyNumberFormat="1" applyFont="1" applyFill="1" applyAlignment="1" applyProtection="1">
      <alignment horizontal="center"/>
    </xf>
    <xf numFmtId="177" fontId="19" fillId="3" borderId="0" xfId="0" applyNumberFormat="1" applyFont="1" applyFill="1" applyProtection="1"/>
    <xf numFmtId="0" fontId="226" fillId="3" borderId="0" xfId="0" applyFont="1" applyFill="1" applyProtection="1"/>
    <xf numFmtId="0" fontId="172" fillId="3" borderId="0" xfId="0" applyFont="1" applyFill="1" applyAlignment="1" applyProtection="1">
      <alignment horizontal="center" vertical="center"/>
    </xf>
    <xf numFmtId="0" fontId="172" fillId="3" borderId="0" xfId="0" applyFont="1" applyFill="1" applyAlignment="1" applyProtection="1">
      <alignment horizontal="center"/>
    </xf>
    <xf numFmtId="0" fontId="227" fillId="3" borderId="0" xfId="0" applyFont="1" applyFill="1" applyAlignment="1" applyProtection="1">
      <alignment horizontal="left"/>
    </xf>
    <xf numFmtId="0" fontId="228" fillId="3" borderId="0" xfId="0" applyFont="1" applyFill="1" applyProtection="1"/>
    <xf numFmtId="0" fontId="175" fillId="3" borderId="0" xfId="0" applyFont="1" applyFill="1" applyProtection="1"/>
    <xf numFmtId="0" fontId="229" fillId="3" borderId="0" xfId="0" applyFont="1" applyFill="1" applyAlignment="1" applyProtection="1">
      <alignment horizontal="left"/>
    </xf>
    <xf numFmtId="0" fontId="172" fillId="3" borderId="85" xfId="4" applyFont="1" applyFill="1" applyBorder="1" applyAlignment="1" applyProtection="1">
      <alignment horizontal="center" textRotation="90"/>
    </xf>
    <xf numFmtId="0" fontId="172" fillId="24" borderId="85" xfId="4" applyFont="1" applyFill="1" applyBorder="1" applyAlignment="1" applyProtection="1">
      <alignment horizontal="center" textRotation="90"/>
    </xf>
    <xf numFmtId="0" fontId="172" fillId="22" borderId="85" xfId="4" applyFont="1" applyFill="1" applyBorder="1" applyAlignment="1" applyProtection="1">
      <alignment horizontal="center" textRotation="90"/>
    </xf>
    <xf numFmtId="0" fontId="172" fillId="25" borderId="85" xfId="4" applyFont="1" applyFill="1" applyBorder="1" applyAlignment="1" applyProtection="1">
      <alignment horizontal="center" textRotation="90"/>
    </xf>
    <xf numFmtId="0" fontId="172" fillId="23" borderId="85" xfId="4" applyFont="1" applyFill="1" applyBorder="1" applyAlignment="1" applyProtection="1">
      <alignment horizontal="center" textRotation="90"/>
    </xf>
    <xf numFmtId="0" fontId="183" fillId="27" borderId="85" xfId="4" applyFont="1" applyFill="1" applyBorder="1" applyAlignment="1" applyProtection="1">
      <alignment horizontal="center" textRotation="90"/>
    </xf>
    <xf numFmtId="0" fontId="183" fillId="26" borderId="85" xfId="4" applyFont="1" applyFill="1" applyBorder="1" applyAlignment="1" applyProtection="1">
      <alignment horizontal="center" textRotation="90"/>
    </xf>
    <xf numFmtId="3" fontId="172" fillId="3" borderId="115" xfId="0" applyNumberFormat="1" applyFont="1" applyFill="1" applyBorder="1" applyAlignment="1" applyProtection="1">
      <alignment horizontal="center" textRotation="90"/>
    </xf>
    <xf numFmtId="168" fontId="185" fillId="8" borderId="32" xfId="7" applyNumberFormat="1" applyFont="1" applyFill="1" applyBorder="1" applyProtection="1"/>
    <xf numFmtId="3" fontId="175" fillId="3" borderId="70" xfId="0" applyNumberFormat="1" applyFont="1" applyFill="1" applyBorder="1" applyAlignment="1" applyProtection="1">
      <alignment horizontal="center"/>
    </xf>
    <xf numFmtId="0" fontId="171" fillId="15" borderId="35" xfId="0" applyFont="1" applyFill="1" applyBorder="1"/>
    <xf numFmtId="21" fontId="171" fillId="15" borderId="35" xfId="0" applyNumberFormat="1" applyFont="1" applyFill="1" applyBorder="1"/>
    <xf numFmtId="0" fontId="185" fillId="15" borderId="35" xfId="0" applyFont="1" applyFill="1" applyBorder="1"/>
    <xf numFmtId="176" fontId="185" fillId="15" borderId="35" xfId="0" applyNumberFormat="1" applyFont="1" applyFill="1" applyBorder="1"/>
    <xf numFmtId="21" fontId="230" fillId="15" borderId="35" xfId="0" quotePrefix="1" applyNumberFormat="1" applyFont="1" applyFill="1" applyBorder="1" applyAlignment="1">
      <alignment horizontal="center"/>
    </xf>
    <xf numFmtId="166" fontId="172" fillId="3" borderId="3" xfId="0" applyNumberFormat="1" applyFont="1" applyFill="1" applyBorder="1" applyAlignment="1" applyProtection="1">
      <alignment horizontal="center"/>
      <protection locked="0" hidden="1"/>
    </xf>
    <xf numFmtId="166" fontId="183" fillId="24" borderId="0" xfId="0" applyNumberFormat="1" applyFont="1" applyFill="1" applyBorder="1" applyAlignment="1" applyProtection="1">
      <alignment horizontal="center"/>
      <protection locked="0" hidden="1"/>
    </xf>
    <xf numFmtId="166" fontId="172" fillId="22" borderId="0" xfId="0" applyNumberFormat="1" applyFont="1" applyFill="1" applyBorder="1" applyAlignment="1" applyProtection="1">
      <alignment horizontal="center"/>
      <protection locked="0" hidden="1"/>
    </xf>
    <xf numFmtId="166" fontId="172" fillId="25" borderId="0" xfId="0" applyNumberFormat="1" applyFont="1" applyFill="1" applyBorder="1" applyAlignment="1" applyProtection="1">
      <alignment horizontal="center"/>
      <protection locked="0" hidden="1"/>
    </xf>
    <xf numFmtId="166" fontId="172" fillId="23" borderId="0" xfId="0" applyNumberFormat="1" applyFont="1" applyFill="1" applyBorder="1" applyAlignment="1" applyProtection="1">
      <alignment horizontal="center"/>
      <protection locked="0" hidden="1"/>
    </xf>
    <xf numFmtId="166" fontId="183" fillId="31" borderId="0" xfId="0" applyNumberFormat="1" applyFont="1" applyFill="1" applyBorder="1" applyAlignment="1" applyProtection="1">
      <alignment horizontal="center"/>
      <protection locked="0" hidden="1"/>
    </xf>
    <xf numFmtId="166" fontId="183" fillId="26" borderId="0" xfId="0" applyNumberFormat="1" applyFont="1" applyFill="1" applyBorder="1" applyAlignment="1" applyProtection="1">
      <alignment horizontal="center"/>
      <protection locked="0" hidden="1"/>
    </xf>
    <xf numFmtId="176" fontId="183" fillId="19" borderId="35" xfId="0" applyNumberFormat="1" applyFont="1" applyFill="1" applyBorder="1"/>
    <xf numFmtId="21" fontId="232" fillId="19" borderId="35" xfId="0" quotePrefix="1" applyNumberFormat="1" applyFont="1" applyFill="1" applyBorder="1" applyAlignment="1">
      <alignment horizontal="center"/>
    </xf>
    <xf numFmtId="0" fontId="171" fillId="21" borderId="35" xfId="0" applyFont="1" applyFill="1" applyBorder="1"/>
    <xf numFmtId="21" fontId="230" fillId="21" borderId="35" xfId="0" quotePrefix="1" applyNumberFormat="1" applyFont="1" applyFill="1" applyBorder="1" applyAlignment="1">
      <alignment horizontal="center"/>
    </xf>
    <xf numFmtId="0" fontId="171" fillId="21" borderId="36" xfId="0" applyFont="1" applyFill="1" applyBorder="1"/>
    <xf numFmtId="0" fontId="171" fillId="18" borderId="83" xfId="0" applyFont="1" applyFill="1" applyBorder="1" applyProtection="1"/>
    <xf numFmtId="21" fontId="192" fillId="17" borderId="35" xfId="0" applyNumberFormat="1" applyFont="1" applyFill="1" applyBorder="1"/>
    <xf numFmtId="0" fontId="234" fillId="18" borderId="83" xfId="0" quotePrefix="1" applyFont="1" applyFill="1" applyBorder="1" applyAlignment="1" applyProtection="1">
      <alignment horizontal="left"/>
    </xf>
    <xf numFmtId="176" fontId="185" fillId="17" borderId="35" xfId="0" applyNumberFormat="1" applyFont="1" applyFill="1" applyBorder="1"/>
    <xf numFmtId="21" fontId="230" fillId="17" borderId="35" xfId="0" quotePrefix="1" applyNumberFormat="1" applyFont="1" applyFill="1" applyBorder="1" applyAlignment="1">
      <alignment horizontal="center"/>
    </xf>
    <xf numFmtId="21" fontId="230" fillId="17" borderId="0" xfId="0" quotePrefix="1" applyNumberFormat="1" applyFont="1" applyFill="1" applyBorder="1" applyAlignment="1">
      <alignment horizontal="center"/>
    </xf>
    <xf numFmtId="0" fontId="171" fillId="18" borderId="83" xfId="0" applyFont="1" applyFill="1" applyBorder="1" applyAlignment="1" applyProtection="1">
      <alignment horizontal="center"/>
    </xf>
    <xf numFmtId="21" fontId="232" fillId="19" borderId="35" xfId="0" applyNumberFormat="1" applyFont="1" applyFill="1" applyBorder="1"/>
    <xf numFmtId="176" fontId="172" fillId="3" borderId="0" xfId="0" applyNumberFormat="1" applyFont="1" applyFill="1" applyBorder="1" applyAlignment="1" applyProtection="1">
      <alignment horizontal="center"/>
      <protection locked="0"/>
    </xf>
    <xf numFmtId="21" fontId="230" fillId="14" borderId="38" xfId="0" applyNumberFormat="1" applyFont="1" applyFill="1" applyBorder="1"/>
    <xf numFmtId="0" fontId="236" fillId="0" borderId="113" xfId="0" applyFont="1" applyFill="1" applyBorder="1"/>
    <xf numFmtId="0" fontId="175" fillId="0" borderId="12" xfId="0" applyFont="1" applyFill="1" applyBorder="1" applyAlignment="1" applyProtection="1">
      <alignment horizontal="center"/>
    </xf>
    <xf numFmtId="0" fontId="175" fillId="0" borderId="97" xfId="0" applyFont="1" applyFill="1" applyBorder="1" applyAlignment="1" applyProtection="1">
      <alignment horizontal="center"/>
    </xf>
    <xf numFmtId="0" fontId="171" fillId="14" borderId="35" xfId="0" applyFont="1" applyFill="1" applyBorder="1"/>
    <xf numFmtId="21" fontId="230" fillId="14" borderId="35" xfId="0" quotePrefix="1" applyNumberFormat="1" applyFont="1" applyFill="1" applyBorder="1" applyAlignment="1">
      <alignment horizontal="center"/>
    </xf>
    <xf numFmtId="176" fontId="185" fillId="21" borderId="35" xfId="0" applyNumberFormat="1" applyFont="1" applyFill="1" applyBorder="1"/>
    <xf numFmtId="0" fontId="185" fillId="15" borderId="35" xfId="0" applyFont="1" applyFill="1" applyBorder="1" applyAlignment="1">
      <alignment horizontal="left"/>
    </xf>
    <xf numFmtId="21" fontId="189" fillId="14" borderId="35" xfId="0" applyNumberFormat="1" applyFont="1" applyFill="1" applyBorder="1"/>
    <xf numFmtId="21" fontId="230" fillId="14" borderId="35" xfId="0" applyNumberFormat="1" applyFont="1" applyFill="1" applyBorder="1"/>
    <xf numFmtId="0" fontId="185" fillId="3" borderId="0" xfId="0" applyFont="1" applyFill="1" applyAlignment="1" applyProtection="1">
      <alignment horizontal="center"/>
    </xf>
    <xf numFmtId="0" fontId="180" fillId="3" borderId="0" xfId="0" applyFont="1" applyFill="1" applyProtection="1"/>
    <xf numFmtId="0" fontId="180" fillId="3" borderId="0" xfId="0" quotePrefix="1" applyFont="1" applyFill="1" applyAlignment="1" applyProtection="1">
      <alignment horizontal="left"/>
      <protection locked="0"/>
    </xf>
    <xf numFmtId="14" fontId="180" fillId="3" borderId="0" xfId="0" applyNumberFormat="1" applyFont="1" applyFill="1" applyAlignment="1" applyProtection="1">
      <alignment horizontal="left"/>
      <protection locked="0"/>
    </xf>
    <xf numFmtId="0" fontId="180" fillId="3" borderId="0" xfId="0" applyFont="1" applyFill="1" applyAlignment="1" applyProtection="1">
      <alignment horizontal="left"/>
    </xf>
    <xf numFmtId="14" fontId="180" fillId="3" borderId="0" xfId="0" applyNumberFormat="1" applyFont="1" applyFill="1" applyAlignment="1" applyProtection="1">
      <alignment horizontal="center"/>
    </xf>
    <xf numFmtId="0" fontId="182" fillId="3" borderId="0" xfId="0" applyFont="1" applyFill="1" applyAlignment="1" applyProtection="1">
      <alignment horizontal="center"/>
    </xf>
    <xf numFmtId="21" fontId="180" fillId="3" borderId="0" xfId="0" applyNumberFormat="1" applyFont="1" applyFill="1" applyAlignment="1" applyProtection="1">
      <alignment horizontal="center"/>
    </xf>
    <xf numFmtId="0" fontId="182" fillId="0" borderId="31" xfId="0" applyFont="1" applyFill="1" applyBorder="1" applyAlignment="1" applyProtection="1">
      <alignment horizontal="center" textRotation="90"/>
    </xf>
    <xf numFmtId="0" fontId="182" fillId="0" borderId="88" xfId="0" applyFont="1" applyFill="1" applyBorder="1" applyAlignment="1" applyProtection="1">
      <alignment horizontal="center" textRotation="90"/>
    </xf>
    <xf numFmtId="21" fontId="182" fillId="0" borderId="87" xfId="0" applyNumberFormat="1" applyFont="1" applyFill="1" applyBorder="1" applyAlignment="1">
      <alignment horizontal="center" textRotation="90"/>
    </xf>
    <xf numFmtId="0" fontId="182" fillId="0" borderId="89" xfId="0" applyFont="1" applyFill="1" applyBorder="1" applyAlignment="1">
      <alignment horizontal="center" vertical="justify" textRotation="90"/>
    </xf>
    <xf numFmtId="21" fontId="182" fillId="0" borderId="90" xfId="0" applyNumberFormat="1" applyFont="1" applyFill="1" applyBorder="1" applyAlignment="1">
      <alignment horizontal="center" textRotation="90"/>
    </xf>
    <xf numFmtId="0" fontId="180" fillId="13" borderId="60" xfId="0" applyFont="1" applyFill="1" applyBorder="1" applyAlignment="1" applyProtection="1">
      <alignment horizontal="center"/>
    </xf>
    <xf numFmtId="0" fontId="171" fillId="0" borderId="0" xfId="0" applyFont="1" applyBorder="1"/>
    <xf numFmtId="0" fontId="238" fillId="16" borderId="0" xfId="0" quotePrefix="1" applyFont="1" applyFill="1" applyBorder="1" applyAlignment="1">
      <alignment horizontal="left"/>
    </xf>
    <xf numFmtId="0" fontId="171" fillId="13" borderId="0" xfId="0" applyFont="1" applyFill="1" applyBorder="1"/>
    <xf numFmtId="0" fontId="239" fillId="0" borderId="0" xfId="0" quotePrefix="1" applyFont="1" applyBorder="1" applyAlignment="1">
      <alignment horizontal="center"/>
    </xf>
    <xf numFmtId="14" fontId="173" fillId="0" borderId="0" xfId="0" applyNumberFormat="1" applyFont="1" applyBorder="1"/>
    <xf numFmtId="0" fontId="173" fillId="13" borderId="0" xfId="0" quotePrefix="1" applyFont="1" applyFill="1" applyBorder="1" applyAlignment="1">
      <alignment horizontal="left"/>
    </xf>
    <xf numFmtId="0" fontId="185" fillId="0" borderId="0" xfId="0" quotePrefix="1" applyFont="1" applyBorder="1" applyAlignment="1">
      <alignment horizontal="left"/>
    </xf>
    <xf numFmtId="0" fontId="173" fillId="0" borderId="0" xfId="0" applyFont="1" applyBorder="1" applyAlignment="1">
      <alignment horizontal="left"/>
    </xf>
    <xf numFmtId="14" fontId="240" fillId="0" borderId="0" xfId="0" applyNumberFormat="1" applyFont="1" applyBorder="1"/>
    <xf numFmtId="0" fontId="173" fillId="0" borderId="0" xfId="0" applyFont="1" applyBorder="1" applyAlignment="1">
      <alignment horizontal="center"/>
    </xf>
    <xf numFmtId="0" fontId="171" fillId="0" borderId="102" xfId="0" applyFont="1" applyBorder="1"/>
    <xf numFmtId="0" fontId="180" fillId="24" borderId="58" xfId="0" applyFont="1" applyFill="1" applyBorder="1" applyAlignment="1" applyProtection="1">
      <alignment horizontal="center"/>
    </xf>
    <xf numFmtId="166" fontId="188" fillId="14" borderId="35" xfId="0" applyNumberFormat="1" applyFont="1" applyFill="1" applyBorder="1"/>
    <xf numFmtId="1" fontId="230" fillId="14" borderId="35" xfId="0" applyNumberFormat="1" applyFont="1" applyFill="1" applyBorder="1" applyAlignment="1">
      <alignment horizontal="center"/>
    </xf>
    <xf numFmtId="168" fontId="185" fillId="8" borderId="33" xfId="7" applyNumberFormat="1" applyFont="1" applyFill="1" applyBorder="1" applyProtection="1"/>
    <xf numFmtId="166" fontId="241" fillId="18" borderId="0" xfId="0" applyNumberFormat="1" applyFont="1" applyFill="1" applyBorder="1" applyProtection="1"/>
    <xf numFmtId="0" fontId="193" fillId="19" borderId="35" xfId="0" applyFont="1" applyFill="1" applyBorder="1"/>
    <xf numFmtId="166" fontId="193" fillId="19" borderId="35" xfId="0" applyNumberFormat="1" applyFont="1" applyFill="1" applyBorder="1"/>
    <xf numFmtId="0" fontId="232" fillId="19" borderId="35" xfId="0" quotePrefix="1" applyFont="1" applyFill="1" applyBorder="1" applyAlignment="1">
      <alignment horizontal="left"/>
    </xf>
    <xf numFmtId="0" fontId="193" fillId="19" borderId="83" xfId="0" applyFont="1" applyFill="1" applyBorder="1"/>
    <xf numFmtId="0" fontId="177" fillId="33" borderId="35" xfId="0" applyFont="1" applyFill="1" applyBorder="1" applyProtection="1"/>
    <xf numFmtId="0" fontId="183" fillId="33" borderId="35" xfId="0" applyFont="1" applyFill="1" applyBorder="1" applyAlignment="1" applyProtection="1">
      <alignment horizontal="left"/>
    </xf>
    <xf numFmtId="0" fontId="242" fillId="33" borderId="35" xfId="0" applyFont="1" applyFill="1" applyBorder="1" applyProtection="1"/>
    <xf numFmtId="0" fontId="180" fillId="24" borderId="59" xfId="0" applyFont="1" applyFill="1" applyBorder="1" applyAlignment="1" applyProtection="1">
      <alignment horizontal="center"/>
    </xf>
    <xf numFmtId="1" fontId="191" fillId="8" borderId="38" xfId="0" applyNumberFormat="1" applyFont="1" applyFill="1" applyBorder="1" applyAlignment="1" applyProtection="1">
      <alignment horizontal="center"/>
      <protection locked="0"/>
    </xf>
    <xf numFmtId="21" fontId="230" fillId="40" borderId="38" xfId="0" applyNumberFormat="1" applyFont="1" applyFill="1" applyBorder="1"/>
    <xf numFmtId="21" fontId="189" fillId="40" borderId="38" xfId="0" applyNumberFormat="1" applyFont="1" applyFill="1" applyBorder="1"/>
    <xf numFmtId="166" fontId="179" fillId="8" borderId="38" xfId="0" applyNumberFormat="1" applyFont="1" applyFill="1" applyBorder="1" applyAlignment="1" applyProtection="1">
      <alignment horizontal="center"/>
      <protection locked="0"/>
    </xf>
    <xf numFmtId="1" fontId="179" fillId="8" borderId="38" xfId="0" applyNumberFormat="1" applyFont="1" applyFill="1" applyBorder="1" applyAlignment="1" applyProtection="1">
      <alignment horizontal="center"/>
      <protection locked="0"/>
    </xf>
    <xf numFmtId="172" fontId="230" fillId="8" borderId="39" xfId="0" applyNumberFormat="1" applyFont="1" applyFill="1" applyBorder="1"/>
    <xf numFmtId="166" fontId="171" fillId="21" borderId="35" xfId="0" applyNumberFormat="1" applyFont="1" applyFill="1" applyBorder="1"/>
    <xf numFmtId="1" fontId="230" fillId="21" borderId="35" xfId="0" applyNumberFormat="1" applyFont="1" applyFill="1" applyBorder="1" applyAlignment="1">
      <alignment horizontal="center"/>
    </xf>
    <xf numFmtId="166" fontId="171" fillId="15" borderId="35" xfId="0" applyNumberFormat="1" applyFont="1" applyFill="1" applyBorder="1"/>
    <xf numFmtId="0" fontId="230" fillId="15" borderId="35" xfId="0" applyFont="1" applyFill="1" applyBorder="1" applyAlignment="1">
      <alignment horizontal="center"/>
    </xf>
    <xf numFmtId="166" fontId="228" fillId="3" borderId="79" xfId="0" applyNumberFormat="1" applyFont="1" applyFill="1" applyBorder="1" applyAlignment="1" applyProtection="1">
      <alignment horizontal="center"/>
      <protection locked="0"/>
    </xf>
    <xf numFmtId="1" fontId="228" fillId="3" borderId="79" xfId="0" applyNumberFormat="1" applyFont="1" applyFill="1" applyBorder="1" applyAlignment="1" applyProtection="1">
      <alignment horizontal="center"/>
      <protection locked="0"/>
    </xf>
    <xf numFmtId="0" fontId="180" fillId="24" borderId="60" xfId="0" applyFont="1" applyFill="1" applyBorder="1" applyAlignment="1" applyProtection="1">
      <alignment horizontal="center"/>
    </xf>
    <xf numFmtId="0" fontId="243" fillId="19" borderId="35" xfId="0" applyFont="1" applyFill="1" applyBorder="1"/>
    <xf numFmtId="0" fontId="189" fillId="41" borderId="35" xfId="0" applyFont="1" applyFill="1" applyBorder="1" applyAlignment="1">
      <alignment horizontal="center"/>
    </xf>
    <xf numFmtId="0" fontId="230" fillId="14" borderId="35" xfId="0" quotePrefix="1" applyFont="1" applyFill="1" applyBorder="1" applyAlignment="1">
      <alignment horizontal="left"/>
    </xf>
    <xf numFmtId="0" fontId="185" fillId="18" borderId="83" xfId="0" applyFont="1" applyFill="1" applyBorder="1" applyProtection="1"/>
    <xf numFmtId="2" fontId="172" fillId="3" borderId="0" xfId="0" applyNumberFormat="1" applyFont="1" applyFill="1" applyAlignment="1" applyProtection="1">
      <alignment horizontal="left" vertical="center"/>
    </xf>
    <xf numFmtId="2" fontId="179" fillId="3" borderId="0" xfId="0" applyNumberFormat="1" applyFont="1" applyFill="1" applyProtection="1"/>
    <xf numFmtId="2" fontId="182" fillId="0" borderId="89" xfId="0" applyNumberFormat="1" applyFont="1" applyFill="1" applyBorder="1" applyAlignment="1">
      <alignment horizontal="center" textRotation="90"/>
    </xf>
    <xf numFmtId="2" fontId="185" fillId="3" borderId="0" xfId="0" applyNumberFormat="1" applyFont="1" applyFill="1" applyProtection="1"/>
    <xf numFmtId="2" fontId="171" fillId="0" borderId="0" xfId="0" applyNumberFormat="1" applyFont="1" applyBorder="1"/>
    <xf numFmtId="2" fontId="187" fillId="14" borderId="35" xfId="0" applyNumberFormat="1" applyFont="1" applyFill="1" applyBorder="1"/>
    <xf numFmtId="2" fontId="171" fillId="17" borderId="0" xfId="0" applyNumberFormat="1" applyFont="1" applyFill="1" applyBorder="1"/>
    <xf numFmtId="2" fontId="171" fillId="19" borderId="35" xfId="0" applyNumberFormat="1" applyFont="1" applyFill="1" applyBorder="1"/>
    <xf numFmtId="2" fontId="179" fillId="8" borderId="119" xfId="0" applyNumberFormat="1" applyFont="1" applyFill="1" applyBorder="1"/>
    <xf numFmtId="2" fontId="187" fillId="21" borderId="111" xfId="0" applyNumberFormat="1" applyFont="1" applyFill="1" applyBorder="1"/>
    <xf numFmtId="2" fontId="171" fillId="15" borderId="35" xfId="0" applyNumberFormat="1" applyFont="1" applyFill="1" applyBorder="1"/>
    <xf numFmtId="2" fontId="171" fillId="0" borderId="79" xfId="0" applyNumberFormat="1" applyFont="1" applyFill="1" applyBorder="1"/>
    <xf numFmtId="2" fontId="178" fillId="3" borderId="0" xfId="0" applyNumberFormat="1" applyFont="1" applyFill="1" applyProtection="1"/>
    <xf numFmtId="2" fontId="177" fillId="3" borderId="0" xfId="0" applyNumberFormat="1" applyFont="1" applyFill="1" applyProtection="1"/>
    <xf numFmtId="2" fontId="171" fillId="3" borderId="0" xfId="0" applyNumberFormat="1" applyFont="1" applyFill="1" applyProtection="1"/>
    <xf numFmtId="14" fontId="0" fillId="74" borderId="0" xfId="0" applyNumberFormat="1" applyFill="1" applyAlignment="1">
      <alignment horizontal="center"/>
    </xf>
    <xf numFmtId="1" fontId="171" fillId="0" borderId="0" xfId="0" applyNumberFormat="1" applyFont="1" applyFill="1" applyBorder="1"/>
    <xf numFmtId="1" fontId="176" fillId="3" borderId="0" xfId="0" applyNumberFormat="1" applyFont="1" applyFill="1" applyBorder="1" applyAlignment="1" applyProtection="1">
      <alignment horizontal="center"/>
      <protection locked="0"/>
    </xf>
    <xf numFmtId="166" fontId="196" fillId="3" borderId="0" xfId="0" applyNumberFormat="1" applyFont="1" applyFill="1" applyBorder="1" applyAlignment="1" applyProtection="1">
      <alignment horizontal="center"/>
      <protection locked="0"/>
    </xf>
    <xf numFmtId="1" fontId="7" fillId="70" borderId="0" xfId="0" applyNumberFormat="1" applyFont="1" applyFill="1" applyAlignment="1" applyProtection="1">
      <alignment horizontal="center"/>
      <protection locked="0"/>
    </xf>
    <xf numFmtId="0" fontId="0" fillId="0" borderId="75" xfId="0" applyBorder="1"/>
    <xf numFmtId="21" fontId="249" fillId="0" borderId="87" xfId="0" applyNumberFormat="1" applyFont="1" applyFill="1" applyBorder="1" applyAlignment="1">
      <alignment horizontal="center" textRotation="90"/>
    </xf>
    <xf numFmtId="0" fontId="0" fillId="81" borderId="75" xfId="0" applyFill="1" applyBorder="1"/>
    <xf numFmtId="21" fontId="9" fillId="81" borderId="87" xfId="0" applyNumberFormat="1" applyFont="1" applyFill="1" applyBorder="1" applyAlignment="1">
      <alignment horizontal="center" textRotation="90"/>
    </xf>
    <xf numFmtId="21" fontId="249" fillId="0" borderId="87" xfId="0" applyNumberFormat="1" applyFont="1" applyFill="1" applyBorder="1" applyAlignment="1">
      <alignment textRotation="90"/>
    </xf>
    <xf numFmtId="0" fontId="248" fillId="82" borderId="118" xfId="0" applyFont="1" applyFill="1" applyBorder="1"/>
    <xf numFmtId="0" fontId="248" fillId="82" borderId="166" xfId="0" applyFont="1" applyFill="1" applyBorder="1"/>
    <xf numFmtId="0" fontId="248" fillId="82" borderId="164" xfId="0" applyFont="1" applyFill="1" applyBorder="1"/>
    <xf numFmtId="0" fontId="247" fillId="82" borderId="165" xfId="0" applyFont="1" applyFill="1" applyBorder="1" applyAlignment="1">
      <alignment wrapText="1"/>
    </xf>
    <xf numFmtId="0" fontId="248" fillId="83" borderId="118" xfId="0" applyFont="1" applyFill="1" applyBorder="1"/>
    <xf numFmtId="0" fontId="248" fillId="83" borderId="166" xfId="0" applyFont="1" applyFill="1" applyBorder="1"/>
    <xf numFmtId="0" fontId="248" fillId="83" borderId="164" xfId="0" applyFont="1" applyFill="1" applyBorder="1"/>
    <xf numFmtId="0" fontId="247" fillId="83" borderId="165" xfId="0" applyFont="1" applyFill="1" applyBorder="1" applyAlignment="1">
      <alignment wrapText="1"/>
    </xf>
    <xf numFmtId="0" fontId="248" fillId="84" borderId="118" xfId="0" applyFont="1" applyFill="1" applyBorder="1"/>
    <xf numFmtId="0" fontId="248" fillId="84" borderId="166" xfId="0" applyFont="1" applyFill="1" applyBorder="1"/>
    <xf numFmtId="0" fontId="248" fillId="84" borderId="164" xfId="0" applyFont="1" applyFill="1" applyBorder="1"/>
    <xf numFmtId="0" fontId="247" fillId="84" borderId="165" xfId="0" applyFont="1" applyFill="1" applyBorder="1" applyAlignment="1">
      <alignment wrapText="1"/>
    </xf>
    <xf numFmtId="0" fontId="248" fillId="77" borderId="118" xfId="0" applyFont="1" applyFill="1" applyBorder="1"/>
    <xf numFmtId="0" fontId="248" fillId="77" borderId="166" xfId="0" applyFont="1" applyFill="1" applyBorder="1"/>
    <xf numFmtId="0" fontId="248" fillId="77" borderId="164" xfId="0" applyFont="1" applyFill="1" applyBorder="1"/>
    <xf numFmtId="0" fontId="247" fillId="77" borderId="165" xfId="0" applyFont="1" applyFill="1" applyBorder="1" applyAlignment="1">
      <alignment wrapText="1"/>
    </xf>
    <xf numFmtId="0" fontId="248" fillId="76" borderId="118" xfId="0" applyFont="1" applyFill="1" applyBorder="1"/>
    <xf numFmtId="0" fontId="248" fillId="76" borderId="166" xfId="0" applyFont="1" applyFill="1" applyBorder="1"/>
    <xf numFmtId="0" fontId="248" fillId="76" borderId="164" xfId="0" applyFont="1" applyFill="1" applyBorder="1"/>
    <xf numFmtId="0" fontId="247" fillId="76" borderId="165" xfId="0" applyFont="1" applyFill="1" applyBorder="1" applyAlignment="1">
      <alignment wrapText="1"/>
    </xf>
    <xf numFmtId="0" fontId="248" fillId="85" borderId="126" xfId="0" applyFont="1" applyFill="1" applyBorder="1" applyAlignment="1">
      <alignment horizontal="right"/>
    </xf>
    <xf numFmtId="0" fontId="0" fillId="85" borderId="32" xfId="0" applyFont="1" applyFill="1" applyBorder="1" applyAlignment="1">
      <alignment horizontal="right"/>
    </xf>
    <xf numFmtId="0" fontId="247" fillId="85" borderId="33" xfId="0" applyFont="1" applyFill="1" applyBorder="1" applyAlignment="1"/>
    <xf numFmtId="0" fontId="248" fillId="85" borderId="111" xfId="0" applyFont="1" applyFill="1" applyBorder="1" applyAlignment="1">
      <alignment horizontal="right"/>
    </xf>
    <xf numFmtId="0" fontId="0" fillId="85" borderId="35" xfId="0" applyFont="1" applyFill="1" applyBorder="1" applyAlignment="1">
      <alignment horizontal="right"/>
    </xf>
    <xf numFmtId="0" fontId="247" fillId="85" borderId="36" xfId="0" applyFont="1" applyFill="1" applyBorder="1" applyAlignment="1">
      <alignment wrapText="1"/>
    </xf>
    <xf numFmtId="0" fontId="248" fillId="85" borderId="119" xfId="0" applyFont="1" applyFill="1" applyBorder="1" applyAlignment="1">
      <alignment horizontal="right"/>
    </xf>
    <xf numFmtId="0" fontId="0" fillId="85" borderId="38" xfId="0" applyFont="1" applyFill="1" applyBorder="1" applyAlignment="1">
      <alignment horizontal="right"/>
    </xf>
    <xf numFmtId="0" fontId="247" fillId="85" borderId="39" xfId="0" applyFont="1" applyFill="1" applyBorder="1" applyAlignment="1">
      <alignment wrapText="1"/>
    </xf>
    <xf numFmtId="0" fontId="248" fillId="86" borderId="118" xfId="0" applyFont="1" applyFill="1" applyBorder="1"/>
    <xf numFmtId="0" fontId="248" fillId="86" borderId="166" xfId="0" applyFont="1" applyFill="1" applyBorder="1"/>
    <xf numFmtId="0" fontId="248" fillId="86" borderId="164" xfId="0" applyFont="1" applyFill="1" applyBorder="1"/>
    <xf numFmtId="0" fontId="0" fillId="86" borderId="165" xfId="0" applyFill="1" applyBorder="1" applyAlignment="1">
      <alignment wrapText="1"/>
    </xf>
    <xf numFmtId="0" fontId="248" fillId="87" borderId="118" xfId="0" applyFont="1" applyFill="1" applyBorder="1"/>
    <xf numFmtId="0" fontId="248" fillId="87" borderId="166" xfId="0" applyFont="1" applyFill="1" applyBorder="1"/>
    <xf numFmtId="0" fontId="248" fillId="87" borderId="164" xfId="0" applyFont="1" applyFill="1" applyBorder="1"/>
    <xf numFmtId="0" fontId="247" fillId="87" borderId="165" xfId="0" applyFont="1" applyFill="1" applyBorder="1" applyAlignment="1">
      <alignment wrapText="1"/>
    </xf>
    <xf numFmtId="0" fontId="248" fillId="75" borderId="155" xfId="0" applyFont="1" applyFill="1" applyBorder="1" applyAlignment="1">
      <alignment horizontal="right"/>
    </xf>
    <xf numFmtId="0" fontId="0" fillId="75" borderId="32" xfId="0" applyFont="1" applyFill="1" applyBorder="1" applyAlignment="1">
      <alignment horizontal="center" wrapText="1"/>
    </xf>
    <xf numFmtId="0" fontId="247" fillId="75" borderId="33" xfId="0" applyFont="1" applyFill="1" applyBorder="1" applyAlignment="1">
      <alignment wrapText="1"/>
    </xf>
    <xf numFmtId="0" fontId="248" fillId="75" borderId="146" xfId="0" applyFont="1" applyFill="1" applyBorder="1" applyAlignment="1">
      <alignment horizontal="right"/>
    </xf>
    <xf numFmtId="0" fontId="0" fillId="75" borderId="38" xfId="0" applyFill="1" applyBorder="1"/>
    <xf numFmtId="0" fontId="247" fillId="75" borderId="39" xfId="0" applyFont="1" applyFill="1" applyBorder="1" applyAlignment="1">
      <alignment wrapText="1"/>
    </xf>
    <xf numFmtId="0" fontId="248" fillId="72" borderId="118" xfId="0" applyFont="1" applyFill="1" applyBorder="1"/>
    <xf numFmtId="0" fontId="248" fillId="72" borderId="166" xfId="0" applyFont="1" applyFill="1" applyBorder="1"/>
    <xf numFmtId="0" fontId="248" fillId="72" borderId="164" xfId="0" applyFont="1" applyFill="1" applyBorder="1"/>
    <xf numFmtId="0" fontId="247" fillId="72" borderId="165" xfId="0" applyFont="1" applyFill="1" applyBorder="1" applyAlignment="1">
      <alignment wrapText="1"/>
    </xf>
    <xf numFmtId="0" fontId="0" fillId="0" borderId="123" xfId="0" applyBorder="1"/>
    <xf numFmtId="0" fontId="0" fillId="81" borderId="11" xfId="0" applyFill="1" applyBorder="1"/>
    <xf numFmtId="0" fontId="0" fillId="81" borderId="1" xfId="0" applyFill="1" applyBorder="1"/>
    <xf numFmtId="0" fontId="0" fillId="81" borderId="18" xfId="0" applyFill="1" applyBorder="1"/>
    <xf numFmtId="0" fontId="0" fillId="81" borderId="12" xfId="0" applyFill="1" applyBorder="1"/>
    <xf numFmtId="0" fontId="0" fillId="81" borderId="0" xfId="0" applyFill="1" applyBorder="1"/>
    <xf numFmtId="0" fontId="0" fillId="81" borderId="102" xfId="0" applyFill="1" applyBorder="1"/>
    <xf numFmtId="0" fontId="0" fillId="81" borderId="97" xfId="0" applyFill="1" applyBorder="1"/>
    <xf numFmtId="0" fontId="0" fillId="81" borderId="19" xfId="0" applyFill="1" applyBorder="1"/>
    <xf numFmtId="0" fontId="0" fillId="81" borderId="79" xfId="0" applyFill="1" applyBorder="1"/>
    <xf numFmtId="0" fontId="0" fillId="81" borderId="113" xfId="0" applyFill="1" applyBorder="1"/>
    <xf numFmtId="0" fontId="0" fillId="15" borderId="0" xfId="0" applyFill="1" applyBorder="1"/>
    <xf numFmtId="14" fontId="1" fillId="80" borderId="0" xfId="0" quotePrefix="1" applyNumberFormat="1" applyFont="1" applyFill="1" applyAlignment="1" applyProtection="1">
      <alignment horizontal="left"/>
      <protection locked="0"/>
    </xf>
    <xf numFmtId="0" fontId="0" fillId="88" borderId="0" xfId="0" applyFill="1"/>
    <xf numFmtId="14" fontId="1" fillId="88" borderId="0" xfId="0" applyNumberFormat="1" applyFont="1" applyFill="1" applyAlignment="1" applyProtection="1">
      <alignment horizontal="left"/>
      <protection locked="0"/>
    </xf>
    <xf numFmtId="0" fontId="1" fillId="88" borderId="0" xfId="0" applyFont="1" applyFill="1" applyAlignment="1" applyProtection="1">
      <alignment horizontal="center"/>
      <protection locked="0"/>
    </xf>
    <xf numFmtId="0" fontId="1" fillId="88" borderId="0" xfId="0" applyFont="1" applyFill="1" applyAlignment="1">
      <alignment horizontal="left"/>
    </xf>
    <xf numFmtId="21" fontId="89" fillId="91" borderId="35" xfId="0" applyNumberFormat="1" applyFont="1" applyFill="1" applyBorder="1"/>
    <xf numFmtId="21" fontId="85" fillId="91" borderId="35" xfId="0" quotePrefix="1" applyNumberFormat="1" applyFont="1" applyFill="1" applyBorder="1" applyAlignment="1">
      <alignment horizontal="center"/>
    </xf>
    <xf numFmtId="0" fontId="0" fillId="92" borderId="83" xfId="0" applyFill="1" applyBorder="1" applyAlignment="1" applyProtection="1">
      <alignment horizontal="center"/>
    </xf>
    <xf numFmtId="0" fontId="0" fillId="92" borderId="83" xfId="0" applyFill="1" applyBorder="1" applyProtection="1"/>
    <xf numFmtId="173" fontId="250" fillId="0" borderId="35" xfId="2" applyNumberFormat="1" applyFont="1" applyFill="1" applyBorder="1" applyAlignment="1">
      <alignment horizontal="center"/>
    </xf>
    <xf numFmtId="0" fontId="0" fillId="91" borderId="35" xfId="0" applyFill="1" applyBorder="1"/>
    <xf numFmtId="21" fontId="81" fillId="95" borderId="32" xfId="0" applyNumberFormat="1" applyFont="1" applyFill="1" applyBorder="1"/>
    <xf numFmtId="1" fontId="81" fillId="95" borderId="126" xfId="0" applyNumberFormat="1" applyFont="1" applyFill="1" applyBorder="1"/>
    <xf numFmtId="1" fontId="257" fillId="0" borderId="79" xfId="0" applyNumberFormat="1" applyFont="1" applyBorder="1" applyAlignment="1" applyProtection="1">
      <alignment horizontal="center"/>
      <protection locked="0"/>
    </xf>
    <xf numFmtId="21" fontId="252" fillId="98" borderId="129" xfId="0" applyNumberFormat="1" applyFont="1" applyFill="1" applyBorder="1"/>
    <xf numFmtId="21" fontId="255" fillId="98" borderId="129" xfId="0" applyNumberFormat="1" applyFont="1" applyFill="1" applyBorder="1" applyAlignment="1">
      <alignment horizontal="center"/>
    </xf>
    <xf numFmtId="0" fontId="252" fillId="98" borderId="0" xfId="0" applyFont="1" applyFill="1"/>
    <xf numFmtId="0" fontId="160" fillId="19" borderId="35" xfId="0" applyFont="1" applyFill="1" applyBorder="1" applyAlignment="1">
      <alignment horizontal="center"/>
    </xf>
    <xf numFmtId="0" fontId="5" fillId="99" borderId="97" xfId="0" applyFont="1" applyFill="1" applyBorder="1" applyAlignment="1" applyProtection="1">
      <alignment horizontal="center"/>
    </xf>
    <xf numFmtId="0" fontId="6" fillId="99" borderId="97" xfId="0" applyFont="1" applyFill="1" applyBorder="1" applyAlignment="1" applyProtection="1">
      <alignment horizontal="center"/>
    </xf>
    <xf numFmtId="1" fontId="7" fillId="100" borderId="0" xfId="0" applyNumberFormat="1" applyFont="1" applyFill="1" applyBorder="1" applyAlignment="1" applyProtection="1">
      <alignment horizontal="center"/>
      <protection locked="0"/>
    </xf>
    <xf numFmtId="21" fontId="2" fillId="15" borderId="35" xfId="0" applyNumberFormat="1" applyFont="1" applyFill="1" applyBorder="1"/>
    <xf numFmtId="176" fontId="9" fillId="3" borderId="170" xfId="0" applyNumberFormat="1" applyFont="1" applyFill="1" applyBorder="1" applyAlignment="1" applyProtection="1">
      <alignment horizontal="center"/>
      <protection locked="0"/>
    </xf>
    <xf numFmtId="166" fontId="7" fillId="3" borderId="170" xfId="0" applyNumberFormat="1" applyFont="1" applyFill="1" applyBorder="1" applyAlignment="1" applyProtection="1">
      <alignment horizontal="center"/>
      <protection locked="0"/>
    </xf>
    <xf numFmtId="21" fontId="86" fillId="14" borderId="170" xfId="0" applyNumberFormat="1" applyFont="1" applyFill="1" applyBorder="1"/>
    <xf numFmtId="1" fontId="7" fillId="3" borderId="170" xfId="0" applyNumberFormat="1" applyFont="1" applyFill="1" applyBorder="1" applyAlignment="1" applyProtection="1">
      <alignment horizontal="center"/>
      <protection locked="0"/>
    </xf>
    <xf numFmtId="0" fontId="84" fillId="0" borderId="170" xfId="0" applyFont="1" applyFill="1" applyBorder="1"/>
    <xf numFmtId="0" fontId="106" fillId="19" borderId="171" xfId="0" applyFont="1" applyFill="1" applyBorder="1"/>
    <xf numFmtId="0" fontId="106" fillId="19" borderId="156" xfId="0" quotePrefix="1" applyFont="1" applyFill="1" applyBorder="1" applyAlignment="1">
      <alignment horizontal="center"/>
    </xf>
    <xf numFmtId="166" fontId="160" fillId="19" borderId="170" xfId="0" applyNumberFormat="1" applyFont="1" applyFill="1" applyBorder="1"/>
    <xf numFmtId="21" fontId="160" fillId="19" borderId="170" xfId="0" applyNumberFormat="1" applyFont="1" applyFill="1" applyBorder="1"/>
    <xf numFmtId="21" fontId="106" fillId="19" borderId="170" xfId="0" quotePrefix="1" applyNumberFormat="1" applyFont="1" applyFill="1" applyBorder="1" applyAlignment="1">
      <alignment horizontal="center"/>
    </xf>
    <xf numFmtId="1" fontId="261" fillId="2" borderId="157" xfId="2" applyNumberFormat="1" applyFont="1" applyBorder="1" applyAlignment="1" applyProtection="1">
      <alignment horizontal="center"/>
      <protection locked="0"/>
    </xf>
    <xf numFmtId="173" fontId="106" fillId="19" borderId="0" xfId="0" quotePrefix="1" applyNumberFormat="1" applyFont="1" applyFill="1" applyBorder="1" applyAlignment="1">
      <alignment horizontal="center"/>
    </xf>
    <xf numFmtId="0" fontId="254" fillId="101" borderId="169" xfId="0" applyFont="1" applyFill="1" applyBorder="1"/>
    <xf numFmtId="1" fontId="81" fillId="102" borderId="111" xfId="0" applyNumberFormat="1" applyFont="1" applyFill="1" applyBorder="1"/>
    <xf numFmtId="0" fontId="19" fillId="102" borderId="35" xfId="0" applyFont="1" applyFill="1" applyBorder="1"/>
    <xf numFmtId="21" fontId="81" fillId="102" borderId="35" xfId="0" applyNumberFormat="1" applyFont="1" applyFill="1" applyBorder="1"/>
    <xf numFmtId="0" fontId="10" fillId="102" borderId="35" xfId="0" applyFont="1" applyFill="1" applyBorder="1"/>
    <xf numFmtId="176" fontId="10" fillId="102" borderId="35" xfId="0" applyNumberFormat="1" applyFont="1" applyFill="1" applyBorder="1"/>
    <xf numFmtId="166" fontId="19" fillId="102" borderId="35" xfId="0" applyNumberFormat="1" applyFont="1" applyFill="1" applyBorder="1"/>
    <xf numFmtId="21" fontId="86" fillId="102" borderId="35" xfId="0" quotePrefix="1" applyNumberFormat="1" applyFont="1" applyFill="1" applyBorder="1" applyAlignment="1">
      <alignment horizontal="center"/>
    </xf>
    <xf numFmtId="1" fontId="86" fillId="102" borderId="35" xfId="0" applyNumberFormat="1" applyFont="1" applyFill="1" applyBorder="1" applyAlignment="1">
      <alignment horizontal="center"/>
    </xf>
    <xf numFmtId="0" fontId="19" fillId="102" borderId="36" xfId="0" applyFont="1" applyFill="1" applyBorder="1"/>
    <xf numFmtId="174" fontId="262" fillId="29" borderId="0" xfId="0" quotePrefix="1" applyNumberFormat="1" applyFont="1" applyFill="1" applyBorder="1" applyAlignment="1">
      <alignment horizontal="center"/>
    </xf>
    <xf numFmtId="0" fontId="9" fillId="80" borderId="89" xfId="0" applyFont="1" applyFill="1" applyBorder="1" applyAlignment="1">
      <alignment horizontal="center" textRotation="90"/>
    </xf>
    <xf numFmtId="0" fontId="131" fillId="0" borderId="60" xfId="0" applyFont="1" applyFill="1" applyBorder="1" applyAlignment="1" applyProtection="1">
      <alignment horizontal="center"/>
    </xf>
    <xf numFmtId="0" fontId="131" fillId="0" borderId="58" xfId="0" applyFont="1" applyFill="1" applyBorder="1" applyAlignment="1" applyProtection="1">
      <alignment horizontal="center"/>
    </xf>
    <xf numFmtId="0" fontId="106" fillId="90" borderId="35" xfId="0" applyFont="1" applyFill="1" applyBorder="1" applyAlignment="1">
      <alignment horizontal="center"/>
    </xf>
    <xf numFmtId="2" fontId="81" fillId="14" borderId="32" xfId="0" applyNumberFormat="1" applyFont="1" applyFill="1" applyBorder="1"/>
    <xf numFmtId="21" fontId="19" fillId="91" borderId="35" xfId="0" applyNumberFormat="1" applyFont="1" applyFill="1" applyBorder="1"/>
    <xf numFmtId="181" fontId="45" fillId="3" borderId="134" xfId="7" applyNumberFormat="1" applyFont="1" applyFill="1" applyBorder="1" applyAlignment="1" applyProtection="1">
      <alignment horizontal="center"/>
      <protection locked="0"/>
    </xf>
    <xf numFmtId="181" fontId="45" fillId="3" borderId="128" xfId="7" applyNumberFormat="1" applyFont="1" applyFill="1" applyBorder="1" applyAlignment="1" applyProtection="1">
      <alignment horizontal="center"/>
      <protection locked="0"/>
    </xf>
    <xf numFmtId="181" fontId="45" fillId="8" borderId="128" xfId="7" applyNumberFormat="1" applyFont="1" applyFill="1" applyBorder="1" applyAlignment="1" applyProtection="1">
      <alignment horizontal="center"/>
      <protection locked="0"/>
    </xf>
    <xf numFmtId="181" fontId="45" fillId="36" borderId="128" xfId="7" applyNumberFormat="1" applyFont="1" applyFill="1" applyBorder="1" applyAlignment="1" applyProtection="1">
      <alignment horizontal="center"/>
      <protection locked="0"/>
    </xf>
    <xf numFmtId="181" fontId="45" fillId="13" borderId="128" xfId="7" applyNumberFormat="1" applyFont="1" applyFill="1" applyBorder="1" applyAlignment="1" applyProtection="1">
      <alignment horizontal="center"/>
      <protection locked="0"/>
    </xf>
    <xf numFmtId="181" fontId="45" fillId="23" borderId="128" xfId="7" applyNumberFormat="1" applyFont="1" applyFill="1" applyBorder="1" applyAlignment="1" applyProtection="1">
      <alignment horizontal="center"/>
      <protection locked="0"/>
    </xf>
    <xf numFmtId="181" fontId="8" fillId="10" borderId="127" xfId="7" applyNumberFormat="1" applyFont="1" applyFill="1" applyBorder="1" applyAlignment="1" applyProtection="1">
      <alignment horizontal="center"/>
      <protection locked="0"/>
    </xf>
    <xf numFmtId="181" fontId="8" fillId="26" borderId="141" xfId="7" applyNumberFormat="1" applyFont="1" applyFill="1" applyBorder="1" applyAlignment="1" applyProtection="1">
      <alignment horizontal="center"/>
      <protection locked="0"/>
    </xf>
    <xf numFmtId="2" fontId="8" fillId="94" borderId="141" xfId="7" applyNumberFormat="1" applyFont="1" applyFill="1" applyBorder="1" applyAlignment="1" applyProtection="1">
      <alignment horizontal="center"/>
      <protection locked="0"/>
    </xf>
    <xf numFmtId="166" fontId="266" fillId="0" borderId="0" xfId="7" applyNumberFormat="1" applyFont="1" applyBorder="1" applyAlignment="1" applyProtection="1">
      <alignment horizontal="center" wrapText="1"/>
    </xf>
    <xf numFmtId="0" fontId="56" fillId="106" borderId="122" xfId="7" applyFont="1" applyFill="1" applyBorder="1" applyAlignment="1" applyProtection="1">
      <alignment horizontal="left"/>
    </xf>
    <xf numFmtId="1" fontId="10" fillId="107" borderId="41" xfId="7" applyNumberFormat="1" applyFont="1" applyFill="1" applyBorder="1" applyAlignment="1" applyProtection="1">
      <alignment horizontal="center"/>
      <protection locked="0"/>
    </xf>
    <xf numFmtId="0" fontId="19" fillId="91" borderId="35" xfId="0" applyFont="1" applyFill="1" applyBorder="1"/>
    <xf numFmtId="1" fontId="19" fillId="0" borderId="0" xfId="7" applyNumberFormat="1" applyFont="1"/>
    <xf numFmtId="2" fontId="19" fillId="0" borderId="0" xfId="7" applyNumberFormat="1" applyFont="1"/>
    <xf numFmtId="2" fontId="15" fillId="0" borderId="0" xfId="7" applyNumberFormat="1" applyFont="1"/>
    <xf numFmtId="0" fontId="42" fillId="3" borderId="71" xfId="7" applyFont="1" applyFill="1" applyBorder="1" applyAlignment="1" applyProtection="1">
      <alignment horizontal="left"/>
    </xf>
    <xf numFmtId="0" fontId="42" fillId="3" borderId="0" xfId="7" applyFont="1" applyFill="1" applyBorder="1" applyAlignment="1" applyProtection="1">
      <alignment horizontal="left"/>
    </xf>
    <xf numFmtId="2" fontId="2" fillId="105" borderId="42" xfId="7" applyNumberFormat="1" applyFont="1" applyFill="1" applyBorder="1" applyProtection="1"/>
    <xf numFmtId="166" fontId="266" fillId="85" borderId="42" xfId="7" applyNumberFormat="1" applyFont="1" applyFill="1" applyBorder="1" applyAlignment="1" applyProtection="1">
      <alignment horizontal="center" wrapText="1"/>
    </xf>
    <xf numFmtId="166" fontId="113" fillId="108" borderId="32" xfId="0" applyNumberFormat="1" applyFont="1" applyFill="1" applyBorder="1"/>
    <xf numFmtId="21" fontId="81" fillId="108" borderId="32" xfId="0" applyNumberFormat="1" applyFont="1" applyFill="1" applyBorder="1"/>
    <xf numFmtId="21" fontId="85" fillId="108" borderId="32" xfId="0" quotePrefix="1" applyNumberFormat="1" applyFont="1" applyFill="1" applyBorder="1" applyAlignment="1">
      <alignment horizontal="center"/>
    </xf>
    <xf numFmtId="21" fontId="86" fillId="108" borderId="32" xfId="0" quotePrefix="1" applyNumberFormat="1" applyFont="1" applyFill="1" applyBorder="1" applyAlignment="1">
      <alignment horizontal="center"/>
    </xf>
    <xf numFmtId="1" fontId="86" fillId="108" borderId="32" xfId="0" applyNumberFormat="1" applyFont="1" applyFill="1" applyBorder="1" applyAlignment="1">
      <alignment horizontal="center"/>
    </xf>
    <xf numFmtId="0" fontId="75" fillId="108" borderId="33" xfId="0" applyFont="1" applyFill="1" applyBorder="1"/>
    <xf numFmtId="0" fontId="89" fillId="108" borderId="35" xfId="0" applyFont="1" applyFill="1" applyBorder="1"/>
    <xf numFmtId="0" fontId="84" fillId="108" borderId="35" xfId="0" applyFont="1" applyFill="1" applyBorder="1"/>
    <xf numFmtId="21" fontId="19" fillId="108" borderId="35" xfId="0" applyNumberFormat="1" applyFont="1" applyFill="1" applyBorder="1"/>
    <xf numFmtId="178" fontId="10" fillId="3" borderId="0" xfId="0" applyNumberFormat="1" applyFont="1" applyFill="1" applyAlignment="1" applyProtection="1">
      <alignment horizontal="center"/>
      <protection locked="0"/>
    </xf>
    <xf numFmtId="0" fontId="9" fillId="0" borderId="75" xfId="0" applyFont="1" applyFill="1" applyBorder="1" applyAlignment="1">
      <alignment horizontal="center"/>
    </xf>
    <xf numFmtId="21" fontId="19" fillId="108" borderId="35" xfId="0" applyNumberFormat="1" applyFont="1" applyFill="1" applyBorder="1" applyAlignment="1">
      <alignment horizontal="center"/>
    </xf>
    <xf numFmtId="21" fontId="160" fillId="19" borderId="35" xfId="0" applyNumberFormat="1" applyFont="1" applyFill="1" applyBorder="1" applyAlignment="1">
      <alignment horizontal="center"/>
    </xf>
    <xf numFmtId="21" fontId="81" fillId="16" borderId="35" xfId="0" applyNumberFormat="1" applyFont="1" applyFill="1" applyBorder="1" applyAlignment="1">
      <alignment horizontal="center"/>
    </xf>
    <xf numFmtId="21" fontId="160" fillId="29" borderId="35" xfId="0" applyNumberFormat="1" applyFont="1" applyFill="1" applyBorder="1" applyAlignment="1">
      <alignment horizontal="center"/>
    </xf>
    <xf numFmtId="0" fontId="84" fillId="108" borderId="35" xfId="0" applyFont="1" applyFill="1" applyBorder="1" applyAlignment="1">
      <alignment horizontal="center"/>
    </xf>
    <xf numFmtId="0" fontId="106" fillId="29" borderId="35" xfId="0" quotePrefix="1" applyFont="1" applyFill="1" applyBorder="1" applyAlignment="1">
      <alignment horizontal="center"/>
    </xf>
    <xf numFmtId="0" fontId="0" fillId="3" borderId="0" xfId="0" applyFill="1" applyAlignment="1" applyProtection="1">
      <alignment horizontal="center"/>
    </xf>
    <xf numFmtId="21" fontId="267" fillId="14" borderId="35" xfId="0" applyNumberFormat="1" applyFont="1" applyFill="1" applyBorder="1"/>
    <xf numFmtId="21" fontId="267" fillId="108" borderId="35" xfId="0" applyNumberFormat="1" applyFont="1" applyFill="1" applyBorder="1"/>
    <xf numFmtId="21" fontId="268" fillId="15" borderId="35" xfId="0" applyNumberFormat="1" applyFont="1" applyFill="1" applyBorder="1"/>
    <xf numFmtId="21" fontId="81" fillId="0" borderId="35" xfId="0" applyNumberFormat="1" applyFont="1" applyFill="1" applyBorder="1"/>
    <xf numFmtId="21" fontId="86" fillId="21" borderId="0" xfId="0" quotePrefix="1" applyNumberFormat="1" applyFont="1" applyFill="1" applyBorder="1" applyAlignment="1">
      <alignment horizontal="center"/>
    </xf>
    <xf numFmtId="21" fontId="271" fillId="109" borderId="0" xfId="0" quotePrefix="1" applyNumberFormat="1" applyFont="1" applyFill="1" applyBorder="1" applyAlignment="1">
      <alignment horizontal="center"/>
    </xf>
    <xf numFmtId="0" fontId="0" fillId="21" borderId="0" xfId="0" applyFill="1" applyBorder="1"/>
    <xf numFmtId="21" fontId="82" fillId="21" borderId="0" xfId="0" applyNumberFormat="1" applyFont="1" applyFill="1" applyBorder="1"/>
    <xf numFmtId="0" fontId="10" fillId="108" borderId="35" xfId="0" applyFont="1" applyFill="1" applyBorder="1"/>
    <xf numFmtId="0" fontId="10" fillId="111" borderId="35" xfId="0" applyFont="1" applyFill="1" applyBorder="1"/>
    <xf numFmtId="0" fontId="5" fillId="3" borderId="155" xfId="0" applyFont="1" applyFill="1" applyBorder="1" applyAlignment="1" applyProtection="1">
      <alignment horizontal="center"/>
    </xf>
    <xf numFmtId="0" fontId="5" fillId="3" borderId="58" xfId="0" applyFont="1" applyFill="1" applyBorder="1" applyAlignment="1" applyProtection="1">
      <alignment horizontal="center"/>
    </xf>
    <xf numFmtId="0" fontId="5" fillId="3" borderId="0" xfId="0" applyFont="1" applyFill="1" applyBorder="1" applyAlignment="1" applyProtection="1">
      <alignment horizontal="center"/>
    </xf>
    <xf numFmtId="21" fontId="82" fillId="14" borderId="75" xfId="0" applyNumberFormat="1" applyFont="1" applyFill="1" applyBorder="1" applyAlignment="1"/>
    <xf numFmtId="0" fontId="86" fillId="14" borderId="32" xfId="0" applyFont="1" applyFill="1" applyBorder="1" applyAlignment="1">
      <alignment horizontal="left" wrapText="1"/>
    </xf>
    <xf numFmtId="0" fontId="10" fillId="21" borderId="35" xfId="0" applyFont="1" applyFill="1" applyBorder="1" applyAlignment="1">
      <alignment wrapText="1"/>
    </xf>
    <xf numFmtId="0" fontId="10" fillId="15" borderId="35" xfId="0" quotePrefix="1" applyFont="1" applyFill="1" applyBorder="1" applyAlignment="1">
      <alignment horizontal="left" wrapText="1"/>
    </xf>
    <xf numFmtId="1" fontId="81" fillId="14" borderId="109" xfId="0" applyNumberFormat="1" applyFont="1" applyFill="1" applyBorder="1"/>
    <xf numFmtId="0" fontId="0" fillId="111" borderId="76" xfId="0" applyFill="1" applyBorder="1"/>
    <xf numFmtId="0" fontId="2" fillId="14" borderId="32" xfId="0" applyFont="1" applyFill="1" applyBorder="1"/>
    <xf numFmtId="0" fontId="0" fillId="21" borderId="74" xfId="0" applyFill="1" applyBorder="1"/>
    <xf numFmtId="0" fontId="277" fillId="111" borderId="74" xfId="0" applyFont="1" applyFill="1" applyBorder="1"/>
    <xf numFmtId="0" fontId="278" fillId="114" borderId="74" xfId="0" applyFont="1" applyFill="1" applyBorder="1"/>
    <xf numFmtId="0" fontId="278" fillId="114" borderId="75" xfId="0" applyFont="1" applyFill="1" applyBorder="1"/>
    <xf numFmtId="0" fontId="263" fillId="114" borderId="76" xfId="0" applyFont="1" applyFill="1" applyBorder="1"/>
    <xf numFmtId="21" fontId="82" fillId="108" borderId="32" xfId="0" applyNumberFormat="1" applyFont="1" applyFill="1" applyBorder="1"/>
    <xf numFmtId="0" fontId="86" fillId="108" borderId="32" xfId="0" applyFont="1" applyFill="1" applyBorder="1" applyAlignment="1">
      <alignment horizontal="left" wrapText="1"/>
    </xf>
    <xf numFmtId="0" fontId="0" fillId="15" borderId="110" xfId="0" applyFill="1" applyBorder="1"/>
    <xf numFmtId="0" fontId="0" fillId="91" borderId="111" xfId="0" applyFill="1" applyBorder="1"/>
    <xf numFmtId="21" fontId="82" fillId="91" borderId="35" xfId="0" applyNumberFormat="1" applyFont="1" applyFill="1" applyBorder="1"/>
    <xf numFmtId="0" fontId="10" fillId="91" borderId="35" xfId="0" quotePrefix="1" applyFont="1" applyFill="1" applyBorder="1" applyAlignment="1">
      <alignment horizontal="left"/>
    </xf>
    <xf numFmtId="21" fontId="0" fillId="91" borderId="35" xfId="0" applyNumberFormat="1" applyFill="1" applyBorder="1"/>
    <xf numFmtId="166" fontId="109" fillId="91" borderId="35" xfId="0" applyNumberFormat="1" applyFont="1" applyFill="1" applyBorder="1"/>
    <xf numFmtId="0" fontId="86" fillId="91" borderId="35" xfId="0" applyFont="1" applyFill="1" applyBorder="1" applyAlignment="1">
      <alignment horizontal="center"/>
    </xf>
    <xf numFmtId="0" fontId="10" fillId="91" borderId="35" xfId="0" applyFont="1" applyFill="1" applyBorder="1"/>
    <xf numFmtId="0" fontId="0" fillId="21" borderId="110" xfId="0" applyFill="1" applyBorder="1"/>
    <xf numFmtId="0" fontId="0" fillId="91" borderId="110" xfId="0" applyFill="1" applyBorder="1"/>
    <xf numFmtId="21" fontId="82" fillId="91" borderId="111" xfId="0" applyNumberFormat="1" applyFont="1" applyFill="1" applyBorder="1"/>
    <xf numFmtId="21" fontId="82" fillId="15" borderId="74" xfId="0" applyNumberFormat="1" applyFont="1" applyFill="1" applyBorder="1"/>
    <xf numFmtId="0" fontId="0" fillId="91" borderId="76" xfId="0" applyFill="1" applyBorder="1"/>
    <xf numFmtId="0" fontId="263" fillId="114" borderId="74" xfId="0" applyFont="1" applyFill="1" applyBorder="1"/>
    <xf numFmtId="0" fontId="263" fillId="114" borderId="75" xfId="0" applyFont="1" applyFill="1" applyBorder="1"/>
    <xf numFmtId="0" fontId="0" fillId="115" borderId="35" xfId="0" applyFill="1" applyBorder="1"/>
    <xf numFmtId="21" fontId="82" fillId="115" borderId="35" xfId="0" applyNumberFormat="1" applyFont="1" applyFill="1" applyBorder="1"/>
    <xf numFmtId="0" fontId="10" fillId="115" borderId="35" xfId="0" applyFont="1" applyFill="1" applyBorder="1"/>
    <xf numFmtId="21" fontId="0" fillId="115" borderId="35" xfId="0" applyNumberFormat="1" applyFill="1" applyBorder="1"/>
    <xf numFmtId="166" fontId="109" fillId="115" borderId="35" xfId="0" applyNumberFormat="1" applyFont="1" applyFill="1" applyBorder="1"/>
    <xf numFmtId="21" fontId="85" fillId="115" borderId="35" xfId="0" quotePrefix="1" applyNumberFormat="1" applyFont="1" applyFill="1" applyBorder="1" applyAlignment="1">
      <alignment horizontal="center"/>
    </xf>
    <xf numFmtId="0" fontId="86" fillId="115" borderId="35" xfId="0" applyFont="1" applyFill="1" applyBorder="1" applyAlignment="1">
      <alignment horizontal="center"/>
    </xf>
    <xf numFmtId="21" fontId="82" fillId="14" borderId="75" xfId="0" applyNumberFormat="1" applyFont="1" applyFill="1" applyBorder="1" applyAlignment="1">
      <alignment horizontal="center"/>
    </xf>
    <xf numFmtId="21" fontId="82" fillId="14" borderId="74" xfId="0" applyNumberFormat="1" applyFont="1" applyFill="1" applyBorder="1" applyAlignment="1">
      <alignment horizontal="center"/>
    </xf>
    <xf numFmtId="0" fontId="10" fillId="92" borderId="0" xfId="0" applyFont="1" applyFill="1" applyBorder="1" applyProtection="1"/>
    <xf numFmtId="0" fontId="277" fillId="111" borderId="75" xfId="0" applyFont="1" applyFill="1" applyBorder="1"/>
    <xf numFmtId="0" fontId="0" fillId="91" borderId="74" xfId="0" applyFill="1" applyBorder="1"/>
    <xf numFmtId="0" fontId="8" fillId="29" borderId="129" xfId="0" applyFont="1" applyFill="1" applyBorder="1"/>
    <xf numFmtId="1" fontId="81" fillId="115" borderId="126" xfId="0" applyNumberFormat="1" applyFont="1" applyFill="1" applyBorder="1"/>
    <xf numFmtId="0" fontId="211" fillId="0" borderId="111" xfId="0" applyFont="1" applyFill="1" applyBorder="1"/>
    <xf numFmtId="21" fontId="212" fillId="0" borderId="75" xfId="0" applyNumberFormat="1" applyFont="1" applyFill="1" applyBorder="1"/>
    <xf numFmtId="21" fontId="212" fillId="0" borderId="111" xfId="0" applyNumberFormat="1" applyFont="1" applyFill="1" applyBorder="1"/>
    <xf numFmtId="176" fontId="218" fillId="0" borderId="111" xfId="0" applyNumberFormat="1" applyFont="1" applyFill="1" applyBorder="1"/>
    <xf numFmtId="166" fontId="214" fillId="0" borderId="111" xfId="0" applyNumberFormat="1" applyFont="1" applyFill="1" applyBorder="1"/>
    <xf numFmtId="21" fontId="215" fillId="0" borderId="111" xfId="0" quotePrefix="1" applyNumberFormat="1" applyFont="1" applyFill="1" applyBorder="1" applyAlignment="1">
      <alignment horizontal="center"/>
    </xf>
    <xf numFmtId="1" fontId="213" fillId="0" borderId="111" xfId="0" applyNumberFormat="1" applyFont="1" applyFill="1" applyBorder="1" applyAlignment="1">
      <alignment horizontal="center"/>
    </xf>
    <xf numFmtId="0" fontId="211" fillId="0" borderId="157" xfId="0" applyFont="1" applyFill="1" applyBorder="1"/>
    <xf numFmtId="0" fontId="106" fillId="100" borderId="111" xfId="0" applyFont="1" applyFill="1" applyBorder="1" applyAlignment="1">
      <alignment horizontal="center"/>
    </xf>
    <xf numFmtId="0" fontId="160" fillId="48" borderId="129" xfId="0" applyFont="1" applyFill="1" applyBorder="1"/>
    <xf numFmtId="0" fontId="252" fillId="98" borderId="129" xfId="0" applyFont="1" applyFill="1" applyBorder="1"/>
    <xf numFmtId="21" fontId="82" fillId="98" borderId="123" xfId="0" applyNumberFormat="1" applyFont="1" applyFill="1" applyBorder="1" applyAlignment="1">
      <alignment horizontal="center"/>
    </xf>
    <xf numFmtId="0" fontId="253" fillId="98" borderId="129" xfId="0" applyFont="1" applyFill="1" applyBorder="1"/>
    <xf numFmtId="166" fontId="279" fillId="98" borderId="129" xfId="0" applyNumberFormat="1" applyFont="1" applyFill="1" applyBorder="1"/>
    <xf numFmtId="0" fontId="256" fillId="98" borderId="129" xfId="0" applyFont="1" applyFill="1" applyBorder="1" applyAlignment="1">
      <alignment horizontal="left"/>
    </xf>
    <xf numFmtId="1" fontId="81" fillId="91" borderId="111" xfId="0" applyNumberFormat="1" applyFont="1" applyFill="1" applyBorder="1"/>
    <xf numFmtId="1" fontId="86" fillId="91" borderId="35" xfId="0" applyNumberFormat="1" applyFont="1" applyFill="1" applyBorder="1" applyAlignment="1">
      <alignment horizontal="center"/>
    </xf>
    <xf numFmtId="0" fontId="0" fillId="91" borderId="36" xfId="0" applyFill="1" applyBorder="1"/>
    <xf numFmtId="0" fontId="6" fillId="3" borderId="74" xfId="0" applyFont="1" applyFill="1" applyBorder="1" applyAlignment="1" applyProtection="1">
      <alignment horizontal="center"/>
    </xf>
    <xf numFmtId="0" fontId="5" fillId="3" borderId="130" xfId="0" applyFont="1" applyFill="1" applyBorder="1" applyAlignment="1" applyProtection="1">
      <alignment horizontal="center"/>
    </xf>
    <xf numFmtId="0" fontId="5" fillId="3" borderId="133" xfId="0" applyFont="1" applyFill="1" applyBorder="1" applyAlignment="1" applyProtection="1">
      <alignment horizontal="center"/>
    </xf>
    <xf numFmtId="0" fontId="5" fillId="0" borderId="133" xfId="0" applyFont="1" applyFill="1" applyBorder="1" applyAlignment="1" applyProtection="1">
      <alignment horizontal="center"/>
    </xf>
    <xf numFmtId="0" fontId="55" fillId="3" borderId="123" xfId="0" applyFont="1" applyFill="1" applyBorder="1" applyProtection="1">
      <protection locked="0"/>
    </xf>
    <xf numFmtId="0" fontId="6" fillId="0" borderId="133" xfId="0" applyFont="1" applyFill="1" applyBorder="1" applyAlignment="1" applyProtection="1">
      <alignment horizontal="center"/>
    </xf>
    <xf numFmtId="0" fontId="6" fillId="0" borderId="86" xfId="0" applyFont="1" applyFill="1" applyBorder="1" applyAlignment="1" applyProtection="1">
      <alignment horizontal="center"/>
    </xf>
    <xf numFmtId="0" fontId="5" fillId="3" borderId="66" xfId="0" applyFont="1" applyFill="1" applyBorder="1" applyAlignment="1" applyProtection="1">
      <alignment horizontal="center"/>
    </xf>
    <xf numFmtId="21" fontId="11" fillId="19" borderId="35" xfId="0" applyNumberFormat="1" applyFont="1" applyFill="1" applyBorder="1"/>
    <xf numFmtId="166" fontId="157" fillId="33" borderId="35" xfId="0" quotePrefix="1" applyNumberFormat="1" applyFont="1" applyFill="1" applyBorder="1" applyAlignment="1" applyProtection="1">
      <alignment horizontal="left"/>
    </xf>
    <xf numFmtId="0" fontId="100" fillId="19" borderId="117" xfId="0" applyFont="1" applyFill="1" applyBorder="1"/>
    <xf numFmtId="0" fontId="1" fillId="21" borderId="111" xfId="0" applyFont="1" applyFill="1" applyBorder="1"/>
    <xf numFmtId="0" fontId="8" fillId="33" borderId="129" xfId="0" applyFont="1" applyFill="1" applyBorder="1" applyAlignment="1">
      <alignment horizontal="left"/>
    </xf>
    <xf numFmtId="176" fontId="8" fillId="19" borderId="129" xfId="0" applyNumberFormat="1" applyFont="1" applyFill="1" applyBorder="1"/>
    <xf numFmtId="21" fontId="100" fillId="19" borderId="0" xfId="0" applyNumberFormat="1" applyFont="1" applyFill="1" applyAlignment="1">
      <alignment horizontal="center"/>
    </xf>
    <xf numFmtId="0" fontId="107" fillId="33" borderId="76" xfId="0" applyFont="1" applyFill="1" applyBorder="1" applyAlignment="1">
      <alignment horizontal="center"/>
    </xf>
    <xf numFmtId="0" fontId="100" fillId="26" borderId="35" xfId="0" applyFont="1" applyFill="1" applyBorder="1"/>
    <xf numFmtId="21" fontId="100" fillId="26" borderId="35" xfId="0" applyNumberFormat="1" applyFont="1" applyFill="1" applyBorder="1"/>
    <xf numFmtId="0" fontId="100" fillId="19" borderId="110" xfId="0" applyFont="1" applyFill="1" applyBorder="1"/>
    <xf numFmtId="21" fontId="85" fillId="14" borderId="60" xfId="0" applyNumberFormat="1" applyFont="1" applyFill="1" applyBorder="1" applyAlignment="1"/>
    <xf numFmtId="21" fontId="100" fillId="19" borderId="111" xfId="0" applyNumberFormat="1" applyFont="1" applyFill="1" applyBorder="1"/>
    <xf numFmtId="0" fontId="100" fillId="48" borderId="0" xfId="0" applyFont="1" applyFill="1" applyBorder="1"/>
    <xf numFmtId="21" fontId="82" fillId="0" borderId="32" xfId="0" applyNumberFormat="1" applyFont="1" applyFill="1" applyBorder="1"/>
    <xf numFmtId="0" fontId="0" fillId="15" borderId="132" xfId="0" applyFill="1" applyBorder="1"/>
    <xf numFmtId="0" fontId="277" fillId="111" borderId="173" xfId="0" applyFont="1" applyFill="1" applyBorder="1"/>
    <xf numFmtId="0" fontId="0" fillId="111" borderId="75" xfId="0" applyFill="1" applyBorder="1"/>
    <xf numFmtId="21" fontId="85" fillId="14" borderId="147" xfId="0" applyNumberFormat="1" applyFont="1" applyFill="1" applyBorder="1"/>
    <xf numFmtId="0" fontId="10" fillId="0" borderId="35" xfId="0" applyFont="1" applyFill="1" applyBorder="1"/>
    <xf numFmtId="0" fontId="10" fillId="108" borderId="35" xfId="0" applyFont="1" applyFill="1" applyBorder="1" applyAlignment="1">
      <alignment horizontal="center"/>
    </xf>
    <xf numFmtId="0" fontId="271" fillId="91" borderId="178" xfId="0" applyFont="1" applyFill="1" applyBorder="1"/>
    <xf numFmtId="0" fontId="10" fillId="91" borderId="35" xfId="0" applyFont="1" applyFill="1" applyBorder="1" applyAlignment="1">
      <alignment horizontal="center"/>
    </xf>
    <xf numFmtId="1" fontId="81" fillId="0" borderId="111" xfId="0" applyNumberFormat="1" applyFont="1" applyFill="1" applyBorder="1"/>
    <xf numFmtId="0" fontId="19" fillId="0" borderId="35" xfId="0" applyFont="1" applyFill="1" applyBorder="1"/>
    <xf numFmtId="21" fontId="81" fillId="0" borderId="35" xfId="0" applyNumberFormat="1" applyFont="1" applyFill="1" applyBorder="1" applyAlignment="1">
      <alignment horizontal="center"/>
    </xf>
    <xf numFmtId="0" fontId="281" fillId="3" borderId="0" xfId="0" applyFont="1" applyFill="1" applyProtection="1"/>
    <xf numFmtId="0" fontId="282" fillId="3" borderId="0" xfId="0" applyFont="1" applyFill="1" applyProtection="1"/>
    <xf numFmtId="0" fontId="55" fillId="3" borderId="181" xfId="0" applyFont="1" applyFill="1" applyBorder="1" applyProtection="1">
      <protection locked="0"/>
    </xf>
    <xf numFmtId="0" fontId="55" fillId="3" borderId="182" xfId="0" applyFont="1" applyFill="1" applyBorder="1" applyProtection="1">
      <protection locked="0"/>
    </xf>
    <xf numFmtId="21" fontId="269" fillId="117" borderId="35" xfId="0" applyNumberFormat="1" applyFont="1" applyFill="1" applyBorder="1"/>
    <xf numFmtId="1" fontId="81" fillId="117" borderId="109" xfId="0" applyNumberFormat="1" applyFont="1" applyFill="1" applyBorder="1"/>
    <xf numFmtId="21" fontId="0" fillId="117" borderId="35" xfId="0" applyNumberFormat="1" applyFill="1" applyBorder="1"/>
    <xf numFmtId="166" fontId="109" fillId="117" borderId="35" xfId="0" applyNumberFormat="1" applyFont="1" applyFill="1" applyBorder="1"/>
    <xf numFmtId="0" fontId="55" fillId="112" borderId="0" xfId="0" applyFont="1" applyFill="1" applyProtection="1">
      <protection locked="0"/>
    </xf>
    <xf numFmtId="0" fontId="0" fillId="117" borderId="35" xfId="0" applyFill="1" applyBorder="1"/>
    <xf numFmtId="0" fontId="283" fillId="3" borderId="0" xfId="0" applyFont="1" applyFill="1" applyProtection="1">
      <protection locked="0"/>
    </xf>
    <xf numFmtId="0" fontId="284" fillId="3" borderId="0" xfId="0" applyFont="1" applyFill="1" applyProtection="1">
      <protection locked="0"/>
    </xf>
    <xf numFmtId="21" fontId="0" fillId="117" borderId="76" xfId="0" applyNumberFormat="1" applyFill="1" applyBorder="1"/>
    <xf numFmtId="0" fontId="280" fillId="3" borderId="180" xfId="0" applyFont="1" applyFill="1" applyBorder="1" applyProtection="1">
      <protection locked="0"/>
    </xf>
    <xf numFmtId="0" fontId="0" fillId="3" borderId="181" xfId="0" applyFill="1" applyBorder="1" applyProtection="1"/>
    <xf numFmtId="0" fontId="77" fillId="118" borderId="181" xfId="0" applyFont="1" applyFill="1" applyBorder="1" applyAlignment="1" applyProtection="1">
      <alignment horizontal="center"/>
    </xf>
    <xf numFmtId="0" fontId="77" fillId="118" borderId="182" xfId="0" applyFont="1" applyFill="1" applyBorder="1" applyAlignment="1" applyProtection="1">
      <alignment horizontal="center"/>
    </xf>
    <xf numFmtId="166" fontId="285" fillId="118" borderId="181" xfId="0" applyNumberFormat="1" applyFont="1" applyFill="1" applyBorder="1" applyAlignment="1" applyProtection="1"/>
    <xf numFmtId="0" fontId="77" fillId="3" borderId="184" xfId="0" applyFont="1" applyFill="1" applyBorder="1" applyAlignment="1" applyProtection="1">
      <alignment horizontal="center"/>
    </xf>
    <xf numFmtId="0" fontId="77" fillId="3" borderId="185" xfId="0" applyFont="1" applyFill="1" applyBorder="1" applyAlignment="1" applyProtection="1">
      <alignment horizontal="center"/>
    </xf>
    <xf numFmtId="0" fontId="97" fillId="109" borderId="180" xfId="0" applyFont="1" applyFill="1" applyBorder="1" applyAlignment="1"/>
    <xf numFmtId="0" fontId="97" fillId="109" borderId="182" xfId="0" applyFont="1" applyFill="1" applyBorder="1" applyAlignment="1"/>
    <xf numFmtId="166" fontId="149" fillId="118" borderId="181" xfId="0" applyNumberFormat="1" applyFont="1" applyFill="1" applyBorder="1" applyAlignment="1" applyProtection="1"/>
    <xf numFmtId="166" fontId="149" fillId="118" borderId="182" xfId="0" applyNumberFormat="1" applyFont="1" applyFill="1" applyBorder="1" applyAlignment="1" applyProtection="1"/>
    <xf numFmtId="166" fontId="149" fillId="118" borderId="180" xfId="0" applyNumberFormat="1" applyFont="1" applyFill="1" applyBorder="1" applyAlignment="1" applyProtection="1"/>
    <xf numFmtId="0" fontId="286" fillId="3" borderId="183" xfId="0" applyFont="1" applyFill="1" applyBorder="1" applyAlignment="1" applyProtection="1">
      <alignment horizontal="center"/>
    </xf>
    <xf numFmtId="0" fontId="157" fillId="118" borderId="129" xfId="0" applyFont="1" applyFill="1" applyBorder="1" applyAlignment="1" applyProtection="1">
      <alignment horizontal="center"/>
    </xf>
    <xf numFmtId="21" fontId="0" fillId="15" borderId="177" xfId="0" applyNumberFormat="1" applyFill="1" applyBorder="1"/>
    <xf numFmtId="21" fontId="0" fillId="15" borderId="42" xfId="0" applyNumberFormat="1" applyFill="1" applyBorder="1"/>
    <xf numFmtId="0" fontId="0" fillId="15" borderId="177" xfId="0" applyFill="1" applyBorder="1"/>
    <xf numFmtId="0" fontId="1" fillId="14" borderId="42" xfId="0" applyFont="1" applyFill="1" applyBorder="1"/>
    <xf numFmtId="0" fontId="86" fillId="108" borderId="32" xfId="0" applyFont="1" applyFill="1" applyBorder="1" applyAlignment="1">
      <alignment horizontal="center" wrapText="1"/>
    </xf>
    <xf numFmtId="1" fontId="19" fillId="20" borderId="180" xfId="0" applyNumberFormat="1" applyFont="1" applyFill="1" applyBorder="1"/>
    <xf numFmtId="1" fontId="81" fillId="21" borderId="180" xfId="0" applyNumberFormat="1" applyFont="1" applyFill="1" applyBorder="1"/>
    <xf numFmtId="1" fontId="19" fillId="15" borderId="180" xfId="0" applyNumberFormat="1" applyFont="1" applyFill="1" applyBorder="1"/>
    <xf numFmtId="0" fontId="288" fillId="114" borderId="177" xfId="0" applyFont="1" applyFill="1" applyBorder="1"/>
    <xf numFmtId="0" fontId="289" fillId="114" borderId="179" xfId="0" applyFont="1" applyFill="1" applyBorder="1"/>
    <xf numFmtId="0" fontId="19" fillId="114" borderId="76" xfId="0" applyFont="1" applyFill="1" applyBorder="1"/>
    <xf numFmtId="0" fontId="19" fillId="18" borderId="186" xfId="0" applyFont="1" applyFill="1" applyBorder="1" applyProtection="1"/>
    <xf numFmtId="0" fontId="19" fillId="21" borderId="179" xfId="0" applyFont="1" applyFill="1" applyBorder="1"/>
    <xf numFmtId="0" fontId="289" fillId="119" borderId="187" xfId="0" applyFont="1" applyFill="1" applyBorder="1" applyProtection="1"/>
    <xf numFmtId="0" fontId="19" fillId="119" borderId="76" xfId="0" applyFont="1" applyFill="1" applyBorder="1" applyProtection="1"/>
    <xf numFmtId="0" fontId="9" fillId="107" borderId="89" xfId="0" applyFont="1" applyFill="1" applyBorder="1" applyAlignment="1">
      <alignment horizontal="center" textRotation="90" wrapText="1"/>
    </xf>
    <xf numFmtId="177" fontId="10" fillId="0" borderId="35" xfId="0" applyNumberFormat="1" applyFont="1" applyFill="1" applyBorder="1" applyProtection="1"/>
    <xf numFmtId="0" fontId="84" fillId="16" borderId="111" xfId="0" applyFont="1" applyFill="1" applyBorder="1" applyAlignment="1">
      <alignment horizontal="left"/>
    </xf>
    <xf numFmtId="0" fontId="86" fillId="0" borderId="32" xfId="0" applyFont="1" applyFill="1" applyBorder="1" applyAlignment="1">
      <alignment horizontal="center" wrapText="1"/>
    </xf>
    <xf numFmtId="0" fontId="8" fillId="33" borderId="129" xfId="0" applyFont="1" applyFill="1" applyBorder="1"/>
    <xf numFmtId="166" fontId="235" fillId="19" borderId="35" xfId="0" applyNumberFormat="1" applyFont="1" applyFill="1" applyBorder="1"/>
    <xf numFmtId="0" fontId="11" fillId="30" borderId="83" xfId="0" applyFont="1" applyFill="1" applyBorder="1" applyProtection="1"/>
    <xf numFmtId="21" fontId="100" fillId="29" borderId="35" xfId="0" applyNumberFormat="1" applyFont="1" applyFill="1" applyBorder="1" applyAlignment="1">
      <alignment horizontal="center"/>
    </xf>
    <xf numFmtId="21" fontId="106" fillId="29" borderId="35" xfId="0" applyNumberFormat="1" applyFont="1" applyFill="1" applyBorder="1"/>
    <xf numFmtId="166" fontId="157" fillId="30" borderId="0" xfId="0" applyNumberFormat="1" applyFont="1" applyFill="1" applyBorder="1" applyProtection="1"/>
    <xf numFmtId="0" fontId="11" fillId="30" borderId="83" xfId="0" applyFont="1" applyFill="1" applyBorder="1" applyAlignment="1" applyProtection="1">
      <alignment horizontal="center"/>
    </xf>
    <xf numFmtId="21" fontId="8" fillId="19" borderId="129" xfId="0" applyNumberFormat="1" applyFont="1" applyFill="1" applyBorder="1"/>
    <xf numFmtId="166" fontId="8" fillId="33" borderId="129" xfId="0" applyNumberFormat="1" applyFont="1" applyFill="1" applyBorder="1"/>
    <xf numFmtId="21" fontId="106" fillId="19" borderId="129" xfId="0" applyNumberFormat="1" applyFont="1" applyFill="1" applyBorder="1" applyAlignment="1">
      <alignment horizontal="center"/>
    </xf>
    <xf numFmtId="21" fontId="106" fillId="19" borderId="0" xfId="0" applyNumberFormat="1" applyFont="1" applyFill="1" applyAlignment="1">
      <alignment horizontal="center"/>
    </xf>
    <xf numFmtId="0" fontId="107" fillId="33" borderId="76" xfId="0" applyFont="1" applyFill="1" applyBorder="1"/>
    <xf numFmtId="21" fontId="86" fillId="21" borderId="129" xfId="0" applyNumberFormat="1" applyFont="1" applyFill="1" applyBorder="1"/>
    <xf numFmtId="166" fontId="10" fillId="21" borderId="35" xfId="0" applyNumberFormat="1" applyFont="1" applyFill="1" applyBorder="1"/>
    <xf numFmtId="21" fontId="86" fillId="21" borderId="35" xfId="0" applyNumberFormat="1" applyFont="1" applyFill="1" applyBorder="1"/>
    <xf numFmtId="0" fontId="10" fillId="21" borderId="36" xfId="0" applyFont="1" applyFill="1" applyBorder="1"/>
    <xf numFmtId="21" fontId="86" fillId="14" borderId="35" xfId="0" applyNumberFormat="1" applyFont="1" applyFill="1" applyBorder="1" applyAlignment="1">
      <alignment horizontal="center"/>
    </xf>
    <xf numFmtId="166" fontId="86" fillId="14" borderId="35" xfId="0" applyNumberFormat="1" applyFont="1" applyFill="1" applyBorder="1"/>
    <xf numFmtId="1" fontId="135" fillId="100" borderId="0" xfId="0" applyNumberFormat="1" applyFont="1" applyFill="1" applyBorder="1" applyAlignment="1" applyProtection="1">
      <alignment horizontal="center"/>
      <protection locked="0"/>
    </xf>
    <xf numFmtId="0" fontId="180" fillId="24" borderId="12" xfId="0" applyFont="1" applyFill="1" applyBorder="1" applyAlignment="1" applyProtection="1">
      <alignment horizontal="center"/>
    </xf>
    <xf numFmtId="2" fontId="179" fillId="8" borderId="132" xfId="0" applyNumberFormat="1" applyFont="1" applyFill="1" applyBorder="1"/>
    <xf numFmtId="1" fontId="191" fillId="8" borderId="74" xfId="0" applyNumberFormat="1" applyFont="1" applyFill="1" applyBorder="1" applyAlignment="1" applyProtection="1">
      <alignment horizontal="center"/>
      <protection locked="0"/>
    </xf>
    <xf numFmtId="21" fontId="230" fillId="40" borderId="74" xfId="0" applyNumberFormat="1" applyFont="1" applyFill="1" applyBorder="1"/>
    <xf numFmtId="21" fontId="189" fillId="40" borderId="74" xfId="0" applyNumberFormat="1" applyFont="1" applyFill="1" applyBorder="1"/>
    <xf numFmtId="166" fontId="179" fillId="8" borderId="74" xfId="0" applyNumberFormat="1" applyFont="1" applyFill="1" applyBorder="1" applyAlignment="1" applyProtection="1">
      <alignment horizontal="center"/>
      <protection locked="0"/>
    </xf>
    <xf numFmtId="1" fontId="179" fillId="8" borderId="74" xfId="0" applyNumberFormat="1" applyFont="1" applyFill="1" applyBorder="1" applyAlignment="1" applyProtection="1">
      <alignment horizontal="center"/>
      <protection locked="0"/>
    </xf>
    <xf numFmtId="172" fontId="230" fillId="8" borderId="131" xfId="0" applyNumberFormat="1" applyFont="1" applyFill="1" applyBorder="1"/>
    <xf numFmtId="166" fontId="0" fillId="80" borderId="95" xfId="0" applyNumberFormat="1" applyFill="1" applyBorder="1"/>
    <xf numFmtId="3" fontId="40" fillId="0" borderId="0" xfId="5" quotePrefix="1" applyNumberFormat="1" applyFont="1" applyAlignment="1" applyProtection="1">
      <alignment horizontal="left"/>
      <protection hidden="1"/>
    </xf>
    <xf numFmtId="3" fontId="1" fillId="0" borderId="0" xfId="5" applyNumberFormat="1" applyFont="1" applyAlignment="1" applyProtection="1">
      <alignment horizontal="left"/>
      <protection hidden="1"/>
    </xf>
    <xf numFmtId="3" fontId="1" fillId="0" borderId="12" xfId="5" applyNumberFormat="1" applyFont="1" applyBorder="1" applyAlignment="1" applyProtection="1">
      <alignment horizontal="left"/>
      <protection hidden="1"/>
    </xf>
    <xf numFmtId="3" fontId="19" fillId="0" borderId="0" xfId="5" applyNumberFormat="1" applyFont="1" applyAlignment="1" applyProtection="1">
      <alignment horizontal="center"/>
      <protection hidden="1"/>
    </xf>
    <xf numFmtId="3" fontId="19" fillId="0" borderId="12" xfId="5" applyNumberFormat="1" applyFont="1" applyBorder="1" applyProtection="1">
      <protection hidden="1"/>
    </xf>
    <xf numFmtId="3" fontId="19" fillId="0" borderId="0" xfId="5" applyNumberFormat="1" applyFont="1" applyProtection="1">
      <protection hidden="1"/>
    </xf>
    <xf numFmtId="3" fontId="19" fillId="37" borderId="66" xfId="5" applyNumberFormat="1" applyFont="1" applyFill="1" applyBorder="1" applyProtection="1">
      <protection locked="0" hidden="1"/>
    </xf>
    <xf numFmtId="3" fontId="19" fillId="37" borderId="32" xfId="5" applyNumberFormat="1" applyFont="1" applyFill="1" applyBorder="1" applyProtection="1">
      <protection locked="0" hidden="1"/>
    </xf>
    <xf numFmtId="3" fontId="19" fillId="3" borderId="0" xfId="5" applyNumberFormat="1" applyFont="1" applyFill="1" applyProtection="1">
      <protection hidden="1"/>
    </xf>
    <xf numFmtId="3" fontId="19" fillId="8" borderId="12" xfId="5" applyNumberFormat="1" applyFont="1" applyFill="1" applyBorder="1" applyAlignment="1" applyProtection="1">
      <alignment horizontal="center"/>
      <protection hidden="1"/>
    </xf>
    <xf numFmtId="3" fontId="10" fillId="3" borderId="0" xfId="5" applyNumberFormat="1" applyFont="1" applyFill="1" applyProtection="1">
      <protection hidden="1"/>
    </xf>
    <xf numFmtId="169" fontId="42" fillId="77" borderId="167" xfId="5" applyNumberFormat="1" applyFont="1" applyFill="1" applyBorder="1" applyAlignment="1" applyProtection="1">
      <alignment horizontal="center" vertical="center" textRotation="90"/>
      <protection locked="0" hidden="1"/>
    </xf>
    <xf numFmtId="169" fontId="42" fillId="77" borderId="168" xfId="5" applyNumberFormat="1" applyFont="1" applyFill="1" applyBorder="1" applyAlignment="1" applyProtection="1">
      <alignment horizontal="center" vertical="center" textRotation="90"/>
      <protection locked="0" hidden="1"/>
    </xf>
    <xf numFmtId="3" fontId="19" fillId="8" borderId="16" xfId="5" applyNumberFormat="1" applyFont="1" applyFill="1" applyBorder="1" applyAlignment="1" applyProtection="1">
      <alignment horizontal="center"/>
      <protection hidden="1"/>
    </xf>
    <xf numFmtId="3" fontId="43" fillId="3" borderId="32" xfId="5" applyNumberFormat="1" applyFont="1" applyFill="1" applyBorder="1" applyAlignment="1" applyProtection="1">
      <alignment horizontal="center" vertical="center"/>
      <protection locked="0" hidden="1"/>
    </xf>
    <xf numFmtId="3" fontId="19" fillId="8" borderId="17" xfId="5" applyNumberFormat="1" applyFont="1" applyFill="1" applyBorder="1" applyAlignment="1" applyProtection="1">
      <alignment horizontal="center"/>
      <protection hidden="1"/>
    </xf>
    <xf numFmtId="3" fontId="44" fillId="24" borderId="61" xfId="5" applyNumberFormat="1" applyFont="1" applyFill="1" applyBorder="1" applyAlignment="1" applyProtection="1">
      <alignment horizontal="center" vertical="center"/>
      <protection locked="0" hidden="1"/>
    </xf>
    <xf numFmtId="3" fontId="19" fillId="0" borderId="0" xfId="5" quotePrefix="1" applyNumberFormat="1" applyFont="1" applyAlignment="1" applyProtection="1">
      <alignment horizontal="left"/>
      <protection hidden="1"/>
    </xf>
    <xf numFmtId="3" fontId="19" fillId="120" borderId="102" xfId="5" applyNumberFormat="1" applyFont="1" applyFill="1" applyBorder="1" applyProtection="1">
      <protection hidden="1"/>
    </xf>
    <xf numFmtId="0" fontId="6" fillId="0" borderId="0" xfId="0" applyNumberFormat="1" applyFont="1"/>
    <xf numFmtId="0" fontId="290" fillId="0" borderId="0" xfId="0" applyFont="1"/>
    <xf numFmtId="21" fontId="85" fillId="34" borderId="35" xfId="0" quotePrefix="1" applyNumberFormat="1" applyFont="1" applyFill="1" applyBorder="1" applyAlignment="1">
      <alignment horizontal="center"/>
    </xf>
    <xf numFmtId="1" fontId="2" fillId="0" borderId="60" xfId="0" applyNumberFormat="1" applyFont="1" applyBorder="1"/>
    <xf numFmtId="1" fontId="2" fillId="0" borderId="58" xfId="0" applyNumberFormat="1" applyFont="1" applyBorder="1"/>
    <xf numFmtId="1" fontId="2" fillId="0" borderId="59" xfId="0" applyNumberFormat="1" applyFont="1" applyBorder="1"/>
    <xf numFmtId="0" fontId="291" fillId="0" borderId="0" xfId="0" applyFont="1"/>
    <xf numFmtId="0" fontId="280" fillId="80" borderId="100" xfId="0" applyFont="1" applyFill="1" applyBorder="1"/>
    <xf numFmtId="166" fontId="280" fillId="80" borderId="100" xfId="0" applyNumberFormat="1" applyFont="1" applyFill="1" applyBorder="1"/>
    <xf numFmtId="21" fontId="10" fillId="91" borderId="35" xfId="0" quotePrefix="1" applyNumberFormat="1" applyFont="1" applyFill="1" applyBorder="1" applyAlignment="1">
      <alignment horizontal="center"/>
    </xf>
    <xf numFmtId="21" fontId="109" fillId="15" borderId="35" xfId="0" applyNumberFormat="1" applyFont="1" applyFill="1" applyBorder="1"/>
    <xf numFmtId="21" fontId="82" fillId="21" borderId="35" xfId="0" applyNumberFormat="1" applyFont="1" applyFill="1" applyBorder="1" applyAlignment="1">
      <alignment horizontal="center"/>
    </xf>
    <xf numFmtId="21" fontId="85" fillId="16" borderId="0" xfId="0" applyNumberFormat="1" applyFont="1" applyFill="1" applyBorder="1" applyAlignment="1">
      <alignment horizontal="center"/>
    </xf>
    <xf numFmtId="0" fontId="0" fillId="0" borderId="189" xfId="0" applyBorder="1"/>
    <xf numFmtId="0" fontId="0" fillId="0" borderId="190" xfId="0" applyBorder="1"/>
    <xf numFmtId="0" fontId="0" fillId="0" borderId="194" xfId="0" applyBorder="1"/>
    <xf numFmtId="0" fontId="0" fillId="123" borderId="0" xfId="0" applyFill="1"/>
    <xf numFmtId="176" fontId="10" fillId="91" borderId="35" xfId="0" applyNumberFormat="1" applyFont="1" applyFill="1" applyBorder="1"/>
    <xf numFmtId="0" fontId="2" fillId="0" borderId="190" xfId="0" applyFont="1" applyBorder="1"/>
    <xf numFmtId="0" fontId="0" fillId="0" borderId="196" xfId="0" applyBorder="1"/>
    <xf numFmtId="0" fontId="2" fillId="0" borderId="0" xfId="0" applyFont="1"/>
    <xf numFmtId="176" fontId="9" fillId="3" borderId="0" xfId="0" applyNumberFormat="1" applyFont="1" applyFill="1" applyAlignment="1" applyProtection="1">
      <alignment horizontal="center"/>
      <protection locked="0"/>
    </xf>
    <xf numFmtId="0" fontId="5" fillId="0" borderId="12" xfId="0" applyFont="1" applyBorder="1" applyAlignment="1">
      <alignment horizontal="center"/>
    </xf>
    <xf numFmtId="0" fontId="5" fillId="0" borderId="97" xfId="0" applyFont="1" applyBorder="1" applyAlignment="1">
      <alignment horizontal="center"/>
    </xf>
    <xf numFmtId="21" fontId="85" fillId="17" borderId="0" xfId="0" quotePrefix="1" applyNumberFormat="1" applyFont="1" applyFill="1" applyAlignment="1">
      <alignment horizontal="center"/>
    </xf>
    <xf numFmtId="0" fontId="0" fillId="81" borderId="0" xfId="0" applyFill="1"/>
    <xf numFmtId="0" fontId="0" fillId="81" borderId="189" xfId="0" applyFill="1" applyBorder="1"/>
    <xf numFmtId="0" fontId="0" fillId="81" borderId="190" xfId="0" applyFill="1" applyBorder="1"/>
    <xf numFmtId="0" fontId="0" fillId="81" borderId="194" xfId="0" applyFill="1" applyBorder="1"/>
    <xf numFmtId="0" fontId="0" fillId="72" borderId="190" xfId="0" applyFill="1" applyBorder="1"/>
    <xf numFmtId="0" fontId="0" fillId="72" borderId="194" xfId="0" applyFill="1" applyBorder="1"/>
    <xf numFmtId="0" fontId="0" fillId="72" borderId="0" xfId="0" applyFill="1" applyBorder="1"/>
    <xf numFmtId="0" fontId="0" fillId="72" borderId="102" xfId="0" applyFill="1" applyBorder="1"/>
    <xf numFmtId="0" fontId="0" fillId="72" borderId="196" xfId="0" applyFill="1" applyBorder="1" applyAlignment="1"/>
    <xf numFmtId="0" fontId="0" fillId="72" borderId="79" xfId="0" applyFill="1" applyBorder="1"/>
    <xf numFmtId="0" fontId="0" fillId="72" borderId="113" xfId="0" applyFill="1" applyBorder="1"/>
    <xf numFmtId="0" fontId="296" fillId="127" borderId="189" xfId="0" applyFont="1" applyFill="1" applyBorder="1" applyAlignment="1">
      <alignment horizontal="center"/>
    </xf>
    <xf numFmtId="0" fontId="0" fillId="127" borderId="193" xfId="0" applyFill="1" applyBorder="1"/>
    <xf numFmtId="0" fontId="0" fillId="127" borderId="12" xfId="0" applyFill="1" applyBorder="1"/>
    <xf numFmtId="0" fontId="0" fillId="127" borderId="102" xfId="0" applyFill="1" applyBorder="1"/>
    <xf numFmtId="0" fontId="0" fillId="80" borderId="189" xfId="0" applyFill="1" applyBorder="1" applyAlignment="1">
      <alignment horizontal="center"/>
    </xf>
    <xf numFmtId="0" fontId="0" fillId="127" borderId="196" xfId="0" applyFill="1" applyBorder="1"/>
    <xf numFmtId="0" fontId="0" fillId="127" borderId="113" xfId="0" applyFill="1" applyBorder="1"/>
    <xf numFmtId="0" fontId="0" fillId="105" borderId="191" xfId="0" applyFill="1" applyBorder="1"/>
    <xf numFmtId="0" fontId="0" fillId="105" borderId="193" xfId="0" applyFill="1" applyBorder="1"/>
    <xf numFmtId="0" fontId="296" fillId="0" borderId="0" xfId="0" applyFont="1" applyBorder="1"/>
    <xf numFmtId="0" fontId="0" fillId="0" borderId="198" xfId="0" applyBorder="1" applyAlignment="1">
      <alignment horizontal="center"/>
    </xf>
    <xf numFmtId="0" fontId="0" fillId="81" borderId="0" xfId="0" applyFill="1" applyBorder="1" applyAlignment="1">
      <alignment horizontal="center"/>
    </xf>
    <xf numFmtId="0" fontId="0" fillId="80" borderId="12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296" fillId="0" borderId="58" xfId="0" applyFont="1" applyBorder="1"/>
    <xf numFmtId="0" fontId="0" fillId="80" borderId="102" xfId="0" applyFill="1" applyBorder="1" applyAlignment="1">
      <alignment horizontal="center"/>
    </xf>
    <xf numFmtId="0" fontId="0" fillId="80" borderId="58" xfId="0" applyFill="1" applyBorder="1" applyAlignment="1">
      <alignment horizontal="center"/>
    </xf>
    <xf numFmtId="0" fontId="0" fillId="0" borderId="66" xfId="0" applyBorder="1"/>
    <xf numFmtId="0" fontId="0" fillId="80" borderId="190" xfId="0" applyFill="1" applyBorder="1"/>
    <xf numFmtId="182" fontId="0" fillId="0" borderId="32" xfId="0" applyNumberFormat="1" applyBorder="1"/>
    <xf numFmtId="182" fontId="0" fillId="0" borderId="33" xfId="0" applyNumberFormat="1" applyBorder="1"/>
    <xf numFmtId="182" fontId="0" fillId="81" borderId="0" xfId="0" applyNumberFormat="1" applyFill="1" applyBorder="1"/>
    <xf numFmtId="182" fontId="0" fillId="0" borderId="12" xfId="0" applyNumberFormat="1" applyBorder="1"/>
    <xf numFmtId="182" fontId="0" fillId="0" borderId="0" xfId="0" applyNumberFormat="1" applyBorder="1"/>
    <xf numFmtId="0" fontId="0" fillId="0" borderId="202" xfId="0" applyBorder="1"/>
    <xf numFmtId="0" fontId="0" fillId="0" borderId="195" xfId="0" applyBorder="1"/>
    <xf numFmtId="182" fontId="0" fillId="0" borderId="198" xfId="0" applyNumberFormat="1" applyBorder="1"/>
    <xf numFmtId="182" fontId="0" fillId="0" borderId="199" xfId="0" applyNumberFormat="1" applyBorder="1"/>
    <xf numFmtId="182" fontId="0" fillId="80" borderId="12" xfId="0" applyNumberFormat="1" applyFill="1" applyBorder="1" applyAlignment="1">
      <alignment horizontal="center"/>
    </xf>
    <xf numFmtId="0" fontId="0" fillId="0" borderId="203" xfId="0" applyBorder="1"/>
    <xf numFmtId="182" fontId="0" fillId="0" borderId="204" xfId="0" applyNumberFormat="1" applyBorder="1"/>
    <xf numFmtId="2" fontId="0" fillId="0" borderId="205" xfId="0" applyNumberFormat="1" applyBorder="1"/>
    <xf numFmtId="2" fontId="0" fillId="0" borderId="206" xfId="0" applyNumberFormat="1" applyBorder="1"/>
    <xf numFmtId="182" fontId="0" fillId="0" borderId="79" xfId="0" applyNumberFormat="1" applyBorder="1"/>
    <xf numFmtId="0" fontId="0" fillId="0" borderId="198" xfId="0" applyBorder="1"/>
    <xf numFmtId="3" fontId="19" fillId="37" borderId="198" xfId="5" applyNumberFormat="1" applyFont="1" applyFill="1" applyBorder="1" applyProtection="1">
      <protection locked="0"/>
    </xf>
    <xf numFmtId="3" fontId="19" fillId="0" borderId="198" xfId="5" applyNumberFormat="1" applyFont="1" applyFill="1" applyBorder="1" applyProtection="1">
      <protection locked="0"/>
    </xf>
    <xf numFmtId="2" fontId="0" fillId="81" borderId="0" xfId="0" applyNumberFormat="1" applyFill="1" applyBorder="1"/>
    <xf numFmtId="3" fontId="19" fillId="128" borderId="198" xfId="5" applyNumberFormat="1" applyFont="1" applyFill="1" applyBorder="1" applyProtection="1">
      <protection locked="0"/>
    </xf>
    <xf numFmtId="3" fontId="19" fillId="37" borderId="188" xfId="5" applyNumberFormat="1" applyFont="1" applyFill="1" applyBorder="1" applyProtection="1">
      <protection locked="0"/>
    </xf>
    <xf numFmtId="3" fontId="19" fillId="128" borderId="188" xfId="5" applyNumberFormat="1" applyFont="1" applyFill="1" applyBorder="1" applyProtection="1">
      <protection locked="0"/>
    </xf>
    <xf numFmtId="0" fontId="0" fillId="105" borderId="189" xfId="0" applyFill="1" applyBorder="1"/>
    <xf numFmtId="2" fontId="0" fillId="105" borderId="32" xfId="0" applyNumberFormat="1" applyFill="1" applyBorder="1"/>
    <xf numFmtId="0" fontId="0" fillId="105" borderId="190" xfId="0" applyFill="1" applyBorder="1"/>
    <xf numFmtId="0" fontId="0" fillId="105" borderId="194" xfId="0" applyFill="1" applyBorder="1"/>
    <xf numFmtId="0" fontId="0" fillId="105" borderId="12" xfId="0" applyFill="1" applyBorder="1"/>
    <xf numFmtId="0" fontId="0" fillId="105" borderId="58" xfId="0" applyFill="1" applyBorder="1"/>
    <xf numFmtId="0" fontId="0" fillId="105" borderId="0" xfId="0" applyFill="1" applyBorder="1"/>
    <xf numFmtId="0" fontId="0" fillId="105" borderId="102" xfId="0" applyFill="1" applyBorder="1"/>
    <xf numFmtId="0" fontId="0" fillId="81" borderId="196" xfId="0" applyFill="1" applyBorder="1"/>
    <xf numFmtId="0" fontId="0" fillId="105" borderId="196" xfId="0" applyFill="1" applyBorder="1"/>
    <xf numFmtId="0" fontId="0" fillId="105" borderId="197" xfId="0" applyFill="1" applyBorder="1"/>
    <xf numFmtId="0" fontId="0" fillId="105" borderId="79" xfId="0" applyFill="1" applyBorder="1"/>
    <xf numFmtId="0" fontId="0" fillId="105" borderId="113" xfId="0" applyFill="1" applyBorder="1"/>
    <xf numFmtId="0" fontId="6" fillId="0" borderId="212" xfId="0" applyFont="1" applyFill="1" applyBorder="1" applyAlignment="1" applyProtection="1">
      <alignment horizontal="center" textRotation="90"/>
    </xf>
    <xf numFmtId="0" fontId="6" fillId="0" borderId="179" xfId="0" applyFont="1" applyFill="1" applyBorder="1" applyAlignment="1">
      <alignment horizontal="center" textRotation="90"/>
    </xf>
    <xf numFmtId="0" fontId="9" fillId="0" borderId="179" xfId="0" applyFont="1" applyFill="1" applyBorder="1" applyAlignment="1">
      <alignment horizontal="left"/>
    </xf>
    <xf numFmtId="1" fontId="0" fillId="15" borderId="32" xfId="0" applyNumberFormat="1" applyFill="1" applyBorder="1"/>
    <xf numFmtId="0" fontId="85" fillId="14" borderId="32" xfId="0" quotePrefix="1" applyFont="1" applyFill="1" applyBorder="1" applyAlignment="1">
      <alignment horizontal="center"/>
    </xf>
    <xf numFmtId="21" fontId="81" fillId="14" borderId="209" xfId="0" applyNumberFormat="1" applyFont="1" applyFill="1" applyBorder="1"/>
    <xf numFmtId="0" fontId="0" fillId="15" borderId="209" xfId="0" applyFill="1" applyBorder="1"/>
    <xf numFmtId="21" fontId="0" fillId="15" borderId="209" xfId="0" applyNumberFormat="1" applyFill="1" applyBorder="1"/>
    <xf numFmtId="0" fontId="10" fillId="15" borderId="209" xfId="0" applyFont="1" applyFill="1" applyBorder="1"/>
    <xf numFmtId="21" fontId="0" fillId="15" borderId="209" xfId="0" applyNumberFormat="1" applyFont="1" applyFill="1" applyBorder="1"/>
    <xf numFmtId="0" fontId="1" fillId="15" borderId="209" xfId="0" applyFont="1" applyFill="1" applyBorder="1"/>
    <xf numFmtId="21" fontId="85" fillId="15" borderId="209" xfId="0" quotePrefix="1" applyNumberFormat="1" applyFont="1" applyFill="1" applyBorder="1" applyAlignment="1">
      <alignment horizontal="center"/>
    </xf>
    <xf numFmtId="0" fontId="85" fillId="15" borderId="209" xfId="0" applyFont="1" applyFill="1" applyBorder="1" applyAlignment="1">
      <alignment horizontal="center"/>
    </xf>
    <xf numFmtId="21" fontId="89" fillId="17" borderId="209" xfId="0" applyNumberFormat="1" applyFont="1" applyFill="1" applyBorder="1"/>
    <xf numFmtId="21" fontId="85" fillId="17" borderId="209" xfId="0" quotePrefix="1" applyNumberFormat="1" applyFont="1" applyFill="1" applyBorder="1" applyAlignment="1">
      <alignment horizontal="center"/>
    </xf>
    <xf numFmtId="0" fontId="99" fillId="19" borderId="209" xfId="0" applyFont="1" applyFill="1" applyBorder="1"/>
    <xf numFmtId="21" fontId="99" fillId="19" borderId="209" xfId="0" applyNumberFormat="1" applyFont="1" applyFill="1" applyBorder="1"/>
    <xf numFmtId="0" fontId="160" fillId="19" borderId="209" xfId="0" applyFont="1" applyFill="1" applyBorder="1"/>
    <xf numFmtId="0" fontId="11" fillId="33" borderId="209" xfId="0" applyFont="1" applyFill="1" applyBorder="1" applyProtection="1"/>
    <xf numFmtId="21" fontId="16" fillId="19" borderId="209" xfId="0" applyNumberFormat="1" applyFont="1" applyFill="1" applyBorder="1"/>
    <xf numFmtId="21" fontId="100" fillId="19" borderId="209" xfId="0" quotePrefix="1" applyNumberFormat="1" applyFont="1" applyFill="1" applyBorder="1" applyAlignment="1">
      <alignment horizontal="center"/>
    </xf>
    <xf numFmtId="0" fontId="169" fillId="33" borderId="209" xfId="0" applyFont="1" applyFill="1" applyBorder="1" applyAlignment="1" applyProtection="1">
      <alignment horizontal="center"/>
    </xf>
    <xf numFmtId="176" fontId="1" fillId="48" borderId="209" xfId="0" applyNumberFormat="1" applyFont="1" applyFill="1" applyBorder="1"/>
    <xf numFmtId="0" fontId="86" fillId="15" borderId="209" xfId="0" applyFont="1" applyFill="1" applyBorder="1" applyAlignment="1">
      <alignment horizontal="center"/>
    </xf>
    <xf numFmtId="0" fontId="0" fillId="15" borderId="210" xfId="0" applyFill="1" applyBorder="1"/>
    <xf numFmtId="0" fontId="0" fillId="21" borderId="209" xfId="0" applyFill="1" applyBorder="1"/>
    <xf numFmtId="21" fontId="82" fillId="21" borderId="209" xfId="0" applyNumberFormat="1" applyFont="1" applyFill="1" applyBorder="1"/>
    <xf numFmtId="0" fontId="10" fillId="21" borderId="209" xfId="0" applyFont="1" applyFill="1" applyBorder="1"/>
    <xf numFmtId="176" fontId="1" fillId="21" borderId="209" xfId="0" applyNumberFormat="1" applyFont="1" applyFill="1" applyBorder="1"/>
    <xf numFmtId="166" fontId="109" fillId="21" borderId="209" xfId="0" applyNumberFormat="1" applyFont="1" applyFill="1" applyBorder="1"/>
    <xf numFmtId="21" fontId="85" fillId="21" borderId="209" xfId="0" quotePrefix="1" applyNumberFormat="1" applyFont="1" applyFill="1" applyBorder="1" applyAlignment="1">
      <alignment horizontal="center"/>
    </xf>
    <xf numFmtId="1" fontId="86" fillId="21" borderId="209" xfId="0" applyNumberFormat="1" applyFont="1" applyFill="1" applyBorder="1" applyAlignment="1">
      <alignment horizontal="center"/>
    </xf>
    <xf numFmtId="0" fontId="0" fillId="21" borderId="210" xfId="0" applyFill="1" applyBorder="1"/>
    <xf numFmtId="21" fontId="99" fillId="29" borderId="209" xfId="0" applyNumberFormat="1" applyFont="1" applyFill="1" applyBorder="1"/>
    <xf numFmtId="21" fontId="100" fillId="29" borderId="209" xfId="0" quotePrefix="1" applyNumberFormat="1" applyFont="1" applyFill="1" applyBorder="1" applyAlignment="1">
      <alignment horizontal="center"/>
    </xf>
    <xf numFmtId="1" fontId="81" fillId="21" borderId="208" xfId="0" applyNumberFormat="1" applyFont="1" applyFill="1" applyBorder="1"/>
    <xf numFmtId="1" fontId="0" fillId="46" borderId="209" xfId="0" applyNumberFormat="1" applyFill="1" applyBorder="1"/>
    <xf numFmtId="0" fontId="131" fillId="24" borderId="196" xfId="0" applyFont="1" applyFill="1" applyBorder="1" applyAlignment="1" applyProtection="1">
      <alignment horizontal="center"/>
    </xf>
    <xf numFmtId="0" fontId="131" fillId="24" borderId="118" xfId="0" applyFont="1" applyFill="1" applyBorder="1" applyAlignment="1" applyProtection="1">
      <alignment horizontal="center"/>
    </xf>
    <xf numFmtId="0" fontId="6" fillId="0" borderId="147" xfId="0" applyFont="1" applyFill="1" applyBorder="1" applyAlignment="1">
      <alignment horizontal="center" textRotation="90"/>
    </xf>
    <xf numFmtId="176" fontId="1" fillId="48" borderId="211" xfId="0" applyNumberFormat="1" applyFont="1" applyFill="1" applyBorder="1"/>
    <xf numFmtId="166" fontId="99" fillId="48" borderId="211" xfId="0" applyNumberFormat="1" applyFont="1" applyFill="1" applyBorder="1"/>
    <xf numFmtId="21" fontId="99" fillId="48" borderId="211" xfId="0" applyNumberFormat="1" applyFont="1" applyFill="1" applyBorder="1"/>
    <xf numFmtId="21" fontId="100" fillId="48" borderId="211" xfId="0" quotePrefix="1" applyNumberFormat="1" applyFont="1" applyFill="1" applyBorder="1" applyAlignment="1">
      <alignment horizontal="center"/>
    </xf>
    <xf numFmtId="0" fontId="100" fillId="48" borderId="211" xfId="0" quotePrefix="1" applyFont="1" applyFill="1" applyBorder="1" applyAlignment="1">
      <alignment horizontal="left"/>
    </xf>
    <xf numFmtId="0" fontId="99" fillId="48" borderId="113" xfId="0" applyFont="1" applyFill="1" applyBorder="1"/>
    <xf numFmtId="0" fontId="133" fillId="0" borderId="189" xfId="0" applyFont="1" applyFill="1" applyBorder="1" applyAlignment="1" applyProtection="1">
      <alignment horizontal="center"/>
    </xf>
    <xf numFmtId="0" fontId="133" fillId="0" borderId="196" xfId="0" applyFont="1" applyFill="1" applyBorder="1" applyAlignment="1" applyProtection="1">
      <alignment horizontal="center"/>
    </xf>
    <xf numFmtId="0" fontId="131" fillId="0" borderId="189" xfId="0" applyFont="1" applyFill="1" applyBorder="1" applyAlignment="1" applyProtection="1">
      <alignment horizontal="center"/>
    </xf>
    <xf numFmtId="177" fontId="81" fillId="14" borderId="32" xfId="0" applyNumberFormat="1" applyFont="1" applyFill="1" applyBorder="1"/>
    <xf numFmtId="47" fontId="81" fillId="14" borderId="32" xfId="0" applyNumberFormat="1" applyFont="1" applyFill="1" applyBorder="1"/>
    <xf numFmtId="1" fontId="81" fillId="21" borderId="209" xfId="0" applyNumberFormat="1" applyFont="1" applyFill="1" applyBorder="1"/>
    <xf numFmtId="0" fontId="20" fillId="21" borderId="209" xfId="0" applyFont="1" applyFill="1" applyBorder="1"/>
    <xf numFmtId="177" fontId="81" fillId="21" borderId="209" xfId="0" applyNumberFormat="1" applyFont="1" applyFill="1" applyBorder="1"/>
    <xf numFmtId="166" fontId="19" fillId="21" borderId="209" xfId="0" applyNumberFormat="1" applyFont="1" applyFill="1" applyBorder="1"/>
    <xf numFmtId="47" fontId="81" fillId="21" borderId="209" xfId="0" applyNumberFormat="1" applyFont="1" applyFill="1" applyBorder="1"/>
    <xf numFmtId="21" fontId="86" fillId="21" borderId="209" xfId="0" quotePrefix="1" applyNumberFormat="1" applyFont="1" applyFill="1" applyBorder="1" applyAlignment="1">
      <alignment horizontal="center"/>
    </xf>
    <xf numFmtId="0" fontId="19" fillId="21" borderId="210" xfId="0" applyFont="1" applyFill="1" applyBorder="1"/>
    <xf numFmtId="1" fontId="0" fillId="15" borderId="209" xfId="0" applyNumberFormat="1" applyFill="1" applyBorder="1"/>
    <xf numFmtId="0" fontId="10" fillId="15" borderId="209" xfId="0" applyFont="1" applyFill="1" applyBorder="1" applyAlignment="1">
      <alignment horizontal="left"/>
    </xf>
    <xf numFmtId="177" fontId="19" fillId="15" borderId="209" xfId="0" applyNumberFormat="1" applyFont="1" applyFill="1" applyBorder="1"/>
    <xf numFmtId="166" fontId="19" fillId="15" borderId="209" xfId="0" applyNumberFormat="1" applyFont="1" applyFill="1" applyBorder="1"/>
    <xf numFmtId="47" fontId="19" fillId="15" borderId="209" xfId="0" applyNumberFormat="1" applyFont="1" applyFill="1" applyBorder="1"/>
    <xf numFmtId="21" fontId="19" fillId="15" borderId="209" xfId="0" applyNumberFormat="1" applyFont="1" applyFill="1" applyBorder="1"/>
    <xf numFmtId="21" fontId="86" fillId="15" borderId="209" xfId="0" quotePrefix="1" applyNumberFormat="1" applyFont="1" applyFill="1" applyBorder="1" applyAlignment="1">
      <alignment horizontal="center"/>
    </xf>
    <xf numFmtId="0" fontId="19" fillId="15" borderId="210" xfId="0" applyFont="1" applyFill="1" applyBorder="1"/>
    <xf numFmtId="1" fontId="81" fillId="16" borderId="201" xfId="0" applyNumberFormat="1" applyFont="1" applyFill="1" applyBorder="1"/>
    <xf numFmtId="1" fontId="0" fillId="19" borderId="209" xfId="0" applyNumberFormat="1" applyFill="1" applyBorder="1"/>
    <xf numFmtId="0" fontId="131" fillId="0" borderId="196" xfId="0" applyFont="1" applyFill="1" applyBorder="1" applyAlignment="1" applyProtection="1">
      <alignment horizontal="center"/>
    </xf>
    <xf numFmtId="0" fontId="131" fillId="0" borderId="118" xfId="0" applyFont="1" applyFill="1" applyBorder="1" applyAlignment="1" applyProtection="1">
      <alignment horizontal="center"/>
    </xf>
    <xf numFmtId="21" fontId="81" fillId="14" borderId="164" xfId="0" applyNumberFormat="1" applyFont="1" applyFill="1" applyBorder="1"/>
    <xf numFmtId="0" fontId="86" fillId="14" borderId="32" xfId="0" applyFont="1" applyFill="1" applyBorder="1" applyAlignment="1">
      <alignment horizontal="center"/>
    </xf>
    <xf numFmtId="0" fontId="86" fillId="14" borderId="209" xfId="0" applyFont="1" applyFill="1" applyBorder="1" applyAlignment="1">
      <alignment horizontal="center"/>
    </xf>
    <xf numFmtId="21" fontId="81" fillId="21" borderId="209" xfId="0" applyNumberFormat="1" applyFont="1" applyFill="1" applyBorder="1"/>
    <xf numFmtId="21" fontId="2" fillId="15" borderId="209" xfId="0" applyNumberFormat="1" applyFont="1" applyFill="1" applyBorder="1"/>
    <xf numFmtId="166" fontId="109" fillId="15" borderId="209" xfId="0" applyNumberFormat="1" applyFont="1" applyFill="1" applyBorder="1"/>
    <xf numFmtId="0" fontId="225" fillId="16" borderId="209" xfId="0" applyFont="1" applyFill="1" applyBorder="1" applyAlignment="1">
      <alignment horizontal="center" wrapText="1"/>
    </xf>
    <xf numFmtId="177" fontId="81" fillId="14" borderId="209" xfId="0" applyNumberFormat="1" applyFont="1" applyFill="1" applyBorder="1"/>
    <xf numFmtId="47" fontId="81" fillId="14" borderId="209" xfId="0" applyNumberFormat="1" applyFont="1" applyFill="1" applyBorder="1"/>
    <xf numFmtId="1" fontId="130" fillId="0" borderId="190" xfId="0" applyNumberFormat="1" applyFont="1" applyFill="1" applyBorder="1"/>
    <xf numFmtId="1" fontId="135" fillId="0" borderId="190" xfId="0" applyNumberFormat="1" applyFont="1" applyFill="1" applyBorder="1" applyAlignment="1" applyProtection="1">
      <alignment horizontal="center"/>
      <protection locked="0"/>
    </xf>
    <xf numFmtId="1" fontId="135" fillId="100" borderId="190" xfId="0" applyNumberFormat="1" applyFont="1" applyFill="1" applyBorder="1" applyAlignment="1" applyProtection="1">
      <alignment horizontal="center"/>
      <protection locked="0"/>
    </xf>
    <xf numFmtId="166" fontId="135" fillId="0" borderId="190" xfId="0" applyNumberFormat="1" applyFont="1" applyFill="1" applyBorder="1" applyAlignment="1" applyProtection="1">
      <alignment horizontal="center"/>
      <protection locked="0"/>
    </xf>
    <xf numFmtId="0" fontId="199" fillId="0" borderId="194" xfId="0" applyFont="1" applyFill="1" applyBorder="1"/>
    <xf numFmtId="1" fontId="81" fillId="14" borderId="209" xfId="0" applyNumberFormat="1" applyFont="1" applyFill="1" applyBorder="1"/>
    <xf numFmtId="0" fontId="0" fillId="14" borderId="209" xfId="0" applyFill="1" applyBorder="1"/>
    <xf numFmtId="21" fontId="82" fillId="14" borderId="209" xfId="0" applyNumberFormat="1" applyFont="1" applyFill="1" applyBorder="1"/>
    <xf numFmtId="0" fontId="86" fillId="14" borderId="209" xfId="0" applyFont="1" applyFill="1" applyBorder="1"/>
    <xf numFmtId="166" fontId="81" fillId="14" borderId="209" xfId="0" applyNumberFormat="1" applyFont="1" applyFill="1" applyBorder="1"/>
    <xf numFmtId="21" fontId="86" fillId="14" borderId="209" xfId="0" quotePrefix="1" applyNumberFormat="1" applyFont="1" applyFill="1" applyBorder="1" applyAlignment="1">
      <alignment horizontal="center"/>
    </xf>
    <xf numFmtId="1" fontId="86" fillId="14" borderId="209" xfId="0" applyNumberFormat="1" applyFont="1" applyFill="1" applyBorder="1" applyAlignment="1">
      <alignment horizontal="center"/>
    </xf>
    <xf numFmtId="0" fontId="19" fillId="14" borderId="210" xfId="0" applyFont="1" applyFill="1" applyBorder="1"/>
    <xf numFmtId="177" fontId="20" fillId="15" borderId="209" xfId="0" applyNumberFormat="1" applyFont="1" applyFill="1" applyBorder="1"/>
    <xf numFmtId="1" fontId="2" fillId="97" borderId="209" xfId="0" applyNumberFormat="1" applyFont="1" applyFill="1" applyBorder="1"/>
    <xf numFmtId="0" fontId="2" fillId="97" borderId="208" xfId="0" applyFont="1" applyFill="1" applyBorder="1"/>
    <xf numFmtId="21" fontId="2" fillId="97" borderId="208" xfId="0" applyNumberFormat="1" applyFont="1" applyFill="1" applyBorder="1"/>
    <xf numFmtId="0" fontId="10" fillId="97" borderId="208" xfId="0" applyFont="1" applyFill="1" applyBorder="1"/>
    <xf numFmtId="177" fontId="10" fillId="97" borderId="208" xfId="0" applyNumberFormat="1" applyFont="1" applyFill="1" applyBorder="1"/>
    <xf numFmtId="166" fontId="109" fillId="97" borderId="208" xfId="0" applyNumberFormat="1" applyFont="1" applyFill="1" applyBorder="1"/>
    <xf numFmtId="21" fontId="85" fillId="97" borderId="208" xfId="0" applyNumberFormat="1" applyFont="1" applyFill="1" applyBorder="1" applyAlignment="1">
      <alignment horizontal="center"/>
    </xf>
    <xf numFmtId="0" fontId="86" fillId="97" borderId="208" xfId="0" applyFont="1" applyFill="1" applyBorder="1" applyAlignment="1">
      <alignment horizontal="center"/>
    </xf>
    <xf numFmtId="0" fontId="2" fillId="97" borderId="214" xfId="0" applyFont="1" applyFill="1" applyBorder="1"/>
    <xf numFmtId="1" fontId="81" fillId="14" borderId="102" xfId="0" applyNumberFormat="1" applyFont="1" applyFill="1" applyBorder="1"/>
    <xf numFmtId="0" fontId="0" fillId="21" borderId="207" xfId="0" applyFill="1" applyBorder="1"/>
    <xf numFmtId="0" fontId="10" fillId="15" borderId="209" xfId="0" quotePrefix="1" applyFont="1" applyFill="1" applyBorder="1" applyAlignment="1">
      <alignment horizontal="left"/>
    </xf>
    <xf numFmtId="0" fontId="0" fillId="15" borderId="207" xfId="0" applyFill="1" applyBorder="1"/>
    <xf numFmtId="0" fontId="0" fillId="15" borderId="207" xfId="0" applyFont="1" applyFill="1" applyBorder="1"/>
    <xf numFmtId="21" fontId="20" fillId="15" borderId="209" xfId="0" applyNumberFormat="1" applyFont="1" applyFill="1" applyBorder="1"/>
    <xf numFmtId="21" fontId="85" fillId="14" borderId="209" xfId="0" quotePrefix="1" applyNumberFormat="1" applyFont="1" applyFill="1" applyBorder="1" applyAlignment="1">
      <alignment horizontal="center"/>
    </xf>
    <xf numFmtId="0" fontId="4" fillId="3" borderId="12" xfId="0" applyFont="1" applyFill="1" applyBorder="1" applyProtection="1"/>
    <xf numFmtId="176" fontId="20" fillId="15" borderId="209" xfId="0" applyNumberFormat="1" applyFont="1" applyFill="1" applyBorder="1"/>
    <xf numFmtId="1" fontId="81" fillId="14" borderId="164" xfId="0" applyNumberFormat="1" applyFont="1" applyFill="1" applyBorder="1"/>
    <xf numFmtId="0" fontId="99" fillId="48" borderId="216" xfId="0" applyFont="1" applyFill="1" applyBorder="1"/>
    <xf numFmtId="21" fontId="82" fillId="48" borderId="216" xfId="0" applyNumberFormat="1" applyFont="1" applyFill="1" applyBorder="1" applyAlignment="1">
      <alignment horizontal="center"/>
    </xf>
    <xf numFmtId="21" fontId="99" fillId="48" borderId="216" xfId="0" applyNumberFormat="1" applyFont="1" applyFill="1" applyBorder="1"/>
    <xf numFmtId="0" fontId="160" fillId="48" borderId="216" xfId="0" applyFont="1" applyFill="1" applyBorder="1"/>
    <xf numFmtId="176" fontId="1" fillId="48" borderId="216" xfId="0" applyNumberFormat="1" applyFont="1" applyFill="1" applyBorder="1"/>
    <xf numFmtId="166" fontId="99" fillId="48" borderId="216" xfId="0" applyNumberFormat="1" applyFont="1" applyFill="1" applyBorder="1"/>
    <xf numFmtId="21" fontId="100" fillId="48" borderId="216" xfId="0" quotePrefix="1" applyNumberFormat="1" applyFont="1" applyFill="1" applyBorder="1" applyAlignment="1">
      <alignment horizontal="center"/>
    </xf>
    <xf numFmtId="0" fontId="100" fillId="48" borderId="216" xfId="0" quotePrefix="1" applyFont="1" applyFill="1" applyBorder="1" applyAlignment="1">
      <alignment horizontal="left"/>
    </xf>
    <xf numFmtId="0" fontId="99" fillId="48" borderId="217" xfId="0" applyFont="1" applyFill="1" applyBorder="1"/>
    <xf numFmtId="14" fontId="1" fillId="3" borderId="0" xfId="0" quotePrefix="1" applyNumberFormat="1" applyFont="1" applyFill="1" applyAlignment="1" applyProtection="1">
      <alignment horizontal="center"/>
      <protection locked="0"/>
    </xf>
    <xf numFmtId="0" fontId="100" fillId="26" borderId="209" xfId="0" applyFont="1" applyFill="1" applyBorder="1"/>
    <xf numFmtId="21" fontId="100" fillId="26" borderId="209" xfId="0" applyNumberFormat="1" applyFont="1" applyFill="1" applyBorder="1"/>
    <xf numFmtId="21" fontId="100" fillId="19" borderId="209" xfId="0" applyNumberFormat="1" applyFont="1" applyFill="1" applyBorder="1"/>
    <xf numFmtId="0" fontId="106" fillId="19" borderId="209" xfId="0" applyFont="1" applyFill="1" applyBorder="1"/>
    <xf numFmtId="21" fontId="11" fillId="19" borderId="209" xfId="0" applyNumberFormat="1" applyFont="1" applyFill="1" applyBorder="1"/>
    <xf numFmtId="0" fontId="100" fillId="19" borderId="215" xfId="0" applyFont="1" applyFill="1" applyBorder="1"/>
    <xf numFmtId="21" fontId="256" fillId="98" borderId="129" xfId="0" applyNumberFormat="1" applyFont="1" applyFill="1" applyBorder="1" applyAlignment="1">
      <alignment horizontal="center"/>
    </xf>
    <xf numFmtId="0" fontId="54" fillId="30" borderId="0" xfId="0" applyFont="1" applyFill="1" applyBorder="1" applyProtection="1"/>
    <xf numFmtId="21" fontId="106" fillId="103" borderId="220" xfId="0" quotePrefix="1" applyNumberFormat="1" applyFont="1" applyFill="1" applyBorder="1" applyAlignment="1">
      <alignment horizontal="center"/>
    </xf>
    <xf numFmtId="0" fontId="9" fillId="0" borderId="92" xfId="0" applyFont="1" applyFill="1" applyBorder="1" applyAlignment="1">
      <alignment horizontal="center"/>
    </xf>
    <xf numFmtId="21" fontId="9" fillId="0" borderId="92" xfId="0" applyNumberFormat="1" applyFont="1" applyFill="1" applyBorder="1" applyAlignment="1">
      <alignment horizontal="center"/>
    </xf>
    <xf numFmtId="0" fontId="19" fillId="14" borderId="35" xfId="0" applyFont="1" applyFill="1" applyBorder="1" applyAlignment="1">
      <alignment horizontal="center"/>
    </xf>
    <xf numFmtId="0" fontId="19" fillId="15" borderId="35" xfId="0" applyFont="1" applyFill="1" applyBorder="1" applyAlignment="1">
      <alignment horizontal="center"/>
    </xf>
    <xf numFmtId="0" fontId="19" fillId="21" borderId="35" xfId="0" applyFont="1" applyFill="1" applyBorder="1" applyAlignment="1">
      <alignment horizontal="center"/>
    </xf>
    <xf numFmtId="0" fontId="106" fillId="19" borderId="35" xfId="0" applyFont="1" applyFill="1" applyBorder="1" applyAlignment="1">
      <alignment horizontal="center"/>
    </xf>
    <xf numFmtId="0" fontId="106" fillId="26" borderId="35" xfId="0" applyFont="1" applyFill="1" applyBorder="1" applyAlignment="1">
      <alignment horizontal="center"/>
    </xf>
    <xf numFmtId="21" fontId="9" fillId="0" borderId="75" xfId="0" applyNumberFormat="1" applyFont="1" applyFill="1" applyBorder="1" applyAlignment="1">
      <alignment horizontal="center"/>
    </xf>
    <xf numFmtId="1" fontId="7" fillId="13" borderId="100" xfId="0" applyNumberFormat="1" applyFont="1" applyFill="1" applyBorder="1" applyAlignment="1" applyProtection="1">
      <alignment horizontal="center"/>
      <protection locked="0"/>
    </xf>
    <xf numFmtId="21" fontId="106" fillId="26" borderId="35" xfId="0" applyNumberFormat="1" applyFont="1" applyFill="1" applyBorder="1" applyAlignment="1">
      <alignment horizontal="center"/>
    </xf>
    <xf numFmtId="21" fontId="106" fillId="19" borderId="35" xfId="0" applyNumberFormat="1" applyFont="1" applyFill="1" applyBorder="1" applyAlignment="1">
      <alignment horizontal="center"/>
    </xf>
    <xf numFmtId="177" fontId="10" fillId="3" borderId="0" xfId="0" quotePrefix="1" applyNumberFormat="1" applyFont="1" applyFill="1" applyAlignment="1" applyProtection="1">
      <alignment horizontal="center"/>
      <protection locked="0"/>
    </xf>
    <xf numFmtId="177" fontId="9" fillId="0" borderId="92" xfId="0" applyNumberFormat="1" applyFont="1" applyFill="1" applyBorder="1" applyAlignment="1">
      <alignment horizontal="center"/>
    </xf>
    <xf numFmtId="166" fontId="81" fillId="14" borderId="35" xfId="0" applyNumberFormat="1" applyFont="1" applyFill="1" applyBorder="1" applyAlignment="1">
      <alignment horizontal="center"/>
    </xf>
    <xf numFmtId="166" fontId="19" fillId="15" borderId="35" xfId="0" applyNumberFormat="1" applyFont="1" applyFill="1" applyBorder="1" applyAlignment="1">
      <alignment horizontal="center"/>
    </xf>
    <xf numFmtId="166" fontId="19" fillId="21" borderId="35" xfId="0" applyNumberFormat="1" applyFont="1" applyFill="1" applyBorder="1" applyAlignment="1">
      <alignment horizontal="center"/>
    </xf>
    <xf numFmtId="0" fontId="19" fillId="21" borderId="36" xfId="0" applyFont="1" applyFill="1" applyBorder="1" applyAlignment="1">
      <alignment horizontal="center"/>
    </xf>
    <xf numFmtId="166" fontId="164" fillId="18" borderId="0" xfId="0" applyNumberFormat="1" applyFont="1" applyFill="1" applyBorder="1" applyAlignment="1" applyProtection="1">
      <alignment horizontal="center"/>
    </xf>
    <xf numFmtId="166" fontId="81" fillId="48" borderId="35" xfId="0" applyNumberFormat="1" applyFont="1" applyFill="1" applyBorder="1" applyAlignment="1">
      <alignment horizontal="center"/>
    </xf>
    <xf numFmtId="0" fontId="84" fillId="38" borderId="0" xfId="0" applyFont="1" applyFill="1" applyBorder="1" applyAlignment="1">
      <alignment horizontal="center"/>
    </xf>
    <xf numFmtId="0" fontId="106" fillId="19" borderId="83" xfId="0" applyFont="1" applyFill="1" applyBorder="1" applyAlignment="1">
      <alignment horizontal="center"/>
    </xf>
    <xf numFmtId="0" fontId="8" fillId="30" borderId="0" xfId="0" applyFont="1" applyFill="1" applyBorder="1" applyAlignment="1" applyProtection="1">
      <alignment horizontal="center"/>
    </xf>
    <xf numFmtId="176" fontId="10" fillId="48" borderId="35" xfId="0" applyNumberFormat="1" applyFont="1" applyFill="1" applyBorder="1" applyAlignment="1">
      <alignment horizontal="center"/>
    </xf>
    <xf numFmtId="177" fontId="81" fillId="14" borderId="35" xfId="0" applyNumberFormat="1" applyFont="1" applyFill="1" applyBorder="1" applyAlignment="1">
      <alignment horizontal="center"/>
    </xf>
    <xf numFmtId="47" fontId="81" fillId="14" borderId="35" xfId="0" applyNumberFormat="1" applyFont="1" applyFill="1" applyBorder="1" applyAlignment="1">
      <alignment horizontal="center"/>
    </xf>
    <xf numFmtId="0" fontId="106" fillId="19" borderId="218" xfId="0" applyFont="1" applyFill="1" applyBorder="1" applyAlignment="1">
      <alignment horizontal="center"/>
    </xf>
    <xf numFmtId="176" fontId="10" fillId="103" borderId="219" xfId="0" applyNumberFormat="1" applyFont="1" applyFill="1" applyBorder="1" applyAlignment="1">
      <alignment horizontal="center"/>
    </xf>
    <xf numFmtId="166" fontId="160" fillId="103" borderId="220" xfId="0" applyNumberFormat="1" applyFont="1" applyFill="1" applyBorder="1" applyAlignment="1">
      <alignment horizontal="center"/>
    </xf>
    <xf numFmtId="21" fontId="160" fillId="103" borderId="220" xfId="0" applyNumberFormat="1" applyFont="1" applyFill="1" applyBorder="1" applyAlignment="1">
      <alignment horizontal="center"/>
    </xf>
    <xf numFmtId="0" fontId="106" fillId="103" borderId="220" xfId="0" quotePrefix="1" applyFont="1" applyFill="1" applyBorder="1" applyAlignment="1">
      <alignment horizontal="center"/>
    </xf>
    <xf numFmtId="0" fontId="160" fillId="103" borderId="221" xfId="0" applyFont="1" applyFill="1" applyBorder="1" applyAlignment="1">
      <alignment horizontal="center"/>
    </xf>
    <xf numFmtId="166" fontId="253" fillId="98" borderId="129" xfId="0" applyNumberFormat="1" applyFont="1" applyFill="1" applyBorder="1" applyAlignment="1">
      <alignment horizontal="center"/>
    </xf>
    <xf numFmtId="21" fontId="253" fillId="98" borderId="129" xfId="0" applyNumberFormat="1" applyFont="1" applyFill="1" applyBorder="1" applyAlignment="1">
      <alignment horizontal="center"/>
    </xf>
    <xf numFmtId="0" fontId="256" fillId="98" borderId="129" xfId="0" applyFont="1" applyFill="1" applyBorder="1" applyAlignment="1">
      <alignment horizontal="center"/>
    </xf>
    <xf numFmtId="0" fontId="253" fillId="98" borderId="0" xfId="0" applyFont="1" applyFill="1" applyAlignment="1">
      <alignment horizontal="center"/>
    </xf>
    <xf numFmtId="0" fontId="199" fillId="0" borderId="102" xfId="0" applyFont="1" applyFill="1" applyBorder="1" applyAlignment="1">
      <alignment horizontal="center"/>
    </xf>
    <xf numFmtId="21" fontId="54" fillId="19" borderId="35" xfId="0" applyNumberFormat="1" applyFont="1" applyFill="1" applyBorder="1" applyAlignment="1">
      <alignment horizontal="center"/>
    </xf>
    <xf numFmtId="0" fontId="160" fillId="19" borderId="83" xfId="0" applyFont="1" applyFill="1" applyBorder="1" applyAlignment="1">
      <alignment horizontal="center"/>
    </xf>
    <xf numFmtId="177" fontId="19" fillId="3" borderId="0" xfId="0" applyNumberFormat="1" applyFont="1" applyFill="1" applyAlignment="1" applyProtection="1">
      <alignment horizontal="center"/>
    </xf>
    <xf numFmtId="176" fontId="9" fillId="22" borderId="222" xfId="0" applyNumberFormat="1" applyFont="1" applyFill="1" applyBorder="1" applyAlignment="1" applyProtection="1">
      <alignment horizontal="center"/>
      <protection locked="0"/>
    </xf>
    <xf numFmtId="1" fontId="86" fillId="15" borderId="222" xfId="0" applyNumberFormat="1" applyFont="1" applyFill="1" applyBorder="1" applyAlignment="1">
      <alignment horizontal="center"/>
    </xf>
    <xf numFmtId="21" fontId="86" fillId="14" borderId="209" xfId="0" applyNumberFormat="1" applyFont="1" applyFill="1" applyBorder="1"/>
    <xf numFmtId="1" fontId="10" fillId="3" borderId="0" xfId="0" applyNumberFormat="1" applyFont="1" applyFill="1" applyBorder="1" applyAlignment="1" applyProtection="1">
      <alignment horizontal="center"/>
      <protection locked="0"/>
    </xf>
    <xf numFmtId="21" fontId="106" fillId="19" borderId="0" xfId="0" applyNumberFormat="1" applyFont="1" applyFill="1" applyBorder="1"/>
    <xf numFmtId="183" fontId="97" fillId="93" borderId="35" xfId="0" applyNumberFormat="1" applyFont="1" applyFill="1" applyBorder="1" applyAlignment="1">
      <alignment wrapText="1"/>
    </xf>
    <xf numFmtId="0" fontId="19" fillId="14" borderId="209" xfId="0" applyFont="1" applyFill="1" applyBorder="1"/>
    <xf numFmtId="166" fontId="19" fillId="91" borderId="35" xfId="0" applyNumberFormat="1" applyFont="1" applyFill="1" applyBorder="1"/>
    <xf numFmtId="21" fontId="86" fillId="91" borderId="35" xfId="0" quotePrefix="1" applyNumberFormat="1" applyFont="1" applyFill="1" applyBorder="1" applyAlignment="1">
      <alignment horizontal="center"/>
    </xf>
    <xf numFmtId="21" fontId="252" fillId="131" borderId="201" xfId="0" applyNumberFormat="1" applyFont="1" applyFill="1" applyBorder="1"/>
    <xf numFmtId="21" fontId="82" fillId="131" borderId="201" xfId="0" applyNumberFormat="1" applyFont="1" applyFill="1" applyBorder="1"/>
    <xf numFmtId="21" fontId="301" fillId="131" borderId="201" xfId="0" applyNumberFormat="1" applyFont="1" applyFill="1" applyBorder="1"/>
    <xf numFmtId="3" fontId="48" fillId="3" borderId="3" xfId="0" applyNumberFormat="1" applyFont="1" applyFill="1" applyBorder="1" applyAlignment="1" applyProtection="1">
      <alignment horizontal="left" vertical="center"/>
    </xf>
    <xf numFmtId="3" fontId="5" fillId="3" borderId="71" xfId="0" applyNumberFormat="1" applyFont="1" applyFill="1" applyBorder="1" applyAlignment="1" applyProtection="1">
      <alignment horizontal="center" vertical="center"/>
    </xf>
    <xf numFmtId="165" fontId="18" fillId="13" borderId="2" xfId="0" applyNumberFormat="1" applyFont="1" applyFill="1" applyBorder="1" applyAlignment="1" applyProtection="1">
      <alignment horizontal="center" vertical="center"/>
    </xf>
    <xf numFmtId="0" fontId="55" fillId="3" borderId="209" xfId="0" applyFont="1" applyFill="1" applyBorder="1" applyProtection="1">
      <protection locked="0"/>
    </xf>
    <xf numFmtId="1" fontId="55" fillId="3" borderId="209" xfId="0" applyNumberFormat="1" applyFont="1" applyFill="1" applyBorder="1" applyProtection="1">
      <protection locked="0"/>
    </xf>
    <xf numFmtId="176" fontId="55" fillId="3" borderId="209" xfId="0" applyNumberFormat="1" applyFont="1" applyFill="1" applyBorder="1" applyProtection="1">
      <protection locked="0"/>
    </xf>
    <xf numFmtId="0" fontId="16" fillId="3" borderId="209" xfId="0" applyFont="1" applyFill="1" applyBorder="1" applyAlignment="1" applyProtection="1">
      <alignment horizontal="center"/>
    </xf>
    <xf numFmtId="0" fontId="0" fillId="0" borderId="209" xfId="0" applyBorder="1" applyAlignment="1">
      <alignment horizontal="center"/>
    </xf>
    <xf numFmtId="0" fontId="2" fillId="0" borderId="209" xfId="0" applyFont="1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24" xfId="0" applyBorder="1" applyAlignment="1">
      <alignment horizontal="center"/>
    </xf>
    <xf numFmtId="0" fontId="0" fillId="0" borderId="193" xfId="0" applyBorder="1"/>
    <xf numFmtId="0" fontId="0" fillId="132" borderId="209" xfId="0" applyFill="1" applyBorder="1" applyAlignment="1">
      <alignment horizontal="center"/>
    </xf>
    <xf numFmtId="0" fontId="0" fillId="124" borderId="209" xfId="0" applyFill="1" applyBorder="1" applyAlignment="1">
      <alignment horizontal="center"/>
    </xf>
    <xf numFmtId="0" fontId="0" fillId="85" borderId="209" xfId="0" applyFill="1" applyBorder="1" applyAlignment="1">
      <alignment horizontal="center"/>
    </xf>
    <xf numFmtId="0" fontId="0" fillId="133" borderId="209" xfId="0" applyFill="1" applyBorder="1" applyAlignment="1">
      <alignment horizontal="center"/>
    </xf>
    <xf numFmtId="0" fontId="0" fillId="0" borderId="222" xfId="0" applyBorder="1"/>
    <xf numFmtId="0" fontId="0" fillId="132" borderId="0" xfId="0" applyFill="1"/>
    <xf numFmtId="0" fontId="0" fillId="124" borderId="0" xfId="0" applyFill="1"/>
    <xf numFmtId="0" fontId="0" fillId="85" borderId="0" xfId="0" applyFill="1"/>
    <xf numFmtId="0" fontId="0" fillId="133" borderId="0" xfId="0" applyFill="1"/>
    <xf numFmtId="0" fontId="0" fillId="113" borderId="0" xfId="0" applyFill="1"/>
    <xf numFmtId="0" fontId="0" fillId="0" borderId="226" xfId="0" applyBorder="1"/>
    <xf numFmtId="0" fontId="0" fillId="124" borderId="0" xfId="0" applyFill="1" applyBorder="1" applyAlignment="1">
      <alignment horizontal="center"/>
    </xf>
    <xf numFmtId="0" fontId="0" fillId="124" borderId="0" xfId="0" applyFill="1" applyBorder="1"/>
    <xf numFmtId="0" fontId="1" fillId="0" borderId="193" xfId="0" applyFont="1" applyBorder="1" applyAlignment="1">
      <alignment horizontal="center"/>
    </xf>
    <xf numFmtId="0" fontId="2" fillId="80" borderId="191" xfId="0" applyFont="1" applyFill="1" applyBorder="1"/>
    <xf numFmtId="0" fontId="0" fillId="80" borderId="100" xfId="0" applyFill="1" applyBorder="1"/>
    <xf numFmtId="0" fontId="0" fillId="80" borderId="192" xfId="0" applyFill="1" applyBorder="1"/>
    <xf numFmtId="0" fontId="2" fillId="80" borderId="189" xfId="0" applyFont="1" applyFill="1" applyBorder="1"/>
    <xf numFmtId="0" fontId="0" fillId="80" borderId="194" xfId="0" applyFill="1" applyBorder="1"/>
    <xf numFmtId="0" fontId="0" fillId="100" borderId="189" xfId="0" applyFill="1" applyBorder="1"/>
    <xf numFmtId="0" fontId="0" fillId="100" borderId="190" xfId="0" applyFill="1" applyBorder="1"/>
    <xf numFmtId="0" fontId="0" fillId="100" borderId="194" xfId="0" applyFill="1" applyBorder="1"/>
    <xf numFmtId="0" fontId="0" fillId="100" borderId="12" xfId="0" applyFill="1" applyBorder="1"/>
    <xf numFmtId="0" fontId="2" fillId="0" borderId="0" xfId="0" applyFont="1" applyBorder="1"/>
    <xf numFmtId="0" fontId="0" fillId="100" borderId="0" xfId="0" applyFill="1" applyBorder="1"/>
    <xf numFmtId="0" fontId="0" fillId="100" borderId="102" xfId="0" applyFill="1" applyBorder="1"/>
    <xf numFmtId="0" fontId="0" fillId="100" borderId="196" xfId="0" applyFill="1" applyBorder="1"/>
    <xf numFmtId="0" fontId="0" fillId="100" borderId="79" xfId="0" applyFill="1" applyBorder="1"/>
    <xf numFmtId="0" fontId="2" fillId="100" borderId="79" xfId="0" applyFont="1" applyFill="1" applyBorder="1"/>
    <xf numFmtId="0" fontId="1" fillId="100" borderId="79" xfId="0" applyFont="1" applyFill="1" applyBorder="1"/>
    <xf numFmtId="0" fontId="0" fillId="100" borderId="113" xfId="0" applyFill="1" applyBorder="1"/>
    <xf numFmtId="0" fontId="0" fillId="76" borderId="189" xfId="0" applyFill="1" applyBorder="1"/>
    <xf numFmtId="0" fontId="0" fillId="76" borderId="190" xfId="0" applyFill="1" applyBorder="1"/>
    <xf numFmtId="0" fontId="2" fillId="76" borderId="190" xfId="0" applyFont="1" applyFill="1" applyBorder="1"/>
    <xf numFmtId="0" fontId="1" fillId="76" borderId="190" xfId="0" applyFont="1" applyFill="1" applyBorder="1"/>
    <xf numFmtId="0" fontId="0" fillId="76" borderId="194" xfId="0" applyFill="1" applyBorder="1"/>
    <xf numFmtId="0" fontId="0" fillId="76" borderId="12" xfId="0" applyFill="1" applyBorder="1"/>
    <xf numFmtId="0" fontId="0" fillId="76" borderId="0" xfId="0" applyFill="1" applyBorder="1"/>
    <xf numFmtId="0" fontId="0" fillId="76" borderId="102" xfId="0" applyFill="1" applyBorder="1"/>
    <xf numFmtId="0" fontId="0" fillId="76" borderId="196" xfId="0" applyFill="1" applyBorder="1"/>
    <xf numFmtId="0" fontId="0" fillId="76" borderId="79" xfId="0" applyFill="1" applyBorder="1"/>
    <xf numFmtId="0" fontId="2" fillId="76" borderId="79" xfId="0" applyFont="1" applyFill="1" applyBorder="1"/>
    <xf numFmtId="0" fontId="1" fillId="76" borderId="79" xfId="0" applyFont="1" applyFill="1" applyBorder="1"/>
    <xf numFmtId="0" fontId="0" fillId="76" borderId="113" xfId="0" applyFill="1" applyBorder="1"/>
    <xf numFmtId="0" fontId="1" fillId="80" borderId="0" xfId="0" applyFont="1" applyFill="1" applyBorder="1"/>
    <xf numFmtId="0" fontId="0" fillId="0" borderId="224" xfId="0" applyBorder="1" applyAlignment="1">
      <alignment horizontal="right"/>
    </xf>
    <xf numFmtId="0" fontId="0" fillId="113" borderId="224" xfId="0" applyFill="1" applyBorder="1" applyAlignment="1">
      <alignment horizontal="center"/>
    </xf>
    <xf numFmtId="0" fontId="2" fillId="100" borderId="189" xfId="0" applyFont="1" applyFill="1" applyBorder="1" applyAlignment="1">
      <alignment horizontal="right"/>
    </xf>
    <xf numFmtId="0" fontId="0" fillId="76" borderId="189" xfId="0" applyFill="1" applyBorder="1" applyAlignment="1">
      <alignment horizontal="right"/>
    </xf>
    <xf numFmtId="0" fontId="2" fillId="0" borderId="0" xfId="0" applyFont="1" applyFill="1" applyBorder="1"/>
    <xf numFmtId="0" fontId="0" fillId="80" borderId="197" xfId="0" applyFill="1" applyBorder="1" applyAlignment="1">
      <alignment horizontal="center"/>
    </xf>
    <xf numFmtId="21" fontId="270" fillId="91" borderId="35" xfId="0" applyNumberFormat="1" applyFont="1" applyFill="1" applyBorder="1"/>
    <xf numFmtId="47" fontId="97" fillId="93" borderId="35" xfId="0" applyNumberFormat="1" applyFont="1" applyFill="1" applyBorder="1" applyAlignment="1">
      <alignment horizontal="center" wrapText="1"/>
    </xf>
    <xf numFmtId="183" fontId="97" fillId="93" borderId="35" xfId="0" applyNumberFormat="1" applyFont="1" applyFill="1" applyBorder="1" applyAlignment="1">
      <alignment horizontal="center" wrapText="1"/>
    </xf>
    <xf numFmtId="0" fontId="303" fillId="100" borderId="102" xfId="0" applyFont="1" applyFill="1" applyBorder="1"/>
    <xf numFmtId="0" fontId="86" fillId="90" borderId="209" xfId="0" applyFont="1" applyFill="1" applyBorder="1"/>
    <xf numFmtId="177" fontId="10" fillId="57" borderId="209" xfId="0" applyNumberFormat="1" applyFont="1" applyFill="1" applyBorder="1"/>
    <xf numFmtId="166" fontId="113" fillId="14" borderId="209" xfId="0" applyNumberFormat="1" applyFont="1" applyFill="1" applyBorder="1"/>
    <xf numFmtId="176" fontId="10" fillId="21" borderId="209" xfId="0" applyNumberFormat="1" applyFont="1" applyFill="1" applyBorder="1"/>
    <xf numFmtId="176" fontId="10" fillId="15" borderId="209" xfId="0" applyNumberFormat="1" applyFont="1" applyFill="1" applyBorder="1"/>
    <xf numFmtId="1" fontId="0" fillId="17" borderId="0" xfId="0" applyNumberFormat="1" applyFill="1"/>
    <xf numFmtId="0" fontId="2" fillId="18" borderId="227" xfId="0" applyFont="1" applyFill="1" applyBorder="1"/>
    <xf numFmtId="0" fontId="88" fillId="18" borderId="227" xfId="0" applyFont="1" applyFill="1" applyBorder="1"/>
    <xf numFmtId="176" fontId="10" fillId="17" borderId="209" xfId="0" applyNumberFormat="1" applyFont="1" applyFill="1" applyBorder="1"/>
    <xf numFmtId="166" fontId="114" fillId="18" borderId="0" xfId="0" applyNumberFormat="1" applyFont="1" applyFill="1"/>
    <xf numFmtId="0" fontId="0" fillId="18" borderId="227" xfId="0" applyFill="1" applyBorder="1" applyAlignment="1">
      <alignment horizontal="center"/>
    </xf>
    <xf numFmtId="0" fontId="0" fillId="18" borderId="227" xfId="0" applyFill="1" applyBorder="1"/>
    <xf numFmtId="0" fontId="16" fillId="33" borderId="209" xfId="0" applyFont="1" applyFill="1" applyBorder="1"/>
    <xf numFmtId="21" fontId="8" fillId="19" borderId="209" xfId="0" applyNumberFormat="1" applyFont="1" applyFill="1" applyBorder="1" applyAlignment="1">
      <alignment horizontal="center"/>
    </xf>
    <xf numFmtId="0" fontId="8" fillId="33" borderId="209" xfId="0" quotePrefix="1" applyFont="1" applyFill="1" applyBorder="1" applyAlignment="1">
      <alignment horizontal="left"/>
    </xf>
    <xf numFmtId="176" fontId="8" fillId="19" borderId="209" xfId="0" applyNumberFormat="1" applyFont="1" applyFill="1" applyBorder="1"/>
    <xf numFmtId="166" fontId="77" fillId="33" borderId="209" xfId="0" quotePrefix="1" applyNumberFormat="1" applyFont="1" applyFill="1" applyBorder="1" applyAlignment="1">
      <alignment horizontal="left"/>
    </xf>
    <xf numFmtId="21" fontId="100" fillId="19" borderId="0" xfId="0" quotePrefix="1" applyNumberFormat="1" applyFont="1" applyFill="1" applyAlignment="1">
      <alignment horizontal="center"/>
    </xf>
    <xf numFmtId="0" fontId="107" fillId="33" borderId="209" xfId="0" applyFont="1" applyFill="1" applyBorder="1" applyAlignment="1">
      <alignment horizontal="center"/>
    </xf>
    <xf numFmtId="0" fontId="99" fillId="19" borderId="227" xfId="0" applyFont="1" applyFill="1" applyBorder="1"/>
    <xf numFmtId="1" fontId="0" fillId="20" borderId="209" xfId="0" applyNumberFormat="1" applyFill="1" applyBorder="1"/>
    <xf numFmtId="0" fontId="89" fillId="16" borderId="209" xfId="0" applyFont="1" applyFill="1" applyBorder="1"/>
    <xf numFmtId="21" fontId="89" fillId="16" borderId="209" xfId="0" applyNumberFormat="1" applyFont="1" applyFill="1" applyBorder="1"/>
    <xf numFmtId="0" fontId="84" fillId="16" borderId="209" xfId="0" applyFont="1" applyFill="1" applyBorder="1"/>
    <xf numFmtId="176" fontId="84" fillId="16" borderId="209" xfId="0" applyNumberFormat="1" applyFont="1" applyFill="1" applyBorder="1"/>
    <xf numFmtId="166" fontId="115" fillId="16" borderId="209" xfId="0" applyNumberFormat="1" applyFont="1" applyFill="1" applyBorder="1"/>
    <xf numFmtId="21" fontId="85" fillId="20" borderId="209" xfId="0" quotePrefix="1" applyNumberFormat="1" applyFont="1" applyFill="1" applyBorder="1" applyAlignment="1">
      <alignment horizontal="center"/>
    </xf>
    <xf numFmtId="0" fontId="84" fillId="16" borderId="209" xfId="0" quotePrefix="1" applyFont="1" applyFill="1" applyBorder="1" applyAlignment="1">
      <alignment horizontal="center"/>
    </xf>
    <xf numFmtId="21" fontId="85" fillId="14" borderId="209" xfId="0" applyNumberFormat="1" applyFont="1" applyFill="1" applyBorder="1"/>
    <xf numFmtId="0" fontId="1" fillId="14" borderId="209" xfId="0" applyFont="1" applyFill="1" applyBorder="1"/>
    <xf numFmtId="0" fontId="5" fillId="0" borderId="96" xfId="0" applyFont="1" applyBorder="1" applyAlignment="1">
      <alignment horizontal="center"/>
    </xf>
    <xf numFmtId="21" fontId="81" fillId="14" borderId="228" xfId="0" applyNumberFormat="1" applyFont="1" applyFill="1" applyBorder="1"/>
    <xf numFmtId="1" fontId="81" fillId="14" borderId="228" xfId="0" applyNumberFormat="1" applyFont="1" applyFill="1" applyBorder="1"/>
    <xf numFmtId="0" fontId="0" fillId="14" borderId="228" xfId="0" applyFill="1" applyBorder="1"/>
    <xf numFmtId="21" fontId="82" fillId="14" borderId="228" xfId="0" applyNumberFormat="1" applyFont="1" applyFill="1" applyBorder="1"/>
    <xf numFmtId="0" fontId="86" fillId="14" borderId="228" xfId="0" applyFont="1" applyFill="1" applyBorder="1"/>
    <xf numFmtId="166" fontId="113" fillId="14" borderId="228" xfId="0" applyNumberFormat="1" applyFont="1" applyFill="1" applyBorder="1"/>
    <xf numFmtId="21" fontId="85" fillId="14" borderId="228" xfId="0" applyNumberFormat="1" applyFont="1" applyFill="1" applyBorder="1"/>
    <xf numFmtId="21" fontId="85" fillId="14" borderId="228" xfId="0" quotePrefix="1" applyNumberFormat="1" applyFont="1" applyFill="1" applyBorder="1" applyAlignment="1">
      <alignment horizontal="center"/>
    </xf>
    <xf numFmtId="1" fontId="86" fillId="14" borderId="228" xfId="0" applyNumberFormat="1" applyFont="1" applyFill="1" applyBorder="1" applyAlignment="1">
      <alignment horizontal="center"/>
    </xf>
    <xf numFmtId="0" fontId="1" fillId="14" borderId="228" xfId="0" applyFont="1" applyFill="1" applyBorder="1"/>
    <xf numFmtId="1" fontId="0" fillId="134" borderId="209" xfId="0" applyNumberFormat="1" applyFill="1" applyBorder="1"/>
    <xf numFmtId="0" fontId="16" fillId="135" borderId="209" xfId="0" applyFont="1" applyFill="1" applyBorder="1"/>
    <xf numFmtId="21" fontId="8" fillId="134" borderId="209" xfId="0" applyNumberFormat="1" applyFont="1" applyFill="1" applyBorder="1" applyAlignment="1">
      <alignment horizontal="center"/>
    </xf>
    <xf numFmtId="21" fontId="16" fillId="134" borderId="209" xfId="0" applyNumberFormat="1" applyFont="1" applyFill="1" applyBorder="1"/>
    <xf numFmtId="0" fontId="8" fillId="135" borderId="209" xfId="0" quotePrefix="1" applyFont="1" applyFill="1" applyBorder="1" applyAlignment="1">
      <alignment horizontal="left"/>
    </xf>
    <xf numFmtId="176" fontId="8" fillId="134" borderId="209" xfId="0" applyNumberFormat="1" applyFont="1" applyFill="1" applyBorder="1"/>
    <xf numFmtId="166" fontId="77" fillId="135" borderId="209" xfId="0" quotePrefix="1" applyNumberFormat="1" applyFont="1" applyFill="1" applyBorder="1" applyAlignment="1">
      <alignment horizontal="left"/>
    </xf>
    <xf numFmtId="21" fontId="100" fillId="134" borderId="209" xfId="0" quotePrefix="1" applyNumberFormat="1" applyFont="1" applyFill="1" applyBorder="1" applyAlignment="1">
      <alignment horizontal="center"/>
    </xf>
    <xf numFmtId="21" fontId="100" fillId="134" borderId="0" xfId="0" quotePrefix="1" applyNumberFormat="1" applyFont="1" applyFill="1" applyAlignment="1">
      <alignment horizontal="center"/>
    </xf>
    <xf numFmtId="0" fontId="107" fillId="135" borderId="209" xfId="0" applyFont="1" applyFill="1" applyBorder="1" applyAlignment="1">
      <alignment horizontal="center"/>
    </xf>
    <xf numFmtId="0" fontId="99" fillId="134" borderId="227" xfId="0" applyFont="1" applyFill="1" applyBorder="1"/>
    <xf numFmtId="21" fontId="82" fillId="14" borderId="0" xfId="0" applyNumberFormat="1" applyFont="1" applyFill="1" applyBorder="1"/>
    <xf numFmtId="0" fontId="86" fillId="14" borderId="0" xfId="0" applyFont="1" applyFill="1" applyBorder="1"/>
    <xf numFmtId="166" fontId="113" fillId="14" borderId="0" xfId="0" applyNumberFormat="1" applyFont="1" applyFill="1" applyBorder="1"/>
    <xf numFmtId="21" fontId="85" fillId="14" borderId="0" xfId="0" quotePrefix="1" applyNumberFormat="1" applyFont="1" applyFill="1" applyBorder="1" applyAlignment="1">
      <alignment horizontal="center"/>
    </xf>
    <xf numFmtId="177" fontId="10" fillId="57" borderId="228" xfId="0" applyNumberFormat="1" applyFont="1" applyFill="1" applyBorder="1" applyProtection="1"/>
    <xf numFmtId="0" fontId="86" fillId="90" borderId="228" xfId="0" applyFont="1" applyFill="1" applyBorder="1"/>
    <xf numFmtId="166" fontId="109" fillId="80" borderId="0" xfId="0" applyNumberFormat="1" applyFont="1" applyFill="1" applyAlignment="1" applyProtection="1">
      <alignment horizontal="center"/>
    </xf>
    <xf numFmtId="21" fontId="1" fillId="80" borderId="0" xfId="0" applyNumberFormat="1" applyFont="1" applyFill="1" applyAlignment="1" applyProtection="1">
      <alignment horizontal="center"/>
    </xf>
    <xf numFmtId="0" fontId="1" fillId="80" borderId="0" xfId="0" applyFont="1" applyFill="1" applyAlignment="1" applyProtection="1">
      <alignment horizontal="center"/>
    </xf>
    <xf numFmtId="178" fontId="41" fillId="80" borderId="0" xfId="0" applyNumberFormat="1" applyFont="1" applyFill="1" applyAlignment="1" applyProtection="1">
      <alignment horizontal="left"/>
      <protection locked="0"/>
    </xf>
    <xf numFmtId="3" fontId="6" fillId="80" borderId="0" xfId="0" applyNumberFormat="1" applyFont="1" applyFill="1" applyAlignment="1" applyProtection="1">
      <alignment horizontal="center"/>
    </xf>
    <xf numFmtId="21" fontId="81" fillId="14" borderId="228" xfId="0" applyNumberFormat="1" applyFont="1" applyFill="1" applyBorder="1" applyAlignment="1">
      <alignment horizontal="center"/>
    </xf>
    <xf numFmtId="1" fontId="81" fillId="21" borderId="230" xfId="0" applyNumberFormat="1" applyFont="1" applyFill="1" applyBorder="1"/>
    <xf numFmtId="166" fontId="109" fillId="21" borderId="228" xfId="0" applyNumberFormat="1" applyFont="1" applyFill="1" applyBorder="1"/>
    <xf numFmtId="21" fontId="81" fillId="21" borderId="228" xfId="0" applyNumberFormat="1" applyFont="1" applyFill="1" applyBorder="1"/>
    <xf numFmtId="21" fontId="85" fillId="21" borderId="228" xfId="0" quotePrefix="1" applyNumberFormat="1" applyFont="1" applyFill="1" applyBorder="1" applyAlignment="1">
      <alignment horizontal="center"/>
    </xf>
    <xf numFmtId="21" fontId="86" fillId="21" borderId="228" xfId="0" quotePrefix="1" applyNumberFormat="1" applyFont="1" applyFill="1" applyBorder="1" applyAlignment="1">
      <alignment horizontal="center"/>
    </xf>
    <xf numFmtId="1" fontId="86" fillId="21" borderId="228" xfId="0" applyNumberFormat="1" applyFont="1" applyFill="1" applyBorder="1" applyAlignment="1">
      <alignment horizontal="center"/>
    </xf>
    <xf numFmtId="0" fontId="75" fillId="21" borderId="228" xfId="0" applyFont="1" applyFill="1" applyBorder="1"/>
    <xf numFmtId="176" fontId="10" fillId="21" borderId="0" xfId="0" applyNumberFormat="1" applyFont="1" applyFill="1" applyBorder="1" applyAlignment="1">
      <alignment horizontal="center"/>
    </xf>
    <xf numFmtId="166" fontId="109" fillId="21" borderId="0" xfId="0" applyNumberFormat="1" applyFont="1" applyFill="1" applyBorder="1"/>
    <xf numFmtId="21" fontId="81" fillId="21" borderId="0" xfId="0" applyNumberFormat="1" applyFont="1" applyFill="1" applyBorder="1"/>
    <xf numFmtId="21" fontId="85" fillId="21" borderId="0" xfId="0" quotePrefix="1" applyNumberFormat="1" applyFont="1" applyFill="1" applyBorder="1" applyAlignment="1">
      <alignment horizontal="center"/>
    </xf>
    <xf numFmtId="1" fontId="86" fillId="21" borderId="0" xfId="0" applyNumberFormat="1" applyFont="1" applyFill="1" applyBorder="1" applyAlignment="1">
      <alignment horizontal="center"/>
    </xf>
    <xf numFmtId="1" fontId="0" fillId="19" borderId="86" xfId="0" applyNumberFormat="1" applyFill="1" applyBorder="1"/>
    <xf numFmtId="21" fontId="0" fillId="15" borderId="179" xfId="0" applyNumberFormat="1" applyFill="1" applyBorder="1"/>
    <xf numFmtId="21" fontId="0" fillId="15" borderId="0" xfId="0" applyNumberFormat="1" applyFill="1" applyBorder="1"/>
    <xf numFmtId="21" fontId="0" fillId="109" borderId="0" xfId="0" applyNumberFormat="1" applyFill="1" applyBorder="1"/>
    <xf numFmtId="176" fontId="264" fillId="109" borderId="179" xfId="0" applyNumberFormat="1" applyFont="1" applyFill="1" applyBorder="1" applyAlignment="1">
      <alignment horizontal="center"/>
    </xf>
    <xf numFmtId="166" fontId="273" fillId="110" borderId="179" xfId="0" quotePrefix="1" applyNumberFormat="1" applyFont="1" applyFill="1" applyBorder="1" applyAlignment="1" applyProtection="1">
      <alignment horizontal="left"/>
    </xf>
    <xf numFmtId="21" fontId="274" fillId="109" borderId="179" xfId="0" applyNumberFormat="1" applyFont="1" applyFill="1" applyBorder="1"/>
    <xf numFmtId="21" fontId="275" fillId="109" borderId="179" xfId="0" quotePrefix="1" applyNumberFormat="1" applyFont="1" applyFill="1" applyBorder="1" applyAlignment="1">
      <alignment horizontal="center"/>
    </xf>
    <xf numFmtId="0" fontId="276" fillId="110" borderId="179" xfId="0" applyFont="1" applyFill="1" applyBorder="1" applyAlignment="1" applyProtection="1">
      <alignment horizontal="center"/>
    </xf>
    <xf numFmtId="0" fontId="272" fillId="109" borderId="234" xfId="0" applyFont="1" applyFill="1" applyBorder="1"/>
    <xf numFmtId="176" fontId="264" fillId="109" borderId="0" xfId="0" applyNumberFormat="1" applyFont="1" applyFill="1" applyBorder="1" applyAlignment="1">
      <alignment horizontal="center"/>
    </xf>
    <xf numFmtId="166" fontId="273" fillId="110" borderId="0" xfId="0" quotePrefix="1" applyNumberFormat="1" applyFont="1" applyFill="1" applyBorder="1" applyAlignment="1" applyProtection="1">
      <alignment horizontal="left"/>
    </xf>
    <xf numFmtId="21" fontId="274" fillId="109" borderId="0" xfId="0" applyNumberFormat="1" applyFont="1" applyFill="1" applyBorder="1"/>
    <xf numFmtId="21" fontId="275" fillId="109" borderId="0" xfId="0" quotePrefix="1" applyNumberFormat="1" applyFont="1" applyFill="1" applyBorder="1" applyAlignment="1">
      <alignment horizontal="center"/>
    </xf>
    <xf numFmtId="0" fontId="276" fillId="110" borderId="0" xfId="0" applyFont="1" applyFill="1" applyBorder="1" applyAlignment="1" applyProtection="1">
      <alignment horizontal="center"/>
    </xf>
    <xf numFmtId="0" fontId="272" fillId="109" borderId="0" xfId="0" applyFont="1" applyFill="1" applyBorder="1"/>
    <xf numFmtId="176" fontId="20" fillId="21" borderId="0" xfId="0" applyNumberFormat="1" applyFont="1" applyFill="1" applyBorder="1"/>
    <xf numFmtId="166" fontId="214" fillId="66" borderId="232" xfId="0" applyNumberFormat="1" applyFont="1" applyFill="1" applyBorder="1"/>
    <xf numFmtId="21" fontId="213" fillId="66" borderId="232" xfId="0" quotePrefix="1" applyNumberFormat="1" applyFont="1" applyFill="1" applyBorder="1" applyAlignment="1">
      <alignment horizontal="center"/>
    </xf>
    <xf numFmtId="21" fontId="212" fillId="66" borderId="232" xfId="0" applyNumberFormat="1" applyFont="1" applyFill="1" applyBorder="1"/>
    <xf numFmtId="1" fontId="213" fillId="66" borderId="232" xfId="0" applyNumberFormat="1" applyFont="1" applyFill="1" applyBorder="1" applyAlignment="1">
      <alignment horizontal="center"/>
    </xf>
    <xf numFmtId="0" fontId="223" fillId="66" borderId="235" xfId="0" applyFont="1" applyFill="1" applyBorder="1"/>
    <xf numFmtId="0" fontId="86" fillId="111" borderId="228" xfId="0" applyFont="1" applyFill="1" applyBorder="1"/>
    <xf numFmtId="0" fontId="10" fillId="21" borderId="228" xfId="0" applyFont="1" applyFill="1" applyBorder="1"/>
    <xf numFmtId="1" fontId="81" fillId="21" borderId="236" xfId="0" applyNumberFormat="1" applyFont="1" applyFill="1" applyBorder="1"/>
    <xf numFmtId="0" fontId="10" fillId="21" borderId="201" xfId="0" applyFont="1" applyFill="1" applyBorder="1"/>
    <xf numFmtId="1" fontId="81" fillId="21" borderId="228" xfId="0" applyNumberFormat="1" applyFont="1" applyFill="1" applyBorder="1"/>
    <xf numFmtId="0" fontId="0" fillId="21" borderId="228" xfId="0" applyFill="1" applyBorder="1"/>
    <xf numFmtId="21" fontId="82" fillId="21" borderId="228" xfId="0" applyNumberFormat="1" applyFont="1" applyFill="1" applyBorder="1"/>
    <xf numFmtId="0" fontId="0" fillId="15" borderId="228" xfId="0" applyFill="1" applyBorder="1"/>
    <xf numFmtId="21" fontId="0" fillId="15" borderId="228" xfId="0" applyNumberFormat="1" applyFill="1" applyBorder="1"/>
    <xf numFmtId="176" fontId="264" fillId="109" borderId="228" xfId="0" applyNumberFormat="1" applyFont="1" applyFill="1" applyBorder="1" applyAlignment="1">
      <alignment horizontal="center"/>
    </xf>
    <xf numFmtId="166" fontId="273" fillId="110" borderId="228" xfId="0" quotePrefix="1" applyNumberFormat="1" applyFont="1" applyFill="1" applyBorder="1" applyAlignment="1" applyProtection="1">
      <alignment horizontal="left"/>
    </xf>
    <xf numFmtId="21" fontId="274" fillId="109" borderId="228" xfId="0" applyNumberFormat="1" applyFont="1" applyFill="1" applyBorder="1"/>
    <xf numFmtId="21" fontId="275" fillId="109" borderId="228" xfId="0" quotePrefix="1" applyNumberFormat="1" applyFont="1" applyFill="1" applyBorder="1" applyAlignment="1">
      <alignment horizontal="center"/>
    </xf>
    <xf numFmtId="21" fontId="271" fillId="109" borderId="228" xfId="0" quotePrefix="1" applyNumberFormat="1" applyFont="1" applyFill="1" applyBorder="1" applyAlignment="1">
      <alignment horizontal="center"/>
    </xf>
    <xf numFmtId="0" fontId="276" fillId="110" borderId="228" xfId="0" applyFont="1" applyFill="1" applyBorder="1" applyAlignment="1" applyProtection="1">
      <alignment horizontal="center"/>
    </xf>
    <xf numFmtId="0" fontId="272" fillId="109" borderId="228" xfId="0" applyFont="1" applyFill="1" applyBorder="1"/>
    <xf numFmtId="176" fontId="20" fillId="21" borderId="228" xfId="0" applyNumberFormat="1" applyFont="1" applyFill="1" applyBorder="1"/>
    <xf numFmtId="0" fontId="10" fillId="15" borderId="228" xfId="0" applyFont="1" applyFill="1" applyBorder="1"/>
    <xf numFmtId="166" fontId="214" fillId="66" borderId="201" xfId="0" applyNumberFormat="1" applyFont="1" applyFill="1" applyBorder="1"/>
    <xf numFmtId="21" fontId="213" fillId="66" borderId="201" xfId="0" quotePrefix="1" applyNumberFormat="1" applyFont="1" applyFill="1" applyBorder="1" applyAlignment="1">
      <alignment horizontal="center"/>
    </xf>
    <xf numFmtId="21" fontId="212" fillId="66" borderId="201" xfId="0" applyNumberFormat="1" applyFont="1" applyFill="1" applyBorder="1"/>
    <xf numFmtId="1" fontId="213" fillId="66" borderId="201" xfId="0" applyNumberFormat="1" applyFont="1" applyFill="1" applyBorder="1" applyAlignment="1">
      <alignment horizontal="center"/>
    </xf>
    <xf numFmtId="0" fontId="223" fillId="66" borderId="86" xfId="0" applyFont="1" applyFill="1" applyBorder="1"/>
    <xf numFmtId="21" fontId="0" fillId="114" borderId="35" xfId="0" applyNumberFormat="1" applyFill="1" applyBorder="1"/>
    <xf numFmtId="1" fontId="0" fillId="114" borderId="35" xfId="0" applyNumberFormat="1" applyFill="1" applyBorder="1"/>
    <xf numFmtId="0" fontId="0" fillId="114" borderId="35" xfId="0" applyFill="1" applyBorder="1"/>
    <xf numFmtId="0" fontId="20" fillId="114" borderId="35" xfId="0" applyFont="1" applyFill="1" applyBorder="1"/>
    <xf numFmtId="166" fontId="109" fillId="114" borderId="35" xfId="0" applyNumberFormat="1" applyFont="1" applyFill="1" applyBorder="1"/>
    <xf numFmtId="21" fontId="85" fillId="114" borderId="35" xfId="0" quotePrefix="1" applyNumberFormat="1" applyFont="1" applyFill="1" applyBorder="1" applyAlignment="1">
      <alignment horizontal="center"/>
    </xf>
    <xf numFmtId="0" fontId="86" fillId="114" borderId="35" xfId="0" applyFont="1" applyFill="1" applyBorder="1" applyAlignment="1">
      <alignment horizontal="center"/>
    </xf>
    <xf numFmtId="21" fontId="0" fillId="111" borderId="35" xfId="0" applyNumberFormat="1" applyFill="1" applyBorder="1"/>
    <xf numFmtId="1" fontId="0" fillId="111" borderId="35" xfId="0" applyNumberFormat="1" applyFill="1" applyBorder="1"/>
    <xf numFmtId="0" fontId="0" fillId="111" borderId="35" xfId="0" applyFill="1" applyBorder="1"/>
    <xf numFmtId="0" fontId="20" fillId="111" borderId="35" xfId="0" applyFont="1" applyFill="1" applyBorder="1"/>
    <xf numFmtId="166" fontId="109" fillId="111" borderId="35" xfId="0" applyNumberFormat="1" applyFont="1" applyFill="1" applyBorder="1"/>
    <xf numFmtId="21" fontId="85" fillId="111" borderId="35" xfId="0" quotePrefix="1" applyNumberFormat="1" applyFont="1" applyFill="1" applyBorder="1" applyAlignment="1">
      <alignment horizontal="center"/>
    </xf>
    <xf numFmtId="0" fontId="86" fillId="111" borderId="35" xfId="0" applyFont="1" applyFill="1" applyBorder="1" applyAlignment="1">
      <alignment horizontal="center"/>
    </xf>
    <xf numFmtId="21" fontId="0" fillId="136" borderId="35" xfId="0" applyNumberFormat="1" applyFill="1" applyBorder="1"/>
    <xf numFmtId="1" fontId="0" fillId="136" borderId="35" xfId="0" applyNumberFormat="1" applyFill="1" applyBorder="1"/>
    <xf numFmtId="0" fontId="0" fillId="136" borderId="35" xfId="0" applyFill="1" applyBorder="1"/>
    <xf numFmtId="0" fontId="10" fillId="136" borderId="35" xfId="0" applyFont="1" applyFill="1" applyBorder="1"/>
    <xf numFmtId="0" fontId="20" fillId="136" borderId="35" xfId="0" applyFont="1" applyFill="1" applyBorder="1"/>
    <xf numFmtId="166" fontId="109" fillId="136" borderId="35" xfId="0" applyNumberFormat="1" applyFont="1" applyFill="1" applyBorder="1"/>
    <xf numFmtId="21" fontId="85" fillId="136" borderId="35" xfId="0" quotePrefix="1" applyNumberFormat="1" applyFont="1" applyFill="1" applyBorder="1" applyAlignment="1">
      <alignment horizontal="center"/>
    </xf>
    <xf numFmtId="0" fontId="86" fillId="136" borderId="35" xfId="0" applyFont="1" applyFill="1" applyBorder="1" applyAlignment="1">
      <alignment horizontal="center"/>
    </xf>
    <xf numFmtId="0" fontId="10" fillId="114" borderId="35" xfId="0" applyFont="1" applyFill="1" applyBorder="1"/>
    <xf numFmtId="1" fontId="81" fillId="14" borderId="201" xfId="0" applyNumberFormat="1" applyFont="1" applyFill="1" applyBorder="1"/>
    <xf numFmtId="0" fontId="0" fillId="21" borderId="233" xfId="0" applyFill="1" applyBorder="1"/>
    <xf numFmtId="0" fontId="99" fillId="19" borderId="233" xfId="0" applyFont="1" applyFill="1" applyBorder="1"/>
    <xf numFmtId="0" fontId="2" fillId="14" borderId="109" xfId="0" applyFont="1" applyFill="1" applyBorder="1"/>
    <xf numFmtId="21" fontId="82" fillId="14" borderId="126" xfId="0" applyNumberFormat="1" applyFont="1" applyFill="1" applyBorder="1"/>
    <xf numFmtId="21" fontId="82" fillId="21" borderId="231" xfId="0" applyNumberFormat="1" applyFont="1" applyFill="1" applyBorder="1"/>
    <xf numFmtId="21" fontId="99" fillId="19" borderId="231" xfId="0" applyNumberFormat="1" applyFont="1" applyFill="1" applyBorder="1"/>
    <xf numFmtId="0" fontId="0" fillId="21" borderId="222" xfId="0" applyFill="1" applyBorder="1"/>
    <xf numFmtId="0" fontId="2" fillId="14" borderId="222" xfId="0" applyFont="1" applyFill="1" applyBorder="1"/>
    <xf numFmtId="0" fontId="44" fillId="21" borderId="35" xfId="0" applyFont="1" applyFill="1" applyBorder="1" applyAlignment="1">
      <alignment wrapText="1"/>
    </xf>
    <xf numFmtId="21" fontId="82" fillId="14" borderId="222" xfId="0" applyNumberFormat="1" applyFont="1" applyFill="1" applyBorder="1"/>
    <xf numFmtId="21" fontId="2" fillId="136" borderId="35" xfId="0" applyNumberFormat="1" applyFont="1" applyFill="1" applyBorder="1"/>
    <xf numFmtId="0" fontId="0" fillId="137" borderId="35" xfId="0" applyFill="1" applyBorder="1"/>
    <xf numFmtId="21" fontId="0" fillId="137" borderId="35" xfId="0" applyNumberFormat="1" applyFill="1" applyBorder="1"/>
    <xf numFmtId="1" fontId="0" fillId="137" borderId="35" xfId="0" applyNumberFormat="1" applyFill="1" applyBorder="1"/>
    <xf numFmtId="0" fontId="19" fillId="137" borderId="35" xfId="0" applyFont="1" applyFill="1" applyBorder="1" applyAlignment="1">
      <alignment wrapText="1"/>
    </xf>
    <xf numFmtId="0" fontId="20" fillId="137" borderId="35" xfId="0" applyFont="1" applyFill="1" applyBorder="1"/>
    <xf numFmtId="166" fontId="109" fillId="137" borderId="35" xfId="0" applyNumberFormat="1" applyFont="1" applyFill="1" applyBorder="1"/>
    <xf numFmtId="21" fontId="85" fillId="137" borderId="35" xfId="0" quotePrefix="1" applyNumberFormat="1" applyFont="1" applyFill="1" applyBorder="1" applyAlignment="1">
      <alignment horizontal="center"/>
    </xf>
    <xf numFmtId="0" fontId="86" fillId="137" borderId="35" xfId="0" applyFont="1" applyFill="1" applyBorder="1" applyAlignment="1">
      <alignment horizontal="center"/>
    </xf>
    <xf numFmtId="0" fontId="10" fillId="137" borderId="35" xfId="0" applyFont="1" applyFill="1" applyBorder="1"/>
    <xf numFmtId="21" fontId="2" fillId="137" borderId="35" xfId="0" applyNumberFormat="1" applyFont="1" applyFill="1" applyBorder="1"/>
    <xf numFmtId="0" fontId="10" fillId="137" borderId="35" xfId="0" applyFont="1" applyFill="1" applyBorder="1" applyAlignment="1">
      <alignment wrapText="1"/>
    </xf>
    <xf numFmtId="21" fontId="291" fillId="138" borderId="35" xfId="0" applyNumberFormat="1" applyFont="1" applyFill="1" applyBorder="1"/>
    <xf numFmtId="1" fontId="291" fillId="138" borderId="35" xfId="0" applyNumberFormat="1" applyFont="1" applyFill="1" applyBorder="1"/>
    <xf numFmtId="0" fontId="291" fillId="138" borderId="35" xfId="0" applyFont="1" applyFill="1" applyBorder="1"/>
    <xf numFmtId="0" fontId="259" fillId="138" borderId="35" xfId="0" applyFont="1" applyFill="1" applyBorder="1"/>
    <xf numFmtId="166" fontId="304" fillId="138" borderId="35" xfId="0" applyNumberFormat="1" applyFont="1" applyFill="1" applyBorder="1"/>
    <xf numFmtId="21" fontId="305" fillId="138" borderId="35" xfId="0" quotePrefix="1" applyNumberFormat="1" applyFont="1" applyFill="1" applyBorder="1" applyAlignment="1">
      <alignment horizontal="center"/>
    </xf>
    <xf numFmtId="0" fontId="306" fillId="138" borderId="35" xfId="0" applyFont="1" applyFill="1" applyBorder="1" applyAlignment="1">
      <alignment horizontal="center"/>
    </xf>
    <xf numFmtId="0" fontId="259" fillId="138" borderId="35" xfId="0" applyFont="1" applyFill="1" applyBorder="1" applyAlignment="1">
      <alignment wrapText="1"/>
    </xf>
    <xf numFmtId="21" fontId="258" fillId="21" borderId="35" xfId="0" applyNumberFormat="1" applyFont="1" applyFill="1" applyBorder="1" applyAlignment="1">
      <alignment horizontal="center"/>
    </xf>
    <xf numFmtId="21" fontId="202" fillId="29" borderId="35" xfId="0" applyNumberFormat="1" applyFont="1" applyFill="1" applyBorder="1" applyAlignment="1">
      <alignment horizontal="center"/>
    </xf>
    <xf numFmtId="1" fontId="19" fillId="140" borderId="35" xfId="0" applyNumberFormat="1" applyFont="1" applyFill="1" applyBorder="1"/>
    <xf numFmtId="0" fontId="8" fillId="139" borderId="83" xfId="0" applyFont="1" applyFill="1" applyBorder="1" applyAlignment="1" applyProtection="1">
      <alignment horizontal="center"/>
    </xf>
    <xf numFmtId="21" fontId="82" fillId="109" borderId="35" xfId="0" applyNumberFormat="1" applyFont="1" applyFill="1" applyBorder="1"/>
    <xf numFmtId="0" fontId="86" fillId="109" borderId="35" xfId="0" quotePrefix="1" applyFont="1" applyFill="1" applyBorder="1" applyAlignment="1">
      <alignment horizontal="center"/>
    </xf>
    <xf numFmtId="0" fontId="0" fillId="109" borderId="36" xfId="0" applyFill="1" applyBorder="1"/>
    <xf numFmtId="177" fontId="10" fillId="0" borderId="228" xfId="0" applyNumberFormat="1" applyFont="1" applyFill="1" applyBorder="1" applyProtection="1"/>
    <xf numFmtId="21" fontId="136" fillId="14" borderId="232" xfId="0" applyNumberFormat="1" applyFont="1" applyFill="1" applyBorder="1"/>
    <xf numFmtId="1" fontId="191" fillId="3" borderId="0" xfId="0" applyNumberFormat="1" applyFont="1" applyFill="1" applyBorder="1" applyAlignment="1" applyProtection="1">
      <alignment horizontal="center"/>
      <protection locked="0"/>
    </xf>
    <xf numFmtId="21" fontId="270" fillId="91" borderId="35" xfId="0" applyNumberFormat="1" applyFont="1" applyFill="1" applyBorder="1" applyAlignment="1">
      <alignment horizontal="center"/>
    </xf>
    <xf numFmtId="0" fontId="271" fillId="91" borderId="35" xfId="0" applyFont="1" applyFill="1" applyBorder="1" applyAlignment="1">
      <alignment horizontal="center"/>
    </xf>
    <xf numFmtId="1" fontId="19" fillId="125" borderId="35" xfId="0" applyNumberFormat="1" applyFont="1" applyFill="1" applyBorder="1"/>
    <xf numFmtId="1" fontId="171" fillId="125" borderId="35" xfId="0" applyNumberFormat="1" applyFont="1" applyFill="1" applyBorder="1"/>
    <xf numFmtId="21" fontId="271" fillId="125" borderId="35" xfId="0" applyNumberFormat="1" applyFont="1" applyFill="1" applyBorder="1" applyAlignment="1">
      <alignment horizontal="right"/>
    </xf>
    <xf numFmtId="21" fontId="82" fillId="14" borderId="35" xfId="0" applyNumberFormat="1" applyFont="1" applyFill="1" applyBorder="1" applyAlignment="1">
      <alignment horizontal="right"/>
    </xf>
    <xf numFmtId="0" fontId="86" fillId="123" borderId="32" xfId="0" applyFont="1" applyFill="1" applyBorder="1" applyAlignment="1">
      <alignment horizontal="center" wrapText="1"/>
    </xf>
    <xf numFmtId="0" fontId="172" fillId="80" borderId="179" xfId="0" applyFont="1" applyFill="1" applyBorder="1" applyAlignment="1">
      <alignment horizontal="left"/>
    </xf>
    <xf numFmtId="21" fontId="175" fillId="80" borderId="213" xfId="0" applyNumberFormat="1" applyFont="1" applyFill="1" applyBorder="1" applyAlignment="1">
      <alignment horizontal="center" textRotation="90"/>
    </xf>
    <xf numFmtId="0" fontId="172" fillId="80" borderId="179" xfId="0" applyFont="1" applyFill="1" applyBorder="1" applyAlignment="1">
      <alignment horizontal="center"/>
    </xf>
    <xf numFmtId="0" fontId="2" fillId="0" borderId="0" xfId="167"/>
    <xf numFmtId="14" fontId="0" fillId="0" borderId="179" xfId="0" applyNumberFormat="1" applyBorder="1"/>
    <xf numFmtId="0" fontId="0" fillId="120" borderId="0" xfId="0" applyFill="1"/>
    <xf numFmtId="0" fontId="0" fillId="120" borderId="0" xfId="0" applyFill="1" applyProtection="1">
      <protection locked="0"/>
    </xf>
    <xf numFmtId="0" fontId="123" fillId="120" borderId="106" xfId="0" applyFont="1" applyFill="1" applyBorder="1" applyProtection="1">
      <protection locked="0"/>
    </xf>
    <xf numFmtId="0" fontId="69" fillId="120" borderId="107" xfId="0" applyFont="1" applyFill="1" applyBorder="1" applyProtection="1">
      <protection locked="0"/>
    </xf>
    <xf numFmtId="0" fontId="79" fillId="120" borderId="106" xfId="0" applyFont="1" applyFill="1" applyBorder="1" applyProtection="1">
      <protection locked="0"/>
    </xf>
    <xf numFmtId="0" fontId="79" fillId="120" borderId="108" xfId="0" applyFont="1" applyFill="1" applyBorder="1" applyProtection="1">
      <protection locked="0"/>
    </xf>
    <xf numFmtId="0" fontId="79" fillId="120" borderId="100" xfId="0" applyFont="1" applyFill="1" applyBorder="1" applyProtection="1">
      <protection locked="0"/>
    </xf>
    <xf numFmtId="0" fontId="79" fillId="120" borderId="138" xfId="0" applyFont="1" applyFill="1" applyBorder="1" applyProtection="1">
      <protection locked="0"/>
    </xf>
    <xf numFmtId="0" fontId="69" fillId="120" borderId="107" xfId="0" applyFont="1" applyFill="1" applyBorder="1" applyAlignment="1" applyProtection="1">
      <alignment horizontal="left"/>
      <protection locked="0"/>
    </xf>
    <xf numFmtId="14" fontId="19" fillId="72" borderId="179" xfId="0" applyNumberFormat="1" applyFont="1" applyFill="1" applyBorder="1"/>
    <xf numFmtId="47" fontId="81" fillId="14" borderId="0" xfId="0" applyNumberFormat="1" applyFont="1" applyFill="1" applyBorder="1"/>
    <xf numFmtId="21" fontId="86" fillId="0" borderId="35" xfId="0" quotePrefix="1" applyNumberFormat="1" applyFont="1" applyFill="1" applyBorder="1" applyAlignment="1">
      <alignment horizontal="center"/>
    </xf>
    <xf numFmtId="176" fontId="8" fillId="19" borderId="35" xfId="0" applyNumberFormat="1" applyFont="1" applyFill="1" applyBorder="1" applyAlignment="1">
      <alignment horizontal="center"/>
    </xf>
    <xf numFmtId="21" fontId="19" fillId="46" borderId="35" xfId="0" applyNumberFormat="1" applyFont="1" applyFill="1" applyBorder="1" applyAlignment="1">
      <alignment horizontal="center"/>
    </xf>
    <xf numFmtId="21" fontId="106" fillId="66" borderId="35" xfId="0" quotePrefix="1" applyNumberFormat="1" applyFont="1" applyFill="1" applyBorder="1" applyAlignment="1">
      <alignment horizontal="center"/>
    </xf>
    <xf numFmtId="21" fontId="86" fillId="46" borderId="111" xfId="0" applyNumberFormat="1" applyFont="1" applyFill="1" applyBorder="1" applyAlignment="1">
      <alignment horizontal="center"/>
    </xf>
    <xf numFmtId="21" fontId="106" fillId="29" borderId="129" xfId="0" applyNumberFormat="1" applyFont="1" applyFill="1" applyBorder="1" applyAlignment="1">
      <alignment horizontal="center"/>
    </xf>
    <xf numFmtId="21" fontId="160" fillId="66" borderId="35" xfId="0" applyNumberFormat="1" applyFont="1" applyFill="1" applyBorder="1" applyAlignment="1">
      <alignment horizontal="center"/>
    </xf>
    <xf numFmtId="21" fontId="81" fillId="14" borderId="222" xfId="0" applyNumberFormat="1" applyFont="1" applyFill="1" applyBorder="1"/>
    <xf numFmtId="1" fontId="81" fillId="66" borderId="0" xfId="0" applyNumberFormat="1" applyFont="1" applyFill="1" applyBorder="1"/>
    <xf numFmtId="21" fontId="86" fillId="14" borderId="0" xfId="0" applyNumberFormat="1" applyFont="1" applyFill="1" applyBorder="1"/>
    <xf numFmtId="0" fontId="0" fillId="76" borderId="190" xfId="0" applyFill="1" applyBorder="1" applyAlignment="1">
      <alignment horizontal="center"/>
    </xf>
    <xf numFmtId="0" fontId="0" fillId="76" borderId="194" xfId="0" applyFill="1" applyBorder="1" applyAlignment="1">
      <alignment horizontal="center"/>
    </xf>
    <xf numFmtId="0" fontId="308" fillId="113" borderId="191" xfId="0" applyFont="1" applyFill="1" applyBorder="1"/>
    <xf numFmtId="0" fontId="291" fillId="113" borderId="100" xfId="0" applyFont="1" applyFill="1" applyBorder="1"/>
    <xf numFmtId="0" fontId="291" fillId="113" borderId="192" xfId="0" applyFont="1" applyFill="1" applyBorder="1"/>
    <xf numFmtId="0" fontId="2" fillId="81" borderId="0" xfId="0" applyFont="1" applyFill="1"/>
    <xf numFmtId="0" fontId="0" fillId="81" borderId="0" xfId="0" applyFill="1" applyAlignment="1">
      <alignment horizontal="center"/>
    </xf>
    <xf numFmtId="0" fontId="309" fillId="76" borderId="12" xfId="0" applyFont="1" applyFill="1" applyBorder="1"/>
    <xf numFmtId="0" fontId="309" fillId="76" borderId="0" xfId="0" applyFont="1" applyFill="1" applyBorder="1"/>
    <xf numFmtId="0" fontId="310" fillId="76" borderId="222" xfId="0" applyFont="1" applyFill="1" applyBorder="1" applyAlignment="1">
      <alignment horizontal="center"/>
    </xf>
    <xf numFmtId="0" fontId="310" fillId="76" borderId="222" xfId="0" applyFont="1" applyFill="1" applyBorder="1"/>
    <xf numFmtId="0" fontId="309" fillId="81" borderId="0" xfId="0" applyFont="1" applyFill="1"/>
    <xf numFmtId="0" fontId="309" fillId="81" borderId="0" xfId="0" applyFont="1" applyFill="1" applyAlignment="1">
      <alignment horizontal="center"/>
    </xf>
    <xf numFmtId="0" fontId="309" fillId="76" borderId="60" xfId="0" applyFont="1" applyFill="1" applyBorder="1"/>
    <xf numFmtId="0" fontId="311" fillId="76" borderId="222" xfId="0" applyFont="1" applyFill="1" applyBorder="1" applyAlignment="1">
      <alignment horizontal="center"/>
    </xf>
    <xf numFmtId="0" fontId="311" fillId="76" borderId="58" xfId="0" applyFont="1" applyFill="1" applyBorder="1" applyAlignment="1">
      <alignment horizontal="center"/>
    </xf>
    <xf numFmtId="0" fontId="309" fillId="80" borderId="208" xfId="0" applyFont="1" applyFill="1" applyBorder="1" applyAlignment="1">
      <alignment horizontal="center"/>
    </xf>
    <xf numFmtId="0" fontId="309" fillId="80" borderId="222" xfId="0" applyFont="1" applyFill="1" applyBorder="1" applyAlignment="1">
      <alignment horizontal="center"/>
    </xf>
    <xf numFmtId="0" fontId="309" fillId="80" borderId="238" xfId="0" applyFont="1" applyFill="1" applyBorder="1" applyAlignment="1">
      <alignment horizontal="center"/>
    </xf>
    <xf numFmtId="0" fontId="311" fillId="76" borderId="58" xfId="0" applyFont="1" applyFill="1" applyBorder="1" applyAlignment="1">
      <alignment horizontal="left"/>
    </xf>
    <xf numFmtId="0" fontId="311" fillId="76" borderId="197" xfId="0" applyFont="1" applyFill="1" applyBorder="1" applyAlignment="1">
      <alignment horizontal="center"/>
    </xf>
    <xf numFmtId="0" fontId="309" fillId="80" borderId="239" xfId="0" applyFont="1" applyFill="1" applyBorder="1" applyAlignment="1">
      <alignment horizontal="center"/>
    </xf>
    <xf numFmtId="0" fontId="309" fillId="80" borderId="240" xfId="0" applyFont="1" applyFill="1" applyBorder="1" applyAlignment="1">
      <alignment horizontal="center"/>
    </xf>
    <xf numFmtId="0" fontId="309" fillId="80" borderId="241" xfId="0" applyFont="1" applyFill="1" applyBorder="1" applyAlignment="1">
      <alignment horizontal="center"/>
    </xf>
    <xf numFmtId="0" fontId="309" fillId="0" borderId="0" xfId="0" applyFont="1"/>
    <xf numFmtId="0" fontId="309" fillId="0" borderId="0" xfId="0" applyFont="1" applyAlignment="1">
      <alignment horizontal="center"/>
    </xf>
    <xf numFmtId="0" fontId="309" fillId="80" borderId="224" xfId="0" applyFont="1" applyFill="1" applyBorder="1" applyAlignment="1">
      <alignment horizontal="center"/>
    </xf>
    <xf numFmtId="0" fontId="309" fillId="80" borderId="242" xfId="0" applyFont="1" applyFill="1" applyBorder="1" applyAlignment="1">
      <alignment horizontal="center"/>
    </xf>
    <xf numFmtId="0" fontId="313" fillId="88" borderId="0" xfId="0" applyFont="1" applyFill="1"/>
    <xf numFmtId="0" fontId="302" fillId="0" borderId="243" xfId="0" applyFont="1" applyBorder="1" applyAlignment="1">
      <alignment horizontal="center" textRotation="90"/>
    </xf>
    <xf numFmtId="0" fontId="302" fillId="0" borderId="244" xfId="0" applyFont="1" applyBorder="1" applyAlignment="1">
      <alignment horizontal="center" textRotation="90"/>
    </xf>
    <xf numFmtId="0" fontId="302" fillId="0" borderId="245" xfId="0" applyFont="1" applyBorder="1" applyAlignment="1">
      <alignment horizontal="center" textRotation="90"/>
    </xf>
    <xf numFmtId="1" fontId="302" fillId="0" borderId="246" xfId="0" applyNumberFormat="1" applyFont="1" applyBorder="1" applyAlignment="1">
      <alignment horizontal="center" textRotation="90"/>
    </xf>
    <xf numFmtId="0" fontId="302" fillId="0" borderId="246" xfId="0" applyFont="1" applyBorder="1" applyAlignment="1">
      <alignment horizontal="center" textRotation="90"/>
    </xf>
    <xf numFmtId="21" fontId="302" fillId="0" borderId="247" xfId="0" applyNumberFormat="1" applyFont="1" applyBorder="1" applyAlignment="1">
      <alignment horizontal="center" textRotation="90"/>
    </xf>
    <xf numFmtId="0" fontId="302" fillId="0" borderId="247" xfId="0" applyFont="1" applyBorder="1" applyAlignment="1">
      <alignment horizontal="center" textRotation="90"/>
    </xf>
    <xf numFmtId="166" fontId="315" fillId="0" borderId="247" xfId="0" applyNumberFormat="1" applyFont="1" applyBorder="1" applyAlignment="1">
      <alignment horizontal="center" textRotation="90"/>
    </xf>
    <xf numFmtId="0" fontId="302" fillId="0" borderId="246" xfId="0" applyFont="1" applyBorder="1" applyAlignment="1">
      <alignment horizontal="center" vertical="justify" textRotation="90"/>
    </xf>
    <xf numFmtId="21" fontId="302" fillId="0" borderId="248" xfId="0" applyNumberFormat="1" applyFont="1" applyBorder="1" applyAlignment="1">
      <alignment horizontal="center" textRotation="90"/>
    </xf>
    <xf numFmtId="0" fontId="302" fillId="0" borderId="114" xfId="0" applyFont="1" applyBorder="1" applyAlignment="1">
      <alignment horizontal="center" textRotation="90"/>
    </xf>
    <xf numFmtId="0" fontId="302" fillId="0" borderId="71" xfId="0" applyFont="1" applyBorder="1" applyAlignment="1">
      <alignment horizontal="center" textRotation="90"/>
    </xf>
    <xf numFmtId="0" fontId="302" fillId="0" borderId="251" xfId="0" applyFont="1" applyBorder="1" applyAlignment="1">
      <alignment horizontal="center" textRotation="90"/>
    </xf>
    <xf numFmtId="0" fontId="302" fillId="0" borderId="123" xfId="0" applyFont="1" applyBorder="1" applyAlignment="1">
      <alignment horizontal="center" textRotation="90"/>
    </xf>
    <xf numFmtId="0" fontId="302" fillId="0" borderId="123" xfId="0" applyFont="1" applyBorder="1" applyAlignment="1">
      <alignment horizontal="center" vertical="justify" textRotation="90"/>
    </xf>
    <xf numFmtId="0" fontId="314" fillId="0" borderId="114" xfId="0" applyFont="1" applyBorder="1" applyAlignment="1">
      <alignment horizontal="center" textRotation="90"/>
    </xf>
    <xf numFmtId="0" fontId="314" fillId="0" borderId="71" xfId="0" applyFont="1" applyBorder="1" applyAlignment="1">
      <alignment horizontal="center" textRotation="90"/>
    </xf>
    <xf numFmtId="0" fontId="314" fillId="0" borderId="251" xfId="0" applyFont="1" applyBorder="1" applyAlignment="1">
      <alignment horizontal="center" textRotation="90"/>
    </xf>
    <xf numFmtId="1" fontId="314" fillId="0" borderId="123" xfId="0" applyNumberFormat="1" applyFont="1" applyBorder="1" applyAlignment="1">
      <alignment horizontal="center" textRotation="90"/>
    </xf>
    <xf numFmtId="0" fontId="314" fillId="0" borderId="123" xfId="0" applyFont="1" applyBorder="1" applyAlignment="1">
      <alignment horizontal="center" textRotation="90"/>
    </xf>
    <xf numFmtId="21" fontId="302" fillId="0" borderId="123" xfId="0" applyNumberFormat="1" applyFont="1" applyBorder="1" applyAlignment="1">
      <alignment horizontal="left"/>
    </xf>
    <xf numFmtId="0" fontId="302" fillId="0" borderId="123" xfId="0" applyFont="1" applyBorder="1" applyAlignment="1">
      <alignment horizontal="left"/>
    </xf>
    <xf numFmtId="166" fontId="315" fillId="0" borderId="123" xfId="0" applyNumberFormat="1" applyFont="1" applyBorder="1" applyAlignment="1">
      <alignment horizontal="center"/>
    </xf>
    <xf numFmtId="21" fontId="314" fillId="0" borderId="102" xfId="0" applyNumberFormat="1" applyFont="1" applyBorder="1" applyAlignment="1">
      <alignment horizontal="center" textRotation="90"/>
    </xf>
    <xf numFmtId="0" fontId="314" fillId="150" borderId="96" xfId="0" applyFont="1" applyFill="1" applyBorder="1" applyAlignment="1">
      <alignment horizontal="center"/>
    </xf>
    <xf numFmtId="0" fontId="2" fillId="95" borderId="126" xfId="0" applyFont="1" applyFill="1" applyBorder="1"/>
    <xf numFmtId="0" fontId="314" fillId="150" borderId="12" xfId="0" applyFont="1" applyFill="1" applyBorder="1" applyAlignment="1">
      <alignment horizontal="center"/>
    </xf>
    <xf numFmtId="0" fontId="251" fillId="101" borderId="255" xfId="0" applyFont="1" applyFill="1" applyBorder="1"/>
    <xf numFmtId="21" fontId="252" fillId="152" borderId="253" xfId="0" applyNumberFormat="1" applyFont="1" applyFill="1" applyBorder="1"/>
    <xf numFmtId="21" fontId="252" fillId="152" borderId="201" xfId="0" applyNumberFormat="1" applyFont="1" applyFill="1" applyBorder="1"/>
    <xf numFmtId="21" fontId="255" fillId="152" borderId="253" xfId="0" applyNumberFormat="1" applyFont="1" applyFill="1" applyBorder="1" applyAlignment="1">
      <alignment horizontal="center"/>
    </xf>
    <xf numFmtId="21" fontId="255" fillId="152" borderId="0" xfId="0" applyNumberFormat="1" applyFont="1" applyFill="1" applyAlignment="1">
      <alignment horizontal="center"/>
    </xf>
    <xf numFmtId="21" fontId="252" fillId="71" borderId="253" xfId="0" applyNumberFormat="1" applyFont="1" applyFill="1" applyBorder="1"/>
    <xf numFmtId="21" fontId="255" fillId="71" borderId="253" xfId="0" applyNumberFormat="1" applyFont="1" applyFill="1" applyBorder="1" applyAlignment="1">
      <alignment horizontal="center"/>
    </xf>
    <xf numFmtId="0" fontId="252" fillId="71" borderId="256" xfId="0" applyFont="1" applyFill="1" applyBorder="1"/>
    <xf numFmtId="21" fontId="82" fillId="95" borderId="253" xfId="0" applyNumberFormat="1" applyFont="1" applyFill="1" applyBorder="1"/>
    <xf numFmtId="21" fontId="82" fillId="96" borderId="253" xfId="0" applyNumberFormat="1" applyFont="1" applyFill="1" applyBorder="1"/>
    <xf numFmtId="0" fontId="10" fillId="96" borderId="253" xfId="0" applyFont="1" applyFill="1" applyBorder="1"/>
    <xf numFmtId="1" fontId="86" fillId="96" borderId="253" xfId="0" applyNumberFormat="1" applyFont="1" applyFill="1" applyBorder="1" applyAlignment="1">
      <alignment horizontal="center"/>
    </xf>
    <xf numFmtId="0" fontId="251" fillId="101" borderId="169" xfId="0" applyFont="1" applyFill="1" applyBorder="1"/>
    <xf numFmtId="0" fontId="252" fillId="98" borderId="253" xfId="0" applyFont="1" applyFill="1" applyBorder="1"/>
    <xf numFmtId="21" fontId="252" fillId="98" borderId="253" xfId="0" applyNumberFormat="1" applyFont="1" applyFill="1" applyBorder="1"/>
    <xf numFmtId="176" fontId="254" fillId="71" borderId="253" xfId="0" applyNumberFormat="1" applyFont="1" applyFill="1" applyBorder="1"/>
    <xf numFmtId="21" fontId="255" fillId="71" borderId="0" xfId="0" applyNumberFormat="1" applyFont="1" applyFill="1" applyAlignment="1">
      <alignment horizontal="center"/>
    </xf>
    <xf numFmtId="0" fontId="251" fillId="151" borderId="253" xfId="0" applyFont="1" applyFill="1" applyBorder="1"/>
    <xf numFmtId="21" fontId="252" fillId="151" borderId="253" xfId="0" applyNumberFormat="1" applyFont="1" applyFill="1" applyBorder="1"/>
    <xf numFmtId="0" fontId="256" fillId="151" borderId="253" xfId="0" applyFont="1" applyFill="1" applyBorder="1" applyAlignment="1">
      <alignment horizontal="left"/>
    </xf>
    <xf numFmtId="21" fontId="255" fillId="151" borderId="253" xfId="0" applyNumberFormat="1" applyFont="1" applyFill="1" applyBorder="1" applyAlignment="1">
      <alignment horizontal="center"/>
    </xf>
    <xf numFmtId="1" fontId="256" fillId="151" borderId="253" xfId="0" applyNumberFormat="1" applyFont="1" applyFill="1" applyBorder="1" applyAlignment="1">
      <alignment horizontal="center"/>
    </xf>
    <xf numFmtId="0" fontId="251" fillId="151" borderId="225" xfId="0" applyFont="1" applyFill="1" applyBorder="1"/>
    <xf numFmtId="0" fontId="256" fillId="71" borderId="253" xfId="0" applyFont="1" applyFill="1" applyBorder="1" applyAlignment="1">
      <alignment horizontal="left"/>
    </xf>
    <xf numFmtId="0" fontId="2" fillId="95" borderId="253" xfId="0" applyFont="1" applyFill="1" applyBorder="1"/>
    <xf numFmtId="21" fontId="85" fillId="95" borderId="253" xfId="0" applyNumberFormat="1" applyFont="1" applyFill="1" applyBorder="1" applyAlignment="1">
      <alignment horizontal="center"/>
    </xf>
    <xf numFmtId="1" fontId="86" fillId="95" borderId="253" xfId="0" applyNumberFormat="1" applyFont="1" applyFill="1" applyBorder="1" applyAlignment="1">
      <alignment horizontal="center"/>
    </xf>
    <xf numFmtId="1" fontId="171" fillId="0" borderId="79" xfId="0" applyNumberFormat="1" applyFont="1" applyBorder="1"/>
    <xf numFmtId="0" fontId="314" fillId="150" borderId="97" xfId="0" applyFont="1" applyFill="1" applyBorder="1" applyAlignment="1">
      <alignment horizontal="center"/>
    </xf>
    <xf numFmtId="21" fontId="319" fillId="153" borderId="253" xfId="0" applyNumberFormat="1" applyFont="1" applyFill="1" applyBorder="1"/>
    <xf numFmtId="21" fontId="86" fillId="153" borderId="253" xfId="0" applyNumberFormat="1" applyFont="1" applyFill="1" applyBorder="1" applyAlignment="1">
      <alignment horizontal="center"/>
    </xf>
    <xf numFmtId="0" fontId="314" fillId="0" borderId="12" xfId="0" applyFont="1" applyBorder="1" applyAlignment="1">
      <alignment horizontal="center"/>
    </xf>
    <xf numFmtId="0" fontId="314" fillId="0" borderId="97" xfId="0" applyFont="1" applyBorder="1" applyAlignment="1">
      <alignment horizontal="center"/>
    </xf>
    <xf numFmtId="1" fontId="19" fillId="97" borderId="253" xfId="0" applyNumberFormat="1" applyFont="1" applyFill="1" applyBorder="1"/>
    <xf numFmtId="0" fontId="19" fillId="97" borderId="253" xfId="0" applyFont="1" applyFill="1" applyBorder="1"/>
    <xf numFmtId="21" fontId="19" fillId="97" borderId="253" xfId="0" applyNumberFormat="1" applyFont="1" applyFill="1" applyBorder="1"/>
    <xf numFmtId="0" fontId="10" fillId="97" borderId="253" xfId="0" applyFont="1" applyFill="1" applyBorder="1"/>
    <xf numFmtId="166" fontId="19" fillId="97" borderId="253" xfId="0" applyNumberFormat="1" applyFont="1" applyFill="1" applyBorder="1"/>
    <xf numFmtId="21" fontId="86" fillId="97" borderId="253" xfId="0" applyNumberFormat="1" applyFont="1" applyFill="1" applyBorder="1" applyAlignment="1">
      <alignment horizontal="center"/>
    </xf>
    <xf numFmtId="0" fontId="86" fillId="97" borderId="253" xfId="0" applyFont="1" applyFill="1" applyBorder="1" applyAlignment="1">
      <alignment horizontal="center"/>
    </xf>
    <xf numFmtId="0" fontId="86" fillId="95" borderId="253" xfId="0" applyFont="1" applyFill="1" applyBorder="1"/>
    <xf numFmtId="0" fontId="2" fillId="3" borderId="0" xfId="0" applyFont="1" applyFill="1"/>
    <xf numFmtId="0" fontId="9" fillId="3" borderId="0" xfId="0" applyFont="1" applyFill="1" applyAlignment="1">
      <alignment horizontal="left" vertical="center"/>
    </xf>
    <xf numFmtId="0" fontId="9" fillId="3" borderId="0" xfId="0" applyFont="1" applyFill="1" applyAlignment="1">
      <alignment horizontal="center" vertical="center"/>
    </xf>
    <xf numFmtId="21" fontId="1" fillId="3" borderId="0" xfId="0" applyNumberFormat="1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166" fontId="109" fillId="3" borderId="0" xfId="0" applyNumberFormat="1" applyFont="1" applyFill="1" applyAlignment="1">
      <alignment horizontal="center"/>
    </xf>
    <xf numFmtId="3" fontId="5" fillId="3" borderId="0" xfId="0" applyNumberFormat="1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66" fillId="3" borderId="0" xfId="0" applyFont="1" applyFill="1" applyAlignment="1">
      <alignment horizontal="left"/>
    </xf>
    <xf numFmtId="0" fontId="16" fillId="3" borderId="0" xfId="0" applyFont="1" applyFill="1"/>
    <xf numFmtId="0" fontId="56" fillId="3" borderId="0" xfId="0" applyFont="1" applyFill="1" applyAlignment="1">
      <alignment horizontal="center"/>
    </xf>
    <xf numFmtId="0" fontId="51" fillId="3" borderId="0" xfId="0" applyFont="1" applyFill="1" applyAlignment="1">
      <alignment horizontal="left"/>
    </xf>
    <xf numFmtId="3" fontId="9" fillId="3" borderId="249" xfId="0" applyNumberFormat="1" applyFont="1" applyFill="1" applyBorder="1" applyAlignment="1">
      <alignment horizontal="center" textRotation="90"/>
    </xf>
    <xf numFmtId="0" fontId="9" fillId="3" borderId="250" xfId="4" applyFont="1" applyFill="1" applyBorder="1" applyAlignment="1">
      <alignment horizontal="center" textRotation="90"/>
    </xf>
    <xf numFmtId="0" fontId="9" fillId="24" borderId="250" xfId="4" applyFont="1" applyFill="1" applyBorder="1" applyAlignment="1">
      <alignment horizontal="center" textRotation="90"/>
    </xf>
    <xf numFmtId="0" fontId="9" fillId="22" borderId="250" xfId="4" applyFont="1" applyFill="1" applyBorder="1" applyAlignment="1">
      <alignment horizontal="center" textRotation="90"/>
    </xf>
    <xf numFmtId="0" fontId="9" fillId="25" borderId="250" xfId="4" applyFont="1" applyFill="1" applyBorder="1" applyAlignment="1">
      <alignment horizontal="center" textRotation="90"/>
    </xf>
    <xf numFmtId="0" fontId="9" fillId="23" borderId="250" xfId="4" applyFont="1" applyFill="1" applyBorder="1" applyAlignment="1">
      <alignment horizontal="center" textRotation="90"/>
    </xf>
    <xf numFmtId="0" fontId="8" fillId="27" borderId="250" xfId="4" applyFont="1" applyFill="1" applyBorder="1" applyAlignment="1">
      <alignment horizontal="center" textRotation="90"/>
    </xf>
    <xf numFmtId="0" fontId="8" fillId="26" borderId="250" xfId="4" applyFont="1" applyFill="1" applyBorder="1" applyAlignment="1">
      <alignment horizontal="center" textRotation="90"/>
    </xf>
    <xf numFmtId="0" fontId="8" fillId="3" borderId="0" xfId="0" applyFont="1" applyFill="1"/>
    <xf numFmtId="45" fontId="77" fillId="3" borderId="0" xfId="0" applyNumberFormat="1" applyFont="1" applyFill="1" applyAlignment="1">
      <alignment horizontal="left"/>
    </xf>
    <xf numFmtId="0" fontId="77" fillId="3" borderId="0" xfId="0" applyFont="1" applyFill="1" applyAlignment="1">
      <alignment horizontal="center"/>
    </xf>
    <xf numFmtId="0" fontId="10" fillId="3" borderId="0" xfId="0" applyFont="1" applyFill="1"/>
    <xf numFmtId="3" fontId="9" fillId="3" borderId="212" xfId="0" applyNumberFormat="1" applyFont="1" applyFill="1" applyBorder="1" applyAlignment="1">
      <alignment horizontal="center" textRotation="90"/>
    </xf>
    <xf numFmtId="0" fontId="131" fillId="13" borderId="60" xfId="0" applyFont="1" applyFill="1" applyBorder="1" applyAlignment="1">
      <alignment horizontal="center"/>
    </xf>
    <xf numFmtId="3" fontId="5" fillId="3" borderId="252" xfId="0" applyNumberFormat="1" applyFont="1" applyFill="1" applyBorder="1" applyAlignment="1">
      <alignment horizontal="center"/>
    </xf>
    <xf numFmtId="168" fontId="10" fillId="8" borderId="32" xfId="7" applyNumberFormat="1" applyFont="1" applyFill="1" applyBorder="1"/>
    <xf numFmtId="166" fontId="7" fillId="3" borderId="71" xfId="0" applyNumberFormat="1" applyFont="1" applyFill="1" applyBorder="1" applyAlignment="1">
      <alignment horizontal="center"/>
    </xf>
    <xf numFmtId="21" fontId="7" fillId="3" borderId="71" xfId="0" applyNumberFormat="1" applyFont="1" applyFill="1" applyBorder="1" applyAlignment="1">
      <alignment horizontal="center"/>
    </xf>
    <xf numFmtId="166" fontId="8" fillId="24" borderId="0" xfId="0" applyNumberFormat="1" applyFont="1" applyFill="1" applyAlignment="1" applyProtection="1">
      <alignment horizontal="center"/>
      <protection locked="0" hidden="1"/>
    </xf>
    <xf numFmtId="166" fontId="9" fillId="22" borderId="0" xfId="0" applyNumberFormat="1" applyFont="1" applyFill="1" applyAlignment="1" applyProtection="1">
      <alignment horizontal="center"/>
      <protection locked="0" hidden="1"/>
    </xf>
    <xf numFmtId="166" fontId="9" fillId="25" borderId="0" xfId="0" applyNumberFormat="1" applyFont="1" applyFill="1" applyAlignment="1" applyProtection="1">
      <alignment horizontal="center"/>
      <protection locked="0" hidden="1"/>
    </xf>
    <xf numFmtId="166" fontId="9" fillId="23" borderId="0" xfId="0" applyNumberFormat="1" applyFont="1" applyFill="1" applyAlignment="1" applyProtection="1">
      <alignment horizontal="center"/>
      <protection locked="0" hidden="1"/>
    </xf>
    <xf numFmtId="166" fontId="8" fillId="31" borderId="0" xfId="0" applyNumberFormat="1" applyFont="1" applyFill="1" applyAlignment="1" applyProtection="1">
      <alignment horizontal="center"/>
      <protection locked="0" hidden="1"/>
    </xf>
    <xf numFmtId="166" fontId="8" fillId="26" borderId="0" xfId="0" applyNumberFormat="1" applyFont="1" applyFill="1" applyAlignment="1" applyProtection="1">
      <alignment horizontal="center"/>
      <protection locked="0" hidden="1"/>
    </xf>
    <xf numFmtId="0" fontId="131" fillId="13" borderId="197" xfId="0" applyFont="1" applyFill="1" applyBorder="1" applyAlignment="1">
      <alignment horizontal="center"/>
    </xf>
    <xf numFmtId="21" fontId="86" fillId="40" borderId="38" xfId="0" applyNumberFormat="1" applyFont="1" applyFill="1" applyBorder="1"/>
    <xf numFmtId="21" fontId="2" fillId="0" borderId="0" xfId="0" applyNumberFormat="1" applyFont="1"/>
    <xf numFmtId="1" fontId="7" fillId="3" borderId="0" xfId="0" applyNumberFormat="1" applyFont="1" applyFill="1" applyAlignment="1" applyProtection="1">
      <alignment horizontal="center"/>
      <protection locked="0"/>
    </xf>
    <xf numFmtId="0" fontId="92" fillId="0" borderId="102" xfId="0" applyFont="1" applyBorder="1"/>
    <xf numFmtId="2" fontId="2" fillId="0" borderId="222" xfId="0" applyNumberFormat="1" applyFont="1" applyBorder="1"/>
    <xf numFmtId="0" fontId="2" fillId="0" borderId="222" xfId="0" applyFont="1" applyBorder="1"/>
    <xf numFmtId="0" fontId="71" fillId="0" borderId="222" xfId="0" quotePrefix="1" applyFont="1" applyBorder="1" applyAlignment="1">
      <alignment horizontal="center"/>
    </xf>
    <xf numFmtId="14" fontId="1" fillId="0" borderId="222" xfId="0" applyNumberFormat="1" applyFont="1" applyBorder="1"/>
    <xf numFmtId="0" fontId="1" fillId="13" borderId="222" xfId="0" quotePrefix="1" applyFont="1" applyFill="1" applyBorder="1" applyAlignment="1">
      <alignment horizontal="left"/>
    </xf>
    <xf numFmtId="0" fontId="1" fillId="0" borderId="222" xfId="0" applyFont="1" applyBorder="1" applyAlignment="1">
      <alignment horizontal="left"/>
    </xf>
    <xf numFmtId="0" fontId="1" fillId="0" borderId="222" xfId="0" applyFont="1" applyBorder="1" applyAlignment="1">
      <alignment horizontal="center"/>
    </xf>
    <xf numFmtId="0" fontId="1" fillId="100" borderId="222" xfId="0" quotePrefix="1" applyFont="1" applyFill="1" applyBorder="1" applyAlignment="1">
      <alignment horizontal="center"/>
    </xf>
    <xf numFmtId="0" fontId="86" fillId="14" borderId="222" xfId="0" applyFont="1" applyFill="1" applyBorder="1"/>
    <xf numFmtId="21" fontId="85" fillId="14" borderId="222" xfId="0" quotePrefix="1" applyNumberFormat="1" applyFont="1" applyFill="1" applyBorder="1" applyAlignment="1">
      <alignment horizontal="center"/>
    </xf>
    <xf numFmtId="166" fontId="56" fillId="3" borderId="0" xfId="0" applyNumberFormat="1" applyFont="1" applyFill="1" applyAlignment="1">
      <alignment horizontal="center"/>
    </xf>
    <xf numFmtId="0" fontId="2" fillId="21" borderId="222" xfId="0" applyFont="1" applyFill="1" applyBorder="1"/>
    <xf numFmtId="21" fontId="82" fillId="21" borderId="222" xfId="0" applyNumberFormat="1" applyFont="1" applyFill="1" applyBorder="1"/>
    <xf numFmtId="0" fontId="10" fillId="21" borderId="222" xfId="0" applyFont="1" applyFill="1" applyBorder="1"/>
    <xf numFmtId="21" fontId="85" fillId="21" borderId="222" xfId="0" quotePrefix="1" applyNumberFormat="1" applyFont="1" applyFill="1" applyBorder="1" applyAlignment="1">
      <alignment horizontal="center"/>
    </xf>
    <xf numFmtId="0" fontId="2" fillId="21" borderId="238" xfId="0" applyFont="1" applyFill="1" applyBorder="1"/>
    <xf numFmtId="0" fontId="2" fillId="15" borderId="222" xfId="0" applyFont="1" applyFill="1" applyBorder="1"/>
    <xf numFmtId="21" fontId="2" fillId="15" borderId="222" xfId="0" applyNumberFormat="1" applyFont="1" applyFill="1" applyBorder="1"/>
    <xf numFmtId="0" fontId="10" fillId="15" borderId="222" xfId="0" applyFont="1" applyFill="1" applyBorder="1"/>
    <xf numFmtId="176" fontId="10" fillId="15" borderId="222" xfId="0" applyNumberFormat="1" applyFont="1" applyFill="1" applyBorder="1"/>
    <xf numFmtId="21" fontId="85" fillId="15" borderId="222" xfId="0" quotePrefix="1" applyNumberFormat="1" applyFont="1" applyFill="1" applyBorder="1" applyAlignment="1">
      <alignment horizontal="center"/>
    </xf>
    <xf numFmtId="0" fontId="2" fillId="14" borderId="209" xfId="0" applyFont="1" applyFill="1" applyBorder="1"/>
    <xf numFmtId="166" fontId="99" fillId="19" borderId="209" xfId="0" applyNumberFormat="1" applyFont="1" applyFill="1" applyBorder="1"/>
    <xf numFmtId="0" fontId="8" fillId="33" borderId="209" xfId="0" applyFont="1" applyFill="1" applyBorder="1" applyAlignment="1">
      <alignment horizontal="left"/>
    </xf>
    <xf numFmtId="0" fontId="2" fillId="21" borderId="209" xfId="0" applyFont="1" applyFill="1" applyBorder="1"/>
    <xf numFmtId="0" fontId="2" fillId="21" borderId="210" xfId="0" applyFont="1" applyFill="1" applyBorder="1"/>
    <xf numFmtId="0" fontId="2" fillId="18" borderId="264" xfId="0" applyFont="1" applyFill="1" applyBorder="1"/>
    <xf numFmtId="0" fontId="88" fillId="18" borderId="264" xfId="0" quotePrefix="1" applyFont="1" applyFill="1" applyBorder="1" applyAlignment="1">
      <alignment horizontal="left"/>
    </xf>
    <xf numFmtId="0" fontId="99" fillId="19" borderId="264" xfId="0" applyFont="1" applyFill="1" applyBorder="1"/>
    <xf numFmtId="0" fontId="86" fillId="14" borderId="209" xfId="0" quotePrefix="1" applyFont="1" applyFill="1" applyBorder="1" applyAlignment="1">
      <alignment horizontal="left"/>
    </xf>
    <xf numFmtId="0" fontId="16" fillId="30" borderId="264" xfId="0" applyFont="1" applyFill="1" applyBorder="1"/>
    <xf numFmtId="0" fontId="8" fillId="30" borderId="264" xfId="0" applyFont="1" applyFill="1" applyBorder="1"/>
    <xf numFmtId="0" fontId="131" fillId="0" borderId="12" xfId="0" applyFont="1" applyBorder="1" applyAlignment="1">
      <alignment horizontal="center"/>
    </xf>
    <xf numFmtId="0" fontId="131" fillId="56" borderId="196" xfId="0" applyFont="1" applyFill="1" applyBorder="1" applyAlignment="1">
      <alignment horizontal="center"/>
    </xf>
    <xf numFmtId="0" fontId="2" fillId="0" borderId="79" xfId="0" applyFont="1" applyBorder="1"/>
    <xf numFmtId="0" fontId="131" fillId="0" borderId="189" xfId="0" applyFont="1" applyBorder="1" applyAlignment="1">
      <alignment horizontal="center"/>
    </xf>
    <xf numFmtId="0" fontId="131" fillId="0" borderId="194" xfId="0" applyFont="1" applyBorder="1" applyAlignment="1">
      <alignment horizontal="center"/>
    </xf>
    <xf numFmtId="0" fontId="1" fillId="0" borderId="190" xfId="0" applyFont="1" applyBorder="1" applyAlignment="1">
      <alignment horizontal="center"/>
    </xf>
    <xf numFmtId="0" fontId="2" fillId="0" borderId="194" xfId="0" applyFont="1" applyBorder="1"/>
    <xf numFmtId="0" fontId="131" fillId="0" borderId="102" xfId="0" applyFont="1" applyBorder="1" applyAlignment="1">
      <alignment horizontal="center"/>
    </xf>
    <xf numFmtId="21" fontId="2" fillId="49" borderId="208" xfId="0" applyNumberFormat="1" applyFont="1" applyFill="1" applyBorder="1"/>
    <xf numFmtId="0" fontId="2" fillId="28" borderId="209" xfId="0" applyFont="1" applyFill="1" applyBorder="1"/>
    <xf numFmtId="21" fontId="2" fillId="28" borderId="209" xfId="0" applyNumberFormat="1" applyFont="1" applyFill="1" applyBorder="1"/>
    <xf numFmtId="0" fontId="85" fillId="28" borderId="209" xfId="0" applyFont="1" applyFill="1" applyBorder="1" applyAlignment="1">
      <alignment horizontal="center"/>
    </xf>
    <xf numFmtId="0" fontId="2" fillId="28" borderId="210" xfId="0" applyFont="1" applyFill="1" applyBorder="1"/>
    <xf numFmtId="0" fontId="86" fillId="14" borderId="267" xfId="0" applyFont="1" applyFill="1" applyBorder="1"/>
    <xf numFmtId="0" fontId="85" fillId="14" borderId="80" xfId="0" applyFont="1" applyFill="1" applyBorder="1"/>
    <xf numFmtId="0" fontId="85" fillId="14" borderId="80" xfId="0" quotePrefix="1" applyFont="1" applyFill="1" applyBorder="1" applyAlignment="1">
      <alignment horizontal="left"/>
    </xf>
    <xf numFmtId="0" fontId="85" fillId="14" borderId="80" xfId="0" applyFont="1" applyFill="1" applyBorder="1" applyAlignment="1">
      <alignment horizontal="center"/>
    </xf>
    <xf numFmtId="0" fontId="85" fillId="14" borderId="136" xfId="0" quotePrefix="1" applyFont="1" applyFill="1" applyBorder="1" applyAlignment="1">
      <alignment horizontal="center"/>
    </xf>
    <xf numFmtId="21" fontId="81" fillId="14" borderId="208" xfId="0" applyNumberFormat="1" applyFont="1" applyFill="1" applyBorder="1"/>
    <xf numFmtId="0" fontId="2" fillId="40" borderId="209" xfId="0" applyFont="1" applyFill="1" applyBorder="1"/>
    <xf numFmtId="21" fontId="82" fillId="40" borderId="209" xfId="0" applyNumberFormat="1" applyFont="1" applyFill="1" applyBorder="1"/>
    <xf numFmtId="0" fontId="19" fillId="40" borderId="209" xfId="0" applyFont="1" applyFill="1" applyBorder="1"/>
    <xf numFmtId="0" fontId="85" fillId="40" borderId="209" xfId="0" applyFont="1" applyFill="1" applyBorder="1" applyAlignment="1">
      <alignment horizontal="left"/>
    </xf>
    <xf numFmtId="0" fontId="2" fillId="40" borderId="210" xfId="0" applyFont="1" applyFill="1" applyBorder="1"/>
    <xf numFmtId="0" fontId="54" fillId="3" borderId="0" xfId="0" applyFont="1" applyFill="1"/>
    <xf numFmtId="0" fontId="19" fillId="3" borderId="0" xfId="0" applyFont="1" applyFill="1"/>
    <xf numFmtId="21" fontId="87" fillId="50" borderId="208" xfId="0" applyNumberFormat="1" applyFont="1" applyFill="1" applyBorder="1"/>
    <xf numFmtId="0" fontId="87" fillId="50" borderId="209" xfId="0" applyFont="1" applyFill="1" applyBorder="1"/>
    <xf numFmtId="21" fontId="89" fillId="50" borderId="209" xfId="0" applyNumberFormat="1" applyFont="1" applyFill="1" applyBorder="1"/>
    <xf numFmtId="0" fontId="87" fillId="50" borderId="209" xfId="0" quotePrefix="1" applyFont="1" applyFill="1" applyBorder="1" applyAlignment="1">
      <alignment horizontal="left"/>
    </xf>
    <xf numFmtId="0" fontId="152" fillId="50" borderId="209" xfId="0" quotePrefix="1" applyFont="1" applyFill="1" applyBorder="1" applyAlignment="1">
      <alignment horizontal="left"/>
    </xf>
    <xf numFmtId="0" fontId="89" fillId="50" borderId="209" xfId="0" quotePrefix="1" applyFont="1" applyFill="1" applyBorder="1" applyAlignment="1">
      <alignment horizontal="left"/>
    </xf>
    <xf numFmtId="0" fontId="92" fillId="50" borderId="209" xfId="0" quotePrefix="1" applyFont="1" applyFill="1" applyBorder="1" applyAlignment="1">
      <alignment horizontal="left"/>
    </xf>
    <xf numFmtId="0" fontId="89" fillId="50" borderId="210" xfId="0" applyFont="1" applyFill="1" applyBorder="1"/>
    <xf numFmtId="0" fontId="19" fillId="21" borderId="209" xfId="0" applyFont="1" applyFill="1" applyBorder="1"/>
    <xf numFmtId="0" fontId="85" fillId="21" borderId="209" xfId="0" quotePrefix="1" applyFont="1" applyFill="1" applyBorder="1" applyAlignment="1">
      <alignment horizontal="left"/>
    </xf>
    <xf numFmtId="21" fontId="87" fillId="50" borderId="0" xfId="0" applyNumberFormat="1" applyFont="1" applyFill="1"/>
    <xf numFmtId="0" fontId="87" fillId="50" borderId="0" xfId="0" applyFont="1" applyFill="1"/>
    <xf numFmtId="21" fontId="89" fillId="50" borderId="0" xfId="0" applyNumberFormat="1" applyFont="1" applyFill="1"/>
    <xf numFmtId="0" fontId="145" fillId="50" borderId="0" xfId="0" quotePrefix="1" applyFont="1" applyFill="1" applyAlignment="1">
      <alignment horizontal="left"/>
    </xf>
    <xf numFmtId="0" fontId="84" fillId="50" borderId="0" xfId="0" quotePrefix="1" applyFont="1" applyFill="1" applyAlignment="1">
      <alignment horizontal="left"/>
    </xf>
    <xf numFmtId="0" fontId="92" fillId="50" borderId="0" xfId="0" quotePrefix="1" applyFont="1" applyFill="1" applyAlignment="1">
      <alignment horizontal="left"/>
    </xf>
    <xf numFmtId="21" fontId="92" fillId="50" borderId="209" xfId="0" applyNumberFormat="1" applyFont="1" applyFill="1" applyBorder="1"/>
    <xf numFmtId="21" fontId="92" fillId="50" borderId="0" xfId="0" applyNumberFormat="1" applyFont="1" applyFill="1"/>
    <xf numFmtId="0" fontId="92" fillId="50" borderId="0" xfId="0" quotePrefix="1" applyFont="1" applyFill="1" applyAlignment="1">
      <alignment horizontal="center"/>
    </xf>
    <xf numFmtId="0" fontId="92" fillId="50" borderId="102" xfId="0" applyFont="1" applyFill="1" applyBorder="1"/>
    <xf numFmtId="0" fontId="11" fillId="3" borderId="0" xfId="0" applyFont="1" applyFill="1"/>
    <xf numFmtId="0" fontId="77" fillId="0" borderId="0" xfId="0" applyFont="1"/>
    <xf numFmtId="45" fontId="77" fillId="3" borderId="0" xfId="0" applyNumberFormat="1" applyFont="1" applyFill="1" applyAlignment="1">
      <alignment horizontal="center"/>
    </xf>
    <xf numFmtId="21" fontId="81" fillId="34" borderId="208" xfId="0" applyNumberFormat="1" applyFont="1" applyFill="1" applyBorder="1"/>
    <xf numFmtId="0" fontId="2" fillId="34" borderId="209" xfId="0" applyFont="1" applyFill="1" applyBorder="1"/>
    <xf numFmtId="21" fontId="82" fillId="34" borderId="209" xfId="0" applyNumberFormat="1" applyFont="1" applyFill="1" applyBorder="1"/>
    <xf numFmtId="0" fontId="2" fillId="34" borderId="209" xfId="0" quotePrefix="1" applyFont="1" applyFill="1" applyBorder="1" applyAlignment="1">
      <alignment horizontal="left"/>
    </xf>
    <xf numFmtId="0" fontId="19" fillId="34" borderId="209" xfId="0" quotePrefix="1" applyFont="1" applyFill="1" applyBorder="1" applyAlignment="1">
      <alignment horizontal="left"/>
    </xf>
    <xf numFmtId="0" fontId="85" fillId="34" borderId="209" xfId="0" quotePrefix="1" applyFont="1" applyFill="1" applyBorder="1" applyAlignment="1">
      <alignment horizontal="center"/>
    </xf>
    <xf numFmtId="0" fontId="85" fillId="34" borderId="209" xfId="0" quotePrefix="1" applyFont="1" applyFill="1" applyBorder="1" applyAlignment="1">
      <alignment horizontal="left"/>
    </xf>
    <xf numFmtId="0" fontId="2" fillId="34" borderId="210" xfId="0" applyFont="1" applyFill="1" applyBorder="1"/>
    <xf numFmtId="21" fontId="81" fillId="19" borderId="208" xfId="0" applyNumberFormat="1" applyFont="1" applyFill="1" applyBorder="1"/>
    <xf numFmtId="0" fontId="2" fillId="19" borderId="209" xfId="0" applyFont="1" applyFill="1" applyBorder="1"/>
    <xf numFmtId="21" fontId="82" fillId="19" borderId="209" xfId="0" applyNumberFormat="1" applyFont="1" applyFill="1" applyBorder="1"/>
    <xf numFmtId="21" fontId="2" fillId="19" borderId="209" xfId="0" applyNumberFormat="1" applyFont="1" applyFill="1" applyBorder="1"/>
    <xf numFmtId="0" fontId="19" fillId="19" borderId="209" xfId="0" applyFont="1" applyFill="1" applyBorder="1"/>
    <xf numFmtId="0" fontId="85" fillId="19" borderId="209" xfId="0" applyFont="1" applyFill="1" applyBorder="1" applyAlignment="1">
      <alignment horizontal="center"/>
    </xf>
    <xf numFmtId="0" fontId="2" fillId="19" borderId="210" xfId="0" applyFont="1" applyFill="1" applyBorder="1"/>
    <xf numFmtId="21" fontId="2" fillId="14" borderId="209" xfId="0" applyNumberFormat="1" applyFont="1" applyFill="1" applyBorder="1"/>
    <xf numFmtId="0" fontId="85" fillId="14" borderId="209" xfId="0" applyFont="1" applyFill="1" applyBorder="1" applyAlignment="1">
      <alignment horizontal="center"/>
    </xf>
    <xf numFmtId="0" fontId="2" fillId="14" borderId="210" xfId="0" applyFont="1" applyFill="1" applyBorder="1"/>
    <xf numFmtId="0" fontId="131" fillId="0" borderId="196" xfId="0" applyFont="1" applyBorder="1" applyAlignment="1">
      <alignment horizontal="center"/>
    </xf>
    <xf numFmtId="0" fontId="131" fillId="0" borderId="113" xfId="0" applyFont="1" applyBorder="1" applyAlignment="1">
      <alignment horizontal="center"/>
    </xf>
    <xf numFmtId="0" fontId="2" fillId="0" borderId="196" xfId="0" applyFont="1" applyBorder="1"/>
    <xf numFmtId="0" fontId="19" fillId="0" borderId="79" xfId="0" applyFont="1" applyBorder="1"/>
    <xf numFmtId="21" fontId="1" fillId="14" borderId="265" xfId="0" applyNumberFormat="1" applyFont="1" applyFill="1" applyBorder="1"/>
    <xf numFmtId="0" fontId="131" fillId="56" borderId="189" xfId="0" applyFont="1" applyFill="1" applyBorder="1" applyAlignment="1">
      <alignment horizontal="center"/>
    </xf>
    <xf numFmtId="0" fontId="131" fillId="56" borderId="194" xfId="0" applyFont="1" applyFill="1" applyBorder="1" applyAlignment="1">
      <alignment horizontal="center"/>
    </xf>
    <xf numFmtId="0" fontId="71" fillId="14" borderId="190" xfId="0" applyFont="1" applyFill="1" applyBorder="1"/>
    <xf numFmtId="0" fontId="2" fillId="14" borderId="190" xfId="0" applyFont="1" applyFill="1" applyBorder="1"/>
    <xf numFmtId="0" fontId="1" fillId="14" borderId="190" xfId="0" quotePrefix="1" applyFont="1" applyFill="1" applyBorder="1" applyAlignment="1">
      <alignment horizontal="left"/>
    </xf>
    <xf numFmtId="14" fontId="10" fillId="0" borderId="190" xfId="0" applyNumberFormat="1" applyFont="1" applyBorder="1"/>
    <xf numFmtId="0" fontId="1" fillId="51" borderId="190" xfId="0" applyFont="1" applyFill="1" applyBorder="1"/>
    <xf numFmtId="0" fontId="10" fillId="90" borderId="190" xfId="0" applyFont="1" applyFill="1" applyBorder="1" applyAlignment="1">
      <alignment horizontal="center"/>
    </xf>
    <xf numFmtId="171" fontId="82" fillId="14" borderId="190" xfId="0" applyNumberFormat="1" applyFont="1" applyFill="1" applyBorder="1"/>
    <xf numFmtId="0" fontId="1" fillId="14" borderId="190" xfId="0" applyFont="1" applyFill="1" applyBorder="1" applyAlignment="1">
      <alignment horizontal="center"/>
    </xf>
    <xf numFmtId="0" fontId="2" fillId="14" borderId="194" xfId="0" applyFont="1" applyFill="1" applyBorder="1"/>
    <xf numFmtId="0" fontId="131" fillId="56" borderId="102" xfId="0" applyFont="1" applyFill="1" applyBorder="1" applyAlignment="1">
      <alignment horizontal="center"/>
    </xf>
    <xf numFmtId="0" fontId="131" fillId="56" borderId="12" xfId="0" applyFont="1" applyFill="1" applyBorder="1" applyAlignment="1">
      <alignment horizontal="center"/>
    </xf>
    <xf numFmtId="21" fontId="82" fillId="49" borderId="208" xfId="0" applyNumberFormat="1" applyFont="1" applyFill="1" applyBorder="1"/>
    <xf numFmtId="0" fontId="82" fillId="28" borderId="209" xfId="0" applyFont="1" applyFill="1" applyBorder="1"/>
    <xf numFmtId="21" fontId="82" fillId="28" borderId="209" xfId="0" applyNumberFormat="1" applyFont="1" applyFill="1" applyBorder="1"/>
    <xf numFmtId="0" fontId="82" fillId="28" borderId="209" xfId="0" applyFont="1" applyFill="1" applyBorder="1" applyAlignment="1">
      <alignment horizontal="left"/>
    </xf>
    <xf numFmtId="0" fontId="81" fillId="28" borderId="209" xfId="0" applyFont="1" applyFill="1" applyBorder="1" applyAlignment="1">
      <alignment horizontal="left"/>
    </xf>
    <xf numFmtId="0" fontId="82" fillId="28" borderId="209" xfId="0" quotePrefix="1" applyFont="1" applyFill="1" applyBorder="1" applyAlignment="1">
      <alignment horizontal="left"/>
    </xf>
    <xf numFmtId="0" fontId="82" fillId="28" borderId="210" xfId="0" applyFont="1" applyFill="1" applyBorder="1"/>
    <xf numFmtId="0" fontId="19" fillId="28" borderId="209" xfId="0" applyFont="1" applyFill="1" applyBorder="1" applyAlignment="1">
      <alignment horizontal="left"/>
    </xf>
    <xf numFmtId="0" fontId="2" fillId="28" borderId="209" xfId="0" applyFont="1" applyFill="1" applyBorder="1" applyAlignment="1">
      <alignment horizontal="left"/>
    </xf>
    <xf numFmtId="21" fontId="87" fillId="52" borderId="208" xfId="0" applyNumberFormat="1" applyFont="1" applyFill="1" applyBorder="1"/>
    <xf numFmtId="0" fontId="87" fillId="52" borderId="209" xfId="0" applyFont="1" applyFill="1" applyBorder="1"/>
    <xf numFmtId="0" fontId="244" fillId="52" borderId="209" xfId="0" applyFont="1" applyFill="1" applyBorder="1"/>
    <xf numFmtId="21" fontId="89" fillId="52" borderId="209" xfId="0" applyNumberFormat="1" applyFont="1" applyFill="1" applyBorder="1"/>
    <xf numFmtId="0" fontId="92" fillId="52" borderId="209" xfId="0" applyFont="1" applyFill="1" applyBorder="1" applyAlignment="1">
      <alignment horizontal="justify"/>
    </xf>
    <xf numFmtId="0" fontId="152" fillId="52" borderId="209" xfId="0" applyFont="1" applyFill="1" applyBorder="1" applyAlignment="1">
      <alignment horizontal="justify"/>
    </xf>
    <xf numFmtId="0" fontId="89" fillId="52" borderId="209" xfId="0" quotePrefix="1" applyFont="1" applyFill="1" applyBorder="1" applyAlignment="1">
      <alignment horizontal="left"/>
    </xf>
    <xf numFmtId="0" fontId="92" fillId="52" borderId="209" xfId="0" quotePrefix="1" applyFont="1" applyFill="1" applyBorder="1" applyAlignment="1">
      <alignment horizontal="left"/>
    </xf>
    <xf numFmtId="0" fontId="89" fillId="52" borderId="210" xfId="0" applyFont="1" applyFill="1" applyBorder="1"/>
    <xf numFmtId="21" fontId="146" fillId="53" borderId="208" xfId="0" applyNumberFormat="1" applyFont="1" applyFill="1" applyBorder="1"/>
    <xf numFmtId="0" fontId="146" fillId="53" borderId="209" xfId="0" applyFont="1" applyFill="1" applyBorder="1"/>
    <xf numFmtId="21" fontId="99" fillId="53" borderId="209" xfId="0" applyNumberFormat="1" applyFont="1" applyFill="1" applyBorder="1"/>
    <xf numFmtId="0" fontId="106" fillId="53" borderId="209" xfId="0" quotePrefix="1" applyFont="1" applyFill="1" applyBorder="1" applyAlignment="1">
      <alignment horizontal="justify"/>
    </xf>
    <xf numFmtId="0" fontId="160" fillId="53" borderId="209" xfId="0" quotePrefix="1" applyFont="1" applyFill="1" applyBorder="1" applyAlignment="1">
      <alignment horizontal="justify"/>
    </xf>
    <xf numFmtId="0" fontId="99" fillId="53" borderId="209" xfId="0" quotePrefix="1" applyFont="1" applyFill="1" applyBorder="1" applyAlignment="1">
      <alignment horizontal="left"/>
    </xf>
    <xf numFmtId="0" fontId="100" fillId="53" borderId="209" xfId="0" quotePrefix="1" applyFont="1" applyFill="1" applyBorder="1" applyAlignment="1">
      <alignment horizontal="left"/>
    </xf>
    <xf numFmtId="0" fontId="99" fillId="53" borderId="210" xfId="0" applyFont="1" applyFill="1" applyBorder="1"/>
    <xf numFmtId="21" fontId="2" fillId="14" borderId="208" xfId="0" applyNumberFormat="1" applyFont="1" applyFill="1" applyBorder="1"/>
    <xf numFmtId="0" fontId="19" fillId="14" borderId="209" xfId="0" applyFont="1" applyFill="1" applyBorder="1" applyAlignment="1">
      <alignment horizontal="left"/>
    </xf>
    <xf numFmtId="0" fontId="2" fillId="14" borderId="209" xfId="0" quotePrefix="1" applyFont="1" applyFill="1" applyBorder="1" applyAlignment="1">
      <alignment horizontal="left"/>
    </xf>
    <xf numFmtId="46" fontId="1" fillId="0" borderId="79" xfId="0" applyNumberFormat="1" applyFont="1" applyBorder="1"/>
    <xf numFmtId="46" fontId="2" fillId="0" borderId="79" xfId="0" applyNumberFormat="1" applyFont="1" applyBorder="1"/>
    <xf numFmtId="0" fontId="71" fillId="14" borderId="190" xfId="0" quotePrefix="1" applyFont="1" applyFill="1" applyBorder="1" applyAlignment="1">
      <alignment horizontal="left"/>
    </xf>
    <xf numFmtId="0" fontId="1" fillId="0" borderId="190" xfId="0" applyFont="1" applyBorder="1"/>
    <xf numFmtId="0" fontId="10" fillId="0" borderId="190" xfId="0" applyFont="1" applyBorder="1"/>
    <xf numFmtId="0" fontId="147" fillId="28" borderId="209" xfId="0" applyFont="1" applyFill="1" applyBorder="1"/>
    <xf numFmtId="0" fontId="81" fillId="28" borderId="209" xfId="0" applyFont="1" applyFill="1" applyBorder="1"/>
    <xf numFmtId="21" fontId="2" fillId="19" borderId="208" xfId="0" applyNumberFormat="1" applyFont="1" applyFill="1" applyBorder="1"/>
    <xf numFmtId="166" fontId="252" fillId="71" borderId="209" xfId="0" applyNumberFormat="1" applyFont="1" applyFill="1" applyBorder="1"/>
    <xf numFmtId="21" fontId="87" fillId="50" borderId="209" xfId="0" applyNumberFormat="1" applyFont="1" applyFill="1" applyBorder="1"/>
    <xf numFmtId="0" fontId="152" fillId="50" borderId="209" xfId="0" applyFont="1" applyFill="1" applyBorder="1"/>
    <xf numFmtId="0" fontId="89" fillId="50" borderId="209" xfId="0" applyFont="1" applyFill="1" applyBorder="1"/>
    <xf numFmtId="21" fontId="2" fillId="48" borderId="208" xfId="0" applyNumberFormat="1" applyFont="1" applyFill="1" applyBorder="1"/>
    <xf numFmtId="0" fontId="2" fillId="14" borderId="208" xfId="0" applyFont="1" applyFill="1" applyBorder="1"/>
    <xf numFmtId="0" fontId="1" fillId="14" borderId="209" xfId="0" applyFont="1" applyFill="1" applyBorder="1" applyAlignment="1">
      <alignment horizontal="left"/>
    </xf>
    <xf numFmtId="0" fontId="10" fillId="14" borderId="209" xfId="0" applyFont="1" applyFill="1" applyBorder="1" applyAlignment="1">
      <alignment horizontal="left"/>
    </xf>
    <xf numFmtId="21" fontId="1" fillId="14" borderId="209" xfId="0" applyNumberFormat="1" applyFont="1" applyFill="1" applyBorder="1"/>
    <xf numFmtId="0" fontId="1" fillId="14" borderId="210" xfId="0" applyFont="1" applyFill="1" applyBorder="1"/>
    <xf numFmtId="0" fontId="56" fillId="3" borderId="0" xfId="0" applyFont="1" applyFill="1"/>
    <xf numFmtId="21" fontId="11" fillId="3" borderId="0" xfId="0" applyNumberFormat="1" applyFont="1" applyFill="1"/>
    <xf numFmtId="21" fontId="55" fillId="3" borderId="0" xfId="0" applyNumberFormat="1" applyFont="1" applyFill="1" applyAlignment="1">
      <alignment horizontal="center"/>
    </xf>
    <xf numFmtId="0" fontId="55" fillId="3" borderId="0" xfId="0" applyFont="1" applyFill="1" applyAlignment="1">
      <alignment horizontal="center"/>
    </xf>
    <xf numFmtId="166" fontId="77" fillId="3" borderId="0" xfId="0" applyNumberFormat="1" applyFont="1" applyFill="1" applyAlignment="1">
      <alignment horizontal="center"/>
    </xf>
    <xf numFmtId="21" fontId="11" fillId="3" borderId="0" xfId="0" applyNumberFormat="1" applyFont="1" applyFill="1" applyAlignment="1">
      <alignment horizontal="center"/>
    </xf>
    <xf numFmtId="0" fontId="11" fillId="3" borderId="0" xfId="0" applyFont="1" applyFill="1" applyAlignment="1">
      <alignment horizontal="center"/>
    </xf>
    <xf numFmtId="0" fontId="5" fillId="3" borderId="0" xfId="0" applyFont="1" applyFill="1"/>
    <xf numFmtId="0" fontId="4" fillId="3" borderId="0" xfId="0" applyFont="1" applyFill="1"/>
    <xf numFmtId="0" fontId="5" fillId="0" borderId="0" xfId="0" applyFont="1" applyBorder="1" applyAlignment="1">
      <alignment horizontal="center"/>
    </xf>
    <xf numFmtId="0" fontId="10" fillId="80" borderId="222" xfId="0" quotePrefix="1" applyFont="1" applyFill="1" applyBorder="1" applyAlignment="1">
      <alignment horizontal="center"/>
    </xf>
    <xf numFmtId="21" fontId="82" fillId="91" borderId="209" xfId="0" applyNumberFormat="1" applyFont="1" applyFill="1" applyBorder="1"/>
    <xf numFmtId="0" fontId="19" fillId="91" borderId="209" xfId="0" applyFont="1" applyFill="1" applyBorder="1" applyAlignment="1">
      <alignment horizontal="center" wrapText="1"/>
    </xf>
    <xf numFmtId="0" fontId="19" fillId="141" borderId="209" xfId="0" applyFont="1" applyFill="1" applyBorder="1"/>
    <xf numFmtId="0" fontId="2" fillId="141" borderId="209" xfId="0" applyFont="1" applyFill="1" applyBorder="1"/>
    <xf numFmtId="21" fontId="82" fillId="141" borderId="209" xfId="0" applyNumberFormat="1" applyFont="1" applyFill="1" applyBorder="1"/>
    <xf numFmtId="0" fontId="85" fillId="141" borderId="209" xfId="0" applyFont="1" applyFill="1" applyBorder="1" applyAlignment="1">
      <alignment horizontal="left"/>
    </xf>
    <xf numFmtId="0" fontId="2" fillId="141" borderId="210" xfId="0" applyFont="1" applyFill="1" applyBorder="1"/>
    <xf numFmtId="1" fontId="7" fillId="13" borderId="192" xfId="0" applyNumberFormat="1" applyFont="1" applyFill="1" applyBorder="1" applyAlignment="1" applyProtection="1">
      <alignment horizontal="center"/>
      <protection locked="0"/>
    </xf>
    <xf numFmtId="21" fontId="81" fillId="91" borderId="35" xfId="0" applyNumberFormat="1" applyFont="1" applyFill="1" applyBorder="1"/>
    <xf numFmtId="0" fontId="324" fillId="21" borderId="35" xfId="0" applyFont="1" applyFill="1" applyBorder="1"/>
    <xf numFmtId="0" fontId="9" fillId="0" borderId="262" xfId="0" applyFont="1" applyBorder="1" applyAlignment="1">
      <alignment horizontal="center" textRotation="90" wrapText="1"/>
    </xf>
    <xf numFmtId="168" fontId="10" fillId="8" borderId="33" xfId="7" applyNumberFormat="1" applyFont="1" applyFill="1" applyBorder="1"/>
    <xf numFmtId="0" fontId="173" fillId="80" borderId="0" xfId="0" applyFont="1" applyFill="1"/>
    <xf numFmtId="1" fontId="187" fillId="14" borderId="209" xfId="0" applyNumberFormat="1" applyFont="1" applyFill="1" applyBorder="1"/>
    <xf numFmtId="0" fontId="171" fillId="14" borderId="209" xfId="0" applyFont="1" applyFill="1" applyBorder="1"/>
    <xf numFmtId="21" fontId="188" fillId="14" borderId="209" xfId="0" applyNumberFormat="1" applyFont="1" applyFill="1" applyBorder="1"/>
    <xf numFmtId="0" fontId="189" fillId="14" borderId="209" xfId="0" applyFont="1" applyFill="1" applyBorder="1"/>
    <xf numFmtId="166" fontId="190" fillId="14" borderId="209" xfId="0" applyNumberFormat="1" applyFont="1" applyFill="1" applyBorder="1"/>
    <xf numFmtId="21" fontId="230" fillId="14" borderId="209" xfId="0" quotePrefix="1" applyNumberFormat="1" applyFont="1" applyFill="1" applyBorder="1" applyAlignment="1">
      <alignment horizontal="center"/>
    </xf>
    <xf numFmtId="1" fontId="189" fillId="14" borderId="209" xfId="0" applyNumberFormat="1" applyFont="1" applyFill="1" applyBorder="1" applyAlignment="1">
      <alignment horizontal="center"/>
    </xf>
    <xf numFmtId="0" fontId="171" fillId="21" borderId="209" xfId="0" applyFont="1" applyFill="1" applyBorder="1"/>
    <xf numFmtId="21" fontId="188" fillId="21" borderId="209" xfId="0" applyNumberFormat="1" applyFont="1" applyFill="1" applyBorder="1"/>
    <xf numFmtId="0" fontId="185" fillId="21" borderId="209" xfId="0" applyFont="1" applyFill="1" applyBorder="1"/>
    <xf numFmtId="176" fontId="185" fillId="21" borderId="209" xfId="0" applyNumberFormat="1" applyFont="1" applyFill="1" applyBorder="1"/>
    <xf numFmtId="166" fontId="174" fillId="21" borderId="209" xfId="0" applyNumberFormat="1" applyFont="1" applyFill="1" applyBorder="1"/>
    <xf numFmtId="21" fontId="230" fillId="21" borderId="209" xfId="0" quotePrefix="1" applyNumberFormat="1" applyFont="1" applyFill="1" applyBorder="1" applyAlignment="1">
      <alignment horizontal="center"/>
    </xf>
    <xf numFmtId="1" fontId="189" fillId="21" borderId="209" xfId="0" applyNumberFormat="1" applyFont="1" applyFill="1" applyBorder="1" applyAlignment="1">
      <alignment horizontal="center"/>
    </xf>
    <xf numFmtId="1" fontId="171" fillId="15" borderId="209" xfId="0" applyNumberFormat="1" applyFont="1" applyFill="1" applyBorder="1"/>
    <xf numFmtId="0" fontId="171" fillId="15" borderId="209" xfId="0" applyFont="1" applyFill="1" applyBorder="1"/>
    <xf numFmtId="21" fontId="171" fillId="15" borderId="209" xfId="0" applyNumberFormat="1" applyFont="1" applyFill="1" applyBorder="1"/>
    <xf numFmtId="0" fontId="185" fillId="15" borderId="209" xfId="0" applyFont="1" applyFill="1" applyBorder="1" applyAlignment="1">
      <alignment horizontal="left"/>
    </xf>
    <xf numFmtId="176" fontId="185" fillId="15" borderId="209" xfId="0" applyNumberFormat="1" applyFont="1" applyFill="1" applyBorder="1"/>
    <xf numFmtId="166" fontId="174" fillId="15" borderId="209" xfId="0" applyNumberFormat="1" applyFont="1" applyFill="1" applyBorder="1"/>
    <xf numFmtId="21" fontId="230" fillId="15" borderId="209" xfId="0" quotePrefix="1" applyNumberFormat="1" applyFont="1" applyFill="1" applyBorder="1" applyAlignment="1">
      <alignment horizontal="center"/>
    </xf>
    <xf numFmtId="0" fontId="189" fillId="15" borderId="209" xfId="0" applyFont="1" applyFill="1" applyBorder="1" applyAlignment="1">
      <alignment horizontal="center"/>
    </xf>
    <xf numFmtId="1" fontId="173" fillId="19" borderId="209" xfId="0" applyNumberFormat="1" applyFont="1" applyFill="1" applyBorder="1"/>
    <xf numFmtId="0" fontId="186" fillId="33" borderId="209" xfId="0" applyFont="1" applyFill="1" applyBorder="1"/>
    <xf numFmtId="21" fontId="186" fillId="19" borderId="209" xfId="0" applyNumberFormat="1" applyFont="1" applyFill="1" applyBorder="1"/>
    <xf numFmtId="0" fontId="183" fillId="33" borderId="209" xfId="0" applyFont="1" applyFill="1" applyBorder="1"/>
    <xf numFmtId="176" fontId="183" fillId="19" borderId="209" xfId="0" applyNumberFormat="1" applyFont="1" applyFill="1" applyBorder="1"/>
    <xf numFmtId="166" fontId="231" fillId="33" borderId="209" xfId="0" applyNumberFormat="1" applyFont="1" applyFill="1" applyBorder="1"/>
    <xf numFmtId="21" fontId="232" fillId="19" borderId="209" xfId="0" quotePrefix="1" applyNumberFormat="1" applyFont="1" applyFill="1" applyBorder="1" applyAlignment="1">
      <alignment horizontal="center"/>
    </xf>
    <xf numFmtId="21" fontId="232" fillId="19" borderId="0" xfId="0" quotePrefix="1" applyNumberFormat="1" applyFont="1" applyFill="1" applyAlignment="1">
      <alignment horizontal="center"/>
    </xf>
    <xf numFmtId="0" fontId="233" fillId="33" borderId="209" xfId="0" applyFont="1" applyFill="1" applyBorder="1"/>
    <xf numFmtId="176" fontId="172" fillId="3" borderId="0" xfId="0" applyNumberFormat="1" applyFont="1" applyFill="1" applyAlignment="1" applyProtection="1">
      <alignment horizontal="center"/>
      <protection locked="0"/>
    </xf>
    <xf numFmtId="1" fontId="187" fillId="21" borderId="208" xfId="0" applyNumberFormat="1" applyFont="1" applyFill="1" applyBorder="1"/>
    <xf numFmtId="166" fontId="292" fillId="120" borderId="191" xfId="0" applyNumberFormat="1" applyFont="1" applyFill="1" applyBorder="1"/>
    <xf numFmtId="166" fontId="280" fillId="80" borderId="192" xfId="0" applyNumberFormat="1" applyFont="1" applyFill="1" applyBorder="1"/>
    <xf numFmtId="0" fontId="50" fillId="3" borderId="0" xfId="0" applyFont="1" applyFill="1"/>
    <xf numFmtId="1" fontId="9" fillId="3" borderId="0" xfId="0" applyNumberFormat="1" applyFont="1" applyFill="1" applyAlignment="1">
      <alignment horizontal="left" vertical="center"/>
    </xf>
    <xf numFmtId="1" fontId="0" fillId="3" borderId="0" xfId="0" applyNumberFormat="1" applyFill="1"/>
    <xf numFmtId="0" fontId="1" fillId="3" borderId="0" xfId="0" applyFont="1" applyFill="1" applyAlignment="1">
      <alignment horizontal="left"/>
    </xf>
    <xf numFmtId="0" fontId="9" fillId="0" borderId="243" xfId="0" applyFont="1" applyBorder="1" applyAlignment="1">
      <alignment horizontal="center" textRotation="90"/>
    </xf>
    <xf numFmtId="0" fontId="9" fillId="0" borderId="261" xfId="0" applyFont="1" applyBorder="1" applyAlignment="1">
      <alignment horizontal="center" textRotation="90"/>
    </xf>
    <xf numFmtId="0" fontId="9" fillId="0" borderId="245" xfId="0" applyFont="1" applyBorder="1" applyAlignment="1">
      <alignment horizontal="center" textRotation="90"/>
    </xf>
    <xf numFmtId="1" fontId="9" fillId="0" borderId="245" xfId="0" applyNumberFormat="1" applyFont="1" applyBorder="1" applyAlignment="1">
      <alignment horizontal="center" textRotation="90"/>
    </xf>
    <xf numFmtId="21" fontId="9" fillId="0" borderId="262" xfId="0" applyNumberFormat="1" applyFont="1" applyBorder="1" applyAlignment="1">
      <alignment horizontal="center" textRotation="90"/>
    </xf>
    <xf numFmtId="0" fontId="9" fillId="0" borderId="262" xfId="0" applyFont="1" applyBorder="1" applyAlignment="1">
      <alignment horizontal="center" textRotation="90"/>
    </xf>
    <xf numFmtId="166" fontId="108" fillId="0" borderId="262" xfId="0" applyNumberFormat="1" applyFont="1" applyBorder="1" applyAlignment="1">
      <alignment horizontal="center" textRotation="90"/>
    </xf>
    <xf numFmtId="0" fontId="9" fillId="0" borderId="245" xfId="0" applyFont="1" applyBorder="1" applyAlignment="1">
      <alignment horizontal="center" vertical="justify" textRotation="90"/>
    </xf>
    <xf numFmtId="21" fontId="9" fillId="0" borderId="263" xfId="0" applyNumberFormat="1" applyFont="1" applyBorder="1" applyAlignment="1">
      <alignment horizontal="center" textRotation="90"/>
    </xf>
    <xf numFmtId="0" fontId="9" fillId="0" borderId="114" xfId="0" applyFont="1" applyBorder="1" applyAlignment="1">
      <alignment horizontal="center" textRotation="90"/>
    </xf>
    <xf numFmtId="0" fontId="9" fillId="0" borderId="212" xfId="0" applyFont="1" applyBorder="1" applyAlignment="1">
      <alignment horizontal="center" textRotation="90"/>
    </xf>
    <xf numFmtId="0" fontId="9" fillId="0" borderId="179" xfId="0" applyFont="1" applyBorder="1" applyAlignment="1">
      <alignment horizontal="center" textRotation="90"/>
    </xf>
    <xf numFmtId="1" fontId="9" fillId="0" borderId="179" xfId="0" applyNumberFormat="1" applyFont="1" applyBorder="1" applyAlignment="1">
      <alignment horizontal="center" textRotation="90"/>
    </xf>
    <xf numFmtId="21" fontId="9" fillId="0" borderId="179" xfId="0" applyNumberFormat="1" applyFont="1" applyBorder="1" applyAlignment="1">
      <alignment horizontal="center" textRotation="90"/>
    </xf>
    <xf numFmtId="166" fontId="108" fillId="0" borderId="179" xfId="0" applyNumberFormat="1" applyFont="1" applyBorder="1" applyAlignment="1">
      <alignment horizontal="center" textRotation="90"/>
    </xf>
    <xf numFmtId="0" fontId="9" fillId="0" borderId="179" xfId="0" applyFont="1" applyBorder="1" applyAlignment="1">
      <alignment horizontal="center" vertical="justify" textRotation="90"/>
    </xf>
    <xf numFmtId="21" fontId="9" fillId="0" borderId="213" xfId="0" applyNumberFormat="1" applyFont="1" applyBorder="1" applyAlignment="1">
      <alignment horizontal="center" textRotation="90"/>
    </xf>
    <xf numFmtId="0" fontId="5" fillId="0" borderId="114" xfId="0" applyFont="1" applyBorder="1" applyAlignment="1">
      <alignment horizontal="center" textRotation="90"/>
    </xf>
    <xf numFmtId="0" fontId="5" fillId="0" borderId="212" xfId="0" applyFont="1" applyBorder="1" applyAlignment="1">
      <alignment horizontal="center" textRotation="90"/>
    </xf>
    <xf numFmtId="0" fontId="5" fillId="0" borderId="179" xfId="0" applyFont="1" applyBorder="1" applyAlignment="1">
      <alignment horizontal="center" textRotation="90"/>
    </xf>
    <xf numFmtId="1" fontId="5" fillId="0" borderId="179" xfId="0" applyNumberFormat="1" applyFont="1" applyBorder="1" applyAlignment="1">
      <alignment horizontal="center" textRotation="90"/>
    </xf>
    <xf numFmtId="21" fontId="9" fillId="0" borderId="179" xfId="0" applyNumberFormat="1" applyFont="1" applyBorder="1" applyAlignment="1">
      <alignment horizontal="left"/>
    </xf>
    <xf numFmtId="0" fontId="9" fillId="0" borderId="179" xfId="0" applyFont="1" applyBorder="1" applyAlignment="1">
      <alignment horizontal="left"/>
    </xf>
    <xf numFmtId="166" fontId="108" fillId="0" borderId="179" xfId="0" applyNumberFormat="1" applyFont="1" applyBorder="1" applyAlignment="1">
      <alignment horizontal="center"/>
    </xf>
    <xf numFmtId="21" fontId="5" fillId="0" borderId="213" xfId="0" applyNumberFormat="1" applyFont="1" applyBorder="1" applyAlignment="1">
      <alignment horizontal="center" textRotation="90"/>
    </xf>
    <xf numFmtId="0" fontId="5" fillId="24" borderId="12" xfId="0" applyFont="1" applyFill="1" applyBorder="1" applyAlignment="1">
      <alignment horizontal="center"/>
    </xf>
    <xf numFmtId="0" fontId="5" fillId="24" borderId="96" xfId="0" applyFont="1" applyFill="1" applyBorder="1" applyAlignment="1">
      <alignment horizontal="center"/>
    </xf>
    <xf numFmtId="0" fontId="2" fillId="15" borderId="209" xfId="0" applyFont="1" applyFill="1" applyBorder="1"/>
    <xf numFmtId="0" fontId="326" fillId="156" borderId="123" xfId="0" applyFont="1" applyFill="1" applyBorder="1" applyAlignment="1">
      <alignment horizontal="center"/>
    </xf>
    <xf numFmtId="0" fontId="326" fillId="89" borderId="123" xfId="0" applyFont="1" applyFill="1" applyBorder="1" applyAlignment="1">
      <alignment horizontal="left"/>
    </xf>
    <xf numFmtId="21" fontId="100" fillId="91" borderId="0" xfId="0" quotePrefix="1" applyNumberFormat="1" applyFont="1" applyFill="1" applyAlignment="1">
      <alignment horizontal="center"/>
    </xf>
    <xf numFmtId="0" fontId="5" fillId="24" borderId="97" xfId="0" applyFont="1" applyFill="1" applyBorder="1" applyAlignment="1">
      <alignment horizontal="center"/>
    </xf>
    <xf numFmtId="1" fontId="0" fillId="0" borderId="79" xfId="0" applyNumberFormat="1" applyBorder="1"/>
    <xf numFmtId="21" fontId="85" fillId="14" borderId="265" xfId="0" applyNumberFormat="1" applyFont="1" applyFill="1" applyBorder="1"/>
    <xf numFmtId="0" fontId="92" fillId="0" borderId="113" xfId="0" applyFont="1" applyBorder="1"/>
    <xf numFmtId="176" fontId="86" fillId="14" borderId="209" xfId="0" applyNumberFormat="1" applyFont="1" applyFill="1" applyBorder="1"/>
    <xf numFmtId="0" fontId="86" fillId="141" borderId="209" xfId="0" applyFont="1" applyFill="1" applyBorder="1" applyAlignment="1">
      <alignment horizontal="center"/>
    </xf>
    <xf numFmtId="0" fontId="0" fillId="141" borderId="209" xfId="0" applyFill="1" applyBorder="1"/>
    <xf numFmtId="0" fontId="100" fillId="19" borderId="264" xfId="0" applyFont="1" applyFill="1" applyBorder="1"/>
    <xf numFmtId="1" fontId="1" fillId="19" borderId="209" xfId="0" applyNumberFormat="1" applyFont="1" applyFill="1" applyBorder="1"/>
    <xf numFmtId="0" fontId="11" fillId="33" borderId="209" xfId="0" applyFont="1" applyFill="1" applyBorder="1"/>
    <xf numFmtId="0" fontId="8" fillId="33" borderId="209" xfId="0" applyFont="1" applyFill="1" applyBorder="1"/>
    <xf numFmtId="166" fontId="157" fillId="33" borderId="209" xfId="0" applyNumberFormat="1" applyFont="1" applyFill="1" applyBorder="1"/>
    <xf numFmtId="0" fontId="88" fillId="18" borderId="264" xfId="0" applyFont="1" applyFill="1" applyBorder="1"/>
    <xf numFmtId="0" fontId="0" fillId="142" borderId="264" xfId="0" applyFill="1" applyBorder="1" applyAlignment="1">
      <alignment horizontal="center"/>
    </xf>
    <xf numFmtId="0" fontId="0" fillId="142" borderId="264" xfId="0" applyFill="1" applyBorder="1"/>
    <xf numFmtId="0" fontId="107" fillId="33" borderId="209" xfId="0" applyFont="1" applyFill="1" applyBorder="1"/>
    <xf numFmtId="0" fontId="5" fillId="0" borderId="118" xfId="0" applyFont="1" applyBorder="1" applyAlignment="1">
      <alignment horizontal="center"/>
    </xf>
    <xf numFmtId="0" fontId="84" fillId="141" borderId="209" xfId="0" quotePrefix="1" applyFont="1" applyFill="1" applyBorder="1" applyAlignment="1">
      <alignment horizontal="center"/>
    </xf>
    <xf numFmtId="0" fontId="89" fillId="141" borderId="209" xfId="0" applyFont="1" applyFill="1" applyBorder="1"/>
    <xf numFmtId="0" fontId="5" fillId="121" borderId="12" xfId="0" applyFont="1" applyFill="1" applyBorder="1" applyAlignment="1">
      <alignment horizontal="center"/>
    </xf>
    <xf numFmtId="0" fontId="5" fillId="121" borderId="96" xfId="0" applyFont="1" applyFill="1" applyBorder="1" applyAlignment="1">
      <alignment horizontal="center"/>
    </xf>
    <xf numFmtId="0" fontId="0" fillId="18" borderId="264" xfId="0" applyFill="1" applyBorder="1" applyAlignment="1">
      <alignment horizontal="center"/>
    </xf>
    <xf numFmtId="0" fontId="0" fillId="18" borderId="264" xfId="0" applyFill="1" applyBorder="1"/>
    <xf numFmtId="0" fontId="5" fillId="121" borderId="97" xfId="0" applyFont="1" applyFill="1" applyBorder="1" applyAlignment="1">
      <alignment horizontal="center"/>
    </xf>
    <xf numFmtId="0" fontId="0" fillId="141" borderId="210" xfId="0" applyFill="1" applyBorder="1"/>
    <xf numFmtId="1" fontId="86" fillId="141" borderId="209" xfId="0" applyNumberFormat="1" applyFont="1" applyFill="1" applyBorder="1" applyAlignment="1">
      <alignment horizontal="center"/>
    </xf>
    <xf numFmtId="0" fontId="16" fillId="30" borderId="0" xfId="0" applyFont="1" applyFill="1"/>
    <xf numFmtId="21" fontId="160" fillId="29" borderId="209" xfId="0" applyNumberFormat="1" applyFont="1" applyFill="1" applyBorder="1"/>
    <xf numFmtId="166" fontId="111" fillId="29" borderId="209" xfId="0" applyNumberFormat="1" applyFont="1" applyFill="1" applyBorder="1"/>
    <xf numFmtId="21" fontId="0" fillId="65" borderId="209" xfId="0" applyNumberFormat="1" applyFill="1" applyBorder="1"/>
    <xf numFmtId="21" fontId="106" fillId="29" borderId="209" xfId="0" quotePrefix="1" applyNumberFormat="1" applyFont="1" applyFill="1" applyBorder="1" applyAlignment="1">
      <alignment horizontal="center"/>
    </xf>
    <xf numFmtId="0" fontId="125" fillId="0" borderId="0" xfId="0" applyFont="1"/>
    <xf numFmtId="0" fontId="8" fillId="3" borderId="0" xfId="0" applyFont="1" applyFill="1" applyAlignment="1">
      <alignment horizontal="center" vertical="center"/>
    </xf>
    <xf numFmtId="21" fontId="8" fillId="3" borderId="0" xfId="0" applyNumberFormat="1" applyFont="1" applyFill="1" applyAlignment="1">
      <alignment horizontal="center" vertical="center"/>
    </xf>
    <xf numFmtId="0" fontId="68" fillId="3" borderId="0" xfId="0" applyFont="1" applyFill="1" applyAlignment="1">
      <alignment horizontal="left" vertical="center"/>
    </xf>
    <xf numFmtId="166" fontId="112" fillId="3" borderId="0" xfId="0" applyNumberFormat="1" applyFont="1" applyFill="1" applyAlignment="1">
      <alignment horizontal="center" vertical="center"/>
    </xf>
    <xf numFmtId="21" fontId="67" fillId="3" borderId="0" xfId="0" applyNumberFormat="1" applyFont="1" applyFill="1" applyAlignment="1">
      <alignment horizontal="center" vertical="center"/>
    </xf>
    <xf numFmtId="0" fontId="76" fillId="3" borderId="0" xfId="0" applyFont="1" applyFill="1" applyAlignment="1">
      <alignment horizontal="center" vertical="center"/>
    </xf>
    <xf numFmtId="3" fontId="48" fillId="3" borderId="268" xfId="0" applyNumberFormat="1" applyFont="1" applyFill="1" applyBorder="1" applyAlignment="1">
      <alignment horizontal="left" vertical="center"/>
    </xf>
    <xf numFmtId="3" fontId="5" fillId="3" borderId="72" xfId="0" applyNumberFormat="1" applyFont="1" applyFill="1" applyBorder="1" applyAlignment="1">
      <alignment horizontal="center" vertical="center"/>
    </xf>
    <xf numFmtId="165" fontId="18" fillId="13" borderId="269" xfId="0" applyNumberFormat="1" applyFont="1" applyFill="1" applyBorder="1" applyAlignment="1">
      <alignment horizontal="center" vertical="center"/>
    </xf>
    <xf numFmtId="165" fontId="126" fillId="3" borderId="0" xfId="0" applyNumberFormat="1" applyFont="1" applyFill="1"/>
    <xf numFmtId="0" fontId="16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55" fillId="3" borderId="0" xfId="0" applyFont="1" applyFill="1"/>
    <xf numFmtId="1" fontId="56" fillId="3" borderId="0" xfId="0" applyNumberFormat="1" applyFont="1" applyFill="1"/>
    <xf numFmtId="1" fontId="16" fillId="3" borderId="0" xfId="0" applyNumberFormat="1" applyFont="1" applyFill="1"/>
    <xf numFmtId="0" fontId="1" fillId="80" borderId="191" xfId="0" applyFont="1" applyFill="1" applyBorder="1" applyAlignment="1" applyProtection="1">
      <alignment horizontal="center"/>
    </xf>
    <xf numFmtId="0" fontId="1" fillId="80" borderId="100" xfId="0" applyFont="1" applyFill="1" applyBorder="1" applyAlignment="1" applyProtection="1">
      <alignment horizontal="center"/>
    </xf>
    <xf numFmtId="166" fontId="109" fillId="80" borderId="100" xfId="0" applyNumberFormat="1" applyFont="1" applyFill="1" applyBorder="1" applyAlignment="1" applyProtection="1">
      <alignment horizontal="center"/>
    </xf>
    <xf numFmtId="21" fontId="1" fillId="80" borderId="100" xfId="0" applyNumberFormat="1" applyFont="1" applyFill="1" applyBorder="1" applyAlignment="1" applyProtection="1">
      <alignment horizontal="center"/>
    </xf>
    <xf numFmtId="0" fontId="1" fillId="80" borderId="192" xfId="0" applyFont="1" applyFill="1" applyBorder="1" applyAlignment="1" applyProtection="1">
      <alignment horizontal="center"/>
    </xf>
    <xf numFmtId="0" fontId="5" fillId="79" borderId="12" xfId="0" applyFont="1" applyFill="1" applyBorder="1" applyAlignment="1" applyProtection="1">
      <alignment horizontal="center"/>
    </xf>
    <xf numFmtId="0" fontId="5" fillId="79" borderId="97" xfId="0" applyFont="1" applyFill="1" applyBorder="1" applyAlignment="1" applyProtection="1">
      <alignment horizontal="center"/>
    </xf>
    <xf numFmtId="176" fontId="8" fillId="6" borderId="0" xfId="0" applyNumberFormat="1" applyFont="1" applyFill="1" applyBorder="1" applyAlignment="1" applyProtection="1">
      <alignment horizontal="center"/>
      <protection locked="0"/>
    </xf>
    <xf numFmtId="21" fontId="81" fillId="14" borderId="32" xfId="0" applyNumberFormat="1" applyFont="1" applyFill="1" applyBorder="1" applyAlignment="1">
      <alignment horizontal="center"/>
    </xf>
    <xf numFmtId="21" fontId="160" fillId="21" borderId="35" xfId="0" applyNumberFormat="1" applyFont="1" applyFill="1" applyBorder="1" applyAlignment="1">
      <alignment horizontal="center"/>
    </xf>
    <xf numFmtId="0" fontId="106" fillId="21" borderId="35" xfId="0" quotePrefix="1" applyFont="1" applyFill="1" applyBorder="1" applyAlignment="1">
      <alignment horizontal="center"/>
    </xf>
    <xf numFmtId="176" fontId="86" fillId="14" borderId="35" xfId="0" applyNumberFormat="1" applyFont="1" applyFill="1" applyBorder="1" applyAlignment="1">
      <alignment horizontal="center"/>
    </xf>
    <xf numFmtId="0" fontId="88" fillId="18" borderId="0" xfId="0" quotePrefix="1" applyFont="1" applyFill="1" applyBorder="1" applyAlignment="1" applyProtection="1">
      <alignment horizontal="center"/>
    </xf>
    <xf numFmtId="176" fontId="84" fillId="16" borderId="35" xfId="0" applyNumberFormat="1" applyFont="1" applyFill="1" applyBorder="1" applyAlignment="1">
      <alignment horizontal="center"/>
    </xf>
    <xf numFmtId="0" fontId="135" fillId="3" borderId="0" xfId="0" applyFont="1" applyFill="1" applyProtection="1"/>
    <xf numFmtId="0" fontId="134" fillId="3" borderId="0" xfId="0" applyFont="1" applyFill="1" applyProtection="1"/>
    <xf numFmtId="14" fontId="134" fillId="3" borderId="0" xfId="0" applyNumberFormat="1" applyFont="1" applyFill="1" applyAlignment="1" applyProtection="1">
      <alignment horizontal="left"/>
      <protection locked="0"/>
    </xf>
    <xf numFmtId="0" fontId="134" fillId="3" borderId="0" xfId="0" applyFont="1" applyFill="1" applyAlignment="1" applyProtection="1">
      <alignment horizontal="center"/>
      <protection locked="0"/>
    </xf>
    <xf numFmtId="14" fontId="134" fillId="3" borderId="0" xfId="0" applyNumberFormat="1" applyFont="1" applyFill="1" applyAlignment="1" applyProtection="1">
      <alignment horizontal="center"/>
      <protection locked="0"/>
    </xf>
    <xf numFmtId="166" fontId="135" fillId="3" borderId="0" xfId="0" applyNumberFormat="1" applyFont="1" applyFill="1" applyAlignment="1" applyProtection="1">
      <alignment horizontal="center"/>
    </xf>
    <xf numFmtId="21" fontId="134" fillId="3" borderId="0" xfId="0" applyNumberFormat="1" applyFont="1" applyFill="1" applyAlignment="1" applyProtection="1">
      <alignment horizontal="center"/>
    </xf>
    <xf numFmtId="0" fontId="134" fillId="3" borderId="0" xfId="0" applyFont="1" applyFill="1" applyAlignment="1" applyProtection="1">
      <alignment horizontal="center"/>
    </xf>
    <xf numFmtId="3" fontId="134" fillId="3" borderId="0" xfId="0" applyNumberFormat="1" applyFont="1" applyFill="1" applyAlignment="1" applyProtection="1">
      <alignment horizontal="center"/>
    </xf>
    <xf numFmtId="166" fontId="135" fillId="0" borderId="87" xfId="0" applyNumberFormat="1" applyFont="1" applyFill="1" applyBorder="1" applyAlignment="1">
      <alignment horizontal="center" textRotation="90"/>
    </xf>
    <xf numFmtId="168" fontId="10" fillId="8" borderId="33" xfId="7" applyNumberFormat="1" applyFont="1" applyFill="1" applyBorder="1" applyProtection="1"/>
    <xf numFmtId="0" fontId="134" fillId="24" borderId="58" xfId="0" applyFont="1" applyFill="1" applyBorder="1" applyAlignment="1" applyProtection="1">
      <alignment horizontal="center"/>
    </xf>
    <xf numFmtId="166" fontId="81" fillId="14" borderId="32" xfId="0" applyNumberFormat="1" applyFont="1" applyFill="1" applyBorder="1" applyAlignment="1">
      <alignment horizontal="center"/>
    </xf>
    <xf numFmtId="0" fontId="19" fillId="14" borderId="33" xfId="0" applyFont="1" applyFill="1" applyBorder="1" applyAlignment="1">
      <alignment horizontal="center"/>
    </xf>
    <xf numFmtId="0" fontId="19" fillId="18" borderId="84" xfId="0" applyFont="1" applyFill="1" applyBorder="1" applyProtection="1"/>
    <xf numFmtId="0" fontId="19" fillId="18" borderId="84" xfId="0" applyFont="1" applyFill="1" applyBorder="1" applyAlignment="1" applyProtection="1">
      <alignment horizontal="center"/>
    </xf>
    <xf numFmtId="166" fontId="54" fillId="33" borderId="35" xfId="0" quotePrefix="1" applyNumberFormat="1" applyFont="1" applyFill="1" applyBorder="1" applyAlignment="1" applyProtection="1">
      <alignment horizontal="center"/>
    </xf>
    <xf numFmtId="0" fontId="160" fillId="19" borderId="117" xfId="0" applyFont="1" applyFill="1" applyBorder="1" applyAlignment="1">
      <alignment horizontal="center"/>
    </xf>
    <xf numFmtId="0" fontId="134" fillId="24" borderId="60" xfId="0" applyFont="1" applyFill="1" applyBorder="1" applyAlignment="1" applyProtection="1">
      <alignment horizontal="center"/>
    </xf>
    <xf numFmtId="166" fontId="19" fillId="14" borderId="35" xfId="0" applyNumberFormat="1" applyFont="1" applyFill="1" applyBorder="1" applyAlignment="1">
      <alignment horizontal="center"/>
    </xf>
    <xf numFmtId="0" fontId="19" fillId="14" borderId="36" xfId="0" applyFont="1" applyFill="1" applyBorder="1" applyAlignment="1">
      <alignment horizontal="center"/>
    </xf>
    <xf numFmtId="166" fontId="19" fillId="16" borderId="35" xfId="0" applyNumberFormat="1" applyFont="1" applyFill="1" applyBorder="1" applyAlignment="1">
      <alignment horizontal="center"/>
    </xf>
    <xf numFmtId="0" fontId="19" fillId="16" borderId="36" xfId="0" applyFont="1" applyFill="1" applyBorder="1" applyAlignment="1">
      <alignment horizontal="center"/>
    </xf>
    <xf numFmtId="166" fontId="160" fillId="21" borderId="35" xfId="0" applyNumberFormat="1" applyFont="1" applyFill="1" applyBorder="1" applyAlignment="1">
      <alignment horizontal="center"/>
    </xf>
    <xf numFmtId="0" fontId="160" fillId="21" borderId="83" xfId="0" applyFont="1" applyFill="1" applyBorder="1" applyAlignment="1">
      <alignment horizontal="center"/>
    </xf>
    <xf numFmtId="166" fontId="160" fillId="66" borderId="35" xfId="0" applyNumberFormat="1" applyFont="1" applyFill="1" applyBorder="1" applyAlignment="1">
      <alignment horizontal="center"/>
    </xf>
    <xf numFmtId="1" fontId="106" fillId="66" borderId="35" xfId="0" applyNumberFormat="1" applyFont="1" applyFill="1" applyBorder="1" applyAlignment="1">
      <alignment horizontal="center"/>
    </xf>
    <xf numFmtId="0" fontId="54" fillId="66" borderId="110" xfId="0" applyFont="1" applyFill="1" applyBorder="1" applyAlignment="1">
      <alignment horizontal="center"/>
    </xf>
    <xf numFmtId="21" fontId="81" fillId="15" borderId="35" xfId="0" applyNumberFormat="1" applyFont="1" applyFill="1" applyBorder="1"/>
    <xf numFmtId="21" fontId="19" fillId="19" borderId="0" xfId="0" applyNumberFormat="1" applyFont="1" applyFill="1" applyBorder="1"/>
    <xf numFmtId="166" fontId="160" fillId="19" borderId="35" xfId="0" applyNumberFormat="1" applyFont="1" applyFill="1" applyBorder="1" applyAlignment="1">
      <alignment horizontal="center"/>
    </xf>
    <xf numFmtId="0" fontId="134" fillId="6" borderId="58" xfId="0" applyFont="1" applyFill="1" applyBorder="1" applyAlignment="1" applyProtection="1">
      <alignment horizontal="center"/>
    </xf>
    <xf numFmtId="21" fontId="160" fillId="66" borderId="35" xfId="0" applyNumberFormat="1" applyFont="1" applyFill="1" applyBorder="1"/>
    <xf numFmtId="0" fontId="54" fillId="66" borderId="35" xfId="0" applyFont="1" applyFill="1" applyBorder="1"/>
    <xf numFmtId="0" fontId="106" fillId="66" borderId="35" xfId="0" applyFont="1" applyFill="1" applyBorder="1" applyAlignment="1">
      <alignment horizontal="left"/>
    </xf>
    <xf numFmtId="1" fontId="19" fillId="46" borderId="35" xfId="0" applyNumberFormat="1" applyFont="1" applyFill="1" applyBorder="1"/>
    <xf numFmtId="166" fontId="19" fillId="46" borderId="35" xfId="0" applyNumberFormat="1" applyFont="1" applyFill="1" applyBorder="1" applyAlignment="1">
      <alignment horizontal="center"/>
    </xf>
    <xf numFmtId="0" fontId="19" fillId="46" borderId="36" xfId="0" applyFont="1" applyFill="1" applyBorder="1" applyAlignment="1">
      <alignment horizontal="center"/>
    </xf>
    <xf numFmtId="1" fontId="8" fillId="3" borderId="79" xfId="0" applyNumberFormat="1" applyFont="1" applyFill="1" applyBorder="1" applyProtection="1">
      <protection locked="0"/>
    </xf>
    <xf numFmtId="21" fontId="19" fillId="66" borderId="0" xfId="0" applyNumberFormat="1" applyFont="1" applyFill="1" applyBorder="1"/>
    <xf numFmtId="21" fontId="19" fillId="19" borderId="35" xfId="0" applyNumberFormat="1" applyFont="1" applyFill="1" applyBorder="1"/>
    <xf numFmtId="0" fontId="8" fillId="6" borderId="12" xfId="0" applyFont="1" applyFill="1" applyBorder="1" applyAlignment="1" applyProtection="1">
      <alignment horizontal="center"/>
    </xf>
    <xf numFmtId="0" fontId="8" fillId="6" borderId="0" xfId="0" applyFont="1" applyFill="1" applyBorder="1" applyAlignment="1" applyProtection="1">
      <alignment horizontal="center"/>
    </xf>
    <xf numFmtId="0" fontId="8" fillId="0" borderId="12" xfId="0" applyFont="1" applyFill="1" applyBorder="1" applyAlignment="1" applyProtection="1">
      <alignment horizontal="center"/>
    </xf>
    <xf numFmtId="0" fontId="8" fillId="0" borderId="0" xfId="0" applyFont="1" applyFill="1" applyBorder="1" applyAlignment="1" applyProtection="1">
      <alignment horizontal="center"/>
    </xf>
    <xf numFmtId="21" fontId="160" fillId="0" borderId="35" xfId="0" applyNumberFormat="1" applyFont="1" applyFill="1" applyBorder="1"/>
    <xf numFmtId="0" fontId="54" fillId="0" borderId="35" xfId="0" applyFont="1" applyFill="1" applyBorder="1"/>
    <xf numFmtId="21" fontId="160" fillId="0" borderId="74" xfId="0" applyNumberFormat="1" applyFont="1" applyFill="1" applyBorder="1"/>
    <xf numFmtId="176" fontId="8" fillId="0" borderId="0" xfId="0" applyNumberFormat="1" applyFont="1" applyFill="1" applyBorder="1" applyAlignment="1" applyProtection="1">
      <alignment horizontal="center"/>
      <protection locked="0"/>
    </xf>
    <xf numFmtId="166" fontId="160" fillId="0" borderId="35" xfId="0" applyNumberFormat="1" applyFont="1" applyFill="1" applyBorder="1" applyAlignment="1">
      <alignment horizontal="center"/>
    </xf>
    <xf numFmtId="21" fontId="201" fillId="0" borderId="35" xfId="0" quotePrefix="1" applyNumberFormat="1" applyFont="1" applyFill="1" applyBorder="1" applyAlignment="1">
      <alignment horizontal="center"/>
    </xf>
    <xf numFmtId="21" fontId="160" fillId="0" borderId="35" xfId="0" applyNumberFormat="1" applyFont="1" applyFill="1" applyBorder="1" applyAlignment="1">
      <alignment horizontal="center"/>
    </xf>
    <xf numFmtId="21" fontId="106" fillId="0" borderId="35" xfId="0" quotePrefix="1" applyNumberFormat="1" applyFont="1" applyFill="1" applyBorder="1" applyAlignment="1">
      <alignment horizontal="center"/>
    </xf>
    <xf numFmtId="1" fontId="106" fillId="0" borderId="35" xfId="0" applyNumberFormat="1" applyFont="1" applyFill="1" applyBorder="1" applyAlignment="1">
      <alignment horizontal="center"/>
    </xf>
    <xf numFmtId="0" fontId="45" fillId="0" borderId="110" xfId="0" applyFont="1" applyFill="1" applyBorder="1" applyAlignment="1">
      <alignment horizontal="center"/>
    </xf>
    <xf numFmtId="166" fontId="152" fillId="16" borderId="35" xfId="0" applyNumberFormat="1" applyFont="1" applyFill="1" applyBorder="1" applyAlignment="1">
      <alignment horizontal="center"/>
    </xf>
    <xf numFmtId="0" fontId="152" fillId="16" borderId="35" xfId="0" applyFont="1" applyFill="1" applyBorder="1" applyAlignment="1">
      <alignment horizontal="center"/>
    </xf>
    <xf numFmtId="21" fontId="81" fillId="48" borderId="75" xfId="0" applyNumberFormat="1" applyFont="1" applyFill="1" applyBorder="1" applyAlignment="1">
      <alignment horizontal="center"/>
    </xf>
    <xf numFmtId="21" fontId="160" fillId="48" borderId="35" xfId="0" applyNumberFormat="1" applyFont="1" applyFill="1" applyBorder="1"/>
    <xf numFmtId="21" fontId="201" fillId="48" borderId="35" xfId="0" applyNumberFormat="1" applyFont="1" applyFill="1" applyBorder="1" applyAlignment="1">
      <alignment horizontal="center"/>
    </xf>
    <xf numFmtId="0" fontId="201" fillId="48" borderId="0" xfId="0" applyFont="1" applyFill="1" applyBorder="1" applyAlignment="1">
      <alignment horizontal="center"/>
    </xf>
    <xf numFmtId="21" fontId="19" fillId="48" borderId="35" xfId="0" applyNumberFormat="1" applyFont="1" applyFill="1" applyBorder="1" applyAlignment="1">
      <alignment horizontal="center"/>
    </xf>
    <xf numFmtId="21" fontId="86" fillId="48" borderId="35" xfId="0" quotePrefix="1" applyNumberFormat="1" applyFont="1" applyFill="1" applyBorder="1" applyAlignment="1">
      <alignment horizontal="center"/>
    </xf>
    <xf numFmtId="0" fontId="9" fillId="3" borderId="12" xfId="0" applyFont="1" applyFill="1" applyBorder="1" applyAlignment="1" applyProtection="1">
      <alignment horizontal="center"/>
    </xf>
    <xf numFmtId="0" fontId="9" fillId="8" borderId="0" xfId="0" applyFont="1" applyFill="1" applyAlignment="1" applyProtection="1">
      <alignment horizontal="left" vertical="center"/>
    </xf>
    <xf numFmtId="0" fontId="9" fillId="8" borderId="0" xfId="0" applyFont="1" applyFill="1" applyAlignment="1" applyProtection="1">
      <alignment horizontal="center" vertical="center"/>
    </xf>
    <xf numFmtId="0" fontId="19" fillId="8" borderId="0" xfId="0" applyFont="1" applyFill="1"/>
    <xf numFmtId="21" fontId="86" fillId="40" borderId="0" xfId="0" applyNumberFormat="1" applyFont="1" applyFill="1" applyBorder="1" applyAlignment="1">
      <alignment horizontal="center"/>
    </xf>
    <xf numFmtId="166" fontId="327" fillId="8" borderId="0" xfId="0" applyNumberFormat="1" applyFont="1" applyFill="1" applyAlignment="1" applyProtection="1">
      <alignment horizontal="center" vertical="center"/>
    </xf>
    <xf numFmtId="21" fontId="86" fillId="40" borderId="38" xfId="0" applyNumberFormat="1" applyFont="1" applyFill="1" applyBorder="1" applyAlignment="1">
      <alignment horizontal="center"/>
    </xf>
    <xf numFmtId="172" fontId="86" fillId="8" borderId="39" xfId="0" applyNumberFormat="1" applyFont="1" applyFill="1" applyBorder="1" applyAlignment="1">
      <alignment horizontal="center"/>
    </xf>
    <xf numFmtId="166" fontId="67" fillId="13" borderId="21" xfId="0" applyNumberFormat="1" applyFont="1" applyFill="1" applyBorder="1" applyAlignment="1" applyProtection="1">
      <alignment horizontal="center" vertical="center"/>
    </xf>
    <xf numFmtId="0" fontId="106" fillId="66" borderId="229" xfId="0" applyFont="1" applyFill="1" applyBorder="1" applyAlignment="1"/>
    <xf numFmtId="21" fontId="86" fillId="21" borderId="111" xfId="0" applyNumberFormat="1" applyFont="1" applyFill="1" applyBorder="1"/>
    <xf numFmtId="166" fontId="10" fillId="21" borderId="111" xfId="0" applyNumberFormat="1" applyFont="1" applyFill="1" applyBorder="1"/>
    <xf numFmtId="0" fontId="10" fillId="21" borderId="158" xfId="0" applyFont="1" applyFill="1" applyBorder="1"/>
    <xf numFmtId="166" fontId="8" fillId="33" borderId="129" xfId="0" applyNumberFormat="1" applyFont="1" applyFill="1" applyBorder="1" applyAlignment="1">
      <alignment horizontal="left"/>
    </xf>
    <xf numFmtId="0" fontId="106" fillId="19" borderId="117" xfId="0" applyFont="1" applyFill="1" applyBorder="1"/>
    <xf numFmtId="21" fontId="10" fillId="46" borderId="129" xfId="0" applyNumberFormat="1" applyFont="1" applyFill="1" applyBorder="1"/>
    <xf numFmtId="166" fontId="10" fillId="46" borderId="129" xfId="0" applyNumberFormat="1" applyFont="1" applyFill="1" applyBorder="1"/>
    <xf numFmtId="21" fontId="86" fillId="46" borderId="129" xfId="0" applyNumberFormat="1" applyFont="1" applyFill="1" applyBorder="1" applyAlignment="1">
      <alignment horizontal="center"/>
    </xf>
    <xf numFmtId="0" fontId="10" fillId="46" borderId="158" xfId="0" applyFont="1" applyFill="1" applyBorder="1"/>
    <xf numFmtId="0" fontId="54" fillId="29" borderId="129" xfId="0" applyFont="1" applyFill="1" applyBorder="1"/>
    <xf numFmtId="21" fontId="160" fillId="29" borderId="129" xfId="0" applyNumberFormat="1" applyFont="1" applyFill="1" applyBorder="1"/>
    <xf numFmtId="166" fontId="54" fillId="29" borderId="129" xfId="0" applyNumberFormat="1" applyFont="1" applyFill="1" applyBorder="1"/>
    <xf numFmtId="1" fontId="106" fillId="29" borderId="129" xfId="0" applyNumberFormat="1" applyFont="1" applyFill="1" applyBorder="1" applyAlignment="1">
      <alignment horizontal="center"/>
    </xf>
    <xf numFmtId="0" fontId="54" fillId="29" borderId="158" xfId="0" applyFont="1" applyFill="1" applyBorder="1"/>
    <xf numFmtId="0" fontId="54" fillId="29" borderId="136" xfId="0" applyFont="1" applyFill="1" applyBorder="1"/>
    <xf numFmtId="1" fontId="54" fillId="68" borderId="0" xfId="0" applyNumberFormat="1" applyFont="1" applyFill="1" applyBorder="1"/>
    <xf numFmtId="21" fontId="19" fillId="0" borderId="35" xfId="0" applyNumberFormat="1" applyFont="1" applyFill="1" applyBorder="1"/>
    <xf numFmtId="21" fontId="10" fillId="108" borderId="35" xfId="0" quotePrefix="1" applyNumberFormat="1" applyFont="1" applyFill="1" applyBorder="1" applyAlignment="1">
      <alignment horizontal="center"/>
    </xf>
    <xf numFmtId="0" fontId="19" fillId="108" borderId="35" xfId="0" applyFont="1" applyFill="1" applyBorder="1"/>
    <xf numFmtId="0" fontId="19" fillId="108" borderId="173" xfId="0" applyFont="1" applyFill="1" applyBorder="1"/>
    <xf numFmtId="0" fontId="19" fillId="15" borderId="176" xfId="0" applyFont="1" applyFill="1" applyBorder="1"/>
    <xf numFmtId="0" fontId="271" fillId="80" borderId="176" xfId="0" applyFont="1" applyFill="1" applyBorder="1"/>
    <xf numFmtId="0" fontId="271" fillId="80" borderId="178" xfId="0" applyFont="1" applyFill="1" applyBorder="1"/>
    <xf numFmtId="0" fontId="264" fillId="116" borderId="178" xfId="0" applyFont="1" applyFill="1" applyBorder="1" applyProtection="1"/>
    <xf numFmtId="21" fontId="264" fillId="91" borderId="35" xfId="0" applyNumberFormat="1" applyFont="1" applyFill="1" applyBorder="1"/>
    <xf numFmtId="0" fontId="8" fillId="3" borderId="0" xfId="0" applyFont="1" applyFill="1" applyBorder="1" applyProtection="1">
      <protection locked="0"/>
    </xf>
    <xf numFmtId="0" fontId="160" fillId="48" borderId="174" xfId="0" applyFont="1" applyFill="1" applyBorder="1"/>
    <xf numFmtId="176" fontId="10" fillId="48" borderId="35" xfId="0" applyNumberFormat="1" applyFont="1" applyFill="1" applyBorder="1"/>
    <xf numFmtId="166" fontId="54" fillId="48" borderId="35" xfId="0" applyNumberFormat="1" applyFont="1" applyFill="1" applyBorder="1"/>
    <xf numFmtId="21" fontId="8" fillId="48" borderId="35" xfId="0" quotePrefix="1" applyNumberFormat="1" applyFont="1" applyFill="1" applyBorder="1" applyAlignment="1">
      <alignment horizontal="center"/>
    </xf>
    <xf numFmtId="0" fontId="54" fillId="48" borderId="0" xfId="0" applyFont="1" applyFill="1" applyBorder="1"/>
    <xf numFmtId="21" fontId="85" fillId="14" borderId="232" xfId="0" applyNumberFormat="1" applyFont="1" applyFill="1" applyBorder="1"/>
    <xf numFmtId="0" fontId="332" fillId="0" borderId="209" xfId="0" applyFont="1" applyBorder="1" applyAlignment="1">
      <alignment horizontal="center"/>
    </xf>
    <xf numFmtId="0" fontId="332" fillId="0" borderId="209" xfId="0" applyFont="1" applyBorder="1" applyAlignment="1">
      <alignment horizontal="center" wrapText="1"/>
    </xf>
    <xf numFmtId="0" fontId="2" fillId="0" borderId="209" xfId="0" applyFont="1" applyBorder="1" applyAlignment="1">
      <alignment horizontal="center" wrapText="1"/>
    </xf>
    <xf numFmtId="2" fontId="71" fillId="80" borderId="209" xfId="0" applyNumberFormat="1" applyFont="1" applyFill="1" applyBorder="1"/>
    <xf numFmtId="0" fontId="41" fillId="80" borderId="224" xfId="0" applyFont="1" applyFill="1" applyBorder="1" applyAlignment="1">
      <alignment horizontal="center"/>
    </xf>
    <xf numFmtId="0" fontId="332" fillId="0" borderId="232" xfId="0" applyFont="1" applyBorder="1" applyAlignment="1">
      <alignment horizontal="center" wrapText="1"/>
    </xf>
    <xf numFmtId="0" fontId="71" fillId="0" borderId="193" xfId="0" applyFont="1" applyBorder="1"/>
    <xf numFmtId="0" fontId="71" fillId="80" borderId="208" xfId="0" applyFont="1" applyFill="1" applyBorder="1"/>
    <xf numFmtId="0" fontId="1" fillId="80" borderId="224" xfId="0" applyFont="1" applyFill="1" applyBorder="1" applyAlignment="1">
      <alignment horizontal="center"/>
    </xf>
    <xf numFmtId="0" fontId="0" fillId="149" borderId="0" xfId="0" applyFill="1"/>
    <xf numFmtId="2" fontId="71" fillId="0" borderId="193" xfId="0" applyNumberFormat="1" applyFont="1" applyBorder="1"/>
    <xf numFmtId="0" fontId="86" fillId="14" borderId="0" xfId="0" quotePrefix="1" applyFont="1" applyFill="1" applyBorder="1" applyAlignment="1">
      <alignment horizontal="left"/>
    </xf>
    <xf numFmtId="0" fontId="86" fillId="14" borderId="260" xfId="0" applyFont="1" applyFill="1" applyBorder="1"/>
    <xf numFmtId="0" fontId="86" fillId="14" borderId="0" xfId="0" applyFont="1" applyFill="1" applyBorder="1" applyAlignment="1">
      <alignment horizontal="left"/>
    </xf>
    <xf numFmtId="0" fontId="86" fillId="14" borderId="0" xfId="0" applyFont="1" applyFill="1" applyBorder="1" applyAlignment="1">
      <alignment horizontal="center"/>
    </xf>
    <xf numFmtId="21" fontId="81" fillId="14" borderId="232" xfId="0" applyNumberFormat="1" applyFont="1" applyFill="1" applyBorder="1"/>
    <xf numFmtId="1" fontId="81" fillId="14" borderId="232" xfId="0" applyNumberFormat="1" applyFont="1" applyFill="1" applyBorder="1" applyAlignment="1">
      <alignment horizontal="center"/>
    </xf>
    <xf numFmtId="1" fontId="82" fillId="14" borderId="209" xfId="0" applyNumberFormat="1" applyFont="1" applyFill="1" applyBorder="1"/>
    <xf numFmtId="0" fontId="84" fillId="14" borderId="209" xfId="0" applyFont="1" applyFill="1" applyBorder="1"/>
    <xf numFmtId="0" fontId="84" fillId="14" borderId="209" xfId="0" applyFont="1" applyFill="1" applyBorder="1" applyAlignment="1">
      <alignment horizontal="center"/>
    </xf>
    <xf numFmtId="166" fontId="115" fillId="14" borderId="209" xfId="0" applyNumberFormat="1" applyFont="1" applyFill="1" applyBorder="1"/>
    <xf numFmtId="0" fontId="84" fillId="14" borderId="209" xfId="0" quotePrefix="1" applyFont="1" applyFill="1" applyBorder="1" applyAlignment="1">
      <alignment horizontal="left"/>
    </xf>
    <xf numFmtId="1" fontId="0" fillId="157" borderId="0" xfId="0" applyNumberFormat="1" applyFill="1" applyBorder="1"/>
    <xf numFmtId="0" fontId="90" fillId="158" borderId="145" xfId="0" applyFont="1" applyFill="1" applyBorder="1" applyProtection="1"/>
    <xf numFmtId="0" fontId="91" fillId="158" borderId="145" xfId="0" applyFont="1" applyFill="1" applyBorder="1" applyProtection="1"/>
    <xf numFmtId="21" fontId="89" fillId="157" borderId="76" xfId="0" applyNumberFormat="1" applyFont="1" applyFill="1" applyBorder="1"/>
    <xf numFmtId="0" fontId="88" fillId="158" borderId="145" xfId="0" applyFont="1" applyFill="1" applyBorder="1" applyAlignment="1" applyProtection="1">
      <alignment wrapText="1"/>
    </xf>
    <xf numFmtId="0" fontId="88" fillId="158" borderId="0" xfId="0" applyFont="1" applyFill="1" applyBorder="1" applyProtection="1"/>
    <xf numFmtId="166" fontId="114" fillId="158" borderId="0" xfId="0" applyNumberFormat="1" applyFont="1" applyFill="1" applyBorder="1" applyProtection="1"/>
    <xf numFmtId="21" fontId="85" fillId="157" borderId="76" xfId="0" quotePrefix="1" applyNumberFormat="1" applyFont="1" applyFill="1" applyBorder="1" applyAlignment="1">
      <alignment horizontal="center"/>
    </xf>
    <xf numFmtId="21" fontId="85" fillId="157" borderId="0" xfId="0" quotePrefix="1" applyNumberFormat="1" applyFont="1" applyFill="1" applyBorder="1" applyAlignment="1">
      <alignment horizontal="center"/>
    </xf>
    <xf numFmtId="0" fontId="0" fillId="158" borderId="145" xfId="0" applyFill="1" applyBorder="1" applyAlignment="1" applyProtection="1">
      <alignment horizontal="center"/>
    </xf>
    <xf numFmtId="0" fontId="0" fillId="158" borderId="145" xfId="0" applyFill="1" applyBorder="1" applyProtection="1"/>
    <xf numFmtId="0" fontId="90" fillId="158" borderId="83" xfId="0" applyFont="1" applyFill="1" applyBorder="1" applyProtection="1"/>
    <xf numFmtId="0" fontId="91" fillId="158" borderId="83" xfId="0" applyFont="1" applyFill="1" applyBorder="1" applyProtection="1"/>
    <xf numFmtId="21" fontId="89" fillId="157" borderId="35" xfId="0" applyNumberFormat="1" applyFont="1" applyFill="1" applyBorder="1"/>
    <xf numFmtId="0" fontId="88" fillId="158" borderId="83" xfId="0" applyFont="1" applyFill="1" applyBorder="1" applyProtection="1"/>
    <xf numFmtId="21" fontId="85" fillId="157" borderId="35" xfId="0" quotePrefix="1" applyNumberFormat="1" applyFont="1" applyFill="1" applyBorder="1" applyAlignment="1">
      <alignment horizontal="center"/>
    </xf>
    <xf numFmtId="0" fontId="0" fillId="158" borderId="83" xfId="0" applyFill="1" applyBorder="1" applyAlignment="1" applyProtection="1">
      <alignment horizontal="center"/>
    </xf>
    <xf numFmtId="0" fontId="0" fillId="158" borderId="83" xfId="0" applyFill="1" applyBorder="1" applyProtection="1"/>
    <xf numFmtId="0" fontId="89" fillId="108" borderId="208" xfId="0" applyFont="1" applyFill="1" applyBorder="1"/>
    <xf numFmtId="0" fontId="16" fillId="33" borderId="208" xfId="0" applyFont="1" applyFill="1" applyBorder="1" applyProtection="1"/>
    <xf numFmtId="0" fontId="0" fillId="14" borderId="232" xfId="0" applyFill="1" applyBorder="1"/>
    <xf numFmtId="0" fontId="0" fillId="15" borderId="201" xfId="0" applyFill="1" applyBorder="1"/>
    <xf numFmtId="0" fontId="336" fillId="143" borderId="60" xfId="0" applyFont="1" applyFill="1" applyBorder="1"/>
    <xf numFmtId="0" fontId="337" fillId="143" borderId="197" xfId="0" applyFont="1" applyFill="1" applyBorder="1"/>
    <xf numFmtId="0" fontId="88" fillId="158" borderId="145" xfId="0" applyFont="1" applyFill="1" applyBorder="1" applyAlignment="1" applyProtection="1"/>
    <xf numFmtId="176" fontId="88" fillId="158" borderId="0" xfId="0" applyNumberFormat="1" applyFont="1" applyFill="1" applyBorder="1" applyAlignment="1" applyProtection="1">
      <alignment horizontal="center"/>
    </xf>
    <xf numFmtId="21" fontId="152" fillId="157" borderId="76" xfId="0" applyNumberFormat="1" applyFont="1" applyFill="1" applyBorder="1"/>
    <xf numFmtId="21" fontId="86" fillId="157" borderId="76" xfId="0" quotePrefix="1" applyNumberFormat="1" applyFont="1" applyFill="1" applyBorder="1" applyAlignment="1">
      <alignment horizontal="center"/>
    </xf>
    <xf numFmtId="21" fontId="86" fillId="157" borderId="0" xfId="0" quotePrefix="1" applyNumberFormat="1" applyFont="1" applyFill="1" applyBorder="1" applyAlignment="1">
      <alignment horizontal="center"/>
    </xf>
    <xf numFmtId="0" fontId="19" fillId="158" borderId="145" xfId="0" applyFont="1" applyFill="1" applyBorder="1" applyAlignment="1" applyProtection="1">
      <alignment horizontal="center"/>
    </xf>
    <xf numFmtId="0" fontId="19" fillId="158" borderId="145" xfId="0" applyFont="1" applyFill="1" applyBorder="1" applyProtection="1"/>
    <xf numFmtId="0" fontId="2" fillId="3" borderId="209" xfId="0" applyFont="1" applyFill="1" applyBorder="1" applyProtection="1"/>
    <xf numFmtId="46" fontId="6" fillId="0" borderId="0" xfId="0" applyNumberFormat="1" applyFont="1"/>
    <xf numFmtId="0" fontId="5" fillId="0" borderId="0" xfId="0" applyFont="1" applyAlignment="1">
      <alignment horizontal="center"/>
    </xf>
    <xf numFmtId="0" fontId="49" fillId="3" borderId="0" xfId="0" applyFont="1" applyFill="1" applyAlignment="1" applyProtection="1">
      <alignment horizontal="center"/>
      <protection locked="0"/>
    </xf>
    <xf numFmtId="0" fontId="48" fillId="0" borderId="87" xfId="0" applyFont="1" applyFill="1" applyBorder="1" applyAlignment="1">
      <alignment horizontal="center" textRotation="90"/>
    </xf>
    <xf numFmtId="0" fontId="48" fillId="0" borderId="75" xfId="0" applyNumberFormat="1" applyFont="1" applyFill="1" applyBorder="1" applyAlignment="1">
      <alignment horizontal="center" textRotation="90"/>
    </xf>
    <xf numFmtId="0" fontId="122" fillId="3" borderId="0" xfId="0" applyFont="1" applyFill="1" applyAlignment="1" applyProtection="1">
      <alignment horizontal="center"/>
      <protection locked="0"/>
    </xf>
    <xf numFmtId="0" fontId="122" fillId="3" borderId="0" xfId="0" applyFont="1" applyFill="1" applyAlignment="1" applyProtection="1">
      <alignment horizontal="center"/>
    </xf>
    <xf numFmtId="0" fontId="49" fillId="3" borderId="0" xfId="0" applyFont="1" applyFill="1" applyAlignment="1" applyProtection="1">
      <alignment horizontal="center"/>
    </xf>
    <xf numFmtId="0" fontId="48" fillId="0" borderId="75" xfId="0" applyFont="1" applyFill="1" applyBorder="1" applyAlignment="1">
      <alignment horizontal="center"/>
    </xf>
    <xf numFmtId="0" fontId="202" fillId="19" borderId="35" xfId="0" applyFont="1" applyFill="1" applyBorder="1" applyAlignment="1">
      <alignment horizontal="center"/>
    </xf>
    <xf numFmtId="0" fontId="48" fillId="0" borderId="0" xfId="0" applyFont="1" applyBorder="1" applyAlignment="1" applyProtection="1">
      <alignment horizontal="center"/>
      <protection locked="0"/>
    </xf>
    <xf numFmtId="0" fontId="75" fillId="0" borderId="0" xfId="0" applyFont="1" applyBorder="1" applyAlignment="1">
      <alignment horizontal="center"/>
    </xf>
    <xf numFmtId="21" fontId="258" fillId="15" borderId="35" xfId="0" applyNumberFormat="1" applyFont="1" applyFill="1" applyBorder="1" applyAlignment="1">
      <alignment horizontal="center"/>
    </xf>
    <xf numFmtId="0" fontId="244" fillId="16" borderId="35" xfId="0" applyFont="1" applyFill="1" applyBorder="1" applyAlignment="1">
      <alignment horizontal="center"/>
    </xf>
    <xf numFmtId="0" fontId="122" fillId="3" borderId="79" xfId="0" applyFont="1" applyFill="1" applyBorder="1" applyAlignment="1" applyProtection="1">
      <alignment horizontal="center"/>
      <protection locked="0"/>
    </xf>
    <xf numFmtId="0" fontId="75" fillId="21" borderId="222" xfId="0" applyFont="1" applyFill="1" applyBorder="1" applyAlignment="1">
      <alignment horizontal="center"/>
    </xf>
    <xf numFmtId="0" fontId="75" fillId="3" borderId="0" xfId="0" applyFont="1" applyFill="1" applyAlignment="1" applyProtection="1">
      <alignment horizontal="center"/>
    </xf>
    <xf numFmtId="0" fontId="54" fillId="33" borderId="174" xfId="0" applyFont="1" applyFill="1" applyBorder="1" applyProtection="1"/>
    <xf numFmtId="0" fontId="54" fillId="19" borderId="117" xfId="0" applyFont="1" applyFill="1" applyBorder="1"/>
    <xf numFmtId="0" fontId="160" fillId="26" borderId="35" xfId="0" applyFont="1" applyFill="1" applyBorder="1"/>
    <xf numFmtId="21" fontId="160" fillId="26" borderId="35" xfId="0" applyNumberFormat="1" applyFont="1" applyFill="1" applyBorder="1"/>
    <xf numFmtId="21" fontId="10" fillId="15" borderId="35" xfId="0" applyNumberFormat="1" applyFont="1" applyFill="1" applyBorder="1"/>
    <xf numFmtId="0" fontId="81" fillId="14" borderId="32" xfId="0" applyNumberFormat="1" applyFont="1" applyFill="1" applyBorder="1"/>
    <xf numFmtId="0" fontId="8" fillId="19" borderId="35" xfId="0" quotePrefix="1" applyNumberFormat="1" applyFont="1" applyFill="1" applyBorder="1" applyAlignment="1">
      <alignment horizontal="center"/>
    </xf>
    <xf numFmtId="0" fontId="8" fillId="33" borderId="35" xfId="0" applyNumberFormat="1" applyFont="1" applyFill="1" applyBorder="1" applyAlignment="1" applyProtection="1">
      <alignment horizontal="center"/>
    </xf>
    <xf numFmtId="0" fontId="8" fillId="33" borderId="35" xfId="0" applyNumberFormat="1" applyFont="1" applyFill="1" applyBorder="1" applyProtection="1"/>
    <xf numFmtId="176" fontId="81" fillId="21" borderId="35" xfId="0" applyNumberFormat="1" applyFont="1" applyFill="1" applyBorder="1"/>
    <xf numFmtId="176" fontId="81" fillId="0" borderId="32" xfId="0" applyNumberFormat="1" applyFont="1" applyFill="1" applyBorder="1"/>
    <xf numFmtId="176" fontId="54" fillId="19" borderId="35" xfId="0" applyNumberFormat="1" applyFont="1" applyFill="1" applyBorder="1"/>
    <xf numFmtId="0" fontId="19" fillId="91" borderId="36" xfId="0" applyFont="1" applyFill="1" applyBorder="1"/>
    <xf numFmtId="1" fontId="0" fillId="0" borderId="0" xfId="0" applyNumberFormat="1"/>
    <xf numFmtId="21" fontId="86" fillId="14" borderId="222" xfId="0" applyNumberFormat="1" applyFont="1" applyFill="1" applyBorder="1"/>
    <xf numFmtId="21" fontId="152" fillId="17" borderId="76" xfId="0" applyNumberFormat="1" applyFont="1" applyFill="1" applyBorder="1" applyAlignment="1">
      <alignment horizontal="center"/>
    </xf>
    <xf numFmtId="21" fontId="86" fillId="21" borderId="35" xfId="0" applyNumberFormat="1" applyFont="1" applyFill="1" applyBorder="1" applyAlignment="1">
      <alignment horizontal="center"/>
    </xf>
    <xf numFmtId="21" fontId="158" fillId="19" borderId="35" xfId="0" applyNumberFormat="1" applyFont="1" applyFill="1" applyBorder="1"/>
    <xf numFmtId="1" fontId="19" fillId="148" borderId="111" xfId="0" applyNumberFormat="1" applyFont="1" applyFill="1" applyBorder="1"/>
    <xf numFmtId="0" fontId="216" fillId="148" borderId="111" xfId="0" applyFont="1" applyFill="1" applyBorder="1"/>
    <xf numFmtId="21" fontId="115" fillId="148" borderId="111" xfId="0" applyNumberFormat="1" applyFont="1" applyFill="1" applyBorder="1" applyAlignment="1">
      <alignment horizontal="center"/>
    </xf>
    <xf numFmtId="21" fontId="216" fillId="148" borderId="111" xfId="0" applyNumberFormat="1" applyFont="1" applyFill="1" applyBorder="1"/>
    <xf numFmtId="21" fontId="152" fillId="148" borderId="111" xfId="0" applyNumberFormat="1" applyFont="1" applyFill="1" applyBorder="1"/>
    <xf numFmtId="166" fontId="152" fillId="148" borderId="35" xfId="0" applyNumberFormat="1" applyFont="1" applyFill="1" applyBorder="1"/>
    <xf numFmtId="21" fontId="86" fillId="148" borderId="35" xfId="0" quotePrefix="1" applyNumberFormat="1" applyFont="1" applyFill="1" applyBorder="1" applyAlignment="1">
      <alignment horizontal="center"/>
    </xf>
    <xf numFmtId="0" fontId="152" fillId="148" borderId="35" xfId="0" applyFont="1" applyFill="1" applyBorder="1"/>
    <xf numFmtId="1" fontId="19" fillId="148" borderId="208" xfId="0" applyNumberFormat="1" applyFont="1" applyFill="1" applyBorder="1"/>
    <xf numFmtId="0" fontId="216" fillId="148" borderId="208" xfId="0" applyFont="1" applyFill="1" applyBorder="1"/>
    <xf numFmtId="0" fontId="99" fillId="19" borderId="35" xfId="0" quotePrefix="1" applyFont="1" applyFill="1" applyBorder="1" applyAlignment="1">
      <alignment horizontal="left"/>
    </xf>
    <xf numFmtId="0" fontId="270" fillId="162" borderId="117" xfId="0" applyFont="1" applyFill="1" applyBorder="1"/>
    <xf numFmtId="0" fontId="86" fillId="14" borderId="209" xfId="0" applyFont="1" applyFill="1" applyBorder="1" applyAlignment="1">
      <alignment wrapText="1"/>
    </xf>
    <xf numFmtId="21" fontId="81" fillId="14" borderId="209" xfId="0" applyNumberFormat="1" applyFont="1" applyFill="1" applyBorder="1" applyAlignment="1">
      <alignment wrapText="1"/>
    </xf>
    <xf numFmtId="1" fontId="343" fillId="123" borderId="79" xfId="0" applyNumberFormat="1" applyFont="1" applyFill="1" applyBorder="1" applyAlignment="1" applyProtection="1">
      <alignment horizontal="center"/>
      <protection locked="0"/>
    </xf>
    <xf numFmtId="1" fontId="291" fillId="0" borderId="209" xfId="0" applyNumberFormat="1" applyFont="1" applyFill="1" applyBorder="1"/>
    <xf numFmtId="0" fontId="291" fillId="0" borderId="209" xfId="0" applyFont="1" applyFill="1" applyBorder="1"/>
    <xf numFmtId="21" fontId="291" fillId="0" borderId="209" xfId="0" applyNumberFormat="1" applyFont="1" applyFill="1" applyBorder="1"/>
    <xf numFmtId="0" fontId="325" fillId="143" borderId="209" xfId="0" applyFont="1" applyFill="1" applyBorder="1" applyAlignment="1">
      <alignment horizontal="center"/>
    </xf>
    <xf numFmtId="166" fontId="19" fillId="3" borderId="0" xfId="0" applyNumberFormat="1" applyFont="1" applyFill="1" applyAlignment="1">
      <alignment horizontal="center"/>
    </xf>
    <xf numFmtId="21" fontId="10" fillId="3" borderId="0" xfId="0" applyNumberFormat="1" applyFont="1" applyFill="1" applyAlignment="1">
      <alignment horizontal="center"/>
    </xf>
    <xf numFmtId="3" fontId="9" fillId="3" borderId="0" xfId="0" applyNumberFormat="1" applyFont="1" applyFill="1" applyAlignment="1">
      <alignment horizontal="center"/>
    </xf>
    <xf numFmtId="177" fontId="9" fillId="0" borderId="262" xfId="0" applyNumberFormat="1" applyFont="1" applyBorder="1" applyAlignment="1">
      <alignment horizontal="center" textRotation="90"/>
    </xf>
    <xf numFmtId="166" fontId="7" fillId="0" borderId="262" xfId="0" applyNumberFormat="1" applyFont="1" applyBorder="1" applyAlignment="1">
      <alignment horizontal="center" textRotation="90"/>
    </xf>
    <xf numFmtId="177" fontId="9" fillId="0" borderId="179" xfId="0" applyNumberFormat="1" applyFont="1" applyBorder="1" applyAlignment="1">
      <alignment horizontal="center" textRotation="90"/>
    </xf>
    <xf numFmtId="166" fontId="7" fillId="0" borderId="179" xfId="0" applyNumberFormat="1" applyFont="1" applyBorder="1" applyAlignment="1">
      <alignment horizontal="center" textRotation="90"/>
    </xf>
    <xf numFmtId="0" fontId="5" fillId="0" borderId="92" xfId="0" applyFont="1" applyBorder="1" applyAlignment="1">
      <alignment horizontal="center" textRotation="90"/>
    </xf>
    <xf numFmtId="1" fontId="5" fillId="0" borderId="92" xfId="0" applyNumberFormat="1" applyFont="1" applyBorder="1" applyAlignment="1">
      <alignment horizontal="center" textRotation="90"/>
    </xf>
    <xf numFmtId="21" fontId="9" fillId="0" borderId="92" xfId="0" applyNumberFormat="1" applyFont="1" applyBorder="1" applyAlignment="1">
      <alignment horizontal="left"/>
    </xf>
    <xf numFmtId="0" fontId="9" fillId="0" borderId="92" xfId="0" applyFont="1" applyBorder="1" applyAlignment="1">
      <alignment horizontal="left"/>
    </xf>
    <xf numFmtId="177" fontId="9" fillId="0" borderId="92" xfId="0" applyNumberFormat="1" applyFont="1" applyBorder="1" applyAlignment="1">
      <alignment horizontal="left"/>
    </xf>
    <xf numFmtId="166" fontId="7" fillId="0" borderId="92" xfId="0" applyNumberFormat="1" applyFont="1" applyBorder="1" applyAlignment="1">
      <alignment horizontal="center"/>
    </xf>
    <xf numFmtId="0" fontId="9" fillId="0" borderId="92" xfId="0" applyFont="1" applyBorder="1" applyAlignment="1">
      <alignment horizontal="center" textRotation="90"/>
    </xf>
    <xf numFmtId="21" fontId="9" fillId="0" borderId="93" xfId="0" applyNumberFormat="1" applyFont="1" applyBorder="1" applyAlignment="1">
      <alignment horizontal="center" textRotation="90"/>
    </xf>
    <xf numFmtId="3" fontId="5" fillId="3" borderId="70" xfId="0" applyNumberFormat="1" applyFont="1" applyFill="1" applyBorder="1" applyAlignment="1">
      <alignment horizontal="center"/>
    </xf>
    <xf numFmtId="0" fontId="131" fillId="0" borderId="0" xfId="0" applyFont="1" applyAlignment="1">
      <alignment horizontal="center"/>
    </xf>
    <xf numFmtId="1" fontId="81" fillId="14" borderId="222" xfId="0" applyNumberFormat="1" applyFont="1" applyFill="1" applyBorder="1"/>
    <xf numFmtId="0" fontId="0" fillId="14" borderId="222" xfId="0" applyFill="1" applyBorder="1"/>
    <xf numFmtId="177" fontId="81" fillId="14" borderId="222" xfId="0" applyNumberFormat="1" applyFont="1" applyFill="1" applyBorder="1"/>
    <xf numFmtId="166" fontId="81" fillId="14" borderId="222" xfId="0" applyNumberFormat="1" applyFont="1" applyFill="1" applyBorder="1"/>
    <xf numFmtId="47" fontId="81" fillId="14" borderId="222" xfId="0" applyNumberFormat="1" applyFont="1" applyFill="1" applyBorder="1"/>
    <xf numFmtId="21" fontId="86" fillId="14" borderId="222" xfId="0" quotePrefix="1" applyNumberFormat="1" applyFont="1" applyFill="1" applyBorder="1" applyAlignment="1">
      <alignment horizontal="center"/>
    </xf>
    <xf numFmtId="1" fontId="86" fillId="14" borderId="222" xfId="0" applyNumberFormat="1" applyFont="1" applyFill="1" applyBorder="1" applyAlignment="1">
      <alignment horizontal="center"/>
    </xf>
    <xf numFmtId="0" fontId="19" fillId="14" borderId="222" xfId="0" applyFont="1" applyFill="1" applyBorder="1"/>
    <xf numFmtId="1" fontId="81" fillId="21" borderId="222" xfId="0" applyNumberFormat="1" applyFont="1" applyFill="1" applyBorder="1"/>
    <xf numFmtId="177" fontId="81" fillId="21" borderId="222" xfId="0" applyNumberFormat="1" applyFont="1" applyFill="1" applyBorder="1"/>
    <xf numFmtId="166" fontId="19" fillId="21" borderId="222" xfId="0" applyNumberFormat="1" applyFont="1" applyFill="1" applyBorder="1"/>
    <xf numFmtId="47" fontId="81" fillId="21" borderId="222" xfId="0" applyNumberFormat="1" applyFont="1" applyFill="1" applyBorder="1"/>
    <xf numFmtId="21" fontId="86" fillId="21" borderId="222" xfId="0" quotePrefix="1" applyNumberFormat="1" applyFont="1" applyFill="1" applyBorder="1" applyAlignment="1">
      <alignment horizontal="center"/>
    </xf>
    <xf numFmtId="1" fontId="86" fillId="21" borderId="222" xfId="0" applyNumberFormat="1" applyFont="1" applyFill="1" applyBorder="1" applyAlignment="1">
      <alignment horizontal="center"/>
    </xf>
    <xf numFmtId="0" fontId="19" fillId="21" borderId="238" xfId="0" applyFont="1" applyFill="1" applyBorder="1"/>
    <xf numFmtId="1" fontId="0" fillId="15" borderId="222" xfId="0" applyNumberFormat="1" applyFill="1" applyBorder="1"/>
    <xf numFmtId="0" fontId="0" fillId="15" borderId="222" xfId="0" applyFill="1" applyBorder="1"/>
    <xf numFmtId="21" fontId="0" fillId="15" borderId="222" xfId="0" applyNumberFormat="1" applyFill="1" applyBorder="1"/>
    <xf numFmtId="0" fontId="10" fillId="15" borderId="222" xfId="0" applyFont="1" applyFill="1" applyBorder="1" applyAlignment="1">
      <alignment horizontal="left"/>
    </xf>
    <xf numFmtId="177" fontId="19" fillId="15" borderId="222" xfId="0" applyNumberFormat="1" applyFont="1" applyFill="1" applyBorder="1"/>
    <xf numFmtId="166" fontId="19" fillId="15" borderId="222" xfId="0" applyNumberFormat="1" applyFont="1" applyFill="1" applyBorder="1"/>
    <xf numFmtId="47" fontId="19" fillId="15" borderId="222" xfId="0" applyNumberFormat="1" applyFont="1" applyFill="1" applyBorder="1"/>
    <xf numFmtId="21" fontId="19" fillId="15" borderId="222" xfId="0" applyNumberFormat="1" applyFont="1" applyFill="1" applyBorder="1"/>
    <xf numFmtId="21" fontId="86" fillId="15" borderId="222" xfId="0" quotePrefix="1" applyNumberFormat="1" applyFont="1" applyFill="1" applyBorder="1" applyAlignment="1">
      <alignment horizontal="center"/>
    </xf>
    <xf numFmtId="0" fontId="86" fillId="15" borderId="222" xfId="0" applyFont="1" applyFill="1" applyBorder="1" applyAlignment="1">
      <alignment horizontal="center"/>
    </xf>
    <xf numFmtId="0" fontId="19" fillId="15" borderId="222" xfId="0" applyFont="1" applyFill="1" applyBorder="1"/>
    <xf numFmtId="1" fontId="130" fillId="0" borderId="0" xfId="0" applyNumberFormat="1" applyFont="1"/>
    <xf numFmtId="1" fontId="135" fillId="0" borderId="0" xfId="0" applyNumberFormat="1" applyFont="1" applyAlignment="1" applyProtection="1">
      <alignment horizontal="center"/>
      <protection locked="0"/>
    </xf>
    <xf numFmtId="166" fontId="135" fillId="0" borderId="0" xfId="0" applyNumberFormat="1" applyFont="1" applyAlignment="1" applyProtection="1">
      <alignment horizontal="center"/>
      <protection locked="0"/>
    </xf>
    <xf numFmtId="0" fontId="199" fillId="0" borderId="102" xfId="0" applyFont="1" applyBorder="1"/>
    <xf numFmtId="1" fontId="16" fillId="29" borderId="0" xfId="0" applyNumberFormat="1" applyFont="1" applyFill="1"/>
    <xf numFmtId="0" fontId="16" fillId="30" borderId="273" xfId="0" applyFont="1" applyFill="1" applyBorder="1"/>
    <xf numFmtId="0" fontId="8" fillId="30" borderId="273" xfId="0" applyFont="1" applyFill="1" applyBorder="1"/>
    <xf numFmtId="177" fontId="160" fillId="29" borderId="209" xfId="0" applyNumberFormat="1" applyFont="1" applyFill="1" applyBorder="1"/>
    <xf numFmtId="166" fontId="54" fillId="30" borderId="0" xfId="0" applyNumberFormat="1" applyFont="1" applyFill="1"/>
    <xf numFmtId="47" fontId="160" fillId="29" borderId="209" xfId="0" applyNumberFormat="1" applyFont="1" applyFill="1" applyBorder="1"/>
    <xf numFmtId="21" fontId="106" fillId="29" borderId="0" xfId="0" quotePrefix="1" applyNumberFormat="1" applyFont="1" applyFill="1" applyAlignment="1">
      <alignment horizontal="center"/>
    </xf>
    <xf numFmtId="0" fontId="54" fillId="30" borderId="273" xfId="0" applyFont="1" applyFill="1" applyBorder="1" applyAlignment="1">
      <alignment horizontal="center"/>
    </xf>
    <xf numFmtId="0" fontId="54" fillId="30" borderId="273" xfId="0" applyFont="1" applyFill="1" applyBorder="1"/>
    <xf numFmtId="0" fontId="2" fillId="18" borderId="273" xfId="0" applyFont="1" applyFill="1" applyBorder="1"/>
    <xf numFmtId="0" fontId="88" fillId="18" borderId="273" xfId="0" quotePrefix="1" applyFont="1" applyFill="1" applyBorder="1" applyAlignment="1">
      <alignment horizontal="left"/>
    </xf>
    <xf numFmtId="177" fontId="152" fillId="17" borderId="209" xfId="0" applyNumberFormat="1" applyFont="1" applyFill="1" applyBorder="1"/>
    <xf numFmtId="166" fontId="164" fillId="18" borderId="0" xfId="0" applyNumberFormat="1" applyFont="1" applyFill="1"/>
    <xf numFmtId="47" fontId="152" fillId="17" borderId="209" xfId="0" applyNumberFormat="1" applyFont="1" applyFill="1" applyBorder="1"/>
    <xf numFmtId="21" fontId="152" fillId="17" borderId="209" xfId="0" applyNumberFormat="1" applyFont="1" applyFill="1" applyBorder="1"/>
    <xf numFmtId="21" fontId="86" fillId="17" borderId="209" xfId="0" quotePrefix="1" applyNumberFormat="1" applyFont="1" applyFill="1" applyBorder="1" applyAlignment="1">
      <alignment horizontal="center"/>
    </xf>
    <xf numFmtId="0" fontId="19" fillId="18" borderId="273" xfId="0" applyFont="1" applyFill="1" applyBorder="1"/>
    <xf numFmtId="1" fontId="130" fillId="0" borderId="79" xfId="0" applyNumberFormat="1" applyFont="1" applyBorder="1"/>
    <xf numFmtId="1" fontId="135" fillId="0" borderId="79" xfId="0" applyNumberFormat="1" applyFont="1" applyBorder="1" applyAlignment="1" applyProtection="1">
      <alignment horizontal="center"/>
      <protection locked="0"/>
    </xf>
    <xf numFmtId="166" fontId="135" fillId="0" borderId="79" xfId="0" applyNumberFormat="1" applyFont="1" applyBorder="1" applyAlignment="1" applyProtection="1">
      <alignment horizontal="center"/>
      <protection locked="0"/>
    </xf>
    <xf numFmtId="0" fontId="199" fillId="0" borderId="113" xfId="0" applyFont="1" applyBorder="1"/>
    <xf numFmtId="0" fontId="131" fillId="24" borderId="189" xfId="0" applyFont="1" applyFill="1" applyBorder="1" applyAlignment="1">
      <alignment horizontal="center"/>
    </xf>
    <xf numFmtId="1" fontId="0" fillId="91" borderId="209" xfId="0" applyNumberFormat="1" applyFill="1" applyBorder="1"/>
    <xf numFmtId="0" fontId="0" fillId="91" borderId="209" xfId="0" applyFill="1" applyBorder="1"/>
    <xf numFmtId="21" fontId="0" fillId="91" borderId="209" xfId="0" applyNumberFormat="1" applyFill="1" applyBorder="1"/>
    <xf numFmtId="0" fontId="10" fillId="91" borderId="209" xfId="0" quotePrefix="1" applyFont="1" applyFill="1" applyBorder="1" applyAlignment="1">
      <alignment horizontal="left"/>
    </xf>
    <xf numFmtId="176" fontId="10" fillId="91" borderId="209" xfId="0" applyNumberFormat="1" applyFont="1" applyFill="1" applyBorder="1"/>
    <xf numFmtId="166" fontId="109" fillId="91" borderId="209" xfId="0" applyNumberFormat="1" applyFont="1" applyFill="1" applyBorder="1"/>
    <xf numFmtId="21" fontId="85" fillId="91" borderId="209" xfId="0" quotePrefix="1" applyNumberFormat="1" applyFont="1" applyFill="1" applyBorder="1" applyAlignment="1">
      <alignment horizontal="center"/>
    </xf>
    <xf numFmtId="0" fontId="86" fillId="91" borderId="209" xfId="0" applyFont="1" applyFill="1" applyBorder="1" applyAlignment="1">
      <alignment horizontal="center"/>
    </xf>
    <xf numFmtId="0" fontId="88" fillId="18" borderId="273" xfId="0" applyFont="1" applyFill="1" applyBorder="1"/>
    <xf numFmtId="0" fontId="0" fillId="18" borderId="273" xfId="0" applyFill="1" applyBorder="1" applyAlignment="1">
      <alignment horizontal="center"/>
    </xf>
    <xf numFmtId="0" fontId="0" fillId="18" borderId="273" xfId="0" applyFill="1" applyBorder="1"/>
    <xf numFmtId="166" fontId="77" fillId="33" borderId="209" xfId="0" applyNumberFormat="1" applyFont="1" applyFill="1" applyBorder="1"/>
    <xf numFmtId="0" fontId="99" fillId="19" borderId="273" xfId="0" applyFont="1" applyFill="1" applyBorder="1"/>
    <xf numFmtId="21" fontId="85" fillId="14" borderId="216" xfId="0" applyNumberFormat="1" applyFont="1" applyFill="1" applyBorder="1"/>
    <xf numFmtId="176" fontId="189" fillId="14" borderId="209" xfId="0" applyNumberFormat="1" applyFont="1" applyFill="1" applyBorder="1"/>
    <xf numFmtId="0" fontId="171" fillId="21" borderId="210" xfId="0" applyFont="1" applyFill="1" applyBorder="1"/>
    <xf numFmtId="1" fontId="171" fillId="17" borderId="0" xfId="0" applyNumberFormat="1" applyFont="1" applyFill="1"/>
    <xf numFmtId="0" fontId="171" fillId="18" borderId="273" xfId="0" applyFont="1" applyFill="1" applyBorder="1"/>
    <xf numFmtId="21" fontId="192" fillId="17" borderId="209" xfId="0" applyNumberFormat="1" applyFont="1" applyFill="1" applyBorder="1"/>
    <xf numFmtId="176" fontId="185" fillId="17" borderId="209" xfId="0" applyNumberFormat="1" applyFont="1" applyFill="1" applyBorder="1"/>
    <xf numFmtId="166" fontId="344" fillId="18" borderId="0" xfId="0" applyNumberFormat="1" applyFont="1" applyFill="1"/>
    <xf numFmtId="21" fontId="230" fillId="17" borderId="209" xfId="0" quotePrefix="1" applyNumberFormat="1" applyFont="1" applyFill="1" applyBorder="1" applyAlignment="1">
      <alignment horizontal="center"/>
    </xf>
    <xf numFmtId="21" fontId="230" fillId="17" borderId="0" xfId="0" quotePrefix="1" applyNumberFormat="1" applyFont="1" applyFill="1" applyAlignment="1">
      <alignment horizontal="center"/>
    </xf>
    <xf numFmtId="0" fontId="234" fillId="18" borderId="0" xfId="0" quotePrefix="1" applyFont="1" applyFill="1" applyAlignment="1">
      <alignment horizontal="left"/>
    </xf>
    <xf numFmtId="0" fontId="171" fillId="18" borderId="0" xfId="0" applyFont="1" applyFill="1" applyAlignment="1">
      <alignment horizontal="center"/>
    </xf>
    <xf numFmtId="0" fontId="232" fillId="19" borderId="273" xfId="0" applyFont="1" applyFill="1" applyBorder="1"/>
    <xf numFmtId="21" fontId="230" fillId="14" borderId="216" xfId="0" applyNumberFormat="1" applyFont="1" applyFill="1" applyBorder="1"/>
    <xf numFmtId="0" fontId="236" fillId="0" borderId="113" xfId="0" applyFont="1" applyBorder="1"/>
    <xf numFmtId="0" fontId="131" fillId="0" borderId="96" xfId="0" applyFont="1" applyBorder="1" applyAlignment="1">
      <alignment horizontal="center"/>
    </xf>
    <xf numFmtId="1" fontId="130" fillId="24" borderId="0" xfId="0" applyNumberFormat="1" applyFont="1" applyFill="1"/>
    <xf numFmtId="1" fontId="135" fillId="24" borderId="0" xfId="0" applyNumberFormat="1" applyFont="1" applyFill="1" applyAlignment="1" applyProtection="1">
      <alignment horizontal="center"/>
      <protection locked="0"/>
    </xf>
    <xf numFmtId="166" fontId="135" fillId="24" borderId="0" xfId="0" applyNumberFormat="1" applyFont="1" applyFill="1" applyAlignment="1" applyProtection="1">
      <alignment horizontal="center"/>
      <protection locked="0"/>
    </xf>
    <xf numFmtId="0" fontId="199" fillId="24" borderId="0" xfId="0" applyFont="1" applyFill="1"/>
    <xf numFmtId="0" fontId="8" fillId="30" borderId="273" xfId="0" applyFont="1" applyFill="1" applyBorder="1" applyAlignment="1">
      <alignment wrapText="1"/>
    </xf>
    <xf numFmtId="177" fontId="54" fillId="19" borderId="209" xfId="0" applyNumberFormat="1" applyFont="1" applyFill="1" applyBorder="1"/>
    <xf numFmtId="166" fontId="54" fillId="33" borderId="209" xfId="0" applyNumberFormat="1" applyFont="1" applyFill="1" applyBorder="1"/>
    <xf numFmtId="47" fontId="54" fillId="19" borderId="209" xfId="0" applyNumberFormat="1" applyFont="1" applyFill="1" applyBorder="1"/>
    <xf numFmtId="21" fontId="160" fillId="19" borderId="209" xfId="0" applyNumberFormat="1" applyFont="1" applyFill="1" applyBorder="1"/>
    <xf numFmtId="21" fontId="106" fillId="19" borderId="209" xfId="0" quotePrefix="1" applyNumberFormat="1" applyFont="1" applyFill="1" applyBorder="1" applyAlignment="1">
      <alignment horizontal="center"/>
    </xf>
    <xf numFmtId="0" fontId="160" fillId="19" borderId="273" xfId="0" applyFont="1" applyFill="1" applyBorder="1"/>
    <xf numFmtId="0" fontId="8" fillId="14" borderId="209" xfId="0" applyFont="1" applyFill="1" applyBorder="1"/>
    <xf numFmtId="0" fontId="19" fillId="15" borderId="209" xfId="0" applyFont="1" applyFill="1" applyBorder="1"/>
    <xf numFmtId="1" fontId="0" fillId="20" borderId="0" xfId="0" applyNumberFormat="1" applyFill="1"/>
    <xf numFmtId="0" fontId="160" fillId="19" borderId="209" xfId="0" quotePrefix="1" applyFont="1" applyFill="1" applyBorder="1" applyAlignment="1">
      <alignment horizontal="left"/>
    </xf>
    <xf numFmtId="166" fontId="160" fillId="19" borderId="209" xfId="0" applyNumberFormat="1" applyFont="1" applyFill="1" applyBorder="1"/>
    <xf numFmtId="0" fontId="106" fillId="19" borderId="209" xfId="0" quotePrefix="1" applyFont="1" applyFill="1" applyBorder="1" applyAlignment="1">
      <alignment horizontal="left"/>
    </xf>
    <xf numFmtId="0" fontId="19" fillId="16" borderId="253" xfId="0" applyFont="1" applyFill="1" applyBorder="1"/>
    <xf numFmtId="21" fontId="81" fillId="16" borderId="253" xfId="0" applyNumberFormat="1" applyFont="1" applyFill="1" applyBorder="1"/>
    <xf numFmtId="0" fontId="10" fillId="16" borderId="253" xfId="0" applyFont="1" applyFill="1" applyBorder="1"/>
    <xf numFmtId="177" fontId="81" fillId="16" borderId="253" xfId="0" applyNumberFormat="1" applyFont="1" applyFill="1" applyBorder="1"/>
    <xf numFmtId="166" fontId="19" fillId="16" borderId="253" xfId="0" applyNumberFormat="1" applyFont="1" applyFill="1" applyBorder="1"/>
    <xf numFmtId="47" fontId="81" fillId="16" borderId="253" xfId="0" applyNumberFormat="1" applyFont="1" applyFill="1" applyBorder="1"/>
    <xf numFmtId="21" fontId="86" fillId="16" borderId="253" xfId="0" applyNumberFormat="1" applyFont="1" applyFill="1" applyBorder="1" applyAlignment="1">
      <alignment horizontal="center"/>
    </xf>
    <xf numFmtId="1" fontId="86" fillId="16" borderId="253" xfId="0" applyNumberFormat="1" applyFont="1" applyFill="1" applyBorder="1" applyAlignment="1">
      <alignment horizontal="center"/>
    </xf>
    <xf numFmtId="0" fontId="10" fillId="163" borderId="273" xfId="0" applyFont="1" applyFill="1" applyBorder="1" applyAlignment="1">
      <alignment horizontal="center"/>
    </xf>
    <xf numFmtId="0" fontId="88" fillId="18" borderId="273" xfId="0" quotePrefix="1" applyFont="1" applyFill="1" applyBorder="1" applyAlignment="1">
      <alignment horizontal="center"/>
    </xf>
    <xf numFmtId="0" fontId="131" fillId="24" borderId="12" xfId="0" applyFont="1" applyFill="1" applyBorder="1" applyAlignment="1">
      <alignment horizontal="center"/>
    </xf>
    <xf numFmtId="0" fontId="131" fillId="0" borderId="97" xfId="0" applyFont="1" applyBorder="1" applyAlignment="1">
      <alignment horizontal="center"/>
    </xf>
    <xf numFmtId="165" fontId="126" fillId="3" borderId="193" xfId="0" applyNumberFormat="1" applyFont="1" applyFill="1" applyBorder="1"/>
    <xf numFmtId="177" fontId="8" fillId="3" borderId="0" xfId="0" applyNumberFormat="1" applyFont="1" applyFill="1" applyAlignment="1">
      <alignment horizontal="center"/>
    </xf>
    <xf numFmtId="166" fontId="54" fillId="3" borderId="0" xfId="0" applyNumberFormat="1" applyFont="1" applyFill="1" applyAlignment="1">
      <alignment horizontal="center"/>
    </xf>
    <xf numFmtId="21" fontId="8" fillId="3" borderId="0" xfId="0" applyNumberFormat="1" applyFont="1" applyFill="1" applyAlignment="1">
      <alignment horizontal="center"/>
    </xf>
    <xf numFmtId="177" fontId="10" fillId="3" borderId="0" xfId="0" applyNumberFormat="1" applyFont="1" applyFill="1" applyAlignment="1">
      <alignment horizontal="center"/>
    </xf>
    <xf numFmtId="177" fontId="19" fillId="3" borderId="0" xfId="0" applyNumberFormat="1" applyFont="1" applyFill="1"/>
    <xf numFmtId="21" fontId="82" fillId="161" borderId="245" xfId="0" applyNumberFormat="1" applyFont="1" applyFill="1" applyBorder="1" applyAlignment="1">
      <alignment wrapText="1"/>
    </xf>
    <xf numFmtId="21" fontId="82" fillId="161" borderId="179" xfId="0" applyNumberFormat="1" applyFont="1" applyFill="1" applyBorder="1" applyAlignment="1">
      <alignment wrapText="1"/>
    </xf>
    <xf numFmtId="21" fontId="82" fillId="161" borderId="201" xfId="0" applyNumberFormat="1" applyFont="1" applyFill="1" applyBorder="1" applyAlignment="1">
      <alignment wrapText="1"/>
    </xf>
    <xf numFmtId="21" fontId="16" fillId="164" borderId="209" xfId="0" applyNumberFormat="1" applyFont="1" applyFill="1" applyBorder="1"/>
    <xf numFmtId="21" fontId="192" fillId="164" borderId="209" xfId="0" applyNumberFormat="1" applyFont="1" applyFill="1" applyBorder="1"/>
    <xf numFmtId="21" fontId="188" fillId="164" borderId="209" xfId="0" applyNumberFormat="1" applyFont="1" applyFill="1" applyBorder="1"/>
    <xf numFmtId="21" fontId="186" fillId="164" borderId="209" xfId="0" applyNumberFormat="1" applyFont="1" applyFill="1" applyBorder="1"/>
    <xf numFmtId="0" fontId="346" fillId="18" borderId="273" xfId="0" applyFont="1" applyFill="1" applyBorder="1"/>
    <xf numFmtId="0" fontId="171" fillId="18" borderId="275" xfId="0" applyFont="1" applyFill="1" applyBorder="1"/>
    <xf numFmtId="0" fontId="171" fillId="15" borderId="232" xfId="0" applyFont="1" applyFill="1" applyBorder="1"/>
    <xf numFmtId="0" fontId="171" fillId="21" borderId="201" xfId="0" applyFont="1" applyFill="1" applyBorder="1"/>
    <xf numFmtId="0" fontId="345" fillId="18" borderId="58" xfId="0" applyFont="1" applyFill="1" applyBorder="1"/>
    <xf numFmtId="0" fontId="345" fillId="18" borderId="197" xfId="0" applyFont="1" applyFill="1" applyBorder="1"/>
    <xf numFmtId="21" fontId="99" fillId="93" borderId="209" xfId="0" applyNumberFormat="1" applyFont="1" applyFill="1" applyBorder="1"/>
    <xf numFmtId="21" fontId="16" fillId="141" borderId="209" xfId="0" applyNumberFormat="1" applyFont="1" applyFill="1" applyBorder="1"/>
    <xf numFmtId="0" fontId="47" fillId="3" borderId="0" xfId="0" applyFont="1" applyFill="1"/>
    <xf numFmtId="0" fontId="7" fillId="3" borderId="0" xfId="0" applyFont="1" applyFill="1" applyAlignment="1">
      <alignment horizontal="left"/>
    </xf>
    <xf numFmtId="0" fontId="54" fillId="3" borderId="0" xfId="0" applyFont="1" applyFill="1" applyAlignment="1">
      <alignment horizontal="center"/>
    </xf>
    <xf numFmtId="0" fontId="7" fillId="3" borderId="0" xfId="0" applyFont="1" applyFill="1"/>
    <xf numFmtId="0" fontId="9" fillId="3" borderId="0" xfId="0" applyFont="1" applyFill="1"/>
    <xf numFmtId="1" fontId="19" fillId="3" borderId="0" xfId="0" applyNumberFormat="1" applyFont="1" applyFill="1"/>
    <xf numFmtId="0" fontId="10" fillId="3" borderId="0" xfId="0" applyFont="1" applyFill="1" applyAlignment="1">
      <alignment horizontal="left"/>
    </xf>
    <xf numFmtId="0" fontId="45" fillId="3" borderId="0" xfId="0" applyFont="1" applyFill="1" applyAlignment="1">
      <alignment horizontal="left"/>
    </xf>
    <xf numFmtId="45" fontId="54" fillId="3" borderId="0" xfId="0" applyNumberFormat="1" applyFont="1" applyFill="1" applyAlignment="1">
      <alignment horizontal="left"/>
    </xf>
    <xf numFmtId="1" fontId="9" fillId="0" borderId="92" xfId="0" applyNumberFormat="1" applyFont="1" applyBorder="1" applyAlignment="1">
      <alignment horizontal="center" textRotation="90"/>
    </xf>
    <xf numFmtId="3" fontId="9" fillId="3" borderId="70" xfId="0" applyNumberFormat="1" applyFont="1" applyFill="1" applyBorder="1" applyAlignment="1">
      <alignment horizontal="center"/>
    </xf>
    <xf numFmtId="0" fontId="54" fillId="0" borderId="0" xfId="0" applyFont="1"/>
    <xf numFmtId="45" fontId="54" fillId="3" borderId="0" xfId="0" applyNumberFormat="1" applyFont="1" applyFill="1" applyAlignment="1">
      <alignment horizontal="center"/>
    </xf>
    <xf numFmtId="0" fontId="134" fillId="24" borderId="222" xfId="0" applyFont="1" applyFill="1" applyBorder="1" applyAlignment="1">
      <alignment horizontal="center"/>
    </xf>
    <xf numFmtId="0" fontId="19" fillId="21" borderId="222" xfId="0" applyFont="1" applyFill="1" applyBorder="1"/>
    <xf numFmtId="21" fontId="81" fillId="21" borderId="222" xfId="0" applyNumberFormat="1" applyFont="1" applyFill="1" applyBorder="1"/>
    <xf numFmtId="1" fontId="19" fillId="15" borderId="222" xfId="0" applyNumberFormat="1" applyFont="1" applyFill="1" applyBorder="1"/>
    <xf numFmtId="1" fontId="135" fillId="0" borderId="0" xfId="0" applyNumberFormat="1" applyFont="1"/>
    <xf numFmtId="1" fontId="54" fillId="29" borderId="0" xfId="0" applyNumberFormat="1" applyFont="1" applyFill="1"/>
    <xf numFmtId="0" fontId="134" fillId="0" borderId="12" xfId="0" applyFont="1" applyBorder="1" applyAlignment="1">
      <alignment horizontal="center"/>
    </xf>
    <xf numFmtId="0" fontId="134" fillId="0" borderId="0" xfId="0" applyFont="1" applyAlignment="1">
      <alignment horizontal="center"/>
    </xf>
    <xf numFmtId="1" fontId="135" fillId="0" borderId="79" xfId="0" applyNumberFormat="1" applyFont="1" applyBorder="1"/>
    <xf numFmtId="1" fontId="19" fillId="15" borderId="209" xfId="0" applyNumberFormat="1" applyFont="1" applyFill="1" applyBorder="1"/>
    <xf numFmtId="1" fontId="19" fillId="19" borderId="209" xfId="0" applyNumberFormat="1" applyFont="1" applyFill="1" applyBorder="1"/>
    <xf numFmtId="0" fontId="54" fillId="33" borderId="209" xfId="0" applyFont="1" applyFill="1" applyBorder="1"/>
    <xf numFmtId="21" fontId="54" fillId="19" borderId="209" xfId="0" applyNumberFormat="1" applyFont="1" applyFill="1" applyBorder="1"/>
    <xf numFmtId="0" fontId="134" fillId="0" borderId="96" xfId="0" applyFont="1" applyBorder="1" applyAlignment="1">
      <alignment horizontal="center"/>
    </xf>
    <xf numFmtId="165" fontId="165" fillId="3" borderId="0" xfId="0" applyNumberFormat="1" applyFont="1" applyFill="1"/>
    <xf numFmtId="0" fontId="134" fillId="24" borderId="189" xfId="0" applyFont="1" applyFill="1" applyBorder="1" applyAlignment="1">
      <alignment horizontal="center"/>
    </xf>
    <xf numFmtId="0" fontId="134" fillId="24" borderId="96" xfId="0" applyFont="1" applyFill="1" applyBorder="1" applyAlignment="1">
      <alignment horizontal="center"/>
    </xf>
    <xf numFmtId="0" fontId="134" fillId="24" borderId="12" xfId="0" applyFont="1" applyFill="1" applyBorder="1" applyAlignment="1">
      <alignment horizontal="center"/>
    </xf>
    <xf numFmtId="21" fontId="81" fillId="14" borderId="253" xfId="0" applyNumberFormat="1" applyFont="1" applyFill="1" applyBorder="1"/>
    <xf numFmtId="1" fontId="19" fillId="19" borderId="253" xfId="0" applyNumberFormat="1" applyFont="1" applyFill="1" applyBorder="1"/>
    <xf numFmtId="0" fontId="54" fillId="33" borderId="253" xfId="0" applyFont="1" applyFill="1" applyBorder="1"/>
    <xf numFmtId="21" fontId="54" fillId="19" borderId="253" xfId="0" applyNumberFormat="1" applyFont="1" applyFill="1" applyBorder="1"/>
    <xf numFmtId="0" fontId="8" fillId="33" borderId="253" xfId="0" applyFont="1" applyFill="1" applyBorder="1" applyAlignment="1">
      <alignment horizontal="left"/>
    </xf>
    <xf numFmtId="166" fontId="54" fillId="33" borderId="253" xfId="0" applyNumberFormat="1" applyFont="1" applyFill="1" applyBorder="1" applyAlignment="1">
      <alignment horizontal="left"/>
    </xf>
    <xf numFmtId="21" fontId="106" fillId="19" borderId="253" xfId="0" applyNumberFormat="1" applyFont="1" applyFill="1" applyBorder="1" applyAlignment="1">
      <alignment horizontal="center"/>
    </xf>
    <xf numFmtId="0" fontId="107" fillId="33" borderId="201" xfId="0" applyFont="1" applyFill="1" applyBorder="1" applyAlignment="1">
      <alignment horizontal="center"/>
    </xf>
    <xf numFmtId="3" fontId="9" fillId="3" borderId="72" xfId="0" applyNumberFormat="1" applyFont="1" applyFill="1" applyBorder="1" applyAlignment="1">
      <alignment horizontal="center" vertical="center"/>
    </xf>
    <xf numFmtId="165" fontId="67" fillId="13" borderId="269" xfId="0" applyNumberFormat="1" applyFont="1" applyFill="1" applyBorder="1" applyAlignment="1">
      <alignment horizontal="center" vertical="center"/>
    </xf>
    <xf numFmtId="165" fontId="165" fillId="3" borderId="193" xfId="0" applyNumberFormat="1" applyFont="1" applyFill="1" applyBorder="1"/>
    <xf numFmtId="0" fontId="19" fillId="3" borderId="0" xfId="0" applyFont="1" applyFill="1" applyAlignment="1">
      <alignment horizontal="center"/>
    </xf>
    <xf numFmtId="21" fontId="8" fillId="3" borderId="0" xfId="0" applyNumberFormat="1" applyFont="1" applyFill="1"/>
    <xf numFmtId="1" fontId="54" fillId="3" borderId="0" xfId="0" applyNumberFormat="1" applyFont="1" applyFill="1"/>
    <xf numFmtId="0" fontId="8" fillId="3" borderId="0" xfId="0" applyFont="1" applyFill="1" applyAlignment="1">
      <alignment horizontal="center"/>
    </xf>
    <xf numFmtId="0" fontId="144" fillId="3" borderId="0" xfId="0" applyFont="1" applyFill="1" applyAlignment="1">
      <alignment horizontal="center"/>
    </xf>
    <xf numFmtId="0" fontId="9" fillId="0" borderId="243" xfId="0" applyFont="1" applyBorder="1" applyAlignment="1">
      <alignment horizontal="center" textRotation="90" wrapText="1"/>
    </xf>
    <xf numFmtId="0" fontId="9" fillId="0" borderId="261" xfId="0" applyFont="1" applyBorder="1" applyAlignment="1">
      <alignment horizontal="center" textRotation="90" wrapText="1"/>
    </xf>
    <xf numFmtId="0" fontId="9" fillId="0" borderId="245" xfId="0" applyFont="1" applyBorder="1" applyAlignment="1">
      <alignment horizontal="center" textRotation="90" wrapText="1"/>
    </xf>
    <xf numFmtId="1" fontId="9" fillId="0" borderId="245" xfId="0" applyNumberFormat="1" applyFont="1" applyBorder="1" applyAlignment="1">
      <alignment horizontal="center" textRotation="90" wrapText="1"/>
    </xf>
    <xf numFmtId="21" fontId="9" fillId="0" borderId="262" xfId="0" applyNumberFormat="1" applyFont="1" applyBorder="1" applyAlignment="1">
      <alignment horizontal="center" textRotation="90" wrapText="1"/>
    </xf>
    <xf numFmtId="166" fontId="108" fillId="0" borderId="262" xfId="0" applyNumberFormat="1" applyFont="1" applyBorder="1" applyAlignment="1">
      <alignment horizontal="center" textRotation="90" wrapText="1"/>
    </xf>
    <xf numFmtId="0" fontId="9" fillId="0" borderId="245" xfId="0" applyFont="1" applyBorder="1" applyAlignment="1">
      <alignment horizontal="center" vertical="justify" textRotation="90" wrapText="1"/>
    </xf>
    <xf numFmtId="21" fontId="9" fillId="0" borderId="263" xfId="0" applyNumberFormat="1" applyFont="1" applyBorder="1" applyAlignment="1">
      <alignment horizontal="center" textRotation="90" wrapText="1"/>
    </xf>
    <xf numFmtId="3" fontId="9" fillId="3" borderId="249" xfId="0" applyNumberFormat="1" applyFont="1" applyFill="1" applyBorder="1" applyAlignment="1">
      <alignment horizontal="center" textRotation="90" wrapText="1"/>
    </xf>
    <xf numFmtId="0" fontId="9" fillId="3" borderId="250" xfId="4" applyFont="1" applyFill="1" applyBorder="1" applyAlignment="1">
      <alignment horizontal="center" textRotation="90" wrapText="1"/>
    </xf>
    <xf numFmtId="0" fontId="9" fillId="24" borderId="250" xfId="4" applyFont="1" applyFill="1" applyBorder="1" applyAlignment="1">
      <alignment horizontal="center" textRotation="90" wrapText="1"/>
    </xf>
    <xf numFmtId="0" fontId="9" fillId="22" borderId="250" xfId="4" applyFont="1" applyFill="1" applyBorder="1" applyAlignment="1">
      <alignment horizontal="center" textRotation="90" wrapText="1"/>
    </xf>
    <xf numFmtId="0" fontId="9" fillId="25" borderId="250" xfId="4" applyFont="1" applyFill="1" applyBorder="1" applyAlignment="1">
      <alignment horizontal="center" textRotation="90" wrapText="1"/>
    </xf>
    <xf numFmtId="0" fontId="9" fillId="23" borderId="250" xfId="4" applyFont="1" applyFill="1" applyBorder="1" applyAlignment="1">
      <alignment horizontal="center" textRotation="90" wrapText="1"/>
    </xf>
    <xf numFmtId="0" fontId="8" fillId="27" borderId="250" xfId="4" applyFont="1" applyFill="1" applyBorder="1" applyAlignment="1">
      <alignment horizontal="center" textRotation="90" wrapText="1"/>
    </xf>
    <xf numFmtId="0" fontId="8" fillId="26" borderId="250" xfId="4" applyFont="1" applyFill="1" applyBorder="1" applyAlignment="1">
      <alignment horizontal="center" textRotation="90" wrapText="1"/>
    </xf>
    <xf numFmtId="0" fontId="8" fillId="3" borderId="0" xfId="0" applyFont="1" applyFill="1" applyAlignment="1">
      <alignment wrapText="1"/>
    </xf>
    <xf numFmtId="45" fontId="77" fillId="3" borderId="0" xfId="0" applyNumberFormat="1" applyFont="1" applyFill="1" applyAlignment="1">
      <alignment horizontal="left" wrapText="1"/>
    </xf>
    <xf numFmtId="0" fontId="77" fillId="3" borderId="0" xfId="0" applyFont="1" applyFill="1" applyAlignment="1">
      <alignment horizontal="center" wrapText="1"/>
    </xf>
    <xf numFmtId="0" fontId="10" fillId="3" borderId="0" xfId="0" applyFont="1" applyFill="1" applyAlignment="1">
      <alignment wrapText="1"/>
    </xf>
    <xf numFmtId="0" fontId="5" fillId="0" borderId="91" xfId="0" applyFont="1" applyBorder="1" applyAlignment="1">
      <alignment horizontal="center" textRotation="90"/>
    </xf>
    <xf numFmtId="0" fontId="5" fillId="0" borderId="70" xfId="0" applyFont="1" applyBorder="1" applyAlignment="1">
      <alignment horizontal="center" textRotation="90"/>
    </xf>
    <xf numFmtId="166" fontId="108" fillId="0" borderId="92" xfId="0" applyNumberFormat="1" applyFont="1" applyBorder="1" applyAlignment="1">
      <alignment horizontal="center"/>
    </xf>
    <xf numFmtId="21" fontId="5" fillId="0" borderId="93" xfId="0" applyNumberFormat="1" applyFont="1" applyBorder="1" applyAlignment="1">
      <alignment horizontal="center" textRotation="90"/>
    </xf>
    <xf numFmtId="0" fontId="5" fillId="0" borderId="0" xfId="0" applyFont="1" applyAlignment="1">
      <alignment horizontal="center" textRotation="90"/>
    </xf>
    <xf numFmtId="21" fontId="5" fillId="0" borderId="200" xfId="0" applyNumberFormat="1" applyFont="1" applyBorder="1" applyAlignment="1">
      <alignment horizontal="center" textRotation="90"/>
    </xf>
    <xf numFmtId="3" fontId="5" fillId="3" borderId="71" xfId="0" applyNumberFormat="1" applyFont="1" applyFill="1" applyBorder="1" applyAlignment="1">
      <alignment horizontal="center"/>
    </xf>
    <xf numFmtId="0" fontId="5" fillId="24" borderId="0" xfId="0" applyFont="1" applyFill="1" applyAlignment="1">
      <alignment horizontal="center"/>
    </xf>
    <xf numFmtId="0" fontId="16" fillId="33" borderId="209" xfId="0" applyFont="1" applyFill="1" applyBorder="1" applyAlignment="1">
      <alignment wrapText="1"/>
    </xf>
    <xf numFmtId="0" fontId="2" fillId="18" borderId="223" xfId="0" applyFont="1" applyFill="1" applyBorder="1"/>
    <xf numFmtId="1" fontId="0" fillId="15" borderId="224" xfId="0" applyNumberFormat="1" applyFill="1" applyBorder="1"/>
    <xf numFmtId="0" fontId="0" fillId="15" borderId="208" xfId="0" applyFill="1" applyBorder="1"/>
    <xf numFmtId="1" fontId="81" fillId="21" borderId="224" xfId="0" applyNumberFormat="1" applyFont="1" applyFill="1" applyBorder="1"/>
    <xf numFmtId="0" fontId="0" fillId="21" borderId="208" xfId="0" applyFill="1" applyBorder="1"/>
    <xf numFmtId="0" fontId="16" fillId="33" borderId="201" xfId="0" applyFont="1" applyFill="1" applyBorder="1"/>
    <xf numFmtId="21" fontId="0" fillId="0" borderId="0" xfId="0" applyNumberFormat="1"/>
    <xf numFmtId="166" fontId="108" fillId="3" borderId="0" xfId="0" applyNumberFormat="1" applyFont="1" applyFill="1" applyAlignment="1" applyProtection="1">
      <alignment horizontal="center"/>
      <protection locked="0"/>
    </xf>
    <xf numFmtId="0" fontId="92" fillId="0" borderId="0" xfId="0" applyFont="1"/>
    <xf numFmtId="0" fontId="5" fillId="0" borderId="189" xfId="0" applyFont="1" applyBorder="1" applyAlignment="1">
      <alignment horizontal="center"/>
    </xf>
    <xf numFmtId="0" fontId="10" fillId="18" borderId="273" xfId="0" applyFont="1" applyFill="1" applyBorder="1"/>
    <xf numFmtId="166" fontId="109" fillId="18" borderId="0" xfId="0" applyNumberFormat="1" applyFont="1" applyFill="1"/>
    <xf numFmtId="21" fontId="86" fillId="28" borderId="112" xfId="0" applyNumberFormat="1" applyFont="1" applyFill="1" applyBorder="1" applyAlignment="1">
      <alignment wrapText="1"/>
    </xf>
    <xf numFmtId="21" fontId="86" fillId="28" borderId="179" xfId="0" applyNumberFormat="1" applyFont="1" applyFill="1" applyBorder="1" applyAlignment="1">
      <alignment wrapText="1"/>
    </xf>
    <xf numFmtId="21" fontId="86" fillId="28" borderId="201" xfId="0" applyNumberFormat="1" applyFont="1" applyFill="1" applyBorder="1" applyAlignment="1">
      <alignment wrapText="1"/>
    </xf>
    <xf numFmtId="0" fontId="43" fillId="15" borderId="209" xfId="0" applyFont="1" applyFill="1" applyBorder="1"/>
    <xf numFmtId="1" fontId="9" fillId="62" borderId="0" xfId="0" applyNumberFormat="1" applyFont="1" applyFill="1" applyAlignment="1" applyProtection="1">
      <alignment horizontal="center"/>
      <protection locked="0"/>
    </xf>
    <xf numFmtId="20" fontId="10" fillId="18" borderId="273" xfId="0" quotePrefix="1" applyNumberFormat="1" applyFont="1" applyFill="1" applyBorder="1" applyAlignment="1">
      <alignment horizontal="right"/>
    </xf>
    <xf numFmtId="3" fontId="48" fillId="3" borderId="5" xfId="0" applyNumberFormat="1" applyFont="1" applyFill="1" applyBorder="1" applyAlignment="1">
      <alignment horizontal="left" vertical="center"/>
    </xf>
    <xf numFmtId="183" fontId="305" fillId="19" borderId="35" xfId="0" applyNumberFormat="1" applyFont="1" applyFill="1" applyBorder="1"/>
    <xf numFmtId="0" fontId="0" fillId="0" borderId="276" xfId="0" applyBorder="1"/>
    <xf numFmtId="0" fontId="1" fillId="0" borderId="276" xfId="0" applyFont="1" applyBorder="1"/>
    <xf numFmtId="0" fontId="1" fillId="87" borderId="276" xfId="0" applyFont="1" applyFill="1" applyBorder="1"/>
    <xf numFmtId="0" fontId="1" fillId="83" borderId="276" xfId="0" applyFont="1" applyFill="1" applyBorder="1"/>
    <xf numFmtId="183" fontId="262" fillId="19" borderId="35" xfId="0" applyNumberFormat="1" applyFont="1" applyFill="1" applyBorder="1"/>
    <xf numFmtId="183" fontId="275" fillId="165" borderId="35" xfId="0" applyNumberFormat="1" applyFont="1" applyFill="1" applyBorder="1"/>
    <xf numFmtId="183" fontId="275" fillId="166" borderId="35" xfId="0" applyNumberFormat="1" applyFont="1" applyFill="1" applyBorder="1"/>
    <xf numFmtId="0" fontId="134" fillId="24" borderId="276" xfId="0" applyFont="1" applyFill="1" applyBorder="1" applyAlignment="1">
      <alignment horizontal="center"/>
    </xf>
    <xf numFmtId="0" fontId="9" fillId="0" borderId="92" xfId="0" applyFont="1" applyBorder="1" applyAlignment="1">
      <alignment horizontal="center"/>
    </xf>
    <xf numFmtId="176" fontId="10" fillId="21" borderId="222" xfId="0" applyNumberFormat="1" applyFont="1" applyFill="1" applyBorder="1" applyAlignment="1">
      <alignment horizontal="center"/>
    </xf>
    <xf numFmtId="177" fontId="160" fillId="29" borderId="209" xfId="0" applyNumberFormat="1" applyFont="1" applyFill="1" applyBorder="1" applyAlignment="1">
      <alignment horizontal="center"/>
    </xf>
    <xf numFmtId="177" fontId="81" fillId="14" borderId="209" xfId="0" applyNumberFormat="1" applyFont="1" applyFill="1" applyBorder="1" applyAlignment="1">
      <alignment horizontal="center"/>
    </xf>
    <xf numFmtId="177" fontId="81" fillId="21" borderId="209" xfId="0" applyNumberFormat="1" applyFont="1" applyFill="1" applyBorder="1" applyAlignment="1">
      <alignment horizontal="center"/>
    </xf>
    <xf numFmtId="177" fontId="19" fillId="15" borderId="209" xfId="0" applyNumberFormat="1" applyFont="1" applyFill="1" applyBorder="1" applyAlignment="1">
      <alignment horizontal="center"/>
    </xf>
    <xf numFmtId="177" fontId="81" fillId="16" borderId="253" xfId="0" applyNumberFormat="1" applyFont="1" applyFill="1" applyBorder="1" applyAlignment="1">
      <alignment horizontal="center"/>
    </xf>
    <xf numFmtId="177" fontId="54" fillId="19" borderId="209" xfId="0" applyNumberFormat="1" applyFont="1" applyFill="1" applyBorder="1" applyAlignment="1">
      <alignment horizontal="center"/>
    </xf>
    <xf numFmtId="177" fontId="152" fillId="17" borderId="209" xfId="0" applyNumberFormat="1" applyFont="1" applyFill="1" applyBorder="1" applyAlignment="1">
      <alignment horizontal="center"/>
    </xf>
    <xf numFmtId="177" fontId="81" fillId="14" borderId="208" xfId="0" applyNumberFormat="1" applyFont="1" applyFill="1" applyBorder="1" applyAlignment="1">
      <alignment horizontal="center"/>
    </xf>
    <xf numFmtId="9" fontId="106" fillId="19" borderId="35" xfId="0" quotePrefix="1" applyNumberFormat="1" applyFont="1" applyFill="1" applyBorder="1" applyAlignment="1">
      <alignment horizontal="center"/>
    </xf>
    <xf numFmtId="9" fontId="86" fillId="15" borderId="222" xfId="0" applyNumberFormat="1" applyFont="1" applyFill="1" applyBorder="1" applyAlignment="1">
      <alignment horizontal="center"/>
    </xf>
    <xf numFmtId="9" fontId="86" fillId="108" borderId="222" xfId="0" applyNumberFormat="1" applyFont="1" applyFill="1" applyBorder="1" applyAlignment="1">
      <alignment horizontal="center"/>
    </xf>
    <xf numFmtId="0" fontId="19" fillId="21" borderId="238" xfId="0" applyFont="1" applyFill="1" applyBorder="1" applyAlignment="1">
      <alignment horizontal="center"/>
    </xf>
    <xf numFmtId="0" fontId="19" fillId="15" borderId="222" xfId="0" applyFont="1" applyFill="1" applyBorder="1" applyAlignment="1">
      <alignment horizontal="center"/>
    </xf>
    <xf numFmtId="0" fontId="199" fillId="0" borderId="113" xfId="0" applyFont="1" applyBorder="1" applyAlignment="1">
      <alignment horizontal="center"/>
    </xf>
    <xf numFmtId="0" fontId="19" fillId="14" borderId="209" xfId="0" applyFont="1" applyFill="1" applyBorder="1" applyAlignment="1">
      <alignment horizontal="center"/>
    </xf>
    <xf numFmtId="0" fontId="19" fillId="21" borderId="210" xfId="0" applyFont="1" applyFill="1" applyBorder="1" applyAlignment="1">
      <alignment horizontal="center"/>
    </xf>
    <xf numFmtId="0" fontId="19" fillId="15" borderId="209" xfId="0" applyFont="1" applyFill="1" applyBorder="1" applyAlignment="1">
      <alignment horizontal="center"/>
    </xf>
    <xf numFmtId="0" fontId="19" fillId="16" borderId="253" xfId="0" applyFont="1" applyFill="1" applyBorder="1" applyAlignment="1">
      <alignment horizontal="center"/>
    </xf>
    <xf numFmtId="0" fontId="160" fillId="19" borderId="273" xfId="0" applyFont="1" applyFill="1" applyBorder="1" applyAlignment="1">
      <alignment horizontal="center"/>
    </xf>
    <xf numFmtId="0" fontId="19" fillId="18" borderId="273" xfId="0" applyFont="1" applyFill="1" applyBorder="1" applyAlignment="1">
      <alignment horizontal="center"/>
    </xf>
    <xf numFmtId="0" fontId="199" fillId="0" borderId="0" xfId="0" applyFont="1" applyAlignment="1">
      <alignment horizontal="center"/>
    </xf>
    <xf numFmtId="183" fontId="325" fillId="19" borderId="35" xfId="0" applyNumberFormat="1" applyFont="1" applyFill="1" applyBorder="1"/>
    <xf numFmtId="0" fontId="131" fillId="13" borderId="102" xfId="0" applyFont="1" applyFill="1" applyBorder="1" applyAlignment="1" applyProtection="1">
      <alignment horizontal="center"/>
    </xf>
    <xf numFmtId="0" fontId="92" fillId="50" borderId="222" xfId="0" quotePrefix="1" applyFont="1" applyFill="1" applyBorder="1" applyAlignment="1">
      <alignment horizontal="left"/>
    </xf>
    <xf numFmtId="0" fontId="89" fillId="50" borderId="238" xfId="0" applyFont="1" applyFill="1" applyBorder="1"/>
    <xf numFmtId="1" fontId="2" fillId="3" borderId="0" xfId="0" applyNumberFormat="1" applyFont="1" applyFill="1"/>
    <xf numFmtId="1" fontId="2" fillId="103" borderId="222" xfId="0" applyNumberFormat="1" applyFont="1" applyFill="1" applyBorder="1"/>
    <xf numFmtId="0" fontId="2" fillId="103" borderId="222" xfId="0" applyFont="1" applyFill="1" applyBorder="1"/>
    <xf numFmtId="21" fontId="2" fillId="103" borderId="222" xfId="0" applyNumberFormat="1" applyFont="1" applyFill="1" applyBorder="1"/>
    <xf numFmtId="0" fontId="10" fillId="103" borderId="222" xfId="0" applyFont="1" applyFill="1" applyBorder="1"/>
    <xf numFmtId="176" fontId="10" fillId="103" borderId="222" xfId="0" applyNumberFormat="1" applyFont="1" applyFill="1" applyBorder="1"/>
    <xf numFmtId="166" fontId="109" fillId="103" borderId="222" xfId="0" applyNumberFormat="1" applyFont="1" applyFill="1" applyBorder="1"/>
    <xf numFmtId="21" fontId="85" fillId="103" borderId="222" xfId="0" quotePrefix="1" applyNumberFormat="1" applyFont="1" applyFill="1" applyBorder="1" applyAlignment="1">
      <alignment horizontal="center"/>
    </xf>
    <xf numFmtId="0" fontId="86" fillId="103" borderId="222" xfId="0" applyFont="1" applyFill="1" applyBorder="1" applyAlignment="1">
      <alignment horizontal="center"/>
    </xf>
    <xf numFmtId="1" fontId="81" fillId="21" borderId="221" xfId="0" applyNumberFormat="1" applyFont="1" applyFill="1" applyBorder="1"/>
    <xf numFmtId="177" fontId="10" fillId="47" borderId="222" xfId="0" applyNumberFormat="1" applyFont="1" applyFill="1" applyBorder="1"/>
    <xf numFmtId="166" fontId="109" fillId="21" borderId="222" xfId="0" applyNumberFormat="1" applyFont="1" applyFill="1" applyBorder="1"/>
    <xf numFmtId="1" fontId="2" fillId="15" borderId="222" xfId="0" applyNumberFormat="1" applyFont="1" applyFill="1" applyBorder="1"/>
    <xf numFmtId="166" fontId="109" fillId="15" borderId="222" xfId="0" applyNumberFormat="1" applyFont="1" applyFill="1" applyBorder="1"/>
    <xf numFmtId="1" fontId="1" fillId="19" borderId="0" xfId="0" applyNumberFormat="1" applyFont="1" applyFill="1"/>
    <xf numFmtId="0" fontId="100" fillId="19" borderId="277" xfId="0" applyFont="1" applyFill="1" applyBorder="1"/>
    <xf numFmtId="21" fontId="100" fillId="19" borderId="0" xfId="0" applyNumberFormat="1" applyFont="1" applyFill="1"/>
    <xf numFmtId="166" fontId="158" fillId="19" borderId="0" xfId="0" applyNumberFormat="1" applyFont="1" applyFill="1"/>
    <xf numFmtId="0" fontId="106" fillId="19" borderId="277" xfId="0" quotePrefix="1" applyFont="1" applyFill="1" applyBorder="1" applyAlignment="1">
      <alignment horizontal="left"/>
    </xf>
    <xf numFmtId="166" fontId="157" fillId="33" borderId="209" xfId="0" quotePrefix="1" applyNumberFormat="1" applyFont="1" applyFill="1" applyBorder="1" applyAlignment="1">
      <alignment horizontal="left"/>
    </xf>
    <xf numFmtId="0" fontId="5" fillId="24" borderId="196" xfId="0" applyFont="1" applyFill="1" applyBorder="1" applyAlignment="1">
      <alignment horizontal="center"/>
    </xf>
    <xf numFmtId="0" fontId="5" fillId="24" borderId="118" xfId="0" applyFont="1" applyFill="1" applyBorder="1" applyAlignment="1">
      <alignment horizontal="center"/>
    </xf>
    <xf numFmtId="21" fontId="2" fillId="0" borderId="79" xfId="0" applyNumberFormat="1" applyFont="1" applyBorder="1"/>
    <xf numFmtId="1" fontId="2" fillId="0" borderId="79" xfId="0" applyNumberFormat="1" applyFont="1" applyBorder="1"/>
    <xf numFmtId="1" fontId="2" fillId="103" borderId="209" xfId="0" applyNumberFormat="1" applyFont="1" applyFill="1" applyBorder="1"/>
    <xf numFmtId="0" fontId="2" fillId="103" borderId="209" xfId="0" applyFont="1" applyFill="1" applyBorder="1"/>
    <xf numFmtId="21" fontId="2" fillId="103" borderId="209" xfId="0" applyNumberFormat="1" applyFont="1" applyFill="1" applyBorder="1"/>
    <xf numFmtId="0" fontId="10" fillId="103" borderId="209" xfId="0" applyFont="1" applyFill="1" applyBorder="1"/>
    <xf numFmtId="176" fontId="10" fillId="103" borderId="209" xfId="0" applyNumberFormat="1" applyFont="1" applyFill="1" applyBorder="1"/>
    <xf numFmtId="166" fontId="109" fillId="103" borderId="209" xfId="0" applyNumberFormat="1" applyFont="1" applyFill="1" applyBorder="1"/>
    <xf numFmtId="21" fontId="85" fillId="103" borderId="209" xfId="0" quotePrefix="1" applyNumberFormat="1" applyFont="1" applyFill="1" applyBorder="1" applyAlignment="1">
      <alignment horizontal="center"/>
    </xf>
    <xf numFmtId="0" fontId="86" fillId="103" borderId="209" xfId="0" applyFont="1" applyFill="1" applyBorder="1" applyAlignment="1">
      <alignment horizontal="center"/>
    </xf>
    <xf numFmtId="177" fontId="10" fillId="47" borderId="209" xfId="0" applyNumberFormat="1" applyFont="1" applyFill="1" applyBorder="1"/>
    <xf numFmtId="1" fontId="2" fillId="15" borderId="209" xfId="0" applyNumberFormat="1" applyFont="1" applyFill="1" applyBorder="1"/>
    <xf numFmtId="1" fontId="2" fillId="0" borderId="0" xfId="0" applyNumberFormat="1" applyFont="1"/>
    <xf numFmtId="1" fontId="7" fillId="72" borderId="0" xfId="0" applyNumberFormat="1" applyFont="1" applyFill="1" applyAlignment="1" applyProtection="1">
      <alignment horizontal="center"/>
      <protection locked="0"/>
    </xf>
    <xf numFmtId="0" fontId="5" fillId="24" borderId="189" xfId="0" applyFont="1" applyFill="1" applyBorder="1" applyAlignment="1">
      <alignment horizontal="center"/>
    </xf>
    <xf numFmtId="0" fontId="10" fillId="15" borderId="209" xfId="0" applyFont="1" applyFill="1" applyBorder="1" applyAlignment="1">
      <alignment horizontal="justify"/>
    </xf>
    <xf numFmtId="0" fontId="2" fillId="123" borderId="0" xfId="0" applyFont="1" applyFill="1"/>
    <xf numFmtId="21" fontId="157" fillId="19" borderId="209" xfId="0" applyNumberFormat="1" applyFont="1" applyFill="1" applyBorder="1" applyAlignment="1">
      <alignment wrapText="1"/>
    </xf>
    <xf numFmtId="21" fontId="157" fillId="140" borderId="209" xfId="0" applyNumberFormat="1" applyFont="1" applyFill="1" applyBorder="1" applyAlignment="1">
      <alignment wrapText="1"/>
    </xf>
    <xf numFmtId="1" fontId="81" fillId="91" borderId="209" xfId="0" applyNumberFormat="1" applyFont="1" applyFill="1" applyBorder="1"/>
    <xf numFmtId="0" fontId="2" fillId="91" borderId="209" xfId="0" applyFont="1" applyFill="1" applyBorder="1"/>
    <xf numFmtId="21" fontId="113" fillId="91" borderId="209" xfId="0" applyNumberFormat="1" applyFont="1" applyFill="1" applyBorder="1" applyAlignment="1">
      <alignment wrapText="1"/>
    </xf>
    <xf numFmtId="0" fontId="10" fillId="91" borderId="209" xfId="0" applyFont="1" applyFill="1" applyBorder="1"/>
    <xf numFmtId="0" fontId="19" fillId="91" borderId="209" xfId="0" applyFont="1" applyFill="1" applyBorder="1"/>
    <xf numFmtId="166" fontId="307" fillId="116" borderId="209" xfId="0" applyNumberFormat="1" applyFont="1" applyFill="1" applyBorder="1"/>
    <xf numFmtId="21" fontId="280" fillId="91" borderId="209" xfId="0" applyNumberFormat="1" applyFont="1" applyFill="1" applyBorder="1"/>
    <xf numFmtId="21" fontId="275" fillId="91" borderId="209" xfId="0" quotePrefix="1" applyNumberFormat="1" applyFont="1" applyFill="1" applyBorder="1" applyAlignment="1">
      <alignment horizontal="center"/>
    </xf>
    <xf numFmtId="21" fontId="275" fillId="91" borderId="0" xfId="0" quotePrefix="1" applyNumberFormat="1" applyFont="1" applyFill="1" applyAlignment="1">
      <alignment horizontal="center"/>
    </xf>
    <xf numFmtId="0" fontId="275" fillId="91" borderId="277" xfId="0" applyFont="1" applyFill="1" applyBorder="1"/>
    <xf numFmtId="21" fontId="109" fillId="15" borderId="209" xfId="0" applyNumberFormat="1" applyFont="1" applyFill="1" applyBorder="1" applyAlignment="1">
      <alignment wrapText="1"/>
    </xf>
    <xf numFmtId="3" fontId="351" fillId="37" borderId="32" xfId="5" applyNumberFormat="1" applyFont="1" applyFill="1" applyBorder="1" applyProtection="1">
      <protection locked="0" hidden="1"/>
    </xf>
    <xf numFmtId="3" fontId="351" fillId="37" borderId="33" xfId="5" applyNumberFormat="1" applyFont="1" applyFill="1" applyBorder="1" applyProtection="1">
      <protection locked="0" hidden="1"/>
    </xf>
    <xf numFmtId="3" fontId="351" fillId="120" borderId="12" xfId="5" applyNumberFormat="1" applyFont="1" applyFill="1" applyBorder="1" applyProtection="1">
      <protection hidden="1"/>
    </xf>
    <xf numFmtId="3" fontId="351" fillId="0" borderId="0" xfId="5" applyNumberFormat="1" applyFont="1" applyProtection="1">
      <protection hidden="1"/>
    </xf>
    <xf numFmtId="0" fontId="353" fillId="0" borderId="0" xfId="0" applyFont="1" applyProtection="1">
      <protection hidden="1"/>
    </xf>
    <xf numFmtId="3" fontId="351" fillId="37" borderId="33" xfId="5" applyNumberFormat="1" applyFont="1" applyFill="1" applyBorder="1" applyProtection="1">
      <protection hidden="1"/>
    </xf>
    <xf numFmtId="0" fontId="1" fillId="3" borderId="0" xfId="0" applyFont="1" applyFill="1" applyAlignment="1">
      <alignment horizontal="justify"/>
    </xf>
    <xf numFmtId="0" fontId="10" fillId="80" borderId="193" xfId="0" applyFont="1" applyFill="1" applyBorder="1" applyAlignment="1" applyProtection="1">
      <alignment horizontal="center"/>
      <protection locked="0"/>
    </xf>
    <xf numFmtId="0" fontId="9" fillId="0" borderId="144" xfId="0" applyFont="1" applyBorder="1" applyAlignment="1">
      <alignment horizontal="center" textRotation="90"/>
    </xf>
    <xf numFmtId="0" fontId="9" fillId="0" borderId="200" xfId="0" applyFont="1" applyBorder="1" applyAlignment="1">
      <alignment horizontal="center" textRotation="90"/>
    </xf>
    <xf numFmtId="168" fontId="10" fillId="8" borderId="278" xfId="7" applyNumberFormat="1" applyFont="1" applyFill="1" applyBorder="1"/>
    <xf numFmtId="168" fontId="10" fillId="8" borderId="222" xfId="7" applyNumberFormat="1" applyFont="1" applyFill="1" applyBorder="1"/>
    <xf numFmtId="168" fontId="10" fillId="8" borderId="238" xfId="7" applyNumberFormat="1" applyFont="1" applyFill="1" applyBorder="1"/>
    <xf numFmtId="0" fontId="5" fillId="0" borderId="279" xfId="0" applyFont="1" applyBorder="1" applyAlignment="1">
      <alignment horizontal="center" textRotation="90"/>
    </xf>
    <xf numFmtId="0" fontId="5" fillId="0" borderId="143" xfId="0" applyFont="1" applyBorder="1" applyAlignment="1">
      <alignment horizontal="center" textRotation="90"/>
    </xf>
    <xf numFmtId="166" fontId="113" fillId="14" borderId="222" xfId="0" applyNumberFormat="1" applyFont="1" applyFill="1" applyBorder="1"/>
    <xf numFmtId="21" fontId="85" fillId="20" borderId="222" xfId="0" quotePrefix="1" applyNumberFormat="1" applyFont="1" applyFill="1" applyBorder="1" applyAlignment="1">
      <alignment horizontal="center"/>
    </xf>
    <xf numFmtId="21" fontId="82" fillId="21" borderId="222" xfId="0" applyNumberFormat="1" applyFont="1" applyFill="1" applyBorder="1" applyAlignment="1">
      <alignment horizontal="center"/>
    </xf>
    <xf numFmtId="166" fontId="77" fillId="30" borderId="0" xfId="0" applyNumberFormat="1" applyFont="1" applyFill="1"/>
    <xf numFmtId="21" fontId="100" fillId="29" borderId="0" xfId="0" quotePrefix="1" applyNumberFormat="1" applyFont="1" applyFill="1" applyAlignment="1">
      <alignment horizontal="center"/>
    </xf>
    <xf numFmtId="166" fontId="111" fillId="19" borderId="209" xfId="0" applyNumberFormat="1" applyFont="1" applyFill="1" applyBorder="1"/>
    <xf numFmtId="0" fontId="106" fillId="19" borderId="209" xfId="0" quotePrefix="1" applyFont="1" applyFill="1" applyBorder="1" applyAlignment="1">
      <alignment horizontal="center"/>
    </xf>
    <xf numFmtId="166" fontId="108" fillId="64" borderId="0" xfId="0" applyNumberFormat="1" applyFont="1" applyFill="1" applyAlignment="1" applyProtection="1">
      <alignment horizontal="center"/>
      <protection locked="0"/>
    </xf>
    <xf numFmtId="21" fontId="85" fillId="16" borderId="208" xfId="0" applyNumberFormat="1" applyFont="1" applyFill="1" applyBorder="1" applyAlignment="1">
      <alignment horizontal="center"/>
    </xf>
    <xf numFmtId="1" fontId="7" fillId="64" borderId="0" xfId="0" applyNumberFormat="1" applyFont="1" applyFill="1" applyAlignment="1" applyProtection="1">
      <alignment horizontal="center"/>
      <protection locked="0"/>
    </xf>
    <xf numFmtId="1" fontId="135" fillId="3" borderId="0" xfId="0" applyNumberFormat="1" applyFont="1" applyFill="1" applyAlignment="1" applyProtection="1">
      <alignment horizontal="center"/>
      <protection locked="0"/>
    </xf>
    <xf numFmtId="0" fontId="0" fillId="3" borderId="190" xfId="0" applyFill="1" applyBorder="1"/>
    <xf numFmtId="0" fontId="2" fillId="54" borderId="190" xfId="0" applyFont="1" applyFill="1" applyBorder="1" applyAlignment="1">
      <alignment horizontal="center"/>
    </xf>
    <xf numFmtId="21" fontId="16" fillId="14" borderId="0" xfId="0" applyNumberFormat="1" applyFont="1" applyFill="1"/>
    <xf numFmtId="21" fontId="100" fillId="14" borderId="0" xfId="0" quotePrefix="1" applyNumberFormat="1" applyFont="1" applyFill="1" applyAlignment="1">
      <alignment horizontal="center"/>
    </xf>
    <xf numFmtId="14" fontId="1" fillId="80" borderId="193" xfId="0" quotePrefix="1" applyNumberFormat="1" applyFont="1" applyFill="1" applyBorder="1" applyAlignment="1" applyProtection="1">
      <alignment horizontal="left"/>
      <protection locked="0"/>
    </xf>
    <xf numFmtId="0" fontId="5" fillId="0" borderId="200" xfId="0" applyFont="1" applyBorder="1" applyAlignment="1">
      <alignment horizontal="center" textRotation="90"/>
    </xf>
    <xf numFmtId="168" fontId="10" fillId="8" borderId="0" xfId="7" applyNumberFormat="1" applyFont="1" applyFill="1" applyBorder="1"/>
    <xf numFmtId="21" fontId="8" fillId="19" borderId="209" xfId="0" applyNumberFormat="1" applyFont="1" applyFill="1" applyBorder="1" applyAlignment="1">
      <alignment wrapText="1"/>
    </xf>
    <xf numFmtId="21" fontId="8" fillId="140" borderId="209" xfId="0" applyNumberFormat="1" applyFont="1" applyFill="1" applyBorder="1" applyAlignment="1">
      <alignment wrapText="1"/>
    </xf>
    <xf numFmtId="1" fontId="135" fillId="0" borderId="0" xfId="0" applyNumberFormat="1" applyFont="1" applyBorder="1" applyAlignment="1" applyProtection="1">
      <alignment horizontal="center"/>
      <protection locked="0"/>
    </xf>
    <xf numFmtId="0" fontId="293" fillId="3" borderId="0" xfId="0" applyFont="1" applyFill="1"/>
    <xf numFmtId="0" fontId="9" fillId="0" borderId="262" xfId="0" applyFont="1" applyBorder="1" applyAlignment="1">
      <alignment textRotation="90"/>
    </xf>
    <xf numFmtId="0" fontId="9" fillId="0" borderId="179" xfId="0" applyFont="1" applyBorder="1" applyAlignment="1">
      <alignment textRotation="90"/>
    </xf>
    <xf numFmtId="0" fontId="9" fillId="0" borderId="92" xfId="0" applyFont="1" applyBorder="1"/>
    <xf numFmtId="0" fontId="9" fillId="0" borderId="179" xfId="0" applyFont="1" applyBorder="1"/>
    <xf numFmtId="168" fontId="10" fillId="8" borderId="0" xfId="7" applyNumberFormat="1" applyFont="1" applyFill="1"/>
    <xf numFmtId="21" fontId="89" fillId="16" borderId="222" xfId="0" applyNumberFormat="1" applyFont="1" applyFill="1" applyBorder="1"/>
    <xf numFmtId="0" fontId="84" fillId="16" borderId="222" xfId="0" quotePrefix="1" applyFont="1" applyFill="1" applyBorder="1" applyAlignment="1">
      <alignment horizontal="center"/>
    </xf>
    <xf numFmtId="0" fontId="99" fillId="19" borderId="280" xfId="0" applyFont="1" applyFill="1" applyBorder="1"/>
    <xf numFmtId="0" fontId="16" fillId="30" borderId="280" xfId="0" applyFont="1" applyFill="1" applyBorder="1"/>
    <xf numFmtId="0" fontId="8" fillId="30" borderId="280" xfId="0" applyFont="1" applyFill="1" applyBorder="1"/>
    <xf numFmtId="0" fontId="16" fillId="30" borderId="280" xfId="0" applyFont="1" applyFill="1" applyBorder="1" applyAlignment="1">
      <alignment horizontal="center"/>
    </xf>
    <xf numFmtId="21" fontId="16" fillId="19" borderId="0" xfId="0" applyNumberFormat="1" applyFont="1" applyFill="1"/>
    <xf numFmtId="1" fontId="7" fillId="3" borderId="0" xfId="0" applyNumberFormat="1" applyFont="1" applyFill="1" applyProtection="1">
      <protection locked="0"/>
    </xf>
    <xf numFmtId="0" fontId="0" fillId="15" borderId="0" xfId="0" applyFill="1"/>
    <xf numFmtId="0" fontId="10" fillId="15" borderId="0" xfId="0" applyFont="1" applyFill="1"/>
    <xf numFmtId="166" fontId="109" fillId="15" borderId="0" xfId="0" applyNumberFormat="1" applyFont="1" applyFill="1"/>
    <xf numFmtId="0" fontId="86" fillId="15" borderId="0" xfId="0" applyFont="1" applyFill="1" applyAlignment="1">
      <alignment horizontal="center"/>
    </xf>
    <xf numFmtId="1" fontId="7" fillId="38" borderId="0" xfId="0" applyNumberFormat="1" applyFont="1" applyFill="1" applyAlignment="1" applyProtection="1">
      <alignment horizontal="center"/>
      <protection locked="0"/>
    </xf>
    <xf numFmtId="0" fontId="359" fillId="167" borderId="209" xfId="0" applyFont="1" applyFill="1" applyBorder="1"/>
    <xf numFmtId="0" fontId="359" fillId="21" borderId="209" xfId="0" applyFont="1" applyFill="1" applyBorder="1"/>
    <xf numFmtId="0" fontId="10" fillId="21" borderId="209" xfId="0" applyFont="1" applyFill="1" applyBorder="1" applyAlignment="1">
      <alignment horizontal="center"/>
    </xf>
    <xf numFmtId="21" fontId="10" fillId="21" borderId="209" xfId="0" applyNumberFormat="1" applyFont="1" applyFill="1" applyBorder="1"/>
    <xf numFmtId="14" fontId="1" fillId="3" borderId="0" xfId="0" applyNumberFormat="1" applyFont="1" applyFill="1" applyAlignment="1">
      <alignment horizontal="center"/>
    </xf>
    <xf numFmtId="0" fontId="8" fillId="30" borderId="280" xfId="0" applyFont="1" applyFill="1" applyBorder="1" applyAlignment="1">
      <alignment horizontal="right"/>
    </xf>
    <xf numFmtId="14" fontId="0" fillId="74" borderId="232" xfId="0" applyNumberFormat="1" applyFill="1" applyBorder="1"/>
    <xf numFmtId="14" fontId="0" fillId="0" borderId="201" xfId="0" applyNumberFormat="1" applyBorder="1"/>
    <xf numFmtId="168" fontId="10" fillId="8" borderId="202" xfId="7" applyNumberFormat="1" applyFont="1" applyFill="1" applyBorder="1"/>
    <xf numFmtId="168" fontId="10" fillId="8" borderId="209" xfId="7" applyNumberFormat="1" applyFont="1" applyFill="1" applyBorder="1"/>
    <xf numFmtId="168" fontId="10" fillId="8" borderId="210" xfId="7" applyNumberFormat="1" applyFont="1" applyFill="1" applyBorder="1"/>
    <xf numFmtId="21" fontId="0" fillId="103" borderId="209" xfId="0" applyNumberFormat="1" applyFill="1" applyBorder="1"/>
    <xf numFmtId="14" fontId="19" fillId="80" borderId="0" xfId="0" applyNumberFormat="1" applyFont="1" applyFill="1"/>
    <xf numFmtId="14" fontId="19" fillId="78" borderId="179" xfId="0" applyNumberFormat="1" applyFont="1" applyFill="1" applyBorder="1"/>
    <xf numFmtId="14" fontId="19" fillId="78" borderId="201" xfId="0" applyNumberFormat="1" applyFont="1" applyFill="1" applyBorder="1"/>
    <xf numFmtId="14" fontId="19" fillId="0" borderId="201" xfId="0" applyNumberFormat="1" applyFont="1" applyFill="1" applyBorder="1"/>
    <xf numFmtId="0" fontId="9" fillId="147" borderId="179" xfId="0" applyFont="1" applyFill="1" applyBorder="1" applyAlignment="1">
      <alignment horizontal="left"/>
    </xf>
    <xf numFmtId="21" fontId="19" fillId="103" borderId="209" xfId="0" applyNumberFormat="1" applyFont="1" applyFill="1" applyBorder="1"/>
    <xf numFmtId="21" fontId="8" fillId="19" borderId="209" xfId="0" applyNumberFormat="1" applyFont="1" applyFill="1" applyBorder="1"/>
    <xf numFmtId="0" fontId="5" fillId="0" borderId="189" xfId="0" applyFont="1" applyBorder="1" applyAlignment="1">
      <alignment horizontal="center" textRotation="90"/>
    </xf>
    <xf numFmtId="0" fontId="5" fillId="0" borderId="190" xfId="0" applyFont="1" applyBorder="1" applyAlignment="1">
      <alignment horizontal="center" textRotation="90"/>
    </xf>
    <xf numFmtId="0" fontId="5" fillId="0" borderId="237" xfId="0" applyFont="1" applyBorder="1" applyAlignment="1">
      <alignment horizontal="center" textRotation="90"/>
    </xf>
    <xf numFmtId="1" fontId="5" fillId="0" borderId="112" xfId="0" applyNumberFormat="1" applyFont="1" applyBorder="1" applyAlignment="1">
      <alignment horizontal="center" textRotation="90"/>
    </xf>
    <xf numFmtId="0" fontId="5" fillId="0" borderId="112" xfId="0" applyFont="1" applyBorder="1" applyAlignment="1">
      <alignment horizontal="center" textRotation="90"/>
    </xf>
    <xf numFmtId="21" fontId="9" fillId="0" borderId="112" xfId="0" applyNumberFormat="1" applyFont="1" applyBorder="1" applyAlignment="1">
      <alignment horizontal="left"/>
    </xf>
    <xf numFmtId="0" fontId="9" fillId="0" borderId="112" xfId="0" applyFont="1" applyBorder="1" applyAlignment="1">
      <alignment horizontal="left"/>
    </xf>
    <xf numFmtId="0" fontId="9" fillId="147" borderId="112" xfId="0" applyFont="1" applyFill="1" applyBorder="1" applyAlignment="1">
      <alignment horizontal="left"/>
    </xf>
    <xf numFmtId="166" fontId="108" fillId="0" borderId="112" xfId="0" applyNumberFormat="1" applyFont="1" applyBorder="1" applyAlignment="1">
      <alignment horizontal="center"/>
    </xf>
    <xf numFmtId="21" fontId="5" fillId="0" borderId="281" xfId="0" applyNumberFormat="1" applyFont="1" applyBorder="1" applyAlignment="1">
      <alignment horizontal="center" textRotation="90"/>
    </xf>
    <xf numFmtId="0" fontId="0" fillId="103" borderId="0" xfId="0" applyFill="1" applyBorder="1"/>
    <xf numFmtId="0" fontId="10" fillId="103" borderId="0" xfId="0" applyFont="1" applyFill="1" applyBorder="1"/>
    <xf numFmtId="166" fontId="109" fillId="103" borderId="0" xfId="0" applyNumberFormat="1" applyFont="1" applyFill="1" applyBorder="1"/>
    <xf numFmtId="0" fontId="86" fillId="103" borderId="0" xfId="0" applyFont="1" applyFill="1" applyBorder="1" applyAlignment="1">
      <alignment horizontal="center"/>
    </xf>
    <xf numFmtId="0" fontId="100" fillId="19" borderId="282" xfId="0" applyFont="1" applyFill="1" applyBorder="1"/>
    <xf numFmtId="1" fontId="0" fillId="0" borderId="0" xfId="0" applyNumberFormat="1" applyBorder="1"/>
    <xf numFmtId="21" fontId="81" fillId="95" borderId="209" xfId="0" applyNumberFormat="1" applyFont="1" applyFill="1" applyBorder="1"/>
    <xf numFmtId="21" fontId="82" fillId="14" borderId="201" xfId="0" applyNumberFormat="1" applyFont="1" applyFill="1" applyBorder="1"/>
    <xf numFmtId="0" fontId="5" fillId="24" borderId="0" xfId="0" applyFont="1" applyFill="1" applyBorder="1" applyAlignment="1">
      <alignment horizontal="center"/>
    </xf>
    <xf numFmtId="166" fontId="7" fillId="3" borderId="0" xfId="0" applyNumberFormat="1" applyFont="1" applyFill="1" applyBorder="1" applyAlignment="1">
      <alignment horizontal="center"/>
    </xf>
    <xf numFmtId="1" fontId="0" fillId="19" borderId="276" xfId="0" applyNumberFormat="1" applyFill="1" applyBorder="1"/>
    <xf numFmtId="21" fontId="85" fillId="14" borderId="276" xfId="0" applyNumberFormat="1" applyFont="1" applyFill="1" applyBorder="1"/>
    <xf numFmtId="21" fontId="86" fillId="14" borderId="276" xfId="0" applyNumberFormat="1" applyFont="1" applyFill="1" applyBorder="1"/>
    <xf numFmtId="21" fontId="85" fillId="16" borderId="221" xfId="0" applyNumberFormat="1" applyFont="1" applyFill="1" applyBorder="1" applyAlignment="1">
      <alignment horizontal="center"/>
    </xf>
    <xf numFmtId="0" fontId="0" fillId="15" borderId="209" xfId="0" applyFill="1" applyBorder="1" applyAlignment="1">
      <alignment horizontal="center"/>
    </xf>
    <xf numFmtId="21" fontId="85" fillId="91" borderId="0" xfId="0" applyNumberFormat="1" applyFont="1" applyFill="1" applyBorder="1"/>
    <xf numFmtId="166" fontId="108" fillId="168" borderId="0" xfId="0" applyNumberFormat="1" applyFont="1" applyFill="1" applyAlignment="1" applyProtection="1">
      <alignment horizontal="center"/>
      <protection locked="0"/>
    </xf>
    <xf numFmtId="21" fontId="86" fillId="91" borderId="0" xfId="0" applyNumberFormat="1" applyFont="1" applyFill="1" applyBorder="1"/>
    <xf numFmtId="1" fontId="134" fillId="80" borderId="0" xfId="0" applyNumberFormat="1" applyFont="1" applyFill="1" applyBorder="1" applyAlignment="1" applyProtection="1">
      <alignment horizontal="left"/>
      <protection locked="0"/>
    </xf>
    <xf numFmtId="21" fontId="262" fillId="21" borderId="222" xfId="0" applyNumberFormat="1" applyFont="1" applyFill="1" applyBorder="1"/>
    <xf numFmtId="14" fontId="19" fillId="80" borderId="0" xfId="0" applyNumberFormat="1" applyFont="1" applyFill="1" applyAlignment="1">
      <alignment horizontal="center"/>
    </xf>
    <xf numFmtId="14" fontId="19" fillId="72" borderId="179" xfId="0" applyNumberFormat="1" applyFont="1" applyFill="1" applyBorder="1" applyAlignment="1">
      <alignment horizontal="center"/>
    </xf>
    <xf numFmtId="14" fontId="19" fillId="78" borderId="179" xfId="0" applyNumberFormat="1" applyFont="1" applyFill="1" applyBorder="1" applyAlignment="1">
      <alignment horizontal="center"/>
    </xf>
    <xf numFmtId="14" fontId="19" fillId="78" borderId="201" xfId="0" applyNumberFormat="1" applyFont="1" applyFill="1" applyBorder="1" applyAlignment="1">
      <alignment horizontal="center"/>
    </xf>
    <xf numFmtId="0" fontId="9" fillId="0" borderId="179" xfId="0" applyFont="1" applyBorder="1" applyAlignment="1">
      <alignment horizontal="center"/>
    </xf>
    <xf numFmtId="0" fontId="9" fillId="0" borderId="112" xfId="0" applyFont="1" applyBorder="1" applyAlignment="1">
      <alignment horizontal="center"/>
    </xf>
    <xf numFmtId="0" fontId="0" fillId="14" borderId="222" xfId="0" applyFill="1" applyBorder="1" applyAlignment="1">
      <alignment horizontal="center"/>
    </xf>
    <xf numFmtId="0" fontId="0" fillId="21" borderId="222" xfId="0" applyFill="1" applyBorder="1" applyAlignment="1">
      <alignment horizontal="center"/>
    </xf>
    <xf numFmtId="0" fontId="0" fillId="103" borderId="0" xfId="0" applyFill="1" applyBorder="1" applyAlignment="1">
      <alignment horizontal="center"/>
    </xf>
    <xf numFmtId="0" fontId="99" fillId="19" borderId="209" xfId="0" applyFont="1" applyFill="1" applyBorder="1" applyAlignment="1">
      <alignment horizontal="center"/>
    </xf>
    <xf numFmtId="0" fontId="2" fillId="14" borderId="109" xfId="0" applyFont="1" applyFill="1" applyBorder="1" applyAlignment="1">
      <alignment horizontal="center"/>
    </xf>
    <xf numFmtId="0" fontId="0" fillId="21" borderId="233" xfId="0" applyFill="1" applyBorder="1" applyAlignment="1">
      <alignment horizontal="center"/>
    </xf>
    <xf numFmtId="14" fontId="1" fillId="3" borderId="0" xfId="0" applyNumberFormat="1" applyFont="1" applyFill="1" applyAlignment="1" applyProtection="1">
      <alignment horizontal="center"/>
      <protection locked="0"/>
    </xf>
    <xf numFmtId="14" fontId="19" fillId="0" borderId="201" xfId="0" applyNumberFormat="1" applyFont="1" applyFill="1" applyBorder="1" applyAlignment="1">
      <alignment horizontal="center"/>
    </xf>
    <xf numFmtId="21" fontId="9" fillId="0" borderId="179" xfId="0" applyNumberFormat="1" applyFont="1" applyBorder="1" applyAlignment="1">
      <alignment horizontal="center"/>
    </xf>
    <xf numFmtId="21" fontId="9" fillId="0" borderId="112" xfId="0" applyNumberFormat="1" applyFont="1" applyBorder="1" applyAlignment="1">
      <alignment horizontal="center"/>
    </xf>
    <xf numFmtId="0" fontId="2" fillId="14" borderId="32" xfId="0" applyFont="1" applyFill="1" applyBorder="1" applyAlignment="1">
      <alignment horizontal="center"/>
    </xf>
    <xf numFmtId="0" fontId="0" fillId="21" borderId="35" xfId="0" applyFill="1" applyBorder="1" applyAlignment="1">
      <alignment horizontal="center"/>
    </xf>
    <xf numFmtId="1" fontId="1" fillId="140" borderId="209" xfId="0" applyNumberFormat="1" applyFont="1" applyFill="1" applyBorder="1"/>
    <xf numFmtId="0" fontId="11" fillId="146" borderId="209" xfId="0" applyFont="1" applyFill="1" applyBorder="1"/>
    <xf numFmtId="0" fontId="11" fillId="146" borderId="209" xfId="0" applyFont="1" applyFill="1" applyBorder="1" applyAlignment="1">
      <alignment horizontal="center"/>
    </xf>
    <xf numFmtId="21" fontId="11" fillId="140" borderId="209" xfId="0" applyNumberFormat="1" applyFont="1" applyFill="1" applyBorder="1" applyAlignment="1">
      <alignment horizontal="center" wrapText="1"/>
    </xf>
    <xf numFmtId="21" fontId="11" fillId="140" borderId="209" xfId="0" applyNumberFormat="1" applyFont="1" applyFill="1" applyBorder="1"/>
    <xf numFmtId="176" fontId="8" fillId="140" borderId="209" xfId="0" applyNumberFormat="1" applyFont="1" applyFill="1" applyBorder="1"/>
    <xf numFmtId="166" fontId="157" fillId="146" borderId="209" xfId="0" applyNumberFormat="1" applyFont="1" applyFill="1" applyBorder="1"/>
    <xf numFmtId="21" fontId="8" fillId="140" borderId="209" xfId="0" applyNumberFormat="1" applyFont="1" applyFill="1" applyBorder="1"/>
    <xf numFmtId="0" fontId="84" fillId="108" borderId="209" xfId="0" applyFont="1" applyFill="1" applyBorder="1"/>
    <xf numFmtId="21" fontId="89" fillId="102" borderId="209" xfId="0" applyNumberFormat="1" applyFont="1" applyFill="1" applyBorder="1"/>
    <xf numFmtId="166" fontId="109" fillId="102" borderId="209" xfId="0" applyNumberFormat="1" applyFont="1" applyFill="1" applyBorder="1"/>
    <xf numFmtId="21" fontId="19" fillId="102" borderId="209" xfId="0" applyNumberFormat="1" applyFont="1" applyFill="1" applyBorder="1"/>
    <xf numFmtId="1" fontId="86" fillId="103" borderId="35" xfId="0" applyNumberFormat="1" applyFont="1" applyFill="1" applyBorder="1" applyAlignment="1">
      <alignment horizontal="center"/>
    </xf>
    <xf numFmtId="0" fontId="270" fillId="121" borderId="280" xfId="0" applyFont="1" applyFill="1" applyBorder="1" applyAlignment="1">
      <alignment horizontal="center"/>
    </xf>
    <xf numFmtId="1" fontId="81" fillId="104" borderId="222" xfId="0" applyNumberFormat="1" applyFont="1" applyFill="1" applyBorder="1"/>
    <xf numFmtId="0" fontId="0" fillId="104" borderId="222" xfId="0" applyFill="1" applyBorder="1"/>
    <xf numFmtId="0" fontId="0" fillId="104" borderId="222" xfId="0" applyFill="1" applyBorder="1" applyAlignment="1">
      <alignment horizontal="center"/>
    </xf>
    <xf numFmtId="21" fontId="82" fillId="104" borderId="222" xfId="0" applyNumberFormat="1" applyFont="1" applyFill="1" applyBorder="1"/>
    <xf numFmtId="0" fontId="271" fillId="14" borderId="222" xfId="0" applyFont="1" applyFill="1" applyBorder="1"/>
    <xf numFmtId="0" fontId="0" fillId="21" borderId="238" xfId="0" applyFill="1" applyBorder="1" applyAlignment="1">
      <alignment horizontal="center"/>
    </xf>
    <xf numFmtId="0" fontId="0" fillId="103" borderId="102" xfId="0" applyFill="1" applyBorder="1" applyAlignment="1">
      <alignment horizontal="center"/>
    </xf>
    <xf numFmtId="0" fontId="92" fillId="0" borderId="102" xfId="0" applyFont="1" applyBorder="1" applyAlignment="1">
      <alignment horizontal="center"/>
    </xf>
    <xf numFmtId="0" fontId="99" fillId="19" borderId="280" xfId="0" applyFont="1" applyFill="1" applyBorder="1" applyAlignment="1">
      <alignment horizontal="center"/>
    </xf>
    <xf numFmtId="0" fontId="92" fillId="0" borderId="0" xfId="0" applyFont="1" applyAlignment="1">
      <alignment horizontal="center"/>
    </xf>
    <xf numFmtId="0" fontId="0" fillId="21" borderId="36" xfId="0" applyFill="1" applyBorder="1" applyAlignment="1">
      <alignment horizontal="center"/>
    </xf>
    <xf numFmtId="21" fontId="270" fillId="0" borderId="209" xfId="0" applyNumberFormat="1" applyFont="1" applyFill="1" applyBorder="1"/>
    <xf numFmtId="166" fontId="273" fillId="0" borderId="209" xfId="0" applyNumberFormat="1" applyFont="1" applyFill="1" applyBorder="1"/>
    <xf numFmtId="21" fontId="274" fillId="0" borderId="209" xfId="0" applyNumberFormat="1" applyFont="1" applyFill="1" applyBorder="1"/>
    <xf numFmtId="21" fontId="19" fillId="15" borderId="209" xfId="0" applyNumberFormat="1" applyFont="1" applyFill="1" applyBorder="1" applyAlignment="1">
      <alignment horizontal="center"/>
    </xf>
    <xf numFmtId="21" fontId="160" fillId="19" borderId="209" xfId="0" applyNumberFormat="1" applyFont="1" applyFill="1" applyBorder="1" applyAlignment="1">
      <alignment horizontal="center"/>
    </xf>
    <xf numFmtId="21" fontId="81" fillId="95" borderId="201" xfId="0" applyNumberFormat="1" applyFont="1" applyFill="1" applyBorder="1" applyAlignment="1">
      <alignment horizontal="center"/>
    </xf>
    <xf numFmtId="21" fontId="81" fillId="21" borderId="222" xfId="0" applyNumberFormat="1" applyFont="1" applyFill="1" applyBorder="1" applyAlignment="1">
      <alignment horizontal="center"/>
    </xf>
    <xf numFmtId="21" fontId="86" fillId="14" borderId="209" xfId="0" applyNumberFormat="1" applyFont="1" applyFill="1" applyBorder="1" applyAlignment="1">
      <alignment horizontal="center"/>
    </xf>
    <xf numFmtId="14" fontId="19" fillId="0" borderId="179" xfId="0" applyNumberFormat="1" applyFont="1" applyFill="1" applyBorder="1"/>
    <xf numFmtId="14" fontId="19" fillId="0" borderId="179" xfId="0" applyNumberFormat="1" applyFont="1" applyFill="1" applyBorder="1" applyAlignment="1">
      <alignment horizontal="center"/>
    </xf>
    <xf numFmtId="14" fontId="19" fillId="123" borderId="179" xfId="0" applyNumberFormat="1" applyFont="1" applyFill="1" applyBorder="1" applyAlignment="1">
      <alignment horizontal="center"/>
    </xf>
    <xf numFmtId="14" fontId="19" fillId="123" borderId="201" xfId="0" applyNumberFormat="1" applyFont="1" applyFill="1" applyBorder="1" applyAlignment="1">
      <alignment horizontal="center"/>
    </xf>
    <xf numFmtId="0" fontId="0" fillId="91" borderId="35" xfId="0" applyFill="1" applyBorder="1" applyAlignment="1">
      <alignment horizontal="center"/>
    </xf>
    <xf numFmtId="0" fontId="8" fillId="33" borderId="209" xfId="0" applyFont="1" applyFill="1" applyBorder="1" applyAlignment="1">
      <alignment horizontal="center"/>
    </xf>
    <xf numFmtId="0" fontId="8" fillId="33" borderId="209" xfId="0" applyFont="1" applyFill="1" applyBorder="1" applyAlignment="1">
      <alignment wrapText="1"/>
    </xf>
    <xf numFmtId="0" fontId="9" fillId="80" borderId="179" xfId="0" applyFont="1" applyFill="1" applyBorder="1" applyAlignment="1">
      <alignment horizontal="left"/>
    </xf>
    <xf numFmtId="21" fontId="81" fillId="153" borderId="209" xfId="0" applyNumberFormat="1" applyFont="1" applyFill="1" applyBorder="1"/>
    <xf numFmtId="0" fontId="16" fillId="30" borderId="0" xfId="0" applyFont="1" applyFill="1" applyBorder="1" applyAlignment="1" applyProtection="1">
      <alignment horizontal="center"/>
    </xf>
    <xf numFmtId="21" fontId="85" fillId="0" borderId="209" xfId="0" quotePrefix="1" applyNumberFormat="1" applyFont="1" applyFill="1" applyBorder="1" applyAlignment="1">
      <alignment horizontal="center"/>
    </xf>
    <xf numFmtId="0" fontId="88" fillId="18" borderId="223" xfId="0" quotePrefix="1" applyFont="1" applyFill="1" applyBorder="1" applyAlignment="1" applyProtection="1">
      <alignment horizontal="left"/>
    </xf>
    <xf numFmtId="21" fontId="82" fillId="14" borderId="219" xfId="0" applyNumberFormat="1" applyFont="1" applyFill="1" applyBorder="1"/>
    <xf numFmtId="0" fontId="10" fillId="15" borderId="201" xfId="0" applyFont="1" applyFill="1" applyBorder="1"/>
    <xf numFmtId="176" fontId="10" fillId="17" borderId="283" xfId="0" applyNumberFormat="1" applyFont="1" applyFill="1" applyBorder="1"/>
    <xf numFmtId="1" fontId="134" fillId="0" borderId="0" xfId="0" applyNumberFormat="1" applyFont="1" applyFill="1" applyBorder="1" applyAlignment="1" applyProtection="1">
      <alignment horizontal="left"/>
      <protection locked="0"/>
    </xf>
    <xf numFmtId="21" fontId="85" fillId="0" borderId="0" xfId="0" applyNumberFormat="1" applyFont="1" applyFill="1" applyBorder="1"/>
    <xf numFmtId="166" fontId="108" fillId="0" borderId="0" xfId="0" applyNumberFormat="1" applyFont="1" applyFill="1" applyAlignment="1" applyProtection="1">
      <alignment horizontal="center"/>
      <protection locked="0"/>
    </xf>
    <xf numFmtId="21" fontId="86" fillId="0" borderId="0" xfId="0" applyNumberFormat="1" applyFont="1" applyFill="1" applyBorder="1"/>
    <xf numFmtId="21" fontId="85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Alignment="1" applyProtection="1">
      <alignment horizontal="center"/>
      <protection locked="0"/>
    </xf>
    <xf numFmtId="0" fontId="55" fillId="0" borderId="0" xfId="0" applyFont="1" applyFill="1" applyProtection="1">
      <protection locked="0"/>
    </xf>
    <xf numFmtId="0" fontId="8" fillId="0" borderId="0" xfId="0" applyFont="1" applyFill="1" applyProtection="1">
      <protection locked="0"/>
    </xf>
    <xf numFmtId="14" fontId="19" fillId="113" borderId="179" xfId="0" applyNumberFormat="1" applyFont="1" applyFill="1" applyBorder="1"/>
    <xf numFmtId="1" fontId="249" fillId="3" borderId="0" xfId="0" applyNumberFormat="1" applyFont="1" applyFill="1" applyBorder="1" applyAlignment="1" applyProtection="1">
      <alignment wrapText="1"/>
      <protection locked="0"/>
    </xf>
    <xf numFmtId="1" fontId="265" fillId="3" borderId="260" xfId="0" applyNumberFormat="1" applyFont="1" applyFill="1" applyBorder="1" applyAlignment="1" applyProtection="1">
      <alignment wrapText="1"/>
      <protection locked="0"/>
    </xf>
    <xf numFmtId="14" fontId="19" fillId="78" borderId="143" xfId="0" applyNumberFormat="1" applyFont="1" applyFill="1" applyBorder="1" applyAlignment="1"/>
    <xf numFmtId="14" fontId="19" fillId="0" borderId="286" xfId="0" applyNumberFormat="1" applyFont="1" applyFill="1" applyBorder="1" applyAlignment="1"/>
    <xf numFmtId="0" fontId="9" fillId="147" borderId="179" xfId="0" applyFont="1" applyFill="1" applyBorder="1" applyAlignment="1">
      <alignment horizontal="center"/>
    </xf>
    <xf numFmtId="0" fontId="84" fillId="0" borderId="35" xfId="0" quotePrefix="1" applyFont="1" applyFill="1" applyBorder="1" applyAlignment="1">
      <alignment horizontal="center"/>
    </xf>
    <xf numFmtId="0" fontId="152" fillId="0" borderId="35" xfId="0" applyFont="1" applyFill="1" applyBorder="1"/>
    <xf numFmtId="1" fontId="86" fillId="0" borderId="35" xfId="0" applyNumberFormat="1" applyFont="1" applyFill="1" applyBorder="1" applyAlignment="1">
      <alignment horizontal="center"/>
    </xf>
    <xf numFmtId="0" fontId="19" fillId="0" borderId="36" xfId="0" applyFont="1" applyFill="1" applyBorder="1"/>
    <xf numFmtId="21" fontId="100" fillId="0" borderId="0" xfId="0" quotePrefix="1" applyNumberFormat="1" applyFont="1" applyFill="1" applyAlignment="1">
      <alignment horizontal="center"/>
    </xf>
    <xf numFmtId="0" fontId="106" fillId="0" borderId="209" xfId="0" quotePrefix="1" applyFont="1" applyFill="1" applyBorder="1" applyAlignment="1">
      <alignment horizontal="center"/>
    </xf>
    <xf numFmtId="0" fontId="99" fillId="0" borderId="280" xfId="0" applyFont="1" applyFill="1" applyBorder="1" applyAlignment="1">
      <alignment horizontal="center"/>
    </xf>
    <xf numFmtId="0" fontId="10" fillId="89" borderId="193" xfId="0" applyFont="1" applyFill="1" applyBorder="1" applyAlignment="1" applyProtection="1">
      <alignment horizontal="center"/>
      <protection locked="0"/>
    </xf>
    <xf numFmtId="0" fontId="9" fillId="0" borderId="288" xfId="0" applyFont="1" applyBorder="1" applyAlignment="1">
      <alignment horizontal="center" textRotation="90"/>
    </xf>
    <xf numFmtId="0" fontId="9" fillId="0" borderId="251" xfId="0" applyFont="1" applyBorder="1" applyAlignment="1">
      <alignment horizontal="center" textRotation="90"/>
    </xf>
    <xf numFmtId="1" fontId="9" fillId="0" borderId="251" xfId="0" applyNumberFormat="1" applyFont="1" applyBorder="1" applyAlignment="1">
      <alignment horizontal="center" textRotation="90"/>
    </xf>
    <xf numFmtId="21" fontId="9" fillId="0" borderId="251" xfId="0" applyNumberFormat="1" applyFont="1" applyBorder="1" applyAlignment="1">
      <alignment horizontal="center" textRotation="90"/>
    </xf>
    <xf numFmtId="166" fontId="108" fillId="0" borderId="251" xfId="0" applyNumberFormat="1" applyFont="1" applyBorder="1" applyAlignment="1">
      <alignment horizontal="center" textRotation="90"/>
    </xf>
    <xf numFmtId="0" fontId="9" fillId="0" borderId="251" xfId="0" applyFont="1" applyBorder="1" applyAlignment="1">
      <alignment horizontal="center" vertical="justify" textRotation="90"/>
    </xf>
    <xf numFmtId="21" fontId="9" fillId="0" borderId="289" xfId="0" applyNumberFormat="1" applyFont="1" applyBorder="1" applyAlignment="1">
      <alignment horizontal="center" textRotation="90"/>
    </xf>
    <xf numFmtId="3" fontId="9" fillId="3" borderId="288" xfId="0" applyNumberFormat="1" applyFont="1" applyFill="1" applyBorder="1" applyAlignment="1">
      <alignment horizontal="center" textRotation="90"/>
    </xf>
    <xf numFmtId="168" fontId="10" fillId="8" borderId="290" xfId="7" applyNumberFormat="1" applyFont="1" applyFill="1" applyBorder="1"/>
    <xf numFmtId="168" fontId="10" fillId="8" borderId="276" xfId="7" applyNumberFormat="1" applyFont="1" applyFill="1" applyBorder="1"/>
    <xf numFmtId="168" fontId="10" fillId="8" borderId="287" xfId="7" applyNumberFormat="1" applyFont="1" applyFill="1" applyBorder="1"/>
    <xf numFmtId="0" fontId="5" fillId="0" borderId="288" xfId="0" applyFont="1" applyBorder="1" applyAlignment="1">
      <alignment horizontal="center" textRotation="90"/>
    </xf>
    <xf numFmtId="0" fontId="16" fillId="30" borderId="291" xfId="0" applyFont="1" applyFill="1" applyBorder="1"/>
    <xf numFmtId="21" fontId="99" fillId="29" borderId="292" xfId="0" applyNumberFormat="1" applyFont="1" applyFill="1" applyBorder="1"/>
    <xf numFmtId="0" fontId="8" fillId="30" borderId="291" xfId="0" applyFont="1" applyFill="1" applyBorder="1"/>
    <xf numFmtId="21" fontId="100" fillId="29" borderId="292" xfId="0" quotePrefix="1" applyNumberFormat="1" applyFont="1" applyFill="1" applyBorder="1" applyAlignment="1">
      <alignment horizontal="center"/>
    </xf>
    <xf numFmtId="174" fontId="100" fillId="29" borderId="0" xfId="0" quotePrefix="1" applyNumberFormat="1" applyFont="1" applyFill="1" applyAlignment="1">
      <alignment horizontal="center"/>
    </xf>
    <xf numFmtId="0" fontId="16" fillId="30" borderId="291" xfId="0" applyFont="1" applyFill="1" applyBorder="1" applyAlignment="1">
      <alignment horizontal="center"/>
    </xf>
    <xf numFmtId="0" fontId="131" fillId="24" borderId="292" xfId="0" applyFont="1" applyFill="1" applyBorder="1" applyAlignment="1">
      <alignment horizontal="center"/>
    </xf>
    <xf numFmtId="1" fontId="0" fillId="19" borderId="292" xfId="0" applyNumberFormat="1" applyFill="1" applyBorder="1"/>
    <xf numFmtId="0" fontId="16" fillId="33" borderId="292" xfId="0" applyFont="1" applyFill="1" applyBorder="1"/>
    <xf numFmtId="21" fontId="16" fillId="19" borderId="292" xfId="0" applyNumberFormat="1" applyFont="1" applyFill="1" applyBorder="1"/>
    <xf numFmtId="0" fontId="8" fillId="33" borderId="292" xfId="0" quotePrefix="1" applyFont="1" applyFill="1" applyBorder="1" applyAlignment="1">
      <alignment horizontal="left"/>
    </xf>
    <xf numFmtId="166" fontId="77" fillId="33" borderId="292" xfId="0" applyNumberFormat="1" applyFont="1" applyFill="1" applyBorder="1"/>
    <xf numFmtId="21" fontId="99" fillId="19" borderId="292" xfId="0" applyNumberFormat="1" applyFont="1" applyFill="1" applyBorder="1"/>
    <xf numFmtId="21" fontId="100" fillId="19" borderId="292" xfId="0" quotePrefix="1" applyNumberFormat="1" applyFont="1" applyFill="1" applyBorder="1" applyAlignment="1">
      <alignment horizontal="center"/>
    </xf>
    <xf numFmtId="0" fontId="107" fillId="33" borderId="292" xfId="0" applyFont="1" applyFill="1" applyBorder="1"/>
    <xf numFmtId="0" fontId="99" fillId="19" borderId="291" xfId="0" applyFont="1" applyFill="1" applyBorder="1"/>
    <xf numFmtId="166" fontId="132" fillId="0" borderId="79" xfId="0" applyNumberFormat="1" applyFont="1" applyBorder="1" applyAlignment="1" applyProtection="1">
      <alignment horizontal="center"/>
      <protection locked="0"/>
    </xf>
    <xf numFmtId="0" fontId="136" fillId="0" borderId="113" xfId="0" applyFont="1" applyBorder="1"/>
    <xf numFmtId="1" fontId="81" fillId="14" borderId="292" xfId="0" applyNumberFormat="1" applyFont="1" applyFill="1" applyBorder="1"/>
    <xf numFmtId="0" fontId="0" fillId="14" borderId="292" xfId="0" applyFill="1" applyBorder="1"/>
    <xf numFmtId="21" fontId="82" fillId="14" borderId="292" xfId="0" applyNumberFormat="1" applyFont="1" applyFill="1" applyBorder="1"/>
    <xf numFmtId="0" fontId="86" fillId="14" borderId="292" xfId="0" applyFont="1" applyFill="1" applyBorder="1"/>
    <xf numFmtId="21" fontId="86" fillId="14" borderId="292" xfId="0" applyNumberFormat="1" applyFont="1" applyFill="1" applyBorder="1"/>
    <xf numFmtId="166" fontId="113" fillId="14" borderId="292" xfId="0" applyNumberFormat="1" applyFont="1" applyFill="1" applyBorder="1"/>
    <xf numFmtId="21" fontId="85" fillId="14" borderId="292" xfId="0" quotePrefix="1" applyNumberFormat="1" applyFont="1" applyFill="1" applyBorder="1" applyAlignment="1">
      <alignment horizontal="center"/>
    </xf>
    <xf numFmtId="1" fontId="86" fillId="14" borderId="292" xfId="0" applyNumberFormat="1" applyFont="1" applyFill="1" applyBorder="1" applyAlignment="1">
      <alignment horizontal="center"/>
    </xf>
    <xf numFmtId="1" fontId="0" fillId="20" borderId="292" xfId="0" applyNumberFormat="1" applyFill="1" applyBorder="1"/>
    <xf numFmtId="0" fontId="89" fillId="16" borderId="292" xfId="0" applyFont="1" applyFill="1" applyBorder="1"/>
    <xf numFmtId="21" fontId="89" fillId="16" borderId="292" xfId="0" applyNumberFormat="1" applyFont="1" applyFill="1" applyBorder="1"/>
    <xf numFmtId="0" fontId="84" fillId="16" borderId="292" xfId="0" applyFont="1" applyFill="1" applyBorder="1"/>
    <xf numFmtId="21" fontId="84" fillId="16" borderId="292" xfId="0" applyNumberFormat="1" applyFont="1" applyFill="1" applyBorder="1"/>
    <xf numFmtId="166" fontId="115" fillId="16" borderId="292" xfId="0" applyNumberFormat="1" applyFont="1" applyFill="1" applyBorder="1"/>
    <xf numFmtId="21" fontId="85" fillId="20" borderId="292" xfId="0" quotePrefix="1" applyNumberFormat="1" applyFont="1" applyFill="1" applyBorder="1" applyAlignment="1">
      <alignment horizontal="center"/>
    </xf>
    <xf numFmtId="0" fontId="84" fillId="16" borderId="292" xfId="0" quotePrefix="1" applyFont="1" applyFill="1" applyBorder="1" applyAlignment="1">
      <alignment horizontal="center"/>
    </xf>
    <xf numFmtId="1" fontId="81" fillId="21" borderId="292" xfId="0" applyNumberFormat="1" applyFont="1" applyFill="1" applyBorder="1"/>
    <xf numFmtId="0" fontId="0" fillId="21" borderId="292" xfId="0" applyFill="1" applyBorder="1"/>
    <xf numFmtId="21" fontId="82" fillId="21" borderId="292" xfId="0" applyNumberFormat="1" applyFont="1" applyFill="1" applyBorder="1"/>
    <xf numFmtId="0" fontId="10" fillId="21" borderId="292" xfId="0" applyFont="1" applyFill="1" applyBorder="1"/>
    <xf numFmtId="166" fontId="109" fillId="21" borderId="292" xfId="0" applyNumberFormat="1" applyFont="1" applyFill="1" applyBorder="1"/>
    <xf numFmtId="21" fontId="85" fillId="21" borderId="292" xfId="0" quotePrefix="1" applyNumberFormat="1" applyFont="1" applyFill="1" applyBorder="1" applyAlignment="1">
      <alignment horizontal="center"/>
    </xf>
    <xf numFmtId="1" fontId="86" fillId="21" borderId="292" xfId="0" applyNumberFormat="1" applyFont="1" applyFill="1" applyBorder="1" applyAlignment="1">
      <alignment horizontal="center"/>
    </xf>
    <xf numFmtId="0" fontId="0" fillId="21" borderId="293" xfId="0" applyFill="1" applyBorder="1"/>
    <xf numFmtId="1" fontId="0" fillId="15" borderId="292" xfId="0" applyNumberFormat="1" applyFill="1" applyBorder="1"/>
    <xf numFmtId="0" fontId="0" fillId="15" borderId="292" xfId="0" applyFill="1" applyBorder="1"/>
    <xf numFmtId="21" fontId="0" fillId="15" borderId="292" xfId="0" applyNumberFormat="1" applyFill="1" applyBorder="1"/>
    <xf numFmtId="0" fontId="10" fillId="15" borderId="292" xfId="0" applyFont="1" applyFill="1" applyBorder="1" applyAlignment="1">
      <alignment horizontal="left"/>
    </xf>
    <xf numFmtId="166" fontId="109" fillId="15" borderId="292" xfId="0" applyNumberFormat="1" applyFont="1" applyFill="1" applyBorder="1"/>
    <xf numFmtId="21" fontId="85" fillId="15" borderId="292" xfId="0" quotePrefix="1" applyNumberFormat="1" applyFont="1" applyFill="1" applyBorder="1" applyAlignment="1">
      <alignment horizontal="center"/>
    </xf>
    <xf numFmtId="0" fontId="86" fillId="15" borderId="292" xfId="0" applyFont="1" applyFill="1" applyBorder="1" applyAlignment="1">
      <alignment horizontal="center"/>
    </xf>
    <xf numFmtId="0" fontId="86" fillId="14" borderId="292" xfId="0" quotePrefix="1" applyFont="1" applyFill="1" applyBorder="1" applyAlignment="1">
      <alignment horizontal="left"/>
    </xf>
    <xf numFmtId="0" fontId="2" fillId="15" borderId="292" xfId="0" applyFont="1" applyFill="1" applyBorder="1"/>
    <xf numFmtId="0" fontId="10" fillId="15" borderId="292" xfId="0" applyFont="1" applyFill="1" applyBorder="1"/>
    <xf numFmtId="0" fontId="8" fillId="33" borderId="292" xfId="0" applyFont="1" applyFill="1" applyBorder="1" applyAlignment="1">
      <alignment horizontal="left"/>
    </xf>
    <xf numFmtId="166" fontId="77" fillId="33" borderId="292" xfId="0" quotePrefix="1" applyNumberFormat="1" applyFont="1" applyFill="1" applyBorder="1" applyAlignment="1">
      <alignment horizontal="left"/>
    </xf>
    <xf numFmtId="166" fontId="132" fillId="0" borderId="0" xfId="0" applyNumberFormat="1" applyFont="1" applyAlignment="1" applyProtection="1">
      <alignment horizontal="center"/>
      <protection locked="0"/>
    </xf>
    <xf numFmtId="0" fontId="136" fillId="0" borderId="102" xfId="0" applyFont="1" applyBorder="1"/>
    <xf numFmtId="0" fontId="2" fillId="18" borderId="291" xfId="0" applyFont="1" applyFill="1" applyBorder="1"/>
    <xf numFmtId="21" fontId="89" fillId="17" borderId="292" xfId="0" applyNumberFormat="1" applyFont="1" applyFill="1" applyBorder="1"/>
    <xf numFmtId="0" fontId="88" fillId="18" borderId="291" xfId="0" quotePrefix="1" applyFont="1" applyFill="1" applyBorder="1" applyAlignment="1">
      <alignment horizontal="left"/>
    </xf>
    <xf numFmtId="21" fontId="85" fillId="17" borderId="292" xfId="0" quotePrefix="1" applyNumberFormat="1" applyFont="1" applyFill="1" applyBorder="1" applyAlignment="1">
      <alignment horizontal="center"/>
    </xf>
    <xf numFmtId="0" fontId="0" fillId="18" borderId="291" xfId="0" applyFill="1" applyBorder="1"/>
    <xf numFmtId="0" fontId="10" fillId="15" borderId="292" xfId="0" quotePrefix="1" applyFont="1" applyFill="1" applyBorder="1" applyAlignment="1">
      <alignment horizontal="left"/>
    </xf>
    <xf numFmtId="21" fontId="136" fillId="14" borderId="292" xfId="0" applyNumberFormat="1" applyFont="1" applyFill="1" applyBorder="1"/>
    <xf numFmtId="166" fontId="132" fillId="3" borderId="0" xfId="0" applyNumberFormat="1" applyFont="1" applyFill="1" applyAlignment="1" applyProtection="1">
      <alignment horizontal="center"/>
      <protection locked="0"/>
    </xf>
    <xf numFmtId="0" fontId="131" fillId="24" borderId="96" xfId="0" applyFont="1" applyFill="1" applyBorder="1" applyAlignment="1">
      <alignment horizontal="center"/>
    </xf>
    <xf numFmtId="21" fontId="136" fillId="14" borderId="294" xfId="0" applyNumberFormat="1" applyFont="1" applyFill="1" applyBorder="1"/>
    <xf numFmtId="166" fontId="132" fillId="3" borderId="79" xfId="0" applyNumberFormat="1" applyFont="1" applyFill="1" applyBorder="1" applyAlignment="1" applyProtection="1">
      <alignment horizontal="center"/>
      <protection locked="0"/>
    </xf>
    <xf numFmtId="0" fontId="131" fillId="24" borderId="97" xfId="0" applyFont="1" applyFill="1" applyBorder="1" applyAlignment="1">
      <alignment horizontal="center"/>
    </xf>
    <xf numFmtId="1" fontId="171" fillId="15" borderId="292" xfId="0" applyNumberFormat="1" applyFont="1" applyFill="1" applyBorder="1"/>
    <xf numFmtId="0" fontId="171" fillId="15" borderId="292" xfId="0" applyFont="1" applyFill="1" applyBorder="1"/>
    <xf numFmtId="21" fontId="171" fillId="15" borderId="292" xfId="0" applyNumberFormat="1" applyFont="1" applyFill="1" applyBorder="1"/>
    <xf numFmtId="0" fontId="185" fillId="15" borderId="292" xfId="0" applyFont="1" applyFill="1" applyBorder="1"/>
    <xf numFmtId="176" fontId="185" fillId="15" borderId="292" xfId="0" applyNumberFormat="1" applyFont="1" applyFill="1" applyBorder="1"/>
    <xf numFmtId="166" fontId="174" fillId="15" borderId="292" xfId="0" applyNumberFormat="1" applyFont="1" applyFill="1" applyBorder="1"/>
    <xf numFmtId="21" fontId="230" fillId="15" borderId="292" xfId="0" quotePrefix="1" applyNumberFormat="1" applyFont="1" applyFill="1" applyBorder="1" applyAlignment="1">
      <alignment horizontal="center"/>
    </xf>
    <xf numFmtId="0" fontId="189" fillId="15" borderId="292" xfId="0" applyFont="1" applyFill="1" applyBorder="1" applyAlignment="1">
      <alignment horizontal="center"/>
    </xf>
    <xf numFmtId="1" fontId="187" fillId="21" borderId="295" xfId="0" applyNumberFormat="1" applyFont="1" applyFill="1" applyBorder="1"/>
    <xf numFmtId="0" fontId="171" fillId="21" borderId="292" xfId="0" applyFont="1" applyFill="1" applyBorder="1"/>
    <xf numFmtId="21" fontId="188" fillId="21" borderId="292" xfId="0" applyNumberFormat="1" applyFont="1" applyFill="1" applyBorder="1"/>
    <xf numFmtId="0" fontId="185" fillId="21" borderId="292" xfId="0" applyFont="1" applyFill="1" applyBorder="1"/>
    <xf numFmtId="177" fontId="185" fillId="47" borderId="292" xfId="0" applyNumberFormat="1" applyFont="1" applyFill="1" applyBorder="1"/>
    <xf numFmtId="166" fontId="174" fillId="21" borderId="292" xfId="0" applyNumberFormat="1" applyFont="1" applyFill="1" applyBorder="1"/>
    <xf numFmtId="21" fontId="230" fillId="21" borderId="292" xfId="0" quotePrefix="1" applyNumberFormat="1" applyFont="1" applyFill="1" applyBorder="1" applyAlignment="1">
      <alignment horizontal="center"/>
    </xf>
    <xf numFmtId="1" fontId="189" fillId="21" borderId="292" xfId="0" applyNumberFormat="1" applyFont="1" applyFill="1" applyBorder="1" applyAlignment="1">
      <alignment horizontal="center"/>
    </xf>
    <xf numFmtId="0" fontId="171" fillId="21" borderId="293" xfId="0" applyFont="1" applyFill="1" applyBorder="1"/>
    <xf numFmtId="1" fontId="173" fillId="19" borderId="0" xfId="0" applyNumberFormat="1" applyFont="1" applyFill="1"/>
    <xf numFmtId="0" fontId="232" fillId="19" borderId="291" xfId="0" applyFont="1" applyFill="1" applyBorder="1"/>
    <xf numFmtId="21" fontId="232" fillId="19" borderId="292" xfId="0" applyNumberFormat="1" applyFont="1" applyFill="1" applyBorder="1"/>
    <xf numFmtId="21" fontId="232" fillId="19" borderId="0" xfId="0" applyNumberFormat="1" applyFont="1" applyFill="1"/>
    <xf numFmtId="176" fontId="183" fillId="19" borderId="292" xfId="0" applyNumberFormat="1" applyFont="1" applyFill="1" applyBorder="1"/>
    <xf numFmtId="166" fontId="235" fillId="19" borderId="0" xfId="0" applyNumberFormat="1" applyFont="1" applyFill="1"/>
    <xf numFmtId="21" fontId="232" fillId="19" borderId="292" xfId="0" quotePrefix="1" applyNumberFormat="1" applyFont="1" applyFill="1" applyBorder="1" applyAlignment="1">
      <alignment horizontal="center"/>
    </xf>
    <xf numFmtId="0" fontId="194" fillId="19" borderId="291" xfId="0" quotePrefix="1" applyFont="1" applyFill="1" applyBorder="1" applyAlignment="1">
      <alignment horizontal="left"/>
    </xf>
    <xf numFmtId="21" fontId="230" fillId="14" borderId="294" xfId="0" applyNumberFormat="1" applyFont="1" applyFill="1" applyBorder="1"/>
    <xf numFmtId="0" fontId="86" fillId="46" borderId="0" xfId="0" applyFont="1" applyFill="1"/>
    <xf numFmtId="0" fontId="150" fillId="34" borderId="0" xfId="0" applyFont="1" applyFill="1"/>
    <xf numFmtId="0" fontId="83" fillId="34" borderId="0" xfId="0" applyFont="1" applyFill="1"/>
    <xf numFmtId="0" fontId="83" fillId="46" borderId="0" xfId="0" applyFont="1" applyFill="1"/>
    <xf numFmtId="2" fontId="171" fillId="19" borderId="292" xfId="0" applyNumberFormat="1" applyFont="1" applyFill="1" applyBorder="1"/>
    <xf numFmtId="166" fontId="193" fillId="19" borderId="292" xfId="0" applyNumberFormat="1" applyFont="1" applyFill="1" applyBorder="1"/>
    <xf numFmtId="21" fontId="193" fillId="19" borderId="292" xfId="0" applyNumberFormat="1" applyFont="1" applyFill="1" applyBorder="1"/>
    <xf numFmtId="0" fontId="85" fillId="19" borderId="292" xfId="0" applyFont="1" applyFill="1" applyBorder="1" applyAlignment="1">
      <alignment horizontal="center"/>
    </xf>
    <xf numFmtId="21" fontId="82" fillId="14" borderId="292" xfId="0" applyNumberFormat="1" applyFont="1" applyFill="1" applyBorder="1" applyAlignment="1">
      <alignment horizontal="center"/>
    </xf>
    <xf numFmtId="21" fontId="89" fillId="16" borderId="292" xfId="0" applyNumberFormat="1" applyFont="1" applyFill="1" applyBorder="1" applyAlignment="1">
      <alignment horizontal="center"/>
    </xf>
    <xf numFmtId="21" fontId="82" fillId="21" borderId="292" xfId="0" applyNumberFormat="1" applyFont="1" applyFill="1" applyBorder="1" applyAlignment="1">
      <alignment horizontal="center"/>
    </xf>
    <xf numFmtId="21" fontId="0" fillId="15" borderId="292" xfId="0" applyNumberFormat="1" applyFill="1" applyBorder="1" applyAlignment="1">
      <alignment horizontal="center"/>
    </xf>
    <xf numFmtId="21" fontId="99" fillId="29" borderId="292" xfId="0" applyNumberFormat="1" applyFont="1" applyFill="1" applyBorder="1" applyAlignment="1">
      <alignment horizontal="center"/>
    </xf>
    <xf numFmtId="21" fontId="16" fillId="19" borderId="292" xfId="0" applyNumberFormat="1" applyFont="1" applyFill="1" applyBorder="1" applyAlignment="1">
      <alignment horizontal="center"/>
    </xf>
    <xf numFmtId="21" fontId="136" fillId="14" borderId="79" xfId="0" applyNumberFormat="1" applyFont="1" applyFill="1" applyBorder="1" applyAlignment="1">
      <alignment horizontal="center"/>
    </xf>
    <xf numFmtId="21" fontId="136" fillId="14" borderId="0" xfId="0" applyNumberFormat="1" applyFont="1" applyFill="1" applyAlignment="1">
      <alignment horizontal="center"/>
    </xf>
    <xf numFmtId="21" fontId="89" fillId="17" borderId="292" xfId="0" applyNumberFormat="1" applyFont="1" applyFill="1" applyBorder="1" applyAlignment="1">
      <alignment horizontal="center"/>
    </xf>
    <xf numFmtId="21" fontId="136" fillId="14" borderId="292" xfId="0" applyNumberFormat="1" applyFont="1" applyFill="1" applyBorder="1" applyAlignment="1">
      <alignment horizontal="center"/>
    </xf>
    <xf numFmtId="21" fontId="136" fillId="14" borderId="294" xfId="0" applyNumberFormat="1" applyFont="1" applyFill="1" applyBorder="1" applyAlignment="1">
      <alignment horizontal="center"/>
    </xf>
    <xf numFmtId="21" fontId="171" fillId="15" borderId="292" xfId="0" applyNumberFormat="1" applyFont="1" applyFill="1" applyBorder="1" applyAlignment="1">
      <alignment horizontal="center"/>
    </xf>
    <xf numFmtId="21" fontId="188" fillId="21" borderId="292" xfId="0" applyNumberFormat="1" applyFont="1" applyFill="1" applyBorder="1" applyAlignment="1">
      <alignment horizontal="center"/>
    </xf>
    <xf numFmtId="21" fontId="232" fillId="19" borderId="0" xfId="0" applyNumberFormat="1" applyFont="1" applyFill="1" applyAlignment="1">
      <alignment horizontal="center"/>
    </xf>
    <xf numFmtId="21" fontId="230" fillId="14" borderId="294" xfId="0" applyNumberFormat="1" applyFont="1" applyFill="1" applyBorder="1" applyAlignment="1">
      <alignment horizontal="center"/>
    </xf>
    <xf numFmtId="21" fontId="0" fillId="28" borderId="35" xfId="0" applyNumberFormat="1" applyFont="1" applyFill="1" applyBorder="1" applyAlignment="1">
      <alignment horizontal="center"/>
    </xf>
    <xf numFmtId="21" fontId="346" fillId="0" borderId="292" xfId="0" applyNumberFormat="1" applyFont="1" applyFill="1" applyBorder="1" applyAlignment="1">
      <alignment horizontal="center"/>
    </xf>
    <xf numFmtId="21" fontId="177" fillId="0" borderId="35" xfId="0" applyNumberFormat="1" applyFont="1" applyFill="1" applyBorder="1" applyAlignment="1">
      <alignment horizontal="center"/>
    </xf>
    <xf numFmtId="21" fontId="1" fillId="14" borderId="35" xfId="0" applyNumberFormat="1" applyFont="1" applyFill="1" applyBorder="1" applyAlignment="1">
      <alignment horizontal="center"/>
    </xf>
    <xf numFmtId="0" fontId="0" fillId="0" borderId="100" xfId="0" applyFont="1" applyBorder="1" applyAlignment="1">
      <alignment horizontal="center"/>
    </xf>
    <xf numFmtId="0" fontId="86" fillId="46" borderId="0" xfId="0" applyFont="1" applyFill="1" applyAlignment="1">
      <alignment horizontal="center"/>
    </xf>
    <xf numFmtId="0" fontId="86" fillId="14" borderId="292" xfId="0" applyFont="1" applyFill="1" applyBorder="1" applyAlignment="1">
      <alignment horizontal="center"/>
    </xf>
    <xf numFmtId="0" fontId="19" fillId="18" borderId="291" xfId="0" applyFont="1" applyFill="1" applyBorder="1"/>
    <xf numFmtId="21" fontId="85" fillId="14" borderId="294" xfId="0" applyNumberFormat="1" applyFont="1" applyFill="1" applyBorder="1"/>
    <xf numFmtId="166" fontId="19" fillId="21" borderId="296" xfId="0" applyNumberFormat="1" applyFont="1" applyFill="1" applyBorder="1"/>
    <xf numFmtId="166" fontId="19" fillId="15" borderId="296" xfId="0" applyNumberFormat="1" applyFont="1" applyFill="1" applyBorder="1"/>
    <xf numFmtId="166" fontId="135" fillId="0" borderId="0" xfId="0" applyNumberFormat="1" applyFont="1" applyBorder="1" applyAlignment="1" applyProtection="1">
      <alignment horizontal="center"/>
      <protection locked="0"/>
    </xf>
    <xf numFmtId="0" fontId="1" fillId="0" borderId="283" xfId="0" applyFont="1" applyBorder="1"/>
    <xf numFmtId="0" fontId="291" fillId="113" borderId="201" xfId="0" applyFont="1" applyFill="1" applyBorder="1" applyAlignment="1">
      <alignment horizontal="center"/>
    </xf>
    <xf numFmtId="0" fontId="1" fillId="0" borderId="192" xfId="0" applyFont="1" applyBorder="1"/>
    <xf numFmtId="0" fontId="349" fillId="0" borderId="191" xfId="0" applyFont="1" applyBorder="1"/>
    <xf numFmtId="0" fontId="349" fillId="0" borderId="100" xfId="0" applyFont="1" applyBorder="1"/>
    <xf numFmtId="2" fontId="1" fillId="0" borderId="193" xfId="0" applyNumberFormat="1" applyFont="1" applyBorder="1"/>
    <xf numFmtId="2" fontId="1" fillId="0" borderId="191" xfId="0" applyNumberFormat="1" applyFont="1" applyBorder="1"/>
    <xf numFmtId="2" fontId="1" fillId="0" borderId="192" xfId="0" applyNumberFormat="1" applyFont="1" applyBorder="1"/>
    <xf numFmtId="2" fontId="1" fillId="0" borderId="100" xfId="0" applyNumberFormat="1" applyFont="1" applyBorder="1"/>
    <xf numFmtId="0" fontId="349" fillId="80" borderId="100" xfId="0" applyFont="1" applyFill="1" applyBorder="1"/>
    <xf numFmtId="0" fontId="349" fillId="80" borderId="192" xfId="0" applyFont="1" applyFill="1" applyBorder="1"/>
    <xf numFmtId="0" fontId="0" fillId="149" borderId="0" xfId="0" applyFill="1" applyBorder="1"/>
    <xf numFmtId="0" fontId="291" fillId="113" borderId="290" xfId="0" applyFont="1" applyFill="1" applyBorder="1" applyAlignment="1">
      <alignment horizontal="center"/>
    </xf>
    <xf numFmtId="0" fontId="291" fillId="113" borderId="296" xfId="0" applyFont="1" applyFill="1" applyBorder="1" applyAlignment="1">
      <alignment horizontal="center"/>
    </xf>
    <xf numFmtId="0" fontId="0" fillId="0" borderId="293" xfId="0" applyBorder="1"/>
    <xf numFmtId="0" fontId="1" fillId="73" borderId="290" xfId="0" applyFont="1" applyFill="1" applyBorder="1" applyAlignment="1">
      <alignment horizontal="center"/>
    </xf>
    <xf numFmtId="0" fontId="1" fillId="73" borderId="296" xfId="0" applyFont="1" applyFill="1" applyBorder="1" applyAlignment="1">
      <alignment horizontal="center"/>
    </xf>
    <xf numFmtId="0" fontId="1" fillId="73" borderId="293" xfId="0" applyFont="1" applyFill="1" applyBorder="1" applyAlignment="1">
      <alignment horizontal="center"/>
    </xf>
    <xf numFmtId="0" fontId="1" fillId="0" borderId="297" xfId="0" applyFont="1" applyBorder="1"/>
    <xf numFmtId="0" fontId="1" fillId="87" borderId="293" xfId="0" applyFont="1" applyFill="1" applyBorder="1"/>
    <xf numFmtId="0" fontId="1" fillId="87" borderId="298" xfId="0" applyFont="1" applyFill="1" applyBorder="1"/>
    <xf numFmtId="0" fontId="291" fillId="113" borderId="299" xfId="0" applyFont="1" applyFill="1" applyBorder="1" applyAlignment="1">
      <alignment horizontal="center"/>
    </xf>
    <xf numFmtId="0" fontId="1" fillId="0" borderId="293" xfId="0" applyFont="1" applyBorder="1"/>
    <xf numFmtId="183" fontId="262" fillId="19" borderId="298" xfId="0" applyNumberFormat="1" applyFont="1" applyFill="1" applyBorder="1"/>
    <xf numFmtId="183" fontId="262" fillId="19" borderId="300" xfId="0" applyNumberFormat="1" applyFont="1" applyFill="1" applyBorder="1"/>
    <xf numFmtId="0" fontId="2" fillId="0" borderId="296" xfId="0" applyFont="1" applyBorder="1"/>
    <xf numFmtId="0" fontId="2" fillId="0" borderId="296" xfId="0" applyFont="1" applyFill="1" applyBorder="1"/>
    <xf numFmtId="185" fontId="0" fillId="0" borderId="296" xfId="0" applyNumberFormat="1" applyBorder="1" applyAlignment="1">
      <alignment horizontal="center"/>
    </xf>
    <xf numFmtId="185" fontId="0" fillId="0" borderId="0" xfId="0" applyNumberFormat="1"/>
    <xf numFmtId="0" fontId="306" fillId="164" borderId="209" xfId="0" applyFont="1" applyFill="1" applyBorder="1" applyAlignment="1">
      <alignment horizontal="center"/>
    </xf>
    <xf numFmtId="177" fontId="259" fillId="171" borderId="209" xfId="0" applyNumberFormat="1" applyFont="1" applyFill="1" applyBorder="1"/>
    <xf numFmtId="21" fontId="305" fillId="164" borderId="209" xfId="0" quotePrefix="1" applyNumberFormat="1" applyFont="1" applyFill="1" applyBorder="1" applyAlignment="1">
      <alignment horizontal="center"/>
    </xf>
    <xf numFmtId="1" fontId="306" fillId="164" borderId="209" xfId="0" applyNumberFormat="1" applyFont="1" applyFill="1" applyBorder="1" applyAlignment="1">
      <alignment horizontal="center"/>
    </xf>
    <xf numFmtId="0" fontId="292" fillId="164" borderId="209" xfId="0" applyFont="1" applyFill="1" applyBorder="1"/>
    <xf numFmtId="21" fontId="305" fillId="164" borderId="209" xfId="0" applyNumberFormat="1" applyFont="1" applyFill="1" applyBorder="1"/>
    <xf numFmtId="166" fontId="361" fillId="164" borderId="209" xfId="0" applyNumberFormat="1" applyFont="1" applyFill="1" applyBorder="1"/>
    <xf numFmtId="0" fontId="0" fillId="166" borderId="209" xfId="0" applyFill="1" applyBorder="1"/>
    <xf numFmtId="21" fontId="82" fillId="166" borderId="209" xfId="0" applyNumberFormat="1" applyFont="1" applyFill="1" applyBorder="1"/>
    <xf numFmtId="0" fontId="86" fillId="166" borderId="209" xfId="0" applyFont="1" applyFill="1" applyBorder="1" applyAlignment="1">
      <alignment horizontal="center"/>
    </xf>
    <xf numFmtId="177" fontId="10" fillId="172" borderId="209" xfId="0" applyNumberFormat="1" applyFont="1" applyFill="1" applyBorder="1"/>
    <xf numFmtId="166" fontId="113" fillId="166" borderId="209" xfId="0" applyNumberFormat="1" applyFont="1" applyFill="1" applyBorder="1"/>
    <xf numFmtId="21" fontId="85" fillId="166" borderId="209" xfId="0" quotePrefix="1" applyNumberFormat="1" applyFont="1" applyFill="1" applyBorder="1" applyAlignment="1">
      <alignment horizontal="center"/>
    </xf>
    <xf numFmtId="1" fontId="86" fillId="166" borderId="209" xfId="0" applyNumberFormat="1" applyFont="1" applyFill="1" applyBorder="1" applyAlignment="1">
      <alignment horizontal="center"/>
    </xf>
    <xf numFmtId="177" fontId="10" fillId="116" borderId="209" xfId="0" applyNumberFormat="1" applyFont="1" applyFill="1" applyBorder="1"/>
    <xf numFmtId="166" fontId="113" fillId="91" borderId="209" xfId="0" applyNumberFormat="1" applyFont="1" applyFill="1" applyBorder="1"/>
    <xf numFmtId="1" fontId="86" fillId="91" borderId="209" xfId="0" applyNumberFormat="1" applyFont="1" applyFill="1" applyBorder="1" applyAlignment="1">
      <alignment horizontal="center"/>
    </xf>
    <xf numFmtId="0" fontId="0" fillId="94" borderId="0" xfId="0" applyFill="1"/>
    <xf numFmtId="21" fontId="305" fillId="173" borderId="209" xfId="0" applyNumberFormat="1" applyFont="1" applyFill="1" applyBorder="1"/>
    <xf numFmtId="0" fontId="2" fillId="94" borderId="0" xfId="0" applyFont="1" applyFill="1" applyAlignment="1">
      <alignment horizontal="center"/>
    </xf>
    <xf numFmtId="21" fontId="305" fillId="173" borderId="209" xfId="0" quotePrefix="1" applyNumberFormat="1" applyFont="1" applyFill="1" applyBorder="1" applyAlignment="1">
      <alignment horizontal="center"/>
    </xf>
    <xf numFmtId="0" fontId="0" fillId="94" borderId="0" xfId="0" applyFill="1" applyAlignment="1">
      <alignment horizontal="center"/>
    </xf>
    <xf numFmtId="21" fontId="306" fillId="173" borderId="209" xfId="0" applyNumberFormat="1" applyFont="1" applyFill="1" applyBorder="1"/>
    <xf numFmtId="21" fontId="81" fillId="14" borderId="74" xfId="0" applyNumberFormat="1" applyFont="1" applyFill="1" applyBorder="1" applyAlignment="1">
      <alignment horizontal="center"/>
    </xf>
    <xf numFmtId="21" fontId="81" fillId="14" borderId="75" xfId="0" applyNumberFormat="1" applyFont="1" applyFill="1" applyBorder="1" applyAlignment="1">
      <alignment horizontal="center"/>
    </xf>
    <xf numFmtId="21" fontId="81" fillId="14" borderId="296" xfId="0" applyNumberFormat="1" applyFont="1" applyFill="1" applyBorder="1"/>
    <xf numFmtId="0" fontId="106" fillId="19" borderId="291" xfId="0" applyFont="1" applyFill="1" applyBorder="1"/>
    <xf numFmtId="21" fontId="106" fillId="19" borderId="296" xfId="0" applyNumberFormat="1" applyFont="1" applyFill="1" applyBorder="1"/>
    <xf numFmtId="47" fontId="97" fillId="93" borderId="296" xfId="0" applyNumberFormat="1" applyFont="1" applyFill="1" applyBorder="1" applyAlignment="1">
      <alignment horizontal="center" wrapText="1"/>
    </xf>
    <xf numFmtId="166" fontId="160" fillId="19" borderId="296" xfId="0" applyNumberFormat="1" applyFont="1" applyFill="1" applyBorder="1"/>
    <xf numFmtId="21" fontId="106" fillId="19" borderId="296" xfId="0" quotePrefix="1" applyNumberFormat="1" applyFont="1" applyFill="1" applyBorder="1" applyAlignment="1">
      <alignment horizontal="center"/>
    </xf>
    <xf numFmtId="0" fontId="106" fillId="19" borderId="291" xfId="0" quotePrefix="1" applyFont="1" applyFill="1" applyBorder="1" applyAlignment="1">
      <alignment horizontal="center"/>
    </xf>
    <xf numFmtId="0" fontId="160" fillId="19" borderId="291" xfId="0" applyFont="1" applyFill="1" applyBorder="1"/>
    <xf numFmtId="183" fontId="97" fillId="93" borderId="296" xfId="0" applyNumberFormat="1" applyFont="1" applyFill="1" applyBorder="1" applyAlignment="1">
      <alignment wrapText="1"/>
    </xf>
    <xf numFmtId="173" fontId="271" fillId="91" borderId="0" xfId="0" quotePrefix="1" applyNumberFormat="1" applyFont="1" applyFill="1" applyBorder="1" applyAlignment="1">
      <alignment horizontal="center"/>
    </xf>
    <xf numFmtId="173" fontId="106" fillId="174" borderId="0" xfId="0" quotePrefix="1" applyNumberFormat="1" applyFont="1" applyFill="1" applyBorder="1" applyAlignment="1">
      <alignment horizontal="center"/>
    </xf>
    <xf numFmtId="173" fontId="271" fillId="102" borderId="0" xfId="0" quotePrefix="1" applyNumberFormat="1" applyFont="1" applyFill="1" applyBorder="1" applyAlignment="1">
      <alignment horizontal="center"/>
    </xf>
    <xf numFmtId="0" fontId="259" fillId="112" borderId="75" xfId="0" applyFont="1" applyFill="1" applyBorder="1" applyAlignment="1">
      <alignment horizontal="center"/>
    </xf>
    <xf numFmtId="0" fontId="106" fillId="66" borderId="35" xfId="0" applyFont="1" applyFill="1" applyBorder="1" applyAlignment="1">
      <alignment horizontal="center"/>
    </xf>
    <xf numFmtId="0" fontId="158" fillId="19" borderId="35" xfId="0" applyFont="1" applyFill="1" applyBorder="1"/>
    <xf numFmtId="21" fontId="81" fillId="14" borderId="74" xfId="0" applyNumberFormat="1" applyFont="1" applyFill="1" applyBorder="1" applyAlignment="1">
      <alignment horizontal="center"/>
    </xf>
    <xf numFmtId="21" fontId="81" fillId="14" borderId="75" xfId="0" applyNumberFormat="1" applyFont="1" applyFill="1" applyBorder="1" applyAlignment="1">
      <alignment horizontal="center"/>
    </xf>
    <xf numFmtId="0" fontId="201" fillId="48" borderId="276" xfId="0" applyFont="1" applyFill="1" applyBorder="1" applyAlignment="1">
      <alignment horizontal="center"/>
    </xf>
    <xf numFmtId="21" fontId="0" fillId="15" borderId="296" xfId="0" applyNumberFormat="1" applyFill="1" applyBorder="1"/>
    <xf numFmtId="21" fontId="86" fillId="14" borderId="296" xfId="0" applyNumberFormat="1" applyFont="1" applyFill="1" applyBorder="1"/>
    <xf numFmtId="1" fontId="81" fillId="21" borderId="296" xfId="0" applyNumberFormat="1" applyFont="1" applyFill="1" applyBorder="1"/>
    <xf numFmtId="0" fontId="0" fillId="21" borderId="296" xfId="0" applyFill="1" applyBorder="1"/>
    <xf numFmtId="21" fontId="82" fillId="21" borderId="296" xfId="0" applyNumberFormat="1" applyFont="1" applyFill="1" applyBorder="1"/>
    <xf numFmtId="0" fontId="10" fillId="21" borderId="296" xfId="0" applyFont="1" applyFill="1" applyBorder="1"/>
    <xf numFmtId="166" fontId="109" fillId="21" borderId="296" xfId="0" applyNumberFormat="1" applyFont="1" applyFill="1" applyBorder="1"/>
    <xf numFmtId="21" fontId="85" fillId="21" borderId="296" xfId="0" quotePrefix="1" applyNumberFormat="1" applyFont="1" applyFill="1" applyBorder="1" applyAlignment="1">
      <alignment horizontal="center"/>
    </xf>
    <xf numFmtId="1" fontId="86" fillId="21" borderId="296" xfId="0" applyNumberFormat="1" applyFont="1" applyFill="1" applyBorder="1" applyAlignment="1">
      <alignment horizontal="center"/>
    </xf>
    <xf numFmtId="1" fontId="0" fillId="15" borderId="296" xfId="0" applyNumberFormat="1" applyFill="1" applyBorder="1"/>
    <xf numFmtId="0" fontId="0" fillId="15" borderId="296" xfId="0" applyFill="1" applyBorder="1"/>
    <xf numFmtId="0" fontId="10" fillId="15" borderId="296" xfId="0" applyFont="1" applyFill="1" applyBorder="1"/>
    <xf numFmtId="21" fontId="85" fillId="15" borderId="296" xfId="0" quotePrefix="1" applyNumberFormat="1" applyFont="1" applyFill="1" applyBorder="1" applyAlignment="1">
      <alignment horizontal="center"/>
    </xf>
    <xf numFmtId="0" fontId="86" fillId="15" borderId="296" xfId="0" applyFont="1" applyFill="1" applyBorder="1" applyAlignment="1">
      <alignment horizontal="center"/>
    </xf>
    <xf numFmtId="21" fontId="89" fillId="17" borderId="296" xfId="0" applyNumberFormat="1" applyFont="1" applyFill="1" applyBorder="1"/>
    <xf numFmtId="0" fontId="10" fillId="15" borderId="296" xfId="0" quotePrefix="1" applyFont="1" applyFill="1" applyBorder="1" applyAlignment="1">
      <alignment horizontal="left"/>
    </xf>
    <xf numFmtId="0" fontId="99" fillId="19" borderId="296" xfId="0" applyFont="1" applyFill="1" applyBorder="1"/>
    <xf numFmtId="21" fontId="99" fillId="19" borderId="296" xfId="0" applyNumberFormat="1" applyFont="1" applyFill="1" applyBorder="1"/>
    <xf numFmtId="21" fontId="100" fillId="19" borderId="296" xfId="0" quotePrefix="1" applyNumberFormat="1" applyFont="1" applyFill="1" applyBorder="1" applyAlignment="1">
      <alignment horizontal="center"/>
    </xf>
    <xf numFmtId="8" fontId="55" fillId="3" borderId="0" xfId="0" applyNumberFormat="1" applyFont="1" applyFill="1" applyProtection="1">
      <protection locked="0"/>
    </xf>
    <xf numFmtId="0" fontId="5" fillId="24" borderId="96" xfId="0" quotePrefix="1" applyFont="1" applyFill="1" applyBorder="1" applyAlignment="1">
      <alignment horizontal="center"/>
    </xf>
    <xf numFmtId="166" fontId="8" fillId="30" borderId="0" xfId="0" applyNumberFormat="1" applyFont="1" applyFill="1" applyBorder="1" applyProtection="1"/>
    <xf numFmtId="166" fontId="194" fillId="19" borderId="35" xfId="0" applyNumberFormat="1" applyFont="1" applyFill="1" applyBorder="1"/>
    <xf numFmtId="21" fontId="86" fillId="17" borderId="0" xfId="0" quotePrefix="1" applyNumberFormat="1" applyFont="1" applyFill="1" applyAlignment="1">
      <alignment horizontal="center"/>
    </xf>
    <xf numFmtId="0" fontId="106" fillId="19" borderId="264" xfId="0" applyFont="1" applyFill="1" applyBorder="1"/>
    <xf numFmtId="166" fontId="8" fillId="33" borderId="209" xfId="0" applyNumberFormat="1" applyFont="1" applyFill="1" applyBorder="1"/>
    <xf numFmtId="21" fontId="106" fillId="19" borderId="0" xfId="0" quotePrefix="1" applyNumberFormat="1" applyFont="1" applyFill="1" applyAlignment="1">
      <alignment horizontal="center"/>
    </xf>
    <xf numFmtId="21" fontId="86" fillId="14" borderId="265" xfId="0" applyNumberFormat="1" applyFont="1" applyFill="1" applyBorder="1"/>
    <xf numFmtId="0" fontId="84" fillId="0" borderId="113" xfId="0" applyFont="1" applyBorder="1"/>
    <xf numFmtId="166" fontId="7" fillId="64" borderId="0" xfId="0" applyNumberFormat="1" applyFont="1" applyFill="1" applyAlignment="1" applyProtection="1">
      <alignment horizontal="center"/>
      <protection locked="0"/>
    </xf>
    <xf numFmtId="0" fontId="84" fillId="0" borderId="0" xfId="0" applyFont="1"/>
    <xf numFmtId="21" fontId="86" fillId="20" borderId="209" xfId="0" quotePrefix="1" applyNumberFormat="1" applyFont="1" applyFill="1" applyBorder="1" applyAlignment="1">
      <alignment horizontal="center"/>
    </xf>
    <xf numFmtId="0" fontId="10" fillId="14" borderId="209" xfId="0" applyFont="1" applyFill="1" applyBorder="1"/>
    <xf numFmtId="21" fontId="172" fillId="80" borderId="213" xfId="0" applyNumberFormat="1" applyFont="1" applyFill="1" applyBorder="1" applyAlignment="1">
      <alignment horizontal="center" textRotation="90"/>
    </xf>
    <xf numFmtId="0" fontId="185" fillId="80" borderId="0" xfId="0" applyFont="1" applyFill="1"/>
    <xf numFmtId="1" fontId="0" fillId="120" borderId="79" xfId="0" applyNumberFormat="1" applyFill="1" applyBorder="1"/>
    <xf numFmtId="1" fontId="7" fillId="120" borderId="79" xfId="0" applyNumberFormat="1" applyFont="1" applyFill="1" applyBorder="1" applyAlignment="1" applyProtection="1">
      <alignment horizontal="center"/>
      <protection locked="0"/>
    </xf>
    <xf numFmtId="0" fontId="5" fillId="120" borderId="12" xfId="0" applyFont="1" applyFill="1" applyBorder="1" applyAlignment="1">
      <alignment horizontal="center"/>
    </xf>
    <xf numFmtId="0" fontId="5" fillId="120" borderId="97" xfId="0" applyFont="1" applyFill="1" applyBorder="1" applyAlignment="1">
      <alignment horizontal="center"/>
    </xf>
    <xf numFmtId="0" fontId="5" fillId="120" borderId="118" xfId="0" applyFont="1" applyFill="1" applyBorder="1" applyAlignment="1">
      <alignment horizontal="center"/>
    </xf>
    <xf numFmtId="0" fontId="5" fillId="120" borderId="96" xfId="0" applyFont="1" applyFill="1" applyBorder="1" applyAlignment="1">
      <alignment horizontal="center"/>
    </xf>
    <xf numFmtId="21" fontId="81" fillId="143" borderId="209" xfId="0" applyNumberFormat="1" applyFont="1" applyFill="1" applyBorder="1"/>
    <xf numFmtId="0" fontId="86" fillId="143" borderId="209" xfId="0" applyFont="1" applyFill="1" applyBorder="1"/>
    <xf numFmtId="21" fontId="306" fillId="143" borderId="35" xfId="0" applyNumberFormat="1" applyFont="1" applyFill="1" applyBorder="1"/>
    <xf numFmtId="21" fontId="306" fillId="143" borderId="265" xfId="0" applyNumberFormat="1" applyFont="1" applyFill="1" applyBorder="1"/>
    <xf numFmtId="21" fontId="306" fillId="143" borderId="209" xfId="0" applyNumberFormat="1" applyFont="1" applyFill="1" applyBorder="1"/>
    <xf numFmtId="21" fontId="306" fillId="143" borderId="209" xfId="0" quotePrefix="1" applyNumberFormat="1" applyFont="1" applyFill="1" applyBorder="1" applyAlignment="1">
      <alignment horizontal="center"/>
    </xf>
    <xf numFmtId="1" fontId="306" fillId="143" borderId="209" xfId="0" applyNumberFormat="1" applyFont="1" applyFill="1" applyBorder="1" applyAlignment="1">
      <alignment horizontal="center"/>
    </xf>
    <xf numFmtId="176" fontId="9" fillId="120" borderId="0" xfId="0" applyNumberFormat="1" applyFont="1" applyFill="1" applyAlignment="1" applyProtection="1">
      <alignment horizontal="center"/>
      <protection locked="0"/>
    </xf>
    <xf numFmtId="166" fontId="108" fillId="120" borderId="79" xfId="0" applyNumberFormat="1" applyFont="1" applyFill="1" applyBorder="1" applyAlignment="1" applyProtection="1">
      <alignment horizontal="center"/>
      <protection locked="0"/>
    </xf>
    <xf numFmtId="21" fontId="85" fillId="143" borderId="265" xfId="0" applyNumberFormat="1" applyFont="1" applyFill="1" applyBorder="1"/>
    <xf numFmtId="184" fontId="1" fillId="3" borderId="0" xfId="0" quotePrefix="1" applyNumberFormat="1" applyFont="1" applyFill="1" applyAlignment="1" applyProtection="1">
      <alignment horizontal="left"/>
      <protection locked="0"/>
    </xf>
    <xf numFmtId="178" fontId="41" fillId="89" borderId="0" xfId="0" applyNumberFormat="1" applyFont="1" applyFill="1" applyAlignment="1" applyProtection="1">
      <alignment horizontal="left"/>
      <protection locked="0"/>
    </xf>
    <xf numFmtId="14" fontId="1" fillId="88" borderId="0" xfId="0" applyNumberFormat="1" applyFont="1" applyFill="1" applyAlignment="1">
      <alignment horizontal="center"/>
    </xf>
    <xf numFmtId="166" fontId="109" fillId="89" borderId="0" xfId="0" applyNumberFormat="1" applyFont="1" applyFill="1" applyAlignment="1">
      <alignment horizontal="center"/>
    </xf>
    <xf numFmtId="21" fontId="1" fillId="89" borderId="0" xfId="0" applyNumberFormat="1" applyFont="1" applyFill="1" applyAlignment="1">
      <alignment horizontal="center"/>
    </xf>
    <xf numFmtId="0" fontId="1" fillId="89" borderId="0" xfId="0" applyFont="1" applyFill="1" applyAlignment="1">
      <alignment horizontal="center"/>
    </xf>
    <xf numFmtId="3" fontId="314" fillId="89" borderId="0" xfId="0" applyNumberFormat="1" applyFont="1" applyFill="1" applyAlignment="1">
      <alignment horizontal="center"/>
    </xf>
    <xf numFmtId="164" fontId="302" fillId="0" borderId="246" xfId="0" applyNumberFormat="1" applyFont="1" applyBorder="1" applyAlignment="1">
      <alignment horizontal="center" textRotation="90"/>
    </xf>
    <xf numFmtId="0" fontId="315" fillId="0" borderId="123" xfId="0" applyFont="1" applyBorder="1" applyAlignment="1">
      <alignment horizontal="center" textRotation="90"/>
    </xf>
    <xf numFmtId="0" fontId="302" fillId="0" borderId="102" xfId="0" applyFont="1" applyBorder="1" applyAlignment="1">
      <alignment horizontal="center" textRotation="90"/>
    </xf>
    <xf numFmtId="174" fontId="302" fillId="0" borderId="123" xfId="0" applyNumberFormat="1" applyFont="1" applyBorder="1" applyAlignment="1">
      <alignment horizontal="center"/>
    </xf>
    <xf numFmtId="0" fontId="314" fillId="0" borderId="189" xfId="0" applyFont="1" applyBorder="1" applyAlignment="1">
      <alignment horizontal="center"/>
    </xf>
    <xf numFmtId="0" fontId="314" fillId="0" borderId="96" xfId="0" applyFont="1" applyBorder="1" applyAlignment="1">
      <alignment horizontal="center"/>
    </xf>
    <xf numFmtId="21" fontId="82" fillId="95" borderId="126" xfId="0" applyNumberFormat="1" applyFont="1" applyFill="1" applyBorder="1"/>
    <xf numFmtId="0" fontId="86" fillId="95" borderId="126" xfId="0" applyFont="1" applyFill="1" applyBorder="1"/>
    <xf numFmtId="177" fontId="10" fillId="154" borderId="126" xfId="0" applyNumberFormat="1" applyFont="1" applyFill="1" applyBorder="1"/>
    <xf numFmtId="166" fontId="113" fillId="95" borderId="126" xfId="0" applyNumberFormat="1" applyFont="1" applyFill="1" applyBorder="1"/>
    <xf numFmtId="21" fontId="85" fillId="95" borderId="126" xfId="0" applyNumberFormat="1" applyFont="1" applyFill="1" applyBorder="1" applyAlignment="1">
      <alignment horizontal="center"/>
    </xf>
    <xf numFmtId="1" fontId="86" fillId="95" borderId="126" xfId="0" applyNumberFormat="1" applyFont="1" applyFill="1" applyBorder="1" applyAlignment="1">
      <alignment horizontal="center"/>
    </xf>
    <xf numFmtId="0" fontId="2" fillId="95" borderId="68" xfId="0" applyFont="1" applyFill="1" applyBorder="1"/>
    <xf numFmtId="177" fontId="254" fillId="152" borderId="201" xfId="0" applyNumberFormat="1" applyFont="1" applyFill="1" applyBorder="1"/>
    <xf numFmtId="0" fontId="251" fillId="101" borderId="169" xfId="0" applyNumberFormat="1" applyFont="1" applyFill="1" applyBorder="1" applyAlignment="1">
      <alignment horizontal="center"/>
    </xf>
    <xf numFmtId="0" fontId="251" fillId="101" borderId="301" xfId="0" applyFont="1" applyFill="1" applyBorder="1"/>
    <xf numFmtId="1" fontId="19" fillId="175" borderId="253" xfId="0" applyNumberFormat="1" applyFont="1" applyFill="1" applyBorder="1"/>
    <xf numFmtId="0" fontId="319" fillId="153" borderId="295" xfId="0" applyFont="1" applyFill="1" applyBorder="1"/>
    <xf numFmtId="0" fontId="318" fillId="153" borderId="295" xfId="0" applyFont="1" applyFill="1" applyBorder="1"/>
    <xf numFmtId="176" fontId="318" fillId="153" borderId="253" xfId="0" applyNumberFormat="1" applyFont="1" applyFill="1" applyBorder="1"/>
    <xf numFmtId="166" fontId="319" fillId="153" borderId="295" xfId="0" applyNumberFormat="1" applyFont="1" applyFill="1" applyBorder="1"/>
    <xf numFmtId="21" fontId="86" fillId="153" borderId="295" xfId="0" applyNumberFormat="1" applyFont="1" applyFill="1" applyBorder="1" applyAlignment="1">
      <alignment horizontal="center"/>
    </xf>
    <xf numFmtId="0" fontId="318" fillId="153" borderId="295" xfId="0" applyFont="1" applyFill="1" applyBorder="1" applyAlignment="1">
      <alignment horizontal="center"/>
    </xf>
    <xf numFmtId="0" fontId="251" fillId="145" borderId="253" xfId="0" applyFont="1" applyFill="1" applyBorder="1"/>
    <xf numFmtId="21" fontId="251" fillId="71" borderId="123" xfId="0" applyNumberFormat="1" applyFont="1" applyFill="1" applyBorder="1"/>
    <xf numFmtId="21" fontId="251" fillId="71" borderId="253" xfId="0" applyNumberFormat="1" applyFont="1" applyFill="1" applyBorder="1"/>
    <xf numFmtId="0" fontId="254" fillId="145" borderId="253" xfId="0" applyFont="1" applyFill="1" applyBorder="1" applyAlignment="1">
      <alignment horizontal="left"/>
    </xf>
    <xf numFmtId="166" fontId="316" fillId="145" borderId="253" xfId="0" applyNumberFormat="1" applyFont="1" applyFill="1" applyBorder="1" applyAlignment="1">
      <alignment horizontal="left"/>
    </xf>
    <xf numFmtId="0" fontId="322" fillId="145" borderId="201" xfId="0" applyFont="1" applyFill="1" applyBorder="1" applyAlignment="1">
      <alignment horizontal="center"/>
    </xf>
    <xf numFmtId="0" fontId="252" fillId="71" borderId="102" xfId="0" applyFont="1" applyFill="1" applyBorder="1"/>
    <xf numFmtId="21" fontId="251" fillId="71" borderId="132" xfId="0" applyNumberFormat="1" applyFont="1" applyFill="1" applyBorder="1"/>
    <xf numFmtId="0" fontId="314" fillId="0" borderId="0" xfId="0" applyFont="1" applyAlignment="1">
      <alignment horizontal="center"/>
    </xf>
    <xf numFmtId="0" fontId="253" fillId="98" borderId="253" xfId="0" applyFont="1" applyFill="1" applyBorder="1"/>
    <xf numFmtId="21" fontId="321" fillId="98" borderId="253" xfId="0" applyNumberFormat="1" applyFont="1" applyFill="1" applyBorder="1"/>
    <xf numFmtId="166" fontId="279" fillId="98" borderId="253" xfId="0" applyNumberFormat="1" applyFont="1" applyFill="1" applyBorder="1"/>
    <xf numFmtId="21" fontId="255" fillId="98" borderId="295" xfId="0" applyNumberFormat="1" applyFont="1" applyFill="1" applyBorder="1" applyAlignment="1">
      <alignment horizontal="center"/>
    </xf>
    <xf numFmtId="0" fontId="256" fillId="98" borderId="253" xfId="0" applyFont="1" applyFill="1" applyBorder="1" applyAlignment="1">
      <alignment horizontal="left"/>
    </xf>
    <xf numFmtId="0" fontId="251" fillId="145" borderId="295" xfId="0" applyFont="1" applyFill="1" applyBorder="1"/>
    <xf numFmtId="166" fontId="316" fillId="145" borderId="295" xfId="0" applyNumberFormat="1" applyFont="1" applyFill="1" applyBorder="1" applyAlignment="1">
      <alignment horizontal="left"/>
    </xf>
    <xf numFmtId="0" fontId="322" fillId="145" borderId="296" xfId="0" applyFont="1" applyFill="1" applyBorder="1" applyAlignment="1">
      <alignment horizontal="center"/>
    </xf>
    <xf numFmtId="176" fontId="10" fillId="97" borderId="253" xfId="0" applyNumberFormat="1" applyFont="1" applyFill="1" applyBorder="1"/>
    <xf numFmtId="21" fontId="86" fillId="97" borderId="295" xfId="0" applyNumberFormat="1" applyFont="1" applyFill="1" applyBorder="1" applyAlignment="1">
      <alignment horizontal="center"/>
    </xf>
    <xf numFmtId="0" fontId="19" fillId="97" borderId="295" xfId="0" applyFont="1" applyFill="1" applyBorder="1"/>
    <xf numFmtId="0" fontId="317" fillId="155" borderId="12" xfId="0" applyFont="1" applyFill="1" applyBorder="1" applyAlignment="1">
      <alignment horizontal="center"/>
    </xf>
    <xf numFmtId="0" fontId="317" fillId="155" borderId="0" xfId="0" applyFont="1" applyFill="1" applyAlignment="1">
      <alignment horizontal="center"/>
    </xf>
    <xf numFmtId="21" fontId="252" fillId="151" borderId="295" xfId="0" applyNumberFormat="1" applyFont="1" applyFill="1" applyBorder="1"/>
    <xf numFmtId="176" fontId="362" fillId="155" borderId="0" xfId="0" applyNumberFormat="1" applyFont="1" applyFill="1" applyAlignment="1" applyProtection="1">
      <alignment horizontal="center"/>
      <protection locked="0"/>
    </xf>
    <xf numFmtId="166" fontId="279" fillId="151" borderId="201" xfId="0" applyNumberFormat="1" applyFont="1" applyFill="1" applyBorder="1"/>
    <xf numFmtId="21" fontId="255" fillId="151" borderId="295" xfId="0" applyNumberFormat="1" applyFont="1" applyFill="1" applyBorder="1" applyAlignment="1">
      <alignment horizontal="center"/>
    </xf>
    <xf numFmtId="0" fontId="2" fillId="96" borderId="253" xfId="0" applyFont="1" applyFill="1" applyBorder="1"/>
    <xf numFmtId="0" fontId="86" fillId="96" borderId="253" xfId="0" applyFont="1" applyFill="1" applyBorder="1"/>
    <xf numFmtId="176" fontId="10" fillId="96" borderId="253" xfId="0" applyNumberFormat="1" applyFont="1" applyFill="1" applyBorder="1"/>
    <xf numFmtId="166" fontId="109" fillId="96" borderId="253" xfId="0" applyNumberFormat="1" applyFont="1" applyFill="1" applyBorder="1"/>
    <xf numFmtId="21" fontId="85" fillId="96" borderId="253" xfId="0" applyNumberFormat="1" applyFont="1" applyFill="1" applyBorder="1" applyAlignment="1">
      <alignment horizontal="center"/>
    </xf>
    <xf numFmtId="0" fontId="2" fillId="96" borderId="254" xfId="0" applyFont="1" applyFill="1" applyBorder="1"/>
    <xf numFmtId="0" fontId="2" fillId="176" borderId="253" xfId="0" applyFont="1" applyFill="1" applyBorder="1"/>
    <xf numFmtId="21" fontId="2" fillId="176" borderId="253" xfId="0" applyNumberFormat="1" applyFont="1" applyFill="1" applyBorder="1"/>
    <xf numFmtId="0" fontId="10" fillId="176" borderId="253" xfId="0" applyFont="1" applyFill="1" applyBorder="1"/>
    <xf numFmtId="166" fontId="109" fillId="176" borderId="253" xfId="0" applyNumberFormat="1" applyFont="1" applyFill="1" applyBorder="1"/>
    <xf numFmtId="21" fontId="85" fillId="176" borderId="253" xfId="0" applyNumberFormat="1" applyFont="1" applyFill="1" applyBorder="1" applyAlignment="1">
      <alignment horizontal="center"/>
    </xf>
    <xf numFmtId="21" fontId="85" fillId="176" borderId="295" xfId="0" applyNumberFormat="1" applyFont="1" applyFill="1" applyBorder="1" applyAlignment="1">
      <alignment horizontal="center"/>
    </xf>
    <xf numFmtId="0" fontId="86" fillId="176" borderId="253" xfId="0" applyFont="1" applyFill="1" applyBorder="1" applyAlignment="1">
      <alignment horizontal="center"/>
    </xf>
    <xf numFmtId="0" fontId="2" fillId="176" borderId="298" xfId="0" applyFont="1" applyFill="1" applyBorder="1"/>
    <xf numFmtId="21" fontId="312" fillId="98" borderId="253" xfId="0" applyNumberFormat="1" applyFont="1" applyFill="1" applyBorder="1"/>
    <xf numFmtId="21" fontId="301" fillId="98" borderId="253" xfId="0" applyNumberFormat="1" applyFont="1" applyFill="1" applyBorder="1"/>
    <xf numFmtId="0" fontId="301" fillId="98" borderId="0" xfId="0" applyFont="1" applyFill="1"/>
    <xf numFmtId="21" fontId="82" fillId="96" borderId="295" xfId="0" applyNumberFormat="1" applyFont="1" applyFill="1" applyBorder="1"/>
    <xf numFmtId="21" fontId="19" fillId="96" borderId="253" xfId="0" applyNumberFormat="1" applyFont="1" applyFill="1" applyBorder="1"/>
    <xf numFmtId="0" fontId="2" fillId="96" borderId="298" xfId="0" applyFont="1" applyFill="1" applyBorder="1"/>
    <xf numFmtId="0" fontId="2" fillId="96" borderId="295" xfId="0" applyFont="1" applyFill="1" applyBorder="1"/>
    <xf numFmtId="0" fontId="10" fillId="96" borderId="295" xfId="0" applyFont="1" applyFill="1" applyBorder="1"/>
    <xf numFmtId="166" fontId="109" fillId="96" borderId="295" xfId="0" applyNumberFormat="1" applyFont="1" applyFill="1" applyBorder="1"/>
    <xf numFmtId="21" fontId="85" fillId="96" borderId="295" xfId="0" applyNumberFormat="1" applyFont="1" applyFill="1" applyBorder="1" applyAlignment="1">
      <alignment horizontal="center"/>
    </xf>
    <xf numFmtId="1" fontId="86" fillId="96" borderId="295" xfId="0" applyNumberFormat="1" applyFont="1" applyFill="1" applyBorder="1" applyAlignment="1">
      <alignment horizontal="center"/>
    </xf>
    <xf numFmtId="0" fontId="314" fillId="150" borderId="0" xfId="0" applyFont="1" applyFill="1" applyAlignment="1">
      <alignment horizontal="center"/>
    </xf>
    <xf numFmtId="176" fontId="86" fillId="95" borderId="295" xfId="0" applyNumberFormat="1" applyFont="1" applyFill="1" applyBorder="1"/>
    <xf numFmtId="166" fontId="113" fillId="95" borderId="253" xfId="0" applyNumberFormat="1" applyFont="1" applyFill="1" applyBorder="1"/>
    <xf numFmtId="166" fontId="251" fillId="145" borderId="253" xfId="0" applyNumberFormat="1" applyFont="1" applyFill="1" applyBorder="1"/>
    <xf numFmtId="0" fontId="10" fillId="153" borderId="253" xfId="0" applyFont="1" applyFill="1" applyBorder="1"/>
    <xf numFmtId="166" fontId="109" fillId="153" borderId="253" xfId="0" applyNumberFormat="1" applyFont="1" applyFill="1" applyBorder="1"/>
    <xf numFmtId="21" fontId="82" fillId="153" borderId="253" xfId="0" applyNumberFormat="1" applyFont="1" applyFill="1" applyBorder="1"/>
    <xf numFmtId="21" fontId="85" fillId="153" borderId="295" xfId="0" applyNumberFormat="1" applyFont="1" applyFill="1" applyBorder="1" applyAlignment="1">
      <alignment horizontal="center"/>
    </xf>
    <xf numFmtId="1" fontId="86" fillId="153" borderId="253" xfId="0" applyNumberFormat="1" applyFont="1" applyFill="1" applyBorder="1" applyAlignment="1">
      <alignment horizontal="center"/>
    </xf>
    <xf numFmtId="0" fontId="2" fillId="153" borderId="298" xfId="0" applyFont="1" applyFill="1" applyBorder="1"/>
    <xf numFmtId="0" fontId="252" fillId="71" borderId="169" xfId="0" applyFont="1" applyFill="1" applyBorder="1"/>
    <xf numFmtId="0" fontId="252" fillId="71" borderId="255" xfId="0" applyFont="1" applyFill="1" applyBorder="1"/>
    <xf numFmtId="21" fontId="252" fillId="71" borderId="201" xfId="0" applyNumberFormat="1" applyFont="1" applyFill="1" applyBorder="1"/>
    <xf numFmtId="21" fontId="252" fillId="71" borderId="0" xfId="0" applyNumberFormat="1" applyFont="1" applyFill="1"/>
    <xf numFmtId="0" fontId="256" fillId="71" borderId="169" xfId="0" applyFont="1" applyFill="1" applyBorder="1"/>
    <xf numFmtId="176" fontId="254" fillId="71" borderId="201" xfId="0" applyNumberFormat="1" applyFont="1" applyFill="1" applyBorder="1"/>
    <xf numFmtId="166" fontId="279" fillId="71" borderId="253" xfId="0" applyNumberFormat="1" applyFont="1" applyFill="1" applyBorder="1"/>
    <xf numFmtId="0" fontId="314" fillId="0" borderId="196" xfId="0" applyFont="1" applyBorder="1" applyAlignment="1">
      <alignment horizontal="center"/>
    </xf>
    <xf numFmtId="0" fontId="363" fillId="88" borderId="79" xfId="0" applyFont="1" applyFill="1" applyBorder="1" applyProtection="1">
      <protection locked="0"/>
    </xf>
    <xf numFmtId="0" fontId="364" fillId="88" borderId="79" xfId="0" applyFont="1" applyFill="1" applyBorder="1" applyProtection="1">
      <protection locked="0"/>
    </xf>
    <xf numFmtId="0" fontId="323" fillId="88" borderId="79" xfId="0" applyFont="1" applyFill="1" applyBorder="1" applyProtection="1">
      <protection locked="0"/>
    </xf>
    <xf numFmtId="176" fontId="302" fillId="88" borderId="79" xfId="0" applyNumberFormat="1" applyFont="1" applyFill="1" applyBorder="1" applyAlignment="1" applyProtection="1">
      <alignment horizontal="center"/>
      <protection locked="0"/>
    </xf>
    <xf numFmtId="21" fontId="85" fillId="95" borderId="147" xfId="0" applyNumberFormat="1" applyFont="1" applyFill="1" applyBorder="1"/>
    <xf numFmtId="0" fontId="1" fillId="95" borderId="266" xfId="0" applyFont="1" applyFill="1" applyBorder="1"/>
    <xf numFmtId="176" fontId="10" fillId="96" borderId="295" xfId="0" applyNumberFormat="1" applyFont="1" applyFill="1" applyBorder="1"/>
    <xf numFmtId="0" fontId="251" fillId="177" borderId="169" xfId="0" applyNumberFormat="1" applyFont="1" applyFill="1" applyBorder="1" applyAlignment="1">
      <alignment horizontal="center"/>
    </xf>
    <xf numFmtId="0" fontId="251" fillId="177" borderId="302" xfId="0" applyFont="1" applyFill="1" applyBorder="1"/>
    <xf numFmtId="0" fontId="10" fillId="176" borderId="295" xfId="0" applyFont="1" applyFill="1" applyBorder="1"/>
    <xf numFmtId="166" fontId="109" fillId="176" borderId="295" xfId="0" applyNumberFormat="1" applyFont="1" applyFill="1" applyBorder="1"/>
    <xf numFmtId="0" fontId="86" fillId="176" borderId="295" xfId="0" applyFont="1" applyFill="1" applyBorder="1" applyAlignment="1">
      <alignment horizontal="center"/>
    </xf>
    <xf numFmtId="0" fontId="1" fillId="95" borderId="175" xfId="0" applyFont="1" applyFill="1" applyBorder="1"/>
    <xf numFmtId="0" fontId="2" fillId="97" borderId="253" xfId="0" applyFont="1" applyFill="1" applyBorder="1"/>
    <xf numFmtId="21" fontId="82" fillId="97" borderId="253" xfId="0" applyNumberFormat="1" applyFont="1" applyFill="1" applyBorder="1"/>
    <xf numFmtId="0" fontId="10" fillId="97" borderId="253" xfId="0" applyFont="1" applyFill="1" applyBorder="1" applyAlignment="1">
      <alignment horizontal="left"/>
    </xf>
    <xf numFmtId="166" fontId="109" fillId="97" borderId="253" xfId="0" applyNumberFormat="1" applyFont="1" applyFill="1" applyBorder="1"/>
    <xf numFmtId="21" fontId="2" fillId="97" borderId="253" xfId="0" applyNumberFormat="1" applyFont="1" applyFill="1" applyBorder="1"/>
    <xf numFmtId="21" fontId="85" fillId="97" borderId="253" xfId="0" applyNumberFormat="1" applyFont="1" applyFill="1" applyBorder="1" applyAlignment="1">
      <alignment horizontal="center"/>
    </xf>
    <xf numFmtId="0" fontId="252" fillId="71" borderId="259" xfId="0" applyFont="1" applyFill="1" applyBorder="1"/>
    <xf numFmtId="0" fontId="252" fillId="71" borderId="257" xfId="0" applyFont="1" applyFill="1" applyBorder="1"/>
    <xf numFmtId="0" fontId="251" fillId="151" borderId="295" xfId="0" applyFont="1" applyFill="1" applyBorder="1"/>
    <xf numFmtId="0" fontId="256" fillId="151" borderId="295" xfId="0" applyFont="1" applyFill="1" applyBorder="1" applyAlignment="1">
      <alignment horizontal="left"/>
    </xf>
    <xf numFmtId="0" fontId="259" fillId="145" borderId="253" xfId="0" applyFont="1" applyFill="1" applyBorder="1" applyAlignment="1">
      <alignment horizontal="left"/>
    </xf>
    <xf numFmtId="0" fontId="259" fillId="145" borderId="295" xfId="0" applyFont="1" applyFill="1" applyBorder="1" applyAlignment="1">
      <alignment horizontal="left"/>
    </xf>
    <xf numFmtId="0" fontId="256" fillId="71" borderId="259" xfId="0" applyFont="1" applyFill="1" applyBorder="1"/>
    <xf numFmtId="21" fontId="81" fillId="14" borderId="74" xfId="0" applyNumberFormat="1" applyFont="1" applyFill="1" applyBorder="1" applyAlignment="1">
      <alignment horizontal="center"/>
    </xf>
    <xf numFmtId="21" fontId="81" fillId="14" borderId="75" xfId="0" applyNumberFormat="1" applyFont="1" applyFill="1" applyBorder="1" applyAlignment="1">
      <alignment horizontal="center"/>
    </xf>
    <xf numFmtId="0" fontId="83" fillId="91" borderId="112" xfId="0" applyFont="1" applyFill="1" applyBorder="1" applyAlignment="1">
      <alignment wrapText="1"/>
    </xf>
    <xf numFmtId="0" fontId="251" fillId="145" borderId="225" xfId="0" applyFont="1" applyFill="1" applyBorder="1"/>
    <xf numFmtId="0" fontId="251" fillId="145" borderId="191" xfId="0" applyFont="1" applyFill="1" applyBorder="1"/>
    <xf numFmtId="21" fontId="251" fillId="71" borderId="192" xfId="0" applyNumberFormat="1" applyFont="1" applyFill="1" applyBorder="1"/>
    <xf numFmtId="0" fontId="251" fillId="145" borderId="260" xfId="0" applyFont="1" applyFill="1" applyBorder="1"/>
    <xf numFmtId="0" fontId="251" fillId="145" borderId="189" xfId="0" applyFont="1" applyFill="1" applyBorder="1"/>
    <xf numFmtId="21" fontId="251" fillId="71" borderId="194" xfId="0" applyNumberFormat="1" applyFont="1" applyFill="1" applyBorder="1"/>
    <xf numFmtId="0" fontId="98" fillId="30" borderId="303" xfId="0" applyFont="1" applyFill="1" applyBorder="1" applyProtection="1"/>
    <xf numFmtId="21" fontId="99" fillId="29" borderId="283" xfId="0" applyNumberFormat="1" applyFont="1" applyFill="1" applyBorder="1"/>
    <xf numFmtId="0" fontId="11" fillId="33" borderId="219" xfId="0" applyFont="1" applyFill="1" applyBorder="1" applyProtection="1"/>
    <xf numFmtId="0" fontId="11" fillId="33" borderId="191" xfId="0" applyFont="1" applyFill="1" applyBorder="1" applyProtection="1"/>
    <xf numFmtId="21" fontId="11" fillId="19" borderId="192" xfId="0" applyNumberFormat="1" applyFont="1" applyFill="1" applyBorder="1"/>
    <xf numFmtId="21" fontId="11" fillId="19" borderId="295" xfId="0" applyNumberFormat="1" applyFont="1" applyFill="1" applyBorder="1"/>
    <xf numFmtId="0" fontId="100" fillId="19" borderId="102" xfId="0" applyFont="1" applyFill="1" applyBorder="1"/>
    <xf numFmtId="21" fontId="10" fillId="15" borderId="201" xfId="0" applyNumberFormat="1" applyFont="1" applyFill="1" applyBorder="1"/>
    <xf numFmtId="166" fontId="10" fillId="15" borderId="35" xfId="0" applyNumberFormat="1" applyFont="1" applyFill="1" applyBorder="1"/>
    <xf numFmtId="21" fontId="11" fillId="19" borderId="74" xfId="0" applyNumberFormat="1" applyFont="1" applyFill="1" applyBorder="1"/>
    <xf numFmtId="21" fontId="81" fillId="14" borderId="159" xfId="0" applyNumberFormat="1" applyFont="1" applyFill="1" applyBorder="1" applyAlignment="1"/>
    <xf numFmtId="21" fontId="81" fillId="14" borderId="160" xfId="0" applyNumberFormat="1" applyFont="1" applyFill="1" applyBorder="1" applyAlignment="1"/>
    <xf numFmtId="21" fontId="81" fillId="14" borderId="74" xfId="0" applyNumberFormat="1" applyFont="1" applyFill="1" applyBorder="1" applyAlignment="1"/>
    <xf numFmtId="21" fontId="81" fillId="14" borderId="75" xfId="0" applyNumberFormat="1" applyFont="1" applyFill="1" applyBorder="1" applyAlignment="1"/>
    <xf numFmtId="21" fontId="269" fillId="103" borderId="35" xfId="0" applyNumberFormat="1" applyFont="1" applyFill="1" applyBorder="1"/>
    <xf numFmtId="0" fontId="274" fillId="103" borderId="35" xfId="0" applyFont="1" applyFill="1" applyBorder="1"/>
    <xf numFmtId="0" fontId="271" fillId="103" borderId="35" xfId="0" applyFont="1" applyFill="1" applyBorder="1" applyAlignment="1">
      <alignment horizontal="left"/>
    </xf>
    <xf numFmtId="176" fontId="264" fillId="121" borderId="0" xfId="0" applyNumberFormat="1" applyFont="1" applyFill="1" applyBorder="1" applyAlignment="1" applyProtection="1">
      <alignment horizontal="center"/>
      <protection locked="0"/>
    </xf>
    <xf numFmtId="166" fontId="269" fillId="103" borderId="35" xfId="0" applyNumberFormat="1" applyFont="1" applyFill="1" applyBorder="1" applyAlignment="1">
      <alignment horizontal="center"/>
    </xf>
    <xf numFmtId="21" fontId="271" fillId="103" borderId="35" xfId="0" quotePrefix="1" applyNumberFormat="1" applyFont="1" applyFill="1" applyBorder="1" applyAlignment="1">
      <alignment horizontal="center"/>
    </xf>
    <xf numFmtId="21" fontId="269" fillId="103" borderId="35" xfId="0" applyNumberFormat="1" applyFont="1" applyFill="1" applyBorder="1" applyAlignment="1">
      <alignment horizontal="center"/>
    </xf>
    <xf numFmtId="1" fontId="271" fillId="103" borderId="35" xfId="0" applyNumberFormat="1" applyFont="1" applyFill="1" applyBorder="1" applyAlignment="1">
      <alignment horizontal="center"/>
    </xf>
    <xf numFmtId="0" fontId="274" fillId="103" borderId="110" xfId="0" applyFont="1" applyFill="1" applyBorder="1" applyAlignment="1">
      <alignment horizontal="center"/>
    </xf>
    <xf numFmtId="0" fontId="365" fillId="18" borderId="84" xfId="0" applyFont="1" applyFill="1" applyBorder="1" applyAlignment="1" applyProtection="1">
      <alignment horizontal="left"/>
    </xf>
    <xf numFmtId="21" fontId="81" fillId="14" borderId="76" xfId="0" applyNumberFormat="1" applyFont="1" applyFill="1" applyBorder="1" applyAlignment="1"/>
    <xf numFmtId="0" fontId="10" fillId="14" borderId="0" xfId="0" applyFont="1" applyFill="1" applyBorder="1"/>
    <xf numFmtId="166" fontId="14" fillId="3" borderId="0" xfId="0" applyNumberFormat="1" applyFont="1" applyFill="1" applyBorder="1" applyAlignment="1" applyProtection="1">
      <alignment horizontal="center"/>
    </xf>
    <xf numFmtId="0" fontId="5" fillId="80" borderId="96" xfId="0" applyFont="1" applyFill="1" applyBorder="1" applyAlignment="1" applyProtection="1">
      <alignment horizontal="center"/>
    </xf>
    <xf numFmtId="0" fontId="131" fillId="80" borderId="276" xfId="0" applyFont="1" applyFill="1" applyBorder="1" applyAlignment="1">
      <alignment horizontal="center"/>
    </xf>
    <xf numFmtId="0" fontId="131" fillId="169" borderId="12" xfId="0" applyFont="1" applyFill="1" applyBorder="1" applyAlignment="1">
      <alignment horizontal="center"/>
    </xf>
    <xf numFmtId="0" fontId="9" fillId="169" borderId="0" xfId="0" applyFont="1" applyFill="1" applyBorder="1" applyAlignment="1" applyProtection="1">
      <alignment horizontal="center"/>
    </xf>
    <xf numFmtId="0" fontId="131" fillId="169" borderId="102" xfId="0" applyFont="1" applyFill="1" applyBorder="1" applyAlignment="1">
      <alignment horizontal="center"/>
    </xf>
    <xf numFmtId="0" fontId="131" fillId="13" borderId="58" xfId="0" applyFont="1" applyFill="1" applyBorder="1" applyAlignment="1">
      <alignment horizontal="center"/>
    </xf>
    <xf numFmtId="0" fontId="1" fillId="13" borderId="283" xfId="0" quotePrefix="1" applyFont="1" applyFill="1" applyBorder="1" applyAlignment="1">
      <alignment horizontal="left"/>
    </xf>
    <xf numFmtId="0" fontId="9" fillId="0" borderId="150" xfId="0" applyFont="1" applyFill="1" applyBorder="1" applyAlignment="1" applyProtection="1">
      <alignment horizontal="center"/>
    </xf>
    <xf numFmtId="1" fontId="19" fillId="19" borderId="79" xfId="0" applyNumberFormat="1" applyFont="1" applyFill="1" applyBorder="1"/>
    <xf numFmtId="0" fontId="9" fillId="107" borderId="12" xfId="0" applyFont="1" applyFill="1" applyBorder="1" applyAlignment="1" applyProtection="1">
      <alignment horizontal="center"/>
    </xf>
    <xf numFmtId="0" fontId="55" fillId="107" borderId="0" xfId="0" applyFont="1" applyFill="1" applyProtection="1">
      <protection locked="0"/>
    </xf>
    <xf numFmtId="0" fontId="5" fillId="107" borderId="189" xfId="0" applyFont="1" applyFill="1" applyBorder="1" applyAlignment="1" applyProtection="1">
      <alignment horizontal="center"/>
    </xf>
    <xf numFmtId="0" fontId="9" fillId="107" borderId="189" xfId="0" applyFont="1" applyFill="1" applyBorder="1" applyAlignment="1" applyProtection="1">
      <alignment horizontal="center"/>
    </xf>
    <xf numFmtId="1" fontId="109" fillId="19" borderId="0" xfId="0" applyNumberFormat="1" applyFont="1" applyFill="1" applyBorder="1"/>
    <xf numFmtId="0" fontId="5" fillId="94" borderId="189" xfId="0" applyFont="1" applyFill="1" applyBorder="1" applyAlignment="1" applyProtection="1">
      <alignment horizontal="center"/>
    </xf>
    <xf numFmtId="0" fontId="9" fillId="94" borderId="12" xfId="0" applyFont="1" applyFill="1" applyBorder="1" applyAlignment="1" applyProtection="1">
      <alignment horizontal="center"/>
    </xf>
    <xf numFmtId="173" fontId="366" fillId="122" borderId="276" xfId="0" quotePrefix="1" applyNumberFormat="1" applyFont="1" applyFill="1" applyBorder="1" applyAlignment="1">
      <alignment horizontal="center"/>
    </xf>
    <xf numFmtId="21" fontId="106" fillId="19" borderId="276" xfId="0" applyNumberFormat="1" applyFont="1" applyFill="1" applyBorder="1"/>
    <xf numFmtId="0" fontId="106" fillId="19" borderId="276" xfId="0" applyFont="1" applyFill="1" applyBorder="1"/>
    <xf numFmtId="47" fontId="97" fillId="93" borderId="276" xfId="0" applyNumberFormat="1" applyFont="1" applyFill="1" applyBorder="1" applyAlignment="1">
      <alignment horizontal="center" wrapText="1"/>
    </xf>
    <xf numFmtId="166" fontId="160" fillId="19" borderId="276" xfId="0" applyNumberFormat="1" applyFont="1" applyFill="1" applyBorder="1"/>
    <xf numFmtId="173" fontId="106" fillId="19" borderId="276" xfId="0" quotePrefix="1" applyNumberFormat="1" applyFont="1" applyFill="1" applyBorder="1" applyAlignment="1">
      <alignment horizontal="center"/>
    </xf>
    <xf numFmtId="21" fontId="106" fillId="19" borderId="276" xfId="0" quotePrefix="1" applyNumberFormat="1" applyFont="1" applyFill="1" applyBorder="1" applyAlignment="1">
      <alignment horizontal="center"/>
    </xf>
    <xf numFmtId="0" fontId="106" fillId="19" borderId="276" xfId="0" quotePrefix="1" applyFont="1" applyFill="1" applyBorder="1" applyAlignment="1">
      <alignment horizontal="center"/>
    </xf>
    <xf numFmtId="0" fontId="160" fillId="19" borderId="276" xfId="0" applyFont="1" applyFill="1" applyBorder="1"/>
    <xf numFmtId="183" fontId="97" fillId="93" borderId="276" xfId="0" applyNumberFormat="1" applyFont="1" applyFill="1" applyBorder="1" applyAlignment="1">
      <alignment horizontal="center" wrapText="1"/>
    </xf>
    <xf numFmtId="183" fontId="97" fillId="178" borderId="276" xfId="0" applyNumberFormat="1" applyFont="1" applyFill="1" applyBorder="1" applyAlignment="1">
      <alignment horizontal="center" wrapText="1"/>
    </xf>
    <xf numFmtId="0" fontId="367" fillId="3" borderId="0" xfId="0" applyFont="1" applyFill="1" applyAlignment="1" applyProtection="1">
      <alignment horizontal="center"/>
      <protection locked="0"/>
    </xf>
    <xf numFmtId="0" fontId="368" fillId="3" borderId="0" xfId="0" applyFont="1" applyFill="1" applyAlignment="1" applyProtection="1">
      <alignment horizontal="center"/>
      <protection locked="0"/>
    </xf>
    <xf numFmtId="0" fontId="369" fillId="3" borderId="0" xfId="0" applyFont="1" applyFill="1" applyAlignment="1" applyProtection="1">
      <alignment horizontal="center"/>
      <protection locked="0"/>
    </xf>
    <xf numFmtId="173" fontId="329" fillId="91" borderId="276" xfId="0" quotePrefix="1" applyNumberFormat="1" applyFont="1" applyFill="1" applyBorder="1" applyAlignment="1">
      <alignment horizontal="center"/>
    </xf>
    <xf numFmtId="173" fontId="329" fillId="122" borderId="276" xfId="0" quotePrefix="1" applyNumberFormat="1" applyFont="1" applyFill="1" applyBorder="1" applyAlignment="1">
      <alignment horizontal="center"/>
    </xf>
    <xf numFmtId="0" fontId="22" fillId="80" borderId="40" xfId="4" applyFont="1" applyFill="1" applyBorder="1" applyProtection="1">
      <protection locked="0"/>
    </xf>
    <xf numFmtId="14" fontId="10" fillId="79" borderId="191" xfId="5" quotePrefix="1" applyNumberFormat="1" applyFont="1" applyFill="1" applyBorder="1" applyAlignment="1" applyProtection="1">
      <alignment vertical="center" wrapText="1"/>
      <protection hidden="1"/>
    </xf>
    <xf numFmtId="0" fontId="371" fillId="3" borderId="0" xfId="0" applyFont="1" applyFill="1" applyProtection="1">
      <protection locked="0"/>
    </xf>
    <xf numFmtId="0" fontId="371" fillId="149" borderId="193" xfId="0" applyFont="1" applyFill="1" applyBorder="1" applyProtection="1">
      <protection locked="0"/>
    </xf>
    <xf numFmtId="0" fontId="44" fillId="15" borderId="209" xfId="0" applyFont="1" applyFill="1" applyBorder="1"/>
    <xf numFmtId="0" fontId="371" fillId="80" borderId="0" xfId="0" applyFont="1" applyFill="1" applyProtection="1">
      <protection locked="0"/>
    </xf>
    <xf numFmtId="0" fontId="371" fillId="107" borderId="0" xfId="0" applyFont="1" applyFill="1" applyProtection="1">
      <protection locked="0"/>
    </xf>
    <xf numFmtId="0" fontId="371" fillId="144" borderId="0" xfId="0" applyFont="1" applyFill="1" applyAlignment="1" applyProtection="1">
      <alignment horizontal="left"/>
      <protection locked="0"/>
    </xf>
    <xf numFmtId="0" fontId="371" fillId="113" borderId="0" xfId="0" applyFont="1" applyFill="1" applyAlignment="1" applyProtection="1">
      <alignment horizontal="left"/>
      <protection locked="0"/>
    </xf>
    <xf numFmtId="177" fontId="264" fillId="3" borderId="0" xfId="0" applyNumberFormat="1" applyFont="1" applyFill="1" applyProtection="1">
      <protection locked="0"/>
    </xf>
    <xf numFmtId="0" fontId="160" fillId="143" borderId="216" xfId="0" applyFont="1" applyFill="1" applyBorder="1"/>
    <xf numFmtId="21" fontId="100" fillId="120" borderId="209" xfId="0" applyNumberFormat="1" applyFont="1" applyFill="1" applyBorder="1"/>
    <xf numFmtId="1" fontId="81" fillId="14" borderId="304" xfId="0" applyNumberFormat="1" applyFont="1" applyFill="1" applyBorder="1"/>
    <xf numFmtId="0" fontId="160" fillId="143" borderId="305" xfId="0" applyFont="1" applyFill="1" applyBorder="1"/>
    <xf numFmtId="0" fontId="160" fillId="143" borderId="276" xfId="0" applyFont="1" applyFill="1" applyBorder="1"/>
    <xf numFmtId="1" fontId="81" fillId="14" borderId="0" xfId="0" applyNumberFormat="1" applyFont="1" applyFill="1" applyBorder="1" applyAlignment="1">
      <alignment horizontal="center"/>
    </xf>
    <xf numFmtId="0" fontId="0" fillId="14" borderId="32" xfId="0" applyFill="1" applyBorder="1" applyAlignment="1">
      <alignment horizontal="center"/>
    </xf>
    <xf numFmtId="0" fontId="0" fillId="21" borderId="209" xfId="0" applyFill="1" applyBorder="1" applyAlignment="1">
      <alignment horizontal="center"/>
    </xf>
    <xf numFmtId="0" fontId="100" fillId="19" borderId="209" xfId="0" applyFont="1" applyFill="1" applyBorder="1" applyAlignment="1">
      <alignment horizontal="center"/>
    </xf>
    <xf numFmtId="0" fontId="160" fillId="143" borderId="276" xfId="0" applyFont="1" applyFill="1" applyBorder="1" applyAlignment="1">
      <alignment horizontal="center"/>
    </xf>
    <xf numFmtId="0" fontId="99" fillId="48" borderId="216" xfId="0" applyFont="1" applyFill="1" applyBorder="1" applyAlignment="1">
      <alignment horizontal="center"/>
    </xf>
    <xf numFmtId="0" fontId="0" fillId="14" borderId="209" xfId="0" applyFill="1" applyBorder="1" applyAlignment="1">
      <alignment horizontal="center"/>
    </xf>
    <xf numFmtId="0" fontId="2" fillId="97" borderId="208" xfId="0" applyFont="1" applyFill="1" applyBorder="1" applyAlignment="1">
      <alignment horizontal="center"/>
    </xf>
    <xf numFmtId="0" fontId="371" fillId="3" borderId="193" xfId="0" applyFont="1" applyFill="1" applyBorder="1" applyAlignment="1" applyProtection="1">
      <alignment horizontal="center"/>
      <protection locked="0"/>
    </xf>
    <xf numFmtId="0" fontId="16" fillId="3" borderId="0" xfId="0" applyFont="1" applyFill="1" applyAlignment="1" applyProtection="1">
      <alignment horizontal="center"/>
      <protection locked="0"/>
    </xf>
    <xf numFmtId="0" fontId="0" fillId="14" borderId="174" xfId="0" applyFill="1" applyBorder="1"/>
    <xf numFmtId="21" fontId="82" fillId="14" borderId="174" xfId="0" applyNumberFormat="1" applyFont="1" applyFill="1" applyBorder="1"/>
    <xf numFmtId="1" fontId="6" fillId="0" borderId="285" xfId="0" applyNumberFormat="1" applyFont="1" applyFill="1" applyBorder="1" applyAlignment="1">
      <alignment horizontal="center" textRotation="90"/>
    </xf>
    <xf numFmtId="21" fontId="9" fillId="0" borderId="123" xfId="0" applyNumberFormat="1" applyFont="1" applyFill="1" applyBorder="1" applyAlignment="1">
      <alignment horizontal="left"/>
    </xf>
    <xf numFmtId="1" fontId="9" fillId="0" borderId="285" xfId="0" applyNumberFormat="1" applyFont="1" applyFill="1" applyBorder="1" applyAlignment="1">
      <alignment horizontal="center" textRotation="90"/>
    </xf>
    <xf numFmtId="21" fontId="9" fillId="0" borderId="123" xfId="0" applyNumberFormat="1" applyFont="1" applyFill="1" applyBorder="1" applyAlignment="1">
      <alignment horizontal="center" textRotation="90"/>
    </xf>
    <xf numFmtId="0" fontId="9" fillId="0" borderId="307" xfId="0" applyFont="1" applyFill="1" applyBorder="1" applyAlignment="1">
      <alignment horizontal="center" textRotation="90"/>
    </xf>
    <xf numFmtId="0" fontId="9" fillId="0" borderId="0" xfId="0" applyFont="1" applyFill="1" applyBorder="1" applyAlignment="1">
      <alignment horizontal="center" textRotation="90"/>
    </xf>
    <xf numFmtId="0" fontId="9" fillId="0" borderId="235" xfId="0" applyFont="1" applyFill="1" applyBorder="1" applyAlignment="1">
      <alignment horizontal="center" textRotation="90"/>
    </xf>
    <xf numFmtId="0" fontId="6" fillId="0" borderId="285" xfId="0" applyFont="1" applyFill="1" applyBorder="1" applyAlignment="1">
      <alignment horizontal="center" textRotation="90"/>
    </xf>
    <xf numFmtId="21" fontId="9" fillId="0" borderId="245" xfId="0" applyNumberFormat="1" applyFont="1" applyFill="1" applyBorder="1" applyAlignment="1">
      <alignment horizontal="center" textRotation="90"/>
    </xf>
    <xf numFmtId="21" fontId="9" fillId="0" borderId="307" xfId="0" applyNumberFormat="1" applyFont="1" applyFill="1" applyBorder="1" applyAlignment="1">
      <alignment horizontal="center" textRotation="90"/>
    </xf>
    <xf numFmtId="21" fontId="9" fillId="0" borderId="251" xfId="0" applyNumberFormat="1" applyFont="1" applyFill="1" applyBorder="1" applyAlignment="1">
      <alignment horizontal="left"/>
    </xf>
    <xf numFmtId="1" fontId="81" fillId="14" borderId="174" xfId="0" applyNumberFormat="1" applyFont="1" applyFill="1" applyBorder="1"/>
    <xf numFmtId="0" fontId="9" fillId="0" borderId="251" xfId="0" applyFont="1" applyFill="1" applyBorder="1" applyAlignment="1">
      <alignment horizontal="left"/>
    </xf>
    <xf numFmtId="177" fontId="9" fillId="0" borderId="307" xfId="0" applyNumberFormat="1" applyFont="1" applyFill="1" applyBorder="1" applyAlignment="1">
      <alignment horizontal="center" textRotation="90"/>
    </xf>
    <xf numFmtId="177" fontId="9" fillId="0" borderId="251" xfId="0" applyNumberFormat="1" applyFont="1" applyFill="1" applyBorder="1" applyAlignment="1">
      <alignment horizontal="left"/>
    </xf>
    <xf numFmtId="166" fontId="7" fillId="0" borderId="0" xfId="0" applyNumberFormat="1" applyFont="1" applyFill="1" applyBorder="1" applyAlignment="1">
      <alignment horizontal="center" textRotation="90"/>
    </xf>
    <xf numFmtId="166" fontId="7" fillId="0" borderId="0" xfId="0" applyNumberFormat="1" applyFont="1" applyFill="1" applyBorder="1" applyAlignment="1">
      <alignment horizontal="center"/>
    </xf>
    <xf numFmtId="0" fontId="9" fillId="0" borderId="251" xfId="0" applyFont="1" applyFill="1" applyBorder="1" applyAlignment="1">
      <alignment horizontal="center" textRotation="90"/>
    </xf>
    <xf numFmtId="0" fontId="9" fillId="0" borderId="307" xfId="0" applyFont="1" applyFill="1" applyBorder="1" applyAlignment="1">
      <alignment horizontal="center" vertical="justify" textRotation="90"/>
    </xf>
    <xf numFmtId="3" fontId="9" fillId="3" borderId="71" xfId="0" applyNumberFormat="1" applyFont="1" applyFill="1" applyBorder="1" applyAlignment="1" applyProtection="1">
      <alignment horizontal="center" textRotation="90"/>
    </xf>
    <xf numFmtId="3" fontId="6" fillId="3" borderId="72" xfId="0" applyNumberFormat="1" applyFont="1" applyFill="1" applyBorder="1" applyAlignment="1" applyProtection="1">
      <alignment horizontal="center"/>
    </xf>
    <xf numFmtId="21" fontId="9" fillId="0" borderId="251" xfId="0" applyNumberFormat="1" applyFont="1" applyFill="1" applyBorder="1" applyAlignment="1">
      <alignment horizontal="center" textRotation="90"/>
    </xf>
    <xf numFmtId="1" fontId="16" fillId="68" borderId="0" xfId="0" applyNumberFormat="1" applyFont="1" applyFill="1"/>
    <xf numFmtId="0" fontId="0" fillId="15" borderId="293" xfId="0" applyFill="1" applyBorder="1"/>
    <xf numFmtId="176" fontId="1" fillId="21" borderId="296" xfId="0" applyNumberFormat="1" applyFont="1" applyFill="1" applyBorder="1"/>
    <xf numFmtId="1" fontId="81" fillId="21" borderId="306" xfId="0" applyNumberFormat="1" applyFont="1" applyFill="1" applyBorder="1"/>
    <xf numFmtId="0" fontId="5" fillId="0" borderId="147" xfId="0" applyFont="1" applyBorder="1" applyAlignment="1">
      <alignment horizontal="center" textRotation="90"/>
    </xf>
    <xf numFmtId="1" fontId="5" fillId="0" borderId="147" xfId="0" applyNumberFormat="1" applyFont="1" applyBorder="1" applyAlignment="1">
      <alignment horizontal="center" textRotation="90"/>
    </xf>
    <xf numFmtId="21" fontId="9" fillId="0" borderId="147" xfId="0" applyNumberFormat="1" applyFont="1" applyBorder="1" applyAlignment="1">
      <alignment horizontal="left"/>
    </xf>
    <xf numFmtId="0" fontId="9" fillId="0" borderId="147" xfId="0" applyFont="1" applyBorder="1" applyAlignment="1">
      <alignment horizontal="left"/>
    </xf>
    <xf numFmtId="0" fontId="134" fillId="24" borderId="12" xfId="0" applyFont="1" applyFill="1" applyBorder="1" applyAlignment="1" applyProtection="1">
      <alignment horizontal="center"/>
    </xf>
    <xf numFmtId="0" fontId="134" fillId="24" borderId="96" xfId="0" applyFont="1" applyFill="1" applyBorder="1" applyAlignment="1" applyProtection="1">
      <alignment horizontal="center"/>
    </xf>
    <xf numFmtId="0" fontId="86" fillId="14" borderId="32" xfId="0" quotePrefix="1" applyFont="1" applyFill="1" applyBorder="1" applyAlignment="1">
      <alignment horizontal="center"/>
    </xf>
    <xf numFmtId="1" fontId="54" fillId="68" borderId="0" xfId="0" applyNumberFormat="1" applyFont="1" applyFill="1"/>
    <xf numFmtId="21" fontId="19" fillId="15" borderId="296" xfId="0" applyNumberFormat="1" applyFont="1" applyFill="1" applyBorder="1"/>
    <xf numFmtId="21" fontId="86" fillId="15" borderId="296" xfId="0" quotePrefix="1" applyNumberFormat="1" applyFont="1" applyFill="1" applyBorder="1" applyAlignment="1">
      <alignment horizontal="center"/>
    </xf>
    <xf numFmtId="21" fontId="81" fillId="21" borderId="296" xfId="0" applyNumberFormat="1" applyFont="1" applyFill="1" applyBorder="1"/>
    <xf numFmtId="21" fontId="86" fillId="21" borderId="296" xfId="0" quotePrefix="1" applyNumberFormat="1" applyFont="1" applyFill="1" applyBorder="1" applyAlignment="1">
      <alignment horizontal="center"/>
    </xf>
    <xf numFmtId="176" fontId="10" fillId="48" borderId="294" xfId="0" applyNumberFormat="1" applyFont="1" applyFill="1" applyBorder="1"/>
    <xf numFmtId="166" fontId="160" fillId="48" borderId="294" xfId="0" applyNumberFormat="1" applyFont="1" applyFill="1" applyBorder="1"/>
    <xf numFmtId="21" fontId="160" fillId="48" borderId="294" xfId="0" applyNumberFormat="1" applyFont="1" applyFill="1" applyBorder="1"/>
    <xf numFmtId="21" fontId="106" fillId="48" borderId="294" xfId="0" quotePrefix="1" applyNumberFormat="1" applyFont="1" applyFill="1" applyBorder="1" applyAlignment="1">
      <alignment horizontal="center"/>
    </xf>
    <xf numFmtId="0" fontId="106" fillId="48" borderId="294" xfId="0" quotePrefix="1" applyFont="1" applyFill="1" applyBorder="1" applyAlignment="1">
      <alignment horizontal="left"/>
    </xf>
    <xf numFmtId="0" fontId="134" fillId="0" borderId="12" xfId="0" applyFont="1" applyFill="1" applyBorder="1" applyAlignment="1" applyProtection="1">
      <alignment horizontal="center"/>
    </xf>
    <xf numFmtId="1" fontId="135" fillId="0" borderId="79" xfId="0" applyNumberFormat="1" applyFont="1" applyFill="1" applyBorder="1"/>
    <xf numFmtId="0" fontId="134" fillId="0" borderId="96" xfId="0" applyFont="1" applyFill="1" applyBorder="1" applyAlignment="1" applyProtection="1">
      <alignment horizontal="center"/>
    </xf>
    <xf numFmtId="1" fontId="135" fillId="0" borderId="0" xfId="0" applyNumberFormat="1" applyFont="1" applyFill="1" applyBorder="1"/>
    <xf numFmtId="1" fontId="257" fillId="0" borderId="79" xfId="0" applyNumberFormat="1" applyFont="1" applyBorder="1"/>
    <xf numFmtId="0" fontId="264" fillId="3" borderId="193" xfId="0" applyFont="1" applyFill="1" applyBorder="1" applyProtection="1">
      <protection locked="0"/>
    </xf>
    <xf numFmtId="0" fontId="264" fillId="149" borderId="193" xfId="0" applyFont="1" applyFill="1" applyBorder="1" applyProtection="1">
      <protection locked="0"/>
    </xf>
    <xf numFmtId="0" fontId="167" fillId="0" borderId="31" xfId="0" applyFont="1" applyFill="1" applyBorder="1" applyAlignment="1" applyProtection="1">
      <alignment horizontal="center" textRotation="90"/>
    </xf>
    <xf numFmtId="0" fontId="167" fillId="0" borderId="88" xfId="0" applyFont="1" applyFill="1" applyBorder="1" applyAlignment="1" applyProtection="1">
      <alignment horizontal="center" textRotation="90"/>
    </xf>
    <xf numFmtId="0" fontId="167" fillId="0" borderId="89" xfId="0" applyFont="1" applyFill="1" applyBorder="1" applyAlignment="1">
      <alignment horizontal="center" textRotation="90"/>
    </xf>
    <xf numFmtId="1" fontId="167" fillId="0" borderId="89" xfId="0" applyNumberFormat="1" applyFont="1" applyFill="1" applyBorder="1" applyAlignment="1">
      <alignment horizontal="center" textRotation="90"/>
    </xf>
    <xf numFmtId="21" fontId="167" fillId="0" borderId="87" xfId="0" applyNumberFormat="1" applyFont="1" applyFill="1" applyBorder="1" applyAlignment="1">
      <alignment horizontal="center" textRotation="90"/>
    </xf>
    <xf numFmtId="0" fontId="167" fillId="0" borderId="87" xfId="0" applyFont="1" applyFill="1" applyBorder="1" applyAlignment="1">
      <alignment horizontal="center" textRotation="90"/>
    </xf>
    <xf numFmtId="177" fontId="167" fillId="0" borderId="87" xfId="0" applyNumberFormat="1" applyFont="1" applyFill="1" applyBorder="1" applyAlignment="1">
      <alignment horizontal="center" textRotation="90"/>
    </xf>
    <xf numFmtId="0" fontId="167" fillId="0" borderId="89" xfId="0" applyFont="1" applyFill="1" applyBorder="1" applyAlignment="1">
      <alignment horizontal="center" vertical="justify" textRotation="90"/>
    </xf>
    <xf numFmtId="21" fontId="167" fillId="0" borderId="90" xfId="0" applyNumberFormat="1" applyFont="1" applyFill="1" applyBorder="1" applyAlignment="1">
      <alignment horizontal="center" textRotation="90"/>
    </xf>
    <xf numFmtId="3" fontId="167" fillId="3" borderId="69" xfId="0" applyNumberFormat="1" applyFont="1" applyFill="1" applyBorder="1" applyAlignment="1" applyProtection="1">
      <alignment horizontal="center" textRotation="90"/>
    </xf>
    <xf numFmtId="0" fontId="167" fillId="3" borderId="85" xfId="4" applyFont="1" applyFill="1" applyBorder="1" applyAlignment="1" applyProtection="1">
      <alignment horizontal="center" textRotation="90"/>
    </xf>
    <xf numFmtId="0" fontId="167" fillId="24" borderId="85" xfId="4" applyFont="1" applyFill="1" applyBorder="1" applyAlignment="1" applyProtection="1">
      <alignment horizontal="center" textRotation="90"/>
    </xf>
    <xf numFmtId="0" fontId="167" fillId="22" borderId="85" xfId="4" applyFont="1" applyFill="1" applyBorder="1" applyAlignment="1" applyProtection="1">
      <alignment horizontal="center" textRotation="90"/>
    </xf>
    <xf numFmtId="0" fontId="167" fillId="25" borderId="85" xfId="4" applyFont="1" applyFill="1" applyBorder="1" applyAlignment="1" applyProtection="1">
      <alignment horizontal="center" textRotation="90"/>
    </xf>
    <xf numFmtId="0" fontId="167" fillId="23" borderId="85" xfId="4" applyFont="1" applyFill="1" applyBorder="1" applyAlignment="1" applyProtection="1">
      <alignment horizontal="center" textRotation="90"/>
    </xf>
    <xf numFmtId="0" fontId="157" fillId="27" borderId="85" xfId="4" applyFont="1" applyFill="1" applyBorder="1" applyAlignment="1" applyProtection="1">
      <alignment horizontal="center" textRotation="90"/>
    </xf>
    <xf numFmtId="0" fontId="157" fillId="26" borderId="85" xfId="4" applyFont="1" applyFill="1" applyBorder="1" applyAlignment="1" applyProtection="1">
      <alignment horizontal="center" textRotation="90"/>
    </xf>
    <xf numFmtId="0" fontId="157" fillId="3" borderId="0" xfId="0" applyFont="1" applyFill="1" applyProtection="1"/>
    <xf numFmtId="0" fontId="43" fillId="3" borderId="0" xfId="0" applyFont="1" applyFill="1" applyProtection="1"/>
    <xf numFmtId="0" fontId="1" fillId="15" borderId="296" xfId="0" applyFont="1" applyFill="1" applyBorder="1"/>
    <xf numFmtId="0" fontId="85" fillId="15" borderId="296" xfId="0" applyFont="1" applyFill="1" applyBorder="1" applyAlignment="1">
      <alignment horizontal="center"/>
    </xf>
    <xf numFmtId="177" fontId="152" fillId="17" borderId="296" xfId="0" applyNumberFormat="1" applyFont="1" applyFill="1" applyBorder="1"/>
    <xf numFmtId="47" fontId="152" fillId="17" borderId="296" xfId="0" applyNumberFormat="1" applyFont="1" applyFill="1" applyBorder="1"/>
    <xf numFmtId="21" fontId="152" fillId="17" borderId="296" xfId="0" applyNumberFormat="1" applyFont="1" applyFill="1" applyBorder="1"/>
    <xf numFmtId="21" fontId="86" fillId="17" borderId="296" xfId="0" quotePrefix="1" applyNumberFormat="1" applyFont="1" applyFill="1" applyBorder="1" applyAlignment="1">
      <alignment horizontal="center"/>
    </xf>
    <xf numFmtId="0" fontId="19" fillId="18" borderId="282" xfId="0" applyFont="1" applyFill="1" applyBorder="1"/>
    <xf numFmtId="0" fontId="99" fillId="26" borderId="296" xfId="0" applyFont="1" applyFill="1" applyBorder="1"/>
    <xf numFmtId="0" fontId="16" fillId="33" borderId="296" xfId="0" applyFont="1" applyFill="1" applyBorder="1"/>
    <xf numFmtId="21" fontId="99" fillId="26" borderId="296" xfId="0" applyNumberFormat="1" applyFont="1" applyFill="1" applyBorder="1"/>
    <xf numFmtId="0" fontId="160" fillId="19" borderId="296" xfId="0" applyFont="1" applyFill="1" applyBorder="1"/>
    <xf numFmtId="0" fontId="8" fillId="33" borderId="296" xfId="0" applyFont="1" applyFill="1" applyBorder="1"/>
    <xf numFmtId="21" fontId="16" fillId="19" borderId="296" xfId="0" applyNumberFormat="1" applyFont="1" applyFill="1" applyBorder="1"/>
    <xf numFmtId="0" fontId="107" fillId="33" borderId="296" xfId="0" applyFont="1" applyFill="1" applyBorder="1" applyAlignment="1">
      <alignment horizontal="center"/>
    </xf>
    <xf numFmtId="0" fontId="99" fillId="19" borderId="282" xfId="0" applyFont="1" applyFill="1" applyBorder="1"/>
    <xf numFmtId="177" fontId="81" fillId="21" borderId="296" xfId="0" applyNumberFormat="1" applyFont="1" applyFill="1" applyBorder="1"/>
    <xf numFmtId="47" fontId="81" fillId="21" borderId="296" xfId="0" applyNumberFormat="1" applyFont="1" applyFill="1" applyBorder="1"/>
    <xf numFmtId="21" fontId="271" fillId="48" borderId="294" xfId="0" applyNumberFormat="1" applyFont="1" applyFill="1" applyBorder="1"/>
    <xf numFmtId="0" fontId="271" fillId="48" borderId="113" xfId="0" applyFont="1" applyFill="1" applyBorder="1"/>
    <xf numFmtId="176" fontId="302" fillId="179" borderId="0" xfId="0" applyNumberFormat="1" applyFont="1" applyFill="1" applyAlignment="1" applyProtection="1">
      <alignment horizontal="center"/>
      <protection locked="0"/>
    </xf>
    <xf numFmtId="166" fontId="81" fillId="98" borderId="296" xfId="0" applyNumberFormat="1" applyFont="1" applyFill="1" applyBorder="1" applyAlignment="1">
      <alignment horizontal="center"/>
    </xf>
    <xf numFmtId="176" fontId="302" fillId="179" borderId="306" xfId="0" applyNumberFormat="1" applyFont="1" applyFill="1" applyBorder="1" applyAlignment="1" applyProtection="1">
      <alignment horizontal="center"/>
      <protection locked="0"/>
    </xf>
    <xf numFmtId="1" fontId="86" fillId="98" borderId="306" xfId="0" applyNumberFormat="1" applyFont="1" applyFill="1" applyBorder="1" applyAlignment="1">
      <alignment horizontal="center"/>
    </xf>
    <xf numFmtId="0" fontId="318" fillId="179" borderId="0" xfId="0" applyFont="1" applyFill="1" applyAlignment="1">
      <alignment horizontal="center"/>
    </xf>
    <xf numFmtId="176" fontId="106" fillId="19" borderId="35" xfId="0" applyNumberFormat="1" applyFont="1" applyFill="1" applyBorder="1" applyAlignment="1">
      <alignment horizontal="center"/>
    </xf>
    <xf numFmtId="166" fontId="106" fillId="19" borderId="0" xfId="0" applyNumberFormat="1" applyFont="1" applyFill="1" applyBorder="1" applyAlignment="1">
      <alignment horizontal="center"/>
    </xf>
    <xf numFmtId="21" fontId="106" fillId="19" borderId="0" xfId="0" applyNumberFormat="1" applyFont="1" applyFill="1" applyBorder="1" applyAlignment="1">
      <alignment horizontal="center"/>
    </xf>
    <xf numFmtId="1" fontId="373" fillId="125" borderId="35" xfId="0" applyNumberFormat="1" applyFont="1" applyFill="1" applyBorder="1"/>
    <xf numFmtId="0" fontId="19" fillId="14" borderId="126" xfId="0" applyFont="1" applyFill="1" applyBorder="1"/>
    <xf numFmtId="0" fontId="0" fillId="21" borderId="306" xfId="0" applyFill="1" applyBorder="1"/>
    <xf numFmtId="0" fontId="89" fillId="16" borderId="306" xfId="0" applyFont="1" applyFill="1" applyBorder="1"/>
    <xf numFmtId="0" fontId="2" fillId="18" borderId="308" xfId="0" applyFont="1" applyFill="1" applyBorder="1"/>
    <xf numFmtId="0" fontId="0" fillId="14" borderId="309" xfId="0" applyFill="1" applyBorder="1"/>
    <xf numFmtId="0" fontId="19" fillId="14" borderId="174" xfId="0" applyFont="1" applyFill="1" applyBorder="1"/>
    <xf numFmtId="0" fontId="373" fillId="125" borderId="58" xfId="0" applyFont="1" applyFill="1" applyBorder="1"/>
    <xf numFmtId="1" fontId="373" fillId="125" borderId="58" xfId="0" applyNumberFormat="1" applyFont="1" applyFill="1" applyBorder="1"/>
    <xf numFmtId="0" fontId="2" fillId="180" borderId="197" xfId="0" applyFont="1" applyFill="1" applyBorder="1"/>
    <xf numFmtId="0" fontId="372" fillId="180" borderId="83" xfId="0" applyFont="1" applyFill="1" applyBorder="1" applyAlignment="1" applyProtection="1">
      <alignment horizontal="center"/>
    </xf>
    <xf numFmtId="0" fontId="271" fillId="125" borderId="35" xfId="0" applyFont="1" applyFill="1" applyBorder="1" applyAlignment="1">
      <alignment horizontal="center"/>
    </xf>
    <xf numFmtId="0" fontId="88" fillId="18" borderId="291" xfId="0" quotePrefix="1" applyFont="1" applyFill="1" applyBorder="1" applyAlignment="1">
      <alignment horizontal="center"/>
    </xf>
    <xf numFmtId="0" fontId="19" fillId="14" borderId="309" xfId="0" applyFont="1" applyFill="1" applyBorder="1"/>
    <xf numFmtId="0" fontId="84" fillId="22" borderId="0" xfId="0" applyFont="1" applyFill="1" applyBorder="1" applyAlignment="1">
      <alignment horizontal="center"/>
    </xf>
    <xf numFmtId="0" fontId="84" fillId="22" borderId="222" xfId="0" applyFont="1" applyFill="1" applyBorder="1" applyAlignment="1">
      <alignment horizontal="center"/>
    </xf>
    <xf numFmtId="166" fontId="86" fillId="14" borderId="35" xfId="0" applyNumberFormat="1" applyFont="1" applyFill="1" applyBorder="1" applyAlignment="1">
      <alignment horizontal="center"/>
    </xf>
    <xf numFmtId="0" fontId="10" fillId="14" borderId="35" xfId="0" applyFont="1" applyFill="1" applyBorder="1" applyAlignment="1">
      <alignment horizontal="center"/>
    </xf>
    <xf numFmtId="166" fontId="8" fillId="30" borderId="0" xfId="0" applyNumberFormat="1" applyFont="1" applyFill="1" applyBorder="1" applyAlignment="1" applyProtection="1">
      <alignment horizontal="center"/>
    </xf>
    <xf numFmtId="166" fontId="84" fillId="16" borderId="35" xfId="0" applyNumberFormat="1" applyFont="1" applyFill="1" applyBorder="1" applyAlignment="1">
      <alignment horizontal="center"/>
    </xf>
    <xf numFmtId="0" fontId="84" fillId="16" borderId="35" xfId="0" applyFont="1" applyFill="1" applyBorder="1" applyAlignment="1">
      <alignment horizontal="center"/>
    </xf>
    <xf numFmtId="166" fontId="86" fillId="15" borderId="35" xfId="0" applyNumberFormat="1" applyFont="1" applyFill="1" applyBorder="1" applyAlignment="1">
      <alignment horizontal="center"/>
    </xf>
    <xf numFmtId="166" fontId="10" fillId="21" borderId="35" xfId="0" applyNumberFormat="1" applyFont="1" applyFill="1" applyBorder="1" applyAlignment="1">
      <alignment horizontal="center"/>
    </xf>
    <xf numFmtId="0" fontId="10" fillId="21" borderId="36" xfId="0" applyFont="1" applyFill="1" applyBorder="1" applyAlignment="1">
      <alignment horizontal="center"/>
    </xf>
    <xf numFmtId="166" fontId="10" fillId="15" borderId="35" xfId="0" applyNumberFormat="1" applyFont="1" applyFill="1" applyBorder="1" applyAlignment="1">
      <alignment horizontal="center"/>
    </xf>
    <xf numFmtId="21" fontId="10" fillId="15" borderId="35" xfId="0" applyNumberFormat="1" applyFont="1" applyFill="1" applyBorder="1" applyAlignment="1">
      <alignment horizontal="center"/>
    </xf>
    <xf numFmtId="0" fontId="8" fillId="30" borderId="223" xfId="0" applyFont="1" applyFill="1" applyBorder="1" applyAlignment="1" applyProtection="1">
      <alignment horizontal="center"/>
    </xf>
    <xf numFmtId="166" fontId="86" fillId="15" borderId="222" xfId="0" applyNumberFormat="1" applyFont="1" applyFill="1" applyBorder="1" applyAlignment="1">
      <alignment horizontal="center"/>
    </xf>
    <xf numFmtId="166" fontId="256" fillId="98" borderId="129" xfId="0" applyNumberFormat="1" applyFont="1" applyFill="1" applyBorder="1" applyAlignment="1">
      <alignment horizontal="center"/>
    </xf>
    <xf numFmtId="166" fontId="264" fillId="3" borderId="193" xfId="0" applyNumberFormat="1" applyFont="1" applyFill="1" applyBorder="1" applyProtection="1">
      <protection locked="0"/>
    </xf>
    <xf numFmtId="166" fontId="264" fillId="149" borderId="193" xfId="0" applyNumberFormat="1" applyFont="1" applyFill="1" applyBorder="1" applyProtection="1">
      <protection locked="0"/>
    </xf>
    <xf numFmtId="166" fontId="0" fillId="15" borderId="35" xfId="0" applyNumberFormat="1" applyFill="1" applyBorder="1"/>
    <xf numFmtId="166" fontId="89" fillId="16" borderId="35" xfId="0" applyNumberFormat="1" applyFont="1" applyFill="1" applyBorder="1"/>
    <xf numFmtId="166" fontId="2" fillId="18" borderId="291" xfId="0" applyNumberFormat="1" applyFont="1" applyFill="1" applyBorder="1"/>
    <xf numFmtId="166" fontId="54" fillId="30" borderId="83" xfId="0" applyNumberFormat="1" applyFont="1" applyFill="1" applyBorder="1" applyAlignment="1" applyProtection="1">
      <alignment horizontal="center"/>
    </xf>
    <xf numFmtId="166" fontId="106" fillId="26" borderId="35" xfId="0" applyNumberFormat="1" applyFont="1" applyFill="1" applyBorder="1" applyAlignment="1">
      <alignment horizontal="center"/>
    </xf>
    <xf numFmtId="0" fontId="264" fillId="3" borderId="193" xfId="0" applyFont="1" applyFill="1" applyBorder="1" applyAlignment="1" applyProtection="1">
      <alignment horizontal="center"/>
      <protection locked="0"/>
    </xf>
    <xf numFmtId="0" fontId="264" fillId="149" borderId="193" xfId="0" applyFont="1" applyFill="1" applyBorder="1" applyAlignment="1" applyProtection="1">
      <alignment horizontal="center"/>
      <protection locked="0"/>
    </xf>
    <xf numFmtId="0" fontId="10" fillId="15" borderId="209" xfId="0" applyFont="1" applyFill="1" applyBorder="1" applyAlignment="1">
      <alignment horizontal="center"/>
    </xf>
    <xf numFmtId="21" fontId="81" fillId="14" borderId="310" xfId="0" applyNumberFormat="1" applyFont="1" applyFill="1" applyBorder="1"/>
    <xf numFmtId="0" fontId="84" fillId="125" borderId="35" xfId="0" applyFont="1" applyFill="1" applyBorder="1"/>
    <xf numFmtId="0" fontId="97" fillId="93" borderId="35" xfId="0" applyFont="1" applyFill="1" applyBorder="1" applyAlignment="1">
      <alignment horizontal="center" wrapText="1"/>
    </xf>
    <xf numFmtId="0" fontId="2" fillId="3" borderId="0" xfId="0" applyFont="1" applyFill="1" applyProtection="1"/>
    <xf numFmtId="166" fontId="256" fillId="131" borderId="129" xfId="0" applyNumberFormat="1" applyFont="1" applyFill="1" applyBorder="1" applyAlignment="1">
      <alignment horizontal="center"/>
    </xf>
    <xf numFmtId="21" fontId="256" fillId="131" borderId="129" xfId="0" applyNumberFormat="1" applyFont="1" applyFill="1" applyBorder="1" applyAlignment="1">
      <alignment horizontal="center"/>
    </xf>
    <xf numFmtId="0" fontId="0" fillId="99" borderId="0" xfId="0" applyFill="1"/>
    <xf numFmtId="0" fontId="0" fillId="100" borderId="0" xfId="0" applyFill="1"/>
    <xf numFmtId="0" fontId="168" fillId="14" borderId="35" xfId="0" applyFont="1" applyFill="1" applyBorder="1"/>
    <xf numFmtId="0" fontId="43" fillId="21" borderId="35" xfId="0" applyFont="1" applyFill="1" applyBorder="1"/>
    <xf numFmtId="0" fontId="200" fillId="16" borderId="35" xfId="0" applyFont="1" applyFill="1" applyBorder="1"/>
    <xf numFmtId="0" fontId="0" fillId="181" borderId="0" xfId="0" applyFill="1"/>
    <xf numFmtId="0" fontId="2" fillId="181" borderId="0" xfId="0" applyFont="1" applyFill="1"/>
    <xf numFmtId="0" fontId="19" fillId="181" borderId="0" xfId="0" applyFont="1" applyFill="1"/>
    <xf numFmtId="0" fontId="109" fillId="181" borderId="0" xfId="0" applyFont="1" applyFill="1"/>
    <xf numFmtId="0" fontId="2" fillId="181" borderId="0" xfId="0" applyFont="1" applyFill="1" applyAlignment="1">
      <alignment horizontal="center"/>
    </xf>
    <xf numFmtId="0" fontId="2" fillId="100" borderId="0" xfId="0" applyFont="1" applyFill="1"/>
    <xf numFmtId="0" fontId="113" fillId="14" borderId="35" xfId="0" applyFont="1" applyFill="1" applyBorder="1"/>
    <xf numFmtId="0" fontId="115" fillId="16" borderId="35" xfId="0" applyFont="1" applyFill="1" applyBorder="1"/>
    <xf numFmtId="0" fontId="77" fillId="30" borderId="83" xfId="0" applyFont="1" applyFill="1" applyBorder="1" applyProtection="1"/>
    <xf numFmtId="0" fontId="109" fillId="18" borderId="83" xfId="0" applyFont="1" applyFill="1" applyBorder="1" applyProtection="1"/>
    <xf numFmtId="0" fontId="114" fillId="18" borderId="83" xfId="0" applyFont="1" applyFill="1" applyBorder="1" applyProtection="1"/>
    <xf numFmtId="0" fontId="111" fillId="19" borderId="83" xfId="0" applyFont="1" applyFill="1" applyBorder="1"/>
    <xf numFmtId="177" fontId="43" fillId="57" borderId="35" xfId="0" applyNumberFormat="1" applyFont="1" applyFill="1" applyBorder="1" applyProtection="1"/>
    <xf numFmtId="176" fontId="200" fillId="16" borderId="35" xfId="0" applyNumberFormat="1" applyFont="1" applyFill="1" applyBorder="1"/>
    <xf numFmtId="177" fontId="157" fillId="29" borderId="35" xfId="0" applyNumberFormat="1" applyFont="1" applyFill="1" applyBorder="1"/>
    <xf numFmtId="177" fontId="200" fillId="17" borderId="35" xfId="0" applyNumberFormat="1" applyFont="1" applyFill="1" applyBorder="1"/>
    <xf numFmtId="1" fontId="98" fillId="143" borderId="0" xfId="0" applyNumberFormat="1" applyFont="1" applyFill="1" applyBorder="1"/>
    <xf numFmtId="0" fontId="98" fillId="182" borderId="83" xfId="0" applyFont="1" applyFill="1" applyBorder="1" applyProtection="1"/>
    <xf numFmtId="21" fontId="99" fillId="143" borderId="35" xfId="0" applyNumberFormat="1" applyFont="1" applyFill="1" applyBorder="1"/>
    <xf numFmtId="0" fontId="8" fillId="182" borderId="83" xfId="0" applyFont="1" applyFill="1" applyBorder="1" applyProtection="1"/>
    <xf numFmtId="166" fontId="116" fillId="182" borderId="0" xfId="0" applyNumberFormat="1" applyFont="1" applyFill="1" applyBorder="1" applyProtection="1"/>
    <xf numFmtId="21" fontId="100" fillId="143" borderId="35" xfId="0" quotePrefix="1" applyNumberFormat="1" applyFont="1" applyFill="1" applyBorder="1" applyAlignment="1">
      <alignment horizontal="center"/>
    </xf>
    <xf numFmtId="174" fontId="262" fillId="143" borderId="0" xfId="0" quotePrefix="1" applyNumberFormat="1" applyFont="1" applyFill="1" applyBorder="1" applyAlignment="1">
      <alignment horizontal="center"/>
    </xf>
    <xf numFmtId="0" fontId="98" fillId="182" borderId="83" xfId="0" applyFont="1" applyFill="1" applyBorder="1" applyAlignment="1" applyProtection="1">
      <alignment horizontal="center"/>
    </xf>
    <xf numFmtId="1" fontId="9" fillId="0" borderId="200" xfId="0" applyNumberFormat="1" applyFont="1" applyFill="1" applyBorder="1" applyAlignment="1">
      <alignment horizontal="center" textRotation="90"/>
    </xf>
    <xf numFmtId="1" fontId="6" fillId="0" borderId="200" xfId="0" applyNumberFormat="1" applyFont="1" applyFill="1" applyBorder="1" applyAlignment="1">
      <alignment horizontal="center" textRotation="90"/>
    </xf>
    <xf numFmtId="0" fontId="9" fillId="0" borderId="123" xfId="0" applyFont="1" applyFill="1" applyBorder="1" applyAlignment="1">
      <alignment horizontal="center" textRotation="90"/>
    </xf>
    <xf numFmtId="0" fontId="6" fillId="0" borderId="123" xfId="0" applyFont="1" applyFill="1" applyBorder="1" applyAlignment="1">
      <alignment horizontal="center" textRotation="90"/>
    </xf>
    <xf numFmtId="0" fontId="9" fillId="0" borderId="245" xfId="0" applyFont="1" applyFill="1" applyBorder="1" applyAlignment="1">
      <alignment horizontal="center" textRotation="90"/>
    </xf>
    <xf numFmtId="166" fontId="110" fillId="0" borderId="245" xfId="0" applyNumberFormat="1" applyFont="1" applyFill="1" applyBorder="1" applyAlignment="1">
      <alignment horizontal="center" textRotation="90"/>
    </xf>
    <xf numFmtId="0" fontId="86" fillId="14" borderId="174" xfId="0" applyFont="1" applyFill="1" applyBorder="1"/>
    <xf numFmtId="176" fontId="86" fillId="14" borderId="174" xfId="0" applyNumberFormat="1" applyFont="1" applyFill="1" applyBorder="1"/>
    <xf numFmtId="166" fontId="113" fillId="14" borderId="174" xfId="0" applyNumberFormat="1" applyFont="1" applyFill="1" applyBorder="1"/>
    <xf numFmtId="0" fontId="0" fillId="21" borderId="314" xfId="0" applyFill="1" applyBorder="1"/>
    <xf numFmtId="21" fontId="157" fillId="19" borderId="35" xfId="0" applyNumberFormat="1" applyFont="1" applyFill="1" applyBorder="1"/>
    <xf numFmtId="174" fontId="160" fillId="19" borderId="83" xfId="0" quotePrefix="1" applyNumberFormat="1" applyFont="1" applyFill="1" applyBorder="1" applyAlignment="1">
      <alignment horizontal="center"/>
    </xf>
    <xf numFmtId="1" fontId="0" fillId="143" borderId="0" xfId="0" applyNumberFormat="1" applyFill="1" applyBorder="1"/>
    <xf numFmtId="0" fontId="99" fillId="143" borderId="275" xfId="0" applyFont="1" applyFill="1" applyBorder="1"/>
    <xf numFmtId="0" fontId="99" fillId="143" borderId="83" xfId="0" applyFont="1" applyFill="1" applyBorder="1"/>
    <xf numFmtId="21" fontId="99" fillId="143" borderId="0" xfId="0" applyNumberFormat="1" applyFont="1" applyFill="1" applyBorder="1"/>
    <xf numFmtId="0" fontId="160" fillId="143" borderId="83" xfId="0" applyFont="1" applyFill="1" applyBorder="1"/>
    <xf numFmtId="21" fontId="157" fillId="143" borderId="35" xfId="0" applyNumberFormat="1" applyFont="1" applyFill="1" applyBorder="1"/>
    <xf numFmtId="166" fontId="160" fillId="143" borderId="0" xfId="0" applyNumberFormat="1" applyFont="1" applyFill="1" applyBorder="1"/>
    <xf numFmtId="21" fontId="160" fillId="143" borderId="0" xfId="0" applyNumberFormat="1" applyFont="1" applyFill="1" applyBorder="1"/>
    <xf numFmtId="21" fontId="106" fillId="143" borderId="35" xfId="0" quotePrefix="1" applyNumberFormat="1" applyFont="1" applyFill="1" applyBorder="1" applyAlignment="1">
      <alignment horizontal="center"/>
    </xf>
    <xf numFmtId="174" fontId="160" fillId="143" borderId="83" xfId="0" quotePrefix="1" applyNumberFormat="1" applyFont="1" applyFill="1" applyBorder="1" applyAlignment="1">
      <alignment horizontal="center"/>
    </xf>
    <xf numFmtId="0" fontId="160" fillId="143" borderId="83" xfId="0" quotePrefix="1" applyFont="1" applyFill="1" applyBorder="1" applyAlignment="1">
      <alignment horizontal="center"/>
    </xf>
    <xf numFmtId="166" fontId="146" fillId="143" borderId="83" xfId="0" quotePrefix="1" applyNumberFormat="1" applyFont="1" applyFill="1" applyBorder="1" applyAlignment="1">
      <alignment horizontal="center"/>
    </xf>
    <xf numFmtId="0" fontId="378" fillId="143" borderId="251" xfId="0" applyFont="1" applyFill="1" applyBorder="1"/>
    <xf numFmtId="0" fontId="336" fillId="143" borderId="309" xfId="0" applyFont="1" applyFill="1" applyBorder="1"/>
    <xf numFmtId="0" fontId="336" fillId="143" borderId="251" xfId="0" applyFont="1" applyFill="1" applyBorder="1"/>
    <xf numFmtId="183" fontId="86" fillId="93" borderId="35" xfId="0" applyNumberFormat="1" applyFont="1" applyFill="1" applyBorder="1" applyAlignment="1">
      <alignment horizontal="center" wrapText="1"/>
    </xf>
    <xf numFmtId="166" fontId="307" fillId="3" borderId="193" xfId="0" applyNumberFormat="1" applyFont="1" applyFill="1" applyBorder="1" applyProtection="1">
      <protection locked="0"/>
    </xf>
    <xf numFmtId="166" fontId="307" fillId="3" borderId="193" xfId="0" applyNumberFormat="1" applyFont="1" applyFill="1" applyBorder="1" applyAlignment="1" applyProtection="1">
      <alignment horizontal="center"/>
      <protection locked="0"/>
    </xf>
    <xf numFmtId="1" fontId="86" fillId="14" borderId="209" xfId="0" applyNumberFormat="1" applyFont="1" applyFill="1" applyBorder="1"/>
    <xf numFmtId="166" fontId="168" fillId="14" borderId="209" xfId="0" applyNumberFormat="1" applyFont="1" applyFill="1" applyBorder="1"/>
    <xf numFmtId="1" fontId="86" fillId="21" borderId="208" xfId="0" applyNumberFormat="1" applyFont="1" applyFill="1" applyBorder="1"/>
    <xf numFmtId="0" fontId="1" fillId="21" borderId="209" xfId="0" applyFont="1" applyFill="1" applyBorder="1"/>
    <xf numFmtId="21" fontId="85" fillId="21" borderId="209" xfId="0" applyNumberFormat="1" applyFont="1" applyFill="1" applyBorder="1"/>
    <xf numFmtId="166" fontId="43" fillId="21" borderId="209" xfId="0" applyNumberFormat="1" applyFont="1" applyFill="1" applyBorder="1"/>
    <xf numFmtId="0" fontId="1" fillId="21" borderId="210" xfId="0" applyFont="1" applyFill="1" applyBorder="1"/>
    <xf numFmtId="1" fontId="1" fillId="15" borderId="209" xfId="0" applyNumberFormat="1" applyFont="1" applyFill="1" applyBorder="1"/>
    <xf numFmtId="21" fontId="1" fillId="15" borderId="209" xfId="0" applyNumberFormat="1" applyFont="1" applyFill="1" applyBorder="1"/>
    <xf numFmtId="166" fontId="43" fillId="15" borderId="209" xfId="0" applyNumberFormat="1" applyFont="1" applyFill="1" applyBorder="1"/>
    <xf numFmtId="0" fontId="1" fillId="141" borderId="209" xfId="0" applyFont="1" applyFill="1" applyBorder="1"/>
    <xf numFmtId="1" fontId="1" fillId="17" borderId="0" xfId="0" applyNumberFormat="1" applyFont="1" applyFill="1"/>
    <xf numFmtId="0" fontId="1" fillId="18" borderId="264" xfId="0" applyFont="1" applyFill="1" applyBorder="1"/>
    <xf numFmtId="21" fontId="92" fillId="17" borderId="209" xfId="0" applyNumberFormat="1" applyFont="1" applyFill="1" applyBorder="1"/>
    <xf numFmtId="166" fontId="365" fillId="18" borderId="0" xfId="0" applyNumberFormat="1" applyFont="1" applyFill="1"/>
    <xf numFmtId="1" fontId="1" fillId="0" borderId="79" xfId="0" applyNumberFormat="1" applyFont="1" applyBorder="1"/>
    <xf numFmtId="1" fontId="9" fillId="3" borderId="79" xfId="0" applyNumberFormat="1" applyFont="1" applyFill="1" applyBorder="1" applyAlignment="1" applyProtection="1">
      <alignment horizontal="center"/>
      <protection locked="0"/>
    </xf>
    <xf numFmtId="166" fontId="167" fillId="3" borderId="79" xfId="0" applyNumberFormat="1" applyFont="1" applyFill="1" applyBorder="1" applyAlignment="1" applyProtection="1">
      <alignment horizontal="center"/>
      <protection locked="0"/>
    </xf>
    <xf numFmtId="1" fontId="86" fillId="21" borderId="111" xfId="0" applyNumberFormat="1" applyFont="1" applyFill="1" applyBorder="1"/>
    <xf numFmtId="0" fontId="1" fillId="21" borderId="35" xfId="0" applyFont="1" applyFill="1" applyBorder="1"/>
    <xf numFmtId="21" fontId="85" fillId="21" borderId="35" xfId="0" applyNumberFormat="1" applyFont="1" applyFill="1" applyBorder="1"/>
    <xf numFmtId="166" fontId="43" fillId="21" borderId="35" xfId="0" applyNumberFormat="1" applyFont="1" applyFill="1" applyBorder="1"/>
    <xf numFmtId="0" fontId="1" fillId="21" borderId="36" xfId="0" applyFont="1" applyFill="1" applyBorder="1"/>
    <xf numFmtId="1" fontId="11" fillId="143" borderId="0" xfId="0" applyNumberFormat="1" applyFont="1" applyFill="1" applyBorder="1"/>
    <xf numFmtId="0" fontId="11" fillId="182" borderId="83" xfId="0" applyFont="1" applyFill="1" applyBorder="1" applyProtection="1"/>
    <xf numFmtId="21" fontId="100" fillId="143" borderId="35" xfId="0" applyNumberFormat="1" applyFont="1" applyFill="1" applyBorder="1"/>
    <xf numFmtId="166" fontId="157" fillId="182" borderId="0" xfId="0" applyNumberFormat="1" applyFont="1" applyFill="1" applyBorder="1" applyProtection="1"/>
    <xf numFmtId="0" fontId="11" fillId="182" borderId="83" xfId="0" applyFont="1" applyFill="1" applyBorder="1" applyAlignment="1" applyProtection="1">
      <alignment horizontal="center"/>
    </xf>
    <xf numFmtId="1" fontId="1" fillId="20" borderId="209" xfId="0" applyNumberFormat="1" applyFont="1" applyFill="1" applyBorder="1"/>
    <xf numFmtId="0" fontId="92" fillId="16" borderId="209" xfId="0" applyFont="1" applyFill="1" applyBorder="1"/>
    <xf numFmtId="21" fontId="92" fillId="16" borderId="209" xfId="0" applyNumberFormat="1" applyFont="1" applyFill="1" applyBorder="1"/>
    <xf numFmtId="166" fontId="200" fillId="16" borderId="209" xfId="0" applyNumberFormat="1" applyFont="1" applyFill="1" applyBorder="1"/>
    <xf numFmtId="0" fontId="92" fillId="141" borderId="209" xfId="0" applyFont="1" applyFill="1" applyBorder="1"/>
    <xf numFmtId="0" fontId="1" fillId="18" borderId="264" xfId="0" applyFont="1" applyFill="1" applyBorder="1" applyAlignment="1">
      <alignment horizontal="center"/>
    </xf>
    <xf numFmtId="1" fontId="86" fillId="14" borderId="110" xfId="0" applyNumberFormat="1" applyFont="1" applyFill="1" applyBorder="1"/>
    <xf numFmtId="0" fontId="1" fillId="14" borderId="111" xfId="0" applyFont="1" applyFill="1" applyBorder="1"/>
    <xf numFmtId="0" fontId="1" fillId="14" borderId="35" xfId="0" applyFont="1" applyFill="1" applyBorder="1"/>
    <xf numFmtId="166" fontId="168" fillId="14" borderId="35" xfId="0" applyNumberFormat="1" applyFont="1" applyFill="1" applyBorder="1"/>
    <xf numFmtId="1" fontId="86" fillId="21" borderId="157" xfId="0" applyNumberFormat="1" applyFont="1" applyFill="1" applyBorder="1"/>
    <xf numFmtId="21" fontId="168" fillId="21" borderId="35" xfId="0" applyNumberFormat="1" applyFont="1" applyFill="1" applyBorder="1"/>
    <xf numFmtId="174" fontId="106" fillId="19" borderId="83" xfId="0" quotePrefix="1" applyNumberFormat="1" applyFont="1" applyFill="1" applyBorder="1" applyAlignment="1">
      <alignment horizontal="center"/>
    </xf>
    <xf numFmtId="1" fontId="1" fillId="0" borderId="0" xfId="0" applyNumberFormat="1" applyFont="1" applyFill="1" applyBorder="1"/>
    <xf numFmtId="166" fontId="167" fillId="3" borderId="0" xfId="0" applyNumberFormat="1" applyFont="1" applyFill="1" applyBorder="1" applyAlignment="1" applyProtection="1">
      <alignment horizontal="center"/>
      <protection locked="0"/>
    </xf>
    <xf numFmtId="0" fontId="1" fillId="141" borderId="210" xfId="0" applyFont="1" applyFill="1" applyBorder="1"/>
    <xf numFmtId="3" fontId="48" fillId="3" borderId="29" xfId="0" applyNumberFormat="1" applyFont="1" applyFill="1" applyBorder="1" applyAlignment="1" applyProtection="1">
      <alignment horizontal="left" vertical="center"/>
    </xf>
    <xf numFmtId="21" fontId="81" fillId="14" borderId="317" xfId="0" applyNumberFormat="1" applyFont="1" applyFill="1" applyBorder="1"/>
    <xf numFmtId="21" fontId="85" fillId="14" borderId="317" xfId="0" applyNumberFormat="1" applyFont="1" applyFill="1" applyBorder="1"/>
    <xf numFmtId="0" fontId="86" fillId="14" borderId="35" xfId="0" applyFont="1" applyFill="1" applyBorder="1" applyAlignment="1">
      <alignment horizontal="center"/>
    </xf>
    <xf numFmtId="0" fontId="20" fillId="21" borderId="35" xfId="0" applyFont="1" applyFill="1" applyBorder="1" applyAlignment="1">
      <alignment horizontal="center"/>
    </xf>
    <xf numFmtId="0" fontId="20" fillId="15" borderId="35" xfId="0" applyFont="1" applyFill="1" applyBorder="1" applyAlignment="1">
      <alignment horizontal="center"/>
    </xf>
    <xf numFmtId="0" fontId="379" fillId="11" borderId="0" xfId="0" applyFont="1" applyFill="1" applyAlignment="1" applyProtection="1">
      <alignment horizontal="center"/>
      <protection locked="0"/>
    </xf>
    <xf numFmtId="183" fontId="86" fillId="183" borderId="35" xfId="0" applyNumberFormat="1" applyFont="1" applyFill="1" applyBorder="1" applyAlignment="1">
      <alignment horizontal="center" wrapText="1"/>
    </xf>
    <xf numFmtId="176" fontId="10" fillId="91" borderId="35" xfId="0" applyNumberFormat="1" applyFont="1" applyFill="1" applyBorder="1" applyAlignment="1">
      <alignment horizontal="center"/>
    </xf>
    <xf numFmtId="0" fontId="75" fillId="91" borderId="36" xfId="0" applyFont="1" applyFill="1" applyBorder="1"/>
    <xf numFmtId="0" fontId="0" fillId="80" borderId="191" xfId="0" applyFill="1" applyBorder="1"/>
    <xf numFmtId="0" fontId="380" fillId="80" borderId="100" xfId="0" applyFont="1" applyFill="1" applyBorder="1"/>
    <xf numFmtId="0" fontId="0" fillId="79" borderId="189" xfId="0" applyFill="1" applyBorder="1"/>
    <xf numFmtId="0" fontId="0" fillId="79" borderId="190" xfId="0" applyFill="1" applyBorder="1"/>
    <xf numFmtId="0" fontId="0" fillId="79" borderId="194" xfId="0" applyFill="1" applyBorder="1"/>
    <xf numFmtId="0" fontId="0" fillId="79" borderId="12" xfId="0" applyFill="1" applyBorder="1"/>
    <xf numFmtId="0" fontId="0" fillId="79" borderId="102" xfId="0" applyFill="1" applyBorder="1"/>
    <xf numFmtId="0" fontId="0" fillId="79" borderId="0" xfId="0" applyFill="1" applyBorder="1"/>
    <xf numFmtId="0" fontId="2" fillId="86" borderId="0" xfId="0" quotePrefix="1" applyFont="1" applyFill="1" applyBorder="1" applyAlignment="1">
      <alignment horizontal="right"/>
    </xf>
    <xf numFmtId="0" fontId="2" fillId="86" borderId="0" xfId="0" applyFont="1" applyFill="1" applyBorder="1"/>
    <xf numFmtId="0" fontId="0" fillId="86" borderId="0" xfId="0" applyFill="1" applyBorder="1"/>
    <xf numFmtId="0" fontId="2" fillId="87" borderId="0" xfId="0" applyFont="1" applyFill="1" applyBorder="1" applyAlignment="1">
      <alignment horizontal="right"/>
    </xf>
    <xf numFmtId="0" fontId="2" fillId="87" borderId="0" xfId="0" applyFont="1" applyFill="1" applyBorder="1"/>
    <xf numFmtId="0" fontId="0" fillId="87" borderId="0" xfId="0" applyFill="1" applyBorder="1"/>
    <xf numFmtId="0" fontId="2" fillId="75" borderId="0" xfId="0" applyFont="1" applyFill="1" applyBorder="1" applyAlignment="1">
      <alignment horizontal="right"/>
    </xf>
    <xf numFmtId="0" fontId="2" fillId="75" borderId="0" xfId="0" applyFont="1" applyFill="1" applyBorder="1"/>
    <xf numFmtId="0" fontId="0" fillId="75" borderId="0" xfId="0" applyFill="1" applyBorder="1"/>
    <xf numFmtId="0" fontId="2" fillId="184" borderId="0" xfId="0" applyFont="1" applyFill="1" applyBorder="1" applyAlignment="1">
      <alignment horizontal="right"/>
    </xf>
    <xf numFmtId="0" fontId="2" fillId="184" borderId="0" xfId="0" applyFont="1" applyFill="1" applyBorder="1"/>
    <xf numFmtId="0" fontId="0" fillId="184" borderId="0" xfId="0" applyFill="1" applyBorder="1"/>
    <xf numFmtId="0" fontId="2" fillId="185" borderId="0" xfId="0" applyFont="1" applyFill="1" applyBorder="1" applyAlignment="1">
      <alignment horizontal="right"/>
    </xf>
    <xf numFmtId="0" fontId="2" fillId="185" borderId="0" xfId="0" applyFont="1" applyFill="1" applyBorder="1"/>
    <xf numFmtId="0" fontId="0" fillId="185" borderId="0" xfId="0" applyFill="1" applyBorder="1"/>
    <xf numFmtId="3" fontId="2" fillId="185" borderId="0" xfId="0" applyNumberFormat="1" applyFont="1" applyFill="1" applyBorder="1"/>
    <xf numFmtId="0" fontId="2" fillId="107" borderId="0" xfId="0" quotePrefix="1" applyFont="1" applyFill="1" applyBorder="1" applyAlignment="1">
      <alignment horizontal="right"/>
    </xf>
    <xf numFmtId="0" fontId="2" fillId="107" borderId="0" xfId="0" applyFont="1" applyFill="1" applyBorder="1"/>
    <xf numFmtId="0" fontId="0" fillId="107" borderId="0" xfId="0" applyFill="1" applyBorder="1"/>
    <xf numFmtId="0" fontId="0" fillId="79" borderId="196" xfId="0" applyFill="1" applyBorder="1"/>
    <xf numFmtId="0" fontId="0" fillId="79" borderId="79" xfId="0" applyFill="1" applyBorder="1"/>
    <xf numFmtId="0" fontId="0" fillId="79" borderId="113" xfId="0" applyFill="1" applyBorder="1"/>
    <xf numFmtId="0" fontId="19" fillId="91" borderId="76" xfId="0" applyFont="1" applyFill="1" applyBorder="1"/>
    <xf numFmtId="21" fontId="81" fillId="14" borderId="174" xfId="0" applyNumberFormat="1" applyFont="1" applyFill="1" applyBorder="1"/>
    <xf numFmtId="166" fontId="81" fillId="14" borderId="174" xfId="0" applyNumberFormat="1" applyFont="1" applyFill="1" applyBorder="1"/>
    <xf numFmtId="0" fontId="54" fillId="182" borderId="83" xfId="0" applyFont="1" applyFill="1" applyBorder="1" applyProtection="1"/>
    <xf numFmtId="21" fontId="160" fillId="143" borderId="35" xfId="0" applyNumberFormat="1" applyFont="1" applyFill="1" applyBorder="1"/>
    <xf numFmtId="166" fontId="54" fillId="182" borderId="0" xfId="0" applyNumberFormat="1" applyFont="1" applyFill="1" applyBorder="1" applyProtection="1"/>
    <xf numFmtId="174" fontId="325" fillId="143" borderId="0" xfId="0" quotePrefix="1" applyNumberFormat="1" applyFont="1" applyFill="1" applyBorder="1" applyAlignment="1">
      <alignment horizontal="center"/>
    </xf>
    <xf numFmtId="0" fontId="54" fillId="182" borderId="83" xfId="0" applyFont="1" applyFill="1" applyBorder="1" applyAlignment="1" applyProtection="1">
      <alignment horizontal="center"/>
    </xf>
    <xf numFmtId="0" fontId="19" fillId="91" borderId="74" xfId="0" applyFont="1" applyFill="1" applyBorder="1"/>
    <xf numFmtId="21" fontId="152" fillId="91" borderId="35" xfId="0" applyNumberFormat="1" applyFont="1" applyFill="1" applyBorder="1"/>
    <xf numFmtId="0" fontId="19" fillId="92" borderId="83" xfId="0" applyFont="1" applyFill="1" applyBorder="1" applyAlignment="1" applyProtection="1">
      <alignment horizontal="center"/>
    </xf>
    <xf numFmtId="0" fontId="19" fillId="92" borderId="83" xfId="0" applyFont="1" applyFill="1" applyBorder="1" applyProtection="1"/>
    <xf numFmtId="164" fontId="9" fillId="0" borderId="245" xfId="3" applyFont="1" applyFill="1" applyBorder="1" applyAlignment="1">
      <alignment horizontal="center" textRotation="90"/>
    </xf>
    <xf numFmtId="164" fontId="9" fillId="0" borderId="251" xfId="3" applyFont="1" applyFill="1" applyBorder="1" applyAlignment="1">
      <alignment horizontal="center" textRotation="90"/>
    </xf>
    <xf numFmtId="168" fontId="10" fillId="8" borderId="317" xfId="7" applyNumberFormat="1" applyFont="1" applyFill="1" applyBorder="1"/>
    <xf numFmtId="168" fontId="10" fillId="8" borderId="293" xfId="7" applyNumberFormat="1" applyFont="1" applyFill="1" applyBorder="1"/>
    <xf numFmtId="0" fontId="5" fillId="0" borderId="251" xfId="0" applyFont="1" applyBorder="1" applyAlignment="1">
      <alignment horizontal="center" textRotation="90"/>
    </xf>
    <xf numFmtId="1" fontId="5" fillId="0" borderId="251" xfId="0" applyNumberFormat="1" applyFont="1" applyBorder="1" applyAlignment="1">
      <alignment horizontal="center" textRotation="90"/>
    </xf>
    <xf numFmtId="21" fontId="9" fillId="0" borderId="251" xfId="0" applyNumberFormat="1" applyFont="1" applyBorder="1" applyAlignment="1">
      <alignment horizontal="left"/>
    </xf>
    <xf numFmtId="0" fontId="9" fillId="0" borderId="251" xfId="0" applyFont="1" applyBorder="1" applyAlignment="1">
      <alignment horizontal="left"/>
    </xf>
    <xf numFmtId="166" fontId="108" fillId="0" borderId="251" xfId="0" applyNumberFormat="1" applyFont="1" applyBorder="1" applyAlignment="1">
      <alignment horizontal="center"/>
    </xf>
    <xf numFmtId="174" fontId="9" fillId="0" borderId="251" xfId="0" applyNumberFormat="1" applyFont="1" applyBorder="1" applyAlignment="1">
      <alignment horizontal="center"/>
    </xf>
    <xf numFmtId="21" fontId="5" fillId="0" borderId="289" xfId="0" applyNumberFormat="1" applyFont="1" applyBorder="1" applyAlignment="1">
      <alignment horizontal="center" textRotation="90"/>
    </xf>
    <xf numFmtId="1" fontId="0" fillId="15" borderId="317" xfId="0" applyNumberFormat="1" applyFill="1" applyBorder="1"/>
    <xf numFmtId="0" fontId="0" fillId="14" borderId="317" xfId="0" applyFill="1" applyBorder="1"/>
    <xf numFmtId="21" fontId="82" fillId="14" borderId="317" xfId="0" applyNumberFormat="1" applyFont="1" applyFill="1" applyBorder="1"/>
    <xf numFmtId="0" fontId="86" fillId="14" borderId="317" xfId="0" applyFont="1" applyFill="1" applyBorder="1"/>
    <xf numFmtId="21" fontId="85" fillId="14" borderId="317" xfId="0" quotePrefix="1" applyNumberFormat="1" applyFont="1" applyFill="1" applyBorder="1" applyAlignment="1">
      <alignment horizontal="center"/>
    </xf>
    <xf numFmtId="1" fontId="0" fillId="137" borderId="317" xfId="0" applyNumberFormat="1" applyFill="1" applyBorder="1"/>
    <xf numFmtId="1" fontId="291" fillId="138" borderId="317" xfId="0" applyNumberFormat="1" applyFont="1" applyFill="1" applyBorder="1"/>
    <xf numFmtId="0" fontId="0" fillId="15" borderId="317" xfId="0" applyFill="1" applyBorder="1"/>
    <xf numFmtId="21" fontId="0" fillId="15" borderId="317" xfId="0" applyNumberFormat="1" applyFill="1" applyBorder="1"/>
    <xf numFmtId="0" fontId="10" fillId="15" borderId="317" xfId="0" applyFont="1" applyFill="1" applyBorder="1"/>
    <xf numFmtId="21" fontId="85" fillId="15" borderId="317" xfId="0" quotePrefix="1" applyNumberFormat="1" applyFont="1" applyFill="1" applyBorder="1" applyAlignment="1">
      <alignment horizontal="center"/>
    </xf>
    <xf numFmtId="0" fontId="86" fillId="15" borderId="317" xfId="0" applyFont="1" applyFill="1" applyBorder="1" applyAlignment="1">
      <alignment horizontal="center"/>
    </xf>
    <xf numFmtId="21" fontId="89" fillId="17" borderId="317" xfId="0" applyNumberFormat="1" applyFont="1" applyFill="1" applyBorder="1"/>
    <xf numFmtId="21" fontId="85" fillId="17" borderId="317" xfId="0" quotePrefix="1" applyNumberFormat="1" applyFont="1" applyFill="1" applyBorder="1" applyAlignment="1">
      <alignment horizontal="center"/>
    </xf>
    <xf numFmtId="0" fontId="100" fillId="19" borderId="317" xfId="0" applyFont="1" applyFill="1" applyBorder="1"/>
    <xf numFmtId="0" fontId="100" fillId="26" borderId="317" xfId="0" applyFont="1" applyFill="1" applyBorder="1"/>
    <xf numFmtId="0" fontId="11" fillId="33" borderId="317" xfId="0" applyFont="1" applyFill="1" applyBorder="1"/>
    <xf numFmtId="21" fontId="100" fillId="26" borderId="317" xfId="0" applyNumberFormat="1" applyFont="1" applyFill="1" applyBorder="1"/>
    <xf numFmtId="21" fontId="100" fillId="19" borderId="317" xfId="0" applyNumberFormat="1" applyFont="1" applyFill="1" applyBorder="1"/>
    <xf numFmtId="0" fontId="106" fillId="19" borderId="317" xfId="0" applyFont="1" applyFill="1" applyBorder="1"/>
    <xf numFmtId="0" fontId="8" fillId="33" borderId="317" xfId="0" applyFont="1" applyFill="1" applyBorder="1"/>
    <xf numFmtId="21" fontId="11" fillId="19" borderId="317" xfId="0" applyNumberFormat="1" applyFont="1" applyFill="1" applyBorder="1"/>
    <xf numFmtId="21" fontId="100" fillId="19" borderId="317" xfId="0" quotePrefix="1" applyNumberFormat="1" applyFont="1" applyFill="1" applyBorder="1" applyAlignment="1">
      <alignment horizontal="center"/>
    </xf>
    <xf numFmtId="0" fontId="107" fillId="33" borderId="317" xfId="0" applyFont="1" applyFill="1" applyBorder="1" applyAlignment="1">
      <alignment horizontal="center"/>
    </xf>
    <xf numFmtId="0" fontId="100" fillId="19" borderId="291" xfId="0" applyFont="1" applyFill="1" applyBorder="1"/>
    <xf numFmtId="0" fontId="148" fillId="3" borderId="0" xfId="0" applyFont="1" applyFill="1" applyProtection="1">
      <protection locked="0"/>
    </xf>
    <xf numFmtId="0" fontId="1" fillId="14" borderId="266" xfId="0" applyFont="1" applyFill="1" applyBorder="1"/>
    <xf numFmtId="166" fontId="109" fillId="15" borderId="317" xfId="0" applyNumberFormat="1" applyFont="1" applyFill="1" applyBorder="1"/>
    <xf numFmtId="0" fontId="0" fillId="15" borderId="310" xfId="0" applyFill="1" applyBorder="1"/>
    <xf numFmtId="21" fontId="82" fillId="15" borderId="309" xfId="0" applyNumberFormat="1" applyFont="1" applyFill="1" applyBorder="1"/>
    <xf numFmtId="21" fontId="82" fillId="15" borderId="317" xfId="0" applyNumberFormat="1" applyFont="1" applyFill="1" applyBorder="1"/>
    <xf numFmtId="0" fontId="10" fillId="15" borderId="317" xfId="0" quotePrefix="1" applyFont="1" applyFill="1" applyBorder="1" applyAlignment="1">
      <alignment horizontal="left"/>
    </xf>
    <xf numFmtId="0" fontId="278" fillId="114" borderId="309" xfId="0" applyFont="1" applyFill="1" applyBorder="1"/>
    <xf numFmtId="0" fontId="0" fillId="21" borderId="317" xfId="0" applyFill="1" applyBorder="1"/>
    <xf numFmtId="0" fontId="0" fillId="21" borderId="318" xfId="0" applyFill="1" applyBorder="1"/>
    <xf numFmtId="21" fontId="82" fillId="21" borderId="310" xfId="0" applyNumberFormat="1" applyFont="1" applyFill="1" applyBorder="1"/>
    <xf numFmtId="21" fontId="82" fillId="21" borderId="317" xfId="0" applyNumberFormat="1" applyFont="1" applyFill="1" applyBorder="1"/>
    <xf numFmtId="0" fontId="10" fillId="21" borderId="317" xfId="0" applyFont="1" applyFill="1" applyBorder="1"/>
    <xf numFmtId="21" fontId="85" fillId="21" borderId="317" xfId="0" quotePrefix="1" applyNumberFormat="1" applyFont="1" applyFill="1" applyBorder="1" applyAlignment="1">
      <alignment horizontal="center"/>
    </xf>
    <xf numFmtId="0" fontId="86" fillId="21" borderId="317" xfId="0" quotePrefix="1" applyFont="1" applyFill="1" applyBorder="1" applyAlignment="1">
      <alignment horizontal="center"/>
    </xf>
    <xf numFmtId="0" fontId="278" fillId="114" borderId="251" xfId="0" applyFont="1" applyFill="1" applyBorder="1"/>
    <xf numFmtId="0" fontId="0" fillId="91" borderId="310" xfId="0" applyFill="1" applyBorder="1"/>
    <xf numFmtId="0" fontId="0" fillId="91" borderId="318" xfId="0" applyFill="1" applyBorder="1"/>
    <xf numFmtId="21" fontId="82" fillId="91" borderId="310" xfId="0" applyNumberFormat="1" applyFont="1" applyFill="1" applyBorder="1"/>
    <xf numFmtId="21" fontId="82" fillId="91" borderId="317" xfId="0" applyNumberFormat="1" applyFont="1" applyFill="1" applyBorder="1"/>
    <xf numFmtId="0" fontId="10" fillId="91" borderId="317" xfId="0" quotePrefix="1" applyFont="1" applyFill="1" applyBorder="1" applyAlignment="1">
      <alignment horizontal="left"/>
    </xf>
    <xf numFmtId="21" fontId="0" fillId="91" borderId="317" xfId="0" applyNumberFormat="1" applyFill="1" applyBorder="1"/>
    <xf numFmtId="166" fontId="109" fillId="91" borderId="317" xfId="0" applyNumberFormat="1" applyFont="1" applyFill="1" applyBorder="1"/>
    <xf numFmtId="21" fontId="85" fillId="91" borderId="317" xfId="0" quotePrefix="1" applyNumberFormat="1" applyFont="1" applyFill="1" applyBorder="1" applyAlignment="1">
      <alignment horizontal="center"/>
    </xf>
    <xf numFmtId="0" fontId="86" fillId="91" borderId="317" xfId="0" applyFont="1" applyFill="1" applyBorder="1" applyAlignment="1">
      <alignment horizontal="center"/>
    </xf>
    <xf numFmtId="0" fontId="0" fillId="91" borderId="317" xfId="0" applyFill="1" applyBorder="1"/>
    <xf numFmtId="0" fontId="263" fillId="114" borderId="174" xfId="0" applyFont="1" applyFill="1" applyBorder="1"/>
    <xf numFmtId="0" fontId="16" fillId="66" borderId="317" xfId="0" applyFont="1" applyFill="1" applyBorder="1"/>
    <xf numFmtId="0" fontId="16" fillId="66" borderId="318" xfId="0" applyFont="1" applyFill="1" applyBorder="1"/>
    <xf numFmtId="21" fontId="99" fillId="66" borderId="310" xfId="0" applyNumberFormat="1" applyFont="1" applyFill="1" applyBorder="1"/>
    <xf numFmtId="21" fontId="99" fillId="66" borderId="317" xfId="0" applyNumberFormat="1" applyFont="1" applyFill="1" applyBorder="1"/>
    <xf numFmtId="0" fontId="106" fillId="66" borderId="317" xfId="0" applyFont="1" applyFill="1" applyBorder="1" applyAlignment="1">
      <alignment horizontal="left"/>
    </xf>
    <xf numFmtId="176" fontId="8" fillId="66" borderId="317" xfId="0" applyNumberFormat="1" applyFont="1" applyFill="1" applyBorder="1"/>
    <xf numFmtId="166" fontId="111" fillId="66" borderId="317" xfId="0" applyNumberFormat="1" applyFont="1" applyFill="1" applyBorder="1"/>
    <xf numFmtId="21" fontId="100" fillId="66" borderId="317" xfId="0" quotePrefix="1" applyNumberFormat="1" applyFont="1" applyFill="1" applyBorder="1" applyAlignment="1">
      <alignment horizontal="center"/>
    </xf>
    <xf numFmtId="1" fontId="106" fillId="66" borderId="317" xfId="0" applyNumberFormat="1" applyFont="1" applyFill="1" applyBorder="1" applyAlignment="1">
      <alignment horizontal="center"/>
    </xf>
    <xf numFmtId="0" fontId="2" fillId="14" borderId="317" xfId="0" applyFont="1" applyFill="1" applyBorder="1"/>
    <xf numFmtId="177" fontId="10" fillId="57" borderId="32" xfId="0" applyNumberFormat="1" applyFont="1" applyFill="1" applyBorder="1"/>
    <xf numFmtId="0" fontId="2" fillId="14" borderId="33" xfId="0" applyFont="1" applyFill="1" applyBorder="1"/>
    <xf numFmtId="0" fontId="99" fillId="19" borderId="317" xfId="0" applyFont="1" applyFill="1" applyBorder="1"/>
    <xf numFmtId="0" fontId="99" fillId="19" borderId="318" xfId="0" applyFont="1" applyFill="1" applyBorder="1"/>
    <xf numFmtId="21" fontId="99" fillId="19" borderId="310" xfId="0" applyNumberFormat="1" applyFont="1" applyFill="1" applyBorder="1"/>
    <xf numFmtId="21" fontId="99" fillId="19" borderId="317" xfId="0" applyNumberFormat="1" applyFont="1" applyFill="1" applyBorder="1"/>
    <xf numFmtId="166" fontId="111" fillId="19" borderId="317" xfId="0" applyNumberFormat="1" applyFont="1" applyFill="1" applyBorder="1"/>
    <xf numFmtId="0" fontId="106" fillId="19" borderId="317" xfId="0" quotePrefix="1" applyFont="1" applyFill="1" applyBorder="1" applyAlignment="1">
      <alignment horizontal="center"/>
    </xf>
    <xf numFmtId="1" fontId="81" fillId="14" borderId="317" xfId="0" applyNumberFormat="1" applyFont="1" applyFill="1" applyBorder="1"/>
    <xf numFmtId="177" fontId="10" fillId="57" borderId="317" xfId="0" applyNumberFormat="1" applyFont="1" applyFill="1" applyBorder="1"/>
    <xf numFmtId="166" fontId="113" fillId="14" borderId="317" xfId="0" applyNumberFormat="1" applyFont="1" applyFill="1" applyBorder="1"/>
    <xf numFmtId="1" fontId="86" fillId="14" borderId="317" xfId="0" applyNumberFormat="1" applyFont="1" applyFill="1" applyBorder="1" applyAlignment="1">
      <alignment horizontal="center"/>
    </xf>
    <xf numFmtId="0" fontId="0" fillId="14" borderId="293" xfId="0" applyFill="1" applyBorder="1"/>
    <xf numFmtId="21" fontId="99" fillId="29" borderId="317" xfId="0" applyNumberFormat="1" applyFont="1" applyFill="1" applyBorder="1"/>
    <xf numFmtId="177" fontId="8" fillId="29" borderId="317" xfId="0" applyNumberFormat="1" applyFont="1" applyFill="1" applyBorder="1"/>
    <xf numFmtId="1" fontId="81" fillId="21" borderId="310" xfId="0" applyNumberFormat="1" applyFont="1" applyFill="1" applyBorder="1"/>
    <xf numFmtId="176" fontId="10" fillId="21" borderId="317" xfId="0" applyNumberFormat="1" applyFont="1" applyFill="1" applyBorder="1"/>
    <xf numFmtId="166" fontId="109" fillId="21" borderId="317" xfId="0" applyNumberFormat="1" applyFont="1" applyFill="1" applyBorder="1"/>
    <xf numFmtId="1" fontId="86" fillId="21" borderId="317" xfId="0" applyNumberFormat="1" applyFont="1" applyFill="1" applyBorder="1" applyAlignment="1">
      <alignment horizontal="center"/>
    </xf>
    <xf numFmtId="176" fontId="10" fillId="15" borderId="317" xfId="0" applyNumberFormat="1" applyFont="1" applyFill="1" applyBorder="1"/>
    <xf numFmtId="1" fontId="0" fillId="19" borderId="317" xfId="0" applyNumberFormat="1" applyFill="1" applyBorder="1"/>
    <xf numFmtId="0" fontId="11" fillId="6" borderId="12" xfId="0" applyFont="1" applyFill="1" applyBorder="1" applyAlignment="1">
      <alignment horizontal="center"/>
    </xf>
    <xf numFmtId="0" fontId="11" fillId="6" borderId="0" xfId="0" applyFont="1" applyFill="1" applyAlignment="1">
      <alignment horizontal="center"/>
    </xf>
    <xf numFmtId="0" fontId="5" fillId="0" borderId="58" xfId="0" applyFont="1" applyBorder="1" applyAlignment="1">
      <alignment horizontal="center"/>
    </xf>
    <xf numFmtId="0" fontId="10" fillId="91" borderId="317" xfId="0" applyFont="1" applyFill="1" applyBorder="1"/>
    <xf numFmtId="0" fontId="277" fillId="111" borderId="309" xfId="0" applyFont="1" applyFill="1" applyBorder="1"/>
    <xf numFmtId="0" fontId="0" fillId="15" borderId="318" xfId="0" applyFill="1" applyBorder="1"/>
    <xf numFmtId="0" fontId="277" fillId="111" borderId="251" xfId="0" applyFont="1" applyFill="1" applyBorder="1"/>
    <xf numFmtId="0" fontId="0" fillId="21" borderId="310" xfId="0" applyFill="1" applyBorder="1"/>
    <xf numFmtId="1" fontId="81" fillId="14" borderId="0" xfId="0" applyNumberFormat="1" applyFont="1" applyFill="1"/>
    <xf numFmtId="0" fontId="0" fillId="111" borderId="174" xfId="0" applyFill="1" applyBorder="1"/>
    <xf numFmtId="0" fontId="0" fillId="15" borderId="174" xfId="0" applyFill="1" applyBorder="1"/>
    <xf numFmtId="0" fontId="1" fillId="21" borderId="310" xfId="0" applyFont="1" applyFill="1" applyBorder="1"/>
    <xf numFmtId="21" fontId="85" fillId="21" borderId="310" xfId="0" applyNumberFormat="1" applyFont="1" applyFill="1" applyBorder="1"/>
    <xf numFmtId="0" fontId="10" fillId="21" borderId="310" xfId="0" applyFont="1" applyFill="1" applyBorder="1"/>
    <xf numFmtId="176" fontId="10" fillId="21" borderId="310" xfId="0" applyNumberFormat="1" applyFont="1" applyFill="1" applyBorder="1"/>
    <xf numFmtId="166" fontId="43" fillId="21" borderId="310" xfId="0" applyNumberFormat="1" applyFont="1" applyFill="1" applyBorder="1"/>
    <xf numFmtId="21" fontId="85" fillId="21" borderId="310" xfId="0" applyNumberFormat="1" applyFont="1" applyFill="1" applyBorder="1" applyAlignment="1">
      <alignment horizontal="center"/>
    </xf>
    <xf numFmtId="1" fontId="86" fillId="21" borderId="310" xfId="0" applyNumberFormat="1" applyFont="1" applyFill="1" applyBorder="1" applyAlignment="1">
      <alignment horizontal="center"/>
    </xf>
    <xf numFmtId="0" fontId="1" fillId="21" borderId="319" xfId="0" applyFont="1" applyFill="1" applyBorder="1"/>
    <xf numFmtId="0" fontId="11" fillId="33" borderId="253" xfId="0" applyFont="1" applyFill="1" applyBorder="1"/>
    <xf numFmtId="21" fontId="11" fillId="19" borderId="253" xfId="0" applyNumberFormat="1" applyFont="1" applyFill="1" applyBorder="1"/>
    <xf numFmtId="176" fontId="8" fillId="19" borderId="253" xfId="0" applyNumberFormat="1" applyFont="1" applyFill="1" applyBorder="1"/>
    <xf numFmtId="166" fontId="157" fillId="33" borderId="253" xfId="0" applyNumberFormat="1" applyFont="1" applyFill="1" applyBorder="1" applyAlignment="1">
      <alignment horizontal="left"/>
    </xf>
    <xf numFmtId="21" fontId="100" fillId="19" borderId="253" xfId="0" applyNumberFormat="1" applyFont="1" applyFill="1" applyBorder="1" applyAlignment="1">
      <alignment horizontal="center"/>
    </xf>
    <xf numFmtId="0" fontId="107" fillId="33" borderId="174" xfId="0" applyFont="1" applyFill="1" applyBorder="1" applyAlignment="1">
      <alignment horizontal="center"/>
    </xf>
    <xf numFmtId="0" fontId="1" fillId="46" borderId="253" xfId="0" applyFont="1" applyFill="1" applyBorder="1"/>
    <xf numFmtId="21" fontId="1" fillId="46" borderId="253" xfId="0" applyNumberFormat="1" applyFont="1" applyFill="1" applyBorder="1"/>
    <xf numFmtId="0" fontId="10" fillId="46" borderId="253" xfId="0" applyFont="1" applyFill="1" applyBorder="1"/>
    <xf numFmtId="176" fontId="10" fillId="15" borderId="253" xfId="0" applyNumberFormat="1" applyFont="1" applyFill="1" applyBorder="1"/>
    <xf numFmtId="166" fontId="43" fillId="46" borderId="253" xfId="0" applyNumberFormat="1" applyFont="1" applyFill="1" applyBorder="1"/>
    <xf numFmtId="21" fontId="85" fillId="46" borderId="253" xfId="0" applyNumberFormat="1" applyFont="1" applyFill="1" applyBorder="1" applyAlignment="1">
      <alignment horizontal="center"/>
    </xf>
    <xf numFmtId="21" fontId="85" fillId="46" borderId="310" xfId="0" applyNumberFormat="1" applyFont="1" applyFill="1" applyBorder="1" applyAlignment="1">
      <alignment horizontal="center"/>
    </xf>
    <xf numFmtId="0" fontId="86" fillId="46" borderId="253" xfId="0" applyFont="1" applyFill="1" applyBorder="1" applyAlignment="1">
      <alignment horizontal="center"/>
    </xf>
    <xf numFmtId="0" fontId="1" fillId="46" borderId="319" xfId="0" applyFont="1" applyFill="1" applyBorder="1"/>
    <xf numFmtId="0" fontId="8" fillId="29" borderId="253" xfId="0" applyFont="1" applyFill="1" applyBorder="1"/>
    <xf numFmtId="1" fontId="106" fillId="29" borderId="253" xfId="0" applyNumberFormat="1" applyFont="1" applyFill="1" applyBorder="1" applyAlignment="1">
      <alignment horizontal="center"/>
    </xf>
    <xf numFmtId="177" fontId="10" fillId="59" borderId="32" xfId="0" applyNumberFormat="1" applyFont="1" applyFill="1" applyBorder="1"/>
    <xf numFmtId="21" fontId="100" fillId="29" borderId="317" xfId="0" quotePrefix="1" applyNumberFormat="1" applyFont="1" applyFill="1" applyBorder="1" applyAlignment="1">
      <alignment horizontal="center"/>
    </xf>
    <xf numFmtId="1" fontId="81" fillId="91" borderId="310" xfId="0" applyNumberFormat="1" applyFont="1" applyFill="1" applyBorder="1"/>
    <xf numFmtId="176" fontId="10" fillId="91" borderId="317" xfId="0" applyNumberFormat="1" applyFont="1" applyFill="1" applyBorder="1"/>
    <xf numFmtId="1" fontId="86" fillId="91" borderId="317" xfId="0" applyNumberFormat="1" applyFont="1" applyFill="1" applyBorder="1" applyAlignment="1">
      <alignment horizontal="center"/>
    </xf>
    <xf numFmtId="0" fontId="0" fillId="91" borderId="293" xfId="0" applyFill="1" applyBorder="1"/>
    <xf numFmtId="1" fontId="1" fillId="19" borderId="317" xfId="0" applyNumberFormat="1" applyFont="1" applyFill="1" applyBorder="1"/>
    <xf numFmtId="0" fontId="8" fillId="33" borderId="317" xfId="0" applyFont="1" applyFill="1" applyBorder="1" applyAlignment="1">
      <alignment horizontal="left"/>
    </xf>
    <xf numFmtId="176" fontId="8" fillId="19" borderId="317" xfId="0" applyNumberFormat="1" applyFont="1" applyFill="1" applyBorder="1"/>
    <xf numFmtId="166" fontId="157" fillId="33" borderId="317" xfId="0" quotePrefix="1" applyNumberFormat="1" applyFont="1" applyFill="1" applyBorder="1" applyAlignment="1">
      <alignment horizontal="left"/>
    </xf>
    <xf numFmtId="1" fontId="0" fillId="136" borderId="317" xfId="0" applyNumberFormat="1" applyFill="1" applyBorder="1"/>
    <xf numFmtId="0" fontId="0" fillId="136" borderId="317" xfId="0" applyFill="1" applyBorder="1"/>
    <xf numFmtId="21" fontId="0" fillId="136" borderId="317" xfId="0" applyNumberFormat="1" applyFill="1" applyBorder="1"/>
    <xf numFmtId="0" fontId="10" fillId="136" borderId="317" xfId="0" applyFont="1" applyFill="1" applyBorder="1"/>
    <xf numFmtId="166" fontId="109" fillId="136" borderId="317" xfId="0" applyNumberFormat="1" applyFont="1" applyFill="1" applyBorder="1"/>
    <xf numFmtId="21" fontId="85" fillId="136" borderId="317" xfId="0" quotePrefix="1" applyNumberFormat="1" applyFont="1" applyFill="1" applyBorder="1" applyAlignment="1">
      <alignment horizontal="center"/>
    </xf>
    <xf numFmtId="0" fontId="86" fillId="136" borderId="317" xfId="0" applyFont="1" applyFill="1" applyBorder="1" applyAlignment="1">
      <alignment horizontal="center"/>
    </xf>
    <xf numFmtId="1" fontId="0" fillId="114" borderId="317" xfId="0" applyNumberFormat="1" applyFill="1" applyBorder="1"/>
    <xf numFmtId="0" fontId="0" fillId="114" borderId="317" xfId="0" applyFill="1" applyBorder="1"/>
    <xf numFmtId="21" fontId="0" fillId="114" borderId="317" xfId="0" applyNumberFormat="1" applyFill="1" applyBorder="1"/>
    <xf numFmtId="0" fontId="10" fillId="114" borderId="317" xfId="0" applyFont="1" applyFill="1" applyBorder="1"/>
    <xf numFmtId="166" fontId="109" fillId="114" borderId="317" xfId="0" applyNumberFormat="1" applyFont="1" applyFill="1" applyBorder="1"/>
    <xf numFmtId="21" fontId="85" fillId="114" borderId="317" xfId="0" quotePrefix="1" applyNumberFormat="1" applyFont="1" applyFill="1" applyBorder="1" applyAlignment="1">
      <alignment horizontal="center"/>
    </xf>
    <xf numFmtId="0" fontId="86" fillId="114" borderId="317" xfId="0" applyFont="1" applyFill="1" applyBorder="1" applyAlignment="1">
      <alignment horizontal="center"/>
    </xf>
    <xf numFmtId="1" fontId="125" fillId="0" borderId="0" xfId="0" quotePrefix="1" applyNumberFormat="1" applyFont="1" applyAlignment="1">
      <alignment horizontal="left"/>
    </xf>
    <xf numFmtId="21" fontId="0" fillId="15" borderId="317" xfId="0" applyNumberFormat="1" applyFill="1" applyBorder="1" applyAlignment="1">
      <alignment horizontal="center"/>
    </xf>
    <xf numFmtId="21" fontId="11" fillId="19" borderId="317" xfId="0" applyNumberFormat="1" applyFont="1" applyFill="1" applyBorder="1" applyAlignment="1">
      <alignment horizontal="center"/>
    </xf>
    <xf numFmtId="0" fontId="55" fillId="3" borderId="79" xfId="0" applyFont="1" applyFill="1" applyBorder="1" applyAlignment="1" applyProtection="1">
      <alignment horizontal="center"/>
      <protection locked="0"/>
    </xf>
    <xf numFmtId="21" fontId="82" fillId="21" borderId="317" xfId="0" applyNumberFormat="1" applyFont="1" applyFill="1" applyBorder="1" applyAlignment="1">
      <alignment horizontal="center"/>
    </xf>
    <xf numFmtId="21" fontId="82" fillId="14" borderId="317" xfId="0" applyNumberFormat="1" applyFont="1" applyFill="1" applyBorder="1" applyAlignment="1">
      <alignment horizontal="center"/>
    </xf>
    <xf numFmtId="21" fontId="85" fillId="14" borderId="294" xfId="0" applyNumberFormat="1" applyFont="1" applyFill="1" applyBorder="1" applyAlignment="1">
      <alignment horizontal="center"/>
    </xf>
    <xf numFmtId="21" fontId="0" fillId="91" borderId="317" xfId="0" applyNumberFormat="1" applyFill="1" applyBorder="1" applyAlignment="1">
      <alignment horizontal="center"/>
    </xf>
    <xf numFmtId="21" fontId="11" fillId="19" borderId="253" xfId="0" applyNumberFormat="1" applyFont="1" applyFill="1" applyBorder="1" applyAlignment="1">
      <alignment horizontal="center"/>
    </xf>
    <xf numFmtId="21" fontId="1" fillId="46" borderId="253" xfId="0" applyNumberFormat="1" applyFont="1" applyFill="1" applyBorder="1" applyAlignment="1">
      <alignment horizontal="center"/>
    </xf>
    <xf numFmtId="21" fontId="82" fillId="40" borderId="32" xfId="0" applyNumberFormat="1" applyFont="1" applyFill="1" applyBorder="1" applyAlignment="1">
      <alignment horizontal="center"/>
    </xf>
    <xf numFmtId="21" fontId="82" fillId="91" borderId="317" xfId="0" applyNumberFormat="1" applyFont="1" applyFill="1" applyBorder="1" applyAlignment="1">
      <alignment horizontal="center"/>
    </xf>
    <xf numFmtId="21" fontId="0" fillId="136" borderId="317" xfId="0" applyNumberFormat="1" applyFill="1" applyBorder="1" applyAlignment="1">
      <alignment horizontal="center"/>
    </xf>
    <xf numFmtId="21" fontId="0" fillId="114" borderId="317" xfId="0" applyNumberFormat="1" applyFill="1" applyBorder="1" applyAlignment="1">
      <alignment horizontal="center"/>
    </xf>
    <xf numFmtId="0" fontId="100" fillId="19" borderId="318" xfId="0" applyFont="1" applyFill="1" applyBorder="1"/>
    <xf numFmtId="21" fontId="100" fillId="19" borderId="310" xfId="0" applyNumberFormat="1" applyFont="1" applyFill="1" applyBorder="1"/>
    <xf numFmtId="166" fontId="158" fillId="19" borderId="317" xfId="0" applyNumberFormat="1" applyFont="1" applyFill="1" applyBorder="1"/>
    <xf numFmtId="0" fontId="5" fillId="113" borderId="309" xfId="0" applyFont="1" applyFill="1" applyBorder="1" applyAlignment="1">
      <alignment horizontal="center"/>
    </xf>
    <xf numFmtId="0" fontId="5" fillId="113" borderId="320" xfId="0" applyFont="1" applyFill="1" applyBorder="1" applyAlignment="1">
      <alignment horizontal="center"/>
    </xf>
    <xf numFmtId="0" fontId="5" fillId="113" borderId="200" xfId="0" applyFont="1" applyFill="1" applyBorder="1" applyAlignment="1">
      <alignment horizontal="center"/>
    </xf>
    <xf numFmtId="0" fontId="5" fillId="113" borderId="96" xfId="0" applyFont="1" applyFill="1" applyBorder="1" applyAlignment="1">
      <alignment horizontal="center"/>
    </xf>
    <xf numFmtId="0" fontId="55" fillId="113" borderId="123" xfId="0" applyFont="1" applyFill="1" applyBorder="1" applyProtection="1">
      <protection locked="0"/>
    </xf>
    <xf numFmtId="21" fontId="81" fillId="141" borderId="32" xfId="0" applyNumberFormat="1" applyFont="1" applyFill="1" applyBorder="1"/>
    <xf numFmtId="176" fontId="81" fillId="186" borderId="32" xfId="0" applyNumberFormat="1" applyFont="1" applyFill="1" applyBorder="1"/>
    <xf numFmtId="0" fontId="5" fillId="147" borderId="12" xfId="0" applyFont="1" applyFill="1" applyBorder="1" applyAlignment="1" applyProtection="1">
      <alignment horizontal="center"/>
    </xf>
    <xf numFmtId="0" fontId="5" fillId="147" borderId="97" xfId="0" applyFont="1" applyFill="1" applyBorder="1" applyAlignment="1" applyProtection="1">
      <alignment horizontal="center"/>
    </xf>
    <xf numFmtId="1" fontId="7" fillId="147" borderId="0" xfId="0" applyNumberFormat="1" applyFont="1" applyFill="1" applyBorder="1" applyAlignment="1" applyProtection="1">
      <alignment horizontal="center"/>
      <protection locked="0"/>
    </xf>
    <xf numFmtId="1" fontId="19" fillId="125" borderId="174" xfId="0" applyNumberFormat="1" applyFont="1" applyFill="1" applyBorder="1"/>
    <xf numFmtId="0" fontId="19" fillId="15" borderId="174" xfId="0" applyFont="1" applyFill="1" applyBorder="1"/>
    <xf numFmtId="21" fontId="109" fillId="15" borderId="174" xfId="0" applyNumberFormat="1" applyFont="1" applyFill="1" applyBorder="1"/>
    <xf numFmtId="21" fontId="19" fillId="15" borderId="174" xfId="0" applyNumberFormat="1" applyFont="1" applyFill="1" applyBorder="1"/>
    <xf numFmtId="0" fontId="10" fillId="15" borderId="174" xfId="0" applyFont="1" applyFill="1" applyBorder="1"/>
    <xf numFmtId="166" fontId="19" fillId="15" borderId="174" xfId="0" applyNumberFormat="1" applyFont="1" applyFill="1" applyBorder="1"/>
    <xf numFmtId="21" fontId="86" fillId="15" borderId="174" xfId="0" quotePrefix="1" applyNumberFormat="1" applyFont="1" applyFill="1" applyBorder="1" applyAlignment="1">
      <alignment horizontal="center"/>
    </xf>
    <xf numFmtId="0" fontId="86" fillId="15" borderId="174" xfId="0" applyFont="1" applyFill="1" applyBorder="1" applyAlignment="1">
      <alignment horizontal="center"/>
    </xf>
    <xf numFmtId="0" fontId="5" fillId="24" borderId="189" xfId="0" applyFont="1" applyFill="1" applyBorder="1" applyAlignment="1" applyProtection="1">
      <alignment horizontal="center"/>
    </xf>
    <xf numFmtId="1" fontId="19" fillId="125" borderId="317" xfId="0" applyNumberFormat="1" applyFont="1" applyFill="1" applyBorder="1"/>
    <xf numFmtId="0" fontId="19" fillId="15" borderId="317" xfId="0" applyFont="1" applyFill="1" applyBorder="1"/>
    <xf numFmtId="21" fontId="19" fillId="15" borderId="317" xfId="0" applyNumberFormat="1" applyFont="1" applyFill="1" applyBorder="1"/>
    <xf numFmtId="166" fontId="19" fillId="15" borderId="317" xfId="0" applyNumberFormat="1" applyFont="1" applyFill="1" applyBorder="1"/>
    <xf numFmtId="21" fontId="86" fillId="15" borderId="317" xfId="0" quotePrefix="1" applyNumberFormat="1" applyFont="1" applyFill="1" applyBorder="1" applyAlignment="1">
      <alignment horizontal="center"/>
    </xf>
    <xf numFmtId="1" fontId="171" fillId="19" borderId="317" xfId="0" applyNumberFormat="1" applyFont="1" applyFill="1" applyBorder="1"/>
    <xf numFmtId="21" fontId="232" fillId="19" borderId="317" xfId="0" applyNumberFormat="1" applyFont="1" applyFill="1" applyBorder="1"/>
    <xf numFmtId="0" fontId="106" fillId="19" borderId="317" xfId="0" quotePrefix="1" applyFont="1" applyFill="1" applyBorder="1" applyAlignment="1">
      <alignment horizontal="left"/>
    </xf>
    <xf numFmtId="1" fontId="81" fillId="21" borderId="317" xfId="0" applyNumberFormat="1" applyFont="1" applyFill="1" applyBorder="1"/>
    <xf numFmtId="0" fontId="19" fillId="21" borderId="317" xfId="0" applyFont="1" applyFill="1" applyBorder="1"/>
    <xf numFmtId="21" fontId="10" fillId="15" borderId="317" xfId="0" applyNumberFormat="1" applyFont="1" applyFill="1" applyBorder="1"/>
    <xf numFmtId="21" fontId="106" fillId="19" borderId="317" xfId="0" applyNumberFormat="1" applyFont="1" applyFill="1" applyBorder="1"/>
    <xf numFmtId="166" fontId="195" fillId="19" borderId="317" xfId="0" applyNumberFormat="1" applyFont="1" applyFill="1" applyBorder="1"/>
    <xf numFmtId="21" fontId="188" fillId="14" borderId="317" xfId="0" applyNumberFormat="1" applyFont="1" applyFill="1" applyBorder="1"/>
    <xf numFmtId="0" fontId="160" fillId="19" borderId="317" xfId="0" quotePrefix="1" applyFont="1" applyFill="1" applyBorder="1" applyAlignment="1">
      <alignment horizontal="left"/>
    </xf>
    <xf numFmtId="0" fontId="0" fillId="3" borderId="189" xfId="0" applyFill="1" applyBorder="1" applyProtection="1"/>
    <xf numFmtId="21" fontId="86" fillId="14" borderId="317" xfId="0" applyNumberFormat="1" applyFont="1" applyFill="1" applyBorder="1"/>
    <xf numFmtId="0" fontId="5" fillId="0" borderId="196" xfId="0" applyFont="1" applyFill="1" applyBorder="1" applyAlignment="1" applyProtection="1">
      <alignment horizontal="center"/>
    </xf>
    <xf numFmtId="0" fontId="0" fillId="21" borderId="32" xfId="0" applyFill="1" applyBorder="1"/>
    <xf numFmtId="21" fontId="99" fillId="143" borderId="317" xfId="0" applyNumberFormat="1" applyFont="1" applyFill="1" applyBorder="1"/>
    <xf numFmtId="21" fontId="100" fillId="143" borderId="317" xfId="0" quotePrefix="1" applyNumberFormat="1" applyFont="1" applyFill="1" applyBorder="1" applyAlignment="1">
      <alignment horizontal="center"/>
    </xf>
    <xf numFmtId="21" fontId="81" fillId="21" borderId="253" xfId="0" applyNumberFormat="1" applyFont="1" applyFill="1" applyBorder="1"/>
    <xf numFmtId="21" fontId="81" fillId="102" borderId="32" xfId="0" applyNumberFormat="1" applyFont="1" applyFill="1" applyBorder="1"/>
    <xf numFmtId="0" fontId="0" fillId="21" borderId="33" xfId="0" applyFill="1" applyBorder="1"/>
    <xf numFmtId="0" fontId="84" fillId="148" borderId="111" xfId="0" applyFont="1" applyFill="1" applyBorder="1" applyAlignment="1">
      <alignment horizontal="center"/>
    </xf>
    <xf numFmtId="21" fontId="81" fillId="66" borderId="253" xfId="0" applyNumberFormat="1" applyFont="1" applyFill="1" applyBorder="1"/>
    <xf numFmtId="0" fontId="5" fillId="24" borderId="60" xfId="0" applyFont="1" applyFill="1" applyBorder="1" applyAlignment="1" applyProtection="1">
      <alignment horizontal="center"/>
    </xf>
    <xf numFmtId="0" fontId="5" fillId="24" borderId="193" xfId="0" applyFont="1" applyFill="1" applyBorder="1" applyAlignment="1" applyProtection="1">
      <alignment horizontal="center"/>
    </xf>
    <xf numFmtId="0" fontId="5" fillId="24" borderId="58" xfId="0" applyFont="1" applyFill="1" applyBorder="1" applyAlignment="1" applyProtection="1">
      <alignment horizontal="center"/>
    </xf>
    <xf numFmtId="0" fontId="5" fillId="24" borderId="197" xfId="0" applyFont="1" applyFill="1" applyBorder="1" applyAlignment="1" applyProtection="1">
      <alignment horizontal="center"/>
    </xf>
    <xf numFmtId="21" fontId="99" fillId="19" borderId="35" xfId="0" applyNumberFormat="1" applyFont="1" applyFill="1" applyBorder="1" applyAlignment="1">
      <alignment horizontal="center"/>
    </xf>
    <xf numFmtId="0" fontId="5" fillId="121" borderId="12" xfId="0" applyFont="1" applyFill="1" applyBorder="1" applyAlignment="1" applyProtection="1">
      <alignment horizontal="center"/>
    </xf>
    <xf numFmtId="0" fontId="5" fillId="121" borderId="96" xfId="0" applyFont="1" applyFill="1" applyBorder="1" applyAlignment="1" applyProtection="1">
      <alignment horizontal="center"/>
    </xf>
    <xf numFmtId="0" fontId="6" fillId="121" borderId="96" xfId="0" applyFont="1" applyFill="1" applyBorder="1" applyAlignment="1" applyProtection="1">
      <alignment horizontal="center"/>
    </xf>
    <xf numFmtId="0" fontId="5" fillId="3" borderId="0" xfId="0" applyFont="1" applyFill="1" applyProtection="1">
      <protection locked="0"/>
    </xf>
    <xf numFmtId="183" fontId="378" fillId="19" borderId="35" xfId="0" applyNumberFormat="1" applyFont="1" applyFill="1" applyBorder="1"/>
    <xf numFmtId="0" fontId="5" fillId="121" borderId="189" xfId="0" applyFont="1" applyFill="1" applyBorder="1" applyAlignment="1">
      <alignment horizontal="center"/>
    </xf>
    <xf numFmtId="0" fontId="5" fillId="121" borderId="60" xfId="0" applyFont="1" applyFill="1" applyBorder="1" applyAlignment="1">
      <alignment horizontal="center"/>
    </xf>
    <xf numFmtId="0" fontId="0" fillId="3" borderId="196" xfId="0" applyFill="1" applyBorder="1"/>
    <xf numFmtId="0" fontId="2" fillId="3" borderId="113" xfId="0" applyFont="1" applyFill="1" applyBorder="1"/>
    <xf numFmtId="47" fontId="55" fillId="3" borderId="0" xfId="0" applyNumberFormat="1" applyFont="1" applyFill="1" applyAlignment="1" applyProtection="1">
      <alignment horizontal="center"/>
      <protection locked="0"/>
    </xf>
    <xf numFmtId="0" fontId="270" fillId="187" borderId="117" xfId="0" applyFont="1" applyFill="1" applyBorder="1"/>
    <xf numFmtId="1" fontId="54" fillId="143" borderId="0" xfId="0" applyNumberFormat="1" applyFont="1" applyFill="1" applyBorder="1"/>
    <xf numFmtId="1" fontId="0" fillId="108" borderId="209" xfId="0" applyNumberFormat="1" applyFill="1" applyBorder="1"/>
    <xf numFmtId="0" fontId="89" fillId="108" borderId="209" xfId="0" applyFont="1" applyFill="1" applyBorder="1"/>
    <xf numFmtId="21" fontId="89" fillId="108" borderId="209" xfId="0" applyNumberFormat="1" applyFont="1" applyFill="1" applyBorder="1"/>
    <xf numFmtId="176" fontId="84" fillId="108" borderId="209" xfId="0" applyNumberFormat="1" applyFont="1" applyFill="1" applyBorder="1"/>
    <xf numFmtId="166" fontId="115" fillId="108" borderId="209" xfId="0" applyNumberFormat="1" applyFont="1" applyFill="1" applyBorder="1"/>
    <xf numFmtId="21" fontId="85" fillId="108" borderId="209" xfId="0" quotePrefix="1" applyNumberFormat="1" applyFont="1" applyFill="1" applyBorder="1" applyAlignment="1">
      <alignment horizontal="center"/>
    </xf>
    <xf numFmtId="165" fontId="16" fillId="3" borderId="0" xfId="0" applyNumberFormat="1" applyFont="1" applyFill="1" applyProtection="1"/>
    <xf numFmtId="0" fontId="8" fillId="188" borderId="209" xfId="0" quotePrefix="1" applyFont="1" applyFill="1" applyBorder="1" applyAlignment="1">
      <alignment horizontal="left"/>
    </xf>
    <xf numFmtId="0" fontId="264" fillId="3" borderId="0" xfId="0" applyFont="1" applyFill="1" applyProtection="1">
      <protection locked="0"/>
    </xf>
    <xf numFmtId="0" fontId="0" fillId="125" borderId="317" xfId="0" applyFill="1" applyBorder="1"/>
    <xf numFmtId="0" fontId="2" fillId="125" borderId="317" xfId="0" applyFont="1" applyFill="1" applyBorder="1"/>
    <xf numFmtId="0" fontId="2" fillId="18" borderId="321" xfId="0" applyFont="1" applyFill="1" applyBorder="1"/>
    <xf numFmtId="21" fontId="301" fillId="189" borderId="317" xfId="0" applyNumberFormat="1" applyFont="1" applyFill="1" applyBorder="1"/>
    <xf numFmtId="0" fontId="88" fillId="18" borderId="321" xfId="0" applyFont="1" applyFill="1" applyBorder="1"/>
    <xf numFmtId="176" fontId="10" fillId="17" borderId="317" xfId="0" applyNumberFormat="1" applyFont="1" applyFill="1" applyBorder="1"/>
    <xf numFmtId="0" fontId="0" fillId="18" borderId="321" xfId="0" applyFill="1" applyBorder="1" applyAlignment="1">
      <alignment horizontal="center"/>
    </xf>
    <xf numFmtId="0" fontId="0" fillId="18" borderId="321" xfId="0" applyFill="1" applyBorder="1"/>
    <xf numFmtId="0" fontId="16" fillId="33" borderId="317" xfId="0" applyFont="1" applyFill="1" applyBorder="1"/>
    <xf numFmtId="21" fontId="16" fillId="19" borderId="317" xfId="0" applyNumberFormat="1" applyFont="1" applyFill="1" applyBorder="1"/>
    <xf numFmtId="166" fontId="77" fillId="33" borderId="317" xfId="0" applyNumberFormat="1" applyFont="1" applyFill="1" applyBorder="1"/>
    <xf numFmtId="0" fontId="107" fillId="33" borderId="317" xfId="0" applyFont="1" applyFill="1" applyBorder="1"/>
    <xf numFmtId="0" fontId="99" fillId="19" borderId="321" xfId="0" applyFont="1" applyFill="1" applyBorder="1"/>
    <xf numFmtId="21" fontId="85" fillId="14" borderId="322" xfId="0" applyNumberFormat="1" applyFont="1" applyFill="1" applyBorder="1"/>
    <xf numFmtId="0" fontId="86" fillId="14" borderId="317" xfId="0" quotePrefix="1" applyFont="1" applyFill="1" applyBorder="1" applyAlignment="1">
      <alignment horizontal="left"/>
    </xf>
    <xf numFmtId="176" fontId="86" fillId="14" borderId="317" xfId="0" applyNumberFormat="1" applyFont="1" applyFill="1" applyBorder="1"/>
    <xf numFmtId="0" fontId="43" fillId="15" borderId="317" xfId="0" applyFont="1" applyFill="1" applyBorder="1"/>
    <xf numFmtId="0" fontId="0" fillId="21" borderId="309" xfId="0" applyFill="1" applyBorder="1"/>
    <xf numFmtId="1" fontId="0" fillId="15" borderId="318" xfId="0" applyNumberFormat="1" applyFill="1" applyBorder="1"/>
    <xf numFmtId="0" fontId="373" fillId="125" borderId="309" xfId="0" applyFont="1" applyFill="1" applyBorder="1"/>
    <xf numFmtId="1" fontId="81" fillId="21" borderId="318" xfId="0" applyNumberFormat="1" applyFont="1" applyFill="1" applyBorder="1"/>
    <xf numFmtId="0" fontId="0" fillId="125" borderId="323" xfId="0" applyFill="1" applyBorder="1"/>
    <xf numFmtId="0" fontId="0" fillId="21" borderId="324" xfId="0" applyFill="1" applyBorder="1"/>
    <xf numFmtId="0" fontId="16" fillId="33" borderId="323" xfId="0" applyFont="1" applyFill="1" applyBorder="1"/>
    <xf numFmtId="1" fontId="7" fillId="123" borderId="0" xfId="0" applyNumberFormat="1" applyFont="1" applyFill="1" applyAlignment="1" applyProtection="1">
      <alignment horizontal="center"/>
      <protection locked="0"/>
    </xf>
    <xf numFmtId="21" fontId="100" fillId="143" borderId="317" xfId="0" applyNumberFormat="1" applyFont="1" applyFill="1" applyBorder="1"/>
    <xf numFmtId="21" fontId="85" fillId="21" borderId="317" xfId="0" applyNumberFormat="1" applyFont="1" applyFill="1" applyBorder="1"/>
    <xf numFmtId="21" fontId="188" fillId="21" borderId="317" xfId="0" applyNumberFormat="1" applyFont="1" applyFill="1" applyBorder="1"/>
    <xf numFmtId="21" fontId="171" fillId="15" borderId="317" xfId="0" applyNumberFormat="1" applyFont="1" applyFill="1" applyBorder="1"/>
    <xf numFmtId="21" fontId="192" fillId="17" borderId="317" xfId="0" applyNumberFormat="1" applyFont="1" applyFill="1" applyBorder="1"/>
    <xf numFmtId="21" fontId="186" fillId="19" borderId="317" xfId="0" applyNumberFormat="1" applyFont="1" applyFill="1" applyBorder="1"/>
    <xf numFmtId="166" fontId="2" fillId="18" borderId="321" xfId="0" applyNumberFormat="1" applyFont="1" applyFill="1" applyBorder="1"/>
    <xf numFmtId="0" fontId="9" fillId="123" borderId="262" xfId="0" applyFont="1" applyFill="1" applyBorder="1" applyAlignment="1">
      <alignment horizontal="center" textRotation="90" wrapText="1"/>
    </xf>
    <xf numFmtId="21" fontId="9" fillId="123" borderId="262" xfId="0" applyNumberFormat="1" applyFont="1" applyFill="1" applyBorder="1" applyAlignment="1">
      <alignment horizontal="center" textRotation="90" wrapText="1"/>
    </xf>
    <xf numFmtId="21" fontId="9" fillId="121" borderId="262" xfId="0" applyNumberFormat="1" applyFont="1" applyFill="1" applyBorder="1" applyAlignment="1">
      <alignment horizontal="center" textRotation="90" wrapText="1"/>
    </xf>
    <xf numFmtId="1" fontId="19" fillId="15" borderId="317" xfId="0" applyNumberFormat="1" applyFont="1" applyFill="1" applyBorder="1"/>
    <xf numFmtId="0" fontId="10" fillId="15" borderId="317" xfId="0" applyFont="1" applyFill="1" applyBorder="1" applyAlignment="1">
      <alignment horizontal="left"/>
    </xf>
    <xf numFmtId="177" fontId="19" fillId="15" borderId="317" xfId="0" applyNumberFormat="1" applyFont="1" applyFill="1" applyBorder="1"/>
    <xf numFmtId="47" fontId="19" fillId="15" borderId="317" xfId="0" applyNumberFormat="1" applyFont="1" applyFill="1" applyBorder="1"/>
    <xf numFmtId="1" fontId="81" fillId="16" borderId="323" xfId="0" applyNumberFormat="1" applyFont="1" applyFill="1" applyBorder="1"/>
    <xf numFmtId="0" fontId="54" fillId="30" borderId="325" xfId="0" applyFont="1" applyFill="1" applyBorder="1"/>
    <xf numFmtId="21" fontId="160" fillId="29" borderId="317" xfId="0" applyNumberFormat="1" applyFont="1" applyFill="1" applyBorder="1"/>
    <xf numFmtId="0" fontId="8" fillId="30" borderId="325" xfId="0" applyFont="1" applyFill="1" applyBorder="1"/>
    <xf numFmtId="177" fontId="160" fillId="29" borderId="317" xfId="0" applyNumberFormat="1" applyFont="1" applyFill="1" applyBorder="1"/>
    <xf numFmtId="47" fontId="160" fillId="29" borderId="317" xfId="0" applyNumberFormat="1" applyFont="1" applyFill="1" applyBorder="1"/>
    <xf numFmtId="21" fontId="106" fillId="29" borderId="317" xfId="0" quotePrefix="1" applyNumberFormat="1" applyFont="1" applyFill="1" applyBorder="1" applyAlignment="1">
      <alignment horizontal="center"/>
    </xf>
    <xf numFmtId="0" fontId="54" fillId="30" borderId="325" xfId="0" applyFont="1" applyFill="1" applyBorder="1" applyAlignment="1">
      <alignment horizontal="center"/>
    </xf>
    <xf numFmtId="1" fontId="19" fillId="19" borderId="296" xfId="0" applyNumberFormat="1" applyFont="1" applyFill="1" applyBorder="1"/>
    <xf numFmtId="0" fontId="54" fillId="33" borderId="296" xfId="0" applyFont="1" applyFill="1" applyBorder="1"/>
    <xf numFmtId="0" fontId="0" fillId="125" borderId="296" xfId="0" applyFill="1" applyBorder="1"/>
    <xf numFmtId="21" fontId="54" fillId="19" borderId="296" xfId="0" applyNumberFormat="1" applyFont="1" applyFill="1" applyBorder="1"/>
    <xf numFmtId="0" fontId="2" fillId="125" borderId="296" xfId="0" applyFont="1" applyFill="1" applyBorder="1"/>
    <xf numFmtId="0" fontId="8" fillId="33" borderId="296" xfId="0" quotePrefix="1" applyFont="1" applyFill="1" applyBorder="1" applyAlignment="1">
      <alignment horizontal="left"/>
    </xf>
    <xf numFmtId="177" fontId="54" fillId="19" borderId="296" xfId="0" applyNumberFormat="1" applyFont="1" applyFill="1" applyBorder="1"/>
    <xf numFmtId="166" fontId="54" fillId="33" borderId="296" xfId="0" applyNumberFormat="1" applyFont="1" applyFill="1" applyBorder="1"/>
    <xf numFmtId="47" fontId="54" fillId="19" borderId="296" xfId="0" applyNumberFormat="1" applyFont="1" applyFill="1" applyBorder="1"/>
    <xf numFmtId="21" fontId="160" fillId="19" borderId="296" xfId="0" applyNumberFormat="1" applyFont="1" applyFill="1" applyBorder="1"/>
    <xf numFmtId="0" fontId="107" fillId="33" borderId="296" xfId="0" applyFont="1" applyFill="1" applyBorder="1"/>
    <xf numFmtId="21" fontId="301" fillId="189" borderId="296" xfId="0" applyNumberFormat="1" applyFont="1" applyFill="1" applyBorder="1"/>
    <xf numFmtId="21" fontId="10" fillId="14" borderId="274" xfId="0" applyNumberFormat="1" applyFont="1" applyFill="1" applyBorder="1" applyAlignment="1">
      <alignment horizontal="center" wrapText="1"/>
    </xf>
    <xf numFmtId="0" fontId="226" fillId="3" borderId="0" xfId="0" applyFont="1" applyFill="1"/>
    <xf numFmtId="0" fontId="171" fillId="3" borderId="0" xfId="0" applyFont="1" applyFill="1"/>
    <xf numFmtId="0" fontId="172" fillId="3" borderId="0" xfId="0" applyFont="1" applyFill="1" applyAlignment="1">
      <alignment horizontal="left" vertical="center"/>
    </xf>
    <xf numFmtId="1" fontId="172" fillId="3" borderId="0" xfId="0" applyNumberFormat="1" applyFont="1" applyFill="1" applyAlignment="1">
      <alignment horizontal="left" vertical="center"/>
    </xf>
    <xf numFmtId="21" fontId="173" fillId="3" borderId="0" xfId="0" applyNumberFormat="1" applyFont="1" applyFill="1" applyAlignment="1">
      <alignment horizontal="center"/>
    </xf>
    <xf numFmtId="0" fontId="173" fillId="3" borderId="0" xfId="0" applyFont="1" applyFill="1" applyAlignment="1">
      <alignment horizontal="center"/>
    </xf>
    <xf numFmtId="166" fontId="174" fillId="3" borderId="0" xfId="0" applyNumberFormat="1" applyFont="1" applyFill="1" applyAlignment="1">
      <alignment horizontal="center"/>
    </xf>
    <xf numFmtId="3" fontId="175" fillId="3" borderId="0" xfId="0" applyNumberFormat="1" applyFont="1" applyFill="1" applyAlignment="1">
      <alignment horizontal="center"/>
    </xf>
    <xf numFmtId="0" fontId="176" fillId="3" borderId="0" xfId="0" applyFont="1" applyFill="1" applyAlignment="1">
      <alignment horizontal="center"/>
    </xf>
    <xf numFmtId="0" fontId="172" fillId="3" borderId="0" xfId="0" applyFont="1" applyFill="1" applyAlignment="1">
      <alignment horizontal="center"/>
    </xf>
    <xf numFmtId="0" fontId="227" fillId="3" borderId="0" xfId="0" applyFont="1" applyFill="1" applyAlignment="1">
      <alignment horizontal="left"/>
    </xf>
    <xf numFmtId="0" fontId="177" fillId="3" borderId="0" xfId="0" applyFont="1" applyFill="1"/>
    <xf numFmtId="0" fontId="178" fillId="3" borderId="0" xfId="0" applyFont="1" applyFill="1" applyAlignment="1">
      <alignment horizontal="center"/>
    </xf>
    <xf numFmtId="0" fontId="228" fillId="3" borderId="0" xfId="0" applyFont="1" applyFill="1"/>
    <xf numFmtId="0" fontId="175" fillId="3" borderId="0" xfId="0" applyFont="1" applyFill="1"/>
    <xf numFmtId="1" fontId="171" fillId="3" borderId="0" xfId="0" applyNumberFormat="1" applyFont="1" applyFill="1"/>
    <xf numFmtId="14" fontId="173" fillId="3" borderId="0" xfId="0" applyNumberFormat="1" applyFont="1" applyFill="1" applyAlignment="1" applyProtection="1">
      <alignment horizontal="left"/>
      <protection locked="0"/>
    </xf>
    <xf numFmtId="0" fontId="173" fillId="3" borderId="0" xfId="0" applyFont="1" applyFill="1" applyAlignment="1">
      <alignment horizontal="left"/>
    </xf>
    <xf numFmtId="14" fontId="173" fillId="3" borderId="0" xfId="0" quotePrefix="1" applyNumberFormat="1" applyFont="1" applyFill="1" applyAlignment="1" applyProtection="1">
      <alignment horizontal="left"/>
      <protection locked="0"/>
    </xf>
    <xf numFmtId="0" fontId="229" fillId="3" borderId="0" xfId="0" applyFont="1" applyFill="1" applyAlignment="1">
      <alignment horizontal="left"/>
    </xf>
    <xf numFmtId="0" fontId="172" fillId="0" borderId="243" xfId="0" applyFont="1" applyBorder="1" applyAlignment="1">
      <alignment horizontal="center" textRotation="90"/>
    </xf>
    <xf numFmtId="0" fontId="172" fillId="0" borderId="261" xfId="0" applyFont="1" applyBorder="1" applyAlignment="1">
      <alignment horizontal="center" textRotation="90"/>
    </xf>
    <xf numFmtId="0" fontId="172" fillId="0" borderId="245" xfId="0" applyFont="1" applyBorder="1" applyAlignment="1">
      <alignment horizontal="center" textRotation="90"/>
    </xf>
    <xf numFmtId="1" fontId="172" fillId="0" borderId="245" xfId="0" applyNumberFormat="1" applyFont="1" applyBorder="1" applyAlignment="1">
      <alignment horizontal="center" textRotation="90"/>
    </xf>
    <xf numFmtId="21" fontId="172" fillId="0" borderId="262" xfId="0" applyNumberFormat="1" applyFont="1" applyBorder="1" applyAlignment="1">
      <alignment horizontal="center" textRotation="90"/>
    </xf>
    <xf numFmtId="0" fontId="172" fillId="0" borderId="262" xfId="0" applyFont="1" applyBorder="1" applyAlignment="1">
      <alignment horizontal="center" textRotation="90"/>
    </xf>
    <xf numFmtId="166" fontId="196" fillId="0" borderId="262" xfId="0" applyNumberFormat="1" applyFont="1" applyBorder="1" applyAlignment="1">
      <alignment horizontal="center" textRotation="90"/>
    </xf>
    <xf numFmtId="0" fontId="172" fillId="0" borderId="245" xfId="0" applyFont="1" applyBorder="1" applyAlignment="1">
      <alignment horizontal="center" vertical="justify" textRotation="90"/>
    </xf>
    <xf numFmtId="21" fontId="172" fillId="0" borderId="263" xfId="0" applyNumberFormat="1" applyFont="1" applyBorder="1" applyAlignment="1">
      <alignment horizontal="center" textRotation="90"/>
    </xf>
    <xf numFmtId="3" fontId="172" fillId="3" borderId="249" xfId="0" applyNumberFormat="1" applyFont="1" applyFill="1" applyBorder="1" applyAlignment="1">
      <alignment horizontal="center" textRotation="90"/>
    </xf>
    <xf numFmtId="0" fontId="172" fillId="3" borderId="250" xfId="4" applyFont="1" applyFill="1" applyBorder="1" applyAlignment="1">
      <alignment horizontal="center" textRotation="90"/>
    </xf>
    <xf numFmtId="0" fontId="172" fillId="24" borderId="250" xfId="4" applyFont="1" applyFill="1" applyBorder="1" applyAlignment="1">
      <alignment horizontal="center" textRotation="90"/>
    </xf>
    <xf numFmtId="0" fontId="172" fillId="22" borderId="250" xfId="4" applyFont="1" applyFill="1" applyBorder="1" applyAlignment="1">
      <alignment horizontal="center" textRotation="90"/>
    </xf>
    <xf numFmtId="0" fontId="172" fillId="25" borderId="250" xfId="4" applyFont="1" applyFill="1" applyBorder="1" applyAlignment="1">
      <alignment horizontal="center" textRotation="90"/>
    </xf>
    <xf numFmtId="0" fontId="172" fillId="23" borderId="250" xfId="4" applyFont="1" applyFill="1" applyBorder="1" applyAlignment="1">
      <alignment horizontal="center" textRotation="90"/>
    </xf>
    <xf numFmtId="0" fontId="183" fillId="27" borderId="250" xfId="4" applyFont="1" applyFill="1" applyBorder="1" applyAlignment="1">
      <alignment horizontal="center" textRotation="90"/>
    </xf>
    <xf numFmtId="0" fontId="183" fillId="26" borderId="250" xfId="4" applyFont="1" applyFill="1" applyBorder="1" applyAlignment="1">
      <alignment horizontal="center" textRotation="90"/>
    </xf>
    <xf numFmtId="0" fontId="183" fillId="3" borderId="0" xfId="0" applyFont="1" applyFill="1"/>
    <xf numFmtId="45" fontId="184" fillId="3" borderId="0" xfId="0" applyNumberFormat="1" applyFont="1" applyFill="1" applyAlignment="1">
      <alignment horizontal="left"/>
    </xf>
    <xf numFmtId="0" fontId="184" fillId="3" borderId="0" xfId="0" applyFont="1" applyFill="1" applyAlignment="1">
      <alignment horizontal="center"/>
    </xf>
    <xf numFmtId="0" fontId="185" fillId="3" borderId="0" xfId="0" applyFont="1" applyFill="1"/>
    <xf numFmtId="0" fontId="172" fillId="0" borderId="114" xfId="0" applyFont="1" applyBorder="1" applyAlignment="1">
      <alignment horizontal="center" textRotation="90"/>
    </xf>
    <xf numFmtId="0" fontId="172" fillId="0" borderId="288" xfId="0" applyFont="1" applyBorder="1" applyAlignment="1">
      <alignment horizontal="center" textRotation="90"/>
    </xf>
    <xf numFmtId="0" fontId="172" fillId="0" borderId="251" xfId="0" applyFont="1" applyBorder="1" applyAlignment="1">
      <alignment horizontal="center" textRotation="90"/>
    </xf>
    <xf numFmtId="1" fontId="172" fillId="0" borderId="251" xfId="0" applyNumberFormat="1" applyFont="1" applyBorder="1" applyAlignment="1">
      <alignment horizontal="center" textRotation="90"/>
    </xf>
    <xf numFmtId="21" fontId="172" fillId="0" borderId="251" xfId="0" applyNumberFormat="1" applyFont="1" applyBorder="1" applyAlignment="1">
      <alignment horizontal="center" textRotation="90"/>
    </xf>
    <xf numFmtId="166" fontId="196" fillId="0" borderId="251" xfId="0" applyNumberFormat="1" applyFont="1" applyBorder="1" applyAlignment="1">
      <alignment horizontal="center" textRotation="90"/>
    </xf>
    <xf numFmtId="0" fontId="172" fillId="0" borderId="251" xfId="0" applyFont="1" applyBorder="1" applyAlignment="1">
      <alignment horizontal="center" vertical="justify" textRotation="90"/>
    </xf>
    <xf numFmtId="21" fontId="172" fillId="0" borderId="289" xfId="0" applyNumberFormat="1" applyFont="1" applyBorder="1" applyAlignment="1">
      <alignment horizontal="center" textRotation="90"/>
    </xf>
    <xf numFmtId="3" fontId="172" fillId="3" borderId="288" xfId="0" applyNumberFormat="1" applyFont="1" applyFill="1" applyBorder="1" applyAlignment="1">
      <alignment horizontal="center" textRotation="90"/>
    </xf>
    <xf numFmtId="0" fontId="175" fillId="0" borderId="114" xfId="0" applyFont="1" applyBorder="1" applyAlignment="1">
      <alignment horizontal="center" textRotation="90"/>
    </xf>
    <xf numFmtId="0" fontId="175" fillId="0" borderId="288" xfId="0" applyFont="1" applyBorder="1" applyAlignment="1">
      <alignment horizontal="center" textRotation="90"/>
    </xf>
    <xf numFmtId="0" fontId="175" fillId="0" borderId="251" xfId="0" applyFont="1" applyBorder="1" applyAlignment="1">
      <alignment horizontal="center" textRotation="90"/>
    </xf>
    <xf numFmtId="1" fontId="175" fillId="0" borderId="251" xfId="0" applyNumberFormat="1" applyFont="1" applyBorder="1" applyAlignment="1">
      <alignment horizontal="center" textRotation="90"/>
    </xf>
    <xf numFmtId="21" fontId="172" fillId="0" borderId="251" xfId="0" applyNumberFormat="1" applyFont="1" applyBorder="1" applyAlignment="1">
      <alignment horizontal="left"/>
    </xf>
    <xf numFmtId="0" fontId="172" fillId="0" borderId="251" xfId="0" applyFont="1" applyBorder="1" applyAlignment="1">
      <alignment horizontal="left"/>
    </xf>
    <xf numFmtId="166" fontId="196" fillId="0" borderId="251" xfId="0" applyNumberFormat="1" applyFont="1" applyBorder="1" applyAlignment="1">
      <alignment horizontal="center"/>
    </xf>
    <xf numFmtId="21" fontId="175" fillId="0" borderId="289" xfId="0" applyNumberFormat="1" applyFont="1" applyBorder="1" applyAlignment="1">
      <alignment horizontal="center" textRotation="90"/>
    </xf>
    <xf numFmtId="3" fontId="175" fillId="3" borderId="252" xfId="0" applyNumberFormat="1" applyFont="1" applyFill="1" applyBorder="1" applyAlignment="1">
      <alignment horizontal="center"/>
    </xf>
    <xf numFmtId="168" fontId="185" fillId="8" borderId="32" xfId="7" applyNumberFormat="1" applyFont="1" applyFill="1" applyBorder="1"/>
    <xf numFmtId="0" fontId="186" fillId="3" borderId="0" xfId="0" applyFont="1" applyFill="1"/>
    <xf numFmtId="0" fontId="184" fillId="0" borderId="0" xfId="0" applyFont="1"/>
    <xf numFmtId="45" fontId="184" fillId="3" borderId="0" xfId="0" applyNumberFormat="1" applyFont="1" applyFill="1" applyAlignment="1">
      <alignment horizontal="center"/>
    </xf>
    <xf numFmtId="0" fontId="173" fillId="3" borderId="0" xfId="0" applyFont="1" applyFill="1"/>
    <xf numFmtId="0" fontId="175" fillId="24" borderId="12" xfId="0" applyFont="1" applyFill="1" applyBorder="1" applyAlignment="1">
      <alignment horizontal="center"/>
    </xf>
    <xf numFmtId="0" fontId="175" fillId="24" borderId="96" xfId="0" applyFont="1" applyFill="1" applyBorder="1" applyAlignment="1">
      <alignment horizontal="center"/>
    </xf>
    <xf numFmtId="21" fontId="187" fillId="14" borderId="317" xfId="0" applyNumberFormat="1" applyFont="1" applyFill="1" applyBorder="1"/>
    <xf numFmtId="1" fontId="187" fillId="103" borderId="310" xfId="0" applyNumberFormat="1" applyFont="1" applyFill="1" applyBorder="1"/>
    <xf numFmtId="0" fontId="171" fillId="103" borderId="317" xfId="0" applyFont="1" applyFill="1" applyBorder="1"/>
    <xf numFmtId="165" fontId="0" fillId="125" borderId="317" xfId="0" applyNumberFormat="1" applyFill="1" applyBorder="1"/>
    <xf numFmtId="21" fontId="188" fillId="103" borderId="317" xfId="0" applyNumberFormat="1" applyFont="1" applyFill="1" applyBorder="1"/>
    <xf numFmtId="0" fontId="185" fillId="103" borderId="317" xfId="0" applyFont="1" applyFill="1" applyBorder="1"/>
    <xf numFmtId="177" fontId="185" fillId="190" borderId="317" xfId="0" applyNumberFormat="1" applyFont="1" applyFill="1" applyBorder="1"/>
    <xf numFmtId="166" fontId="174" fillId="103" borderId="317" xfId="0" applyNumberFormat="1" applyFont="1" applyFill="1" applyBorder="1"/>
    <xf numFmtId="21" fontId="230" fillId="103" borderId="317" xfId="0" quotePrefix="1" applyNumberFormat="1" applyFont="1" applyFill="1" applyBorder="1" applyAlignment="1">
      <alignment horizontal="center"/>
    </xf>
    <xf numFmtId="1" fontId="189" fillId="103" borderId="317" xfId="0" applyNumberFormat="1" applyFont="1" applyFill="1" applyBorder="1" applyAlignment="1">
      <alignment horizontal="center"/>
    </xf>
    <xf numFmtId="165" fontId="171" fillId="103" borderId="293" xfId="0" applyNumberFormat="1" applyFont="1" applyFill="1" applyBorder="1"/>
    <xf numFmtId="166" fontId="176" fillId="3" borderId="71" xfId="0" applyNumberFormat="1" applyFont="1" applyFill="1" applyBorder="1" applyAlignment="1">
      <alignment horizontal="center"/>
    </xf>
    <xf numFmtId="21" fontId="176" fillId="3" borderId="71" xfId="0" applyNumberFormat="1" applyFont="1" applyFill="1" applyBorder="1" applyAlignment="1">
      <alignment horizontal="center"/>
    </xf>
    <xf numFmtId="166" fontId="183" fillId="24" borderId="0" xfId="0" applyNumberFormat="1" applyFont="1" applyFill="1" applyAlignment="1" applyProtection="1">
      <alignment horizontal="center"/>
      <protection locked="0" hidden="1"/>
    </xf>
    <xf numFmtId="166" fontId="172" fillId="22" borderId="0" xfId="0" applyNumberFormat="1" applyFont="1" applyFill="1" applyAlignment="1" applyProtection="1">
      <alignment horizontal="center"/>
      <protection locked="0" hidden="1"/>
    </xf>
    <xf numFmtId="166" fontId="172" fillId="25" borderId="0" xfId="0" applyNumberFormat="1" applyFont="1" applyFill="1" applyAlignment="1" applyProtection="1">
      <alignment horizontal="center"/>
      <protection locked="0" hidden="1"/>
    </xf>
    <xf numFmtId="166" fontId="172" fillId="23" borderId="0" xfId="0" applyNumberFormat="1" applyFont="1" applyFill="1" applyAlignment="1" applyProtection="1">
      <alignment horizontal="center"/>
      <protection locked="0" hidden="1"/>
    </xf>
    <xf numFmtId="166" fontId="183" fillId="31" borderId="0" xfId="0" applyNumberFormat="1" applyFont="1" applyFill="1" applyAlignment="1" applyProtection="1">
      <alignment horizontal="center"/>
      <protection locked="0" hidden="1"/>
    </xf>
    <xf numFmtId="166" fontId="183" fillId="26" borderId="0" xfId="0" applyNumberFormat="1" applyFont="1" applyFill="1" applyAlignment="1" applyProtection="1">
      <alignment horizontal="center"/>
      <protection locked="0" hidden="1"/>
    </xf>
    <xf numFmtId="166" fontId="178" fillId="3" borderId="0" xfId="0" applyNumberFormat="1" applyFont="1" applyFill="1" applyAlignment="1">
      <alignment horizontal="center"/>
    </xf>
    <xf numFmtId="1" fontId="187" fillId="21" borderId="310" xfId="0" applyNumberFormat="1" applyFont="1" applyFill="1" applyBorder="1"/>
    <xf numFmtId="0" fontId="171" fillId="21" borderId="317" xfId="0" applyFont="1" applyFill="1" applyBorder="1"/>
    <xf numFmtId="0" fontId="185" fillId="21" borderId="317" xfId="0" applyFont="1" applyFill="1" applyBorder="1"/>
    <xf numFmtId="177" fontId="185" fillId="47" borderId="317" xfId="0" applyNumberFormat="1" applyFont="1" applyFill="1" applyBorder="1"/>
    <xf numFmtId="166" fontId="174" fillId="21" borderId="317" xfId="0" applyNumberFormat="1" applyFont="1" applyFill="1" applyBorder="1"/>
    <xf numFmtId="21" fontId="230" fillId="21" borderId="317" xfId="0" quotePrefix="1" applyNumberFormat="1" applyFont="1" applyFill="1" applyBorder="1" applyAlignment="1">
      <alignment horizontal="center"/>
    </xf>
    <xf numFmtId="1" fontId="189" fillId="21" borderId="317" xfId="0" applyNumberFormat="1" applyFont="1" applyFill="1" applyBorder="1" applyAlignment="1">
      <alignment horizontal="center"/>
    </xf>
    <xf numFmtId="165" fontId="171" fillId="21" borderId="293" xfId="0" applyNumberFormat="1" applyFont="1" applyFill="1" applyBorder="1"/>
    <xf numFmtId="1" fontId="171" fillId="15" borderId="317" xfId="0" applyNumberFormat="1" applyFont="1" applyFill="1" applyBorder="1"/>
    <xf numFmtId="0" fontId="171" fillId="15" borderId="317" xfId="0" applyFont="1" applyFill="1" applyBorder="1"/>
    <xf numFmtId="0" fontId="185" fillId="15" borderId="317" xfId="0" applyFont="1" applyFill="1" applyBorder="1"/>
    <xf numFmtId="176" fontId="185" fillId="15" borderId="317" xfId="0" applyNumberFormat="1" applyFont="1" applyFill="1" applyBorder="1"/>
    <xf numFmtId="166" fontId="174" fillId="15" borderId="317" xfId="0" applyNumberFormat="1" applyFont="1" applyFill="1" applyBorder="1"/>
    <xf numFmtId="21" fontId="230" fillId="15" borderId="317" xfId="0" quotePrefix="1" applyNumberFormat="1" applyFont="1" applyFill="1" applyBorder="1" applyAlignment="1">
      <alignment horizontal="center"/>
    </xf>
    <xf numFmtId="0" fontId="189" fillId="15" borderId="317" xfId="0" applyFont="1" applyFill="1" applyBorder="1" applyAlignment="1">
      <alignment horizontal="center"/>
    </xf>
    <xf numFmtId="165" fontId="171" fillId="15" borderId="317" xfId="0" applyNumberFormat="1" applyFont="1" applyFill="1" applyBorder="1"/>
    <xf numFmtId="0" fontId="183" fillId="33" borderId="317" xfId="0" applyFont="1" applyFill="1" applyBorder="1"/>
    <xf numFmtId="176" fontId="183" fillId="19" borderId="317" xfId="0" applyNumberFormat="1" applyFont="1" applyFill="1" applyBorder="1"/>
    <xf numFmtId="21" fontId="232" fillId="19" borderId="317" xfId="0" quotePrefix="1" applyNumberFormat="1" applyFont="1" applyFill="1" applyBorder="1" applyAlignment="1">
      <alignment horizontal="center"/>
    </xf>
    <xf numFmtId="165" fontId="232" fillId="19" borderId="291" xfId="0" applyNumberFormat="1" applyFont="1" applyFill="1" applyBorder="1"/>
    <xf numFmtId="1" fontId="173" fillId="19" borderId="317" xfId="0" applyNumberFormat="1" applyFont="1" applyFill="1" applyBorder="1"/>
    <xf numFmtId="0" fontId="186" fillId="33" borderId="317" xfId="0" applyFont="1" applyFill="1" applyBorder="1"/>
    <xf numFmtId="166" fontId="231" fillId="33" borderId="317" xfId="0" quotePrefix="1" applyNumberFormat="1" applyFont="1" applyFill="1" applyBorder="1" applyAlignment="1">
      <alignment horizontal="left"/>
    </xf>
    <xf numFmtId="0" fontId="233" fillId="33" borderId="317" xfId="0" applyFont="1" applyFill="1" applyBorder="1" applyAlignment="1">
      <alignment horizontal="center"/>
    </xf>
    <xf numFmtId="0" fontId="175" fillId="24" borderId="196" xfId="0" applyFont="1" applyFill="1" applyBorder="1" applyAlignment="1">
      <alignment horizontal="center"/>
    </xf>
    <xf numFmtId="0" fontId="175" fillId="24" borderId="118" xfId="0" applyFont="1" applyFill="1" applyBorder="1" applyAlignment="1">
      <alignment horizontal="center"/>
    </xf>
    <xf numFmtId="21" fontId="171" fillId="0" borderId="79" xfId="0" applyNumberFormat="1" applyFont="1" applyBorder="1"/>
    <xf numFmtId="0" fontId="0" fillId="103" borderId="317" xfId="0" applyFill="1" applyBorder="1"/>
    <xf numFmtId="21" fontId="82" fillId="103" borderId="317" xfId="0" applyNumberFormat="1" applyFont="1" applyFill="1" applyBorder="1"/>
    <xf numFmtId="0" fontId="2" fillId="103" borderId="317" xfId="0" applyFont="1" applyFill="1" applyBorder="1"/>
    <xf numFmtId="165" fontId="236" fillId="0" borderId="113" xfId="0" applyNumberFormat="1" applyFont="1" applyBorder="1"/>
    <xf numFmtId="0" fontId="175" fillId="0" borderId="12" xfId="0" applyFont="1" applyBorder="1" applyAlignment="1">
      <alignment horizontal="center"/>
    </xf>
    <xf numFmtId="0" fontId="175" fillId="0" borderId="97" xfId="0" applyFont="1" applyBorder="1" applyAlignment="1">
      <alignment horizontal="center"/>
    </xf>
    <xf numFmtId="0" fontId="175" fillId="24" borderId="189" xfId="0" applyFont="1" applyFill="1" applyBorder="1" applyAlignment="1">
      <alignment horizontal="center"/>
    </xf>
    <xf numFmtId="0" fontId="197" fillId="3" borderId="0" xfId="0" applyFont="1" applyFill="1"/>
    <xf numFmtId="0" fontId="382" fillId="3" borderId="0" xfId="0" applyFont="1" applyFill="1"/>
    <xf numFmtId="0" fontId="178" fillId="3" borderId="0" xfId="0" applyFont="1" applyFill="1"/>
    <xf numFmtId="21" fontId="186" fillId="3" borderId="0" xfId="0" applyNumberFormat="1" applyFont="1" applyFill="1"/>
    <xf numFmtId="1" fontId="178" fillId="3" borderId="0" xfId="0" applyNumberFormat="1" applyFont="1" applyFill="1"/>
    <xf numFmtId="21" fontId="198" fillId="3" borderId="0" xfId="0" applyNumberFormat="1" applyFont="1" applyFill="1" applyAlignment="1">
      <alignment horizontal="center"/>
    </xf>
    <xf numFmtId="0" fontId="198" fillId="3" borderId="0" xfId="0" applyFont="1" applyFill="1" applyAlignment="1">
      <alignment horizontal="center"/>
    </xf>
    <xf numFmtId="166" fontId="184" fillId="3" borderId="0" xfId="0" applyNumberFormat="1" applyFont="1" applyFill="1" applyAlignment="1">
      <alignment horizontal="center"/>
    </xf>
    <xf numFmtId="1" fontId="177" fillId="3" borderId="0" xfId="0" applyNumberFormat="1" applyFont="1" applyFill="1"/>
    <xf numFmtId="21" fontId="186" fillId="3" borderId="0" xfId="0" applyNumberFormat="1" applyFont="1" applyFill="1" applyAlignment="1">
      <alignment horizontal="center"/>
    </xf>
    <xf numFmtId="0" fontId="186" fillId="3" borderId="0" xfId="0" applyFont="1" applyFill="1" applyAlignment="1">
      <alignment horizontal="center"/>
    </xf>
    <xf numFmtId="0" fontId="383" fillId="0" borderId="12" xfId="0" applyFont="1" applyBorder="1" applyAlignment="1">
      <alignment horizontal="center"/>
    </xf>
    <xf numFmtId="0" fontId="384" fillId="3" borderId="0" xfId="0" applyFont="1" applyFill="1"/>
    <xf numFmtId="0" fontId="385" fillId="3" borderId="0" xfId="0" applyFont="1" applyFill="1"/>
    <xf numFmtId="0" fontId="386" fillId="0" borderId="0" xfId="0" applyFont="1"/>
    <xf numFmtId="0" fontId="175" fillId="24" borderId="0" xfId="0" applyFont="1" applyFill="1" applyBorder="1" applyAlignment="1">
      <alignment horizontal="center"/>
    </xf>
    <xf numFmtId="0" fontId="321" fillId="192" borderId="169" xfId="0" applyFont="1" applyFill="1" applyBorder="1"/>
    <xf numFmtId="0" fontId="321" fillId="192" borderId="255" xfId="0" applyFont="1" applyFill="1" applyBorder="1"/>
    <xf numFmtId="21" fontId="253" fillId="191" borderId="317" xfId="0" applyNumberFormat="1" applyFont="1" applyFill="1" applyBorder="1"/>
    <xf numFmtId="21" fontId="253" fillId="191" borderId="310" xfId="0" applyNumberFormat="1" applyFont="1" applyFill="1" applyBorder="1"/>
    <xf numFmtId="0" fontId="254" fillId="192" borderId="169" xfId="0" applyFont="1" applyFill="1" applyBorder="1"/>
    <xf numFmtId="166" fontId="321" fillId="192" borderId="0" xfId="0" applyNumberFormat="1" applyFont="1" applyFill="1"/>
    <xf numFmtId="21" fontId="256" fillId="191" borderId="310" xfId="0" applyNumberFormat="1" applyFont="1" applyFill="1" applyBorder="1" applyAlignment="1">
      <alignment horizontal="center"/>
    </xf>
    <xf numFmtId="174" fontId="325" fillId="191" borderId="0" xfId="0" applyNumberFormat="1" applyFont="1" applyFill="1" applyAlignment="1">
      <alignment horizontal="center"/>
    </xf>
    <xf numFmtId="0" fontId="321" fillId="192" borderId="169" xfId="0" applyFont="1" applyFill="1" applyBorder="1" applyAlignment="1">
      <alignment horizontal="center"/>
    </xf>
    <xf numFmtId="166" fontId="0" fillId="0" borderId="0" xfId="0" applyNumberFormat="1"/>
    <xf numFmtId="21" fontId="10" fillId="14" borderId="274" xfId="0" applyNumberFormat="1" applyFont="1" applyFill="1" applyBorder="1" applyAlignment="1">
      <alignment wrapText="1"/>
    </xf>
    <xf numFmtId="21" fontId="10" fillId="14" borderId="271" xfId="0" applyNumberFormat="1" applyFont="1" applyFill="1" applyBorder="1" applyAlignment="1">
      <alignment horizontal="left" wrapText="1"/>
    </xf>
    <xf numFmtId="2" fontId="172" fillId="3" borderId="0" xfId="0" applyNumberFormat="1" applyFont="1" applyFill="1" applyAlignment="1">
      <alignment horizontal="center" vertical="center"/>
    </xf>
    <xf numFmtId="2" fontId="171" fillId="3" borderId="0" xfId="0" applyNumberFormat="1" applyFont="1" applyFill="1"/>
    <xf numFmtId="2" fontId="172" fillId="0" borderId="245" xfId="0" applyNumberFormat="1" applyFont="1" applyBorder="1" applyAlignment="1">
      <alignment horizontal="center" textRotation="90"/>
    </xf>
    <xf numFmtId="2" fontId="172" fillId="0" borderId="251" xfId="0" applyNumberFormat="1" applyFont="1" applyBorder="1" applyAlignment="1">
      <alignment horizontal="center" textRotation="90"/>
    </xf>
    <xf numFmtId="2" fontId="175" fillId="0" borderId="251" xfId="0" applyNumberFormat="1" applyFont="1" applyBorder="1" applyAlignment="1">
      <alignment horizontal="center" textRotation="90"/>
    </xf>
    <xf numFmtId="2" fontId="171" fillId="103" borderId="317" xfId="0" applyNumberFormat="1" applyFont="1" applyFill="1" applyBorder="1"/>
    <xf numFmtId="2" fontId="171" fillId="21" borderId="317" xfId="0" applyNumberFormat="1" applyFont="1" applyFill="1" applyBorder="1"/>
    <xf numFmtId="2" fontId="171" fillId="15" borderId="317" xfId="0" applyNumberFormat="1" applyFont="1" applyFill="1" applyBorder="1"/>
    <xf numFmtId="2" fontId="232" fillId="19" borderId="291" xfId="0" applyNumberFormat="1" applyFont="1" applyFill="1" applyBorder="1"/>
    <xf numFmtId="2" fontId="186" fillId="33" borderId="317" xfId="0" applyNumberFormat="1" applyFont="1" applyFill="1" applyBorder="1"/>
    <xf numFmtId="2" fontId="176" fillId="3" borderId="79" xfId="0" applyNumberFormat="1" applyFont="1" applyFill="1" applyBorder="1" applyAlignment="1" applyProtection="1">
      <alignment horizontal="center"/>
      <protection locked="0"/>
    </xf>
    <xf numFmtId="2" fontId="9" fillId="0" borderId="245" xfId="0" applyNumberFormat="1" applyFont="1" applyBorder="1" applyAlignment="1">
      <alignment horizontal="center" textRotation="90"/>
    </xf>
    <xf numFmtId="2" fontId="81" fillId="14" borderId="222" xfId="0" applyNumberFormat="1" applyFont="1" applyFill="1" applyBorder="1"/>
    <xf numFmtId="2" fontId="81" fillId="21" borderId="222" xfId="0" applyNumberFormat="1" applyFont="1" applyFill="1" applyBorder="1"/>
    <xf numFmtId="2" fontId="19" fillId="15" borderId="222" xfId="0" applyNumberFormat="1" applyFont="1" applyFill="1" applyBorder="1"/>
    <xf numFmtId="2" fontId="8" fillId="3" borderId="79" xfId="0" applyNumberFormat="1" applyFont="1" applyFill="1" applyBorder="1" applyProtection="1">
      <protection locked="0"/>
    </xf>
    <xf numFmtId="2" fontId="54" fillId="29" borderId="0" xfId="0" applyNumberFormat="1" applyFont="1" applyFill="1"/>
    <xf numFmtId="2" fontId="135" fillId="0" borderId="79" xfId="0" applyNumberFormat="1" applyFont="1" applyBorder="1"/>
    <xf numFmtId="2" fontId="19" fillId="46" borderId="35" xfId="0" applyNumberFormat="1" applyFont="1" applyFill="1" applyBorder="1"/>
    <xf numFmtId="2" fontId="321" fillId="191" borderId="0" xfId="0" applyNumberFormat="1" applyFont="1" applyFill="1"/>
    <xf numFmtId="2" fontId="54" fillId="29" borderId="0" xfId="0" applyNumberFormat="1" applyFont="1" applyFill="1" applyBorder="1"/>
    <xf numFmtId="2" fontId="19" fillId="66" borderId="0" xfId="0" applyNumberFormat="1" applyFont="1" applyFill="1" applyBorder="1"/>
    <xf numFmtId="2" fontId="81" fillId="14" borderId="35" xfId="0" applyNumberFormat="1" applyFont="1" applyFill="1" applyBorder="1"/>
    <xf numFmtId="2" fontId="81" fillId="21" borderId="111" xfId="0" applyNumberFormat="1" applyFont="1" applyFill="1" applyBorder="1"/>
    <xf numFmtId="2" fontId="19" fillId="19" borderId="35" xfId="0" applyNumberFormat="1" applyFont="1" applyFill="1" applyBorder="1"/>
    <xf numFmtId="2" fontId="19" fillId="21" borderId="35" xfId="0" applyNumberFormat="1" applyFont="1" applyFill="1" applyBorder="1"/>
    <xf numFmtId="2" fontId="19" fillId="15" borderId="35" xfId="0" applyNumberFormat="1" applyFont="1" applyFill="1" applyBorder="1"/>
    <xf numFmtId="2" fontId="19" fillId="19" borderId="0" xfId="0" applyNumberFormat="1" applyFont="1" applyFill="1" applyBorder="1"/>
    <xf numFmtId="2" fontId="160" fillId="66" borderId="35" xfId="0" applyNumberFormat="1" applyFont="1" applyFill="1" applyBorder="1"/>
    <xf numFmtId="2" fontId="81" fillId="14" borderId="209" xfId="0" applyNumberFormat="1" applyFont="1" applyFill="1" applyBorder="1"/>
    <xf numFmtId="2" fontId="81" fillId="21" borderId="209" xfId="0" applyNumberFormat="1" applyFont="1" applyFill="1" applyBorder="1"/>
    <xf numFmtId="2" fontId="19" fillId="15" borderId="209" xfId="0" applyNumberFormat="1" applyFont="1" applyFill="1" applyBorder="1"/>
    <xf numFmtId="2" fontId="81" fillId="16" borderId="201" xfId="0" applyNumberFormat="1" applyFont="1" applyFill="1" applyBorder="1"/>
    <xf numFmtId="2" fontId="19" fillId="19" borderId="209" xfId="0" applyNumberFormat="1" applyFont="1" applyFill="1" applyBorder="1"/>
    <xf numFmtId="2" fontId="19" fillId="17" borderId="0" xfId="0" applyNumberFormat="1" applyFont="1" applyFill="1"/>
    <xf numFmtId="2" fontId="54" fillId="30" borderId="273" xfId="0" applyNumberFormat="1" applyFont="1" applyFill="1" applyBorder="1"/>
    <xf numFmtId="2" fontId="54" fillId="143" borderId="0" xfId="0" applyNumberFormat="1" applyFont="1" applyFill="1" applyBorder="1"/>
    <xf numFmtId="2" fontId="178" fillId="3" borderId="0" xfId="0" applyNumberFormat="1" applyFont="1" applyFill="1"/>
    <xf numFmtId="2" fontId="177" fillId="3" borderId="0" xfId="0" applyNumberFormat="1" applyFont="1" applyFill="1"/>
    <xf numFmtId="0" fontId="199" fillId="80" borderId="113" xfId="0" applyFont="1" applyFill="1" applyBorder="1"/>
    <xf numFmtId="0" fontId="199" fillId="107" borderId="113" xfId="0" applyFont="1" applyFill="1" applyBorder="1"/>
    <xf numFmtId="0" fontId="199" fillId="129" borderId="113" xfId="0" applyFont="1" applyFill="1" applyBorder="1"/>
    <xf numFmtId="21" fontId="262" fillId="143" borderId="35" xfId="0" applyNumberFormat="1" applyFont="1" applyFill="1" applyBorder="1" applyAlignment="1">
      <alignment horizontal="center"/>
    </xf>
    <xf numFmtId="177" fontId="10" fillId="57" borderId="209" xfId="0" applyNumberFormat="1" applyFont="1" applyFill="1" applyBorder="1" applyAlignment="1">
      <alignment horizontal="center"/>
    </xf>
    <xf numFmtId="21" fontId="99" fillId="143" borderId="35" xfId="0" applyNumberFormat="1" applyFont="1" applyFill="1" applyBorder="1" applyAlignment="1">
      <alignment horizontal="center"/>
    </xf>
    <xf numFmtId="176" fontId="10" fillId="17" borderId="209" xfId="0" applyNumberFormat="1" applyFont="1" applyFill="1" applyBorder="1" applyAlignment="1">
      <alignment horizontal="center"/>
    </xf>
    <xf numFmtId="176" fontId="8" fillId="19" borderId="209" xfId="0" applyNumberFormat="1" applyFont="1" applyFill="1" applyBorder="1" applyAlignment="1">
      <alignment horizontal="center"/>
    </xf>
    <xf numFmtId="176" fontId="10" fillId="21" borderId="209" xfId="0" applyNumberFormat="1" applyFont="1" applyFill="1" applyBorder="1" applyAlignment="1">
      <alignment horizontal="center"/>
    </xf>
    <xf numFmtId="176" fontId="10" fillId="15" borderId="209" xfId="0" applyNumberFormat="1" applyFont="1" applyFill="1" applyBorder="1" applyAlignment="1">
      <alignment horizontal="center"/>
    </xf>
    <xf numFmtId="176" fontId="86" fillId="14" borderId="209" xfId="0" applyNumberFormat="1" applyFont="1" applyFill="1" applyBorder="1" applyAlignment="1">
      <alignment horizontal="center"/>
    </xf>
    <xf numFmtId="165" fontId="387" fillId="107" borderId="0" xfId="0" applyNumberFormat="1" applyFont="1" applyFill="1" applyProtection="1">
      <protection locked="0"/>
    </xf>
    <xf numFmtId="1" fontId="135" fillId="0" borderId="0" xfId="0" applyNumberFormat="1" applyFont="1" applyBorder="1"/>
    <xf numFmtId="177" fontId="81" fillId="14" borderId="0" xfId="0" applyNumberFormat="1" applyFont="1" applyFill="1" applyBorder="1" applyAlignment="1">
      <alignment horizontal="center"/>
    </xf>
    <xf numFmtId="1" fontId="135" fillId="107" borderId="79" xfId="0" applyNumberFormat="1" applyFont="1" applyFill="1" applyBorder="1" applyAlignment="1" applyProtection="1">
      <alignment horizontal="center"/>
      <protection locked="0"/>
    </xf>
    <xf numFmtId="1" fontId="134" fillId="0" borderId="0" xfId="0" applyNumberFormat="1" applyFont="1" applyBorder="1" applyAlignment="1" applyProtection="1">
      <alignment horizontal="center"/>
      <protection locked="0"/>
    </xf>
    <xf numFmtId="1" fontId="135" fillId="81" borderId="79" xfId="0" applyNumberFormat="1" applyFont="1" applyFill="1" applyBorder="1"/>
    <xf numFmtId="1" fontId="135" fillId="81" borderId="79" xfId="0" applyNumberFormat="1" applyFont="1" applyFill="1" applyBorder="1" applyAlignment="1" applyProtection="1">
      <alignment horizontal="center"/>
      <protection locked="0"/>
    </xf>
    <xf numFmtId="177" fontId="81" fillId="102" borderId="209" xfId="0" applyNumberFormat="1" applyFont="1" applyFill="1" applyBorder="1" applyAlignment="1">
      <alignment horizontal="center"/>
    </xf>
    <xf numFmtId="166" fontId="135" fillId="81" borderId="79" xfId="0" applyNumberFormat="1" applyFont="1" applyFill="1" applyBorder="1" applyAlignment="1" applyProtection="1">
      <alignment horizontal="center"/>
      <protection locked="0"/>
    </xf>
    <xf numFmtId="47" fontId="81" fillId="102" borderId="209" xfId="0" applyNumberFormat="1" applyFont="1" applyFill="1" applyBorder="1"/>
    <xf numFmtId="0" fontId="270" fillId="91" borderId="117" xfId="0" applyFont="1" applyFill="1" applyBorder="1"/>
    <xf numFmtId="173" fontId="270" fillId="91" borderId="35" xfId="0" applyNumberFormat="1" applyFont="1" applyFill="1" applyBorder="1" applyAlignment="1">
      <alignment horizontal="center"/>
    </xf>
    <xf numFmtId="183" fontId="275" fillId="102" borderId="35" xfId="0" applyNumberFormat="1" applyFont="1" applyFill="1" applyBorder="1"/>
    <xf numFmtId="183" fontId="275" fillId="91" borderId="35" xfId="0" applyNumberFormat="1" applyFont="1" applyFill="1" applyBorder="1"/>
    <xf numFmtId="21" fontId="10" fillId="14" borderId="271" xfId="0" applyNumberFormat="1" applyFont="1" applyFill="1" applyBorder="1" applyAlignment="1">
      <alignment wrapText="1"/>
    </xf>
    <xf numFmtId="21" fontId="81" fillId="14" borderId="245" xfId="0" applyNumberFormat="1" applyFont="1" applyFill="1" applyBorder="1" applyAlignment="1">
      <alignment wrapText="1"/>
    </xf>
    <xf numFmtId="21" fontId="81" fillId="14" borderId="179" xfId="0" applyNumberFormat="1" applyFont="1" applyFill="1" applyBorder="1" applyAlignment="1">
      <alignment wrapText="1"/>
    </xf>
    <xf numFmtId="21" fontId="81" fillId="14" borderId="201" xfId="0" applyNumberFormat="1" applyFont="1" applyFill="1" applyBorder="1" applyAlignment="1">
      <alignment wrapText="1"/>
    </xf>
    <xf numFmtId="0" fontId="16" fillId="182" borderId="83" xfId="0" applyFont="1" applyFill="1" applyBorder="1" applyProtection="1"/>
    <xf numFmtId="47" fontId="81" fillId="21" borderId="222" xfId="0" applyNumberFormat="1" applyFont="1" applyFill="1" applyBorder="1" applyAlignment="1">
      <alignment horizontal="center"/>
    </xf>
    <xf numFmtId="47" fontId="19" fillId="15" borderId="222" xfId="0" applyNumberFormat="1" applyFont="1" applyFill="1" applyBorder="1" applyAlignment="1">
      <alignment horizontal="center"/>
    </xf>
    <xf numFmtId="47" fontId="160" fillId="29" borderId="209" xfId="0" applyNumberFormat="1" applyFont="1" applyFill="1" applyBorder="1" applyAlignment="1">
      <alignment horizontal="center"/>
    </xf>
    <xf numFmtId="47" fontId="81" fillId="14" borderId="209" xfId="0" applyNumberFormat="1" applyFont="1" applyFill="1" applyBorder="1" applyAlignment="1">
      <alignment horizontal="center"/>
    </xf>
    <xf numFmtId="47" fontId="81" fillId="21" borderId="209" xfId="0" applyNumberFormat="1" applyFont="1" applyFill="1" applyBorder="1" applyAlignment="1">
      <alignment horizontal="center"/>
    </xf>
    <xf numFmtId="47" fontId="19" fillId="15" borderId="209" xfId="0" applyNumberFormat="1" applyFont="1" applyFill="1" applyBorder="1" applyAlignment="1">
      <alignment horizontal="center"/>
    </xf>
    <xf numFmtId="47" fontId="81" fillId="16" borderId="253" xfId="0" applyNumberFormat="1" applyFont="1" applyFill="1" applyBorder="1" applyAlignment="1">
      <alignment horizontal="center"/>
    </xf>
    <xf numFmtId="47" fontId="54" fillId="19" borderId="209" xfId="0" applyNumberFormat="1" applyFont="1" applyFill="1" applyBorder="1" applyAlignment="1">
      <alignment horizontal="center"/>
    </xf>
    <xf numFmtId="47" fontId="152" fillId="17" borderId="209" xfId="0" applyNumberFormat="1" applyFont="1" applyFill="1" applyBorder="1" applyAlignment="1">
      <alignment horizontal="center"/>
    </xf>
    <xf numFmtId="47" fontId="81" fillId="14" borderId="208" xfId="0" applyNumberFormat="1" applyFont="1" applyFill="1" applyBorder="1" applyAlignment="1">
      <alignment horizontal="center"/>
    </xf>
    <xf numFmtId="21" fontId="54" fillId="19" borderId="253" xfId="0" applyNumberFormat="1" applyFont="1" applyFill="1" applyBorder="1" applyAlignment="1">
      <alignment horizontal="center"/>
    </xf>
    <xf numFmtId="9" fontId="16" fillId="182" borderId="83" xfId="0" applyNumberFormat="1" applyFont="1" applyFill="1" applyBorder="1" applyProtection="1"/>
    <xf numFmtId="0" fontId="98" fillId="182" borderId="308" xfId="0" applyFont="1" applyFill="1" applyBorder="1" applyProtection="1"/>
    <xf numFmtId="0" fontId="19" fillId="21" borderId="323" xfId="0" applyFont="1" applyFill="1" applyBorder="1"/>
    <xf numFmtId="0" fontId="388" fillId="182" borderId="60" xfId="0" applyFont="1" applyFill="1" applyBorder="1" applyProtection="1"/>
    <xf numFmtId="0" fontId="388" fillId="182" borderId="58" xfId="0" applyFont="1" applyFill="1" applyBorder="1" applyProtection="1"/>
    <xf numFmtId="0" fontId="98" fillId="182" borderId="197" xfId="0" applyFont="1" applyFill="1" applyBorder="1" applyProtection="1"/>
    <xf numFmtId="21" fontId="10" fillId="14" borderId="272" xfId="0" applyNumberFormat="1" applyFont="1" applyFill="1" applyBorder="1" applyAlignment="1">
      <alignment wrapText="1"/>
    </xf>
    <xf numFmtId="21" fontId="81" fillId="28" borderId="35" xfId="0" applyNumberFormat="1" applyFont="1" applyFill="1" applyBorder="1"/>
    <xf numFmtId="183" fontId="328" fillId="3" borderId="0" xfId="0" applyNumberFormat="1" applyFont="1" applyFill="1" applyAlignment="1" applyProtection="1">
      <alignment horizontal="center"/>
      <protection locked="0"/>
    </xf>
    <xf numFmtId="0" fontId="8" fillId="33" borderId="253" xfId="0" applyFont="1" applyFill="1" applyBorder="1" applyAlignment="1">
      <alignment horizontal="center"/>
    </xf>
    <xf numFmtId="0" fontId="328" fillId="3" borderId="0" xfId="0" applyFont="1" applyFill="1" applyAlignment="1" applyProtection="1">
      <alignment horizontal="center"/>
      <protection locked="0"/>
    </xf>
    <xf numFmtId="166" fontId="109" fillId="80" borderId="0" xfId="0" applyNumberFormat="1" applyFont="1" applyFill="1" applyAlignment="1">
      <alignment horizontal="center"/>
    </xf>
    <xf numFmtId="21" fontId="1" fillId="80" borderId="0" xfId="0" applyNumberFormat="1" applyFont="1" applyFill="1" applyAlignment="1">
      <alignment horizontal="center"/>
    </xf>
    <xf numFmtId="0" fontId="1" fillId="80" borderId="0" xfId="0" applyFont="1" applyFill="1" applyAlignment="1">
      <alignment horizontal="center"/>
    </xf>
    <xf numFmtId="3" fontId="5" fillId="80" borderId="0" xfId="0" applyNumberFormat="1" applyFont="1" applyFill="1" applyAlignment="1">
      <alignment horizontal="center"/>
    </xf>
    <xf numFmtId="0" fontId="9" fillId="0" borderId="251" xfId="3" applyNumberFormat="1" applyFont="1" applyFill="1" applyBorder="1" applyAlignment="1">
      <alignment horizontal="center" textRotation="90"/>
    </xf>
    <xf numFmtId="0" fontId="108" fillId="0" borderId="251" xfId="0" applyFont="1" applyBorder="1" applyAlignment="1">
      <alignment horizontal="center" textRotation="90"/>
    </xf>
    <xf numFmtId="0" fontId="9" fillId="0" borderId="289" xfId="0" applyFont="1" applyBorder="1" applyAlignment="1">
      <alignment horizontal="center" textRotation="90"/>
    </xf>
    <xf numFmtId="0" fontId="16" fillId="30" borderId="325" xfId="0" applyFont="1" applyFill="1" applyBorder="1"/>
    <xf numFmtId="0" fontId="16" fillId="30" borderId="326" xfId="0" applyFont="1" applyFill="1" applyBorder="1"/>
    <xf numFmtId="21" fontId="99" fillId="29" borderId="309" xfId="0" applyNumberFormat="1" applyFont="1" applyFill="1" applyBorder="1"/>
    <xf numFmtId="21" fontId="99" fillId="29" borderId="327" xfId="0" applyNumberFormat="1" applyFont="1" applyFill="1" applyBorder="1"/>
    <xf numFmtId="177" fontId="8" fillId="29" borderId="327" xfId="0" applyNumberFormat="1" applyFont="1" applyFill="1" applyBorder="1"/>
    <xf numFmtId="0" fontId="16" fillId="30" borderId="325" xfId="0" applyFont="1" applyFill="1" applyBorder="1" applyAlignment="1">
      <alignment horizontal="center"/>
    </xf>
    <xf numFmtId="0" fontId="16" fillId="30" borderId="328" xfId="0" applyFont="1" applyFill="1" applyBorder="1"/>
    <xf numFmtId="0" fontId="11" fillId="33" borderId="327" xfId="0" applyFont="1" applyFill="1" applyBorder="1"/>
    <xf numFmtId="0" fontId="11" fillId="33" borderId="329" xfId="0" applyFont="1" applyFill="1" applyBorder="1"/>
    <xf numFmtId="0" fontId="11" fillId="33" borderId="191" xfId="0" applyFont="1" applyFill="1" applyBorder="1"/>
    <xf numFmtId="21" fontId="11" fillId="19" borderId="330" xfId="0" applyNumberFormat="1" applyFont="1" applyFill="1" applyBorder="1"/>
    <xf numFmtId="21" fontId="11" fillId="19" borderId="327" xfId="0" applyNumberFormat="1" applyFont="1" applyFill="1" applyBorder="1"/>
    <xf numFmtId="0" fontId="8" fillId="33" borderId="327" xfId="0" applyFont="1" applyFill="1" applyBorder="1" applyAlignment="1">
      <alignment horizontal="left"/>
    </xf>
    <xf numFmtId="176" fontId="8" fillId="19" borderId="327" xfId="0" applyNumberFormat="1" applyFont="1" applyFill="1" applyBorder="1"/>
    <xf numFmtId="166" fontId="157" fillId="33" borderId="327" xfId="0" quotePrefix="1" applyNumberFormat="1" applyFont="1" applyFill="1" applyBorder="1" applyAlignment="1">
      <alignment horizontal="left"/>
    </xf>
    <xf numFmtId="0" fontId="107" fillId="33" borderId="327" xfId="0" applyFont="1" applyFill="1" applyBorder="1" applyAlignment="1">
      <alignment horizontal="center"/>
    </xf>
    <xf numFmtId="1" fontId="19" fillId="15" borderId="327" xfId="0" applyNumberFormat="1" applyFont="1" applyFill="1" applyBorder="1"/>
    <xf numFmtId="0" fontId="10" fillId="15" borderId="327" xfId="0" applyFont="1" applyFill="1" applyBorder="1"/>
    <xf numFmtId="0" fontId="10" fillId="15" borderId="323" xfId="0" applyFont="1" applyFill="1" applyBorder="1"/>
    <xf numFmtId="21" fontId="10" fillId="15" borderId="323" xfId="0" applyNumberFormat="1" applyFont="1" applyFill="1" applyBorder="1"/>
    <xf numFmtId="21" fontId="10" fillId="15" borderId="327" xfId="0" applyNumberFormat="1" applyFont="1" applyFill="1" applyBorder="1"/>
    <xf numFmtId="176" fontId="10" fillId="15" borderId="327" xfId="0" applyNumberFormat="1" applyFont="1" applyFill="1" applyBorder="1"/>
    <xf numFmtId="166" fontId="10" fillId="15" borderId="327" xfId="0" applyNumberFormat="1" applyFont="1" applyFill="1" applyBorder="1"/>
    <xf numFmtId="21" fontId="86" fillId="15" borderId="327" xfId="0" quotePrefix="1" applyNumberFormat="1" applyFont="1" applyFill="1" applyBorder="1" applyAlignment="1">
      <alignment horizontal="center"/>
    </xf>
    <xf numFmtId="0" fontId="86" fillId="15" borderId="327" xfId="0" applyFont="1" applyFill="1" applyBorder="1" applyAlignment="1">
      <alignment horizontal="center"/>
    </xf>
    <xf numFmtId="21" fontId="11" fillId="19" borderId="309" xfId="0" applyNumberFormat="1" applyFont="1" applyFill="1" applyBorder="1"/>
    <xf numFmtId="0" fontId="16" fillId="66" borderId="327" xfId="0" applyFont="1" applyFill="1" applyBorder="1"/>
    <xf numFmtId="21" fontId="99" fillId="66" borderId="327" xfId="0" applyNumberFormat="1" applyFont="1" applyFill="1" applyBorder="1"/>
    <xf numFmtId="0" fontId="106" fillId="66" borderId="327" xfId="0" applyFont="1" applyFill="1" applyBorder="1" applyAlignment="1">
      <alignment horizontal="left"/>
    </xf>
    <xf numFmtId="176" fontId="122" fillId="6" borderId="0" xfId="0" applyNumberFormat="1" applyFont="1" applyFill="1" applyAlignment="1" applyProtection="1">
      <alignment horizontal="center"/>
      <protection locked="0"/>
    </xf>
    <xf numFmtId="166" fontId="111" fillId="66" borderId="327" xfId="0" applyNumberFormat="1" applyFont="1" applyFill="1" applyBorder="1"/>
    <xf numFmtId="21" fontId="100" fillId="66" borderId="327" xfId="0" quotePrefix="1" applyNumberFormat="1" applyFont="1" applyFill="1" applyBorder="1" applyAlignment="1">
      <alignment horizontal="center"/>
    </xf>
    <xf numFmtId="1" fontId="106" fillId="66" borderId="327" xfId="0" applyNumberFormat="1" applyFont="1" applyFill="1" applyBorder="1" applyAlignment="1">
      <alignment horizontal="center"/>
    </xf>
    <xf numFmtId="0" fontId="16" fillId="66" borderId="329" xfId="0" applyFont="1" applyFill="1" applyBorder="1"/>
    <xf numFmtId="0" fontId="9" fillId="0" borderId="12" xfId="0" applyFont="1" applyBorder="1" applyAlignment="1">
      <alignment horizontal="center"/>
    </xf>
    <xf numFmtId="0" fontId="9" fillId="0" borderId="0" xfId="0" applyFont="1" applyAlignment="1">
      <alignment horizontal="center"/>
    </xf>
    <xf numFmtId="1" fontId="81" fillId="14" borderId="327" xfId="0" applyNumberFormat="1" applyFont="1" applyFill="1" applyBorder="1"/>
    <xf numFmtId="0" fontId="19" fillId="14" borderId="327" xfId="0" applyFont="1" applyFill="1" applyBorder="1"/>
    <xf numFmtId="21" fontId="81" fillId="14" borderId="327" xfId="0" applyNumberFormat="1" applyFont="1" applyFill="1" applyBorder="1"/>
    <xf numFmtId="0" fontId="86" fillId="14" borderId="327" xfId="0" applyFont="1" applyFill="1" applyBorder="1"/>
    <xf numFmtId="176" fontId="86" fillId="14" borderId="327" xfId="0" applyNumberFormat="1" applyFont="1" applyFill="1" applyBorder="1" applyAlignment="1">
      <alignment horizontal="center"/>
    </xf>
    <xf numFmtId="166" fontId="81" fillId="14" borderId="327" xfId="0" applyNumberFormat="1" applyFont="1" applyFill="1" applyBorder="1" applyAlignment="1">
      <alignment horizontal="center"/>
    </xf>
    <xf numFmtId="21" fontId="81" fillId="14" borderId="327" xfId="0" applyNumberFormat="1" applyFont="1" applyFill="1" applyBorder="1" applyAlignment="1">
      <alignment horizontal="center"/>
    </xf>
    <xf numFmtId="21" fontId="86" fillId="14" borderId="327" xfId="0" quotePrefix="1" applyNumberFormat="1" applyFont="1" applyFill="1" applyBorder="1" applyAlignment="1">
      <alignment horizontal="center"/>
    </xf>
    <xf numFmtId="1" fontId="86" fillId="14" borderId="327" xfId="0" applyNumberFormat="1" applyFont="1" applyFill="1" applyBorder="1" applyAlignment="1">
      <alignment horizontal="center"/>
    </xf>
    <xf numFmtId="0" fontId="19" fillId="14" borderId="327" xfId="0" applyFont="1" applyFill="1" applyBorder="1" applyAlignment="1">
      <alignment horizontal="center"/>
    </xf>
    <xf numFmtId="0" fontId="19" fillId="21" borderId="327" xfId="0" applyFont="1" applyFill="1" applyBorder="1"/>
    <xf numFmtId="21" fontId="81" fillId="21" borderId="327" xfId="0" applyNumberFormat="1" applyFont="1" applyFill="1" applyBorder="1"/>
    <xf numFmtId="0" fontId="10" fillId="21" borderId="327" xfId="0" applyFont="1" applyFill="1" applyBorder="1"/>
    <xf numFmtId="21" fontId="81" fillId="21" borderId="327" xfId="0" applyNumberFormat="1" applyFont="1" applyFill="1" applyBorder="1" applyAlignment="1">
      <alignment horizontal="center"/>
    </xf>
    <xf numFmtId="166" fontId="19" fillId="21" borderId="327" xfId="0" applyNumberFormat="1" applyFont="1" applyFill="1" applyBorder="1" applyAlignment="1">
      <alignment horizontal="center"/>
    </xf>
    <xf numFmtId="21" fontId="86" fillId="21" borderId="327" xfId="0" quotePrefix="1" applyNumberFormat="1" applyFont="1" applyFill="1" applyBorder="1" applyAlignment="1">
      <alignment horizontal="center"/>
    </xf>
    <xf numFmtId="1" fontId="86" fillId="21" borderId="327" xfId="0" applyNumberFormat="1" applyFont="1" applyFill="1" applyBorder="1" applyAlignment="1">
      <alignment horizontal="center"/>
    </xf>
    <xf numFmtId="0" fontId="19" fillId="21" borderId="324" xfId="0" applyFont="1" applyFill="1" applyBorder="1" applyAlignment="1">
      <alignment horizontal="center"/>
    </xf>
    <xf numFmtId="0" fontId="160" fillId="19" borderId="327" xfId="0" applyFont="1" applyFill="1" applyBorder="1"/>
    <xf numFmtId="21" fontId="160" fillId="19" borderId="327" xfId="0" applyNumberFormat="1" applyFont="1" applyFill="1" applyBorder="1"/>
    <xf numFmtId="21" fontId="160" fillId="19" borderId="327" xfId="0" applyNumberFormat="1" applyFont="1" applyFill="1" applyBorder="1" applyAlignment="1">
      <alignment horizontal="center"/>
    </xf>
    <xf numFmtId="166" fontId="160" fillId="19" borderId="327" xfId="0" applyNumberFormat="1" applyFont="1" applyFill="1" applyBorder="1" applyAlignment="1">
      <alignment horizontal="center"/>
    </xf>
    <xf numFmtId="21" fontId="106" fillId="19" borderId="327" xfId="0" quotePrefix="1" applyNumberFormat="1" applyFont="1" applyFill="1" applyBorder="1" applyAlignment="1">
      <alignment horizontal="center"/>
    </xf>
    <xf numFmtId="0" fontId="106" fillId="19" borderId="327" xfId="0" quotePrefix="1" applyFont="1" applyFill="1" applyBorder="1" applyAlignment="1">
      <alignment horizontal="center"/>
    </xf>
    <xf numFmtId="0" fontId="160" fillId="19" borderId="325" xfId="0" applyFont="1" applyFill="1" applyBorder="1" applyAlignment="1">
      <alignment horizontal="center"/>
    </xf>
    <xf numFmtId="0" fontId="19" fillId="15" borderId="327" xfId="0" applyFont="1" applyFill="1" applyBorder="1"/>
    <xf numFmtId="21" fontId="81" fillId="15" borderId="327" xfId="0" applyNumberFormat="1" applyFont="1" applyFill="1" applyBorder="1"/>
    <xf numFmtId="0" fontId="10" fillId="15" borderId="327" xfId="0" quotePrefix="1" applyFont="1" applyFill="1" applyBorder="1" applyAlignment="1">
      <alignment horizontal="left"/>
    </xf>
    <xf numFmtId="21" fontId="19" fillId="15" borderId="327" xfId="0" applyNumberFormat="1" applyFont="1" applyFill="1" applyBorder="1" applyAlignment="1">
      <alignment horizontal="center"/>
    </xf>
    <xf numFmtId="166" fontId="19" fillId="15" borderId="327" xfId="0" applyNumberFormat="1" applyFont="1" applyFill="1" applyBorder="1" applyAlignment="1">
      <alignment horizontal="center"/>
    </xf>
    <xf numFmtId="0" fontId="19" fillId="15" borderId="327" xfId="0" applyFont="1" applyFill="1" applyBorder="1" applyAlignment="1">
      <alignment horizontal="center"/>
    </xf>
    <xf numFmtId="21" fontId="19" fillId="19" borderId="0" xfId="0" applyNumberFormat="1" applyFont="1" applyFill="1"/>
    <xf numFmtId="0" fontId="160" fillId="19" borderId="325" xfId="0" applyFont="1" applyFill="1" applyBorder="1"/>
    <xf numFmtId="21" fontId="81" fillId="14" borderId="271" xfId="0" applyNumberFormat="1" applyFont="1" applyFill="1" applyBorder="1"/>
    <xf numFmtId="21" fontId="160" fillId="19" borderId="0" xfId="0" applyNumberFormat="1" applyFont="1" applyFill="1"/>
    <xf numFmtId="21" fontId="81" fillId="14" borderId="272" xfId="0" applyNumberFormat="1" applyFont="1" applyFill="1" applyBorder="1"/>
    <xf numFmtId="21" fontId="269" fillId="103" borderId="327" xfId="0" applyNumberFormat="1" applyFont="1" applyFill="1" applyBorder="1"/>
    <xf numFmtId="0" fontId="274" fillId="103" borderId="327" xfId="0" applyFont="1" applyFill="1" applyBorder="1"/>
    <xf numFmtId="0" fontId="271" fillId="103" borderId="327" xfId="0" applyFont="1" applyFill="1" applyBorder="1" applyAlignment="1">
      <alignment horizontal="left"/>
    </xf>
    <xf numFmtId="176" fontId="264" fillId="121" borderId="0" xfId="0" applyNumberFormat="1" applyFont="1" applyFill="1" applyAlignment="1" applyProtection="1">
      <alignment horizontal="center"/>
      <protection locked="0"/>
    </xf>
    <xf numFmtId="166" fontId="269" fillId="103" borderId="327" xfId="0" applyNumberFormat="1" applyFont="1" applyFill="1" applyBorder="1" applyAlignment="1">
      <alignment horizontal="center"/>
    </xf>
    <xf numFmtId="21" fontId="271" fillId="103" borderId="327" xfId="0" quotePrefix="1" applyNumberFormat="1" applyFont="1" applyFill="1" applyBorder="1" applyAlignment="1">
      <alignment horizontal="center"/>
    </xf>
    <xf numFmtId="21" fontId="269" fillId="103" borderId="327" xfId="0" applyNumberFormat="1" applyFont="1" applyFill="1" applyBorder="1" applyAlignment="1">
      <alignment horizontal="center"/>
    </xf>
    <xf numFmtId="1" fontId="271" fillId="103" borderId="327" xfId="0" applyNumberFormat="1" applyFont="1" applyFill="1" applyBorder="1" applyAlignment="1">
      <alignment horizontal="center"/>
    </xf>
    <xf numFmtId="0" fontId="274" fillId="103" borderId="329" xfId="0" applyFont="1" applyFill="1" applyBorder="1" applyAlignment="1">
      <alignment horizontal="center"/>
    </xf>
    <xf numFmtId="176" fontId="10" fillId="21" borderId="327" xfId="0" applyNumberFormat="1" applyFont="1" applyFill="1" applyBorder="1" applyAlignment="1">
      <alignment horizontal="center"/>
    </xf>
    <xf numFmtId="1" fontId="19" fillId="46" borderId="327" xfId="0" applyNumberFormat="1" applyFont="1" applyFill="1" applyBorder="1"/>
    <xf numFmtId="21" fontId="19" fillId="15" borderId="327" xfId="0" applyNumberFormat="1" applyFont="1" applyFill="1" applyBorder="1"/>
    <xf numFmtId="176" fontId="10" fillId="15" borderId="327" xfId="0" applyNumberFormat="1" applyFont="1" applyFill="1" applyBorder="1" applyAlignment="1">
      <alignment horizontal="center"/>
    </xf>
    <xf numFmtId="166" fontId="19" fillId="46" borderId="327" xfId="0" applyNumberFormat="1" applyFont="1" applyFill="1" applyBorder="1" applyAlignment="1">
      <alignment horizontal="center"/>
    </xf>
    <xf numFmtId="21" fontId="19" fillId="46" borderId="327" xfId="0" applyNumberFormat="1" applyFont="1" applyFill="1" applyBorder="1" applyAlignment="1">
      <alignment horizontal="center"/>
    </xf>
    <xf numFmtId="21" fontId="86" fillId="46" borderId="327" xfId="0" quotePrefix="1" applyNumberFormat="1" applyFont="1" applyFill="1" applyBorder="1" applyAlignment="1">
      <alignment horizontal="center"/>
    </xf>
    <xf numFmtId="0" fontId="86" fillId="46" borderId="327" xfId="0" applyFont="1" applyFill="1" applyBorder="1" applyAlignment="1">
      <alignment horizontal="center"/>
    </xf>
    <xf numFmtId="0" fontId="19" fillId="46" borderId="324" xfId="0" applyFont="1" applyFill="1" applyBorder="1" applyAlignment="1">
      <alignment horizontal="center"/>
    </xf>
    <xf numFmtId="1" fontId="81" fillId="21" borderId="330" xfId="0" applyNumberFormat="1" applyFont="1" applyFill="1" applyBorder="1"/>
    <xf numFmtId="0" fontId="19" fillId="18" borderId="326" xfId="0" applyFont="1" applyFill="1" applyBorder="1"/>
    <xf numFmtId="0" fontId="19" fillId="18" borderId="325" xfId="0" applyFont="1" applyFill="1" applyBorder="1"/>
    <xf numFmtId="0" fontId="19" fillId="18" borderId="326" xfId="0" applyFont="1" applyFill="1" applyBorder="1" applyAlignment="1">
      <alignment horizontal="center"/>
    </xf>
    <xf numFmtId="21" fontId="152" fillId="17" borderId="327" xfId="0" applyNumberFormat="1" applyFont="1" applyFill="1" applyBorder="1"/>
    <xf numFmtId="0" fontId="88" fillId="18" borderId="326" xfId="0" applyFont="1" applyFill="1" applyBorder="1" applyAlignment="1">
      <alignment horizontal="left"/>
    </xf>
    <xf numFmtId="21" fontId="152" fillId="17" borderId="327" xfId="0" applyNumberFormat="1" applyFont="1" applyFill="1" applyBorder="1" applyAlignment="1">
      <alignment horizontal="center"/>
    </xf>
    <xf numFmtId="166" fontId="164" fillId="18" borderId="0" xfId="0" applyNumberFormat="1" applyFont="1" applyFill="1" applyAlignment="1">
      <alignment horizontal="center"/>
    </xf>
    <xf numFmtId="21" fontId="86" fillId="17" borderId="327" xfId="0" quotePrefix="1" applyNumberFormat="1" applyFont="1" applyFill="1" applyBorder="1" applyAlignment="1">
      <alignment horizontal="center"/>
    </xf>
    <xf numFmtId="0" fontId="19" fillId="18" borderId="325" xfId="0" applyFont="1" applyFill="1" applyBorder="1" applyAlignment="1">
      <alignment horizontal="center"/>
    </xf>
    <xf numFmtId="0" fontId="106" fillId="19" borderId="327" xfId="0" applyFont="1" applyFill="1" applyBorder="1"/>
    <xf numFmtId="0" fontId="8" fillId="6" borderId="12" xfId="0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21" fontId="160" fillId="66" borderId="327" xfId="0" applyNumberFormat="1" applyFont="1" applyFill="1" applyBorder="1"/>
    <xf numFmtId="0" fontId="54" fillId="66" borderId="327" xfId="0" applyFont="1" applyFill="1" applyBorder="1"/>
    <xf numFmtId="176" fontId="8" fillId="6" borderId="0" xfId="0" applyNumberFormat="1" applyFont="1" applyFill="1" applyAlignment="1" applyProtection="1">
      <alignment horizontal="center"/>
      <protection locked="0"/>
    </xf>
    <xf numFmtId="166" fontId="160" fillId="66" borderId="327" xfId="0" applyNumberFormat="1" applyFont="1" applyFill="1" applyBorder="1" applyAlignment="1">
      <alignment horizontal="center"/>
    </xf>
    <xf numFmtId="21" fontId="106" fillId="66" borderId="327" xfId="0" quotePrefix="1" applyNumberFormat="1" applyFont="1" applyFill="1" applyBorder="1" applyAlignment="1">
      <alignment horizontal="center"/>
    </xf>
    <xf numFmtId="21" fontId="160" fillId="66" borderId="327" xfId="0" applyNumberFormat="1" applyFont="1" applyFill="1" applyBorder="1" applyAlignment="1">
      <alignment horizontal="center"/>
    </xf>
    <xf numFmtId="0" fontId="54" fillId="66" borderId="329" xfId="0" applyFont="1" applyFill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0" xfId="0" applyFont="1" applyAlignment="1">
      <alignment horizontal="center"/>
    </xf>
    <xf numFmtId="21" fontId="160" fillId="0" borderId="327" xfId="0" applyNumberFormat="1" applyFont="1" applyBorder="1"/>
    <xf numFmtId="0" fontId="54" fillId="0" borderId="327" xfId="0" applyFont="1" applyBorder="1"/>
    <xf numFmtId="21" fontId="160" fillId="0" borderId="309" xfId="0" applyNumberFormat="1" applyFont="1" applyBorder="1"/>
    <xf numFmtId="0" fontId="106" fillId="90" borderId="327" xfId="0" applyFont="1" applyFill="1" applyBorder="1" applyAlignment="1">
      <alignment horizontal="center"/>
    </xf>
    <xf numFmtId="176" fontId="8" fillId="0" borderId="0" xfId="0" applyNumberFormat="1" applyFont="1" applyAlignment="1" applyProtection="1">
      <alignment horizontal="center"/>
      <protection locked="0"/>
    </xf>
    <xf numFmtId="166" fontId="160" fillId="0" borderId="327" xfId="0" applyNumberFormat="1" applyFont="1" applyBorder="1" applyAlignment="1">
      <alignment horizontal="center"/>
    </xf>
    <xf numFmtId="21" fontId="201" fillId="0" borderId="327" xfId="0" quotePrefix="1" applyNumberFormat="1" applyFont="1" applyBorder="1" applyAlignment="1">
      <alignment horizontal="center"/>
    </xf>
    <xf numFmtId="21" fontId="160" fillId="0" borderId="327" xfId="0" applyNumberFormat="1" applyFont="1" applyBorder="1" applyAlignment="1">
      <alignment horizontal="center"/>
    </xf>
    <xf numFmtId="21" fontId="106" fillId="0" borderId="327" xfId="0" quotePrefix="1" applyNumberFormat="1" applyFont="1" applyBorder="1" applyAlignment="1">
      <alignment horizontal="center"/>
    </xf>
    <xf numFmtId="1" fontId="106" fillId="0" borderId="327" xfId="0" applyNumberFormat="1" applyFont="1" applyBorder="1" applyAlignment="1">
      <alignment horizontal="center"/>
    </xf>
    <xf numFmtId="0" fontId="45" fillId="0" borderId="329" xfId="0" applyFont="1" applyBorder="1" applyAlignment="1">
      <alignment horizontal="center"/>
    </xf>
    <xf numFmtId="0" fontId="134" fillId="24" borderId="58" xfId="0" applyFont="1" applyFill="1" applyBorder="1" applyAlignment="1">
      <alignment horizontal="center"/>
    </xf>
    <xf numFmtId="21" fontId="81" fillId="14" borderId="309" xfId="0" applyNumberFormat="1" applyFont="1" applyFill="1" applyBorder="1"/>
    <xf numFmtId="21" fontId="81" fillId="14" borderId="251" xfId="0" applyNumberFormat="1" applyFont="1" applyFill="1" applyBorder="1"/>
    <xf numFmtId="0" fontId="365" fillId="18" borderId="326" xfId="0" applyFont="1" applyFill="1" applyBorder="1" applyAlignment="1">
      <alignment horizontal="left"/>
    </xf>
    <xf numFmtId="0" fontId="88" fillId="18" borderId="0" xfId="0" quotePrefix="1" applyFont="1" applyFill="1" applyAlignment="1">
      <alignment horizontal="center"/>
    </xf>
    <xf numFmtId="0" fontId="134" fillId="24" borderId="60" xfId="0" applyFont="1" applyFill="1" applyBorder="1" applyAlignment="1">
      <alignment horizontal="center"/>
    </xf>
    <xf numFmtId="1" fontId="19" fillId="20" borderId="327" xfId="0" applyNumberFormat="1" applyFont="1" applyFill="1" applyBorder="1"/>
    <xf numFmtId="0" fontId="152" fillId="16" borderId="327" xfId="0" applyFont="1" applyFill="1" applyBorder="1"/>
    <xf numFmtId="21" fontId="152" fillId="16" borderId="327" xfId="0" applyNumberFormat="1" applyFont="1" applyFill="1" applyBorder="1"/>
    <xf numFmtId="0" fontId="84" fillId="16" borderId="327" xfId="0" applyFont="1" applyFill="1" applyBorder="1"/>
    <xf numFmtId="176" fontId="84" fillId="16" borderId="327" xfId="0" applyNumberFormat="1" applyFont="1" applyFill="1" applyBorder="1" applyAlignment="1">
      <alignment horizontal="center"/>
    </xf>
    <xf numFmtId="166" fontId="152" fillId="16" borderId="327" xfId="0" applyNumberFormat="1" applyFont="1" applyFill="1" applyBorder="1" applyAlignment="1">
      <alignment horizontal="center"/>
    </xf>
    <xf numFmtId="21" fontId="152" fillId="16" borderId="327" xfId="0" applyNumberFormat="1" applyFont="1" applyFill="1" applyBorder="1" applyAlignment="1">
      <alignment horizontal="center"/>
    </xf>
    <xf numFmtId="21" fontId="86" fillId="20" borderId="327" xfId="0" quotePrefix="1" applyNumberFormat="1" applyFont="1" applyFill="1" applyBorder="1" applyAlignment="1">
      <alignment horizontal="center"/>
    </xf>
    <xf numFmtId="0" fontId="84" fillId="16" borderId="327" xfId="0" quotePrefix="1" applyFont="1" applyFill="1" applyBorder="1" applyAlignment="1">
      <alignment horizontal="center"/>
    </xf>
    <xf numFmtId="0" fontId="152" fillId="16" borderId="327" xfId="0" applyFont="1" applyFill="1" applyBorder="1" applyAlignment="1">
      <alignment horizontal="center"/>
    </xf>
    <xf numFmtId="21" fontId="81" fillId="14" borderId="251" xfId="0" applyNumberFormat="1" applyFont="1" applyFill="1" applyBorder="1" applyAlignment="1">
      <alignment horizontal="center"/>
    </xf>
    <xf numFmtId="0" fontId="134" fillId="6" borderId="58" xfId="0" applyFont="1" applyFill="1" applyBorder="1" applyAlignment="1">
      <alignment horizontal="center"/>
    </xf>
    <xf numFmtId="0" fontId="106" fillId="66" borderId="331" xfId="0" applyFont="1" applyFill="1" applyBorder="1"/>
    <xf numFmtId="21" fontId="201" fillId="48" borderId="327" xfId="0" applyNumberFormat="1" applyFont="1" applyFill="1" applyBorder="1" applyAlignment="1">
      <alignment horizontal="center"/>
    </xf>
    <xf numFmtId="21" fontId="19" fillId="48" borderId="327" xfId="0" applyNumberFormat="1" applyFont="1" applyFill="1" applyBorder="1" applyAlignment="1">
      <alignment horizontal="center"/>
    </xf>
    <xf numFmtId="21" fontId="86" fillId="48" borderId="327" xfId="0" quotePrefix="1" applyNumberFormat="1" applyFont="1" applyFill="1" applyBorder="1" applyAlignment="1">
      <alignment horizontal="center"/>
    </xf>
    <xf numFmtId="0" fontId="86" fillId="48" borderId="327" xfId="0" applyFont="1" applyFill="1" applyBorder="1" applyAlignment="1">
      <alignment horizontal="center"/>
    </xf>
    <xf numFmtId="0" fontId="201" fillId="48" borderId="0" xfId="0" applyFont="1" applyFill="1" applyAlignment="1">
      <alignment horizontal="center"/>
    </xf>
    <xf numFmtId="0" fontId="10" fillId="21" borderId="330" xfId="0" applyFont="1" applyFill="1" applyBorder="1"/>
    <xf numFmtId="21" fontId="86" fillId="21" borderId="330" xfId="0" applyNumberFormat="1" applyFont="1" applyFill="1" applyBorder="1"/>
    <xf numFmtId="176" fontId="10" fillId="21" borderId="330" xfId="0" applyNumberFormat="1" applyFont="1" applyFill="1" applyBorder="1"/>
    <xf numFmtId="166" fontId="10" fillId="21" borderId="330" xfId="0" applyNumberFormat="1" applyFont="1" applyFill="1" applyBorder="1"/>
    <xf numFmtId="21" fontId="86" fillId="21" borderId="330" xfId="0" applyNumberFormat="1" applyFont="1" applyFill="1" applyBorder="1" applyAlignment="1">
      <alignment horizontal="center"/>
    </xf>
    <xf numFmtId="1" fontId="86" fillId="21" borderId="330" xfId="0" applyNumberFormat="1" applyFont="1" applyFill="1" applyBorder="1" applyAlignment="1">
      <alignment horizontal="center"/>
    </xf>
    <xf numFmtId="0" fontId="10" fillId="21" borderId="332" xfId="0" applyFont="1" applyFill="1" applyBorder="1"/>
    <xf numFmtId="0" fontId="8" fillId="33" borderId="253" xfId="0" applyFont="1" applyFill="1" applyBorder="1"/>
    <xf numFmtId="21" fontId="8" fillId="19" borderId="253" xfId="0" applyNumberFormat="1" applyFont="1" applyFill="1" applyBorder="1"/>
    <xf numFmtId="166" fontId="8" fillId="33" borderId="253" xfId="0" applyNumberFormat="1" applyFont="1" applyFill="1" applyBorder="1" applyAlignment="1">
      <alignment horizontal="left"/>
    </xf>
    <xf numFmtId="0" fontId="106" fillId="19" borderId="333" xfId="0" applyFont="1" applyFill="1" applyBorder="1"/>
    <xf numFmtId="21" fontId="10" fillId="46" borderId="253" xfId="0" applyNumberFormat="1" applyFont="1" applyFill="1" applyBorder="1"/>
    <xf numFmtId="166" fontId="10" fillId="46" borderId="253" xfId="0" applyNumberFormat="1" applyFont="1" applyFill="1" applyBorder="1"/>
    <xf numFmtId="21" fontId="86" fillId="46" borderId="253" xfId="0" applyNumberFormat="1" applyFont="1" applyFill="1" applyBorder="1" applyAlignment="1">
      <alignment horizontal="center"/>
    </xf>
    <xf numFmtId="21" fontId="86" fillId="46" borderId="330" xfId="0" applyNumberFormat="1" applyFont="1" applyFill="1" applyBorder="1" applyAlignment="1">
      <alignment horizontal="center"/>
    </xf>
    <xf numFmtId="0" fontId="10" fillId="46" borderId="332" xfId="0" applyFont="1" applyFill="1" applyBorder="1"/>
    <xf numFmtId="0" fontId="54" fillId="29" borderId="253" xfId="0" applyFont="1" applyFill="1" applyBorder="1"/>
    <xf numFmtId="21" fontId="81" fillId="14" borderId="309" xfId="0" applyNumberFormat="1" applyFont="1" applyFill="1" applyBorder="1" applyAlignment="1">
      <alignment horizontal="center"/>
    </xf>
    <xf numFmtId="21" fontId="160" fillId="29" borderId="253" xfId="0" applyNumberFormat="1" applyFont="1" applyFill="1" applyBorder="1"/>
    <xf numFmtId="166" fontId="54" fillId="29" borderId="253" xfId="0" applyNumberFormat="1" applyFont="1" applyFill="1" applyBorder="1"/>
    <xf numFmtId="21" fontId="106" fillId="29" borderId="253" xfId="0" applyNumberFormat="1" applyFont="1" applyFill="1" applyBorder="1" applyAlignment="1">
      <alignment horizontal="center"/>
    </xf>
    <xf numFmtId="0" fontId="54" fillId="29" borderId="332" xfId="0" applyFont="1" applyFill="1" applyBorder="1"/>
    <xf numFmtId="0" fontId="54" fillId="29" borderId="254" xfId="0" applyFont="1" applyFill="1" applyBorder="1"/>
    <xf numFmtId="21" fontId="160" fillId="66" borderId="334" xfId="0" applyNumberFormat="1" applyFont="1" applyFill="1" applyBorder="1"/>
    <xf numFmtId="0" fontId="54" fillId="66" borderId="334" xfId="0" applyFont="1" applyFill="1" applyBorder="1"/>
    <xf numFmtId="0" fontId="106" fillId="66" borderId="335" xfId="0" applyFont="1" applyFill="1" applyBorder="1"/>
    <xf numFmtId="166" fontId="160" fillId="66" borderId="334" xfId="0" applyNumberFormat="1" applyFont="1" applyFill="1" applyBorder="1" applyAlignment="1">
      <alignment horizontal="center"/>
    </xf>
    <xf numFmtId="21" fontId="201" fillId="48" borderId="334" xfId="0" applyNumberFormat="1" applyFont="1" applyFill="1" applyBorder="1" applyAlignment="1">
      <alignment horizontal="center"/>
    </xf>
    <xf numFmtId="21" fontId="19" fillId="48" borderId="334" xfId="0" applyNumberFormat="1" applyFont="1" applyFill="1" applyBorder="1" applyAlignment="1">
      <alignment horizontal="center"/>
    </xf>
    <xf numFmtId="21" fontId="86" fillId="48" borderId="334" xfId="0" quotePrefix="1" applyNumberFormat="1" applyFont="1" applyFill="1" applyBorder="1" applyAlignment="1">
      <alignment horizontal="center"/>
    </xf>
    <xf numFmtId="0" fontId="86" fillId="48" borderId="334" xfId="0" applyFont="1" applyFill="1" applyBorder="1" applyAlignment="1">
      <alignment horizontal="center"/>
    </xf>
    <xf numFmtId="0" fontId="9" fillId="3" borderId="12" xfId="0" applyFont="1" applyFill="1" applyBorder="1" applyAlignment="1">
      <alignment horizontal="center"/>
    </xf>
    <xf numFmtId="0" fontId="9" fillId="3" borderId="96" xfId="0" applyFont="1" applyFill="1" applyBorder="1" applyAlignment="1">
      <alignment horizontal="center"/>
    </xf>
    <xf numFmtId="0" fontId="19" fillId="0" borderId="334" xfId="0" applyFont="1" applyBorder="1"/>
    <xf numFmtId="21" fontId="19" fillId="0" borderId="334" xfId="0" applyNumberFormat="1" applyFont="1" applyBorder="1"/>
    <xf numFmtId="0" fontId="10" fillId="0" borderId="334" xfId="0" applyFont="1" applyBorder="1"/>
    <xf numFmtId="0" fontId="10" fillId="108" borderId="334" xfId="0" applyFont="1" applyFill="1" applyBorder="1"/>
    <xf numFmtId="21" fontId="19" fillId="108" borderId="334" xfId="0" applyNumberFormat="1" applyFont="1" applyFill="1" applyBorder="1"/>
    <xf numFmtId="21" fontId="10" fillId="108" borderId="334" xfId="0" quotePrefix="1" applyNumberFormat="1" applyFont="1" applyFill="1" applyBorder="1" applyAlignment="1">
      <alignment horizontal="center"/>
    </xf>
    <xf numFmtId="0" fontId="10" fillId="108" borderId="334" xfId="0" applyFont="1" applyFill="1" applyBorder="1" applyAlignment="1">
      <alignment horizontal="center"/>
    </xf>
    <xf numFmtId="0" fontId="19" fillId="108" borderId="334" xfId="0" applyFont="1" applyFill="1" applyBorder="1"/>
    <xf numFmtId="0" fontId="19" fillId="15" borderId="334" xfId="0" applyFont="1" applyFill="1" applyBorder="1"/>
    <xf numFmtId="21" fontId="19" fillId="15" borderId="334" xfId="0" applyNumberFormat="1" applyFont="1" applyFill="1" applyBorder="1"/>
    <xf numFmtId="0" fontId="10" fillId="15" borderId="334" xfId="0" applyFont="1" applyFill="1" applyBorder="1"/>
    <xf numFmtId="21" fontId="10" fillId="15" borderId="334" xfId="0" quotePrefix="1" applyNumberFormat="1" applyFont="1" applyFill="1" applyBorder="1" applyAlignment="1">
      <alignment horizontal="center"/>
    </xf>
    <xf numFmtId="0" fontId="10" fillId="15" borderId="334" xfId="0" applyFont="1" applyFill="1" applyBorder="1" applyAlignment="1">
      <alignment horizontal="center"/>
    </xf>
    <xf numFmtId="0" fontId="19" fillId="108" borderId="309" xfId="0" applyFont="1" applyFill="1" applyBorder="1"/>
    <xf numFmtId="0" fontId="19" fillId="15" borderId="330" xfId="0" applyFont="1" applyFill="1" applyBorder="1"/>
    <xf numFmtId="0" fontId="271" fillId="80" borderId="330" xfId="0" applyFont="1" applyFill="1" applyBorder="1"/>
    <xf numFmtId="0" fontId="271" fillId="80" borderId="334" xfId="0" applyFont="1" applyFill="1" applyBorder="1"/>
    <xf numFmtId="0" fontId="264" fillId="116" borderId="334" xfId="0" applyFont="1" applyFill="1" applyBorder="1"/>
    <xf numFmtId="21" fontId="264" fillId="91" borderId="334" xfId="0" applyNumberFormat="1" applyFont="1" applyFill="1" applyBorder="1"/>
    <xf numFmtId="0" fontId="271" fillId="91" borderId="334" xfId="0" applyFont="1" applyFill="1" applyBorder="1"/>
    <xf numFmtId="21" fontId="19" fillId="91" borderId="334" xfId="0" applyNumberFormat="1" applyFont="1" applyFill="1" applyBorder="1"/>
    <xf numFmtId="0" fontId="10" fillId="91" borderId="334" xfId="0" applyFont="1" applyFill="1" applyBorder="1"/>
    <xf numFmtId="21" fontId="10" fillId="91" borderId="334" xfId="0" quotePrefix="1" applyNumberFormat="1" applyFont="1" applyFill="1" applyBorder="1" applyAlignment="1">
      <alignment horizontal="center"/>
    </xf>
    <xf numFmtId="0" fontId="10" fillId="91" borderId="334" xfId="0" applyFont="1" applyFill="1" applyBorder="1" applyAlignment="1">
      <alignment horizontal="center"/>
    </xf>
    <xf numFmtId="0" fontId="19" fillId="91" borderId="334" xfId="0" applyFont="1" applyFill="1" applyBorder="1"/>
    <xf numFmtId="0" fontId="160" fillId="48" borderId="334" xfId="0" applyFont="1" applyFill="1" applyBorder="1"/>
    <xf numFmtId="21" fontId="81" fillId="48" borderId="251" xfId="0" applyNumberFormat="1" applyFont="1" applyFill="1" applyBorder="1" applyAlignment="1">
      <alignment horizontal="center"/>
    </xf>
    <xf numFmtId="21" fontId="160" fillId="48" borderId="334" xfId="0" applyNumberFormat="1" applyFont="1" applyFill="1" applyBorder="1"/>
    <xf numFmtId="176" fontId="10" fillId="48" borderId="334" xfId="0" applyNumberFormat="1" applyFont="1" applyFill="1" applyBorder="1"/>
    <xf numFmtId="166" fontId="54" fillId="48" borderId="334" xfId="0" applyNumberFormat="1" applyFont="1" applyFill="1" applyBorder="1"/>
    <xf numFmtId="21" fontId="54" fillId="48" borderId="334" xfId="0" applyNumberFormat="1" applyFont="1" applyFill="1" applyBorder="1"/>
    <xf numFmtId="21" fontId="8" fillId="48" borderId="334" xfId="0" quotePrefix="1" applyNumberFormat="1" applyFont="1" applyFill="1" applyBorder="1" applyAlignment="1">
      <alignment horizontal="center"/>
    </xf>
    <xf numFmtId="0" fontId="8" fillId="48" borderId="334" xfId="0" quotePrefix="1" applyFont="1" applyFill="1" applyBorder="1" applyAlignment="1">
      <alignment horizontal="left"/>
    </xf>
    <xf numFmtId="0" fontId="54" fillId="48" borderId="0" xfId="0" applyFont="1" applyFill="1"/>
    <xf numFmtId="0" fontId="9" fillId="8" borderId="0" xfId="0" applyFont="1" applyFill="1" applyAlignment="1">
      <alignment horizontal="left" vertical="center"/>
    </xf>
    <xf numFmtId="0" fontId="9" fillId="8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21" fontId="8" fillId="8" borderId="0" xfId="0" applyNumberFormat="1" applyFont="1" applyFill="1" applyAlignment="1">
      <alignment horizontal="center" vertical="center"/>
    </xf>
    <xf numFmtId="21" fontId="86" fillId="40" borderId="336" xfId="0" applyNumberFormat="1" applyFont="1" applyFill="1" applyBorder="1"/>
    <xf numFmtId="21" fontId="86" fillId="40" borderId="0" xfId="0" applyNumberFormat="1" applyFont="1" applyFill="1" applyAlignment="1">
      <alignment horizontal="center"/>
    </xf>
    <xf numFmtId="166" fontId="327" fillId="8" borderId="0" xfId="0" applyNumberFormat="1" applyFont="1" applyFill="1" applyAlignment="1">
      <alignment horizontal="center" vertical="center"/>
    </xf>
    <xf numFmtId="21" fontId="86" fillId="40" borderId="336" xfId="0" applyNumberFormat="1" applyFont="1" applyFill="1" applyBorder="1" applyAlignment="1">
      <alignment horizontal="center"/>
    </xf>
    <xf numFmtId="21" fontId="67" fillId="8" borderId="0" xfId="0" applyNumberFormat="1" applyFont="1" applyFill="1" applyAlignment="1">
      <alignment horizontal="center" vertical="center"/>
    </xf>
    <xf numFmtId="172" fontId="86" fillId="8" borderId="337" xfId="0" applyNumberFormat="1" applyFont="1" applyFill="1" applyBorder="1" applyAlignment="1">
      <alignment horizontal="center"/>
    </xf>
    <xf numFmtId="0" fontId="5" fillId="79" borderId="12" xfId="0" applyFont="1" applyFill="1" applyBorder="1" applyAlignment="1">
      <alignment horizontal="center"/>
    </xf>
    <xf numFmtId="0" fontId="5" fillId="79" borderId="97" xfId="0" applyFont="1" applyFill="1" applyBorder="1" applyAlignment="1">
      <alignment horizontal="center"/>
    </xf>
    <xf numFmtId="0" fontId="99" fillId="19" borderId="334" xfId="0" applyFont="1" applyFill="1" applyBorder="1"/>
    <xf numFmtId="21" fontId="99" fillId="19" borderId="334" xfId="0" applyNumberFormat="1" applyFont="1" applyFill="1" applyBorder="1"/>
    <xf numFmtId="0" fontId="160" fillId="19" borderId="334" xfId="0" applyFont="1" applyFill="1" applyBorder="1"/>
    <xf numFmtId="176" fontId="8" fillId="19" borderId="334" xfId="0" applyNumberFormat="1" applyFont="1" applyFill="1" applyBorder="1"/>
    <xf numFmtId="166" fontId="111" fillId="19" borderId="334" xfId="0" applyNumberFormat="1" applyFont="1" applyFill="1" applyBorder="1"/>
    <xf numFmtId="21" fontId="100" fillId="19" borderId="334" xfId="0" quotePrefix="1" applyNumberFormat="1" applyFont="1" applyFill="1" applyBorder="1" applyAlignment="1">
      <alignment horizontal="center"/>
    </xf>
    <xf numFmtId="0" fontId="106" fillId="19" borderId="334" xfId="0" quotePrefix="1" applyFont="1" applyFill="1" applyBorder="1" applyAlignment="1">
      <alignment horizontal="left"/>
    </xf>
    <xf numFmtId="0" fontId="99" fillId="19" borderId="338" xfId="0" applyFont="1" applyFill="1" applyBorder="1"/>
    <xf numFmtId="0" fontId="99" fillId="48" borderId="334" xfId="0" applyFont="1" applyFill="1" applyBorder="1"/>
    <xf numFmtId="21" fontId="82" fillId="48" borderId="251" xfId="0" applyNumberFormat="1" applyFont="1" applyFill="1" applyBorder="1" applyAlignment="1">
      <alignment horizontal="center"/>
    </xf>
    <xf numFmtId="21" fontId="99" fillId="48" borderId="334" xfId="0" applyNumberFormat="1" applyFont="1" applyFill="1" applyBorder="1"/>
    <xf numFmtId="166" fontId="111" fillId="48" borderId="334" xfId="0" applyNumberFormat="1" applyFont="1" applyFill="1" applyBorder="1"/>
    <xf numFmtId="21" fontId="100" fillId="48" borderId="334" xfId="0" quotePrefix="1" applyNumberFormat="1" applyFont="1" applyFill="1" applyBorder="1" applyAlignment="1">
      <alignment horizontal="center"/>
    </xf>
    <xf numFmtId="0" fontId="106" fillId="48" borderId="334" xfId="0" quotePrefix="1" applyFont="1" applyFill="1" applyBorder="1" applyAlignment="1">
      <alignment horizontal="left"/>
    </xf>
    <xf numFmtId="0" fontId="99" fillId="48" borderId="0" xfId="0" applyFont="1" applyFill="1"/>
    <xf numFmtId="21" fontId="8" fillId="19" borderId="192" xfId="0" applyNumberFormat="1" applyFont="1" applyFill="1" applyBorder="1"/>
    <xf numFmtId="21" fontId="157" fillId="19" borderId="192" xfId="0" applyNumberFormat="1" applyFont="1" applyFill="1" applyBorder="1"/>
    <xf numFmtId="0" fontId="9" fillId="80" borderId="0" xfId="0" applyFont="1" applyFill="1" applyAlignment="1">
      <alignment horizontal="center"/>
    </xf>
    <xf numFmtId="0" fontId="134" fillId="80" borderId="58" xfId="0" applyFont="1" applyFill="1" applyBorder="1" applyAlignment="1">
      <alignment horizontal="center"/>
    </xf>
    <xf numFmtId="0" fontId="9" fillId="80" borderId="96" xfId="0" applyFont="1" applyFill="1" applyBorder="1" applyAlignment="1">
      <alignment horizontal="center"/>
    </xf>
    <xf numFmtId="0" fontId="5" fillId="80" borderId="97" xfId="0" applyFont="1" applyFill="1" applyBorder="1" applyAlignment="1">
      <alignment horizontal="center"/>
    </xf>
    <xf numFmtId="0" fontId="175" fillId="80" borderId="97" xfId="0" applyFont="1" applyFill="1" applyBorder="1" applyAlignment="1" applyProtection="1">
      <alignment horizontal="center"/>
    </xf>
    <xf numFmtId="0" fontId="180" fillId="80" borderId="58" xfId="0" applyFont="1" applyFill="1" applyBorder="1" applyAlignment="1" applyProtection="1">
      <alignment horizontal="center"/>
    </xf>
    <xf numFmtId="0" fontId="175" fillId="80" borderId="12" xfId="0" applyFont="1" applyFill="1" applyBorder="1" applyAlignment="1" applyProtection="1">
      <alignment horizontal="center"/>
    </xf>
    <xf numFmtId="166" fontId="0" fillId="80" borderId="94" xfId="0" applyNumberFormat="1" applyFill="1" applyBorder="1"/>
    <xf numFmtId="0" fontId="131" fillId="13" borderId="0" xfId="0" applyFont="1" applyFill="1" applyBorder="1" applyAlignment="1" applyProtection="1">
      <alignment horizontal="center"/>
    </xf>
    <xf numFmtId="183" fontId="275" fillId="108" borderId="35" xfId="0" applyNumberFormat="1" applyFont="1" applyFill="1" applyBorder="1"/>
    <xf numFmtId="0" fontId="270" fillId="108" borderId="117" xfId="0" applyFont="1" applyFill="1" applyBorder="1"/>
    <xf numFmtId="21" fontId="378" fillId="19" borderId="35" xfId="0" applyNumberFormat="1" applyFont="1" applyFill="1" applyBorder="1"/>
    <xf numFmtId="183" fontId="378" fillId="143" borderId="35" xfId="0" applyNumberFormat="1" applyFont="1" applyFill="1" applyBorder="1"/>
    <xf numFmtId="166" fontId="195" fillId="143" borderId="35" xfId="0" applyNumberFormat="1" applyFont="1" applyFill="1" applyBorder="1"/>
    <xf numFmtId="21" fontId="85" fillId="14" borderId="309" xfId="0" applyNumberFormat="1" applyFont="1" applyFill="1" applyBorder="1"/>
    <xf numFmtId="0" fontId="107" fillId="33" borderId="209" xfId="0" applyFont="1" applyFill="1" applyBorder="1" applyAlignment="1">
      <alignment horizontal="center" wrapText="1"/>
    </xf>
    <xf numFmtId="1" fontId="86" fillId="21" borderId="209" xfId="0" applyNumberFormat="1" applyFont="1" applyFill="1" applyBorder="1" applyAlignment="1">
      <alignment horizontal="center" wrapText="1"/>
    </xf>
    <xf numFmtId="0" fontId="54" fillId="30" borderId="83" xfId="0" applyFont="1" applyFill="1" applyBorder="1" applyAlignment="1" applyProtection="1">
      <alignment horizontal="center" wrapText="1"/>
    </xf>
    <xf numFmtId="0" fontId="276" fillId="116" borderId="209" xfId="0" applyFont="1" applyFill="1" applyBorder="1" applyAlignment="1">
      <alignment horizontal="center" wrapText="1"/>
    </xf>
    <xf numFmtId="8" fontId="86" fillId="14" borderId="209" xfId="0" applyNumberFormat="1" applyFont="1" applyFill="1" applyBorder="1"/>
    <xf numFmtId="0" fontId="9" fillId="0" borderId="339" xfId="0" applyFont="1" applyBorder="1" applyAlignment="1">
      <alignment horizontal="center" textRotation="90"/>
    </xf>
    <xf numFmtId="3" fontId="9" fillId="3" borderId="340" xfId="0" applyNumberFormat="1" applyFont="1" applyFill="1" applyBorder="1" applyAlignment="1">
      <alignment horizontal="center" textRotation="90"/>
    </xf>
    <xf numFmtId="0" fontId="9" fillId="3" borderId="341" xfId="4" applyFont="1" applyFill="1" applyBorder="1" applyAlignment="1">
      <alignment horizontal="center" textRotation="90"/>
    </xf>
    <xf numFmtId="0" fontId="9" fillId="24" borderId="341" xfId="4" applyFont="1" applyFill="1" applyBorder="1" applyAlignment="1">
      <alignment horizontal="center" textRotation="90"/>
    </xf>
    <xf numFmtId="0" fontId="9" fillId="22" borderId="341" xfId="4" applyFont="1" applyFill="1" applyBorder="1" applyAlignment="1">
      <alignment horizontal="center" textRotation="90"/>
    </xf>
    <xf numFmtId="0" fontId="9" fillId="25" borderId="341" xfId="4" applyFont="1" applyFill="1" applyBorder="1" applyAlignment="1">
      <alignment horizontal="center" textRotation="90"/>
    </xf>
    <xf numFmtId="0" fontId="9" fillId="23" borderId="341" xfId="4" applyFont="1" applyFill="1" applyBorder="1" applyAlignment="1">
      <alignment horizontal="center" textRotation="90"/>
    </xf>
    <xf numFmtId="0" fontId="8" fillId="27" borderId="341" xfId="4" applyFont="1" applyFill="1" applyBorder="1" applyAlignment="1">
      <alignment horizontal="center" textRotation="90"/>
    </xf>
    <xf numFmtId="0" fontId="8" fillId="26" borderId="341" xfId="4" applyFont="1" applyFill="1" applyBorder="1" applyAlignment="1">
      <alignment horizontal="center" textRotation="90"/>
    </xf>
    <xf numFmtId="0" fontId="9" fillId="0" borderId="285" xfId="0" applyFont="1" applyBorder="1" applyAlignment="1">
      <alignment horizontal="center" textRotation="90"/>
    </xf>
    <xf numFmtId="0" fontId="5" fillId="0" borderId="252" xfId="0" applyFont="1" applyBorder="1" applyAlignment="1">
      <alignment horizontal="center" textRotation="90"/>
    </xf>
    <xf numFmtId="21" fontId="85" fillId="20" borderId="317" xfId="0" quotePrefix="1" applyNumberFormat="1" applyFont="1" applyFill="1" applyBorder="1" applyAlignment="1">
      <alignment horizontal="center"/>
    </xf>
    <xf numFmtId="0" fontId="2" fillId="21" borderId="317" xfId="0" applyFont="1" applyFill="1" applyBorder="1"/>
    <xf numFmtId="0" fontId="2" fillId="15" borderId="317" xfId="0" applyFont="1" applyFill="1" applyBorder="1"/>
    <xf numFmtId="21" fontId="109" fillId="15" borderId="317" xfId="0" applyNumberFormat="1" applyFont="1" applyFill="1" applyBorder="1" applyAlignment="1">
      <alignment wrapText="1"/>
    </xf>
    <xf numFmtId="21" fontId="2" fillId="15" borderId="317" xfId="0" applyNumberFormat="1" applyFont="1" applyFill="1" applyBorder="1"/>
    <xf numFmtId="21" fontId="157" fillId="19" borderId="317" xfId="0" applyNumberFormat="1" applyFont="1" applyFill="1" applyBorder="1" applyAlignment="1">
      <alignment wrapText="1"/>
    </xf>
    <xf numFmtId="21" fontId="8" fillId="19" borderId="317" xfId="0" applyNumberFormat="1" applyFont="1" applyFill="1" applyBorder="1" applyAlignment="1">
      <alignment wrapText="1"/>
    </xf>
    <xf numFmtId="166" fontId="157" fillId="33" borderId="317" xfId="0" applyNumberFormat="1" applyFont="1" applyFill="1" applyBorder="1"/>
    <xf numFmtId="0" fontId="86" fillId="104" borderId="317" xfId="0" quotePrefix="1" applyFont="1" applyFill="1" applyBorder="1" applyAlignment="1">
      <alignment horizontal="left"/>
    </xf>
    <xf numFmtId="21" fontId="86" fillId="104" borderId="317" xfId="0" applyNumberFormat="1" applyFont="1" applyFill="1" applyBorder="1"/>
    <xf numFmtId="166" fontId="113" fillId="104" borderId="317" xfId="0" applyNumberFormat="1" applyFont="1" applyFill="1" applyBorder="1"/>
    <xf numFmtId="21" fontId="82" fillId="104" borderId="317" xfId="0" applyNumberFormat="1" applyFont="1" applyFill="1" applyBorder="1"/>
    <xf numFmtId="21" fontId="85" fillId="104" borderId="317" xfId="0" quotePrefix="1" applyNumberFormat="1" applyFont="1" applyFill="1" applyBorder="1" applyAlignment="1">
      <alignment horizontal="center"/>
    </xf>
    <xf numFmtId="1" fontId="86" fillId="104" borderId="317" xfId="0" applyNumberFormat="1" applyFont="1" applyFill="1" applyBorder="1" applyAlignment="1">
      <alignment horizontal="center"/>
    </xf>
    <xf numFmtId="0" fontId="0" fillId="104" borderId="317" xfId="0" applyFill="1" applyBorder="1"/>
    <xf numFmtId="21" fontId="157" fillId="140" borderId="317" xfId="0" applyNumberFormat="1" applyFont="1" applyFill="1" applyBorder="1" applyAlignment="1">
      <alignment wrapText="1"/>
    </xf>
    <xf numFmtId="21" fontId="8" fillId="140" borderId="317" xfId="0" applyNumberFormat="1" applyFont="1" applyFill="1" applyBorder="1" applyAlignment="1">
      <alignment wrapText="1"/>
    </xf>
    <xf numFmtId="0" fontId="8" fillId="33" borderId="317" xfId="0" quotePrefix="1" applyFont="1" applyFill="1" applyBorder="1" applyAlignment="1">
      <alignment horizontal="left"/>
    </xf>
    <xf numFmtId="1" fontId="0" fillId="20" borderId="317" xfId="0" applyNumberFormat="1" applyFill="1" applyBorder="1"/>
    <xf numFmtId="0" fontId="160" fillId="19" borderId="317" xfId="0" applyFont="1" applyFill="1" applyBorder="1"/>
    <xf numFmtId="21" fontId="85" fillId="16" borderId="342" xfId="0" applyNumberFormat="1" applyFont="1" applyFill="1" applyBorder="1" applyAlignment="1">
      <alignment horizontal="center"/>
    </xf>
    <xf numFmtId="1" fontId="11" fillId="143" borderId="0" xfId="0" applyNumberFormat="1" applyFont="1" applyFill="1"/>
    <xf numFmtId="0" fontId="11" fillId="182" borderId="291" xfId="0" applyFont="1" applyFill="1" applyBorder="1"/>
    <xf numFmtId="0" fontId="8" fillId="182" borderId="291" xfId="0" applyFont="1" applyFill="1" applyBorder="1"/>
    <xf numFmtId="166" fontId="157" fillId="182" borderId="0" xfId="0" applyNumberFormat="1" applyFont="1" applyFill="1"/>
    <xf numFmtId="174" fontId="262" fillId="143" borderId="0" xfId="0" quotePrefix="1" applyNumberFormat="1" applyFont="1" applyFill="1" applyAlignment="1">
      <alignment horizontal="center"/>
    </xf>
    <xf numFmtId="0" fontId="11" fillId="182" borderId="291" xfId="0" applyFont="1" applyFill="1" applyBorder="1" applyAlignment="1">
      <alignment horizontal="center"/>
    </xf>
    <xf numFmtId="1" fontId="86" fillId="21" borderId="342" xfId="0" applyNumberFormat="1" applyFont="1" applyFill="1" applyBorder="1"/>
    <xf numFmtId="0" fontId="1" fillId="21" borderId="317" xfId="0" applyFont="1" applyFill="1" applyBorder="1"/>
    <xf numFmtId="166" fontId="43" fillId="21" borderId="317" xfId="0" applyNumberFormat="1" applyFont="1" applyFill="1" applyBorder="1"/>
    <xf numFmtId="0" fontId="1" fillId="21" borderId="293" xfId="0" applyFont="1" applyFill="1" applyBorder="1"/>
    <xf numFmtId="1" fontId="81" fillId="91" borderId="317" xfId="0" applyNumberFormat="1" applyFont="1" applyFill="1" applyBorder="1"/>
    <xf numFmtId="0" fontId="2" fillId="91" borderId="317" xfId="0" applyFont="1" applyFill="1" applyBorder="1"/>
    <xf numFmtId="0" fontId="19" fillId="91" borderId="317" xfId="0" applyFont="1" applyFill="1" applyBorder="1"/>
    <xf numFmtId="21" fontId="113" fillId="91" borderId="317" xfId="0" applyNumberFormat="1" applyFont="1" applyFill="1" applyBorder="1" applyAlignment="1">
      <alignment wrapText="1"/>
    </xf>
    <xf numFmtId="166" fontId="307" fillId="116" borderId="317" xfId="0" applyNumberFormat="1" applyFont="1" applyFill="1" applyBorder="1"/>
    <xf numFmtId="21" fontId="280" fillId="91" borderId="317" xfId="0" applyNumberFormat="1" applyFont="1" applyFill="1" applyBorder="1"/>
    <xf numFmtId="21" fontId="275" fillId="91" borderId="317" xfId="0" quotePrefix="1" applyNumberFormat="1" applyFont="1" applyFill="1" applyBorder="1" applyAlignment="1">
      <alignment horizontal="center"/>
    </xf>
    <xf numFmtId="0" fontId="276" fillId="116" borderId="317" xfId="0" applyFont="1" applyFill="1" applyBorder="1"/>
    <xf numFmtId="0" fontId="275" fillId="91" borderId="291" xfId="0" applyFont="1" applyFill="1" applyBorder="1"/>
    <xf numFmtId="0" fontId="8" fillId="57" borderId="317" xfId="0" applyFont="1" applyFill="1" applyBorder="1"/>
    <xf numFmtId="166" fontId="77" fillId="57" borderId="317" xfId="0" applyNumberFormat="1" applyFont="1" applyFill="1" applyBorder="1"/>
    <xf numFmtId="0" fontId="107" fillId="57" borderId="317" xfId="0" applyFont="1" applyFill="1" applyBorder="1" applyAlignment="1">
      <alignment horizontal="center"/>
    </xf>
    <xf numFmtId="0" fontId="99" fillId="14" borderId="291" xfId="0" applyFont="1" applyFill="1" applyBorder="1"/>
    <xf numFmtId="0" fontId="260" fillId="123" borderId="251" xfId="0" applyFont="1" applyFill="1" applyBorder="1" applyAlignment="1">
      <alignment horizontal="left"/>
    </xf>
    <xf numFmtId="3" fontId="390" fillId="193" borderId="317" xfId="0" applyNumberFormat="1" applyFont="1" applyFill="1" applyBorder="1" applyProtection="1">
      <protection locked="0" hidden="1"/>
    </xf>
    <xf numFmtId="0" fontId="131" fillId="13" borderId="0" xfId="0" applyFont="1" applyFill="1" applyAlignment="1">
      <alignment horizontal="center"/>
    </xf>
    <xf numFmtId="21" fontId="158" fillId="19" borderId="317" xfId="0" applyNumberFormat="1" applyFont="1" applyFill="1" applyBorder="1"/>
    <xf numFmtId="183" fontId="378" fillId="19" borderId="317" xfId="0" applyNumberFormat="1" applyFont="1" applyFill="1" applyBorder="1"/>
    <xf numFmtId="183" fontId="275" fillId="108" borderId="317" xfId="0" applyNumberFormat="1" applyFont="1" applyFill="1" applyBorder="1"/>
    <xf numFmtId="0" fontId="270" fillId="108" borderId="282" xfId="0" applyFont="1" applyFill="1" applyBorder="1"/>
    <xf numFmtId="21" fontId="378" fillId="19" borderId="317" xfId="0" applyNumberFormat="1" applyFont="1" applyFill="1" applyBorder="1"/>
    <xf numFmtId="183" fontId="294" fillId="19" borderId="317" xfId="0" applyNumberFormat="1" applyFont="1" applyFill="1" applyBorder="1"/>
    <xf numFmtId="1" fontId="81" fillId="66" borderId="317" xfId="0" applyNumberFormat="1" applyFont="1" applyFill="1" applyBorder="1"/>
    <xf numFmtId="1" fontId="7" fillId="6" borderId="0" xfId="0" applyNumberFormat="1" applyFont="1" applyFill="1" applyAlignment="1" applyProtection="1">
      <alignment horizontal="center"/>
      <protection locked="0"/>
    </xf>
    <xf numFmtId="166" fontId="7" fillId="3" borderId="317" xfId="0" applyNumberFormat="1" applyFont="1" applyFill="1" applyBorder="1" applyAlignment="1" applyProtection="1">
      <alignment horizontal="center"/>
      <protection locked="0"/>
    </xf>
    <xf numFmtId="1" fontId="7" fillId="3" borderId="317" xfId="0" applyNumberFormat="1" applyFont="1" applyFill="1" applyBorder="1" applyAlignment="1" applyProtection="1">
      <alignment horizontal="center"/>
      <protection locked="0"/>
    </xf>
    <xf numFmtId="3" fontId="84" fillId="0" borderId="317" xfId="0" applyNumberFormat="1" applyFont="1" applyBorder="1"/>
    <xf numFmtId="165" fontId="18" fillId="13" borderId="343" xfId="0" applyNumberFormat="1" applyFont="1" applyFill="1" applyBorder="1" applyAlignment="1">
      <alignment horizontal="center" vertical="center"/>
    </xf>
    <xf numFmtId="165" fontId="55" fillId="3" borderId="0" xfId="0" applyNumberFormat="1" applyFont="1" applyFill="1" applyProtection="1">
      <protection locked="0"/>
    </xf>
    <xf numFmtId="166" fontId="0" fillId="15" borderId="317" xfId="0" applyNumberFormat="1" applyFill="1" applyBorder="1"/>
    <xf numFmtId="166" fontId="89" fillId="16" borderId="317" xfId="0" applyNumberFormat="1" applyFont="1" applyFill="1" applyBorder="1"/>
    <xf numFmtId="166" fontId="54" fillId="30" borderId="291" xfId="0" applyNumberFormat="1" applyFont="1" applyFill="1" applyBorder="1" applyAlignment="1">
      <alignment horizontal="center"/>
    </xf>
    <xf numFmtId="166" fontId="106" fillId="26" borderId="317" xfId="0" applyNumberFormat="1" applyFont="1" applyFill="1" applyBorder="1" applyAlignment="1">
      <alignment horizontal="center"/>
    </xf>
    <xf numFmtId="3" fontId="1" fillId="0" borderId="189" xfId="5" applyNumberFormat="1" applyFont="1" applyBorder="1" applyAlignment="1" applyProtection="1">
      <alignment horizontal="left"/>
      <protection hidden="1"/>
    </xf>
    <xf numFmtId="3" fontId="1" fillId="0" borderId="190" xfId="5" applyNumberFormat="1" applyFont="1" applyBorder="1" applyAlignment="1" applyProtection="1">
      <alignment horizontal="left"/>
      <protection hidden="1"/>
    </xf>
    <xf numFmtId="3" fontId="349" fillId="0" borderId="190" xfId="5" applyNumberFormat="1" applyFont="1" applyBorder="1" applyAlignment="1" applyProtection="1">
      <alignment horizontal="left"/>
      <protection hidden="1"/>
    </xf>
    <xf numFmtId="3" fontId="350" fillId="0" borderId="190" xfId="5" applyNumberFormat="1" applyFont="1" applyBorder="1" applyAlignment="1" applyProtection="1">
      <alignment horizontal="left"/>
      <protection locked="0" hidden="1"/>
    </xf>
    <xf numFmtId="3" fontId="349" fillId="0" borderId="0" xfId="5" applyNumberFormat="1" applyFont="1" applyAlignment="1" applyProtection="1">
      <alignment horizontal="left"/>
      <protection hidden="1"/>
    </xf>
    <xf numFmtId="3" fontId="10" fillId="8" borderId="189" xfId="5" applyNumberFormat="1" applyFont="1" applyFill="1" applyBorder="1" applyAlignment="1" applyProtection="1">
      <alignment horizontal="center"/>
      <protection hidden="1"/>
    </xf>
    <xf numFmtId="3" fontId="351" fillId="37" borderId="317" xfId="5" applyNumberFormat="1" applyFont="1" applyFill="1" applyBorder="1" applyProtection="1">
      <protection locked="0" hidden="1"/>
    </xf>
    <xf numFmtId="3" fontId="321" fillId="194" borderId="317" xfId="0" applyNumberFormat="1" applyFont="1" applyFill="1" applyBorder="1" applyProtection="1">
      <protection hidden="1"/>
    </xf>
    <xf numFmtId="3" fontId="10" fillId="8" borderId="12" xfId="5" applyNumberFormat="1" applyFont="1" applyFill="1" applyBorder="1" applyAlignment="1" applyProtection="1">
      <alignment horizontal="center"/>
      <protection hidden="1"/>
    </xf>
    <xf numFmtId="3" fontId="19" fillId="37" borderId="290" xfId="5" applyNumberFormat="1" applyFont="1" applyFill="1" applyBorder="1" applyProtection="1">
      <protection locked="0" hidden="1"/>
    </xf>
    <xf numFmtId="3" fontId="19" fillId="37" borderId="317" xfId="5" applyNumberFormat="1" applyFont="1" applyFill="1" applyBorder="1" applyProtection="1">
      <protection locked="0" hidden="1"/>
    </xf>
    <xf numFmtId="3" fontId="351" fillId="130" borderId="290" xfId="5" applyNumberFormat="1" applyFont="1" applyFill="1" applyBorder="1" applyProtection="1">
      <protection locked="0" hidden="1"/>
    </xf>
    <xf numFmtId="3" fontId="19" fillId="130" borderId="317" xfId="5" applyNumberFormat="1" applyFont="1" applyFill="1" applyBorder="1" applyProtection="1">
      <protection locked="0" hidden="1"/>
    </xf>
    <xf numFmtId="3" fontId="19" fillId="130" borderId="317" xfId="5" applyNumberFormat="1" applyFont="1" applyFill="1" applyBorder="1" applyProtection="1">
      <protection hidden="1"/>
    </xf>
    <xf numFmtId="3" fontId="19" fillId="130" borderId="293" xfId="5" applyNumberFormat="1" applyFont="1" applyFill="1" applyBorder="1" applyProtection="1">
      <protection locked="0" hidden="1"/>
    </xf>
    <xf numFmtId="3" fontId="117" fillId="35" borderId="290" xfId="5" applyNumberFormat="1" applyFont="1" applyFill="1" applyBorder="1" applyAlignment="1" applyProtection="1">
      <alignment horizontal="left"/>
      <protection locked="0" hidden="1"/>
    </xf>
    <xf numFmtId="3" fontId="117" fillId="129" borderId="290" xfId="5" applyNumberFormat="1" applyFont="1" applyFill="1" applyBorder="1" applyAlignment="1" applyProtection="1">
      <alignment horizontal="left"/>
      <protection locked="0" hidden="1"/>
    </xf>
    <xf numFmtId="3" fontId="19" fillId="8" borderId="196" xfId="5" applyNumberFormat="1" applyFont="1" applyFill="1" applyBorder="1" applyAlignment="1" applyProtection="1">
      <alignment horizontal="center"/>
      <protection hidden="1"/>
    </xf>
    <xf numFmtId="3" fontId="117" fillId="35" borderId="345" xfId="5" applyNumberFormat="1" applyFont="1" applyFill="1" applyBorder="1" applyAlignment="1" applyProtection="1">
      <alignment horizontal="center"/>
      <protection locked="0" hidden="1"/>
    </xf>
    <xf numFmtId="3" fontId="370" fillId="126" borderId="345" xfId="5" applyNumberFormat="1" applyFont="1" applyFill="1" applyBorder="1" applyAlignment="1" applyProtection="1">
      <alignment horizontal="center"/>
      <protection locked="0" hidden="1"/>
    </xf>
    <xf numFmtId="3" fontId="117" fillId="159" borderId="345" xfId="5" applyNumberFormat="1" applyFont="1" applyFill="1" applyBorder="1" applyAlignment="1" applyProtection="1">
      <alignment horizontal="center"/>
      <protection locked="0" hidden="1"/>
    </xf>
    <xf numFmtId="3" fontId="117" fillId="159" borderId="347" xfId="5" applyNumberFormat="1" applyFont="1" applyFill="1" applyBorder="1" applyAlignment="1" applyProtection="1">
      <alignment horizontal="center"/>
      <protection locked="0" hidden="1"/>
    </xf>
    <xf numFmtId="3" fontId="117" fillId="129" borderId="347" xfId="5" applyNumberFormat="1" applyFont="1" applyFill="1" applyBorder="1" applyAlignment="1" applyProtection="1">
      <alignment horizontal="center"/>
      <protection locked="0" hidden="1"/>
    </xf>
    <xf numFmtId="169" fontId="19" fillId="0" borderId="0" xfId="5" applyNumberFormat="1" applyFont="1" applyAlignment="1" applyProtection="1">
      <alignment vertical="center" textRotation="90"/>
      <protection hidden="1"/>
    </xf>
    <xf numFmtId="3" fontId="328" fillId="80" borderId="346" xfId="5" applyNumberFormat="1" applyFont="1" applyFill="1" applyBorder="1" applyAlignment="1" applyProtection="1">
      <alignment horizontal="left"/>
      <protection locked="0" hidden="1"/>
    </xf>
    <xf numFmtId="14" fontId="43" fillId="129" borderId="197" xfId="5" applyNumberFormat="1" applyFont="1" applyFill="1" applyBorder="1" applyAlignment="1" applyProtection="1">
      <alignment vertical="center"/>
      <protection hidden="1"/>
    </xf>
    <xf numFmtId="14" fontId="49" fillId="129" borderId="192" xfId="5" applyNumberFormat="1" applyFont="1" applyFill="1" applyBorder="1" applyAlignment="1" applyProtection="1">
      <alignment vertical="center" textRotation="1"/>
      <protection hidden="1"/>
    </xf>
    <xf numFmtId="3" fontId="43" fillId="3" borderId="66" xfId="5" applyNumberFormat="1" applyFont="1" applyFill="1" applyBorder="1" applyAlignment="1" applyProtection="1">
      <alignment horizontal="center" vertical="center"/>
      <protection locked="0" hidden="1"/>
    </xf>
    <xf numFmtId="3" fontId="43" fillId="3" borderId="96" xfId="5" applyNumberFormat="1" applyFont="1" applyFill="1" applyBorder="1" applyAlignment="1" applyProtection="1">
      <alignment horizontal="center" vertical="center"/>
      <protection locked="0" hidden="1"/>
    </xf>
    <xf numFmtId="3" fontId="43" fillId="3" borderId="60" xfId="5" applyNumberFormat="1" applyFont="1" applyFill="1" applyBorder="1" applyAlignment="1" applyProtection="1">
      <alignment horizontal="center" vertical="center"/>
      <protection locked="0" hidden="1"/>
    </xf>
    <xf numFmtId="3" fontId="44" fillId="3" borderId="317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290" xfId="5" applyNumberFormat="1" applyFont="1" applyFill="1" applyBorder="1" applyAlignment="1" applyProtection="1">
      <alignment horizontal="center" vertical="center"/>
      <protection locked="0" hidden="1"/>
    </xf>
    <xf numFmtId="3" fontId="44" fillId="3" borderId="293" xfId="5" applyNumberFormat="1" applyFont="1" applyFill="1" applyBorder="1" applyAlignment="1" applyProtection="1">
      <alignment horizontal="center" vertical="center"/>
      <protection locked="0" hidden="1"/>
    </xf>
    <xf numFmtId="3" fontId="19" fillId="8" borderId="348" xfId="5" applyNumberFormat="1" applyFont="1" applyFill="1" applyBorder="1" applyAlignment="1" applyProtection="1">
      <alignment horizontal="center"/>
      <protection hidden="1"/>
    </xf>
    <xf numFmtId="3" fontId="19" fillId="8" borderId="0" xfId="5" applyNumberFormat="1" applyFont="1" applyFill="1" applyAlignment="1" applyProtection="1">
      <alignment horizontal="center"/>
      <protection hidden="1"/>
    </xf>
    <xf numFmtId="3" fontId="19" fillId="120" borderId="0" xfId="5" applyNumberFormat="1" applyFont="1" applyFill="1" applyProtection="1">
      <protection hidden="1"/>
    </xf>
    <xf numFmtId="3" fontId="44" fillId="24" borderId="0" xfId="5" applyNumberFormat="1" applyFont="1" applyFill="1" applyAlignment="1" applyProtection="1">
      <alignment horizontal="center" vertical="center"/>
      <protection locked="0" hidden="1"/>
    </xf>
    <xf numFmtId="3" fontId="19" fillId="8" borderId="189" xfId="5" applyNumberFormat="1" applyFont="1" applyFill="1" applyBorder="1" applyAlignment="1" applyProtection="1">
      <alignment horizontal="center"/>
      <protection hidden="1"/>
    </xf>
    <xf numFmtId="3" fontId="44" fillId="3" borderId="266" xfId="5" applyNumberFormat="1" applyFont="1" applyFill="1" applyBorder="1" applyAlignment="1" applyProtection="1">
      <alignment horizontal="center" vertical="center"/>
      <protection locked="0" hidden="1"/>
    </xf>
    <xf numFmtId="0" fontId="21" fillId="0" borderId="0" xfId="6" applyProtection="1">
      <protection hidden="1"/>
    </xf>
    <xf numFmtId="3" fontId="351" fillId="3" borderId="0" xfId="5" applyNumberFormat="1" applyFont="1" applyFill="1" applyProtection="1">
      <protection hidden="1"/>
    </xf>
    <xf numFmtId="3" fontId="10" fillId="10" borderId="22" xfId="5" applyNumberFormat="1" applyFont="1" applyFill="1" applyBorder="1" applyProtection="1">
      <protection hidden="1"/>
    </xf>
    <xf numFmtId="3" fontId="10" fillId="0" borderId="0" xfId="5" applyNumberFormat="1" applyFont="1" applyAlignment="1" applyProtection="1">
      <alignment horizontal="right"/>
      <protection hidden="1"/>
    </xf>
    <xf numFmtId="3" fontId="354" fillId="0" borderId="0" xfId="5" applyNumberFormat="1" applyFont="1" applyProtection="1">
      <protection hidden="1"/>
    </xf>
    <xf numFmtId="3" fontId="354" fillId="0" borderId="0" xfId="5" applyNumberFormat="1" applyFont="1" applyAlignment="1" applyProtection="1">
      <alignment horizontal="right"/>
      <protection hidden="1"/>
    </xf>
    <xf numFmtId="0" fontId="2" fillId="0" borderId="0" xfId="5" applyFont="1" applyProtection="1">
      <protection hidden="1"/>
    </xf>
    <xf numFmtId="1" fontId="134" fillId="80" borderId="79" xfId="0" applyNumberFormat="1" applyFont="1" applyFill="1" applyBorder="1" applyAlignment="1" applyProtection="1">
      <alignment horizontal="center"/>
      <protection locked="0"/>
    </xf>
    <xf numFmtId="0" fontId="378" fillId="103" borderId="317" xfId="0" quotePrefix="1" applyFont="1" applyFill="1" applyBorder="1" applyAlignment="1">
      <alignment horizontal="left"/>
    </xf>
    <xf numFmtId="0" fontId="99" fillId="103" borderId="317" xfId="0" quotePrefix="1" applyFont="1" applyFill="1" applyBorder="1" applyAlignment="1">
      <alignment horizontal="left"/>
    </xf>
    <xf numFmtId="0" fontId="336" fillId="102" borderId="317" xfId="0" quotePrefix="1" applyFont="1" applyFill="1" applyBorder="1" applyAlignment="1">
      <alignment horizontal="left"/>
    </xf>
    <xf numFmtId="0" fontId="336" fillId="160" borderId="317" xfId="0" quotePrefix="1" applyFont="1" applyFill="1" applyBorder="1" applyAlignment="1">
      <alignment horizontal="left"/>
    </xf>
    <xf numFmtId="21" fontId="2" fillId="15" borderId="292" xfId="0" applyNumberFormat="1" applyFont="1" applyFill="1" applyBorder="1"/>
    <xf numFmtId="21" fontId="81" fillId="14" borderId="334" xfId="0" applyNumberFormat="1" applyFont="1" applyFill="1" applyBorder="1"/>
    <xf numFmtId="2" fontId="171" fillId="19" borderId="334" xfId="0" applyNumberFormat="1" applyFont="1" applyFill="1" applyBorder="1"/>
    <xf numFmtId="166" fontId="193" fillId="19" borderId="334" xfId="0" applyNumberFormat="1" applyFont="1" applyFill="1" applyBorder="1"/>
    <xf numFmtId="21" fontId="177" fillId="0" borderId="334" xfId="0" applyNumberFormat="1" applyFont="1" applyFill="1" applyBorder="1" applyAlignment="1">
      <alignment horizontal="center"/>
    </xf>
    <xf numFmtId="21" fontId="193" fillId="19" borderId="334" xfId="0" applyNumberFormat="1" applyFont="1" applyFill="1" applyBorder="1"/>
    <xf numFmtId="21" fontId="346" fillId="195" borderId="35" xfId="0" applyNumberFormat="1" applyFont="1" applyFill="1" applyBorder="1" applyAlignment="1">
      <alignment horizontal="center"/>
    </xf>
    <xf numFmtId="21" fontId="177" fillId="80" borderId="334" xfId="0" applyNumberFormat="1" applyFont="1" applyFill="1" applyBorder="1" applyAlignment="1">
      <alignment horizontal="center"/>
    </xf>
    <xf numFmtId="21" fontId="177" fillId="149" borderId="334" xfId="0" applyNumberFormat="1" applyFont="1" applyFill="1" applyBorder="1" applyAlignment="1">
      <alignment horizontal="center"/>
    </xf>
    <xf numFmtId="21" fontId="177" fillId="149" borderId="35" xfId="0" applyNumberFormat="1" applyFont="1" applyFill="1" applyBorder="1" applyAlignment="1">
      <alignment horizontal="center"/>
    </xf>
    <xf numFmtId="0" fontId="16" fillId="33" borderId="292" xfId="0" applyFont="1" applyFill="1" applyBorder="1" applyProtection="1"/>
    <xf numFmtId="183" fontId="325" fillId="19" borderId="35" xfId="0" applyNumberFormat="1" applyFont="1" applyFill="1" applyBorder="1" applyAlignment="1">
      <alignment horizontal="center"/>
    </xf>
    <xf numFmtId="2" fontId="99" fillId="19" borderId="334" xfId="0" applyNumberFormat="1" applyFont="1" applyFill="1" applyBorder="1"/>
    <xf numFmtId="2" fontId="99" fillId="19" borderId="35" xfId="0" applyNumberFormat="1" applyFont="1" applyFill="1" applyBorder="1"/>
    <xf numFmtId="2" fontId="99" fillId="19" borderId="292" xfId="0" applyNumberFormat="1" applyFont="1" applyFill="1" applyBorder="1"/>
    <xf numFmtId="0" fontId="8" fillId="33" borderId="334" xfId="0" applyFont="1" applyFill="1" applyBorder="1" applyAlignment="1" applyProtection="1">
      <alignment horizontal="left"/>
    </xf>
    <xf numFmtId="0" fontId="9" fillId="0" borderId="349" xfId="0" applyFont="1" applyBorder="1" applyAlignment="1">
      <alignment horizontal="center" textRotation="90"/>
    </xf>
    <xf numFmtId="21" fontId="9" fillId="0" borderId="350" xfId="0" applyNumberFormat="1" applyFont="1" applyBorder="1" applyAlignment="1">
      <alignment horizontal="center" textRotation="90"/>
    </xf>
    <xf numFmtId="0" fontId="9" fillId="0" borderId="350" xfId="0" applyFont="1" applyBorder="1" applyAlignment="1">
      <alignment horizontal="center" textRotation="90"/>
    </xf>
    <xf numFmtId="166" fontId="108" fillId="0" borderId="350" xfId="0" applyNumberFormat="1" applyFont="1" applyBorder="1" applyAlignment="1">
      <alignment horizontal="center" textRotation="90"/>
    </xf>
    <xf numFmtId="3" fontId="9" fillId="3" borderId="351" xfId="0" applyNumberFormat="1" applyFont="1" applyFill="1" applyBorder="1" applyAlignment="1">
      <alignment horizontal="center" textRotation="90"/>
    </xf>
    <xf numFmtId="0" fontId="9" fillId="3" borderId="352" xfId="4" applyFont="1" applyFill="1" applyBorder="1" applyAlignment="1">
      <alignment horizontal="center" textRotation="90"/>
    </xf>
    <xf numFmtId="0" fontId="9" fillId="24" borderId="352" xfId="4" applyFont="1" applyFill="1" applyBorder="1" applyAlignment="1">
      <alignment horizontal="center" textRotation="90"/>
    </xf>
    <xf numFmtId="0" fontId="9" fillId="22" borderId="352" xfId="4" applyFont="1" applyFill="1" applyBorder="1" applyAlignment="1">
      <alignment horizontal="center" textRotation="90"/>
    </xf>
    <xf numFmtId="0" fontId="9" fillId="25" borderId="352" xfId="4" applyFont="1" applyFill="1" applyBorder="1" applyAlignment="1">
      <alignment horizontal="center" textRotation="90"/>
    </xf>
    <xf numFmtId="0" fontId="9" fillId="23" borderId="352" xfId="4" applyFont="1" applyFill="1" applyBorder="1" applyAlignment="1">
      <alignment horizontal="center" textRotation="90"/>
    </xf>
    <xf numFmtId="0" fontId="8" fillId="27" borderId="352" xfId="4" applyFont="1" applyFill="1" applyBorder="1" applyAlignment="1">
      <alignment horizontal="center" textRotation="90"/>
    </xf>
    <xf numFmtId="0" fontId="8" fillId="26" borderId="352" xfId="4" applyFont="1" applyFill="1" applyBorder="1" applyAlignment="1">
      <alignment horizontal="center" textRotation="90"/>
    </xf>
    <xf numFmtId="1" fontId="1" fillId="91" borderId="334" xfId="0" applyNumberFormat="1" applyFont="1" applyFill="1" applyBorder="1"/>
    <xf numFmtId="0" fontId="172" fillId="80" borderId="334" xfId="0" applyFont="1" applyFill="1" applyBorder="1" applyAlignment="1">
      <alignment horizontal="center"/>
    </xf>
    <xf numFmtId="0" fontId="326" fillId="156" borderId="251" xfId="0" applyFont="1" applyFill="1" applyBorder="1" applyAlignment="1">
      <alignment horizontal="center"/>
    </xf>
    <xf numFmtId="0" fontId="107" fillId="116" borderId="334" xfId="0" applyFont="1" applyFill="1" applyBorder="1"/>
    <xf numFmtId="21" fontId="81" fillId="143" borderId="334" xfId="0" applyNumberFormat="1" applyFont="1" applyFill="1" applyBorder="1"/>
    <xf numFmtId="21" fontId="85" fillId="143" borderId="336" xfId="0" applyNumberFormat="1" applyFont="1" applyFill="1" applyBorder="1"/>
    <xf numFmtId="21" fontId="82" fillId="0" borderId="32" xfId="0" applyNumberFormat="1" applyFont="1" applyBorder="1"/>
    <xf numFmtId="177" fontId="10" fillId="47" borderId="334" xfId="0" applyNumberFormat="1" applyFont="1" applyFill="1" applyBorder="1"/>
    <xf numFmtId="0" fontId="10" fillId="21" borderId="334" xfId="0" applyFont="1" applyFill="1" applyBorder="1"/>
    <xf numFmtId="21" fontId="81" fillId="21" borderId="334" xfId="0" applyNumberFormat="1" applyFont="1" applyFill="1" applyBorder="1"/>
    <xf numFmtId="21" fontId="86" fillId="21" borderId="334" xfId="0" quotePrefix="1" applyNumberFormat="1" applyFont="1" applyFill="1" applyBorder="1" applyAlignment="1">
      <alignment horizontal="center"/>
    </xf>
    <xf numFmtId="0" fontId="86" fillId="21" borderId="334" xfId="0" quotePrefix="1" applyFont="1" applyFill="1" applyBorder="1" applyAlignment="1">
      <alignment horizontal="center"/>
    </xf>
    <xf numFmtId="0" fontId="19" fillId="21" borderId="324" xfId="0" applyFont="1" applyFill="1" applyBorder="1"/>
    <xf numFmtId="1" fontId="19" fillId="20" borderId="344" xfId="0" applyNumberFormat="1" applyFont="1" applyFill="1" applyBorder="1"/>
    <xf numFmtId="0" fontId="11" fillId="30" borderId="291" xfId="0" applyFont="1" applyFill="1" applyBorder="1"/>
    <xf numFmtId="21" fontId="100" fillId="29" borderId="334" xfId="0" applyNumberFormat="1" applyFont="1" applyFill="1" applyBorder="1" applyAlignment="1">
      <alignment horizontal="center"/>
    </xf>
    <xf numFmtId="21" fontId="100" fillId="29" borderId="334" xfId="0" applyNumberFormat="1" applyFont="1" applyFill="1" applyBorder="1"/>
    <xf numFmtId="21" fontId="106" fillId="29" borderId="334" xfId="0" applyNumberFormat="1" applyFont="1" applyFill="1" applyBorder="1"/>
    <xf numFmtId="166" fontId="8" fillId="30" borderId="0" xfId="0" applyNumberFormat="1" applyFont="1" applyFill="1"/>
    <xf numFmtId="21" fontId="106" fillId="29" borderId="334" xfId="0" quotePrefix="1" applyNumberFormat="1" applyFont="1" applyFill="1" applyBorder="1" applyAlignment="1">
      <alignment horizontal="center"/>
    </xf>
    <xf numFmtId="0" fontId="8" fillId="30" borderId="291" xfId="0" applyFont="1" applyFill="1" applyBorder="1" applyAlignment="1">
      <alignment horizontal="center"/>
    </xf>
    <xf numFmtId="1" fontId="81" fillId="21" borderId="334" xfId="0" applyNumberFormat="1" applyFont="1" applyFill="1" applyBorder="1"/>
    <xf numFmtId="0" fontId="19" fillId="21" borderId="251" xfId="0" applyFont="1" applyFill="1" applyBorder="1"/>
    <xf numFmtId="0" fontId="19" fillId="21" borderId="334" xfId="0" applyFont="1" applyFill="1" applyBorder="1"/>
    <xf numFmtId="21" fontId="81" fillId="21" borderId="334" xfId="0" applyNumberFormat="1" applyFont="1" applyFill="1" applyBorder="1" applyAlignment="1">
      <alignment horizontal="center"/>
    </xf>
    <xf numFmtId="166" fontId="19" fillId="21" borderId="334" xfId="0" applyNumberFormat="1" applyFont="1" applyFill="1" applyBorder="1"/>
    <xf numFmtId="21" fontId="86" fillId="14" borderId="334" xfId="0" quotePrefix="1" applyNumberFormat="1" applyFont="1" applyFill="1" applyBorder="1" applyAlignment="1">
      <alignment horizontal="center"/>
    </xf>
    <xf numFmtId="1" fontId="86" fillId="21" borderId="334" xfId="0" applyNumberFormat="1" applyFont="1" applyFill="1" applyBorder="1" applyAlignment="1">
      <alignment horizontal="center"/>
    </xf>
    <xf numFmtId="0" fontId="289" fillId="119" borderId="354" xfId="0" applyFont="1" applyFill="1" applyBorder="1"/>
    <xf numFmtId="0" fontId="19" fillId="18" borderId="355" xfId="0" applyFont="1" applyFill="1" applyBorder="1"/>
    <xf numFmtId="0" fontId="19" fillId="18" borderId="356" xfId="0" applyFont="1" applyFill="1" applyBorder="1"/>
    <xf numFmtId="21" fontId="152" fillId="17" borderId="357" xfId="0" applyNumberFormat="1" applyFont="1" applyFill="1" applyBorder="1" applyAlignment="1">
      <alignment horizontal="center"/>
    </xf>
    <xf numFmtId="21" fontId="152" fillId="17" borderId="357" xfId="0" applyNumberFormat="1" applyFont="1" applyFill="1" applyBorder="1"/>
    <xf numFmtId="0" fontId="88" fillId="18" borderId="356" xfId="0" quotePrefix="1" applyFont="1" applyFill="1" applyBorder="1" applyAlignment="1">
      <alignment horizontal="left"/>
    </xf>
    <xf numFmtId="176" fontId="10" fillId="17" borderId="357" xfId="0" applyNumberFormat="1" applyFont="1" applyFill="1" applyBorder="1"/>
    <xf numFmtId="21" fontId="86" fillId="17" borderId="357" xfId="0" quotePrefix="1" applyNumberFormat="1" applyFont="1" applyFill="1" applyBorder="1" applyAlignment="1">
      <alignment horizontal="center"/>
    </xf>
    <xf numFmtId="0" fontId="19" fillId="18" borderId="356" xfId="0" applyFont="1" applyFill="1" applyBorder="1" applyAlignment="1">
      <alignment horizontal="center"/>
    </xf>
    <xf numFmtId="21" fontId="81" fillId="14" borderId="357" xfId="0" applyNumberFormat="1" applyFont="1" applyFill="1" applyBorder="1"/>
    <xf numFmtId="0" fontId="19" fillId="119" borderId="323" xfId="0" applyFont="1" applyFill="1" applyBorder="1"/>
    <xf numFmtId="0" fontId="19" fillId="21" borderId="357" xfId="0" applyFont="1" applyFill="1" applyBorder="1"/>
    <xf numFmtId="21" fontId="81" fillId="21" borderId="357" xfId="0" applyNumberFormat="1" applyFont="1" applyFill="1" applyBorder="1" applyAlignment="1">
      <alignment horizontal="center"/>
    </xf>
    <xf numFmtId="21" fontId="81" fillId="21" borderId="357" xfId="0" applyNumberFormat="1" applyFont="1" applyFill="1" applyBorder="1"/>
    <xf numFmtId="0" fontId="10" fillId="21" borderId="357" xfId="0" applyFont="1" applyFill="1" applyBorder="1"/>
    <xf numFmtId="177" fontId="10" fillId="47" borderId="357" xfId="0" applyNumberFormat="1" applyFont="1" applyFill="1" applyBorder="1"/>
    <xf numFmtId="166" fontId="19" fillId="21" borderId="357" xfId="0" applyNumberFormat="1" applyFont="1" applyFill="1" applyBorder="1"/>
    <xf numFmtId="21" fontId="86" fillId="21" borderId="357" xfId="0" quotePrefix="1" applyNumberFormat="1" applyFont="1" applyFill="1" applyBorder="1" applyAlignment="1">
      <alignment horizontal="center"/>
    </xf>
    <xf numFmtId="1" fontId="86" fillId="21" borderId="357" xfId="0" applyNumberFormat="1" applyFont="1" applyFill="1" applyBorder="1" applyAlignment="1">
      <alignment horizontal="center"/>
    </xf>
    <xf numFmtId="0" fontId="19" fillId="21" borderId="358" xfId="0" applyFont="1" applyFill="1" applyBorder="1"/>
    <xf numFmtId="1" fontId="171" fillId="19" borderId="357" xfId="0" applyNumberFormat="1" applyFont="1" applyFill="1" applyBorder="1"/>
    <xf numFmtId="0" fontId="100" fillId="19" borderId="357" xfId="0" applyFont="1" applyFill="1" applyBorder="1"/>
    <xf numFmtId="21" fontId="232" fillId="19" borderId="357" xfId="0" applyNumberFormat="1" applyFont="1" applyFill="1" applyBorder="1"/>
    <xf numFmtId="21" fontId="100" fillId="19" borderId="357" xfId="0" applyNumberFormat="1" applyFont="1" applyFill="1" applyBorder="1"/>
    <xf numFmtId="0" fontId="106" fillId="19" borderId="357" xfId="0" quotePrefix="1" applyFont="1" applyFill="1" applyBorder="1" applyAlignment="1">
      <alignment horizontal="left"/>
    </xf>
    <xf numFmtId="21" fontId="106" fillId="19" borderId="357" xfId="0" applyNumberFormat="1" applyFont="1" applyFill="1" applyBorder="1"/>
    <xf numFmtId="166" fontId="194" fillId="19" borderId="357" xfId="0" applyNumberFormat="1" applyFont="1" applyFill="1" applyBorder="1"/>
    <xf numFmtId="21" fontId="189" fillId="14" borderId="357" xfId="0" applyNumberFormat="1" applyFont="1" applyFill="1" applyBorder="1"/>
    <xf numFmtId="21" fontId="106" fillId="19" borderId="357" xfId="0" quotePrefix="1" applyNumberFormat="1" applyFont="1" applyFill="1" applyBorder="1" applyAlignment="1">
      <alignment horizontal="center"/>
    </xf>
    <xf numFmtId="0" fontId="106" fillId="19" borderId="359" xfId="0" applyFont="1" applyFill="1" applyBorder="1"/>
    <xf numFmtId="1" fontId="19" fillId="0" borderId="0" xfId="0" applyNumberFormat="1" applyFont="1"/>
    <xf numFmtId="21" fontId="86" fillId="14" borderId="357" xfId="0" applyNumberFormat="1" applyFont="1" applyFill="1" applyBorder="1"/>
    <xf numFmtId="166" fontId="7" fillId="3" borderId="0" xfId="0" applyNumberFormat="1" applyFont="1" applyFill="1" applyAlignment="1" applyProtection="1">
      <alignment horizontal="center"/>
      <protection locked="0"/>
    </xf>
    <xf numFmtId="21" fontId="81" fillId="109" borderId="357" xfId="0" applyNumberFormat="1" applyFont="1" applyFill="1" applyBorder="1"/>
    <xf numFmtId="0" fontId="86" fillId="109" borderId="357" xfId="0" quotePrefix="1" applyFont="1" applyFill="1" applyBorder="1" applyAlignment="1">
      <alignment horizontal="center"/>
    </xf>
    <xf numFmtId="0" fontId="19" fillId="109" borderId="358" xfId="0" applyFont="1" applyFill="1" applyBorder="1"/>
    <xf numFmtId="1" fontId="19" fillId="20" borderId="360" xfId="0" applyNumberFormat="1" applyFont="1" applyFill="1" applyBorder="1"/>
    <xf numFmtId="0" fontId="288" fillId="114" borderId="361" xfId="0" applyFont="1" applyFill="1" applyBorder="1"/>
    <xf numFmtId="0" fontId="11" fillId="30" borderId="362" xfId="0" applyFont="1" applyFill="1" applyBorder="1"/>
    <xf numFmtId="21" fontId="100" fillId="29" borderId="363" xfId="0" applyNumberFormat="1" applyFont="1" applyFill="1" applyBorder="1" applyAlignment="1">
      <alignment horizontal="center"/>
    </xf>
    <xf numFmtId="21" fontId="100" fillId="29" borderId="363" xfId="0" applyNumberFormat="1" applyFont="1" applyFill="1" applyBorder="1"/>
    <xf numFmtId="0" fontId="8" fillId="30" borderId="362" xfId="0" applyFont="1" applyFill="1" applyBorder="1"/>
    <xf numFmtId="21" fontId="106" fillId="29" borderId="363" xfId="0" applyNumberFormat="1" applyFont="1" applyFill="1" applyBorder="1"/>
    <xf numFmtId="21" fontId="106" fillId="29" borderId="363" xfId="0" quotePrefix="1" applyNumberFormat="1" applyFont="1" applyFill="1" applyBorder="1" applyAlignment="1">
      <alignment horizontal="center"/>
    </xf>
    <xf numFmtId="0" fontId="8" fillId="30" borderId="362" xfId="0" applyFont="1" applyFill="1" applyBorder="1" applyAlignment="1">
      <alignment horizontal="center"/>
    </xf>
    <xf numFmtId="21" fontId="81" fillId="14" borderId="363" xfId="0" applyNumberFormat="1" applyFont="1" applyFill="1" applyBorder="1"/>
    <xf numFmtId="1" fontId="81" fillId="21" borderId="364" xfId="0" applyNumberFormat="1" applyFont="1" applyFill="1" applyBorder="1"/>
    <xf numFmtId="0" fontId="289" fillId="114" borderId="251" xfId="0" applyFont="1" applyFill="1" applyBorder="1"/>
    <xf numFmtId="0" fontId="11" fillId="30" borderId="365" xfId="0" applyFont="1" applyFill="1" applyBorder="1"/>
    <xf numFmtId="21" fontId="100" fillId="29" borderId="366" xfId="0" applyNumberFormat="1" applyFont="1" applyFill="1" applyBorder="1" applyAlignment="1">
      <alignment horizontal="center"/>
    </xf>
    <xf numFmtId="21" fontId="100" fillId="29" borderId="366" xfId="0" applyNumberFormat="1" applyFont="1" applyFill="1" applyBorder="1"/>
    <xf numFmtId="0" fontId="8" fillId="30" borderId="365" xfId="0" applyFont="1" applyFill="1" applyBorder="1"/>
    <xf numFmtId="21" fontId="106" fillId="29" borderId="366" xfId="0" applyNumberFormat="1" applyFont="1" applyFill="1" applyBorder="1"/>
    <xf numFmtId="21" fontId="106" fillId="29" borderId="366" xfId="0" quotePrefix="1" applyNumberFormat="1" applyFont="1" applyFill="1" applyBorder="1" applyAlignment="1">
      <alignment horizontal="center"/>
    </xf>
    <xf numFmtId="0" fontId="8" fillId="30" borderId="365" xfId="0" applyFont="1" applyFill="1" applyBorder="1" applyAlignment="1">
      <alignment horizontal="center"/>
    </xf>
    <xf numFmtId="21" fontId="81" fillId="14" borderId="366" xfId="0" applyNumberFormat="1" applyFont="1" applyFill="1" applyBorder="1"/>
    <xf numFmtId="1" fontId="19" fillId="15" borderId="367" xfId="0" applyNumberFormat="1" applyFont="1" applyFill="1" applyBorder="1"/>
    <xf numFmtId="0" fontId="19" fillId="114" borderId="323" xfId="0" applyFont="1" applyFill="1" applyBorder="1"/>
    <xf numFmtId="0" fontId="11" fillId="30" borderId="368" xfId="0" applyFont="1" applyFill="1" applyBorder="1"/>
    <xf numFmtId="21" fontId="100" fillId="29" borderId="369" xfId="0" applyNumberFormat="1" applyFont="1" applyFill="1" applyBorder="1" applyAlignment="1">
      <alignment horizontal="center"/>
    </xf>
    <xf numFmtId="21" fontId="100" fillId="29" borderId="369" xfId="0" applyNumberFormat="1" applyFont="1" applyFill="1" applyBorder="1"/>
    <xf numFmtId="0" fontId="8" fillId="30" borderId="368" xfId="0" applyFont="1" applyFill="1" applyBorder="1"/>
    <xf numFmtId="21" fontId="106" fillId="29" borderId="369" xfId="0" applyNumberFormat="1" applyFont="1" applyFill="1" applyBorder="1"/>
    <xf numFmtId="21" fontId="106" fillId="29" borderId="369" xfId="0" quotePrefix="1" applyNumberFormat="1" applyFont="1" applyFill="1" applyBorder="1" applyAlignment="1">
      <alignment horizontal="center"/>
    </xf>
    <xf numFmtId="0" fontId="8" fillId="30" borderId="368" xfId="0" applyFont="1" applyFill="1" applyBorder="1" applyAlignment="1">
      <alignment horizontal="center"/>
    </xf>
    <xf numFmtId="21" fontId="81" fillId="14" borderId="369" xfId="0" applyNumberFormat="1" applyFont="1" applyFill="1" applyBorder="1"/>
    <xf numFmtId="1" fontId="81" fillId="21" borderId="369" xfId="0" applyNumberFormat="1" applyFont="1" applyFill="1" applyBorder="1"/>
    <xf numFmtId="0" fontId="19" fillId="21" borderId="369" xfId="0" applyFont="1" applyFill="1" applyBorder="1"/>
    <xf numFmtId="21" fontId="81" fillId="21" borderId="369" xfId="0" applyNumberFormat="1" applyFont="1" applyFill="1" applyBorder="1" applyAlignment="1">
      <alignment horizontal="center"/>
    </xf>
    <xf numFmtId="21" fontId="81" fillId="21" borderId="369" xfId="0" applyNumberFormat="1" applyFont="1" applyFill="1" applyBorder="1"/>
    <xf numFmtId="0" fontId="10" fillId="21" borderId="369" xfId="0" applyFont="1" applyFill="1" applyBorder="1"/>
    <xf numFmtId="166" fontId="19" fillId="21" borderId="369" xfId="0" applyNumberFormat="1" applyFont="1" applyFill="1" applyBorder="1"/>
    <xf numFmtId="21" fontId="86" fillId="14" borderId="369" xfId="0" quotePrefix="1" applyNumberFormat="1" applyFont="1" applyFill="1" applyBorder="1" applyAlignment="1">
      <alignment horizontal="center"/>
    </xf>
    <xf numFmtId="21" fontId="86" fillId="21" borderId="369" xfId="0" quotePrefix="1" applyNumberFormat="1" applyFont="1" applyFill="1" applyBorder="1" applyAlignment="1">
      <alignment horizontal="center"/>
    </xf>
    <xf numFmtId="1" fontId="86" fillId="21" borderId="369" xfId="0" applyNumberFormat="1" applyFont="1" applyFill="1" applyBorder="1" applyAlignment="1">
      <alignment horizontal="center"/>
    </xf>
    <xf numFmtId="0" fontId="19" fillId="21" borderId="370" xfId="0" applyFont="1" applyFill="1" applyBorder="1"/>
    <xf numFmtId="0" fontId="289" fillId="119" borderId="371" xfId="0" applyFont="1" applyFill="1" applyBorder="1"/>
    <xf numFmtId="0" fontId="19" fillId="18" borderId="372" xfId="0" applyFont="1" applyFill="1" applyBorder="1"/>
    <xf numFmtId="0" fontId="19" fillId="18" borderId="373" xfId="0" applyFont="1" applyFill="1" applyBorder="1"/>
    <xf numFmtId="21" fontId="152" fillId="17" borderId="374" xfId="0" applyNumberFormat="1" applyFont="1" applyFill="1" applyBorder="1" applyAlignment="1">
      <alignment horizontal="center"/>
    </xf>
    <xf numFmtId="21" fontId="152" fillId="17" borderId="374" xfId="0" applyNumberFormat="1" applyFont="1" applyFill="1" applyBorder="1"/>
    <xf numFmtId="0" fontId="88" fillId="18" borderId="373" xfId="0" quotePrefix="1" applyFont="1" applyFill="1" applyBorder="1" applyAlignment="1">
      <alignment horizontal="left"/>
    </xf>
    <xf numFmtId="176" fontId="10" fillId="17" borderId="374" xfId="0" applyNumberFormat="1" applyFont="1" applyFill="1" applyBorder="1"/>
    <xf numFmtId="21" fontId="86" fillId="17" borderId="374" xfId="0" quotePrefix="1" applyNumberFormat="1" applyFont="1" applyFill="1" applyBorder="1" applyAlignment="1">
      <alignment horizontal="center"/>
    </xf>
    <xf numFmtId="0" fontId="19" fillId="18" borderId="373" xfId="0" applyFont="1" applyFill="1" applyBorder="1" applyAlignment="1">
      <alignment horizontal="center"/>
    </xf>
    <xf numFmtId="21" fontId="81" fillId="14" borderId="374" xfId="0" applyNumberFormat="1" applyFont="1" applyFill="1" applyBorder="1"/>
    <xf numFmtId="0" fontId="19" fillId="21" borderId="374" xfId="0" applyFont="1" applyFill="1" applyBorder="1"/>
    <xf numFmtId="21" fontId="81" fillId="21" borderId="374" xfId="0" applyNumberFormat="1" applyFont="1" applyFill="1" applyBorder="1" applyAlignment="1">
      <alignment horizontal="center"/>
    </xf>
    <xf numFmtId="21" fontId="81" fillId="21" borderId="374" xfId="0" applyNumberFormat="1" applyFont="1" applyFill="1" applyBorder="1"/>
    <xf numFmtId="0" fontId="10" fillId="21" borderId="374" xfId="0" applyFont="1" applyFill="1" applyBorder="1"/>
    <xf numFmtId="177" fontId="10" fillId="47" borderId="374" xfId="0" applyNumberFormat="1" applyFont="1" applyFill="1" applyBorder="1"/>
    <xf numFmtId="166" fontId="19" fillId="21" borderId="374" xfId="0" applyNumberFormat="1" applyFont="1" applyFill="1" applyBorder="1"/>
    <xf numFmtId="21" fontId="86" fillId="21" borderId="374" xfId="0" quotePrefix="1" applyNumberFormat="1" applyFont="1" applyFill="1" applyBorder="1" applyAlignment="1">
      <alignment horizontal="center"/>
    </xf>
    <xf numFmtId="1" fontId="86" fillId="21" borderId="374" xfId="0" applyNumberFormat="1" applyFont="1" applyFill="1" applyBorder="1" applyAlignment="1">
      <alignment horizontal="center"/>
    </xf>
    <xf numFmtId="0" fontId="19" fillId="21" borderId="375" xfId="0" applyFont="1" applyFill="1" applyBorder="1"/>
    <xf numFmtId="21" fontId="81" fillId="143" borderId="374" xfId="0" applyNumberFormat="1" applyFont="1" applyFill="1" applyBorder="1"/>
    <xf numFmtId="1" fontId="19" fillId="120" borderId="0" xfId="0" applyNumberFormat="1" applyFont="1" applyFill="1"/>
    <xf numFmtId="1" fontId="7" fillId="120" borderId="0" xfId="0" applyNumberFormat="1" applyFont="1" applyFill="1" applyAlignment="1" applyProtection="1">
      <alignment horizontal="center"/>
      <protection locked="0"/>
    </xf>
    <xf numFmtId="21" fontId="86" fillId="14" borderId="374" xfId="0" applyNumberFormat="1" applyFont="1" applyFill="1" applyBorder="1"/>
    <xf numFmtId="166" fontId="7" fillId="120" borderId="0" xfId="0" applyNumberFormat="1" applyFont="1" applyFill="1" applyAlignment="1" applyProtection="1">
      <alignment horizontal="center"/>
      <protection locked="0"/>
    </xf>
    <xf numFmtId="21" fontId="306" fillId="143" borderId="374" xfId="0" applyNumberFormat="1" applyFont="1" applyFill="1" applyBorder="1"/>
    <xf numFmtId="1" fontId="81" fillId="14" borderId="374" xfId="0" applyNumberFormat="1" applyFont="1" applyFill="1" applyBorder="1"/>
    <xf numFmtId="0" fontId="0" fillId="14" borderId="374" xfId="0" applyFill="1" applyBorder="1"/>
    <xf numFmtId="21" fontId="82" fillId="14" borderId="374" xfId="0" applyNumberFormat="1" applyFont="1" applyFill="1" applyBorder="1"/>
    <xf numFmtId="0" fontId="86" fillId="14" borderId="374" xfId="0" applyFont="1" applyFill="1" applyBorder="1"/>
    <xf numFmtId="166" fontId="81" fillId="14" borderId="374" xfId="0" applyNumberFormat="1" applyFont="1" applyFill="1" applyBorder="1"/>
    <xf numFmtId="21" fontId="86" fillId="14" borderId="374" xfId="0" quotePrefix="1" applyNumberFormat="1" applyFont="1" applyFill="1" applyBorder="1" applyAlignment="1">
      <alignment horizontal="center"/>
    </xf>
    <xf numFmtId="1" fontId="86" fillId="14" borderId="374" xfId="0" applyNumberFormat="1" applyFont="1" applyFill="1" applyBorder="1" applyAlignment="1">
      <alignment horizontal="center"/>
    </xf>
    <xf numFmtId="0" fontId="19" fillId="14" borderId="374" xfId="0" applyFont="1" applyFill="1" applyBorder="1"/>
    <xf numFmtId="1" fontId="81" fillId="21" borderId="376" xfId="0" applyNumberFormat="1" applyFont="1" applyFill="1" applyBorder="1"/>
    <xf numFmtId="0" fontId="0" fillId="21" borderId="374" xfId="0" applyFill="1" applyBorder="1"/>
    <xf numFmtId="21" fontId="82" fillId="21" borderId="374" xfId="0" applyNumberFormat="1" applyFont="1" applyFill="1" applyBorder="1"/>
    <xf numFmtId="176" fontId="10" fillId="21" borderId="374" xfId="0" applyNumberFormat="1" applyFont="1" applyFill="1" applyBorder="1"/>
    <xf numFmtId="1" fontId="0" fillId="15" borderId="374" xfId="0" applyNumberFormat="1" applyFill="1" applyBorder="1"/>
    <xf numFmtId="0" fontId="0" fillId="15" borderId="374" xfId="0" applyFill="1" applyBorder="1"/>
    <xf numFmtId="21" fontId="0" fillId="15" borderId="374" xfId="0" applyNumberFormat="1" applyFill="1" applyBorder="1"/>
    <xf numFmtId="176" fontId="10" fillId="15" borderId="374" xfId="0" applyNumberFormat="1" applyFont="1" applyFill="1" applyBorder="1"/>
    <xf numFmtId="166" fontId="19" fillId="15" borderId="374" xfId="0" applyNumberFormat="1" applyFont="1" applyFill="1" applyBorder="1"/>
    <xf numFmtId="21" fontId="19" fillId="15" borderId="374" xfId="0" applyNumberFormat="1" applyFont="1" applyFill="1" applyBorder="1"/>
    <xf numFmtId="21" fontId="86" fillId="15" borderId="374" xfId="0" quotePrefix="1" applyNumberFormat="1" applyFont="1" applyFill="1" applyBorder="1" applyAlignment="1">
      <alignment horizontal="center"/>
    </xf>
    <xf numFmtId="0" fontId="2" fillId="18" borderId="373" xfId="0" applyFont="1" applyFill="1" applyBorder="1"/>
    <xf numFmtId="21" fontId="89" fillId="17" borderId="374" xfId="0" applyNumberFormat="1" applyFont="1" applyFill="1" applyBorder="1"/>
    <xf numFmtId="0" fontId="107" fillId="33" borderId="374" xfId="0" applyFont="1" applyFill="1" applyBorder="1" applyAlignment="1">
      <alignment horizontal="center"/>
    </xf>
    <xf numFmtId="0" fontId="106" fillId="19" borderId="373" xfId="0" applyFont="1" applyFill="1" applyBorder="1"/>
    <xf numFmtId="21" fontId="11" fillId="19" borderId="374" xfId="0" applyNumberFormat="1" applyFont="1" applyFill="1" applyBorder="1"/>
    <xf numFmtId="176" fontId="8" fillId="19" borderId="374" xfId="0" applyNumberFormat="1" applyFont="1" applyFill="1" applyBorder="1"/>
    <xf numFmtId="166" fontId="8" fillId="33" borderId="374" xfId="0" applyNumberFormat="1" applyFont="1" applyFill="1" applyBorder="1"/>
    <xf numFmtId="21" fontId="8" fillId="19" borderId="374" xfId="0" applyNumberFormat="1" applyFont="1" applyFill="1" applyBorder="1"/>
    <xf numFmtId="21" fontId="106" fillId="19" borderId="374" xfId="0" quotePrefix="1" applyNumberFormat="1" applyFont="1" applyFill="1" applyBorder="1" applyAlignment="1">
      <alignment horizontal="center"/>
    </xf>
    <xf numFmtId="0" fontId="225" fillId="16" borderId="374" xfId="0" applyFont="1" applyFill="1" applyBorder="1" applyAlignment="1">
      <alignment wrapText="1"/>
    </xf>
    <xf numFmtId="0" fontId="88" fillId="18" borderId="373" xfId="0" applyFont="1" applyFill="1" applyBorder="1"/>
    <xf numFmtId="0" fontId="107" fillId="33" borderId="374" xfId="0" applyFont="1" applyFill="1" applyBorder="1"/>
    <xf numFmtId="0" fontId="19" fillId="21" borderId="376" xfId="0" applyFont="1" applyFill="1" applyBorder="1"/>
    <xf numFmtId="21" fontId="81" fillId="21" borderId="376" xfId="0" applyNumberFormat="1" applyFont="1" applyFill="1" applyBorder="1"/>
    <xf numFmtId="0" fontId="10" fillId="21" borderId="376" xfId="0" applyFont="1" applyFill="1" applyBorder="1"/>
    <xf numFmtId="166" fontId="19" fillId="21" borderId="376" xfId="0" applyNumberFormat="1" applyFont="1" applyFill="1" applyBorder="1"/>
    <xf numFmtId="21" fontId="86" fillId="14" borderId="376" xfId="0" applyNumberFormat="1" applyFont="1" applyFill="1" applyBorder="1" applyAlignment="1">
      <alignment horizontal="center"/>
    </xf>
    <xf numFmtId="21" fontId="86" fillId="21" borderId="376" xfId="0" applyNumberFormat="1" applyFont="1" applyFill="1" applyBorder="1" applyAlignment="1">
      <alignment horizontal="center"/>
    </xf>
    <xf numFmtId="1" fontId="86" fillId="21" borderId="376" xfId="0" applyNumberFormat="1" applyFont="1" applyFill="1" applyBorder="1" applyAlignment="1">
      <alignment horizontal="center"/>
    </xf>
    <xf numFmtId="1" fontId="19" fillId="16" borderId="376" xfId="0" applyNumberFormat="1" applyFont="1" applyFill="1" applyBorder="1"/>
    <xf numFmtId="0" fontId="152" fillId="16" borderId="376" xfId="0" applyFont="1" applyFill="1" applyBorder="1"/>
    <xf numFmtId="21" fontId="152" fillId="16" borderId="376" xfId="0" applyNumberFormat="1" applyFont="1" applyFill="1" applyBorder="1" applyAlignment="1">
      <alignment horizontal="center"/>
    </xf>
    <xf numFmtId="21" fontId="152" fillId="16" borderId="376" xfId="0" applyNumberFormat="1" applyFont="1" applyFill="1" applyBorder="1"/>
    <xf numFmtId="0" fontId="84" fillId="16" borderId="376" xfId="0" applyFont="1" applyFill="1" applyBorder="1" applyAlignment="1">
      <alignment horizontal="left"/>
    </xf>
    <xf numFmtId="166" fontId="152" fillId="16" borderId="374" xfId="0" applyNumberFormat="1" applyFont="1" applyFill="1" applyBorder="1"/>
    <xf numFmtId="21" fontId="152" fillId="16" borderId="374" xfId="0" applyNumberFormat="1" applyFont="1" applyFill="1" applyBorder="1"/>
    <xf numFmtId="21" fontId="86" fillId="20" borderId="374" xfId="0" quotePrefix="1" applyNumberFormat="1" applyFont="1" applyFill="1" applyBorder="1" applyAlignment="1">
      <alignment horizontal="center"/>
    </xf>
    <xf numFmtId="0" fontId="84" fillId="16" borderId="374" xfId="0" quotePrefix="1" applyFont="1" applyFill="1" applyBorder="1" applyAlignment="1">
      <alignment horizontal="center"/>
    </xf>
    <xf numFmtId="0" fontId="152" fillId="16" borderId="374" xfId="0" applyFont="1" applyFill="1" applyBorder="1"/>
    <xf numFmtId="1" fontId="81" fillId="21" borderId="253" xfId="0" applyNumberFormat="1" applyFont="1" applyFill="1" applyBorder="1"/>
    <xf numFmtId="0" fontId="19" fillId="21" borderId="253" xfId="0" applyFont="1" applyFill="1" applyBorder="1"/>
    <xf numFmtId="21" fontId="81" fillId="21" borderId="253" xfId="0" applyNumberFormat="1" applyFont="1" applyFill="1" applyBorder="1" applyAlignment="1">
      <alignment horizontal="center"/>
    </xf>
    <xf numFmtId="0" fontId="10" fillId="21" borderId="253" xfId="0" applyFont="1" applyFill="1" applyBorder="1"/>
    <xf numFmtId="0" fontId="11" fillId="30" borderId="373" xfId="0" applyFont="1" applyFill="1" applyBorder="1"/>
    <xf numFmtId="21" fontId="100" fillId="29" borderId="374" xfId="0" applyNumberFormat="1" applyFont="1" applyFill="1" applyBorder="1" applyAlignment="1">
      <alignment horizontal="center"/>
    </xf>
    <xf numFmtId="21" fontId="100" fillId="29" borderId="374" xfId="0" applyNumberFormat="1" applyFont="1" applyFill="1" applyBorder="1"/>
    <xf numFmtId="0" fontId="8" fillId="30" borderId="373" xfId="0" applyFont="1" applyFill="1" applyBorder="1"/>
    <xf numFmtId="21" fontId="106" fillId="29" borderId="374" xfId="0" applyNumberFormat="1" applyFont="1" applyFill="1" applyBorder="1"/>
    <xf numFmtId="21" fontId="106" fillId="29" borderId="374" xfId="0" quotePrefix="1" applyNumberFormat="1" applyFont="1" applyFill="1" applyBorder="1" applyAlignment="1">
      <alignment horizontal="center"/>
    </xf>
    <xf numFmtId="0" fontId="8" fillId="30" borderId="373" xfId="0" applyFont="1" applyFill="1" applyBorder="1" applyAlignment="1">
      <alignment horizontal="center"/>
    </xf>
    <xf numFmtId="21" fontId="86" fillId="21" borderId="253" xfId="0" applyNumberFormat="1" applyFont="1" applyFill="1" applyBorder="1" applyAlignment="1">
      <alignment horizontal="center"/>
    </xf>
    <xf numFmtId="21" fontId="86" fillId="21" borderId="253" xfId="0" applyNumberFormat="1" applyFont="1" applyFill="1" applyBorder="1"/>
    <xf numFmtId="166" fontId="10" fillId="21" borderId="374" xfId="0" applyNumberFormat="1" applyFont="1" applyFill="1" applyBorder="1"/>
    <xf numFmtId="21" fontId="86" fillId="21" borderId="374" xfId="0" applyNumberFormat="1" applyFont="1" applyFill="1" applyBorder="1"/>
    <xf numFmtId="0" fontId="10" fillId="21" borderId="375" xfId="0" applyFont="1" applyFill="1" applyBorder="1"/>
    <xf numFmtId="21" fontId="152" fillId="17" borderId="323" xfId="0" applyNumberFormat="1" applyFont="1" applyFill="1" applyBorder="1" applyAlignment="1">
      <alignment horizontal="center"/>
    </xf>
    <xf numFmtId="21" fontId="152" fillId="17" borderId="253" xfId="0" applyNumberFormat="1" applyFont="1" applyFill="1" applyBorder="1"/>
    <xf numFmtId="0" fontId="88" fillId="18" borderId="373" xfId="0" applyFont="1" applyFill="1" applyBorder="1" applyAlignment="1">
      <alignment horizontal="left"/>
    </xf>
    <xf numFmtId="176" fontId="10" fillId="17" borderId="323" xfId="0" applyNumberFormat="1" applyFont="1" applyFill="1" applyBorder="1"/>
    <xf numFmtId="1" fontId="81" fillId="0" borderId="253" xfId="0" applyNumberFormat="1" applyFont="1" applyBorder="1"/>
    <xf numFmtId="0" fontId="19" fillId="0" borderId="253" xfId="0" applyFont="1" applyBorder="1"/>
    <xf numFmtId="21" fontId="81" fillId="0" borderId="253" xfId="0" applyNumberFormat="1" applyFont="1" applyBorder="1"/>
    <xf numFmtId="21" fontId="86" fillId="14" borderId="253" xfId="0" applyNumberFormat="1" applyFont="1" applyFill="1" applyBorder="1"/>
    <xf numFmtId="21" fontId="86" fillId="14" borderId="323" xfId="0" applyNumberFormat="1" applyFont="1" applyFill="1" applyBorder="1"/>
    <xf numFmtId="0" fontId="10" fillId="15" borderId="374" xfId="0" applyFont="1" applyFill="1" applyBorder="1"/>
    <xf numFmtId="0" fontId="86" fillId="15" borderId="374" xfId="0" applyFont="1" applyFill="1" applyBorder="1" applyAlignment="1">
      <alignment horizontal="center"/>
    </xf>
    <xf numFmtId="0" fontId="19" fillId="15" borderId="374" xfId="0" applyFont="1" applyFill="1" applyBorder="1"/>
    <xf numFmtId="177" fontId="10" fillId="57" borderId="374" xfId="0" applyNumberFormat="1" applyFont="1" applyFill="1" applyBorder="1"/>
    <xf numFmtId="1" fontId="0" fillId="19" borderId="374" xfId="0" applyNumberFormat="1" applyFill="1" applyBorder="1"/>
    <xf numFmtId="0" fontId="16" fillId="33" borderId="374" xfId="0" applyFont="1" applyFill="1" applyBorder="1"/>
    <xf numFmtId="0" fontId="8" fillId="33" borderId="374" xfId="0" quotePrefix="1" applyFont="1" applyFill="1" applyBorder="1" applyAlignment="1">
      <alignment horizontal="left"/>
    </xf>
    <xf numFmtId="1" fontId="0" fillId="20" borderId="374" xfId="0" applyNumberFormat="1" applyFill="1" applyBorder="1"/>
    <xf numFmtId="0" fontId="89" fillId="16" borderId="374" xfId="0" applyFont="1" applyFill="1" applyBorder="1"/>
    <xf numFmtId="21" fontId="89" fillId="16" borderId="374" xfId="0" applyNumberFormat="1" applyFont="1" applyFill="1" applyBorder="1"/>
    <xf numFmtId="0" fontId="84" fillId="16" borderId="374" xfId="0" applyFont="1" applyFill="1" applyBorder="1"/>
    <xf numFmtId="176" fontId="84" fillId="16" borderId="374" xfId="0" applyNumberFormat="1" applyFont="1" applyFill="1" applyBorder="1"/>
    <xf numFmtId="0" fontId="84" fillId="141" borderId="374" xfId="0" quotePrefix="1" applyFont="1" applyFill="1" applyBorder="1" applyAlignment="1">
      <alignment horizontal="center"/>
    </xf>
    <xf numFmtId="0" fontId="152" fillId="141" borderId="374" xfId="0" applyFont="1" applyFill="1" applyBorder="1"/>
    <xf numFmtId="1" fontId="81" fillId="143" borderId="374" xfId="0" applyNumberFormat="1" applyFont="1" applyFill="1" applyBorder="1"/>
    <xf numFmtId="0" fontId="0" fillId="143" borderId="374" xfId="0" applyFill="1" applyBorder="1"/>
    <xf numFmtId="21" fontId="82" fillId="143" borderId="374" xfId="0" applyNumberFormat="1" applyFont="1" applyFill="1" applyBorder="1"/>
    <xf numFmtId="0" fontId="86" fillId="143" borderId="374" xfId="0" applyFont="1" applyFill="1" applyBorder="1"/>
    <xf numFmtId="21" fontId="306" fillId="143" borderId="374" xfId="0" quotePrefix="1" applyNumberFormat="1" applyFont="1" applyFill="1" applyBorder="1" applyAlignment="1">
      <alignment horizontal="center"/>
    </xf>
    <xf numFmtId="1" fontId="306" fillId="143" borderId="374" xfId="0" applyNumberFormat="1" applyFont="1" applyFill="1" applyBorder="1" applyAlignment="1">
      <alignment horizontal="center"/>
    </xf>
    <xf numFmtId="0" fontId="10" fillId="14" borderId="374" xfId="0" applyFont="1" applyFill="1" applyBorder="1"/>
    <xf numFmtId="0" fontId="10" fillId="15" borderId="374" xfId="0" quotePrefix="1" applyFont="1" applyFill="1" applyBorder="1" applyAlignment="1">
      <alignment horizontal="left"/>
    </xf>
    <xf numFmtId="0" fontId="160" fillId="19" borderId="373" xfId="0" applyFont="1" applyFill="1" applyBorder="1"/>
    <xf numFmtId="21" fontId="16" fillId="19" borderId="374" xfId="0" applyNumberFormat="1" applyFont="1" applyFill="1" applyBorder="1"/>
    <xf numFmtId="166" fontId="54" fillId="33" borderId="374" xfId="0" quotePrefix="1" applyNumberFormat="1" applyFont="1" applyFill="1" applyBorder="1" applyAlignment="1">
      <alignment horizontal="left"/>
    </xf>
    <xf numFmtId="21" fontId="54" fillId="19" borderId="374" xfId="0" applyNumberFormat="1" applyFont="1" applyFill="1" applyBorder="1"/>
    <xf numFmtId="0" fontId="172" fillId="80" borderId="251" xfId="0" applyFont="1" applyFill="1" applyBorder="1" applyAlignment="1">
      <alignment horizontal="center"/>
    </xf>
    <xf numFmtId="0" fontId="172" fillId="80" borderId="251" xfId="0" applyFont="1" applyFill="1" applyBorder="1" applyAlignment="1">
      <alignment horizontal="left"/>
    </xf>
    <xf numFmtId="21" fontId="172" fillId="80" borderId="289" xfId="0" applyNumberFormat="1" applyFont="1" applyFill="1" applyBorder="1" applyAlignment="1">
      <alignment horizontal="center" textRotation="90"/>
    </xf>
    <xf numFmtId="0" fontId="19" fillId="141" borderId="375" xfId="0" applyFont="1" applyFill="1" applyBorder="1"/>
    <xf numFmtId="1" fontId="86" fillId="141" borderId="374" xfId="0" applyNumberFormat="1" applyFont="1" applyFill="1" applyBorder="1" applyAlignment="1">
      <alignment horizontal="center"/>
    </xf>
    <xf numFmtId="165" fontId="18" fillId="13" borderId="377" xfId="0" applyNumberFormat="1" applyFont="1" applyFill="1" applyBorder="1" applyAlignment="1">
      <alignment horizontal="center" vertical="center"/>
    </xf>
    <xf numFmtId="0" fontId="5" fillId="147" borderId="12" xfId="0" applyFont="1" applyFill="1" applyBorder="1" applyAlignment="1">
      <alignment horizontal="center"/>
    </xf>
    <xf numFmtId="0" fontId="5" fillId="147" borderId="96" xfId="0" applyFont="1" applyFill="1" applyBorder="1" applyAlignment="1">
      <alignment horizontal="center"/>
    </xf>
    <xf numFmtId="21" fontId="391" fillId="0" borderId="334" xfId="0" applyNumberFormat="1" applyFont="1" applyFill="1" applyBorder="1" applyAlignment="1">
      <alignment horizontal="center"/>
    </xf>
    <xf numFmtId="0" fontId="8" fillId="188" borderId="35" xfId="0" applyFont="1" applyFill="1" applyBorder="1" applyAlignment="1" applyProtection="1">
      <alignment horizontal="left"/>
    </xf>
    <xf numFmtId="183" fontId="325" fillId="143" borderId="35" xfId="0" applyNumberFormat="1" applyFont="1" applyFill="1" applyBorder="1" applyAlignment="1">
      <alignment horizontal="center"/>
    </xf>
    <xf numFmtId="2" fontId="99" fillId="143" borderId="334" xfId="0" applyNumberFormat="1" applyFont="1" applyFill="1" applyBorder="1"/>
    <xf numFmtId="2" fontId="99" fillId="143" borderId="35" xfId="0" applyNumberFormat="1" applyFont="1" applyFill="1" applyBorder="1"/>
    <xf numFmtId="0" fontId="8" fillId="196" borderId="285" xfId="0" applyFont="1" applyFill="1" applyBorder="1" applyAlignment="1" applyProtection="1">
      <alignment horizontal="left"/>
    </xf>
    <xf numFmtId="183" fontId="325" fillId="173" borderId="35" xfId="0" applyNumberFormat="1" applyFont="1" applyFill="1" applyBorder="1" applyAlignment="1">
      <alignment horizontal="center"/>
    </xf>
    <xf numFmtId="2" fontId="99" fillId="173" borderId="35" xfId="0" applyNumberFormat="1" applyFont="1" applyFill="1" applyBorder="1"/>
    <xf numFmtId="2" fontId="99" fillId="173" borderId="334" xfId="0" applyNumberFormat="1" applyFont="1" applyFill="1" applyBorder="1"/>
    <xf numFmtId="183" fontId="325" fillId="173" borderId="376" xfId="0" applyNumberFormat="1" applyFont="1" applyFill="1" applyBorder="1" applyAlignment="1">
      <alignment horizontal="center"/>
    </xf>
    <xf numFmtId="2" fontId="99" fillId="173" borderId="376" xfId="0" applyNumberFormat="1" applyFont="1" applyFill="1" applyBorder="1"/>
    <xf numFmtId="0" fontId="8" fillId="198" borderId="276" xfId="0" applyFont="1" applyFill="1" applyBorder="1" applyAlignment="1" applyProtection="1">
      <alignment horizontal="left"/>
    </xf>
    <xf numFmtId="0" fontId="0" fillId="197" borderId="276" xfId="0" applyFill="1" applyBorder="1" applyAlignment="1">
      <alignment horizontal="center"/>
    </xf>
    <xf numFmtId="183" fontId="325" fillId="174" borderId="35" xfId="0" applyNumberFormat="1" applyFont="1" applyFill="1" applyBorder="1" applyAlignment="1">
      <alignment horizontal="center"/>
    </xf>
    <xf numFmtId="2" fontId="99" fillId="174" borderId="35" xfId="0" applyNumberFormat="1" applyFont="1" applyFill="1" applyBorder="1"/>
    <xf numFmtId="2" fontId="99" fillId="174" borderId="334" xfId="0" applyNumberFormat="1" applyFont="1" applyFill="1" applyBorder="1"/>
    <xf numFmtId="21" fontId="82" fillId="21" borderId="334" xfId="0" applyNumberFormat="1" applyFont="1" applyFill="1" applyBorder="1"/>
    <xf numFmtId="0" fontId="2" fillId="14" borderId="222" xfId="0" applyFont="1" applyFill="1" applyBorder="1" applyAlignment="1">
      <alignment horizontal="center"/>
    </xf>
    <xf numFmtId="0" fontId="2" fillId="21" borderId="222" xfId="0" applyFont="1" applyFill="1" applyBorder="1" applyAlignment="1">
      <alignment horizontal="center"/>
    </xf>
    <xf numFmtId="0" fontId="2" fillId="21" borderId="238" xfId="0" applyFont="1" applyFill="1" applyBorder="1" applyAlignment="1">
      <alignment horizontal="center"/>
    </xf>
    <xf numFmtId="1" fontId="2" fillId="20" borderId="209" xfId="0" applyNumberFormat="1" applyFont="1" applyFill="1" applyBorder="1"/>
    <xf numFmtId="0" fontId="2" fillId="103" borderId="0" xfId="0" applyFont="1" applyFill="1" applyBorder="1"/>
    <xf numFmtId="0" fontId="2" fillId="103" borderId="0" xfId="0" applyFont="1" applyFill="1" applyBorder="1" applyAlignment="1">
      <alignment horizontal="center"/>
    </xf>
    <xf numFmtId="0" fontId="2" fillId="104" borderId="222" xfId="0" applyFont="1" applyFill="1" applyBorder="1"/>
    <xf numFmtId="0" fontId="2" fillId="104" borderId="222" xfId="0" applyFont="1" applyFill="1" applyBorder="1" applyAlignment="1">
      <alignment horizontal="center"/>
    </xf>
    <xf numFmtId="1" fontId="2" fillId="0" borderId="0" xfId="0" applyNumberFormat="1" applyFont="1" applyBorder="1"/>
    <xf numFmtId="0" fontId="2" fillId="103" borderId="102" xfId="0" applyFont="1" applyFill="1" applyBorder="1" applyAlignment="1">
      <alignment horizontal="center"/>
    </xf>
    <xf numFmtId="0" fontId="2" fillId="21" borderId="36" xfId="0" applyFont="1" applyFill="1" applyBorder="1" applyAlignment="1">
      <alignment horizontal="center"/>
    </xf>
    <xf numFmtId="0" fontId="2" fillId="21" borderId="35" xfId="0" applyFont="1" applyFill="1" applyBorder="1"/>
    <xf numFmtId="0" fontId="2" fillId="21" borderId="35" xfId="0" applyFont="1" applyFill="1" applyBorder="1" applyAlignment="1">
      <alignment horizontal="center"/>
    </xf>
    <xf numFmtId="0" fontId="2" fillId="21" borderId="233" xfId="0" applyFont="1" applyFill="1" applyBorder="1" applyAlignment="1">
      <alignment horizontal="center"/>
    </xf>
    <xf numFmtId="1" fontId="2" fillId="19" borderId="209" xfId="0" applyNumberFormat="1" applyFont="1" applyFill="1" applyBorder="1"/>
    <xf numFmtId="0" fontId="2" fillId="14" borderId="35" xfId="0" applyFont="1" applyFill="1" applyBorder="1"/>
    <xf numFmtId="166" fontId="82" fillId="14" borderId="35" xfId="0" applyNumberFormat="1" applyFont="1" applyFill="1" applyBorder="1"/>
    <xf numFmtId="0" fontId="85" fillId="14" borderId="35" xfId="0" quotePrefix="1" applyFont="1" applyFill="1" applyBorder="1" applyAlignment="1">
      <alignment horizontal="left"/>
    </xf>
    <xf numFmtId="1" fontId="85" fillId="14" borderId="35" xfId="0" applyNumberFormat="1" applyFont="1" applyFill="1" applyBorder="1" applyAlignment="1">
      <alignment horizontal="center"/>
    </xf>
    <xf numFmtId="166" fontId="2" fillId="21" borderId="35" xfId="0" applyNumberFormat="1" applyFont="1" applyFill="1" applyBorder="1"/>
    <xf numFmtId="1" fontId="85" fillId="21" borderId="35" xfId="0" applyNumberFormat="1" applyFont="1" applyFill="1" applyBorder="1" applyAlignment="1">
      <alignment horizontal="center"/>
    </xf>
    <xf numFmtId="0" fontId="2" fillId="21" borderId="36" xfId="0" applyFont="1" applyFill="1" applyBorder="1"/>
    <xf numFmtId="2" fontId="2" fillId="19" borderId="35" xfId="0" applyNumberFormat="1" applyFont="1" applyFill="1" applyBorder="1"/>
    <xf numFmtId="166" fontId="99" fillId="19" borderId="35" xfId="0" applyNumberFormat="1" applyFont="1" applyFill="1" applyBorder="1"/>
    <xf numFmtId="0" fontId="169" fillId="33" borderId="35" xfId="0" applyFont="1" applyFill="1" applyBorder="1" applyProtection="1"/>
    <xf numFmtId="2" fontId="2" fillId="17" borderId="0" xfId="0" applyNumberFormat="1" applyFont="1" applyFill="1" applyBorder="1"/>
    <xf numFmtId="166" fontId="2" fillId="18" borderId="0" xfId="0" applyNumberFormat="1" applyFont="1" applyFill="1" applyBorder="1" applyProtection="1"/>
    <xf numFmtId="2" fontId="131" fillId="24" borderId="0" xfId="0" applyNumberFormat="1" applyFont="1" applyFill="1" applyBorder="1" applyAlignment="1" applyProtection="1">
      <alignment horizontal="center"/>
    </xf>
    <xf numFmtId="1" fontId="130" fillId="8" borderId="38" xfId="0" applyNumberFormat="1" applyFont="1" applyFill="1" applyBorder="1" applyAlignment="1" applyProtection="1">
      <alignment horizontal="center"/>
      <protection locked="0"/>
    </xf>
    <xf numFmtId="21" fontId="2" fillId="49" borderId="111" xfId="0" applyNumberFormat="1" applyFont="1" applyFill="1" applyBorder="1"/>
    <xf numFmtId="0" fontId="2" fillId="28" borderId="35" xfId="0" applyFont="1" applyFill="1" applyBorder="1"/>
    <xf numFmtId="21" fontId="2" fillId="28" borderId="35" xfId="0" applyNumberFormat="1" applyFont="1" applyFill="1" applyBorder="1"/>
    <xf numFmtId="0" fontId="2" fillId="28" borderId="36" xfId="0" applyFont="1" applyFill="1" applyBorder="1"/>
    <xf numFmtId="0" fontId="2" fillId="19" borderId="36" xfId="0" applyFont="1" applyFill="1" applyBorder="1"/>
    <xf numFmtId="21" fontId="16" fillId="117" borderId="35" xfId="0" applyNumberFormat="1" applyFont="1" applyFill="1" applyBorder="1"/>
    <xf numFmtId="21" fontId="2" fillId="48" borderId="111" xfId="0" applyNumberFormat="1" applyFont="1" applyFill="1" applyBorder="1"/>
    <xf numFmtId="0" fontId="2" fillId="14" borderId="111" xfId="0" applyFont="1" applyFill="1" applyBorder="1"/>
    <xf numFmtId="21" fontId="2" fillId="14" borderId="35" xfId="0" applyNumberFormat="1" applyFont="1" applyFill="1" applyBorder="1"/>
    <xf numFmtId="0" fontId="2" fillId="0" borderId="100" xfId="0" applyFont="1" applyBorder="1"/>
    <xf numFmtId="0" fontId="2" fillId="0" borderId="94" xfId="0" applyFont="1" applyBorder="1"/>
    <xf numFmtId="0" fontId="5" fillId="149" borderId="12" xfId="0" applyFont="1" applyFill="1" applyBorder="1" applyAlignment="1">
      <alignment horizontal="center"/>
    </xf>
    <xf numFmtId="0" fontId="131" fillId="149" borderId="60" xfId="0" applyFont="1" applyFill="1" applyBorder="1" applyAlignment="1" applyProtection="1">
      <alignment horizontal="center"/>
    </xf>
    <xf numFmtId="0" fontId="131" fillId="149" borderId="58" xfId="0" applyFont="1" applyFill="1" applyBorder="1" applyAlignment="1" applyProtection="1">
      <alignment horizontal="center"/>
    </xf>
    <xf numFmtId="0" fontId="131" fillId="149" borderId="59" xfId="0" applyFont="1" applyFill="1" applyBorder="1" applyAlignment="1" applyProtection="1">
      <alignment horizontal="center"/>
    </xf>
    <xf numFmtId="0" fontId="5" fillId="149" borderId="0" xfId="0" applyFont="1" applyFill="1" applyBorder="1" applyAlignment="1">
      <alignment horizontal="center"/>
    </xf>
    <xf numFmtId="21" fontId="100" fillId="199" borderId="35" xfId="0" quotePrefix="1" applyNumberFormat="1" applyFont="1" applyFill="1" applyBorder="1" applyAlignment="1">
      <alignment horizontal="left"/>
    </xf>
    <xf numFmtId="21" fontId="85" fillId="14" borderId="112" xfId="0" applyNumberFormat="1" applyFont="1" applyFill="1" applyBorder="1" applyAlignment="1"/>
    <xf numFmtId="0" fontId="1" fillId="21" borderId="314" xfId="0" applyFont="1" applyFill="1" applyBorder="1"/>
    <xf numFmtId="0" fontId="11" fillId="33" borderId="378" xfId="0" applyFont="1" applyFill="1" applyBorder="1"/>
    <xf numFmtId="0" fontId="389" fillId="143" borderId="197" xfId="0" applyFont="1" applyFill="1" applyBorder="1"/>
    <xf numFmtId="21" fontId="81" fillId="14" borderId="323" xfId="0" applyNumberFormat="1" applyFont="1" applyFill="1" applyBorder="1"/>
    <xf numFmtId="21" fontId="81" fillId="14" borderId="112" xfId="0" applyNumberFormat="1" applyFont="1" applyFill="1" applyBorder="1"/>
    <xf numFmtId="1" fontId="81" fillId="14" borderId="155" xfId="0" applyNumberFormat="1" applyFont="1" applyFill="1" applyBorder="1"/>
    <xf numFmtId="21" fontId="85" fillId="21" borderId="314" xfId="0" applyNumberFormat="1" applyFont="1" applyFill="1" applyBorder="1"/>
    <xf numFmtId="0" fontId="10" fillId="21" borderId="314" xfId="0" applyFont="1" applyFill="1" applyBorder="1"/>
    <xf numFmtId="176" fontId="10" fillId="21" borderId="314" xfId="0" applyNumberFormat="1" applyFont="1" applyFill="1" applyBorder="1"/>
    <xf numFmtId="166" fontId="43" fillId="21" borderId="314" xfId="0" applyNumberFormat="1" applyFont="1" applyFill="1" applyBorder="1"/>
    <xf numFmtId="21" fontId="85" fillId="21" borderId="314" xfId="0" applyNumberFormat="1" applyFont="1" applyFill="1" applyBorder="1" applyAlignment="1">
      <alignment horizontal="center"/>
    </xf>
    <xf numFmtId="1" fontId="86" fillId="21" borderId="314" xfId="0" applyNumberFormat="1" applyFont="1" applyFill="1" applyBorder="1" applyAlignment="1">
      <alignment horizontal="center"/>
    </xf>
    <xf numFmtId="0" fontId="1" fillId="21" borderId="270" xfId="0" applyFont="1" applyFill="1" applyBorder="1"/>
    <xf numFmtId="1" fontId="81" fillId="14" borderId="253" xfId="0" applyNumberFormat="1" applyFont="1" applyFill="1" applyBorder="1"/>
    <xf numFmtId="21" fontId="85" fillId="14" borderId="251" xfId="0" applyNumberFormat="1" applyFont="1" applyFill="1" applyBorder="1" applyAlignment="1"/>
    <xf numFmtId="0" fontId="1" fillId="46" borderId="254" xfId="0" applyFont="1" applyFill="1" applyBorder="1"/>
    <xf numFmtId="21" fontId="81" fillId="14" borderId="66" xfId="0" applyNumberFormat="1" applyFont="1" applyFill="1" applyBorder="1"/>
    <xf numFmtId="0" fontId="11" fillId="33" borderId="126" xfId="0" applyFont="1" applyFill="1" applyBorder="1"/>
    <xf numFmtId="21" fontId="394" fillId="141" borderId="112" xfId="0" applyNumberFormat="1" applyFont="1" applyFill="1" applyBorder="1" applyAlignment="1"/>
    <xf numFmtId="21" fontId="11" fillId="19" borderId="126" xfId="0" applyNumberFormat="1" applyFont="1" applyFill="1" applyBorder="1"/>
    <xf numFmtId="0" fontId="8" fillId="33" borderId="126" xfId="0" applyFont="1" applyFill="1" applyBorder="1" applyAlignment="1">
      <alignment horizontal="left"/>
    </xf>
    <xf numFmtId="176" fontId="8" fillId="19" borderId="126" xfId="0" applyNumberFormat="1" applyFont="1" applyFill="1" applyBorder="1"/>
    <xf numFmtId="166" fontId="157" fillId="33" borderId="126" xfId="0" applyNumberFormat="1" applyFont="1" applyFill="1" applyBorder="1" applyAlignment="1">
      <alignment horizontal="left"/>
    </xf>
    <xf numFmtId="21" fontId="100" fillId="19" borderId="126" xfId="0" applyNumberFormat="1" applyFont="1" applyFill="1" applyBorder="1" applyAlignment="1">
      <alignment horizontal="center"/>
    </xf>
    <xf numFmtId="21" fontId="100" fillId="19" borderId="190" xfId="0" applyNumberFormat="1" applyFont="1" applyFill="1" applyBorder="1" applyAlignment="1">
      <alignment horizontal="center"/>
    </xf>
    <xf numFmtId="0" fontId="107" fillId="33" borderId="32" xfId="0" applyFont="1" applyFill="1" applyBorder="1" applyAlignment="1">
      <alignment horizontal="center"/>
    </xf>
    <xf numFmtId="0" fontId="100" fillId="19" borderId="379" xfId="0" applyFont="1" applyFill="1" applyBorder="1"/>
    <xf numFmtId="21" fontId="81" fillId="14" borderId="118" xfId="0" applyNumberFormat="1" applyFont="1" applyFill="1" applyBorder="1"/>
    <xf numFmtId="0" fontId="292" fillId="143" borderId="146" xfId="0" applyFont="1" applyFill="1" applyBorder="1"/>
    <xf numFmtId="21" fontId="394" fillId="141" borderId="147" xfId="0" applyNumberFormat="1" applyFont="1" applyFill="1" applyBorder="1" applyAlignment="1"/>
    <xf numFmtId="21" fontId="292" fillId="143" borderId="146" xfId="0" applyNumberFormat="1" applyFont="1" applyFill="1" applyBorder="1"/>
    <xf numFmtId="0" fontId="259" fillId="143" borderId="146" xfId="0" applyFont="1" applyFill="1" applyBorder="1"/>
    <xf numFmtId="176" fontId="259" fillId="143" borderId="146" xfId="0" applyNumberFormat="1" applyFont="1" applyFill="1" applyBorder="1"/>
    <xf numFmtId="166" fontId="381" fillId="143" borderId="146" xfId="0" applyNumberFormat="1" applyFont="1" applyFill="1" applyBorder="1"/>
    <xf numFmtId="21" fontId="305" fillId="143" borderId="146" xfId="0" applyNumberFormat="1" applyFont="1" applyFill="1" applyBorder="1" applyAlignment="1">
      <alignment horizontal="center"/>
    </xf>
    <xf numFmtId="21" fontId="305" fillId="143" borderId="380" xfId="0" applyNumberFormat="1" applyFont="1" applyFill="1" applyBorder="1" applyAlignment="1">
      <alignment horizontal="center"/>
    </xf>
    <xf numFmtId="0" fontId="306" fillId="143" borderId="146" xfId="0" applyFont="1" applyFill="1" applyBorder="1" applyAlignment="1">
      <alignment horizontal="center"/>
    </xf>
    <xf numFmtId="0" fontId="292" fillId="143" borderId="381" xfId="0" applyFont="1" applyFill="1" applyBorder="1"/>
    <xf numFmtId="1" fontId="81" fillId="143" borderId="67" xfId="0" applyNumberFormat="1" applyFont="1" applyFill="1" applyBorder="1"/>
    <xf numFmtId="1" fontId="342" fillId="143" borderId="100" xfId="0" applyNumberFormat="1" applyFont="1" applyFill="1" applyBorder="1"/>
    <xf numFmtId="0" fontId="268" fillId="33" borderId="30" xfId="0" applyFont="1" applyFill="1" applyBorder="1"/>
    <xf numFmtId="0" fontId="292" fillId="143" borderId="196" xfId="0" applyFont="1" applyFill="1" applyBorder="1"/>
    <xf numFmtId="0" fontId="17" fillId="33" borderId="35" xfId="0" quotePrefix="1" applyFont="1" applyFill="1" applyBorder="1" applyAlignment="1" applyProtection="1">
      <alignment horizontal="center"/>
    </xf>
    <xf numFmtId="1" fontId="7" fillId="123" borderId="0" xfId="0" applyNumberFormat="1" applyFont="1" applyFill="1" applyBorder="1" applyAlignment="1" applyProtection="1">
      <alignment horizontal="center"/>
      <protection locked="0"/>
    </xf>
    <xf numFmtId="1" fontId="260" fillId="123" borderId="0" xfId="0" applyNumberFormat="1" applyFont="1" applyFill="1" applyBorder="1" applyAlignment="1" applyProtection="1">
      <alignment horizontal="left"/>
      <protection locked="0"/>
    </xf>
    <xf numFmtId="0" fontId="387" fillId="123" borderId="0" xfId="0" applyFont="1" applyFill="1" applyProtection="1">
      <protection locked="0"/>
    </xf>
    <xf numFmtId="166" fontId="395" fillId="123" borderId="0" xfId="0" applyNumberFormat="1" applyFont="1" applyFill="1" applyAlignment="1" applyProtection="1">
      <alignment horizontal="center"/>
    </xf>
    <xf numFmtId="166" fontId="396" fillId="123" borderId="0" xfId="0" applyNumberFormat="1" applyFont="1" applyFill="1" applyAlignment="1" applyProtection="1">
      <alignment horizontal="center"/>
      <protection locked="0"/>
    </xf>
    <xf numFmtId="0" fontId="8" fillId="33" borderId="35" xfId="0" quotePrefix="1" applyFont="1" applyFill="1" applyBorder="1" applyAlignment="1" applyProtection="1">
      <alignment horizontal="center"/>
    </xf>
    <xf numFmtId="0" fontId="134" fillId="6" borderId="12" xfId="0" applyFont="1" applyFill="1" applyBorder="1" applyAlignment="1" applyProtection="1">
      <alignment horizontal="center"/>
    </xf>
    <xf numFmtId="0" fontId="134" fillId="6" borderId="0" xfId="0" applyFont="1" applyFill="1" applyBorder="1" applyAlignment="1" applyProtection="1">
      <alignment horizontal="center"/>
    </xf>
    <xf numFmtId="1" fontId="86" fillId="96" borderId="376" xfId="0" applyNumberFormat="1" applyFont="1" applyFill="1" applyBorder="1"/>
    <xf numFmtId="0" fontId="10" fillId="96" borderId="376" xfId="0" applyFont="1" applyFill="1" applyBorder="1"/>
    <xf numFmtId="176" fontId="10" fillId="96" borderId="376" xfId="0" applyNumberFormat="1" applyFont="1" applyFill="1" applyBorder="1"/>
    <xf numFmtId="1" fontId="86" fillId="96" borderId="376" xfId="0" applyNumberFormat="1" applyFont="1" applyFill="1" applyBorder="1" applyAlignment="1">
      <alignment horizontal="center"/>
    </xf>
    <xf numFmtId="0" fontId="254" fillId="145" borderId="376" xfId="0" applyFont="1" applyFill="1" applyBorder="1"/>
    <xf numFmtId="0" fontId="322" fillId="145" borderId="374" xfId="0" applyFont="1" applyFill="1" applyBorder="1"/>
    <xf numFmtId="1" fontId="302" fillId="88" borderId="79" xfId="0" applyNumberFormat="1" applyFont="1" applyFill="1" applyBorder="1" applyAlignment="1" applyProtection="1">
      <alignment horizontal="center"/>
      <protection locked="0"/>
    </xf>
    <xf numFmtId="21" fontId="86" fillId="96" borderId="376" xfId="0" applyNumberFormat="1" applyFont="1" applyFill="1" applyBorder="1"/>
    <xf numFmtId="166" fontId="10" fillId="96" borderId="376" xfId="0" applyNumberFormat="1" applyFont="1" applyFill="1" applyBorder="1"/>
    <xf numFmtId="21" fontId="86" fillId="96" borderId="376" xfId="0" applyNumberFormat="1" applyFont="1" applyFill="1" applyBorder="1" applyAlignment="1">
      <alignment horizontal="center"/>
    </xf>
    <xf numFmtId="0" fontId="10" fillId="96" borderId="382" xfId="0" applyFont="1" applyFill="1" applyBorder="1"/>
    <xf numFmtId="1" fontId="254" fillId="191" borderId="0" xfId="0" applyNumberFormat="1" applyFont="1" applyFill="1"/>
    <xf numFmtId="0" fontId="254" fillId="192" borderId="255" xfId="0" applyFont="1" applyFill="1" applyBorder="1"/>
    <xf numFmtId="21" fontId="256" fillId="191" borderId="323" xfId="0" applyNumberFormat="1" applyFont="1" applyFill="1" applyBorder="1"/>
    <xf numFmtId="21" fontId="256" fillId="191" borderId="253" xfId="0" applyNumberFormat="1" applyFont="1" applyFill="1" applyBorder="1"/>
    <xf numFmtId="166" fontId="254" fillId="192" borderId="0" xfId="0" applyNumberFormat="1" applyFont="1" applyFill="1"/>
    <xf numFmtId="21" fontId="256" fillId="191" borderId="253" xfId="0" applyNumberFormat="1" applyFont="1" applyFill="1" applyBorder="1" applyAlignment="1">
      <alignment horizontal="center"/>
    </xf>
    <xf numFmtId="0" fontId="254" fillId="192" borderId="169" xfId="0" applyFont="1" applyFill="1" applyBorder="1" applyAlignment="1">
      <alignment horizontal="center"/>
    </xf>
    <xf numFmtId="21" fontId="86" fillId="96" borderId="253" xfId="0" applyNumberFormat="1" applyFont="1" applyFill="1" applyBorder="1"/>
    <xf numFmtId="21" fontId="86" fillId="96" borderId="253" xfId="0" applyNumberFormat="1" applyFont="1" applyFill="1" applyBorder="1" applyAlignment="1">
      <alignment horizontal="center"/>
    </xf>
    <xf numFmtId="1" fontId="10" fillId="71" borderId="376" xfId="0" applyNumberFormat="1" applyFont="1" applyFill="1" applyBorder="1"/>
    <xf numFmtId="21" fontId="254" fillId="71" borderId="376" xfId="0" applyNumberFormat="1" applyFont="1" applyFill="1" applyBorder="1"/>
    <xf numFmtId="21" fontId="254" fillId="71" borderId="253" xfId="0" applyNumberFormat="1" applyFont="1" applyFill="1" applyBorder="1"/>
    <xf numFmtId="166" fontId="254" fillId="145" borderId="376" xfId="0" applyNumberFormat="1" applyFont="1" applyFill="1" applyBorder="1"/>
    <xf numFmtId="21" fontId="256" fillId="71" borderId="253" xfId="0" applyNumberFormat="1" applyFont="1" applyFill="1" applyBorder="1" applyAlignment="1">
      <alignment horizontal="center"/>
    </xf>
    <xf numFmtId="21" fontId="256" fillId="71" borderId="0" xfId="0" applyNumberFormat="1" applyFont="1" applyFill="1" applyAlignment="1">
      <alignment horizontal="center"/>
    </xf>
    <xf numFmtId="1" fontId="10" fillId="0" borderId="79" xfId="0" applyNumberFormat="1" applyFont="1" applyBorder="1"/>
    <xf numFmtId="166" fontId="302" fillId="88" borderId="79" xfId="0" applyNumberFormat="1" applyFont="1" applyFill="1" applyBorder="1" applyAlignment="1" applyProtection="1">
      <alignment horizontal="center"/>
      <protection locked="0"/>
    </xf>
    <xf numFmtId="21" fontId="86" fillId="95" borderId="147" xfId="0" applyNumberFormat="1" applyFont="1" applyFill="1" applyBorder="1"/>
    <xf numFmtId="0" fontId="318" fillId="0" borderId="113" xfId="0" applyFont="1" applyBorder="1"/>
    <xf numFmtId="176" fontId="264" fillId="200" borderId="253" xfId="0" applyNumberFormat="1" applyFont="1" applyFill="1" applyBorder="1"/>
    <xf numFmtId="0" fontId="19" fillId="14" borderId="111" xfId="0" applyFont="1" applyFill="1" applyBorder="1"/>
    <xf numFmtId="0" fontId="19" fillId="21" borderId="314" xfId="0" applyFont="1" applyFill="1" applyBorder="1"/>
    <xf numFmtId="1" fontId="19" fillId="143" borderId="0" xfId="0" applyNumberFormat="1" applyFont="1" applyFill="1" applyBorder="1"/>
    <xf numFmtId="0" fontId="397" fillId="143" borderId="309" xfId="0" applyFont="1" applyFill="1" applyBorder="1"/>
    <xf numFmtId="0" fontId="160" fillId="143" borderId="275" xfId="0" applyFont="1" applyFill="1" applyBorder="1"/>
    <xf numFmtId="21" fontId="8" fillId="143" borderId="35" xfId="0" applyNumberFormat="1" applyFont="1" applyFill="1" applyBorder="1"/>
    <xf numFmtId="0" fontId="397" fillId="143" borderId="251" xfId="0" applyFont="1" applyFill="1" applyBorder="1"/>
    <xf numFmtId="166" fontId="160" fillId="143" borderId="83" xfId="0" quotePrefix="1" applyNumberFormat="1" applyFont="1" applyFill="1" applyBorder="1" applyAlignment="1">
      <alignment horizontal="center"/>
    </xf>
    <xf numFmtId="0" fontId="342" fillId="143" borderId="251" xfId="0" applyFont="1" applyFill="1" applyBorder="1"/>
    <xf numFmtId="0" fontId="106" fillId="66" borderId="229" xfId="0" applyFont="1" applyFill="1" applyBorder="1" applyAlignment="1">
      <alignment horizontal="center"/>
    </xf>
    <xf numFmtId="14" fontId="134" fillId="3" borderId="0" xfId="0" applyNumberFormat="1" applyFont="1" applyFill="1" applyAlignment="1" applyProtection="1">
      <alignment horizontal="center" wrapText="1"/>
      <protection locked="0"/>
    </xf>
    <xf numFmtId="21" fontId="391" fillId="80" borderId="334" xfId="0" applyNumberFormat="1" applyFont="1" applyFill="1" applyBorder="1" applyAlignment="1">
      <alignment horizontal="center"/>
    </xf>
    <xf numFmtId="0" fontId="325" fillId="143" borderId="209" xfId="0" applyFont="1" applyFill="1" applyBorder="1"/>
    <xf numFmtId="0" fontId="255" fillId="71" borderId="376" xfId="0" applyFont="1" applyFill="1" applyBorder="1"/>
    <xf numFmtId="21" fontId="398" fillId="71" borderId="376" xfId="0" applyNumberFormat="1" applyFont="1" applyFill="1" applyBorder="1"/>
    <xf numFmtId="21" fontId="255" fillId="71" borderId="376" xfId="0" applyNumberFormat="1" applyFont="1" applyFill="1" applyBorder="1"/>
    <xf numFmtId="0" fontId="256" fillId="71" borderId="376" xfId="0" applyFont="1" applyFill="1" applyBorder="1" applyAlignment="1">
      <alignment horizontal="left"/>
    </xf>
    <xf numFmtId="21" fontId="256" fillId="71" borderId="376" xfId="0" applyNumberFormat="1" applyFont="1" applyFill="1" applyBorder="1"/>
    <xf numFmtId="166" fontId="399" fillId="71" borderId="376" xfId="0" applyNumberFormat="1" applyFont="1" applyFill="1" applyBorder="1"/>
    <xf numFmtId="21" fontId="189" fillId="95" borderId="376" xfId="0" applyNumberFormat="1" applyFont="1" applyFill="1" applyBorder="1"/>
    <xf numFmtId="21" fontId="256" fillId="71" borderId="376" xfId="0" applyNumberFormat="1" applyFont="1" applyFill="1" applyBorder="1" applyAlignment="1">
      <alignment horizontal="center"/>
    </xf>
    <xf numFmtId="0" fontId="256" fillId="71" borderId="256" xfId="0" applyFont="1" applyFill="1" applyBorder="1"/>
    <xf numFmtId="0" fontId="292" fillId="164" borderId="376" xfId="0" applyFont="1" applyFill="1" applyBorder="1"/>
    <xf numFmtId="0" fontId="292" fillId="164" borderId="197" xfId="0" applyFont="1" applyFill="1" applyBorder="1"/>
    <xf numFmtId="0" fontId="268" fillId="164" borderId="60" xfId="0" applyFont="1" applyFill="1" applyBorder="1"/>
    <xf numFmtId="0" fontId="5" fillId="0" borderId="12" xfId="0" applyFont="1" applyFill="1" applyBorder="1" applyAlignment="1">
      <alignment horizontal="center"/>
    </xf>
    <xf numFmtId="21" fontId="346" fillId="201" borderId="292" xfId="0" applyNumberFormat="1" applyFont="1" applyFill="1" applyBorder="1" applyAlignment="1">
      <alignment horizontal="center"/>
    </xf>
    <xf numFmtId="1" fontId="86" fillId="14" borderId="32" xfId="0" applyNumberFormat="1" applyFont="1" applyFill="1" applyBorder="1"/>
    <xf numFmtId="0" fontId="1" fillId="14" borderId="112" xfId="0" applyFont="1" applyFill="1" applyBorder="1"/>
    <xf numFmtId="0" fontId="1" fillId="14" borderId="32" xfId="0" applyFont="1" applyFill="1" applyBorder="1"/>
    <xf numFmtId="21" fontId="85" fillId="0" borderId="32" xfId="0" applyNumberFormat="1" applyFont="1" applyFill="1" applyBorder="1"/>
    <xf numFmtId="1" fontId="10" fillId="20" borderId="383" xfId="0" applyNumberFormat="1" applyFont="1" applyFill="1" applyBorder="1"/>
    <xf numFmtId="0" fontId="400" fillId="166" borderId="60" xfId="0" applyFont="1" applyFill="1" applyBorder="1"/>
    <xf numFmtId="0" fontId="1" fillId="166" borderId="376" xfId="0" applyFont="1" applyFill="1" applyBorder="1"/>
    <xf numFmtId="0" fontId="400" fillId="166" borderId="58" xfId="0" applyFont="1" applyFill="1" applyBorder="1"/>
    <xf numFmtId="0" fontId="1" fillId="94" borderId="0" xfId="0" applyFont="1" applyFill="1"/>
    <xf numFmtId="1" fontId="86" fillId="21" borderId="383" xfId="0" applyNumberFormat="1" applyFont="1" applyFill="1" applyBorder="1"/>
    <xf numFmtId="0" fontId="1" fillId="166" borderId="197" xfId="0" applyFont="1" applyFill="1" applyBorder="1"/>
    <xf numFmtId="0" fontId="1" fillId="166" borderId="209" xfId="0" applyFont="1" applyFill="1" applyBorder="1"/>
    <xf numFmtId="21" fontId="85" fillId="166" borderId="209" xfId="0" applyNumberFormat="1" applyFont="1" applyFill="1" applyBorder="1"/>
    <xf numFmtId="166" fontId="168" fillId="166" borderId="209" xfId="0" applyNumberFormat="1" applyFont="1" applyFill="1" applyBorder="1"/>
    <xf numFmtId="1" fontId="10" fillId="17" borderId="0" xfId="0" applyNumberFormat="1" applyFont="1" applyFill="1" applyBorder="1"/>
    <xf numFmtId="0" fontId="401" fillId="119" borderId="251" xfId="0" applyFont="1" applyFill="1" applyBorder="1" applyProtection="1"/>
    <xf numFmtId="0" fontId="10" fillId="119" borderId="76" xfId="0" applyFont="1" applyFill="1" applyBorder="1" applyProtection="1"/>
    <xf numFmtId="1" fontId="173" fillId="19" borderId="35" xfId="0" applyNumberFormat="1" applyFont="1" applyFill="1" applyBorder="1"/>
    <xf numFmtId="1" fontId="10" fillId="0" borderId="0" xfId="0" applyNumberFormat="1" applyFont="1" applyFill="1" applyBorder="1"/>
    <xf numFmtId="166" fontId="9" fillId="3" borderId="0" xfId="0" applyNumberFormat="1" applyFont="1" applyFill="1" applyBorder="1" applyAlignment="1" applyProtection="1">
      <alignment horizontal="center"/>
      <protection locked="0"/>
    </xf>
    <xf numFmtId="21" fontId="86" fillId="109" borderId="35" xfId="0" applyNumberFormat="1" applyFont="1" applyFill="1" applyBorder="1"/>
    <xf numFmtId="0" fontId="10" fillId="109" borderId="36" xfId="0" applyFont="1" applyFill="1" applyBorder="1"/>
    <xf numFmtId="1" fontId="86" fillId="14" borderId="383" xfId="0" applyNumberFormat="1" applyFont="1" applyFill="1" applyBorder="1"/>
    <xf numFmtId="0" fontId="1" fillId="91" borderId="376" xfId="0" applyFont="1" applyFill="1" applyBorder="1"/>
    <xf numFmtId="0" fontId="1" fillId="91" borderId="209" xfId="0" applyFont="1" applyFill="1" applyBorder="1"/>
    <xf numFmtId="21" fontId="85" fillId="91" borderId="209" xfId="0" applyNumberFormat="1" applyFont="1" applyFill="1" applyBorder="1"/>
    <xf numFmtId="166" fontId="168" fillId="91" borderId="209" xfId="0" applyNumberFormat="1" applyFont="1" applyFill="1" applyBorder="1"/>
    <xf numFmtId="1" fontId="10" fillId="15" borderId="180" xfId="0" applyNumberFormat="1" applyFont="1" applyFill="1" applyBorder="1"/>
    <xf numFmtId="0" fontId="10" fillId="114" borderId="76" xfId="0" applyFont="1" applyFill="1" applyBorder="1"/>
    <xf numFmtId="1" fontId="86" fillId="21" borderId="35" xfId="0" applyNumberFormat="1" applyFont="1" applyFill="1" applyBorder="1"/>
    <xf numFmtId="0" fontId="10" fillId="21" borderId="179" xfId="0" applyFont="1" applyFill="1" applyBorder="1"/>
    <xf numFmtId="0" fontId="401" fillId="119" borderId="187" xfId="0" applyFont="1" applyFill="1" applyBorder="1" applyProtection="1"/>
    <xf numFmtId="21" fontId="86" fillId="143" borderId="296" xfId="0" applyNumberFormat="1" applyFont="1" applyFill="1" applyBorder="1"/>
    <xf numFmtId="1" fontId="10" fillId="120" borderId="0" xfId="0" applyNumberFormat="1" applyFont="1" applyFill="1" applyBorder="1"/>
    <xf numFmtId="1" fontId="9" fillId="120" borderId="0" xfId="0" applyNumberFormat="1" applyFont="1" applyFill="1" applyBorder="1" applyAlignment="1" applyProtection="1">
      <alignment horizontal="center"/>
      <protection locked="0"/>
    </xf>
    <xf numFmtId="166" fontId="9" fillId="120" borderId="0" xfId="0" applyNumberFormat="1" applyFont="1" applyFill="1" applyBorder="1" applyAlignment="1" applyProtection="1">
      <alignment horizontal="center"/>
      <protection locked="0"/>
    </xf>
    <xf numFmtId="166" fontId="86" fillId="14" borderId="209" xfId="0" applyNumberFormat="1" applyFont="1" applyFill="1" applyBorder="1"/>
    <xf numFmtId="21" fontId="1" fillId="0" borderId="79" xfId="0" applyNumberFormat="1" applyFont="1" applyBorder="1"/>
    <xf numFmtId="166" fontId="9" fillId="3" borderId="79" xfId="0" applyNumberFormat="1" applyFont="1" applyFill="1" applyBorder="1" applyAlignment="1" applyProtection="1">
      <alignment horizontal="center"/>
      <protection locked="0"/>
    </xf>
    <xf numFmtId="1" fontId="86" fillId="21" borderId="209" xfId="0" applyNumberFormat="1" applyFont="1" applyFill="1" applyBorder="1"/>
    <xf numFmtId="166" fontId="10" fillId="21" borderId="209" xfId="0" applyNumberFormat="1" applyFont="1" applyFill="1" applyBorder="1"/>
    <xf numFmtId="21" fontId="86" fillId="21" borderId="209" xfId="0" applyNumberFormat="1" applyFont="1" applyFill="1" applyBorder="1"/>
    <xf numFmtId="0" fontId="10" fillId="21" borderId="210" xfId="0" applyFont="1" applyFill="1" applyBorder="1"/>
    <xf numFmtId="166" fontId="10" fillId="15" borderId="209" xfId="0" applyNumberFormat="1" applyFont="1" applyFill="1" applyBorder="1"/>
    <xf numFmtId="21" fontId="10" fillId="15" borderId="209" xfId="0" applyNumberFormat="1" applyFont="1" applyFill="1" applyBorder="1"/>
    <xf numFmtId="166" fontId="88" fillId="18" borderId="0" xfId="0" applyNumberFormat="1" applyFont="1" applyFill="1"/>
    <xf numFmtId="21" fontId="84" fillId="17" borderId="209" xfId="0" applyNumberFormat="1" applyFont="1" applyFill="1" applyBorder="1"/>
    <xf numFmtId="0" fontId="10" fillId="142" borderId="264" xfId="0" applyFont="1" applyFill="1" applyBorder="1" applyAlignment="1">
      <alignment horizontal="center"/>
    </xf>
    <xf numFmtId="0" fontId="10" fillId="142" borderId="264" xfId="0" applyFont="1" applyFill="1" applyBorder="1"/>
    <xf numFmtId="1" fontId="1" fillId="120" borderId="79" xfId="0" applyNumberFormat="1" applyFont="1" applyFill="1" applyBorder="1"/>
    <xf numFmtId="1" fontId="9" fillId="120" borderId="79" xfId="0" applyNumberFormat="1" applyFont="1" applyFill="1" applyBorder="1" applyAlignment="1" applyProtection="1">
      <alignment horizontal="center"/>
      <protection locked="0"/>
    </xf>
    <xf numFmtId="1" fontId="10" fillId="16" borderId="111" xfId="0" applyNumberFormat="1" applyFont="1" applyFill="1" applyBorder="1"/>
    <xf numFmtId="0" fontId="84" fillId="16" borderId="111" xfId="0" applyFont="1" applyFill="1" applyBorder="1"/>
    <xf numFmtId="21" fontId="84" fillId="16" borderId="111" xfId="0" applyNumberFormat="1" applyFont="1" applyFill="1" applyBorder="1" applyAlignment="1">
      <alignment horizontal="center"/>
    </xf>
    <xf numFmtId="21" fontId="84" fillId="16" borderId="111" xfId="0" applyNumberFormat="1" applyFont="1" applyFill="1" applyBorder="1"/>
    <xf numFmtId="166" fontId="84" fillId="16" borderId="35" xfId="0" applyNumberFormat="1" applyFont="1" applyFill="1" applyBorder="1"/>
    <xf numFmtId="21" fontId="84" fillId="16" borderId="35" xfId="0" applyNumberFormat="1" applyFont="1" applyFill="1" applyBorder="1"/>
    <xf numFmtId="1" fontId="86" fillId="21" borderId="129" xfId="0" applyNumberFormat="1" applyFont="1" applyFill="1" applyBorder="1"/>
    <xf numFmtId="1" fontId="11" fillId="29" borderId="0" xfId="0" applyNumberFormat="1" applyFont="1" applyFill="1" applyBorder="1"/>
    <xf numFmtId="1" fontId="10" fillId="17" borderId="0" xfId="0" applyNumberFormat="1" applyFont="1" applyFill="1"/>
    <xf numFmtId="1" fontId="173" fillId="71" borderId="374" xfId="0" applyNumberFormat="1" applyFont="1" applyFill="1" applyBorder="1"/>
    <xf numFmtId="1" fontId="86" fillId="0" borderId="129" xfId="0" applyNumberFormat="1" applyFont="1" applyFill="1" applyBorder="1"/>
    <xf numFmtId="0" fontId="10" fillId="0" borderId="129" xfId="0" applyFont="1" applyFill="1" applyBorder="1"/>
    <xf numFmtId="21" fontId="86" fillId="0" borderId="129" xfId="0" applyNumberFormat="1" applyFont="1" applyFill="1" applyBorder="1"/>
    <xf numFmtId="166" fontId="9" fillId="64" borderId="0" xfId="0" applyNumberFormat="1" applyFont="1" applyFill="1" applyAlignment="1" applyProtection="1">
      <alignment horizontal="center"/>
      <protection locked="0"/>
    </xf>
    <xf numFmtId="1" fontId="9" fillId="64" borderId="0" xfId="0" applyNumberFormat="1" applyFont="1" applyFill="1" applyAlignment="1" applyProtection="1">
      <alignment horizontal="center"/>
      <protection locked="0"/>
    </xf>
    <xf numFmtId="1" fontId="1" fillId="143" borderId="0" xfId="0" applyNumberFormat="1" applyFont="1" applyFill="1" applyBorder="1"/>
    <xf numFmtId="0" fontId="402" fillId="143" borderId="309" xfId="0" applyFont="1" applyFill="1" applyBorder="1"/>
    <xf numFmtId="0" fontId="100" fillId="143" borderId="275" xfId="0" applyFont="1" applyFill="1" applyBorder="1"/>
    <xf numFmtId="0" fontId="100" fillId="143" borderId="83" xfId="0" applyFont="1" applyFill="1" applyBorder="1"/>
    <xf numFmtId="21" fontId="100" fillId="143" borderId="0" xfId="0" applyNumberFormat="1" applyFont="1" applyFill="1" applyBorder="1"/>
    <xf numFmtId="0" fontId="106" fillId="143" borderId="83" xfId="0" applyFont="1" applyFill="1" applyBorder="1"/>
    <xf numFmtId="166" fontId="106" fillId="143" borderId="0" xfId="0" applyNumberFormat="1" applyFont="1" applyFill="1" applyBorder="1"/>
    <xf numFmtId="21" fontId="106" fillId="143" borderId="0" xfId="0" applyNumberFormat="1" applyFont="1" applyFill="1" applyBorder="1"/>
    <xf numFmtId="174" fontId="106" fillId="143" borderId="83" xfId="0" quotePrefix="1" applyNumberFormat="1" applyFont="1" applyFill="1" applyBorder="1" applyAlignment="1">
      <alignment horizontal="center"/>
    </xf>
    <xf numFmtId="0" fontId="106" fillId="143" borderId="83" xfId="0" quotePrefix="1" applyFont="1" applyFill="1" applyBorder="1" applyAlignment="1">
      <alignment horizontal="center"/>
    </xf>
    <xf numFmtId="0" fontId="402" fillId="143" borderId="251" xfId="0" applyFont="1" applyFill="1" applyBorder="1"/>
    <xf numFmtId="166" fontId="341" fillId="143" borderId="83" xfId="0" quotePrefix="1" applyNumberFormat="1" applyFont="1" applyFill="1" applyBorder="1" applyAlignment="1">
      <alignment horizontal="center"/>
    </xf>
    <xf numFmtId="0" fontId="305" fillId="143" borderId="251" xfId="0" applyFont="1" applyFill="1" applyBorder="1"/>
    <xf numFmtId="21" fontId="1" fillId="0" borderId="0" xfId="0" applyNumberFormat="1" applyFont="1" applyFill="1" applyBorder="1"/>
    <xf numFmtId="21" fontId="86" fillId="143" borderId="209" xfId="0" applyNumberFormat="1" applyFont="1" applyFill="1" applyBorder="1"/>
    <xf numFmtId="1" fontId="86" fillId="143" borderId="209" xfId="0" applyNumberFormat="1" applyFont="1" applyFill="1" applyBorder="1"/>
    <xf numFmtId="0" fontId="1" fillId="143" borderId="209" xfId="0" applyFont="1" applyFill="1" applyBorder="1"/>
    <xf numFmtId="21" fontId="85" fillId="143" borderId="209" xfId="0" applyNumberFormat="1" applyFont="1" applyFill="1" applyBorder="1"/>
    <xf numFmtId="0" fontId="10" fillId="141" borderId="210" xfId="0" applyFont="1" applyFill="1" applyBorder="1"/>
    <xf numFmtId="166" fontId="84" fillId="16" borderId="209" xfId="0" applyNumberFormat="1" applyFont="1" applyFill="1" applyBorder="1"/>
    <xf numFmtId="21" fontId="84" fillId="16" borderId="209" xfId="0" applyNumberFormat="1" applyFont="1" applyFill="1" applyBorder="1"/>
    <xf numFmtId="0" fontId="84" fillId="141" borderId="209" xfId="0" applyFont="1" applyFill="1" applyBorder="1"/>
    <xf numFmtId="1" fontId="1" fillId="20" borderId="374" xfId="0" applyNumberFormat="1" applyFont="1" applyFill="1" applyBorder="1"/>
    <xf numFmtId="0" fontId="92" fillId="16" borderId="374" xfId="0" applyFont="1" applyFill="1" applyBorder="1"/>
    <xf numFmtId="21" fontId="92" fillId="16" borderId="374" xfId="0" applyNumberFormat="1" applyFont="1" applyFill="1" applyBorder="1"/>
    <xf numFmtId="166" fontId="84" fillId="16" borderId="374" xfId="0" applyNumberFormat="1" applyFont="1" applyFill="1" applyBorder="1"/>
    <xf numFmtId="21" fontId="84" fillId="16" borderId="374" xfId="0" applyNumberFormat="1" applyFont="1" applyFill="1" applyBorder="1"/>
    <xf numFmtId="0" fontId="84" fillId="141" borderId="374" xfId="0" applyFont="1" applyFill="1" applyBorder="1"/>
    <xf numFmtId="2" fontId="173" fillId="19" borderId="334" xfId="0" applyNumberFormat="1" applyFont="1" applyFill="1" applyBorder="1"/>
    <xf numFmtId="166" fontId="232" fillId="19" borderId="334" xfId="0" applyNumberFormat="1" applyFont="1" applyFill="1" applyBorder="1"/>
    <xf numFmtId="21" fontId="403" fillId="0" borderId="292" xfId="0" applyNumberFormat="1" applyFont="1" applyFill="1" applyBorder="1" applyAlignment="1">
      <alignment horizontal="center"/>
    </xf>
    <xf numFmtId="21" fontId="232" fillId="19" borderId="334" xfId="0" applyNumberFormat="1" applyFont="1" applyFill="1" applyBorder="1"/>
    <xf numFmtId="1" fontId="1" fillId="19" borderId="374" xfId="0" applyNumberFormat="1" applyFont="1" applyFill="1" applyBorder="1"/>
    <xf numFmtId="0" fontId="11" fillId="33" borderId="374" xfId="0" applyFont="1" applyFill="1" applyBorder="1"/>
    <xf numFmtId="166" fontId="8" fillId="33" borderId="374" xfId="0" quotePrefix="1" applyNumberFormat="1" applyFont="1" applyFill="1" applyBorder="1" applyAlignment="1">
      <alignment horizontal="left"/>
    </xf>
    <xf numFmtId="0" fontId="11" fillId="33" borderId="292" xfId="0" applyFont="1" applyFill="1" applyBorder="1" applyProtection="1"/>
    <xf numFmtId="2" fontId="173" fillId="19" borderId="292" xfId="0" applyNumberFormat="1" applyFont="1" applyFill="1" applyBorder="1"/>
    <xf numFmtId="21" fontId="11" fillId="19" borderId="292" xfId="0" applyNumberFormat="1" applyFont="1" applyFill="1" applyBorder="1"/>
    <xf numFmtId="166" fontId="232" fillId="19" borderId="292" xfId="0" applyNumberFormat="1" applyFont="1" applyFill="1" applyBorder="1"/>
    <xf numFmtId="2" fontId="173" fillId="19" borderId="35" xfId="0" applyNumberFormat="1" applyFont="1" applyFill="1" applyBorder="1"/>
    <xf numFmtId="166" fontId="232" fillId="19" borderId="35" xfId="0" applyNumberFormat="1" applyFont="1" applyFill="1" applyBorder="1"/>
    <xf numFmtId="0" fontId="292" fillId="94" borderId="0" xfId="0" applyFont="1" applyFill="1"/>
    <xf numFmtId="0" fontId="292" fillId="94" borderId="0" xfId="0" applyFont="1" applyFill="1" applyAlignment="1">
      <alignment horizontal="center"/>
    </xf>
    <xf numFmtId="177" fontId="292" fillId="94" borderId="0" xfId="0" applyNumberFormat="1" applyFont="1" applyFill="1"/>
    <xf numFmtId="0" fontId="404" fillId="202" borderId="186" xfId="0" applyFont="1" applyFill="1" applyBorder="1" applyProtection="1"/>
    <xf numFmtId="0" fontId="404" fillId="202" borderId="83" xfId="0" applyFont="1" applyFill="1" applyBorder="1" applyProtection="1"/>
    <xf numFmtId="21" fontId="320" fillId="115" borderId="35" xfId="0" applyNumberFormat="1" applyFont="1" applyFill="1" applyBorder="1" applyAlignment="1">
      <alignment horizontal="center"/>
    </xf>
    <xf numFmtId="21" fontId="320" fillId="115" borderId="35" xfId="0" applyNumberFormat="1" applyFont="1" applyFill="1" applyBorder="1"/>
    <xf numFmtId="0" fontId="405" fillId="202" borderId="83" xfId="0" quotePrefix="1" applyFont="1" applyFill="1" applyBorder="1" applyAlignment="1" applyProtection="1">
      <alignment horizontal="left"/>
    </xf>
    <xf numFmtId="176" fontId="404" fillId="115" borderId="35" xfId="0" applyNumberFormat="1" applyFont="1" applyFill="1" applyBorder="1"/>
    <xf numFmtId="166" fontId="405" fillId="202" borderId="0" xfId="0" applyNumberFormat="1" applyFont="1" applyFill="1" applyBorder="1" applyProtection="1"/>
    <xf numFmtId="21" fontId="320" fillId="115" borderId="35" xfId="0" quotePrefix="1" applyNumberFormat="1" applyFont="1" applyFill="1" applyBorder="1" applyAlignment="1">
      <alignment horizontal="center"/>
    </xf>
    <xf numFmtId="21" fontId="320" fillId="115" borderId="0" xfId="0" quotePrefix="1" applyNumberFormat="1" applyFont="1" applyFill="1" applyBorder="1" applyAlignment="1">
      <alignment horizontal="center"/>
    </xf>
    <xf numFmtId="0" fontId="404" fillId="202" borderId="83" xfId="0" applyFont="1" applyFill="1" applyBorder="1" applyAlignment="1" applyProtection="1">
      <alignment horizontal="center"/>
    </xf>
    <xf numFmtId="0" fontId="404" fillId="18" borderId="83" xfId="0" applyFont="1" applyFill="1" applyBorder="1"/>
    <xf numFmtId="0" fontId="404" fillId="18" borderId="156" xfId="0" applyFont="1" applyFill="1" applyBorder="1"/>
    <xf numFmtId="21" fontId="320" fillId="17" borderId="76" xfId="0" applyNumberFormat="1" applyFont="1" applyFill="1" applyBorder="1" applyAlignment="1">
      <alignment horizontal="center"/>
    </xf>
    <xf numFmtId="21" fontId="320" fillId="17" borderId="129" xfId="0" applyNumberFormat="1" applyFont="1" applyFill="1" applyBorder="1"/>
    <xf numFmtId="0" fontId="405" fillId="18" borderId="83" xfId="0" applyFont="1" applyFill="1" applyBorder="1" applyAlignment="1">
      <alignment horizontal="left"/>
    </xf>
    <xf numFmtId="176" fontId="404" fillId="17" borderId="76" xfId="0" applyNumberFormat="1" applyFont="1" applyFill="1" applyBorder="1"/>
    <xf numFmtId="166" fontId="405" fillId="18" borderId="0" xfId="0" applyNumberFormat="1" applyFont="1" applyFill="1" applyBorder="1" applyProtection="1"/>
    <xf numFmtId="21" fontId="320" fillId="17" borderId="35" xfId="0" applyNumberFormat="1" applyFont="1" applyFill="1" applyBorder="1"/>
    <xf numFmtId="21" fontId="320" fillId="17" borderId="35" xfId="0" quotePrefix="1" applyNumberFormat="1" applyFont="1" applyFill="1" applyBorder="1" applyAlignment="1">
      <alignment horizontal="center"/>
    </xf>
    <xf numFmtId="21" fontId="320" fillId="17" borderId="0" xfId="0" quotePrefix="1" applyNumberFormat="1" applyFont="1" applyFill="1" applyBorder="1" applyAlignment="1">
      <alignment horizontal="center"/>
    </xf>
    <xf numFmtId="0" fontId="404" fillId="18" borderId="83" xfId="0" applyFont="1" applyFill="1" applyBorder="1" applyAlignment="1" applyProtection="1">
      <alignment horizontal="center"/>
    </xf>
    <xf numFmtId="0" fontId="404" fillId="18" borderId="83" xfId="0" applyFont="1" applyFill="1" applyBorder="1" applyProtection="1"/>
    <xf numFmtId="0" fontId="256" fillId="98" borderId="253" xfId="0" applyFont="1" applyFill="1" applyBorder="1" applyAlignment="1">
      <alignment horizontal="center"/>
    </xf>
    <xf numFmtId="166" fontId="263" fillId="80" borderId="0" xfId="0" applyNumberFormat="1" applyFont="1" applyFill="1" applyAlignment="1" applyProtection="1">
      <alignment horizontal="center"/>
    </xf>
    <xf numFmtId="0" fontId="334" fillId="0" borderId="0" xfId="0" applyFont="1" applyAlignment="1">
      <alignment horizontal="center"/>
    </xf>
    <xf numFmtId="0" fontId="16" fillId="80" borderId="1" xfId="0" applyFont="1" applyFill="1" applyBorder="1"/>
    <xf numFmtId="0" fontId="16" fillId="80" borderId="18" xfId="0" applyFont="1" applyFill="1" applyBorder="1"/>
    <xf numFmtId="0" fontId="16" fillId="107" borderId="18" xfId="0" applyFont="1" applyFill="1" applyBorder="1"/>
    <xf numFmtId="0" fontId="16" fillId="107" borderId="1" xfId="0" applyFont="1" applyFill="1" applyBorder="1"/>
    <xf numFmtId="0" fontId="16" fillId="144" borderId="1" xfId="0" applyFont="1" applyFill="1" applyBorder="1"/>
    <xf numFmtId="0" fontId="16" fillId="144" borderId="18" xfId="0" applyFont="1" applyFill="1" applyBorder="1"/>
    <xf numFmtId="0" fontId="280" fillId="79" borderId="0" xfId="0" applyFont="1" applyFill="1" applyBorder="1" applyAlignment="1">
      <alignment horizontal="center"/>
    </xf>
    <xf numFmtId="0" fontId="280" fillId="107" borderId="1" xfId="0" applyFont="1" applyFill="1" applyBorder="1" applyAlignment="1">
      <alignment horizontal="center"/>
    </xf>
    <xf numFmtId="0" fontId="11" fillId="144" borderId="18" xfId="0" applyFont="1" applyFill="1" applyBorder="1" applyAlignment="1">
      <alignment horizontal="center"/>
    </xf>
    <xf numFmtId="1" fontId="305" fillId="141" borderId="37" xfId="0" quotePrefix="1" applyNumberFormat="1" applyFont="1" applyFill="1" applyBorder="1" applyAlignment="1">
      <alignment horizontal="center"/>
    </xf>
    <xf numFmtId="3" fontId="274" fillId="0" borderId="0" xfId="5" applyNumberFormat="1" applyFont="1" applyProtection="1">
      <protection hidden="1"/>
    </xf>
    <xf numFmtId="3" fontId="274" fillId="3" borderId="0" xfId="5" applyNumberFormat="1" applyFont="1" applyFill="1" applyProtection="1">
      <protection hidden="1"/>
    </xf>
    <xf numFmtId="3" fontId="117" fillId="123" borderId="345" xfId="5" applyNumberFormat="1" applyFont="1" applyFill="1" applyBorder="1" applyAlignment="1" applyProtection="1">
      <alignment horizontal="center"/>
      <protection locked="0" hidden="1"/>
    </xf>
    <xf numFmtId="3" fontId="117" fillId="107" borderId="345" xfId="5" applyNumberFormat="1" applyFont="1" applyFill="1" applyBorder="1" applyAlignment="1" applyProtection="1">
      <alignment horizontal="center"/>
      <protection locked="0" hidden="1"/>
    </xf>
    <xf numFmtId="3" fontId="117" fillId="113" borderId="345" xfId="5" applyNumberFormat="1" applyFont="1" applyFill="1" applyBorder="1" applyAlignment="1" applyProtection="1">
      <alignment horizontal="center"/>
      <protection locked="0" hidden="1"/>
    </xf>
    <xf numFmtId="3" fontId="350" fillId="112" borderId="190" xfId="5" applyNumberFormat="1" applyFont="1" applyFill="1" applyBorder="1" applyAlignment="1" applyProtection="1">
      <alignment horizontal="left"/>
      <protection locked="0" hidden="1"/>
    </xf>
    <xf numFmtId="3" fontId="349" fillId="112" borderId="0" xfId="5" applyNumberFormat="1" applyFont="1" applyFill="1" applyAlignment="1" applyProtection="1">
      <alignment horizontal="left"/>
      <protection hidden="1"/>
    </xf>
    <xf numFmtId="3" fontId="351" fillId="112" borderId="0" xfId="5" applyNumberFormat="1" applyFont="1" applyFill="1" applyProtection="1">
      <protection hidden="1"/>
    </xf>
    <xf numFmtId="3" fontId="43" fillId="3" borderId="126" xfId="5" applyNumberFormat="1" applyFont="1" applyFill="1" applyBorder="1" applyAlignment="1" applyProtection="1">
      <alignment horizontal="center" vertical="center"/>
      <protection locked="0" hidden="1"/>
    </xf>
    <xf numFmtId="3" fontId="43" fillId="3" borderId="33" xfId="5" applyNumberFormat="1" applyFont="1" applyFill="1" applyBorder="1" applyAlignment="1" applyProtection="1">
      <alignment horizontal="center" vertical="center"/>
      <protection locked="0" hidden="1"/>
    </xf>
    <xf numFmtId="3" fontId="44" fillId="3" borderId="384" xfId="5" applyNumberFormat="1" applyFont="1" applyFill="1" applyBorder="1" applyAlignment="1" applyProtection="1">
      <alignment horizontal="center" vertical="center"/>
      <protection locked="0" hidden="1"/>
    </xf>
    <xf numFmtId="3" fontId="44" fillId="3" borderId="366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366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358" xfId="5" applyNumberFormat="1" applyFont="1" applyFill="1" applyBorder="1" applyAlignment="1" applyProtection="1">
      <alignment horizontal="center" vertical="center"/>
      <protection locked="0" hidden="1"/>
    </xf>
    <xf numFmtId="3" fontId="44" fillId="3" borderId="385" xfId="5" applyNumberFormat="1" applyFont="1" applyFill="1" applyBorder="1" applyAlignment="1" applyProtection="1">
      <alignment horizontal="center" vertical="center"/>
      <protection locked="0" hidden="1"/>
    </xf>
    <xf numFmtId="3" fontId="44" fillId="3" borderId="386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386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387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384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385" xfId="5" applyNumberFormat="1" applyFont="1" applyFill="1" applyBorder="1" applyAlignment="1" applyProtection="1">
      <alignment horizontal="center" vertical="center"/>
      <protection locked="0" hidden="1"/>
    </xf>
    <xf numFmtId="3" fontId="117" fillId="35" borderId="385" xfId="5" applyNumberFormat="1" applyFont="1" applyFill="1" applyBorder="1" applyAlignment="1" applyProtection="1">
      <alignment horizontal="center"/>
      <protection locked="0" hidden="1"/>
    </xf>
    <xf numFmtId="3" fontId="117" fillId="35" borderId="388" xfId="5" applyNumberFormat="1" applyFont="1" applyFill="1" applyBorder="1" applyAlignment="1" applyProtection="1">
      <alignment horizontal="center"/>
      <protection locked="0" hidden="1"/>
    </xf>
    <xf numFmtId="3" fontId="370" fillId="126" borderId="380" xfId="5" applyNumberFormat="1" applyFont="1" applyFill="1" applyBorder="1" applyAlignment="1" applyProtection="1">
      <alignment horizontal="center"/>
      <protection locked="0" hidden="1"/>
    </xf>
    <xf numFmtId="0" fontId="0" fillId="112" borderId="0" xfId="0" applyFill="1"/>
    <xf numFmtId="0" fontId="16" fillId="112" borderId="0" xfId="0" applyFont="1" applyFill="1"/>
    <xf numFmtId="186" fontId="80" fillId="3" borderId="77" xfId="0" applyNumberFormat="1" applyFont="1" applyFill="1" applyBorder="1" applyAlignment="1" applyProtection="1">
      <alignment horizontal="center"/>
      <protection locked="0"/>
    </xf>
    <xf numFmtId="186" fontId="65" fillId="3" borderId="52" xfId="0" applyNumberFormat="1" applyFont="1" applyFill="1" applyBorder="1" applyAlignment="1" applyProtection="1">
      <alignment horizontal="center"/>
      <protection locked="0"/>
    </xf>
    <xf numFmtId="186" fontId="80" fillId="38" borderId="77" xfId="0" applyNumberFormat="1" applyFont="1" applyFill="1" applyBorder="1" applyAlignment="1" applyProtection="1">
      <alignment horizontal="center"/>
      <protection locked="0"/>
    </xf>
    <xf numFmtId="186" fontId="64" fillId="9" borderId="22" xfId="0" applyNumberFormat="1" applyFont="1" applyFill="1" applyBorder="1" applyAlignment="1">
      <alignment horizontal="center"/>
    </xf>
    <xf numFmtId="186" fontId="64" fillId="9" borderId="40" xfId="0" applyNumberFormat="1" applyFont="1" applyFill="1" applyBorder="1" applyAlignment="1">
      <alignment horizontal="center"/>
    </xf>
    <xf numFmtId="186" fontId="18" fillId="9" borderId="20" xfId="0" applyNumberFormat="1" applyFont="1" applyFill="1" applyBorder="1" applyAlignment="1">
      <alignment horizontal="center"/>
    </xf>
    <xf numFmtId="0" fontId="133" fillId="0" borderId="0" xfId="0" applyFont="1" applyFill="1" applyBorder="1" applyAlignment="1" applyProtection="1">
      <alignment horizontal="center"/>
    </xf>
    <xf numFmtId="0" fontId="131" fillId="0" borderId="0" xfId="0" applyFont="1" applyFill="1" applyBorder="1" applyAlignment="1" applyProtection="1">
      <alignment horizontal="center"/>
    </xf>
    <xf numFmtId="1" fontId="0" fillId="15" borderId="0" xfId="0" applyNumberFormat="1" applyFill="1" applyBorder="1"/>
    <xf numFmtId="0" fontId="0" fillId="15" borderId="0" xfId="0" applyFill="1" applyBorder="1" applyAlignment="1">
      <alignment horizontal="center"/>
    </xf>
    <xf numFmtId="21" fontId="82" fillId="16" borderId="0" xfId="0" applyNumberFormat="1" applyFont="1" applyFill="1" applyBorder="1" applyAlignment="1">
      <alignment horizontal="center" wrapText="1"/>
    </xf>
    <xf numFmtId="21" fontId="2" fillId="15" borderId="0" xfId="0" applyNumberFormat="1" applyFont="1" applyFill="1" applyBorder="1"/>
    <xf numFmtId="166" fontId="19" fillId="15" borderId="0" xfId="0" applyNumberFormat="1" applyFont="1" applyFill="1" applyBorder="1"/>
    <xf numFmtId="21" fontId="19" fillId="15" borderId="0" xfId="0" applyNumberFormat="1" applyFont="1" applyFill="1" applyBorder="1"/>
    <xf numFmtId="21" fontId="86" fillId="15" borderId="0" xfId="0" quotePrefix="1" applyNumberFormat="1" applyFont="1" applyFill="1" applyBorder="1" applyAlignment="1">
      <alignment horizontal="center"/>
    </xf>
    <xf numFmtId="0" fontId="86" fillId="15" borderId="0" xfId="0" applyFont="1" applyFill="1" applyBorder="1" applyAlignment="1">
      <alignment horizontal="center"/>
    </xf>
    <xf numFmtId="0" fontId="19" fillId="15" borderId="102" xfId="0" applyFont="1" applyFill="1" applyBorder="1"/>
    <xf numFmtId="0" fontId="334" fillId="0" borderId="0" xfId="0" applyFont="1"/>
    <xf numFmtId="181" fontId="264" fillId="80" borderId="172" xfId="7" applyNumberFormat="1" applyFont="1" applyFill="1" applyBorder="1" applyAlignment="1" applyProtection="1">
      <alignment horizontal="center"/>
      <protection locked="0"/>
    </xf>
    <xf numFmtId="168" fontId="264" fillId="80" borderId="120" xfId="7" applyNumberFormat="1" applyFont="1" applyFill="1" applyBorder="1" applyAlignment="1" applyProtection="1">
      <alignment horizontal="center"/>
      <protection locked="0"/>
    </xf>
    <xf numFmtId="0" fontId="274" fillId="3" borderId="0" xfId="0" applyFont="1" applyFill="1" applyAlignment="1" applyProtection="1">
      <alignment horizontal="center"/>
    </xf>
    <xf numFmtId="0" fontId="19" fillId="14" borderId="126" xfId="0" applyFont="1" applyFill="1" applyBorder="1" applyAlignment="1">
      <alignment horizontal="center"/>
    </xf>
    <xf numFmtId="0" fontId="19" fillId="14" borderId="32" xfId="0" applyFont="1" applyFill="1" applyBorder="1" applyAlignment="1">
      <alignment horizontal="center"/>
    </xf>
    <xf numFmtId="0" fontId="0" fillId="21" borderId="306" xfId="0" applyFill="1" applyBorder="1" applyAlignment="1">
      <alignment horizontal="center"/>
    </xf>
    <xf numFmtId="0" fontId="89" fillId="16" borderId="306" xfId="0" applyFont="1" applyFill="1" applyBorder="1" applyAlignment="1">
      <alignment horizontal="center"/>
    </xf>
    <xf numFmtId="1" fontId="373" fillId="125" borderId="58" xfId="0" applyNumberFormat="1" applyFont="1" applyFill="1" applyBorder="1" applyAlignment="1">
      <alignment horizontal="center"/>
    </xf>
    <xf numFmtId="0" fontId="89" fillId="16" borderId="35" xfId="0" applyFont="1" applyFill="1" applyBorder="1" applyAlignment="1">
      <alignment horizontal="center"/>
    </xf>
    <xf numFmtId="0" fontId="2" fillId="18" borderId="308" xfId="0" applyFont="1" applyFill="1" applyBorder="1" applyAlignment="1">
      <alignment horizontal="center"/>
    </xf>
    <xf numFmtId="0" fontId="2" fillId="180" borderId="197" xfId="0" applyFont="1" applyFill="1" applyBorder="1" applyAlignment="1">
      <alignment horizontal="center"/>
    </xf>
    <xf numFmtId="0" fontId="2" fillId="18" borderId="291" xfId="0" applyFont="1" applyFill="1" applyBorder="1" applyAlignment="1">
      <alignment horizontal="center"/>
    </xf>
    <xf numFmtId="0" fontId="0" fillId="15" borderId="35" xfId="0" applyFill="1" applyBorder="1" applyAlignment="1">
      <alignment horizontal="center"/>
    </xf>
    <xf numFmtId="0" fontId="0" fillId="15" borderId="383" xfId="0" applyFill="1" applyBorder="1" applyAlignment="1">
      <alignment horizontal="center"/>
    </xf>
    <xf numFmtId="0" fontId="54" fillId="30" borderId="389" xfId="0" applyFont="1" applyFill="1" applyBorder="1" applyAlignment="1" applyProtection="1">
      <alignment horizontal="center"/>
    </xf>
    <xf numFmtId="0" fontId="106" fillId="26" borderId="383" xfId="0" applyFont="1" applyFill="1" applyBorder="1" applyAlignment="1">
      <alignment horizontal="center"/>
    </xf>
    <xf numFmtId="0" fontId="0" fillId="15" borderId="376" xfId="0" applyFill="1" applyBorder="1" applyAlignment="1">
      <alignment horizontal="center"/>
    </xf>
    <xf numFmtId="0" fontId="54" fillId="30" borderId="308" xfId="0" applyFont="1" applyFill="1" applyBorder="1" applyAlignment="1" applyProtection="1">
      <alignment horizontal="center"/>
    </xf>
    <xf numFmtId="0" fontId="106" fillId="26" borderId="376" xfId="0" applyFont="1" applyFill="1" applyBorder="1" applyAlignment="1">
      <alignment horizontal="center"/>
    </xf>
    <xf numFmtId="0" fontId="19" fillId="14" borderId="251" xfId="0" applyFont="1" applyFill="1" applyBorder="1" applyAlignment="1">
      <alignment horizontal="center"/>
    </xf>
    <xf numFmtId="1" fontId="373" fillId="125" borderId="60" xfId="0" applyNumberFormat="1" applyFont="1" applyFill="1" applyBorder="1" applyAlignment="1">
      <alignment horizontal="center"/>
    </xf>
    <xf numFmtId="0" fontId="372" fillId="180" borderId="58" xfId="0" applyFont="1" applyFill="1" applyBorder="1" applyAlignment="1" applyProtection="1">
      <alignment horizontal="center"/>
    </xf>
    <xf numFmtId="0" fontId="271" fillId="125" borderId="197" xfId="0" applyFont="1" applyFill="1" applyBorder="1" applyAlignment="1">
      <alignment horizontal="center"/>
    </xf>
    <xf numFmtId="0" fontId="19" fillId="14" borderId="155" xfId="0" applyFont="1" applyFill="1" applyBorder="1" applyAlignment="1">
      <alignment horizontal="center"/>
    </xf>
    <xf numFmtId="0" fontId="373" fillId="125" borderId="60" xfId="0" applyFont="1" applyFill="1" applyBorder="1" applyAlignment="1">
      <alignment horizontal="center"/>
    </xf>
    <xf numFmtId="0" fontId="0" fillId="21" borderId="374" xfId="0" applyFill="1" applyBorder="1" applyAlignment="1">
      <alignment horizontal="center"/>
    </xf>
    <xf numFmtId="0" fontId="89" fillId="16" borderId="374" xfId="0" applyFont="1" applyFill="1" applyBorder="1" applyAlignment="1">
      <alignment horizontal="center"/>
    </xf>
    <xf numFmtId="0" fontId="2" fillId="18" borderId="390" xfId="0" applyFont="1" applyFill="1" applyBorder="1" applyAlignment="1">
      <alignment horizontal="center"/>
    </xf>
    <xf numFmtId="2" fontId="0" fillId="15" borderId="35" xfId="0" applyNumberFormat="1" applyFill="1" applyBorder="1" applyAlignment="1">
      <alignment horizontal="center"/>
    </xf>
    <xf numFmtId="2" fontId="160" fillId="29" borderId="35" xfId="0" applyNumberFormat="1" applyFont="1" applyFill="1" applyBorder="1" applyAlignment="1">
      <alignment horizontal="center"/>
    </xf>
    <xf numFmtId="2" fontId="106" fillId="26" borderId="35" xfId="0" applyNumberFormat="1" applyFont="1" applyFill="1" applyBorder="1" applyAlignment="1">
      <alignment horizontal="center"/>
    </xf>
    <xf numFmtId="2" fontId="0" fillId="21" borderId="35" xfId="0" applyNumberFormat="1" applyFill="1" applyBorder="1" applyAlignment="1">
      <alignment horizontal="center"/>
    </xf>
    <xf numFmtId="2" fontId="89" fillId="16" borderId="35" xfId="0" applyNumberFormat="1" applyFont="1" applyFill="1" applyBorder="1" applyAlignment="1">
      <alignment horizontal="center"/>
    </xf>
    <xf numFmtId="2" fontId="2" fillId="18" borderId="291" xfId="0" applyNumberFormat="1" applyFont="1" applyFill="1" applyBorder="1" applyAlignment="1">
      <alignment horizontal="center"/>
    </xf>
    <xf numFmtId="2" fontId="0" fillId="21" borderId="296" xfId="0" applyNumberFormat="1" applyFill="1" applyBorder="1" applyAlignment="1">
      <alignment horizontal="center"/>
    </xf>
    <xf numFmtId="2" fontId="89" fillId="16" borderId="296" xfId="0" applyNumberFormat="1" applyFont="1" applyFill="1" applyBorder="1" applyAlignment="1">
      <alignment horizontal="center"/>
    </xf>
    <xf numFmtId="2" fontId="0" fillId="15" borderId="296" xfId="0" applyNumberFormat="1" applyFill="1" applyBorder="1" applyAlignment="1">
      <alignment horizontal="center"/>
    </xf>
    <xf numFmtId="2" fontId="160" fillId="29" borderId="296" xfId="0" applyNumberFormat="1" applyFont="1" applyFill="1" applyBorder="1" applyAlignment="1">
      <alignment horizontal="center"/>
    </xf>
    <xf numFmtId="2" fontId="106" fillId="26" borderId="296" xfId="0" applyNumberFormat="1" applyFont="1" applyFill="1" applyBorder="1" applyAlignment="1">
      <alignment horizontal="center"/>
    </xf>
    <xf numFmtId="0" fontId="300" fillId="41" borderId="383" xfId="0" applyFont="1" applyFill="1" applyBorder="1"/>
    <xf numFmtId="0" fontId="19" fillId="41" borderId="383" xfId="0" applyFont="1" applyFill="1" applyBorder="1"/>
    <xf numFmtId="0" fontId="19" fillId="15" borderId="376" xfId="0" applyFont="1" applyFill="1" applyBorder="1"/>
    <xf numFmtId="0" fontId="54" fillId="30" borderId="275" xfId="0" applyFont="1" applyFill="1" applyBorder="1" applyProtection="1"/>
    <xf numFmtId="0" fontId="300" fillId="41" borderId="60" xfId="0" applyFont="1" applyFill="1" applyBorder="1"/>
    <xf numFmtId="0" fontId="19" fillId="41" borderId="197" xfId="0" applyFont="1" applyFill="1" applyBorder="1"/>
    <xf numFmtId="1" fontId="280" fillId="3" borderId="0" xfId="0" applyNumberFormat="1" applyFont="1" applyFill="1" applyProtection="1"/>
    <xf numFmtId="21" fontId="106" fillId="143" borderId="35" xfId="0" applyNumberFormat="1" applyFont="1" applyFill="1" applyBorder="1"/>
    <xf numFmtId="21" fontId="8" fillId="143" borderId="0" xfId="0" quotePrefix="1" applyNumberFormat="1" applyFont="1" applyFill="1" applyBorder="1" applyAlignment="1">
      <alignment horizontal="center"/>
    </xf>
    <xf numFmtId="166" fontId="8" fillId="182" borderId="0" xfId="0" applyNumberFormat="1" applyFont="1" applyFill="1" applyBorder="1" applyAlignment="1" applyProtection="1">
      <alignment horizontal="center"/>
    </xf>
    <xf numFmtId="0" fontId="8" fillId="182" borderId="83" xfId="0" applyFont="1" applyFill="1" applyBorder="1" applyAlignment="1" applyProtection="1">
      <alignment horizontal="center"/>
    </xf>
    <xf numFmtId="1" fontId="19" fillId="91" borderId="35" xfId="0" applyNumberFormat="1" applyFont="1" applyFill="1" applyBorder="1"/>
    <xf numFmtId="21" fontId="160" fillId="19" borderId="0" xfId="0" quotePrefix="1" applyNumberFormat="1" applyFont="1" applyFill="1" applyBorder="1" applyAlignment="1">
      <alignment horizontal="center"/>
    </xf>
    <xf numFmtId="174" fontId="325" fillId="29" borderId="0" xfId="0" quotePrefix="1" applyNumberFormat="1" applyFont="1" applyFill="1" applyBorder="1" applyAlignment="1">
      <alignment horizontal="center"/>
    </xf>
    <xf numFmtId="166" fontId="8" fillId="182" borderId="0" xfId="0" applyNumberFormat="1" applyFont="1" applyFill="1" applyBorder="1" applyProtection="1"/>
    <xf numFmtId="0" fontId="271" fillId="16" borderId="35" xfId="0" applyFont="1" applyFill="1" applyBorder="1"/>
    <xf numFmtId="174" fontId="407" fillId="143" borderId="83" xfId="0" quotePrefix="1" applyNumberFormat="1" applyFont="1" applyFill="1" applyBorder="1" applyAlignment="1">
      <alignment horizontal="center"/>
    </xf>
    <xf numFmtId="166" fontId="406" fillId="80" borderId="0" xfId="0" applyNumberFormat="1" applyFont="1" applyFill="1" applyProtection="1">
      <protection locked="0"/>
    </xf>
    <xf numFmtId="21" fontId="160" fillId="143" borderId="374" xfId="0" applyNumberFormat="1" applyFont="1" applyFill="1" applyBorder="1"/>
    <xf numFmtId="1" fontId="81" fillId="95" borderId="383" xfId="0" applyNumberFormat="1" applyFont="1" applyFill="1" applyBorder="1"/>
    <xf numFmtId="0" fontId="2" fillId="95" borderId="376" xfId="0" applyFont="1" applyFill="1" applyBorder="1"/>
    <xf numFmtId="21" fontId="82" fillId="95" borderId="376" xfId="0" applyNumberFormat="1" applyFont="1" applyFill="1" applyBorder="1"/>
    <xf numFmtId="0" fontId="86" fillId="95" borderId="376" xfId="0" applyFont="1" applyFill="1" applyBorder="1"/>
    <xf numFmtId="166" fontId="113" fillId="95" borderId="376" xfId="0" applyNumberFormat="1" applyFont="1" applyFill="1" applyBorder="1"/>
    <xf numFmtId="21" fontId="85" fillId="95" borderId="376" xfId="0" applyNumberFormat="1" applyFont="1" applyFill="1" applyBorder="1" applyAlignment="1">
      <alignment horizontal="center"/>
    </xf>
    <xf numFmtId="1" fontId="86" fillId="95" borderId="376" xfId="0" applyNumberFormat="1" applyFont="1" applyFill="1" applyBorder="1" applyAlignment="1">
      <alignment horizontal="center"/>
    </xf>
    <xf numFmtId="0" fontId="19" fillId="95" borderId="376" xfId="0" applyFont="1" applyFill="1" applyBorder="1"/>
    <xf numFmtId="1" fontId="2" fillId="71" borderId="0" xfId="0" applyNumberFormat="1" applyFont="1" applyFill="1"/>
    <xf numFmtId="0" fontId="253" fillId="71" borderId="169" xfId="0" applyFont="1" applyFill="1" applyBorder="1"/>
    <xf numFmtId="174" fontId="253" fillId="71" borderId="169" xfId="0" applyNumberFormat="1" applyFont="1" applyFill="1" applyBorder="1" applyAlignment="1">
      <alignment horizontal="center"/>
    </xf>
    <xf numFmtId="0" fontId="253" fillId="71" borderId="255" xfId="0" applyFont="1" applyFill="1" applyBorder="1" applyAlignment="1">
      <alignment horizontal="center"/>
    </xf>
    <xf numFmtId="0" fontId="253" fillId="71" borderId="255" xfId="0" applyFont="1" applyFill="1" applyBorder="1"/>
    <xf numFmtId="0" fontId="253" fillId="71" borderId="259" xfId="0" applyFont="1" applyFill="1" applyBorder="1"/>
    <xf numFmtId="174" fontId="253" fillId="71" borderId="259" xfId="0" applyNumberFormat="1" applyFont="1" applyFill="1" applyBorder="1" applyAlignment="1">
      <alignment horizontal="center"/>
    </xf>
    <xf numFmtId="0" fontId="253" fillId="71" borderId="257" xfId="0" applyFont="1" applyFill="1" applyBorder="1" applyAlignment="1">
      <alignment horizontal="center"/>
    </xf>
    <xf numFmtId="0" fontId="253" fillId="71" borderId="257" xfId="0" applyFont="1" applyFill="1" applyBorder="1"/>
    <xf numFmtId="21" fontId="254" fillId="71" borderId="201" xfId="0" applyNumberFormat="1" applyFont="1" applyFill="1" applyBorder="1"/>
    <xf numFmtId="21" fontId="256" fillId="71" borderId="201" xfId="0" applyNumberFormat="1" applyFont="1" applyFill="1" applyBorder="1" applyAlignment="1">
      <alignment horizontal="center"/>
    </xf>
    <xf numFmtId="166" fontId="253" fillId="71" borderId="276" xfId="0" applyNumberFormat="1" applyFont="1" applyFill="1" applyBorder="1"/>
    <xf numFmtId="21" fontId="253" fillId="71" borderId="276" xfId="0" applyNumberFormat="1" applyFont="1" applyFill="1" applyBorder="1"/>
    <xf numFmtId="21" fontId="160" fillId="19" borderId="276" xfId="0" applyNumberFormat="1" applyFont="1" applyFill="1" applyBorder="1"/>
    <xf numFmtId="14" fontId="408" fillId="204" borderId="191" xfId="5" applyNumberFormat="1" applyFont="1" applyFill="1" applyBorder="1" applyAlignment="1" applyProtection="1">
      <alignment vertical="center"/>
      <protection hidden="1"/>
    </xf>
    <xf numFmtId="14" fontId="408" fillId="204" borderId="100" xfId="5" applyNumberFormat="1" applyFont="1" applyFill="1" applyBorder="1" applyAlignment="1" applyProtection="1">
      <alignment vertical="center"/>
      <protection hidden="1"/>
    </xf>
    <xf numFmtId="3" fontId="328" fillId="80" borderId="385" xfId="5" applyNumberFormat="1" applyFont="1" applyFill="1" applyBorder="1" applyAlignment="1" applyProtection="1">
      <alignment horizontal="center"/>
      <protection locked="0" hidden="1"/>
    </xf>
    <xf numFmtId="3" fontId="328" fillId="80" borderId="384" xfId="5" applyNumberFormat="1" applyFont="1" applyFill="1" applyBorder="1" applyAlignment="1" applyProtection="1">
      <alignment horizontal="left"/>
      <protection locked="0" hidden="1"/>
    </xf>
    <xf numFmtId="3" fontId="44" fillId="3" borderId="374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374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393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375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383" xfId="5" applyNumberFormat="1" applyFont="1" applyFill="1" applyBorder="1" applyAlignment="1" applyProtection="1">
      <alignment horizontal="center" vertical="center"/>
      <protection locked="0" hidden="1"/>
    </xf>
    <xf numFmtId="3" fontId="44" fillId="3" borderId="375" xfId="5" applyNumberFormat="1" applyFont="1" applyFill="1" applyBorder="1" applyAlignment="1" applyProtection="1">
      <alignment horizontal="center" vertical="center"/>
      <protection locked="0" hidden="1"/>
    </xf>
    <xf numFmtId="3" fontId="44" fillId="3" borderId="387" xfId="5" applyNumberFormat="1" applyFont="1" applyFill="1" applyBorder="1" applyAlignment="1" applyProtection="1">
      <alignment horizontal="center" vertical="center"/>
      <protection locked="0" hidden="1"/>
    </xf>
    <xf numFmtId="0" fontId="61" fillId="3" borderId="189" xfId="0" applyFont="1" applyFill="1" applyBorder="1" applyProtection="1">
      <protection locked="0"/>
    </xf>
    <xf numFmtId="0" fontId="62" fillId="3" borderId="190" xfId="0" applyFont="1" applyFill="1" applyBorder="1" applyAlignment="1">
      <alignment horizontal="center"/>
    </xf>
    <xf numFmtId="0" fontId="63" fillId="3" borderId="0" xfId="0" applyFont="1" applyFill="1"/>
    <xf numFmtId="186" fontId="65" fillId="3" borderId="77" xfId="0" applyNumberFormat="1" applyFont="1" applyFill="1" applyBorder="1" applyAlignment="1" applyProtection="1">
      <alignment horizontal="center"/>
      <protection locked="0"/>
    </xf>
    <xf numFmtId="186" fontId="65" fillId="38" borderId="77" xfId="0" applyNumberFormat="1" applyFont="1" applyFill="1" applyBorder="1" applyAlignment="1" applyProtection="1">
      <alignment horizontal="center"/>
      <protection locked="0"/>
    </xf>
    <xf numFmtId="0" fontId="62" fillId="3" borderId="0" xfId="0" applyFont="1" applyFill="1" applyAlignment="1">
      <alignment horizontal="right"/>
    </xf>
    <xf numFmtId="0" fontId="63" fillId="3" borderId="196" xfId="0" applyFont="1" applyFill="1" applyBorder="1" applyAlignment="1">
      <alignment horizontal="center"/>
    </xf>
    <xf numFmtId="21" fontId="157" fillId="19" borderId="35" xfId="0" applyNumberFormat="1" applyFont="1" applyFill="1" applyBorder="1" applyAlignment="1">
      <alignment wrapText="1"/>
    </xf>
    <xf numFmtId="0" fontId="10" fillId="136" borderId="317" xfId="0" applyFont="1" applyFill="1" applyBorder="1" applyAlignment="1">
      <alignment horizontal="center"/>
    </xf>
    <xf numFmtId="21" fontId="20" fillId="21" borderId="35" xfId="0" applyNumberFormat="1" applyFont="1" applyFill="1" applyBorder="1"/>
    <xf numFmtId="0" fontId="291" fillId="143" borderId="209" xfId="0" applyFont="1" applyFill="1" applyBorder="1"/>
    <xf numFmtId="21" fontId="291" fillId="143" borderId="209" xfId="0" applyNumberFormat="1" applyFont="1" applyFill="1" applyBorder="1"/>
    <xf numFmtId="0" fontId="259" fillId="143" borderId="209" xfId="0" quotePrefix="1" applyFont="1" applyFill="1" applyBorder="1" applyAlignment="1">
      <alignment horizontal="left"/>
    </xf>
    <xf numFmtId="176" fontId="259" fillId="143" borderId="209" xfId="0" applyNumberFormat="1" applyFont="1" applyFill="1" applyBorder="1"/>
    <xf numFmtId="166" fontId="304" fillId="143" borderId="209" xfId="0" applyNumberFormat="1" applyFont="1" applyFill="1" applyBorder="1"/>
    <xf numFmtId="21" fontId="305" fillId="143" borderId="209" xfId="0" quotePrefix="1" applyNumberFormat="1" applyFont="1" applyFill="1" applyBorder="1" applyAlignment="1">
      <alignment horizontal="center"/>
    </xf>
    <xf numFmtId="0" fontId="306" fillId="143" borderId="209" xfId="0" applyFont="1" applyFill="1" applyBorder="1" applyAlignment="1">
      <alignment horizontal="center"/>
    </xf>
    <xf numFmtId="47" fontId="86" fillId="91" borderId="35" xfId="0" applyNumberFormat="1" applyFont="1" applyFill="1" applyBorder="1" applyAlignment="1">
      <alignment horizontal="center" wrapText="1"/>
    </xf>
    <xf numFmtId="183" fontId="306" fillId="174" borderId="35" xfId="0" applyNumberFormat="1" applyFont="1" applyFill="1" applyBorder="1" applyAlignment="1">
      <alignment horizontal="center" wrapText="1"/>
    </xf>
    <xf numFmtId="21" fontId="271" fillId="91" borderId="0" xfId="0" applyNumberFormat="1" applyFont="1" applyFill="1" applyBorder="1" applyAlignment="1">
      <alignment horizontal="center"/>
    </xf>
    <xf numFmtId="21" fontId="106" fillId="174" borderId="0" xfId="0" applyNumberFormat="1" applyFont="1" applyFill="1" applyBorder="1" applyAlignment="1">
      <alignment horizontal="center"/>
    </xf>
    <xf numFmtId="21" fontId="325" fillId="141" borderId="35" xfId="0" quotePrefix="1" applyNumberFormat="1" applyFont="1" applyFill="1" applyBorder="1" applyAlignment="1">
      <alignment horizontal="center"/>
    </xf>
    <xf numFmtId="0" fontId="395" fillId="182" borderId="83" xfId="0" applyFont="1" applyFill="1" applyBorder="1" applyProtection="1"/>
    <xf numFmtId="21" fontId="337" fillId="143" borderId="35" xfId="0" applyNumberFormat="1" applyFont="1" applyFill="1" applyBorder="1"/>
    <xf numFmtId="0" fontId="411" fillId="182" borderId="83" xfId="0" applyFont="1" applyFill="1" applyBorder="1" applyProtection="1"/>
    <xf numFmtId="176" fontId="411" fillId="182" borderId="0" xfId="0" applyNumberFormat="1" applyFont="1" applyFill="1" applyBorder="1" applyAlignment="1" applyProtection="1">
      <alignment horizontal="center"/>
    </xf>
    <xf numFmtId="166" fontId="412" fillId="182" borderId="0" xfId="0" applyNumberFormat="1" applyFont="1" applyFill="1" applyBorder="1" applyProtection="1"/>
    <xf numFmtId="21" fontId="407" fillId="143" borderId="35" xfId="0" applyNumberFormat="1" applyFont="1" applyFill="1" applyBorder="1"/>
    <xf numFmtId="21" fontId="325" fillId="143" borderId="35" xfId="0" quotePrefix="1" applyNumberFormat="1" applyFont="1" applyFill="1" applyBorder="1" applyAlignment="1">
      <alignment horizontal="center"/>
    </xf>
    <xf numFmtId="0" fontId="413" fillId="182" borderId="83" xfId="0" applyFont="1" applyFill="1" applyBorder="1" applyProtection="1"/>
    <xf numFmtId="173" fontId="325" fillId="143" borderId="0" xfId="0" quotePrefix="1" applyNumberFormat="1" applyFont="1" applyFill="1" applyBorder="1" applyAlignment="1">
      <alignment horizontal="center"/>
    </xf>
    <xf numFmtId="0" fontId="395" fillId="182" borderId="83" xfId="0" applyFont="1" applyFill="1" applyBorder="1" applyAlignment="1" applyProtection="1">
      <alignment horizontal="center"/>
    </xf>
    <xf numFmtId="21" fontId="85" fillId="21" borderId="374" xfId="0" quotePrefix="1" applyNumberFormat="1" applyFont="1" applyFill="1" applyBorder="1" applyAlignment="1">
      <alignment horizontal="center"/>
    </xf>
    <xf numFmtId="0" fontId="86" fillId="21" borderId="374" xfId="0" quotePrefix="1" applyFont="1" applyFill="1" applyBorder="1" applyAlignment="1">
      <alignment horizontal="center"/>
    </xf>
    <xf numFmtId="0" fontId="0" fillId="21" borderId="394" xfId="0" applyFill="1" applyBorder="1"/>
    <xf numFmtId="0" fontId="11" fillId="30" borderId="390" xfId="0" applyFont="1" applyFill="1" applyBorder="1"/>
    <xf numFmtId="0" fontId="8" fillId="30" borderId="390" xfId="0" applyFont="1" applyFill="1" applyBorder="1"/>
    <xf numFmtId="166" fontId="157" fillId="30" borderId="0" xfId="0" applyNumberFormat="1" applyFont="1" applyFill="1"/>
    <xf numFmtId="21" fontId="100" fillId="29" borderId="374" xfId="0" quotePrefix="1" applyNumberFormat="1" applyFont="1" applyFill="1" applyBorder="1" applyAlignment="1">
      <alignment horizontal="center"/>
    </xf>
    <xf numFmtId="0" fontId="11" fillId="30" borderId="390" xfId="0" applyFont="1" applyFill="1" applyBorder="1" applyAlignment="1">
      <alignment horizontal="center"/>
    </xf>
    <xf numFmtId="0" fontId="5" fillId="80" borderId="96" xfId="0" applyFont="1" applyFill="1" applyBorder="1" applyAlignment="1">
      <alignment horizontal="center"/>
    </xf>
    <xf numFmtId="0" fontId="19" fillId="21" borderId="394" xfId="0" applyFont="1" applyFill="1" applyBorder="1"/>
    <xf numFmtId="0" fontId="19" fillId="18" borderId="395" xfId="0" applyFont="1" applyFill="1" applyBorder="1"/>
    <xf numFmtId="0" fontId="19" fillId="18" borderId="390" xfId="0" applyFont="1" applyFill="1" applyBorder="1"/>
    <xf numFmtId="0" fontId="88" fillId="18" borderId="390" xfId="0" quotePrefix="1" applyFont="1" applyFill="1" applyBorder="1" applyAlignment="1">
      <alignment horizontal="left"/>
    </xf>
    <xf numFmtId="0" fontId="19" fillId="18" borderId="390" xfId="0" applyFont="1" applyFill="1" applyBorder="1" applyAlignment="1">
      <alignment horizontal="center"/>
    </xf>
    <xf numFmtId="1" fontId="171" fillId="19" borderId="374" xfId="0" applyNumberFormat="1" applyFont="1" applyFill="1" applyBorder="1"/>
    <xf numFmtId="0" fontId="100" fillId="19" borderId="374" xfId="0" applyFont="1" applyFill="1" applyBorder="1"/>
    <xf numFmtId="21" fontId="232" fillId="19" borderId="374" xfId="0" applyNumberFormat="1" applyFont="1" applyFill="1" applyBorder="1"/>
    <xf numFmtId="21" fontId="100" fillId="19" borderId="374" xfId="0" applyNumberFormat="1" applyFont="1" applyFill="1" applyBorder="1"/>
    <xf numFmtId="0" fontId="106" fillId="19" borderId="374" xfId="0" quotePrefix="1" applyFont="1" applyFill="1" applyBorder="1" applyAlignment="1">
      <alignment horizontal="left"/>
    </xf>
    <xf numFmtId="166" fontId="235" fillId="19" borderId="374" xfId="0" applyNumberFormat="1" applyFont="1" applyFill="1" applyBorder="1"/>
    <xf numFmtId="21" fontId="230" fillId="14" borderId="374" xfId="0" applyNumberFormat="1" applyFont="1" applyFill="1" applyBorder="1"/>
    <xf numFmtId="21" fontId="100" fillId="19" borderId="374" xfId="0" quotePrefix="1" applyNumberFormat="1" applyFont="1" applyFill="1" applyBorder="1" applyAlignment="1">
      <alignment horizontal="center"/>
    </xf>
    <xf numFmtId="0" fontId="100" fillId="19" borderId="333" xfId="0" applyFont="1" applyFill="1" applyBorder="1"/>
    <xf numFmtId="0" fontId="5" fillId="0" borderId="151" xfId="0" applyFont="1" applyBorder="1" applyAlignment="1">
      <alignment horizontal="center"/>
    </xf>
    <xf numFmtId="0" fontId="5" fillId="0" borderId="152" xfId="0" applyFont="1" applyBorder="1" applyAlignment="1">
      <alignment horizontal="center"/>
    </xf>
    <xf numFmtId="1" fontId="187" fillId="14" borderId="374" xfId="0" applyNumberFormat="1" applyFont="1" applyFill="1" applyBorder="1"/>
    <xf numFmtId="21" fontId="188" fillId="14" borderId="374" xfId="0" applyNumberFormat="1" applyFont="1" applyFill="1" applyBorder="1"/>
    <xf numFmtId="166" fontId="190" fillId="14" borderId="374" xfId="0" applyNumberFormat="1" applyFont="1" applyFill="1" applyBorder="1"/>
    <xf numFmtId="21" fontId="85" fillId="14" borderId="374" xfId="0" quotePrefix="1" applyNumberFormat="1" applyFont="1" applyFill="1" applyBorder="1" applyAlignment="1">
      <alignment horizontal="center"/>
    </xf>
    <xf numFmtId="0" fontId="0" fillId="14" borderId="394" xfId="0" applyFill="1" applyBorder="1"/>
    <xf numFmtId="0" fontId="99" fillId="19" borderId="374" xfId="0" applyFont="1" applyFill="1" applyBorder="1"/>
    <xf numFmtId="21" fontId="193" fillId="19" borderId="374" xfId="0" applyNumberFormat="1" applyFont="1" applyFill="1" applyBorder="1"/>
    <xf numFmtId="21" fontId="99" fillId="19" borderId="374" xfId="0" applyNumberFormat="1" applyFont="1" applyFill="1" applyBorder="1"/>
    <xf numFmtId="166" fontId="195" fillId="19" borderId="374" xfId="0" applyNumberFormat="1" applyFont="1" applyFill="1" applyBorder="1"/>
    <xf numFmtId="0" fontId="160" fillId="19" borderId="374" xfId="0" quotePrefix="1" applyFont="1" applyFill="1" applyBorder="1" applyAlignment="1">
      <alignment horizontal="left"/>
    </xf>
    <xf numFmtId="0" fontId="99" fillId="19" borderId="333" xfId="0" applyFont="1" applyFill="1" applyBorder="1"/>
    <xf numFmtId="0" fontId="2" fillId="18" borderId="390" xfId="0" applyFont="1" applyFill="1" applyBorder="1"/>
    <xf numFmtId="21" fontId="85" fillId="17" borderId="374" xfId="0" quotePrefix="1" applyNumberFormat="1" applyFont="1" applyFill="1" applyBorder="1" applyAlignment="1">
      <alignment horizontal="center"/>
    </xf>
    <xf numFmtId="0" fontId="0" fillId="18" borderId="390" xfId="0" applyFill="1" applyBorder="1"/>
    <xf numFmtId="1" fontId="187" fillId="21" borderId="376" xfId="0" applyNumberFormat="1" applyFont="1" applyFill="1" applyBorder="1"/>
    <xf numFmtId="21" fontId="188" fillId="21" borderId="374" xfId="0" applyNumberFormat="1" applyFont="1" applyFill="1" applyBorder="1"/>
    <xf numFmtId="166" fontId="174" fillId="21" borderId="374" xfId="0" applyNumberFormat="1" applyFont="1" applyFill="1" applyBorder="1"/>
    <xf numFmtId="1" fontId="187" fillId="14" borderId="386" xfId="0" applyNumberFormat="1" applyFont="1" applyFill="1" applyBorder="1"/>
    <xf numFmtId="0" fontId="0" fillId="14" borderId="386" xfId="0" applyFill="1" applyBorder="1"/>
    <xf numFmtId="21" fontId="188" fillId="14" borderId="386" xfId="0" applyNumberFormat="1" applyFont="1" applyFill="1" applyBorder="1"/>
    <xf numFmtId="21" fontId="82" fillId="14" borderId="386" xfId="0" applyNumberFormat="1" applyFont="1" applyFill="1" applyBorder="1"/>
    <xf numFmtId="0" fontId="86" fillId="14" borderId="386" xfId="0" applyFont="1" applyFill="1" applyBorder="1"/>
    <xf numFmtId="166" fontId="190" fillId="14" borderId="386" xfId="0" applyNumberFormat="1" applyFont="1" applyFill="1" applyBorder="1"/>
    <xf numFmtId="21" fontId="85" fillId="14" borderId="386" xfId="0" quotePrefix="1" applyNumberFormat="1" applyFont="1" applyFill="1" applyBorder="1" applyAlignment="1">
      <alignment horizontal="center"/>
    </xf>
    <xf numFmtId="1" fontId="86" fillId="14" borderId="386" xfId="0" applyNumberFormat="1" applyFont="1" applyFill="1" applyBorder="1" applyAlignment="1">
      <alignment horizontal="center"/>
    </xf>
    <xf numFmtId="0" fontId="0" fillId="14" borderId="387" xfId="0" applyFill="1" applyBorder="1"/>
    <xf numFmtId="1" fontId="179" fillId="0" borderId="79" xfId="0" applyNumberFormat="1" applyFont="1" applyBorder="1"/>
    <xf numFmtId="177" fontId="10" fillId="0" borderId="374" xfId="0" applyNumberFormat="1" applyFont="1" applyBorder="1"/>
    <xf numFmtId="0" fontId="5" fillId="0" borderId="148" xfId="0" applyFont="1" applyBorder="1" applyAlignment="1">
      <alignment horizontal="center" textRotation="90"/>
    </xf>
    <xf numFmtId="0" fontId="5" fillId="0" borderId="149" xfId="0" applyFont="1" applyBorder="1" applyAlignment="1">
      <alignment horizontal="center" textRotation="90"/>
    </xf>
    <xf numFmtId="1" fontId="171" fillId="3" borderId="190" xfId="0" applyNumberFormat="1" applyFont="1" applyFill="1" applyBorder="1"/>
    <xf numFmtId="0" fontId="171" fillId="3" borderId="190" xfId="0" applyFont="1" applyFill="1" applyBorder="1"/>
    <xf numFmtId="0" fontId="0" fillId="54" borderId="190" xfId="0" applyFill="1" applyBorder="1" applyAlignment="1">
      <alignment horizontal="center"/>
    </xf>
    <xf numFmtId="46" fontId="0" fillId="3" borderId="190" xfId="0" applyNumberFormat="1" applyFill="1" applyBorder="1"/>
    <xf numFmtId="0" fontId="0" fillId="3" borderId="194" xfId="0" applyFill="1" applyBorder="1"/>
    <xf numFmtId="0" fontId="5" fillId="0" borderId="153" xfId="0" applyFont="1" applyBorder="1" applyAlignment="1">
      <alignment horizontal="center"/>
    </xf>
    <xf numFmtId="0" fontId="5" fillId="0" borderId="71" xfId="0" applyFont="1" applyBorder="1" applyAlignment="1">
      <alignment horizontal="center"/>
    </xf>
    <xf numFmtId="0" fontId="5" fillId="0" borderId="154" xfId="0" applyFont="1" applyBorder="1" applyAlignment="1">
      <alignment horizontal="center"/>
    </xf>
    <xf numFmtId="0" fontId="5" fillId="0" borderId="124" xfId="0" applyFont="1" applyBorder="1" applyAlignment="1">
      <alignment horizontal="center"/>
    </xf>
    <xf numFmtId="21" fontId="136" fillId="14" borderId="386" xfId="0" applyNumberFormat="1" applyFont="1" applyFill="1" applyBorder="1"/>
    <xf numFmtId="1" fontId="171" fillId="0" borderId="0" xfId="0" applyNumberFormat="1" applyFont="1"/>
    <xf numFmtId="1" fontId="176" fillId="3" borderId="0" xfId="0" applyNumberFormat="1" applyFont="1" applyFill="1" applyAlignment="1" applyProtection="1">
      <alignment horizontal="center"/>
      <protection locked="0"/>
    </xf>
    <xf numFmtId="1" fontId="7" fillId="100" borderId="0" xfId="0" applyNumberFormat="1" applyFont="1" applyFill="1" applyAlignment="1" applyProtection="1">
      <alignment horizontal="center"/>
      <protection locked="0"/>
    </xf>
    <xf numFmtId="166" fontId="196" fillId="3" borderId="0" xfId="0" applyNumberFormat="1" applyFont="1" applyFill="1" applyAlignment="1" applyProtection="1">
      <alignment horizontal="center"/>
      <protection locked="0"/>
    </xf>
    <xf numFmtId="21" fontId="136" fillId="14" borderId="309" xfId="0" applyNumberFormat="1" applyFont="1" applyFill="1" applyBorder="1"/>
    <xf numFmtId="1" fontId="191" fillId="3" borderId="0" xfId="0" applyNumberFormat="1" applyFont="1" applyFill="1" applyAlignment="1" applyProtection="1">
      <alignment horizontal="center"/>
      <protection locked="0"/>
    </xf>
    <xf numFmtId="21" fontId="136" fillId="14" borderId="0" xfId="0" applyNumberFormat="1" applyFont="1" applyFill="1"/>
    <xf numFmtId="0" fontId="10" fillId="21" borderId="394" xfId="0" applyFont="1" applyFill="1" applyBorder="1"/>
    <xf numFmtId="0" fontId="88" fillId="18" borderId="390" xfId="0" applyFont="1" applyFill="1" applyBorder="1" applyAlignment="1">
      <alignment horizontal="left"/>
    </xf>
    <xf numFmtId="1" fontId="81" fillId="66" borderId="253" xfId="0" applyNumberFormat="1" applyFont="1" applyFill="1" applyBorder="1"/>
    <xf numFmtId="0" fontId="19" fillId="66" borderId="253" xfId="0" applyFont="1" applyFill="1" applyBorder="1"/>
    <xf numFmtId="0" fontId="10" fillId="66" borderId="253" xfId="0" applyFont="1" applyFill="1" applyBorder="1"/>
    <xf numFmtId="0" fontId="85" fillId="14" borderId="260" xfId="0" applyFont="1" applyFill="1" applyBorder="1"/>
    <xf numFmtId="0" fontId="85" fillId="14" borderId="260" xfId="0" quotePrefix="1" applyFont="1" applyFill="1" applyBorder="1" applyAlignment="1">
      <alignment horizontal="left"/>
    </xf>
    <xf numFmtId="0" fontId="85" fillId="14" borderId="260" xfId="0" applyFont="1" applyFill="1" applyBorder="1" applyAlignment="1">
      <alignment horizontal="center"/>
    </xf>
    <xf numFmtId="0" fontId="85" fillId="14" borderId="254" xfId="0" quotePrefix="1" applyFont="1" applyFill="1" applyBorder="1" applyAlignment="1">
      <alignment horizontal="center"/>
    </xf>
    <xf numFmtId="21" fontId="81" fillId="14" borderId="376" xfId="0" applyNumberFormat="1" applyFont="1" applyFill="1" applyBorder="1"/>
    <xf numFmtId="0" fontId="2" fillId="40" borderId="374" xfId="0" applyFont="1" applyFill="1" applyBorder="1"/>
    <xf numFmtId="21" fontId="82" fillId="40" borderId="374" xfId="0" applyNumberFormat="1" applyFont="1" applyFill="1" applyBorder="1"/>
    <xf numFmtId="0" fontId="85" fillId="40" borderId="374" xfId="0" applyFont="1" applyFill="1" applyBorder="1" applyAlignment="1">
      <alignment horizontal="left"/>
    </xf>
    <xf numFmtId="0" fontId="2" fillId="40" borderId="394" xfId="0" applyFont="1" applyFill="1" applyBorder="1"/>
    <xf numFmtId="21" fontId="87" fillId="50" borderId="376" xfId="0" applyNumberFormat="1" applyFont="1" applyFill="1" applyBorder="1"/>
    <xf numFmtId="0" fontId="87" fillId="50" borderId="374" xfId="0" applyFont="1" applyFill="1" applyBorder="1"/>
    <xf numFmtId="21" fontId="89" fillId="50" borderId="374" xfId="0" applyNumberFormat="1" applyFont="1" applyFill="1" applyBorder="1"/>
    <xf numFmtId="0" fontId="87" fillId="50" borderId="374" xfId="0" quotePrefix="1" applyFont="1" applyFill="1" applyBorder="1" applyAlignment="1">
      <alignment horizontal="left"/>
    </xf>
    <xf numFmtId="0" fontId="89" fillId="50" borderId="374" xfId="0" quotePrefix="1" applyFont="1" applyFill="1" applyBorder="1" applyAlignment="1">
      <alignment horizontal="left"/>
    </xf>
    <xf numFmtId="0" fontId="92" fillId="50" borderId="374" xfId="0" quotePrefix="1" applyFont="1" applyFill="1" applyBorder="1" applyAlignment="1">
      <alignment horizontal="left"/>
    </xf>
    <xf numFmtId="0" fontId="89" fillId="50" borderId="394" xfId="0" applyFont="1" applyFill="1" applyBorder="1"/>
    <xf numFmtId="0" fontId="2" fillId="21" borderId="374" xfId="0" applyFont="1" applyFill="1" applyBorder="1"/>
    <xf numFmtId="0" fontId="85" fillId="21" borderId="374" xfId="0" quotePrefix="1" applyFont="1" applyFill="1" applyBorder="1" applyAlignment="1">
      <alignment horizontal="left"/>
    </xf>
    <xf numFmtId="0" fontId="2" fillId="21" borderId="394" xfId="0" applyFont="1" applyFill="1" applyBorder="1"/>
    <xf numFmtId="21" fontId="92" fillId="50" borderId="374" xfId="0" applyNumberFormat="1" applyFont="1" applyFill="1" applyBorder="1"/>
    <xf numFmtId="21" fontId="81" fillId="34" borderId="376" xfId="0" applyNumberFormat="1" applyFont="1" applyFill="1" applyBorder="1"/>
    <xf numFmtId="0" fontId="2" fillId="34" borderId="374" xfId="0" applyFont="1" applyFill="1" applyBorder="1"/>
    <xf numFmtId="21" fontId="82" fillId="34" borderId="374" xfId="0" applyNumberFormat="1" applyFont="1" applyFill="1" applyBorder="1"/>
    <xf numFmtId="0" fontId="2" fillId="34" borderId="374" xfId="0" quotePrefix="1" applyFont="1" applyFill="1" applyBorder="1" applyAlignment="1">
      <alignment horizontal="left"/>
    </xf>
    <xf numFmtId="0" fontId="85" fillId="34" borderId="374" xfId="0" quotePrefix="1" applyFont="1" applyFill="1" applyBorder="1" applyAlignment="1">
      <alignment horizontal="center"/>
    </xf>
    <xf numFmtId="0" fontId="85" fillId="34" borderId="374" xfId="0" quotePrefix="1" applyFont="1" applyFill="1" applyBorder="1" applyAlignment="1">
      <alignment horizontal="left"/>
    </xf>
    <xf numFmtId="0" fontId="2" fillId="34" borderId="394" xfId="0" applyFont="1" applyFill="1" applyBorder="1"/>
    <xf numFmtId="21" fontId="81" fillId="19" borderId="376" xfId="0" applyNumberFormat="1" applyFont="1" applyFill="1" applyBorder="1"/>
    <xf numFmtId="0" fontId="2" fillId="19" borderId="374" xfId="0" applyFont="1" applyFill="1" applyBorder="1"/>
    <xf numFmtId="21" fontId="82" fillId="19" borderId="374" xfId="0" applyNumberFormat="1" applyFont="1" applyFill="1" applyBorder="1"/>
    <xf numFmtId="21" fontId="2" fillId="19" borderId="374" xfId="0" applyNumberFormat="1" applyFont="1" applyFill="1" applyBorder="1"/>
    <xf numFmtId="166" fontId="99" fillId="19" borderId="374" xfId="0" applyNumberFormat="1" applyFont="1" applyFill="1" applyBorder="1"/>
    <xf numFmtId="0" fontId="85" fillId="19" borderId="374" xfId="0" applyFont="1" applyFill="1" applyBorder="1" applyAlignment="1">
      <alignment horizontal="center"/>
    </xf>
    <xf numFmtId="0" fontId="2" fillId="19" borderId="394" xfId="0" applyFont="1" applyFill="1" applyBorder="1"/>
    <xf numFmtId="0" fontId="2" fillId="14" borderId="374" xfId="0" applyFont="1" applyFill="1" applyBorder="1"/>
    <xf numFmtId="21" fontId="2" fillId="14" borderId="374" xfId="0" applyNumberFormat="1" applyFont="1" applyFill="1" applyBorder="1"/>
    <xf numFmtId="0" fontId="85" fillId="14" borderId="374" xfId="0" applyFont="1" applyFill="1" applyBorder="1" applyAlignment="1">
      <alignment horizontal="center"/>
    </xf>
    <xf numFmtId="0" fontId="2" fillId="14" borderId="394" xfId="0" applyFont="1" applyFill="1" applyBorder="1"/>
    <xf numFmtId="21" fontId="1" fillId="14" borderId="386" xfId="0" applyNumberFormat="1" applyFont="1" applyFill="1" applyBorder="1"/>
    <xf numFmtId="0" fontId="314" fillId="89" borderId="96" xfId="0" applyFont="1" applyFill="1" applyBorder="1" applyAlignment="1">
      <alignment horizontal="center"/>
    </xf>
    <xf numFmtId="0" fontId="50" fillId="3" borderId="0" xfId="0" applyFont="1" applyFill="1" applyAlignment="1">
      <alignment horizontal="right"/>
    </xf>
    <xf numFmtId="0" fontId="5" fillId="3" borderId="0" xfId="0" applyFont="1" applyFill="1" applyAlignment="1">
      <alignment horizontal="right"/>
    </xf>
    <xf numFmtId="0" fontId="0" fillId="3" borderId="0" xfId="0" applyFill="1" applyAlignment="1">
      <alignment horizontal="right"/>
    </xf>
    <xf numFmtId="1" fontId="0" fillId="3" borderId="0" xfId="0" applyNumberFormat="1" applyFill="1" applyAlignment="1">
      <alignment horizontal="right"/>
    </xf>
    <xf numFmtId="14" fontId="1" fillId="3" borderId="0" xfId="0" applyNumberFormat="1" applyFont="1" applyFill="1" applyAlignment="1" applyProtection="1">
      <alignment horizontal="right"/>
      <protection locked="0"/>
    </xf>
    <xf numFmtId="0" fontId="1" fillId="3" borderId="0" xfId="0" applyFont="1" applyFill="1" applyAlignment="1" applyProtection="1">
      <alignment horizontal="right"/>
      <protection locked="0"/>
    </xf>
    <xf numFmtId="0" fontId="1" fillId="3" borderId="0" xfId="0" applyFont="1" applyFill="1" applyAlignment="1">
      <alignment horizontal="right"/>
    </xf>
    <xf numFmtId="14" fontId="1" fillId="3" borderId="0" xfId="0" applyNumberFormat="1" applyFont="1" applyFill="1" applyAlignment="1">
      <alignment horizontal="right"/>
    </xf>
    <xf numFmtId="178" fontId="1" fillId="3" borderId="0" xfId="0" applyNumberFormat="1" applyFont="1" applyFill="1" applyAlignment="1" applyProtection="1">
      <alignment horizontal="right"/>
      <protection locked="0"/>
    </xf>
    <xf numFmtId="166" fontId="109" fillId="3" borderId="0" xfId="0" applyNumberFormat="1" applyFont="1" applyFill="1" applyAlignment="1">
      <alignment horizontal="right"/>
    </xf>
    <xf numFmtId="21" fontId="1" fillId="3" borderId="0" xfId="0" applyNumberFormat="1" applyFont="1" applyFill="1" applyAlignment="1">
      <alignment horizontal="right"/>
    </xf>
    <xf numFmtId="3" fontId="5" fillId="3" borderId="0" xfId="0" applyNumberFormat="1" applyFont="1" applyFill="1" applyAlignment="1">
      <alignment horizontal="right"/>
    </xf>
    <xf numFmtId="0" fontId="9" fillId="0" borderId="243" xfId="0" applyFont="1" applyBorder="1" applyAlignment="1">
      <alignment horizontal="right" textRotation="90"/>
    </xf>
    <xf numFmtId="0" fontId="9" fillId="0" borderId="261" xfId="0" applyFont="1" applyBorder="1" applyAlignment="1">
      <alignment horizontal="right" textRotation="90"/>
    </xf>
    <xf numFmtId="0" fontId="9" fillId="0" borderId="245" xfId="0" applyFont="1" applyBorder="1" applyAlignment="1">
      <alignment horizontal="right" textRotation="90"/>
    </xf>
    <xf numFmtId="1" fontId="9" fillId="0" borderId="245" xfId="0" applyNumberFormat="1" applyFont="1" applyBorder="1" applyAlignment="1">
      <alignment horizontal="right" textRotation="90"/>
    </xf>
    <xf numFmtId="164" fontId="9" fillId="0" borderId="245" xfId="3" applyFont="1" applyFill="1" applyBorder="1" applyAlignment="1">
      <alignment horizontal="right" textRotation="90"/>
    </xf>
    <xf numFmtId="21" fontId="9" fillId="0" borderId="262" xfId="0" applyNumberFormat="1" applyFont="1" applyBorder="1" applyAlignment="1">
      <alignment horizontal="right" textRotation="90"/>
    </xf>
    <xf numFmtId="0" fontId="9" fillId="0" borderId="262" xfId="0" applyFont="1" applyBorder="1" applyAlignment="1">
      <alignment horizontal="right" textRotation="90"/>
    </xf>
    <xf numFmtId="166" fontId="108" fillId="0" borderId="262" xfId="0" applyNumberFormat="1" applyFont="1" applyBorder="1" applyAlignment="1">
      <alignment horizontal="right" textRotation="90"/>
    </xf>
    <xf numFmtId="0" fontId="9" fillId="0" borderId="245" xfId="0" applyFont="1" applyBorder="1" applyAlignment="1">
      <alignment horizontal="right" vertical="justify" textRotation="90"/>
    </xf>
    <xf numFmtId="21" fontId="9" fillId="0" borderId="263" xfId="0" applyNumberFormat="1" applyFont="1" applyBorder="1" applyAlignment="1">
      <alignment horizontal="right" textRotation="90"/>
    </xf>
    <xf numFmtId="0" fontId="9" fillId="0" borderId="114" xfId="0" applyFont="1" applyBorder="1" applyAlignment="1">
      <alignment horizontal="right" textRotation="90"/>
    </xf>
    <xf numFmtId="0" fontId="9" fillId="0" borderId="288" xfId="0" applyFont="1" applyBorder="1" applyAlignment="1">
      <alignment horizontal="right" textRotation="90"/>
    </xf>
    <xf numFmtId="0" fontId="9" fillId="0" borderId="251" xfId="0" applyFont="1" applyBorder="1" applyAlignment="1">
      <alignment horizontal="right" textRotation="90"/>
    </xf>
    <xf numFmtId="1" fontId="9" fillId="0" borderId="251" xfId="0" applyNumberFormat="1" applyFont="1" applyBorder="1" applyAlignment="1">
      <alignment horizontal="right" textRotation="90"/>
    </xf>
    <xf numFmtId="164" fontId="9" fillId="0" borderId="251" xfId="3" applyFont="1" applyFill="1" applyBorder="1" applyAlignment="1">
      <alignment horizontal="right" textRotation="90"/>
    </xf>
    <xf numFmtId="21" fontId="9" fillId="0" borderId="251" xfId="0" applyNumberFormat="1" applyFont="1" applyBorder="1" applyAlignment="1">
      <alignment horizontal="right" textRotation="90"/>
    </xf>
    <xf numFmtId="166" fontId="108" fillId="0" borderId="251" xfId="0" applyNumberFormat="1" applyFont="1" applyBorder="1" applyAlignment="1">
      <alignment horizontal="right" textRotation="90"/>
    </xf>
    <xf numFmtId="0" fontId="9" fillId="0" borderId="251" xfId="0" applyFont="1" applyBorder="1" applyAlignment="1">
      <alignment horizontal="right" vertical="justify" textRotation="90"/>
    </xf>
    <xf numFmtId="21" fontId="9" fillId="0" borderId="289" xfId="0" applyNumberFormat="1" applyFont="1" applyBorder="1" applyAlignment="1">
      <alignment horizontal="right" textRotation="90"/>
    </xf>
    <xf numFmtId="0" fontId="5" fillId="0" borderId="114" xfId="0" applyFont="1" applyBorder="1" applyAlignment="1">
      <alignment horizontal="right" textRotation="90"/>
    </xf>
    <xf numFmtId="0" fontId="5" fillId="0" borderId="288" xfId="0" applyFont="1" applyBorder="1" applyAlignment="1">
      <alignment horizontal="right" textRotation="90"/>
    </xf>
    <xf numFmtId="0" fontId="5" fillId="0" borderId="251" xfId="0" applyFont="1" applyBorder="1" applyAlignment="1">
      <alignment horizontal="right" textRotation="90"/>
    </xf>
    <xf numFmtId="1" fontId="5" fillId="0" borderId="251" xfId="0" applyNumberFormat="1" applyFont="1" applyBorder="1" applyAlignment="1">
      <alignment horizontal="right" textRotation="90"/>
    </xf>
    <xf numFmtId="21" fontId="9" fillId="0" borderId="251" xfId="0" applyNumberFormat="1" applyFont="1" applyBorder="1" applyAlignment="1">
      <alignment horizontal="right"/>
    </xf>
    <xf numFmtId="0" fontId="9" fillId="0" borderId="251" xfId="0" applyFont="1" applyBorder="1" applyAlignment="1">
      <alignment horizontal="right"/>
    </xf>
    <xf numFmtId="166" fontId="108" fillId="0" borderId="251" xfId="0" applyNumberFormat="1" applyFont="1" applyBorder="1" applyAlignment="1">
      <alignment horizontal="right"/>
    </xf>
    <xf numFmtId="174" fontId="9" fillId="0" borderId="251" xfId="0" applyNumberFormat="1" applyFont="1" applyBorder="1" applyAlignment="1">
      <alignment horizontal="right"/>
    </xf>
    <xf numFmtId="21" fontId="5" fillId="0" borderId="289" xfId="0" applyNumberFormat="1" applyFont="1" applyBorder="1" applyAlignment="1">
      <alignment horizontal="right" textRotation="90"/>
    </xf>
    <xf numFmtId="0" fontId="5" fillId="0" borderId="189" xfId="0" applyFont="1" applyBorder="1" applyAlignment="1">
      <alignment horizontal="right"/>
    </xf>
    <xf numFmtId="0" fontId="5" fillId="0" borderId="96" xfId="0" applyFont="1" applyBorder="1" applyAlignment="1">
      <alignment horizontal="right"/>
    </xf>
    <xf numFmtId="21" fontId="81" fillId="14" borderId="32" xfId="0" applyNumberFormat="1" applyFont="1" applyFill="1" applyBorder="1" applyAlignment="1">
      <alignment horizontal="right"/>
    </xf>
    <xf numFmtId="1" fontId="0" fillId="15" borderId="317" xfId="0" applyNumberFormat="1" applyFill="1" applyBorder="1" applyAlignment="1">
      <alignment horizontal="right"/>
    </xf>
    <xf numFmtId="0" fontId="2" fillId="14" borderId="32" xfId="0" applyFont="1" applyFill="1" applyBorder="1" applyAlignment="1">
      <alignment horizontal="right"/>
    </xf>
    <xf numFmtId="21" fontId="82" fillId="108" borderId="32" xfId="0" applyNumberFormat="1" applyFont="1" applyFill="1" applyBorder="1" applyAlignment="1">
      <alignment horizontal="right"/>
    </xf>
    <xf numFmtId="0" fontId="86" fillId="108" borderId="32" xfId="0" applyFont="1" applyFill="1" applyBorder="1" applyAlignment="1">
      <alignment horizontal="right" wrapText="1"/>
    </xf>
    <xf numFmtId="166" fontId="109" fillId="15" borderId="317" xfId="0" applyNumberFormat="1" applyFont="1" applyFill="1" applyBorder="1" applyAlignment="1">
      <alignment horizontal="right"/>
    </xf>
    <xf numFmtId="21" fontId="0" fillId="15" borderId="317" xfId="0" applyNumberFormat="1" applyFill="1" applyBorder="1" applyAlignment="1">
      <alignment horizontal="right"/>
    </xf>
    <xf numFmtId="0" fontId="86" fillId="15" borderId="317" xfId="0" applyFont="1" applyFill="1" applyBorder="1" applyAlignment="1">
      <alignment horizontal="right"/>
    </xf>
    <xf numFmtId="0" fontId="0" fillId="15" borderId="317" xfId="0" applyFill="1" applyBorder="1" applyAlignment="1">
      <alignment horizontal="right"/>
    </xf>
    <xf numFmtId="0" fontId="5" fillId="0" borderId="12" xfId="0" applyFont="1" applyBorder="1" applyAlignment="1">
      <alignment horizontal="right"/>
    </xf>
    <xf numFmtId="1" fontId="0" fillId="137" borderId="317" xfId="0" applyNumberFormat="1" applyFill="1" applyBorder="1" applyAlignment="1">
      <alignment horizontal="right"/>
    </xf>
    <xf numFmtId="0" fontId="0" fillId="15" borderId="310" xfId="0" applyFill="1" applyBorder="1" applyAlignment="1">
      <alignment horizontal="right"/>
    </xf>
    <xf numFmtId="21" fontId="82" fillId="15" borderId="309" xfId="0" applyNumberFormat="1" applyFont="1" applyFill="1" applyBorder="1" applyAlignment="1">
      <alignment horizontal="right"/>
    </xf>
    <xf numFmtId="21" fontId="82" fillId="15" borderId="317" xfId="0" applyNumberFormat="1" applyFont="1" applyFill="1" applyBorder="1" applyAlignment="1">
      <alignment horizontal="right"/>
    </xf>
    <xf numFmtId="0" fontId="10" fillId="15" borderId="317" xfId="0" quotePrefix="1" applyFont="1" applyFill="1" applyBorder="1" applyAlignment="1">
      <alignment horizontal="right"/>
    </xf>
    <xf numFmtId="1" fontId="0" fillId="19" borderId="317" xfId="0" applyNumberFormat="1" applyFill="1" applyBorder="1" applyAlignment="1">
      <alignment horizontal="right"/>
    </xf>
    <xf numFmtId="0" fontId="99" fillId="19" borderId="317" xfId="0" applyFont="1" applyFill="1" applyBorder="1" applyAlignment="1">
      <alignment horizontal="right"/>
    </xf>
    <xf numFmtId="0" fontId="99" fillId="19" borderId="318" xfId="0" applyFont="1" applyFill="1" applyBorder="1" applyAlignment="1">
      <alignment horizontal="right"/>
    </xf>
    <xf numFmtId="21" fontId="99" fillId="19" borderId="310" xfId="0" applyNumberFormat="1" applyFont="1" applyFill="1" applyBorder="1" applyAlignment="1">
      <alignment horizontal="right"/>
    </xf>
    <xf numFmtId="21" fontId="99" fillId="19" borderId="317" xfId="0" applyNumberFormat="1" applyFont="1" applyFill="1" applyBorder="1" applyAlignment="1">
      <alignment horizontal="right"/>
    </xf>
    <xf numFmtId="0" fontId="106" fillId="19" borderId="317" xfId="0" applyFont="1" applyFill="1" applyBorder="1" applyAlignment="1">
      <alignment horizontal="right"/>
    </xf>
    <xf numFmtId="21" fontId="100" fillId="19" borderId="317" xfId="0" quotePrefix="1" applyNumberFormat="1" applyFont="1" applyFill="1" applyBorder="1" applyAlignment="1">
      <alignment horizontal="right"/>
    </xf>
    <xf numFmtId="166" fontId="111" fillId="19" borderId="317" xfId="0" applyNumberFormat="1" applyFont="1" applyFill="1" applyBorder="1" applyAlignment="1">
      <alignment horizontal="right"/>
    </xf>
    <xf numFmtId="0" fontId="106" fillId="19" borderId="317" xfId="0" quotePrefix="1" applyFont="1" applyFill="1" applyBorder="1" applyAlignment="1">
      <alignment horizontal="right"/>
    </xf>
    <xf numFmtId="0" fontId="99" fillId="19" borderId="291" xfId="0" applyFont="1" applyFill="1" applyBorder="1" applyAlignment="1">
      <alignment horizontal="right"/>
    </xf>
    <xf numFmtId="0" fontId="5" fillId="0" borderId="97" xfId="0" applyFont="1" applyBorder="1" applyAlignment="1">
      <alignment horizontal="right"/>
    </xf>
    <xf numFmtId="1" fontId="16" fillId="68" borderId="0" xfId="0" applyNumberFormat="1" applyFont="1" applyFill="1" applyAlignment="1">
      <alignment horizontal="right"/>
    </xf>
    <xf numFmtId="0" fontId="10" fillId="15" borderId="317" xfId="0" applyFont="1" applyFill="1" applyBorder="1" applyAlignment="1">
      <alignment horizontal="right"/>
    </xf>
    <xf numFmtId="21" fontId="85" fillId="15" borderId="317" xfId="0" quotePrefix="1" applyNumberFormat="1" applyFont="1" applyFill="1" applyBorder="1" applyAlignment="1">
      <alignment horizontal="right"/>
    </xf>
    <xf numFmtId="1" fontId="0" fillId="19" borderId="0" xfId="0" applyNumberFormat="1" applyFill="1" applyAlignment="1">
      <alignment horizontal="right"/>
    </xf>
    <xf numFmtId="0" fontId="2" fillId="18" borderId="291" xfId="0" applyFont="1" applyFill="1" applyBorder="1" applyAlignment="1">
      <alignment horizontal="right"/>
    </xf>
    <xf numFmtId="0" fontId="2" fillId="18" borderId="0" xfId="0" applyFont="1" applyFill="1" applyAlignment="1">
      <alignment horizontal="right"/>
    </xf>
    <xf numFmtId="21" fontId="89" fillId="17" borderId="317" xfId="0" applyNumberFormat="1" applyFont="1" applyFill="1" applyBorder="1" applyAlignment="1">
      <alignment horizontal="right"/>
    </xf>
    <xf numFmtId="0" fontId="10" fillId="18" borderId="291" xfId="0" applyFont="1" applyFill="1" applyBorder="1" applyAlignment="1">
      <alignment horizontal="right"/>
    </xf>
    <xf numFmtId="0" fontId="10" fillId="18" borderId="0" xfId="0" applyFont="1" applyFill="1" applyAlignment="1">
      <alignment horizontal="right"/>
    </xf>
    <xf numFmtId="21" fontId="85" fillId="17" borderId="317" xfId="0" quotePrefix="1" applyNumberFormat="1" applyFont="1" applyFill="1" applyBorder="1" applyAlignment="1">
      <alignment horizontal="right"/>
    </xf>
    <xf numFmtId="0" fontId="0" fillId="18" borderId="291" xfId="0" applyFill="1" applyBorder="1" applyAlignment="1">
      <alignment horizontal="right"/>
    </xf>
    <xf numFmtId="1" fontId="81" fillId="14" borderId="32" xfId="0" applyNumberFormat="1" applyFont="1" applyFill="1" applyBorder="1" applyAlignment="1">
      <alignment horizontal="right"/>
    </xf>
    <xf numFmtId="0" fontId="100" fillId="19" borderId="317" xfId="0" applyFont="1" applyFill="1" applyBorder="1" applyAlignment="1">
      <alignment horizontal="right"/>
    </xf>
    <xf numFmtId="0" fontId="100" fillId="26" borderId="317" xfId="0" applyFont="1" applyFill="1" applyBorder="1" applyAlignment="1">
      <alignment horizontal="right"/>
    </xf>
    <xf numFmtId="0" fontId="11" fillId="33" borderId="317" xfId="0" applyFont="1" applyFill="1" applyBorder="1" applyAlignment="1">
      <alignment horizontal="right"/>
    </xf>
    <xf numFmtId="21" fontId="100" fillId="26" borderId="317" xfId="0" applyNumberFormat="1" applyFont="1" applyFill="1" applyBorder="1" applyAlignment="1">
      <alignment horizontal="right"/>
    </xf>
    <xf numFmtId="21" fontId="100" fillId="19" borderId="317" xfId="0" applyNumberFormat="1" applyFont="1" applyFill="1" applyBorder="1" applyAlignment="1">
      <alignment horizontal="right"/>
    </xf>
    <xf numFmtId="0" fontId="8" fillId="33" borderId="317" xfId="0" applyFont="1" applyFill="1" applyBorder="1" applyAlignment="1">
      <alignment horizontal="right"/>
    </xf>
    <xf numFmtId="21" fontId="11" fillId="19" borderId="317" xfId="0" applyNumberFormat="1" applyFont="1" applyFill="1" applyBorder="1" applyAlignment="1">
      <alignment horizontal="right"/>
    </xf>
    <xf numFmtId="0" fontId="107" fillId="33" borderId="317" xfId="0" applyFont="1" applyFill="1" applyBorder="1" applyAlignment="1">
      <alignment horizontal="right"/>
    </xf>
    <xf numFmtId="0" fontId="100" fillId="19" borderId="291" xfId="0" applyFont="1" applyFill="1" applyBorder="1" applyAlignment="1">
      <alignment horizontal="right"/>
    </xf>
    <xf numFmtId="0" fontId="5" fillId="0" borderId="0" xfId="0" applyFont="1" applyAlignment="1">
      <alignment horizontal="right"/>
    </xf>
    <xf numFmtId="1" fontId="81" fillId="14" borderId="174" xfId="0" applyNumberFormat="1" applyFont="1" applyFill="1" applyBorder="1" applyAlignment="1">
      <alignment horizontal="right"/>
    </xf>
    <xf numFmtId="0" fontId="148" fillId="3" borderId="0" xfId="0" applyFont="1" applyFill="1" applyAlignment="1" applyProtection="1">
      <alignment horizontal="right"/>
      <protection locked="0"/>
    </xf>
    <xf numFmtId="0" fontId="55" fillId="3" borderId="0" xfId="0" applyFont="1" applyFill="1" applyAlignment="1" applyProtection="1">
      <alignment horizontal="right"/>
      <protection locked="0"/>
    </xf>
    <xf numFmtId="0" fontId="55" fillId="3" borderId="79" xfId="0" applyFont="1" applyFill="1" applyBorder="1" applyAlignment="1" applyProtection="1">
      <alignment horizontal="right"/>
      <protection locked="0"/>
    </xf>
    <xf numFmtId="21" fontId="85" fillId="14" borderId="294" xfId="0" applyNumberFormat="1" applyFont="1" applyFill="1" applyBorder="1" applyAlignment="1">
      <alignment horizontal="right"/>
    </xf>
    <xf numFmtId="0" fontId="1" fillId="14" borderId="266" xfId="0" applyFont="1" applyFill="1" applyBorder="1" applyAlignment="1">
      <alignment horizontal="right"/>
    </xf>
    <xf numFmtId="0" fontId="5" fillId="24" borderId="12" xfId="0" applyFont="1" applyFill="1" applyBorder="1" applyAlignment="1">
      <alignment horizontal="right"/>
    </xf>
    <xf numFmtId="0" fontId="5" fillId="24" borderId="96" xfId="0" applyFont="1" applyFill="1" applyBorder="1" applyAlignment="1">
      <alignment horizontal="right"/>
    </xf>
    <xf numFmtId="1" fontId="81" fillId="21" borderId="310" xfId="0" applyNumberFormat="1" applyFont="1" applyFill="1" applyBorder="1" applyAlignment="1">
      <alignment horizontal="right"/>
    </xf>
    <xf numFmtId="0" fontId="0" fillId="21" borderId="317" xfId="0" applyFill="1" applyBorder="1" applyAlignment="1">
      <alignment horizontal="right"/>
    </xf>
    <xf numFmtId="21" fontId="82" fillId="21" borderId="317" xfId="0" applyNumberFormat="1" applyFont="1" applyFill="1" applyBorder="1" applyAlignment="1">
      <alignment horizontal="right"/>
    </xf>
    <xf numFmtId="0" fontId="10" fillId="21" borderId="317" xfId="0" applyFont="1" applyFill="1" applyBorder="1" applyAlignment="1">
      <alignment horizontal="right"/>
    </xf>
    <xf numFmtId="176" fontId="10" fillId="21" borderId="317" xfId="0" applyNumberFormat="1" applyFont="1" applyFill="1" applyBorder="1" applyAlignment="1">
      <alignment horizontal="right"/>
    </xf>
    <xf numFmtId="166" fontId="109" fillId="21" borderId="317" xfId="0" applyNumberFormat="1" applyFont="1" applyFill="1" applyBorder="1" applyAlignment="1">
      <alignment horizontal="right"/>
    </xf>
    <xf numFmtId="21" fontId="85" fillId="21" borderId="317" xfId="0" quotePrefix="1" applyNumberFormat="1" applyFont="1" applyFill="1" applyBorder="1" applyAlignment="1">
      <alignment horizontal="right"/>
    </xf>
    <xf numFmtId="1" fontId="86" fillId="21" borderId="317" xfId="0" applyNumberFormat="1" applyFont="1" applyFill="1" applyBorder="1" applyAlignment="1">
      <alignment horizontal="right"/>
    </xf>
    <xf numFmtId="0" fontId="0" fillId="21" borderId="293" xfId="0" applyFill="1" applyBorder="1" applyAlignment="1">
      <alignment horizontal="right"/>
    </xf>
    <xf numFmtId="1" fontId="16" fillId="29" borderId="0" xfId="0" applyNumberFormat="1" applyFont="1" applyFill="1" applyAlignment="1">
      <alignment horizontal="right"/>
    </xf>
    <xf numFmtId="0" fontId="16" fillId="30" borderId="291" xfId="0" applyFont="1" applyFill="1" applyBorder="1" applyAlignment="1">
      <alignment horizontal="right"/>
    </xf>
    <xf numFmtId="21" fontId="99" fillId="29" borderId="317" xfId="0" applyNumberFormat="1" applyFont="1" applyFill="1" applyBorder="1" applyAlignment="1">
      <alignment horizontal="right"/>
    </xf>
    <xf numFmtId="0" fontId="8" fillId="30" borderId="291" xfId="0" applyFont="1" applyFill="1" applyBorder="1" applyAlignment="1">
      <alignment horizontal="right"/>
    </xf>
    <xf numFmtId="177" fontId="8" fillId="29" borderId="317" xfId="0" applyNumberFormat="1" applyFont="1" applyFill="1" applyBorder="1" applyAlignment="1">
      <alignment horizontal="right"/>
    </xf>
    <xf numFmtId="21" fontId="100" fillId="29" borderId="0" xfId="0" quotePrefix="1" applyNumberFormat="1" applyFont="1" applyFill="1" applyAlignment="1">
      <alignment horizontal="right"/>
    </xf>
    <xf numFmtId="1" fontId="291" fillId="138" borderId="317" xfId="0" applyNumberFormat="1" applyFont="1" applyFill="1" applyBorder="1" applyAlignment="1">
      <alignment horizontal="right"/>
    </xf>
    <xf numFmtId="0" fontId="100" fillId="19" borderId="318" xfId="0" applyFont="1" applyFill="1" applyBorder="1" applyAlignment="1">
      <alignment horizontal="right"/>
    </xf>
    <xf numFmtId="21" fontId="100" fillId="19" borderId="310" xfId="0" applyNumberFormat="1" applyFont="1" applyFill="1" applyBorder="1" applyAlignment="1">
      <alignment horizontal="right"/>
    </xf>
    <xf numFmtId="166" fontId="158" fillId="19" borderId="317" xfId="0" applyNumberFormat="1" applyFont="1" applyFill="1" applyBorder="1" applyAlignment="1">
      <alignment horizontal="right"/>
    </xf>
    <xf numFmtId="0" fontId="5" fillId="0" borderId="58" xfId="0" applyFont="1" applyBorder="1" applyAlignment="1">
      <alignment horizontal="right"/>
    </xf>
    <xf numFmtId="1" fontId="81" fillId="14" borderId="317" xfId="0" applyNumberFormat="1" applyFont="1" applyFill="1" applyBorder="1" applyAlignment="1">
      <alignment horizontal="right"/>
    </xf>
    <xf numFmtId="0" fontId="0" fillId="14" borderId="317" xfId="0" applyFill="1" applyBorder="1" applyAlignment="1">
      <alignment horizontal="right"/>
    </xf>
    <xf numFmtId="21" fontId="82" fillId="14" borderId="317" xfId="0" applyNumberFormat="1" applyFont="1" applyFill="1" applyBorder="1" applyAlignment="1">
      <alignment horizontal="right"/>
    </xf>
    <xf numFmtId="0" fontId="86" fillId="14" borderId="317" xfId="0" applyFont="1" applyFill="1" applyBorder="1" applyAlignment="1">
      <alignment horizontal="right"/>
    </xf>
    <xf numFmtId="177" fontId="10" fillId="57" borderId="317" xfId="0" applyNumberFormat="1" applyFont="1" applyFill="1" applyBorder="1" applyAlignment="1">
      <alignment horizontal="right"/>
    </xf>
    <xf numFmtId="166" fontId="113" fillId="14" borderId="317" xfId="0" applyNumberFormat="1" applyFont="1" applyFill="1" applyBorder="1" applyAlignment="1">
      <alignment horizontal="right"/>
    </xf>
    <xf numFmtId="21" fontId="85" fillId="14" borderId="317" xfId="0" quotePrefix="1" applyNumberFormat="1" applyFont="1" applyFill="1" applyBorder="1" applyAlignment="1">
      <alignment horizontal="right"/>
    </xf>
    <xf numFmtId="1" fontId="86" fillId="14" borderId="317" xfId="0" applyNumberFormat="1" applyFont="1" applyFill="1" applyBorder="1" applyAlignment="1">
      <alignment horizontal="right"/>
    </xf>
    <xf numFmtId="0" fontId="0" fillId="14" borderId="293" xfId="0" applyFill="1" applyBorder="1" applyAlignment="1">
      <alignment horizontal="right"/>
    </xf>
    <xf numFmtId="0" fontId="0" fillId="91" borderId="309" xfId="0" applyFill="1" applyBorder="1" applyAlignment="1">
      <alignment horizontal="right"/>
    </xf>
    <xf numFmtId="0" fontId="0" fillId="91" borderId="317" xfId="0" applyFill="1" applyBorder="1" applyAlignment="1">
      <alignment horizontal="right"/>
    </xf>
    <xf numFmtId="0" fontId="0" fillId="91" borderId="174" xfId="0" applyFill="1" applyBorder="1" applyAlignment="1">
      <alignment horizontal="right"/>
    </xf>
    <xf numFmtId="21" fontId="82" fillId="91" borderId="317" xfId="0" applyNumberFormat="1" applyFont="1" applyFill="1" applyBorder="1" applyAlignment="1">
      <alignment horizontal="right"/>
    </xf>
    <xf numFmtId="0" fontId="10" fillId="91" borderId="317" xfId="0" applyFont="1" applyFill="1" applyBorder="1" applyAlignment="1">
      <alignment horizontal="right"/>
    </xf>
    <xf numFmtId="21" fontId="89" fillId="91" borderId="317" xfId="0" applyNumberFormat="1" applyFont="1" applyFill="1" applyBorder="1" applyAlignment="1">
      <alignment horizontal="right"/>
    </xf>
    <xf numFmtId="0" fontId="10" fillId="92" borderId="0" xfId="0" applyFont="1" applyFill="1" applyAlignment="1">
      <alignment horizontal="right"/>
    </xf>
    <xf numFmtId="21" fontId="85" fillId="91" borderId="317" xfId="0" quotePrefix="1" applyNumberFormat="1" applyFont="1" applyFill="1" applyBorder="1" applyAlignment="1">
      <alignment horizontal="right"/>
    </xf>
    <xf numFmtId="0" fontId="0" fillId="92" borderId="291" xfId="0" applyFill="1" applyBorder="1" applyAlignment="1">
      <alignment horizontal="right"/>
    </xf>
    <xf numFmtId="0" fontId="0" fillId="15" borderId="174" xfId="0" applyFill="1" applyBorder="1" applyAlignment="1">
      <alignment horizontal="right"/>
    </xf>
    <xf numFmtId="1" fontId="81" fillId="115" borderId="126" xfId="0" applyNumberFormat="1" applyFont="1" applyFill="1" applyBorder="1" applyAlignment="1">
      <alignment horizontal="right"/>
    </xf>
    <xf numFmtId="0" fontId="5" fillId="24" borderId="0" xfId="0" applyFont="1" applyFill="1" applyAlignment="1">
      <alignment horizontal="right"/>
    </xf>
    <xf numFmtId="0" fontId="12" fillId="3" borderId="0" xfId="0" applyFont="1" applyFill="1" applyAlignment="1" applyProtection="1">
      <alignment horizontal="right" vertical="center"/>
    </xf>
    <xf numFmtId="0" fontId="264" fillId="3" borderId="193" xfId="0" applyFont="1" applyFill="1" applyBorder="1" applyAlignment="1" applyProtection="1">
      <alignment horizontal="right"/>
      <protection locked="0"/>
    </xf>
    <xf numFmtId="166" fontId="307" fillId="3" borderId="193" xfId="0" applyNumberFormat="1" applyFont="1" applyFill="1" applyBorder="1" applyAlignment="1" applyProtection="1">
      <alignment horizontal="right"/>
      <protection locked="0"/>
    </xf>
    <xf numFmtId="177" fontId="264" fillId="3" borderId="0" xfId="0" applyNumberFormat="1" applyFont="1" applyFill="1" applyAlignment="1" applyProtection="1">
      <alignment horizontal="right"/>
      <protection locked="0"/>
    </xf>
    <xf numFmtId="166" fontId="256" fillId="131" borderId="129" xfId="0" applyNumberFormat="1" applyFont="1" applyFill="1" applyBorder="1" applyAlignment="1">
      <alignment horizontal="right"/>
    </xf>
    <xf numFmtId="21" fontId="256" fillId="131" borderId="129" xfId="0" applyNumberFormat="1" applyFont="1" applyFill="1" applyBorder="1" applyAlignment="1">
      <alignment horizontal="right"/>
    </xf>
    <xf numFmtId="166" fontId="264" fillId="3" borderId="193" xfId="0" applyNumberFormat="1" applyFont="1" applyFill="1" applyBorder="1" applyAlignment="1" applyProtection="1">
      <alignment horizontal="right"/>
      <protection locked="0"/>
    </xf>
    <xf numFmtId="166" fontId="264" fillId="149" borderId="193" xfId="0" applyNumberFormat="1" applyFont="1" applyFill="1" applyBorder="1" applyAlignment="1" applyProtection="1">
      <alignment horizontal="right"/>
      <protection locked="0"/>
    </xf>
    <xf numFmtId="166" fontId="0" fillId="15" borderId="35" xfId="0" applyNumberFormat="1" applyFill="1" applyBorder="1" applyAlignment="1">
      <alignment horizontal="right"/>
    </xf>
    <xf numFmtId="166" fontId="89" fillId="16" borderId="35" xfId="0" applyNumberFormat="1" applyFont="1" applyFill="1" applyBorder="1" applyAlignment="1">
      <alignment horizontal="right"/>
    </xf>
    <xf numFmtId="166" fontId="2" fillId="18" borderId="291" xfId="0" applyNumberFormat="1" applyFont="1" applyFill="1" applyBorder="1" applyAlignment="1">
      <alignment horizontal="right"/>
    </xf>
    <xf numFmtId="166" fontId="54" fillId="30" borderId="83" xfId="0" applyNumberFormat="1" applyFont="1" applyFill="1" applyBorder="1" applyAlignment="1" applyProtection="1">
      <alignment horizontal="right"/>
    </xf>
    <xf numFmtId="166" fontId="106" fillId="26" borderId="35" xfId="0" applyNumberFormat="1" applyFont="1" applyFill="1" applyBorder="1" applyAlignment="1">
      <alignment horizontal="right"/>
    </xf>
    <xf numFmtId="3" fontId="351" fillId="37" borderId="369" xfId="5" applyNumberFormat="1" applyFont="1" applyFill="1" applyBorder="1" applyProtection="1">
      <protection locked="0" hidden="1"/>
    </xf>
    <xf numFmtId="3" fontId="117" fillId="35" borderId="384" xfId="5" applyNumberFormat="1" applyFont="1" applyFill="1" applyBorder="1" applyAlignment="1" applyProtection="1">
      <alignment horizontal="left"/>
      <protection locked="0" hidden="1"/>
    </xf>
    <xf numFmtId="3" fontId="351" fillId="37" borderId="68" xfId="5" applyNumberFormat="1" applyFont="1" applyFill="1" applyBorder="1" applyProtection="1">
      <protection locked="0" hidden="1"/>
    </xf>
    <xf numFmtId="3" fontId="117" fillId="113" borderId="385" xfId="5" applyNumberFormat="1" applyFont="1" applyFill="1" applyBorder="1" applyAlignment="1" applyProtection="1">
      <alignment horizontal="center"/>
      <protection locked="0" hidden="1"/>
    </xf>
    <xf numFmtId="3" fontId="352" fillId="3" borderId="369" xfId="5" applyNumberFormat="1" applyFont="1" applyFill="1" applyBorder="1" applyAlignment="1" applyProtection="1">
      <alignment horizontal="center" vertical="center"/>
      <protection locked="0" hidden="1"/>
    </xf>
    <xf numFmtId="3" fontId="43" fillId="3" borderId="109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396" xfId="5" applyNumberFormat="1" applyFont="1" applyFill="1" applyBorder="1" applyAlignment="1" applyProtection="1">
      <alignment horizontal="center" vertical="center"/>
      <protection locked="0" hidden="1"/>
    </xf>
    <xf numFmtId="14" fontId="408" fillId="204" borderId="190" xfId="5" applyNumberFormat="1" applyFont="1" applyFill="1" applyBorder="1" applyAlignment="1" applyProtection="1">
      <alignment vertical="center"/>
      <protection hidden="1"/>
    </xf>
    <xf numFmtId="3" fontId="117" fillId="35" borderId="150" xfId="5" applyNumberFormat="1" applyFont="1" applyFill="1" applyBorder="1" applyAlignment="1" applyProtection="1">
      <alignment horizontal="center"/>
      <protection locked="0" hidden="1"/>
    </xf>
    <xf numFmtId="3" fontId="43" fillId="3" borderId="397" xfId="5" applyNumberFormat="1" applyFont="1" applyFill="1" applyBorder="1" applyAlignment="1" applyProtection="1">
      <alignment horizontal="center" vertical="center"/>
      <protection locked="0" hidden="1"/>
    </xf>
    <xf numFmtId="3" fontId="43" fillId="3" borderId="398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399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400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401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402" xfId="5" applyNumberFormat="1" applyFont="1" applyFill="1" applyBorder="1" applyAlignment="1" applyProtection="1">
      <alignment horizontal="center" vertical="center"/>
      <protection locked="0" hidden="1"/>
    </xf>
    <xf numFmtId="3" fontId="351" fillId="37" borderId="403" xfId="5" applyNumberFormat="1" applyFont="1" applyFill="1" applyBorder="1" applyProtection="1">
      <protection locked="0" hidden="1"/>
    </xf>
    <xf numFmtId="3" fontId="351" fillId="37" borderId="404" xfId="5" applyNumberFormat="1" applyFont="1" applyFill="1" applyBorder="1" applyProtection="1">
      <protection locked="0" hidden="1"/>
    </xf>
    <xf numFmtId="3" fontId="351" fillId="37" borderId="383" xfId="5" applyNumberFormat="1" applyFont="1" applyFill="1" applyBorder="1" applyProtection="1">
      <protection locked="0" hidden="1"/>
    </xf>
    <xf numFmtId="3" fontId="117" fillId="35" borderId="405" xfId="5" applyNumberFormat="1" applyFont="1" applyFill="1" applyBorder="1" applyAlignment="1" applyProtection="1">
      <alignment horizontal="left"/>
      <protection locked="0" hidden="1"/>
    </xf>
    <xf numFmtId="3" fontId="370" fillId="126" borderId="391" xfId="5" applyNumberFormat="1" applyFont="1" applyFill="1" applyBorder="1" applyAlignment="1" applyProtection="1">
      <alignment horizontal="center"/>
      <protection locked="0" hidden="1"/>
    </xf>
    <xf numFmtId="3" fontId="328" fillId="80" borderId="196" xfId="5" applyNumberFormat="1" applyFont="1" applyFill="1" applyBorder="1" applyAlignment="1" applyProtection="1">
      <alignment horizontal="center"/>
      <protection locked="0" hidden="1"/>
    </xf>
    <xf numFmtId="3" fontId="351" fillId="130" borderId="402" xfId="5" applyNumberFormat="1" applyFont="1" applyFill="1" applyBorder="1" applyProtection="1">
      <protection locked="0" hidden="1"/>
    </xf>
    <xf numFmtId="3" fontId="328" fillId="80" borderId="380" xfId="5" applyNumberFormat="1" applyFont="1" applyFill="1" applyBorder="1" applyAlignment="1" applyProtection="1">
      <alignment horizontal="center"/>
      <protection locked="0" hidden="1"/>
    </xf>
    <xf numFmtId="3" fontId="351" fillId="37" borderId="406" xfId="5" applyNumberFormat="1" applyFont="1" applyFill="1" applyBorder="1" applyProtection="1">
      <protection locked="0" hidden="1"/>
    </xf>
    <xf numFmtId="3" fontId="351" fillId="37" borderId="407" xfId="5" applyNumberFormat="1" applyFont="1" applyFill="1" applyBorder="1" applyProtection="1">
      <protection locked="0" hidden="1"/>
    </xf>
    <xf numFmtId="3" fontId="351" fillId="37" borderId="408" xfId="5" applyNumberFormat="1" applyFont="1" applyFill="1" applyBorder="1" applyProtection="1">
      <protection locked="0" hidden="1"/>
    </xf>
    <xf numFmtId="3" fontId="351" fillId="130" borderId="409" xfId="5" applyNumberFormat="1" applyFont="1" applyFill="1" applyBorder="1" applyProtection="1">
      <protection locked="0" hidden="1"/>
    </xf>
    <xf numFmtId="3" fontId="351" fillId="37" borderId="410" xfId="5" applyNumberFormat="1" applyFont="1" applyFill="1" applyBorder="1" applyProtection="1">
      <protection locked="0" hidden="1"/>
    </xf>
    <xf numFmtId="3" fontId="351" fillId="130" borderId="410" xfId="5" applyNumberFormat="1" applyFont="1" applyFill="1" applyBorder="1" applyProtection="1">
      <protection locked="0" hidden="1"/>
    </xf>
    <xf numFmtId="3" fontId="351" fillId="37" borderId="411" xfId="5" applyNumberFormat="1" applyFont="1" applyFill="1" applyBorder="1" applyProtection="1">
      <protection locked="0" hidden="1"/>
    </xf>
    <xf numFmtId="3" fontId="351" fillId="37" borderId="412" xfId="5" applyNumberFormat="1" applyFont="1" applyFill="1" applyBorder="1" applyProtection="1">
      <protection locked="0" hidden="1"/>
    </xf>
    <xf numFmtId="3" fontId="351" fillId="130" borderId="412" xfId="5" applyNumberFormat="1" applyFont="1" applyFill="1" applyBorder="1" applyProtection="1">
      <protection locked="0" hidden="1"/>
    </xf>
    <xf numFmtId="3" fontId="351" fillId="130" borderId="413" xfId="5" applyNumberFormat="1" applyFont="1" applyFill="1" applyBorder="1" applyProtection="1">
      <protection locked="0" hidden="1"/>
    </xf>
    <xf numFmtId="3" fontId="43" fillId="3" borderId="415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416" xfId="5" applyNumberFormat="1" applyFont="1" applyFill="1" applyBorder="1" applyAlignment="1" applyProtection="1">
      <alignment horizontal="center" vertical="center"/>
      <protection locked="0" hidden="1"/>
    </xf>
    <xf numFmtId="3" fontId="370" fillId="126" borderId="196" xfId="5" applyNumberFormat="1" applyFont="1" applyFill="1" applyBorder="1" applyAlignment="1" applyProtection="1">
      <alignment horizontal="center"/>
      <protection locked="0" hidden="1"/>
    </xf>
    <xf numFmtId="3" fontId="328" fillId="80" borderId="410" xfId="5" applyNumberFormat="1" applyFont="1" applyFill="1" applyBorder="1" applyAlignment="1" applyProtection="1">
      <alignment horizontal="center"/>
      <protection locked="0" hidden="1"/>
    </xf>
    <xf numFmtId="3" fontId="352" fillId="3" borderId="410" xfId="5" applyNumberFormat="1" applyFont="1" applyFill="1" applyBorder="1" applyAlignment="1" applyProtection="1">
      <alignment horizontal="center" vertical="center"/>
      <protection locked="0" hidden="1"/>
    </xf>
    <xf numFmtId="3" fontId="352" fillId="203" borderId="410" xfId="5" applyNumberFormat="1" applyFont="1" applyFill="1" applyBorder="1" applyAlignment="1" applyProtection="1">
      <alignment horizontal="center" vertical="center"/>
      <protection locked="0" hidden="1"/>
    </xf>
    <xf numFmtId="3" fontId="43" fillId="3" borderId="417" xfId="5" applyNumberFormat="1" applyFont="1" applyFill="1" applyBorder="1" applyAlignment="1" applyProtection="1">
      <alignment horizontal="center" vertical="center"/>
      <protection locked="0" hidden="1"/>
    </xf>
    <xf numFmtId="3" fontId="43" fillId="3" borderId="418" xfId="5" applyNumberFormat="1" applyFont="1" applyFill="1" applyBorder="1" applyAlignment="1" applyProtection="1">
      <alignment horizontal="center" vertical="center"/>
      <protection locked="0" hidden="1"/>
    </xf>
    <xf numFmtId="3" fontId="43" fillId="3" borderId="419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420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421" xfId="5" applyNumberFormat="1" applyFont="1" applyFill="1" applyBorder="1" applyAlignment="1" applyProtection="1">
      <alignment horizontal="center" vertical="center"/>
      <protection locked="0" hidden="1"/>
    </xf>
    <xf numFmtId="3" fontId="370" fillId="126" borderId="422" xfId="5" applyNumberFormat="1" applyFont="1" applyFill="1" applyBorder="1" applyAlignment="1" applyProtection="1">
      <alignment horizontal="center"/>
      <protection locked="0" hidden="1"/>
    </xf>
    <xf numFmtId="3" fontId="370" fillId="126" borderId="423" xfId="5" applyNumberFormat="1" applyFont="1" applyFill="1" applyBorder="1" applyAlignment="1" applyProtection="1">
      <alignment horizontal="center"/>
      <protection locked="0" hidden="1"/>
    </xf>
    <xf numFmtId="3" fontId="370" fillId="126" borderId="424" xfId="5" applyNumberFormat="1" applyFont="1" applyFill="1" applyBorder="1" applyAlignment="1" applyProtection="1">
      <alignment horizontal="center"/>
      <protection locked="0" hidden="1"/>
    </xf>
    <xf numFmtId="3" fontId="370" fillId="126" borderId="425" xfId="5" applyNumberFormat="1" applyFont="1" applyFill="1" applyBorder="1" applyAlignment="1" applyProtection="1">
      <alignment horizontal="center"/>
      <protection locked="0" hidden="1"/>
    </xf>
    <xf numFmtId="3" fontId="370" fillId="126" borderId="414" xfId="5" applyNumberFormat="1" applyFont="1" applyFill="1" applyBorder="1" applyAlignment="1" applyProtection="1">
      <alignment horizontal="center"/>
      <protection locked="0" hidden="1"/>
    </xf>
    <xf numFmtId="175" fontId="352" fillId="3" borderId="420" xfId="1" applyFont="1" applyFill="1" applyBorder="1" applyAlignment="1" applyProtection="1">
      <alignment horizontal="center" vertical="center"/>
      <protection locked="0" hidden="1"/>
    </xf>
    <xf numFmtId="3" fontId="352" fillId="3" borderId="422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423" xfId="5" applyNumberFormat="1" applyFont="1" applyFill="1" applyBorder="1" applyAlignment="1" applyProtection="1">
      <alignment horizontal="center" vertical="center"/>
      <protection locked="0" hidden="1"/>
    </xf>
    <xf numFmtId="3" fontId="352" fillId="3" borderId="424" xfId="5" applyNumberFormat="1" applyFont="1" applyFill="1" applyBorder="1" applyAlignment="1" applyProtection="1">
      <alignment horizontal="center" vertical="center"/>
      <protection locked="0" hidden="1"/>
    </xf>
    <xf numFmtId="3" fontId="352" fillId="205" borderId="421" xfId="5" applyNumberFormat="1" applyFont="1" applyFill="1" applyBorder="1" applyAlignment="1" applyProtection="1">
      <alignment horizontal="center" vertical="center"/>
      <protection locked="0" hidden="1"/>
    </xf>
    <xf numFmtId="0" fontId="259" fillId="30" borderId="83" xfId="0" applyFont="1" applyFill="1" applyBorder="1" applyProtection="1"/>
    <xf numFmtId="0" fontId="5" fillId="0" borderId="68" xfId="0" applyFont="1" applyFill="1" applyBorder="1" applyAlignment="1" applyProtection="1">
      <alignment horizontal="center"/>
    </xf>
    <xf numFmtId="0" fontId="5" fillId="0" borderId="382" xfId="0" applyFont="1" applyFill="1" applyBorder="1" applyAlignment="1" applyProtection="1">
      <alignment horizontal="center"/>
    </xf>
    <xf numFmtId="0" fontId="4" fillId="3" borderId="60" xfId="0" applyFont="1" applyFill="1" applyBorder="1" applyAlignment="1" applyProtection="1">
      <alignment horizontal="center"/>
    </xf>
    <xf numFmtId="0" fontId="4" fillId="3" borderId="58" xfId="0" applyFont="1" applyFill="1" applyBorder="1" applyAlignment="1" applyProtection="1">
      <alignment horizontal="center"/>
    </xf>
    <xf numFmtId="0" fontId="4" fillId="3" borderId="197" xfId="0" applyFont="1" applyFill="1" applyBorder="1" applyAlignment="1" applyProtection="1">
      <alignment horizontal="center"/>
    </xf>
    <xf numFmtId="0" fontId="5" fillId="0" borderId="382" xfId="0" applyFont="1" applyBorder="1" applyAlignment="1">
      <alignment horizontal="center"/>
    </xf>
    <xf numFmtId="0" fontId="5" fillId="0" borderId="426" xfId="0" applyFont="1" applyBorder="1" applyAlignment="1">
      <alignment horizontal="center"/>
    </xf>
    <xf numFmtId="0" fontId="54" fillId="33" borderId="35" xfId="0" applyFont="1" applyFill="1" applyBorder="1" applyAlignment="1" applyProtection="1">
      <alignment horizontal="center"/>
    </xf>
    <xf numFmtId="0" fontId="5" fillId="0" borderId="60" xfId="0" applyFont="1" applyFill="1" applyBorder="1" applyAlignment="1" applyProtection="1">
      <alignment horizontal="center"/>
    </xf>
    <xf numFmtId="0" fontId="0" fillId="3" borderId="12" xfId="0" applyFill="1" applyBorder="1" applyProtection="1"/>
    <xf numFmtId="0" fontId="5" fillId="0" borderId="58" xfId="0" applyFont="1" applyFill="1" applyBorder="1" applyAlignment="1" applyProtection="1">
      <alignment horizontal="center"/>
    </xf>
    <xf numFmtId="0" fontId="5" fillId="0" borderId="189" xfId="0" applyFont="1" applyFill="1" applyBorder="1" applyAlignment="1" applyProtection="1">
      <alignment horizontal="center"/>
    </xf>
    <xf numFmtId="0" fontId="5" fillId="0" borderId="197" xfId="0" applyFont="1" applyFill="1" applyBorder="1" applyAlignment="1" applyProtection="1">
      <alignment horizontal="center"/>
    </xf>
    <xf numFmtId="1" fontId="149" fillId="147" borderId="0" xfId="0" applyNumberFormat="1" applyFont="1" applyFill="1" applyBorder="1" applyAlignment="1" applyProtection="1">
      <alignment horizontal="left"/>
      <protection locked="0"/>
    </xf>
    <xf numFmtId="0" fontId="0" fillId="147" borderId="0" xfId="0" applyFill="1" applyBorder="1"/>
    <xf numFmtId="0" fontId="75" fillId="147" borderId="0" xfId="0" applyFont="1" applyFill="1" applyBorder="1" applyAlignment="1">
      <alignment horizontal="center"/>
    </xf>
    <xf numFmtId="166" fontId="108" fillId="147" borderId="0" xfId="0" applyNumberFormat="1" applyFont="1" applyFill="1" applyBorder="1" applyAlignment="1" applyProtection="1">
      <protection locked="0"/>
    </xf>
    <xf numFmtId="21" fontId="82" fillId="14" borderId="309" xfId="0" applyNumberFormat="1" applyFont="1" applyFill="1" applyBorder="1"/>
    <xf numFmtId="0" fontId="0" fillId="21" borderId="251" xfId="0" applyFill="1" applyBorder="1"/>
    <xf numFmtId="0" fontId="0" fillId="21" borderId="323" xfId="0" applyFill="1" applyBorder="1"/>
    <xf numFmtId="0" fontId="0" fillId="21" borderId="404" xfId="0" applyFill="1" applyBorder="1"/>
    <xf numFmtId="0" fontId="75" fillId="21" borderId="323" xfId="0" applyFont="1" applyFill="1" applyBorder="1" applyAlignment="1">
      <alignment horizontal="center"/>
    </xf>
    <xf numFmtId="21" fontId="82" fillId="21" borderId="253" xfId="0" applyNumberFormat="1" applyFont="1" applyFill="1" applyBorder="1"/>
    <xf numFmtId="21" fontId="82" fillId="21" borderId="323" xfId="0" applyNumberFormat="1" applyFont="1" applyFill="1" applyBorder="1"/>
    <xf numFmtId="0" fontId="44" fillId="21" borderId="323" xfId="0" applyFont="1" applyFill="1" applyBorder="1" applyAlignment="1">
      <alignment wrapText="1"/>
    </xf>
    <xf numFmtId="166" fontId="109" fillId="21" borderId="323" xfId="0" applyNumberFormat="1" applyFont="1" applyFill="1" applyBorder="1"/>
    <xf numFmtId="21" fontId="85" fillId="21" borderId="323" xfId="0" quotePrefix="1" applyNumberFormat="1" applyFont="1" applyFill="1" applyBorder="1" applyAlignment="1">
      <alignment horizontal="center"/>
    </xf>
    <xf numFmtId="1" fontId="86" fillId="21" borderId="323" xfId="0" applyNumberFormat="1" applyFont="1" applyFill="1" applyBorder="1" applyAlignment="1">
      <alignment horizontal="center"/>
    </xf>
    <xf numFmtId="0" fontId="0" fillId="21" borderId="393" xfId="0" applyFill="1" applyBorder="1"/>
    <xf numFmtId="0" fontId="151" fillId="147" borderId="189" xfId="0" applyFont="1" applyFill="1" applyBorder="1" applyAlignment="1">
      <alignment horizontal="right"/>
    </xf>
    <xf numFmtId="1" fontId="149" fillId="147" borderId="190" xfId="0" applyNumberFormat="1" applyFont="1" applyFill="1" applyBorder="1" applyAlignment="1" applyProtection="1">
      <alignment horizontal="left"/>
      <protection locked="0"/>
    </xf>
    <xf numFmtId="0" fontId="0" fillId="147" borderId="190" xfId="0" applyFill="1" applyBorder="1"/>
    <xf numFmtId="0" fontId="75" fillId="147" borderId="190" xfId="0" applyFont="1" applyFill="1" applyBorder="1" applyAlignment="1">
      <alignment horizontal="center"/>
    </xf>
    <xf numFmtId="1" fontId="7" fillId="147" borderId="190" xfId="0" applyNumberFormat="1" applyFont="1" applyFill="1" applyBorder="1" applyAlignment="1" applyProtection="1">
      <alignment horizontal="center"/>
      <protection locked="0"/>
    </xf>
    <xf numFmtId="166" fontId="108" fillId="147" borderId="190" xfId="0" applyNumberFormat="1" applyFont="1" applyFill="1" applyBorder="1" applyAlignment="1" applyProtection="1">
      <protection locked="0"/>
    </xf>
    <xf numFmtId="0" fontId="92" fillId="147" borderId="194" xfId="0" applyFont="1" applyFill="1" applyBorder="1"/>
    <xf numFmtId="0" fontId="151" fillId="147" borderId="12" xfId="0" applyFont="1" applyFill="1" applyBorder="1" applyAlignment="1">
      <alignment horizontal="right"/>
    </xf>
    <xf numFmtId="0" fontId="92" fillId="147" borderId="102" xfId="0" applyFont="1" applyFill="1" applyBorder="1"/>
    <xf numFmtId="0" fontId="151" fillId="147" borderId="196" xfId="0" applyFont="1" applyFill="1" applyBorder="1" applyAlignment="1">
      <alignment horizontal="right"/>
    </xf>
    <xf numFmtId="1" fontId="149" fillId="147" borderId="79" xfId="0" applyNumberFormat="1" applyFont="1" applyFill="1" applyBorder="1" applyAlignment="1" applyProtection="1">
      <alignment horizontal="left"/>
      <protection locked="0"/>
    </xf>
    <xf numFmtId="0" fontId="0" fillId="147" borderId="79" xfId="0" applyFill="1" applyBorder="1"/>
    <xf numFmtId="0" fontId="75" fillId="147" borderId="79" xfId="0" applyFont="1" applyFill="1" applyBorder="1" applyAlignment="1">
      <alignment horizontal="center"/>
    </xf>
    <xf numFmtId="1" fontId="7" fillId="147" borderId="79" xfId="0" applyNumberFormat="1" applyFont="1" applyFill="1" applyBorder="1" applyAlignment="1" applyProtection="1">
      <alignment horizontal="center"/>
      <protection locked="0"/>
    </xf>
    <xf numFmtId="166" fontId="108" fillId="147" borderId="79" xfId="0" applyNumberFormat="1" applyFont="1" applyFill="1" applyBorder="1" applyAlignment="1" applyProtection="1">
      <protection locked="0"/>
    </xf>
    <xf numFmtId="0" fontId="92" fillId="147" borderId="113" xfId="0" applyFont="1" applyFill="1" applyBorder="1"/>
    <xf numFmtId="21" fontId="82" fillId="148" borderId="0" xfId="0" applyNumberFormat="1" applyFont="1" applyFill="1" applyBorder="1"/>
    <xf numFmtId="21" fontId="82" fillId="148" borderId="190" xfId="0" applyNumberFormat="1" applyFont="1" applyFill="1" applyBorder="1"/>
    <xf numFmtId="21" fontId="82" fillId="148" borderId="79" xfId="0" applyNumberFormat="1" applyFont="1" applyFill="1" applyBorder="1"/>
    <xf numFmtId="0" fontId="332" fillId="0" borderId="0" xfId="0" applyFont="1" applyAlignment="1">
      <alignment horizontal="center"/>
    </xf>
    <xf numFmtId="0" fontId="332" fillId="0" borderId="0" xfId="0" applyFont="1" applyAlignment="1">
      <alignment horizontal="left"/>
    </xf>
    <xf numFmtId="0" fontId="2" fillId="0" borderId="366" xfId="0" applyFont="1" applyBorder="1" applyAlignment="1">
      <alignment horizontal="center"/>
    </xf>
    <xf numFmtId="0" fontId="0" fillId="0" borderId="366" xfId="0" applyBorder="1" applyAlignment="1">
      <alignment horizontal="center"/>
    </xf>
    <xf numFmtId="0" fontId="0" fillId="80" borderId="366" xfId="0" applyFill="1" applyBorder="1" applyAlignment="1">
      <alignment horizontal="center"/>
    </xf>
    <xf numFmtId="0" fontId="2" fillId="0" borderId="96" xfId="0" applyFont="1" applyBorder="1" applyAlignment="1">
      <alignment horizontal="center"/>
    </xf>
    <xf numFmtId="0" fontId="2" fillId="0" borderId="112" xfId="0" applyFont="1" applyBorder="1" applyAlignment="1">
      <alignment horizontal="center"/>
    </xf>
    <xf numFmtId="0" fontId="2" fillId="0" borderId="281" xfId="0" applyFont="1" applyBorder="1" applyAlignment="1">
      <alignment horizontal="center"/>
    </xf>
    <xf numFmtId="0" fontId="2" fillId="0" borderId="386" xfId="0" applyFont="1" applyBorder="1" applyAlignment="1">
      <alignment horizontal="center"/>
    </xf>
    <xf numFmtId="0" fontId="2" fillId="0" borderId="150" xfId="0" applyFont="1" applyBorder="1" applyAlignment="1">
      <alignment horizontal="center"/>
    </xf>
    <xf numFmtId="0" fontId="2" fillId="0" borderId="147" xfId="0" applyFont="1" applyBorder="1" applyAlignment="1">
      <alignment horizontal="center"/>
    </xf>
    <xf numFmtId="0" fontId="2" fillId="0" borderId="175" xfId="0" applyFont="1" applyBorder="1" applyAlignment="1">
      <alignment horizontal="center"/>
    </xf>
    <xf numFmtId="0" fontId="0" fillId="80" borderId="66" xfId="0" applyFill="1" applyBorder="1" applyAlignment="1">
      <alignment horizontal="center"/>
    </xf>
    <xf numFmtId="0" fontId="0" fillId="80" borderId="32" xfId="0" applyFill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80" borderId="384" xfId="0" applyFill="1" applyBorder="1" applyAlignment="1">
      <alignment horizontal="center"/>
    </xf>
    <xf numFmtId="0" fontId="0" fillId="0" borderId="394" xfId="0" applyBorder="1" applyAlignment="1">
      <alignment horizontal="center"/>
    </xf>
    <xf numFmtId="0" fontId="2" fillId="80" borderId="384" xfId="0" applyFont="1" applyFill="1" applyBorder="1" applyAlignment="1">
      <alignment horizontal="center"/>
    </xf>
    <xf numFmtId="0" fontId="2" fillId="0" borderId="394" xfId="0" applyFont="1" applyBorder="1" applyAlignment="1">
      <alignment horizontal="center"/>
    </xf>
    <xf numFmtId="0" fontId="0" fillId="0" borderId="385" xfId="0" applyBorder="1" applyAlignment="1">
      <alignment horizontal="center"/>
    </xf>
    <xf numFmtId="0" fontId="0" fillId="0" borderId="386" xfId="0" applyBorder="1" applyAlignment="1">
      <alignment horizontal="center"/>
    </xf>
    <xf numFmtId="2" fontId="0" fillId="80" borderId="386" xfId="0" applyNumberFormat="1" applyFill="1" applyBorder="1" applyAlignment="1">
      <alignment horizontal="center"/>
    </xf>
    <xf numFmtId="0" fontId="0" fillId="0" borderId="387" xfId="0" applyBorder="1" applyAlignment="1">
      <alignment horizontal="center"/>
    </xf>
    <xf numFmtId="0" fontId="0" fillId="0" borderId="66" xfId="0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0" fillId="80" borderId="386" xfId="0" applyFill="1" applyBorder="1" applyAlignment="1">
      <alignment horizontal="center"/>
    </xf>
    <xf numFmtId="0" fontId="2" fillId="0" borderId="383" xfId="0" applyFont="1" applyBorder="1" applyAlignment="1">
      <alignment horizontal="left"/>
    </xf>
    <xf numFmtId="0" fontId="0" fillId="0" borderId="402" xfId="0" applyBorder="1" applyAlignment="1">
      <alignment horizontal="center"/>
    </xf>
    <xf numFmtId="0" fontId="0" fillId="0" borderId="376" xfId="0" applyBorder="1" applyAlignment="1">
      <alignment horizontal="center"/>
    </xf>
    <xf numFmtId="0" fontId="0" fillId="80" borderId="402" xfId="0" applyFill="1" applyBorder="1" applyAlignment="1">
      <alignment horizontal="center"/>
    </xf>
    <xf numFmtId="0" fontId="0" fillId="80" borderId="376" xfId="0" applyFill="1" applyBorder="1" applyAlignment="1">
      <alignment horizontal="center"/>
    </xf>
    <xf numFmtId="0" fontId="2" fillId="80" borderId="402" xfId="0" applyFont="1" applyFill="1" applyBorder="1" applyAlignment="1">
      <alignment horizontal="left"/>
    </xf>
    <xf numFmtId="0" fontId="2" fillId="0" borderId="193" xfId="0" applyFont="1" applyBorder="1" applyAlignment="1">
      <alignment horizontal="center"/>
    </xf>
    <xf numFmtId="14" fontId="0" fillId="80" borderId="0" xfId="0" applyNumberFormat="1" applyFill="1" applyBorder="1"/>
    <xf numFmtId="0" fontId="0" fillId="0" borderId="374" xfId="0" applyBorder="1"/>
    <xf numFmtId="0" fontId="291" fillId="144" borderId="374" xfId="0" applyFont="1" applyFill="1" applyBorder="1" applyAlignment="1">
      <alignment horizontal="center"/>
    </xf>
    <xf numFmtId="0" fontId="2" fillId="0" borderId="374" xfId="0" applyFont="1" applyFill="1" applyBorder="1"/>
    <xf numFmtId="0" fontId="291" fillId="144" borderId="323" xfId="0" applyFont="1" applyFill="1" applyBorder="1"/>
    <xf numFmtId="0" fontId="0" fillId="0" borderId="402" xfId="0" applyBorder="1"/>
    <xf numFmtId="0" fontId="2" fillId="0" borderId="66" xfId="0" applyFont="1" applyBorder="1"/>
    <xf numFmtId="0" fontId="0" fillId="0" borderId="32" xfId="0" applyBorder="1"/>
    <xf numFmtId="0" fontId="0" fillId="0" borderId="33" xfId="0" applyBorder="1"/>
    <xf numFmtId="0" fontId="2" fillId="0" borderId="384" xfId="0" applyFont="1" applyBorder="1"/>
    <xf numFmtId="0" fontId="0" fillId="0" borderId="394" xfId="0" applyBorder="1"/>
    <xf numFmtId="0" fontId="2" fillId="0" borderId="405" xfId="0" applyFont="1" applyBorder="1"/>
    <xf numFmtId="0" fontId="0" fillId="0" borderId="382" xfId="0" applyBorder="1"/>
    <xf numFmtId="0" fontId="2" fillId="0" borderId="391" xfId="0" applyFont="1" applyBorder="1"/>
    <xf numFmtId="0" fontId="0" fillId="0" borderId="392" xfId="0" applyBorder="1"/>
    <xf numFmtId="0" fontId="0" fillId="0" borderId="426" xfId="0" applyBorder="1"/>
    <xf numFmtId="0" fontId="2" fillId="0" borderId="374" xfId="0" applyFont="1" applyBorder="1" applyAlignment="1">
      <alignment horizontal="center"/>
    </xf>
    <xf numFmtId="0" fontId="2" fillId="144" borderId="374" xfId="0" applyFont="1" applyFill="1" applyBorder="1" applyAlignment="1">
      <alignment horizontal="center"/>
    </xf>
    <xf numFmtId="0" fontId="2" fillId="79" borderId="374" xfId="0" applyFont="1" applyFill="1" applyBorder="1" applyAlignment="1">
      <alignment horizontal="center"/>
    </xf>
    <xf numFmtId="0" fontId="2" fillId="107" borderId="374" xfId="0" applyFont="1" applyFill="1" applyBorder="1" applyAlignment="1">
      <alignment horizontal="center"/>
    </xf>
    <xf numFmtId="0" fontId="2" fillId="80" borderId="374" xfId="0" applyFont="1" applyFill="1" applyBorder="1" applyAlignment="1">
      <alignment horizontal="center"/>
    </xf>
    <xf numFmtId="0" fontId="0" fillId="81" borderId="374" xfId="0" applyFill="1" applyBorder="1" applyAlignment="1">
      <alignment horizontal="center"/>
    </xf>
    <xf numFmtId="0" fontId="2" fillId="81" borderId="374" xfId="0" applyFont="1" applyFill="1" applyBorder="1" applyAlignment="1">
      <alignment horizontal="center"/>
    </xf>
    <xf numFmtId="0" fontId="2" fillId="72" borderId="374" xfId="0" applyFont="1" applyFill="1" applyBorder="1" applyAlignment="1">
      <alignment horizontal="center"/>
    </xf>
    <xf numFmtId="0" fontId="291" fillId="120" borderId="374" xfId="0" applyFont="1" applyFill="1" applyBorder="1" applyAlignment="1">
      <alignment horizontal="center"/>
    </xf>
    <xf numFmtId="0" fontId="2" fillId="113" borderId="374" xfId="0" applyFont="1" applyFill="1" applyBorder="1" applyAlignment="1">
      <alignment horizontal="center"/>
    </xf>
    <xf numFmtId="0" fontId="2" fillId="206" borderId="374" xfId="0" applyFont="1" applyFill="1" applyBorder="1" applyAlignment="1">
      <alignment horizontal="center"/>
    </xf>
    <xf numFmtId="0" fontId="291" fillId="144" borderId="251" xfId="0" applyFont="1" applyFill="1" applyBorder="1"/>
    <xf numFmtId="0" fontId="2" fillId="0" borderId="323" xfId="0" applyFont="1" applyFill="1" applyBorder="1"/>
    <xf numFmtId="0" fontId="2" fillId="72" borderId="193" xfId="0" applyFont="1" applyFill="1" applyBorder="1"/>
    <xf numFmtId="0" fontId="2" fillId="0" borderId="376" xfId="0" applyFont="1" applyBorder="1" applyAlignment="1">
      <alignment horizontal="center"/>
    </xf>
    <xf numFmtId="0" fontId="2" fillId="80" borderId="309" xfId="0" applyFont="1" applyFill="1" applyBorder="1"/>
    <xf numFmtId="0" fontId="2" fillId="0" borderId="193" xfId="0" applyFont="1" applyFill="1" applyBorder="1"/>
    <xf numFmtId="0" fontId="291" fillId="144" borderId="193" xfId="0" applyFont="1" applyFill="1" applyBorder="1"/>
    <xf numFmtId="0" fontId="291" fillId="113" borderId="193" xfId="0" applyFont="1" applyFill="1" applyBorder="1"/>
    <xf numFmtId="0" fontId="332" fillId="0" borderId="285" xfId="0" applyFont="1" applyFill="1" applyBorder="1" applyAlignment="1">
      <alignment horizontal="center" wrapText="1"/>
    </xf>
    <xf numFmtId="1" fontId="19" fillId="207" borderId="111" xfId="0" applyNumberFormat="1" applyFont="1" applyFill="1" applyBorder="1"/>
    <xf numFmtId="0" fontId="216" fillId="207" borderId="111" xfId="0" applyFont="1" applyFill="1" applyBorder="1"/>
    <xf numFmtId="21" fontId="216" fillId="207" borderId="111" xfId="0" applyNumberFormat="1" applyFont="1" applyFill="1" applyBorder="1" applyAlignment="1">
      <alignment horizontal="center"/>
    </xf>
    <xf numFmtId="21" fontId="216" fillId="207" borderId="111" xfId="0" applyNumberFormat="1" applyFont="1" applyFill="1" applyBorder="1"/>
    <xf numFmtId="0" fontId="84" fillId="207" borderId="111" xfId="0" applyFont="1" applyFill="1" applyBorder="1" applyAlignment="1">
      <alignment horizontal="left"/>
    </xf>
    <xf numFmtId="166" fontId="152" fillId="207" borderId="35" xfId="0" applyNumberFormat="1" applyFont="1" applyFill="1" applyBorder="1"/>
    <xf numFmtId="21" fontId="152" fillId="207" borderId="35" xfId="0" applyNumberFormat="1" applyFont="1" applyFill="1" applyBorder="1"/>
    <xf numFmtId="21" fontId="86" fillId="207" borderId="35" xfId="0" quotePrefix="1" applyNumberFormat="1" applyFont="1" applyFill="1" applyBorder="1" applyAlignment="1">
      <alignment horizontal="center"/>
    </xf>
    <xf numFmtId="0" fontId="84" fillId="207" borderId="35" xfId="0" quotePrefix="1" applyFont="1" applyFill="1" applyBorder="1" applyAlignment="1">
      <alignment horizontal="center"/>
    </xf>
    <xf numFmtId="0" fontId="152" fillId="207" borderId="35" xfId="0" applyFont="1" applyFill="1" applyBorder="1"/>
    <xf numFmtId="176" fontId="88" fillId="18" borderId="0" xfId="0" applyNumberFormat="1" applyFont="1" applyFill="1" applyBorder="1" applyProtection="1"/>
    <xf numFmtId="1" fontId="19" fillId="71" borderId="253" xfId="0" applyNumberFormat="1" applyFont="1" applyFill="1" applyBorder="1"/>
    <xf numFmtId="0" fontId="254" fillId="145" borderId="253" xfId="0" applyFont="1" applyFill="1" applyBorder="1"/>
    <xf numFmtId="166" fontId="254" fillId="145" borderId="253" xfId="0" applyNumberFormat="1" applyFont="1" applyFill="1" applyBorder="1"/>
    <xf numFmtId="0" fontId="322" fillId="145" borderId="323" xfId="0" applyFont="1" applyFill="1" applyBorder="1"/>
    <xf numFmtId="1" fontId="19" fillId="148" borderId="376" xfId="0" applyNumberFormat="1" applyFont="1" applyFill="1" applyBorder="1"/>
    <xf numFmtId="0" fontId="216" fillId="148" borderId="376" xfId="0" applyFont="1" applyFill="1" applyBorder="1"/>
    <xf numFmtId="21" fontId="115" fillId="148" borderId="376" xfId="0" applyNumberFormat="1" applyFont="1" applyFill="1" applyBorder="1" applyAlignment="1">
      <alignment horizontal="center"/>
    </xf>
    <xf numFmtId="21" fontId="216" fillId="148" borderId="376" xfId="0" applyNumberFormat="1" applyFont="1" applyFill="1" applyBorder="1"/>
    <xf numFmtId="21" fontId="152" fillId="148" borderId="376" xfId="0" applyNumberFormat="1" applyFont="1" applyFill="1" applyBorder="1"/>
    <xf numFmtId="0" fontId="84" fillId="148" borderId="376" xfId="0" applyFont="1" applyFill="1" applyBorder="1" applyAlignment="1">
      <alignment horizontal="left"/>
    </xf>
    <xf numFmtId="166" fontId="152" fillId="148" borderId="374" xfId="0" applyNumberFormat="1" applyFont="1" applyFill="1" applyBorder="1"/>
    <xf numFmtId="21" fontId="152" fillId="148" borderId="374" xfId="0" applyNumberFormat="1" applyFont="1" applyFill="1" applyBorder="1" applyAlignment="1">
      <alignment horizontal="center"/>
    </xf>
    <xf numFmtId="21" fontId="86" fillId="148" borderId="374" xfId="0" quotePrefix="1" applyNumberFormat="1" applyFont="1" applyFill="1" applyBorder="1" applyAlignment="1">
      <alignment horizontal="center"/>
    </xf>
    <xf numFmtId="0" fontId="152" fillId="148" borderId="374" xfId="0" applyFont="1" applyFill="1" applyBorder="1"/>
    <xf numFmtId="47" fontId="84" fillId="148" borderId="111" xfId="0" applyNumberFormat="1" applyFont="1" applyFill="1" applyBorder="1" applyAlignment="1">
      <alignment horizontal="center"/>
    </xf>
    <xf numFmtId="185" fontId="10" fillId="15" borderId="35" xfId="0" applyNumberFormat="1" applyFont="1" applyFill="1" applyBorder="1"/>
    <xf numFmtId="0" fontId="84" fillId="148" borderId="376" xfId="0" applyFont="1" applyFill="1" applyBorder="1" applyAlignment="1">
      <alignment horizontal="center"/>
    </xf>
    <xf numFmtId="176" fontId="9" fillId="149" borderId="35" xfId="0" applyNumberFormat="1" applyFont="1" applyFill="1" applyBorder="1" applyAlignment="1" applyProtection="1">
      <alignment horizontal="center"/>
      <protection locked="0"/>
    </xf>
    <xf numFmtId="183" fontId="106" fillId="19" borderId="276" xfId="0" quotePrefix="1" applyNumberFormat="1" applyFont="1" applyFill="1" applyBorder="1" applyAlignment="1">
      <alignment horizontal="center"/>
    </xf>
    <xf numFmtId="181" fontId="106" fillId="19" borderId="83" xfId="0" applyNumberFormat="1" applyFont="1" applyFill="1" applyBorder="1"/>
    <xf numFmtId="0" fontId="0" fillId="0" borderId="427" xfId="0" applyBorder="1"/>
    <xf numFmtId="0" fontId="0" fillId="0" borderId="428" xfId="0" applyBorder="1"/>
    <xf numFmtId="0" fontId="2" fillId="0" borderId="428" xfId="0" applyFont="1" applyBorder="1" applyAlignment="1">
      <alignment horizontal="center"/>
    </xf>
    <xf numFmtId="0" fontId="0" fillId="0" borderId="429" xfId="0" applyBorder="1"/>
    <xf numFmtId="0" fontId="2" fillId="0" borderId="12" xfId="0" applyFont="1" applyBorder="1" applyAlignment="1">
      <alignment horizontal="center"/>
    </xf>
    <xf numFmtId="183" fontId="2" fillId="0" borderId="0" xfId="0" applyNumberFormat="1" applyFont="1" applyBorder="1"/>
    <xf numFmtId="183" fontId="0" fillId="0" borderId="0" xfId="0" applyNumberFormat="1" applyBorder="1"/>
    <xf numFmtId="0" fontId="2" fillId="0" borderId="102" xfId="0" applyFont="1" applyBorder="1" applyAlignment="1">
      <alignment horizontal="center"/>
    </xf>
    <xf numFmtId="183" fontId="0" fillId="0" borderId="79" xfId="0" applyNumberFormat="1" applyBorder="1"/>
    <xf numFmtId="0" fontId="19" fillId="14" borderId="383" xfId="0" applyFont="1" applyFill="1" applyBorder="1"/>
    <xf numFmtId="0" fontId="8" fillId="182" borderId="389" xfId="0" applyFont="1" applyFill="1" applyBorder="1" applyProtection="1"/>
    <xf numFmtId="0" fontId="152" fillId="16" borderId="383" xfId="0" applyFont="1" applyFill="1" applyBorder="1"/>
    <xf numFmtId="0" fontId="160" fillId="143" borderId="389" xfId="0" applyFont="1" applyFill="1" applyBorder="1"/>
    <xf numFmtId="166" fontId="160" fillId="143" borderId="389" xfId="0" quotePrefix="1" applyNumberFormat="1" applyFont="1" applyFill="1" applyBorder="1" applyAlignment="1">
      <alignment horizontal="center"/>
    </xf>
    <xf numFmtId="0" fontId="160" fillId="19" borderId="389" xfId="0" applyFont="1" applyFill="1" applyBorder="1"/>
    <xf numFmtId="21" fontId="106" fillId="143" borderId="376" xfId="0" applyNumberFormat="1" applyFont="1" applyFill="1" applyBorder="1"/>
    <xf numFmtId="21" fontId="160" fillId="143" borderId="376" xfId="0" applyNumberFormat="1" applyFont="1" applyFill="1" applyBorder="1"/>
    <xf numFmtId="21" fontId="160" fillId="19" borderId="376" xfId="0" applyNumberFormat="1" applyFont="1" applyFill="1" applyBorder="1"/>
    <xf numFmtId="21" fontId="86" fillId="148" borderId="431" xfId="0" applyNumberFormat="1" applyFont="1" applyFill="1" applyBorder="1" applyAlignment="1">
      <alignment horizontal="center"/>
    </xf>
    <xf numFmtId="21" fontId="86" fillId="14" borderId="309" xfId="0" applyNumberFormat="1" applyFont="1" applyFill="1" applyBorder="1"/>
    <xf numFmtId="1" fontId="55" fillId="26" borderId="0" xfId="0" applyNumberFormat="1" applyFont="1" applyFill="1" applyBorder="1" applyAlignment="1" applyProtection="1">
      <alignment horizontal="center"/>
      <protection locked="0"/>
    </xf>
    <xf numFmtId="46" fontId="264" fillId="3" borderId="0" xfId="0" applyNumberFormat="1" applyFont="1" applyFill="1" applyProtection="1">
      <protection locked="0"/>
    </xf>
    <xf numFmtId="21" fontId="81" fillId="208" borderId="58" xfId="0" applyNumberFormat="1" applyFont="1" applyFill="1" applyBorder="1" applyAlignment="1">
      <alignment horizontal="center"/>
    </xf>
    <xf numFmtId="21" fontId="152" fillId="208" borderId="58" xfId="0" applyNumberFormat="1" applyFont="1" applyFill="1" applyBorder="1" applyAlignment="1">
      <alignment horizontal="center"/>
    </xf>
    <xf numFmtId="21" fontId="269" fillId="208" borderId="58" xfId="0" applyNumberFormat="1" applyFont="1" applyFill="1" applyBorder="1" applyAlignment="1">
      <alignment horizontal="center"/>
    </xf>
    <xf numFmtId="0" fontId="9" fillId="121" borderId="12" xfId="0" applyFont="1" applyFill="1" applyBorder="1" applyAlignment="1" applyProtection="1">
      <alignment horizontal="center"/>
    </xf>
    <xf numFmtId="0" fontId="9" fillId="121" borderId="96" xfId="0" applyFont="1" applyFill="1" applyBorder="1" applyAlignment="1" applyProtection="1">
      <alignment horizontal="center"/>
    </xf>
    <xf numFmtId="0" fontId="252" fillId="71" borderId="432" xfId="0" applyFont="1" applyFill="1" applyBorder="1"/>
    <xf numFmtId="0" fontId="252" fillId="71" borderId="433" xfId="0" applyFont="1" applyFill="1" applyBorder="1"/>
    <xf numFmtId="21" fontId="82" fillId="95" borderId="314" xfId="0" applyNumberFormat="1" applyFont="1" applyFill="1" applyBorder="1"/>
    <xf numFmtId="21" fontId="86" fillId="148" borderId="58" xfId="0" applyNumberFormat="1" applyFont="1" applyFill="1" applyBorder="1" applyAlignment="1">
      <alignment horizontal="center"/>
    </xf>
    <xf numFmtId="21" fontId="86" fillId="148" borderId="197" xfId="0" applyNumberFormat="1" applyFont="1" applyFill="1" applyBorder="1" applyAlignment="1">
      <alignment horizontal="center"/>
    </xf>
    <xf numFmtId="177" fontId="371" fillId="3" borderId="0" xfId="0" applyNumberFormat="1" applyFont="1" applyFill="1" applyProtection="1">
      <protection locked="0"/>
    </xf>
    <xf numFmtId="21" fontId="86" fillId="208" borderId="431" xfId="0" applyNumberFormat="1" applyFont="1" applyFill="1" applyBorder="1" applyAlignment="1">
      <alignment horizontal="center"/>
    </xf>
    <xf numFmtId="166" fontId="263" fillId="3" borderId="434" xfId="0" applyNumberFormat="1" applyFont="1" applyFill="1" applyBorder="1" applyAlignment="1" applyProtection="1">
      <alignment horizontal="center"/>
    </xf>
    <xf numFmtId="166" fontId="8" fillId="24" borderId="435" xfId="0" applyNumberFormat="1" applyFont="1" applyFill="1" applyBorder="1" applyAlignment="1" applyProtection="1">
      <alignment horizontal="center"/>
      <protection locked="0" hidden="1"/>
    </xf>
    <xf numFmtId="166" fontId="9" fillId="22" borderId="435" xfId="0" applyNumberFormat="1" applyFont="1" applyFill="1" applyBorder="1" applyAlignment="1" applyProtection="1">
      <alignment horizontal="center"/>
      <protection locked="0" hidden="1"/>
    </xf>
    <xf numFmtId="166" fontId="9" fillId="25" borderId="435" xfId="0" applyNumberFormat="1" applyFont="1" applyFill="1" applyBorder="1" applyAlignment="1" applyProtection="1">
      <alignment horizontal="center"/>
      <protection locked="0" hidden="1"/>
    </xf>
    <xf numFmtId="166" fontId="9" fillId="23" borderId="435" xfId="0" applyNumberFormat="1" applyFont="1" applyFill="1" applyBorder="1" applyAlignment="1" applyProtection="1">
      <alignment horizontal="center"/>
      <protection locked="0" hidden="1"/>
    </xf>
    <xf numFmtId="166" fontId="8" fillId="31" borderId="435" xfId="0" applyNumberFormat="1" applyFont="1" applyFill="1" applyBorder="1" applyAlignment="1" applyProtection="1">
      <alignment horizontal="center"/>
      <protection locked="0" hidden="1"/>
    </xf>
    <xf numFmtId="166" fontId="8" fillId="26" borderId="436" xfId="0" applyNumberFormat="1" applyFont="1" applyFill="1" applyBorder="1" applyAlignment="1" applyProtection="1">
      <alignment horizontal="center"/>
      <protection locked="0" hidden="1"/>
    </xf>
    <xf numFmtId="21" fontId="252" fillId="71" borderId="123" xfId="0" applyNumberFormat="1" applyFont="1" applyFill="1" applyBorder="1"/>
    <xf numFmtId="21" fontId="152" fillId="16" borderId="323" xfId="0" applyNumberFormat="1" applyFont="1" applyFill="1" applyBorder="1"/>
    <xf numFmtId="21" fontId="86" fillId="148" borderId="430" xfId="0" applyNumberFormat="1" applyFont="1" applyFill="1" applyBorder="1" applyAlignment="1">
      <alignment horizontal="left"/>
    </xf>
    <xf numFmtId="21" fontId="86" fillId="148" borderId="430" xfId="0" applyNumberFormat="1" applyFont="1" applyFill="1" applyBorder="1" applyAlignment="1">
      <alignment horizontal="center"/>
    </xf>
    <xf numFmtId="21" fontId="262" fillId="134" borderId="0" xfId="0" quotePrefix="1" applyNumberFormat="1" applyFont="1" applyFill="1" applyAlignment="1">
      <alignment horizontal="center"/>
    </xf>
    <xf numFmtId="21" fontId="260" fillId="134" borderId="209" xfId="0" applyNumberFormat="1" applyFont="1" applyFill="1" applyBorder="1" applyAlignment="1">
      <alignment horizontal="center"/>
    </xf>
    <xf numFmtId="0" fontId="8" fillId="182" borderId="0" xfId="0" applyFont="1" applyFill="1" applyBorder="1" applyProtection="1"/>
    <xf numFmtId="21" fontId="106" fillId="143" borderId="374" xfId="0" applyNumberFormat="1" applyFont="1" applyFill="1" applyBorder="1"/>
    <xf numFmtId="21" fontId="106" fillId="143" borderId="374" xfId="0" quotePrefix="1" applyNumberFormat="1" applyFont="1" applyFill="1" applyBorder="1" applyAlignment="1">
      <alignment horizontal="center"/>
    </xf>
    <xf numFmtId="0" fontId="8" fillId="182" borderId="0" xfId="0" applyFont="1" applyFill="1" applyBorder="1" applyAlignment="1" applyProtection="1">
      <alignment horizontal="center"/>
    </xf>
    <xf numFmtId="21" fontId="269" fillId="91" borderId="35" xfId="0" applyNumberFormat="1" applyFont="1" applyFill="1" applyBorder="1"/>
    <xf numFmtId="1" fontId="263" fillId="91" borderId="0" xfId="0" applyNumberFormat="1" applyFont="1" applyFill="1" applyBorder="1"/>
    <xf numFmtId="0" fontId="274" fillId="92" borderId="0" xfId="0" applyFont="1" applyFill="1" applyBorder="1" applyProtection="1"/>
    <xf numFmtId="0" fontId="274" fillId="92" borderId="390" xfId="0" applyFont="1" applyFill="1" applyBorder="1" applyProtection="1"/>
    <xf numFmtId="21" fontId="269" fillId="91" borderId="374" xfId="0" applyNumberFormat="1" applyFont="1" applyFill="1" applyBorder="1"/>
    <xf numFmtId="0" fontId="264" fillId="92" borderId="390" xfId="0" applyFont="1" applyFill="1" applyBorder="1" applyProtection="1"/>
    <xf numFmtId="166" fontId="274" fillId="92" borderId="0" xfId="0" applyNumberFormat="1" applyFont="1" applyFill="1" applyBorder="1" applyProtection="1"/>
    <xf numFmtId="21" fontId="271" fillId="91" borderId="35" xfId="0" quotePrefix="1" applyNumberFormat="1" applyFont="1" applyFill="1" applyBorder="1" applyAlignment="1">
      <alignment horizontal="center"/>
    </xf>
    <xf numFmtId="174" fontId="271" fillId="91" borderId="0" xfId="0" quotePrefix="1" applyNumberFormat="1" applyFont="1" applyFill="1" applyBorder="1" applyAlignment="1">
      <alignment horizontal="center"/>
    </xf>
    <xf numFmtId="0" fontId="274" fillId="92" borderId="390" xfId="0" applyFont="1" applyFill="1" applyBorder="1" applyAlignment="1" applyProtection="1">
      <alignment horizontal="center"/>
    </xf>
    <xf numFmtId="21" fontId="157" fillId="19" borderId="35" xfId="0" applyNumberFormat="1" applyFont="1" applyFill="1" applyBorder="1" applyAlignment="1">
      <alignment horizontal="center" wrapText="1"/>
    </xf>
    <xf numFmtId="3" fontId="6" fillId="121" borderId="0" xfId="0" applyNumberFormat="1" applyFont="1" applyFill="1" applyAlignment="1" applyProtection="1">
      <alignment horizontal="center"/>
    </xf>
    <xf numFmtId="0" fontId="1" fillId="80" borderId="0" xfId="0" applyFont="1" applyFill="1" applyBorder="1" applyAlignment="1" applyProtection="1">
      <alignment horizontal="center"/>
    </xf>
    <xf numFmtId="0" fontId="1" fillId="121" borderId="0" xfId="0" applyFont="1" applyFill="1" applyBorder="1" applyAlignment="1" applyProtection="1">
      <alignment horizontal="center"/>
    </xf>
    <xf numFmtId="166" fontId="109" fillId="121" borderId="0" xfId="0" applyNumberFormat="1" applyFont="1" applyFill="1" applyBorder="1" applyAlignment="1" applyProtection="1">
      <alignment horizontal="center"/>
    </xf>
    <xf numFmtId="21" fontId="1" fillId="121" borderId="0" xfId="0" applyNumberFormat="1" applyFont="1" applyFill="1" applyBorder="1" applyAlignment="1" applyProtection="1">
      <alignment horizontal="center"/>
    </xf>
    <xf numFmtId="1" fontId="86" fillId="14" borderId="376" xfId="0" applyNumberFormat="1" applyFont="1" applyFill="1" applyBorder="1"/>
    <xf numFmtId="0" fontId="1" fillId="14" borderId="374" xfId="0" applyFont="1" applyFill="1" applyBorder="1"/>
    <xf numFmtId="21" fontId="85" fillId="14" borderId="374" xfId="0" applyNumberFormat="1" applyFont="1" applyFill="1" applyBorder="1"/>
    <xf numFmtId="176" fontId="86" fillId="14" borderId="374" xfId="0" applyNumberFormat="1" applyFont="1" applyFill="1" applyBorder="1"/>
    <xf numFmtId="166" fontId="168" fillId="14" borderId="374" xfId="0" applyNumberFormat="1" applyFont="1" applyFill="1" applyBorder="1"/>
    <xf numFmtId="0" fontId="1" fillId="14" borderId="383" xfId="0" applyFont="1" applyFill="1" applyBorder="1"/>
    <xf numFmtId="0" fontId="1" fillId="18" borderId="0" xfId="0" applyFont="1" applyFill="1" applyBorder="1"/>
    <xf numFmtId="21" fontId="92" fillId="17" borderId="374" xfId="0" applyNumberFormat="1" applyFont="1" applyFill="1" applyBorder="1"/>
    <xf numFmtId="0" fontId="88" fillId="18" borderId="0" xfId="0" applyFont="1" applyFill="1" applyBorder="1"/>
    <xf numFmtId="21" fontId="415" fillId="17" borderId="374" xfId="0" applyNumberFormat="1" applyFont="1" applyFill="1" applyBorder="1"/>
    <xf numFmtId="1" fontId="1" fillId="20" borderId="376" xfId="0" applyNumberFormat="1" applyFont="1" applyFill="1" applyBorder="1"/>
    <xf numFmtId="166" fontId="200" fillId="16" borderId="374" xfId="0" applyNumberFormat="1" applyFont="1" applyFill="1" applyBorder="1"/>
    <xf numFmtId="0" fontId="100" fillId="19" borderId="0" xfId="0" applyFont="1" applyFill="1" applyBorder="1"/>
    <xf numFmtId="21" fontId="415" fillId="16" borderId="374" xfId="0" applyNumberFormat="1" applyFont="1" applyFill="1" applyBorder="1"/>
    <xf numFmtId="0" fontId="5" fillId="209" borderId="12" xfId="0" applyFont="1" applyFill="1" applyBorder="1" applyAlignment="1">
      <alignment horizontal="center"/>
    </xf>
    <xf numFmtId="0" fontId="5" fillId="209" borderId="96" xfId="0" applyFont="1" applyFill="1" applyBorder="1" applyAlignment="1">
      <alignment horizontal="center"/>
    </xf>
    <xf numFmtId="0" fontId="263" fillId="210" borderId="76" xfId="0" applyFont="1" applyFill="1" applyBorder="1"/>
    <xf numFmtId="0" fontId="373" fillId="210" borderId="74" xfId="0" applyFont="1" applyFill="1" applyBorder="1"/>
    <xf numFmtId="0" fontId="373" fillId="210" borderId="75" xfId="0" applyFont="1" applyFill="1" applyBorder="1"/>
    <xf numFmtId="21" fontId="89" fillId="91" borderId="35" xfId="0" applyNumberFormat="1" applyFont="1" applyFill="1" applyBorder="1" applyAlignment="1">
      <alignment horizontal="center"/>
    </xf>
    <xf numFmtId="21" fontId="89" fillId="17" borderId="35" xfId="0" applyNumberFormat="1" applyFont="1" applyFill="1" applyBorder="1" applyAlignment="1">
      <alignment horizontal="center"/>
    </xf>
    <xf numFmtId="21" fontId="99" fillId="19" borderId="317" xfId="0" applyNumberFormat="1" applyFont="1" applyFill="1" applyBorder="1" applyAlignment="1">
      <alignment horizontal="center"/>
    </xf>
    <xf numFmtId="21" fontId="212" fillId="66" borderId="35" xfId="0" applyNumberFormat="1" applyFont="1" applyFill="1" applyBorder="1" applyAlignment="1">
      <alignment horizontal="center"/>
    </xf>
    <xf numFmtId="21" fontId="85" fillId="14" borderId="209" xfId="0" applyNumberFormat="1" applyFont="1" applyFill="1" applyBorder="1" applyAlignment="1">
      <alignment horizontal="center"/>
    </xf>
    <xf numFmtId="21" fontId="85" fillId="14" borderId="374" xfId="0" applyNumberFormat="1" applyFont="1" applyFill="1" applyBorder="1" applyAlignment="1">
      <alignment horizontal="center"/>
    </xf>
    <xf numFmtId="21" fontId="86" fillId="21" borderId="209" xfId="0" applyNumberFormat="1" applyFont="1" applyFill="1" applyBorder="1" applyAlignment="1">
      <alignment horizontal="center"/>
    </xf>
    <xf numFmtId="21" fontId="10" fillId="15" borderId="209" xfId="0" applyNumberFormat="1" applyFont="1" applyFill="1" applyBorder="1" applyAlignment="1">
      <alignment horizontal="center"/>
    </xf>
    <xf numFmtId="21" fontId="84" fillId="17" borderId="209" xfId="0" applyNumberFormat="1" applyFont="1" applyFill="1" applyBorder="1" applyAlignment="1">
      <alignment horizontal="center"/>
    </xf>
    <xf numFmtId="21" fontId="86" fillId="14" borderId="265" xfId="0" applyNumberFormat="1" applyFont="1" applyFill="1" applyBorder="1" applyAlignment="1">
      <alignment horizontal="center"/>
    </xf>
    <xf numFmtId="21" fontId="84" fillId="16" borderId="209" xfId="0" applyNumberFormat="1" applyFont="1" applyFill="1" applyBorder="1" applyAlignment="1">
      <alignment horizontal="center"/>
    </xf>
    <xf numFmtId="21" fontId="84" fillId="16" borderId="374" xfId="0" applyNumberFormat="1" applyFont="1" applyFill="1" applyBorder="1" applyAlignment="1">
      <alignment horizontal="center"/>
    </xf>
    <xf numFmtId="21" fontId="82" fillId="14" borderId="35" xfId="0" applyNumberFormat="1" applyFont="1" applyFill="1" applyBorder="1" applyAlignment="1">
      <alignment horizontal="center"/>
    </xf>
    <xf numFmtId="0" fontId="10" fillId="91" borderId="76" xfId="0" applyFont="1" applyFill="1" applyBorder="1"/>
    <xf numFmtId="21" fontId="306" fillId="21" borderId="35" xfId="0" applyNumberFormat="1" applyFont="1" applyFill="1" applyBorder="1"/>
    <xf numFmtId="0" fontId="1" fillId="91" borderId="76" xfId="0" applyFont="1" applyFill="1" applyBorder="1"/>
    <xf numFmtId="21" fontId="378" fillId="21" borderId="35" xfId="0" applyNumberFormat="1" applyFont="1" applyFill="1" applyBorder="1"/>
    <xf numFmtId="21" fontId="14" fillId="3" borderId="437" xfId="0" applyNumberFormat="1" applyFont="1" applyFill="1" applyBorder="1" applyAlignment="1" applyProtection="1">
      <alignment horizontal="center"/>
    </xf>
    <xf numFmtId="166" fontId="9" fillId="80" borderId="438" xfId="0" applyNumberFormat="1" applyFont="1" applyFill="1" applyBorder="1" applyAlignment="1" applyProtection="1">
      <alignment horizontal="center"/>
      <protection locked="0" hidden="1"/>
    </xf>
    <xf numFmtId="166" fontId="9" fillId="80" borderId="439" xfId="0" applyNumberFormat="1" applyFont="1" applyFill="1" applyBorder="1" applyAlignment="1" applyProtection="1">
      <alignment horizontal="center"/>
      <protection locked="0" hidden="1"/>
    </xf>
    <xf numFmtId="178" fontId="1" fillId="3" borderId="0" xfId="0" applyNumberFormat="1" applyFont="1" applyFill="1" applyAlignment="1" applyProtection="1">
      <alignment horizontal="center"/>
      <protection locked="0"/>
    </xf>
    <xf numFmtId="0" fontId="9" fillId="0" borderId="251" xfId="0" applyFont="1" applyBorder="1" applyAlignment="1">
      <alignment horizontal="center"/>
    </xf>
    <xf numFmtId="177" fontId="264" fillId="3" borderId="0" xfId="0" applyNumberFormat="1" applyFont="1" applyFill="1" applyAlignment="1" applyProtection="1">
      <alignment horizontal="center"/>
      <protection locked="0"/>
    </xf>
    <xf numFmtId="21" fontId="160" fillId="66" borderId="374" xfId="0" applyNumberFormat="1" applyFont="1" applyFill="1" applyBorder="1"/>
    <xf numFmtId="0" fontId="8" fillId="66" borderId="374" xfId="0" applyFont="1" applyFill="1" applyBorder="1"/>
    <xf numFmtId="21" fontId="81" fillId="103" borderId="32" xfId="0" applyNumberFormat="1" applyFont="1" applyFill="1" applyBorder="1"/>
    <xf numFmtId="0" fontId="122" fillId="182" borderId="83" xfId="0" applyFont="1" applyFill="1" applyBorder="1" applyProtection="1"/>
    <xf numFmtId="21" fontId="418" fillId="143" borderId="35" xfId="0" quotePrefix="1" applyNumberFormat="1" applyFont="1" applyFill="1" applyBorder="1" applyAlignment="1">
      <alignment horizontal="center"/>
    </xf>
    <xf numFmtId="174" fontId="419" fillId="143" borderId="0" xfId="0" quotePrefix="1" applyNumberFormat="1" applyFont="1" applyFill="1" applyBorder="1" applyAlignment="1">
      <alignment horizontal="center"/>
    </xf>
    <xf numFmtId="21" fontId="418" fillId="143" borderId="35" xfId="0" applyNumberFormat="1" applyFont="1" applyFill="1" applyBorder="1"/>
    <xf numFmtId="21" fontId="418" fillId="143" borderId="35" xfId="0" applyNumberFormat="1" applyFont="1" applyFill="1" applyBorder="1" applyAlignment="1">
      <alignment horizontal="center"/>
    </xf>
    <xf numFmtId="166" fontId="122" fillId="182" borderId="0" xfId="0" applyNumberFormat="1" applyFont="1" applyFill="1" applyBorder="1" applyProtection="1"/>
    <xf numFmtId="174" fontId="417" fillId="182" borderId="83" xfId="0" applyNumberFormat="1" applyFont="1" applyFill="1" applyBorder="1" applyAlignment="1" applyProtection="1">
      <alignment horizontal="center"/>
    </xf>
    <xf numFmtId="0" fontId="420" fillId="14" borderId="317" xfId="0" applyFont="1" applyFill="1" applyBorder="1"/>
    <xf numFmtId="177" fontId="49" fillId="57" borderId="317" xfId="0" applyNumberFormat="1" applyFont="1" applyFill="1" applyBorder="1" applyAlignment="1">
      <alignment horizontal="center"/>
    </xf>
    <xf numFmtId="21" fontId="420" fillId="14" borderId="317" xfId="0" quotePrefix="1" applyNumberFormat="1" applyFont="1" applyFill="1" applyBorder="1" applyAlignment="1">
      <alignment horizontal="center"/>
    </xf>
    <xf numFmtId="1" fontId="420" fillId="14" borderId="317" xfId="0" applyNumberFormat="1" applyFont="1" applyFill="1" applyBorder="1" applyAlignment="1">
      <alignment horizontal="center"/>
    </xf>
    <xf numFmtId="0" fontId="49" fillId="21" borderId="209" xfId="0" applyFont="1" applyFill="1" applyBorder="1"/>
    <xf numFmtId="176" fontId="49" fillId="21" borderId="209" xfId="0" applyNumberFormat="1" applyFont="1" applyFill="1" applyBorder="1" applyAlignment="1">
      <alignment horizontal="center"/>
    </xf>
    <xf numFmtId="21" fontId="420" fillId="21" borderId="209" xfId="0" quotePrefix="1" applyNumberFormat="1" applyFont="1" applyFill="1" applyBorder="1" applyAlignment="1">
      <alignment horizontal="center"/>
    </xf>
    <xf numFmtId="1" fontId="420" fillId="21" borderId="209" xfId="0" applyNumberFormat="1" applyFont="1" applyFill="1" applyBorder="1" applyAlignment="1">
      <alignment horizontal="center"/>
    </xf>
    <xf numFmtId="0" fontId="421" fillId="108" borderId="209" xfId="0" applyFont="1" applyFill="1" applyBorder="1"/>
    <xf numFmtId="176" fontId="421" fillId="108" borderId="209" xfId="0" applyNumberFormat="1" applyFont="1" applyFill="1" applyBorder="1" applyAlignment="1">
      <alignment horizontal="center"/>
    </xf>
    <xf numFmtId="21" fontId="420" fillId="108" borderId="209" xfId="0" quotePrefix="1" applyNumberFormat="1" applyFont="1" applyFill="1" applyBorder="1" applyAlignment="1">
      <alignment horizontal="center"/>
    </xf>
    <xf numFmtId="0" fontId="420" fillId="14" borderId="0" xfId="0" applyFont="1" applyFill="1" applyBorder="1"/>
    <xf numFmtId="176" fontId="421" fillId="103" borderId="209" xfId="0" applyNumberFormat="1" applyFont="1" applyFill="1" applyBorder="1" applyAlignment="1">
      <alignment horizontal="center"/>
    </xf>
    <xf numFmtId="0" fontId="49" fillId="21" borderId="374" xfId="0" applyFont="1" applyFill="1" applyBorder="1"/>
    <xf numFmtId="21" fontId="420" fillId="21" borderId="374" xfId="0" applyNumberFormat="1" applyFont="1" applyFill="1" applyBorder="1"/>
    <xf numFmtId="166" fontId="49" fillId="21" borderId="374" xfId="0" applyNumberFormat="1" applyFont="1" applyFill="1" applyBorder="1"/>
    <xf numFmtId="21" fontId="420" fillId="21" borderId="374" xfId="0" quotePrefix="1" applyNumberFormat="1" applyFont="1" applyFill="1" applyBorder="1" applyAlignment="1">
      <alignment horizontal="center"/>
    </xf>
    <xf numFmtId="1" fontId="420" fillId="21" borderId="374" xfId="0" applyNumberFormat="1" applyFont="1" applyFill="1" applyBorder="1" applyAlignment="1">
      <alignment horizontal="center"/>
    </xf>
    <xf numFmtId="0" fontId="49" fillId="21" borderId="394" xfId="0" applyFont="1" applyFill="1" applyBorder="1"/>
    <xf numFmtId="0" fontId="49" fillId="15" borderId="374" xfId="0" applyFont="1" applyFill="1" applyBorder="1"/>
    <xf numFmtId="21" fontId="420" fillId="15" borderId="374" xfId="0" applyNumberFormat="1" applyFont="1" applyFill="1" applyBorder="1"/>
    <xf numFmtId="0" fontId="49" fillId="15" borderId="374" xfId="0" quotePrefix="1" applyFont="1" applyFill="1" applyBorder="1" applyAlignment="1">
      <alignment horizontal="left"/>
    </xf>
    <xf numFmtId="21" fontId="49" fillId="15" borderId="374" xfId="0" applyNumberFormat="1" applyFont="1" applyFill="1" applyBorder="1"/>
    <xf numFmtId="166" fontId="49" fillId="15" borderId="374" xfId="0" applyNumberFormat="1" applyFont="1" applyFill="1" applyBorder="1"/>
    <xf numFmtId="21" fontId="420" fillId="15" borderId="374" xfId="0" quotePrefix="1" applyNumberFormat="1" applyFont="1" applyFill="1" applyBorder="1" applyAlignment="1">
      <alignment horizontal="center"/>
    </xf>
    <xf numFmtId="0" fontId="420" fillId="15" borderId="374" xfId="0" applyFont="1" applyFill="1" applyBorder="1" applyAlignment="1">
      <alignment horizontal="center"/>
    </xf>
    <xf numFmtId="0" fontId="418" fillId="19" borderId="390" xfId="0" applyFont="1" applyFill="1" applyBorder="1"/>
    <xf numFmtId="21" fontId="418" fillId="19" borderId="374" xfId="0" applyNumberFormat="1" applyFont="1" applyFill="1" applyBorder="1"/>
    <xf numFmtId="21" fontId="418" fillId="19" borderId="0" xfId="0" applyNumberFormat="1" applyFont="1" applyFill="1"/>
    <xf numFmtId="166" fontId="418" fillId="19" borderId="374" xfId="0" applyNumberFormat="1" applyFont="1" applyFill="1" applyBorder="1"/>
    <xf numFmtId="21" fontId="418" fillId="19" borderId="374" xfId="0" quotePrefix="1" applyNumberFormat="1" applyFont="1" applyFill="1" applyBorder="1" applyAlignment="1">
      <alignment horizontal="center"/>
    </xf>
    <xf numFmtId="0" fontId="418" fillId="19" borderId="374" xfId="0" quotePrefix="1" applyFont="1" applyFill="1" applyBorder="1" applyAlignment="1">
      <alignment horizontal="left"/>
    </xf>
    <xf numFmtId="0" fontId="122" fillId="66" borderId="374" xfId="0" applyFont="1" applyFill="1" applyBorder="1"/>
    <xf numFmtId="21" fontId="418" fillId="66" borderId="374" xfId="0" applyNumberFormat="1" applyFont="1" applyFill="1" applyBorder="1"/>
    <xf numFmtId="0" fontId="418" fillId="66" borderId="374" xfId="0" applyFont="1" applyFill="1" applyBorder="1" applyAlignment="1">
      <alignment horizontal="left"/>
    </xf>
    <xf numFmtId="166" fontId="418" fillId="66" borderId="374" xfId="0" applyNumberFormat="1" applyFont="1" applyFill="1" applyBorder="1"/>
    <xf numFmtId="21" fontId="418" fillId="66" borderId="374" xfId="0" quotePrefix="1" applyNumberFormat="1" applyFont="1" applyFill="1" applyBorder="1" applyAlignment="1">
      <alignment horizontal="center"/>
    </xf>
    <xf numFmtId="1" fontId="418" fillId="66" borderId="374" xfId="0" applyNumberFormat="1" applyFont="1" applyFill="1" applyBorder="1" applyAlignment="1">
      <alignment horizontal="center"/>
    </xf>
    <xf numFmtId="0" fontId="122" fillId="66" borderId="383" xfId="0" applyFont="1" applyFill="1" applyBorder="1"/>
    <xf numFmtId="0" fontId="422" fillId="121" borderId="209" xfId="0" applyFont="1" applyFill="1" applyBorder="1" applyAlignment="1">
      <alignment horizontal="center"/>
    </xf>
    <xf numFmtId="21" fontId="420" fillId="14" borderId="209" xfId="0" quotePrefix="1" applyNumberFormat="1" applyFont="1" applyFill="1" applyBorder="1" applyAlignment="1">
      <alignment horizontal="center"/>
    </xf>
    <xf numFmtId="1" fontId="420" fillId="14" borderId="209" xfId="0" applyNumberFormat="1" applyFont="1" applyFill="1" applyBorder="1" applyAlignment="1">
      <alignment horizontal="center"/>
    </xf>
    <xf numFmtId="0" fontId="49" fillId="15" borderId="209" xfId="0" applyFont="1" applyFill="1" applyBorder="1" applyAlignment="1">
      <alignment horizontal="left"/>
    </xf>
    <xf numFmtId="176" fontId="49" fillId="15" borderId="209" xfId="0" applyNumberFormat="1" applyFont="1" applyFill="1" applyBorder="1"/>
    <xf numFmtId="21" fontId="420" fillId="15" borderId="209" xfId="0" quotePrefix="1" applyNumberFormat="1" applyFont="1" applyFill="1" applyBorder="1" applyAlignment="1">
      <alignment horizontal="center"/>
    </xf>
    <xf numFmtId="0" fontId="423" fillId="33" borderId="209" xfId="0" applyFont="1" applyFill="1" applyBorder="1" applyAlignment="1">
      <alignment horizontal="center"/>
    </xf>
    <xf numFmtId="0" fontId="418" fillId="19" borderId="264" xfId="0" applyFont="1" applyFill="1" applyBorder="1"/>
    <xf numFmtId="1" fontId="49" fillId="19" borderId="209" xfId="0" applyNumberFormat="1" applyFont="1" applyFill="1" applyBorder="1"/>
    <xf numFmtId="0" fontId="122" fillId="33" borderId="209" xfId="0" applyFont="1" applyFill="1" applyBorder="1"/>
    <xf numFmtId="21" fontId="122" fillId="19" borderId="209" xfId="0" applyNumberFormat="1" applyFont="1" applyFill="1" applyBorder="1"/>
    <xf numFmtId="176" fontId="122" fillId="19" borderId="209" xfId="0" applyNumberFormat="1" applyFont="1" applyFill="1" applyBorder="1"/>
    <xf numFmtId="166" fontId="122" fillId="33" borderId="209" xfId="0" applyNumberFormat="1" applyFont="1" applyFill="1" applyBorder="1"/>
    <xf numFmtId="21" fontId="418" fillId="19" borderId="209" xfId="0" quotePrefix="1" applyNumberFormat="1" applyFont="1" applyFill="1" applyBorder="1" applyAlignment="1">
      <alignment horizontal="center"/>
    </xf>
    <xf numFmtId="21" fontId="418" fillId="19" borderId="0" xfId="0" quotePrefix="1" applyNumberFormat="1" applyFont="1" applyFill="1" applyAlignment="1">
      <alignment horizontal="center"/>
    </xf>
    <xf numFmtId="176" fontId="48" fillId="3" borderId="0" xfId="0" applyNumberFormat="1" applyFont="1" applyFill="1" applyAlignment="1" applyProtection="1">
      <alignment horizontal="center"/>
      <protection locked="0"/>
    </xf>
    <xf numFmtId="21" fontId="420" fillId="14" borderId="265" xfId="0" applyNumberFormat="1" applyFont="1" applyFill="1" applyBorder="1"/>
    <xf numFmtId="0" fontId="421" fillId="0" borderId="113" xfId="0" applyFont="1" applyBorder="1"/>
    <xf numFmtId="0" fontId="420" fillId="14" borderId="374" xfId="0" applyFont="1" applyFill="1" applyBorder="1"/>
    <xf numFmtId="21" fontId="420" fillId="14" borderId="374" xfId="0" quotePrefix="1" applyNumberFormat="1" applyFont="1" applyFill="1" applyBorder="1" applyAlignment="1">
      <alignment horizontal="center"/>
    </xf>
    <xf numFmtId="1" fontId="420" fillId="14" borderId="374" xfId="0" applyNumberFormat="1" applyFont="1" applyFill="1" applyBorder="1" applyAlignment="1">
      <alignment horizontal="center"/>
    </xf>
    <xf numFmtId="21" fontId="420" fillId="20" borderId="374" xfId="0" quotePrefix="1" applyNumberFormat="1" applyFont="1" applyFill="1" applyBorder="1" applyAlignment="1">
      <alignment horizontal="center"/>
    </xf>
    <xf numFmtId="0" fontId="421" fillId="16" borderId="374" xfId="0" applyFont="1" applyFill="1" applyBorder="1"/>
    <xf numFmtId="0" fontId="421" fillId="16" borderId="374" xfId="0" quotePrefix="1" applyFont="1" applyFill="1" applyBorder="1" applyAlignment="1">
      <alignment horizontal="center"/>
    </xf>
    <xf numFmtId="0" fontId="49" fillId="91" borderId="317" xfId="0" applyFont="1" applyFill="1" applyBorder="1"/>
    <xf numFmtId="0" fontId="49" fillId="92" borderId="0" xfId="0" applyFont="1" applyFill="1"/>
    <xf numFmtId="21" fontId="420" fillId="91" borderId="317" xfId="0" quotePrefix="1" applyNumberFormat="1" applyFont="1" applyFill="1" applyBorder="1" applyAlignment="1">
      <alignment horizontal="center"/>
    </xf>
    <xf numFmtId="0" fontId="49" fillId="21" borderId="317" xfId="0" applyFont="1" applyFill="1" applyBorder="1"/>
    <xf numFmtId="176" fontId="49" fillId="21" borderId="317" xfId="0" applyNumberFormat="1" applyFont="1" applyFill="1" applyBorder="1" applyAlignment="1">
      <alignment horizontal="center"/>
    </xf>
    <xf numFmtId="21" fontId="420" fillId="21" borderId="317" xfId="0" quotePrefix="1" applyNumberFormat="1" applyFont="1" applyFill="1" applyBorder="1" applyAlignment="1">
      <alignment horizontal="center"/>
    </xf>
    <xf numFmtId="1" fontId="420" fillId="21" borderId="317" xfId="0" applyNumberFormat="1" applyFont="1" applyFill="1" applyBorder="1" applyAlignment="1">
      <alignment horizontal="center"/>
    </xf>
    <xf numFmtId="0" fontId="49" fillId="15" borderId="317" xfId="0" applyFont="1" applyFill="1" applyBorder="1"/>
    <xf numFmtId="21" fontId="420" fillId="15" borderId="317" xfId="0" quotePrefix="1" applyNumberFormat="1" applyFont="1" applyFill="1" applyBorder="1" applyAlignment="1">
      <alignment horizontal="center"/>
    </xf>
    <xf numFmtId="0" fontId="420" fillId="15" borderId="317" xfId="0" applyFont="1" applyFill="1" applyBorder="1" applyAlignment="1">
      <alignment horizontal="center"/>
    </xf>
    <xf numFmtId="0" fontId="49" fillId="18" borderId="291" xfId="0" applyFont="1" applyFill="1" applyBorder="1"/>
    <xf numFmtId="0" fontId="49" fillId="18" borderId="0" xfId="0" applyFont="1" applyFill="1"/>
    <xf numFmtId="21" fontId="420" fillId="17" borderId="317" xfId="0" quotePrefix="1" applyNumberFormat="1" applyFont="1" applyFill="1" applyBorder="1" applyAlignment="1">
      <alignment horizontal="center"/>
    </xf>
    <xf numFmtId="0" fontId="418" fillId="19" borderId="317" xfId="0" applyFont="1" applyFill="1" applyBorder="1"/>
    <xf numFmtId="0" fontId="418" fillId="19" borderId="318" xfId="0" applyFont="1" applyFill="1" applyBorder="1"/>
    <xf numFmtId="21" fontId="418" fillId="19" borderId="310" xfId="0" applyNumberFormat="1" applyFont="1" applyFill="1" applyBorder="1"/>
    <xf numFmtId="21" fontId="418" fillId="19" borderId="317" xfId="0" applyNumberFormat="1" applyFont="1" applyFill="1" applyBorder="1"/>
    <xf numFmtId="21" fontId="418" fillId="19" borderId="317" xfId="0" quotePrefix="1" applyNumberFormat="1" applyFont="1" applyFill="1" applyBorder="1" applyAlignment="1">
      <alignment horizontal="center"/>
    </xf>
    <xf numFmtId="166" fontId="418" fillId="19" borderId="317" xfId="0" applyNumberFormat="1" applyFont="1" applyFill="1" applyBorder="1"/>
    <xf numFmtId="0" fontId="418" fillId="19" borderId="317" xfId="0" quotePrefix="1" applyFont="1" applyFill="1" applyBorder="1" applyAlignment="1">
      <alignment horizontal="center"/>
    </xf>
    <xf numFmtId="0" fontId="418" fillId="19" borderId="291" xfId="0" applyFont="1" applyFill="1" applyBorder="1"/>
    <xf numFmtId="0" fontId="122" fillId="30" borderId="291" xfId="0" applyFont="1" applyFill="1" applyBorder="1"/>
    <xf numFmtId="177" fontId="122" fillId="29" borderId="317" xfId="0" applyNumberFormat="1" applyFont="1" applyFill="1" applyBorder="1" applyAlignment="1">
      <alignment horizontal="center"/>
    </xf>
    <xf numFmtId="21" fontId="418" fillId="29" borderId="0" xfId="0" quotePrefix="1" applyNumberFormat="1" applyFont="1" applyFill="1" applyAlignment="1">
      <alignment horizontal="center"/>
    </xf>
    <xf numFmtId="0" fontId="418" fillId="103" borderId="376" xfId="0" applyFont="1" applyFill="1" applyBorder="1" applyAlignment="1">
      <alignment horizontal="left"/>
    </xf>
    <xf numFmtId="176" fontId="408" fillId="103" borderId="376" xfId="0" applyNumberFormat="1" applyFont="1" applyFill="1" applyBorder="1" applyAlignment="1">
      <alignment horizontal="center"/>
    </xf>
    <xf numFmtId="21" fontId="418" fillId="103" borderId="376" xfId="0" quotePrefix="1" applyNumberFormat="1" applyFont="1" applyFill="1" applyBorder="1" applyAlignment="1">
      <alignment horizontal="center"/>
    </xf>
    <xf numFmtId="1" fontId="418" fillId="103" borderId="376" xfId="0" applyNumberFormat="1" applyFont="1" applyFill="1" applyBorder="1" applyAlignment="1">
      <alignment horizontal="center"/>
    </xf>
    <xf numFmtId="0" fontId="49" fillId="21" borderId="310" xfId="0" applyFont="1" applyFill="1" applyBorder="1"/>
    <xf numFmtId="21" fontId="420" fillId="21" borderId="310" xfId="0" applyNumberFormat="1" applyFont="1" applyFill="1" applyBorder="1"/>
    <xf numFmtId="176" fontId="49" fillId="21" borderId="310" xfId="0" applyNumberFormat="1" applyFont="1" applyFill="1" applyBorder="1" applyAlignment="1">
      <alignment horizontal="center"/>
    </xf>
    <xf numFmtId="166" fontId="49" fillId="21" borderId="310" xfId="0" applyNumberFormat="1" applyFont="1" applyFill="1" applyBorder="1"/>
    <xf numFmtId="21" fontId="420" fillId="21" borderId="310" xfId="0" applyNumberFormat="1" applyFont="1" applyFill="1" applyBorder="1" applyAlignment="1">
      <alignment horizontal="center"/>
    </xf>
    <xf numFmtId="1" fontId="420" fillId="21" borderId="310" xfId="0" applyNumberFormat="1" applyFont="1" applyFill="1" applyBorder="1" applyAlignment="1">
      <alignment horizontal="center"/>
    </xf>
    <xf numFmtId="0" fontId="49" fillId="21" borderId="319" xfId="0" applyFont="1" applyFill="1" applyBorder="1"/>
    <xf numFmtId="0" fontId="122" fillId="33" borderId="253" xfId="0" applyFont="1" applyFill="1" applyBorder="1"/>
    <xf numFmtId="21" fontId="122" fillId="19" borderId="253" xfId="0" applyNumberFormat="1" applyFont="1" applyFill="1" applyBorder="1"/>
    <xf numFmtId="0" fontId="122" fillId="33" borderId="253" xfId="0" applyFont="1" applyFill="1" applyBorder="1" applyAlignment="1">
      <alignment horizontal="left"/>
    </xf>
    <xf numFmtId="176" fontId="122" fillId="19" borderId="253" xfId="0" applyNumberFormat="1" applyFont="1" applyFill="1" applyBorder="1" applyAlignment="1">
      <alignment horizontal="center"/>
    </xf>
    <xf numFmtId="166" fontId="122" fillId="33" borderId="253" xfId="0" applyNumberFormat="1" applyFont="1" applyFill="1" applyBorder="1" applyAlignment="1">
      <alignment horizontal="left"/>
    </xf>
    <xf numFmtId="21" fontId="122" fillId="19" borderId="253" xfId="0" applyNumberFormat="1" applyFont="1" applyFill="1" applyBorder="1" applyAlignment="1">
      <alignment horizontal="center"/>
    </xf>
    <xf numFmtId="21" fontId="418" fillId="19" borderId="253" xfId="0" applyNumberFormat="1" applyFont="1" applyFill="1" applyBorder="1" applyAlignment="1">
      <alignment horizontal="center"/>
    </xf>
    <xf numFmtId="21" fontId="418" fillId="19" borderId="0" xfId="0" applyNumberFormat="1" applyFont="1" applyFill="1" applyAlignment="1">
      <alignment horizontal="center"/>
    </xf>
    <xf numFmtId="0" fontId="423" fillId="33" borderId="174" xfId="0" applyFont="1" applyFill="1" applyBorder="1" applyAlignment="1">
      <alignment horizontal="center"/>
    </xf>
    <xf numFmtId="0" fontId="418" fillId="19" borderId="282" xfId="0" applyFont="1" applyFill="1" applyBorder="1"/>
    <xf numFmtId="0" fontId="49" fillId="46" borderId="253" xfId="0" applyFont="1" applyFill="1" applyBorder="1"/>
    <xf numFmtId="21" fontId="49" fillId="46" borderId="253" xfId="0" applyNumberFormat="1" applyFont="1" applyFill="1" applyBorder="1"/>
    <xf numFmtId="176" fontId="49" fillId="15" borderId="253" xfId="0" applyNumberFormat="1" applyFont="1" applyFill="1" applyBorder="1" applyAlignment="1">
      <alignment horizontal="center"/>
    </xf>
    <xf numFmtId="166" fontId="49" fillId="46" borderId="253" xfId="0" applyNumberFormat="1" applyFont="1" applyFill="1" applyBorder="1"/>
    <xf numFmtId="21" fontId="49" fillId="46" borderId="253" xfId="0" applyNumberFormat="1" applyFont="1" applyFill="1" applyBorder="1" applyAlignment="1">
      <alignment horizontal="center"/>
    </xf>
    <xf numFmtId="21" fontId="420" fillId="46" borderId="253" xfId="0" applyNumberFormat="1" applyFont="1" applyFill="1" applyBorder="1" applyAlignment="1">
      <alignment horizontal="center"/>
    </xf>
    <xf numFmtId="21" fontId="420" fillId="46" borderId="310" xfId="0" applyNumberFormat="1" applyFont="1" applyFill="1" applyBorder="1" applyAlignment="1">
      <alignment horizontal="center"/>
    </xf>
    <xf numFmtId="0" fontId="420" fillId="46" borderId="253" xfId="0" applyFont="1" applyFill="1" applyBorder="1" applyAlignment="1">
      <alignment horizontal="center"/>
    </xf>
    <xf numFmtId="0" fontId="49" fillId="46" borderId="319" xfId="0" applyFont="1" applyFill="1" applyBorder="1"/>
    <xf numFmtId="0" fontId="122" fillId="29" borderId="253" xfId="0" applyFont="1" applyFill="1" applyBorder="1"/>
    <xf numFmtId="21" fontId="418" fillId="29" borderId="253" xfId="0" applyNumberFormat="1" applyFont="1" applyFill="1" applyBorder="1" applyAlignment="1">
      <alignment horizontal="center"/>
    </xf>
    <xf numFmtId="1" fontId="418" fillId="29" borderId="253" xfId="0" applyNumberFormat="1" applyFont="1" applyFill="1" applyBorder="1" applyAlignment="1">
      <alignment horizontal="center"/>
    </xf>
    <xf numFmtId="0" fontId="420" fillId="40" borderId="32" xfId="0" applyFont="1" applyFill="1" applyBorder="1"/>
    <xf numFmtId="177" fontId="49" fillId="59" borderId="32" xfId="0" applyNumberFormat="1" applyFont="1" applyFill="1" applyBorder="1" applyAlignment="1">
      <alignment horizontal="center"/>
    </xf>
    <xf numFmtId="21" fontId="420" fillId="40" borderId="32" xfId="0" quotePrefix="1" applyNumberFormat="1" applyFont="1" applyFill="1" applyBorder="1" applyAlignment="1">
      <alignment horizontal="center"/>
    </xf>
    <xf numFmtId="1" fontId="420" fillId="40" borderId="32" xfId="0" applyNumberFormat="1" applyFont="1" applyFill="1" applyBorder="1" applyAlignment="1">
      <alignment horizontal="center"/>
    </xf>
    <xf numFmtId="21" fontId="418" fillId="29" borderId="317" xfId="0" quotePrefix="1" applyNumberFormat="1" applyFont="1" applyFill="1" applyBorder="1" applyAlignment="1">
      <alignment horizontal="center"/>
    </xf>
    <xf numFmtId="176" fontId="49" fillId="91" borderId="317" xfId="0" applyNumberFormat="1" applyFont="1" applyFill="1" applyBorder="1" applyAlignment="1">
      <alignment horizontal="center"/>
    </xf>
    <xf numFmtId="1" fontId="420" fillId="91" borderId="317" xfId="0" applyNumberFormat="1" applyFont="1" applyFill="1" applyBorder="1" applyAlignment="1">
      <alignment horizontal="center"/>
    </xf>
    <xf numFmtId="0" fontId="424" fillId="3" borderId="79" xfId="0" applyFont="1" applyFill="1" applyBorder="1" applyProtection="1">
      <protection locked="0"/>
    </xf>
    <xf numFmtId="0" fontId="122" fillId="3" borderId="79" xfId="0" applyFont="1" applyFill="1" applyBorder="1" applyProtection="1">
      <protection locked="0"/>
    </xf>
    <xf numFmtId="21" fontId="420" fillId="14" borderId="294" xfId="0" applyNumberFormat="1" applyFont="1" applyFill="1" applyBorder="1" applyAlignment="1">
      <alignment horizontal="center"/>
    </xf>
    <xf numFmtId="0" fontId="49" fillId="14" borderId="266" xfId="0" applyFont="1" applyFill="1" applyBorder="1"/>
    <xf numFmtId="1" fontId="420" fillId="14" borderId="317" xfId="0" applyNumberFormat="1" applyFont="1" applyFill="1" applyBorder="1"/>
    <xf numFmtId="0" fontId="49" fillId="14" borderId="317" xfId="0" applyFont="1" applyFill="1" applyBorder="1"/>
    <xf numFmtId="21" fontId="420" fillId="14" borderId="317" xfId="0" applyNumberFormat="1" applyFont="1" applyFill="1" applyBorder="1"/>
    <xf numFmtId="166" fontId="420" fillId="14" borderId="317" xfId="0" applyNumberFormat="1" applyFont="1" applyFill="1" applyBorder="1"/>
    <xf numFmtId="21" fontId="420" fillId="14" borderId="317" xfId="0" applyNumberFormat="1" applyFont="1" applyFill="1" applyBorder="1" applyAlignment="1">
      <alignment horizontal="center"/>
    </xf>
    <xf numFmtId="0" fontId="49" fillId="14" borderId="293" xfId="0" applyFont="1" applyFill="1" applyBorder="1"/>
    <xf numFmtId="1" fontId="420" fillId="21" borderId="208" xfId="0" applyNumberFormat="1" applyFont="1" applyFill="1" applyBorder="1"/>
    <xf numFmtId="21" fontId="420" fillId="21" borderId="209" xfId="0" applyNumberFormat="1" applyFont="1" applyFill="1" applyBorder="1"/>
    <xf numFmtId="166" fontId="49" fillId="21" borderId="209" xfId="0" applyNumberFormat="1" applyFont="1" applyFill="1" applyBorder="1"/>
    <xf numFmtId="0" fontId="49" fillId="21" borderId="210" xfId="0" applyFont="1" applyFill="1" applyBorder="1"/>
    <xf numFmtId="1" fontId="122" fillId="143" borderId="0" xfId="0" applyNumberFormat="1" applyFont="1" applyFill="1" applyBorder="1"/>
    <xf numFmtId="1" fontId="49" fillId="108" borderId="209" xfId="0" applyNumberFormat="1" applyFont="1" applyFill="1" applyBorder="1"/>
    <xf numFmtId="21" fontId="421" fillId="108" borderId="209" xfId="0" applyNumberFormat="1" applyFont="1" applyFill="1" applyBorder="1"/>
    <xf numFmtId="166" fontId="421" fillId="108" borderId="209" xfId="0" applyNumberFormat="1" applyFont="1" applyFill="1" applyBorder="1"/>
    <xf numFmtId="0" fontId="421" fillId="141" borderId="209" xfId="0" applyFont="1" applyFill="1" applyBorder="1"/>
    <xf numFmtId="1" fontId="420" fillId="14" borderId="0" xfId="0" applyNumberFormat="1" applyFont="1" applyFill="1" applyBorder="1"/>
    <xf numFmtId="21" fontId="49" fillId="19" borderId="0" xfId="0" applyNumberFormat="1" applyFont="1" applyFill="1"/>
    <xf numFmtId="1" fontId="420" fillId="14" borderId="209" xfId="0" applyNumberFormat="1" applyFont="1" applyFill="1" applyBorder="1"/>
    <xf numFmtId="0" fontId="49" fillId="14" borderId="209" xfId="0" applyFont="1" applyFill="1" applyBorder="1"/>
    <xf numFmtId="21" fontId="420" fillId="14" borderId="209" xfId="0" applyNumberFormat="1" applyFont="1" applyFill="1" applyBorder="1" applyAlignment="1"/>
    <xf numFmtId="21" fontId="420" fillId="14" borderId="209" xfId="0" applyNumberFormat="1" applyFont="1" applyFill="1" applyBorder="1"/>
    <xf numFmtId="166" fontId="420" fillId="14" borderId="209" xfId="0" applyNumberFormat="1" applyFont="1" applyFill="1" applyBorder="1"/>
    <xf numFmtId="0" fontId="122" fillId="182" borderId="83" xfId="0" applyFont="1" applyFill="1" applyBorder="1" applyAlignment="1" applyProtection="1">
      <alignment horizontal="center"/>
    </xf>
    <xf numFmtId="1" fontId="49" fillId="15" borderId="209" xfId="0" applyNumberFormat="1" applyFont="1" applyFill="1" applyBorder="1"/>
    <xf numFmtId="0" fontId="49" fillId="15" borderId="209" xfId="0" applyFont="1" applyFill="1" applyBorder="1"/>
    <xf numFmtId="21" fontId="49" fillId="15" borderId="209" xfId="0" applyNumberFormat="1" applyFont="1" applyFill="1" applyBorder="1"/>
    <xf numFmtId="166" fontId="49" fillId="15" borderId="209" xfId="0" applyNumberFormat="1" applyFont="1" applyFill="1" applyBorder="1"/>
    <xf numFmtId="1" fontId="49" fillId="0" borderId="79" xfId="0" applyNumberFormat="1" applyFont="1" applyBorder="1"/>
    <xf numFmtId="1" fontId="48" fillId="3" borderId="79" xfId="0" applyNumberFormat="1" applyFont="1" applyFill="1" applyBorder="1" applyAlignment="1" applyProtection="1">
      <alignment horizontal="center"/>
      <protection locked="0"/>
    </xf>
    <xf numFmtId="166" fontId="48" fillId="3" borderId="79" xfId="0" applyNumberFormat="1" applyFont="1" applyFill="1" applyBorder="1" applyAlignment="1" applyProtection="1">
      <alignment horizontal="center"/>
      <protection locked="0"/>
    </xf>
    <xf numFmtId="1" fontId="420" fillId="14" borderId="374" xfId="0" applyNumberFormat="1" applyFont="1" applyFill="1" applyBorder="1"/>
    <xf numFmtId="0" fontId="49" fillId="14" borderId="374" xfId="0" applyFont="1" applyFill="1" applyBorder="1"/>
    <xf numFmtId="21" fontId="420" fillId="14" borderId="374" xfId="0" applyNumberFormat="1" applyFont="1" applyFill="1" applyBorder="1"/>
    <xf numFmtId="166" fontId="420" fillId="14" borderId="374" xfId="0" applyNumberFormat="1" applyFont="1" applyFill="1" applyBorder="1"/>
    <xf numFmtId="21" fontId="420" fillId="21" borderId="376" xfId="0" applyNumberFormat="1" applyFont="1" applyFill="1" applyBorder="1"/>
    <xf numFmtId="21" fontId="49" fillId="19" borderId="374" xfId="0" applyNumberFormat="1" applyFont="1" applyFill="1" applyBorder="1"/>
    <xf numFmtId="0" fontId="418" fillId="19" borderId="374" xfId="0" applyFont="1" applyFill="1" applyBorder="1"/>
    <xf numFmtId="21" fontId="49" fillId="20" borderId="374" xfId="0" applyNumberFormat="1" applyFont="1" applyFill="1" applyBorder="1"/>
    <xf numFmtId="1" fontId="49" fillId="20" borderId="374" xfId="0" applyNumberFormat="1" applyFont="1" applyFill="1" applyBorder="1"/>
    <xf numFmtId="21" fontId="421" fillId="16" borderId="374" xfId="0" applyNumberFormat="1" applyFont="1" applyFill="1" applyBorder="1"/>
    <xf numFmtId="166" fontId="421" fillId="16" borderId="374" xfId="0" applyNumberFormat="1" applyFont="1" applyFill="1" applyBorder="1"/>
    <xf numFmtId="1" fontId="420" fillId="14" borderId="32" xfId="0" applyNumberFormat="1" applyFont="1" applyFill="1" applyBorder="1"/>
    <xf numFmtId="0" fontId="49" fillId="91" borderId="309" xfId="0" applyFont="1" applyFill="1" applyBorder="1"/>
    <xf numFmtId="0" fontId="49" fillId="91" borderId="174" xfId="0" applyFont="1" applyFill="1" applyBorder="1"/>
    <xf numFmtId="21" fontId="420" fillId="91" borderId="317" xfId="0" applyNumberFormat="1" applyFont="1" applyFill="1" applyBorder="1"/>
    <xf numFmtId="21" fontId="421" fillId="91" borderId="317" xfId="0" applyNumberFormat="1" applyFont="1" applyFill="1" applyBorder="1" applyAlignment="1">
      <alignment horizontal="center"/>
    </xf>
    <xf numFmtId="0" fontId="49" fillId="92" borderId="291" xfId="0" applyFont="1" applyFill="1" applyBorder="1" applyAlignment="1">
      <alignment horizontal="center"/>
    </xf>
    <xf numFmtId="0" fontId="49" fillId="92" borderId="291" xfId="0" applyFont="1" applyFill="1" applyBorder="1"/>
    <xf numFmtId="1" fontId="420" fillId="14" borderId="109" xfId="0" applyNumberFormat="1" applyFont="1" applyFill="1" applyBorder="1"/>
    <xf numFmtId="0" fontId="425" fillId="111" borderId="309" xfId="0" applyFont="1" applyFill="1" applyBorder="1"/>
    <xf numFmtId="0" fontId="49" fillId="91" borderId="310" xfId="0" applyFont="1" applyFill="1" applyBorder="1"/>
    <xf numFmtId="0" fontId="49" fillId="15" borderId="318" xfId="0" applyFont="1" applyFill="1" applyBorder="1"/>
    <xf numFmtId="0" fontId="425" fillId="111" borderId="251" xfId="0" applyFont="1" applyFill="1" applyBorder="1"/>
    <xf numFmtId="21" fontId="420" fillId="21" borderId="317" xfId="0" applyNumberFormat="1" applyFont="1" applyFill="1" applyBorder="1"/>
    <xf numFmtId="166" fontId="49" fillId="21" borderId="317" xfId="0" applyNumberFormat="1" applyFont="1" applyFill="1" applyBorder="1"/>
    <xf numFmtId="21" fontId="420" fillId="21" borderId="317" xfId="0" applyNumberFormat="1" applyFont="1" applyFill="1" applyBorder="1" applyAlignment="1">
      <alignment horizontal="center"/>
    </xf>
    <xf numFmtId="0" fontId="49" fillId="21" borderId="293" xfId="0" applyFont="1" applyFill="1" applyBorder="1"/>
    <xf numFmtId="1" fontId="122" fillId="68" borderId="0" xfId="0" applyNumberFormat="1" applyFont="1" applyFill="1"/>
    <xf numFmtId="0" fontId="49" fillId="15" borderId="174" xfId="0" applyFont="1" applyFill="1" applyBorder="1"/>
    <xf numFmtId="21" fontId="49" fillId="15" borderId="317" xfId="0" applyNumberFormat="1" applyFont="1" applyFill="1" applyBorder="1"/>
    <xf numFmtId="21" fontId="49" fillId="15" borderId="317" xfId="0" applyNumberFormat="1" applyFont="1" applyFill="1" applyBorder="1" applyAlignment="1">
      <alignment horizontal="center"/>
    </xf>
    <xf numFmtId="1" fontId="420" fillId="115" borderId="126" xfId="0" applyNumberFormat="1" applyFont="1" applyFill="1" applyBorder="1"/>
    <xf numFmtId="21" fontId="421" fillId="17" borderId="317" xfId="0" applyNumberFormat="1" applyFont="1" applyFill="1" applyBorder="1"/>
    <xf numFmtId="21" fontId="421" fillId="17" borderId="317" xfId="0" applyNumberFormat="1" applyFont="1" applyFill="1" applyBorder="1" applyAlignment="1">
      <alignment horizontal="center"/>
    </xf>
    <xf numFmtId="0" fontId="49" fillId="18" borderId="291" xfId="0" applyFont="1" applyFill="1" applyBorder="1" applyAlignment="1">
      <alignment horizontal="center"/>
    </xf>
    <xf numFmtId="1" fontId="49" fillId="19" borderId="317" xfId="0" applyNumberFormat="1" applyFont="1" applyFill="1" applyBorder="1"/>
    <xf numFmtId="1" fontId="122" fillId="29" borderId="0" xfId="0" applyNumberFormat="1" applyFont="1" applyFill="1"/>
    <xf numFmtId="0" fontId="122" fillId="69" borderId="174" xfId="0" applyFont="1" applyFill="1" applyBorder="1"/>
    <xf numFmtId="0" fontId="122" fillId="30" borderId="275" xfId="0" applyFont="1" applyFill="1" applyBorder="1"/>
    <xf numFmtId="21" fontId="418" fillId="29" borderId="317" xfId="0" applyNumberFormat="1" applyFont="1" applyFill="1" applyBorder="1"/>
    <xf numFmtId="21" fontId="418" fillId="29" borderId="317" xfId="0" applyNumberFormat="1" applyFont="1" applyFill="1" applyBorder="1" applyAlignment="1">
      <alignment horizontal="center"/>
    </xf>
    <xf numFmtId="1" fontId="420" fillId="103" borderId="126" xfId="0" applyNumberFormat="1" applyFont="1" applyFill="1" applyBorder="1"/>
    <xf numFmtId="0" fontId="122" fillId="103" borderId="376" xfId="0" applyFont="1" applyFill="1" applyBorder="1"/>
    <xf numFmtId="21" fontId="418" fillId="103" borderId="376" xfId="0" applyNumberFormat="1" applyFont="1" applyFill="1" applyBorder="1"/>
    <xf numFmtId="166" fontId="418" fillId="103" borderId="376" xfId="0" applyNumberFormat="1" applyFont="1" applyFill="1" applyBorder="1"/>
    <xf numFmtId="0" fontId="408" fillId="103" borderId="402" xfId="0" applyFont="1" applyFill="1" applyBorder="1"/>
    <xf numFmtId="1" fontId="420" fillId="14" borderId="126" xfId="0" applyNumberFormat="1" applyFont="1" applyFill="1" applyBorder="1"/>
    <xf numFmtId="21" fontId="418" fillId="29" borderId="253" xfId="0" applyNumberFormat="1" applyFont="1" applyFill="1" applyBorder="1"/>
    <xf numFmtId="166" fontId="122" fillId="29" borderId="253" xfId="0" applyNumberFormat="1" applyFont="1" applyFill="1" applyBorder="1"/>
    <xf numFmtId="0" fontId="122" fillId="29" borderId="319" xfId="0" applyFont="1" applyFill="1" applyBorder="1"/>
    <xf numFmtId="0" fontId="122" fillId="29" borderId="254" xfId="0" applyFont="1" applyFill="1" applyBorder="1"/>
    <xf numFmtId="0" fontId="49" fillId="14" borderId="32" xfId="0" applyFont="1" applyFill="1" applyBorder="1"/>
    <xf numFmtId="21" fontId="420" fillId="14" borderId="32" xfId="0" applyNumberFormat="1" applyFont="1" applyFill="1" applyBorder="1"/>
    <xf numFmtId="21" fontId="420" fillId="40" borderId="32" xfId="0" applyNumberFormat="1" applyFont="1" applyFill="1" applyBorder="1"/>
    <xf numFmtId="166" fontId="420" fillId="40" borderId="32" xfId="0" applyNumberFormat="1" applyFont="1" applyFill="1" applyBorder="1"/>
    <xf numFmtId="21" fontId="420" fillId="40" borderId="32" xfId="0" applyNumberFormat="1" applyFont="1" applyFill="1" applyBorder="1" applyAlignment="1">
      <alignment horizontal="center"/>
    </xf>
    <xf numFmtId="0" fontId="49" fillId="40" borderId="33" xfId="0" applyFont="1" applyFill="1" applyBorder="1"/>
    <xf numFmtId="166" fontId="122" fillId="30" borderId="0" xfId="0" applyNumberFormat="1" applyFont="1" applyFill="1"/>
    <xf numFmtId="0" fontId="122" fillId="30" borderId="291" xfId="0" applyFont="1" applyFill="1" applyBorder="1" applyAlignment="1">
      <alignment horizontal="center"/>
    </xf>
    <xf numFmtId="0" fontId="122" fillId="30" borderId="282" xfId="0" applyFont="1" applyFill="1" applyBorder="1"/>
    <xf numFmtId="1" fontId="420" fillId="91" borderId="310" xfId="0" applyNumberFormat="1" applyFont="1" applyFill="1" applyBorder="1"/>
    <xf numFmtId="166" fontId="49" fillId="91" borderId="317" xfId="0" applyNumberFormat="1" applyFont="1" applyFill="1" applyBorder="1"/>
    <xf numFmtId="21" fontId="420" fillId="91" borderId="317" xfId="0" applyNumberFormat="1" applyFont="1" applyFill="1" applyBorder="1" applyAlignment="1">
      <alignment horizontal="center"/>
    </xf>
    <xf numFmtId="0" fontId="49" fillId="91" borderId="293" xfId="0" applyFont="1" applyFill="1" applyBorder="1"/>
    <xf numFmtId="1" fontId="49" fillId="207" borderId="317" xfId="0" applyNumberFormat="1" applyFont="1" applyFill="1" applyBorder="1"/>
    <xf numFmtId="0" fontId="49" fillId="207" borderId="317" xfId="0" applyFont="1" applyFill="1" applyBorder="1"/>
    <xf numFmtId="21" fontId="49" fillId="207" borderId="317" xfId="0" applyNumberFormat="1" applyFont="1" applyFill="1" applyBorder="1"/>
    <xf numFmtId="21" fontId="49" fillId="207" borderId="317" xfId="0" applyNumberFormat="1" applyFont="1" applyFill="1" applyBorder="1" applyAlignment="1">
      <alignment horizontal="center"/>
    </xf>
    <xf numFmtId="166" fontId="49" fillId="207" borderId="317" xfId="0" applyNumberFormat="1" applyFont="1" applyFill="1" applyBorder="1"/>
    <xf numFmtId="21" fontId="420" fillId="207" borderId="317" xfId="0" quotePrefix="1" applyNumberFormat="1" applyFont="1" applyFill="1" applyBorder="1" applyAlignment="1">
      <alignment horizontal="center"/>
    </xf>
    <xf numFmtId="0" fontId="420" fillId="207" borderId="317" xfId="0" applyFont="1" applyFill="1" applyBorder="1" applyAlignment="1">
      <alignment horizontal="center"/>
    </xf>
    <xf numFmtId="0" fontId="2" fillId="3" borderId="0" xfId="0" applyFont="1" applyFill="1" applyAlignment="1">
      <alignment horizontal="right"/>
    </xf>
    <xf numFmtId="21" fontId="81" fillId="14" borderId="0" xfId="0" applyNumberFormat="1" applyFont="1" applyFill="1" applyBorder="1" applyAlignment="1">
      <alignment horizontal="right"/>
    </xf>
    <xf numFmtId="1" fontId="81" fillId="14" borderId="428" xfId="0" applyNumberFormat="1" applyFont="1" applyFill="1" applyBorder="1" applyAlignment="1">
      <alignment horizontal="right"/>
    </xf>
    <xf numFmtId="0" fontId="5" fillId="24" borderId="0" xfId="0" applyFont="1" applyFill="1" applyBorder="1" applyAlignment="1">
      <alignment horizontal="right"/>
    </xf>
    <xf numFmtId="0" fontId="16" fillId="103" borderId="0" xfId="0" applyFont="1" applyFill="1" applyBorder="1" applyAlignment="1">
      <alignment horizontal="right"/>
    </xf>
    <xf numFmtId="21" fontId="99" fillId="103" borderId="0" xfId="0" applyNumberFormat="1" applyFont="1" applyFill="1" applyBorder="1" applyAlignment="1">
      <alignment horizontal="right"/>
    </xf>
    <xf numFmtId="176" fontId="8" fillId="103" borderId="0" xfId="0" applyNumberFormat="1" applyFont="1" applyFill="1" applyBorder="1" applyAlignment="1">
      <alignment horizontal="right"/>
    </xf>
    <xf numFmtId="166" fontId="111" fillId="103" borderId="253" xfId="0" applyNumberFormat="1" applyFont="1" applyFill="1" applyBorder="1" applyAlignment="1">
      <alignment horizontal="right"/>
    </xf>
    <xf numFmtId="21" fontId="100" fillId="103" borderId="253" xfId="0" quotePrefix="1" applyNumberFormat="1" applyFont="1" applyFill="1" applyBorder="1" applyAlignment="1">
      <alignment horizontal="right"/>
    </xf>
    <xf numFmtId="21" fontId="99" fillId="103" borderId="253" xfId="0" applyNumberFormat="1" applyFont="1" applyFill="1" applyBorder="1" applyAlignment="1">
      <alignment horizontal="right"/>
    </xf>
    <xf numFmtId="1" fontId="106" fillId="103" borderId="311" xfId="0" applyNumberFormat="1" applyFont="1" applyFill="1" applyBorder="1" applyAlignment="1">
      <alignment horizontal="right"/>
    </xf>
    <xf numFmtId="0" fontId="16" fillId="103" borderId="313" xfId="0" applyFont="1" applyFill="1" applyBorder="1" applyAlignment="1">
      <alignment horizontal="right"/>
    </xf>
    <xf numFmtId="169" fontId="42" fillId="121" borderId="168" xfId="5" applyNumberFormat="1" applyFont="1" applyFill="1" applyBorder="1" applyAlignment="1" applyProtection="1">
      <alignment horizontal="center" vertical="center" textRotation="90"/>
      <protection locked="0" hidden="1"/>
    </xf>
    <xf numFmtId="169" fontId="42" fillId="121" borderId="167" xfId="5" applyNumberFormat="1" applyFont="1" applyFill="1" applyBorder="1" applyAlignment="1" applyProtection="1">
      <alignment horizontal="center" vertical="center" textRotation="90"/>
      <protection locked="0" hidden="1"/>
    </xf>
    <xf numFmtId="3" fontId="350" fillId="120" borderId="190" xfId="5" applyNumberFormat="1" applyFont="1" applyFill="1" applyBorder="1" applyAlignment="1" applyProtection="1">
      <alignment horizontal="left"/>
      <protection locked="0" hidden="1"/>
    </xf>
    <xf numFmtId="3" fontId="349" fillId="120" borderId="0" xfId="5" applyNumberFormat="1" applyFont="1" applyFill="1" applyAlignment="1" applyProtection="1">
      <alignment horizontal="left"/>
      <protection hidden="1"/>
    </xf>
    <xf numFmtId="3" fontId="351" fillId="120" borderId="0" xfId="5" applyNumberFormat="1" applyFont="1" applyFill="1" applyProtection="1">
      <protection hidden="1"/>
    </xf>
    <xf numFmtId="3" fontId="370" fillId="209" borderId="410" xfId="5" applyNumberFormat="1" applyFont="1" applyFill="1" applyBorder="1" applyAlignment="1" applyProtection="1">
      <alignment horizontal="left"/>
      <protection locked="0" hidden="1"/>
    </xf>
    <xf numFmtId="3" fontId="370" fillId="209" borderId="410" xfId="5" applyNumberFormat="1" applyFont="1" applyFill="1" applyBorder="1" applyAlignment="1" applyProtection="1">
      <alignment horizontal="center"/>
      <protection locked="0" hidden="1"/>
    </xf>
    <xf numFmtId="3" fontId="370" fillId="79" borderId="410" xfId="5" applyNumberFormat="1" applyFont="1" applyFill="1" applyBorder="1" applyAlignment="1" applyProtection="1">
      <alignment horizontal="left"/>
      <protection locked="0" hidden="1"/>
    </xf>
    <xf numFmtId="3" fontId="117" fillId="79" borderId="376" xfId="5" applyNumberFormat="1" applyFont="1" applyFill="1" applyBorder="1" applyAlignment="1" applyProtection="1">
      <alignment horizontal="left"/>
      <protection locked="0" hidden="1"/>
    </xf>
    <xf numFmtId="3" fontId="117" fillId="79" borderId="290" xfId="5" applyNumberFormat="1" applyFont="1" applyFill="1" applyBorder="1" applyAlignment="1" applyProtection="1">
      <alignment horizontal="left"/>
      <protection locked="0" hidden="1"/>
    </xf>
    <xf numFmtId="3" fontId="117" fillId="79" borderId="290" xfId="5" applyNumberFormat="1" applyFont="1" applyFill="1" applyBorder="1" applyAlignment="1" applyProtection="1">
      <alignment horizontal="left"/>
      <protection hidden="1"/>
    </xf>
    <xf numFmtId="3" fontId="370" fillId="79" borderId="410" xfId="5" applyNumberFormat="1" applyFont="1" applyFill="1" applyBorder="1" applyAlignment="1" applyProtection="1">
      <alignment horizontal="center"/>
      <protection locked="0" hidden="1"/>
    </xf>
    <xf numFmtId="3" fontId="117" fillId="79" borderId="380" xfId="5" applyNumberFormat="1" applyFont="1" applyFill="1" applyBorder="1" applyAlignment="1" applyProtection="1">
      <alignment horizontal="center"/>
      <protection locked="0" hidden="1"/>
    </xf>
    <xf numFmtId="3" fontId="117" fillId="79" borderId="345" xfId="5" applyNumberFormat="1" applyFont="1" applyFill="1" applyBorder="1" applyAlignment="1" applyProtection="1">
      <alignment horizontal="center"/>
      <protection locked="0" hidden="1"/>
    </xf>
    <xf numFmtId="3" fontId="117" fillId="79" borderId="347" xfId="5" applyNumberFormat="1" applyFont="1" applyFill="1" applyBorder="1" applyAlignment="1" applyProtection="1">
      <alignment horizontal="center"/>
      <protection locked="0" hidden="1"/>
    </xf>
    <xf numFmtId="0" fontId="10" fillId="211" borderId="291" xfId="0" applyFont="1" applyFill="1" applyBorder="1" applyAlignment="1">
      <alignment horizontal="right"/>
    </xf>
    <xf numFmtId="21" fontId="99" fillId="102" borderId="253" xfId="0" applyNumberFormat="1" applyFont="1" applyFill="1" applyBorder="1" applyAlignment="1">
      <alignment horizontal="right"/>
    </xf>
    <xf numFmtId="185" fontId="89" fillId="102" borderId="317" xfId="0" applyNumberFormat="1" applyFont="1" applyFill="1" applyBorder="1" applyAlignment="1">
      <alignment horizontal="right"/>
    </xf>
    <xf numFmtId="21" fontId="275" fillId="91" borderId="253" xfId="0" quotePrefix="1" applyNumberFormat="1" applyFont="1" applyFill="1" applyBorder="1" applyAlignment="1">
      <alignment horizontal="right"/>
    </xf>
    <xf numFmtId="21" fontId="270" fillId="91" borderId="253" xfId="0" applyNumberFormat="1" applyFont="1" applyFill="1" applyBorder="1" applyAlignment="1">
      <alignment horizontal="right"/>
    </xf>
    <xf numFmtId="1" fontId="271" fillId="91" borderId="311" xfId="0" applyNumberFormat="1" applyFont="1" applyFill="1" applyBorder="1" applyAlignment="1">
      <alignment horizontal="right"/>
    </xf>
    <xf numFmtId="185" fontId="270" fillId="91" borderId="317" xfId="0" applyNumberFormat="1" applyFont="1" applyFill="1" applyBorder="1" applyAlignment="1">
      <alignment horizontal="right"/>
    </xf>
    <xf numFmtId="0" fontId="10" fillId="202" borderId="291" xfId="0" applyFont="1" applyFill="1" applyBorder="1" applyAlignment="1">
      <alignment horizontal="right"/>
    </xf>
    <xf numFmtId="21" fontId="99" fillId="115" borderId="253" xfId="0" applyNumberFormat="1" applyFont="1" applyFill="1" applyBorder="1" applyAlignment="1">
      <alignment horizontal="right"/>
    </xf>
    <xf numFmtId="185" fontId="89" fillId="115" borderId="317" xfId="0" applyNumberFormat="1" applyFont="1" applyFill="1" applyBorder="1" applyAlignment="1">
      <alignment horizontal="right"/>
    </xf>
    <xf numFmtId="0" fontId="86" fillId="122" borderId="35" xfId="0" applyFont="1" applyFill="1" applyBorder="1"/>
    <xf numFmtId="176" fontId="86" fillId="207" borderId="35" xfId="0" applyNumberFormat="1" applyFont="1" applyFill="1" applyBorder="1"/>
    <xf numFmtId="1" fontId="86" fillId="207" borderId="35" xfId="0" applyNumberFormat="1" applyFont="1" applyFill="1" applyBorder="1" applyAlignment="1">
      <alignment horizontal="center"/>
    </xf>
    <xf numFmtId="2" fontId="84" fillId="16" borderId="35" xfId="0" applyNumberFormat="1" applyFont="1" applyFill="1" applyBorder="1"/>
    <xf numFmtId="21" fontId="86" fillId="122" borderId="35" xfId="0" applyNumberFormat="1" applyFont="1" applyFill="1" applyBorder="1"/>
    <xf numFmtId="166" fontId="86" fillId="207" borderId="35" xfId="0" applyNumberFormat="1" applyFont="1" applyFill="1" applyBorder="1"/>
    <xf numFmtId="21" fontId="86" fillId="207" borderId="35" xfId="0" applyNumberFormat="1" applyFont="1" applyFill="1" applyBorder="1"/>
    <xf numFmtId="0" fontId="10" fillId="207" borderId="35" xfId="0" applyFont="1" applyFill="1" applyBorder="1"/>
    <xf numFmtId="1" fontId="10" fillId="20" borderId="35" xfId="0" applyNumberFormat="1" applyFont="1" applyFill="1" applyBorder="1"/>
    <xf numFmtId="0" fontId="421" fillId="16" borderId="35" xfId="0" applyFont="1" applyFill="1" applyBorder="1" applyAlignment="1">
      <alignment horizontal="center"/>
    </xf>
    <xf numFmtId="21" fontId="8" fillId="19" borderId="35" xfId="0" applyNumberFormat="1" applyFont="1" applyFill="1" applyBorder="1"/>
    <xf numFmtId="166" fontId="8" fillId="33" borderId="35" xfId="0" applyNumberFormat="1" applyFont="1" applyFill="1" applyBorder="1" applyProtection="1"/>
    <xf numFmtId="0" fontId="5" fillId="0" borderId="0" xfId="0" applyFont="1" applyBorder="1" applyProtection="1">
      <protection locked="0"/>
    </xf>
    <xf numFmtId="166" fontId="167" fillId="0" borderId="0" xfId="0" applyNumberFormat="1" applyFont="1" applyBorder="1" applyProtection="1">
      <protection locked="0"/>
    </xf>
    <xf numFmtId="46" fontId="5" fillId="0" borderId="0" xfId="0" applyNumberFormat="1" applyFont="1"/>
    <xf numFmtId="21" fontId="420" fillId="21" borderId="35" xfId="0" applyNumberFormat="1" applyFont="1" applyFill="1" applyBorder="1" applyAlignment="1">
      <alignment horizontal="center"/>
    </xf>
    <xf numFmtId="21" fontId="418" fillId="29" borderId="35" xfId="0" applyNumberFormat="1" applyFont="1" applyFill="1" applyBorder="1" applyAlignment="1">
      <alignment horizontal="center"/>
    </xf>
    <xf numFmtId="0" fontId="418" fillId="19" borderId="35" xfId="0" applyFont="1" applyFill="1" applyBorder="1" applyAlignment="1">
      <alignment horizontal="center"/>
    </xf>
    <xf numFmtId="21" fontId="1" fillId="19" borderId="35" xfId="0" applyNumberFormat="1" applyFont="1" applyFill="1" applyBorder="1"/>
    <xf numFmtId="0" fontId="100" fillId="19" borderId="233" xfId="0" applyFont="1" applyFill="1" applyBorder="1"/>
    <xf numFmtId="21" fontId="100" fillId="19" borderId="231" xfId="0" applyNumberFormat="1" applyFont="1" applyFill="1" applyBorder="1"/>
    <xf numFmtId="0" fontId="1" fillId="21" borderId="233" xfId="0" applyFont="1" applyFill="1" applyBorder="1"/>
    <xf numFmtId="0" fontId="49" fillId="21" borderId="222" xfId="0" applyFont="1" applyFill="1" applyBorder="1" applyAlignment="1">
      <alignment horizontal="center"/>
    </xf>
    <xf numFmtId="21" fontId="85" fillId="21" borderId="231" xfId="0" applyNumberFormat="1" applyFont="1" applyFill="1" applyBorder="1"/>
    <xf numFmtId="0" fontId="1" fillId="21" borderId="74" xfId="0" applyFont="1" applyFill="1" applyBorder="1"/>
    <xf numFmtId="0" fontId="427" fillId="0" borderId="0" xfId="0" applyFont="1" applyBorder="1" applyAlignment="1">
      <alignment horizontal="right"/>
    </xf>
    <xf numFmtId="0" fontId="49" fillId="0" borderId="0" xfId="0" applyFont="1" applyBorder="1" applyAlignment="1">
      <alignment horizontal="center"/>
    </xf>
    <xf numFmtId="166" fontId="167" fillId="3" borderId="0" xfId="0" applyNumberFormat="1" applyFont="1" applyFill="1" applyBorder="1" applyAlignment="1" applyProtection="1">
      <protection locked="0"/>
    </xf>
    <xf numFmtId="0" fontId="1" fillId="15" borderId="111" xfId="0" applyFont="1" applyFill="1" applyBorder="1"/>
    <xf numFmtId="0" fontId="1" fillId="15" borderId="35" xfId="0" applyFont="1" applyFill="1" applyBorder="1"/>
    <xf numFmtId="21" fontId="420" fillId="15" borderId="35" xfId="0" applyNumberFormat="1" applyFont="1" applyFill="1" applyBorder="1" applyAlignment="1">
      <alignment horizontal="center"/>
    </xf>
    <xf numFmtId="21" fontId="85" fillId="15" borderId="35" xfId="0" applyNumberFormat="1" applyFont="1" applyFill="1" applyBorder="1"/>
    <xf numFmtId="21" fontId="1" fillId="15" borderId="35" xfId="0" applyNumberFormat="1" applyFont="1" applyFill="1" applyBorder="1"/>
    <xf numFmtId="0" fontId="9" fillId="0" borderId="450" xfId="0" applyFont="1" applyBorder="1" applyAlignment="1">
      <alignment horizontal="center" textRotation="90"/>
    </xf>
    <xf numFmtId="0" fontId="9" fillId="0" borderId="451" xfId="0" applyFont="1" applyBorder="1" applyAlignment="1">
      <alignment horizontal="center" textRotation="90"/>
    </xf>
    <xf numFmtId="0" fontId="9" fillId="0" borderId="452" xfId="0" applyFont="1" applyBorder="1" applyAlignment="1">
      <alignment horizontal="center" textRotation="90"/>
    </xf>
    <xf numFmtId="1" fontId="9" fillId="0" borderId="452" xfId="0" applyNumberFormat="1" applyFont="1" applyBorder="1" applyAlignment="1">
      <alignment horizontal="center" textRotation="90"/>
    </xf>
    <xf numFmtId="164" fontId="9" fillId="0" borderId="452" xfId="3" applyFont="1" applyFill="1" applyBorder="1" applyAlignment="1">
      <alignment horizontal="center" textRotation="90"/>
    </xf>
    <xf numFmtId="21" fontId="9" fillId="0" borderId="453" xfId="0" applyNumberFormat="1" applyFont="1" applyBorder="1" applyAlignment="1">
      <alignment horizontal="center" textRotation="90"/>
    </xf>
    <xf numFmtId="0" fontId="9" fillId="0" borderId="453" xfId="0" applyFont="1" applyBorder="1" applyAlignment="1">
      <alignment horizontal="center" textRotation="90"/>
    </xf>
    <xf numFmtId="166" fontId="108" fillId="0" borderId="453" xfId="0" applyNumberFormat="1" applyFont="1" applyBorder="1" applyAlignment="1">
      <alignment horizontal="center" textRotation="90"/>
    </xf>
    <xf numFmtId="0" fontId="9" fillId="0" borderId="452" xfId="0" applyFont="1" applyBorder="1" applyAlignment="1">
      <alignment horizontal="center" vertical="justify" textRotation="90"/>
    </xf>
    <xf numFmtId="21" fontId="9" fillId="0" borderId="454" xfId="0" applyNumberFormat="1" applyFont="1" applyBorder="1" applyAlignment="1">
      <alignment horizontal="center" textRotation="90"/>
    </xf>
    <xf numFmtId="3" fontId="9" fillId="3" borderId="455" xfId="0" applyNumberFormat="1" applyFont="1" applyFill="1" applyBorder="1" applyAlignment="1">
      <alignment horizontal="center" textRotation="90"/>
    </xf>
    <xf numFmtId="0" fontId="9" fillId="3" borderId="456" xfId="4" applyFont="1" applyFill="1" applyBorder="1" applyAlignment="1">
      <alignment horizontal="center" textRotation="90"/>
    </xf>
    <xf numFmtId="0" fontId="9" fillId="24" borderId="456" xfId="4" applyFont="1" applyFill="1" applyBorder="1" applyAlignment="1">
      <alignment horizontal="center" textRotation="90"/>
    </xf>
    <xf numFmtId="0" fontId="9" fillId="22" borderId="456" xfId="4" applyFont="1" applyFill="1" applyBorder="1" applyAlignment="1">
      <alignment horizontal="center" textRotation="90"/>
    </xf>
    <xf numFmtId="0" fontId="9" fillId="25" borderId="456" xfId="4" applyFont="1" applyFill="1" applyBorder="1" applyAlignment="1">
      <alignment horizontal="center" textRotation="90"/>
    </xf>
    <xf numFmtId="0" fontId="9" fillId="23" borderId="456" xfId="4" applyFont="1" applyFill="1" applyBorder="1" applyAlignment="1">
      <alignment horizontal="center" textRotation="90"/>
    </xf>
    <xf numFmtId="0" fontId="8" fillId="27" borderId="456" xfId="4" applyFont="1" applyFill="1" applyBorder="1" applyAlignment="1">
      <alignment horizontal="center" textRotation="90"/>
    </xf>
    <xf numFmtId="0" fontId="8" fillId="26" borderId="456" xfId="4" applyFont="1" applyFill="1" applyBorder="1" applyAlignment="1">
      <alignment horizontal="center" textRotation="90"/>
    </xf>
    <xf numFmtId="168" fontId="10" fillId="8" borderId="457" xfId="7" applyNumberFormat="1" applyFont="1" applyFill="1" applyBorder="1"/>
    <xf numFmtId="168" fontId="10" fillId="8" borderId="458" xfId="7" applyNumberFormat="1" applyFont="1" applyFill="1" applyBorder="1"/>
    <xf numFmtId="0" fontId="5" fillId="0" borderId="459" xfId="0" applyFont="1" applyBorder="1" applyAlignment="1">
      <alignment horizontal="center"/>
    </xf>
    <xf numFmtId="0" fontId="5" fillId="0" borderId="460" xfId="0" applyFont="1" applyBorder="1" applyAlignment="1">
      <alignment horizontal="center"/>
    </xf>
    <xf numFmtId="177" fontId="10" fillId="57" borderId="374" xfId="0" applyNumberFormat="1" applyFont="1" applyFill="1" applyBorder="1"/>
    <xf numFmtId="166" fontId="113" fillId="14" borderId="374" xfId="0" applyNumberFormat="1" applyFont="1" applyFill="1" applyBorder="1"/>
    <xf numFmtId="166" fontId="109" fillId="15" borderId="374" xfId="0" applyNumberFormat="1" applyFont="1" applyFill="1" applyBorder="1"/>
    <xf numFmtId="21" fontId="85" fillId="15" borderId="374" xfId="0" quotePrefix="1" applyNumberFormat="1" applyFont="1" applyFill="1" applyBorder="1" applyAlignment="1">
      <alignment horizontal="center"/>
    </xf>
    <xf numFmtId="0" fontId="0" fillId="15" borderId="394" xfId="0" applyFill="1" applyBorder="1"/>
    <xf numFmtId="0" fontId="84" fillId="16" borderId="374" xfId="0" applyFont="1" applyFill="1" applyBorder="1" applyAlignment="1">
      <alignment horizontal="left"/>
    </xf>
    <xf numFmtId="166" fontId="115" fillId="16" borderId="374" xfId="0" applyNumberFormat="1" applyFont="1" applyFill="1" applyBorder="1"/>
    <xf numFmtId="21" fontId="85" fillId="20" borderId="374" xfId="0" quotePrefix="1" applyNumberFormat="1" applyFont="1" applyFill="1" applyBorder="1" applyAlignment="1">
      <alignment horizontal="center"/>
    </xf>
    <xf numFmtId="0" fontId="89" fillId="16" borderId="394" xfId="0" applyFont="1" applyFill="1" applyBorder="1"/>
    <xf numFmtId="0" fontId="5" fillId="0" borderId="196" xfId="0" applyFont="1" applyBorder="1" applyAlignment="1">
      <alignment horizontal="center"/>
    </xf>
    <xf numFmtId="1" fontId="55" fillId="3" borderId="79" xfId="0" applyNumberFormat="1" applyFont="1" applyFill="1" applyBorder="1" applyProtection="1">
      <protection locked="0"/>
    </xf>
    <xf numFmtId="1" fontId="81" fillId="14" borderId="440" xfId="0" applyNumberFormat="1" applyFont="1" applyFill="1" applyBorder="1"/>
    <xf numFmtId="0" fontId="0" fillId="14" borderId="457" xfId="0" applyFill="1" applyBorder="1"/>
    <xf numFmtId="21" fontId="82" fillId="14" borderId="457" xfId="0" applyNumberFormat="1" applyFont="1" applyFill="1" applyBorder="1"/>
    <xf numFmtId="0" fontId="86" fillId="14" borderId="457" xfId="0" applyFont="1" applyFill="1" applyBorder="1"/>
    <xf numFmtId="166" fontId="113" fillId="14" borderId="457" xfId="0" applyNumberFormat="1" applyFont="1" applyFill="1" applyBorder="1"/>
    <xf numFmtId="21" fontId="85" fillId="14" borderId="457" xfId="0" quotePrefix="1" applyNumberFormat="1" applyFont="1" applyFill="1" applyBorder="1" applyAlignment="1">
      <alignment horizontal="center"/>
    </xf>
    <xf numFmtId="1" fontId="86" fillId="14" borderId="457" xfId="0" applyNumberFormat="1" applyFont="1" applyFill="1" applyBorder="1" applyAlignment="1">
      <alignment horizontal="center"/>
    </xf>
    <xf numFmtId="0" fontId="0" fillId="14" borderId="458" xfId="0" applyFill="1" applyBorder="1"/>
    <xf numFmtId="0" fontId="99" fillId="19" borderId="461" xfId="0" applyFont="1" applyFill="1" applyBorder="1"/>
    <xf numFmtId="21" fontId="85" fillId="14" borderId="240" xfId="0" applyNumberFormat="1" applyFont="1" applyFill="1" applyBorder="1"/>
    <xf numFmtId="0" fontId="1" fillId="14" borderId="241" xfId="0" applyFont="1" applyFill="1" applyBorder="1"/>
    <xf numFmtId="0" fontId="5" fillId="24" borderId="459" xfId="0" applyFont="1" applyFill="1" applyBorder="1" applyAlignment="1">
      <alignment horizontal="center"/>
    </xf>
    <xf numFmtId="0" fontId="5" fillId="24" borderId="460" xfId="0" applyFont="1" applyFill="1" applyBorder="1" applyAlignment="1">
      <alignment horizontal="center"/>
    </xf>
    <xf numFmtId="21" fontId="81" fillId="14" borderId="276" xfId="0" applyNumberFormat="1" applyFont="1" applyFill="1" applyBorder="1"/>
    <xf numFmtId="0" fontId="2" fillId="18" borderId="365" xfId="0" applyFont="1" applyFill="1" applyBorder="1"/>
    <xf numFmtId="21" fontId="89" fillId="17" borderId="276" xfId="0" applyNumberFormat="1" applyFont="1" applyFill="1" applyBorder="1"/>
    <xf numFmtId="176" fontId="10" fillId="17" borderId="276" xfId="0" applyNumberFormat="1" applyFont="1" applyFill="1" applyBorder="1"/>
    <xf numFmtId="21" fontId="85" fillId="17" borderId="276" xfId="0" quotePrefix="1" applyNumberFormat="1" applyFont="1" applyFill="1" applyBorder="1" applyAlignment="1">
      <alignment horizontal="center"/>
    </xf>
    <xf numFmtId="0" fontId="0" fillId="18" borderId="365" xfId="0" applyFill="1" applyBorder="1" applyAlignment="1">
      <alignment horizontal="center"/>
    </xf>
    <xf numFmtId="0" fontId="0" fillId="18" borderId="461" xfId="0" applyFill="1" applyBorder="1"/>
    <xf numFmtId="1" fontId="81" fillId="14" borderId="276" xfId="0" applyNumberFormat="1" applyFont="1" applyFill="1" applyBorder="1"/>
    <xf numFmtId="0" fontId="0" fillId="21" borderId="276" xfId="0" applyFill="1" applyBorder="1"/>
    <xf numFmtId="21" fontId="82" fillId="21" borderId="276" xfId="0" applyNumberFormat="1" applyFont="1" applyFill="1" applyBorder="1"/>
    <xf numFmtId="0" fontId="10" fillId="21" borderId="276" xfId="0" applyFont="1" applyFill="1" applyBorder="1"/>
    <xf numFmtId="176" fontId="10" fillId="21" borderId="276" xfId="0" applyNumberFormat="1" applyFont="1" applyFill="1" applyBorder="1"/>
    <xf numFmtId="166" fontId="109" fillId="21" borderId="276" xfId="0" applyNumberFormat="1" applyFont="1" applyFill="1" applyBorder="1"/>
    <xf numFmtId="21" fontId="85" fillId="21" borderId="276" xfId="0" quotePrefix="1" applyNumberFormat="1" applyFont="1" applyFill="1" applyBorder="1" applyAlignment="1">
      <alignment horizontal="center"/>
    </xf>
    <xf numFmtId="1" fontId="86" fillId="21" borderId="276" xfId="0" applyNumberFormat="1" applyFont="1" applyFill="1" applyBorder="1" applyAlignment="1">
      <alignment horizontal="center"/>
    </xf>
    <xf numFmtId="0" fontId="0" fillId="21" borderId="462" xfId="0" applyFill="1" applyBorder="1"/>
    <xf numFmtId="0" fontId="16" fillId="33" borderId="276" xfId="0" applyFont="1" applyFill="1" applyBorder="1"/>
    <xf numFmtId="21" fontId="16" fillId="19" borderId="276" xfId="0" applyNumberFormat="1" applyFont="1" applyFill="1" applyBorder="1"/>
    <xf numFmtId="0" fontId="8" fillId="33" borderId="276" xfId="0" quotePrefix="1" applyFont="1" applyFill="1" applyBorder="1" applyAlignment="1">
      <alignment horizontal="left"/>
    </xf>
    <xf numFmtId="176" fontId="8" fillId="19" borderId="276" xfId="0" applyNumberFormat="1" applyFont="1" applyFill="1" applyBorder="1"/>
    <xf numFmtId="166" fontId="77" fillId="33" borderId="276" xfId="0" quotePrefix="1" applyNumberFormat="1" applyFont="1" applyFill="1" applyBorder="1" applyAlignment="1">
      <alignment horizontal="left"/>
    </xf>
    <xf numFmtId="21" fontId="100" fillId="19" borderId="276" xfId="0" quotePrefix="1" applyNumberFormat="1" applyFont="1" applyFill="1" applyBorder="1" applyAlignment="1">
      <alignment horizontal="center"/>
    </xf>
    <xf numFmtId="0" fontId="107" fillId="33" borderId="276" xfId="0" applyFont="1" applyFill="1" applyBorder="1" applyAlignment="1">
      <alignment horizontal="center"/>
    </xf>
    <xf numFmtId="0" fontId="0" fillId="14" borderId="276" xfId="0" applyFill="1" applyBorder="1"/>
    <xf numFmtId="21" fontId="82" fillId="14" borderId="276" xfId="0" applyNumberFormat="1" applyFont="1" applyFill="1" applyBorder="1"/>
    <xf numFmtId="0" fontId="86" fillId="14" borderId="276" xfId="0" applyFont="1" applyFill="1" applyBorder="1"/>
    <xf numFmtId="176" fontId="86" fillId="14" borderId="276" xfId="0" applyNumberFormat="1" applyFont="1" applyFill="1" applyBorder="1"/>
    <xf numFmtId="166" fontId="113" fillId="14" borderId="276" xfId="0" applyNumberFormat="1" applyFont="1" applyFill="1" applyBorder="1"/>
    <xf numFmtId="21" fontId="85" fillId="14" borderId="276" xfId="0" quotePrefix="1" applyNumberFormat="1" applyFont="1" applyFill="1" applyBorder="1" applyAlignment="1">
      <alignment horizontal="center"/>
    </xf>
    <xf numFmtId="1" fontId="86" fillId="14" borderId="276" xfId="0" applyNumberFormat="1" applyFont="1" applyFill="1" applyBorder="1" applyAlignment="1">
      <alignment horizontal="center"/>
    </xf>
    <xf numFmtId="0" fontId="0" fillId="14" borderId="462" xfId="0" applyFill="1" applyBorder="1"/>
    <xf numFmtId="0" fontId="88" fillId="18" borderId="365" xfId="0" quotePrefix="1" applyFont="1" applyFill="1" applyBorder="1" applyAlignment="1">
      <alignment horizontal="left"/>
    </xf>
    <xf numFmtId="0" fontId="0" fillId="15" borderId="276" xfId="0" applyFill="1" applyBorder="1"/>
    <xf numFmtId="21" fontId="0" fillId="15" borderId="276" xfId="0" applyNumberFormat="1" applyFill="1" applyBorder="1"/>
    <xf numFmtId="0" fontId="10" fillId="15" borderId="276" xfId="0" applyFont="1" applyFill="1" applyBorder="1"/>
    <xf numFmtId="176" fontId="10" fillId="15" borderId="276" xfId="0" applyNumberFormat="1" applyFont="1" applyFill="1" applyBorder="1"/>
    <xf numFmtId="166" fontId="109" fillId="15" borderId="276" xfId="0" applyNumberFormat="1" applyFont="1" applyFill="1" applyBorder="1"/>
    <xf numFmtId="21" fontId="85" fillId="15" borderId="276" xfId="0" quotePrefix="1" applyNumberFormat="1" applyFont="1" applyFill="1" applyBorder="1" applyAlignment="1">
      <alignment horizontal="center"/>
    </xf>
    <xf numFmtId="0" fontId="86" fillId="15" borderId="276" xfId="0" applyFont="1" applyFill="1" applyBorder="1" applyAlignment="1">
      <alignment horizontal="center"/>
    </xf>
    <xf numFmtId="0" fontId="0" fillId="15" borderId="462" xfId="0" applyFill="1" applyBorder="1"/>
    <xf numFmtId="0" fontId="10" fillId="14" borderId="276" xfId="0" applyFont="1" applyFill="1" applyBorder="1"/>
    <xf numFmtId="166" fontId="109" fillId="14" borderId="276" xfId="0" applyNumberFormat="1" applyFont="1" applyFill="1" applyBorder="1"/>
    <xf numFmtId="0" fontId="89" fillId="16" borderId="276" xfId="0" applyFont="1" applyFill="1" applyBorder="1"/>
    <xf numFmtId="21" fontId="89" fillId="16" borderId="276" xfId="0" applyNumberFormat="1" applyFont="1" applyFill="1" applyBorder="1"/>
    <xf numFmtId="0" fontId="84" fillId="16" borderId="276" xfId="0" applyFont="1" applyFill="1" applyBorder="1" applyAlignment="1">
      <alignment horizontal="left"/>
    </xf>
    <xf numFmtId="176" fontId="84" fillId="16" borderId="276" xfId="0" applyNumberFormat="1" applyFont="1" applyFill="1" applyBorder="1"/>
    <xf numFmtId="166" fontId="115" fillId="16" borderId="276" xfId="0" applyNumberFormat="1" applyFont="1" applyFill="1" applyBorder="1"/>
    <xf numFmtId="21" fontId="85" fillId="20" borderId="276" xfId="0" quotePrefix="1" applyNumberFormat="1" applyFont="1" applyFill="1" applyBorder="1" applyAlignment="1">
      <alignment horizontal="center"/>
    </xf>
    <xf numFmtId="0" fontId="84" fillId="16" borderId="276" xfId="0" quotePrefix="1" applyFont="1" applyFill="1" applyBorder="1" applyAlignment="1">
      <alignment horizontal="center"/>
    </xf>
    <xf numFmtId="0" fontId="89" fillId="16" borderId="462" xfId="0" applyFont="1" applyFill="1" applyBorder="1"/>
    <xf numFmtId="0" fontId="2" fillId="18" borderId="463" xfId="0" applyFont="1" applyFill="1" applyBorder="1"/>
    <xf numFmtId="0" fontId="88" fillId="18" borderId="463" xfId="0" applyFont="1" applyFill="1" applyBorder="1"/>
    <xf numFmtId="0" fontId="99" fillId="19" borderId="276" xfId="0" applyFont="1" applyFill="1" applyBorder="1"/>
    <xf numFmtId="21" fontId="99" fillId="19" borderId="276" xfId="0" applyNumberFormat="1" applyFont="1" applyFill="1" applyBorder="1"/>
    <xf numFmtId="166" fontId="111" fillId="19" borderId="276" xfId="0" applyNumberFormat="1" applyFont="1" applyFill="1" applyBorder="1"/>
    <xf numFmtId="0" fontId="10" fillId="21" borderId="276" xfId="0" quotePrefix="1" applyFont="1" applyFill="1" applyBorder="1" applyAlignment="1">
      <alignment horizontal="left"/>
    </xf>
    <xf numFmtId="0" fontId="10" fillId="15" borderId="276" xfId="0" quotePrefix="1" applyFont="1" applyFill="1" applyBorder="1" applyAlignment="1">
      <alignment horizontal="left"/>
    </xf>
    <xf numFmtId="0" fontId="67" fillId="3" borderId="0" xfId="0" applyFont="1" applyFill="1" applyAlignment="1">
      <alignment horizontal="center" vertical="center"/>
    </xf>
    <xf numFmtId="165" fontId="18" fillId="13" borderId="464" xfId="0" applyNumberFormat="1" applyFont="1" applyFill="1" applyBorder="1" applyAlignment="1">
      <alignment horizontal="center" vertical="center"/>
    </xf>
    <xf numFmtId="0" fontId="54" fillId="3" borderId="465" xfId="0" applyFont="1" applyFill="1" applyBorder="1" applyAlignment="1" applyProtection="1">
      <alignment horizontal="center"/>
      <protection locked="0"/>
    </xf>
    <xf numFmtId="0" fontId="54" fillId="3" borderId="466" xfId="0" applyFont="1" applyFill="1" applyBorder="1" applyAlignment="1" applyProtection="1">
      <alignment horizontal="center"/>
      <protection locked="0"/>
    </xf>
    <xf numFmtId="0" fontId="8" fillId="3" borderId="466" xfId="0" applyFont="1" applyFill="1" applyBorder="1" applyAlignment="1" applyProtection="1">
      <alignment horizontal="center"/>
      <protection locked="0"/>
    </xf>
    <xf numFmtId="0" fontId="8" fillId="3" borderId="467" xfId="0" applyFont="1" applyFill="1" applyBorder="1" applyAlignment="1" applyProtection="1">
      <alignment horizontal="center"/>
      <protection locked="0"/>
    </xf>
    <xf numFmtId="1" fontId="280" fillId="147" borderId="0" xfId="0" applyNumberFormat="1" applyFont="1" applyFill="1" applyProtection="1">
      <protection locked="0"/>
    </xf>
    <xf numFmtId="3" fontId="1" fillId="14" borderId="241" xfId="0" applyNumberFormat="1" applyFont="1" applyFill="1" applyBorder="1"/>
    <xf numFmtId="0" fontId="264" fillId="14" borderId="32" xfId="0" applyFont="1" applyFill="1" applyBorder="1"/>
    <xf numFmtId="176" fontId="81" fillId="80" borderId="32" xfId="0" applyNumberFormat="1" applyFont="1" applyFill="1" applyBorder="1"/>
    <xf numFmtId="176" fontId="81" fillId="107" borderId="32" xfId="0" applyNumberFormat="1" applyFont="1" applyFill="1" applyBorder="1"/>
    <xf numFmtId="21" fontId="81" fillId="212" borderId="374" xfId="0" applyNumberFormat="1" applyFont="1" applyFill="1" applyBorder="1"/>
    <xf numFmtId="166" fontId="115" fillId="212" borderId="35" xfId="0" applyNumberFormat="1" applyFont="1" applyFill="1" applyBorder="1"/>
    <xf numFmtId="166" fontId="116" fillId="213" borderId="0" xfId="0" applyNumberFormat="1" applyFont="1" applyFill="1" applyBorder="1" applyProtection="1"/>
    <xf numFmtId="166" fontId="109" fillId="212" borderId="35" xfId="0" applyNumberFormat="1" applyFont="1" applyFill="1" applyBorder="1"/>
    <xf numFmtId="166" fontId="54" fillId="214" borderId="35" xfId="0" quotePrefix="1" applyNumberFormat="1" applyFont="1" applyFill="1" applyBorder="1" applyAlignment="1" applyProtection="1">
      <alignment horizontal="left"/>
    </xf>
    <xf numFmtId="21" fontId="85" fillId="212" borderId="35" xfId="0" quotePrefix="1" applyNumberFormat="1" applyFont="1" applyFill="1" applyBorder="1" applyAlignment="1">
      <alignment horizontal="center"/>
    </xf>
    <xf numFmtId="21" fontId="100" fillId="212" borderId="35" xfId="0" quotePrefix="1" applyNumberFormat="1" applyFont="1" applyFill="1" applyBorder="1" applyAlignment="1">
      <alignment horizontal="center"/>
    </xf>
    <xf numFmtId="21" fontId="8" fillId="212" borderId="35" xfId="0" quotePrefix="1" applyNumberFormat="1" applyFont="1" applyFill="1" applyBorder="1" applyAlignment="1">
      <alignment horizontal="center"/>
    </xf>
    <xf numFmtId="0" fontId="106" fillId="19" borderId="35" xfId="0" applyNumberFormat="1" applyFont="1" applyFill="1" applyBorder="1"/>
    <xf numFmtId="0" fontId="106" fillId="26" borderId="35" xfId="0" applyNumberFormat="1" applyFont="1" applyFill="1" applyBorder="1"/>
    <xf numFmtId="176" fontId="106" fillId="26" borderId="35" xfId="0" applyNumberFormat="1" applyFont="1" applyFill="1" applyBorder="1"/>
    <xf numFmtId="0" fontId="8" fillId="19" borderId="83" xfId="0" applyNumberFormat="1" applyFont="1" applyFill="1" applyBorder="1"/>
    <xf numFmtId="166" fontId="157" fillId="33" borderId="374" xfId="0" quotePrefix="1" applyNumberFormat="1" applyFont="1" applyFill="1" applyBorder="1" applyAlignment="1">
      <alignment horizontal="left"/>
    </xf>
    <xf numFmtId="0" fontId="100" fillId="19" borderId="461" xfId="0" applyFont="1" applyFill="1" applyBorder="1"/>
    <xf numFmtId="21" fontId="255" fillId="131" borderId="201" xfId="0" applyNumberFormat="1" applyFont="1" applyFill="1" applyBorder="1"/>
    <xf numFmtId="21" fontId="0" fillId="108" borderId="276" xfId="0" applyNumberFormat="1" applyFill="1" applyBorder="1"/>
    <xf numFmtId="0" fontId="10" fillId="108" borderId="276" xfId="0" applyFont="1" applyFill="1" applyBorder="1"/>
    <xf numFmtId="166" fontId="109" fillId="108" borderId="276" xfId="0" applyNumberFormat="1" applyFont="1" applyFill="1" applyBorder="1"/>
    <xf numFmtId="21" fontId="85" fillId="108" borderId="276" xfId="0" quotePrefix="1" applyNumberFormat="1" applyFont="1" applyFill="1" applyBorder="1" applyAlignment="1">
      <alignment horizontal="center"/>
    </xf>
    <xf numFmtId="0" fontId="86" fillId="108" borderId="276" xfId="0" applyFont="1" applyFill="1" applyBorder="1" applyAlignment="1">
      <alignment horizontal="center"/>
    </xf>
    <xf numFmtId="0" fontId="0" fillId="141" borderId="276" xfId="0" applyFill="1" applyBorder="1"/>
    <xf numFmtId="21" fontId="0" fillId="141" borderId="276" xfId="0" applyNumberFormat="1" applyFill="1" applyBorder="1"/>
    <xf numFmtId="176" fontId="10" fillId="141" borderId="276" xfId="0" applyNumberFormat="1" applyFont="1" applyFill="1" applyBorder="1"/>
    <xf numFmtId="21" fontId="85" fillId="141" borderId="276" xfId="0" quotePrefix="1" applyNumberFormat="1" applyFont="1" applyFill="1" applyBorder="1" applyAlignment="1">
      <alignment horizontal="center"/>
    </xf>
    <xf numFmtId="0" fontId="0" fillId="141" borderId="462" xfId="0" applyFill="1" applyBorder="1"/>
    <xf numFmtId="1" fontId="55" fillId="107" borderId="0" xfId="0" applyNumberFormat="1" applyFont="1" applyFill="1" applyProtection="1">
      <protection locked="0"/>
    </xf>
    <xf numFmtId="0" fontId="125" fillId="107" borderId="0" xfId="0" applyFont="1" applyFill="1"/>
    <xf numFmtId="1" fontId="125" fillId="107" borderId="0" xfId="0" applyNumberFormat="1" applyFont="1" applyFill="1"/>
    <xf numFmtId="1" fontId="19" fillId="91" borderId="111" xfId="0" applyNumberFormat="1" applyFont="1" applyFill="1" applyBorder="1"/>
    <xf numFmtId="0" fontId="216" fillId="91" borderId="111" xfId="0" applyFont="1" applyFill="1" applyBorder="1"/>
    <xf numFmtId="21" fontId="216" fillId="91" borderId="111" xfId="0" applyNumberFormat="1" applyFont="1" applyFill="1" applyBorder="1" applyAlignment="1">
      <alignment horizontal="center"/>
    </xf>
    <xf numFmtId="21" fontId="216" fillId="91" borderId="111" xfId="0" applyNumberFormat="1" applyFont="1" applyFill="1" applyBorder="1"/>
    <xf numFmtId="0" fontId="84" fillId="91" borderId="111" xfId="0" applyFont="1" applyFill="1" applyBorder="1" applyAlignment="1">
      <alignment horizontal="left"/>
    </xf>
    <xf numFmtId="166" fontId="152" fillId="91" borderId="35" xfId="0" applyNumberFormat="1" applyFont="1" applyFill="1" applyBorder="1"/>
    <xf numFmtId="0" fontId="84" fillId="91" borderId="35" xfId="0" quotePrefix="1" applyFont="1" applyFill="1" applyBorder="1" applyAlignment="1">
      <alignment horizontal="center"/>
    </xf>
    <xf numFmtId="0" fontId="152" fillId="91" borderId="35" xfId="0" applyFont="1" applyFill="1" applyBorder="1"/>
    <xf numFmtId="0" fontId="271" fillId="48" borderId="0" xfId="0" applyFont="1" applyFill="1" applyAlignment="1">
      <alignment horizontal="center"/>
    </xf>
    <xf numFmtId="0" fontId="10" fillId="108" borderId="330" xfId="0" applyFont="1" applyFill="1" applyBorder="1"/>
    <xf numFmtId="0" fontId="10" fillId="207" borderId="330" xfId="0" applyFont="1" applyFill="1" applyBorder="1"/>
    <xf numFmtId="0" fontId="10" fillId="207" borderId="253" xfId="0" applyFont="1" applyFill="1" applyBorder="1"/>
    <xf numFmtId="21" fontId="10" fillId="207" borderId="253" xfId="0" applyNumberFormat="1" applyFont="1" applyFill="1" applyBorder="1"/>
    <xf numFmtId="166" fontId="10" fillId="207" borderId="253" xfId="0" applyNumberFormat="1" applyFont="1" applyFill="1" applyBorder="1"/>
    <xf numFmtId="21" fontId="86" fillId="207" borderId="253" xfId="0" applyNumberFormat="1" applyFont="1" applyFill="1" applyBorder="1" applyAlignment="1">
      <alignment horizontal="center"/>
    </xf>
    <xf numFmtId="21" fontId="86" fillId="207" borderId="330" xfId="0" applyNumberFormat="1" applyFont="1" applyFill="1" applyBorder="1" applyAlignment="1">
      <alignment horizontal="center"/>
    </xf>
    <xf numFmtId="0" fontId="86" fillId="207" borderId="253" xfId="0" applyFont="1" applyFill="1" applyBorder="1" applyAlignment="1">
      <alignment horizontal="center"/>
    </xf>
    <xf numFmtId="0" fontId="10" fillId="207" borderId="332" xfId="0" applyFont="1" applyFill="1" applyBorder="1"/>
    <xf numFmtId="0" fontId="429" fillId="141" borderId="330" xfId="0" applyFont="1" applyFill="1" applyBorder="1"/>
    <xf numFmtId="0" fontId="430" fillId="215" borderId="468" xfId="0" applyFont="1" applyFill="1" applyBorder="1"/>
    <xf numFmtId="9" fontId="98" fillId="182" borderId="83" xfId="0" applyNumberFormat="1" applyFont="1" applyFill="1" applyBorder="1" applyProtection="1"/>
    <xf numFmtId="9" fontId="98" fillId="142" borderId="83" xfId="0" applyNumberFormat="1" applyFont="1" applyFill="1" applyBorder="1" applyProtection="1"/>
    <xf numFmtId="0" fontId="5" fillId="24" borderId="427" xfId="0" applyFont="1" applyFill="1" applyBorder="1" applyAlignment="1">
      <alignment horizontal="center"/>
    </xf>
    <xf numFmtId="1" fontId="81" fillId="14" borderId="457" xfId="0" applyNumberFormat="1" applyFont="1" applyFill="1" applyBorder="1"/>
    <xf numFmtId="0" fontId="86" fillId="108" borderId="457" xfId="0" applyFont="1" applyFill="1" applyBorder="1" applyAlignment="1">
      <alignment horizontal="center" wrapText="1"/>
    </xf>
    <xf numFmtId="1" fontId="19" fillId="20" borderId="383" xfId="0" applyNumberFormat="1" applyFont="1" applyFill="1" applyBorder="1"/>
    <xf numFmtId="1" fontId="81" fillId="21" borderId="374" xfId="0" applyNumberFormat="1" applyFont="1" applyFill="1" applyBorder="1"/>
    <xf numFmtId="0" fontId="289" fillId="119" borderId="469" xfId="0" applyFont="1" applyFill="1" applyBorder="1"/>
    <xf numFmtId="0" fontId="19" fillId="18" borderId="470" xfId="0" applyFont="1" applyFill="1" applyBorder="1"/>
    <xf numFmtId="0" fontId="19" fillId="18" borderId="471" xfId="0" applyFont="1" applyFill="1" applyBorder="1"/>
    <xf numFmtId="21" fontId="152" fillId="17" borderId="472" xfId="0" applyNumberFormat="1" applyFont="1" applyFill="1" applyBorder="1" applyAlignment="1">
      <alignment horizontal="center"/>
    </xf>
    <xf numFmtId="21" fontId="152" fillId="17" borderId="472" xfId="0" applyNumberFormat="1" applyFont="1" applyFill="1" applyBorder="1"/>
    <xf numFmtId="0" fontId="88" fillId="18" borderId="471" xfId="0" quotePrefix="1" applyFont="1" applyFill="1" applyBorder="1" applyAlignment="1">
      <alignment horizontal="left"/>
    </xf>
    <xf numFmtId="176" fontId="10" fillId="17" borderId="472" xfId="0" applyNumberFormat="1" applyFont="1" applyFill="1" applyBorder="1"/>
    <xf numFmtId="21" fontId="86" fillId="17" borderId="472" xfId="0" quotePrefix="1" applyNumberFormat="1" applyFont="1" applyFill="1" applyBorder="1" applyAlignment="1">
      <alignment horizontal="center"/>
    </xf>
    <xf numFmtId="0" fontId="19" fillId="18" borderId="471" xfId="0" applyFont="1" applyFill="1" applyBorder="1" applyAlignment="1">
      <alignment horizontal="center"/>
    </xf>
    <xf numFmtId="0" fontId="86" fillId="109" borderId="374" xfId="0" quotePrefix="1" applyFont="1" applyFill="1" applyBorder="1" applyAlignment="1">
      <alignment horizontal="center"/>
    </xf>
    <xf numFmtId="0" fontId="8" fillId="30" borderId="471" xfId="0" applyFont="1" applyFill="1" applyBorder="1"/>
    <xf numFmtId="21" fontId="106" fillId="29" borderId="472" xfId="0" applyNumberFormat="1" applyFont="1" applyFill="1" applyBorder="1"/>
    <xf numFmtId="21" fontId="81" fillId="14" borderId="472" xfId="0" applyNumberFormat="1" applyFont="1" applyFill="1" applyBorder="1"/>
    <xf numFmtId="1" fontId="81" fillId="21" borderId="473" xfId="0" applyNumberFormat="1" applyFont="1" applyFill="1" applyBorder="1"/>
    <xf numFmtId="0" fontId="8" fillId="30" borderId="474" xfId="0" applyFont="1" applyFill="1" applyBorder="1"/>
    <xf numFmtId="21" fontId="106" fillId="29" borderId="475" xfId="0" applyNumberFormat="1" applyFont="1" applyFill="1" applyBorder="1"/>
    <xf numFmtId="21" fontId="81" fillId="14" borderId="475" xfId="0" applyNumberFormat="1" applyFont="1" applyFill="1" applyBorder="1"/>
    <xf numFmtId="1" fontId="19" fillId="15" borderId="476" xfId="0" applyNumberFormat="1" applyFont="1" applyFill="1" applyBorder="1"/>
    <xf numFmtId="0" fontId="8" fillId="30" borderId="477" xfId="0" applyFont="1" applyFill="1" applyBorder="1"/>
    <xf numFmtId="21" fontId="106" fillId="29" borderId="478" xfId="0" applyNumberFormat="1" applyFont="1" applyFill="1" applyBorder="1"/>
    <xf numFmtId="21" fontId="81" fillId="14" borderId="478" xfId="0" applyNumberFormat="1" applyFont="1" applyFill="1" applyBorder="1"/>
    <xf numFmtId="1" fontId="81" fillId="21" borderId="478" xfId="0" applyNumberFormat="1" applyFont="1" applyFill="1" applyBorder="1"/>
    <xf numFmtId="0" fontId="19" fillId="21" borderId="478" xfId="0" applyFont="1" applyFill="1" applyBorder="1"/>
    <xf numFmtId="21" fontId="81" fillId="21" borderId="478" xfId="0" applyNumberFormat="1" applyFont="1" applyFill="1" applyBorder="1" applyAlignment="1">
      <alignment horizontal="center"/>
    </xf>
    <xf numFmtId="21" fontId="81" fillId="21" borderId="478" xfId="0" applyNumberFormat="1" applyFont="1" applyFill="1" applyBorder="1"/>
    <xf numFmtId="0" fontId="10" fillId="21" borderId="478" xfId="0" applyFont="1" applyFill="1" applyBorder="1"/>
    <xf numFmtId="166" fontId="19" fillId="21" borderId="478" xfId="0" applyNumberFormat="1" applyFont="1" applyFill="1" applyBorder="1"/>
    <xf numFmtId="21" fontId="86" fillId="14" borderId="478" xfId="0" quotePrefix="1" applyNumberFormat="1" applyFont="1" applyFill="1" applyBorder="1" applyAlignment="1">
      <alignment horizontal="center"/>
    </xf>
    <xf numFmtId="21" fontId="86" fillId="21" borderId="478" xfId="0" quotePrefix="1" applyNumberFormat="1" applyFont="1" applyFill="1" applyBorder="1" applyAlignment="1">
      <alignment horizontal="center"/>
    </xf>
    <xf numFmtId="1" fontId="86" fillId="21" borderId="478" xfId="0" applyNumberFormat="1" applyFont="1" applyFill="1" applyBorder="1" applyAlignment="1">
      <alignment horizontal="center"/>
    </xf>
    <xf numFmtId="0" fontId="19" fillId="21" borderId="479" xfId="0" applyFont="1" applyFill="1" applyBorder="1"/>
    <xf numFmtId="0" fontId="19" fillId="18" borderId="480" xfId="0" applyFont="1" applyFill="1" applyBorder="1"/>
    <xf numFmtId="0" fontId="19" fillId="18" borderId="481" xfId="0" applyFont="1" applyFill="1" applyBorder="1"/>
    <xf numFmtId="21" fontId="152" fillId="17" borderId="482" xfId="0" applyNumberFormat="1" applyFont="1" applyFill="1" applyBorder="1" applyAlignment="1">
      <alignment horizontal="center"/>
    </xf>
    <xf numFmtId="21" fontId="152" fillId="17" borderId="482" xfId="0" applyNumberFormat="1" applyFont="1" applyFill="1" applyBorder="1"/>
    <xf numFmtId="0" fontId="88" fillId="18" borderId="481" xfId="0" quotePrefix="1" applyFont="1" applyFill="1" applyBorder="1" applyAlignment="1">
      <alignment horizontal="left"/>
    </xf>
    <xf numFmtId="176" fontId="10" fillId="17" borderId="482" xfId="0" applyNumberFormat="1" applyFont="1" applyFill="1" applyBorder="1"/>
    <xf numFmtId="21" fontId="86" fillId="17" borderId="482" xfId="0" quotePrefix="1" applyNumberFormat="1" applyFont="1" applyFill="1" applyBorder="1" applyAlignment="1">
      <alignment horizontal="center"/>
    </xf>
    <xf numFmtId="0" fontId="19" fillId="18" borderId="481" xfId="0" applyFont="1" applyFill="1" applyBorder="1" applyAlignment="1">
      <alignment horizontal="center"/>
    </xf>
    <xf numFmtId="0" fontId="5" fillId="24" borderId="483" xfId="0" applyFont="1" applyFill="1" applyBorder="1" applyAlignment="1">
      <alignment horizontal="center"/>
    </xf>
    <xf numFmtId="21" fontId="81" fillId="14" borderId="482" xfId="0" applyNumberFormat="1" applyFont="1" applyFill="1" applyBorder="1"/>
    <xf numFmtId="21" fontId="86" fillId="14" borderId="482" xfId="0" applyNumberFormat="1" applyFont="1" applyFill="1" applyBorder="1"/>
    <xf numFmtId="1" fontId="187" fillId="14" borderId="478" xfId="0" applyNumberFormat="1" applyFont="1" applyFill="1" applyBorder="1"/>
    <xf numFmtId="0" fontId="86" fillId="14" borderId="478" xfId="0" applyFont="1" applyFill="1" applyBorder="1"/>
    <xf numFmtId="1" fontId="86" fillId="14" borderId="478" xfId="0" applyNumberFormat="1" applyFont="1" applyFill="1" applyBorder="1" applyAlignment="1">
      <alignment horizontal="center"/>
    </xf>
    <xf numFmtId="1" fontId="171" fillId="19" borderId="478" xfId="0" applyNumberFormat="1" applyFont="1" applyFill="1" applyBorder="1"/>
    <xf numFmtId="0" fontId="106" fillId="19" borderId="478" xfId="0" quotePrefix="1" applyFont="1" applyFill="1" applyBorder="1" applyAlignment="1">
      <alignment horizontal="left"/>
    </xf>
    <xf numFmtId="0" fontId="160" fillId="19" borderId="478" xfId="0" quotePrefix="1" applyFont="1" applyFill="1" applyBorder="1" applyAlignment="1">
      <alignment horizontal="left"/>
    </xf>
    <xf numFmtId="1" fontId="187" fillId="21" borderId="484" xfId="0" applyNumberFormat="1" applyFont="1" applyFill="1" applyBorder="1"/>
    <xf numFmtId="0" fontId="10" fillId="21" borderId="482" xfId="0" applyFont="1" applyFill="1" applyBorder="1"/>
    <xf numFmtId="1" fontId="86" fillId="21" borderId="482" xfId="0" applyNumberFormat="1" applyFont="1" applyFill="1" applyBorder="1" applyAlignment="1">
      <alignment horizontal="center"/>
    </xf>
    <xf numFmtId="177" fontId="10" fillId="0" borderId="482" xfId="0" applyNumberFormat="1" applyFont="1" applyBorder="1"/>
    <xf numFmtId="177" fontId="10" fillId="47" borderId="482" xfId="0" applyNumberFormat="1" applyFont="1" applyFill="1" applyBorder="1"/>
    <xf numFmtId="0" fontId="86" fillId="21" borderId="482" xfId="0" quotePrefix="1" applyFont="1" applyFill="1" applyBorder="1" applyAlignment="1">
      <alignment horizontal="center"/>
    </xf>
    <xf numFmtId="1" fontId="171" fillId="19" borderId="482" xfId="0" applyNumberFormat="1" applyFont="1" applyFill="1" applyBorder="1"/>
    <xf numFmtId="0" fontId="106" fillId="19" borderId="482" xfId="0" quotePrefix="1" applyFont="1" applyFill="1" applyBorder="1" applyAlignment="1">
      <alignment horizontal="left"/>
    </xf>
    <xf numFmtId="0" fontId="5" fillId="0" borderId="485" xfId="0" applyFont="1" applyBorder="1" applyAlignment="1">
      <alignment horizontal="center" textRotation="90"/>
    </xf>
    <xf numFmtId="0" fontId="5" fillId="0" borderId="486" xfId="0" applyFont="1" applyBorder="1" applyAlignment="1">
      <alignment horizontal="center" textRotation="90"/>
    </xf>
    <xf numFmtId="1" fontId="171" fillId="3" borderId="428" xfId="0" applyNumberFormat="1" applyFont="1" applyFill="1" applyBorder="1"/>
    <xf numFmtId="1" fontId="187" fillId="14" borderId="482" xfId="0" applyNumberFormat="1" applyFont="1" applyFill="1" applyBorder="1"/>
    <xf numFmtId="1" fontId="86" fillId="14" borderId="482" xfId="0" applyNumberFormat="1" applyFont="1" applyFill="1" applyBorder="1" applyAlignment="1">
      <alignment horizontal="center"/>
    </xf>
    <xf numFmtId="1" fontId="81" fillId="21" borderId="484" xfId="0" applyNumberFormat="1" applyFont="1" applyFill="1" applyBorder="1"/>
    <xf numFmtId="0" fontId="19" fillId="21" borderId="484" xfId="0" applyFont="1" applyFill="1" applyBorder="1"/>
    <xf numFmtId="21" fontId="81" fillId="21" borderId="484" xfId="0" applyNumberFormat="1" applyFont="1" applyFill="1" applyBorder="1"/>
    <xf numFmtId="0" fontId="10" fillId="21" borderId="484" xfId="0" applyFont="1" applyFill="1" applyBorder="1"/>
    <xf numFmtId="166" fontId="19" fillId="21" borderId="484" xfId="0" applyNumberFormat="1" applyFont="1" applyFill="1" applyBorder="1"/>
    <xf numFmtId="21" fontId="86" fillId="14" borderId="484" xfId="0" applyNumberFormat="1" applyFont="1" applyFill="1" applyBorder="1" applyAlignment="1">
      <alignment horizontal="center"/>
    </xf>
    <xf numFmtId="21" fontId="86" fillId="21" borderId="484" xfId="0" applyNumberFormat="1" applyFont="1" applyFill="1" applyBorder="1" applyAlignment="1">
      <alignment horizontal="center"/>
    </xf>
    <xf numFmtId="1" fontId="86" fillId="21" borderId="484" xfId="0" applyNumberFormat="1" applyFont="1" applyFill="1" applyBorder="1" applyAlignment="1">
      <alignment horizontal="center"/>
    </xf>
    <xf numFmtId="1" fontId="19" fillId="16" borderId="484" xfId="0" applyNumberFormat="1" applyFont="1" applyFill="1" applyBorder="1"/>
    <xf numFmtId="0" fontId="152" fillId="16" borderId="484" xfId="0" applyFont="1" applyFill="1" applyBorder="1"/>
    <xf numFmtId="21" fontId="152" fillId="16" borderId="484" xfId="0" applyNumberFormat="1" applyFont="1" applyFill="1" applyBorder="1" applyAlignment="1">
      <alignment horizontal="center"/>
    </xf>
    <xf numFmtId="21" fontId="152" fillId="16" borderId="484" xfId="0" applyNumberFormat="1" applyFont="1" applyFill="1" applyBorder="1"/>
    <xf numFmtId="0" fontId="84" fillId="16" borderId="484" xfId="0" applyFont="1" applyFill="1" applyBorder="1" applyAlignment="1">
      <alignment horizontal="left"/>
    </xf>
    <xf numFmtId="166" fontId="152" fillId="16" borderId="482" xfId="0" applyNumberFormat="1" applyFont="1" applyFill="1" applyBorder="1"/>
    <xf numFmtId="21" fontId="152" fillId="16" borderId="482" xfId="0" applyNumberFormat="1" applyFont="1" applyFill="1" applyBorder="1"/>
    <xf numFmtId="21" fontId="86" fillId="14" borderId="482" xfId="0" quotePrefix="1" applyNumberFormat="1" applyFont="1" applyFill="1" applyBorder="1" applyAlignment="1">
      <alignment horizontal="center"/>
    </xf>
    <xf numFmtId="21" fontId="86" fillId="20" borderId="482" xfId="0" quotePrefix="1" applyNumberFormat="1" applyFont="1" applyFill="1" applyBorder="1" applyAlignment="1">
      <alignment horizontal="center"/>
    </xf>
    <xf numFmtId="0" fontId="84" fillId="16" borderId="482" xfId="0" quotePrefix="1" applyFont="1" applyFill="1" applyBorder="1" applyAlignment="1">
      <alignment horizontal="center"/>
    </xf>
    <xf numFmtId="0" fontId="152" fillId="16" borderId="482" xfId="0" applyFont="1" applyFill="1" applyBorder="1"/>
    <xf numFmtId="166" fontId="19" fillId="21" borderId="482" xfId="0" applyNumberFormat="1" applyFont="1" applyFill="1" applyBorder="1"/>
    <xf numFmtId="21" fontId="81" fillId="21" borderId="482" xfId="0" applyNumberFormat="1" applyFont="1" applyFill="1" applyBorder="1"/>
    <xf numFmtId="21" fontId="86" fillId="21" borderId="482" xfId="0" quotePrefix="1" applyNumberFormat="1" applyFont="1" applyFill="1" applyBorder="1" applyAlignment="1">
      <alignment horizontal="center"/>
    </xf>
    <xf numFmtId="21" fontId="106" fillId="29" borderId="482" xfId="0" applyNumberFormat="1" applyFont="1" applyFill="1" applyBorder="1"/>
    <xf numFmtId="166" fontId="10" fillId="21" borderId="482" xfId="0" applyNumberFormat="1" applyFont="1" applyFill="1" applyBorder="1"/>
    <xf numFmtId="21" fontId="86" fillId="21" borderId="482" xfId="0" applyNumberFormat="1" applyFont="1" applyFill="1" applyBorder="1"/>
    <xf numFmtId="21" fontId="152" fillId="17" borderId="440" xfId="0" applyNumberFormat="1" applyFont="1" applyFill="1" applyBorder="1" applyAlignment="1">
      <alignment horizontal="center"/>
    </xf>
    <xf numFmtId="176" fontId="10" fillId="17" borderId="440" xfId="0" applyNumberFormat="1" applyFont="1" applyFill="1" applyBorder="1"/>
    <xf numFmtId="21" fontId="86" fillId="14" borderId="440" xfId="0" applyNumberFormat="1" applyFont="1" applyFill="1" applyBorder="1"/>
    <xf numFmtId="21" fontId="81" fillId="14" borderId="484" xfId="0" applyNumberFormat="1" applyFont="1" applyFill="1" applyBorder="1"/>
    <xf numFmtId="0" fontId="19" fillId="40" borderId="482" xfId="0" applyFont="1" applyFill="1" applyBorder="1"/>
    <xf numFmtId="21" fontId="87" fillId="50" borderId="484" xfId="0" applyNumberFormat="1" applyFont="1" applyFill="1" applyBorder="1"/>
    <xf numFmtId="0" fontId="152" fillId="50" borderId="482" xfId="0" quotePrefix="1" applyFont="1" applyFill="1" applyBorder="1" applyAlignment="1">
      <alignment horizontal="left"/>
    </xf>
    <xf numFmtId="0" fontId="131" fillId="80" borderId="482" xfId="0" applyFont="1" applyFill="1" applyBorder="1" applyAlignment="1">
      <alignment horizontal="center"/>
    </xf>
    <xf numFmtId="0" fontId="19" fillId="21" borderId="482" xfId="0" applyFont="1" applyFill="1" applyBorder="1"/>
    <xf numFmtId="21" fontId="81" fillId="34" borderId="484" xfId="0" applyNumberFormat="1" applyFont="1" applyFill="1" applyBorder="1"/>
    <xf numFmtId="0" fontId="19" fillId="34" borderId="482" xfId="0" quotePrefix="1" applyFont="1" applyFill="1" applyBorder="1" applyAlignment="1">
      <alignment horizontal="left"/>
    </xf>
    <xf numFmtId="21" fontId="81" fillId="19" borderId="484" xfId="0" applyNumberFormat="1" applyFont="1" applyFill="1" applyBorder="1"/>
    <xf numFmtId="0" fontId="19" fillId="19" borderId="482" xfId="0" applyFont="1" applyFill="1" applyBorder="1"/>
    <xf numFmtId="0" fontId="19" fillId="14" borderId="482" xfId="0" applyFont="1" applyFill="1" applyBorder="1"/>
    <xf numFmtId="0" fontId="131" fillId="56" borderId="427" xfId="0" applyFont="1" applyFill="1" applyBorder="1" applyAlignment="1">
      <alignment horizontal="center"/>
    </xf>
    <xf numFmtId="0" fontId="131" fillId="56" borderId="429" xfId="0" applyFont="1" applyFill="1" applyBorder="1" applyAlignment="1">
      <alignment horizontal="center"/>
    </xf>
    <xf numFmtId="0" fontId="2" fillId="0" borderId="428" xfId="0" applyFont="1" applyBorder="1"/>
    <xf numFmtId="14" fontId="10" fillId="0" borderId="428" xfId="0" applyNumberFormat="1" applyFont="1" applyBorder="1"/>
    <xf numFmtId="21" fontId="2" fillId="49" borderId="484" xfId="0" applyNumberFormat="1" applyFont="1" applyFill="1" applyBorder="1"/>
    <xf numFmtId="21" fontId="82" fillId="49" borderId="484" xfId="0" applyNumberFormat="1" applyFont="1" applyFill="1" applyBorder="1"/>
    <xf numFmtId="0" fontId="81" fillId="28" borderId="482" xfId="0" applyFont="1" applyFill="1" applyBorder="1" applyAlignment="1">
      <alignment horizontal="left"/>
    </xf>
    <xf numFmtId="0" fontId="19" fillId="28" borderId="482" xfId="0" applyFont="1" applyFill="1" applyBorder="1" applyAlignment="1">
      <alignment horizontal="left"/>
    </xf>
    <xf numFmtId="21" fontId="87" fillId="52" borderId="484" xfId="0" applyNumberFormat="1" applyFont="1" applyFill="1" applyBorder="1"/>
    <xf numFmtId="21" fontId="146" fillId="53" borderId="484" xfId="0" applyNumberFormat="1" applyFont="1" applyFill="1" applyBorder="1"/>
    <xf numFmtId="21" fontId="2" fillId="14" borderId="484" xfId="0" applyNumberFormat="1" applyFont="1" applyFill="1" applyBorder="1"/>
    <xf numFmtId="0" fontId="19" fillId="14" borderId="482" xfId="0" applyFont="1" applyFill="1" applyBorder="1" applyAlignment="1">
      <alignment horizontal="left"/>
    </xf>
    <xf numFmtId="0" fontId="81" fillId="28" borderId="482" xfId="0" applyFont="1" applyFill="1" applyBorder="1"/>
    <xf numFmtId="21" fontId="2" fillId="19" borderId="484" xfId="0" applyNumberFormat="1" applyFont="1" applyFill="1" applyBorder="1"/>
    <xf numFmtId="0" fontId="152" fillId="50" borderId="482" xfId="0" applyFont="1" applyFill="1" applyBorder="1"/>
    <xf numFmtId="0" fontId="131" fillId="13" borderId="431" xfId="0" applyFont="1" applyFill="1" applyBorder="1" applyAlignment="1">
      <alignment horizontal="center"/>
    </xf>
    <xf numFmtId="0" fontId="19" fillId="91" borderId="482" xfId="0" applyFont="1" applyFill="1" applyBorder="1" applyAlignment="1">
      <alignment horizontal="center" wrapText="1"/>
    </xf>
    <xf numFmtId="0" fontId="19" fillId="141" borderId="482" xfId="0" applyFont="1" applyFill="1" applyBorder="1"/>
    <xf numFmtId="0" fontId="10" fillId="14" borderId="0" xfId="0" applyFont="1" applyFill="1"/>
    <xf numFmtId="0" fontId="9" fillId="0" borderId="97" xfId="0" applyFont="1" applyBorder="1" applyAlignment="1">
      <alignment horizontal="center"/>
    </xf>
    <xf numFmtId="0" fontId="19" fillId="91" borderId="482" xfId="0" applyFont="1" applyFill="1" applyBorder="1"/>
    <xf numFmtId="0" fontId="106" fillId="19" borderId="482" xfId="0" applyFont="1" applyFill="1" applyBorder="1"/>
    <xf numFmtId="21" fontId="106" fillId="19" borderId="482" xfId="0" applyNumberFormat="1" applyFont="1" applyFill="1" applyBorder="1"/>
    <xf numFmtId="173" fontId="366" fillId="122" borderId="482" xfId="0" quotePrefix="1" applyNumberFormat="1" applyFont="1" applyFill="1" applyBorder="1" applyAlignment="1">
      <alignment horizontal="center"/>
    </xf>
    <xf numFmtId="166" fontId="160" fillId="19" borderId="482" xfId="0" applyNumberFormat="1" applyFont="1" applyFill="1" applyBorder="1"/>
    <xf numFmtId="173" fontId="106" fillId="19" borderId="482" xfId="0" quotePrefix="1" applyNumberFormat="1" applyFont="1" applyFill="1" applyBorder="1" applyAlignment="1">
      <alignment horizontal="center"/>
    </xf>
    <xf numFmtId="21" fontId="106" fillId="19" borderId="482" xfId="0" quotePrefix="1" applyNumberFormat="1" applyFont="1" applyFill="1" applyBorder="1" applyAlignment="1">
      <alignment horizontal="center"/>
    </xf>
    <xf numFmtId="0" fontId="106" fillId="19" borderId="482" xfId="0" quotePrefix="1" applyFont="1" applyFill="1" applyBorder="1" applyAlignment="1">
      <alignment horizontal="center"/>
    </xf>
    <xf numFmtId="0" fontId="160" fillId="19" borderId="482" xfId="0" applyFont="1" applyFill="1" applyBorder="1"/>
    <xf numFmtId="1" fontId="19" fillId="19" borderId="0" xfId="0" applyNumberFormat="1" applyFont="1" applyFill="1"/>
    <xf numFmtId="0" fontId="9" fillId="107" borderId="427" xfId="0" applyFont="1" applyFill="1" applyBorder="1" applyAlignment="1">
      <alignment horizontal="center"/>
    </xf>
    <xf numFmtId="0" fontId="9" fillId="94" borderId="12" xfId="0" applyFont="1" applyFill="1" applyBorder="1" applyAlignment="1">
      <alignment horizontal="center"/>
    </xf>
    <xf numFmtId="0" fontId="9" fillId="107" borderId="12" xfId="0" applyFont="1" applyFill="1" applyBorder="1" applyAlignment="1">
      <alignment horizontal="center"/>
    </xf>
    <xf numFmtId="0" fontId="9" fillId="0" borderId="150" xfId="0" applyFont="1" applyBorder="1" applyAlignment="1">
      <alignment horizontal="center"/>
    </xf>
    <xf numFmtId="173" fontId="329" fillId="122" borderId="482" xfId="0" quotePrefix="1" applyNumberFormat="1" applyFont="1" applyFill="1" applyBorder="1" applyAlignment="1">
      <alignment horizontal="center"/>
    </xf>
    <xf numFmtId="0" fontId="19" fillId="14" borderId="0" xfId="0" applyFont="1" applyFill="1" applyBorder="1"/>
    <xf numFmtId="0" fontId="9" fillId="80" borderId="97" xfId="0" applyFont="1" applyFill="1" applyBorder="1" applyAlignment="1">
      <alignment horizontal="center"/>
    </xf>
    <xf numFmtId="0" fontId="19" fillId="14" borderId="457" xfId="0" applyFont="1" applyFill="1" applyBorder="1"/>
    <xf numFmtId="21" fontId="81" fillId="0" borderId="457" xfId="0" applyNumberFormat="1" applyFont="1" applyBorder="1"/>
    <xf numFmtId="21" fontId="106" fillId="29" borderId="374" xfId="0" applyNumberFormat="1" applyFont="1" applyFill="1" applyBorder="1" applyAlignment="1">
      <alignment horizontal="center"/>
    </xf>
    <xf numFmtId="0" fontId="8" fillId="30" borderId="390" xfId="0" applyFont="1" applyFill="1" applyBorder="1" applyAlignment="1">
      <alignment horizontal="center"/>
    </xf>
    <xf numFmtId="0" fontId="106" fillId="19" borderId="374" xfId="0" applyFont="1" applyFill="1" applyBorder="1"/>
    <xf numFmtId="21" fontId="194" fillId="19" borderId="374" xfId="0" applyNumberFormat="1" applyFont="1" applyFill="1" applyBorder="1"/>
    <xf numFmtId="21" fontId="106" fillId="19" borderId="374" xfId="0" applyNumberFormat="1" applyFont="1" applyFill="1" applyBorder="1"/>
    <xf numFmtId="166" fontId="194" fillId="19" borderId="374" xfId="0" applyNumberFormat="1" applyFont="1" applyFill="1" applyBorder="1"/>
    <xf numFmtId="21" fontId="189" fillId="14" borderId="374" xfId="0" applyNumberFormat="1" applyFont="1" applyFill="1" applyBorder="1"/>
    <xf numFmtId="0" fontId="106" fillId="19" borderId="461" xfId="0" applyFont="1" applyFill="1" applyBorder="1"/>
    <xf numFmtId="21" fontId="81" fillId="109" borderId="374" xfId="0" applyNumberFormat="1" applyFont="1" applyFill="1" applyBorder="1"/>
    <xf numFmtId="0" fontId="19" fillId="109" borderId="394" xfId="0" applyFont="1" applyFill="1" applyBorder="1"/>
    <xf numFmtId="21" fontId="106" fillId="29" borderId="472" xfId="0" applyNumberFormat="1" applyFont="1" applyFill="1" applyBorder="1" applyAlignment="1">
      <alignment horizontal="center"/>
    </xf>
    <xf numFmtId="21" fontId="106" fillId="29" borderId="472" xfId="0" quotePrefix="1" applyNumberFormat="1" applyFont="1" applyFill="1" applyBorder="1" applyAlignment="1">
      <alignment horizontal="center"/>
    </xf>
    <xf numFmtId="0" fontId="8" fillId="30" borderId="471" xfId="0" applyFont="1" applyFill="1" applyBorder="1" applyAlignment="1">
      <alignment horizontal="center"/>
    </xf>
    <xf numFmtId="21" fontId="106" fillId="29" borderId="475" xfId="0" applyNumberFormat="1" applyFont="1" applyFill="1" applyBorder="1" applyAlignment="1">
      <alignment horizontal="center"/>
    </xf>
    <xf numFmtId="21" fontId="106" fillId="29" borderId="475" xfId="0" quotePrefix="1" applyNumberFormat="1" applyFont="1" applyFill="1" applyBorder="1" applyAlignment="1">
      <alignment horizontal="center"/>
    </xf>
    <xf numFmtId="0" fontId="8" fillId="30" borderId="474" xfId="0" applyFont="1" applyFill="1" applyBorder="1" applyAlignment="1">
      <alignment horizontal="center"/>
    </xf>
    <xf numFmtId="21" fontId="106" fillId="29" borderId="478" xfId="0" applyNumberFormat="1" applyFont="1" applyFill="1" applyBorder="1" applyAlignment="1">
      <alignment horizontal="center"/>
    </xf>
    <xf numFmtId="21" fontId="106" fillId="29" borderId="478" xfId="0" quotePrefix="1" applyNumberFormat="1" applyFont="1" applyFill="1" applyBorder="1" applyAlignment="1">
      <alignment horizontal="center"/>
    </xf>
    <xf numFmtId="0" fontId="8" fillId="30" borderId="477" xfId="0" applyFont="1" applyFill="1" applyBorder="1" applyAlignment="1">
      <alignment horizontal="center"/>
    </xf>
    <xf numFmtId="0" fontId="19" fillId="14" borderId="478" xfId="0" applyFont="1" applyFill="1" applyBorder="1"/>
    <xf numFmtId="21" fontId="187" fillId="14" borderId="478" xfId="0" applyNumberFormat="1" applyFont="1" applyFill="1" applyBorder="1"/>
    <xf numFmtId="166" fontId="187" fillId="14" borderId="478" xfId="0" applyNumberFormat="1" applyFont="1" applyFill="1" applyBorder="1"/>
    <xf numFmtId="0" fontId="19" fillId="14" borderId="479" xfId="0" applyFont="1" applyFill="1" applyBorder="1"/>
    <xf numFmtId="0" fontId="160" fillId="19" borderId="478" xfId="0" applyFont="1" applyFill="1" applyBorder="1"/>
    <xf numFmtId="21" fontId="243" fillId="19" borderId="478" xfId="0" applyNumberFormat="1" applyFont="1" applyFill="1" applyBorder="1"/>
    <xf numFmtId="21" fontId="160" fillId="19" borderId="478" xfId="0" applyNumberFormat="1" applyFont="1" applyFill="1" applyBorder="1"/>
    <xf numFmtId="166" fontId="243" fillId="19" borderId="478" xfId="0" applyNumberFormat="1" applyFont="1" applyFill="1" applyBorder="1"/>
    <xf numFmtId="21" fontId="106" fillId="19" borderId="478" xfId="0" quotePrefix="1" applyNumberFormat="1" applyFont="1" applyFill="1" applyBorder="1" applyAlignment="1">
      <alignment horizontal="center"/>
    </xf>
    <xf numFmtId="0" fontId="160" fillId="19" borderId="461" xfId="0" applyFont="1" applyFill="1" applyBorder="1"/>
    <xf numFmtId="21" fontId="152" fillId="17" borderId="478" xfId="0" applyNumberFormat="1" applyFont="1" applyFill="1" applyBorder="1"/>
    <xf numFmtId="21" fontId="86" fillId="17" borderId="478" xfId="0" quotePrefix="1" applyNumberFormat="1" applyFont="1" applyFill="1" applyBorder="1" applyAlignment="1">
      <alignment horizontal="center"/>
    </xf>
    <xf numFmtId="21" fontId="187" fillId="21" borderId="482" xfId="0" applyNumberFormat="1" applyFont="1" applyFill="1" applyBorder="1"/>
    <xf numFmtId="166" fontId="382" fillId="21" borderId="482" xfId="0" applyNumberFormat="1" applyFont="1" applyFill="1" applyBorder="1"/>
    <xf numFmtId="21" fontId="187" fillId="14" borderId="482" xfId="0" applyNumberFormat="1" applyFont="1" applyFill="1" applyBorder="1"/>
    <xf numFmtId="0" fontId="19" fillId="14" borderId="386" xfId="0" applyFont="1" applyFill="1" applyBorder="1"/>
    <xf numFmtId="21" fontId="187" fillId="14" borderId="386" xfId="0" applyNumberFormat="1" applyFont="1" applyFill="1" applyBorder="1"/>
    <xf numFmtId="21" fontId="81" fillId="14" borderId="386" xfId="0" applyNumberFormat="1" applyFont="1" applyFill="1" applyBorder="1"/>
    <xf numFmtId="166" fontId="187" fillId="14" borderId="386" xfId="0" applyNumberFormat="1" applyFont="1" applyFill="1" applyBorder="1"/>
    <xf numFmtId="21" fontId="86" fillId="14" borderId="386" xfId="0" quotePrefix="1" applyNumberFormat="1" applyFont="1" applyFill="1" applyBorder="1" applyAlignment="1">
      <alignment horizontal="center"/>
    </xf>
    <xf numFmtId="0" fontId="19" fillId="14" borderId="387" xfId="0" applyFont="1" applyFill="1" applyBorder="1"/>
    <xf numFmtId="166" fontId="191" fillId="3" borderId="79" xfId="0" applyNumberFormat="1" applyFont="1" applyFill="1" applyBorder="1" applyAlignment="1" applyProtection="1">
      <alignment horizontal="center"/>
      <protection locked="0"/>
    </xf>
    <xf numFmtId="21" fontId="199" fillId="14" borderId="147" xfId="0" applyNumberFormat="1" applyFont="1" applyFill="1" applyBorder="1"/>
    <xf numFmtId="21" fontId="194" fillId="19" borderId="482" xfId="0" applyNumberFormat="1" applyFont="1" applyFill="1" applyBorder="1"/>
    <xf numFmtId="166" fontId="194" fillId="19" borderId="482" xfId="0" applyNumberFormat="1" applyFont="1" applyFill="1" applyBorder="1"/>
    <xf numFmtId="21" fontId="189" fillId="14" borderId="482" xfId="0" applyNumberFormat="1" applyFont="1" applyFill="1" applyBorder="1"/>
    <xf numFmtId="0" fontId="19" fillId="3" borderId="428" xfId="0" applyFont="1" applyFill="1" applyBorder="1"/>
    <xf numFmtId="0" fontId="382" fillId="3" borderId="428" xfId="0" applyFont="1" applyFill="1" applyBorder="1"/>
    <xf numFmtId="0" fontId="19" fillId="54" borderId="428" xfId="0" applyFont="1" applyFill="1" applyBorder="1" applyAlignment="1">
      <alignment horizontal="center"/>
    </xf>
    <xf numFmtId="46" fontId="19" fillId="3" borderId="428" xfId="0" applyNumberFormat="1" applyFont="1" applyFill="1" applyBorder="1"/>
    <xf numFmtId="0" fontId="19" fillId="3" borderId="429" xfId="0" applyFont="1" applyFill="1" applyBorder="1"/>
    <xf numFmtId="0" fontId="19" fillId="21" borderId="32" xfId="0" applyFont="1" applyFill="1" applyBorder="1"/>
    <xf numFmtId="21" fontId="187" fillId="21" borderId="32" xfId="0" applyNumberFormat="1" applyFont="1" applyFill="1" applyBorder="1"/>
    <xf numFmtId="166" fontId="382" fillId="21" borderId="32" xfId="0" applyNumberFormat="1" applyFont="1" applyFill="1" applyBorder="1"/>
    <xf numFmtId="21" fontId="86" fillId="21" borderId="32" xfId="0" quotePrefix="1" applyNumberFormat="1" applyFont="1" applyFill="1" applyBorder="1" applyAlignment="1">
      <alignment horizontal="center"/>
    </xf>
    <xf numFmtId="0" fontId="19" fillId="21" borderId="33" xfId="0" applyFont="1" applyFill="1" applyBorder="1"/>
    <xf numFmtId="166" fontId="187" fillId="14" borderId="482" xfId="0" applyNumberFormat="1" applyFont="1" applyFill="1" applyBorder="1"/>
    <xf numFmtId="0" fontId="19" fillId="14" borderId="394" xfId="0" applyFont="1" applyFill="1" applyBorder="1"/>
    <xf numFmtId="166" fontId="176" fillId="3" borderId="79" xfId="0" applyNumberFormat="1" applyFont="1" applyFill="1" applyBorder="1" applyAlignment="1" applyProtection="1">
      <alignment horizontal="center"/>
      <protection locked="0"/>
    </xf>
    <xf numFmtId="21" fontId="199" fillId="14" borderId="386" xfId="0" applyNumberFormat="1" applyFont="1" applyFill="1" applyBorder="1"/>
    <xf numFmtId="21" fontId="199" fillId="14" borderId="79" xfId="0" applyNumberFormat="1" applyFont="1" applyFill="1" applyBorder="1"/>
    <xf numFmtId="21" fontId="106" fillId="29" borderId="482" xfId="0" applyNumberFormat="1" applyFont="1" applyFill="1" applyBorder="1" applyAlignment="1">
      <alignment horizontal="center"/>
    </xf>
    <xf numFmtId="21" fontId="106" fillId="29" borderId="482" xfId="0" quotePrefix="1" applyNumberFormat="1" applyFont="1" applyFill="1" applyBorder="1" applyAlignment="1">
      <alignment horizontal="center"/>
    </xf>
    <xf numFmtId="21" fontId="81" fillId="40" borderId="482" xfId="0" applyNumberFormat="1" applyFont="1" applyFill="1" applyBorder="1"/>
    <xf numFmtId="0" fontId="86" fillId="40" borderId="482" xfId="0" applyFont="1" applyFill="1" applyBorder="1" applyAlignment="1">
      <alignment horizontal="left"/>
    </xf>
    <xf numFmtId="0" fontId="19" fillId="40" borderId="394" xfId="0" applyFont="1" applyFill="1" applyBorder="1"/>
    <xf numFmtId="21" fontId="152" fillId="50" borderId="482" xfId="0" applyNumberFormat="1" applyFont="1" applyFill="1" applyBorder="1"/>
    <xf numFmtId="0" fontId="84" fillId="50" borderId="482" xfId="0" quotePrefix="1" applyFont="1" applyFill="1" applyBorder="1" applyAlignment="1">
      <alignment horizontal="left"/>
    </xf>
    <xf numFmtId="0" fontId="152" fillId="50" borderId="394" xfId="0" applyFont="1" applyFill="1" applyBorder="1"/>
    <xf numFmtId="0" fontId="86" fillId="21" borderId="482" xfId="0" quotePrefix="1" applyFont="1" applyFill="1" applyBorder="1" applyAlignment="1">
      <alignment horizontal="left"/>
    </xf>
    <xf numFmtId="0" fontId="152" fillId="50" borderId="0" xfId="0" applyFont="1" applyFill="1"/>
    <xf numFmtId="21" fontId="152" fillId="50" borderId="0" xfId="0" applyNumberFormat="1" applyFont="1" applyFill="1"/>
    <xf numFmtId="21" fontId="84" fillId="50" borderId="482" xfId="0" applyNumberFormat="1" applyFont="1" applyFill="1" applyBorder="1"/>
    <xf numFmtId="21" fontId="84" fillId="50" borderId="0" xfId="0" applyNumberFormat="1" applyFont="1" applyFill="1"/>
    <xf numFmtId="0" fontId="84" fillId="50" borderId="102" xfId="0" applyFont="1" applyFill="1" applyBorder="1"/>
    <xf numFmtId="0" fontId="19" fillId="34" borderId="482" xfId="0" applyFont="1" applyFill="1" applyBorder="1"/>
    <xf numFmtId="21" fontId="81" fillId="34" borderId="482" xfId="0" applyNumberFormat="1" applyFont="1" applyFill="1" applyBorder="1"/>
    <xf numFmtId="0" fontId="86" fillId="34" borderId="482" xfId="0" quotePrefix="1" applyFont="1" applyFill="1" applyBorder="1" applyAlignment="1">
      <alignment horizontal="center"/>
    </xf>
    <xf numFmtId="0" fontId="86" fillId="34" borderId="482" xfId="0" quotePrefix="1" applyFont="1" applyFill="1" applyBorder="1" applyAlignment="1">
      <alignment horizontal="left"/>
    </xf>
    <xf numFmtId="0" fontId="19" fillId="34" borderId="394" xfId="0" applyFont="1" applyFill="1" applyBorder="1"/>
    <xf numFmtId="21" fontId="81" fillId="19" borderId="482" xfId="0" applyNumberFormat="1" applyFont="1" applyFill="1" applyBorder="1"/>
    <xf numFmtId="21" fontId="19" fillId="19" borderId="482" xfId="0" applyNumberFormat="1" applyFont="1" applyFill="1" applyBorder="1"/>
    <xf numFmtId="0" fontId="86" fillId="19" borderId="482" xfId="0" applyFont="1" applyFill="1" applyBorder="1" applyAlignment="1">
      <alignment horizontal="center"/>
    </xf>
    <xf numFmtId="0" fontId="19" fillId="19" borderId="394" xfId="0" applyFont="1" applyFill="1" applyBorder="1"/>
    <xf numFmtId="21" fontId="19" fillId="14" borderId="482" xfId="0" applyNumberFormat="1" applyFont="1" applyFill="1" applyBorder="1"/>
    <xf numFmtId="0" fontId="86" fillId="14" borderId="482" xfId="0" applyFont="1" applyFill="1" applyBorder="1" applyAlignment="1">
      <alignment horizontal="center"/>
    </xf>
    <xf numFmtId="0" fontId="19" fillId="0" borderId="196" xfId="0" applyFont="1" applyBorder="1"/>
    <xf numFmtId="21" fontId="10" fillId="14" borderId="386" xfId="0" applyNumberFormat="1" applyFont="1" applyFill="1" applyBorder="1"/>
    <xf numFmtId="21" fontId="10" fillId="14" borderId="79" xfId="0" applyNumberFormat="1" applyFont="1" applyFill="1" applyBorder="1"/>
    <xf numFmtId="0" fontId="10" fillId="0" borderId="79" xfId="0" applyFont="1" applyBorder="1" applyAlignment="1">
      <alignment horizontal="center"/>
    </xf>
    <xf numFmtId="0" fontId="10" fillId="0" borderId="113" xfId="0" applyFont="1" applyBorder="1"/>
    <xf numFmtId="0" fontId="10" fillId="14" borderId="428" xfId="0" applyFont="1" applyFill="1" applyBorder="1"/>
    <xf numFmtId="0" fontId="19" fillId="14" borderId="428" xfId="0" applyFont="1" applyFill="1" applyBorder="1"/>
    <xf numFmtId="0" fontId="10" fillId="14" borderId="428" xfId="0" quotePrefix="1" applyFont="1" applyFill="1" applyBorder="1" applyAlignment="1">
      <alignment horizontal="left"/>
    </xf>
    <xf numFmtId="0" fontId="10" fillId="51" borderId="428" xfId="0" applyFont="1" applyFill="1" applyBorder="1"/>
    <xf numFmtId="171" fontId="81" fillId="14" borderId="428" xfId="0" applyNumberFormat="1" applyFont="1" applyFill="1" applyBorder="1"/>
    <xf numFmtId="0" fontId="10" fillId="14" borderId="428" xfId="0" applyFont="1" applyFill="1" applyBorder="1" applyAlignment="1">
      <alignment horizontal="center"/>
    </xf>
    <xf numFmtId="0" fontId="19" fillId="14" borderId="429" xfId="0" applyFont="1" applyFill="1" applyBorder="1"/>
    <xf numFmtId="21" fontId="19" fillId="28" borderId="482" xfId="0" applyNumberFormat="1" applyFont="1" applyFill="1" applyBorder="1"/>
    <xf numFmtId="0" fontId="19" fillId="28" borderId="394" xfId="0" applyFont="1" applyFill="1" applyBorder="1"/>
    <xf numFmtId="21" fontId="81" fillId="28" borderId="482" xfId="0" applyNumberFormat="1" applyFont="1" applyFill="1" applyBorder="1"/>
    <xf numFmtId="0" fontId="81" fillId="28" borderId="482" xfId="0" quotePrefix="1" applyFont="1" applyFill="1" applyBorder="1" applyAlignment="1">
      <alignment horizontal="left"/>
    </xf>
    <xf numFmtId="0" fontId="86" fillId="28" borderId="482" xfId="0" applyFont="1" applyFill="1" applyBorder="1" applyAlignment="1">
      <alignment horizontal="center"/>
    </xf>
    <xf numFmtId="0" fontId="81" fillId="28" borderId="394" xfId="0" applyFont="1" applyFill="1" applyBorder="1"/>
    <xf numFmtId="0" fontId="19" fillId="28" borderId="482" xfId="0" applyFont="1" applyFill="1" applyBorder="1"/>
    <xf numFmtId="0" fontId="152" fillId="52" borderId="482" xfId="0" applyFont="1" applyFill="1" applyBorder="1"/>
    <xf numFmtId="21" fontId="152" fillId="52" borderId="482" xfId="0" applyNumberFormat="1" applyFont="1" applyFill="1" applyBorder="1"/>
    <xf numFmtId="0" fontId="84" fillId="52" borderId="482" xfId="0" applyFont="1" applyFill="1" applyBorder="1" applyAlignment="1">
      <alignment horizontal="justify"/>
    </xf>
    <xf numFmtId="0" fontId="152" fillId="52" borderId="482" xfId="0" quotePrefix="1" applyFont="1" applyFill="1" applyBorder="1" applyAlignment="1">
      <alignment horizontal="left"/>
    </xf>
    <xf numFmtId="0" fontId="84" fillId="52" borderId="482" xfId="0" quotePrefix="1" applyFont="1" applyFill="1" applyBorder="1" applyAlignment="1">
      <alignment horizontal="left"/>
    </xf>
    <xf numFmtId="0" fontId="152" fillId="52" borderId="394" xfId="0" applyFont="1" applyFill="1" applyBorder="1"/>
    <xf numFmtId="0" fontId="160" fillId="53" borderId="482" xfId="0" applyFont="1" applyFill="1" applyBorder="1"/>
    <xf numFmtId="21" fontId="160" fillId="53" borderId="482" xfId="0" applyNumberFormat="1" applyFont="1" applyFill="1" applyBorder="1"/>
    <xf numFmtId="0" fontId="160" fillId="53" borderId="482" xfId="0" quotePrefix="1" applyFont="1" applyFill="1" applyBorder="1" applyAlignment="1">
      <alignment horizontal="left"/>
    </xf>
    <xf numFmtId="0" fontId="106" fillId="53" borderId="482" xfId="0" quotePrefix="1" applyFont="1" applyFill="1" applyBorder="1" applyAlignment="1">
      <alignment horizontal="left"/>
    </xf>
    <xf numFmtId="0" fontId="160" fillId="53" borderId="394" xfId="0" applyFont="1" applyFill="1" applyBorder="1"/>
    <xf numFmtId="0" fontId="19" fillId="14" borderId="482" xfId="0" quotePrefix="1" applyFont="1" applyFill="1" applyBorder="1" applyAlignment="1">
      <alignment horizontal="left"/>
    </xf>
    <xf numFmtId="46" fontId="10" fillId="0" borderId="79" xfId="0" applyNumberFormat="1" applyFont="1" applyBorder="1"/>
    <xf numFmtId="46" fontId="19" fillId="0" borderId="79" xfId="0" applyNumberFormat="1" applyFont="1" applyBorder="1"/>
    <xf numFmtId="166" fontId="253" fillId="71" borderId="482" xfId="0" applyNumberFormat="1" applyFont="1" applyFill="1" applyBorder="1"/>
    <xf numFmtId="21" fontId="81" fillId="91" borderId="482" xfId="0" applyNumberFormat="1" applyFont="1" applyFill="1" applyBorder="1"/>
    <xf numFmtId="21" fontId="81" fillId="141" borderId="482" xfId="0" applyNumberFormat="1" applyFont="1" applyFill="1" applyBorder="1"/>
    <xf numFmtId="0" fontId="86" fillId="141" borderId="482" xfId="0" applyFont="1" applyFill="1" applyBorder="1" applyAlignment="1">
      <alignment horizontal="left"/>
    </xf>
    <xf numFmtId="0" fontId="19" fillId="141" borderId="394" xfId="0" applyFont="1" applyFill="1" applyBorder="1"/>
    <xf numFmtId="21" fontId="19" fillId="14" borderId="0" xfId="0" applyNumberFormat="1" applyFont="1" applyFill="1" applyBorder="1"/>
    <xf numFmtId="0" fontId="131" fillId="80" borderId="429" xfId="0" applyFont="1" applyFill="1" applyBorder="1" applyAlignment="1">
      <alignment horizontal="center"/>
    </xf>
    <xf numFmtId="21" fontId="81" fillId="14" borderId="440" xfId="0" applyNumberFormat="1" applyFont="1" applyFill="1" applyBorder="1"/>
    <xf numFmtId="0" fontId="86" fillId="14" borderId="440" xfId="0" applyFont="1" applyFill="1" applyBorder="1"/>
    <xf numFmtId="1" fontId="86" fillId="14" borderId="440" xfId="0" applyNumberFormat="1" applyFont="1" applyFill="1" applyBorder="1" applyAlignment="1">
      <alignment horizontal="center"/>
    </xf>
    <xf numFmtId="0" fontId="134" fillId="13" borderId="431" xfId="0" applyFont="1" applyFill="1" applyBorder="1" applyAlignment="1">
      <alignment horizontal="center"/>
    </xf>
    <xf numFmtId="0" fontId="86" fillId="91" borderId="112" xfId="0" applyFont="1" applyFill="1" applyBorder="1" applyAlignment="1">
      <alignment wrapText="1"/>
    </xf>
    <xf numFmtId="0" fontId="8" fillId="107" borderId="0" xfId="0" applyFont="1" applyFill="1" applyProtection="1">
      <protection locked="0"/>
    </xf>
    <xf numFmtId="0" fontId="134" fillId="13" borderId="427" xfId="0" applyFont="1" applyFill="1" applyBorder="1" applyAlignment="1">
      <alignment horizontal="center"/>
    </xf>
    <xf numFmtId="0" fontId="19" fillId="14" borderId="440" xfId="0" applyFont="1" applyFill="1" applyBorder="1"/>
    <xf numFmtId="183" fontId="86" fillId="178" borderId="482" xfId="0" applyNumberFormat="1" applyFont="1" applyFill="1" applyBorder="1" applyAlignment="1">
      <alignment horizontal="center" wrapText="1"/>
    </xf>
    <xf numFmtId="166" fontId="81" fillId="14" borderId="440" xfId="0" applyNumberFormat="1" applyFont="1" applyFill="1" applyBorder="1"/>
    <xf numFmtId="21" fontId="86" fillId="14" borderId="440" xfId="0" quotePrefix="1" applyNumberFormat="1" applyFont="1" applyFill="1" applyBorder="1" applyAlignment="1">
      <alignment horizontal="center"/>
    </xf>
    <xf numFmtId="0" fontId="19" fillId="14" borderId="404" xfId="0" applyFont="1" applyFill="1" applyBorder="1"/>
    <xf numFmtId="47" fontId="86" fillId="93" borderId="482" xfId="0" applyNumberFormat="1" applyFont="1" applyFill="1" applyBorder="1" applyAlignment="1">
      <alignment horizontal="center" wrapText="1"/>
    </xf>
    <xf numFmtId="0" fontId="9" fillId="94" borderId="427" xfId="0" applyFont="1" applyFill="1" applyBorder="1" applyAlignment="1">
      <alignment horizontal="center"/>
    </xf>
    <xf numFmtId="183" fontId="86" fillId="93" borderId="482" xfId="0" applyNumberFormat="1" applyFont="1" applyFill="1" applyBorder="1" applyAlignment="1">
      <alignment horizontal="center" wrapText="1"/>
    </xf>
    <xf numFmtId="0" fontId="10" fillId="13" borderId="309" xfId="0" quotePrefix="1" applyFont="1" applyFill="1" applyBorder="1" applyAlignment="1">
      <alignment horizontal="center"/>
    </xf>
    <xf numFmtId="0" fontId="134" fillId="79" borderId="427" xfId="0" applyFont="1" applyFill="1" applyBorder="1" applyAlignment="1">
      <alignment horizontal="center"/>
    </xf>
    <xf numFmtId="0" fontId="9" fillId="79" borderId="97" xfId="0" applyFont="1" applyFill="1" applyBorder="1" applyAlignment="1">
      <alignment horizontal="center"/>
    </xf>
    <xf numFmtId="21" fontId="81" fillId="122" borderId="440" xfId="0" applyNumberFormat="1" applyFont="1" applyFill="1" applyBorder="1"/>
    <xf numFmtId="21" fontId="81" fillId="122" borderId="0" xfId="0" applyNumberFormat="1" applyFont="1" applyFill="1" applyBorder="1"/>
    <xf numFmtId="0" fontId="19" fillId="122" borderId="440" xfId="0" applyFont="1" applyFill="1" applyBorder="1"/>
    <xf numFmtId="183" fontId="86" fillId="122" borderId="482" xfId="0" applyNumberFormat="1" applyFont="1" applyFill="1" applyBorder="1" applyAlignment="1">
      <alignment horizontal="center" wrapText="1"/>
    </xf>
    <xf numFmtId="0" fontId="86" fillId="122" borderId="440" xfId="0" applyFont="1" applyFill="1" applyBorder="1"/>
    <xf numFmtId="166" fontId="81" fillId="122" borderId="440" xfId="0" applyNumberFormat="1" applyFont="1" applyFill="1" applyBorder="1"/>
    <xf numFmtId="21" fontId="86" fillId="122" borderId="440" xfId="0" quotePrefix="1" applyNumberFormat="1" applyFont="1" applyFill="1" applyBorder="1" applyAlignment="1">
      <alignment horizontal="center"/>
    </xf>
    <xf numFmtId="1" fontId="86" fillId="122" borderId="440" xfId="0" applyNumberFormat="1" applyFont="1" applyFill="1" applyBorder="1" applyAlignment="1">
      <alignment horizontal="center"/>
    </xf>
    <xf numFmtId="0" fontId="19" fillId="122" borderId="404" xfId="0" applyFont="1" applyFill="1" applyBorder="1"/>
    <xf numFmtId="0" fontId="8" fillId="79" borderId="0" xfId="0" applyFont="1" applyFill="1" applyProtection="1">
      <protection locked="0"/>
    </xf>
    <xf numFmtId="0" fontId="131" fillId="79" borderId="12" xfId="0" applyFont="1" applyFill="1" applyBorder="1" applyAlignment="1">
      <alignment horizontal="center"/>
    </xf>
    <xf numFmtId="0" fontId="131" fillId="79" borderId="429" xfId="0" applyFont="1" applyFill="1" applyBorder="1" applyAlignment="1">
      <alignment horizontal="center"/>
    </xf>
    <xf numFmtId="21" fontId="81" fillId="122" borderId="482" xfId="0" applyNumberFormat="1" applyFont="1" applyFill="1" applyBorder="1"/>
    <xf numFmtId="1" fontId="81" fillId="122" borderId="0" xfId="0" applyNumberFormat="1" applyFont="1" applyFill="1"/>
    <xf numFmtId="1" fontId="7" fillId="79" borderId="0" xfId="0" applyNumberFormat="1" applyFont="1" applyFill="1" applyAlignment="1" applyProtection="1">
      <alignment horizontal="center"/>
      <protection locked="0"/>
    </xf>
    <xf numFmtId="176" fontId="9" fillId="79" borderId="0" xfId="0" applyNumberFormat="1" applyFont="1" applyFill="1" applyAlignment="1" applyProtection="1">
      <alignment horizontal="center"/>
      <protection locked="0"/>
    </xf>
    <xf numFmtId="21" fontId="86" fillId="122" borderId="0" xfId="0" applyNumberFormat="1" applyFont="1" applyFill="1"/>
    <xf numFmtId="21" fontId="19" fillId="103" borderId="482" xfId="0" applyNumberFormat="1" applyFont="1" applyFill="1" applyBorder="1"/>
    <xf numFmtId="0" fontId="435" fillId="53" borderId="482" xfId="0" quotePrefix="1" applyFont="1" applyFill="1" applyBorder="1" applyAlignment="1">
      <alignment horizontal="justify"/>
    </xf>
    <xf numFmtId="0" fontId="1" fillId="72" borderId="12" xfId="0" applyFont="1" applyFill="1" applyBorder="1"/>
    <xf numFmtId="166" fontId="56" fillId="72" borderId="0" xfId="0" applyNumberFormat="1" applyFont="1" applyFill="1" applyBorder="1" applyAlignment="1" applyProtection="1">
      <alignment horizontal="center"/>
    </xf>
    <xf numFmtId="0" fontId="11" fillId="72" borderId="0" xfId="0" applyFont="1" applyFill="1" applyBorder="1" applyProtection="1"/>
    <xf numFmtId="0" fontId="13" fillId="72" borderId="102" xfId="0" applyFont="1" applyFill="1" applyBorder="1" applyProtection="1"/>
    <xf numFmtId="0" fontId="0" fillId="72" borderId="12" xfId="0" applyFill="1" applyBorder="1"/>
    <xf numFmtId="0" fontId="11" fillId="72" borderId="102" xfId="0" applyFont="1" applyFill="1" applyBorder="1" applyProtection="1"/>
    <xf numFmtId="0" fontId="1" fillId="86" borderId="12" xfId="0" applyFont="1" applyFill="1" applyBorder="1"/>
    <xf numFmtId="166" fontId="56" fillId="86" borderId="0" xfId="0" applyNumberFormat="1" applyFont="1" applyFill="1" applyBorder="1" applyAlignment="1" applyProtection="1">
      <alignment horizontal="center"/>
    </xf>
    <xf numFmtId="0" fontId="11" fillId="86" borderId="0" xfId="0" applyFont="1" applyFill="1" applyBorder="1" applyProtection="1"/>
    <xf numFmtId="0" fontId="11" fillId="86" borderId="102" xfId="0" applyFont="1" applyFill="1" applyBorder="1" applyProtection="1"/>
    <xf numFmtId="0" fontId="0" fillId="86" borderId="12" xfId="0" applyFill="1" applyBorder="1"/>
    <xf numFmtId="0" fontId="1" fillId="77" borderId="12" xfId="0" applyFont="1" applyFill="1" applyBorder="1"/>
    <xf numFmtId="166" fontId="56" fillId="77" borderId="0" xfId="0" applyNumberFormat="1" applyFont="1" applyFill="1" applyBorder="1" applyAlignment="1" applyProtection="1">
      <alignment horizontal="center"/>
    </xf>
    <xf numFmtId="0" fontId="11" fillId="77" borderId="0" xfId="0" applyFont="1" applyFill="1" applyBorder="1" applyProtection="1"/>
    <xf numFmtId="0" fontId="11" fillId="77" borderId="102" xfId="0" applyFont="1" applyFill="1" applyBorder="1" applyProtection="1"/>
    <xf numFmtId="0" fontId="19" fillId="115" borderId="35" xfId="0" applyFont="1" applyFill="1" applyBorder="1"/>
    <xf numFmtId="21" fontId="81" fillId="115" borderId="35" xfId="0" applyNumberFormat="1" applyFont="1" applyFill="1" applyBorder="1"/>
    <xf numFmtId="176" fontId="10" fillId="115" borderId="35" xfId="0" applyNumberFormat="1" applyFont="1" applyFill="1" applyBorder="1" applyAlignment="1">
      <alignment horizontal="center"/>
    </xf>
    <xf numFmtId="166" fontId="10" fillId="115" borderId="35" xfId="0" applyNumberFormat="1" applyFont="1" applyFill="1" applyBorder="1" applyAlignment="1">
      <alignment horizontal="center"/>
    </xf>
    <xf numFmtId="1" fontId="86" fillId="115" borderId="35" xfId="0" applyNumberFormat="1" applyFont="1" applyFill="1" applyBorder="1" applyAlignment="1">
      <alignment horizontal="center"/>
    </xf>
    <xf numFmtId="0" fontId="10" fillId="115" borderId="36" xfId="0" applyFont="1" applyFill="1" applyBorder="1" applyAlignment="1">
      <alignment horizontal="center"/>
    </xf>
    <xf numFmtId="1" fontId="98" fillId="141" borderId="0" xfId="0" applyNumberFormat="1" applyFont="1" applyFill="1" applyBorder="1"/>
    <xf numFmtId="0" fontId="54" fillId="142" borderId="83" xfId="0" applyFont="1" applyFill="1" applyBorder="1" applyProtection="1"/>
    <xf numFmtId="21" fontId="160" fillId="141" borderId="35" xfId="0" applyNumberFormat="1" applyFont="1" applyFill="1" applyBorder="1"/>
    <xf numFmtId="0" fontId="8" fillId="142" borderId="83" xfId="0" applyFont="1" applyFill="1" applyBorder="1" applyProtection="1"/>
    <xf numFmtId="21" fontId="8" fillId="141" borderId="0" xfId="0" quotePrefix="1" applyNumberFormat="1" applyFont="1" applyFill="1" applyBorder="1" applyAlignment="1">
      <alignment horizontal="center"/>
    </xf>
    <xf numFmtId="166" fontId="8" fillId="142" borderId="0" xfId="0" applyNumberFormat="1" applyFont="1" applyFill="1" applyBorder="1" applyAlignment="1" applyProtection="1">
      <alignment horizontal="center"/>
    </xf>
    <xf numFmtId="0" fontId="8" fillId="142" borderId="223" xfId="0" applyFont="1" applyFill="1" applyBorder="1" applyAlignment="1" applyProtection="1">
      <alignment horizontal="center"/>
    </xf>
    <xf numFmtId="0" fontId="413" fillId="143" borderId="35" xfId="0" applyFont="1" applyFill="1" applyBorder="1"/>
    <xf numFmtId="21" fontId="413" fillId="143" borderId="35" xfId="0" applyNumberFormat="1" applyFont="1" applyFill="1" applyBorder="1"/>
    <xf numFmtId="0" fontId="260" fillId="143" borderId="35" xfId="0" applyFont="1" applyFill="1" applyBorder="1"/>
    <xf numFmtId="21" fontId="260" fillId="143" borderId="35" xfId="0" applyNumberFormat="1" applyFont="1" applyFill="1" applyBorder="1" applyAlignment="1">
      <alignment horizontal="center"/>
    </xf>
    <xf numFmtId="0" fontId="260" fillId="143" borderId="35" xfId="0" applyFont="1" applyFill="1" applyBorder="1" applyAlignment="1">
      <alignment horizontal="center"/>
    </xf>
    <xf numFmtId="0" fontId="325" fillId="143" borderId="35" xfId="0" applyFont="1" applyFill="1" applyBorder="1" applyAlignment="1">
      <alignment horizontal="center"/>
    </xf>
    <xf numFmtId="0" fontId="19" fillId="207" borderId="482" xfId="0" applyFont="1" applyFill="1" applyBorder="1"/>
    <xf numFmtId="21" fontId="81" fillId="207" borderId="482" xfId="0" applyNumberFormat="1" applyFont="1" applyFill="1" applyBorder="1"/>
    <xf numFmtId="176" fontId="9" fillId="206" borderId="482" xfId="0" applyNumberFormat="1" applyFont="1" applyFill="1" applyBorder="1" applyAlignment="1" applyProtection="1">
      <alignment horizontal="center"/>
      <protection locked="0"/>
    </xf>
    <xf numFmtId="166" fontId="86" fillId="207" borderId="482" xfId="0" applyNumberFormat="1" applyFont="1" applyFill="1" applyBorder="1" applyAlignment="1">
      <alignment horizontal="center"/>
    </xf>
    <xf numFmtId="21" fontId="86" fillId="207" borderId="482" xfId="0" quotePrefix="1" applyNumberFormat="1" applyFont="1" applyFill="1" applyBorder="1" applyAlignment="1">
      <alignment horizontal="center"/>
    </xf>
    <xf numFmtId="1" fontId="86" fillId="207" borderId="482" xfId="0" applyNumberFormat="1" applyFont="1" applyFill="1" applyBorder="1" applyAlignment="1">
      <alignment horizontal="center"/>
    </xf>
    <xf numFmtId="176" fontId="9" fillId="3" borderId="309" xfId="0" applyNumberFormat="1" applyFont="1" applyFill="1" applyBorder="1" applyAlignment="1" applyProtection="1">
      <alignment horizontal="center"/>
      <protection locked="0"/>
    </xf>
    <xf numFmtId="166" fontId="86" fillId="14" borderId="309" xfId="0" applyNumberFormat="1" applyFont="1" applyFill="1" applyBorder="1" applyAlignment="1">
      <alignment horizontal="center"/>
    </xf>
    <xf numFmtId="21" fontId="86" fillId="14" borderId="309" xfId="0" quotePrefix="1" applyNumberFormat="1" applyFont="1" applyFill="1" applyBorder="1" applyAlignment="1">
      <alignment horizontal="center"/>
    </xf>
    <xf numFmtId="1" fontId="86" fillId="14" borderId="309" xfId="0" applyNumberFormat="1" applyFont="1" applyFill="1" applyBorder="1" applyAlignment="1">
      <alignment horizontal="center"/>
    </xf>
    <xf numFmtId="0" fontId="10" fillId="14" borderId="309" xfId="0" applyFont="1" applyFill="1" applyBorder="1" applyAlignment="1">
      <alignment horizontal="center"/>
    </xf>
    <xf numFmtId="0" fontId="2" fillId="206" borderId="482" xfId="0" applyFont="1" applyFill="1" applyBorder="1"/>
    <xf numFmtId="0" fontId="10" fillId="207" borderId="482" xfId="0" applyFont="1" applyFill="1" applyBorder="1" applyAlignment="1">
      <alignment horizontal="center"/>
    </xf>
    <xf numFmtId="0" fontId="2" fillId="0" borderId="482" xfId="0" applyFont="1" applyBorder="1"/>
    <xf numFmtId="1" fontId="0" fillId="207" borderId="35" xfId="0" applyNumberFormat="1" applyFill="1" applyBorder="1"/>
    <xf numFmtId="176" fontId="9" fillId="207" borderId="35" xfId="0" applyNumberFormat="1" applyFont="1" applyFill="1" applyBorder="1" applyAlignment="1">
      <alignment horizontal="center"/>
    </xf>
    <xf numFmtId="0" fontId="84" fillId="207" borderId="35" xfId="0" applyFont="1" applyFill="1" applyBorder="1"/>
    <xf numFmtId="166" fontId="84" fillId="207" borderId="35" xfId="0" applyNumberFormat="1" applyFont="1" applyFill="1" applyBorder="1" applyAlignment="1">
      <alignment horizontal="center"/>
    </xf>
    <xf numFmtId="0" fontId="84" fillId="207" borderId="35" xfId="0" applyFont="1" applyFill="1" applyBorder="1" applyAlignment="1">
      <alignment horizontal="center"/>
    </xf>
    <xf numFmtId="0" fontId="2" fillId="107" borderId="482" xfId="0" applyFont="1" applyFill="1" applyBorder="1"/>
    <xf numFmtId="21" fontId="19" fillId="115" borderId="35" xfId="0" applyNumberFormat="1" applyFont="1" applyFill="1" applyBorder="1"/>
    <xf numFmtId="21" fontId="10" fillId="115" borderId="35" xfId="0" applyNumberFormat="1" applyFont="1" applyFill="1" applyBorder="1" applyAlignment="1">
      <alignment horizontal="center"/>
    </xf>
    <xf numFmtId="0" fontId="10" fillId="115" borderId="35" xfId="0" applyFont="1" applyFill="1" applyBorder="1" applyAlignment="1">
      <alignment horizontal="center"/>
    </xf>
    <xf numFmtId="21" fontId="86" fillId="115" borderId="35" xfId="0" quotePrefix="1" applyNumberFormat="1" applyFont="1" applyFill="1" applyBorder="1" applyAlignment="1">
      <alignment horizontal="center"/>
    </xf>
    <xf numFmtId="0" fontId="8" fillId="142" borderId="83" xfId="0" applyFont="1" applyFill="1" applyBorder="1" applyAlignment="1" applyProtection="1">
      <alignment horizontal="center"/>
    </xf>
    <xf numFmtId="166" fontId="371" fillId="3" borderId="0" xfId="0" applyNumberFormat="1" applyFont="1" applyFill="1" applyProtection="1">
      <protection locked="0"/>
    </xf>
    <xf numFmtId="0" fontId="152" fillId="122" borderId="35" xfId="0" applyFont="1" applyFill="1" applyBorder="1"/>
    <xf numFmtId="176" fontId="9" fillId="91" borderId="35" xfId="0" applyNumberFormat="1" applyFont="1" applyFill="1" applyBorder="1" applyAlignment="1">
      <alignment horizontal="center"/>
    </xf>
    <xf numFmtId="166" fontId="84" fillId="91" borderId="35" xfId="0" applyNumberFormat="1" applyFont="1" applyFill="1" applyBorder="1" applyAlignment="1">
      <alignment horizontal="center"/>
    </xf>
    <xf numFmtId="0" fontId="306" fillId="140" borderId="35" xfId="0" quotePrefix="1" applyFont="1" applyFill="1" applyBorder="1" applyAlignment="1">
      <alignment horizontal="center"/>
    </xf>
    <xf numFmtId="0" fontId="306" fillId="140" borderId="35" xfId="0" applyFont="1" applyFill="1" applyBorder="1" applyAlignment="1">
      <alignment horizontal="center"/>
    </xf>
    <xf numFmtId="0" fontId="5" fillId="209" borderId="11" xfId="0" applyFont="1" applyFill="1" applyBorder="1" applyAlignment="1" applyProtection="1">
      <alignment horizontal="center"/>
    </xf>
    <xf numFmtId="0" fontId="5" fillId="209" borderId="12" xfId="0" applyFont="1" applyFill="1" applyBorder="1" applyAlignment="1" applyProtection="1">
      <alignment horizontal="center"/>
    </xf>
    <xf numFmtId="0" fontId="5" fillId="121" borderId="11" xfId="0" applyFont="1" applyFill="1" applyBorder="1" applyAlignment="1" applyProtection="1">
      <alignment horizontal="center"/>
    </xf>
    <xf numFmtId="1" fontId="19" fillId="103" borderId="35" xfId="0" applyNumberFormat="1" applyFont="1" applyFill="1" applyBorder="1"/>
    <xf numFmtId="0" fontId="152" fillId="103" borderId="35" xfId="0" applyFont="1" applyFill="1" applyBorder="1"/>
    <xf numFmtId="21" fontId="152" fillId="103" borderId="35" xfId="0" applyNumberFormat="1" applyFont="1" applyFill="1" applyBorder="1"/>
    <xf numFmtId="0" fontId="84" fillId="103" borderId="35" xfId="0" applyFont="1" applyFill="1" applyBorder="1"/>
    <xf numFmtId="21" fontId="86" fillId="103" borderId="35" xfId="0" quotePrefix="1" applyNumberFormat="1" applyFont="1" applyFill="1" applyBorder="1" applyAlignment="1">
      <alignment horizontal="center"/>
    </xf>
    <xf numFmtId="0" fontId="84" fillId="103" borderId="35" xfId="0" quotePrefix="1" applyFont="1" applyFill="1" applyBorder="1" applyAlignment="1">
      <alignment horizontal="center"/>
    </xf>
    <xf numFmtId="1" fontId="263" fillId="207" borderId="0" xfId="0" applyNumberFormat="1" applyFont="1" applyFill="1" applyBorder="1"/>
    <xf numFmtId="0" fontId="274" fillId="216" borderId="83" xfId="0" applyFont="1" applyFill="1" applyBorder="1" applyProtection="1"/>
    <xf numFmtId="21" fontId="269" fillId="207" borderId="35" xfId="0" applyNumberFormat="1" applyFont="1" applyFill="1" applyBorder="1"/>
    <xf numFmtId="0" fontId="264" fillId="216" borderId="83" xfId="0" applyFont="1" applyFill="1" applyBorder="1" applyProtection="1"/>
    <xf numFmtId="166" fontId="274" fillId="216" borderId="0" xfId="0" applyNumberFormat="1" applyFont="1" applyFill="1" applyBorder="1" applyProtection="1"/>
    <xf numFmtId="21" fontId="271" fillId="207" borderId="35" xfId="0" quotePrefix="1" applyNumberFormat="1" applyFont="1" applyFill="1" applyBorder="1" applyAlignment="1">
      <alignment horizontal="center"/>
    </xf>
    <xf numFmtId="21" fontId="271" fillId="207" borderId="0" xfId="0" quotePrefix="1" applyNumberFormat="1" applyFont="1" applyFill="1" applyBorder="1" applyAlignment="1">
      <alignment horizontal="center"/>
    </xf>
    <xf numFmtId="0" fontId="274" fillId="216" borderId="83" xfId="0" applyFont="1" applyFill="1" applyBorder="1" applyAlignment="1" applyProtection="1">
      <alignment horizontal="center"/>
    </xf>
    <xf numFmtId="0" fontId="274" fillId="216" borderId="117" xfId="0" applyFont="1" applyFill="1" applyBorder="1" applyProtection="1"/>
    <xf numFmtId="0" fontId="274" fillId="92" borderId="83" xfId="0" applyFont="1" applyFill="1" applyBorder="1" applyProtection="1"/>
    <xf numFmtId="0" fontId="264" fillId="92" borderId="83" xfId="0" applyFont="1" applyFill="1" applyBorder="1" applyProtection="1"/>
    <xf numFmtId="21" fontId="271" fillId="91" borderId="0" xfId="0" quotePrefix="1" applyNumberFormat="1" applyFont="1" applyFill="1" applyBorder="1" applyAlignment="1">
      <alignment horizontal="center"/>
    </xf>
    <xf numFmtId="0" fontId="274" fillId="92" borderId="83" xfId="0" applyFont="1" applyFill="1" applyBorder="1" applyAlignment="1" applyProtection="1">
      <alignment horizontal="center"/>
    </xf>
    <xf numFmtId="0" fontId="274" fillId="92" borderId="117" xfId="0" applyFont="1" applyFill="1" applyBorder="1" applyProtection="1"/>
    <xf numFmtId="1" fontId="16" fillId="140" borderId="0" xfId="0" applyNumberFormat="1" applyFont="1" applyFill="1" applyBorder="1"/>
    <xf numFmtId="0" fontId="54" fillId="139" borderId="83" xfId="0" applyFont="1" applyFill="1" applyBorder="1" applyProtection="1"/>
    <xf numFmtId="21" fontId="160" fillId="140" borderId="35" xfId="0" applyNumberFormat="1" applyFont="1" applyFill="1" applyBorder="1"/>
    <xf numFmtId="0" fontId="8" fillId="139" borderId="83" xfId="0" applyFont="1" applyFill="1" applyBorder="1" applyProtection="1"/>
    <xf numFmtId="166" fontId="54" fillId="139" borderId="0" xfId="0" applyNumberFormat="1" applyFont="1" applyFill="1" applyBorder="1" applyProtection="1"/>
    <xf numFmtId="21" fontId="106" fillId="140" borderId="35" xfId="0" quotePrefix="1" applyNumberFormat="1" applyFont="1" applyFill="1" applyBorder="1" applyAlignment="1">
      <alignment horizontal="center"/>
    </xf>
    <xf numFmtId="21" fontId="106" fillId="140" borderId="0" xfId="0" quotePrefix="1" applyNumberFormat="1" applyFont="1" applyFill="1" applyBorder="1" applyAlignment="1">
      <alignment horizontal="center"/>
    </xf>
    <xf numFmtId="0" fontId="54" fillId="139" borderId="83" xfId="0" applyFont="1" applyFill="1" applyBorder="1" applyAlignment="1" applyProtection="1">
      <alignment horizontal="center"/>
    </xf>
    <xf numFmtId="0" fontId="54" fillId="139" borderId="117" xfId="0" applyFont="1" applyFill="1" applyBorder="1" applyProtection="1"/>
    <xf numFmtId="176" fontId="1" fillId="3" borderId="0" xfId="0" applyNumberFormat="1" applyFont="1" applyFill="1" applyAlignment="1" applyProtection="1">
      <alignment horizontal="center"/>
      <protection locked="0"/>
    </xf>
    <xf numFmtId="176" fontId="9" fillId="0" borderId="92" xfId="0" applyNumberFormat="1" applyFont="1" applyFill="1" applyBorder="1" applyAlignment="1">
      <alignment horizontal="center"/>
    </xf>
    <xf numFmtId="176" fontId="9" fillId="0" borderId="75" xfId="0" applyNumberFormat="1" applyFont="1" applyFill="1" applyBorder="1" applyAlignment="1">
      <alignment horizontal="center"/>
    </xf>
    <xf numFmtId="176" fontId="17" fillId="19" borderId="35" xfId="0" applyNumberFormat="1" applyFont="1" applyFill="1" applyBorder="1" applyAlignment="1">
      <alignment horizontal="center"/>
    </xf>
    <xf numFmtId="180" fontId="10" fillId="21" borderId="35" xfId="0" applyNumberFormat="1" applyFont="1" applyFill="1" applyBorder="1" applyAlignment="1">
      <alignment horizontal="center"/>
    </xf>
    <xf numFmtId="180" fontId="8" fillId="29" borderId="35" xfId="0" applyNumberFormat="1" applyFont="1" applyFill="1" applyBorder="1" applyAlignment="1">
      <alignment horizontal="center"/>
    </xf>
    <xf numFmtId="180" fontId="84" fillId="16" borderId="35" xfId="0" applyNumberFormat="1" applyFont="1" applyFill="1" applyBorder="1" applyAlignment="1">
      <alignment horizontal="center"/>
    </xf>
    <xf numFmtId="180" fontId="84" fillId="103" borderId="35" xfId="0" applyNumberFormat="1" applyFont="1" applyFill="1" applyBorder="1" applyAlignment="1">
      <alignment horizontal="center"/>
    </xf>
    <xf numFmtId="176" fontId="8" fillId="19" borderId="170" xfId="0" applyNumberFormat="1" applyFont="1" applyFill="1" applyBorder="1" applyAlignment="1">
      <alignment horizontal="center"/>
    </xf>
    <xf numFmtId="176" fontId="86" fillId="14" borderId="32" xfId="0" applyNumberFormat="1" applyFont="1" applyFill="1" applyBorder="1" applyAlignment="1">
      <alignment horizontal="center"/>
    </xf>
    <xf numFmtId="180" fontId="264" fillId="207" borderId="35" xfId="0" applyNumberFormat="1" applyFont="1" applyFill="1" applyBorder="1" applyAlignment="1">
      <alignment horizontal="center"/>
    </xf>
    <xf numFmtId="180" fontId="264" fillId="91" borderId="35" xfId="0" applyNumberFormat="1" applyFont="1" applyFill="1" applyBorder="1" applyAlignment="1">
      <alignment horizontal="center"/>
    </xf>
    <xf numFmtId="180" fontId="8" fillId="140" borderId="35" xfId="0" applyNumberFormat="1" applyFont="1" applyFill="1" applyBorder="1" applyAlignment="1">
      <alignment horizontal="center"/>
    </xf>
    <xf numFmtId="0" fontId="8" fillId="30" borderId="83" xfId="0" applyFont="1" applyFill="1" applyBorder="1" applyAlignment="1" applyProtection="1">
      <alignment horizontal="right"/>
    </xf>
    <xf numFmtId="173" fontId="35" fillId="9" borderId="110" xfId="4" applyNumberFormat="1" applyFont="1" applyFill="1" applyBorder="1" applyAlignment="1" applyProtection="1">
      <alignment horizontal="center"/>
      <protection locked="0"/>
    </xf>
    <xf numFmtId="173" fontId="35" fillId="9" borderId="157" xfId="4" applyNumberFormat="1" applyFont="1" applyFill="1" applyBorder="1" applyAlignment="1" applyProtection="1">
      <alignment horizontal="center"/>
      <protection locked="0"/>
    </xf>
    <xf numFmtId="173" fontId="35" fillId="9" borderId="111" xfId="4" applyNumberFormat="1" applyFont="1" applyFill="1" applyBorder="1" applyAlignment="1" applyProtection="1">
      <alignment horizontal="center"/>
      <protection locked="0"/>
    </xf>
    <xf numFmtId="0" fontId="237" fillId="2" borderId="0" xfId="2" applyAlignment="1">
      <alignment horizontal="center"/>
    </xf>
    <xf numFmtId="0" fontId="34" fillId="3" borderId="0" xfId="4" applyFont="1" applyFill="1" applyAlignment="1">
      <alignment horizontal="center"/>
    </xf>
    <xf numFmtId="0" fontId="43" fillId="0" borderId="95" xfId="7" applyFont="1" applyBorder="1" applyAlignment="1" applyProtection="1">
      <alignment horizontal="center"/>
      <protection locked="0"/>
    </xf>
    <xf numFmtId="0" fontId="43" fillId="0" borderId="94" xfId="7" applyFont="1" applyBorder="1" applyAlignment="1" applyProtection="1">
      <alignment horizontal="center"/>
      <protection locked="0"/>
    </xf>
    <xf numFmtId="14" fontId="43" fillId="0" borderId="19" xfId="8" applyNumberFormat="1" applyFont="1" applyBorder="1" applyAlignment="1" applyProtection="1">
      <alignment horizontal="center"/>
    </xf>
    <xf numFmtId="14" fontId="43" fillId="0" borderId="113" xfId="8" applyNumberFormat="1" applyFont="1" applyBorder="1" applyAlignment="1" applyProtection="1">
      <alignment horizontal="center"/>
    </xf>
    <xf numFmtId="0" fontId="156" fillId="32" borderId="0" xfId="7" applyFont="1" applyFill="1" applyAlignment="1">
      <alignment horizontal="center"/>
    </xf>
    <xf numFmtId="21" fontId="82" fillId="16" borderId="112" xfId="0" applyNumberFormat="1" applyFont="1" applyFill="1" applyBorder="1" applyAlignment="1">
      <alignment horizontal="center" wrapText="1"/>
    </xf>
    <xf numFmtId="21" fontId="82" fillId="16" borderId="179" xfId="0" applyNumberFormat="1" applyFont="1" applyFill="1" applyBorder="1" applyAlignment="1">
      <alignment horizontal="center" wrapText="1"/>
    </xf>
    <xf numFmtId="21" fontId="82" fillId="16" borderId="201" xfId="0" applyNumberFormat="1" applyFont="1" applyFill="1" applyBorder="1" applyAlignment="1">
      <alignment horizontal="center" wrapText="1"/>
    </xf>
    <xf numFmtId="165" fontId="18" fillId="13" borderId="196" xfId="0" applyNumberFormat="1" applyFont="1" applyFill="1" applyBorder="1" applyAlignment="1" applyProtection="1">
      <alignment horizontal="center" vertical="center"/>
    </xf>
    <xf numFmtId="165" fontId="18" fillId="13" borderId="113" xfId="0" applyNumberFormat="1" applyFont="1" applyFill="1" applyBorder="1" applyAlignment="1" applyProtection="1">
      <alignment horizontal="center" vertical="center"/>
    </xf>
    <xf numFmtId="0" fontId="264" fillId="3" borderId="0" xfId="0" applyFont="1" applyFill="1" applyAlignment="1" applyProtection="1">
      <alignment horizontal="center"/>
      <protection locked="0"/>
    </xf>
    <xf numFmtId="14" fontId="125" fillId="3" borderId="0" xfId="0" quotePrefix="1" applyNumberFormat="1" applyFont="1" applyFill="1" applyAlignment="1" applyProtection="1">
      <alignment horizontal="center"/>
      <protection locked="0"/>
    </xf>
    <xf numFmtId="14" fontId="125" fillId="3" borderId="29" xfId="0" quotePrefix="1" applyNumberFormat="1" applyFont="1" applyFill="1" applyBorder="1" applyAlignment="1" applyProtection="1">
      <alignment horizontal="center"/>
      <protection locked="0"/>
    </xf>
    <xf numFmtId="165" fontId="436" fillId="80" borderId="0" xfId="0" applyNumberFormat="1" applyFont="1" applyFill="1" applyBorder="1" applyAlignment="1" applyProtection="1">
      <alignment horizontal="center"/>
      <protection locked="0"/>
    </xf>
    <xf numFmtId="0" fontId="255" fillId="98" borderId="311" xfId="0" applyFont="1" applyFill="1" applyBorder="1" applyAlignment="1">
      <alignment horizontal="center"/>
    </xf>
    <xf numFmtId="0" fontId="255" fillId="98" borderId="312" xfId="0" applyFont="1" applyFill="1" applyBorder="1" applyAlignment="1">
      <alignment horizontal="center"/>
    </xf>
    <xf numFmtId="0" fontId="84" fillId="16" borderId="311" xfId="0" applyFont="1" applyFill="1" applyBorder="1" applyAlignment="1">
      <alignment horizontal="center"/>
    </xf>
    <xf numFmtId="0" fontId="84" fillId="16" borderId="313" xfId="0" applyFont="1" applyFill="1" applyBorder="1" applyAlignment="1">
      <alignment horizontal="center"/>
    </xf>
    <xf numFmtId="0" fontId="84" fillId="16" borderId="314" xfId="0" applyFont="1" applyFill="1" applyBorder="1" applyAlignment="1">
      <alignment horizontal="center"/>
    </xf>
    <xf numFmtId="0" fontId="84" fillId="16" borderId="258" xfId="0" applyFont="1" applyFill="1" applyBorder="1" applyAlignment="1">
      <alignment horizontal="center"/>
    </xf>
    <xf numFmtId="0" fontId="84" fillId="16" borderId="260" xfId="0" applyFont="1" applyFill="1" applyBorder="1" applyAlignment="1">
      <alignment horizontal="center"/>
    </xf>
    <xf numFmtId="0" fontId="84" fillId="16" borderId="253" xfId="0" applyFont="1" applyFill="1" applyBorder="1" applyAlignment="1">
      <alignment horizontal="center"/>
    </xf>
    <xf numFmtId="165" fontId="126" fillId="3" borderId="315" xfId="0" applyNumberFormat="1" applyFont="1" applyFill="1" applyBorder="1" applyAlignment="1" applyProtection="1">
      <alignment horizontal="center"/>
    </xf>
    <xf numFmtId="165" fontId="126" fillId="3" borderId="316" xfId="0" applyNumberFormat="1" applyFont="1" applyFill="1" applyBorder="1" applyAlignment="1" applyProtection="1">
      <alignment horizontal="center"/>
    </xf>
    <xf numFmtId="4" fontId="255" fillId="131" borderId="311" xfId="0" applyNumberFormat="1" applyFont="1" applyFill="1" applyBorder="1" applyAlignment="1">
      <alignment horizontal="center"/>
    </xf>
    <xf numFmtId="4" fontId="255" fillId="131" borderId="312" xfId="0" applyNumberFormat="1" applyFont="1" applyFill="1" applyBorder="1" applyAlignment="1">
      <alignment horizontal="center"/>
    </xf>
    <xf numFmtId="0" fontId="0" fillId="0" borderId="209" xfId="0" applyBorder="1" applyAlignment="1">
      <alignment horizontal="center"/>
    </xf>
    <xf numFmtId="0" fontId="0" fillId="0" borderId="224" xfId="0" applyBorder="1" applyAlignment="1">
      <alignment horizontal="center"/>
    </xf>
    <xf numFmtId="0" fontId="0" fillId="0" borderId="208" xfId="0" applyBorder="1" applyAlignment="1">
      <alignment horizontal="center"/>
    </xf>
    <xf numFmtId="0" fontId="334" fillId="113" borderId="0" xfId="0" applyFont="1" applyFill="1" applyAlignment="1">
      <alignment horizontal="center" wrapText="1"/>
    </xf>
    <xf numFmtId="0" fontId="334" fillId="107" borderId="0" xfId="0" applyFont="1" applyFill="1" applyAlignment="1">
      <alignment horizontal="center" wrapText="1"/>
    </xf>
    <xf numFmtId="0" fontId="410" fillId="144" borderId="0" xfId="0" applyFont="1" applyFill="1" applyAlignment="1">
      <alignment horizontal="center" wrapText="1"/>
    </xf>
    <xf numFmtId="0" fontId="410" fillId="120" borderId="0" xfId="0" applyFont="1" applyFill="1" applyAlignment="1">
      <alignment horizontal="center" wrapText="1"/>
    </xf>
    <xf numFmtId="21" fontId="420" fillId="14" borderId="309" xfId="0" applyNumberFormat="1" applyFont="1" applyFill="1" applyBorder="1" applyAlignment="1">
      <alignment horizontal="center"/>
    </xf>
    <xf numFmtId="21" fontId="420" fillId="14" borderId="251" xfId="0" applyNumberFormat="1" applyFont="1" applyFill="1" applyBorder="1" applyAlignment="1">
      <alignment horizontal="center"/>
    </xf>
    <xf numFmtId="21" fontId="420" fillId="14" borderId="440" xfId="0" applyNumberFormat="1" applyFont="1" applyFill="1" applyBorder="1" applyAlignment="1">
      <alignment horizontal="center"/>
    </xf>
    <xf numFmtId="21" fontId="420" fillId="14" borderId="271" xfId="0" applyNumberFormat="1" applyFont="1" applyFill="1" applyBorder="1" applyAlignment="1">
      <alignment horizontal="center"/>
    </xf>
    <xf numFmtId="21" fontId="420" fillId="14" borderId="272" xfId="0" applyNumberFormat="1" applyFont="1" applyFill="1" applyBorder="1" applyAlignment="1">
      <alignment horizontal="center"/>
    </xf>
    <xf numFmtId="4" fontId="255" fillId="131" borderId="311" xfId="0" applyNumberFormat="1" applyFont="1" applyFill="1" applyBorder="1" applyAlignment="1">
      <alignment horizontal="right"/>
    </xf>
    <xf numFmtId="4" fontId="255" fillId="131" borderId="312" xfId="0" applyNumberFormat="1" applyFont="1" applyFill="1" applyBorder="1" applyAlignment="1">
      <alignment horizontal="right"/>
    </xf>
    <xf numFmtId="21" fontId="426" fillId="66" borderId="0" xfId="0" applyNumberFormat="1" applyFont="1" applyFill="1" applyBorder="1" applyAlignment="1">
      <alignment horizontal="center" wrapText="1"/>
    </xf>
    <xf numFmtId="0" fontId="334" fillId="80" borderId="0" xfId="0" applyFont="1" applyFill="1" applyAlignment="1">
      <alignment horizontal="center"/>
    </xf>
    <xf numFmtId="0" fontId="138" fillId="41" borderId="161" xfId="0" applyFont="1" applyFill="1" applyBorder="1" applyAlignment="1">
      <alignment horizontal="center"/>
    </xf>
    <xf numFmtId="0" fontId="138" fillId="41" borderId="162" xfId="0" applyFont="1" applyFill="1" applyBorder="1" applyAlignment="1">
      <alignment horizontal="center"/>
    </xf>
    <xf numFmtId="0" fontId="138" fillId="41" borderId="163" xfId="0" applyFont="1" applyFill="1" applyBorder="1" applyAlignment="1">
      <alignment horizontal="center"/>
    </xf>
    <xf numFmtId="0" fontId="138" fillId="41" borderId="74" xfId="0" applyFont="1" applyFill="1" applyBorder="1" applyAlignment="1">
      <alignment horizontal="center"/>
    </xf>
    <xf numFmtId="0" fontId="138" fillId="41" borderId="75" xfId="0" applyFont="1" applyFill="1" applyBorder="1" applyAlignment="1">
      <alignment horizontal="center"/>
    </xf>
    <xf numFmtId="0" fontId="138" fillId="41" borderId="76" xfId="0" applyFont="1" applyFill="1" applyBorder="1" applyAlignment="1">
      <alignment horizontal="center"/>
    </xf>
    <xf numFmtId="0" fontId="0" fillId="54" borderId="135" xfId="0" applyFill="1" applyBorder="1" applyAlignment="1">
      <alignment horizontal="center"/>
    </xf>
    <xf numFmtId="0" fontId="0" fillId="54" borderId="129" xfId="0" applyFill="1" applyBorder="1" applyAlignment="1">
      <alignment horizontal="center"/>
    </xf>
    <xf numFmtId="14" fontId="349" fillId="120" borderId="443" xfId="5" applyNumberFormat="1" applyFont="1" applyFill="1" applyBorder="1" applyAlignment="1" applyProtection="1">
      <alignment horizontal="center" vertical="center" wrapText="1"/>
      <protection hidden="1"/>
    </xf>
    <xf numFmtId="14" fontId="349" fillId="120" borderId="444" xfId="5" applyNumberFormat="1" applyFont="1" applyFill="1" applyBorder="1" applyAlignment="1" applyProtection="1">
      <alignment horizontal="center" vertical="center" wrapText="1"/>
      <protection hidden="1"/>
    </xf>
    <xf numFmtId="14" fontId="349" fillId="120" borderId="445" xfId="5" applyNumberFormat="1" applyFont="1" applyFill="1" applyBorder="1" applyAlignment="1" applyProtection="1">
      <alignment horizontal="center" vertical="center" wrapText="1"/>
      <protection hidden="1"/>
    </xf>
    <xf numFmtId="14" fontId="1" fillId="203" borderId="447" xfId="5" applyNumberFormat="1" applyFont="1" applyFill="1" applyBorder="1" applyAlignment="1" applyProtection="1">
      <alignment horizontal="center" vertical="center" wrapText="1"/>
      <protection hidden="1"/>
    </xf>
    <xf numFmtId="14" fontId="1" fillId="203" borderId="0" xfId="5" applyNumberFormat="1" applyFont="1" applyFill="1" applyBorder="1" applyAlignment="1" applyProtection="1">
      <alignment horizontal="center" vertical="center" wrapText="1"/>
      <protection hidden="1"/>
    </xf>
    <xf numFmtId="14" fontId="1" fillId="203" borderId="448" xfId="5" applyNumberFormat="1" applyFont="1" applyFill="1" applyBorder="1" applyAlignment="1" applyProtection="1">
      <alignment horizontal="center" vertical="center" wrapText="1"/>
      <protection hidden="1"/>
    </xf>
    <xf numFmtId="14" fontId="264" fillId="107" borderId="449" xfId="5" applyNumberFormat="1" applyFont="1" applyFill="1" applyBorder="1" applyAlignment="1" applyProtection="1">
      <alignment horizontal="center" vertical="center" wrapText="1"/>
      <protection hidden="1"/>
    </xf>
    <xf numFmtId="14" fontId="264" fillId="107" borderId="392" xfId="5" applyNumberFormat="1" applyFont="1" applyFill="1" applyBorder="1" applyAlignment="1" applyProtection="1">
      <alignment horizontal="center" vertical="center" wrapText="1"/>
      <protection hidden="1"/>
    </xf>
    <xf numFmtId="14" fontId="264" fillId="107" borderId="426" xfId="5" applyNumberFormat="1" applyFont="1" applyFill="1" applyBorder="1" applyAlignment="1" applyProtection="1">
      <alignment horizontal="center" vertical="center" wrapText="1"/>
      <protection hidden="1"/>
    </xf>
    <xf numFmtId="14" fontId="1" fillId="203" borderId="441" xfId="5" applyNumberFormat="1" applyFont="1" applyFill="1" applyBorder="1" applyAlignment="1" applyProtection="1">
      <alignment horizontal="center" vertical="center" wrapText="1"/>
      <protection hidden="1"/>
    </xf>
    <xf numFmtId="14" fontId="1" fillId="203" borderId="442" xfId="5" applyNumberFormat="1" applyFont="1" applyFill="1" applyBorder="1" applyAlignment="1" applyProtection="1">
      <alignment horizontal="center" vertical="center" wrapText="1"/>
      <protection hidden="1"/>
    </xf>
    <xf numFmtId="3" fontId="287" fillId="107" borderId="412" xfId="5" applyNumberFormat="1" applyFont="1" applyFill="1" applyBorder="1" applyAlignment="1" applyProtection="1">
      <alignment horizontal="center" wrapText="1"/>
      <protection hidden="1"/>
    </xf>
    <xf numFmtId="14" fontId="409" fillId="113" borderId="100" xfId="5" applyNumberFormat="1" applyFont="1" applyFill="1" applyBorder="1" applyAlignment="1" applyProtection="1">
      <alignment horizontal="center" vertical="center" textRotation="1"/>
      <protection hidden="1"/>
    </xf>
    <xf numFmtId="14" fontId="259" fillId="113" borderId="391" xfId="5" applyNumberFormat="1" applyFont="1" applyFill="1" applyBorder="1" applyAlignment="1" applyProtection="1">
      <alignment horizontal="center" vertical="center" wrapText="1"/>
      <protection hidden="1"/>
    </xf>
    <xf numFmtId="14" fontId="259" fillId="113" borderId="392" xfId="5" applyNumberFormat="1" applyFont="1" applyFill="1" applyBorder="1" applyAlignment="1" applyProtection="1">
      <alignment horizontal="center" vertical="center" wrapText="1"/>
      <protection hidden="1"/>
    </xf>
    <xf numFmtId="14" fontId="259" fillId="113" borderId="446" xfId="5" applyNumberFormat="1" applyFont="1" applyFill="1" applyBorder="1" applyAlignment="1" applyProtection="1">
      <alignment horizontal="center" vertical="center" wrapText="1"/>
      <protection hidden="1"/>
    </xf>
    <xf numFmtId="14" fontId="259" fillId="123" borderId="191" xfId="5" applyNumberFormat="1" applyFont="1" applyFill="1" applyBorder="1" applyAlignment="1" applyProtection="1">
      <alignment horizontal="center" vertical="center" wrapText="1"/>
      <protection hidden="1"/>
    </xf>
    <xf numFmtId="14" fontId="259" fillId="123" borderId="100" xfId="5" applyNumberFormat="1" applyFont="1" applyFill="1" applyBorder="1" applyAlignment="1" applyProtection="1">
      <alignment horizontal="center" vertical="center" wrapText="1"/>
      <protection hidden="1"/>
    </xf>
    <xf numFmtId="14" fontId="259" fillId="123" borderId="192" xfId="5" applyNumberFormat="1" applyFont="1" applyFill="1" applyBorder="1" applyAlignment="1" applyProtection="1">
      <alignment horizontal="center" vertical="center" wrapText="1"/>
      <protection hidden="1"/>
    </xf>
    <xf numFmtId="14" fontId="264" fillId="107" borderId="191" xfId="5" applyNumberFormat="1" applyFont="1" applyFill="1" applyBorder="1" applyAlignment="1" applyProtection="1">
      <alignment horizontal="center" vertical="center" wrapText="1"/>
      <protection hidden="1"/>
    </xf>
    <xf numFmtId="14" fontId="264" fillId="107" borderId="100" xfId="5" applyNumberFormat="1" applyFont="1" applyFill="1" applyBorder="1" applyAlignment="1" applyProtection="1">
      <alignment horizontal="center" vertical="center" wrapText="1"/>
      <protection hidden="1"/>
    </xf>
    <xf numFmtId="14" fontId="264" fillId="107" borderId="192" xfId="5" applyNumberFormat="1" applyFont="1" applyFill="1" applyBorder="1" applyAlignment="1" applyProtection="1">
      <alignment horizontal="center" vertical="center" wrapText="1"/>
      <protection hidden="1"/>
    </xf>
    <xf numFmtId="14" fontId="259" fillId="113" borderId="191" xfId="5" applyNumberFormat="1" applyFont="1" applyFill="1" applyBorder="1" applyAlignment="1" applyProtection="1">
      <alignment horizontal="center" vertical="center" wrapText="1"/>
      <protection hidden="1"/>
    </xf>
    <xf numFmtId="14" fontId="259" fillId="113" borderId="100" xfId="5" applyNumberFormat="1" applyFont="1" applyFill="1" applyBorder="1" applyAlignment="1" applyProtection="1">
      <alignment horizontal="center" vertical="center" wrapText="1"/>
      <protection hidden="1"/>
    </xf>
    <xf numFmtId="14" fontId="349" fillId="120" borderId="100" xfId="5" applyNumberFormat="1" applyFont="1" applyFill="1" applyBorder="1" applyAlignment="1" applyProtection="1">
      <alignment horizontal="center" vertical="center" wrapText="1"/>
      <protection hidden="1"/>
    </xf>
    <xf numFmtId="0" fontId="0" fillId="144" borderId="203" xfId="0" applyFill="1" applyBorder="1" applyAlignment="1">
      <alignment horizontal="center"/>
    </xf>
    <xf numFmtId="0" fontId="0" fillId="144" borderId="387" xfId="0" applyFill="1" applyBorder="1" applyAlignment="1">
      <alignment horizontal="center"/>
    </xf>
    <xf numFmtId="0" fontId="0" fillId="0" borderId="203" xfId="0" applyBorder="1" applyAlignment="1">
      <alignment horizontal="center"/>
    </xf>
    <xf numFmtId="0" fontId="0" fillId="0" borderId="387" xfId="0" applyBorder="1" applyAlignment="1">
      <alignment horizontal="center"/>
    </xf>
    <xf numFmtId="2" fontId="334" fillId="80" borderId="232" xfId="0" applyNumberFormat="1" applyFont="1" applyFill="1" applyBorder="1" applyAlignment="1">
      <alignment horizontal="center"/>
    </xf>
    <xf numFmtId="2" fontId="334" fillId="80" borderId="201" xfId="0" applyNumberFormat="1" applyFont="1" applyFill="1" applyBorder="1" applyAlignment="1">
      <alignment horizontal="center"/>
    </xf>
    <xf numFmtId="0" fontId="335" fillId="80" borderId="232" xfId="0" applyFont="1" applyFill="1" applyBorder="1" applyAlignment="1">
      <alignment horizontal="center"/>
    </xf>
    <xf numFmtId="0" fontId="335" fillId="80" borderId="201" xfId="0" applyFont="1" applyFill="1" applyBorder="1" applyAlignment="1">
      <alignment horizontal="center"/>
    </xf>
    <xf numFmtId="0" fontId="333" fillId="80" borderId="232" xfId="0" applyFont="1" applyFill="1" applyBorder="1" applyAlignment="1">
      <alignment horizontal="center"/>
    </xf>
    <xf numFmtId="0" fontId="333" fillId="80" borderId="201" xfId="0" applyFont="1" applyFill="1" applyBorder="1" applyAlignment="1">
      <alignment horizontal="center"/>
    </xf>
    <xf numFmtId="0" fontId="291" fillId="144" borderId="374" xfId="0" applyFont="1" applyFill="1" applyBorder="1" applyAlignment="1">
      <alignment horizontal="center"/>
    </xf>
    <xf numFmtId="0" fontId="291" fillId="144" borderId="404" xfId="0" applyFont="1" applyFill="1" applyBorder="1" applyAlignment="1">
      <alignment horizontal="center"/>
    </xf>
    <xf numFmtId="0" fontId="291" fillId="144" borderId="260" xfId="0" applyFont="1" applyFill="1" applyBorder="1" applyAlignment="1">
      <alignment horizontal="center"/>
    </xf>
    <xf numFmtId="0" fontId="291" fillId="144" borderId="253" xfId="0" applyFont="1" applyFill="1" applyBorder="1" applyAlignment="1">
      <alignment horizontal="center"/>
    </xf>
    <xf numFmtId="0" fontId="0" fillId="81" borderId="66" xfId="0" applyFill="1" applyBorder="1" applyAlignment="1">
      <alignment horizontal="center"/>
    </xf>
    <xf numFmtId="0" fontId="0" fillId="81" borderId="33" xfId="0" applyFill="1" applyBorder="1" applyAlignment="1">
      <alignment horizontal="center"/>
    </xf>
    <xf numFmtId="0" fontId="0" fillId="206" borderId="384" xfId="0" applyFill="1" applyBorder="1" applyAlignment="1">
      <alignment horizontal="center"/>
    </xf>
    <xf numFmtId="0" fontId="0" fillId="206" borderId="394" xfId="0" applyFill="1" applyBorder="1" applyAlignment="1">
      <alignment horizontal="center"/>
    </xf>
    <xf numFmtId="0" fontId="0" fillId="144" borderId="384" xfId="0" applyFill="1" applyBorder="1" applyAlignment="1">
      <alignment horizontal="center"/>
    </xf>
    <xf numFmtId="0" fontId="0" fillId="144" borderId="394" xfId="0" applyFill="1" applyBorder="1" applyAlignment="1">
      <alignment horizontal="center"/>
    </xf>
    <xf numFmtId="0" fontId="0" fillId="113" borderId="384" xfId="0" applyFill="1" applyBorder="1" applyAlignment="1">
      <alignment horizontal="center"/>
    </xf>
    <xf numFmtId="0" fontId="0" fillId="113" borderId="394" xfId="0" applyFill="1" applyBorder="1" applyAlignment="1">
      <alignment horizontal="center"/>
    </xf>
    <xf numFmtId="0" fontId="0" fillId="107" borderId="384" xfId="0" applyFill="1" applyBorder="1" applyAlignment="1">
      <alignment horizontal="center"/>
    </xf>
    <xf numFmtId="0" fontId="0" fillId="107" borderId="394" xfId="0" applyFill="1" applyBorder="1" applyAlignment="1">
      <alignment horizontal="center"/>
    </xf>
    <xf numFmtId="0" fontId="0" fillId="120" borderId="203" xfId="0" applyFill="1" applyBorder="1" applyAlignment="1">
      <alignment horizontal="center"/>
    </xf>
    <xf numFmtId="0" fontId="0" fillId="120" borderId="387" xfId="0" applyFill="1" applyBorder="1" applyAlignment="1">
      <alignment horizontal="center"/>
    </xf>
    <xf numFmtId="0" fontId="291" fillId="144" borderId="376" xfId="0" applyFont="1" applyFill="1" applyBorder="1" applyAlignment="1">
      <alignment horizontal="center"/>
    </xf>
    <xf numFmtId="0" fontId="0" fillId="0" borderId="66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84" xfId="0" applyBorder="1" applyAlignment="1">
      <alignment horizontal="center"/>
    </xf>
    <xf numFmtId="0" fontId="0" fillId="0" borderId="394" xfId="0" applyBorder="1" applyAlignment="1">
      <alignment horizontal="center"/>
    </xf>
    <xf numFmtId="0" fontId="248" fillId="80" borderId="189" xfId="0" applyFont="1" applyFill="1" applyBorder="1" applyAlignment="1">
      <alignment horizontal="center"/>
    </xf>
    <xf numFmtId="0" fontId="0" fillId="80" borderId="190" xfId="0" applyFill="1" applyBorder="1" applyAlignment="1">
      <alignment horizontal="center"/>
    </xf>
    <xf numFmtId="0" fontId="0" fillId="80" borderId="12" xfId="0" applyFill="1" applyBorder="1" applyAlignment="1">
      <alignment horizontal="center"/>
    </xf>
    <xf numFmtId="0" fontId="0" fillId="80" borderId="0" xfId="0" applyFill="1" applyBorder="1" applyAlignment="1">
      <alignment horizontal="center"/>
    </xf>
    <xf numFmtId="0" fontId="248" fillId="80" borderId="194" xfId="0" applyFont="1" applyFill="1" applyBorder="1" applyAlignment="1">
      <alignment horizontal="center"/>
    </xf>
    <xf numFmtId="0" fontId="248" fillId="80" borderId="102" xfId="0" applyFont="1" applyFill="1" applyBorder="1" applyAlignment="1">
      <alignment horizontal="center"/>
    </xf>
    <xf numFmtId="0" fontId="248" fillId="80" borderId="12" xfId="0" applyFont="1" applyFill="1" applyBorder="1" applyAlignment="1">
      <alignment horizontal="center"/>
    </xf>
    <xf numFmtId="0" fontId="248" fillId="80" borderId="0" xfId="0" applyFont="1" applyFill="1" applyBorder="1" applyAlignment="1">
      <alignment horizontal="center"/>
    </xf>
    <xf numFmtId="0" fontId="248" fillId="80" borderId="196" xfId="0" applyFont="1" applyFill="1" applyBorder="1" applyAlignment="1">
      <alignment horizontal="center"/>
    </xf>
    <xf numFmtId="0" fontId="248" fillId="80" borderId="79" xfId="0" applyFont="1" applyFill="1" applyBorder="1" applyAlignment="1">
      <alignment horizontal="center"/>
    </xf>
    <xf numFmtId="0" fontId="248" fillId="80" borderId="11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1" fillId="80" borderId="30" xfId="0" applyFont="1" applyFill="1" applyBorder="1" applyAlignment="1">
      <alignment horizontal="center"/>
    </xf>
    <xf numFmtId="0" fontId="41" fillId="80" borderId="68" xfId="0" applyFont="1" applyFill="1" applyBorder="1" applyAlignment="1">
      <alignment horizontal="center"/>
    </xf>
    <xf numFmtId="0" fontId="1" fillId="80" borderId="391" xfId="0" applyFont="1" applyFill="1" applyBorder="1" applyAlignment="1">
      <alignment horizontal="center"/>
    </xf>
    <xf numFmtId="0" fontId="1" fillId="80" borderId="426" xfId="0" applyFont="1" applyFill="1" applyBorder="1" applyAlignment="1">
      <alignment horizontal="center"/>
    </xf>
    <xf numFmtId="0" fontId="71" fillId="80" borderId="30" xfId="0" applyFont="1" applyFill="1" applyBorder="1" applyAlignment="1">
      <alignment horizontal="center"/>
    </xf>
    <xf numFmtId="0" fontId="71" fillId="80" borderId="68" xfId="0" applyFont="1" applyFill="1" applyBorder="1" applyAlignment="1">
      <alignment horizontal="center"/>
    </xf>
    <xf numFmtId="0" fontId="71" fillId="80" borderId="391" xfId="0" applyFont="1" applyFill="1" applyBorder="1" applyAlignment="1">
      <alignment horizontal="center"/>
    </xf>
    <xf numFmtId="0" fontId="71" fillId="80" borderId="426" xfId="0" applyFont="1" applyFill="1" applyBorder="1" applyAlignment="1">
      <alignment horizontal="center"/>
    </xf>
    <xf numFmtId="0" fontId="0" fillId="79" borderId="384" xfId="0" applyFill="1" applyBorder="1" applyAlignment="1">
      <alignment horizontal="center"/>
    </xf>
    <xf numFmtId="0" fontId="0" fillId="79" borderId="394" xfId="0" applyFill="1" applyBorder="1" applyAlignment="1">
      <alignment horizontal="center"/>
    </xf>
    <xf numFmtId="0" fontId="0" fillId="80" borderId="384" xfId="0" applyFill="1" applyBorder="1" applyAlignment="1">
      <alignment horizontal="center"/>
    </xf>
    <xf numFmtId="0" fontId="0" fillId="80" borderId="394" xfId="0" applyFill="1" applyBorder="1" applyAlignment="1">
      <alignment horizontal="center"/>
    </xf>
    <xf numFmtId="1" fontId="414" fillId="147" borderId="190" xfId="0" applyNumberFormat="1" applyFont="1" applyFill="1" applyBorder="1" applyAlignment="1" applyProtection="1">
      <alignment horizontal="center"/>
      <protection locked="0"/>
    </xf>
    <xf numFmtId="1" fontId="414" fillId="147" borderId="0" xfId="0" applyNumberFormat="1" applyFont="1" applyFill="1" applyBorder="1" applyAlignment="1" applyProtection="1">
      <alignment horizontal="center"/>
      <protection locked="0"/>
    </xf>
    <xf numFmtId="1" fontId="414" fillId="147" borderId="79" xfId="0" applyNumberFormat="1" applyFont="1" applyFill="1" applyBorder="1" applyAlignment="1" applyProtection="1">
      <alignment horizontal="center"/>
      <protection locked="0"/>
    </xf>
    <xf numFmtId="0" fontId="9" fillId="107" borderId="0" xfId="0" applyFont="1" applyFill="1" applyBorder="1" applyAlignment="1">
      <alignment horizontal="center" wrapText="1"/>
    </xf>
    <xf numFmtId="0" fontId="428" fillId="107" borderId="313" xfId="0" applyFont="1" applyFill="1" applyBorder="1" applyAlignment="1" applyProtection="1">
      <alignment horizontal="center"/>
      <protection locked="0"/>
    </xf>
    <xf numFmtId="0" fontId="428" fillId="107" borderId="0" xfId="0" applyFont="1" applyFill="1" applyAlignment="1" applyProtection="1">
      <alignment horizontal="center"/>
      <protection locked="0"/>
    </xf>
    <xf numFmtId="1" fontId="306" fillId="141" borderId="258" xfId="0" applyNumberFormat="1" applyFont="1" applyFill="1" applyBorder="1" applyAlignment="1">
      <alignment horizontal="center"/>
    </xf>
    <xf numFmtId="1" fontId="306" fillId="141" borderId="260" xfId="0" applyNumberFormat="1" applyFont="1" applyFill="1" applyBorder="1" applyAlignment="1">
      <alignment horizontal="center"/>
    </xf>
    <xf numFmtId="0" fontId="106" fillId="19" borderId="285" xfId="0" quotePrefix="1" applyFont="1" applyFill="1" applyBorder="1" applyAlignment="1">
      <alignment horizontal="center"/>
    </xf>
    <xf numFmtId="0" fontId="106" fillId="19" borderId="0" xfId="0" quotePrefix="1" applyFont="1" applyFill="1" applyAlignment="1">
      <alignment horizontal="center"/>
    </xf>
    <xf numFmtId="21" fontId="81" fillId="14" borderId="245" xfId="0" applyNumberFormat="1" applyFont="1" applyFill="1" applyBorder="1" applyAlignment="1">
      <alignment horizontal="center" wrapText="1"/>
    </xf>
    <xf numFmtId="21" fontId="81" fillId="14" borderId="179" xfId="0" applyNumberFormat="1" applyFont="1" applyFill="1" applyBorder="1" applyAlignment="1">
      <alignment horizontal="center" wrapText="1"/>
    </xf>
    <xf numFmtId="21" fontId="81" fillId="14" borderId="201" xfId="0" applyNumberFormat="1" applyFont="1" applyFill="1" applyBorder="1" applyAlignment="1">
      <alignment horizontal="center" wrapText="1"/>
    </xf>
    <xf numFmtId="21" fontId="81" fillId="14" borderId="271" xfId="0" applyNumberFormat="1" applyFont="1" applyFill="1" applyBorder="1" applyAlignment="1">
      <alignment horizontal="center" wrapText="1"/>
    </xf>
    <xf numFmtId="21" fontId="81" fillId="14" borderId="272" xfId="0" applyNumberFormat="1" applyFont="1" applyFill="1" applyBorder="1" applyAlignment="1">
      <alignment horizontal="center" wrapText="1"/>
    </xf>
    <xf numFmtId="21" fontId="86" fillId="28" borderId="112" xfId="0" applyNumberFormat="1" applyFont="1" applyFill="1" applyBorder="1" applyAlignment="1">
      <alignment horizontal="center" wrapText="1"/>
    </xf>
    <xf numFmtId="21" fontId="86" fillId="28" borderId="179" xfId="0" applyNumberFormat="1" applyFont="1" applyFill="1" applyBorder="1" applyAlignment="1">
      <alignment horizontal="center" wrapText="1"/>
    </xf>
    <xf numFmtId="21" fontId="86" fillId="28" borderId="201" xfId="0" applyNumberFormat="1" applyFont="1" applyFill="1" applyBorder="1" applyAlignment="1">
      <alignment horizontal="center" wrapText="1"/>
    </xf>
    <xf numFmtId="1" fontId="348" fillId="120" borderId="190" xfId="0" applyNumberFormat="1" applyFont="1" applyFill="1" applyBorder="1" applyAlignment="1" applyProtection="1">
      <alignment horizontal="center"/>
      <protection locked="0"/>
    </xf>
    <xf numFmtId="1" fontId="348" fillId="120" borderId="0" xfId="0" applyNumberFormat="1" applyFont="1" applyFill="1" applyAlignment="1" applyProtection="1">
      <alignment horizontal="center"/>
      <protection locked="0"/>
    </xf>
    <xf numFmtId="166" fontId="284" fillId="80" borderId="189" xfId="0" applyNumberFormat="1" applyFont="1" applyFill="1" applyBorder="1" applyAlignment="1">
      <alignment horizontal="center" wrapText="1"/>
    </xf>
    <xf numFmtId="166" fontId="284" fillId="80" borderId="190" xfId="0" applyNumberFormat="1" applyFont="1" applyFill="1" applyBorder="1" applyAlignment="1">
      <alignment horizontal="center" wrapText="1"/>
    </xf>
    <xf numFmtId="166" fontId="284" fillId="80" borderId="194" xfId="0" applyNumberFormat="1" applyFont="1" applyFill="1" applyBorder="1" applyAlignment="1">
      <alignment horizontal="center" wrapText="1"/>
    </xf>
    <xf numFmtId="166" fontId="284" fillId="80" borderId="196" xfId="0" applyNumberFormat="1" applyFont="1" applyFill="1" applyBorder="1" applyAlignment="1">
      <alignment horizontal="center" wrapText="1"/>
    </xf>
    <xf numFmtId="166" fontId="284" fillId="80" borderId="79" xfId="0" applyNumberFormat="1" applyFont="1" applyFill="1" applyBorder="1" applyAlignment="1">
      <alignment horizontal="center" wrapText="1"/>
    </xf>
    <xf numFmtId="166" fontId="284" fillId="80" borderId="113" xfId="0" applyNumberFormat="1" applyFont="1" applyFill="1" applyBorder="1" applyAlignment="1">
      <alignment horizontal="center" wrapText="1"/>
    </xf>
    <xf numFmtId="0" fontId="389" fillId="80" borderId="60" xfId="0" applyFont="1" applyFill="1" applyBorder="1" applyAlignment="1">
      <alignment horizontal="center" wrapText="1"/>
    </xf>
    <xf numFmtId="0" fontId="389" fillId="80" borderId="58" xfId="0" applyFont="1" applyFill="1" applyBorder="1" applyAlignment="1">
      <alignment horizontal="center" wrapText="1"/>
    </xf>
    <xf numFmtId="0" fontId="389" fillId="80" borderId="197" xfId="0" applyFont="1" applyFill="1" applyBorder="1" applyAlignment="1">
      <alignment horizontal="center" wrapText="1"/>
    </xf>
    <xf numFmtId="0" fontId="2" fillId="15" borderId="344" xfId="0" applyFont="1" applyFill="1" applyBorder="1" applyAlignment="1">
      <alignment horizontal="center"/>
    </xf>
    <xf numFmtId="0" fontId="0" fillId="15" borderId="353" xfId="0" applyFill="1" applyBorder="1" applyAlignment="1">
      <alignment horizontal="center"/>
    </xf>
    <xf numFmtId="0" fontId="0" fillId="15" borderId="342" xfId="0" applyFill="1" applyBorder="1" applyAlignment="1">
      <alignment horizontal="center"/>
    </xf>
    <xf numFmtId="1" fontId="249" fillId="3" borderId="284" xfId="0" applyNumberFormat="1" applyFont="1" applyFill="1" applyBorder="1" applyAlignment="1" applyProtection="1">
      <alignment horizontal="center" wrapText="1"/>
      <protection locked="0"/>
    </xf>
    <xf numFmtId="1" fontId="249" fillId="3" borderId="0" xfId="0" applyNumberFormat="1" applyFont="1" applyFill="1" applyBorder="1" applyAlignment="1" applyProtection="1">
      <alignment horizontal="center" wrapText="1"/>
      <protection locked="0"/>
    </xf>
    <xf numFmtId="1" fontId="265" fillId="3" borderId="0" xfId="0" applyNumberFormat="1" applyFont="1" applyFill="1" applyBorder="1" applyAlignment="1" applyProtection="1">
      <alignment horizontal="center" wrapText="1"/>
      <protection locked="0"/>
    </xf>
    <xf numFmtId="1" fontId="265" fillId="3" borderId="260" xfId="0" applyNumberFormat="1" applyFont="1" applyFill="1" applyBorder="1" applyAlignment="1" applyProtection="1">
      <alignment horizontal="center" wrapText="1"/>
      <protection locked="0"/>
    </xf>
    <xf numFmtId="14" fontId="19" fillId="80" borderId="0" xfId="0" applyNumberFormat="1" applyFont="1" applyFill="1" applyAlignment="1">
      <alignment horizontal="center"/>
    </xf>
    <xf numFmtId="14" fontId="19" fillId="72" borderId="285" xfId="0" applyNumberFormat="1" applyFont="1" applyFill="1" applyBorder="1" applyAlignment="1">
      <alignment horizontal="center"/>
    </xf>
    <xf numFmtId="14" fontId="19" fillId="72" borderId="123" xfId="0" applyNumberFormat="1" applyFont="1" applyFill="1" applyBorder="1" applyAlignment="1">
      <alignment horizontal="center"/>
    </xf>
    <xf numFmtId="14" fontId="19" fillId="78" borderId="143" xfId="0" applyNumberFormat="1" applyFont="1" applyFill="1" applyBorder="1" applyAlignment="1">
      <alignment horizontal="center"/>
    </xf>
    <xf numFmtId="14" fontId="19" fillId="78" borderId="286" xfId="0" applyNumberFormat="1" applyFont="1" applyFill="1" applyBorder="1" applyAlignment="1">
      <alignment horizontal="center"/>
    </xf>
    <xf numFmtId="14" fontId="19" fillId="0" borderId="285" xfId="0" applyNumberFormat="1" applyFont="1" applyFill="1" applyBorder="1" applyAlignment="1">
      <alignment horizontal="center"/>
    </xf>
    <xf numFmtId="14" fontId="19" fillId="0" borderId="123" xfId="0" applyNumberFormat="1" applyFont="1" applyFill="1" applyBorder="1" applyAlignment="1">
      <alignment horizontal="center"/>
    </xf>
    <xf numFmtId="0" fontId="83" fillId="91" borderId="112" xfId="0" applyFont="1" applyFill="1" applyBorder="1" applyAlignment="1">
      <alignment horizontal="center"/>
    </xf>
    <xf numFmtId="0" fontId="83" fillId="91" borderId="147" xfId="0" applyFont="1" applyFill="1" applyBorder="1" applyAlignment="1">
      <alignment horizontal="center"/>
    </xf>
    <xf numFmtId="21" fontId="81" fillId="14" borderId="159" xfId="0" applyNumberFormat="1" applyFont="1" applyFill="1" applyBorder="1" applyAlignment="1">
      <alignment horizontal="center"/>
    </xf>
    <xf numFmtId="21" fontId="81" fillId="14" borderId="160" xfId="0" applyNumberFormat="1" applyFont="1" applyFill="1" applyBorder="1" applyAlignment="1">
      <alignment horizontal="center"/>
    </xf>
    <xf numFmtId="21" fontId="81" fillId="14" borderId="74" xfId="0" applyNumberFormat="1" applyFont="1" applyFill="1" applyBorder="1" applyAlignment="1">
      <alignment horizontal="center"/>
    </xf>
    <xf numFmtId="21" fontId="81" fillId="14" borderId="75" xfId="0" applyNumberFormat="1" applyFont="1" applyFill="1" applyBorder="1" applyAlignment="1">
      <alignment horizontal="center"/>
    </xf>
    <xf numFmtId="0" fontId="106" fillId="19" borderId="0" xfId="0" quotePrefix="1" applyFont="1" applyFill="1" applyBorder="1" applyAlignment="1">
      <alignment horizontal="center"/>
    </xf>
    <xf numFmtId="0" fontId="2" fillId="94" borderId="219" xfId="0" applyFont="1" applyFill="1" applyBorder="1" applyAlignment="1">
      <alignment horizontal="center"/>
    </xf>
    <xf numFmtId="0" fontId="0" fillId="94" borderId="225" xfId="0" applyFill="1" applyBorder="1" applyAlignment="1">
      <alignment horizontal="center"/>
    </xf>
    <xf numFmtId="0" fontId="0" fillId="94" borderId="295" xfId="0" applyFill="1" applyBorder="1" applyAlignment="1">
      <alignment horizontal="center"/>
    </xf>
    <xf numFmtId="0" fontId="2" fillId="170" borderId="219" xfId="0" applyFont="1" applyFill="1" applyBorder="1" applyAlignment="1">
      <alignment horizontal="center"/>
    </xf>
    <xf numFmtId="0" fontId="2" fillId="170" borderId="225" xfId="0" applyFont="1" applyFill="1" applyBorder="1" applyAlignment="1">
      <alignment horizontal="center"/>
    </xf>
    <xf numFmtId="0" fontId="2" fillId="170" borderId="295" xfId="0" applyFont="1" applyFill="1" applyBorder="1" applyAlignment="1">
      <alignment horizontal="center"/>
    </xf>
    <xf numFmtId="0" fontId="2" fillId="80" borderId="219" xfId="0" applyFont="1" applyFill="1" applyBorder="1" applyAlignment="1">
      <alignment horizontal="center"/>
    </xf>
    <xf numFmtId="0" fontId="0" fillId="80" borderId="225" xfId="0" applyFill="1" applyBorder="1" applyAlignment="1">
      <alignment horizontal="center"/>
    </xf>
    <xf numFmtId="0" fontId="0" fillId="80" borderId="295" xfId="0" applyFill="1" applyBorder="1" applyAlignment="1">
      <alignment horizontal="center"/>
    </xf>
    <xf numFmtId="0" fontId="2" fillId="107" borderId="258" xfId="0" applyFont="1" applyFill="1" applyBorder="1" applyAlignment="1">
      <alignment horizontal="center"/>
    </xf>
    <xf numFmtId="0" fontId="2" fillId="107" borderId="253" xfId="0" applyFont="1" applyFill="1" applyBorder="1" applyAlignment="1">
      <alignment horizontal="center"/>
    </xf>
    <xf numFmtId="0" fontId="2" fillId="94" borderId="258" xfId="0" applyFont="1" applyFill="1" applyBorder="1" applyAlignment="1">
      <alignment horizontal="center"/>
    </xf>
    <xf numFmtId="0" fontId="0" fillId="94" borderId="260" xfId="0" applyFill="1" applyBorder="1" applyAlignment="1">
      <alignment horizontal="center"/>
    </xf>
    <xf numFmtId="0" fontId="0" fillId="94" borderId="253" xfId="0" applyFill="1" applyBorder="1" applyAlignment="1">
      <alignment horizontal="center"/>
    </xf>
    <xf numFmtId="0" fontId="2" fillId="170" borderId="258" xfId="0" applyFont="1" applyFill="1" applyBorder="1" applyAlignment="1">
      <alignment horizontal="center"/>
    </xf>
    <xf numFmtId="0" fontId="2" fillId="170" borderId="260" xfId="0" applyFont="1" applyFill="1" applyBorder="1" applyAlignment="1">
      <alignment horizontal="center"/>
    </xf>
    <xf numFmtId="0" fontId="2" fillId="170" borderId="253" xfId="0" applyFont="1" applyFill="1" applyBorder="1" applyAlignment="1">
      <alignment horizontal="center"/>
    </xf>
    <xf numFmtId="0" fontId="2" fillId="80" borderId="258" xfId="0" applyFont="1" applyFill="1" applyBorder="1" applyAlignment="1">
      <alignment horizontal="center"/>
    </xf>
    <xf numFmtId="0" fontId="0" fillId="80" borderId="260" xfId="0" applyFill="1" applyBorder="1" applyAlignment="1">
      <alignment horizontal="center"/>
    </xf>
    <xf numFmtId="0" fontId="0" fillId="80" borderId="253" xfId="0" applyFill="1" applyBorder="1" applyAlignment="1">
      <alignment horizontal="center"/>
    </xf>
    <xf numFmtId="0" fontId="292" fillId="112" borderId="30" xfId="0" applyFont="1" applyFill="1" applyBorder="1" applyAlignment="1">
      <alignment horizontal="center"/>
    </xf>
    <xf numFmtId="0" fontId="1" fillId="112" borderId="67" xfId="0" applyFont="1" applyFill="1" applyBorder="1" applyAlignment="1">
      <alignment horizontal="center"/>
    </xf>
    <xf numFmtId="0" fontId="1" fillId="112" borderId="68" xfId="0" applyFont="1" applyFill="1" applyBorder="1" applyAlignment="1">
      <alignment horizontal="center"/>
    </xf>
    <xf numFmtId="0" fontId="292" fillId="112" borderId="267" xfId="0" applyFont="1" applyFill="1" applyBorder="1" applyAlignment="1">
      <alignment horizontal="center"/>
    </xf>
    <xf numFmtId="0" fontId="1" fillId="112" borderId="260" xfId="0" applyFont="1" applyFill="1" applyBorder="1" applyAlignment="1">
      <alignment horizontal="center"/>
    </xf>
    <xf numFmtId="0" fontId="1" fillId="112" borderId="254" xfId="0" applyFont="1" applyFill="1" applyBorder="1" applyAlignment="1">
      <alignment horizontal="center"/>
    </xf>
    <xf numFmtId="0" fontId="2" fillId="107" borderId="219" xfId="0" applyFont="1" applyFill="1" applyBorder="1" applyAlignment="1">
      <alignment horizontal="center"/>
    </xf>
    <xf numFmtId="0" fontId="2" fillId="107" borderId="295" xfId="0" applyFont="1" applyFill="1" applyBorder="1" applyAlignment="1">
      <alignment horizontal="center"/>
    </xf>
    <xf numFmtId="0" fontId="334" fillId="0" borderId="0" xfId="0" applyFont="1" applyAlignment="1">
      <alignment horizontal="center"/>
    </xf>
    <xf numFmtId="0" fontId="334" fillId="0" borderId="29" xfId="0" applyFont="1" applyBorder="1" applyAlignment="1">
      <alignment horizontal="center"/>
    </xf>
    <xf numFmtId="0" fontId="1" fillId="8" borderId="95" xfId="0" applyFont="1" applyFill="1" applyBorder="1" applyAlignment="1">
      <alignment horizontal="center"/>
    </xf>
    <xf numFmtId="0" fontId="1" fillId="8" borderId="94" xfId="0" applyFont="1" applyFill="1" applyBorder="1" applyAlignment="1">
      <alignment horizontal="center"/>
    </xf>
    <xf numFmtId="0" fontId="287" fillId="3" borderId="180" xfId="0" applyFont="1" applyFill="1" applyBorder="1" applyAlignment="1" applyProtection="1">
      <alignment horizontal="center"/>
    </xf>
    <xf numFmtId="0" fontId="287" fillId="3" borderId="181" xfId="0" applyFont="1" applyFill="1" applyBorder="1" applyAlignment="1" applyProtection="1">
      <alignment horizontal="center"/>
    </xf>
    <xf numFmtId="0" fontId="287" fillId="3" borderId="182" xfId="0" applyFont="1" applyFill="1" applyBorder="1" applyAlignment="1" applyProtection="1">
      <alignment horizontal="center"/>
    </xf>
    <xf numFmtId="0" fontId="287" fillId="3" borderId="184" xfId="0" applyFont="1" applyFill="1" applyBorder="1" applyAlignment="1" applyProtection="1">
      <alignment horizontal="center"/>
    </xf>
    <xf numFmtId="0" fontId="287" fillId="3" borderId="185" xfId="0" applyFont="1" applyFill="1" applyBorder="1" applyAlignment="1" applyProtection="1">
      <alignment horizontal="center"/>
    </xf>
    <xf numFmtId="1" fontId="147" fillId="14" borderId="180" xfId="0" applyNumberFormat="1" applyFont="1" applyFill="1" applyBorder="1" applyAlignment="1">
      <alignment horizontal="center"/>
    </xf>
    <xf numFmtId="1" fontId="147" fillId="14" borderId="184" xfId="0" applyNumberFormat="1" applyFont="1" applyFill="1" applyBorder="1" applyAlignment="1">
      <alignment horizontal="center"/>
    </xf>
    <xf numFmtId="1" fontId="147" fillId="14" borderId="185" xfId="0" applyNumberFormat="1" applyFont="1" applyFill="1" applyBorder="1" applyAlignment="1">
      <alignment horizontal="center"/>
    </xf>
    <xf numFmtId="166" fontId="41" fillId="15" borderId="86" xfId="0" applyNumberFormat="1" applyFont="1" applyFill="1" applyBorder="1" applyAlignment="1">
      <alignment horizontal="center"/>
    </xf>
    <xf numFmtId="166" fontId="41" fillId="15" borderId="80" xfId="0" applyNumberFormat="1" applyFont="1" applyFill="1" applyBorder="1" applyAlignment="1">
      <alignment horizontal="center"/>
    </xf>
    <xf numFmtId="166" fontId="41" fillId="15" borderId="129" xfId="0" applyNumberFormat="1" applyFont="1" applyFill="1" applyBorder="1" applyAlignment="1">
      <alignment horizontal="center"/>
    </xf>
    <xf numFmtId="21" fontId="41" fillId="15" borderId="180" xfId="0" applyNumberFormat="1" applyFont="1" applyFill="1" applyBorder="1" applyAlignment="1">
      <alignment horizontal="center"/>
    </xf>
    <xf numFmtId="21" fontId="41" fillId="15" borderId="181" xfId="0" applyNumberFormat="1" applyFont="1" applyFill="1" applyBorder="1" applyAlignment="1">
      <alignment horizontal="center"/>
    </xf>
    <xf numFmtId="21" fontId="41" fillId="15" borderId="182" xfId="0" applyNumberFormat="1" applyFont="1" applyFill="1" applyBorder="1" applyAlignment="1">
      <alignment horizontal="center"/>
    </xf>
    <xf numFmtId="21" fontId="41" fillId="15" borderId="184" xfId="0" applyNumberFormat="1" applyFont="1" applyFill="1" applyBorder="1" applyAlignment="1">
      <alignment horizontal="center"/>
    </xf>
    <xf numFmtId="21" fontId="41" fillId="15" borderId="185" xfId="0" applyNumberFormat="1" applyFont="1" applyFill="1" applyBorder="1" applyAlignment="1">
      <alignment horizontal="center"/>
    </xf>
    <xf numFmtId="0" fontId="284" fillId="3" borderId="0" xfId="0" applyFont="1" applyFill="1" applyAlignment="1" applyProtection="1">
      <alignment horizontal="center"/>
      <protection locked="0"/>
    </xf>
    <xf numFmtId="21" fontId="41" fillId="109" borderId="180" xfId="0" applyNumberFormat="1" applyFont="1" applyFill="1" applyBorder="1" applyAlignment="1">
      <alignment horizontal="center"/>
    </xf>
    <xf numFmtId="21" fontId="41" fillId="109" borderId="181" xfId="0" applyNumberFormat="1" applyFont="1" applyFill="1" applyBorder="1" applyAlignment="1">
      <alignment horizontal="center"/>
    </xf>
    <xf numFmtId="21" fontId="41" fillId="109" borderId="80" xfId="0" applyNumberFormat="1" applyFont="1" applyFill="1" applyBorder="1" applyAlignment="1">
      <alignment horizontal="center"/>
    </xf>
    <xf numFmtId="21" fontId="41" fillId="109" borderId="0" xfId="0" applyNumberFormat="1" applyFont="1" applyFill="1" applyBorder="1" applyAlignment="1">
      <alignment horizontal="center"/>
    </xf>
    <xf numFmtId="21" fontId="41" fillId="109" borderId="123" xfId="0" applyNumberFormat="1" applyFont="1" applyFill="1" applyBorder="1" applyAlignment="1">
      <alignment horizontal="center"/>
    </xf>
    <xf numFmtId="0" fontId="287" fillId="3" borderId="183" xfId="0" applyFont="1" applyFill="1" applyBorder="1" applyAlignment="1" applyProtection="1">
      <alignment horizontal="center"/>
    </xf>
    <xf numFmtId="0" fontId="248" fillId="85" borderId="66" xfId="0" applyFont="1" applyFill="1" applyBorder="1" applyAlignment="1">
      <alignment horizontal="right"/>
    </xf>
    <xf numFmtId="0" fontId="248" fillId="85" borderId="34" xfId="0" applyFont="1" applyFill="1" applyBorder="1" applyAlignment="1">
      <alignment horizontal="right"/>
    </xf>
    <xf numFmtId="0" fontId="248" fillId="85" borderId="37" xfId="0" applyFont="1" applyFill="1" applyBorder="1" applyAlignment="1">
      <alignment horizontal="right"/>
    </xf>
    <xf numFmtId="0" fontId="1" fillId="80" borderId="0" xfId="0" applyFont="1" applyFill="1" applyBorder="1" applyAlignment="1">
      <alignment horizontal="center"/>
    </xf>
    <xf numFmtId="0" fontId="71" fillId="80" borderId="0" xfId="0" applyFont="1" applyFill="1" applyBorder="1" applyAlignment="1">
      <alignment horizontal="center"/>
    </xf>
    <xf numFmtId="0" fontId="248" fillId="75" borderId="96" xfId="0" applyFont="1" applyFill="1" applyBorder="1" applyAlignment="1">
      <alignment horizontal="right"/>
    </xf>
    <xf numFmtId="0" fontId="248" fillId="75" borderId="150" xfId="0" applyFont="1" applyFill="1" applyBorder="1" applyAlignment="1">
      <alignment horizontal="right"/>
    </xf>
    <xf numFmtId="0" fontId="170" fillId="123" borderId="0" xfId="0" applyFont="1" applyFill="1" applyAlignment="1">
      <alignment horizontal="center"/>
    </xf>
    <xf numFmtId="3" fontId="299" fillId="123" borderId="0" xfId="0" applyNumberFormat="1" applyFont="1" applyFill="1" applyAlignment="1">
      <alignment horizontal="center"/>
    </xf>
    <xf numFmtId="0" fontId="299" fillId="123" borderId="0" xfId="0" applyFont="1" applyFill="1" applyAlignment="1">
      <alignment horizontal="center"/>
    </xf>
    <xf numFmtId="0" fontId="298" fillId="120" borderId="189" xfId="0" applyFont="1" applyFill="1" applyBorder="1" applyAlignment="1">
      <alignment horizontal="center"/>
    </xf>
    <xf numFmtId="0" fontId="298" fillId="120" borderId="190" xfId="0" applyFont="1" applyFill="1" applyBorder="1" applyAlignment="1">
      <alignment horizontal="center"/>
    </xf>
    <xf numFmtId="0" fontId="298" fillId="120" borderId="194" xfId="0" applyFont="1" applyFill="1" applyBorder="1" applyAlignment="1">
      <alignment horizontal="center"/>
    </xf>
    <xf numFmtId="0" fontId="298" fillId="120" borderId="12" xfId="0" applyFont="1" applyFill="1" applyBorder="1" applyAlignment="1">
      <alignment horizontal="center"/>
    </xf>
    <xf numFmtId="0" fontId="298" fillId="120" borderId="0" xfId="0" applyFont="1" applyFill="1" applyBorder="1" applyAlignment="1">
      <alignment horizontal="center"/>
    </xf>
    <xf numFmtId="0" fontId="298" fillId="120" borderId="102" xfId="0" applyFont="1" applyFill="1" applyBorder="1" applyAlignment="1">
      <alignment horizontal="center"/>
    </xf>
    <xf numFmtId="0" fontId="298" fillId="120" borderId="196" xfId="0" applyFont="1" applyFill="1" applyBorder="1" applyAlignment="1">
      <alignment horizontal="center"/>
    </xf>
    <xf numFmtId="0" fontId="298" fillId="120" borderId="79" xfId="0" applyFont="1" applyFill="1" applyBorder="1" applyAlignment="1">
      <alignment horizontal="center"/>
    </xf>
    <xf numFmtId="0" fontId="298" fillId="120" borderId="113" xfId="0" applyFont="1" applyFill="1" applyBorder="1" applyAlignment="1">
      <alignment horizontal="center"/>
    </xf>
    <xf numFmtId="0" fontId="0" fillId="72" borderId="189" xfId="0" applyFill="1" applyBorder="1" applyAlignment="1">
      <alignment horizontal="center"/>
    </xf>
    <xf numFmtId="0" fontId="0" fillId="72" borderId="12" xfId="0" applyFill="1" applyBorder="1" applyAlignment="1">
      <alignment horizontal="center"/>
    </xf>
    <xf numFmtId="0" fontId="296" fillId="0" borderId="12" xfId="0" applyFont="1" applyBorder="1" applyAlignment="1">
      <alignment horizontal="center"/>
    </xf>
    <xf numFmtId="0" fontId="297" fillId="105" borderId="189" xfId="0" applyFont="1" applyFill="1" applyBorder="1" applyAlignment="1">
      <alignment horizontal="center"/>
    </xf>
    <xf numFmtId="0" fontId="297" fillId="105" borderId="190" xfId="0" applyFont="1" applyFill="1" applyBorder="1" applyAlignment="1">
      <alignment horizontal="center"/>
    </xf>
    <xf numFmtId="0" fontId="297" fillId="105" borderId="194" xfId="0" applyFont="1" applyFill="1" applyBorder="1" applyAlignment="1">
      <alignment horizontal="center"/>
    </xf>
    <xf numFmtId="0" fontId="297" fillId="105" borderId="12" xfId="0" applyFont="1" applyFill="1" applyBorder="1" applyAlignment="1">
      <alignment horizontal="center"/>
    </xf>
    <xf numFmtId="0" fontId="297" fillId="105" borderId="0" xfId="0" applyFont="1" applyFill="1" applyBorder="1" applyAlignment="1">
      <alignment horizontal="center"/>
    </xf>
    <xf numFmtId="0" fontId="297" fillId="105" borderId="102" xfId="0" applyFont="1" applyFill="1" applyBorder="1" applyAlignment="1">
      <alignment horizontal="center"/>
    </xf>
    <xf numFmtId="0" fontId="297" fillId="105" borderId="196" xfId="0" applyFont="1" applyFill="1" applyBorder="1" applyAlignment="1">
      <alignment horizontal="center"/>
    </xf>
    <xf numFmtId="0" fontId="297" fillId="105" borderId="79" xfId="0" applyFont="1" applyFill="1" applyBorder="1" applyAlignment="1">
      <alignment horizontal="center"/>
    </xf>
    <xf numFmtId="0" fontId="297" fillId="105" borderId="113" xfId="0" applyFont="1" applyFill="1" applyBorder="1" applyAlignment="1">
      <alignment horizontal="center"/>
    </xf>
    <xf numFmtId="0" fontId="437" fillId="80" borderId="0" xfId="0" applyFont="1" applyFill="1" applyAlignment="1"/>
    <xf numFmtId="0" fontId="95" fillId="0" borderId="0" xfId="0" applyFont="1" applyAlignment="1"/>
    <xf numFmtId="0" fontId="438" fillId="144" borderId="0" xfId="0" applyFont="1" applyFill="1" applyAlignment="1">
      <alignment horizontal="center"/>
    </xf>
    <xf numFmtId="0" fontId="1" fillId="81" borderId="0" xfId="0" applyFont="1" applyFill="1"/>
    <xf numFmtId="0" fontId="54" fillId="81" borderId="0" xfId="0" applyFont="1" applyFill="1" applyProtection="1"/>
    <xf numFmtId="45" fontId="54" fillId="81" borderId="0" xfId="0" applyNumberFormat="1" applyFont="1" applyFill="1" applyAlignment="1" applyProtection="1">
      <alignment horizontal="center"/>
    </xf>
    <xf numFmtId="0" fontId="8" fillId="81" borderId="0" xfId="0" applyFont="1" applyFill="1" applyProtection="1"/>
    <xf numFmtId="0" fontId="10" fillId="81" borderId="0" xfId="0" applyFont="1" applyFill="1" applyAlignment="1" applyProtection="1">
      <alignment horizontal="center"/>
    </xf>
    <xf numFmtId="0" fontId="7" fillId="81" borderId="0" xfId="0" applyFont="1" applyFill="1" applyProtection="1"/>
    <xf numFmtId="0" fontId="9" fillId="81" borderId="0" xfId="0" applyFont="1" applyFill="1" applyProtection="1"/>
    <xf numFmtId="0" fontId="19" fillId="81" borderId="0" xfId="0" applyFont="1" applyFill="1" applyProtection="1"/>
    <xf numFmtId="1" fontId="19" fillId="81" borderId="0" xfId="0" applyNumberFormat="1" applyFont="1" applyFill="1" applyProtection="1"/>
    <xf numFmtId="0" fontId="95" fillId="77" borderId="0" xfId="0" applyFont="1" applyFill="1" applyAlignment="1"/>
    <xf numFmtId="0" fontId="1" fillId="77" borderId="0" xfId="0" applyFont="1" applyFill="1"/>
    <xf numFmtId="166" fontId="54" fillId="77" borderId="0" xfId="0" applyNumberFormat="1" applyFont="1" applyFill="1" applyAlignment="1" applyProtection="1">
      <alignment horizontal="center"/>
    </xf>
    <xf numFmtId="0" fontId="19" fillId="77" borderId="0" xfId="0" applyFont="1" applyFill="1" applyProtection="1"/>
    <xf numFmtId="166" fontId="19" fillId="77" borderId="0" xfId="0" applyNumberFormat="1" applyFont="1" applyFill="1" applyAlignment="1" applyProtection="1">
      <alignment horizontal="center"/>
    </xf>
    <xf numFmtId="21" fontId="10" fillId="77" borderId="0" xfId="0" applyNumberFormat="1" applyFont="1" applyFill="1" applyAlignment="1" applyProtection="1">
      <alignment horizontal="center"/>
    </xf>
    <xf numFmtId="0" fontId="10" fillId="77" borderId="0" xfId="0" applyFont="1" applyFill="1" applyAlignment="1" applyProtection="1">
      <alignment horizontal="center"/>
    </xf>
    <xf numFmtId="3" fontId="9" fillId="77" borderId="0" xfId="0" applyNumberFormat="1" applyFont="1" applyFill="1" applyAlignment="1" applyProtection="1">
      <alignment horizontal="center"/>
    </xf>
    <xf numFmtId="21" fontId="81" fillId="125" borderId="35" xfId="0" applyNumberFormat="1" applyFont="1" applyFill="1" applyBorder="1"/>
    <xf numFmtId="1" fontId="81" fillId="125" borderId="111" xfId="0" applyNumberFormat="1" applyFont="1" applyFill="1" applyBorder="1"/>
    <xf numFmtId="0" fontId="19" fillId="125" borderId="35" xfId="0" applyFont="1" applyFill="1" applyBorder="1"/>
    <xf numFmtId="176" fontId="10" fillId="125" borderId="35" xfId="0" applyNumberFormat="1" applyFont="1" applyFill="1" applyBorder="1"/>
    <xf numFmtId="166" fontId="19" fillId="125" borderId="35" xfId="0" applyNumberFormat="1" applyFont="1" applyFill="1" applyBorder="1"/>
    <xf numFmtId="21" fontId="86" fillId="125" borderId="35" xfId="0" quotePrefix="1" applyNumberFormat="1" applyFont="1" applyFill="1" applyBorder="1" applyAlignment="1">
      <alignment horizontal="center"/>
    </xf>
    <xf numFmtId="1" fontId="86" fillId="125" borderId="35" xfId="0" applyNumberFormat="1" applyFont="1" applyFill="1" applyBorder="1" applyAlignment="1">
      <alignment horizontal="center"/>
    </xf>
    <xf numFmtId="0" fontId="19" fillId="125" borderId="36" xfId="0" applyFont="1" applyFill="1" applyBorder="1"/>
    <xf numFmtId="0" fontId="152" fillId="125" borderId="35" xfId="0" applyFont="1" applyFill="1" applyBorder="1"/>
    <xf numFmtId="21" fontId="152" fillId="125" borderId="35" xfId="0" applyNumberFormat="1" applyFont="1" applyFill="1" applyBorder="1"/>
    <xf numFmtId="176" fontId="84" fillId="125" borderId="35" xfId="0" applyNumberFormat="1" applyFont="1" applyFill="1" applyBorder="1"/>
    <xf numFmtId="166" fontId="152" fillId="125" borderId="35" xfId="0" applyNumberFormat="1" applyFont="1" applyFill="1" applyBorder="1"/>
    <xf numFmtId="0" fontId="84" fillId="125" borderId="35" xfId="0" quotePrefix="1" applyFont="1" applyFill="1" applyBorder="1" applyAlignment="1">
      <alignment horizontal="center"/>
    </xf>
    <xf numFmtId="0" fontId="10" fillId="125" borderId="35" xfId="0" applyFont="1" applyFill="1" applyBorder="1" applyAlignment="1">
      <alignment horizontal="center"/>
    </xf>
  </cellXfs>
  <cellStyles count="168">
    <cellStyle name="Euro" xfId="1" xr:uid="{00000000-0005-0000-0000-000000000000}"/>
    <cellStyle name="Hipervínculo" xfId="25" builtinId="8" hidden="1"/>
    <cellStyle name="Hipervínculo" xfId="27" builtinId="8" hidden="1"/>
    <cellStyle name="Hipervínculo" xfId="69" builtinId="8" hidden="1"/>
    <cellStyle name="Hipervínculo" xfId="59" builtinId="8" hidden="1"/>
    <cellStyle name="Hipervínculo" xfId="89" builtinId="8" hidden="1"/>
    <cellStyle name="Hipervínculo" xfId="127" builtinId="8" hidden="1"/>
    <cellStyle name="Hipervínculo" xfId="161" builtinId="8" hidden="1"/>
    <cellStyle name="Hipervínculo" xfId="157" builtinId="8" hidden="1"/>
    <cellStyle name="Hipervínculo" xfId="153" builtinId="8" hidden="1"/>
    <cellStyle name="Hipervínculo" xfId="95" builtinId="8" hidden="1"/>
    <cellStyle name="Hipervínculo" xfId="99" builtinId="8" hidden="1"/>
    <cellStyle name="Hipervínculo" xfId="79" builtinId="8" hidden="1"/>
    <cellStyle name="Hipervínculo" xfId="103" builtinId="8" hidden="1"/>
    <cellStyle name="Hipervínculo" xfId="131" builtinId="8" hidden="1"/>
    <cellStyle name="Hipervínculo" xfId="141" builtinId="8" hidden="1"/>
    <cellStyle name="Hipervínculo" xfId="163" builtinId="8" hidden="1"/>
    <cellStyle name="Hipervínculo" xfId="87" builtinId="8" hidden="1"/>
    <cellStyle name="Hipervínculo" xfId="145" builtinId="8" hidden="1"/>
    <cellStyle name="Hipervínculo" xfId="129" builtinId="8" hidden="1"/>
    <cellStyle name="Hipervínculo" xfId="135" builtinId="8" hidden="1"/>
    <cellStyle name="Hipervínculo" xfId="155" builtinId="8" hidden="1"/>
    <cellStyle name="Hipervínculo" xfId="33" builtinId="8" hidden="1"/>
    <cellStyle name="Hipervínculo" xfId="43" builtinId="8" hidden="1"/>
    <cellStyle name="Hipervínculo" xfId="55" builtinId="8" hidden="1"/>
    <cellStyle name="Hipervínculo" xfId="81" builtinId="8" hidden="1"/>
    <cellStyle name="Hipervínculo" xfId="113" builtinId="8" hidden="1"/>
    <cellStyle name="Hipervínculo" xfId="143" builtinId="8" hidden="1"/>
    <cellStyle name="Hipervínculo" xfId="123" builtinId="8" hidden="1"/>
    <cellStyle name="Hipervínculo" xfId="97" builtinId="8" hidden="1"/>
    <cellStyle name="Hipervínculo" xfId="115" builtinId="8" hidden="1"/>
    <cellStyle name="Hipervínculo" xfId="111" builtinId="8" hidden="1"/>
    <cellStyle name="Hipervínculo" xfId="149" builtinId="8" hidden="1"/>
    <cellStyle name="Hipervínculo" xfId="137" builtinId="8" hidden="1"/>
    <cellStyle name="Hipervínculo" xfId="91" builtinId="8" hidden="1"/>
    <cellStyle name="Hipervínculo" xfId="83" builtinId="8" hidden="1"/>
    <cellStyle name="Hipervínculo" xfId="75" builtinId="8" hidden="1"/>
    <cellStyle name="Hipervínculo" xfId="107" builtinId="8" hidden="1"/>
    <cellStyle name="Hipervínculo" xfId="147" builtinId="8" hidden="1"/>
    <cellStyle name="Hipervínculo" xfId="133" builtinId="8" hidden="1"/>
    <cellStyle name="Hipervínculo" xfId="165" builtinId="8" hidden="1"/>
    <cellStyle name="Hipervínculo" xfId="151" builtinId="8" hidden="1"/>
    <cellStyle name="Hipervínculo" xfId="121" builtinId="8" hidden="1"/>
    <cellStyle name="Hipervínculo" xfId="39" builtinId="8" hidden="1"/>
    <cellStyle name="Hipervínculo" xfId="57" builtinId="8" hidden="1"/>
    <cellStyle name="Hipervínculo" xfId="17" builtinId="8" hidden="1"/>
    <cellStyle name="Hipervínculo" xfId="9" builtinId="8" hidden="1"/>
    <cellStyle name="Hipervínculo" xfId="29" builtinId="8" hidden="1"/>
    <cellStyle name="Hipervínculo" xfId="15" builtinId="8" hidden="1"/>
    <cellStyle name="Hipervínculo" xfId="19" builtinId="8" hidden="1"/>
    <cellStyle name="Hipervínculo" xfId="61" builtinId="8" hidden="1"/>
    <cellStyle name="Hipervínculo" xfId="21" builtinId="8" hidden="1"/>
    <cellStyle name="Hipervínculo" xfId="37" builtinId="8" hidden="1"/>
    <cellStyle name="Hipervínculo" xfId="93" builtinId="8" hidden="1"/>
    <cellStyle name="Hipervínculo" xfId="41" builtinId="8" hidden="1"/>
    <cellStyle name="Hipervínculo" xfId="85" builtinId="8" hidden="1"/>
    <cellStyle name="Hipervínculo" xfId="101" builtinId="8" hidden="1"/>
    <cellStyle name="Hipervínculo" xfId="117" builtinId="8" hidden="1"/>
    <cellStyle name="Hipervínculo" xfId="109" builtinId="8" hidden="1"/>
    <cellStyle name="Hipervínculo" xfId="47" builtinId="8" hidden="1"/>
    <cellStyle name="Hipervínculo" xfId="77" builtinId="8" hidden="1"/>
    <cellStyle name="Hipervínculo" xfId="63" builtinId="8" hidden="1"/>
    <cellStyle name="Hipervínculo" xfId="13" builtinId="8" hidden="1"/>
    <cellStyle name="Hipervínculo" xfId="71" builtinId="8" hidden="1"/>
    <cellStyle name="Hipervínculo" xfId="45" builtinId="8" hidden="1"/>
    <cellStyle name="Hipervínculo" xfId="35" builtinId="8" hidden="1"/>
    <cellStyle name="Hipervínculo" xfId="125" builtinId="8" hidden="1"/>
    <cellStyle name="Hipervínculo" xfId="31" builtinId="8" hidden="1"/>
    <cellStyle name="Hipervínculo" xfId="65" builtinId="8" hidden="1"/>
    <cellStyle name="Hipervínculo" xfId="11" builtinId="8" hidden="1"/>
    <cellStyle name="Hipervínculo" xfId="73" builtinId="8" hidden="1"/>
    <cellStyle name="Hipervínculo" xfId="49" builtinId="8" hidden="1"/>
    <cellStyle name="Hipervínculo" xfId="67" builtinId="8" hidden="1"/>
    <cellStyle name="Hipervínculo" xfId="53" builtinId="8" hidden="1"/>
    <cellStyle name="Hipervínculo" xfId="23" builtinId="8" hidden="1"/>
    <cellStyle name="Hipervínculo" xfId="51" builtinId="8" hidden="1"/>
    <cellStyle name="Hipervínculo" xfId="119" builtinId="8" hidden="1"/>
    <cellStyle name="Hipervínculo" xfId="105" builtinId="8" hidden="1"/>
    <cellStyle name="Hipervínculo" xfId="139" builtinId="8" hidden="1"/>
    <cellStyle name="Hipervínculo" xfId="159" builtinId="8" hidden="1"/>
    <cellStyle name="Hipervínculo visitado" xfId="12" builtinId="9" hidden="1"/>
    <cellStyle name="Hipervínculo visitado" xfId="36" builtinId="9" hidden="1"/>
    <cellStyle name="Hipervínculo visitado" xfId="78" builtinId="9" hidden="1"/>
    <cellStyle name="Hipervínculo visitado" xfId="150" builtinId="9" hidden="1"/>
    <cellStyle name="Hipervínculo visitado" xfId="136" builtinId="9" hidden="1"/>
    <cellStyle name="Hipervínculo visitado" xfId="166" builtinId="9" hidden="1"/>
    <cellStyle name="Hipervínculo visitado" xfId="124" builtinId="9" hidden="1"/>
    <cellStyle name="Hipervínculo visitado" xfId="102" builtinId="9" hidden="1"/>
    <cellStyle name="Hipervínculo visitado" xfId="114" builtinId="9" hidden="1"/>
    <cellStyle name="Hipervínculo visitado" xfId="116" builtinId="9" hidden="1"/>
    <cellStyle name="Hipervínculo visitado" xfId="122" builtinId="9" hidden="1"/>
    <cellStyle name="Hipervínculo visitado" xfId="94" builtinId="9" hidden="1"/>
    <cellStyle name="Hipervínculo visitado" xfId="100" builtinId="9" hidden="1"/>
    <cellStyle name="Hipervínculo visitado" xfId="86" builtinId="9" hidden="1"/>
    <cellStyle name="Hipervínculo visitado" xfId="98" builtinId="9" hidden="1"/>
    <cellStyle name="Hipervínculo visitado" xfId="118" builtinId="9" hidden="1"/>
    <cellStyle name="Hipervínculo visitado" xfId="108" builtinId="9" hidden="1"/>
    <cellStyle name="Hipervínculo visitado" xfId="144" builtinId="9" hidden="1"/>
    <cellStyle name="Hipervínculo visitado" xfId="90" builtinId="9" hidden="1"/>
    <cellStyle name="Hipervínculo visitado" xfId="110" builtinId="9" hidden="1"/>
    <cellStyle name="Hipervínculo visitado" xfId="142" builtinId="9" hidden="1"/>
    <cellStyle name="Hipervínculo visitado" xfId="148" builtinId="9" hidden="1"/>
    <cellStyle name="Hipervínculo visitado" xfId="154" builtinId="9" hidden="1"/>
    <cellStyle name="Hipervínculo visitado" xfId="158" builtinId="9" hidden="1"/>
    <cellStyle name="Hipervínculo visitado" xfId="164" builtinId="9" hidden="1"/>
    <cellStyle name="Hipervínculo visitado" xfId="152" builtinId="9" hidden="1"/>
    <cellStyle name="Hipervínculo visitado" xfId="104" builtinId="9" hidden="1"/>
    <cellStyle name="Hipervínculo visitado" xfId="130" builtinId="9" hidden="1"/>
    <cellStyle name="Hipervínculo visitado" xfId="132" builtinId="9" hidden="1"/>
    <cellStyle name="Hipervínculo visitado" xfId="52" builtinId="9" hidden="1"/>
    <cellStyle name="Hipervínculo visitado" xfId="44" builtinId="9" hidden="1"/>
    <cellStyle name="Hipervínculo visitado" xfId="70" builtinId="9" hidden="1"/>
    <cellStyle name="Hipervínculo visitado" xfId="134" builtinId="9" hidden="1"/>
    <cellStyle name="Hipervínculo visitado" xfId="160" builtinId="9" hidden="1"/>
    <cellStyle name="Hipervínculo visitado" xfId="156" builtinId="9" hidden="1"/>
    <cellStyle name="Hipervínculo visitado" xfId="140" builtinId="9" hidden="1"/>
    <cellStyle name="Hipervínculo visitado" xfId="146" builtinId="9" hidden="1"/>
    <cellStyle name="Hipervínculo visitado" xfId="84" builtinId="9" hidden="1"/>
    <cellStyle name="Hipervínculo visitado" xfId="92" builtinId="9" hidden="1"/>
    <cellStyle name="Hipervínculo visitado" xfId="106" builtinId="9" hidden="1"/>
    <cellStyle name="Hipervínculo visitado" xfId="128" builtinId="9" hidden="1"/>
    <cellStyle name="Hipervínculo visitado" xfId="24" builtinId="9" hidden="1"/>
    <cellStyle name="Hipervínculo visitado" xfId="40" builtinId="9" hidden="1"/>
    <cellStyle name="Hipervínculo visitado" xfId="80" builtinId="9" hidden="1"/>
    <cellStyle name="Hipervínculo visitado" xfId="14" builtinId="9" hidden="1"/>
    <cellStyle name="Hipervínculo visitado" xfId="50" builtinId="9" hidden="1"/>
    <cellStyle name="Hipervínculo visitado" xfId="54" builtinId="9" hidden="1"/>
    <cellStyle name="Hipervínculo visitado" xfId="58" builtinId="9" hidden="1"/>
    <cellStyle name="Hipervínculo visitado" xfId="64" builtinId="9" hidden="1"/>
    <cellStyle name="Hipervínculo visitado" xfId="68" builtinId="9" hidden="1"/>
    <cellStyle name="Hipervínculo visitado" xfId="74" builtinId="9" hidden="1"/>
    <cellStyle name="Hipervínculo visitado" xfId="88" builtinId="9" hidden="1"/>
    <cellStyle name="Hipervínculo visitado" xfId="42" builtinId="9" hidden="1"/>
    <cellStyle name="Hipervínculo visitado" xfId="48" builtinId="9" hidden="1"/>
    <cellStyle name="Hipervínculo visitado" xfId="112" builtinId="9" hidden="1"/>
    <cellStyle name="Hipervínculo visitado" xfId="96" builtinId="9" hidden="1"/>
    <cellStyle name="Hipervínculo visitado" xfId="46" builtinId="9" hidden="1"/>
    <cellStyle name="Hipervínculo visitado" xfId="76" builtinId="9" hidden="1"/>
    <cellStyle name="Hipervínculo visitado" xfId="60" builtinId="9" hidden="1"/>
    <cellStyle name="Hipervínculo visitado" xfId="28" builtinId="9" hidden="1"/>
    <cellStyle name="Hipervínculo visitado" xfId="30" builtinId="9" hidden="1"/>
    <cellStyle name="Hipervínculo visitado" xfId="120" builtinId="9" hidden="1"/>
    <cellStyle name="Hipervínculo visitado" xfId="66" builtinId="9" hidden="1"/>
    <cellStyle name="Hipervínculo visitado" xfId="38" builtinId="9" hidden="1"/>
    <cellStyle name="Hipervínculo visitado" xfId="26" builtinId="9" hidden="1"/>
    <cellStyle name="Hipervínculo visitado" xfId="32" builtinId="9" hidden="1"/>
    <cellStyle name="Hipervínculo visitado" xfId="3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10" builtinId="9" hidden="1"/>
    <cellStyle name="Hipervínculo visitado" xfId="22" builtinId="9" hidden="1"/>
    <cellStyle name="Hipervínculo visitado" xfId="62" builtinId="9" hidden="1"/>
    <cellStyle name="Hipervínculo visitado" xfId="82" builtinId="9" hidden="1"/>
    <cellStyle name="Hipervínculo visitado" xfId="72" builtinId="9" hidden="1"/>
    <cellStyle name="Hipervínculo visitado" xfId="56" builtinId="9" hidden="1"/>
    <cellStyle name="Hipervínculo visitado" xfId="138" builtinId="9" hidden="1"/>
    <cellStyle name="Hipervínculo visitado" xfId="126" builtinId="9" hidden="1"/>
    <cellStyle name="Hipervínculo visitado" xfId="162" builtinId="9" hidden="1"/>
    <cellStyle name="Incorrecto" xfId="2" builtinId="27"/>
    <cellStyle name="Millares [0]" xfId="3" builtinId="6"/>
    <cellStyle name="Normal" xfId="0" builtinId="0"/>
    <cellStyle name="Normal 2" xfId="167" xr:uid="{00000000-0005-0000-0000-0000A2000000}"/>
    <cellStyle name="Normal_FICHA" xfId="4" xr:uid="{00000000-0005-0000-0000-0000A3000000}"/>
    <cellStyle name="Normal_PER_LEO" xfId="5" xr:uid="{00000000-0005-0000-0000-0000A4000000}"/>
    <cellStyle name="Normal_PLANIF" xfId="6" xr:uid="{00000000-0005-0000-0000-0000A5000000}"/>
    <cellStyle name="Normal_TEST" xfId="7" xr:uid="{00000000-0005-0000-0000-0000A6000000}"/>
    <cellStyle name="Normal_TEST_1" xfId="8" xr:uid="{00000000-0005-0000-0000-0000A7000000}"/>
  </cellStyles>
  <dxfs count="750"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7030A0"/>
      </font>
      <fill>
        <patternFill>
          <bgColor rgb="FF7030A0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indexed="10"/>
      </font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lor rgb="FF7030A0"/>
      </font>
      <fill>
        <patternFill>
          <bgColor rgb="FF7030A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3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6"/>
      </font>
      <fill>
        <patternFill>
          <bgColor indexed="26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3"/>
      </font>
      <fill>
        <patternFill>
          <bgColor indexed="13"/>
        </patternFill>
      </fill>
    </dxf>
    <dxf>
      <fill>
        <patternFill>
          <bgColor indexed="14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ill>
        <patternFill>
          <bgColor indexed="14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ill>
        <patternFill>
          <bgColor indexed="14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ill>
        <patternFill>
          <bgColor indexed="14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ill>
        <patternFill>
          <bgColor indexed="14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2"/>
      </font>
      <fill>
        <patternFill>
          <bgColor indexed="1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2"/>
      </font>
      <fill>
        <patternFill>
          <bgColor indexed="1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lor rgb="FFE960E1"/>
      </font>
      <fill>
        <patternFill>
          <bgColor rgb="FFE75FE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lor rgb="FF7030A0"/>
      </font>
      <fill>
        <patternFill>
          <bgColor rgb="FF7030A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2"/>
      </font>
      <fill>
        <patternFill>
          <bgColor indexed="1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0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0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0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0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0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3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3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3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3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3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6"/>
      </font>
      <fill>
        <patternFill>
          <bgColor indexed="26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6"/>
      </font>
      <fill>
        <patternFill>
          <bgColor indexed="26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6"/>
      </font>
      <fill>
        <patternFill>
          <bgColor indexed="26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6"/>
      </font>
      <fill>
        <patternFill>
          <bgColor indexed="26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6"/>
      </font>
      <fill>
        <patternFill>
          <bgColor indexed="26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ill>
        <patternFill>
          <bgColor indexed="14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2"/>
      </font>
      <fill>
        <patternFill>
          <bgColor indexed="1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2"/>
      </font>
      <fill>
        <patternFill>
          <bgColor indexed="1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2"/>
      </font>
      <fill>
        <patternFill>
          <bgColor indexed="1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2"/>
      </font>
      <fill>
        <patternFill>
          <bgColor indexed="1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2"/>
      </font>
      <fill>
        <patternFill>
          <bgColor indexed="1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0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0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0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0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0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3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3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3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3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3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6"/>
      </font>
      <fill>
        <patternFill>
          <bgColor indexed="26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6"/>
      </font>
      <fill>
        <patternFill>
          <bgColor indexed="26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6"/>
      </font>
      <fill>
        <patternFill>
          <bgColor indexed="26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6"/>
      </font>
      <fill>
        <patternFill>
          <bgColor indexed="26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6"/>
      </font>
      <fill>
        <patternFill>
          <bgColor indexed="26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b/>
        <i val="0"/>
        <condense val="0"/>
        <extend val="0"/>
        <u val="double"/>
        <color auto="1"/>
      </font>
      <fill>
        <patternFill>
          <bgColor indexed="11"/>
        </patternFill>
      </fill>
    </dxf>
    <dxf>
      <font>
        <b val="0"/>
        <i val="0"/>
        <strike val="0"/>
        <condense val="0"/>
        <extend val="0"/>
        <u val="double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5"/>
      </font>
      <fill>
        <patternFill>
          <bgColor indexed="15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22"/>
      </font>
      <fill>
        <patternFill>
          <bgColor indexed="22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indexed="10"/>
      </font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indexed="10"/>
      </font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indexed="10"/>
      </font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indexed="10"/>
      </font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26"/>
        </patternFill>
      </fill>
    </dxf>
    <dxf>
      <font>
        <condense val="0"/>
        <extend val="0"/>
        <color auto="1"/>
      </font>
      <fill>
        <patternFill>
          <bgColor indexed="55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26"/>
        </patternFill>
      </fill>
    </dxf>
    <dxf>
      <font>
        <condense val="0"/>
        <extend val="0"/>
        <color auto="1"/>
      </font>
      <fill>
        <patternFill>
          <bgColor indexed="55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26"/>
        </patternFill>
      </fill>
    </dxf>
    <dxf>
      <font>
        <condense val="0"/>
        <extend val="0"/>
        <color auto="1"/>
      </font>
      <fill>
        <patternFill>
          <bgColor indexed="55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26"/>
        </patternFill>
      </fill>
    </dxf>
    <dxf>
      <font>
        <condense val="0"/>
        <extend val="0"/>
        <color auto="1"/>
      </font>
      <fill>
        <patternFill>
          <bgColor indexed="55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26"/>
        </patternFill>
      </fill>
    </dxf>
    <dxf>
      <font>
        <condense val="0"/>
        <extend val="0"/>
        <color auto="1"/>
      </font>
      <fill>
        <patternFill>
          <bgColor indexed="55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26"/>
        </patternFill>
      </fill>
    </dxf>
    <dxf>
      <font>
        <condense val="0"/>
        <extend val="0"/>
        <color auto="1"/>
      </font>
      <fill>
        <patternFill>
          <bgColor indexed="55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26"/>
        </patternFill>
      </fill>
    </dxf>
    <dxf>
      <font>
        <condense val="0"/>
        <extend val="0"/>
        <color auto="1"/>
      </font>
      <fill>
        <patternFill>
          <bgColor indexed="55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26"/>
        </patternFill>
      </fill>
    </dxf>
    <dxf>
      <font>
        <condense val="0"/>
        <extend val="0"/>
        <color auto="1"/>
      </font>
      <fill>
        <patternFill>
          <bgColor indexed="55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26"/>
        </patternFill>
      </fill>
    </dxf>
    <dxf>
      <font>
        <condense val="0"/>
        <extend val="0"/>
        <color auto="1"/>
      </font>
      <fill>
        <patternFill>
          <bgColor indexed="55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26"/>
        </patternFill>
      </fill>
    </dxf>
    <dxf>
      <font>
        <condense val="0"/>
        <extend val="0"/>
        <color auto="1"/>
      </font>
      <fill>
        <patternFill>
          <bgColor indexed="55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indexed="10"/>
      </font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indexed="10"/>
      </font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indexed="10"/>
      </font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indexed="10"/>
      </font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auto="1"/>
      </font>
      <fill>
        <patternFill>
          <bgColor indexed="9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E660E6"/>
      <color rgb="FF0000FF"/>
      <color rgb="FFEDF0BE"/>
      <color rgb="FFE75FE8"/>
      <color rgb="FF00FF00"/>
      <color rgb="FFEA56E1"/>
      <color rgb="FFF2BAF2"/>
      <color rgb="FFE960E1"/>
      <color rgb="FFFF9183"/>
      <color rgb="FFE336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externalLink" Target="externalLinks/externalLink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microsoft.com/office/2006/relationships/attachedToolbars" Target="attachedToolbars.bin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5.xml"/><Relationship Id="rId95" Type="http://schemas.openxmlformats.org/officeDocument/2006/relationships/externalLink" Target="externalLinks/externalLink1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externalLink" Target="externalLinks/externalLink3.xml"/><Relationship Id="rId91" Type="http://schemas.openxmlformats.org/officeDocument/2006/relationships/externalLink" Target="externalLinks/externalLink6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externalLink" Target="externalLinks/externalLink1.xml"/><Relationship Id="rId94" Type="http://schemas.openxmlformats.org/officeDocument/2006/relationships/externalLink" Target="externalLinks/externalLink9.xml"/><Relationship Id="rId99" Type="http://schemas.openxmlformats.org/officeDocument/2006/relationships/sheetMetadata" Target="metadata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externalLink" Target="externalLinks/externalLink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externalLink" Target="externalLinks/externalLink8.xml"/><Relationship Id="rId98" Type="http://schemas.openxmlformats.org/officeDocument/2006/relationships/sharedStrings" Target="sharedStrings.xml"/><Relationship Id="rId3" Type="http://schemas.openxmlformats.org/officeDocument/2006/relationships/worksheet" Target="worksheets/sheet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aseline="0"/>
            </a:pPr>
            <a:r>
              <a:rPr lang="en-US" sz="2000" baseline="0"/>
              <a:t>Temporada 2022_2023 primer meso</a:t>
            </a:r>
          </a:p>
        </c:rich>
      </c:tx>
      <c:layout>
        <c:manualLayout>
          <c:xMode val="edge"/>
          <c:yMode val="edge"/>
          <c:x val="0.28359782607990908"/>
          <c:y val="2.4714828897338403E-2"/>
        </c:manualLayout>
      </c:layout>
      <c:overlay val="0"/>
      <c:spPr>
        <a:solidFill>
          <a:srgbClr val="FFFF00"/>
        </a:solidFill>
      </c:spPr>
    </c:title>
    <c:autoTitleDeleted val="0"/>
    <c:plotArea>
      <c:layout>
        <c:manualLayout>
          <c:layoutTarget val="inner"/>
          <c:xMode val="edge"/>
          <c:yMode val="edge"/>
          <c:x val="9.1796875E-2"/>
          <c:y val="2.0348851651108599E-2"/>
          <c:w val="0.875"/>
          <c:h val="0.920058792510839"/>
        </c:manualLayout>
      </c:layout>
      <c:scatterChart>
        <c:scatterStyle val="lineMarker"/>
        <c:varyColors val="0"/>
        <c:ser>
          <c:idx val="0"/>
          <c:order val="0"/>
          <c:tx>
            <c:v>8/9/2022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Test!$C$8:$C$26</c:f>
              <c:numCache>
                <c:formatCode>m:ss</c:formatCode>
                <c:ptCount val="19"/>
                <c:pt idx="0">
                  <c:v>1.2152777777777778E-3</c:v>
                </c:pt>
                <c:pt idx="1">
                  <c:v>1.1805555555555556E-3</c:v>
                </c:pt>
                <c:pt idx="2">
                  <c:v>1.1458333333333333E-3</c:v>
                </c:pt>
                <c:pt idx="3">
                  <c:v>1.1111111111111111E-3</c:v>
                </c:pt>
                <c:pt idx="4">
                  <c:v>1.0763888888888889E-3</c:v>
                </c:pt>
                <c:pt idx="5">
                  <c:v>1.0416666666666667E-3</c:v>
                </c:pt>
                <c:pt idx="6">
                  <c:v>1.0069444444444444E-3</c:v>
                </c:pt>
                <c:pt idx="7">
                  <c:v>9.7222222222222219E-4</c:v>
                </c:pt>
                <c:pt idx="8">
                  <c:v>9.4907407407407408E-4</c:v>
                </c:pt>
                <c:pt idx="9">
                  <c:v>9.2592592592592596E-4</c:v>
                </c:pt>
                <c:pt idx="10">
                  <c:v>9.0277777777777784E-4</c:v>
                </c:pt>
                <c:pt idx="11">
                  <c:v>8.7962962962962973E-4</c:v>
                </c:pt>
                <c:pt idx="12">
                  <c:v>8.5648148148148161E-4</c:v>
                </c:pt>
                <c:pt idx="13">
                  <c:v>8.333333333333335E-4</c:v>
                </c:pt>
                <c:pt idx="14">
                  <c:v>8.2175925925925938E-4</c:v>
                </c:pt>
                <c:pt idx="15">
                  <c:v>7.9861111111111127E-4</c:v>
                </c:pt>
                <c:pt idx="16">
                  <c:v>7.7546296296296315E-4</c:v>
                </c:pt>
                <c:pt idx="17">
                  <c:v>7.5231481481481503E-4</c:v>
                </c:pt>
                <c:pt idx="18">
                  <c:v>7.2916666666666692E-4</c:v>
                </c:pt>
              </c:numCache>
            </c:numRef>
          </c:xVal>
          <c:yVal>
            <c:numRef>
              <c:f>Test!$D$8:$D$26</c:f>
              <c:numCache>
                <c:formatCode>General</c:formatCode>
                <c:ptCount val="19"/>
                <c:pt idx="0">
                  <c:v>120</c:v>
                </c:pt>
                <c:pt idx="1">
                  <c:v>135</c:v>
                </c:pt>
                <c:pt idx="2">
                  <c:v>140</c:v>
                </c:pt>
                <c:pt idx="3">
                  <c:v>143</c:v>
                </c:pt>
                <c:pt idx="4">
                  <c:v>155</c:v>
                </c:pt>
                <c:pt idx="5">
                  <c:v>158</c:v>
                </c:pt>
                <c:pt idx="6">
                  <c:v>160</c:v>
                </c:pt>
                <c:pt idx="7">
                  <c:v>163</c:v>
                </c:pt>
                <c:pt idx="8">
                  <c:v>166</c:v>
                </c:pt>
                <c:pt idx="9">
                  <c:v>168</c:v>
                </c:pt>
                <c:pt idx="10">
                  <c:v>172</c:v>
                </c:pt>
                <c:pt idx="11">
                  <c:v>180</c:v>
                </c:pt>
                <c:pt idx="12">
                  <c:v>172</c:v>
                </c:pt>
                <c:pt idx="13">
                  <c:v>171</c:v>
                </c:pt>
                <c:pt idx="14">
                  <c:v>185</c:v>
                </c:pt>
                <c:pt idx="15">
                  <c:v>192</c:v>
                </c:pt>
                <c:pt idx="16">
                  <c:v>194</c:v>
                </c:pt>
                <c:pt idx="17">
                  <c:v>195</c:v>
                </c:pt>
                <c:pt idx="18">
                  <c:v>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A2-214B-9974-A522613CAB00}"/>
            </c:ext>
          </c:extLst>
        </c:ser>
        <c:ser>
          <c:idx val="1"/>
          <c:order val="1"/>
          <c:tx>
            <c:v>UNAI- sept 2022</c:v>
          </c:tx>
          <c:spPr>
            <a:ln w="28575">
              <a:noFill/>
            </a:ln>
          </c:spPr>
          <c:trendline>
            <c:spPr>
              <a:ln w="38100"/>
            </c:spPr>
            <c:trendlineType val="poly"/>
            <c:order val="2"/>
            <c:dispRSqr val="0"/>
            <c:dispEq val="0"/>
          </c:trendline>
          <c:xVal>
            <c:numRef>
              <c:f>Test!$C$8:$C$26</c:f>
              <c:numCache>
                <c:formatCode>m:ss</c:formatCode>
                <c:ptCount val="19"/>
                <c:pt idx="0">
                  <c:v>1.2152777777777778E-3</c:v>
                </c:pt>
                <c:pt idx="1">
                  <c:v>1.1805555555555556E-3</c:v>
                </c:pt>
                <c:pt idx="2">
                  <c:v>1.1458333333333333E-3</c:v>
                </c:pt>
                <c:pt idx="3">
                  <c:v>1.1111111111111111E-3</c:v>
                </c:pt>
                <c:pt idx="4">
                  <c:v>1.0763888888888889E-3</c:v>
                </c:pt>
                <c:pt idx="5">
                  <c:v>1.0416666666666667E-3</c:v>
                </c:pt>
                <c:pt idx="6">
                  <c:v>1.0069444444444444E-3</c:v>
                </c:pt>
                <c:pt idx="7">
                  <c:v>9.7222222222222219E-4</c:v>
                </c:pt>
                <c:pt idx="8">
                  <c:v>9.4907407407407408E-4</c:v>
                </c:pt>
                <c:pt idx="9">
                  <c:v>9.2592592592592596E-4</c:v>
                </c:pt>
                <c:pt idx="10">
                  <c:v>9.0277777777777784E-4</c:v>
                </c:pt>
                <c:pt idx="11">
                  <c:v>8.7962962962962973E-4</c:v>
                </c:pt>
                <c:pt idx="12">
                  <c:v>8.5648148148148161E-4</c:v>
                </c:pt>
                <c:pt idx="13">
                  <c:v>8.333333333333335E-4</c:v>
                </c:pt>
                <c:pt idx="14">
                  <c:v>8.2175925925925938E-4</c:v>
                </c:pt>
                <c:pt idx="15">
                  <c:v>7.9861111111111127E-4</c:v>
                </c:pt>
                <c:pt idx="16">
                  <c:v>7.7546296296296315E-4</c:v>
                </c:pt>
                <c:pt idx="17">
                  <c:v>7.5231481481481503E-4</c:v>
                </c:pt>
                <c:pt idx="18">
                  <c:v>7.2916666666666692E-4</c:v>
                </c:pt>
              </c:numCache>
            </c:numRef>
          </c:xVal>
          <c:yVal>
            <c:numRef>
              <c:f>Test!$E$8:$E$26</c:f>
              <c:numCache>
                <c:formatCode>General</c:formatCode>
                <c:ptCount val="1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7F-0B4A-B097-6A13A03B0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32800"/>
        <c:axId val="127134720"/>
      </c:scatterChart>
      <c:valAx>
        <c:axId val="127132800"/>
        <c:scaling>
          <c:orientation val="maxMin"/>
          <c:min val="5.7700000000000015E-4"/>
        </c:scaling>
        <c:delete val="0"/>
        <c:axPos val="b"/>
        <c:majorGridlines>
          <c:spPr>
            <a:ln w="12700">
              <a:solidFill>
                <a:srgbClr val="808080"/>
              </a:solidFill>
              <a:prstDash val="solid"/>
            </a:ln>
          </c:spPr>
        </c:majorGridlines>
        <c:minorGridlines>
          <c:spPr>
            <a:ln w="12700">
              <a:solidFill>
                <a:srgbClr val="C0C0C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Tiempo en 100 m.</a:t>
                </a:r>
              </a:p>
            </c:rich>
          </c:tx>
          <c:layout>
            <c:manualLayout>
              <c:xMode val="edge"/>
              <c:yMode val="edge"/>
              <c:x val="0.43554688618468101"/>
              <c:y val="0.96366336955814402"/>
            </c:manualLayout>
          </c:layout>
          <c:overlay val="0"/>
          <c:spPr>
            <a:noFill/>
            <a:ln w="25400">
              <a:noFill/>
            </a:ln>
          </c:spPr>
        </c:title>
        <c:numFmt formatCode="m:ss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27134720"/>
        <c:crosses val="autoZero"/>
        <c:crossBetween val="midCat"/>
        <c:majorUnit val="1.15740740740741E-4"/>
        <c:minorUnit val="2.31481481481481E-5"/>
      </c:valAx>
      <c:valAx>
        <c:axId val="127134720"/>
        <c:scaling>
          <c:orientation val="minMax"/>
          <c:max val="210"/>
          <c:min val="55"/>
        </c:scaling>
        <c:delete val="0"/>
        <c:axPos val="l"/>
        <c:majorGridlines>
          <c:spPr>
            <a:ln w="12700">
              <a:solidFill>
                <a:srgbClr val="808080"/>
              </a:solidFill>
              <a:prstDash val="solid"/>
            </a:ln>
          </c:spPr>
        </c:majorGridlines>
        <c:minorGridlines>
          <c:spPr>
            <a:ln w="12700">
              <a:solidFill>
                <a:srgbClr val="C0C0C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Frecuencia cardiaca</a:t>
                </a:r>
              </a:p>
            </c:rich>
          </c:tx>
          <c:layout>
            <c:manualLayout>
              <c:xMode val="edge"/>
              <c:yMode val="edge"/>
              <c:x val="9.7655690765926992E-3"/>
              <c:y val="0.39825616580985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27132800"/>
        <c:crosses val="max"/>
        <c:crossBetween val="midCat"/>
        <c:majorUnit val="10"/>
        <c:minorUnit val="2"/>
      </c:valAx>
      <c:spPr>
        <a:solidFill>
          <a:srgbClr val="FFFFFF"/>
        </a:solidFill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12552201378291444"/>
          <c:y val="0.16605910002694532"/>
          <c:w val="0.22268071137595086"/>
          <c:h val="9.73187928505134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>
      <c:oddHeader>&amp;A</c:oddHeader>
      <c:oddFooter>Página &amp;P</c:oddFooter>
    </c:headerFooter>
    <c:pageMargins b="1" l="0.75" r="0.75" t="1" header="0.511811024" footer="0.511811024"/>
    <c:pageSetup paperSize="9" orientation="landscape" horizontalDpi="-1" verticalDpi="1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10810810810808"/>
          <c:y val="0.2125833029149502"/>
          <c:w val="0.65686762839409718"/>
          <c:h val="0.63980184596130785"/>
        </c:manualLayout>
      </c:layout>
      <c:barChart>
        <c:barDir val="col"/>
        <c:grouping val="clustered"/>
        <c:varyColors val="0"/>
        <c:ser>
          <c:idx val="0"/>
          <c:order val="0"/>
          <c:tx>
            <c:v>Suma de metros/ semana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A1-A6'!$C$2:$H$2</c:f>
              <c:numCache>
                <c:formatCode>#,##0;[Red]#,##0</c:formatCode>
                <c:ptCount val="6"/>
                <c:pt idx="0">
                  <c:v>7501</c:v>
                </c:pt>
                <c:pt idx="1">
                  <c:v>6751</c:v>
                </c:pt>
                <c:pt idx="2">
                  <c:v>5251</c:v>
                </c:pt>
                <c:pt idx="3">
                  <c:v>12001</c:v>
                </c:pt>
                <c:pt idx="4">
                  <c:v>6751</c:v>
                </c:pt>
                <c:pt idx="5">
                  <c:v>9001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5-E847-BF77-6095F1473CC6}"/>
            </c:ext>
          </c:extLst>
        </c:ser>
        <c:ser>
          <c:idx val="1"/>
          <c:order val="1"/>
          <c:invertIfNegative val="0"/>
          <c:val>
            <c:numRef>
              <c:f>'Calculo A1-A6'!$C$3:$H$3</c:f>
              <c:numCache>
                <c:formatCode>#,##0;[Red]#,##0</c:formatCode>
                <c:ptCount val="6"/>
                <c:pt idx="0">
                  <c:v>7501</c:v>
                </c:pt>
                <c:pt idx="1">
                  <c:v>5401</c:v>
                </c:pt>
                <c:pt idx="2">
                  <c:v>6301</c:v>
                </c:pt>
                <c:pt idx="3">
                  <c:v>9601</c:v>
                </c:pt>
                <c:pt idx="4">
                  <c:v>10801</c:v>
                </c:pt>
                <c:pt idx="5">
                  <c:v>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B1-2B46-9C20-7F9D6CB2E9B5}"/>
            </c:ext>
          </c:extLst>
        </c:ser>
        <c:ser>
          <c:idx val="2"/>
          <c:order val="2"/>
          <c:invertIfNegative val="0"/>
          <c:val>
            <c:numRef>
              <c:f>'Calculo A1-A6'!$C$4:$H$4</c:f>
              <c:numCache>
                <c:formatCode>#,##0;[Red]#,##0</c:formatCode>
                <c:ptCount val="6"/>
                <c:pt idx="0">
                  <c:v>6563.5</c:v>
                </c:pt>
                <c:pt idx="1">
                  <c:v>4726</c:v>
                </c:pt>
                <c:pt idx="2">
                  <c:v>3675.9999999999995</c:v>
                </c:pt>
                <c:pt idx="3">
                  <c:v>2101</c:v>
                </c:pt>
                <c:pt idx="4">
                  <c:v>4726</c:v>
                </c:pt>
                <c:pt idx="5">
                  <c:v>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B1-2B46-9C20-7F9D6CB2E9B5}"/>
            </c:ext>
          </c:extLst>
        </c:ser>
        <c:ser>
          <c:idx val="3"/>
          <c:order val="3"/>
          <c:invertIfNegative val="0"/>
          <c:val>
            <c:numRef>
              <c:f>'Calculo A1-A6'!$C$5:$H$5</c:f>
              <c:numCache>
                <c:formatCode>#,##0;[Red]#,##0</c:formatCode>
                <c:ptCount val="6"/>
                <c:pt idx="0">
                  <c:v>1</c:v>
                </c:pt>
                <c:pt idx="1">
                  <c:v>9819.181818181818</c:v>
                </c:pt>
                <c:pt idx="2">
                  <c:v>14319.181818181818</c:v>
                </c:pt>
                <c:pt idx="3">
                  <c:v>6546.454545454546</c:v>
                </c:pt>
                <c:pt idx="4">
                  <c:v>7364.6363636363631</c:v>
                </c:pt>
                <c:pt idx="5">
                  <c:v>6546.454545454546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B1-2B46-9C20-7F9D6CB2E9B5}"/>
            </c:ext>
          </c:extLst>
        </c:ser>
        <c:ser>
          <c:idx val="4"/>
          <c:order val="4"/>
          <c:invertIfNegative val="0"/>
          <c:val>
            <c:numRef>
              <c:f>'Calculo A1-A6'!$C$6:$H$6</c:f>
              <c:numCache>
                <c:formatCode>#,##0;[Red]#,##0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2728.2727272727275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B1-2B46-9C20-7F9D6CB2E9B5}"/>
            </c:ext>
          </c:extLst>
        </c:ser>
        <c:ser>
          <c:idx val="5"/>
          <c:order val="5"/>
          <c:invertIfNegative val="0"/>
          <c:val>
            <c:numRef>
              <c:f>'Calculo A1-A6'!$C$7:$H$7</c:f>
              <c:numCache>
                <c:formatCode>#,##0;[Red]#,##0</c:formatCode>
                <c:ptCount val="6"/>
                <c:pt idx="0">
                  <c:v>1</c:v>
                </c:pt>
                <c:pt idx="1">
                  <c:v>1637.3636363636365</c:v>
                </c:pt>
                <c:pt idx="2">
                  <c:v>3819.181818181818</c:v>
                </c:pt>
                <c:pt idx="3">
                  <c:v>6546.4545454545469</c:v>
                </c:pt>
                <c:pt idx="4">
                  <c:v>9819.181818181818</c:v>
                </c:pt>
                <c:pt idx="5">
                  <c:v>10910.090909090912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3B1-2B46-9C20-7F9D6CB2E9B5}"/>
            </c:ext>
          </c:extLst>
        </c:ser>
        <c:ser>
          <c:idx val="6"/>
          <c:order val="6"/>
          <c:invertIfNegative val="0"/>
          <c:val>
            <c:numRef>
              <c:f>'Calculo A1-A6'!$C$8:$H$8</c:f>
              <c:numCache>
                <c:formatCode>#,##0;[Red]#,##0</c:formatCode>
                <c:ptCount val="6"/>
                <c:pt idx="0">
                  <c:v>563.5</c:v>
                </c:pt>
                <c:pt idx="1">
                  <c:v>676</c:v>
                </c:pt>
                <c:pt idx="2">
                  <c:v>788.5</c:v>
                </c:pt>
                <c:pt idx="3">
                  <c:v>901</c:v>
                </c:pt>
                <c:pt idx="4">
                  <c:v>1013.5</c:v>
                </c:pt>
                <c:pt idx="5">
                  <c:v>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3B1-2B46-9C20-7F9D6CB2E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74560"/>
        <c:axId val="51076096"/>
      </c:barChart>
      <c:catAx>
        <c:axId val="5107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1076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076096"/>
        <c:scaling>
          <c:logBase val="10"/>
          <c:orientation val="minMax"/>
          <c:max val="5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;[Red]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1074560"/>
        <c:crosses val="autoZero"/>
        <c:crossBetween val="between"/>
        <c:majorUnit val="1000"/>
        <c:minorUnit val="10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0254827223030201"/>
          <c:y val="0.17218490900557959"/>
          <c:w val="3.588742285592679E-2"/>
          <c:h val="0.649950982948323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/>
    <c:pageMargins b="1" l="0.75" r="0.75" t="1" header="0" footer="0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315139425021322E-2"/>
          <c:y val="0.10265805429224457"/>
          <c:w val="0.83828823938219899"/>
          <c:h val="0.58804082102759803"/>
        </c:manualLayout>
      </c:layout>
      <c:barChart>
        <c:barDir val="col"/>
        <c:grouping val="clustered"/>
        <c:varyColors val="0"/>
        <c:ser>
          <c:idx val="0"/>
          <c:order val="0"/>
          <c:tx>
            <c:v>Aerobico1</c:v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A1-A6'!$C$2:$H$2</c:f>
              <c:numCache>
                <c:formatCode>#,##0;[Red]#,##0</c:formatCode>
                <c:ptCount val="6"/>
                <c:pt idx="0">
                  <c:v>7501</c:v>
                </c:pt>
                <c:pt idx="1">
                  <c:v>6751</c:v>
                </c:pt>
                <c:pt idx="2">
                  <c:v>5251</c:v>
                </c:pt>
                <c:pt idx="3">
                  <c:v>12001</c:v>
                </c:pt>
                <c:pt idx="4">
                  <c:v>6751</c:v>
                </c:pt>
                <c:pt idx="5">
                  <c:v>9001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43-3242-ABC0-832FA531345F}"/>
            </c:ext>
          </c:extLst>
        </c:ser>
        <c:ser>
          <c:idx val="1"/>
          <c:order val="1"/>
          <c:tx>
            <c:v>aerobico2</c:v>
          </c:tx>
          <c:spPr>
            <a:solidFill>
              <a:srgbClr val="80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A1-A6'!$C$3:$H$3</c:f>
              <c:numCache>
                <c:formatCode>#,##0;[Red]#,##0</c:formatCode>
                <c:ptCount val="6"/>
                <c:pt idx="0">
                  <c:v>7501</c:v>
                </c:pt>
                <c:pt idx="1">
                  <c:v>5401</c:v>
                </c:pt>
                <c:pt idx="2">
                  <c:v>6301</c:v>
                </c:pt>
                <c:pt idx="3">
                  <c:v>9601</c:v>
                </c:pt>
                <c:pt idx="4">
                  <c:v>10801</c:v>
                </c:pt>
                <c:pt idx="5">
                  <c:v>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43-3242-ABC0-832FA531345F}"/>
            </c:ext>
          </c:extLst>
        </c:ser>
        <c:ser>
          <c:idx val="2"/>
          <c:order val="2"/>
          <c:tx>
            <c:v>Aerobico3</c:v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A1-A6'!$C$4:$H$4</c:f>
              <c:numCache>
                <c:formatCode>#,##0;[Red]#,##0</c:formatCode>
                <c:ptCount val="6"/>
                <c:pt idx="0">
                  <c:v>6563.5</c:v>
                </c:pt>
                <c:pt idx="1">
                  <c:v>4726</c:v>
                </c:pt>
                <c:pt idx="2">
                  <c:v>3675.9999999999995</c:v>
                </c:pt>
                <c:pt idx="3">
                  <c:v>2101</c:v>
                </c:pt>
                <c:pt idx="4">
                  <c:v>4726</c:v>
                </c:pt>
                <c:pt idx="5">
                  <c:v>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43-3242-ABC0-832FA531345F}"/>
            </c:ext>
          </c:extLst>
        </c:ser>
        <c:ser>
          <c:idx val="3"/>
          <c:order val="3"/>
          <c:tx>
            <c:v>Consumo max.O2</c:v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A1-A6'!$C$5:$H$5</c:f>
              <c:numCache>
                <c:formatCode>#,##0;[Red]#,##0</c:formatCode>
                <c:ptCount val="6"/>
                <c:pt idx="0">
                  <c:v>1</c:v>
                </c:pt>
                <c:pt idx="1">
                  <c:v>9819.181818181818</c:v>
                </c:pt>
                <c:pt idx="2">
                  <c:v>14319.181818181818</c:v>
                </c:pt>
                <c:pt idx="3">
                  <c:v>6546.454545454546</c:v>
                </c:pt>
                <c:pt idx="4">
                  <c:v>7364.6363636363631</c:v>
                </c:pt>
                <c:pt idx="5">
                  <c:v>6546.454545454546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43-3242-ABC0-832FA531345F}"/>
            </c:ext>
          </c:extLst>
        </c:ser>
        <c:ser>
          <c:idx val="4"/>
          <c:order val="4"/>
          <c:tx>
            <c:v>Produccion lactato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A1-A6'!$C$6:$H$6</c:f>
              <c:numCache>
                <c:formatCode>#,##0;[Red]#,##0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2728.2727272727275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43-3242-ABC0-832FA531345F}"/>
            </c:ext>
          </c:extLst>
        </c:ser>
        <c:ser>
          <c:idx val="5"/>
          <c:order val="5"/>
          <c:tx>
            <c:v>Tolerancia al Lactato</c:v>
          </c:tx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A1-A6'!$C$7:$H$7</c:f>
              <c:numCache>
                <c:formatCode>#,##0;[Red]#,##0</c:formatCode>
                <c:ptCount val="6"/>
                <c:pt idx="0">
                  <c:v>1</c:v>
                </c:pt>
                <c:pt idx="1">
                  <c:v>1637.3636363636365</c:v>
                </c:pt>
                <c:pt idx="2">
                  <c:v>3819.181818181818</c:v>
                </c:pt>
                <c:pt idx="3">
                  <c:v>6546.4545454545469</c:v>
                </c:pt>
                <c:pt idx="4">
                  <c:v>9819.181818181818</c:v>
                </c:pt>
                <c:pt idx="5">
                  <c:v>10910.090909090912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43-3242-ABC0-832FA531345F}"/>
            </c:ext>
          </c:extLst>
        </c:ser>
        <c:ser>
          <c:idx val="6"/>
          <c:order val="6"/>
          <c:tx>
            <c:v>Anaerobico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A1-A6'!$C$8:$H$8</c:f>
              <c:numCache>
                <c:formatCode>#,##0;[Red]#,##0</c:formatCode>
                <c:ptCount val="6"/>
                <c:pt idx="0">
                  <c:v>563.5</c:v>
                </c:pt>
                <c:pt idx="1">
                  <c:v>676</c:v>
                </c:pt>
                <c:pt idx="2">
                  <c:v>788.5</c:v>
                </c:pt>
                <c:pt idx="3">
                  <c:v>901</c:v>
                </c:pt>
                <c:pt idx="4">
                  <c:v>1013.5</c:v>
                </c:pt>
                <c:pt idx="5">
                  <c:v>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43-3242-ABC0-832FA531345F}"/>
            </c:ext>
          </c:extLst>
        </c:ser>
        <c:ser>
          <c:idx val="7"/>
          <c:order val="7"/>
          <c:tx>
            <c:v>Seco-resistencia</c:v>
          </c:tx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A1-A6'!$C$9:$H$9</c:f>
              <c:numCache>
                <c:formatCode>#,##0;[Red]#,##0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7-5443-3242-ABC0-832FA531345F}"/>
            </c:ext>
          </c:extLst>
        </c:ser>
        <c:ser>
          <c:idx val="8"/>
          <c:order val="8"/>
          <c:tx>
            <c:v>Seco-Hipertrofia</c:v>
          </c:tx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A1-A6'!$C$10:$H$10</c:f>
              <c:numCache>
                <c:formatCode>#,##0;[Red]#,##0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8-5443-3242-ABC0-832FA531345F}"/>
            </c:ext>
          </c:extLst>
        </c:ser>
        <c:ser>
          <c:idx val="9"/>
          <c:order val="9"/>
          <c:tx>
            <c:v>Seco- Coordinación</c:v>
          </c:tx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A1-A6'!$C$11:$H$11</c:f>
              <c:numCache>
                <c:formatCode>#,##0;[Red]#,##0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9-5443-3242-ABC0-832FA531345F}"/>
            </c:ext>
          </c:extLst>
        </c:ser>
        <c:ser>
          <c:idx val="10"/>
          <c:order val="10"/>
          <c:tx>
            <c:v>Especifico</c:v>
          </c:tx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A1-A6'!$C$12:$H$12</c:f>
              <c:numCache>
                <c:formatCode>#,##0;[Red]#,##0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A-5443-3242-ABC0-832FA531345F}"/>
            </c:ext>
          </c:extLst>
        </c:ser>
        <c:ser>
          <c:idx val="11"/>
          <c:order val="11"/>
          <c:tx>
            <c:v>Potenciación</c:v>
          </c:tx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A1-A6'!$C$13:$H$13</c:f>
              <c:numCache>
                <c:formatCode>#,##0;[Red]#,##0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B-5443-3242-ABC0-832FA5313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350144"/>
        <c:axId val="51376512"/>
      </c:barChart>
      <c:catAx>
        <c:axId val="51350144"/>
        <c:scaling>
          <c:orientation val="minMax"/>
        </c:scaling>
        <c:delete val="0"/>
        <c:axPos val="b"/>
        <c:majorGridlines>
          <c:spPr>
            <a:ln w="25400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137651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1376512"/>
        <c:scaling>
          <c:logBase val="10"/>
          <c:orientation val="minMax"/>
          <c:max val="50000"/>
          <c:min val="1"/>
        </c:scaling>
        <c:delete val="0"/>
        <c:axPos val="l"/>
        <c:majorGridlines>
          <c:spPr>
            <a:ln w="12700">
              <a:solidFill>
                <a:srgbClr val="808080"/>
              </a:solidFill>
              <a:prstDash val="solid"/>
            </a:ln>
          </c:spPr>
        </c:majorGridlines>
        <c:numFmt formatCode="#,##0;[Red]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1350144"/>
        <c:crosses val="autoZero"/>
        <c:crossBetween val="between"/>
        <c:minorUnit val="100"/>
      </c:valAx>
      <c:spPr>
        <a:solidFill>
          <a:srgbClr val="FFFFFF"/>
        </a:solidFill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6066471088620801"/>
          <c:y val="0.79372126690441702"/>
          <c:w val="0.63988886950073098"/>
          <c:h val="0.14080057826778158"/>
        </c:manualLayout>
      </c:layout>
      <c:overlay val="0"/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1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254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>
      <c:oddHeader>&amp;A</c:oddHeader>
      <c:oddFooter>Página &amp;P</c:oddFooter>
    </c:headerFooter>
    <c:pageMargins b="1" l="0.75" r="0.75" t="1" header="0.511811024" footer="0.511811024"/>
    <c:pageSetup paperSize="9" orientation="landscape" horizontalDpi="300" verticalDpi="1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315139425021322E-2"/>
          <c:y val="0.10265805429224457"/>
          <c:w val="0.83828823938219899"/>
          <c:h val="0.588040821027598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'[2]Calculo A7-A10'!$D$9:$I$9</c:f>
              <c:numCache>
                <c:formatCode>General</c:formatCode>
                <c:ptCount val="6"/>
                <c:pt idx="0">
                  <c:v>2251</c:v>
                </c:pt>
                <c:pt idx="1">
                  <c:v>2251</c:v>
                </c:pt>
                <c:pt idx="2">
                  <c:v>2251</c:v>
                </c:pt>
                <c:pt idx="3">
                  <c:v>2251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E-4A4A-8475-3509075BBE8D}"/>
            </c:ext>
          </c:extLst>
        </c:ser>
        <c:ser>
          <c:idx val="1"/>
          <c:order val="1"/>
          <c:spPr>
            <a:solidFill>
              <a:srgbClr val="80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'[2]Calculo A7-A10'!$D$10:$I$10</c:f>
              <c:numCache>
                <c:formatCode>General</c:formatCode>
                <c:ptCount val="6"/>
                <c:pt idx="0">
                  <c:v>3601</c:v>
                </c:pt>
                <c:pt idx="1">
                  <c:v>3601</c:v>
                </c:pt>
                <c:pt idx="2">
                  <c:v>3601</c:v>
                </c:pt>
                <c:pt idx="3">
                  <c:v>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7E-4A4A-8475-3509075BBE8D}"/>
            </c:ext>
          </c:extLst>
        </c:ser>
        <c:ser>
          <c:idx val="2"/>
          <c:order val="2"/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'[2]Calculo A7-A10'!$D$11:$I$11</c:f>
              <c:numCache>
                <c:formatCode>General</c:formatCode>
                <c:ptCount val="6"/>
                <c:pt idx="0">
                  <c:v>4726</c:v>
                </c:pt>
                <c:pt idx="1">
                  <c:v>4726</c:v>
                </c:pt>
                <c:pt idx="2">
                  <c:v>4726</c:v>
                </c:pt>
                <c:pt idx="3">
                  <c:v>4726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7E-4A4A-8475-3509075BBE8D}"/>
            </c:ext>
          </c:extLst>
        </c:ser>
        <c:ser>
          <c:idx val="3"/>
          <c:order val="3"/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'[2]Calculo A7-A10'!$D$12:$I$12</c:f>
              <c:numCache>
                <c:formatCode>General</c:formatCode>
                <c:ptCount val="6"/>
                <c:pt idx="0">
                  <c:v>4910.090909090909</c:v>
                </c:pt>
                <c:pt idx="1">
                  <c:v>4910.090909090909</c:v>
                </c:pt>
                <c:pt idx="2">
                  <c:v>4910.090909090909</c:v>
                </c:pt>
                <c:pt idx="3">
                  <c:v>4910.090909090909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7E-4A4A-8475-3509075BBE8D}"/>
            </c:ext>
          </c:extLst>
        </c:ser>
        <c:ser>
          <c:idx val="4"/>
          <c:order val="4"/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'[2]Calculo A7-A10'!$D$13:$I$13</c:f>
              <c:numCache>
                <c:formatCode>General</c:formatCode>
                <c:ptCount val="6"/>
                <c:pt idx="0">
                  <c:v>4091.909090909091</c:v>
                </c:pt>
                <c:pt idx="1">
                  <c:v>4091.909090909091</c:v>
                </c:pt>
                <c:pt idx="2">
                  <c:v>4091.909090909091</c:v>
                </c:pt>
                <c:pt idx="3">
                  <c:v>4091.909090909091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7E-4A4A-8475-3509075BBE8D}"/>
            </c:ext>
          </c:extLst>
        </c:ser>
        <c:ser>
          <c:idx val="5"/>
          <c:order val="5"/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'[2]Calculo A7-A10'!$D$14:$I$14</c:f>
              <c:numCache>
                <c:formatCode>General</c:formatCode>
                <c:ptCount val="6"/>
                <c:pt idx="0">
                  <c:v>4910.0909090909099</c:v>
                </c:pt>
                <c:pt idx="1">
                  <c:v>4910.0909090909099</c:v>
                </c:pt>
                <c:pt idx="2">
                  <c:v>4910.0909090909099</c:v>
                </c:pt>
                <c:pt idx="3">
                  <c:v>4910.0909090909099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7E-4A4A-8475-3509075BBE8D}"/>
            </c:ext>
          </c:extLst>
        </c:ser>
        <c:ser>
          <c:idx val="6"/>
          <c:order val="6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'[2]Calculo A7-A10'!$D$15:$I$15</c:f>
              <c:numCache>
                <c:formatCode>General</c:formatCode>
                <c:ptCount val="6"/>
                <c:pt idx="0">
                  <c:v>1351</c:v>
                </c:pt>
                <c:pt idx="1">
                  <c:v>1351</c:v>
                </c:pt>
                <c:pt idx="2">
                  <c:v>1351</c:v>
                </c:pt>
                <c:pt idx="3">
                  <c:v>1351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7E-4A4A-8475-3509075BBE8D}"/>
            </c:ext>
          </c:extLst>
        </c:ser>
        <c:ser>
          <c:idx val="7"/>
          <c:order val="7"/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'[2]Calculo A7-A10'!$D$16:$I$16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7-C57E-4A4A-8475-3509075BBE8D}"/>
            </c:ext>
          </c:extLst>
        </c:ser>
        <c:ser>
          <c:idx val="8"/>
          <c:order val="8"/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'[2]Calculo A7-A10'!$D$17:$I$17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8-C57E-4A4A-8475-3509075BBE8D}"/>
            </c:ext>
          </c:extLst>
        </c:ser>
        <c:ser>
          <c:idx val="9"/>
          <c:order val="9"/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'[2]Calculo A7-A10'!$D$18:$I$18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9-C57E-4A4A-8475-3509075BBE8D}"/>
            </c:ext>
          </c:extLst>
        </c:ser>
        <c:ser>
          <c:idx val="10"/>
          <c:order val="10"/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'[2]Calculo A7-A10'!$D$19:$I$19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A-C57E-4A4A-8475-3509075BBE8D}"/>
            </c:ext>
          </c:extLst>
        </c:ser>
        <c:ser>
          <c:idx val="11"/>
          <c:order val="11"/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'[2]Calculo A7-A10'!$D$20:$I$20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B-C57E-4A4A-8475-3509075BB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350144"/>
        <c:axId val="51376512"/>
      </c:barChart>
      <c:catAx>
        <c:axId val="51350144"/>
        <c:scaling>
          <c:orientation val="minMax"/>
        </c:scaling>
        <c:delete val="0"/>
        <c:axPos val="b"/>
        <c:majorGridlines>
          <c:spPr>
            <a:ln w="25400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137651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1376512"/>
        <c:scaling>
          <c:logBase val="10"/>
          <c:orientation val="minMax"/>
          <c:max val="50000"/>
          <c:min val="1"/>
        </c:scaling>
        <c:delete val="0"/>
        <c:axPos val="l"/>
        <c:majorGridlines>
          <c:spPr>
            <a:ln w="12700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1350144"/>
        <c:crosses val="autoZero"/>
        <c:crossBetween val="between"/>
        <c:minorUnit val="100"/>
      </c:valAx>
      <c:spPr>
        <a:solidFill>
          <a:srgbClr val="FFFFFF"/>
        </a:solidFill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6066471088620801"/>
          <c:y val="0.79372126690441702"/>
          <c:w val="0.63988886950073098"/>
          <c:h val="0.14080057826778158"/>
        </c:manualLayout>
      </c:layout>
      <c:overlay val="0"/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1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254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>
      <c:oddHeader>&amp;A</c:oddHeader>
      <c:oddFooter>Página &amp;P</c:oddFooter>
    </c:headerFooter>
    <c:pageMargins b="1" l="0.75" r="0.75" t="1" header="0.511811024" footer="0.511811024"/>
    <c:pageSetup paperSize="9" orientation="landscape" horizontalDpi="300" verticalDpi="1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4312776043786504E-2"/>
          <c:y val="5.9800761460433699E-2"/>
          <c:w val="0.83480505374483605"/>
          <c:h val="0.588040821027598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'CalculoA9.A16'!$C$2:$J$2</c:f>
              <c:numCache>
                <c:formatCode>0</c:formatCode>
                <c:ptCount val="8"/>
                <c:pt idx="0">
                  <c:v>11455.545454545454</c:v>
                </c:pt>
                <c:pt idx="1">
                  <c:v>1</c:v>
                </c:pt>
                <c:pt idx="2">
                  <c:v>1</c:v>
                </c:pt>
                <c:pt idx="3">
                  <c:v>3273.727272727273</c:v>
                </c:pt>
                <c:pt idx="4">
                  <c:v>1</c:v>
                </c:pt>
                <c:pt idx="5">
                  <c:v>1</c:v>
                </c:pt>
                <c:pt idx="6">
                  <c:v>7364.636363636364</c:v>
                </c:pt>
                <c:pt idx="7">
                  <c:v>12273.727272727272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6-6B45-8E16-887346402043}"/>
            </c:ext>
          </c:extLst>
        </c:ser>
        <c:ser>
          <c:idx val="1"/>
          <c:order val="1"/>
          <c:spPr>
            <a:solidFill>
              <a:srgbClr val="80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'CalculoA9.A16'!$C$3:$J$3</c:f>
              <c:numCache>
                <c:formatCode>0</c:formatCode>
                <c:ptCount val="8"/>
                <c:pt idx="0">
                  <c:v>9164.636363636364</c:v>
                </c:pt>
                <c:pt idx="1">
                  <c:v>7855.545454545455</c:v>
                </c:pt>
                <c:pt idx="2">
                  <c:v>9819.181818181818</c:v>
                </c:pt>
                <c:pt idx="3">
                  <c:v>5237.3636363636369</c:v>
                </c:pt>
                <c:pt idx="4">
                  <c:v>5237.3636363636369</c:v>
                </c:pt>
                <c:pt idx="5">
                  <c:v>5891.9090909090919</c:v>
                </c:pt>
                <c:pt idx="6">
                  <c:v>5891.9090909090919</c:v>
                </c:pt>
                <c:pt idx="7">
                  <c:v>9819.181818181818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26-6B45-8E16-887346402043}"/>
            </c:ext>
          </c:extLst>
        </c:ser>
        <c:ser>
          <c:idx val="2"/>
          <c:order val="2"/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'CalculoA9.A16'!$C$4:$J$4</c:f>
              <c:numCache>
                <c:formatCode>0</c:formatCode>
                <c:ptCount val="8"/>
                <c:pt idx="0">
                  <c:v>12028.272727272726</c:v>
                </c:pt>
                <c:pt idx="1">
                  <c:v>6873.7272727272721</c:v>
                </c:pt>
                <c:pt idx="2">
                  <c:v>2864.6363636363635</c:v>
                </c:pt>
                <c:pt idx="3">
                  <c:v>9164.636363636364</c:v>
                </c:pt>
                <c:pt idx="4">
                  <c:v>4582.818181818182</c:v>
                </c:pt>
                <c:pt idx="5">
                  <c:v>5155.545454545454</c:v>
                </c:pt>
                <c:pt idx="6">
                  <c:v>3437.363636363636</c:v>
                </c:pt>
                <c:pt idx="7">
                  <c:v>14319.181818181816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26-6B45-8E16-887346402043}"/>
            </c:ext>
          </c:extLst>
        </c:ser>
        <c:ser>
          <c:idx val="3"/>
          <c:order val="3"/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'CalculoA9.A16'!$C$5:$J$5</c:f>
              <c:numCache>
                <c:formatCode>0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1964.6363636363637</c:v>
                </c:pt>
                <c:pt idx="5">
                  <c:v>1473.7272727272727</c:v>
                </c:pt>
                <c:pt idx="6">
                  <c:v>1473.7272727272727</c:v>
                </c:pt>
                <c:pt idx="7">
                  <c:v>2455.5454545454545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26-6B45-8E16-887346402043}"/>
            </c:ext>
          </c:extLst>
        </c:ser>
        <c:ser>
          <c:idx val="4"/>
          <c:order val="4"/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'CalculoA9.A16'!$C$6:$J$6</c:f>
              <c:numCache>
                <c:formatCode>0</c:formatCode>
                <c:ptCount val="8"/>
                <c:pt idx="0">
                  <c:v>11455.545454545454</c:v>
                </c:pt>
                <c:pt idx="1">
                  <c:v>9819.181818181818</c:v>
                </c:pt>
                <c:pt idx="2">
                  <c:v>8182.818181818182</c:v>
                </c:pt>
                <c:pt idx="3">
                  <c:v>3273.727272727273</c:v>
                </c:pt>
                <c:pt idx="4">
                  <c:v>6546.454545454546</c:v>
                </c:pt>
                <c:pt idx="5">
                  <c:v>3682.818181818182</c:v>
                </c:pt>
                <c:pt idx="6">
                  <c:v>2455.5454545454545</c:v>
                </c:pt>
                <c:pt idx="7">
                  <c:v>2046.4545454545455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26-6B45-8E16-887346402043}"/>
            </c:ext>
          </c:extLst>
        </c:ser>
        <c:ser>
          <c:idx val="5"/>
          <c:order val="5"/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'CalculoA9.A16'!$C$7:$J$7</c:f>
              <c:numCache>
                <c:formatCode>0</c:formatCode>
                <c:ptCount val="8"/>
                <c:pt idx="0">
                  <c:v>4582.818181818182</c:v>
                </c:pt>
                <c:pt idx="1">
                  <c:v>5891.9090909090919</c:v>
                </c:pt>
                <c:pt idx="2">
                  <c:v>6546.454545454546</c:v>
                </c:pt>
                <c:pt idx="3">
                  <c:v>5237.3636363636369</c:v>
                </c:pt>
                <c:pt idx="4">
                  <c:v>2619.1818181818185</c:v>
                </c:pt>
                <c:pt idx="5">
                  <c:v>1964.6363636363637</c:v>
                </c:pt>
                <c:pt idx="6">
                  <c:v>1</c:v>
                </c:pt>
                <c:pt idx="7">
                  <c:v>1637.3636363636365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26-6B45-8E16-887346402043}"/>
            </c:ext>
          </c:extLst>
        </c:ser>
        <c:ser>
          <c:idx val="6"/>
          <c:order val="6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'CalculoA9.A16'!$C$8:$J$8</c:f>
              <c:numCache>
                <c:formatCode>0</c:formatCode>
                <c:ptCount val="8"/>
                <c:pt idx="0">
                  <c:v>3437.363636363636</c:v>
                </c:pt>
                <c:pt idx="1">
                  <c:v>5891.909090909091</c:v>
                </c:pt>
                <c:pt idx="2">
                  <c:v>3682.8181818181815</c:v>
                </c:pt>
                <c:pt idx="3">
                  <c:v>1964.6363636363637</c:v>
                </c:pt>
                <c:pt idx="4">
                  <c:v>3928.2727272727275</c:v>
                </c:pt>
                <c:pt idx="5">
                  <c:v>2210.090909090909</c:v>
                </c:pt>
                <c:pt idx="6">
                  <c:v>2946.4545454545455</c:v>
                </c:pt>
                <c:pt idx="7">
                  <c:v>1228.2727272727273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26-6B45-8E16-887346402043}"/>
            </c:ext>
          </c:extLst>
        </c:ser>
        <c:ser>
          <c:idx val="7"/>
          <c:order val="7"/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'CalculoA9.A16'!$C$9:$J$9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26-6B45-8E16-887346402043}"/>
            </c:ext>
          </c:extLst>
        </c:ser>
        <c:ser>
          <c:idx val="8"/>
          <c:order val="8"/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'CalculoA9.A16'!$C$10:$J$10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26-6B45-8E16-887346402043}"/>
            </c:ext>
          </c:extLst>
        </c:ser>
        <c:ser>
          <c:idx val="9"/>
          <c:order val="9"/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'CalculoA9.A16'!$C$11:$J$11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26-6B45-8E16-887346402043}"/>
            </c:ext>
          </c:extLst>
        </c:ser>
        <c:ser>
          <c:idx val="10"/>
          <c:order val="10"/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'CalculoA9.A16'!$C$12:$J$12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26-6B45-8E16-887346402043}"/>
            </c:ext>
          </c:extLst>
        </c:ser>
        <c:ser>
          <c:idx val="11"/>
          <c:order val="11"/>
          <c:spPr>
            <a:pattFill prst="dkHorz">
              <a:fgClr>
                <a:srgbClr xmlns:mc="http://schemas.openxmlformats.org/markup-compatibility/2006" xmlns:a14="http://schemas.microsoft.com/office/drawing/2010/main" val="FFFFFF" mc:Ignorable="a14" a14:legacySpreadsheetColorIndex="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1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'CalculoA9.A16'!$C$13:$J$13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26-6B45-8E16-887346402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80672"/>
        <c:axId val="54989952"/>
      </c:barChart>
      <c:catAx>
        <c:axId val="55180672"/>
        <c:scaling>
          <c:orientation val="minMax"/>
        </c:scaling>
        <c:delete val="0"/>
        <c:axPos val="b"/>
        <c:majorGridlines>
          <c:spPr>
            <a:ln w="25400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498995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4989952"/>
        <c:scaling>
          <c:logBase val="10"/>
          <c:orientation val="minMax"/>
          <c:max val="100000"/>
          <c:min val="1"/>
        </c:scaling>
        <c:delete val="0"/>
        <c:axPos val="l"/>
        <c:majorGridlines>
          <c:spPr>
            <a:ln w="12700">
              <a:solidFill>
                <a:srgbClr val="80808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5180672"/>
        <c:crosses val="autoZero"/>
        <c:crossBetween val="between"/>
        <c:minorUnit val="100"/>
      </c:valAx>
      <c:spPr>
        <a:solidFill>
          <a:srgbClr val="FFFFFF"/>
        </a:solidFill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4076246334310899"/>
          <c:y val="0.78923696197168203"/>
          <c:w val="0.67741912392915604"/>
          <c:h val="0.17937184421454"/>
        </c:manualLayout>
      </c:layout>
      <c:overlay val="0"/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1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254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>
      <c:oddHeader>&amp;A</c:oddHeader>
      <c:oddFooter>Página &amp;P</c:oddFooter>
    </c:headerFooter>
    <c:pageMargins b="1" l="0.75" r="0.75" t="1" header="0.511811024" footer="0.511811024"/>
    <c:pageSetup paperSize="9" orientation="landscape" horizontalDpi="300" verticalDpi="1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081081081081099"/>
          <c:y val="0.100000465031924"/>
          <c:w val="0.50810810810810803"/>
          <c:h val="0.7523844511925740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'CalculoA9.A16'!$C$14:$I$14</c:f>
              <c:numCache>
                <c:formatCode>0</c:formatCode>
                <c:ptCount val="7"/>
                <c:pt idx="0">
                  <c:v>52125.181818181823</c:v>
                </c:pt>
                <c:pt idx="1">
                  <c:v>36334.272727272728</c:v>
                </c:pt>
                <c:pt idx="2">
                  <c:v>31097.909090909092</c:v>
                </c:pt>
                <c:pt idx="3">
                  <c:v>28152.454545454544</c:v>
                </c:pt>
                <c:pt idx="4">
                  <c:v>24879.727272727276</c:v>
                </c:pt>
                <c:pt idx="5">
                  <c:v>20379.727272727272</c:v>
                </c:pt>
                <c:pt idx="6">
                  <c:v>23570.636363636364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F-C64B-811C-6CDCAC4CF57D}"/>
            </c:ext>
          </c:extLst>
        </c:ser>
        <c:ser>
          <c:idx val="1"/>
          <c:order val="1"/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'CalculoA9.A16'!$C$15:$I$15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CF-C64B-811C-6CDCAC4CF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026048"/>
        <c:axId val="55027584"/>
      </c:barChart>
      <c:catAx>
        <c:axId val="5502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5027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5027584"/>
        <c:scaling>
          <c:orientation val="minMax"/>
          <c:max val="1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5026048"/>
        <c:crosses val="autoZero"/>
        <c:crossBetween val="between"/>
        <c:minorUnit val="20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374901574803103"/>
          <c:y val="0.40789473684210498"/>
          <c:w val="0.156250000000001"/>
          <c:h val="0.1184210526315789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/>
    <c:pageMargins b="1" l="0.75" r="0.7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4312776043786504E-2"/>
          <c:y val="5.9800761460433699E-2"/>
          <c:w val="0.83480505374483605"/>
          <c:h val="0.588040821027598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A23.A30'!$C$2:$G$2</c:f>
              <c:numCache>
                <c:formatCode>0</c:formatCode>
                <c:ptCount val="5"/>
                <c:pt idx="0">
                  <c:v>1</c:v>
                </c:pt>
                <c:pt idx="1">
                  <c:v>19637.363636363636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9-A542-834F-7D9B713C9717}"/>
            </c:ext>
          </c:extLst>
        </c:ser>
        <c:ser>
          <c:idx val="1"/>
          <c:order val="1"/>
          <c:spPr>
            <a:solidFill>
              <a:srgbClr val="80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A23.A30'!$C$3:$G$3</c:f>
              <c:numCache>
                <c:formatCode>0</c:formatCode>
                <c:ptCount val="5"/>
                <c:pt idx="0">
                  <c:v>26182.818181818187</c:v>
                </c:pt>
                <c:pt idx="1">
                  <c:v>11782.818181818184</c:v>
                </c:pt>
                <c:pt idx="2">
                  <c:v>11782.818181818184</c:v>
                </c:pt>
                <c:pt idx="3">
                  <c:v>11782.818181818184</c:v>
                </c:pt>
                <c:pt idx="4">
                  <c:v>1310.0909090909092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E9-A542-834F-7D9B713C9717}"/>
            </c:ext>
          </c:extLst>
        </c:ser>
        <c:ser>
          <c:idx val="2"/>
          <c:order val="2"/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A23.A30'!$C$4:$G$4</c:f>
              <c:numCache>
                <c:formatCode>0</c:formatCode>
                <c:ptCount val="5"/>
                <c:pt idx="0">
                  <c:v>9164.636363636364</c:v>
                </c:pt>
                <c:pt idx="1">
                  <c:v>3437.363636363636</c:v>
                </c:pt>
                <c:pt idx="2">
                  <c:v>10310.090909090908</c:v>
                </c:pt>
                <c:pt idx="3">
                  <c:v>6873.7272727272721</c:v>
                </c:pt>
                <c:pt idx="4">
                  <c:v>1719.1818181818185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E9-A542-834F-7D9B713C9717}"/>
            </c:ext>
          </c:extLst>
        </c:ser>
        <c:ser>
          <c:idx val="3"/>
          <c:order val="3"/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A23.A30'!$C$5:$G$5</c:f>
              <c:numCache>
                <c:formatCode>0</c:formatCode>
                <c:ptCount val="5"/>
                <c:pt idx="0">
                  <c:v>7855.545454545455</c:v>
                </c:pt>
                <c:pt idx="1">
                  <c:v>2946.4545454545455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E9-A542-834F-7D9B713C9717}"/>
            </c:ext>
          </c:extLst>
        </c:ser>
        <c:ser>
          <c:idx val="4"/>
          <c:order val="4"/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A23.A30'!$C$6:$G$6</c:f>
              <c:numCache>
                <c:formatCode>0</c:formatCode>
                <c:ptCount val="5"/>
                <c:pt idx="0">
                  <c:v>1</c:v>
                </c:pt>
                <c:pt idx="1">
                  <c:v>1</c:v>
                </c:pt>
                <c:pt idx="2">
                  <c:v>2455.5454545454545</c:v>
                </c:pt>
                <c:pt idx="3">
                  <c:v>4910.090909090909</c:v>
                </c:pt>
                <c:pt idx="4">
                  <c:v>1228.2727272727275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E9-A542-834F-7D9B713C9717}"/>
            </c:ext>
          </c:extLst>
        </c:ser>
        <c:ser>
          <c:idx val="5"/>
          <c:order val="5"/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A23.A30'!$C$7:$G$7</c:f>
              <c:numCache>
                <c:formatCode>0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E9-A542-834F-7D9B713C9717}"/>
            </c:ext>
          </c:extLst>
        </c:ser>
        <c:ser>
          <c:idx val="6"/>
          <c:order val="6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 A23.A30'!$C$8:$G$8</c:f>
              <c:numCache>
                <c:formatCode>0</c:formatCode>
                <c:ptCount val="5"/>
                <c:pt idx="0">
                  <c:v>3928.2727272727275</c:v>
                </c:pt>
                <c:pt idx="1">
                  <c:v>2946.4545454545455</c:v>
                </c:pt>
                <c:pt idx="2">
                  <c:v>4419.181818181818</c:v>
                </c:pt>
                <c:pt idx="3">
                  <c:v>4419.181818181818</c:v>
                </c:pt>
                <c:pt idx="4">
                  <c:v>737.36363636363649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E9-A542-834F-7D9B713C9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80672"/>
        <c:axId val="54989952"/>
      </c:barChart>
      <c:catAx>
        <c:axId val="55180672"/>
        <c:scaling>
          <c:orientation val="minMax"/>
        </c:scaling>
        <c:delete val="0"/>
        <c:axPos val="b"/>
        <c:majorGridlines>
          <c:spPr>
            <a:ln w="25400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498995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4989952"/>
        <c:scaling>
          <c:logBase val="10"/>
          <c:orientation val="minMax"/>
          <c:max val="100000"/>
          <c:min val="1"/>
        </c:scaling>
        <c:delete val="0"/>
        <c:axPos val="l"/>
        <c:majorGridlines>
          <c:spPr>
            <a:ln w="12700">
              <a:solidFill>
                <a:srgbClr val="80808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5180672"/>
        <c:crosses val="autoZero"/>
        <c:crossBetween val="between"/>
        <c:minorUnit val="100"/>
      </c:valAx>
      <c:spPr>
        <a:solidFill>
          <a:srgbClr val="FFFFFF"/>
        </a:solidFill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4449607061154349"/>
          <c:y val="0.73780840695257666"/>
          <c:w val="0.67741912392915604"/>
          <c:h val="0.17937184421454"/>
        </c:manualLayout>
      </c:layout>
      <c:overlay val="0"/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1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254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>
      <c:oddHeader>&amp;A</c:oddHeader>
      <c:oddFooter>Página &amp;P</c:oddFooter>
    </c:headerFooter>
    <c:pageMargins b="1" l="0.75" r="0.75" t="1" header="0.511811024" footer="0.511811024"/>
    <c:pageSetup paperSize="9" orientation="landscape" horizontalDpi="300" verticalDpi="1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081081081081099"/>
          <c:y val="0.100000465031924"/>
          <c:w val="0.50810810810810803"/>
          <c:h val="0.7523844511925740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'CalculoA9.A16'!$C$14:$I$14</c:f>
              <c:numCache>
                <c:formatCode>0</c:formatCode>
                <c:ptCount val="7"/>
                <c:pt idx="0">
                  <c:v>52125.181818181823</c:v>
                </c:pt>
                <c:pt idx="1">
                  <c:v>36334.272727272728</c:v>
                </c:pt>
                <c:pt idx="2">
                  <c:v>31097.909090909092</c:v>
                </c:pt>
                <c:pt idx="3">
                  <c:v>28152.454545454544</c:v>
                </c:pt>
                <c:pt idx="4">
                  <c:v>24879.727272727276</c:v>
                </c:pt>
                <c:pt idx="5">
                  <c:v>20379.727272727272</c:v>
                </c:pt>
                <c:pt idx="6">
                  <c:v>23570.636363636364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3B-3644-9703-8F38A7EB6AC7}"/>
            </c:ext>
          </c:extLst>
        </c:ser>
        <c:ser>
          <c:idx val="1"/>
          <c:order val="1"/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'CalculoA9.A16'!$C$15:$I$15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3B-3644-9703-8F38A7EB6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026048"/>
        <c:axId val="55027584"/>
      </c:barChart>
      <c:catAx>
        <c:axId val="5502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5027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5027584"/>
        <c:scaling>
          <c:orientation val="minMax"/>
          <c:max val="1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55026048"/>
        <c:crosses val="autoZero"/>
        <c:crossBetween val="between"/>
        <c:minorUnit val="20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374901574803103"/>
          <c:y val="0.40789473684210498"/>
          <c:w val="0.156250000000001"/>
          <c:h val="0.1184210526315789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/>
    <c:pageMargins b="1" l="0.75" r="0.75" t="1" header="0" footer="0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Microc.!$B$4</c:f>
              <c:strCache>
                <c:ptCount val="1"/>
                <c:pt idx="0">
                  <c:v>AERÓ 1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Microc.!$C$3:$I$3</c:f>
              <c:strCache>
                <c:ptCount val="7"/>
                <c:pt idx="0">
                  <c:v>m. Equiv.</c:v>
                </c:pt>
                <c:pt idx="1">
                  <c:v>L</c:v>
                </c:pt>
                <c:pt idx="2">
                  <c:v>M</c:v>
                </c:pt>
                <c:pt idx="3">
                  <c:v>X</c:v>
                </c:pt>
                <c:pt idx="4">
                  <c:v>J</c:v>
                </c:pt>
                <c:pt idx="5">
                  <c:v>V</c:v>
                </c:pt>
                <c:pt idx="6">
                  <c:v>S</c:v>
                </c:pt>
              </c:strCache>
            </c:strRef>
          </c:cat>
          <c:val>
            <c:numRef>
              <c:f>Microc.!$C$4:$I$4</c:f>
              <c:numCache>
                <c:formatCode>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0-6443-93FF-73177179C536}"/>
            </c:ext>
          </c:extLst>
        </c:ser>
        <c:ser>
          <c:idx val="1"/>
          <c:order val="1"/>
          <c:tx>
            <c:strRef>
              <c:f>Microc.!$B$5</c:f>
              <c:strCache>
                <c:ptCount val="1"/>
                <c:pt idx="0">
                  <c:v>AERÓ 2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Microc.!$C$3:$I$3</c:f>
              <c:strCache>
                <c:ptCount val="7"/>
                <c:pt idx="0">
                  <c:v>m. Equiv.</c:v>
                </c:pt>
                <c:pt idx="1">
                  <c:v>L</c:v>
                </c:pt>
                <c:pt idx="2">
                  <c:v>M</c:v>
                </c:pt>
                <c:pt idx="3">
                  <c:v>X</c:v>
                </c:pt>
                <c:pt idx="4">
                  <c:v>J</c:v>
                </c:pt>
                <c:pt idx="5">
                  <c:v>V</c:v>
                </c:pt>
                <c:pt idx="6">
                  <c:v>S</c:v>
                </c:pt>
              </c:strCache>
            </c:strRef>
          </c:cat>
          <c:val>
            <c:numRef>
              <c:f>Microc.!$C$5:$I$5</c:f>
              <c:numCache>
                <c:formatCode>0</c:formatCode>
                <c:ptCount val="7"/>
                <c:pt idx="0">
                  <c:v>19637.36363636364</c:v>
                </c:pt>
                <c:pt idx="1">
                  <c:v>2830.6109746109751</c:v>
                </c:pt>
                <c:pt idx="2">
                  <c:v>3892.0900900900906</c:v>
                </c:pt>
                <c:pt idx="3">
                  <c:v>3892.0900900900906</c:v>
                </c:pt>
                <c:pt idx="4">
                  <c:v>4245.916461916463</c:v>
                </c:pt>
                <c:pt idx="5">
                  <c:v>2653.6977886977893</c:v>
                </c:pt>
                <c:pt idx="6">
                  <c:v>2122.9582309582315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D0-6443-93FF-73177179C536}"/>
            </c:ext>
          </c:extLst>
        </c:ser>
        <c:ser>
          <c:idx val="2"/>
          <c:order val="2"/>
          <c:tx>
            <c:strRef>
              <c:f>Microc.!$B$6</c:f>
              <c:strCache>
                <c:ptCount val="1"/>
                <c:pt idx="0">
                  <c:v>AERÓ 3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Microc.!$C$3:$I$3</c:f>
              <c:strCache>
                <c:ptCount val="7"/>
                <c:pt idx="0">
                  <c:v>m. Equiv.</c:v>
                </c:pt>
                <c:pt idx="1">
                  <c:v>L</c:v>
                </c:pt>
                <c:pt idx="2">
                  <c:v>M</c:v>
                </c:pt>
                <c:pt idx="3">
                  <c:v>X</c:v>
                </c:pt>
                <c:pt idx="4">
                  <c:v>J</c:v>
                </c:pt>
                <c:pt idx="5">
                  <c:v>V</c:v>
                </c:pt>
                <c:pt idx="6">
                  <c:v>S</c:v>
                </c:pt>
              </c:strCache>
            </c:strRef>
          </c:cat>
          <c:val>
            <c:numRef>
              <c:f>Microc.!$C$6:$I$6</c:f>
              <c:numCache>
                <c:formatCode>0</c:formatCode>
                <c:ptCount val="7"/>
                <c:pt idx="0">
                  <c:v>6873.7272727272721</c:v>
                </c:pt>
                <c:pt idx="1">
                  <c:v>990.80753480753469</c:v>
                </c:pt>
                <c:pt idx="2">
                  <c:v>1362.3603603603603</c:v>
                </c:pt>
                <c:pt idx="3">
                  <c:v>1362.3603603603603</c:v>
                </c:pt>
                <c:pt idx="4">
                  <c:v>1486.2113022113022</c:v>
                </c:pt>
                <c:pt idx="5">
                  <c:v>928.88206388206379</c:v>
                </c:pt>
                <c:pt idx="6">
                  <c:v>743.10565110565108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D0-6443-93FF-73177179C536}"/>
            </c:ext>
          </c:extLst>
        </c:ser>
        <c:ser>
          <c:idx val="3"/>
          <c:order val="3"/>
          <c:tx>
            <c:strRef>
              <c:f>Microc.!$B$7</c:f>
              <c:strCache>
                <c:ptCount val="1"/>
                <c:pt idx="0">
                  <c:v>AE-LC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Microc.!$C$3:$I$3</c:f>
              <c:strCache>
                <c:ptCount val="7"/>
                <c:pt idx="0">
                  <c:v>m. Equiv.</c:v>
                </c:pt>
                <c:pt idx="1">
                  <c:v>L</c:v>
                </c:pt>
                <c:pt idx="2">
                  <c:v>M</c:v>
                </c:pt>
                <c:pt idx="3">
                  <c:v>X</c:v>
                </c:pt>
                <c:pt idx="4">
                  <c:v>J</c:v>
                </c:pt>
                <c:pt idx="5">
                  <c:v>V</c:v>
                </c:pt>
                <c:pt idx="6">
                  <c:v>S</c:v>
                </c:pt>
              </c:strCache>
            </c:strRef>
          </c:cat>
          <c:val>
            <c:numRef>
              <c:f>Microc.!$C$7:$I$7</c:f>
              <c:numCache>
                <c:formatCode>0</c:formatCode>
                <c:ptCount val="7"/>
                <c:pt idx="0">
                  <c:v>5891.909090909091</c:v>
                </c:pt>
                <c:pt idx="1">
                  <c:v>849.28419328419329</c:v>
                </c:pt>
                <c:pt idx="2">
                  <c:v>1167.7657657657658</c:v>
                </c:pt>
                <c:pt idx="3">
                  <c:v>1167.7657657657658</c:v>
                </c:pt>
                <c:pt idx="4">
                  <c:v>1273.9262899262901</c:v>
                </c:pt>
                <c:pt idx="5">
                  <c:v>796.20393120393123</c:v>
                </c:pt>
                <c:pt idx="6">
                  <c:v>636.96314496314506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D0-6443-93FF-73177179C536}"/>
            </c:ext>
          </c:extLst>
        </c:ser>
        <c:ser>
          <c:idx val="4"/>
          <c:order val="4"/>
          <c:tx>
            <c:strRef>
              <c:f>Microc.!$B$8</c:f>
              <c:strCache>
                <c:ptCount val="1"/>
                <c:pt idx="0">
                  <c:v>LÁCTI 1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Microc.!$C$3:$I$3</c:f>
              <c:strCache>
                <c:ptCount val="7"/>
                <c:pt idx="0">
                  <c:v>m. Equiv.</c:v>
                </c:pt>
                <c:pt idx="1">
                  <c:v>L</c:v>
                </c:pt>
                <c:pt idx="2">
                  <c:v>M</c:v>
                </c:pt>
                <c:pt idx="3">
                  <c:v>X</c:v>
                </c:pt>
                <c:pt idx="4">
                  <c:v>J</c:v>
                </c:pt>
                <c:pt idx="5">
                  <c:v>V</c:v>
                </c:pt>
                <c:pt idx="6">
                  <c:v>S</c:v>
                </c:pt>
              </c:strCache>
            </c:strRef>
          </c:cat>
          <c:val>
            <c:numRef>
              <c:f>Microc.!$C$8:$I$8</c:f>
              <c:numCache>
                <c:formatCode>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D0-6443-93FF-73177179C536}"/>
            </c:ext>
          </c:extLst>
        </c:ser>
        <c:ser>
          <c:idx val="5"/>
          <c:order val="5"/>
          <c:tx>
            <c:strRef>
              <c:f>Microc.!$B$9</c:f>
              <c:strCache>
                <c:ptCount val="1"/>
                <c:pt idx="0">
                  <c:v>LÁCTI 2</c:v>
                </c:pt>
              </c:strCache>
            </c:strRef>
          </c:tx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Microc.!$C$3:$I$3</c:f>
              <c:strCache>
                <c:ptCount val="7"/>
                <c:pt idx="0">
                  <c:v>m. Equiv.</c:v>
                </c:pt>
                <c:pt idx="1">
                  <c:v>L</c:v>
                </c:pt>
                <c:pt idx="2">
                  <c:v>M</c:v>
                </c:pt>
                <c:pt idx="3">
                  <c:v>X</c:v>
                </c:pt>
                <c:pt idx="4">
                  <c:v>J</c:v>
                </c:pt>
                <c:pt idx="5">
                  <c:v>V</c:v>
                </c:pt>
                <c:pt idx="6">
                  <c:v>S</c:v>
                </c:pt>
              </c:strCache>
            </c:strRef>
          </c:cat>
          <c:val>
            <c:numRef>
              <c:f>Microc.!$C$9:$I$9</c:f>
              <c:numCache>
                <c:formatCode>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D0-6443-93FF-73177179C536}"/>
            </c:ext>
          </c:extLst>
        </c:ser>
        <c:ser>
          <c:idx val="6"/>
          <c:order val="6"/>
          <c:tx>
            <c:strRef>
              <c:f>Microc.!$B$10</c:f>
              <c:strCache>
                <c:ptCount val="1"/>
                <c:pt idx="0">
                  <c:v>ALÁCTI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Microc.!$C$3:$I$3</c:f>
              <c:strCache>
                <c:ptCount val="7"/>
                <c:pt idx="0">
                  <c:v>m. Equiv.</c:v>
                </c:pt>
                <c:pt idx="1">
                  <c:v>L</c:v>
                </c:pt>
                <c:pt idx="2">
                  <c:v>M</c:v>
                </c:pt>
                <c:pt idx="3">
                  <c:v>X</c:v>
                </c:pt>
                <c:pt idx="4">
                  <c:v>J</c:v>
                </c:pt>
                <c:pt idx="5">
                  <c:v>V</c:v>
                </c:pt>
                <c:pt idx="6">
                  <c:v>S</c:v>
                </c:pt>
              </c:strCache>
            </c:strRef>
          </c:cat>
          <c:val>
            <c:numRef>
              <c:f>Microc.!$C$10:$H$10</c:f>
              <c:numCache>
                <c:formatCode>0</c:formatCode>
                <c:ptCount val="6"/>
                <c:pt idx="0">
                  <c:v>2946.4545454545455</c:v>
                </c:pt>
                <c:pt idx="1">
                  <c:v>424.71416871416869</c:v>
                </c:pt>
                <c:pt idx="2">
                  <c:v>583.98198198198202</c:v>
                </c:pt>
                <c:pt idx="3">
                  <c:v>583.98198198198202</c:v>
                </c:pt>
                <c:pt idx="4">
                  <c:v>637.07125307125307</c:v>
                </c:pt>
                <c:pt idx="5">
                  <c:v>398.16953316953322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D0-6443-93FF-73177179C536}"/>
            </c:ext>
          </c:extLst>
        </c:ser>
        <c:ser>
          <c:idx val="7"/>
          <c:order val="7"/>
          <c:tx>
            <c:strRef>
              <c:f>Microc.!$B$11</c:f>
              <c:strCache>
                <c:ptCount val="1"/>
                <c:pt idx="0">
                  <c:v>F.RS.AE.</c:v>
                </c:pt>
              </c:strCache>
            </c:strRef>
          </c:tx>
          <c:spPr>
            <a:solidFill>
              <a:srgbClr val="C0C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Microc.!$C$3:$I$3</c:f>
              <c:strCache>
                <c:ptCount val="7"/>
                <c:pt idx="0">
                  <c:v>m. Equiv.</c:v>
                </c:pt>
                <c:pt idx="1">
                  <c:v>L</c:v>
                </c:pt>
                <c:pt idx="2">
                  <c:v>M</c:v>
                </c:pt>
                <c:pt idx="3">
                  <c:v>X</c:v>
                </c:pt>
                <c:pt idx="4">
                  <c:v>J</c:v>
                </c:pt>
                <c:pt idx="5">
                  <c:v>V</c:v>
                </c:pt>
                <c:pt idx="6">
                  <c:v>S</c:v>
                </c:pt>
              </c:strCache>
            </c:strRef>
          </c:cat>
          <c:val>
            <c:numRef>
              <c:f>Microc.!$C$11:$I$11</c:f>
              <c:numCache>
                <c:formatCode>0</c:formatCode>
                <c:ptCount val="7"/>
                <c:pt idx="0" formatCode="0.0">
                  <c:v>3437.363636363636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D0-6443-93FF-73177179C536}"/>
            </c:ext>
          </c:extLst>
        </c:ser>
        <c:ser>
          <c:idx val="8"/>
          <c:order val="8"/>
          <c:tx>
            <c:strRef>
              <c:f>Microc.!$B$12</c:f>
              <c:strCache>
                <c:ptCount val="1"/>
                <c:pt idx="0">
                  <c:v>FR.A-L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Microc.!$C$3:$I$3</c:f>
              <c:strCache>
                <c:ptCount val="7"/>
                <c:pt idx="0">
                  <c:v>m. Equiv.</c:v>
                </c:pt>
                <c:pt idx="1">
                  <c:v>L</c:v>
                </c:pt>
                <c:pt idx="2">
                  <c:v>M</c:v>
                </c:pt>
                <c:pt idx="3">
                  <c:v>X</c:v>
                </c:pt>
                <c:pt idx="4">
                  <c:v>J</c:v>
                </c:pt>
                <c:pt idx="5">
                  <c:v>V</c:v>
                </c:pt>
                <c:pt idx="6">
                  <c:v>S</c:v>
                </c:pt>
              </c:strCache>
            </c:strRef>
          </c:cat>
          <c:val>
            <c:numRef>
              <c:f>Microc.!$C$12:$I$12</c:f>
              <c:numCache>
                <c:formatCode>0</c:formatCode>
                <c:ptCount val="7"/>
                <c:pt idx="0" formatCode="0.0">
                  <c:v>56</c:v>
                </c:pt>
                <c:pt idx="1">
                  <c:v>1</c:v>
                </c:pt>
                <c:pt idx="2">
                  <c:v>1</c:v>
                </c:pt>
                <c:pt idx="3">
                  <c:v>11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D0-6443-93FF-73177179C536}"/>
            </c:ext>
          </c:extLst>
        </c:ser>
        <c:ser>
          <c:idx val="9"/>
          <c:order val="9"/>
          <c:tx>
            <c:strRef>
              <c:f>Microc.!$B$13</c:f>
              <c:strCache>
                <c:ptCount val="1"/>
                <c:pt idx="0">
                  <c:v>FR.LC</c:v>
                </c:pt>
              </c:strCache>
            </c:strRef>
          </c:tx>
          <c:spPr>
            <a:solidFill>
              <a:srgbClr val="6666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Microc.!$C$3:$I$3</c:f>
              <c:strCache>
                <c:ptCount val="7"/>
                <c:pt idx="0">
                  <c:v>m. Equiv.</c:v>
                </c:pt>
                <c:pt idx="1">
                  <c:v>L</c:v>
                </c:pt>
                <c:pt idx="2">
                  <c:v>M</c:v>
                </c:pt>
                <c:pt idx="3">
                  <c:v>X</c:v>
                </c:pt>
                <c:pt idx="4">
                  <c:v>J</c:v>
                </c:pt>
                <c:pt idx="5">
                  <c:v>V</c:v>
                </c:pt>
                <c:pt idx="6">
                  <c:v>S</c:v>
                </c:pt>
              </c:strCache>
            </c:strRef>
          </c:cat>
          <c:val>
            <c:numRef>
              <c:f>Microc.!$C$13:$I$13</c:f>
              <c:numCache>
                <c:formatCode>0</c:formatCode>
                <c:ptCount val="7"/>
                <c:pt idx="0" formatCode="0.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D0-6443-93FF-73177179C536}"/>
            </c:ext>
          </c:extLst>
        </c:ser>
        <c:ser>
          <c:idx val="10"/>
          <c:order val="10"/>
          <c:tx>
            <c:strRef>
              <c:f>Microc.!$B$14</c:f>
              <c:strCache>
                <c:ptCount val="1"/>
                <c:pt idx="0">
                  <c:v>F.MAX.</c:v>
                </c:pt>
              </c:strCache>
            </c:strRef>
          </c:tx>
          <c:spPr>
            <a:solidFill>
              <a:srgbClr val="CC9C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Microc.!$C$3:$I$3</c:f>
              <c:strCache>
                <c:ptCount val="7"/>
                <c:pt idx="0">
                  <c:v>m. Equiv.</c:v>
                </c:pt>
                <c:pt idx="1">
                  <c:v>L</c:v>
                </c:pt>
                <c:pt idx="2">
                  <c:v>M</c:v>
                </c:pt>
                <c:pt idx="3">
                  <c:v>X</c:v>
                </c:pt>
                <c:pt idx="4">
                  <c:v>J</c:v>
                </c:pt>
                <c:pt idx="5">
                  <c:v>V</c:v>
                </c:pt>
                <c:pt idx="6">
                  <c:v>S</c:v>
                </c:pt>
              </c:strCache>
            </c:strRef>
          </c:cat>
          <c:val>
            <c:numRef>
              <c:f>Microc.!$C$14:$I$14</c:f>
              <c:numCache>
                <c:formatCode>0</c:formatCode>
                <c:ptCount val="7"/>
                <c:pt idx="0" formatCode="0.0">
                  <c:v>138.5</c:v>
                </c:pt>
                <c:pt idx="1">
                  <c:v>1</c:v>
                </c:pt>
                <c:pt idx="2">
                  <c:v>1</c:v>
                </c:pt>
                <c:pt idx="3">
                  <c:v>26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AD0-6443-93FF-73177179C536}"/>
            </c:ext>
          </c:extLst>
        </c:ser>
        <c:ser>
          <c:idx val="11"/>
          <c:order val="11"/>
          <c:tx>
            <c:strRef>
              <c:f>Microc.!$B$15</c:f>
              <c:strCache>
                <c:ptCount val="1"/>
                <c:pt idx="0">
                  <c:v>F.R.G.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3"/>
            <c:invertIfNegative val="0"/>
            <c:bubble3D val="0"/>
            <c:spPr>
              <a:solidFill>
                <a:srgbClr val="FF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BAD0-6443-93FF-73177179C536}"/>
              </c:ext>
            </c:extLst>
          </c:dPt>
          <c:cat>
            <c:strRef>
              <c:f>Microc.!$C$3:$I$3</c:f>
              <c:strCache>
                <c:ptCount val="7"/>
                <c:pt idx="0">
                  <c:v>m. Equiv.</c:v>
                </c:pt>
                <c:pt idx="1">
                  <c:v>L</c:v>
                </c:pt>
                <c:pt idx="2">
                  <c:v>M</c:v>
                </c:pt>
                <c:pt idx="3">
                  <c:v>X</c:v>
                </c:pt>
                <c:pt idx="4">
                  <c:v>J</c:v>
                </c:pt>
                <c:pt idx="5">
                  <c:v>V</c:v>
                </c:pt>
                <c:pt idx="6">
                  <c:v>S</c:v>
                </c:pt>
              </c:strCache>
            </c:strRef>
          </c:cat>
          <c:val>
            <c:numRef>
              <c:f>Microc.!$C$15:$I$15</c:f>
              <c:numCache>
                <c:formatCode>0</c:formatCode>
                <c:ptCount val="7"/>
                <c:pt idx="0" formatCode="0.0">
                  <c:v>83.5</c:v>
                </c:pt>
                <c:pt idx="1">
                  <c:v>1</c:v>
                </c:pt>
                <c:pt idx="2">
                  <c:v>1</c:v>
                </c:pt>
                <c:pt idx="3">
                  <c:v>16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AD0-6443-93FF-73177179C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743104"/>
        <c:axId val="151744896"/>
      </c:barChart>
      <c:catAx>
        <c:axId val="151743104"/>
        <c:scaling>
          <c:orientation val="minMax"/>
        </c:scaling>
        <c:delete val="0"/>
        <c:axPos val="b"/>
        <c:majorGridlines>
          <c:spPr>
            <a:ln w="25400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5174489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51744896"/>
        <c:scaling>
          <c:logBase val="10"/>
          <c:orientation val="minMax"/>
        </c:scaling>
        <c:delete val="0"/>
        <c:axPos val="l"/>
        <c:majorGridlines>
          <c:spPr>
            <a:ln w="12700">
              <a:solidFill>
                <a:srgbClr val="80808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51743104"/>
        <c:crosses val="autoZero"/>
        <c:crossBetween val="between"/>
      </c:valAx>
      <c:spPr>
        <a:solidFill>
          <a:srgbClr val="FFFFFF"/>
        </a:solidFill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7"/>
        <c:txPr>
          <a:bodyPr/>
          <a:lstStyle/>
          <a:p>
            <a:pPr>
              <a:defRPr sz="10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254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>
      <c:oddHeader>&amp;A</c:oddHeader>
      <c:oddFooter>Página &amp;P</c:oddFooter>
    </c:headerFooter>
    <c:pageMargins b="1" l="0.75" r="0.75" t="1" header="0.511811024" footer="0.511811024"/>
    <c:pageSetup paperSize="9" orientation="landscape" horizontalDpi="300" verticalDpi="1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80"/>
            </a:solidFill>
            <a:ln w="38100">
              <a:solidFill>
                <a:srgbClr val="000000"/>
              </a:solidFill>
              <a:prstDash val="solid"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  <a:ln w="381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1D3-3E44-A210-31A22643BFD1}"/>
              </c:ext>
            </c:extLst>
          </c:dPt>
          <c:cat>
            <c:strRef>
              <c:f>Microc.!$B$16:$B$17</c:f>
              <c:strCache>
                <c:ptCount val="2"/>
                <c:pt idx="0">
                  <c:v>m</c:v>
                </c:pt>
                <c:pt idx="1">
                  <c:v>Seco minutos</c:v>
                </c:pt>
              </c:strCache>
            </c:strRef>
          </c:cat>
          <c:val>
            <c:numRef>
              <c:f>Microc.!$K$16:$K$17</c:f>
              <c:numCache>
                <c:formatCode>0</c:formatCode>
                <c:ptCount val="2"/>
                <c:pt idx="0">
                  <c:v>35374.454545454544</c:v>
                </c:pt>
                <c:pt idx="1">
                  <c:v>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D3-3E44-A210-31A22643B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774720"/>
        <c:axId val="151776256"/>
      </c:barChart>
      <c:catAx>
        <c:axId val="151774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51776256"/>
        <c:crosses val="autoZero"/>
        <c:auto val="0"/>
        <c:lblAlgn val="ctr"/>
        <c:lblOffset val="100"/>
        <c:tickMarkSkip val="1"/>
        <c:noMultiLvlLbl val="0"/>
      </c:catAx>
      <c:valAx>
        <c:axId val="15177625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517747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dTable>
      <c:spPr>
        <a:solidFill>
          <a:srgbClr val="FFFFFF"/>
        </a:solidFill>
        <a:ln w="254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>
      <c:oddHeader>&amp;A</c:oddHeader>
      <c:oddFooter>Página &amp;P</c:oddFooter>
    </c:headerFooter>
    <c:pageMargins b="1" l="0.75" r="0.75" t="1" header="0.511811024" footer="0.51181102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AERÓ 1</c:v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Lit>
              <c:ptCount val="7"/>
              <c:pt idx="0">
                <c:v>	m. Equiv.</c:v>
              </c:pt>
              <c:pt idx="1">
                <c:v>_x0001_L</c:v>
              </c:pt>
              <c:pt idx="2">
                <c:v>_x0001_M</c:v>
              </c:pt>
              <c:pt idx="3">
                <c:v>_x0001_X</c:v>
              </c:pt>
              <c:pt idx="4">
                <c:v>_x0001_J</c:v>
              </c:pt>
              <c:pt idx="5">
                <c:v>_x0001_V</c:v>
              </c:pt>
              <c:pt idx="6">
                <c:v>_x0001_S</c:v>
              </c:pt>
            </c:strLit>
          </c:cat>
          <c:val>
            <c:numLit>
              <c:formatCode>General</c:formatCode>
              <c:ptCount val="7"/>
              <c:pt idx="0">
                <c:v>8231.8194602506283</c:v>
              </c:pt>
              <c:pt idx="1">
                <c:v>1371.9699100417711</c:v>
              </c:pt>
              <c:pt idx="2">
                <c:v>1371.9699100417711</c:v>
              </c:pt>
              <c:pt idx="3">
                <c:v>1371.9699100417711</c:v>
              </c:pt>
              <c:pt idx="4">
                <c:v>1371.9699100417711</c:v>
              </c:pt>
              <c:pt idx="5">
                <c:v>1371.9699100417711</c:v>
              </c:pt>
              <c:pt idx="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494B-804B-BDA4-6E20BC10A3E8}"/>
            </c:ext>
          </c:extLst>
        </c:ser>
        <c:ser>
          <c:idx val="1"/>
          <c:order val="1"/>
          <c:tx>
            <c:v>AERÓ 2</c:v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Lit>
              <c:ptCount val="7"/>
              <c:pt idx="0">
                <c:v>	m. Equiv.</c:v>
              </c:pt>
              <c:pt idx="1">
                <c:v>_x0001_L</c:v>
              </c:pt>
              <c:pt idx="2">
                <c:v>_x0001_M</c:v>
              </c:pt>
              <c:pt idx="3">
                <c:v>_x0001_X</c:v>
              </c:pt>
              <c:pt idx="4">
                <c:v>_x0001_J</c:v>
              </c:pt>
              <c:pt idx="5">
                <c:v>_x0001_V</c:v>
              </c:pt>
              <c:pt idx="6">
                <c:v>_x0001_S</c:v>
              </c:pt>
            </c:strLit>
          </c:cat>
          <c:val>
            <c:numLit>
              <c:formatCode>General</c:formatCode>
              <c:ptCount val="7"/>
              <c:pt idx="0">
                <c:v>6585.6587979118985</c:v>
              </c:pt>
              <c:pt idx="1">
                <c:v>1097.6097996519841</c:v>
              </c:pt>
              <c:pt idx="2">
                <c:v>1097.6097996519841</c:v>
              </c:pt>
              <c:pt idx="3">
                <c:v>1097.6097996519841</c:v>
              </c:pt>
              <c:pt idx="4">
                <c:v>1097.6097996519841</c:v>
              </c:pt>
              <c:pt idx="5">
                <c:v>1097.6097996519841</c:v>
              </c:pt>
              <c:pt idx="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494B-804B-BDA4-6E20BC10A3E8}"/>
            </c:ext>
          </c:extLst>
        </c:ser>
        <c:ser>
          <c:idx val="2"/>
          <c:order val="2"/>
          <c:tx>
            <c:v>AERÓ 3</c:v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Lit>
              <c:ptCount val="7"/>
              <c:pt idx="0">
                <c:v>	m. Equiv.</c:v>
              </c:pt>
              <c:pt idx="1">
                <c:v>_x0001_L</c:v>
              </c:pt>
              <c:pt idx="2">
                <c:v>_x0001_M</c:v>
              </c:pt>
              <c:pt idx="3">
                <c:v>_x0001_X</c:v>
              </c:pt>
              <c:pt idx="4">
                <c:v>_x0001_J</c:v>
              </c:pt>
              <c:pt idx="5">
                <c:v>_x0001_V</c:v>
              </c:pt>
              <c:pt idx="6">
                <c:v>_x0001_S</c:v>
              </c:pt>
            </c:strLit>
          </c:cat>
          <c:val>
            <c:numLit>
              <c:formatCode>General</c:formatCode>
              <c:ptCount val="7"/>
              <c:pt idx="0">
                <c:v>5762.5784667425396</c:v>
              </c:pt>
              <c:pt idx="1">
                <c:v>960.42974445708978</c:v>
              </c:pt>
              <c:pt idx="2">
                <c:v>960.42974445708978</c:v>
              </c:pt>
              <c:pt idx="3">
                <c:v>960.42974445708978</c:v>
              </c:pt>
              <c:pt idx="4">
                <c:v>960.42974445708978</c:v>
              </c:pt>
              <c:pt idx="5">
                <c:v>960.42974445708978</c:v>
              </c:pt>
              <c:pt idx="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494B-804B-BDA4-6E20BC10A3E8}"/>
            </c:ext>
          </c:extLst>
        </c:ser>
        <c:ser>
          <c:idx val="3"/>
          <c:order val="3"/>
          <c:tx>
            <c:v>AE-LC</c:v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Lit>
              <c:ptCount val="7"/>
              <c:pt idx="0">
                <c:v>	m. Equiv.</c:v>
              </c:pt>
              <c:pt idx="1">
                <c:v>_x0001_L</c:v>
              </c:pt>
              <c:pt idx="2">
                <c:v>_x0001_M</c:v>
              </c:pt>
              <c:pt idx="3">
                <c:v>_x0001_X</c:v>
              </c:pt>
              <c:pt idx="4">
                <c:v>_x0001_J</c:v>
              </c:pt>
              <c:pt idx="5">
                <c:v>_x0001_V</c:v>
              </c:pt>
              <c:pt idx="6">
                <c:v>_x0001_S</c:v>
              </c:pt>
            </c:strLit>
          </c:cat>
          <c:val>
            <c:numLit>
              <c:formatCode>General</c:formatCode>
              <c:ptCount val="7"/>
              <c:pt idx="0">
                <c:v>1.016148556999213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3-494B-804B-BDA4-6E20BC10A3E8}"/>
            </c:ext>
          </c:extLst>
        </c:ser>
        <c:ser>
          <c:idx val="4"/>
          <c:order val="4"/>
          <c:tx>
            <c:v>LÁCTI 1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Lit>
              <c:ptCount val="7"/>
              <c:pt idx="0">
                <c:v>	m. Equiv.</c:v>
              </c:pt>
              <c:pt idx="1">
                <c:v>_x0001_L</c:v>
              </c:pt>
              <c:pt idx="2">
                <c:v>_x0001_M</c:v>
              </c:pt>
              <c:pt idx="3">
                <c:v>_x0001_X</c:v>
              </c:pt>
              <c:pt idx="4">
                <c:v>_x0001_J</c:v>
              </c:pt>
              <c:pt idx="5">
                <c:v>_x0001_V</c:v>
              </c:pt>
              <c:pt idx="6">
                <c:v>_x0001_S</c:v>
              </c:pt>
            </c:strLit>
          </c:cat>
          <c:val>
            <c:numLit>
              <c:formatCode>General</c:formatCode>
              <c:ptCount val="7"/>
              <c:pt idx="0">
                <c:v>1.016148556999213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4-494B-804B-BDA4-6E20BC10A3E8}"/>
            </c:ext>
          </c:extLst>
        </c:ser>
        <c:ser>
          <c:idx val="5"/>
          <c:order val="5"/>
          <c:tx>
            <c:v>LÁCTI 2</c:v>
          </c:tx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Lit>
              <c:ptCount val="7"/>
              <c:pt idx="0">
                <c:v>	m. Equiv.</c:v>
              </c:pt>
              <c:pt idx="1">
                <c:v>_x0001_L</c:v>
              </c:pt>
              <c:pt idx="2">
                <c:v>_x0001_M</c:v>
              </c:pt>
              <c:pt idx="3">
                <c:v>_x0001_X</c:v>
              </c:pt>
              <c:pt idx="4">
                <c:v>_x0001_J</c:v>
              </c:pt>
              <c:pt idx="5">
                <c:v>_x0001_V</c:v>
              </c:pt>
              <c:pt idx="6">
                <c:v>_x0001_S</c:v>
              </c:pt>
            </c:strLit>
          </c:cat>
          <c:val>
            <c:numLit>
              <c:formatCode>General</c:formatCode>
              <c:ptCount val="7"/>
              <c:pt idx="0">
                <c:v>2195.8970316752998</c:v>
              </c:pt>
              <c:pt idx="1">
                <c:v>365.98283861254993</c:v>
              </c:pt>
              <c:pt idx="2">
                <c:v>365.98283861254993</c:v>
              </c:pt>
              <c:pt idx="3">
                <c:v>365.98283861254993</c:v>
              </c:pt>
              <c:pt idx="4">
                <c:v>365.98283861254993</c:v>
              </c:pt>
              <c:pt idx="5">
                <c:v>365.98283861254993</c:v>
              </c:pt>
              <c:pt idx="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5-494B-804B-BDA4-6E20BC10A3E8}"/>
            </c:ext>
          </c:extLst>
        </c:ser>
        <c:ser>
          <c:idx val="6"/>
          <c:order val="6"/>
          <c:tx>
            <c:v>ALÁCTI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Lit>
              <c:ptCount val="7"/>
              <c:pt idx="0">
                <c:v>	m. Equiv.</c:v>
              </c:pt>
              <c:pt idx="1">
                <c:v>_x0001_L</c:v>
              </c:pt>
              <c:pt idx="2">
                <c:v>_x0001_M</c:v>
              </c:pt>
              <c:pt idx="3">
                <c:v>_x0001_X</c:v>
              </c:pt>
              <c:pt idx="4">
                <c:v>_x0001_J</c:v>
              </c:pt>
              <c:pt idx="5">
                <c:v>_x0001_V</c:v>
              </c:pt>
              <c:pt idx="6">
                <c:v>_x0001_S</c:v>
              </c:pt>
            </c:strLit>
          </c:cat>
          <c:val>
            <c:numLit>
              <c:formatCode>General</c:formatCode>
              <c:ptCount val="6"/>
              <c:pt idx="0">
                <c:v>3293.33747323445</c:v>
              </c:pt>
              <c:pt idx="1">
                <c:v>548.88957887240838</c:v>
              </c:pt>
              <c:pt idx="2">
                <c:v>548.88957887240838</c:v>
              </c:pt>
              <c:pt idx="3">
                <c:v>548.88957887240838</c:v>
              </c:pt>
              <c:pt idx="4">
                <c:v>548.88957887240838</c:v>
              </c:pt>
              <c:pt idx="5">
                <c:v>548.88957887240838</c:v>
              </c:pt>
            </c:numLit>
          </c:val>
          <c:extLst>
            <c:ext xmlns:c16="http://schemas.microsoft.com/office/drawing/2014/chart" uri="{C3380CC4-5D6E-409C-BE32-E72D297353CC}">
              <c16:uniqueId val="{00000006-494B-804B-BDA4-6E20BC10A3E8}"/>
            </c:ext>
          </c:extLst>
        </c:ser>
        <c:ser>
          <c:idx val="7"/>
          <c:order val="7"/>
          <c:tx>
            <c:v>F.RS.AE.</c:v>
          </c:tx>
          <c:spPr>
            <a:solidFill>
              <a:srgbClr val="C0C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Lit>
              <c:ptCount val="7"/>
              <c:pt idx="0">
                <c:v>	m. Equiv.</c:v>
              </c:pt>
              <c:pt idx="1">
                <c:v>_x0001_L</c:v>
              </c:pt>
              <c:pt idx="2">
                <c:v>_x0001_M</c:v>
              </c:pt>
              <c:pt idx="3">
                <c:v>_x0001_X</c:v>
              </c:pt>
              <c:pt idx="4">
                <c:v>_x0001_J</c:v>
              </c:pt>
              <c:pt idx="5">
                <c:v>_x0001_V</c:v>
              </c:pt>
              <c:pt idx="6">
                <c:v>_x0001_S</c:v>
              </c:pt>
            </c:strLit>
          </c:cat>
          <c:val>
            <c:numLit>
              <c:formatCode>General</c:formatCode>
              <c:ptCount val="7"/>
              <c:pt idx="0">
                <c:v>1</c:v>
              </c:pt>
              <c:pt idx="1">
                <c:v>1.1785714285714299</c:v>
              </c:pt>
              <c:pt idx="2">
                <c:v>1.1785714285714299</c:v>
              </c:pt>
              <c:pt idx="3">
                <c:v>1</c:v>
              </c:pt>
              <c:pt idx="4">
                <c:v>1.1785714285714299</c:v>
              </c:pt>
              <c:pt idx="5">
                <c:v>1</c:v>
              </c:pt>
              <c:pt idx="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7-494B-804B-BDA4-6E20BC10A3E8}"/>
            </c:ext>
          </c:extLst>
        </c:ser>
        <c:ser>
          <c:idx val="8"/>
          <c:order val="8"/>
          <c:tx>
            <c:v>FR.A-L</c:v>
          </c:tx>
          <c:spPr>
            <a:solidFill>
              <a:srgbClr val="CC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Lit>
              <c:ptCount val="7"/>
              <c:pt idx="0">
                <c:v>	m. Equiv.</c:v>
              </c:pt>
              <c:pt idx="1">
                <c:v>_x0001_L</c:v>
              </c:pt>
              <c:pt idx="2">
                <c:v>_x0001_M</c:v>
              </c:pt>
              <c:pt idx="3">
                <c:v>_x0001_X</c:v>
              </c:pt>
              <c:pt idx="4">
                <c:v>_x0001_J</c:v>
              </c:pt>
              <c:pt idx="5">
                <c:v>_x0001_V</c:v>
              </c:pt>
              <c:pt idx="6">
                <c:v>_x0001_S</c:v>
              </c:pt>
            </c:strLit>
          </c:cat>
          <c:val>
            <c:numLit>
              <c:formatCode>General</c:formatCode>
              <c:ptCount val="7"/>
              <c:pt idx="0">
                <c:v>56</c:v>
              </c:pt>
              <c:pt idx="1">
                <c:v>11</c:v>
              </c:pt>
              <c:pt idx="2">
                <c:v>11</c:v>
              </c:pt>
              <c:pt idx="3">
                <c:v>1</c:v>
              </c:pt>
              <c:pt idx="4">
                <c:v>11</c:v>
              </c:pt>
              <c:pt idx="5">
                <c:v>1</c:v>
              </c:pt>
              <c:pt idx="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8-494B-804B-BDA4-6E20BC10A3E8}"/>
            </c:ext>
          </c:extLst>
        </c:ser>
        <c:ser>
          <c:idx val="9"/>
          <c:order val="9"/>
          <c:tx>
            <c:v>FR.LC</c:v>
          </c:tx>
          <c:spPr>
            <a:solidFill>
              <a:srgbClr val="6666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Lit>
              <c:ptCount val="7"/>
              <c:pt idx="0">
                <c:v>	m. Equiv.</c:v>
              </c:pt>
              <c:pt idx="1">
                <c:v>_x0001_L</c:v>
              </c:pt>
              <c:pt idx="2">
                <c:v>_x0001_M</c:v>
              </c:pt>
              <c:pt idx="3">
                <c:v>_x0001_X</c:v>
              </c:pt>
              <c:pt idx="4">
                <c:v>_x0001_J</c:v>
              </c:pt>
              <c:pt idx="5">
                <c:v>_x0001_V</c:v>
              </c:pt>
              <c:pt idx="6">
                <c:v>_x0001_S</c:v>
              </c:pt>
            </c:strLit>
          </c:cat>
          <c:val>
            <c:numLit>
              <c:formatCode>General</c:formatCode>
              <c:ptCount val="7"/>
              <c:pt idx="0">
                <c:v>1</c:v>
              </c:pt>
              <c:pt idx="1">
                <c:v>1.1785714285714299</c:v>
              </c:pt>
              <c:pt idx="2">
                <c:v>1.1785714285714299</c:v>
              </c:pt>
              <c:pt idx="3">
                <c:v>1</c:v>
              </c:pt>
              <c:pt idx="4">
                <c:v>1.1785714285714299</c:v>
              </c:pt>
              <c:pt idx="5">
                <c:v>1</c:v>
              </c:pt>
              <c:pt idx="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9-494B-804B-BDA4-6E20BC10A3E8}"/>
            </c:ext>
          </c:extLst>
        </c:ser>
        <c:ser>
          <c:idx val="10"/>
          <c:order val="10"/>
          <c:tx>
            <c:v>F.MAX.</c:v>
          </c:tx>
          <c:spPr>
            <a:solidFill>
              <a:srgbClr val="CC9C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Lit>
              <c:ptCount val="7"/>
              <c:pt idx="0">
                <c:v>	m. Equiv.</c:v>
              </c:pt>
              <c:pt idx="1">
                <c:v>_x0001_L</c:v>
              </c:pt>
              <c:pt idx="2">
                <c:v>_x0001_M</c:v>
              </c:pt>
              <c:pt idx="3">
                <c:v>_x0001_X</c:v>
              </c:pt>
              <c:pt idx="4">
                <c:v>_x0001_J</c:v>
              </c:pt>
              <c:pt idx="5">
                <c:v>_x0001_V</c:v>
              </c:pt>
              <c:pt idx="6">
                <c:v>_x0001_S</c:v>
              </c:pt>
            </c:strLit>
          </c:cat>
          <c:val>
            <c:numLit>
              <c:formatCode>General</c:formatCode>
              <c:ptCount val="7"/>
              <c:pt idx="0">
                <c:v>138.5</c:v>
              </c:pt>
              <c:pt idx="1">
                <c:v>25.732142857142779</c:v>
              </c:pt>
              <c:pt idx="2">
                <c:v>25.732142857142779</c:v>
              </c:pt>
              <c:pt idx="3">
                <c:v>1</c:v>
              </c:pt>
              <c:pt idx="4">
                <c:v>25.732142857142779</c:v>
              </c:pt>
              <c:pt idx="5">
                <c:v>1</c:v>
              </c:pt>
              <c:pt idx="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A-494B-804B-BDA4-6E20BC10A3E8}"/>
            </c:ext>
          </c:extLst>
        </c:ser>
        <c:ser>
          <c:idx val="11"/>
          <c:order val="11"/>
          <c:tx>
            <c:v>F.R.G.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3"/>
            <c:invertIfNegative val="0"/>
            <c:bubble3D val="0"/>
            <c:spPr>
              <a:solidFill>
                <a:srgbClr val="FF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494B-804B-BDA4-6E20BC10A3E8}"/>
              </c:ext>
            </c:extLst>
          </c:dPt>
          <c:cat>
            <c:strLit>
              <c:ptCount val="7"/>
              <c:pt idx="0">
                <c:v>	m. Equiv.</c:v>
              </c:pt>
              <c:pt idx="1">
                <c:v>_x0001_L</c:v>
              </c:pt>
              <c:pt idx="2">
                <c:v>_x0001_M</c:v>
              </c:pt>
              <c:pt idx="3">
                <c:v>_x0001_X</c:v>
              </c:pt>
              <c:pt idx="4">
                <c:v>_x0001_J</c:v>
              </c:pt>
              <c:pt idx="5">
                <c:v>_x0001_V</c:v>
              </c:pt>
              <c:pt idx="6">
                <c:v>_x0001_S</c:v>
              </c:pt>
            </c:strLit>
          </c:cat>
          <c:val>
            <c:numLit>
              <c:formatCode>General</c:formatCode>
              <c:ptCount val="7"/>
              <c:pt idx="0">
                <c:v>83.5</c:v>
              </c:pt>
              <c:pt idx="1">
                <c:v>15.910714285714301</c:v>
              </c:pt>
              <c:pt idx="2">
                <c:v>15.910714285714301</c:v>
              </c:pt>
              <c:pt idx="3">
                <c:v>1</c:v>
              </c:pt>
              <c:pt idx="4">
                <c:v>15.910714285714301</c:v>
              </c:pt>
              <c:pt idx="5">
                <c:v>1</c:v>
              </c:pt>
              <c:pt idx="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494B-804B-BDA4-6E20BC10A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721664"/>
        <c:axId val="152723456"/>
      </c:barChart>
      <c:catAx>
        <c:axId val="152721664"/>
        <c:scaling>
          <c:orientation val="minMax"/>
        </c:scaling>
        <c:delete val="0"/>
        <c:axPos val="b"/>
        <c:majorGridlines>
          <c:spPr>
            <a:ln w="25400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5272345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52723456"/>
        <c:scaling>
          <c:logBase val="10"/>
          <c:orientation val="minMax"/>
        </c:scaling>
        <c:delete val="0"/>
        <c:axPos val="l"/>
        <c:majorGridlines>
          <c:spPr>
            <a:ln w="12700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52721664"/>
        <c:crosses val="autoZero"/>
        <c:crossBetween val="between"/>
      </c:valAx>
      <c:spPr>
        <a:solidFill>
          <a:srgbClr val="FFFFFF"/>
        </a:solidFill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7"/>
        <c:txPr>
          <a:bodyPr/>
          <a:lstStyle/>
          <a:p>
            <a:pPr>
              <a:defRPr sz="10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254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>
      <c:oddHeader>&amp;A</c:oddHeader>
      <c:oddFooter>Página &amp;P</c:oddFooter>
    </c:headerFooter>
    <c:pageMargins b="1" l="0.75" r="0.75" t="1" header="0.511811024" footer="0.511811024"/>
    <c:pageSetup paperSize="9" orientation="landscape" horizontalDpi="300" verticalDpi="120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80"/>
            </a:solidFill>
            <a:ln w="38100">
              <a:solidFill>
                <a:srgbClr val="000000"/>
              </a:solidFill>
              <a:prstDash val="solid"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  <a:ln w="381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311-2148-BCC1-CD598A4A4EA9}"/>
              </c:ext>
            </c:extLst>
          </c:dPt>
          <c:cat>
            <c:strLit>
              <c:ptCount val="2"/>
              <c:pt idx="0">
                <c:v>_x0001_m</c:v>
              </c:pt>
              <c:pt idx="1">
                <c:v>_x000c_Seco minutos</c:v>
              </c:pt>
            </c:strLit>
          </c:cat>
          <c:val>
            <c:numLit>
              <c:formatCode>General</c:formatCode>
              <c:ptCount val="2"/>
              <c:pt idx="0">
                <c:v>26088.291229814819</c:v>
              </c:pt>
              <c:pt idx="1">
                <c:v>20000</c:v>
              </c:pt>
            </c:numLit>
          </c:val>
          <c:extLst>
            <c:ext xmlns:c16="http://schemas.microsoft.com/office/drawing/2014/chart" uri="{C3380CC4-5D6E-409C-BE32-E72D297353CC}">
              <c16:uniqueId val="{00000002-6311-2148-BCC1-CD598A4A4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757376"/>
        <c:axId val="152758912"/>
      </c:barChart>
      <c:catAx>
        <c:axId val="15275737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52758912"/>
        <c:crosses val="autoZero"/>
        <c:auto val="0"/>
        <c:lblAlgn val="ctr"/>
        <c:lblOffset val="100"/>
        <c:tickMarkSkip val="1"/>
        <c:noMultiLvlLbl val="0"/>
      </c:catAx>
      <c:valAx>
        <c:axId val="1527589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527573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dTable>
      <c:spPr>
        <a:solidFill>
          <a:srgbClr val="FFFFFF"/>
        </a:solidFill>
        <a:ln w="254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>
      <c:oddHeader>&amp;A</c:oddHeader>
      <c:oddFooter>Página &amp;P</c:oddFooter>
    </c:headerFooter>
    <c:pageMargins b="1" l="0.75" r="0.75" t="1" header="0.511811024" footer="0.51181102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Hoja7!$C$14</c:f>
              <c:strCache>
                <c:ptCount val="1"/>
                <c:pt idx="0">
                  <c:v>Clas. POR.</c:v>
                </c:pt>
              </c:strCache>
            </c:strRef>
          </c:tx>
          <c:spPr>
            <a:solidFill>
              <a:schemeClr val="accent1"/>
            </a:solidFill>
            <a:ln w="9525">
              <a:solidFill>
                <a:srgbClr val="0000FF"/>
              </a:solidFill>
            </a:ln>
            <a:effectLst/>
            <a:sp3d contourW="9525">
              <a:contourClr>
                <a:srgbClr val="0000FF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Hoja7!$B$16:$B$18</c:f>
              <c:numCache>
                <c:formatCode>General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100</c:v>
                </c:pt>
              </c:numCache>
            </c:numRef>
          </c:cat>
          <c:val>
            <c:numRef>
              <c:f>Hoja7!$C$16:$C$18</c:f>
              <c:numCache>
                <c:formatCode>0.00</c:formatCode>
                <c:ptCount val="3"/>
                <c:pt idx="0">
                  <c:v>28.53</c:v>
                </c:pt>
                <c:pt idx="1">
                  <c:v>33.33</c:v>
                </c:pt>
                <c:pt idx="2">
                  <c:v>61.86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C-9340-8BB3-9B4CA21BD24A}"/>
            </c:ext>
          </c:extLst>
        </c:ser>
        <c:ser>
          <c:idx val="1"/>
          <c:order val="1"/>
          <c:tx>
            <c:strRef>
              <c:f>Hoja7!$D$14</c:f>
              <c:strCache>
                <c:ptCount val="1"/>
                <c:pt idx="0">
                  <c:v>Clas.ALBA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Hoja7!$B$16:$B$18</c:f>
              <c:numCache>
                <c:formatCode>General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100</c:v>
                </c:pt>
              </c:numCache>
            </c:numRef>
          </c:cat>
          <c:val>
            <c:numRef>
              <c:f>Hoja7!$D$16:$D$18</c:f>
              <c:numCache>
                <c:formatCode>0.00</c:formatCode>
                <c:ptCount val="3"/>
                <c:pt idx="0">
                  <c:v>28.58</c:v>
                </c:pt>
                <c:pt idx="1">
                  <c:v>32.94</c:v>
                </c:pt>
                <c:pt idx="2">
                  <c:v>61.519999999999996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6C-9340-8BB3-9B4CA21BD24A}"/>
            </c:ext>
          </c:extLst>
        </c:ser>
        <c:ser>
          <c:idx val="2"/>
          <c:order val="2"/>
          <c:tx>
            <c:strRef>
              <c:f>Hoja7!$E$14</c:f>
              <c:strCache>
                <c:ptCount val="1"/>
                <c:pt idx="0">
                  <c:v>Clas.Maider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Hoja7!$B$16:$B$18</c:f>
              <c:numCache>
                <c:formatCode>General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100</c:v>
                </c:pt>
              </c:numCache>
            </c:numRef>
          </c:cat>
          <c:val>
            <c:numRef>
              <c:f>Hoja7!$E$16:$E$18</c:f>
              <c:numCache>
                <c:formatCode>0.00</c:formatCode>
                <c:ptCount val="3"/>
                <c:pt idx="0">
                  <c:v>28.64</c:v>
                </c:pt>
                <c:pt idx="1">
                  <c:v>32.619999999999997</c:v>
                </c:pt>
                <c:pt idx="2">
                  <c:v>61.26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6C-9340-8BB3-9B4CA21BD24A}"/>
            </c:ext>
          </c:extLst>
        </c:ser>
        <c:ser>
          <c:idx val="3"/>
          <c:order val="3"/>
          <c:tx>
            <c:strRef>
              <c:f>Hoja7!$F$14</c:f>
              <c:strCache>
                <c:ptCount val="1"/>
                <c:pt idx="0">
                  <c:v>Final   POR.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Hoja7!$B$16:$B$18</c:f>
              <c:numCache>
                <c:formatCode>General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100</c:v>
                </c:pt>
              </c:numCache>
            </c:numRef>
          </c:cat>
          <c:val>
            <c:numRef>
              <c:f>Hoja7!$F$16:$F$18</c:f>
              <c:numCache>
                <c:formatCode>0.00</c:formatCode>
                <c:ptCount val="3"/>
                <c:pt idx="0">
                  <c:v>27.84</c:v>
                </c:pt>
                <c:pt idx="1">
                  <c:v>32.4</c:v>
                </c:pt>
                <c:pt idx="2">
                  <c:v>60.239999999999995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6C-9340-8BB3-9B4CA21BD24A}"/>
            </c:ext>
          </c:extLst>
        </c:ser>
        <c:ser>
          <c:idx val="4"/>
          <c:order val="4"/>
          <c:tx>
            <c:strRef>
              <c:f>Hoja7!$G$14</c:f>
              <c:strCache>
                <c:ptCount val="1"/>
                <c:pt idx="0">
                  <c:v>Final ALBA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Hoja7!$B$16:$B$18</c:f>
              <c:numCache>
                <c:formatCode>General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100</c:v>
                </c:pt>
              </c:numCache>
            </c:numRef>
          </c:cat>
          <c:val>
            <c:numRef>
              <c:f>Hoja7!$G$16:$G$18</c:f>
              <c:numCache>
                <c:formatCode>0.00</c:formatCode>
                <c:ptCount val="3"/>
                <c:pt idx="0">
                  <c:v>28.84</c:v>
                </c:pt>
                <c:pt idx="1">
                  <c:v>32.659999999999997</c:v>
                </c:pt>
                <c:pt idx="2">
                  <c:v>61.5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6C-9340-8BB3-9B4CA21BD24A}"/>
            </c:ext>
          </c:extLst>
        </c:ser>
        <c:ser>
          <c:idx val="5"/>
          <c:order val="5"/>
          <c:tx>
            <c:strRef>
              <c:f>Hoja7!$H$14</c:f>
              <c:strCache>
                <c:ptCount val="1"/>
                <c:pt idx="0">
                  <c:v>Final Maider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Hoja7!$B$16:$B$18</c:f>
              <c:numCache>
                <c:formatCode>General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100</c:v>
                </c:pt>
              </c:numCache>
            </c:numRef>
          </c:cat>
          <c:val>
            <c:numRef>
              <c:f>Hoja7!$H$16:$H$18</c:f>
              <c:numCache>
                <c:formatCode>0.00</c:formatCode>
                <c:ptCount val="3"/>
                <c:pt idx="0">
                  <c:v>28.66</c:v>
                </c:pt>
                <c:pt idx="1">
                  <c:v>32.85</c:v>
                </c:pt>
                <c:pt idx="2">
                  <c:v>61.510000000000005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6C-9340-8BB3-9B4CA21BD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9"/>
        <c:shape val="box"/>
        <c:axId val="1952400608"/>
        <c:axId val="1952402256"/>
        <c:axId val="0"/>
      </c:bar3DChart>
      <c:catAx>
        <c:axId val="195240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402256"/>
        <c:crosses val="autoZero"/>
        <c:auto val="1"/>
        <c:lblAlgn val="ctr"/>
        <c:lblOffset val="100"/>
        <c:noMultiLvlLbl val="0"/>
      </c:catAx>
      <c:valAx>
        <c:axId val="1952402256"/>
        <c:scaling>
          <c:logBase val="10"/>
          <c:orientation val="minMax"/>
        </c:scaling>
        <c:delete val="0"/>
        <c:axPos val="l"/>
        <c:majorGridlines>
          <c:spPr>
            <a:ln w="412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400608"/>
        <c:crosses val="autoZero"/>
        <c:crossBetween val="between"/>
        <c:min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rgbClr val="0000FF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979576764949196E-2"/>
          <c:y val="0.49123017419722398"/>
          <c:w val="0.89280597926701799"/>
          <c:h val="0.241229103400422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FF0000"/>
              </a:solidFill>
              <a:prstDash val="solid"/>
            </a:ln>
          </c:spPr>
          <c:marker>
            <c:symbol val="dot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RESUMEN!#REF!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RESUMEN!#REF!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RESUMEN!#REF!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757-264B-A429-A6AD8A4DA639}"/>
            </c:ext>
          </c:extLst>
        </c:ser>
        <c:ser>
          <c:idx val="1"/>
          <c:order val="1"/>
          <c:spPr>
            <a:ln w="38100">
              <a:solidFill>
                <a:srgbClr val="000000"/>
              </a:solidFill>
              <a:prstDash val="solid"/>
            </a:ln>
          </c:spPr>
          <c:marker>
            <c:symbol val="dot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RESUMEN!#REF!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RESUMEN!#REF!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RESUMEN!#REF!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7757-264B-A429-A6AD8A4DA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80608"/>
        <c:axId val="152183168"/>
      </c:lineChart>
      <c:catAx>
        <c:axId val="15218060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MESOCICLOS</a:t>
                </a:r>
              </a:p>
            </c:rich>
          </c:tx>
          <c:layout>
            <c:manualLayout>
              <c:xMode val="edge"/>
              <c:yMode val="edge"/>
              <c:x val="0.484582247184972"/>
              <c:y val="0.85088081381131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5218316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52183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minorGridlines>
          <c:spPr>
            <a:ln w="3175">
              <a:solidFill>
                <a:srgbClr val="C0C0C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HORAS, MINUTOS</a:t>
                </a:r>
              </a:p>
            </c:rich>
          </c:tx>
          <c:layout>
            <c:manualLayout>
              <c:xMode val="edge"/>
              <c:yMode val="edge"/>
              <c:x val="7.3421837628658204E-3"/>
              <c:y val="0.39912456595099499"/>
            </c:manualLayout>
          </c:layout>
          <c:overlay val="0"/>
          <c:spPr>
            <a:noFill/>
            <a:ln w="25400">
              <a:noFill/>
            </a:ln>
          </c:spPr>
        </c:title>
        <c:numFmt formatCode="[hh]:mm" sourceLinked="0"/>
        <c:majorTickMark val="cross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52180608"/>
        <c:crosses val="autoZero"/>
        <c:crossBetween val="midCat"/>
      </c:valAx>
      <c:spPr>
        <a:solidFill>
          <a:srgbClr val="CCFFCC"/>
        </a:solidFill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645118378973998"/>
          <c:y val="0.85714285714285698"/>
          <c:w val="0.20307180672381797"/>
          <c:h val="0.13043478260869601"/>
        </c:manualLayout>
      </c:layout>
      <c:overlay val="0"/>
      <c:spPr>
        <a:solidFill>
          <a:srgbClr val="FFFFFF"/>
        </a:solidFill>
        <a:ln w="25400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0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8100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>
      <c:oddHeader>&amp;A</c:oddHeader>
      <c:oddFooter>Página &amp;P</c:oddFooter>
    </c:headerFooter>
    <c:pageMargins b="1" l="0.75" r="0.75" t="1" header="0.511811024" footer="0.511811024"/>
    <c:pageSetup orientation="landscape" horizontalDpi="300" verticalDpi="120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80052956751999"/>
          <c:y val="5.1903114186851201E-2"/>
          <c:w val="0.86584289496910904"/>
          <c:h val="0.71280276816609001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FFFF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RESUMEN!$A$4:$A$47</c:f>
              <c:strCache>
                <c:ptCount val="44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A4</c:v>
                </c:pt>
                <c:pt idx="4">
                  <c:v>A5</c:v>
                </c:pt>
                <c:pt idx="5">
                  <c:v>A6</c:v>
                </c:pt>
                <c:pt idx="6">
                  <c:v>A7</c:v>
                </c:pt>
                <c:pt idx="7">
                  <c:v>A8</c:v>
                </c:pt>
                <c:pt idx="8">
                  <c:v>A9</c:v>
                </c:pt>
                <c:pt idx="9">
                  <c:v>A10</c:v>
                </c:pt>
                <c:pt idx="10">
                  <c:v>A11</c:v>
                </c:pt>
                <c:pt idx="11">
                  <c:v>A12</c:v>
                </c:pt>
                <c:pt idx="12">
                  <c:v>A13</c:v>
                </c:pt>
                <c:pt idx="13">
                  <c:v>A14</c:v>
                </c:pt>
                <c:pt idx="14">
                  <c:v>A15</c:v>
                </c:pt>
                <c:pt idx="15">
                  <c:v>A16</c:v>
                </c:pt>
                <c:pt idx="16">
                  <c:v>A17</c:v>
                </c:pt>
                <c:pt idx="17">
                  <c:v>A18</c:v>
                </c:pt>
                <c:pt idx="18">
                  <c:v>A19</c:v>
                </c:pt>
                <c:pt idx="19">
                  <c:v>A20</c:v>
                </c:pt>
                <c:pt idx="20">
                  <c:v>A21</c:v>
                </c:pt>
                <c:pt idx="21">
                  <c:v>A22</c:v>
                </c:pt>
                <c:pt idx="22">
                  <c:v>A23</c:v>
                </c:pt>
                <c:pt idx="23">
                  <c:v>A24</c:v>
                </c:pt>
                <c:pt idx="24">
                  <c:v>A25</c:v>
                </c:pt>
                <c:pt idx="25">
                  <c:v>A26</c:v>
                </c:pt>
                <c:pt idx="26">
                  <c:v>A27</c:v>
                </c:pt>
                <c:pt idx="27">
                  <c:v>A28</c:v>
                </c:pt>
                <c:pt idx="28">
                  <c:v>A29</c:v>
                </c:pt>
                <c:pt idx="29">
                  <c:v>A30</c:v>
                </c:pt>
                <c:pt idx="30">
                  <c:v>A31</c:v>
                </c:pt>
                <c:pt idx="31">
                  <c:v>V1</c:v>
                </c:pt>
                <c:pt idx="32">
                  <c:v>V2</c:v>
                </c:pt>
                <c:pt idx="33">
                  <c:v>V3</c:v>
                </c:pt>
                <c:pt idx="34">
                  <c:v>V4</c:v>
                </c:pt>
                <c:pt idx="35">
                  <c:v>V5</c:v>
                </c:pt>
                <c:pt idx="36">
                  <c:v>V6</c:v>
                </c:pt>
                <c:pt idx="37">
                  <c:v>V7</c:v>
                </c:pt>
                <c:pt idx="38">
                  <c:v>V8</c:v>
                </c:pt>
                <c:pt idx="39">
                  <c:v>V9</c:v>
                </c:pt>
                <c:pt idx="40">
                  <c:v>V10</c:v>
                </c:pt>
                <c:pt idx="41">
                  <c:v>V11</c:v>
                </c:pt>
                <c:pt idx="42">
                  <c:v>V12</c:v>
                </c:pt>
                <c:pt idx="43">
                  <c:v>V13-14</c:v>
                </c:pt>
              </c:strCache>
            </c:strRef>
          </c:cat>
          <c:val>
            <c:numRef>
              <c:f>RESUMEN!$B$4:$B$47</c:f>
              <c:numCache>
                <c:formatCode>#,##0.0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0.35</c:v>
                </c:pt>
                <c:pt idx="4">
                  <c:v>0</c:v>
                </c:pt>
                <c:pt idx="5">
                  <c:v>1.2</c:v>
                </c:pt>
                <c:pt idx="6">
                  <c:v>0.48</c:v>
                </c:pt>
                <c:pt idx="7">
                  <c:v>23.088000000000001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21.61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E-924D-A7BE-92E9088CFCCA}"/>
            </c:ext>
          </c:extLst>
        </c:ser>
        <c:ser>
          <c:idx val="1"/>
          <c:order val="1"/>
          <c:spPr>
            <a:ln w="38100">
              <a:solidFill>
                <a:srgbClr val="FFFFFF"/>
              </a:solidFill>
              <a:prstDash val="solid"/>
            </a:ln>
          </c:spPr>
          <c:marker>
            <c:symbol val="none"/>
          </c:marker>
          <c:cat>
            <c:strRef>
              <c:f>RESUMEN!$A$4:$A$47</c:f>
              <c:strCache>
                <c:ptCount val="44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A4</c:v>
                </c:pt>
                <c:pt idx="4">
                  <c:v>A5</c:v>
                </c:pt>
                <c:pt idx="5">
                  <c:v>A6</c:v>
                </c:pt>
                <c:pt idx="6">
                  <c:v>A7</c:v>
                </c:pt>
                <c:pt idx="7">
                  <c:v>A8</c:v>
                </c:pt>
                <c:pt idx="8">
                  <c:v>A9</c:v>
                </c:pt>
                <c:pt idx="9">
                  <c:v>A10</c:v>
                </c:pt>
                <c:pt idx="10">
                  <c:v>A11</c:v>
                </c:pt>
                <c:pt idx="11">
                  <c:v>A12</c:v>
                </c:pt>
                <c:pt idx="12">
                  <c:v>A13</c:v>
                </c:pt>
                <c:pt idx="13">
                  <c:v>A14</c:v>
                </c:pt>
                <c:pt idx="14">
                  <c:v>A15</c:v>
                </c:pt>
                <c:pt idx="15">
                  <c:v>A16</c:v>
                </c:pt>
                <c:pt idx="16">
                  <c:v>A17</c:v>
                </c:pt>
                <c:pt idx="17">
                  <c:v>A18</c:v>
                </c:pt>
                <c:pt idx="18">
                  <c:v>A19</c:v>
                </c:pt>
                <c:pt idx="19">
                  <c:v>A20</c:v>
                </c:pt>
                <c:pt idx="20">
                  <c:v>A21</c:v>
                </c:pt>
                <c:pt idx="21">
                  <c:v>A22</c:v>
                </c:pt>
                <c:pt idx="22">
                  <c:v>A23</c:v>
                </c:pt>
                <c:pt idx="23">
                  <c:v>A24</c:v>
                </c:pt>
                <c:pt idx="24">
                  <c:v>A25</c:v>
                </c:pt>
                <c:pt idx="25">
                  <c:v>A26</c:v>
                </c:pt>
                <c:pt idx="26">
                  <c:v>A27</c:v>
                </c:pt>
                <c:pt idx="27">
                  <c:v>A28</c:v>
                </c:pt>
                <c:pt idx="28">
                  <c:v>A29</c:v>
                </c:pt>
                <c:pt idx="29">
                  <c:v>A30</c:v>
                </c:pt>
                <c:pt idx="30">
                  <c:v>A31</c:v>
                </c:pt>
                <c:pt idx="31">
                  <c:v>V1</c:v>
                </c:pt>
                <c:pt idx="32">
                  <c:v>V2</c:v>
                </c:pt>
                <c:pt idx="33">
                  <c:v>V3</c:v>
                </c:pt>
                <c:pt idx="34">
                  <c:v>V4</c:v>
                </c:pt>
                <c:pt idx="35">
                  <c:v>V5</c:v>
                </c:pt>
                <c:pt idx="36">
                  <c:v>V6</c:v>
                </c:pt>
                <c:pt idx="37">
                  <c:v>V7</c:v>
                </c:pt>
                <c:pt idx="38">
                  <c:v>V8</c:v>
                </c:pt>
                <c:pt idx="39">
                  <c:v>V9</c:v>
                </c:pt>
                <c:pt idx="40">
                  <c:v>V10</c:v>
                </c:pt>
                <c:pt idx="41">
                  <c:v>V11</c:v>
                </c:pt>
                <c:pt idx="42">
                  <c:v>V12</c:v>
                </c:pt>
                <c:pt idx="43">
                  <c:v>V13-14</c:v>
                </c:pt>
              </c:strCache>
            </c:strRef>
          </c:cat>
          <c:val>
            <c:numRef>
              <c:f>RESUMEN!$C$4:$C$47</c:f>
              <c:numCache>
                <c:formatCode>#,##0.0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E-924D-A7BE-92E9088CFCCA}"/>
            </c:ext>
          </c:extLst>
        </c:ser>
        <c:ser>
          <c:idx val="2"/>
          <c:order val="2"/>
          <c:spPr>
            <a:ln w="38100">
              <a:solidFill>
                <a:srgbClr val="424242"/>
              </a:solidFill>
              <a:prstDash val="solid"/>
            </a:ln>
          </c:spPr>
          <c:marker>
            <c:symbol val="none"/>
          </c:marker>
          <c:cat>
            <c:strRef>
              <c:f>RESUMEN!$A$4:$A$47</c:f>
              <c:strCache>
                <c:ptCount val="44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A4</c:v>
                </c:pt>
                <c:pt idx="4">
                  <c:v>A5</c:v>
                </c:pt>
                <c:pt idx="5">
                  <c:v>A6</c:v>
                </c:pt>
                <c:pt idx="6">
                  <c:v>A7</c:v>
                </c:pt>
                <c:pt idx="7">
                  <c:v>A8</c:v>
                </c:pt>
                <c:pt idx="8">
                  <c:v>A9</c:v>
                </c:pt>
                <c:pt idx="9">
                  <c:v>A10</c:v>
                </c:pt>
                <c:pt idx="10">
                  <c:v>A11</c:v>
                </c:pt>
                <c:pt idx="11">
                  <c:v>A12</c:v>
                </c:pt>
                <c:pt idx="12">
                  <c:v>A13</c:v>
                </c:pt>
                <c:pt idx="13">
                  <c:v>A14</c:v>
                </c:pt>
                <c:pt idx="14">
                  <c:v>A15</c:v>
                </c:pt>
                <c:pt idx="15">
                  <c:v>A16</c:v>
                </c:pt>
                <c:pt idx="16">
                  <c:v>A17</c:v>
                </c:pt>
                <c:pt idx="17">
                  <c:v>A18</c:v>
                </c:pt>
                <c:pt idx="18">
                  <c:v>A19</c:v>
                </c:pt>
                <c:pt idx="19">
                  <c:v>A20</c:v>
                </c:pt>
                <c:pt idx="20">
                  <c:v>A21</c:v>
                </c:pt>
                <c:pt idx="21">
                  <c:v>A22</c:v>
                </c:pt>
                <c:pt idx="22">
                  <c:v>A23</c:v>
                </c:pt>
                <c:pt idx="23">
                  <c:v>A24</c:v>
                </c:pt>
                <c:pt idx="24">
                  <c:v>A25</c:v>
                </c:pt>
                <c:pt idx="25">
                  <c:v>A26</c:v>
                </c:pt>
                <c:pt idx="26">
                  <c:v>A27</c:v>
                </c:pt>
                <c:pt idx="27">
                  <c:v>A28</c:v>
                </c:pt>
                <c:pt idx="28">
                  <c:v>A29</c:v>
                </c:pt>
                <c:pt idx="29">
                  <c:v>A30</c:v>
                </c:pt>
                <c:pt idx="30">
                  <c:v>A31</c:v>
                </c:pt>
                <c:pt idx="31">
                  <c:v>V1</c:v>
                </c:pt>
                <c:pt idx="32">
                  <c:v>V2</c:v>
                </c:pt>
                <c:pt idx="33">
                  <c:v>V3</c:v>
                </c:pt>
                <c:pt idx="34">
                  <c:v>V4</c:v>
                </c:pt>
                <c:pt idx="35">
                  <c:v>V5</c:v>
                </c:pt>
                <c:pt idx="36">
                  <c:v>V6</c:v>
                </c:pt>
                <c:pt idx="37">
                  <c:v>V7</c:v>
                </c:pt>
                <c:pt idx="38">
                  <c:v>V8</c:v>
                </c:pt>
                <c:pt idx="39">
                  <c:v>V9</c:v>
                </c:pt>
                <c:pt idx="40">
                  <c:v>V10</c:v>
                </c:pt>
                <c:pt idx="41">
                  <c:v>V11</c:v>
                </c:pt>
                <c:pt idx="42">
                  <c:v>V12</c:v>
                </c:pt>
                <c:pt idx="43">
                  <c:v>V13-14</c:v>
                </c:pt>
              </c:strCache>
            </c:strRef>
          </c:cat>
          <c:val>
            <c:numRef>
              <c:f>RESUMEN!$D$4:$D$47</c:f>
              <c:numCache>
                <c:formatCode>#,##0.0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5.3500000000000005</c:v>
                </c:pt>
                <c:pt idx="5">
                  <c:v>0</c:v>
                </c:pt>
                <c:pt idx="6">
                  <c:v>0</c:v>
                </c:pt>
                <c:pt idx="7">
                  <c:v>4.4000000000000004</c:v>
                </c:pt>
                <c:pt idx="8">
                  <c:v>0</c:v>
                </c:pt>
                <c:pt idx="9">
                  <c:v>0</c:v>
                </c:pt>
                <c:pt idx="10">
                  <c:v>0.8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5.05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E-924D-A7BE-92E9088CFCCA}"/>
            </c:ext>
          </c:extLst>
        </c:ser>
        <c:ser>
          <c:idx val="3"/>
          <c:order val="3"/>
          <c:spPr>
            <a:ln w="38100">
              <a:solidFill>
                <a:srgbClr val="FFFFC0"/>
              </a:solidFill>
              <a:prstDash val="solid"/>
            </a:ln>
          </c:spPr>
          <c:marker>
            <c:symbol val="none"/>
          </c:marker>
          <c:cat>
            <c:strRef>
              <c:f>RESUMEN!$A$4:$A$47</c:f>
              <c:strCache>
                <c:ptCount val="44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A4</c:v>
                </c:pt>
                <c:pt idx="4">
                  <c:v>A5</c:v>
                </c:pt>
                <c:pt idx="5">
                  <c:v>A6</c:v>
                </c:pt>
                <c:pt idx="6">
                  <c:v>A7</c:v>
                </c:pt>
                <c:pt idx="7">
                  <c:v>A8</c:v>
                </c:pt>
                <c:pt idx="8">
                  <c:v>A9</c:v>
                </c:pt>
                <c:pt idx="9">
                  <c:v>A10</c:v>
                </c:pt>
                <c:pt idx="10">
                  <c:v>A11</c:v>
                </c:pt>
                <c:pt idx="11">
                  <c:v>A12</c:v>
                </c:pt>
                <c:pt idx="12">
                  <c:v>A13</c:v>
                </c:pt>
                <c:pt idx="13">
                  <c:v>A14</c:v>
                </c:pt>
                <c:pt idx="14">
                  <c:v>A15</c:v>
                </c:pt>
                <c:pt idx="15">
                  <c:v>A16</c:v>
                </c:pt>
                <c:pt idx="16">
                  <c:v>A17</c:v>
                </c:pt>
                <c:pt idx="17">
                  <c:v>A18</c:v>
                </c:pt>
                <c:pt idx="18">
                  <c:v>A19</c:v>
                </c:pt>
                <c:pt idx="19">
                  <c:v>A20</c:v>
                </c:pt>
                <c:pt idx="20">
                  <c:v>A21</c:v>
                </c:pt>
                <c:pt idx="21">
                  <c:v>A22</c:v>
                </c:pt>
                <c:pt idx="22">
                  <c:v>A23</c:v>
                </c:pt>
                <c:pt idx="23">
                  <c:v>A24</c:v>
                </c:pt>
                <c:pt idx="24">
                  <c:v>A25</c:v>
                </c:pt>
                <c:pt idx="25">
                  <c:v>A26</c:v>
                </c:pt>
                <c:pt idx="26">
                  <c:v>A27</c:v>
                </c:pt>
                <c:pt idx="27">
                  <c:v>A28</c:v>
                </c:pt>
                <c:pt idx="28">
                  <c:v>A29</c:v>
                </c:pt>
                <c:pt idx="29">
                  <c:v>A30</c:v>
                </c:pt>
                <c:pt idx="30">
                  <c:v>A31</c:v>
                </c:pt>
                <c:pt idx="31">
                  <c:v>V1</c:v>
                </c:pt>
                <c:pt idx="32">
                  <c:v>V2</c:v>
                </c:pt>
                <c:pt idx="33">
                  <c:v>V3</c:v>
                </c:pt>
                <c:pt idx="34">
                  <c:v>V4</c:v>
                </c:pt>
                <c:pt idx="35">
                  <c:v>V5</c:v>
                </c:pt>
                <c:pt idx="36">
                  <c:v>V6</c:v>
                </c:pt>
                <c:pt idx="37">
                  <c:v>V7</c:v>
                </c:pt>
                <c:pt idx="38">
                  <c:v>V8</c:v>
                </c:pt>
                <c:pt idx="39">
                  <c:v>V9</c:v>
                </c:pt>
                <c:pt idx="40">
                  <c:v>V10</c:v>
                </c:pt>
                <c:pt idx="41">
                  <c:v>V11</c:v>
                </c:pt>
                <c:pt idx="42">
                  <c:v>V12</c:v>
                </c:pt>
                <c:pt idx="43">
                  <c:v>V13-14</c:v>
                </c:pt>
              </c:strCache>
            </c:strRef>
          </c:cat>
          <c:val>
            <c:numRef>
              <c:f>RESUMEN!$E$4:$E$47</c:f>
              <c:numCache>
                <c:formatCode>#,##0.0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3.2499999999999996</c:v>
                </c:pt>
                <c:pt idx="5">
                  <c:v>1.2</c:v>
                </c:pt>
                <c:pt idx="6">
                  <c:v>0</c:v>
                </c:pt>
                <c:pt idx="7">
                  <c:v>4.0999999999999996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4.8000000000000007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DE-924D-A7BE-92E9088CFCCA}"/>
            </c:ext>
          </c:extLst>
        </c:ser>
        <c:ser>
          <c:idx val="4"/>
          <c:order val="4"/>
          <c:spPr>
            <a:ln w="381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strRef>
              <c:f>RESUMEN!$A$4:$A$47</c:f>
              <c:strCache>
                <c:ptCount val="44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A4</c:v>
                </c:pt>
                <c:pt idx="4">
                  <c:v>A5</c:v>
                </c:pt>
                <c:pt idx="5">
                  <c:v>A6</c:v>
                </c:pt>
                <c:pt idx="6">
                  <c:v>A7</c:v>
                </c:pt>
                <c:pt idx="7">
                  <c:v>A8</c:v>
                </c:pt>
                <c:pt idx="8">
                  <c:v>A9</c:v>
                </c:pt>
                <c:pt idx="9">
                  <c:v>A10</c:v>
                </c:pt>
                <c:pt idx="10">
                  <c:v>A11</c:v>
                </c:pt>
                <c:pt idx="11">
                  <c:v>A12</c:v>
                </c:pt>
                <c:pt idx="12">
                  <c:v>A13</c:v>
                </c:pt>
                <c:pt idx="13">
                  <c:v>A14</c:v>
                </c:pt>
                <c:pt idx="14">
                  <c:v>A15</c:v>
                </c:pt>
                <c:pt idx="15">
                  <c:v>A16</c:v>
                </c:pt>
                <c:pt idx="16">
                  <c:v>A17</c:v>
                </c:pt>
                <c:pt idx="17">
                  <c:v>A18</c:v>
                </c:pt>
                <c:pt idx="18">
                  <c:v>A19</c:v>
                </c:pt>
                <c:pt idx="19">
                  <c:v>A20</c:v>
                </c:pt>
                <c:pt idx="20">
                  <c:v>A21</c:v>
                </c:pt>
                <c:pt idx="21">
                  <c:v>A22</c:v>
                </c:pt>
                <c:pt idx="22">
                  <c:v>A23</c:v>
                </c:pt>
                <c:pt idx="23">
                  <c:v>A24</c:v>
                </c:pt>
                <c:pt idx="24">
                  <c:v>A25</c:v>
                </c:pt>
                <c:pt idx="25">
                  <c:v>A26</c:v>
                </c:pt>
                <c:pt idx="26">
                  <c:v>A27</c:v>
                </c:pt>
                <c:pt idx="27">
                  <c:v>A28</c:v>
                </c:pt>
                <c:pt idx="28">
                  <c:v>A29</c:v>
                </c:pt>
                <c:pt idx="29">
                  <c:v>A30</c:v>
                </c:pt>
                <c:pt idx="30">
                  <c:v>A31</c:v>
                </c:pt>
                <c:pt idx="31">
                  <c:v>V1</c:v>
                </c:pt>
                <c:pt idx="32">
                  <c:v>V2</c:v>
                </c:pt>
                <c:pt idx="33">
                  <c:v>V3</c:v>
                </c:pt>
                <c:pt idx="34">
                  <c:v>V4</c:v>
                </c:pt>
                <c:pt idx="35">
                  <c:v>V5</c:v>
                </c:pt>
                <c:pt idx="36">
                  <c:v>V6</c:v>
                </c:pt>
                <c:pt idx="37">
                  <c:v>V7</c:v>
                </c:pt>
                <c:pt idx="38">
                  <c:v>V8</c:v>
                </c:pt>
                <c:pt idx="39">
                  <c:v>V9</c:v>
                </c:pt>
                <c:pt idx="40">
                  <c:v>V10</c:v>
                </c:pt>
                <c:pt idx="41">
                  <c:v>V11</c:v>
                </c:pt>
                <c:pt idx="42">
                  <c:v>V12</c:v>
                </c:pt>
                <c:pt idx="43">
                  <c:v>V13-14</c:v>
                </c:pt>
              </c:strCache>
            </c:strRef>
          </c:cat>
          <c:val>
            <c:numRef>
              <c:f>RESUMEN!$F$4:$F$47</c:f>
              <c:numCache>
                <c:formatCode>#,##0.0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4.6999999999999993</c:v>
                </c:pt>
                <c:pt idx="5">
                  <c:v>0</c:v>
                </c:pt>
                <c:pt idx="6">
                  <c:v>0</c:v>
                </c:pt>
                <c:pt idx="7">
                  <c:v>1.44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1.1499999999999999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E-924D-A7BE-92E9088CFCCA}"/>
            </c:ext>
          </c:extLst>
        </c:ser>
        <c:ser>
          <c:idx val="5"/>
          <c:order val="5"/>
          <c:spPr>
            <a:ln w="38100">
              <a:solidFill>
                <a:srgbClr val="00FF00"/>
              </a:solidFill>
              <a:prstDash val="solid"/>
            </a:ln>
          </c:spPr>
          <c:marker>
            <c:symbol val="none"/>
          </c:marker>
          <c:cat>
            <c:strRef>
              <c:f>RESUMEN!$A$4:$A$47</c:f>
              <c:strCache>
                <c:ptCount val="44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A4</c:v>
                </c:pt>
                <c:pt idx="4">
                  <c:v>A5</c:v>
                </c:pt>
                <c:pt idx="5">
                  <c:v>A6</c:v>
                </c:pt>
                <c:pt idx="6">
                  <c:v>A7</c:v>
                </c:pt>
                <c:pt idx="7">
                  <c:v>A8</c:v>
                </c:pt>
                <c:pt idx="8">
                  <c:v>A9</c:v>
                </c:pt>
                <c:pt idx="9">
                  <c:v>A10</c:v>
                </c:pt>
                <c:pt idx="10">
                  <c:v>A11</c:v>
                </c:pt>
                <c:pt idx="11">
                  <c:v>A12</c:v>
                </c:pt>
                <c:pt idx="12">
                  <c:v>A13</c:v>
                </c:pt>
                <c:pt idx="13">
                  <c:v>A14</c:v>
                </c:pt>
                <c:pt idx="14">
                  <c:v>A15</c:v>
                </c:pt>
                <c:pt idx="15">
                  <c:v>A16</c:v>
                </c:pt>
                <c:pt idx="16">
                  <c:v>A17</c:v>
                </c:pt>
                <c:pt idx="17">
                  <c:v>A18</c:v>
                </c:pt>
                <c:pt idx="18">
                  <c:v>A19</c:v>
                </c:pt>
                <c:pt idx="19">
                  <c:v>A20</c:v>
                </c:pt>
                <c:pt idx="20">
                  <c:v>A21</c:v>
                </c:pt>
                <c:pt idx="21">
                  <c:v>A22</c:v>
                </c:pt>
                <c:pt idx="22">
                  <c:v>A23</c:v>
                </c:pt>
                <c:pt idx="23">
                  <c:v>A24</c:v>
                </c:pt>
                <c:pt idx="24">
                  <c:v>A25</c:v>
                </c:pt>
                <c:pt idx="25">
                  <c:v>A26</c:v>
                </c:pt>
                <c:pt idx="26">
                  <c:v>A27</c:v>
                </c:pt>
                <c:pt idx="27">
                  <c:v>A28</c:v>
                </c:pt>
                <c:pt idx="28">
                  <c:v>A29</c:v>
                </c:pt>
                <c:pt idx="29">
                  <c:v>A30</c:v>
                </c:pt>
                <c:pt idx="30">
                  <c:v>A31</c:v>
                </c:pt>
                <c:pt idx="31">
                  <c:v>V1</c:v>
                </c:pt>
                <c:pt idx="32">
                  <c:v>V2</c:v>
                </c:pt>
                <c:pt idx="33">
                  <c:v>V3</c:v>
                </c:pt>
                <c:pt idx="34">
                  <c:v>V4</c:v>
                </c:pt>
                <c:pt idx="35">
                  <c:v>V5</c:v>
                </c:pt>
                <c:pt idx="36">
                  <c:v>V6</c:v>
                </c:pt>
                <c:pt idx="37">
                  <c:v>V7</c:v>
                </c:pt>
                <c:pt idx="38">
                  <c:v>V8</c:v>
                </c:pt>
                <c:pt idx="39">
                  <c:v>V9</c:v>
                </c:pt>
                <c:pt idx="40">
                  <c:v>V10</c:v>
                </c:pt>
                <c:pt idx="41">
                  <c:v>V11</c:v>
                </c:pt>
                <c:pt idx="42">
                  <c:v>V12</c:v>
                </c:pt>
                <c:pt idx="43">
                  <c:v>V13-14</c:v>
                </c:pt>
              </c:strCache>
            </c:strRef>
          </c:cat>
          <c:val>
            <c:numRef>
              <c:f>RESUMEN!$G$4:$G$47</c:f>
              <c:numCache>
                <c:formatCode>#,##0.0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1.7700000000000002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1.4500000000000002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DE-924D-A7BE-92E9088CFCCA}"/>
            </c:ext>
          </c:extLst>
        </c:ser>
        <c:ser>
          <c:idx val="6"/>
          <c:order val="6"/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strRef>
              <c:f>RESUMEN!$A$4:$A$47</c:f>
              <c:strCache>
                <c:ptCount val="44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A4</c:v>
                </c:pt>
                <c:pt idx="4">
                  <c:v>A5</c:v>
                </c:pt>
                <c:pt idx="5">
                  <c:v>A6</c:v>
                </c:pt>
                <c:pt idx="6">
                  <c:v>A7</c:v>
                </c:pt>
                <c:pt idx="7">
                  <c:v>A8</c:v>
                </c:pt>
                <c:pt idx="8">
                  <c:v>A9</c:v>
                </c:pt>
                <c:pt idx="9">
                  <c:v>A10</c:v>
                </c:pt>
                <c:pt idx="10">
                  <c:v>A11</c:v>
                </c:pt>
                <c:pt idx="11">
                  <c:v>A12</c:v>
                </c:pt>
                <c:pt idx="12">
                  <c:v>A13</c:v>
                </c:pt>
                <c:pt idx="13">
                  <c:v>A14</c:v>
                </c:pt>
                <c:pt idx="14">
                  <c:v>A15</c:v>
                </c:pt>
                <c:pt idx="15">
                  <c:v>A16</c:v>
                </c:pt>
                <c:pt idx="16">
                  <c:v>A17</c:v>
                </c:pt>
                <c:pt idx="17">
                  <c:v>A18</c:v>
                </c:pt>
                <c:pt idx="18">
                  <c:v>A19</c:v>
                </c:pt>
                <c:pt idx="19">
                  <c:v>A20</c:v>
                </c:pt>
                <c:pt idx="20">
                  <c:v>A21</c:v>
                </c:pt>
                <c:pt idx="21">
                  <c:v>A22</c:v>
                </c:pt>
                <c:pt idx="22">
                  <c:v>A23</c:v>
                </c:pt>
                <c:pt idx="23">
                  <c:v>A24</c:v>
                </c:pt>
                <c:pt idx="24">
                  <c:v>A25</c:v>
                </c:pt>
                <c:pt idx="25">
                  <c:v>A26</c:v>
                </c:pt>
                <c:pt idx="26">
                  <c:v>A27</c:v>
                </c:pt>
                <c:pt idx="27">
                  <c:v>A28</c:v>
                </c:pt>
                <c:pt idx="28">
                  <c:v>A29</c:v>
                </c:pt>
                <c:pt idx="29">
                  <c:v>A30</c:v>
                </c:pt>
                <c:pt idx="30">
                  <c:v>A31</c:v>
                </c:pt>
                <c:pt idx="31">
                  <c:v>V1</c:v>
                </c:pt>
                <c:pt idx="32">
                  <c:v>V2</c:v>
                </c:pt>
                <c:pt idx="33">
                  <c:v>V3</c:v>
                </c:pt>
                <c:pt idx="34">
                  <c:v>V4</c:v>
                </c:pt>
                <c:pt idx="35">
                  <c:v>V5</c:v>
                </c:pt>
                <c:pt idx="36">
                  <c:v>V6</c:v>
                </c:pt>
                <c:pt idx="37">
                  <c:v>V7</c:v>
                </c:pt>
                <c:pt idx="38">
                  <c:v>V8</c:v>
                </c:pt>
                <c:pt idx="39">
                  <c:v>V9</c:v>
                </c:pt>
                <c:pt idx="40">
                  <c:v>V10</c:v>
                </c:pt>
                <c:pt idx="41">
                  <c:v>V11</c:v>
                </c:pt>
                <c:pt idx="42">
                  <c:v>V12</c:v>
                </c:pt>
                <c:pt idx="43">
                  <c:v>V13-14</c:v>
                </c:pt>
              </c:strCache>
            </c:strRef>
          </c:cat>
          <c:val>
            <c:numRef>
              <c:f>RESUMEN!$H$4:$H$47</c:f>
              <c:numCache>
                <c:formatCode>#,##0.0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0.35</c:v>
                </c:pt>
                <c:pt idx="4">
                  <c:v>5</c:v>
                </c:pt>
                <c:pt idx="5">
                  <c:v>0</c:v>
                </c:pt>
                <c:pt idx="6">
                  <c:v>0.48</c:v>
                </c:pt>
                <c:pt idx="7">
                  <c:v>3.4075000000000002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DE-924D-A7BE-92E9088CFCCA}"/>
            </c:ext>
          </c:extLst>
        </c:ser>
        <c:ser>
          <c:idx val="7"/>
          <c:order val="7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RESUMEN!$A$4:$A$47</c:f>
              <c:strCache>
                <c:ptCount val="44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A4</c:v>
                </c:pt>
                <c:pt idx="4">
                  <c:v>A5</c:v>
                </c:pt>
                <c:pt idx="5">
                  <c:v>A6</c:v>
                </c:pt>
                <c:pt idx="6">
                  <c:v>A7</c:v>
                </c:pt>
                <c:pt idx="7">
                  <c:v>A8</c:v>
                </c:pt>
                <c:pt idx="8">
                  <c:v>A9</c:v>
                </c:pt>
                <c:pt idx="9">
                  <c:v>A10</c:v>
                </c:pt>
                <c:pt idx="10">
                  <c:v>A11</c:v>
                </c:pt>
                <c:pt idx="11">
                  <c:v>A12</c:v>
                </c:pt>
                <c:pt idx="12">
                  <c:v>A13</c:v>
                </c:pt>
                <c:pt idx="13">
                  <c:v>A14</c:v>
                </c:pt>
                <c:pt idx="14">
                  <c:v>A15</c:v>
                </c:pt>
                <c:pt idx="15">
                  <c:v>A16</c:v>
                </c:pt>
                <c:pt idx="16">
                  <c:v>A17</c:v>
                </c:pt>
                <c:pt idx="17">
                  <c:v>A18</c:v>
                </c:pt>
                <c:pt idx="18">
                  <c:v>A19</c:v>
                </c:pt>
                <c:pt idx="19">
                  <c:v>A20</c:v>
                </c:pt>
                <c:pt idx="20">
                  <c:v>A21</c:v>
                </c:pt>
                <c:pt idx="21">
                  <c:v>A22</c:v>
                </c:pt>
                <c:pt idx="22">
                  <c:v>A23</c:v>
                </c:pt>
                <c:pt idx="23">
                  <c:v>A24</c:v>
                </c:pt>
                <c:pt idx="24">
                  <c:v>A25</c:v>
                </c:pt>
                <c:pt idx="25">
                  <c:v>A26</c:v>
                </c:pt>
                <c:pt idx="26">
                  <c:v>A27</c:v>
                </c:pt>
                <c:pt idx="27">
                  <c:v>A28</c:v>
                </c:pt>
                <c:pt idx="28">
                  <c:v>A29</c:v>
                </c:pt>
                <c:pt idx="29">
                  <c:v>A30</c:v>
                </c:pt>
                <c:pt idx="30">
                  <c:v>A31</c:v>
                </c:pt>
                <c:pt idx="31">
                  <c:v>V1</c:v>
                </c:pt>
                <c:pt idx="32">
                  <c:v>V2</c:v>
                </c:pt>
                <c:pt idx="33">
                  <c:v>V3</c:v>
                </c:pt>
                <c:pt idx="34">
                  <c:v>V4</c:v>
                </c:pt>
                <c:pt idx="35">
                  <c:v>V5</c:v>
                </c:pt>
                <c:pt idx="36">
                  <c:v>V6</c:v>
                </c:pt>
                <c:pt idx="37">
                  <c:v>V7</c:v>
                </c:pt>
                <c:pt idx="38">
                  <c:v>V8</c:v>
                </c:pt>
                <c:pt idx="39">
                  <c:v>V9</c:v>
                </c:pt>
                <c:pt idx="40">
                  <c:v>V10</c:v>
                </c:pt>
                <c:pt idx="41">
                  <c:v>V11</c:v>
                </c:pt>
                <c:pt idx="42">
                  <c:v>V12</c:v>
                </c:pt>
                <c:pt idx="43">
                  <c:v>V13-14</c:v>
                </c:pt>
              </c:strCache>
            </c:strRef>
          </c:cat>
          <c:val>
            <c:numRef>
              <c:f>RESUMEN!$I$4:$I$47</c:f>
              <c:numCache>
                <c:formatCode>#,##0.0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1.04</c:v>
                </c:pt>
                <c:pt idx="5">
                  <c:v>0</c:v>
                </c:pt>
                <c:pt idx="6">
                  <c:v>0</c:v>
                </c:pt>
                <c:pt idx="7">
                  <c:v>3.7705000000000002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0.86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DE-924D-A7BE-92E9088CF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58976"/>
        <c:axId val="152160896"/>
      </c:lineChart>
      <c:catAx>
        <c:axId val="1521589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MICROCICLOS</a:t>
                </a:r>
                <a:r>
                  <a:rPr lang="es-ES_tradnl" baseline="0"/>
                  <a:t> SEMANALES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21497847806494741"/>
              <c:y val="0.850495254937176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52160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2160896"/>
        <c:scaling>
          <c:orientation val="minMax"/>
          <c:max val="4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KILOMETROS totales</a:t>
                </a:r>
              </a:p>
            </c:rich>
          </c:tx>
          <c:layout>
            <c:manualLayout>
              <c:xMode val="edge"/>
              <c:yMode val="edge"/>
              <c:x val="1.4121833908692399E-2"/>
              <c:y val="0.1557094333796510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152158976"/>
        <c:crosses val="autoZero"/>
        <c:crossBetween val="between"/>
        <c:majorUnit val="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969696"/>
    </a:solidFill>
    <a:ln w="3175">
      <a:solidFill>
        <a:srgbClr val="000000"/>
      </a:solidFill>
      <a:prstDash val="solid"/>
    </a:ln>
  </c:spPr>
  <c:txPr>
    <a:bodyPr/>
    <a:lstStyle/>
    <a:p>
      <a:pPr>
        <a:defRPr sz="3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/>
    <c:pageMargins b="1" l="0.75" r="0.75" t="1" header="0" footer="0"/>
    <c:pageSetup paperSize="9" orientation="landscape" horizontalDpi="-3" verticalDpi="12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tiff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tiff"/><Relationship Id="rId1" Type="http://schemas.openxmlformats.org/officeDocument/2006/relationships/image" Target="../media/image4.tif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customXml" Target="../ink/ink2.xml"/><Relationship Id="rId7" Type="http://schemas.openxmlformats.org/officeDocument/2006/relationships/customXml" Target="../ink/ink4.xml"/><Relationship Id="rId2" Type="http://schemas.openxmlformats.org/officeDocument/2006/relationships/image" Target="../media/image20.png"/><Relationship Id="rId1" Type="http://schemas.openxmlformats.org/officeDocument/2006/relationships/customXml" Target="../ink/ink1.xml"/><Relationship Id="rId6" Type="http://schemas.openxmlformats.org/officeDocument/2006/relationships/image" Target="../media/image4.png"/><Relationship Id="rId11" Type="http://schemas.openxmlformats.org/officeDocument/2006/relationships/customXml" Target="../ink/ink6.xml"/><Relationship Id="rId5" Type="http://schemas.openxmlformats.org/officeDocument/2006/relationships/customXml" Target="../ink/ink3.xml"/><Relationship Id="rId10" Type="http://schemas.openxmlformats.org/officeDocument/2006/relationships/image" Target="../media/image6.png"/><Relationship Id="rId4" Type="http://schemas.openxmlformats.org/officeDocument/2006/relationships/image" Target="../media/image30.png"/><Relationship Id="rId9" Type="http://schemas.openxmlformats.org/officeDocument/2006/relationships/customXml" Target="../ink/ink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customXml" Target="../ink/ink8.xml"/><Relationship Id="rId7" Type="http://schemas.openxmlformats.org/officeDocument/2006/relationships/customXml" Target="../ink/ink10.xml"/><Relationship Id="rId2" Type="http://schemas.openxmlformats.org/officeDocument/2006/relationships/image" Target="../media/image20.png"/><Relationship Id="rId1" Type="http://schemas.openxmlformats.org/officeDocument/2006/relationships/customXml" Target="../ink/ink7.xml"/><Relationship Id="rId6" Type="http://schemas.openxmlformats.org/officeDocument/2006/relationships/image" Target="../media/image4.png"/><Relationship Id="rId5" Type="http://schemas.openxmlformats.org/officeDocument/2006/relationships/customXml" Target="../ink/ink9.xml"/><Relationship Id="rId10" Type="http://schemas.openxmlformats.org/officeDocument/2006/relationships/image" Target="../media/image6.png"/><Relationship Id="rId4" Type="http://schemas.openxmlformats.org/officeDocument/2006/relationships/image" Target="../media/image30.png"/><Relationship Id="rId9" Type="http://schemas.openxmlformats.org/officeDocument/2006/relationships/customXml" Target="../ink/ink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tif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tiff"/><Relationship Id="rId2" Type="http://schemas.openxmlformats.org/officeDocument/2006/relationships/image" Target="../media/image8.tiff"/><Relationship Id="rId1" Type="http://schemas.openxmlformats.org/officeDocument/2006/relationships/image" Target="../media/image7.tiff"/><Relationship Id="rId4" Type="http://schemas.openxmlformats.org/officeDocument/2006/relationships/image" Target="../media/image10.tiff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tiff"/><Relationship Id="rId3" Type="http://schemas.openxmlformats.org/officeDocument/2006/relationships/image" Target="../media/image13.tiff"/><Relationship Id="rId7" Type="http://schemas.openxmlformats.org/officeDocument/2006/relationships/image" Target="../media/image17.tiff"/><Relationship Id="rId2" Type="http://schemas.openxmlformats.org/officeDocument/2006/relationships/image" Target="../media/image12.tiff"/><Relationship Id="rId1" Type="http://schemas.openxmlformats.org/officeDocument/2006/relationships/image" Target="../media/image11.tiff"/><Relationship Id="rId6" Type="http://schemas.openxmlformats.org/officeDocument/2006/relationships/image" Target="../media/image16.tiff"/><Relationship Id="rId5" Type="http://schemas.openxmlformats.org/officeDocument/2006/relationships/image" Target="../media/image15.tiff"/><Relationship Id="rId4" Type="http://schemas.openxmlformats.org/officeDocument/2006/relationships/image" Target="../media/image14.tif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tif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ustomXml" Target="../ink/ink16.xml"/><Relationship Id="rId13" Type="http://schemas.openxmlformats.org/officeDocument/2006/relationships/image" Target="../media/image11.png"/><Relationship Id="rId3" Type="http://schemas.openxmlformats.org/officeDocument/2006/relationships/customXml" Target="../ink/ink13.xml"/><Relationship Id="rId7" Type="http://schemas.openxmlformats.org/officeDocument/2006/relationships/customXml" Target="../ink/ink15.xml"/><Relationship Id="rId12" Type="http://schemas.openxmlformats.org/officeDocument/2006/relationships/customXml" Target="../ink/ink19.xml"/><Relationship Id="rId2" Type="http://schemas.openxmlformats.org/officeDocument/2006/relationships/image" Target="../media/image7.png"/><Relationship Id="rId1" Type="http://schemas.openxmlformats.org/officeDocument/2006/relationships/customXml" Target="../ink/ink12.xml"/><Relationship Id="rId6" Type="http://schemas.openxmlformats.org/officeDocument/2006/relationships/image" Target="../media/image9.png"/><Relationship Id="rId11" Type="http://schemas.openxmlformats.org/officeDocument/2006/relationships/customXml" Target="../ink/ink18.xml"/><Relationship Id="rId5" Type="http://schemas.openxmlformats.org/officeDocument/2006/relationships/customXml" Target="../ink/ink14.xml"/><Relationship Id="rId15" Type="http://schemas.openxmlformats.org/officeDocument/2006/relationships/image" Target="../media/image12.png"/><Relationship Id="rId10" Type="http://schemas.openxmlformats.org/officeDocument/2006/relationships/customXml" Target="../ink/ink17.xml"/><Relationship Id="rId4" Type="http://schemas.openxmlformats.org/officeDocument/2006/relationships/image" Target="../media/image8.png"/><Relationship Id="rId9" Type="http://schemas.openxmlformats.org/officeDocument/2006/relationships/image" Target="../media/image10.png"/><Relationship Id="rId14" Type="http://schemas.openxmlformats.org/officeDocument/2006/relationships/customXml" Target="../ink/ink20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ustomXml" Target="../ink/ink26.xml"/><Relationship Id="rId13" Type="http://schemas.openxmlformats.org/officeDocument/2006/relationships/image" Target="../media/image11.png"/><Relationship Id="rId18" Type="http://schemas.openxmlformats.org/officeDocument/2006/relationships/customXml" Target="../ink/ink29.xml"/><Relationship Id="rId3" Type="http://schemas.openxmlformats.org/officeDocument/2006/relationships/customXml" Target="../ink/ink22.xml"/><Relationship Id="rId21" Type="http://schemas.openxmlformats.org/officeDocument/2006/relationships/image" Target="../media/image15.png"/><Relationship Id="rId7" Type="http://schemas.openxmlformats.org/officeDocument/2006/relationships/customXml" Target="../ink/ink25.xml"/><Relationship Id="rId17" Type="http://schemas.openxmlformats.org/officeDocument/2006/relationships/image" Target="../media/image13.png"/><Relationship Id="rId2" Type="http://schemas.openxmlformats.org/officeDocument/2006/relationships/image" Target="../media/image7.png"/><Relationship Id="rId16" Type="http://schemas.openxmlformats.org/officeDocument/2006/relationships/customXml" Target="../ink/ink28.xml"/><Relationship Id="rId20" Type="http://schemas.openxmlformats.org/officeDocument/2006/relationships/customXml" Target="../ink/ink30.xml"/><Relationship Id="rId1" Type="http://schemas.openxmlformats.org/officeDocument/2006/relationships/customXml" Target="../ink/ink21.xml"/><Relationship Id="rId6" Type="http://schemas.openxmlformats.org/officeDocument/2006/relationships/customXml" Target="../ink/ink24.xml"/><Relationship Id="rId5" Type="http://schemas.openxmlformats.org/officeDocument/2006/relationships/customXml" Target="../ink/ink23.xml"/><Relationship Id="rId15" Type="http://schemas.openxmlformats.org/officeDocument/2006/relationships/image" Target="../media/image12.png"/><Relationship Id="rId19" Type="http://schemas.openxmlformats.org/officeDocument/2006/relationships/image" Target="../media/image14.png"/><Relationship Id="rId4" Type="http://schemas.openxmlformats.org/officeDocument/2006/relationships/image" Target="../media/image8.png"/><Relationship Id="rId14" Type="http://schemas.openxmlformats.org/officeDocument/2006/relationships/customXml" Target="../ink/ink27.xml"/><Relationship Id="rId22" Type="http://schemas.openxmlformats.org/officeDocument/2006/relationships/customXml" Target="../ink/ink31.xml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ustomXml" Target="../ink/ink37.xml"/><Relationship Id="rId3" Type="http://schemas.openxmlformats.org/officeDocument/2006/relationships/customXml" Target="../ink/ink33.xml"/><Relationship Id="rId21" Type="http://schemas.openxmlformats.org/officeDocument/2006/relationships/image" Target="../media/image15.png"/><Relationship Id="rId7" Type="http://schemas.openxmlformats.org/officeDocument/2006/relationships/customXml" Target="../ink/ink36.xml"/><Relationship Id="rId2" Type="http://schemas.openxmlformats.org/officeDocument/2006/relationships/image" Target="../media/image7.png"/><Relationship Id="rId1" Type="http://schemas.openxmlformats.org/officeDocument/2006/relationships/customXml" Target="../ink/ink32.xml"/><Relationship Id="rId6" Type="http://schemas.openxmlformats.org/officeDocument/2006/relationships/customXml" Target="../ink/ink35.xml"/><Relationship Id="rId5" Type="http://schemas.openxmlformats.org/officeDocument/2006/relationships/customXml" Target="../ink/ink34.xml"/><Relationship Id="rId4" Type="http://schemas.openxmlformats.org/officeDocument/2006/relationships/image" Target="../media/image8.png"/><Relationship Id="rId22" Type="http://schemas.openxmlformats.org/officeDocument/2006/relationships/customXml" Target="../ink/ink38.xml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.png"/><Relationship Id="rId12" Type="http://schemas.openxmlformats.org/officeDocument/2006/relationships/customXml" Target="../ink/ink44.xml"/><Relationship Id="rId2" Type="http://schemas.openxmlformats.org/officeDocument/2006/relationships/image" Target="../media/image7.png"/><Relationship Id="rId1" Type="http://schemas.openxmlformats.org/officeDocument/2006/relationships/customXml" Target="../ink/ink39.xml"/><Relationship Id="rId6" Type="http://schemas.openxmlformats.org/officeDocument/2006/relationships/customXml" Target="../ink/ink41.xml"/><Relationship Id="rId11" Type="http://schemas.openxmlformats.org/officeDocument/2006/relationships/customXml" Target="../ink/ink43.xml"/><Relationship Id="rId5" Type="http://schemas.openxmlformats.org/officeDocument/2006/relationships/customXml" Target="../ink/ink40.xml"/><Relationship Id="rId15" Type="http://schemas.openxmlformats.org/officeDocument/2006/relationships/image" Target="../media/image12.png"/><Relationship Id="rId10" Type="http://schemas.openxmlformats.org/officeDocument/2006/relationships/customXml" Target="../ink/ink42.xml"/><Relationship Id="rId4" Type="http://schemas.openxmlformats.org/officeDocument/2006/relationships/image" Target="../media/image8.png"/><Relationship Id="rId9" Type="http://schemas.openxmlformats.org/officeDocument/2006/relationships/image" Target="../media/image10.png"/><Relationship Id="rId14" Type="http://schemas.openxmlformats.org/officeDocument/2006/relationships/customXml" Target="../ink/ink4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294941</xdr:colOff>
      <xdr:row>2</xdr:row>
      <xdr:rowOff>12153</xdr:rowOff>
    </xdr:from>
    <xdr:ext cx="1485490" cy="1408414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8864" y="303828"/>
          <a:ext cx="1485490" cy="140841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2174</xdr:colOff>
      <xdr:row>0</xdr:row>
      <xdr:rowOff>85725</xdr:rowOff>
    </xdr:from>
    <xdr:to>
      <xdr:col>1</xdr:col>
      <xdr:colOff>739807</xdr:colOff>
      <xdr:row>2</xdr:row>
      <xdr:rowOff>114300</xdr:rowOff>
    </xdr:to>
    <xdr:sp macro="" textlink="" fLocksText="0">
      <xdr:nvSpPr>
        <xdr:cNvPr id="2050" name="Texto 2">
          <a:extLst>
            <a:ext uri="{FF2B5EF4-FFF2-40B4-BE49-F238E27FC236}">
              <a16:creationId xmlns:a16="http://schemas.microsoft.com/office/drawing/2014/main" id="{00000000-0008-0000-0400-000002080000}"/>
            </a:ext>
          </a:extLst>
        </xdr:cNvPr>
        <xdr:cNvSpPr txBox="1">
          <a:spLocks noChangeArrowheads="1"/>
        </xdr:cNvSpPr>
      </xdr:nvSpPr>
      <xdr:spPr bwMode="auto">
        <a:xfrm>
          <a:off x="57150" y="85725"/>
          <a:ext cx="647700" cy="7429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80" mc:Ignorable="a14" a14:legacySpreadsheetColorIndex="18"/>
        </a:solidFill>
        <a:ln w="17145">
          <a:solidFill>
            <a:srgbClr xmlns:mc="http://schemas.openxmlformats.org/markup-compatibility/2006" xmlns:a14="http://schemas.microsoft.com/office/drawing/2010/main" val="FFFF00" mc:Ignorable="a14" a14:legacySpreadsheetColorIndex="13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1000" b="0" i="0" u="none" strike="noStrike" baseline="0">
              <a:solidFill>
                <a:srgbClr val="FFFF00"/>
              </a:solidFill>
              <a:latin typeface="Arial"/>
              <a:cs typeface="Arial"/>
            </a:rPr>
            <a:t>Fotografía</a:t>
          </a:r>
        </a:p>
      </xdr:txBody>
    </xdr:sp>
    <xdr:clientData fLocksWithSheet="0"/>
  </xdr:twoCellAnchor>
  <xdr:twoCellAnchor editAs="oneCell">
    <xdr:from>
      <xdr:col>0</xdr:col>
      <xdr:colOff>38100</xdr:colOff>
      <xdr:row>0</xdr:row>
      <xdr:rowOff>63500</xdr:rowOff>
    </xdr:from>
    <xdr:to>
      <xdr:col>1</xdr:col>
      <xdr:colOff>1003300</xdr:colOff>
      <xdr:row>3</xdr:row>
      <xdr:rowOff>152400</xdr:rowOff>
    </xdr:to>
    <xdr:pic>
      <xdr:nvPicPr>
        <xdr:cNvPr id="16624656" name="Picture 1">
          <a:extLst>
            <a:ext uri="{FF2B5EF4-FFF2-40B4-BE49-F238E27FC236}">
              <a16:creationId xmlns:a16="http://schemas.microsoft.com/office/drawing/2014/main" id="{00000000-0008-0000-0400-000010ACF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63500"/>
          <a:ext cx="1028700" cy="97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368709</xdr:colOff>
      <xdr:row>1</xdr:row>
      <xdr:rowOff>92178</xdr:rowOff>
    </xdr:from>
    <xdr:to>
      <xdr:col>15</xdr:col>
      <xdr:colOff>1774722</xdr:colOff>
      <xdr:row>52</xdr:row>
      <xdr:rowOff>70055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0161" y="337984"/>
          <a:ext cx="10439400" cy="9728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28</xdr:row>
      <xdr:rowOff>0</xdr:rowOff>
    </xdr:from>
    <xdr:to>
      <xdr:col>0</xdr:col>
      <xdr:colOff>205012</xdr:colOff>
      <xdr:row>33</xdr:row>
      <xdr:rowOff>161984</xdr:rowOff>
    </xdr:to>
    <xdr:sp macro="" textlink="">
      <xdr:nvSpPr>
        <xdr:cNvPr id="4112" name="Texto 16">
          <a:extLst>
            <a:ext uri="{FF2B5EF4-FFF2-40B4-BE49-F238E27FC236}">
              <a16:creationId xmlns:a16="http://schemas.microsoft.com/office/drawing/2014/main" id="{00000000-0008-0000-0500-000010100000}"/>
            </a:ext>
          </a:extLst>
        </xdr:cNvPr>
        <xdr:cNvSpPr txBox="1">
          <a:spLocks noChangeArrowheads="1"/>
        </xdr:cNvSpPr>
      </xdr:nvSpPr>
      <xdr:spPr bwMode="auto">
        <a:xfrm>
          <a:off x="19050" y="4314825"/>
          <a:ext cx="161925" cy="10096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AERÓBICO</a:t>
          </a:r>
        </a:p>
      </xdr:txBody>
    </xdr:sp>
    <xdr:clientData/>
  </xdr:twoCellAnchor>
  <xdr:twoCellAnchor>
    <xdr:from>
      <xdr:col>0</xdr:col>
      <xdr:colOff>9525</xdr:colOff>
      <xdr:row>34</xdr:row>
      <xdr:rowOff>0</xdr:rowOff>
    </xdr:from>
    <xdr:to>
      <xdr:col>0</xdr:col>
      <xdr:colOff>205012</xdr:colOff>
      <xdr:row>35</xdr:row>
      <xdr:rowOff>147936</xdr:rowOff>
    </xdr:to>
    <xdr:sp macro="" textlink="">
      <xdr:nvSpPr>
        <xdr:cNvPr id="4113" name="Texto 17">
          <a:extLst>
            <a:ext uri="{FF2B5EF4-FFF2-40B4-BE49-F238E27FC236}">
              <a16:creationId xmlns:a16="http://schemas.microsoft.com/office/drawing/2014/main" id="{00000000-0008-0000-0500-000011100000}"/>
            </a:ext>
          </a:extLst>
        </xdr:cNvPr>
        <xdr:cNvSpPr txBox="1">
          <a:spLocks noChangeArrowheads="1"/>
        </xdr:cNvSpPr>
      </xdr:nvSpPr>
      <xdr:spPr bwMode="auto">
        <a:xfrm>
          <a:off x="19050" y="5334000"/>
          <a:ext cx="161925" cy="32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MIXTO</a:t>
          </a:r>
        </a:p>
      </xdr:txBody>
    </xdr:sp>
    <xdr:clientData/>
  </xdr:twoCellAnchor>
  <xdr:twoCellAnchor>
    <xdr:from>
      <xdr:col>0</xdr:col>
      <xdr:colOff>9525</xdr:colOff>
      <xdr:row>35</xdr:row>
      <xdr:rowOff>146050</xdr:rowOff>
    </xdr:from>
    <xdr:to>
      <xdr:col>0</xdr:col>
      <xdr:colOff>205012</xdr:colOff>
      <xdr:row>40</xdr:row>
      <xdr:rowOff>1253</xdr:rowOff>
    </xdr:to>
    <xdr:sp macro="" textlink="">
      <xdr:nvSpPr>
        <xdr:cNvPr id="4114" name="Texto 18">
          <a:extLst>
            <a:ext uri="{FF2B5EF4-FFF2-40B4-BE49-F238E27FC236}">
              <a16:creationId xmlns:a16="http://schemas.microsoft.com/office/drawing/2014/main" id="{00000000-0008-0000-0500-000012100000}"/>
            </a:ext>
          </a:extLst>
        </xdr:cNvPr>
        <xdr:cNvSpPr txBox="1">
          <a:spLocks noChangeArrowheads="1"/>
        </xdr:cNvSpPr>
      </xdr:nvSpPr>
      <xdr:spPr bwMode="auto">
        <a:xfrm>
          <a:off x="19050" y="5667375"/>
          <a:ext cx="161925" cy="6858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LÁCTICO</a:t>
          </a:r>
        </a:p>
      </xdr:txBody>
    </xdr:sp>
    <xdr:clientData/>
  </xdr:twoCellAnchor>
  <xdr:twoCellAnchor>
    <xdr:from>
      <xdr:col>0</xdr:col>
      <xdr:colOff>9525</xdr:colOff>
      <xdr:row>40</xdr:row>
      <xdr:rowOff>9525</xdr:rowOff>
    </xdr:from>
    <xdr:to>
      <xdr:col>0</xdr:col>
      <xdr:colOff>205012</xdr:colOff>
      <xdr:row>42</xdr:row>
      <xdr:rowOff>8264</xdr:rowOff>
    </xdr:to>
    <xdr:sp macro="" textlink="">
      <xdr:nvSpPr>
        <xdr:cNvPr id="4115" name="Texto 19">
          <a:extLst>
            <a:ext uri="{FF2B5EF4-FFF2-40B4-BE49-F238E27FC236}">
              <a16:creationId xmlns:a16="http://schemas.microsoft.com/office/drawing/2014/main" id="{00000000-0008-0000-0500-000013100000}"/>
            </a:ext>
          </a:extLst>
        </xdr:cNvPr>
        <xdr:cNvSpPr txBox="1">
          <a:spLocks noChangeArrowheads="1"/>
        </xdr:cNvSpPr>
      </xdr:nvSpPr>
      <xdr:spPr bwMode="auto">
        <a:xfrm>
          <a:off x="19050" y="6362700"/>
          <a:ext cx="161925" cy="32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ALÁCT</a:t>
          </a:r>
        </a:p>
      </xdr:txBody>
    </xdr:sp>
    <xdr:clientData/>
  </xdr:twoCellAnchor>
  <xdr:twoCellAnchor>
    <xdr:from>
      <xdr:col>8</xdr:col>
      <xdr:colOff>50800</xdr:colOff>
      <xdr:row>2</xdr:row>
      <xdr:rowOff>50800</xdr:rowOff>
    </xdr:from>
    <xdr:to>
      <xdr:col>32</xdr:col>
      <xdr:colOff>16933</xdr:colOff>
      <xdr:row>44</xdr:row>
      <xdr:rowOff>0</xdr:rowOff>
    </xdr:to>
    <xdr:graphicFrame macro="">
      <xdr:nvGraphicFramePr>
        <xdr:cNvPr id="15066702" name="Gráfico 36">
          <a:extLst>
            <a:ext uri="{FF2B5EF4-FFF2-40B4-BE49-F238E27FC236}">
              <a16:creationId xmlns:a16="http://schemas.microsoft.com/office/drawing/2014/main" id="{00000000-0008-0000-0500-00004EE6E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177800</xdr:colOff>
          <xdr:row>57</xdr:row>
          <xdr:rowOff>12700</xdr:rowOff>
        </xdr:from>
        <xdr:to>
          <xdr:col>9</xdr:col>
          <xdr:colOff>63500</xdr:colOff>
          <xdr:row>63</xdr:row>
          <xdr:rowOff>63500</xdr:rowOff>
        </xdr:to>
        <xdr:sp macro="" textlink="">
          <xdr:nvSpPr>
            <xdr:cNvPr id="4133" name="Button 37" descr="ESTABLECIMIENTO&#10; DE RITMOS Y COLORES DE ENTRENAMIENTO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5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s-ES_tradnl" sz="1100" b="1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ESTABLECIMIENTO</a:t>
              </a:r>
            </a:p>
            <a:p>
              <a:pPr algn="ctr" rtl="0">
                <a:defRPr sz="1000"/>
              </a:pPr>
              <a:r>
                <a:rPr lang="es-ES_tradnl" sz="1100" b="1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 DE RITMOS</a:t>
              </a:r>
            </a:p>
            <a:p>
              <a:pPr algn="ctr" rtl="0">
                <a:defRPr sz="1000"/>
              </a:pPr>
              <a:r>
                <a:rPr lang="es-ES_tradnl" sz="1100" b="1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Y COLORES DE ENTRENAMIENTO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38100</xdr:colOff>
      <xdr:row>45</xdr:row>
      <xdr:rowOff>38100</xdr:rowOff>
    </xdr:from>
    <xdr:to>
      <xdr:col>6</xdr:col>
      <xdr:colOff>358475</xdr:colOff>
      <xdr:row>48</xdr:row>
      <xdr:rowOff>0</xdr:rowOff>
    </xdr:to>
    <xdr:sp macro="" textlink="">
      <xdr:nvSpPr>
        <xdr:cNvPr id="4136" name="Texto 40">
          <a:extLst>
            <a:ext uri="{FF2B5EF4-FFF2-40B4-BE49-F238E27FC236}">
              <a16:creationId xmlns:a16="http://schemas.microsoft.com/office/drawing/2014/main" id="{00000000-0008-0000-0500-000028100000}"/>
            </a:ext>
          </a:extLst>
        </xdr:cNvPr>
        <xdr:cNvSpPr txBox="1">
          <a:spLocks noChangeArrowheads="1"/>
        </xdr:cNvSpPr>
      </xdr:nvSpPr>
      <xdr:spPr bwMode="auto">
        <a:xfrm>
          <a:off x="600075" y="7143750"/>
          <a:ext cx="1743075" cy="447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lnSpc>
              <a:spcPts val="1000"/>
            </a:lnSpc>
            <a:defRPr sz="1000"/>
          </a:pPr>
          <a:r>
            <a:rPr lang="es-E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Copiar y pegar en áreas de trabajo de mesociclos</a:t>
          </a:r>
        </a:p>
      </xdr:txBody>
    </xdr:sp>
    <xdr:clientData/>
  </xdr:twoCellAnchor>
  <xdr:twoCellAnchor>
    <xdr:from>
      <xdr:col>6</xdr:col>
      <xdr:colOff>355600</xdr:colOff>
      <xdr:row>46</xdr:row>
      <xdr:rowOff>101600</xdr:rowOff>
    </xdr:from>
    <xdr:to>
      <xdr:col>9</xdr:col>
      <xdr:colOff>38100</xdr:colOff>
      <xdr:row>46</xdr:row>
      <xdr:rowOff>101600</xdr:rowOff>
    </xdr:to>
    <xdr:sp macro="" textlink="">
      <xdr:nvSpPr>
        <xdr:cNvPr id="15066704" name="Line 41">
          <a:extLst>
            <a:ext uri="{FF2B5EF4-FFF2-40B4-BE49-F238E27FC236}">
              <a16:creationId xmlns:a16="http://schemas.microsoft.com/office/drawing/2014/main" id="{00000000-0008-0000-0500-000050E6E500}"/>
            </a:ext>
          </a:extLst>
        </xdr:cNvPr>
        <xdr:cNvSpPr>
          <a:spLocks noChangeShapeType="1"/>
        </xdr:cNvSpPr>
      </xdr:nvSpPr>
      <xdr:spPr bwMode="auto">
        <a:xfrm>
          <a:off x="2705100" y="6934200"/>
          <a:ext cx="4191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8</xdr:col>
      <xdr:colOff>88900</xdr:colOff>
      <xdr:row>60</xdr:row>
      <xdr:rowOff>76200</xdr:rowOff>
    </xdr:from>
    <xdr:to>
      <xdr:col>9</xdr:col>
      <xdr:colOff>190500</xdr:colOff>
      <xdr:row>60</xdr:row>
      <xdr:rowOff>76200</xdr:rowOff>
    </xdr:to>
    <xdr:sp macro="[0]!Módulos.RITMOS" textlink="">
      <xdr:nvSpPr>
        <xdr:cNvPr id="15066705" name="Line 71">
          <a:extLst>
            <a:ext uri="{FF2B5EF4-FFF2-40B4-BE49-F238E27FC236}">
              <a16:creationId xmlns:a16="http://schemas.microsoft.com/office/drawing/2014/main" id="{00000000-0008-0000-0500-000051E6E500}"/>
            </a:ext>
          </a:extLst>
        </xdr:cNvPr>
        <xdr:cNvSpPr>
          <a:spLocks noChangeShapeType="1"/>
        </xdr:cNvSpPr>
      </xdr:nvSpPr>
      <xdr:spPr bwMode="auto">
        <a:xfrm flipH="1">
          <a:off x="2959100" y="8724900"/>
          <a:ext cx="3175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9</xdr:col>
      <xdr:colOff>174625</xdr:colOff>
      <xdr:row>59</xdr:row>
      <xdr:rowOff>69850</xdr:rowOff>
    </xdr:from>
    <xdr:to>
      <xdr:col>14</xdr:col>
      <xdr:colOff>60293</xdr:colOff>
      <xdr:row>61</xdr:row>
      <xdr:rowOff>67076</xdr:rowOff>
    </xdr:to>
    <xdr:sp macro="" textlink="">
      <xdr:nvSpPr>
        <xdr:cNvPr id="4166" name="Texto 70">
          <a:extLst>
            <a:ext uri="{FF2B5EF4-FFF2-40B4-BE49-F238E27FC236}">
              <a16:creationId xmlns:a16="http://schemas.microsoft.com/office/drawing/2014/main" id="{00000000-0008-0000-0500-000046100000}"/>
            </a:ext>
          </a:extLst>
        </xdr:cNvPr>
        <xdr:cNvSpPr txBox="1">
          <a:spLocks noChangeArrowheads="1"/>
        </xdr:cNvSpPr>
      </xdr:nvSpPr>
      <xdr:spPr bwMode="auto">
        <a:xfrm>
          <a:off x="2828925" y="9182100"/>
          <a:ext cx="1590675" cy="2952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Presionar el botón para llevar los ritmos preestablecidos a la tabla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520700</xdr:colOff>
      <xdr:row>6</xdr:row>
      <xdr:rowOff>152400</xdr:rowOff>
    </xdr:from>
    <xdr:to>
      <xdr:col>15</xdr:col>
      <xdr:colOff>292100</xdr:colOff>
      <xdr:row>37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9200" y="1143000"/>
          <a:ext cx="6375400" cy="49657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0</xdr:row>
      <xdr:rowOff>127000</xdr:rowOff>
    </xdr:from>
    <xdr:to>
      <xdr:col>7</xdr:col>
      <xdr:colOff>609600</xdr:colOff>
      <xdr:row>36</xdr:row>
      <xdr:rowOff>114300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27000"/>
          <a:ext cx="6057900" cy="5930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101601</xdr:colOff>
      <xdr:row>1</xdr:row>
      <xdr:rowOff>25401</xdr:rowOff>
    </xdr:from>
    <xdr:to>
      <xdr:col>16</xdr:col>
      <xdr:colOff>533400</xdr:colOff>
      <xdr:row>15</xdr:row>
      <xdr:rowOff>114301</xdr:rowOff>
    </xdr:to>
    <xdr:graphicFrame macro="">
      <xdr:nvGraphicFramePr>
        <xdr:cNvPr id="13833438" name="Gráfico 2">
          <a:extLst>
            <a:ext uri="{FF2B5EF4-FFF2-40B4-BE49-F238E27FC236}">
              <a16:creationId xmlns:a16="http://schemas.microsoft.com/office/drawing/2014/main" id="{00000000-0008-0000-1000-0000DE14D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16</xdr:row>
      <xdr:rowOff>59266</xdr:rowOff>
    </xdr:from>
    <xdr:to>
      <xdr:col>14</xdr:col>
      <xdr:colOff>25400</xdr:colOff>
      <xdr:row>39</xdr:row>
      <xdr:rowOff>59265</xdr:rowOff>
    </xdr:to>
    <xdr:graphicFrame macro="">
      <xdr:nvGraphicFramePr>
        <xdr:cNvPr id="4" name="Gráfico 1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42332</xdr:rowOff>
    </xdr:from>
    <xdr:to>
      <xdr:col>14</xdr:col>
      <xdr:colOff>774700</xdr:colOff>
      <xdr:row>38</xdr:row>
      <xdr:rowOff>93131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232831</xdr:colOff>
      <xdr:row>2</xdr:row>
      <xdr:rowOff>353785</xdr:rowOff>
    </xdr:from>
    <xdr:to>
      <xdr:col>11</xdr:col>
      <xdr:colOff>245929</xdr:colOff>
      <xdr:row>2</xdr:row>
      <xdr:rowOff>605353</xdr:rowOff>
    </xdr:to>
    <xdr:sp macro="" textlink="">
      <xdr:nvSpPr>
        <xdr:cNvPr id="2" name="AutoShape 335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>
          <a:spLocks noChangeArrowheads="1"/>
        </xdr:cNvSpPr>
      </xdr:nvSpPr>
      <xdr:spPr bwMode="auto">
        <a:xfrm>
          <a:off x="2882898" y="777118"/>
          <a:ext cx="3154231" cy="251568"/>
        </a:xfrm>
        <a:prstGeom prst="wedgeEllipseCallout">
          <a:avLst>
            <a:gd name="adj1" fmla="val 90774"/>
            <a:gd name="adj2" fmla="val 1380228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imprescindible cumplir los tiempos o menos</a:t>
          </a:r>
        </a:p>
      </xdr:txBody>
    </xdr:sp>
    <xdr:clientData/>
  </xdr:twoCellAnchor>
  <xdr:twoCellAnchor>
    <xdr:from>
      <xdr:col>7</xdr:col>
      <xdr:colOff>533400</xdr:colOff>
      <xdr:row>41</xdr:row>
      <xdr:rowOff>152400</xdr:rowOff>
    </xdr:from>
    <xdr:to>
      <xdr:col>10</xdr:col>
      <xdr:colOff>1984622</xdr:colOff>
      <xdr:row>43</xdr:row>
      <xdr:rowOff>1210</xdr:rowOff>
    </xdr:to>
    <xdr:sp macro="" textlink="">
      <xdr:nvSpPr>
        <xdr:cNvPr id="5" name="AutoShape 335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>
          <a:spLocks noChangeArrowheads="1"/>
        </xdr:cNvSpPr>
      </xdr:nvSpPr>
      <xdr:spPr bwMode="auto">
        <a:xfrm>
          <a:off x="2065867" y="8788400"/>
          <a:ext cx="3127622" cy="195943"/>
        </a:xfrm>
        <a:prstGeom prst="wedgeEllipseCallout">
          <a:avLst>
            <a:gd name="adj1" fmla="val 118714"/>
            <a:gd name="adj2" fmla="val -348400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imprescindible cumplir los tiempos o menos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2</xdr:row>
      <xdr:rowOff>47735</xdr:rowOff>
    </xdr:from>
    <xdr:to>
      <xdr:col>13</xdr:col>
      <xdr:colOff>59664</xdr:colOff>
      <xdr:row>2</xdr:row>
      <xdr:rowOff>299303</xdr:rowOff>
    </xdr:to>
    <xdr:sp macro="" textlink="">
      <xdr:nvSpPr>
        <xdr:cNvPr id="2" name="AutoShape 335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>
          <a:spLocks noChangeArrowheads="1"/>
        </xdr:cNvSpPr>
      </xdr:nvSpPr>
      <xdr:spPr bwMode="auto">
        <a:xfrm>
          <a:off x="4057753" y="427694"/>
          <a:ext cx="2716255" cy="251568"/>
        </a:xfrm>
        <a:prstGeom prst="wedgeEllipseCallout">
          <a:avLst>
            <a:gd name="adj1" fmla="val 73111"/>
            <a:gd name="adj2" fmla="val 470673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imprescindible cumplir los tiempos o menos</a:t>
          </a:r>
        </a:p>
      </xdr:txBody>
    </xdr:sp>
    <xdr:clientData/>
  </xdr:twoCellAnchor>
  <xdr:twoCellAnchor>
    <xdr:from>
      <xdr:col>10</xdr:col>
      <xdr:colOff>188685</xdr:colOff>
      <xdr:row>2</xdr:row>
      <xdr:rowOff>45921</xdr:rowOff>
    </xdr:from>
    <xdr:to>
      <xdr:col>13</xdr:col>
      <xdr:colOff>57850</xdr:colOff>
      <xdr:row>2</xdr:row>
      <xdr:rowOff>297489</xdr:rowOff>
    </xdr:to>
    <xdr:sp macro="" textlink="">
      <xdr:nvSpPr>
        <xdr:cNvPr id="3" name="AutoShape 335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>
          <a:spLocks noChangeArrowheads="1"/>
        </xdr:cNvSpPr>
      </xdr:nvSpPr>
      <xdr:spPr bwMode="auto">
        <a:xfrm>
          <a:off x="4055939" y="425880"/>
          <a:ext cx="2716255" cy="251568"/>
        </a:xfrm>
        <a:prstGeom prst="wedgeEllipseCallout">
          <a:avLst>
            <a:gd name="adj1" fmla="val -111518"/>
            <a:gd name="adj2" fmla="val 481372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imprescindible cumplir los tiempos o menos</a:t>
          </a:r>
        </a:p>
      </xdr:txBody>
    </xdr:sp>
    <xdr:clientData/>
  </xdr:twoCellAnchor>
  <xdr:twoCellAnchor>
    <xdr:from>
      <xdr:col>10</xdr:col>
      <xdr:colOff>209505</xdr:colOff>
      <xdr:row>2</xdr:row>
      <xdr:rowOff>45922</xdr:rowOff>
    </xdr:from>
    <xdr:to>
      <xdr:col>13</xdr:col>
      <xdr:colOff>78670</xdr:colOff>
      <xdr:row>2</xdr:row>
      <xdr:rowOff>297490</xdr:rowOff>
    </xdr:to>
    <xdr:sp macro="" textlink="">
      <xdr:nvSpPr>
        <xdr:cNvPr id="4" name="AutoShape 335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>
          <a:spLocks noChangeArrowheads="1"/>
        </xdr:cNvSpPr>
      </xdr:nvSpPr>
      <xdr:spPr bwMode="auto">
        <a:xfrm>
          <a:off x="4076759" y="425881"/>
          <a:ext cx="2716255" cy="251568"/>
        </a:xfrm>
        <a:prstGeom prst="wedgeEllipseCallout">
          <a:avLst>
            <a:gd name="adj1" fmla="val 74124"/>
            <a:gd name="adj2" fmla="val 3019668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imprescindible cumplir los tiempos o menos</a:t>
          </a:r>
        </a:p>
      </xdr:txBody>
    </xdr:sp>
    <xdr:clientData/>
  </xdr:twoCellAnchor>
  <xdr:twoCellAnchor>
    <xdr:from>
      <xdr:col>8</xdr:col>
      <xdr:colOff>0</xdr:colOff>
      <xdr:row>78</xdr:row>
      <xdr:rowOff>0</xdr:rowOff>
    </xdr:from>
    <xdr:to>
      <xdr:col>10</xdr:col>
      <xdr:colOff>2010022</xdr:colOff>
      <xdr:row>78</xdr:row>
      <xdr:rowOff>208642</xdr:rowOff>
    </xdr:to>
    <xdr:sp macro="" textlink="">
      <xdr:nvSpPr>
        <xdr:cNvPr id="5" name="AutoShape 335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>
          <a:spLocks noChangeArrowheads="1"/>
        </xdr:cNvSpPr>
      </xdr:nvSpPr>
      <xdr:spPr bwMode="auto">
        <a:xfrm>
          <a:off x="2086429" y="13960929"/>
          <a:ext cx="3134879" cy="208642"/>
        </a:xfrm>
        <a:prstGeom prst="wedgeEllipseCallout">
          <a:avLst>
            <a:gd name="adj1" fmla="val 112758"/>
            <a:gd name="adj2" fmla="val -132350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imprescindible cumplir los tiempos o menos</a:t>
          </a:r>
        </a:p>
      </xdr:txBody>
    </xdr:sp>
    <xdr:clientData/>
  </xdr:twoCellAnchor>
  <xdr:twoCellAnchor>
    <xdr:from>
      <xdr:col>7</xdr:col>
      <xdr:colOff>560615</xdr:colOff>
      <xdr:row>77</xdr:row>
      <xdr:rowOff>179614</xdr:rowOff>
    </xdr:from>
    <xdr:to>
      <xdr:col>10</xdr:col>
      <xdr:colOff>2008208</xdr:colOff>
      <xdr:row>78</xdr:row>
      <xdr:rowOff>199571</xdr:rowOff>
    </xdr:to>
    <xdr:sp macro="" textlink="">
      <xdr:nvSpPr>
        <xdr:cNvPr id="6" name="AutoShape 33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>
          <a:spLocks noChangeArrowheads="1"/>
        </xdr:cNvSpPr>
      </xdr:nvSpPr>
      <xdr:spPr bwMode="auto">
        <a:xfrm>
          <a:off x="2084615" y="13959114"/>
          <a:ext cx="3134879" cy="201386"/>
        </a:xfrm>
        <a:prstGeom prst="wedgeEllipseCallout">
          <a:avLst>
            <a:gd name="adj1" fmla="val 112759"/>
            <a:gd name="adj2" fmla="val -287406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imprescindible cumplir los tiempos o menos</a:t>
          </a:r>
        </a:p>
      </xdr:txBody>
    </xdr:sp>
    <xdr:clientData/>
  </xdr:twoCellAnchor>
  <xdr:twoCellAnchor editAs="oneCell">
    <xdr:from>
      <xdr:col>15</xdr:col>
      <xdr:colOff>602000</xdr:colOff>
      <xdr:row>74</xdr:row>
      <xdr:rowOff>2740</xdr:rowOff>
    </xdr:from>
    <xdr:to>
      <xdr:col>16</xdr:col>
      <xdr:colOff>132335</xdr:colOff>
      <xdr:row>76</xdr:row>
      <xdr:rowOff>15779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00000000-0008-0000-1300-000007000000}"/>
                </a:ext>
              </a:extLst>
            </xdr14:cNvPr>
            <xdr14:cNvContentPartPr/>
          </xdr14:nvContentPartPr>
          <xdr14:nvPr macro=""/>
          <xdr14:xfrm>
            <a:off x="7904500" y="11242240"/>
            <a:ext cx="217800" cy="368639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FC06A538-1566-E444-BBE5-449415F2C95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349760" y="14001840"/>
              <a:ext cx="235440" cy="38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643140</xdr:colOff>
      <xdr:row>74</xdr:row>
      <xdr:rowOff>11740</xdr:rowOff>
    </xdr:from>
    <xdr:to>
      <xdr:col>15</xdr:col>
      <xdr:colOff>57944</xdr:colOff>
      <xdr:row>75</xdr:row>
      <xdr:rowOff>140560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00000000-0008-0000-1300-000008000000}"/>
                </a:ext>
              </a:extLst>
            </xdr14:cNvPr>
            <xdr14:cNvContentPartPr/>
          </xdr14:nvContentPartPr>
          <xdr14:nvPr macro=""/>
          <xdr14:xfrm>
            <a:off x="7259840" y="11251240"/>
            <a:ext cx="117260" cy="319319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A38A4BE4-9AAD-E84C-B05A-6EC22A7B289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692424" y="14010840"/>
              <a:ext cx="147551" cy="33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614600</xdr:colOff>
      <xdr:row>70</xdr:row>
      <xdr:rowOff>18940</xdr:rowOff>
    </xdr:from>
    <xdr:to>
      <xdr:col>16</xdr:col>
      <xdr:colOff>104615</xdr:colOff>
      <xdr:row>71</xdr:row>
      <xdr:rowOff>127339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00000000-0008-0000-1300-000009000000}"/>
                </a:ext>
              </a:extLst>
            </xdr14:cNvPr>
            <xdr14:cNvContentPartPr/>
          </xdr14:nvContentPartPr>
          <xdr14:nvPr macro=""/>
          <xdr14:xfrm>
            <a:off x="7917100" y="10801240"/>
            <a:ext cx="177480" cy="286199"/>
          </xdr14:xfrm>
        </xdr:contentPart>
      </mc:Choice>
      <mc:Fallback xmlns="">
        <xdr:pic>
          <xdr:nvPicPr>
            <xdr:cNvPr id="16" name="Entrada de lápiz 15">
              <a:extLst>
                <a:ext uri="{FF2B5EF4-FFF2-40B4-BE49-F238E27FC236}">
                  <a16:creationId xmlns:a16="http://schemas.microsoft.com/office/drawing/2014/main" id="{F06013F7-562D-3A49-9790-25AB1F59E0C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362018" y="13560840"/>
              <a:ext cx="195084" cy="3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619740</xdr:colOff>
      <xdr:row>69</xdr:row>
      <xdr:rowOff>92860</xdr:rowOff>
    </xdr:from>
    <xdr:to>
      <xdr:col>15</xdr:col>
      <xdr:colOff>95224</xdr:colOff>
      <xdr:row>71</xdr:row>
      <xdr:rowOff>89342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00000000-0008-0000-1300-00000A000000}"/>
                </a:ext>
              </a:extLst>
            </xdr14:cNvPr>
            <xdr14:cNvContentPartPr/>
          </xdr14:nvContentPartPr>
          <xdr14:nvPr macro=""/>
          <xdr14:xfrm>
            <a:off x="7236440" y="10722760"/>
            <a:ext cx="152540" cy="352081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9738A29B-C535-E14B-9114-0F2852DC6844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668660" y="13482711"/>
              <a:ext cx="182842" cy="3697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588834</xdr:colOff>
      <xdr:row>72</xdr:row>
      <xdr:rowOff>149965</xdr:rowOff>
    </xdr:from>
    <xdr:to>
      <xdr:col>16</xdr:col>
      <xdr:colOff>57263</xdr:colOff>
      <xdr:row>74</xdr:row>
      <xdr:rowOff>7962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00000000-0008-0000-1300-00000B000000}"/>
                </a:ext>
              </a:extLst>
            </xdr14:cNvPr>
            <xdr14:cNvContentPartPr/>
          </xdr14:nvContentPartPr>
          <xdr14:nvPr macro=""/>
          <xdr14:xfrm>
            <a:off x="7303178" y="11819391"/>
            <a:ext cx="806093" cy="159882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06D7B42C-B2F7-6040-B55C-E46D36298E1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706800" y="13818600"/>
              <a:ext cx="784800" cy="217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195347</xdr:colOff>
      <xdr:row>2</xdr:row>
      <xdr:rowOff>47378</xdr:rowOff>
    </xdr:from>
    <xdr:to>
      <xdr:col>13</xdr:col>
      <xdr:colOff>64512</xdr:colOff>
      <xdr:row>2</xdr:row>
      <xdr:rowOff>298946</xdr:rowOff>
    </xdr:to>
    <xdr:sp macro="" textlink="">
      <xdr:nvSpPr>
        <xdr:cNvPr id="12" name="AutoShape 335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 noChangeArrowheads="1"/>
        </xdr:cNvSpPr>
      </xdr:nvSpPr>
      <xdr:spPr bwMode="auto">
        <a:xfrm>
          <a:off x="4062601" y="427337"/>
          <a:ext cx="2716255" cy="251568"/>
        </a:xfrm>
        <a:prstGeom prst="wedgeEllipseCallout">
          <a:avLst>
            <a:gd name="adj1" fmla="val -109065"/>
            <a:gd name="adj2" fmla="val 2998978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imprescindible cumplir los tiempos o menos</a:t>
          </a:r>
        </a:p>
      </xdr:txBody>
    </xdr:sp>
    <xdr:clientData/>
  </xdr:twoCellAnchor>
  <xdr:twoCellAnchor editAs="oneCell">
    <xdr:from>
      <xdr:col>15</xdr:col>
      <xdr:colOff>0</xdr:colOff>
      <xdr:row>71</xdr:row>
      <xdr:rowOff>150942</xdr:rowOff>
    </xdr:from>
    <xdr:to>
      <xdr:col>16</xdr:col>
      <xdr:colOff>119044</xdr:colOff>
      <xdr:row>73</xdr:row>
      <xdr:rowOff>8939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00000000-0008-0000-1300-00000D000000}"/>
                </a:ext>
              </a:extLst>
            </xdr14:cNvPr>
            <xdr14:cNvContentPartPr/>
          </xdr14:nvContentPartPr>
          <xdr14:nvPr macro=""/>
          <xdr14:xfrm>
            <a:off x="7364959" y="11669426"/>
            <a:ext cx="806093" cy="159882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06D7B42C-B2F7-6040-B55C-E46D36298E1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706800" y="13818600"/>
              <a:ext cx="784800" cy="2170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81</xdr:row>
      <xdr:rowOff>0</xdr:rowOff>
    </xdr:from>
    <xdr:to>
      <xdr:col>1</xdr:col>
      <xdr:colOff>203912</xdr:colOff>
      <xdr:row>81</xdr:row>
      <xdr:rowOff>0</xdr:rowOff>
    </xdr:to>
    <xdr:sp macro="" textlink="">
      <xdr:nvSpPr>
        <xdr:cNvPr id="3" name="Texto 1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>
          <a:spLocks noChangeArrowheads="1"/>
        </xdr:cNvSpPr>
      </xdr:nvSpPr>
      <xdr:spPr bwMode="auto">
        <a:xfrm>
          <a:off x="9525" y="12725400"/>
          <a:ext cx="410287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9525</xdr:colOff>
      <xdr:row>81</xdr:row>
      <xdr:rowOff>0</xdr:rowOff>
    </xdr:from>
    <xdr:to>
      <xdr:col>1</xdr:col>
      <xdr:colOff>203912</xdr:colOff>
      <xdr:row>81</xdr:row>
      <xdr:rowOff>0</xdr:rowOff>
    </xdr:to>
    <xdr:sp macro="" textlink="">
      <xdr:nvSpPr>
        <xdr:cNvPr id="4" name="Texto 7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 txBox="1">
          <a:spLocks noChangeArrowheads="1"/>
        </xdr:cNvSpPr>
      </xdr:nvSpPr>
      <xdr:spPr bwMode="auto">
        <a:xfrm>
          <a:off x="9525" y="12725400"/>
          <a:ext cx="410287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9525</xdr:colOff>
      <xdr:row>81</xdr:row>
      <xdr:rowOff>0</xdr:rowOff>
    </xdr:from>
    <xdr:to>
      <xdr:col>1</xdr:col>
      <xdr:colOff>203912</xdr:colOff>
      <xdr:row>81</xdr:row>
      <xdr:rowOff>0</xdr:rowOff>
    </xdr:to>
    <xdr:sp macro="" textlink="">
      <xdr:nvSpPr>
        <xdr:cNvPr id="5" name="Texto 1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SpPr txBox="1">
          <a:spLocks noChangeArrowheads="1"/>
        </xdr:cNvSpPr>
      </xdr:nvSpPr>
      <xdr:spPr bwMode="auto">
        <a:xfrm>
          <a:off x="9525" y="12725400"/>
          <a:ext cx="410287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9525</xdr:colOff>
      <xdr:row>81</xdr:row>
      <xdr:rowOff>0</xdr:rowOff>
    </xdr:from>
    <xdr:to>
      <xdr:col>1</xdr:col>
      <xdr:colOff>203912</xdr:colOff>
      <xdr:row>81</xdr:row>
      <xdr:rowOff>0</xdr:rowOff>
    </xdr:to>
    <xdr:sp macro="" textlink="">
      <xdr:nvSpPr>
        <xdr:cNvPr id="6" name="Texto 19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 txBox="1">
          <a:spLocks noChangeArrowheads="1"/>
        </xdr:cNvSpPr>
      </xdr:nvSpPr>
      <xdr:spPr bwMode="auto">
        <a:xfrm>
          <a:off x="9525" y="12725400"/>
          <a:ext cx="410287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75</xdr:row>
      <xdr:rowOff>184512</xdr:rowOff>
    </xdr:from>
    <xdr:to>
      <xdr:col>0</xdr:col>
      <xdr:colOff>203874</xdr:colOff>
      <xdr:row>75</xdr:row>
      <xdr:rowOff>184512</xdr:rowOff>
    </xdr:to>
    <xdr:sp macro="" textlink="">
      <xdr:nvSpPr>
        <xdr:cNvPr id="11" name="Texto 1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 txBox="1">
          <a:spLocks noChangeArrowheads="1"/>
        </xdr:cNvSpPr>
      </xdr:nvSpPr>
      <xdr:spPr bwMode="auto">
        <a:xfrm>
          <a:off x="0" y="11893912"/>
          <a:ext cx="203874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75</xdr:row>
      <xdr:rowOff>184512</xdr:rowOff>
    </xdr:from>
    <xdr:to>
      <xdr:col>0</xdr:col>
      <xdr:colOff>203874</xdr:colOff>
      <xdr:row>75</xdr:row>
      <xdr:rowOff>184512</xdr:rowOff>
    </xdr:to>
    <xdr:sp macro="" textlink="">
      <xdr:nvSpPr>
        <xdr:cNvPr id="12" name="Texto 7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 txBox="1">
          <a:spLocks noChangeArrowheads="1"/>
        </xdr:cNvSpPr>
      </xdr:nvSpPr>
      <xdr:spPr bwMode="auto">
        <a:xfrm>
          <a:off x="0" y="11893912"/>
          <a:ext cx="203874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36576" tIns="27432" rIns="36576" bIns="27432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137</xdr:row>
      <xdr:rowOff>3175</xdr:rowOff>
    </xdr:from>
    <xdr:to>
      <xdr:col>0</xdr:col>
      <xdr:colOff>174680</xdr:colOff>
      <xdr:row>140</xdr:row>
      <xdr:rowOff>114490</xdr:rowOff>
    </xdr:to>
    <xdr:sp macro="" textlink="">
      <xdr:nvSpPr>
        <xdr:cNvPr id="13" name="Texto 8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 txBox="1">
          <a:spLocks noChangeArrowheads="1"/>
        </xdr:cNvSpPr>
      </xdr:nvSpPr>
      <xdr:spPr bwMode="auto">
        <a:xfrm>
          <a:off x="0" y="21999575"/>
          <a:ext cx="174680" cy="60661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0</xdr:colOff>
      <xdr:row>73</xdr:row>
      <xdr:rowOff>0</xdr:rowOff>
    </xdr:from>
    <xdr:to>
      <xdr:col>0</xdr:col>
      <xdr:colOff>203874</xdr:colOff>
      <xdr:row>73</xdr:row>
      <xdr:rowOff>0</xdr:rowOff>
    </xdr:to>
    <xdr:sp macro="" textlink="">
      <xdr:nvSpPr>
        <xdr:cNvPr id="14" name="Texto 14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 txBox="1">
          <a:spLocks noChangeArrowheads="1"/>
        </xdr:cNvSpPr>
      </xdr:nvSpPr>
      <xdr:spPr bwMode="auto">
        <a:xfrm>
          <a:off x="0" y="11404600"/>
          <a:ext cx="203874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36576" tIns="27432" rIns="36576" bIns="27432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73</xdr:row>
      <xdr:rowOff>0</xdr:rowOff>
    </xdr:from>
    <xdr:to>
      <xdr:col>0</xdr:col>
      <xdr:colOff>203874</xdr:colOff>
      <xdr:row>73</xdr:row>
      <xdr:rowOff>0</xdr:rowOff>
    </xdr:to>
    <xdr:sp macro="" textlink="">
      <xdr:nvSpPr>
        <xdr:cNvPr id="15" name="Texto 19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SpPr txBox="1">
          <a:spLocks noChangeArrowheads="1"/>
        </xdr:cNvSpPr>
      </xdr:nvSpPr>
      <xdr:spPr bwMode="auto">
        <a:xfrm>
          <a:off x="0" y="11404600"/>
          <a:ext cx="203874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36576" tIns="27432" rIns="36576" bIns="27432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134</xdr:row>
      <xdr:rowOff>38100</xdr:rowOff>
    </xdr:from>
    <xdr:to>
      <xdr:col>0</xdr:col>
      <xdr:colOff>174680</xdr:colOff>
      <xdr:row>137</xdr:row>
      <xdr:rowOff>114405</xdr:rowOff>
    </xdr:to>
    <xdr:sp macro="" textlink="">
      <xdr:nvSpPr>
        <xdr:cNvPr id="16" name="Texto 20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SpPr txBox="1">
          <a:spLocks noChangeArrowheads="1"/>
        </xdr:cNvSpPr>
      </xdr:nvSpPr>
      <xdr:spPr bwMode="auto">
        <a:xfrm>
          <a:off x="0" y="21539200"/>
          <a:ext cx="174680" cy="57160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oneCellAnchor>
    <xdr:from>
      <xdr:col>10</xdr:col>
      <xdr:colOff>550334</xdr:colOff>
      <xdr:row>37</xdr:row>
      <xdr:rowOff>25400</xdr:rowOff>
    </xdr:from>
    <xdr:ext cx="1583266" cy="264431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4199467" y="6265333"/>
          <a:ext cx="1583266" cy="26443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_tradnl" sz="1100"/>
            <a:t>0:40:12 FIN A 10:09:00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602000</xdr:colOff>
      <xdr:row>74</xdr:row>
      <xdr:rowOff>2740</xdr:rowOff>
    </xdr:from>
    <xdr:to>
      <xdr:col>16</xdr:col>
      <xdr:colOff>134000</xdr:colOff>
      <xdr:row>76</xdr:row>
      <xdr:rowOff>41179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00000000-0008-0000-1500-000002000000}"/>
                </a:ext>
              </a:extLst>
            </xdr14:cNvPr>
            <xdr14:cNvContentPartPr/>
          </xdr14:nvContentPartPr>
          <xdr14:nvPr macro=""/>
          <xdr14:xfrm>
            <a:off x="7904500" y="11242240"/>
            <a:ext cx="217800" cy="368639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FC06A538-1566-E444-BBE5-449415F2C95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349760" y="14001840"/>
              <a:ext cx="235440" cy="38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643140</xdr:colOff>
      <xdr:row>74</xdr:row>
      <xdr:rowOff>11740</xdr:rowOff>
    </xdr:from>
    <xdr:to>
      <xdr:col>15</xdr:col>
      <xdr:colOff>61900</xdr:colOff>
      <xdr:row>76</xdr:row>
      <xdr:rowOff>859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00000000-0008-0000-1500-000003000000}"/>
                </a:ext>
              </a:extLst>
            </xdr14:cNvPr>
            <xdr14:cNvContentPartPr/>
          </xdr14:nvContentPartPr>
          <xdr14:nvPr macro=""/>
          <xdr14:xfrm>
            <a:off x="7259840" y="11251240"/>
            <a:ext cx="117260" cy="319319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A38A4BE4-9AAD-E84C-B05A-6EC22A7B289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692424" y="14010840"/>
              <a:ext cx="147551" cy="33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614600</xdr:colOff>
      <xdr:row>71</xdr:row>
      <xdr:rowOff>18940</xdr:rowOff>
    </xdr:from>
    <xdr:to>
      <xdr:col>16</xdr:col>
      <xdr:colOff>106280</xdr:colOff>
      <xdr:row>72</xdr:row>
      <xdr:rowOff>140039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00000000-0008-0000-1500-000004000000}"/>
                </a:ext>
              </a:extLst>
            </xdr14:cNvPr>
            <xdr14:cNvContentPartPr/>
          </xdr14:nvContentPartPr>
          <xdr14:nvPr macro=""/>
          <xdr14:xfrm>
            <a:off x="7917100" y="10801240"/>
            <a:ext cx="177480" cy="286199"/>
          </xdr14:xfrm>
        </xdr:contentPart>
      </mc:Choice>
      <mc:Fallback xmlns="">
        <xdr:pic>
          <xdr:nvPicPr>
            <xdr:cNvPr id="16" name="Entrada de lápiz 15">
              <a:extLst>
                <a:ext uri="{FF2B5EF4-FFF2-40B4-BE49-F238E27FC236}">
                  <a16:creationId xmlns:a16="http://schemas.microsoft.com/office/drawing/2014/main" id="{F06013F7-562D-3A49-9790-25AB1F59E0C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362018" y="13560840"/>
              <a:ext cx="195084" cy="3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619740</xdr:colOff>
      <xdr:row>70</xdr:row>
      <xdr:rowOff>92860</xdr:rowOff>
    </xdr:from>
    <xdr:to>
      <xdr:col>15</xdr:col>
      <xdr:colOff>99180</xdr:colOff>
      <xdr:row>72</xdr:row>
      <xdr:rowOff>114741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00000000-0008-0000-1500-000005000000}"/>
                </a:ext>
              </a:extLst>
            </xdr14:cNvPr>
            <xdr14:cNvContentPartPr/>
          </xdr14:nvContentPartPr>
          <xdr14:nvPr macro=""/>
          <xdr14:xfrm>
            <a:off x="7236440" y="10722760"/>
            <a:ext cx="152540" cy="352081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9738A29B-C535-E14B-9114-0F2852DC6844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668660" y="13482711"/>
              <a:ext cx="182842" cy="3697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657540</xdr:colOff>
      <xdr:row>72</xdr:row>
      <xdr:rowOff>123940</xdr:rowOff>
    </xdr:from>
    <xdr:to>
      <xdr:col>16</xdr:col>
      <xdr:colOff>65800</xdr:colOff>
      <xdr:row>74</xdr:row>
      <xdr:rowOff>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00000000-0008-0000-1500-000006000000}"/>
                </a:ext>
              </a:extLst>
            </xdr14:cNvPr>
            <xdr14:cNvContentPartPr/>
          </xdr14:nvContentPartPr>
          <xdr14:nvPr macro=""/>
          <xdr14:xfrm>
            <a:off x="7274240" y="11058640"/>
            <a:ext cx="754460" cy="199440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06D7B42C-B2F7-6040-B55C-E46D36298E1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706800" y="13818600"/>
              <a:ext cx="784800" cy="2170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76200</xdr:colOff>
      <xdr:row>0</xdr:row>
      <xdr:rowOff>165100</xdr:rowOff>
    </xdr:from>
    <xdr:to>
      <xdr:col>26</xdr:col>
      <xdr:colOff>279399</xdr:colOff>
      <xdr:row>45</xdr:row>
      <xdr:rowOff>50800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9900" y="165100"/>
          <a:ext cx="8458200" cy="7632700"/>
        </a:xfrm>
        <a:prstGeom prst="rect">
          <a:avLst/>
        </a:prstGeom>
      </xdr:spPr>
    </xdr:pic>
    <xdr:clientData/>
  </xdr:twoCellAnchor>
  <xdr:twoCellAnchor>
    <xdr:from>
      <xdr:col>15</xdr:col>
      <xdr:colOff>364067</xdr:colOff>
      <xdr:row>24</xdr:row>
      <xdr:rowOff>139700</xdr:rowOff>
    </xdr:from>
    <xdr:to>
      <xdr:col>16</xdr:col>
      <xdr:colOff>250275</xdr:colOff>
      <xdr:row>27</xdr:row>
      <xdr:rowOff>90932</xdr:rowOff>
    </xdr:to>
    <xdr:sp macro="" textlink="">
      <xdr:nvSpPr>
        <xdr:cNvPr id="3" name="Flecha derecha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 bwMode="auto">
        <a:xfrm>
          <a:off x="7569200" y="4364567"/>
          <a:ext cx="715942" cy="484632"/>
        </a:xfrm>
        <a:prstGeom prst="rightArrow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7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s-ES_tradnl" sz="1100"/>
        </a:p>
      </xdr:txBody>
    </xdr:sp>
    <xdr:clientData/>
  </xdr:twoCellAnchor>
  <xdr:twoCellAnchor>
    <xdr:from>
      <xdr:col>22</xdr:col>
      <xdr:colOff>555506</xdr:colOff>
      <xdr:row>26</xdr:row>
      <xdr:rowOff>149578</xdr:rowOff>
    </xdr:from>
    <xdr:to>
      <xdr:col>23</xdr:col>
      <xdr:colOff>436973</xdr:colOff>
      <xdr:row>29</xdr:row>
      <xdr:rowOff>102221</xdr:rowOff>
    </xdr:to>
    <xdr:sp macro="" textlink="">
      <xdr:nvSpPr>
        <xdr:cNvPr id="4" name="Flecha derecha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 bwMode="auto">
        <a:xfrm flipH="1">
          <a:off x="13502450" y="4676893"/>
          <a:ext cx="704616" cy="481809"/>
        </a:xfrm>
        <a:prstGeom prst="rightArrow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7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s-ES_tradnl" sz="1100"/>
        </a:p>
      </xdr:txBody>
    </xdr:sp>
    <xdr:clientData/>
  </xdr:twoCellAnchor>
  <xdr:twoCellAnchor>
    <xdr:from>
      <xdr:col>18</xdr:col>
      <xdr:colOff>296334</xdr:colOff>
      <xdr:row>21</xdr:row>
      <xdr:rowOff>88900</xdr:rowOff>
    </xdr:from>
    <xdr:to>
      <xdr:col>19</xdr:col>
      <xdr:colOff>157142</xdr:colOff>
      <xdr:row>24</xdr:row>
      <xdr:rowOff>40132</xdr:rowOff>
    </xdr:to>
    <xdr:sp macro="" textlink="">
      <xdr:nvSpPr>
        <xdr:cNvPr id="5" name="Flecha derecha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 bwMode="auto">
        <a:xfrm>
          <a:off x="9990667" y="3780367"/>
          <a:ext cx="690542" cy="484632"/>
        </a:xfrm>
        <a:prstGeom prst="rightArrow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7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s-ES_tradnl" sz="1100"/>
        </a:p>
      </xdr:txBody>
    </xdr:sp>
    <xdr:clientData/>
  </xdr:twoCellAnchor>
  <xdr:twoCellAnchor>
    <xdr:from>
      <xdr:col>25</xdr:col>
      <xdr:colOff>22107</xdr:colOff>
      <xdr:row>24</xdr:row>
      <xdr:rowOff>140641</xdr:rowOff>
    </xdr:from>
    <xdr:to>
      <xdr:col>25</xdr:col>
      <xdr:colOff>733307</xdr:colOff>
      <xdr:row>27</xdr:row>
      <xdr:rowOff>91873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 bwMode="auto">
        <a:xfrm flipH="1">
          <a:off x="15438496" y="4315178"/>
          <a:ext cx="711200" cy="480399"/>
        </a:xfrm>
        <a:prstGeom prst="rightArrow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7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s-ES_tradnl" sz="1100"/>
        </a:p>
      </xdr:txBody>
    </xdr:sp>
    <xdr:clientData/>
  </xdr:twoCellAnchor>
  <xdr:twoCellAnchor>
    <xdr:from>
      <xdr:col>15</xdr:col>
      <xdr:colOff>317500</xdr:colOff>
      <xdr:row>38</xdr:row>
      <xdr:rowOff>82315</xdr:rowOff>
    </xdr:from>
    <xdr:to>
      <xdr:col>16</xdr:col>
      <xdr:colOff>210293</xdr:colOff>
      <xdr:row>41</xdr:row>
      <xdr:rowOff>60829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SpPr/>
      </xdr:nvSpPr>
      <xdr:spPr bwMode="auto">
        <a:xfrm>
          <a:off x="7502407" y="6632222"/>
          <a:ext cx="715942" cy="472403"/>
        </a:xfrm>
        <a:prstGeom prst="rightArrow">
          <a:avLst/>
        </a:prstGeom>
        <a:solidFill>
          <a:srgbClr val="FF0000">
            <a:alpha val="17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s-ES_tradnl" sz="1100"/>
        </a:p>
      </xdr:txBody>
    </xdr:sp>
    <xdr:clientData/>
  </xdr:twoCellAnchor>
  <xdr:twoCellAnchor>
    <xdr:from>
      <xdr:col>21</xdr:col>
      <xdr:colOff>282222</xdr:colOff>
      <xdr:row>38</xdr:row>
      <xdr:rowOff>58796</xdr:rowOff>
    </xdr:from>
    <xdr:to>
      <xdr:col>22</xdr:col>
      <xdr:colOff>175016</xdr:colOff>
      <xdr:row>41</xdr:row>
      <xdr:rowOff>37310</xdr:rowOff>
    </xdr:to>
    <xdr:sp macro="" textlink="">
      <xdr:nvSpPr>
        <xdr:cNvPr id="9" name="Flecha derecha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 bwMode="auto">
        <a:xfrm rot="19864631">
          <a:off x="12406018" y="6608703"/>
          <a:ext cx="715942" cy="472403"/>
        </a:xfrm>
        <a:prstGeom prst="rightArrow">
          <a:avLst/>
        </a:prstGeom>
        <a:solidFill>
          <a:srgbClr val="FF0000">
            <a:alpha val="17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s-ES_tradnl" sz="1100"/>
        </a:p>
      </xdr:txBody>
    </xdr:sp>
    <xdr:clientData/>
  </xdr:twoCellAnchor>
  <xdr:twoCellAnchor>
    <xdr:from>
      <xdr:col>18</xdr:col>
      <xdr:colOff>290219</xdr:colOff>
      <xdr:row>23</xdr:row>
      <xdr:rowOff>95957</xdr:rowOff>
    </xdr:from>
    <xdr:to>
      <xdr:col>19</xdr:col>
      <xdr:colOff>176428</xdr:colOff>
      <xdr:row>26</xdr:row>
      <xdr:rowOff>47189</xdr:rowOff>
    </xdr:to>
    <xdr:sp macro="" textlink="">
      <xdr:nvSpPr>
        <xdr:cNvPr id="10" name="Flecha derecha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 bwMode="auto">
        <a:xfrm>
          <a:off x="9803460" y="4094105"/>
          <a:ext cx="709357" cy="480399"/>
        </a:xfrm>
        <a:prstGeom prst="rightArrow">
          <a:avLst/>
        </a:prstGeom>
        <a:solidFill>
          <a:srgbClr val="00FF00">
            <a:alpha val="17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s-ES_tradnl" sz="1100"/>
        </a:p>
      </xdr:txBody>
    </xdr:sp>
    <xdr:clientData/>
  </xdr:twoCellAnchor>
  <xdr:twoCellAnchor>
    <xdr:from>
      <xdr:col>18</xdr:col>
      <xdr:colOff>795396</xdr:colOff>
      <xdr:row>38</xdr:row>
      <xdr:rowOff>48449</xdr:rowOff>
    </xdr:from>
    <xdr:to>
      <xdr:col>19</xdr:col>
      <xdr:colOff>681605</xdr:colOff>
      <xdr:row>41</xdr:row>
      <xdr:rowOff>34959</xdr:rowOff>
    </xdr:to>
    <xdr:sp macro="" textlink="">
      <xdr:nvSpPr>
        <xdr:cNvPr id="13" name="Flecha derecha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 bwMode="auto">
        <a:xfrm rot="19488925">
          <a:off x="10449748" y="6598356"/>
          <a:ext cx="709357" cy="480399"/>
        </a:xfrm>
        <a:prstGeom prst="rightArrow">
          <a:avLst/>
        </a:prstGeom>
        <a:solidFill>
          <a:srgbClr val="00FF00">
            <a:alpha val="17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s-ES_tradnl" sz="1100"/>
        </a:p>
      </xdr:txBody>
    </xdr:sp>
    <xdr:clientData/>
  </xdr:twoCellAnchor>
  <xdr:twoCellAnchor>
    <xdr:from>
      <xdr:col>25</xdr:col>
      <xdr:colOff>576203</xdr:colOff>
      <xdr:row>38</xdr:row>
      <xdr:rowOff>152870</xdr:rowOff>
    </xdr:from>
    <xdr:to>
      <xdr:col>26</xdr:col>
      <xdr:colOff>462412</xdr:colOff>
      <xdr:row>41</xdr:row>
      <xdr:rowOff>139380</xdr:rowOff>
    </xdr:to>
    <xdr:sp macro="" textlink="">
      <xdr:nvSpPr>
        <xdr:cNvPr id="14" name="Flecha derecha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SpPr/>
      </xdr:nvSpPr>
      <xdr:spPr bwMode="auto">
        <a:xfrm rot="11092086">
          <a:off x="15992592" y="6702777"/>
          <a:ext cx="709357" cy="480399"/>
        </a:xfrm>
        <a:prstGeom prst="rightArrow">
          <a:avLst/>
        </a:prstGeom>
        <a:solidFill>
          <a:srgbClr val="00FF00">
            <a:alpha val="17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s-ES_tradnl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15</xdr:row>
      <xdr:rowOff>25400</xdr:rowOff>
    </xdr:from>
    <xdr:to>
      <xdr:col>14</xdr:col>
      <xdr:colOff>0</xdr:colOff>
      <xdr:row>38</xdr:row>
      <xdr:rowOff>76200</xdr:rowOff>
    </xdr:to>
    <xdr:graphicFrame macro="">
      <xdr:nvGraphicFramePr>
        <xdr:cNvPr id="13836510" name="Gráfico 1">
          <a:extLst>
            <a:ext uri="{FF2B5EF4-FFF2-40B4-BE49-F238E27FC236}">
              <a16:creationId xmlns:a16="http://schemas.microsoft.com/office/drawing/2014/main" id="{00000000-0008-0000-1B00-0000DE20D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11</xdr:col>
      <xdr:colOff>127000</xdr:colOff>
      <xdr:row>0</xdr:row>
      <xdr:rowOff>25400</xdr:rowOff>
    </xdr:from>
    <xdr:to>
      <xdr:col>14</xdr:col>
      <xdr:colOff>139700</xdr:colOff>
      <xdr:row>14</xdr:row>
      <xdr:rowOff>127000</xdr:rowOff>
    </xdr:to>
    <xdr:graphicFrame macro="">
      <xdr:nvGraphicFramePr>
        <xdr:cNvPr id="13836511" name="Gráfico 5">
          <a:extLst>
            <a:ext uri="{FF2B5EF4-FFF2-40B4-BE49-F238E27FC236}">
              <a16:creationId xmlns:a16="http://schemas.microsoft.com/office/drawing/2014/main" id="{00000000-0008-0000-1B00-0000DF20D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8</xdr:row>
      <xdr:rowOff>8467</xdr:rowOff>
    </xdr:from>
    <xdr:to>
      <xdr:col>21</xdr:col>
      <xdr:colOff>245534</xdr:colOff>
      <xdr:row>48</xdr:row>
      <xdr:rowOff>67734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34" y="1430867"/>
          <a:ext cx="8991600" cy="6832600"/>
        </a:xfrm>
        <a:prstGeom prst="rect">
          <a:avLst/>
        </a:prstGeom>
      </xdr:spPr>
    </xdr:pic>
    <xdr:clientData/>
  </xdr:twoCellAnchor>
  <xdr:twoCellAnchor editAs="oneCell">
    <xdr:from>
      <xdr:col>6</xdr:col>
      <xdr:colOff>482596</xdr:colOff>
      <xdr:row>49</xdr:row>
      <xdr:rowOff>38819</xdr:rowOff>
    </xdr:from>
    <xdr:to>
      <xdr:col>21</xdr:col>
      <xdr:colOff>347132</xdr:colOff>
      <xdr:row>78</xdr:row>
      <xdr:rowOff>105833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1863" y="8403886"/>
          <a:ext cx="8974669" cy="5392547"/>
        </a:xfrm>
        <a:prstGeom prst="rect">
          <a:avLst/>
        </a:prstGeom>
      </xdr:spPr>
    </xdr:pic>
    <xdr:clientData/>
  </xdr:twoCellAnchor>
  <xdr:twoCellAnchor editAs="oneCell">
    <xdr:from>
      <xdr:col>6</xdr:col>
      <xdr:colOff>482600</xdr:colOff>
      <xdr:row>81</xdr:row>
      <xdr:rowOff>76200</xdr:rowOff>
    </xdr:from>
    <xdr:to>
      <xdr:col>21</xdr:col>
      <xdr:colOff>397932</xdr:colOff>
      <xdr:row>99</xdr:row>
      <xdr:rowOff>139700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1867" y="13859933"/>
          <a:ext cx="9025465" cy="3111500"/>
        </a:xfrm>
        <a:prstGeom prst="rect">
          <a:avLst/>
        </a:prstGeom>
      </xdr:spPr>
    </xdr:pic>
    <xdr:clientData/>
  </xdr:twoCellAnchor>
  <xdr:twoCellAnchor editAs="oneCell">
    <xdr:from>
      <xdr:col>6</xdr:col>
      <xdr:colOff>482600</xdr:colOff>
      <xdr:row>99</xdr:row>
      <xdr:rowOff>110066</xdr:rowOff>
    </xdr:from>
    <xdr:to>
      <xdr:col>21</xdr:col>
      <xdr:colOff>386770</xdr:colOff>
      <xdr:row>142</xdr:row>
      <xdr:rowOff>29633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11867" y="16941799"/>
          <a:ext cx="9014303" cy="72009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131</xdr:row>
      <xdr:rowOff>3175</xdr:rowOff>
    </xdr:from>
    <xdr:to>
      <xdr:col>0</xdr:col>
      <xdr:colOff>174680</xdr:colOff>
      <xdr:row>134</xdr:row>
      <xdr:rowOff>114490</xdr:rowOff>
    </xdr:to>
    <xdr:sp macro="" textlink="">
      <xdr:nvSpPr>
        <xdr:cNvPr id="12" name="Texto 8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 txBox="1">
          <a:spLocks noChangeArrowheads="1"/>
        </xdr:cNvSpPr>
      </xdr:nvSpPr>
      <xdr:spPr bwMode="auto">
        <a:xfrm>
          <a:off x="0" y="21999575"/>
          <a:ext cx="174680" cy="60661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0</xdr:colOff>
      <xdr:row>128</xdr:row>
      <xdr:rowOff>38100</xdr:rowOff>
    </xdr:from>
    <xdr:to>
      <xdr:col>0</xdr:col>
      <xdr:colOff>174680</xdr:colOff>
      <xdr:row>131</xdr:row>
      <xdr:rowOff>114405</xdr:rowOff>
    </xdr:to>
    <xdr:sp macro="" textlink="">
      <xdr:nvSpPr>
        <xdr:cNvPr id="15" name="Texto 20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 txBox="1">
          <a:spLocks noChangeArrowheads="1"/>
        </xdr:cNvSpPr>
      </xdr:nvSpPr>
      <xdr:spPr bwMode="auto">
        <a:xfrm>
          <a:off x="0" y="21539200"/>
          <a:ext cx="174680" cy="57160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50800</xdr:rowOff>
    </xdr:from>
    <xdr:to>
      <xdr:col>9</xdr:col>
      <xdr:colOff>711200</xdr:colOff>
      <xdr:row>35</xdr:row>
      <xdr:rowOff>88900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" y="215900"/>
          <a:ext cx="7239000" cy="565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2</xdr:row>
      <xdr:rowOff>25400</xdr:rowOff>
    </xdr:from>
    <xdr:to>
      <xdr:col>19</xdr:col>
      <xdr:colOff>215900</xdr:colOff>
      <xdr:row>35</xdr:row>
      <xdr:rowOff>101600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7500" y="355600"/>
          <a:ext cx="6692900" cy="552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104599</xdr:rowOff>
    </xdr:from>
    <xdr:to>
      <xdr:col>9</xdr:col>
      <xdr:colOff>723900</xdr:colOff>
      <xdr:row>66</xdr:row>
      <xdr:rowOff>127000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6048199"/>
          <a:ext cx="7327900" cy="4975401"/>
        </a:xfrm>
        <a:prstGeom prst="rect">
          <a:avLst/>
        </a:prstGeom>
      </xdr:spPr>
    </xdr:pic>
    <xdr:clientData/>
  </xdr:twoCellAnchor>
  <xdr:twoCellAnchor editAs="oneCell">
    <xdr:from>
      <xdr:col>11</xdr:col>
      <xdr:colOff>46334</xdr:colOff>
      <xdr:row>36</xdr:row>
      <xdr:rowOff>114300</xdr:rowOff>
    </xdr:from>
    <xdr:to>
      <xdr:col>19</xdr:col>
      <xdr:colOff>162026</xdr:colOff>
      <xdr:row>65</xdr:row>
      <xdr:rowOff>88900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26834" y="6057900"/>
          <a:ext cx="6719692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787400</xdr:colOff>
      <xdr:row>67</xdr:row>
      <xdr:rowOff>127000</xdr:rowOff>
    </xdr:from>
    <xdr:to>
      <xdr:col>9</xdr:col>
      <xdr:colOff>711200</xdr:colOff>
      <xdr:row>96</xdr:row>
      <xdr:rowOff>115372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400" y="11188700"/>
          <a:ext cx="7353300" cy="4776272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67</xdr:row>
      <xdr:rowOff>48652</xdr:rowOff>
    </xdr:from>
    <xdr:to>
      <xdr:col>19</xdr:col>
      <xdr:colOff>584200</xdr:colOff>
      <xdr:row>96</xdr:row>
      <xdr:rowOff>50800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69400" y="11110352"/>
          <a:ext cx="7099300" cy="4790048"/>
        </a:xfrm>
        <a:prstGeom prst="rect">
          <a:avLst/>
        </a:prstGeom>
      </xdr:spPr>
    </xdr:pic>
    <xdr:clientData/>
  </xdr:twoCellAnchor>
  <xdr:twoCellAnchor editAs="oneCell">
    <xdr:from>
      <xdr:col>19</xdr:col>
      <xdr:colOff>368301</xdr:colOff>
      <xdr:row>13</xdr:row>
      <xdr:rowOff>152242</xdr:rowOff>
    </xdr:from>
    <xdr:to>
      <xdr:col>23</xdr:col>
      <xdr:colOff>139701</xdr:colOff>
      <xdr:row>22</xdr:row>
      <xdr:rowOff>165099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52801" y="2298542"/>
          <a:ext cx="3073400" cy="1498757"/>
        </a:xfrm>
        <a:prstGeom prst="rect">
          <a:avLst/>
        </a:prstGeom>
      </xdr:spPr>
    </xdr:pic>
    <xdr:clientData/>
  </xdr:twoCellAnchor>
  <xdr:twoCellAnchor editAs="oneCell">
    <xdr:from>
      <xdr:col>19</xdr:col>
      <xdr:colOff>317500</xdr:colOff>
      <xdr:row>45</xdr:row>
      <xdr:rowOff>72224</xdr:rowOff>
    </xdr:from>
    <xdr:to>
      <xdr:col>23</xdr:col>
      <xdr:colOff>63500</xdr:colOff>
      <xdr:row>55</xdr:row>
      <xdr:rowOff>50799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02000" y="7501724"/>
          <a:ext cx="3048000" cy="1629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0</xdr:row>
      <xdr:rowOff>0</xdr:rowOff>
    </xdr:from>
    <xdr:to>
      <xdr:col>8</xdr:col>
      <xdr:colOff>647700</xdr:colOff>
      <xdr:row>0</xdr:row>
      <xdr:rowOff>215900</xdr:rowOff>
    </xdr:to>
    <xdr:sp macro="[0]!MESOCICLO10" textlink="">
      <xdr:nvSpPr>
        <xdr:cNvPr id="81509" name="Texto 20">
          <a:extLst>
            <a:ext uri="{FF2B5EF4-FFF2-40B4-BE49-F238E27FC236}">
              <a16:creationId xmlns:a16="http://schemas.microsoft.com/office/drawing/2014/main" id="{00000000-0008-0000-2300-0000653E0100}"/>
            </a:ext>
          </a:extLst>
        </xdr:cNvPr>
        <xdr:cNvSpPr txBox="1">
          <a:spLocks noChangeArrowheads="1"/>
        </xdr:cNvSpPr>
      </xdr:nvSpPr>
      <xdr:spPr bwMode="auto">
        <a:xfrm>
          <a:off x="3073400" y="0"/>
          <a:ext cx="0" cy="2159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800"/>
            </a:lnSpc>
            <a:defRPr sz="1000"/>
          </a:pPr>
          <a:r>
            <a:rPr lang="es-ES_tradnl"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M10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599980</xdr:colOff>
      <xdr:row>59</xdr:row>
      <xdr:rowOff>31941</xdr:rowOff>
    </xdr:from>
    <xdr:to>
      <xdr:col>14</xdr:col>
      <xdr:colOff>244380</xdr:colOff>
      <xdr:row>66</xdr:row>
      <xdr:rowOff>44641</xdr:rowOff>
    </xdr:to>
    <xdr:sp macro="" textlink="">
      <xdr:nvSpPr>
        <xdr:cNvPr id="13831832" name="Freeform 2">
          <a:extLst>
            <a:ext uri="{FF2B5EF4-FFF2-40B4-BE49-F238E27FC236}">
              <a16:creationId xmlns:a16="http://schemas.microsoft.com/office/drawing/2014/main" id="{00000000-0008-0000-2400-0000980ED300}"/>
            </a:ext>
          </a:extLst>
        </xdr:cNvPr>
        <xdr:cNvSpPr>
          <a:spLocks/>
        </xdr:cNvSpPr>
      </xdr:nvSpPr>
      <xdr:spPr bwMode="auto">
        <a:xfrm>
          <a:off x="8701041" y="10201562"/>
          <a:ext cx="4118263" cy="1215352"/>
        </a:xfrm>
        <a:custGeom>
          <a:avLst/>
          <a:gdLst>
            <a:gd name="T0" fmla="*/ 2147483647 w 272"/>
            <a:gd name="T1" fmla="*/ 2147483647 h 126"/>
            <a:gd name="T2" fmla="*/ 2147483647 w 272"/>
            <a:gd name="T3" fmla="*/ 2147483647 h 126"/>
            <a:gd name="T4" fmla="*/ 2147483647 w 272"/>
            <a:gd name="T5" fmla="*/ 2147483647 h 126"/>
            <a:gd name="T6" fmla="*/ 2147483647 w 272"/>
            <a:gd name="T7" fmla="*/ 2147483647 h 126"/>
            <a:gd name="T8" fmla="*/ 2147483647 w 272"/>
            <a:gd name="T9" fmla="*/ 2147483647 h 126"/>
            <a:gd name="T10" fmla="*/ 2147483647 w 272"/>
            <a:gd name="T11" fmla="*/ 2147483647 h 126"/>
            <a:gd name="T12" fmla="*/ 2147483647 w 272"/>
            <a:gd name="T13" fmla="*/ 2147483647 h 126"/>
            <a:gd name="T14" fmla="*/ 2147483647 w 272"/>
            <a:gd name="T15" fmla="*/ 2147483647 h 126"/>
            <a:gd name="T16" fmla="*/ 2147483647 w 272"/>
            <a:gd name="T17" fmla="*/ 2147483647 h 126"/>
            <a:gd name="T18" fmla="*/ 2147483647 w 272"/>
            <a:gd name="T19" fmla="*/ 2147483647 h 126"/>
            <a:gd name="T20" fmla="*/ 2147483647 w 272"/>
            <a:gd name="T21" fmla="*/ 2147483647 h 126"/>
            <a:gd name="T22" fmla="*/ 2147483647 w 272"/>
            <a:gd name="T23" fmla="*/ 2147483647 h 126"/>
            <a:gd name="T24" fmla="*/ 2147483647 w 272"/>
            <a:gd name="T25" fmla="*/ 2147483647 h 126"/>
            <a:gd name="T26" fmla="*/ 2147483647 w 272"/>
            <a:gd name="T27" fmla="*/ 2147483647 h 126"/>
            <a:gd name="T28" fmla="*/ 2147483647 w 272"/>
            <a:gd name="T29" fmla="*/ 2147483647 h 126"/>
            <a:gd name="T30" fmla="*/ 2147483647 w 272"/>
            <a:gd name="T31" fmla="*/ 2147483647 h 126"/>
            <a:gd name="T32" fmla="*/ 2147483647 w 272"/>
            <a:gd name="T33" fmla="*/ 2147483647 h 126"/>
            <a:gd name="T34" fmla="*/ 2147483647 w 272"/>
            <a:gd name="T35" fmla="*/ 0 h 126"/>
            <a:gd name="T36" fmla="*/ 2147483647 w 272"/>
            <a:gd name="T37" fmla="*/ 2147483647 h 126"/>
            <a:gd name="T38" fmla="*/ 2147483647 w 272"/>
            <a:gd name="T39" fmla="*/ 2147483647 h 126"/>
            <a:gd name="T40" fmla="*/ 2147483647 w 272"/>
            <a:gd name="T41" fmla="*/ 2147483647 h 126"/>
            <a:gd name="T42" fmla="*/ 2147483647 w 272"/>
            <a:gd name="T43" fmla="*/ 2147483647 h 126"/>
            <a:gd name="T44" fmla="*/ 2147483647 w 272"/>
            <a:gd name="T45" fmla="*/ 2147483647 h 126"/>
            <a:gd name="T46" fmla="*/ 2147483647 w 272"/>
            <a:gd name="T47" fmla="*/ 2147483647 h 12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</a:gdLst>
          <a:ahLst/>
          <a:cxnLst>
            <a:cxn ang="T48">
              <a:pos x="T0" y="T1"/>
            </a:cxn>
            <a:cxn ang="T49">
              <a:pos x="T2" y="T3"/>
            </a:cxn>
            <a:cxn ang="T50">
              <a:pos x="T4" y="T5"/>
            </a:cxn>
            <a:cxn ang="T51">
              <a:pos x="T6" y="T7"/>
            </a:cxn>
            <a:cxn ang="T52">
              <a:pos x="T8" y="T9"/>
            </a:cxn>
            <a:cxn ang="T53">
              <a:pos x="T10" y="T11"/>
            </a:cxn>
            <a:cxn ang="T54">
              <a:pos x="T12" y="T13"/>
            </a:cxn>
            <a:cxn ang="T55">
              <a:pos x="T14" y="T15"/>
            </a:cxn>
            <a:cxn ang="T56">
              <a:pos x="T16" y="T17"/>
            </a:cxn>
            <a:cxn ang="T57">
              <a:pos x="T18" y="T19"/>
            </a:cxn>
            <a:cxn ang="T58">
              <a:pos x="T20" y="T21"/>
            </a:cxn>
            <a:cxn ang="T59">
              <a:pos x="T22" y="T23"/>
            </a:cxn>
            <a:cxn ang="T60">
              <a:pos x="T24" y="T25"/>
            </a:cxn>
            <a:cxn ang="T61">
              <a:pos x="T26" y="T27"/>
            </a:cxn>
            <a:cxn ang="T62">
              <a:pos x="T28" y="T29"/>
            </a:cxn>
            <a:cxn ang="T63">
              <a:pos x="T30" y="T31"/>
            </a:cxn>
            <a:cxn ang="T64">
              <a:pos x="T32" y="T33"/>
            </a:cxn>
            <a:cxn ang="T65">
              <a:pos x="T34" y="T35"/>
            </a:cxn>
            <a:cxn ang="T66">
              <a:pos x="T36" y="T37"/>
            </a:cxn>
            <a:cxn ang="T67">
              <a:pos x="T38" y="T39"/>
            </a:cxn>
            <a:cxn ang="T68">
              <a:pos x="T40" y="T41"/>
            </a:cxn>
            <a:cxn ang="T69">
              <a:pos x="T42" y="T43"/>
            </a:cxn>
            <a:cxn ang="T70">
              <a:pos x="T44" y="T45"/>
            </a:cxn>
            <a:cxn ang="T71">
              <a:pos x="T46" y="T47"/>
            </a:cxn>
          </a:cxnLst>
          <a:rect l="0" t="0" r="r" b="b"/>
          <a:pathLst>
            <a:path w="272" h="126">
              <a:moveTo>
                <a:pt x="54" y="4"/>
              </a:moveTo>
              <a:cubicBezTo>
                <a:pt x="39" y="5"/>
                <a:pt x="23" y="4"/>
                <a:pt x="8" y="6"/>
              </a:cubicBezTo>
              <a:cubicBezTo>
                <a:pt x="6" y="6"/>
                <a:pt x="4" y="12"/>
                <a:pt x="4" y="12"/>
              </a:cubicBezTo>
              <a:cubicBezTo>
                <a:pt x="0" y="28"/>
                <a:pt x="2" y="17"/>
                <a:pt x="4" y="53"/>
              </a:cubicBezTo>
              <a:cubicBezTo>
                <a:pt x="4" y="61"/>
                <a:pt x="6" y="78"/>
                <a:pt x="6" y="78"/>
              </a:cubicBezTo>
              <a:cubicBezTo>
                <a:pt x="6" y="91"/>
                <a:pt x="1" y="108"/>
                <a:pt x="10" y="117"/>
              </a:cubicBezTo>
              <a:cubicBezTo>
                <a:pt x="16" y="123"/>
                <a:pt x="34" y="126"/>
                <a:pt x="34" y="126"/>
              </a:cubicBezTo>
              <a:cubicBezTo>
                <a:pt x="35" y="126"/>
                <a:pt x="43" y="125"/>
                <a:pt x="45" y="124"/>
              </a:cubicBezTo>
              <a:cubicBezTo>
                <a:pt x="48" y="122"/>
                <a:pt x="54" y="118"/>
                <a:pt x="54" y="118"/>
              </a:cubicBezTo>
              <a:cubicBezTo>
                <a:pt x="56" y="113"/>
                <a:pt x="59" y="110"/>
                <a:pt x="61" y="106"/>
              </a:cubicBezTo>
              <a:cubicBezTo>
                <a:pt x="62" y="104"/>
                <a:pt x="63" y="100"/>
                <a:pt x="63" y="100"/>
              </a:cubicBezTo>
              <a:cubicBezTo>
                <a:pt x="64" y="68"/>
                <a:pt x="73" y="40"/>
                <a:pt x="108" y="34"/>
              </a:cubicBezTo>
              <a:cubicBezTo>
                <a:pt x="129" y="26"/>
                <a:pt x="152" y="23"/>
                <a:pt x="174" y="19"/>
              </a:cubicBezTo>
              <a:cubicBezTo>
                <a:pt x="182" y="16"/>
                <a:pt x="189" y="15"/>
                <a:pt x="197" y="14"/>
              </a:cubicBezTo>
              <a:cubicBezTo>
                <a:pt x="211" y="9"/>
                <a:pt x="224" y="8"/>
                <a:pt x="238" y="7"/>
              </a:cubicBezTo>
              <a:cubicBezTo>
                <a:pt x="245" y="6"/>
                <a:pt x="253" y="4"/>
                <a:pt x="260" y="3"/>
              </a:cubicBezTo>
              <a:cubicBezTo>
                <a:pt x="264" y="2"/>
                <a:pt x="263" y="2"/>
                <a:pt x="267" y="1"/>
              </a:cubicBezTo>
              <a:cubicBezTo>
                <a:pt x="268" y="1"/>
                <a:pt x="272" y="0"/>
                <a:pt x="271" y="0"/>
              </a:cubicBezTo>
              <a:cubicBezTo>
                <a:pt x="268" y="0"/>
                <a:pt x="265" y="1"/>
                <a:pt x="262" y="1"/>
              </a:cubicBezTo>
              <a:cubicBezTo>
                <a:pt x="238" y="9"/>
                <a:pt x="209" y="7"/>
                <a:pt x="184" y="8"/>
              </a:cubicBezTo>
              <a:cubicBezTo>
                <a:pt x="167" y="14"/>
                <a:pt x="131" y="12"/>
                <a:pt x="131" y="12"/>
              </a:cubicBezTo>
              <a:cubicBezTo>
                <a:pt x="120" y="15"/>
                <a:pt x="126" y="14"/>
                <a:pt x="113" y="15"/>
              </a:cubicBezTo>
              <a:cubicBezTo>
                <a:pt x="94" y="14"/>
                <a:pt x="76" y="12"/>
                <a:pt x="58" y="7"/>
              </a:cubicBezTo>
              <a:cubicBezTo>
                <a:pt x="55" y="5"/>
                <a:pt x="56" y="6"/>
                <a:pt x="54" y="4"/>
              </a:cubicBezTo>
              <a:close/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 editAs="oneCell">
    <xdr:from>
      <xdr:col>14</xdr:col>
      <xdr:colOff>285750</xdr:colOff>
      <xdr:row>58</xdr:row>
      <xdr:rowOff>155575</xdr:rowOff>
    </xdr:from>
    <xdr:to>
      <xdr:col>14</xdr:col>
      <xdr:colOff>795602</xdr:colOff>
      <xdr:row>65</xdr:row>
      <xdr:rowOff>107950</xdr:rowOff>
    </xdr:to>
    <xdr:sp macro="" textlink="">
      <xdr:nvSpPr>
        <xdr:cNvPr id="45703" name="AutoShape 3">
          <a:extLst>
            <a:ext uri="{FF2B5EF4-FFF2-40B4-BE49-F238E27FC236}">
              <a16:creationId xmlns:a16="http://schemas.microsoft.com/office/drawing/2014/main" id="{00000000-0008-0000-2400-000087B20000}"/>
            </a:ext>
          </a:extLst>
        </xdr:cNvPr>
        <xdr:cNvSpPr>
          <a:spLocks noChangeArrowheads="1"/>
        </xdr:cNvSpPr>
      </xdr:nvSpPr>
      <xdr:spPr bwMode="auto">
        <a:xfrm>
          <a:off x="11201400" y="6600825"/>
          <a:ext cx="447675" cy="1143000"/>
        </a:xfrm>
        <a:prstGeom prst="wedgeRectCallout">
          <a:avLst>
            <a:gd name="adj1" fmla="val -91306"/>
            <a:gd name="adj2" fmla="val -4500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27432" tIns="22860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es-E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Pegar valores de </a:t>
          </a:r>
          <a:r>
            <a:rPr lang="es-ES" sz="1000" b="0" i="0" u="none" strike="noStrike" baseline="0">
              <a:solidFill>
                <a:srgbClr val="FF0000"/>
              </a:solidFill>
              <a:latin typeface="Arial"/>
              <a:cs typeface="Arial"/>
            </a:rPr>
            <a:t>cal. </a:t>
          </a:r>
          <a:r>
            <a:rPr lang="es-E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Y su Mic. correspondiente</a:t>
          </a:r>
        </a:p>
      </xdr:txBody>
    </xdr:sp>
    <xdr:clientData/>
  </xdr:twoCellAnchor>
  <xdr:twoCellAnchor editAs="oneCell">
    <xdr:from>
      <xdr:col>14</xdr:col>
      <xdr:colOff>285750</xdr:colOff>
      <xdr:row>58</xdr:row>
      <xdr:rowOff>155575</xdr:rowOff>
    </xdr:from>
    <xdr:to>
      <xdr:col>14</xdr:col>
      <xdr:colOff>795602</xdr:colOff>
      <xdr:row>65</xdr:row>
      <xdr:rowOff>107950</xdr:rowOff>
    </xdr:to>
    <xdr:sp macro="" textlink="">
      <xdr:nvSpPr>
        <xdr:cNvPr id="45705" name="AutoShape 8">
          <a:extLst>
            <a:ext uri="{FF2B5EF4-FFF2-40B4-BE49-F238E27FC236}">
              <a16:creationId xmlns:a16="http://schemas.microsoft.com/office/drawing/2014/main" id="{00000000-0008-0000-2400-000089B20000}"/>
            </a:ext>
          </a:extLst>
        </xdr:cNvPr>
        <xdr:cNvSpPr>
          <a:spLocks noChangeArrowheads="1"/>
        </xdr:cNvSpPr>
      </xdr:nvSpPr>
      <xdr:spPr bwMode="auto">
        <a:xfrm>
          <a:off x="11201400" y="6600825"/>
          <a:ext cx="447675" cy="1143000"/>
        </a:xfrm>
        <a:prstGeom prst="wedgeRectCallout">
          <a:avLst>
            <a:gd name="adj1" fmla="val -91306"/>
            <a:gd name="adj2" fmla="val -4500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27432" tIns="22860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es-E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Pegar valores de </a:t>
          </a:r>
          <a:r>
            <a:rPr lang="es-ES" sz="1000" b="0" i="0" u="none" strike="noStrike" baseline="0">
              <a:solidFill>
                <a:srgbClr val="FF0000"/>
              </a:solidFill>
              <a:latin typeface="Arial"/>
              <a:cs typeface="Arial"/>
            </a:rPr>
            <a:t>cal. </a:t>
          </a:r>
          <a:r>
            <a:rPr lang="es-E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Y su Mic. correspondiente</a:t>
          </a:r>
        </a:p>
      </xdr:txBody>
    </xdr:sp>
    <xdr:clientData/>
  </xdr:twoCellAnchor>
  <xdr:twoCellAnchor>
    <xdr:from>
      <xdr:col>9</xdr:col>
      <xdr:colOff>202045</xdr:colOff>
      <xdr:row>65</xdr:row>
      <xdr:rowOff>49646</xdr:rowOff>
    </xdr:from>
    <xdr:to>
      <xdr:col>11</xdr:col>
      <xdr:colOff>113146</xdr:colOff>
      <xdr:row>83</xdr:row>
      <xdr:rowOff>73121</xdr:rowOff>
    </xdr:to>
    <xdr:sp macro="" textlink="">
      <xdr:nvSpPr>
        <xdr:cNvPr id="13831836" name="Freeform 9">
          <a:extLst>
            <a:ext uri="{FF2B5EF4-FFF2-40B4-BE49-F238E27FC236}">
              <a16:creationId xmlns:a16="http://schemas.microsoft.com/office/drawing/2014/main" id="{00000000-0008-0000-2400-00009C0ED300}"/>
            </a:ext>
          </a:extLst>
        </xdr:cNvPr>
        <xdr:cNvSpPr>
          <a:spLocks/>
        </xdr:cNvSpPr>
      </xdr:nvSpPr>
      <xdr:spPr bwMode="auto">
        <a:xfrm>
          <a:off x="8303106" y="11248737"/>
          <a:ext cx="1604434" cy="3063778"/>
        </a:xfrm>
        <a:custGeom>
          <a:avLst/>
          <a:gdLst>
            <a:gd name="T0" fmla="*/ 2147483647 w 117"/>
            <a:gd name="T1" fmla="*/ 2147483647 h 133"/>
            <a:gd name="T2" fmla="*/ 2147483647 w 117"/>
            <a:gd name="T3" fmla="*/ 2147483647 h 133"/>
            <a:gd name="T4" fmla="*/ 2147483647 w 117"/>
            <a:gd name="T5" fmla="*/ 2147483647 h 133"/>
            <a:gd name="T6" fmla="*/ 2147483647 w 117"/>
            <a:gd name="T7" fmla="*/ 2147483647 h 133"/>
            <a:gd name="T8" fmla="*/ 2147483647 w 117"/>
            <a:gd name="T9" fmla="*/ 2147483647 h 133"/>
            <a:gd name="T10" fmla="*/ 2147483647 w 117"/>
            <a:gd name="T11" fmla="*/ 2147483647 h 133"/>
            <a:gd name="T12" fmla="*/ 2147483647 w 117"/>
            <a:gd name="T13" fmla="*/ 2147483647 h 133"/>
            <a:gd name="T14" fmla="*/ 2147483647 w 117"/>
            <a:gd name="T15" fmla="*/ 2147483647 h 133"/>
            <a:gd name="T16" fmla="*/ 2147483647 w 117"/>
            <a:gd name="T17" fmla="*/ 2147483647 h 133"/>
            <a:gd name="T18" fmla="*/ 2147483647 w 117"/>
            <a:gd name="T19" fmla="*/ 2147483647 h 133"/>
            <a:gd name="T20" fmla="*/ 2147483647 w 117"/>
            <a:gd name="T21" fmla="*/ 2147483647 h 133"/>
            <a:gd name="T22" fmla="*/ 2147483647 w 117"/>
            <a:gd name="T23" fmla="*/ 2147483647 h 133"/>
            <a:gd name="T24" fmla="*/ 2147483647 w 117"/>
            <a:gd name="T25" fmla="*/ 2147483647 h 133"/>
            <a:gd name="T26" fmla="*/ 2147483647 w 117"/>
            <a:gd name="T27" fmla="*/ 2147483647 h 133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60000 65536"/>
            <a:gd name="T40" fmla="*/ 0 60000 65536"/>
            <a:gd name="T41" fmla="*/ 0 60000 65536"/>
          </a:gdLst>
          <a:ahLst/>
          <a:cxnLst>
            <a:cxn ang="T28">
              <a:pos x="T0" y="T1"/>
            </a:cxn>
            <a:cxn ang="T29">
              <a:pos x="T2" y="T3"/>
            </a:cxn>
            <a:cxn ang="T30">
              <a:pos x="T4" y="T5"/>
            </a:cxn>
            <a:cxn ang="T31">
              <a:pos x="T6" y="T7"/>
            </a:cxn>
            <a:cxn ang="T32">
              <a:pos x="T8" y="T9"/>
            </a:cxn>
            <a:cxn ang="T33">
              <a:pos x="T10" y="T11"/>
            </a:cxn>
            <a:cxn ang="T34">
              <a:pos x="T12" y="T13"/>
            </a:cxn>
            <a:cxn ang="T35">
              <a:pos x="T14" y="T15"/>
            </a:cxn>
            <a:cxn ang="T36">
              <a:pos x="T16" y="T17"/>
            </a:cxn>
            <a:cxn ang="T37">
              <a:pos x="T18" y="T19"/>
            </a:cxn>
            <a:cxn ang="T38">
              <a:pos x="T20" y="T21"/>
            </a:cxn>
            <a:cxn ang="T39">
              <a:pos x="T22" y="T23"/>
            </a:cxn>
            <a:cxn ang="T40">
              <a:pos x="T24" y="T25"/>
            </a:cxn>
            <a:cxn ang="T41">
              <a:pos x="T26" y="T27"/>
            </a:cxn>
          </a:cxnLst>
          <a:rect l="0" t="0" r="r" b="b"/>
          <a:pathLst>
            <a:path w="117" h="133">
              <a:moveTo>
                <a:pt x="61" y="10"/>
              </a:moveTo>
              <a:cubicBezTo>
                <a:pt x="99" y="12"/>
                <a:pt x="101" y="0"/>
                <a:pt x="107" y="24"/>
              </a:cubicBezTo>
              <a:cubicBezTo>
                <a:pt x="106" y="39"/>
                <a:pt x="104" y="52"/>
                <a:pt x="102" y="67"/>
              </a:cubicBezTo>
              <a:cubicBezTo>
                <a:pt x="101" y="124"/>
                <a:pt x="117" y="129"/>
                <a:pt x="76" y="131"/>
              </a:cubicBezTo>
              <a:cubicBezTo>
                <a:pt x="65" y="132"/>
                <a:pt x="61" y="133"/>
                <a:pt x="48" y="131"/>
              </a:cubicBezTo>
              <a:cubicBezTo>
                <a:pt x="46" y="131"/>
                <a:pt x="42" y="127"/>
                <a:pt x="42" y="127"/>
              </a:cubicBezTo>
              <a:cubicBezTo>
                <a:pt x="36" y="118"/>
                <a:pt x="32" y="106"/>
                <a:pt x="24" y="98"/>
              </a:cubicBezTo>
              <a:cubicBezTo>
                <a:pt x="22" y="91"/>
                <a:pt x="19" y="83"/>
                <a:pt x="13" y="79"/>
              </a:cubicBezTo>
              <a:cubicBezTo>
                <a:pt x="11" y="74"/>
                <a:pt x="8" y="69"/>
                <a:pt x="4" y="65"/>
              </a:cubicBezTo>
              <a:cubicBezTo>
                <a:pt x="0" y="53"/>
                <a:pt x="1" y="64"/>
                <a:pt x="11" y="67"/>
              </a:cubicBezTo>
              <a:cubicBezTo>
                <a:pt x="20" y="66"/>
                <a:pt x="23" y="63"/>
                <a:pt x="30" y="57"/>
              </a:cubicBezTo>
              <a:cubicBezTo>
                <a:pt x="32" y="52"/>
                <a:pt x="35" y="48"/>
                <a:pt x="39" y="46"/>
              </a:cubicBezTo>
              <a:cubicBezTo>
                <a:pt x="42" y="38"/>
                <a:pt x="48" y="27"/>
                <a:pt x="54" y="21"/>
              </a:cubicBezTo>
              <a:cubicBezTo>
                <a:pt x="57" y="18"/>
                <a:pt x="64" y="13"/>
                <a:pt x="61" y="10"/>
              </a:cubicBezTo>
              <a:close/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 editAs="oneCell">
    <xdr:from>
      <xdr:col>11</xdr:col>
      <xdr:colOff>377152</xdr:colOff>
      <xdr:row>77</xdr:row>
      <xdr:rowOff>49742</xdr:rowOff>
    </xdr:from>
    <xdr:to>
      <xdr:col>12</xdr:col>
      <xdr:colOff>500978</xdr:colOff>
      <xdr:row>81</xdr:row>
      <xdr:rowOff>33457</xdr:rowOff>
    </xdr:to>
    <xdr:sp macro="" textlink="">
      <xdr:nvSpPr>
        <xdr:cNvPr id="45707" name="AutoShape 10">
          <a:extLst>
            <a:ext uri="{FF2B5EF4-FFF2-40B4-BE49-F238E27FC236}">
              <a16:creationId xmlns:a16="http://schemas.microsoft.com/office/drawing/2014/main" id="{00000000-0008-0000-2400-00008BB20000}"/>
            </a:ext>
          </a:extLst>
        </xdr:cNvPr>
        <xdr:cNvSpPr>
          <a:spLocks noChangeArrowheads="1"/>
        </xdr:cNvSpPr>
      </xdr:nvSpPr>
      <xdr:spPr bwMode="auto">
        <a:xfrm>
          <a:off x="10171546" y="13307772"/>
          <a:ext cx="1047462" cy="637958"/>
        </a:xfrm>
        <a:prstGeom prst="wedgeRoundRectCallout">
          <a:avLst>
            <a:gd name="adj1" fmla="val -122394"/>
            <a:gd name="adj2" fmla="val -26704"/>
            <a:gd name="adj3" fmla="val 1666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_tradnl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copiar el Mic del momento y llevar a </a:t>
          </a:r>
          <a:r>
            <a:rPr lang="es-ES_tradnl" sz="1000" b="0" i="0" u="none" strike="noStrike" baseline="0">
              <a:solidFill>
                <a:srgbClr val="FF0000"/>
              </a:solidFill>
              <a:latin typeface="Arial"/>
              <a:ea typeface="Arial"/>
              <a:cs typeface="Arial"/>
            </a:rPr>
            <a:t>Microc.</a:t>
          </a:r>
          <a:endParaRPr lang="es-ES_tradnl" sz="1000" b="0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l" rtl="0">
            <a:defRPr sz="1000"/>
          </a:pPr>
          <a:r>
            <a:rPr lang="es-ES_tradnl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 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120650</xdr:colOff>
      <xdr:row>19</xdr:row>
      <xdr:rowOff>303561</xdr:rowOff>
    </xdr:from>
    <xdr:to>
      <xdr:col>51</xdr:col>
      <xdr:colOff>0</xdr:colOff>
      <xdr:row>19</xdr:row>
      <xdr:rowOff>303561</xdr:rowOff>
    </xdr:to>
    <xdr:sp macro="" textlink="">
      <xdr:nvSpPr>
        <xdr:cNvPr id="3171" name="Texto 99">
          <a:extLst>
            <a:ext uri="{FF2B5EF4-FFF2-40B4-BE49-F238E27FC236}">
              <a16:creationId xmlns:a16="http://schemas.microsoft.com/office/drawing/2014/main" id="{00000000-0008-0000-2500-0000630C0000}"/>
            </a:ext>
          </a:extLst>
        </xdr:cNvPr>
        <xdr:cNvSpPr txBox="1">
          <a:spLocks noChangeArrowheads="1"/>
        </xdr:cNvSpPr>
      </xdr:nvSpPr>
      <xdr:spPr bwMode="auto">
        <a:xfrm>
          <a:off x="6324600" y="3028950"/>
          <a:ext cx="1714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59</xdr:col>
      <xdr:colOff>450199</xdr:colOff>
      <xdr:row>20</xdr:row>
      <xdr:rowOff>98703</xdr:rowOff>
    </xdr:from>
    <xdr:to>
      <xdr:col>59</xdr:col>
      <xdr:colOff>577199</xdr:colOff>
      <xdr:row>23</xdr:row>
      <xdr:rowOff>31591</xdr:rowOff>
    </xdr:to>
    <xdr:sp macro="" textlink="">
      <xdr:nvSpPr>
        <xdr:cNvPr id="16328670" name="Dibujo 223">
          <a:extLst>
            <a:ext uri="{FF2B5EF4-FFF2-40B4-BE49-F238E27FC236}">
              <a16:creationId xmlns:a16="http://schemas.microsoft.com/office/drawing/2014/main" id="{00000000-0008-0000-2500-0000DE27F900}"/>
            </a:ext>
          </a:extLst>
        </xdr:cNvPr>
        <xdr:cNvSpPr>
          <a:spLocks/>
        </xdr:cNvSpPr>
      </xdr:nvSpPr>
      <xdr:spPr bwMode="auto">
        <a:xfrm>
          <a:off x="10633290" y="3262158"/>
          <a:ext cx="127000" cy="233069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8</xdr:col>
      <xdr:colOff>12700</xdr:colOff>
      <xdr:row>62</xdr:row>
      <xdr:rowOff>0</xdr:rowOff>
    </xdr:from>
    <xdr:to>
      <xdr:col>9</xdr:col>
      <xdr:colOff>12700</xdr:colOff>
      <xdr:row>62</xdr:row>
      <xdr:rowOff>0</xdr:rowOff>
    </xdr:to>
    <xdr:sp macro="" textlink="">
      <xdr:nvSpPr>
        <xdr:cNvPr id="16328671" name="Dibujo 268">
          <a:extLst>
            <a:ext uri="{FF2B5EF4-FFF2-40B4-BE49-F238E27FC236}">
              <a16:creationId xmlns:a16="http://schemas.microsoft.com/office/drawing/2014/main" id="{00000000-0008-0000-2500-0000DF27F900}"/>
            </a:ext>
          </a:extLst>
        </xdr:cNvPr>
        <xdr:cNvSpPr>
          <a:spLocks/>
        </xdr:cNvSpPr>
      </xdr:nvSpPr>
      <xdr:spPr bwMode="auto">
        <a:xfrm>
          <a:off x="1371600" y="7213600"/>
          <a:ext cx="139700" cy="0"/>
        </a:xfrm>
        <a:custGeom>
          <a:avLst/>
          <a:gdLst>
            <a:gd name="T0" fmla="*/ 2147483647 w 16384"/>
            <a:gd name="T1" fmla="*/ 0 h 16384"/>
            <a:gd name="T2" fmla="*/ 2147483647 w 16384"/>
            <a:gd name="T3" fmla="*/ 0 h 16384"/>
            <a:gd name="T4" fmla="*/ 0 w 16384"/>
            <a:gd name="T5" fmla="*/ 0 h 16384"/>
            <a:gd name="T6" fmla="*/ 2147483647 w 16384"/>
            <a:gd name="T7" fmla="*/ 0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44</xdr:col>
      <xdr:colOff>63500</xdr:colOff>
      <xdr:row>63</xdr:row>
      <xdr:rowOff>139700</xdr:rowOff>
    </xdr:from>
    <xdr:to>
      <xdr:col>47</xdr:col>
      <xdr:colOff>88900</xdr:colOff>
      <xdr:row>64</xdr:row>
      <xdr:rowOff>114300</xdr:rowOff>
    </xdr:to>
    <xdr:sp macro="" textlink="">
      <xdr:nvSpPr>
        <xdr:cNvPr id="16328672" name="Dibujo 270">
          <a:extLst>
            <a:ext uri="{FF2B5EF4-FFF2-40B4-BE49-F238E27FC236}">
              <a16:creationId xmlns:a16="http://schemas.microsoft.com/office/drawing/2014/main" id="{00000000-0008-0000-2500-0000E027F900}"/>
            </a:ext>
          </a:extLst>
        </xdr:cNvPr>
        <xdr:cNvSpPr>
          <a:spLocks/>
        </xdr:cNvSpPr>
      </xdr:nvSpPr>
      <xdr:spPr bwMode="auto">
        <a:xfrm>
          <a:off x="6477000" y="7404100"/>
          <a:ext cx="431800" cy="114300"/>
        </a:xfrm>
        <a:custGeom>
          <a:avLst/>
          <a:gdLst>
            <a:gd name="T0" fmla="*/ 0 w 16384"/>
            <a:gd name="T1" fmla="*/ 2147483647 h 16384"/>
            <a:gd name="T2" fmla="*/ 2147483647 w 16384"/>
            <a:gd name="T3" fmla="*/ 0 h 16384"/>
            <a:gd name="T4" fmla="*/ 2147483647 w 16384"/>
            <a:gd name="T5" fmla="*/ 2147483647 h 16384"/>
            <a:gd name="T6" fmla="*/ 2147483647 w 16384"/>
            <a:gd name="T7" fmla="*/ 2147483647 h 16384"/>
            <a:gd name="T8" fmla="*/ 2147483647 w 16384"/>
            <a:gd name="T9" fmla="*/ 2147483647 h 16384"/>
            <a:gd name="T10" fmla="*/ 0 60000 65536"/>
            <a:gd name="T11" fmla="*/ 0 60000 65536"/>
            <a:gd name="T12" fmla="*/ 0 60000 65536"/>
            <a:gd name="T13" fmla="*/ 0 60000 65536"/>
            <a:gd name="T14" fmla="*/ 0 60000 65536"/>
          </a:gdLst>
          <a:ahLst/>
          <a:cxnLst>
            <a:cxn ang="T10">
              <a:pos x="T0" y="T1"/>
            </a:cxn>
            <a:cxn ang="T11">
              <a:pos x="T2" y="T3"/>
            </a:cxn>
            <a:cxn ang="T12">
              <a:pos x="T4" y="T5"/>
            </a:cxn>
            <a:cxn ang="T13">
              <a:pos x="T6" y="T7"/>
            </a:cxn>
            <a:cxn ang="T14">
              <a:pos x="T8" y="T9"/>
            </a:cxn>
          </a:cxnLst>
          <a:rect l="0" t="0" r="r" b="b"/>
          <a:pathLst>
            <a:path w="16384" h="16384">
              <a:moveTo>
                <a:pt x="0" y="16384"/>
              </a:moveTo>
              <a:lnTo>
                <a:pt x="4428" y="0"/>
              </a:lnTo>
              <a:lnTo>
                <a:pt x="8413" y="16384"/>
              </a:lnTo>
              <a:lnTo>
                <a:pt x="11513" y="4096"/>
              </a:lnTo>
              <a:lnTo>
                <a:pt x="16384" y="14336"/>
              </a:lnTo>
            </a:path>
          </a:pathLst>
        </a:custGeom>
        <a:noFill/>
        <a:ln w="24765" cap="flat">
          <a:solidFill>
            <a:srgbClr xmlns:mc="http://schemas.openxmlformats.org/markup-compatibility/2006" xmlns:a14="http://schemas.microsoft.com/office/drawing/2010/main" val="000080" mc:Ignorable="a14" a14:legacySpreadsheetColorIndex="18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62</xdr:col>
      <xdr:colOff>802341</xdr:colOff>
      <xdr:row>30</xdr:row>
      <xdr:rowOff>60262</xdr:rowOff>
    </xdr:from>
    <xdr:to>
      <xdr:col>63</xdr:col>
      <xdr:colOff>46317</xdr:colOff>
      <xdr:row>34</xdr:row>
      <xdr:rowOff>51869</xdr:rowOff>
    </xdr:to>
    <xdr:sp macro="" textlink="">
      <xdr:nvSpPr>
        <xdr:cNvPr id="16328673" name="Dibujo 271">
          <a:extLst>
            <a:ext uri="{FF2B5EF4-FFF2-40B4-BE49-F238E27FC236}">
              <a16:creationId xmlns:a16="http://schemas.microsoft.com/office/drawing/2014/main" id="{00000000-0008-0000-2500-0000E127F900}"/>
            </a:ext>
          </a:extLst>
        </xdr:cNvPr>
        <xdr:cNvSpPr>
          <a:spLocks/>
        </xdr:cNvSpPr>
      </xdr:nvSpPr>
      <xdr:spPr bwMode="auto">
        <a:xfrm>
          <a:off x="13951074" y="4539129"/>
          <a:ext cx="124510" cy="28794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9</xdr:col>
      <xdr:colOff>0</xdr:colOff>
      <xdr:row>63</xdr:row>
      <xdr:rowOff>12700</xdr:rowOff>
    </xdr:from>
    <xdr:to>
      <xdr:col>10</xdr:col>
      <xdr:colOff>0</xdr:colOff>
      <xdr:row>65</xdr:row>
      <xdr:rowOff>0</xdr:rowOff>
    </xdr:to>
    <xdr:sp macro="" textlink="">
      <xdr:nvSpPr>
        <xdr:cNvPr id="16328674" name="Dibujo 272">
          <a:extLst>
            <a:ext uri="{FF2B5EF4-FFF2-40B4-BE49-F238E27FC236}">
              <a16:creationId xmlns:a16="http://schemas.microsoft.com/office/drawing/2014/main" id="{00000000-0008-0000-2500-0000E227F900}"/>
            </a:ext>
          </a:extLst>
        </xdr:cNvPr>
        <xdr:cNvSpPr>
          <a:spLocks/>
        </xdr:cNvSpPr>
      </xdr:nvSpPr>
      <xdr:spPr bwMode="auto">
        <a:xfrm>
          <a:off x="1498600" y="7302500"/>
          <a:ext cx="139700" cy="21590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0</xdr:col>
      <xdr:colOff>381000</xdr:colOff>
      <xdr:row>63</xdr:row>
      <xdr:rowOff>25400</xdr:rowOff>
    </xdr:from>
    <xdr:to>
      <xdr:col>2</xdr:col>
      <xdr:colOff>127000</xdr:colOff>
      <xdr:row>65</xdr:row>
      <xdr:rowOff>25400</xdr:rowOff>
    </xdr:to>
    <xdr:sp macro="" textlink="">
      <xdr:nvSpPr>
        <xdr:cNvPr id="16328675" name="Dibujo 273">
          <a:extLst>
            <a:ext uri="{FF2B5EF4-FFF2-40B4-BE49-F238E27FC236}">
              <a16:creationId xmlns:a16="http://schemas.microsoft.com/office/drawing/2014/main" id="{00000000-0008-0000-2500-0000E327F900}"/>
            </a:ext>
          </a:extLst>
        </xdr:cNvPr>
        <xdr:cNvSpPr>
          <a:spLocks/>
        </xdr:cNvSpPr>
      </xdr:nvSpPr>
      <xdr:spPr bwMode="auto">
        <a:xfrm>
          <a:off x="381000" y="7315200"/>
          <a:ext cx="241300" cy="22860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0 w 16384"/>
            <a:gd name="T7" fmla="*/ 2147483647 h 16384"/>
            <a:gd name="T8" fmla="*/ 2147483647 w 16384"/>
            <a:gd name="T9" fmla="*/ 2147483647 h 16384"/>
            <a:gd name="T10" fmla="*/ 0 60000 65536"/>
            <a:gd name="T11" fmla="*/ 0 60000 65536"/>
            <a:gd name="T12" fmla="*/ 0 60000 65536"/>
            <a:gd name="T13" fmla="*/ 0 60000 65536"/>
            <a:gd name="T14" fmla="*/ 0 60000 65536"/>
          </a:gdLst>
          <a:ahLst/>
          <a:cxnLst>
            <a:cxn ang="T10">
              <a:pos x="T0" y="T1"/>
            </a:cxn>
            <a:cxn ang="T11">
              <a:pos x="T2" y="T3"/>
            </a:cxn>
            <a:cxn ang="T12">
              <a:pos x="T4" y="T5"/>
            </a:cxn>
            <a:cxn ang="T13">
              <a:pos x="T6" y="T7"/>
            </a:cxn>
            <a:cxn ang="T14">
              <a:pos x="T8" y="T9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546"/>
              </a:lnTo>
              <a:lnTo>
                <a:pt x="0" y="8738"/>
              </a:lnTo>
              <a:lnTo>
                <a:pt x="16384" y="873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0</xdr:col>
      <xdr:colOff>44450</xdr:colOff>
      <xdr:row>57</xdr:row>
      <xdr:rowOff>28575</xdr:rowOff>
    </xdr:from>
    <xdr:to>
      <xdr:col>0</xdr:col>
      <xdr:colOff>366645</xdr:colOff>
      <xdr:row>61</xdr:row>
      <xdr:rowOff>108309</xdr:rowOff>
    </xdr:to>
    <xdr:sp macro="" textlink="">
      <xdr:nvSpPr>
        <xdr:cNvPr id="3349" name="Texto 277">
          <a:extLst>
            <a:ext uri="{FF2B5EF4-FFF2-40B4-BE49-F238E27FC236}">
              <a16:creationId xmlns:a16="http://schemas.microsoft.com/office/drawing/2014/main" id="{00000000-0008-0000-2500-0000150D0000}"/>
            </a:ext>
          </a:extLst>
        </xdr:cNvPr>
        <xdr:cNvSpPr txBox="1">
          <a:spLocks noChangeArrowheads="1"/>
        </xdr:cNvSpPr>
      </xdr:nvSpPr>
      <xdr:spPr bwMode="auto">
        <a:xfrm>
          <a:off x="28575" y="6610350"/>
          <a:ext cx="285750" cy="514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Aláctico</a:t>
          </a:r>
        </a:p>
      </xdr:txBody>
    </xdr:sp>
    <xdr:clientData/>
  </xdr:twoCellAnchor>
  <xdr:twoCellAnchor>
    <xdr:from>
      <xdr:col>0</xdr:col>
      <xdr:colOff>44450</xdr:colOff>
      <xdr:row>51</xdr:row>
      <xdr:rowOff>28575</xdr:rowOff>
    </xdr:from>
    <xdr:to>
      <xdr:col>0</xdr:col>
      <xdr:colOff>366645</xdr:colOff>
      <xdr:row>55</xdr:row>
      <xdr:rowOff>85725</xdr:rowOff>
    </xdr:to>
    <xdr:sp macro="" textlink="">
      <xdr:nvSpPr>
        <xdr:cNvPr id="3350" name="Texto 278">
          <a:extLst>
            <a:ext uri="{FF2B5EF4-FFF2-40B4-BE49-F238E27FC236}">
              <a16:creationId xmlns:a16="http://schemas.microsoft.com/office/drawing/2014/main" id="{00000000-0008-0000-2500-0000160D0000}"/>
            </a:ext>
          </a:extLst>
        </xdr:cNvPr>
        <xdr:cNvSpPr txBox="1">
          <a:spLocks noChangeArrowheads="1"/>
        </xdr:cNvSpPr>
      </xdr:nvSpPr>
      <xdr:spPr bwMode="auto">
        <a:xfrm>
          <a:off x="28575" y="6038850"/>
          <a:ext cx="285750" cy="514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Láctico 2</a:t>
          </a:r>
        </a:p>
      </xdr:txBody>
    </xdr:sp>
    <xdr:clientData/>
  </xdr:twoCellAnchor>
  <xdr:twoCellAnchor>
    <xdr:from>
      <xdr:col>0</xdr:col>
      <xdr:colOff>44450</xdr:colOff>
      <xdr:row>45</xdr:row>
      <xdr:rowOff>28575</xdr:rowOff>
    </xdr:from>
    <xdr:to>
      <xdr:col>0</xdr:col>
      <xdr:colOff>366645</xdr:colOff>
      <xdr:row>49</xdr:row>
      <xdr:rowOff>85725</xdr:rowOff>
    </xdr:to>
    <xdr:sp macro="" textlink="">
      <xdr:nvSpPr>
        <xdr:cNvPr id="3351" name="Texto 279">
          <a:extLst>
            <a:ext uri="{FF2B5EF4-FFF2-40B4-BE49-F238E27FC236}">
              <a16:creationId xmlns:a16="http://schemas.microsoft.com/office/drawing/2014/main" id="{00000000-0008-0000-2500-0000170D0000}"/>
            </a:ext>
          </a:extLst>
        </xdr:cNvPr>
        <xdr:cNvSpPr txBox="1">
          <a:spLocks noChangeArrowheads="1"/>
        </xdr:cNvSpPr>
      </xdr:nvSpPr>
      <xdr:spPr bwMode="auto">
        <a:xfrm>
          <a:off x="28575" y="5467350"/>
          <a:ext cx="285750" cy="514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Láctico 1</a:t>
          </a:r>
        </a:p>
      </xdr:txBody>
    </xdr:sp>
    <xdr:clientData/>
  </xdr:twoCellAnchor>
  <xdr:twoCellAnchor>
    <xdr:from>
      <xdr:col>0</xdr:col>
      <xdr:colOff>44450</xdr:colOff>
      <xdr:row>39</xdr:row>
      <xdr:rowOff>28575</xdr:rowOff>
    </xdr:from>
    <xdr:to>
      <xdr:col>0</xdr:col>
      <xdr:colOff>366645</xdr:colOff>
      <xdr:row>43</xdr:row>
      <xdr:rowOff>85725</xdr:rowOff>
    </xdr:to>
    <xdr:sp macro="" textlink="">
      <xdr:nvSpPr>
        <xdr:cNvPr id="3352" name="Texto 280">
          <a:extLst>
            <a:ext uri="{FF2B5EF4-FFF2-40B4-BE49-F238E27FC236}">
              <a16:creationId xmlns:a16="http://schemas.microsoft.com/office/drawing/2014/main" id="{00000000-0008-0000-2500-0000180D0000}"/>
            </a:ext>
          </a:extLst>
        </xdr:cNvPr>
        <xdr:cNvSpPr txBox="1">
          <a:spLocks noChangeArrowheads="1"/>
        </xdr:cNvSpPr>
      </xdr:nvSpPr>
      <xdr:spPr bwMode="auto">
        <a:xfrm>
          <a:off x="28575" y="4895850"/>
          <a:ext cx="285750" cy="514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Mixto</a:t>
          </a:r>
        </a:p>
      </xdr:txBody>
    </xdr:sp>
    <xdr:clientData/>
  </xdr:twoCellAnchor>
  <xdr:twoCellAnchor>
    <xdr:from>
      <xdr:col>0</xdr:col>
      <xdr:colOff>44450</xdr:colOff>
      <xdr:row>33</xdr:row>
      <xdr:rowOff>15875</xdr:rowOff>
    </xdr:from>
    <xdr:to>
      <xdr:col>0</xdr:col>
      <xdr:colOff>366645</xdr:colOff>
      <xdr:row>37</xdr:row>
      <xdr:rowOff>86083</xdr:rowOff>
    </xdr:to>
    <xdr:sp macro="" textlink="">
      <xdr:nvSpPr>
        <xdr:cNvPr id="3353" name="Texto 281">
          <a:extLst>
            <a:ext uri="{FF2B5EF4-FFF2-40B4-BE49-F238E27FC236}">
              <a16:creationId xmlns:a16="http://schemas.microsoft.com/office/drawing/2014/main" id="{00000000-0008-0000-2500-0000190D0000}"/>
            </a:ext>
          </a:extLst>
        </xdr:cNvPr>
        <xdr:cNvSpPr txBox="1">
          <a:spLocks noChangeArrowheads="1"/>
        </xdr:cNvSpPr>
      </xdr:nvSpPr>
      <xdr:spPr bwMode="auto">
        <a:xfrm>
          <a:off x="28575" y="4324350"/>
          <a:ext cx="285750" cy="514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Aerób. 3</a:t>
          </a:r>
        </a:p>
      </xdr:txBody>
    </xdr:sp>
    <xdr:clientData/>
  </xdr:twoCellAnchor>
  <xdr:twoCellAnchor>
    <xdr:from>
      <xdr:col>0</xdr:col>
      <xdr:colOff>44450</xdr:colOff>
      <xdr:row>27</xdr:row>
      <xdr:rowOff>15875</xdr:rowOff>
    </xdr:from>
    <xdr:to>
      <xdr:col>0</xdr:col>
      <xdr:colOff>366645</xdr:colOff>
      <xdr:row>31</xdr:row>
      <xdr:rowOff>85698</xdr:rowOff>
    </xdr:to>
    <xdr:sp macro="" textlink="">
      <xdr:nvSpPr>
        <xdr:cNvPr id="3354" name="Texto 282">
          <a:extLst>
            <a:ext uri="{FF2B5EF4-FFF2-40B4-BE49-F238E27FC236}">
              <a16:creationId xmlns:a16="http://schemas.microsoft.com/office/drawing/2014/main" id="{00000000-0008-0000-2500-00001A0D0000}"/>
            </a:ext>
          </a:extLst>
        </xdr:cNvPr>
        <xdr:cNvSpPr txBox="1">
          <a:spLocks noChangeArrowheads="1"/>
        </xdr:cNvSpPr>
      </xdr:nvSpPr>
      <xdr:spPr bwMode="auto">
        <a:xfrm>
          <a:off x="28575" y="3752850"/>
          <a:ext cx="285750" cy="514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Aerób. 2</a:t>
          </a:r>
        </a:p>
      </xdr:txBody>
    </xdr:sp>
    <xdr:clientData/>
  </xdr:twoCellAnchor>
  <xdr:twoCellAnchor>
    <xdr:from>
      <xdr:col>0</xdr:col>
      <xdr:colOff>44450</xdr:colOff>
      <xdr:row>21</xdr:row>
      <xdr:rowOff>15875</xdr:rowOff>
    </xdr:from>
    <xdr:to>
      <xdr:col>0</xdr:col>
      <xdr:colOff>353122</xdr:colOff>
      <xdr:row>25</xdr:row>
      <xdr:rowOff>73430</xdr:rowOff>
    </xdr:to>
    <xdr:sp macro="" textlink="">
      <xdr:nvSpPr>
        <xdr:cNvPr id="3355" name="Texto 283">
          <a:extLst>
            <a:ext uri="{FF2B5EF4-FFF2-40B4-BE49-F238E27FC236}">
              <a16:creationId xmlns:a16="http://schemas.microsoft.com/office/drawing/2014/main" id="{00000000-0008-0000-2500-00001B0D0000}"/>
            </a:ext>
          </a:extLst>
        </xdr:cNvPr>
        <xdr:cNvSpPr txBox="1">
          <a:spLocks noChangeArrowheads="1"/>
        </xdr:cNvSpPr>
      </xdr:nvSpPr>
      <xdr:spPr bwMode="auto">
        <a:xfrm>
          <a:off x="44450" y="2500119"/>
          <a:ext cx="308672" cy="37970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Aeró. 1</a:t>
          </a:r>
        </a:p>
      </xdr:txBody>
    </xdr:sp>
    <xdr:clientData/>
  </xdr:twoCellAnchor>
  <xdr:twoCellAnchor>
    <xdr:from>
      <xdr:col>0</xdr:col>
      <xdr:colOff>44450</xdr:colOff>
      <xdr:row>12</xdr:row>
      <xdr:rowOff>88848</xdr:rowOff>
    </xdr:from>
    <xdr:to>
      <xdr:col>0</xdr:col>
      <xdr:colOff>399020</xdr:colOff>
      <xdr:row>15</xdr:row>
      <xdr:rowOff>114492</xdr:rowOff>
    </xdr:to>
    <xdr:sp macro="" textlink="">
      <xdr:nvSpPr>
        <xdr:cNvPr id="3356" name="Texto 284">
          <a:extLst>
            <a:ext uri="{FF2B5EF4-FFF2-40B4-BE49-F238E27FC236}">
              <a16:creationId xmlns:a16="http://schemas.microsoft.com/office/drawing/2014/main" id="{00000000-0008-0000-2500-00001C0D0000}"/>
            </a:ext>
          </a:extLst>
        </xdr:cNvPr>
        <xdr:cNvSpPr txBox="1">
          <a:spLocks noChangeArrowheads="1"/>
        </xdr:cNvSpPr>
      </xdr:nvSpPr>
      <xdr:spPr bwMode="auto">
        <a:xfrm>
          <a:off x="44450" y="1311811"/>
          <a:ext cx="354570" cy="34967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Carga</a:t>
          </a:r>
        </a:p>
      </xdr:txBody>
    </xdr:sp>
    <xdr:clientData/>
  </xdr:twoCellAnchor>
  <xdr:twoCellAnchor>
    <xdr:from>
      <xdr:col>28</xdr:col>
      <xdr:colOff>152400</xdr:colOff>
      <xdr:row>63</xdr:row>
      <xdr:rowOff>0</xdr:rowOff>
    </xdr:from>
    <xdr:to>
      <xdr:col>29</xdr:col>
      <xdr:colOff>190500</xdr:colOff>
      <xdr:row>65</xdr:row>
      <xdr:rowOff>63500</xdr:rowOff>
    </xdr:to>
    <xdr:sp macro="" textlink="">
      <xdr:nvSpPr>
        <xdr:cNvPr id="16328689" name="Dibujo 301">
          <a:extLst>
            <a:ext uri="{FF2B5EF4-FFF2-40B4-BE49-F238E27FC236}">
              <a16:creationId xmlns:a16="http://schemas.microsoft.com/office/drawing/2014/main" id="{00000000-0008-0000-2500-0000F127F900}"/>
            </a:ext>
          </a:extLst>
        </xdr:cNvPr>
        <xdr:cNvSpPr>
          <a:spLocks/>
        </xdr:cNvSpPr>
      </xdr:nvSpPr>
      <xdr:spPr bwMode="auto">
        <a:xfrm>
          <a:off x="4292600" y="7289800"/>
          <a:ext cx="152400" cy="29210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855290</xdr:colOff>
      <xdr:row>18</xdr:row>
      <xdr:rowOff>161264</xdr:rowOff>
    </xdr:from>
    <xdr:to>
      <xdr:col>59</xdr:col>
      <xdr:colOff>175144</xdr:colOff>
      <xdr:row>20</xdr:row>
      <xdr:rowOff>41524</xdr:rowOff>
    </xdr:to>
    <xdr:sp macro="" textlink="">
      <xdr:nvSpPr>
        <xdr:cNvPr id="16328690" name="Dibujo 219">
          <a:extLst>
            <a:ext uri="{FF2B5EF4-FFF2-40B4-BE49-F238E27FC236}">
              <a16:creationId xmlns:a16="http://schemas.microsoft.com/office/drawing/2014/main" id="{00000000-0008-0000-2500-0000F227F900}"/>
            </a:ext>
          </a:extLst>
        </xdr:cNvPr>
        <xdr:cNvSpPr>
          <a:spLocks/>
        </xdr:cNvSpPr>
      </xdr:nvSpPr>
      <xdr:spPr bwMode="auto">
        <a:xfrm>
          <a:off x="11359811" y="3268711"/>
          <a:ext cx="198046" cy="488239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59</xdr:col>
      <xdr:colOff>578813</xdr:colOff>
      <xdr:row>16</xdr:row>
      <xdr:rowOff>152479</xdr:rowOff>
    </xdr:from>
    <xdr:to>
      <xdr:col>59</xdr:col>
      <xdr:colOff>812802</xdr:colOff>
      <xdr:row>17</xdr:row>
      <xdr:rowOff>88899</xdr:rowOff>
    </xdr:to>
    <xdr:sp macro="" textlink="">
      <xdr:nvSpPr>
        <xdr:cNvPr id="2855195" name="AutoShape 335">
          <a:extLst>
            <a:ext uri="{FF2B5EF4-FFF2-40B4-BE49-F238E27FC236}">
              <a16:creationId xmlns:a16="http://schemas.microsoft.com/office/drawing/2014/main" id="{00000000-0008-0000-2500-00001B912B00}"/>
            </a:ext>
          </a:extLst>
        </xdr:cNvPr>
        <xdr:cNvSpPr>
          <a:spLocks noChangeArrowheads="1"/>
        </xdr:cNvSpPr>
      </xdr:nvSpPr>
      <xdr:spPr bwMode="auto">
        <a:xfrm>
          <a:off x="9548188" y="1882854"/>
          <a:ext cx="233989" cy="206295"/>
        </a:xfrm>
        <a:prstGeom prst="wedgeEllipseCallout">
          <a:avLst>
            <a:gd name="adj1" fmla="val 5704"/>
            <a:gd name="adj2" fmla="val 339595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1" i="0" u="none" strike="noStrike" baseline="0">
              <a:solidFill>
                <a:srgbClr val="000000"/>
              </a:solidFill>
              <a:latin typeface="Arial"/>
              <a:cs typeface="Arial"/>
            </a:rPr>
            <a:t>CASTELLON</a:t>
          </a:r>
        </a:p>
      </xdr:txBody>
    </xdr:sp>
    <xdr:clientData/>
  </xdr:twoCellAnchor>
  <xdr:twoCellAnchor editAs="oneCell">
    <xdr:from>
      <xdr:col>58</xdr:col>
      <xdr:colOff>135885</xdr:colOff>
      <xdr:row>30</xdr:row>
      <xdr:rowOff>30339</xdr:rowOff>
    </xdr:from>
    <xdr:to>
      <xdr:col>58</xdr:col>
      <xdr:colOff>831225</xdr:colOff>
      <xdr:row>53</xdr:row>
      <xdr:rowOff>9264</xdr:rowOff>
    </xdr:to>
    <xdr:sp macro="" textlink="">
      <xdr:nvSpPr>
        <xdr:cNvPr id="2855196" name="AutoShape 336">
          <a:extLst>
            <a:ext uri="{FF2B5EF4-FFF2-40B4-BE49-F238E27FC236}">
              <a16:creationId xmlns:a16="http://schemas.microsoft.com/office/drawing/2014/main" id="{00000000-0008-0000-2500-00001C912B00}"/>
            </a:ext>
          </a:extLst>
        </xdr:cNvPr>
        <xdr:cNvSpPr>
          <a:spLocks noChangeArrowheads="1"/>
        </xdr:cNvSpPr>
      </xdr:nvSpPr>
      <xdr:spPr bwMode="auto">
        <a:xfrm>
          <a:off x="8341496" y="3501672"/>
          <a:ext cx="695340" cy="1861256"/>
        </a:xfrm>
        <a:prstGeom prst="wedgeEllipseCallout">
          <a:avLst>
            <a:gd name="adj1" fmla="val -45298"/>
            <a:gd name="adj2" fmla="val 16551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800"/>
            </a:lnSpc>
            <a:defRPr sz="1000"/>
          </a:pPr>
          <a:r>
            <a:rPr lang="es-ES_tradnl" sz="7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COLOCAR EL VOLUMEN POR TIPOS, DEL 1 AL 5, ENTRE TODOS SUMAN 15</a:t>
          </a:r>
        </a:p>
        <a:p>
          <a:pPr algn="l" rtl="0">
            <a:defRPr sz="1000"/>
          </a:pPr>
          <a:endParaRPr lang="es-ES_tradnl" sz="700" b="0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</xdr:txBody>
    </xdr:sp>
    <xdr:clientData/>
  </xdr:twoCellAnchor>
  <xdr:twoCellAnchor>
    <xdr:from>
      <xdr:col>57</xdr:col>
      <xdr:colOff>112889</xdr:colOff>
      <xdr:row>29</xdr:row>
      <xdr:rowOff>70555</xdr:rowOff>
    </xdr:from>
    <xdr:to>
      <xdr:col>58</xdr:col>
      <xdr:colOff>261055</xdr:colOff>
      <xdr:row>33</xdr:row>
      <xdr:rowOff>28220</xdr:rowOff>
    </xdr:to>
    <xdr:sp macro="" textlink="">
      <xdr:nvSpPr>
        <xdr:cNvPr id="16328693" name="Line 338">
          <a:extLst>
            <a:ext uri="{FF2B5EF4-FFF2-40B4-BE49-F238E27FC236}">
              <a16:creationId xmlns:a16="http://schemas.microsoft.com/office/drawing/2014/main" id="{00000000-0008-0000-2500-0000F527F900}"/>
            </a:ext>
          </a:extLst>
        </xdr:cNvPr>
        <xdr:cNvSpPr>
          <a:spLocks noChangeShapeType="1"/>
        </xdr:cNvSpPr>
      </xdr:nvSpPr>
      <xdr:spPr bwMode="auto">
        <a:xfrm flipH="1" flipV="1">
          <a:off x="8191500" y="3464277"/>
          <a:ext cx="275166" cy="232832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4233</xdr:colOff>
      <xdr:row>35</xdr:row>
      <xdr:rowOff>0</xdr:rowOff>
    </xdr:from>
    <xdr:to>
      <xdr:col>58</xdr:col>
      <xdr:colOff>204610</xdr:colOff>
      <xdr:row>35</xdr:row>
      <xdr:rowOff>35278</xdr:rowOff>
    </xdr:to>
    <xdr:sp macro="" textlink="">
      <xdr:nvSpPr>
        <xdr:cNvPr id="16328694" name="Line 339">
          <a:extLst>
            <a:ext uri="{FF2B5EF4-FFF2-40B4-BE49-F238E27FC236}">
              <a16:creationId xmlns:a16="http://schemas.microsoft.com/office/drawing/2014/main" id="{00000000-0008-0000-2500-0000F627F900}"/>
            </a:ext>
          </a:extLst>
        </xdr:cNvPr>
        <xdr:cNvSpPr>
          <a:spLocks noChangeShapeType="1"/>
        </xdr:cNvSpPr>
      </xdr:nvSpPr>
      <xdr:spPr bwMode="auto">
        <a:xfrm flipH="1" flipV="1">
          <a:off x="8209844" y="3845278"/>
          <a:ext cx="200377" cy="3527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57</xdr:col>
      <xdr:colOff>91723</xdr:colOff>
      <xdr:row>42</xdr:row>
      <xdr:rowOff>7056</xdr:rowOff>
    </xdr:from>
    <xdr:to>
      <xdr:col>58</xdr:col>
      <xdr:colOff>176388</xdr:colOff>
      <xdr:row>42</xdr:row>
      <xdr:rowOff>7056</xdr:rowOff>
    </xdr:to>
    <xdr:sp macro="" textlink="">
      <xdr:nvSpPr>
        <xdr:cNvPr id="16328695" name="Line 340">
          <a:extLst>
            <a:ext uri="{FF2B5EF4-FFF2-40B4-BE49-F238E27FC236}">
              <a16:creationId xmlns:a16="http://schemas.microsoft.com/office/drawing/2014/main" id="{00000000-0008-0000-2500-0000F727F900}"/>
            </a:ext>
          </a:extLst>
        </xdr:cNvPr>
        <xdr:cNvSpPr>
          <a:spLocks noChangeShapeType="1"/>
        </xdr:cNvSpPr>
      </xdr:nvSpPr>
      <xdr:spPr bwMode="auto">
        <a:xfrm flipH="1">
          <a:off x="8170334" y="4409723"/>
          <a:ext cx="21166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57</xdr:col>
      <xdr:colOff>112889</xdr:colOff>
      <xdr:row>46</xdr:row>
      <xdr:rowOff>52917</xdr:rowOff>
    </xdr:from>
    <xdr:to>
      <xdr:col>58</xdr:col>
      <xdr:colOff>149579</xdr:colOff>
      <xdr:row>48</xdr:row>
      <xdr:rowOff>35279</xdr:rowOff>
    </xdr:to>
    <xdr:sp macro="" textlink="">
      <xdr:nvSpPr>
        <xdr:cNvPr id="16328696" name="Line 341">
          <a:extLst>
            <a:ext uri="{FF2B5EF4-FFF2-40B4-BE49-F238E27FC236}">
              <a16:creationId xmlns:a16="http://schemas.microsoft.com/office/drawing/2014/main" id="{00000000-0008-0000-2500-0000F827F900}"/>
            </a:ext>
          </a:extLst>
        </xdr:cNvPr>
        <xdr:cNvSpPr>
          <a:spLocks noChangeShapeType="1"/>
        </xdr:cNvSpPr>
      </xdr:nvSpPr>
      <xdr:spPr bwMode="auto">
        <a:xfrm flipH="1">
          <a:off x="8191500" y="4773084"/>
          <a:ext cx="163690" cy="16580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38099</xdr:colOff>
      <xdr:row>51</xdr:row>
      <xdr:rowOff>70554</xdr:rowOff>
    </xdr:from>
    <xdr:to>
      <xdr:col>58</xdr:col>
      <xdr:colOff>246944</xdr:colOff>
      <xdr:row>53</xdr:row>
      <xdr:rowOff>63499</xdr:rowOff>
    </xdr:to>
    <xdr:sp macro="" textlink="">
      <xdr:nvSpPr>
        <xdr:cNvPr id="16328697" name="Line 342">
          <a:extLst>
            <a:ext uri="{FF2B5EF4-FFF2-40B4-BE49-F238E27FC236}">
              <a16:creationId xmlns:a16="http://schemas.microsoft.com/office/drawing/2014/main" id="{00000000-0008-0000-2500-0000F927F900}"/>
            </a:ext>
          </a:extLst>
        </xdr:cNvPr>
        <xdr:cNvSpPr>
          <a:spLocks noChangeShapeType="1"/>
        </xdr:cNvSpPr>
      </xdr:nvSpPr>
      <xdr:spPr bwMode="auto">
        <a:xfrm flipH="1">
          <a:off x="8243710" y="5157610"/>
          <a:ext cx="208845" cy="148167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21166</xdr:colOff>
      <xdr:row>53</xdr:row>
      <xdr:rowOff>14816</xdr:rowOff>
    </xdr:from>
    <xdr:to>
      <xdr:col>58</xdr:col>
      <xdr:colOff>349955</xdr:colOff>
      <xdr:row>60</xdr:row>
      <xdr:rowOff>14111</xdr:rowOff>
    </xdr:to>
    <xdr:sp macro="" textlink="">
      <xdr:nvSpPr>
        <xdr:cNvPr id="16328698" name="Line 343">
          <a:extLst>
            <a:ext uri="{FF2B5EF4-FFF2-40B4-BE49-F238E27FC236}">
              <a16:creationId xmlns:a16="http://schemas.microsoft.com/office/drawing/2014/main" id="{00000000-0008-0000-2500-0000FA27F900}"/>
            </a:ext>
          </a:extLst>
        </xdr:cNvPr>
        <xdr:cNvSpPr>
          <a:spLocks noChangeShapeType="1"/>
        </xdr:cNvSpPr>
      </xdr:nvSpPr>
      <xdr:spPr bwMode="auto">
        <a:xfrm flipH="1">
          <a:off x="8226777" y="5257094"/>
          <a:ext cx="328789" cy="47907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21</xdr:col>
      <xdr:colOff>101600</xdr:colOff>
      <xdr:row>62</xdr:row>
      <xdr:rowOff>63500</xdr:rowOff>
    </xdr:from>
    <xdr:to>
      <xdr:col>23</xdr:col>
      <xdr:colOff>38100</xdr:colOff>
      <xdr:row>65</xdr:row>
      <xdr:rowOff>50800</xdr:rowOff>
    </xdr:to>
    <xdr:sp macro="" textlink="">
      <xdr:nvSpPr>
        <xdr:cNvPr id="16840705" name="Dibujo 301">
          <a:extLst>
            <a:ext uri="{FF2B5EF4-FFF2-40B4-BE49-F238E27FC236}">
              <a16:creationId xmlns:a16="http://schemas.microsoft.com/office/drawing/2014/main" id="{00000000-0008-0000-2500-000001F80001}"/>
            </a:ext>
          </a:extLst>
        </xdr:cNvPr>
        <xdr:cNvSpPr>
          <a:spLocks/>
        </xdr:cNvSpPr>
      </xdr:nvSpPr>
      <xdr:spPr bwMode="auto">
        <a:xfrm>
          <a:off x="3263900" y="7277100"/>
          <a:ext cx="215900" cy="29210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36</xdr:col>
      <xdr:colOff>25400</xdr:colOff>
      <xdr:row>63</xdr:row>
      <xdr:rowOff>50800</xdr:rowOff>
    </xdr:from>
    <xdr:to>
      <xdr:col>37</xdr:col>
      <xdr:colOff>63500</xdr:colOff>
      <xdr:row>65</xdr:row>
      <xdr:rowOff>38100</xdr:rowOff>
    </xdr:to>
    <xdr:sp macro="" textlink="">
      <xdr:nvSpPr>
        <xdr:cNvPr id="16840706" name="Dibujo 179">
          <a:extLst>
            <a:ext uri="{FF2B5EF4-FFF2-40B4-BE49-F238E27FC236}">
              <a16:creationId xmlns:a16="http://schemas.microsoft.com/office/drawing/2014/main" id="{00000000-0008-0000-2500-000002F80001}"/>
            </a:ext>
          </a:extLst>
        </xdr:cNvPr>
        <xdr:cNvSpPr>
          <a:spLocks/>
        </xdr:cNvSpPr>
      </xdr:nvSpPr>
      <xdr:spPr bwMode="auto">
        <a:xfrm>
          <a:off x="5295900" y="7340600"/>
          <a:ext cx="177800" cy="21590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62</xdr:col>
      <xdr:colOff>211015</xdr:colOff>
      <xdr:row>15</xdr:row>
      <xdr:rowOff>103116</xdr:rowOff>
    </xdr:from>
    <xdr:to>
      <xdr:col>64</xdr:col>
      <xdr:colOff>267470</xdr:colOff>
      <xdr:row>16</xdr:row>
      <xdr:rowOff>213026</xdr:rowOff>
    </xdr:to>
    <xdr:sp macro="" textlink="">
      <xdr:nvSpPr>
        <xdr:cNvPr id="2855214" name="AutoShape 409">
          <a:extLst>
            <a:ext uri="{FF2B5EF4-FFF2-40B4-BE49-F238E27FC236}">
              <a16:creationId xmlns:a16="http://schemas.microsoft.com/office/drawing/2014/main" id="{00000000-0008-0000-2500-00002E912B00}"/>
            </a:ext>
          </a:extLst>
        </xdr:cNvPr>
        <xdr:cNvSpPr>
          <a:spLocks noChangeArrowheads="1"/>
        </xdr:cNvSpPr>
      </xdr:nvSpPr>
      <xdr:spPr bwMode="auto">
        <a:xfrm>
          <a:off x="11799765" y="1682679"/>
          <a:ext cx="1802705" cy="260722"/>
        </a:xfrm>
        <a:prstGeom prst="wedgeEllipseCallout">
          <a:avLst>
            <a:gd name="adj1" fmla="val -22025"/>
            <a:gd name="adj2" fmla="val 342136"/>
          </a:avLst>
        </a:prstGeom>
        <a:solidFill>
          <a:srgbClr xmlns:mc="http://schemas.openxmlformats.org/markup-compatibility/2006" xmlns:a14="http://schemas.microsoft.com/office/drawing/2010/main" val="CC99FF" mc:Ignorable="a14" a14:legacySpreadsheetColorIndex="46">
            <a:alpha val="20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1000" b="1" i="0" u="none" strike="noStrike" baseline="0">
              <a:solidFill>
                <a:schemeClr val="tx1"/>
              </a:solidFill>
              <a:latin typeface="Arial"/>
              <a:cs typeface="Arial"/>
            </a:rPr>
            <a:t>Tor. Int. Navidad 25m</a:t>
          </a:r>
        </a:p>
      </xdr:txBody>
    </xdr:sp>
    <xdr:clientData/>
  </xdr:twoCellAnchor>
  <xdr:twoCellAnchor>
    <xdr:from>
      <xdr:col>58</xdr:col>
      <xdr:colOff>125352</xdr:colOff>
      <xdr:row>0</xdr:row>
      <xdr:rowOff>145810</xdr:rowOff>
    </xdr:from>
    <xdr:to>
      <xdr:col>58</xdr:col>
      <xdr:colOff>372395</xdr:colOff>
      <xdr:row>5</xdr:row>
      <xdr:rowOff>77341</xdr:rowOff>
    </xdr:to>
    <xdr:sp macro="" textlink="">
      <xdr:nvSpPr>
        <xdr:cNvPr id="16840708" name="Dibujo 301">
          <a:extLst>
            <a:ext uri="{FF2B5EF4-FFF2-40B4-BE49-F238E27FC236}">
              <a16:creationId xmlns:a16="http://schemas.microsoft.com/office/drawing/2014/main" id="{00000000-0008-0000-2500-000004F80001}"/>
            </a:ext>
          </a:extLst>
        </xdr:cNvPr>
        <xdr:cNvSpPr>
          <a:spLocks/>
        </xdr:cNvSpPr>
      </xdr:nvSpPr>
      <xdr:spPr bwMode="auto">
        <a:xfrm>
          <a:off x="9751952" y="145810"/>
          <a:ext cx="247043" cy="871331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61</xdr:col>
      <xdr:colOff>858702</xdr:colOff>
      <xdr:row>23</xdr:row>
      <xdr:rowOff>45043</xdr:rowOff>
    </xdr:from>
    <xdr:to>
      <xdr:col>62</xdr:col>
      <xdr:colOff>130272</xdr:colOff>
      <xdr:row>27</xdr:row>
      <xdr:rowOff>62212</xdr:rowOff>
    </xdr:to>
    <xdr:sp macro="" textlink="">
      <xdr:nvSpPr>
        <xdr:cNvPr id="16840715" name="Dibujo 193">
          <a:extLst>
            <a:ext uri="{FF2B5EF4-FFF2-40B4-BE49-F238E27FC236}">
              <a16:creationId xmlns:a16="http://schemas.microsoft.com/office/drawing/2014/main" id="{00000000-0008-0000-2500-00000BF80001}"/>
            </a:ext>
          </a:extLst>
        </xdr:cNvPr>
        <xdr:cNvSpPr>
          <a:spLocks/>
        </xdr:cNvSpPr>
      </xdr:nvSpPr>
      <xdr:spPr bwMode="auto">
        <a:xfrm>
          <a:off x="12796702" y="3508679"/>
          <a:ext cx="149025" cy="271169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254097</xdr:colOff>
      <xdr:row>15</xdr:row>
      <xdr:rowOff>42156</xdr:rowOff>
    </xdr:from>
    <xdr:to>
      <xdr:col>58</xdr:col>
      <xdr:colOff>454939</xdr:colOff>
      <xdr:row>16</xdr:row>
      <xdr:rowOff>240114</xdr:rowOff>
    </xdr:to>
    <xdr:sp macro="" textlink="">
      <xdr:nvSpPr>
        <xdr:cNvPr id="16840718" name="Dibujo 179">
          <a:extLst>
            <a:ext uri="{FF2B5EF4-FFF2-40B4-BE49-F238E27FC236}">
              <a16:creationId xmlns:a16="http://schemas.microsoft.com/office/drawing/2014/main" id="{00000000-0008-0000-2500-00000EF80001}"/>
            </a:ext>
          </a:extLst>
        </xdr:cNvPr>
        <xdr:cNvSpPr>
          <a:spLocks/>
        </xdr:cNvSpPr>
      </xdr:nvSpPr>
      <xdr:spPr bwMode="auto">
        <a:xfrm>
          <a:off x="9559733" y="2089550"/>
          <a:ext cx="200842" cy="351897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95249</xdr:colOff>
      <xdr:row>23</xdr:row>
      <xdr:rowOff>22579</xdr:rowOff>
    </xdr:from>
    <xdr:to>
      <xdr:col>58</xdr:col>
      <xdr:colOff>395110</xdr:colOff>
      <xdr:row>29</xdr:row>
      <xdr:rowOff>77611</xdr:rowOff>
    </xdr:to>
    <xdr:sp macro="" textlink="">
      <xdr:nvSpPr>
        <xdr:cNvPr id="16840722" name="Line 338">
          <a:extLst>
            <a:ext uri="{FF2B5EF4-FFF2-40B4-BE49-F238E27FC236}">
              <a16:creationId xmlns:a16="http://schemas.microsoft.com/office/drawing/2014/main" id="{00000000-0008-0000-2500-000012F80001}"/>
            </a:ext>
          </a:extLst>
        </xdr:cNvPr>
        <xdr:cNvSpPr>
          <a:spLocks noChangeShapeType="1"/>
        </xdr:cNvSpPr>
      </xdr:nvSpPr>
      <xdr:spPr bwMode="auto">
        <a:xfrm flipH="1" flipV="1">
          <a:off x="8300860" y="3000023"/>
          <a:ext cx="299861" cy="47131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167676</xdr:colOff>
      <xdr:row>16</xdr:row>
      <xdr:rowOff>223716</xdr:rowOff>
    </xdr:from>
    <xdr:to>
      <xdr:col>58</xdr:col>
      <xdr:colOff>382161</xdr:colOff>
      <xdr:row>17</xdr:row>
      <xdr:rowOff>153476</xdr:rowOff>
    </xdr:to>
    <xdr:sp macro="" textlink="$F$14:$G$14">
      <xdr:nvSpPr>
        <xdr:cNvPr id="63" name="Dibujo 179">
          <a:extLst>
            <a:ext uri="{FF2B5EF4-FFF2-40B4-BE49-F238E27FC236}">
              <a16:creationId xmlns:a16="http://schemas.microsoft.com/office/drawing/2014/main" id="{00000000-0008-0000-2500-00003F000000}"/>
            </a:ext>
          </a:extLst>
        </xdr:cNvPr>
        <xdr:cNvSpPr>
          <a:spLocks/>
        </xdr:cNvSpPr>
      </xdr:nvSpPr>
      <xdr:spPr bwMode="auto">
        <a:xfrm>
          <a:off x="9794276" y="2839916"/>
          <a:ext cx="214485" cy="23456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fld id="{C9340FC7-C34F-734D-A512-51CE5691EA68}" type="TxLink">
            <a:rPr lang="en-US" sz="8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82</a:t>
          </a:fld>
          <a:endParaRPr lang="es-ES"/>
        </a:p>
      </xdr:txBody>
    </xdr:sp>
    <xdr:clientData/>
  </xdr:twoCellAnchor>
  <xdr:twoCellAnchor>
    <xdr:from>
      <xdr:col>59</xdr:col>
      <xdr:colOff>44716</xdr:colOff>
      <xdr:row>13</xdr:row>
      <xdr:rowOff>13352</xdr:rowOff>
    </xdr:from>
    <xdr:to>
      <xdr:col>60</xdr:col>
      <xdr:colOff>548613</xdr:colOff>
      <xdr:row>14</xdr:row>
      <xdr:rowOff>45234</xdr:rowOff>
    </xdr:to>
    <xdr:sp macro="" textlink="">
      <xdr:nvSpPr>
        <xdr:cNvPr id="65" name="AutoShape 409">
          <a:extLst>
            <a:ext uri="{FF2B5EF4-FFF2-40B4-BE49-F238E27FC236}">
              <a16:creationId xmlns:a16="http://schemas.microsoft.com/office/drawing/2014/main" id="{00000000-0008-0000-2500-000041000000}"/>
            </a:ext>
          </a:extLst>
        </xdr:cNvPr>
        <xdr:cNvSpPr>
          <a:spLocks noChangeArrowheads="1"/>
        </xdr:cNvSpPr>
      </xdr:nvSpPr>
      <xdr:spPr bwMode="auto">
        <a:xfrm>
          <a:off x="10551849" y="2172352"/>
          <a:ext cx="1384431" cy="184282"/>
        </a:xfrm>
        <a:prstGeom prst="wedgeEllipseCallout">
          <a:avLst>
            <a:gd name="adj1" fmla="val 10176"/>
            <a:gd name="adj2" fmla="val 457867"/>
          </a:avLst>
        </a:prstGeom>
        <a:solidFill>
          <a:srgbClr xmlns:mc="http://schemas.openxmlformats.org/markup-compatibility/2006" xmlns:a14="http://schemas.microsoft.com/office/drawing/2010/main" val="CC99FF" mc:Ignorable="a14" a14:legacySpreadsheetColorIndex="46">
            <a:alpha val="20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600" b="1" i="0" u="none" strike="noStrike" baseline="0">
              <a:solidFill>
                <a:srgbClr val="000000"/>
              </a:solidFill>
              <a:latin typeface="Arial"/>
              <a:cs typeface="Arial"/>
            </a:rPr>
            <a:t>Burga en Bulgaria</a:t>
          </a:r>
        </a:p>
      </xdr:txBody>
    </xdr:sp>
    <xdr:clientData/>
  </xdr:twoCellAnchor>
  <xdr:twoCellAnchor>
    <xdr:from>
      <xdr:col>60</xdr:col>
      <xdr:colOff>515774</xdr:colOff>
      <xdr:row>16</xdr:row>
      <xdr:rowOff>133279</xdr:rowOff>
    </xdr:from>
    <xdr:to>
      <xdr:col>60</xdr:col>
      <xdr:colOff>770971</xdr:colOff>
      <xdr:row>18</xdr:row>
      <xdr:rowOff>138059</xdr:rowOff>
    </xdr:to>
    <xdr:sp macro="" textlink="">
      <xdr:nvSpPr>
        <xdr:cNvPr id="67" name="AutoShape 427">
          <a:extLst>
            <a:ext uri="{FF2B5EF4-FFF2-40B4-BE49-F238E27FC236}">
              <a16:creationId xmlns:a16="http://schemas.microsoft.com/office/drawing/2014/main" id="{00000000-0008-0000-2500-000043000000}"/>
            </a:ext>
          </a:extLst>
        </xdr:cNvPr>
        <xdr:cNvSpPr>
          <a:spLocks noChangeArrowheads="1"/>
        </xdr:cNvSpPr>
      </xdr:nvSpPr>
      <xdr:spPr bwMode="auto">
        <a:xfrm>
          <a:off x="10471163" y="1861890"/>
          <a:ext cx="255197" cy="385780"/>
        </a:xfrm>
        <a:prstGeom prst="wedgeEllipseCallout">
          <a:avLst>
            <a:gd name="adj1" fmla="val -37747"/>
            <a:gd name="adj2" fmla="val 238282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89803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800" b="1" i="0" u="none" strike="noStrike" baseline="0">
              <a:solidFill>
                <a:schemeClr val="tx1"/>
              </a:solidFill>
              <a:latin typeface="Arial"/>
              <a:cs typeface="Arial"/>
            </a:rPr>
            <a:t>Open de España 1-2-3-4-5 Abril, SABADELL</a:t>
          </a:r>
        </a:p>
      </xdr:txBody>
    </xdr:sp>
    <xdr:clientData/>
  </xdr:twoCellAnchor>
  <xdr:twoCellAnchor>
    <xdr:from>
      <xdr:col>60</xdr:col>
      <xdr:colOff>201434</xdr:colOff>
      <xdr:row>19</xdr:row>
      <xdr:rowOff>186619</xdr:rowOff>
    </xdr:from>
    <xdr:to>
      <xdr:col>60</xdr:col>
      <xdr:colOff>451553</xdr:colOff>
      <xdr:row>22</xdr:row>
      <xdr:rowOff>45507</xdr:rowOff>
    </xdr:to>
    <xdr:sp macro="" textlink="">
      <xdr:nvSpPr>
        <xdr:cNvPr id="59" name="AutoShape 335">
          <a:extLst>
            <a:ext uri="{FF2B5EF4-FFF2-40B4-BE49-F238E27FC236}">
              <a16:creationId xmlns:a16="http://schemas.microsoft.com/office/drawing/2014/main" id="{00000000-0008-0000-2500-00003B000000}"/>
            </a:ext>
          </a:extLst>
        </xdr:cNvPr>
        <xdr:cNvSpPr>
          <a:spLocks noChangeArrowheads="1"/>
        </xdr:cNvSpPr>
      </xdr:nvSpPr>
      <xdr:spPr bwMode="auto">
        <a:xfrm>
          <a:off x="10156823" y="2641952"/>
          <a:ext cx="250119" cy="289277"/>
        </a:xfrm>
        <a:prstGeom prst="wedgeEllipseCallout">
          <a:avLst>
            <a:gd name="adj1" fmla="val -28763"/>
            <a:gd name="adj2" fmla="val 241115"/>
          </a:avLst>
        </a:prstGeom>
        <a:solidFill>
          <a:srgbClr val="00FF00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metr. semana en miles</a:t>
          </a:r>
        </a:p>
      </xdr:txBody>
    </xdr:sp>
    <xdr:clientData/>
  </xdr:twoCellAnchor>
  <xdr:twoCellAnchor>
    <xdr:from>
      <xdr:col>61</xdr:col>
      <xdr:colOff>755464</xdr:colOff>
      <xdr:row>22</xdr:row>
      <xdr:rowOff>81199</xdr:rowOff>
    </xdr:from>
    <xdr:to>
      <xdr:col>62</xdr:col>
      <xdr:colOff>605197</xdr:colOff>
      <xdr:row>27</xdr:row>
      <xdr:rowOff>54780</xdr:rowOff>
    </xdr:to>
    <xdr:sp macro="" textlink="">
      <xdr:nvSpPr>
        <xdr:cNvPr id="62" name="AutoShape 335">
          <a:extLst>
            <a:ext uri="{FF2B5EF4-FFF2-40B4-BE49-F238E27FC236}">
              <a16:creationId xmlns:a16="http://schemas.microsoft.com/office/drawing/2014/main" id="{00000000-0008-0000-2500-00003E000000}"/>
            </a:ext>
          </a:extLst>
        </xdr:cNvPr>
        <xdr:cNvSpPr>
          <a:spLocks noChangeArrowheads="1"/>
        </xdr:cNvSpPr>
      </xdr:nvSpPr>
      <xdr:spPr bwMode="auto">
        <a:xfrm>
          <a:off x="12693464" y="3452472"/>
          <a:ext cx="727188" cy="319944"/>
        </a:xfrm>
        <a:prstGeom prst="wedgeEllipseCallout">
          <a:avLst>
            <a:gd name="adj1" fmla="val 71611"/>
            <a:gd name="adj2" fmla="val 104361"/>
          </a:avLst>
        </a:prstGeom>
        <a:solidFill>
          <a:srgbClr val="00FF00">
            <a:alpha val="33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1" i="0" u="none" strike="noStrike" baseline="0">
              <a:solidFill>
                <a:schemeClr val="tx1"/>
              </a:solidFill>
              <a:latin typeface="Arial"/>
              <a:cs typeface="Arial"/>
            </a:rPr>
            <a:t>I trof. GiF.24-25</a:t>
          </a:r>
        </a:p>
      </xdr:txBody>
    </xdr:sp>
    <xdr:clientData/>
  </xdr:twoCellAnchor>
  <xdr:twoCellAnchor>
    <xdr:from>
      <xdr:col>59</xdr:col>
      <xdr:colOff>397561</xdr:colOff>
      <xdr:row>17</xdr:row>
      <xdr:rowOff>73025</xdr:rowOff>
    </xdr:from>
    <xdr:to>
      <xdr:col>59</xdr:col>
      <xdr:colOff>504825</xdr:colOff>
      <xdr:row>18</xdr:row>
      <xdr:rowOff>65439</xdr:rowOff>
    </xdr:to>
    <xdr:sp macro="" textlink="">
      <xdr:nvSpPr>
        <xdr:cNvPr id="66" name="AutoShape 335">
          <a:extLst>
            <a:ext uri="{FF2B5EF4-FFF2-40B4-BE49-F238E27FC236}">
              <a16:creationId xmlns:a16="http://schemas.microsoft.com/office/drawing/2014/main" id="{00000000-0008-0000-2500-000042000000}"/>
            </a:ext>
          </a:extLst>
        </xdr:cNvPr>
        <xdr:cNvSpPr>
          <a:spLocks noChangeArrowheads="1"/>
        </xdr:cNvSpPr>
      </xdr:nvSpPr>
      <xdr:spPr bwMode="auto">
        <a:xfrm>
          <a:off x="10519461" y="2079625"/>
          <a:ext cx="107264" cy="106714"/>
        </a:xfrm>
        <a:prstGeom prst="wedgeEllipseCallout">
          <a:avLst>
            <a:gd name="adj1" fmla="val -107260"/>
            <a:gd name="adj2" fmla="val 211718"/>
          </a:avLst>
        </a:prstGeom>
        <a:solidFill>
          <a:schemeClr val="tx1">
            <a:alpha val="84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0" i="0" u="none" strike="noStrike" baseline="0">
              <a:solidFill>
                <a:schemeClr val="tx1">
                  <a:lumMod val="50000"/>
                  <a:lumOff val="50000"/>
                </a:schemeClr>
              </a:solidFill>
              <a:latin typeface="Arial"/>
              <a:cs typeface="Arial"/>
            </a:rPr>
            <a:t>Calahorra</a:t>
          </a:r>
        </a:p>
      </xdr:txBody>
    </xdr:sp>
    <xdr:clientData/>
  </xdr:twoCellAnchor>
  <xdr:twoCellAnchor>
    <xdr:from>
      <xdr:col>60</xdr:col>
      <xdr:colOff>67622</xdr:colOff>
      <xdr:row>37</xdr:row>
      <xdr:rowOff>41763</xdr:rowOff>
    </xdr:from>
    <xdr:to>
      <xdr:col>61</xdr:col>
      <xdr:colOff>184228</xdr:colOff>
      <xdr:row>42</xdr:row>
      <xdr:rowOff>83791</xdr:rowOff>
    </xdr:to>
    <xdr:sp macro="" textlink="">
      <xdr:nvSpPr>
        <xdr:cNvPr id="69" name="AutoShape 335">
          <a:extLst>
            <a:ext uri="{FF2B5EF4-FFF2-40B4-BE49-F238E27FC236}">
              <a16:creationId xmlns:a16="http://schemas.microsoft.com/office/drawing/2014/main" id="{00000000-0008-0000-2500-000045000000}"/>
            </a:ext>
          </a:extLst>
        </xdr:cNvPr>
        <xdr:cNvSpPr>
          <a:spLocks noChangeArrowheads="1"/>
        </xdr:cNvSpPr>
      </xdr:nvSpPr>
      <xdr:spPr bwMode="auto">
        <a:xfrm>
          <a:off x="11128167" y="4529096"/>
          <a:ext cx="994061" cy="426877"/>
        </a:xfrm>
        <a:prstGeom prst="wedgeEllipseCallout">
          <a:avLst>
            <a:gd name="adj1" fmla="val 32161"/>
            <a:gd name="adj2" fmla="val 153288"/>
          </a:avLst>
        </a:prstGeom>
        <a:solidFill>
          <a:srgbClr val="FF060D">
            <a:alpha val="36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1" i="0" u="none" strike="noStrike" baseline="0">
              <a:solidFill>
                <a:schemeClr val="tx1"/>
              </a:solidFill>
              <a:latin typeface="Arial"/>
              <a:cs typeface="Arial"/>
            </a:rPr>
            <a:t>EH selecciones 22-23</a:t>
          </a:r>
        </a:p>
      </xdr:txBody>
    </xdr:sp>
    <xdr:clientData/>
  </xdr:twoCellAnchor>
  <xdr:twoCellAnchor>
    <xdr:from>
      <xdr:col>64</xdr:col>
      <xdr:colOff>216009</xdr:colOff>
      <xdr:row>11</xdr:row>
      <xdr:rowOff>18615</xdr:rowOff>
    </xdr:from>
    <xdr:to>
      <xdr:col>64</xdr:col>
      <xdr:colOff>709672</xdr:colOff>
      <xdr:row>15</xdr:row>
      <xdr:rowOff>60334</xdr:rowOff>
    </xdr:to>
    <xdr:sp macro="" textlink="">
      <xdr:nvSpPr>
        <xdr:cNvPr id="71" name="AutoShape 335">
          <a:extLst>
            <a:ext uri="{FF2B5EF4-FFF2-40B4-BE49-F238E27FC236}">
              <a16:creationId xmlns:a16="http://schemas.microsoft.com/office/drawing/2014/main" id="{00000000-0008-0000-2500-000047000000}"/>
            </a:ext>
          </a:extLst>
        </xdr:cNvPr>
        <xdr:cNvSpPr>
          <a:spLocks noChangeArrowheads="1"/>
        </xdr:cNvSpPr>
      </xdr:nvSpPr>
      <xdr:spPr bwMode="auto">
        <a:xfrm>
          <a:off x="15125809" y="1872815"/>
          <a:ext cx="493663" cy="651319"/>
        </a:xfrm>
        <a:prstGeom prst="wedgeEllipseCallout">
          <a:avLst>
            <a:gd name="adj1" fmla="val 79583"/>
            <a:gd name="adj2" fmla="val 175007"/>
          </a:avLst>
        </a:prstGeom>
        <a:solidFill>
          <a:srgbClr val="00FF00">
            <a:alpha val="38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Arial"/>
              <a:cs typeface="Arial"/>
            </a:rPr>
            <a:t>GIF Con 8.</a:t>
          </a:r>
          <a:endParaRPr lang="es-ES" sz="500" b="0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58</xdr:col>
      <xdr:colOff>593484</xdr:colOff>
      <xdr:row>14</xdr:row>
      <xdr:rowOff>51409</xdr:rowOff>
    </xdr:from>
    <xdr:to>
      <xdr:col>58</xdr:col>
      <xdr:colOff>757935</xdr:colOff>
      <xdr:row>16</xdr:row>
      <xdr:rowOff>203381</xdr:rowOff>
    </xdr:to>
    <xdr:sp macro="" textlink="">
      <xdr:nvSpPr>
        <xdr:cNvPr id="74" name="Dibujo 179">
          <a:extLst>
            <a:ext uri="{FF2B5EF4-FFF2-40B4-BE49-F238E27FC236}">
              <a16:creationId xmlns:a16="http://schemas.microsoft.com/office/drawing/2014/main" id="{00000000-0008-0000-2500-00004A000000}"/>
            </a:ext>
          </a:extLst>
        </xdr:cNvPr>
        <xdr:cNvSpPr>
          <a:spLocks/>
        </xdr:cNvSpPr>
      </xdr:nvSpPr>
      <xdr:spPr bwMode="auto">
        <a:xfrm>
          <a:off x="9899120" y="1944864"/>
          <a:ext cx="164451" cy="45985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763632</xdr:colOff>
      <xdr:row>0</xdr:row>
      <xdr:rowOff>42886</xdr:rowOff>
    </xdr:from>
    <xdr:to>
      <xdr:col>59</xdr:col>
      <xdr:colOff>175154</xdr:colOff>
      <xdr:row>2</xdr:row>
      <xdr:rowOff>61560</xdr:rowOff>
    </xdr:to>
    <xdr:sp macro="" textlink="">
      <xdr:nvSpPr>
        <xdr:cNvPr id="75" name="Dibujo 219">
          <a:extLst>
            <a:ext uri="{FF2B5EF4-FFF2-40B4-BE49-F238E27FC236}">
              <a16:creationId xmlns:a16="http://schemas.microsoft.com/office/drawing/2014/main" id="{00000000-0008-0000-2500-00004B000000}"/>
            </a:ext>
          </a:extLst>
        </xdr:cNvPr>
        <xdr:cNvSpPr>
          <a:spLocks/>
        </xdr:cNvSpPr>
      </xdr:nvSpPr>
      <xdr:spPr bwMode="auto">
        <a:xfrm>
          <a:off x="10390232" y="42886"/>
          <a:ext cx="292055" cy="492807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61</xdr:col>
      <xdr:colOff>15877</xdr:colOff>
      <xdr:row>5</xdr:row>
      <xdr:rowOff>85725</xdr:rowOff>
    </xdr:from>
    <xdr:to>
      <xdr:col>63</xdr:col>
      <xdr:colOff>506237</xdr:colOff>
      <xdr:row>10</xdr:row>
      <xdr:rowOff>0</xdr:rowOff>
    </xdr:to>
    <xdr:sp macro="[0]!AutoShape425_AlHacerClic" textlink="">
      <xdr:nvSpPr>
        <xdr:cNvPr id="77" name="AutoShape 425">
          <a:extLst>
            <a:ext uri="{FF2B5EF4-FFF2-40B4-BE49-F238E27FC236}">
              <a16:creationId xmlns:a16="http://schemas.microsoft.com/office/drawing/2014/main" id="{00000000-0008-0000-2500-00004D000000}"/>
            </a:ext>
          </a:extLst>
        </xdr:cNvPr>
        <xdr:cNvSpPr>
          <a:spLocks noChangeArrowheads="1"/>
        </xdr:cNvSpPr>
      </xdr:nvSpPr>
      <xdr:spPr bwMode="auto">
        <a:xfrm>
          <a:off x="10731502" y="609600"/>
          <a:ext cx="2236610" cy="422275"/>
        </a:xfrm>
        <a:prstGeom prst="wedgeEllipseCallout">
          <a:avLst>
            <a:gd name="adj1" fmla="val -25323"/>
            <a:gd name="adj2" fmla="val 236585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6862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_tradnl" sz="14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España (OPEN 50)</a:t>
          </a:r>
        </a:p>
        <a:p>
          <a:pPr algn="l" rtl="0">
            <a:defRPr sz="1000"/>
          </a:pPr>
          <a:endParaRPr lang="es-ES_tradnl" sz="1400" b="1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l" rtl="0">
            <a:defRPr sz="1000"/>
          </a:pPr>
          <a:endParaRPr lang="es-ES_tradnl" sz="1000" b="1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l" rtl="0">
            <a:defRPr sz="1000"/>
          </a:pPr>
          <a:r>
            <a:rPr lang="es-ES_tradnl"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25 </a:t>
          </a:r>
        </a:p>
      </xdr:txBody>
    </xdr:sp>
    <xdr:clientData/>
  </xdr:twoCellAnchor>
  <xdr:twoCellAnchor>
    <xdr:from>
      <xdr:col>59</xdr:col>
      <xdr:colOff>109231</xdr:colOff>
      <xdr:row>19</xdr:row>
      <xdr:rowOff>177503</xdr:rowOff>
    </xdr:from>
    <xdr:to>
      <xdr:col>60</xdr:col>
      <xdr:colOff>5012</xdr:colOff>
      <xdr:row>22</xdr:row>
      <xdr:rowOff>64983</xdr:rowOff>
    </xdr:to>
    <xdr:sp macro="" textlink="">
      <xdr:nvSpPr>
        <xdr:cNvPr id="83" name="AutoShape 335">
          <a:extLst>
            <a:ext uri="{FF2B5EF4-FFF2-40B4-BE49-F238E27FC236}">
              <a16:creationId xmlns:a16="http://schemas.microsoft.com/office/drawing/2014/main" id="{00000000-0008-0000-2500-000053000000}"/>
            </a:ext>
          </a:extLst>
        </xdr:cNvPr>
        <xdr:cNvSpPr>
          <a:spLocks noChangeArrowheads="1"/>
        </xdr:cNvSpPr>
      </xdr:nvSpPr>
      <xdr:spPr bwMode="auto">
        <a:xfrm>
          <a:off x="10292322" y="3110048"/>
          <a:ext cx="773235" cy="326208"/>
        </a:xfrm>
        <a:prstGeom prst="wedgeEllipseCallout">
          <a:avLst>
            <a:gd name="adj1" fmla="val 16385"/>
            <a:gd name="adj2" fmla="val 140240"/>
          </a:avLst>
        </a:prstGeom>
        <a:solidFill>
          <a:srgbClr val="00FF00">
            <a:alpha val="36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1" i="0" u="none" strike="noStrike" baseline="0">
              <a:solidFill>
                <a:schemeClr val="tx1"/>
              </a:solidFill>
              <a:latin typeface="Arial"/>
              <a:cs typeface="Arial"/>
            </a:rPr>
            <a:t>II trof.GiF.29-30</a:t>
          </a:r>
        </a:p>
      </xdr:txBody>
    </xdr:sp>
    <xdr:clientData/>
  </xdr:twoCellAnchor>
  <xdr:twoCellAnchor>
    <xdr:from>
      <xdr:col>62</xdr:col>
      <xdr:colOff>713584</xdr:colOff>
      <xdr:row>25</xdr:row>
      <xdr:rowOff>30395</xdr:rowOff>
    </xdr:from>
    <xdr:to>
      <xdr:col>64</xdr:col>
      <xdr:colOff>558159</xdr:colOff>
      <xdr:row>29</xdr:row>
      <xdr:rowOff>18378</xdr:rowOff>
    </xdr:to>
    <xdr:sp macro="" textlink="">
      <xdr:nvSpPr>
        <xdr:cNvPr id="73" name="AutoShape 335">
          <a:extLst>
            <a:ext uri="{FF2B5EF4-FFF2-40B4-BE49-F238E27FC236}">
              <a16:creationId xmlns:a16="http://schemas.microsoft.com/office/drawing/2014/main" id="{00000000-0008-0000-2500-000049000000}"/>
            </a:ext>
          </a:extLst>
        </xdr:cNvPr>
        <xdr:cNvSpPr>
          <a:spLocks noChangeArrowheads="1"/>
        </xdr:cNvSpPr>
      </xdr:nvSpPr>
      <xdr:spPr bwMode="auto">
        <a:xfrm>
          <a:off x="13908804" y="4167879"/>
          <a:ext cx="1601808" cy="251568"/>
        </a:xfrm>
        <a:prstGeom prst="wedgeEllipseCallout">
          <a:avLst>
            <a:gd name="adj1" fmla="val 32893"/>
            <a:gd name="adj2" fmla="val 322001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G Prix Zaragoza 15-16</a:t>
          </a:r>
        </a:p>
      </xdr:txBody>
    </xdr:sp>
    <xdr:clientData/>
  </xdr:twoCellAnchor>
  <xdr:twoCellAnchor>
    <xdr:from>
      <xdr:col>62</xdr:col>
      <xdr:colOff>277813</xdr:colOff>
      <xdr:row>48</xdr:row>
      <xdr:rowOff>59090</xdr:rowOff>
    </xdr:from>
    <xdr:to>
      <xdr:col>62</xdr:col>
      <xdr:colOff>483835</xdr:colOff>
      <xdr:row>52</xdr:row>
      <xdr:rowOff>42783</xdr:rowOff>
    </xdr:to>
    <xdr:sp macro="" textlink="">
      <xdr:nvSpPr>
        <xdr:cNvPr id="78" name="Dibujo 179">
          <a:extLst>
            <a:ext uri="{FF2B5EF4-FFF2-40B4-BE49-F238E27FC236}">
              <a16:creationId xmlns:a16="http://schemas.microsoft.com/office/drawing/2014/main" id="{00000000-0008-0000-2500-00004E000000}"/>
            </a:ext>
          </a:extLst>
        </xdr:cNvPr>
        <xdr:cNvSpPr>
          <a:spLocks/>
        </xdr:cNvSpPr>
      </xdr:nvSpPr>
      <xdr:spPr bwMode="auto">
        <a:xfrm>
          <a:off x="11866563" y="4940653"/>
          <a:ext cx="206022" cy="24563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60</xdr:col>
      <xdr:colOff>217551</xdr:colOff>
      <xdr:row>21</xdr:row>
      <xdr:rowOff>29122</xdr:rowOff>
    </xdr:from>
    <xdr:to>
      <xdr:col>60</xdr:col>
      <xdr:colOff>369549</xdr:colOff>
      <xdr:row>24</xdr:row>
      <xdr:rowOff>18554</xdr:rowOff>
    </xdr:to>
    <xdr:sp macro="" textlink="">
      <xdr:nvSpPr>
        <xdr:cNvPr id="79" name="Dibujo 223">
          <a:extLst>
            <a:ext uri="{FF2B5EF4-FFF2-40B4-BE49-F238E27FC236}">
              <a16:creationId xmlns:a16="http://schemas.microsoft.com/office/drawing/2014/main" id="{00000000-0008-0000-2500-00004F000000}"/>
            </a:ext>
          </a:extLst>
        </xdr:cNvPr>
        <xdr:cNvSpPr>
          <a:spLocks/>
        </xdr:cNvSpPr>
      </xdr:nvSpPr>
      <xdr:spPr bwMode="auto">
        <a:xfrm>
          <a:off x="11278096" y="3308031"/>
          <a:ext cx="151998" cy="251129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775668</xdr:colOff>
      <xdr:row>8</xdr:row>
      <xdr:rowOff>59987</xdr:rowOff>
    </xdr:from>
    <xdr:to>
      <xdr:col>59</xdr:col>
      <xdr:colOff>3791</xdr:colOff>
      <xdr:row>9</xdr:row>
      <xdr:rowOff>139632</xdr:rowOff>
    </xdr:to>
    <xdr:sp macro="" textlink="">
      <xdr:nvSpPr>
        <xdr:cNvPr id="80" name="Dibujo 223">
          <a:extLst>
            <a:ext uri="{FF2B5EF4-FFF2-40B4-BE49-F238E27FC236}">
              <a16:creationId xmlns:a16="http://schemas.microsoft.com/office/drawing/2014/main" id="{00000000-0008-0000-2500-000050000000}"/>
            </a:ext>
          </a:extLst>
        </xdr:cNvPr>
        <xdr:cNvSpPr>
          <a:spLocks/>
        </xdr:cNvSpPr>
      </xdr:nvSpPr>
      <xdr:spPr bwMode="auto">
        <a:xfrm>
          <a:off x="10402268" y="1456987"/>
          <a:ext cx="108656" cy="23204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9</xdr:col>
      <xdr:colOff>133112</xdr:colOff>
      <xdr:row>0</xdr:row>
      <xdr:rowOff>82664</xdr:rowOff>
    </xdr:from>
    <xdr:to>
      <xdr:col>18</xdr:col>
      <xdr:colOff>124993</xdr:colOff>
      <xdr:row>2</xdr:row>
      <xdr:rowOff>67552</xdr:rowOff>
    </xdr:to>
    <xdr:sp macro="" textlink="">
      <xdr:nvSpPr>
        <xdr:cNvPr id="86" name="AutoShape 335">
          <a:extLst>
            <a:ext uri="{FF2B5EF4-FFF2-40B4-BE49-F238E27FC236}">
              <a16:creationId xmlns:a16="http://schemas.microsoft.com/office/drawing/2014/main" id="{00000000-0008-0000-2500-000056000000}"/>
            </a:ext>
          </a:extLst>
        </xdr:cNvPr>
        <xdr:cNvSpPr>
          <a:spLocks noChangeArrowheads="1"/>
        </xdr:cNvSpPr>
      </xdr:nvSpPr>
      <xdr:spPr bwMode="auto">
        <a:xfrm>
          <a:off x="2031357" y="82664"/>
          <a:ext cx="1572625" cy="451005"/>
        </a:xfrm>
        <a:prstGeom prst="wedgeEllipseCallout">
          <a:avLst>
            <a:gd name="adj1" fmla="val 33992"/>
            <a:gd name="adj2" fmla="val 420937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78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Internacional de  ORDIZIA</a:t>
          </a:r>
          <a:endParaRPr lang="es-ES" sz="800" b="1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28</xdr:col>
      <xdr:colOff>111926</xdr:colOff>
      <xdr:row>13</xdr:row>
      <xdr:rowOff>19422</xdr:rowOff>
    </xdr:from>
    <xdr:to>
      <xdr:col>29</xdr:col>
      <xdr:colOff>134147</xdr:colOff>
      <xdr:row>15</xdr:row>
      <xdr:rowOff>148616</xdr:rowOff>
    </xdr:to>
    <xdr:sp macro="" textlink="">
      <xdr:nvSpPr>
        <xdr:cNvPr id="87" name="Dibujo 179">
          <a:extLst>
            <a:ext uri="{FF2B5EF4-FFF2-40B4-BE49-F238E27FC236}">
              <a16:creationId xmlns:a16="http://schemas.microsoft.com/office/drawing/2014/main" id="{00000000-0008-0000-2500-000057000000}"/>
            </a:ext>
          </a:extLst>
        </xdr:cNvPr>
        <xdr:cNvSpPr>
          <a:spLocks/>
        </xdr:cNvSpPr>
      </xdr:nvSpPr>
      <xdr:spPr bwMode="auto">
        <a:xfrm>
          <a:off x="5347298" y="2187879"/>
          <a:ext cx="197860" cy="439939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61</xdr:col>
      <xdr:colOff>316199</xdr:colOff>
      <xdr:row>1</xdr:row>
      <xdr:rowOff>142221</xdr:rowOff>
    </xdr:from>
    <xdr:to>
      <xdr:col>62</xdr:col>
      <xdr:colOff>377592</xdr:colOff>
      <xdr:row>4</xdr:row>
      <xdr:rowOff>25848</xdr:rowOff>
    </xdr:to>
    <xdr:sp macro="" textlink="">
      <xdr:nvSpPr>
        <xdr:cNvPr id="89" name="AutoShape 335">
          <a:extLst>
            <a:ext uri="{FF2B5EF4-FFF2-40B4-BE49-F238E27FC236}">
              <a16:creationId xmlns:a16="http://schemas.microsoft.com/office/drawing/2014/main" id="{00000000-0008-0000-2500-000059000000}"/>
            </a:ext>
          </a:extLst>
        </xdr:cNvPr>
        <xdr:cNvSpPr>
          <a:spLocks noChangeArrowheads="1"/>
        </xdr:cNvSpPr>
      </xdr:nvSpPr>
      <xdr:spPr bwMode="auto">
        <a:xfrm>
          <a:off x="12584399" y="421621"/>
          <a:ext cx="941926" cy="349294"/>
        </a:xfrm>
        <a:prstGeom prst="wedgeEllipseCallout">
          <a:avLst>
            <a:gd name="adj1" fmla="val -24773"/>
            <a:gd name="adj2" fmla="val 625213"/>
          </a:avLst>
        </a:prstGeom>
        <a:solidFill>
          <a:srgbClr val="FF060D">
            <a:alpha val="45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1" i="0" u="none" strike="noStrike" baseline="0">
              <a:solidFill>
                <a:schemeClr val="tx1"/>
              </a:solidFill>
              <a:latin typeface="Arial"/>
              <a:cs typeface="Arial"/>
            </a:rPr>
            <a:t>Euskadi Seleccio</a:t>
          </a:r>
        </a:p>
      </xdr:txBody>
    </xdr:sp>
    <xdr:clientData/>
  </xdr:twoCellAnchor>
  <xdr:oneCellAnchor>
    <xdr:from>
      <xdr:col>59</xdr:col>
      <xdr:colOff>793304</xdr:colOff>
      <xdr:row>9</xdr:row>
      <xdr:rowOff>149303</xdr:rowOff>
    </xdr:from>
    <xdr:ext cx="1576917" cy="448027"/>
    <xdr:sp macro="" textlink="">
      <xdr:nvSpPr>
        <xdr:cNvPr id="90" name="AutoShape 335">
          <a:extLst>
            <a:ext uri="{FF2B5EF4-FFF2-40B4-BE49-F238E27FC236}">
              <a16:creationId xmlns:a16="http://schemas.microsoft.com/office/drawing/2014/main" id="{00000000-0008-0000-2500-00005A000000}"/>
            </a:ext>
          </a:extLst>
        </xdr:cNvPr>
        <xdr:cNvSpPr>
          <a:spLocks noChangeArrowheads="1"/>
        </xdr:cNvSpPr>
      </xdr:nvSpPr>
      <xdr:spPr bwMode="auto">
        <a:xfrm>
          <a:off x="10976395" y="1273061"/>
          <a:ext cx="1576917" cy="448027"/>
        </a:xfrm>
        <a:prstGeom prst="wedgeEllipseCallout">
          <a:avLst>
            <a:gd name="adj1" fmla="val 5402"/>
            <a:gd name="adj2" fmla="val 79317"/>
          </a:avLst>
        </a:prstGeom>
        <a:solidFill>
          <a:srgbClr val="FF0000">
            <a:alpha val="54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>
          <a:noAutofit/>
        </a:bodyPr>
        <a:lstStyle/>
        <a:p>
          <a:pPr algn="l" rtl="0">
            <a:lnSpc>
              <a:spcPts val="1000"/>
            </a:lnSpc>
            <a:defRPr sz="1000"/>
          </a:pPr>
          <a:endParaRPr lang="es-ES" sz="2000" b="0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  <a:p>
          <a:pPr algn="l" rtl="0">
            <a:lnSpc>
              <a:spcPts val="1000"/>
            </a:lnSpc>
            <a:defRPr sz="1000"/>
          </a:pPr>
          <a:r>
            <a:rPr lang="es-ES" sz="2000" b="0" i="0" u="none" strike="noStrike" baseline="0">
              <a:solidFill>
                <a:schemeClr val="tx1">
                  <a:lumMod val="50000"/>
                  <a:lumOff val="50000"/>
                </a:schemeClr>
              </a:solidFill>
              <a:latin typeface="Arial"/>
              <a:cs typeface="Arial"/>
            </a:rPr>
            <a:t>    TOKIO</a:t>
          </a:r>
        </a:p>
      </xdr:txBody>
    </xdr:sp>
    <xdr:clientData/>
  </xdr:oneCellAnchor>
  <xdr:twoCellAnchor>
    <xdr:from>
      <xdr:col>51</xdr:col>
      <xdr:colOff>120650</xdr:colOff>
      <xdr:row>19</xdr:row>
      <xdr:rowOff>303561</xdr:rowOff>
    </xdr:from>
    <xdr:to>
      <xdr:col>52</xdr:col>
      <xdr:colOff>0</xdr:colOff>
      <xdr:row>19</xdr:row>
      <xdr:rowOff>303561</xdr:rowOff>
    </xdr:to>
    <xdr:sp macro="" textlink="">
      <xdr:nvSpPr>
        <xdr:cNvPr id="91" name="Texto 99">
          <a:extLst>
            <a:ext uri="{FF2B5EF4-FFF2-40B4-BE49-F238E27FC236}">
              <a16:creationId xmlns:a16="http://schemas.microsoft.com/office/drawing/2014/main" id="{00000000-0008-0000-2500-00005B000000}"/>
            </a:ext>
          </a:extLst>
        </xdr:cNvPr>
        <xdr:cNvSpPr txBox="1">
          <a:spLocks noChangeArrowheads="1"/>
        </xdr:cNvSpPr>
      </xdr:nvSpPr>
      <xdr:spPr bwMode="auto">
        <a:xfrm>
          <a:off x="7310261" y="2682694"/>
          <a:ext cx="63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52</xdr:col>
      <xdr:colOff>120650</xdr:colOff>
      <xdr:row>19</xdr:row>
      <xdr:rowOff>303561</xdr:rowOff>
    </xdr:from>
    <xdr:to>
      <xdr:col>53</xdr:col>
      <xdr:colOff>0</xdr:colOff>
      <xdr:row>19</xdr:row>
      <xdr:rowOff>303561</xdr:rowOff>
    </xdr:to>
    <xdr:sp macro="" textlink="">
      <xdr:nvSpPr>
        <xdr:cNvPr id="92" name="Texto 99">
          <a:extLst>
            <a:ext uri="{FF2B5EF4-FFF2-40B4-BE49-F238E27FC236}">
              <a16:creationId xmlns:a16="http://schemas.microsoft.com/office/drawing/2014/main" id="{00000000-0008-0000-2500-00005C000000}"/>
            </a:ext>
          </a:extLst>
        </xdr:cNvPr>
        <xdr:cNvSpPr txBox="1">
          <a:spLocks noChangeArrowheads="1"/>
        </xdr:cNvSpPr>
      </xdr:nvSpPr>
      <xdr:spPr bwMode="auto">
        <a:xfrm>
          <a:off x="7310261" y="2682694"/>
          <a:ext cx="63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53</xdr:col>
      <xdr:colOff>120650</xdr:colOff>
      <xdr:row>19</xdr:row>
      <xdr:rowOff>303561</xdr:rowOff>
    </xdr:from>
    <xdr:to>
      <xdr:col>54</xdr:col>
      <xdr:colOff>0</xdr:colOff>
      <xdr:row>19</xdr:row>
      <xdr:rowOff>303561</xdr:rowOff>
    </xdr:to>
    <xdr:sp macro="" textlink="">
      <xdr:nvSpPr>
        <xdr:cNvPr id="93" name="Texto 99">
          <a:extLst>
            <a:ext uri="{FF2B5EF4-FFF2-40B4-BE49-F238E27FC236}">
              <a16:creationId xmlns:a16="http://schemas.microsoft.com/office/drawing/2014/main" id="{00000000-0008-0000-2500-00005D000000}"/>
            </a:ext>
          </a:extLst>
        </xdr:cNvPr>
        <xdr:cNvSpPr txBox="1">
          <a:spLocks noChangeArrowheads="1"/>
        </xdr:cNvSpPr>
      </xdr:nvSpPr>
      <xdr:spPr bwMode="auto">
        <a:xfrm>
          <a:off x="7310261" y="2682694"/>
          <a:ext cx="63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54</xdr:col>
      <xdr:colOff>120650</xdr:colOff>
      <xdr:row>19</xdr:row>
      <xdr:rowOff>303561</xdr:rowOff>
    </xdr:from>
    <xdr:to>
      <xdr:col>55</xdr:col>
      <xdr:colOff>0</xdr:colOff>
      <xdr:row>19</xdr:row>
      <xdr:rowOff>303561</xdr:rowOff>
    </xdr:to>
    <xdr:sp macro="" textlink="">
      <xdr:nvSpPr>
        <xdr:cNvPr id="94" name="Texto 99">
          <a:extLst>
            <a:ext uri="{FF2B5EF4-FFF2-40B4-BE49-F238E27FC236}">
              <a16:creationId xmlns:a16="http://schemas.microsoft.com/office/drawing/2014/main" id="{00000000-0008-0000-2500-00005E000000}"/>
            </a:ext>
          </a:extLst>
        </xdr:cNvPr>
        <xdr:cNvSpPr txBox="1">
          <a:spLocks noChangeArrowheads="1"/>
        </xdr:cNvSpPr>
      </xdr:nvSpPr>
      <xdr:spPr bwMode="auto">
        <a:xfrm>
          <a:off x="7310261" y="2682694"/>
          <a:ext cx="63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55</xdr:col>
      <xdr:colOff>120650</xdr:colOff>
      <xdr:row>19</xdr:row>
      <xdr:rowOff>303561</xdr:rowOff>
    </xdr:from>
    <xdr:to>
      <xdr:col>56</xdr:col>
      <xdr:colOff>0</xdr:colOff>
      <xdr:row>19</xdr:row>
      <xdr:rowOff>303561</xdr:rowOff>
    </xdr:to>
    <xdr:sp macro="" textlink="">
      <xdr:nvSpPr>
        <xdr:cNvPr id="95" name="Texto 99">
          <a:extLst>
            <a:ext uri="{FF2B5EF4-FFF2-40B4-BE49-F238E27FC236}">
              <a16:creationId xmlns:a16="http://schemas.microsoft.com/office/drawing/2014/main" id="{00000000-0008-0000-2500-00005F000000}"/>
            </a:ext>
          </a:extLst>
        </xdr:cNvPr>
        <xdr:cNvSpPr txBox="1">
          <a:spLocks noChangeArrowheads="1"/>
        </xdr:cNvSpPr>
      </xdr:nvSpPr>
      <xdr:spPr bwMode="auto">
        <a:xfrm>
          <a:off x="7310261" y="2682694"/>
          <a:ext cx="63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56</xdr:col>
      <xdr:colOff>120650</xdr:colOff>
      <xdr:row>19</xdr:row>
      <xdr:rowOff>303561</xdr:rowOff>
    </xdr:from>
    <xdr:to>
      <xdr:col>57</xdr:col>
      <xdr:colOff>0</xdr:colOff>
      <xdr:row>19</xdr:row>
      <xdr:rowOff>303561</xdr:rowOff>
    </xdr:to>
    <xdr:sp macro="" textlink="">
      <xdr:nvSpPr>
        <xdr:cNvPr id="96" name="Texto 99">
          <a:extLst>
            <a:ext uri="{FF2B5EF4-FFF2-40B4-BE49-F238E27FC236}">
              <a16:creationId xmlns:a16="http://schemas.microsoft.com/office/drawing/2014/main" id="{00000000-0008-0000-2500-000060000000}"/>
            </a:ext>
          </a:extLst>
        </xdr:cNvPr>
        <xdr:cNvSpPr txBox="1">
          <a:spLocks noChangeArrowheads="1"/>
        </xdr:cNvSpPr>
      </xdr:nvSpPr>
      <xdr:spPr bwMode="auto">
        <a:xfrm>
          <a:off x="7310261" y="2682694"/>
          <a:ext cx="63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57</xdr:col>
      <xdr:colOff>120650</xdr:colOff>
      <xdr:row>19</xdr:row>
      <xdr:rowOff>303561</xdr:rowOff>
    </xdr:from>
    <xdr:to>
      <xdr:col>58</xdr:col>
      <xdr:colOff>0</xdr:colOff>
      <xdr:row>19</xdr:row>
      <xdr:rowOff>303561</xdr:rowOff>
    </xdr:to>
    <xdr:sp macro="" textlink="">
      <xdr:nvSpPr>
        <xdr:cNvPr id="97" name="Texto 99">
          <a:extLst>
            <a:ext uri="{FF2B5EF4-FFF2-40B4-BE49-F238E27FC236}">
              <a16:creationId xmlns:a16="http://schemas.microsoft.com/office/drawing/2014/main" id="{00000000-0008-0000-2500-000061000000}"/>
            </a:ext>
          </a:extLst>
        </xdr:cNvPr>
        <xdr:cNvSpPr txBox="1">
          <a:spLocks noChangeArrowheads="1"/>
        </xdr:cNvSpPr>
      </xdr:nvSpPr>
      <xdr:spPr bwMode="auto">
        <a:xfrm>
          <a:off x="7310261" y="2682694"/>
          <a:ext cx="63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19</xdr:col>
      <xdr:colOff>31031</xdr:colOff>
      <xdr:row>0</xdr:row>
      <xdr:rowOff>92429</xdr:rowOff>
    </xdr:from>
    <xdr:to>
      <xdr:col>32</xdr:col>
      <xdr:colOff>166630</xdr:colOff>
      <xdr:row>1</xdr:row>
      <xdr:rowOff>27179</xdr:rowOff>
    </xdr:to>
    <xdr:sp macro="" textlink="">
      <xdr:nvSpPr>
        <xdr:cNvPr id="76" name="AutoShape 409">
          <a:extLst>
            <a:ext uri="{FF2B5EF4-FFF2-40B4-BE49-F238E27FC236}">
              <a16:creationId xmlns:a16="http://schemas.microsoft.com/office/drawing/2014/main" id="{00000000-0008-0000-2500-00004C000000}"/>
            </a:ext>
          </a:extLst>
        </xdr:cNvPr>
        <xdr:cNvSpPr>
          <a:spLocks noChangeArrowheads="1"/>
        </xdr:cNvSpPr>
      </xdr:nvSpPr>
      <xdr:spPr bwMode="auto">
        <a:xfrm>
          <a:off x="3685659" y="92429"/>
          <a:ext cx="2418897" cy="211718"/>
        </a:xfrm>
        <a:prstGeom prst="wedgeEllipseCallout">
          <a:avLst>
            <a:gd name="adj1" fmla="val 4067"/>
            <a:gd name="adj2" fmla="val 932744"/>
          </a:avLst>
        </a:prstGeom>
        <a:solidFill>
          <a:srgbClr val="FFFF0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600" b="1" i="0" u="none" strike="noStrike" baseline="0">
              <a:solidFill>
                <a:srgbClr val="FF0000"/>
              </a:solidFill>
              <a:latin typeface="Arial"/>
              <a:cs typeface="Arial"/>
            </a:rPr>
            <a:t>OPEN DE PRIMAVERA TRIALS OF </a:t>
          </a:r>
          <a:r>
            <a:rPr lang="es-ES" sz="600" b="1" i="0" u="none" strike="noStrike" baseline="0">
              <a:solidFill>
                <a:srgbClr val="002060"/>
              </a:solidFill>
              <a:latin typeface="Arial"/>
              <a:cs typeface="Arial"/>
            </a:rPr>
            <a:t>SPAIN</a:t>
          </a:r>
        </a:p>
      </xdr:txBody>
    </xdr:sp>
    <xdr:clientData/>
  </xdr:twoCellAnchor>
  <xdr:twoCellAnchor>
    <xdr:from>
      <xdr:col>58</xdr:col>
      <xdr:colOff>628846</xdr:colOff>
      <xdr:row>15</xdr:row>
      <xdr:rowOff>152894</xdr:rowOff>
    </xdr:from>
    <xdr:to>
      <xdr:col>58</xdr:col>
      <xdr:colOff>816988</xdr:colOff>
      <xdr:row>18</xdr:row>
      <xdr:rowOff>9298</xdr:rowOff>
    </xdr:to>
    <xdr:sp macro="" textlink="">
      <xdr:nvSpPr>
        <xdr:cNvPr id="81" name="Dibujo 179">
          <a:extLst>
            <a:ext uri="{FF2B5EF4-FFF2-40B4-BE49-F238E27FC236}">
              <a16:creationId xmlns:a16="http://schemas.microsoft.com/office/drawing/2014/main" id="{00000000-0008-0000-2500-000051000000}"/>
            </a:ext>
          </a:extLst>
        </xdr:cNvPr>
        <xdr:cNvSpPr>
          <a:spLocks/>
        </xdr:cNvSpPr>
      </xdr:nvSpPr>
      <xdr:spPr bwMode="auto">
        <a:xfrm>
          <a:off x="9934482" y="2200288"/>
          <a:ext cx="188142" cy="395192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62</xdr:col>
      <xdr:colOff>127878</xdr:colOff>
      <xdr:row>36</xdr:row>
      <xdr:rowOff>45052</xdr:rowOff>
    </xdr:from>
    <xdr:to>
      <xdr:col>62</xdr:col>
      <xdr:colOff>622448</xdr:colOff>
      <xdr:row>40</xdr:row>
      <xdr:rowOff>32776</xdr:rowOff>
    </xdr:to>
    <xdr:sp macro="" textlink="">
      <xdr:nvSpPr>
        <xdr:cNvPr id="84" name="AutoShape 335">
          <a:extLst>
            <a:ext uri="{FF2B5EF4-FFF2-40B4-BE49-F238E27FC236}">
              <a16:creationId xmlns:a16="http://schemas.microsoft.com/office/drawing/2014/main" id="{00000000-0008-0000-2500-000054000000}"/>
            </a:ext>
          </a:extLst>
        </xdr:cNvPr>
        <xdr:cNvSpPr>
          <a:spLocks noChangeArrowheads="1"/>
        </xdr:cNvSpPr>
      </xdr:nvSpPr>
      <xdr:spPr bwMode="auto">
        <a:xfrm rot="10545450">
          <a:off x="13276611" y="4989585"/>
          <a:ext cx="494570" cy="284058"/>
        </a:xfrm>
        <a:prstGeom prst="wedgeEllipseCallout">
          <a:avLst>
            <a:gd name="adj1" fmla="val 7002"/>
            <a:gd name="adj2" fmla="val 167137"/>
          </a:avLst>
        </a:prstGeom>
        <a:solidFill>
          <a:srgbClr val="00FF00">
            <a:alpha val="29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Arial"/>
              <a:cs typeface="Arial"/>
            </a:rPr>
            <a:t>GIF CO 22 </a:t>
          </a:r>
          <a:endParaRPr lang="es-ES" sz="500" b="0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62</xdr:col>
      <xdr:colOff>767418</xdr:colOff>
      <xdr:row>40</xdr:row>
      <xdr:rowOff>25584</xdr:rowOff>
    </xdr:from>
    <xdr:to>
      <xdr:col>63</xdr:col>
      <xdr:colOff>96663</xdr:colOff>
      <xdr:row>45</xdr:row>
      <xdr:rowOff>23532</xdr:rowOff>
    </xdr:to>
    <xdr:sp macro="" textlink="">
      <xdr:nvSpPr>
        <xdr:cNvPr id="85" name="Dibujo 271">
          <a:extLst>
            <a:ext uri="{FF2B5EF4-FFF2-40B4-BE49-F238E27FC236}">
              <a16:creationId xmlns:a16="http://schemas.microsoft.com/office/drawing/2014/main" id="{00000000-0008-0000-2500-000055000000}"/>
            </a:ext>
          </a:extLst>
        </xdr:cNvPr>
        <xdr:cNvSpPr>
          <a:spLocks/>
        </xdr:cNvSpPr>
      </xdr:nvSpPr>
      <xdr:spPr bwMode="auto">
        <a:xfrm>
          <a:off x="13916151" y="5266451"/>
          <a:ext cx="209779" cy="395881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14</xdr:col>
      <xdr:colOff>117231</xdr:colOff>
      <xdr:row>62</xdr:row>
      <xdr:rowOff>68385</xdr:rowOff>
    </xdr:from>
    <xdr:to>
      <xdr:col>16</xdr:col>
      <xdr:colOff>22979</xdr:colOff>
      <xdr:row>66</xdr:row>
      <xdr:rowOff>2949</xdr:rowOff>
    </xdr:to>
    <xdr:sp macro="" textlink="">
      <xdr:nvSpPr>
        <xdr:cNvPr id="88" name="Dibujo 271">
          <a:extLst>
            <a:ext uri="{FF2B5EF4-FFF2-40B4-BE49-F238E27FC236}">
              <a16:creationId xmlns:a16="http://schemas.microsoft.com/office/drawing/2014/main" id="{00000000-0008-0000-2500-000058000000}"/>
            </a:ext>
          </a:extLst>
        </xdr:cNvPr>
        <xdr:cNvSpPr>
          <a:spLocks/>
        </xdr:cNvSpPr>
      </xdr:nvSpPr>
      <xdr:spPr bwMode="auto">
        <a:xfrm>
          <a:off x="2626993" y="6887075"/>
          <a:ext cx="208129" cy="365457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59</xdr:col>
      <xdr:colOff>521777</xdr:colOff>
      <xdr:row>18</xdr:row>
      <xdr:rowOff>303889</xdr:rowOff>
    </xdr:from>
    <xdr:to>
      <xdr:col>62</xdr:col>
      <xdr:colOff>715342</xdr:colOff>
      <xdr:row>19</xdr:row>
      <xdr:rowOff>207257</xdr:rowOff>
    </xdr:to>
    <xdr:sp macro="" textlink="">
      <xdr:nvSpPr>
        <xdr:cNvPr id="98" name="AutoShape 335">
          <a:extLst>
            <a:ext uri="{FF2B5EF4-FFF2-40B4-BE49-F238E27FC236}">
              <a16:creationId xmlns:a16="http://schemas.microsoft.com/office/drawing/2014/main" id="{00000000-0008-0000-2500-000062000000}"/>
            </a:ext>
          </a:extLst>
        </xdr:cNvPr>
        <xdr:cNvSpPr>
          <a:spLocks noChangeArrowheads="1"/>
        </xdr:cNvSpPr>
      </xdr:nvSpPr>
      <xdr:spPr bwMode="auto">
        <a:xfrm>
          <a:off x="10704868" y="2890071"/>
          <a:ext cx="2825929" cy="249731"/>
        </a:xfrm>
        <a:prstGeom prst="wedgeEllipseCallout">
          <a:avLst>
            <a:gd name="adj1" fmla="val 18294"/>
            <a:gd name="adj2" fmla="val 512287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Monaco29-30/5, Canet 1-2/6, Barc.5-6/6</a:t>
          </a:r>
          <a:endParaRPr lang="es-ES" sz="800" b="1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121205</xdr:colOff>
      <xdr:row>12</xdr:row>
      <xdr:rowOff>76657</xdr:rowOff>
    </xdr:from>
    <xdr:to>
      <xdr:col>5</xdr:col>
      <xdr:colOff>123355</xdr:colOff>
      <xdr:row>15</xdr:row>
      <xdr:rowOff>74692</xdr:rowOff>
    </xdr:to>
    <xdr:sp macro="" textlink="">
      <xdr:nvSpPr>
        <xdr:cNvPr id="99" name="Dibujo 179">
          <a:extLst>
            <a:ext uri="{FF2B5EF4-FFF2-40B4-BE49-F238E27FC236}">
              <a16:creationId xmlns:a16="http://schemas.microsoft.com/office/drawing/2014/main" id="{00000000-0008-0000-2500-000063000000}"/>
            </a:ext>
          </a:extLst>
        </xdr:cNvPr>
        <xdr:cNvSpPr>
          <a:spLocks/>
        </xdr:cNvSpPr>
      </xdr:nvSpPr>
      <xdr:spPr bwMode="auto">
        <a:xfrm>
          <a:off x="1141258" y="2089742"/>
          <a:ext cx="177788" cy="464152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489072</xdr:colOff>
      <xdr:row>15</xdr:row>
      <xdr:rowOff>31624</xdr:rowOff>
    </xdr:from>
    <xdr:to>
      <xdr:col>58</xdr:col>
      <xdr:colOff>652858</xdr:colOff>
      <xdr:row>17</xdr:row>
      <xdr:rowOff>65766</xdr:rowOff>
    </xdr:to>
    <xdr:sp macro="" textlink="">
      <xdr:nvSpPr>
        <xdr:cNvPr id="100" name="Dibujo 179">
          <a:extLst>
            <a:ext uri="{FF2B5EF4-FFF2-40B4-BE49-F238E27FC236}">
              <a16:creationId xmlns:a16="http://schemas.microsoft.com/office/drawing/2014/main" id="{00000000-0008-0000-2500-000064000000}"/>
            </a:ext>
          </a:extLst>
        </xdr:cNvPr>
        <xdr:cNvSpPr>
          <a:spLocks/>
        </xdr:cNvSpPr>
      </xdr:nvSpPr>
      <xdr:spPr bwMode="auto">
        <a:xfrm>
          <a:off x="9794708" y="2079018"/>
          <a:ext cx="163786" cy="45747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62</xdr:col>
      <xdr:colOff>457699</xdr:colOff>
      <xdr:row>12</xdr:row>
      <xdr:rowOff>146424</xdr:rowOff>
    </xdr:from>
    <xdr:to>
      <xdr:col>63</xdr:col>
      <xdr:colOff>425416</xdr:colOff>
      <xdr:row>15</xdr:row>
      <xdr:rowOff>54558</xdr:rowOff>
    </xdr:to>
    <xdr:sp macro="" textlink="">
      <xdr:nvSpPr>
        <xdr:cNvPr id="102" name="AutoShape 427">
          <a:extLst>
            <a:ext uri="{FF2B5EF4-FFF2-40B4-BE49-F238E27FC236}">
              <a16:creationId xmlns:a16="http://schemas.microsoft.com/office/drawing/2014/main" id="{00000000-0008-0000-2500-000066000000}"/>
            </a:ext>
          </a:extLst>
        </xdr:cNvPr>
        <xdr:cNvSpPr>
          <a:spLocks noChangeArrowheads="1"/>
        </xdr:cNvSpPr>
      </xdr:nvSpPr>
      <xdr:spPr bwMode="auto">
        <a:xfrm>
          <a:off x="13606432" y="2153024"/>
          <a:ext cx="848251" cy="365334"/>
        </a:xfrm>
        <a:prstGeom prst="wedgeEllipseCallout">
          <a:avLst>
            <a:gd name="adj1" fmla="val -65945"/>
            <a:gd name="adj2" fmla="val 402586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89803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600" b="1" i="0" u="none" strike="noStrike" baseline="0">
              <a:solidFill>
                <a:schemeClr val="tx1"/>
              </a:solidFill>
              <a:latin typeface="Arial"/>
              <a:cs typeface="Arial"/>
            </a:rPr>
            <a:t>EUROPA 25m</a:t>
          </a:r>
        </a:p>
        <a:p>
          <a:pPr algn="l" rtl="0">
            <a:defRPr sz="1000"/>
          </a:pPr>
          <a:r>
            <a:rPr lang="es-ES" sz="600" b="1" i="0" u="none" strike="noStrike" baseline="0">
              <a:solidFill>
                <a:schemeClr val="tx1"/>
              </a:solidFill>
              <a:latin typeface="Arial"/>
              <a:cs typeface="Arial"/>
            </a:rPr>
            <a:t>    Kazan</a:t>
          </a:r>
        </a:p>
      </xdr:txBody>
    </xdr:sp>
    <xdr:clientData/>
  </xdr:twoCellAnchor>
  <xdr:twoCellAnchor>
    <xdr:from>
      <xdr:col>58</xdr:col>
      <xdr:colOff>424511</xdr:colOff>
      <xdr:row>2</xdr:row>
      <xdr:rowOff>69014</xdr:rowOff>
    </xdr:from>
    <xdr:to>
      <xdr:col>58</xdr:col>
      <xdr:colOff>588975</xdr:colOff>
      <xdr:row>5</xdr:row>
      <xdr:rowOff>64230</xdr:rowOff>
    </xdr:to>
    <xdr:sp macro="" textlink="">
      <xdr:nvSpPr>
        <xdr:cNvPr id="104" name="Dibujo 219">
          <a:extLst>
            <a:ext uri="{FF2B5EF4-FFF2-40B4-BE49-F238E27FC236}">
              <a16:creationId xmlns:a16="http://schemas.microsoft.com/office/drawing/2014/main" id="{00000000-0008-0000-2500-000068000000}"/>
            </a:ext>
          </a:extLst>
        </xdr:cNvPr>
        <xdr:cNvSpPr>
          <a:spLocks/>
        </xdr:cNvSpPr>
      </xdr:nvSpPr>
      <xdr:spPr bwMode="auto">
        <a:xfrm>
          <a:off x="10051111" y="543147"/>
          <a:ext cx="164464" cy="460883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59</xdr:col>
      <xdr:colOff>493610</xdr:colOff>
      <xdr:row>1</xdr:row>
      <xdr:rowOff>61240</xdr:rowOff>
    </xdr:from>
    <xdr:to>
      <xdr:col>60</xdr:col>
      <xdr:colOff>476169</xdr:colOff>
      <xdr:row>3</xdr:row>
      <xdr:rowOff>14724</xdr:rowOff>
    </xdr:to>
    <xdr:sp macro="" textlink="">
      <xdr:nvSpPr>
        <xdr:cNvPr id="105" name="AutoShape 427">
          <a:extLst>
            <a:ext uri="{FF2B5EF4-FFF2-40B4-BE49-F238E27FC236}">
              <a16:creationId xmlns:a16="http://schemas.microsoft.com/office/drawing/2014/main" id="{00000000-0008-0000-2500-000069000000}"/>
            </a:ext>
          </a:extLst>
        </xdr:cNvPr>
        <xdr:cNvSpPr>
          <a:spLocks noChangeArrowheads="1"/>
        </xdr:cNvSpPr>
      </xdr:nvSpPr>
      <xdr:spPr bwMode="auto">
        <a:xfrm>
          <a:off x="11161610" y="337327"/>
          <a:ext cx="854994" cy="295832"/>
        </a:xfrm>
        <a:prstGeom prst="wedgeEllipseCallout">
          <a:avLst>
            <a:gd name="adj1" fmla="val -51414"/>
            <a:gd name="adj2" fmla="val 473287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89803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600" b="1" i="0" u="none" strike="noStrike" baseline="0">
              <a:solidFill>
                <a:schemeClr val="tx1"/>
              </a:solidFill>
              <a:latin typeface="Arial"/>
              <a:cs typeface="Arial"/>
            </a:rPr>
            <a:t>MUNDIAL 25m Abu-Dhabi</a:t>
          </a:r>
        </a:p>
      </xdr:txBody>
    </xdr:sp>
    <xdr:clientData/>
  </xdr:twoCellAnchor>
  <xdr:twoCellAnchor>
    <xdr:from>
      <xdr:col>58</xdr:col>
      <xdr:colOff>264400</xdr:colOff>
      <xdr:row>11</xdr:row>
      <xdr:rowOff>10194</xdr:rowOff>
    </xdr:from>
    <xdr:to>
      <xdr:col>59</xdr:col>
      <xdr:colOff>227306</xdr:colOff>
      <xdr:row>13</xdr:row>
      <xdr:rowOff>451</xdr:rowOff>
    </xdr:to>
    <xdr:sp macro="" textlink="">
      <xdr:nvSpPr>
        <xdr:cNvPr id="106" name="AutoShape 427">
          <a:extLst>
            <a:ext uri="{FF2B5EF4-FFF2-40B4-BE49-F238E27FC236}">
              <a16:creationId xmlns:a16="http://schemas.microsoft.com/office/drawing/2014/main" id="{00000000-0008-0000-2500-00006A000000}"/>
            </a:ext>
          </a:extLst>
        </xdr:cNvPr>
        <xdr:cNvSpPr>
          <a:spLocks noChangeArrowheads="1"/>
        </xdr:cNvSpPr>
      </xdr:nvSpPr>
      <xdr:spPr bwMode="auto">
        <a:xfrm>
          <a:off x="10768921" y="1867907"/>
          <a:ext cx="841098" cy="301001"/>
        </a:xfrm>
        <a:prstGeom prst="wedgeEllipseCallout">
          <a:avLst>
            <a:gd name="adj1" fmla="val -60955"/>
            <a:gd name="adj2" fmla="val 471916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89803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600" b="1" i="0" u="none" strike="noStrike" baseline="0">
              <a:solidFill>
                <a:schemeClr val="tx1"/>
              </a:solidFill>
              <a:latin typeface="Arial"/>
              <a:cs typeface="Arial"/>
            </a:rPr>
            <a:t>MUNDIAL 50m 25m Fuj Kuoka</a:t>
          </a:r>
        </a:p>
      </xdr:txBody>
    </xdr:sp>
    <xdr:clientData/>
  </xdr:twoCellAnchor>
  <xdr:twoCellAnchor>
    <xdr:from>
      <xdr:col>59</xdr:col>
      <xdr:colOff>871601</xdr:colOff>
      <xdr:row>27</xdr:row>
      <xdr:rowOff>72495</xdr:rowOff>
    </xdr:from>
    <xdr:to>
      <xdr:col>60</xdr:col>
      <xdr:colOff>184535</xdr:colOff>
      <xdr:row>33</xdr:row>
      <xdr:rowOff>93958</xdr:rowOff>
    </xdr:to>
    <xdr:sp macro="" textlink="">
      <xdr:nvSpPr>
        <xdr:cNvPr id="107" name="Dibujo 219">
          <a:extLst>
            <a:ext uri="{FF2B5EF4-FFF2-40B4-BE49-F238E27FC236}">
              <a16:creationId xmlns:a16="http://schemas.microsoft.com/office/drawing/2014/main" id="{00000000-0008-0000-2500-00006B000000}"/>
            </a:ext>
          </a:extLst>
        </xdr:cNvPr>
        <xdr:cNvSpPr>
          <a:spLocks/>
        </xdr:cNvSpPr>
      </xdr:nvSpPr>
      <xdr:spPr bwMode="auto">
        <a:xfrm>
          <a:off x="12254314" y="4328346"/>
          <a:ext cx="191125" cy="433538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60</xdr:col>
      <xdr:colOff>714582</xdr:colOff>
      <xdr:row>13</xdr:row>
      <xdr:rowOff>98938</xdr:rowOff>
    </xdr:from>
    <xdr:to>
      <xdr:col>61</xdr:col>
      <xdr:colOff>621653</xdr:colOff>
      <xdr:row>15</xdr:row>
      <xdr:rowOff>128102</xdr:rowOff>
    </xdr:to>
    <xdr:sp macro="" textlink="">
      <xdr:nvSpPr>
        <xdr:cNvPr id="109" name="AutoShape 427">
          <a:extLst>
            <a:ext uri="{FF2B5EF4-FFF2-40B4-BE49-F238E27FC236}">
              <a16:creationId xmlns:a16="http://schemas.microsoft.com/office/drawing/2014/main" id="{00000000-0008-0000-2500-00006D000000}"/>
            </a:ext>
          </a:extLst>
        </xdr:cNvPr>
        <xdr:cNvSpPr>
          <a:spLocks noChangeArrowheads="1"/>
        </xdr:cNvSpPr>
      </xdr:nvSpPr>
      <xdr:spPr bwMode="auto">
        <a:xfrm>
          <a:off x="12975486" y="2267395"/>
          <a:ext cx="785263" cy="339909"/>
        </a:xfrm>
        <a:prstGeom prst="wedgeEllipseCallout">
          <a:avLst>
            <a:gd name="adj1" fmla="val -61955"/>
            <a:gd name="adj2" fmla="val 448364"/>
          </a:avLst>
        </a:prstGeom>
        <a:solidFill>
          <a:srgbClr val="FFFF00">
            <a:alpha val="6549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600" b="1" i="0" u="none" strike="noStrike" baseline="0">
              <a:solidFill>
                <a:schemeClr val="tx1"/>
              </a:solidFill>
              <a:latin typeface="Arial"/>
              <a:cs typeface="Arial"/>
            </a:rPr>
            <a:t>JJ MEDIT. Oran</a:t>
          </a:r>
        </a:p>
      </xdr:txBody>
    </xdr:sp>
    <xdr:clientData/>
  </xdr:twoCellAnchor>
  <xdr:twoCellAnchor>
    <xdr:from>
      <xdr:col>58</xdr:col>
      <xdr:colOff>202702</xdr:colOff>
      <xdr:row>8</xdr:row>
      <xdr:rowOff>39345</xdr:rowOff>
    </xdr:from>
    <xdr:to>
      <xdr:col>58</xdr:col>
      <xdr:colOff>311358</xdr:colOff>
      <xdr:row>9</xdr:row>
      <xdr:rowOff>118990</xdr:rowOff>
    </xdr:to>
    <xdr:sp macro="" textlink="">
      <xdr:nvSpPr>
        <xdr:cNvPr id="82" name="Dibujo 223">
          <a:extLst>
            <a:ext uri="{FF2B5EF4-FFF2-40B4-BE49-F238E27FC236}">
              <a16:creationId xmlns:a16="http://schemas.microsoft.com/office/drawing/2014/main" id="{00000000-0008-0000-2500-000052000000}"/>
            </a:ext>
          </a:extLst>
        </xdr:cNvPr>
        <xdr:cNvSpPr>
          <a:spLocks/>
        </xdr:cNvSpPr>
      </xdr:nvSpPr>
      <xdr:spPr bwMode="auto">
        <a:xfrm>
          <a:off x="9829302" y="1436345"/>
          <a:ext cx="108656" cy="23204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182282</xdr:colOff>
      <xdr:row>9</xdr:row>
      <xdr:rowOff>22412</xdr:rowOff>
    </xdr:from>
    <xdr:to>
      <xdr:col>58</xdr:col>
      <xdr:colOff>290938</xdr:colOff>
      <xdr:row>10</xdr:row>
      <xdr:rowOff>102057</xdr:rowOff>
    </xdr:to>
    <xdr:sp macro="" textlink="">
      <xdr:nvSpPr>
        <xdr:cNvPr id="108" name="Dibujo 223">
          <a:extLst>
            <a:ext uri="{FF2B5EF4-FFF2-40B4-BE49-F238E27FC236}">
              <a16:creationId xmlns:a16="http://schemas.microsoft.com/office/drawing/2014/main" id="{00000000-0008-0000-2500-00006C000000}"/>
            </a:ext>
          </a:extLst>
        </xdr:cNvPr>
        <xdr:cNvSpPr>
          <a:spLocks/>
        </xdr:cNvSpPr>
      </xdr:nvSpPr>
      <xdr:spPr bwMode="auto">
        <a:xfrm>
          <a:off x="9808882" y="1571812"/>
          <a:ext cx="108656" cy="23204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461137</xdr:colOff>
      <xdr:row>9</xdr:row>
      <xdr:rowOff>71717</xdr:rowOff>
    </xdr:from>
    <xdr:to>
      <xdr:col>58</xdr:col>
      <xdr:colOff>571003</xdr:colOff>
      <xdr:row>10</xdr:row>
      <xdr:rowOff>151362</xdr:rowOff>
    </xdr:to>
    <xdr:sp macro="" textlink="">
      <xdr:nvSpPr>
        <xdr:cNvPr id="111" name="Dibujo 223">
          <a:extLst>
            <a:ext uri="{FF2B5EF4-FFF2-40B4-BE49-F238E27FC236}">
              <a16:creationId xmlns:a16="http://schemas.microsoft.com/office/drawing/2014/main" id="{00000000-0008-0000-2500-00006F000000}"/>
            </a:ext>
          </a:extLst>
        </xdr:cNvPr>
        <xdr:cNvSpPr>
          <a:spLocks/>
        </xdr:cNvSpPr>
      </xdr:nvSpPr>
      <xdr:spPr bwMode="auto">
        <a:xfrm>
          <a:off x="10087737" y="1621117"/>
          <a:ext cx="109866" cy="23204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227509</xdr:colOff>
      <xdr:row>17</xdr:row>
      <xdr:rowOff>177397</xdr:rowOff>
    </xdr:from>
    <xdr:to>
      <xdr:col>58</xdr:col>
      <xdr:colOff>341086</xdr:colOff>
      <xdr:row>18</xdr:row>
      <xdr:rowOff>345766</xdr:rowOff>
    </xdr:to>
    <xdr:sp macro="" textlink="">
      <xdr:nvSpPr>
        <xdr:cNvPr id="113" name="Dibujo 179">
          <a:extLst>
            <a:ext uri="{FF2B5EF4-FFF2-40B4-BE49-F238E27FC236}">
              <a16:creationId xmlns:a16="http://schemas.microsoft.com/office/drawing/2014/main" id="{00000000-0008-0000-2500-000071000000}"/>
            </a:ext>
          </a:extLst>
        </xdr:cNvPr>
        <xdr:cNvSpPr>
          <a:spLocks/>
        </xdr:cNvSpPr>
      </xdr:nvSpPr>
      <xdr:spPr bwMode="auto">
        <a:xfrm>
          <a:off x="9854109" y="3098397"/>
          <a:ext cx="113577" cy="388502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63</xdr:col>
      <xdr:colOff>341501</xdr:colOff>
      <xdr:row>8</xdr:row>
      <xdr:rowOff>65157</xdr:rowOff>
    </xdr:from>
    <xdr:to>
      <xdr:col>64</xdr:col>
      <xdr:colOff>214091</xdr:colOff>
      <xdr:row>11</xdr:row>
      <xdr:rowOff>66673</xdr:rowOff>
    </xdr:to>
    <xdr:sp macro="" textlink="">
      <xdr:nvSpPr>
        <xdr:cNvPr id="116" name="AutoShape 335">
          <a:extLst>
            <a:ext uri="{FF2B5EF4-FFF2-40B4-BE49-F238E27FC236}">
              <a16:creationId xmlns:a16="http://schemas.microsoft.com/office/drawing/2014/main" id="{00000000-0008-0000-2500-000074000000}"/>
            </a:ext>
          </a:extLst>
        </xdr:cNvPr>
        <xdr:cNvSpPr>
          <a:spLocks noChangeArrowheads="1"/>
        </xdr:cNvSpPr>
      </xdr:nvSpPr>
      <xdr:spPr bwMode="auto">
        <a:xfrm>
          <a:off x="14370768" y="1462157"/>
          <a:ext cx="753123" cy="458716"/>
        </a:xfrm>
        <a:prstGeom prst="wedgeEllipseCallout">
          <a:avLst>
            <a:gd name="adj1" fmla="val -104781"/>
            <a:gd name="adj2" fmla="val 379754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600" b="1" i="0" u="none" strike="noStrike" baseline="0">
              <a:solidFill>
                <a:srgbClr val="000000"/>
              </a:solidFill>
              <a:latin typeface="Arial"/>
              <a:cs typeface="Arial"/>
            </a:rPr>
            <a:t>Gran PRIX</a:t>
          </a:r>
        </a:p>
        <a:p>
          <a:pPr algn="l" rtl="0">
            <a:lnSpc>
              <a:spcPts val="1000"/>
            </a:lnSpc>
            <a:defRPr sz="1000"/>
          </a:pPr>
          <a:r>
            <a:rPr lang="es-ES" sz="600" b="1" i="0" u="none" strike="noStrike" baseline="0">
              <a:solidFill>
                <a:srgbClr val="000000"/>
              </a:solidFill>
              <a:latin typeface="Arial"/>
              <a:cs typeface="Arial"/>
            </a:rPr>
            <a:t>CASTELLON</a:t>
          </a:r>
        </a:p>
      </xdr:txBody>
    </xdr:sp>
    <xdr:clientData/>
  </xdr:twoCellAnchor>
  <xdr:twoCellAnchor>
    <xdr:from>
      <xdr:col>62</xdr:col>
      <xdr:colOff>666875</xdr:colOff>
      <xdr:row>43</xdr:row>
      <xdr:rowOff>94129</xdr:rowOff>
    </xdr:from>
    <xdr:to>
      <xdr:col>62</xdr:col>
      <xdr:colOff>791385</xdr:colOff>
      <xdr:row>45</xdr:row>
      <xdr:rowOff>89969</xdr:rowOff>
    </xdr:to>
    <xdr:sp macro="" textlink="">
      <xdr:nvSpPr>
        <xdr:cNvPr id="112" name="Dibujo 271">
          <a:extLst>
            <a:ext uri="{FF2B5EF4-FFF2-40B4-BE49-F238E27FC236}">
              <a16:creationId xmlns:a16="http://schemas.microsoft.com/office/drawing/2014/main" id="{00000000-0008-0000-2500-000070000000}"/>
            </a:ext>
          </a:extLst>
        </xdr:cNvPr>
        <xdr:cNvSpPr>
          <a:spLocks/>
        </xdr:cNvSpPr>
      </xdr:nvSpPr>
      <xdr:spPr bwMode="auto">
        <a:xfrm>
          <a:off x="13815608" y="5605929"/>
          <a:ext cx="124510" cy="12284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63</xdr:col>
      <xdr:colOff>209674</xdr:colOff>
      <xdr:row>35</xdr:row>
      <xdr:rowOff>9463</xdr:rowOff>
    </xdr:from>
    <xdr:to>
      <xdr:col>63</xdr:col>
      <xdr:colOff>334184</xdr:colOff>
      <xdr:row>39</xdr:row>
      <xdr:rowOff>26470</xdr:rowOff>
    </xdr:to>
    <xdr:sp macro="" textlink="">
      <xdr:nvSpPr>
        <xdr:cNvPr id="114" name="Dibujo 271">
          <a:extLst>
            <a:ext uri="{FF2B5EF4-FFF2-40B4-BE49-F238E27FC236}">
              <a16:creationId xmlns:a16="http://schemas.microsoft.com/office/drawing/2014/main" id="{00000000-0008-0000-2500-000072000000}"/>
            </a:ext>
          </a:extLst>
        </xdr:cNvPr>
        <xdr:cNvSpPr>
          <a:spLocks/>
        </xdr:cNvSpPr>
      </xdr:nvSpPr>
      <xdr:spPr bwMode="auto">
        <a:xfrm>
          <a:off x="14238941" y="4860863"/>
          <a:ext cx="124510" cy="28794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13</xdr:col>
      <xdr:colOff>141826</xdr:colOff>
      <xdr:row>15</xdr:row>
      <xdr:rowOff>10043</xdr:rowOff>
    </xdr:from>
    <xdr:to>
      <xdr:col>14</xdr:col>
      <xdr:colOff>74844</xdr:colOff>
      <xdr:row>16</xdr:row>
      <xdr:rowOff>86716</xdr:rowOff>
    </xdr:to>
    <xdr:sp macro="" textlink="">
      <xdr:nvSpPr>
        <xdr:cNvPr id="123" name="Dibujo 223">
          <a:extLst>
            <a:ext uri="{FF2B5EF4-FFF2-40B4-BE49-F238E27FC236}">
              <a16:creationId xmlns:a16="http://schemas.microsoft.com/office/drawing/2014/main" id="{00000000-0008-0000-2500-00007B000000}"/>
            </a:ext>
          </a:extLst>
        </xdr:cNvPr>
        <xdr:cNvSpPr>
          <a:spLocks/>
        </xdr:cNvSpPr>
      </xdr:nvSpPr>
      <xdr:spPr bwMode="auto">
        <a:xfrm>
          <a:off x="2742624" y="2489245"/>
          <a:ext cx="108656" cy="23204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21</xdr:col>
      <xdr:colOff>165379</xdr:colOff>
      <xdr:row>16</xdr:row>
      <xdr:rowOff>13440</xdr:rowOff>
    </xdr:from>
    <xdr:to>
      <xdr:col>22</xdr:col>
      <xdr:colOff>98396</xdr:colOff>
      <xdr:row>16</xdr:row>
      <xdr:rowOff>220085</xdr:rowOff>
    </xdr:to>
    <xdr:sp macro="" textlink="">
      <xdr:nvSpPr>
        <xdr:cNvPr id="124" name="Dibujo 223">
          <a:extLst>
            <a:ext uri="{FF2B5EF4-FFF2-40B4-BE49-F238E27FC236}">
              <a16:creationId xmlns:a16="http://schemas.microsoft.com/office/drawing/2014/main" id="{00000000-0008-0000-2500-00007C000000}"/>
            </a:ext>
          </a:extLst>
        </xdr:cNvPr>
        <xdr:cNvSpPr>
          <a:spLocks/>
        </xdr:cNvSpPr>
      </xdr:nvSpPr>
      <xdr:spPr bwMode="auto">
        <a:xfrm>
          <a:off x="4171283" y="2648014"/>
          <a:ext cx="108656" cy="20664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23</xdr:col>
      <xdr:colOff>134340</xdr:colOff>
      <xdr:row>12</xdr:row>
      <xdr:rowOff>94574</xdr:rowOff>
    </xdr:from>
    <xdr:to>
      <xdr:col>24</xdr:col>
      <xdr:colOff>108084</xdr:colOff>
      <xdr:row>15</xdr:row>
      <xdr:rowOff>79065</xdr:rowOff>
    </xdr:to>
    <xdr:sp macro="" textlink="">
      <xdr:nvSpPr>
        <xdr:cNvPr id="126" name="Dibujo 271">
          <a:extLst>
            <a:ext uri="{FF2B5EF4-FFF2-40B4-BE49-F238E27FC236}">
              <a16:creationId xmlns:a16="http://schemas.microsoft.com/office/drawing/2014/main" id="{00000000-0008-0000-2500-00007E000000}"/>
            </a:ext>
          </a:extLst>
        </xdr:cNvPr>
        <xdr:cNvSpPr>
          <a:spLocks/>
        </xdr:cNvSpPr>
      </xdr:nvSpPr>
      <xdr:spPr bwMode="auto">
        <a:xfrm>
          <a:off x="4491521" y="2107659"/>
          <a:ext cx="149382" cy="450608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63</xdr:col>
      <xdr:colOff>0</xdr:colOff>
      <xdr:row>36</xdr:row>
      <xdr:rowOff>0</xdr:rowOff>
    </xdr:from>
    <xdr:to>
      <xdr:col>63</xdr:col>
      <xdr:colOff>127260</xdr:colOff>
      <xdr:row>39</xdr:row>
      <xdr:rowOff>109701</xdr:rowOff>
    </xdr:to>
    <xdr:sp macro="" textlink="">
      <xdr:nvSpPr>
        <xdr:cNvPr id="135" name="Dibujo 271">
          <a:extLst>
            <a:ext uri="{FF2B5EF4-FFF2-40B4-BE49-F238E27FC236}">
              <a16:creationId xmlns:a16="http://schemas.microsoft.com/office/drawing/2014/main" id="{00000000-0008-0000-2500-000087000000}"/>
            </a:ext>
          </a:extLst>
        </xdr:cNvPr>
        <xdr:cNvSpPr>
          <a:spLocks/>
        </xdr:cNvSpPr>
      </xdr:nvSpPr>
      <xdr:spPr bwMode="auto">
        <a:xfrm>
          <a:off x="13993091" y="4941455"/>
          <a:ext cx="127260" cy="286731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25</xdr:col>
      <xdr:colOff>94468</xdr:colOff>
      <xdr:row>12</xdr:row>
      <xdr:rowOff>65722</xdr:rowOff>
    </xdr:from>
    <xdr:to>
      <xdr:col>26</xdr:col>
      <xdr:colOff>116875</xdr:colOff>
      <xdr:row>15</xdr:row>
      <xdr:rowOff>84265</xdr:rowOff>
    </xdr:to>
    <xdr:sp macro="" textlink="">
      <xdr:nvSpPr>
        <xdr:cNvPr id="137" name="Dibujo 219">
          <a:extLst>
            <a:ext uri="{FF2B5EF4-FFF2-40B4-BE49-F238E27FC236}">
              <a16:creationId xmlns:a16="http://schemas.microsoft.com/office/drawing/2014/main" id="{00000000-0008-0000-2500-000089000000}"/>
            </a:ext>
          </a:extLst>
        </xdr:cNvPr>
        <xdr:cNvSpPr>
          <a:spLocks/>
        </xdr:cNvSpPr>
      </xdr:nvSpPr>
      <xdr:spPr bwMode="auto">
        <a:xfrm>
          <a:off x="4802925" y="2078807"/>
          <a:ext cx="198046" cy="48466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50</xdr:col>
      <xdr:colOff>120650</xdr:colOff>
      <xdr:row>19</xdr:row>
      <xdr:rowOff>303561</xdr:rowOff>
    </xdr:from>
    <xdr:to>
      <xdr:col>51</xdr:col>
      <xdr:colOff>0</xdr:colOff>
      <xdr:row>19</xdr:row>
      <xdr:rowOff>303561</xdr:rowOff>
    </xdr:to>
    <xdr:sp macro="" textlink="">
      <xdr:nvSpPr>
        <xdr:cNvPr id="130" name="Texto 99">
          <a:extLst>
            <a:ext uri="{FF2B5EF4-FFF2-40B4-BE49-F238E27FC236}">
              <a16:creationId xmlns:a16="http://schemas.microsoft.com/office/drawing/2014/main" id="{00000000-0008-0000-2500-000082000000}"/>
            </a:ext>
          </a:extLst>
        </xdr:cNvPr>
        <xdr:cNvSpPr txBox="1">
          <a:spLocks noChangeArrowheads="1"/>
        </xdr:cNvSpPr>
      </xdr:nvSpPr>
      <xdr:spPr bwMode="auto">
        <a:xfrm>
          <a:off x="8324850" y="3669061"/>
          <a:ext cx="444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59</xdr:col>
      <xdr:colOff>450199</xdr:colOff>
      <xdr:row>20</xdr:row>
      <xdr:rowOff>98703</xdr:rowOff>
    </xdr:from>
    <xdr:to>
      <xdr:col>59</xdr:col>
      <xdr:colOff>577199</xdr:colOff>
      <xdr:row>23</xdr:row>
      <xdr:rowOff>31591</xdr:rowOff>
    </xdr:to>
    <xdr:sp macro="" textlink="">
      <xdr:nvSpPr>
        <xdr:cNvPr id="131" name="Dibujo 223">
          <a:extLst>
            <a:ext uri="{FF2B5EF4-FFF2-40B4-BE49-F238E27FC236}">
              <a16:creationId xmlns:a16="http://schemas.microsoft.com/office/drawing/2014/main" id="{00000000-0008-0000-2500-000083000000}"/>
            </a:ext>
          </a:extLst>
        </xdr:cNvPr>
        <xdr:cNvSpPr>
          <a:spLocks/>
        </xdr:cNvSpPr>
      </xdr:nvSpPr>
      <xdr:spPr bwMode="auto">
        <a:xfrm>
          <a:off x="10914999" y="3769003"/>
          <a:ext cx="127000" cy="224988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8</xdr:col>
      <xdr:colOff>12700</xdr:colOff>
      <xdr:row>62</xdr:row>
      <xdr:rowOff>0</xdr:rowOff>
    </xdr:from>
    <xdr:to>
      <xdr:col>9</xdr:col>
      <xdr:colOff>12700</xdr:colOff>
      <xdr:row>62</xdr:row>
      <xdr:rowOff>0</xdr:rowOff>
    </xdr:to>
    <xdr:sp macro="" textlink="">
      <xdr:nvSpPr>
        <xdr:cNvPr id="132" name="Dibujo 268">
          <a:extLst>
            <a:ext uri="{FF2B5EF4-FFF2-40B4-BE49-F238E27FC236}">
              <a16:creationId xmlns:a16="http://schemas.microsoft.com/office/drawing/2014/main" id="{00000000-0008-0000-2500-000084000000}"/>
            </a:ext>
          </a:extLst>
        </xdr:cNvPr>
        <xdr:cNvSpPr>
          <a:spLocks/>
        </xdr:cNvSpPr>
      </xdr:nvSpPr>
      <xdr:spPr bwMode="auto">
        <a:xfrm>
          <a:off x="1600200" y="6845300"/>
          <a:ext cx="152400" cy="0"/>
        </a:xfrm>
        <a:custGeom>
          <a:avLst/>
          <a:gdLst>
            <a:gd name="T0" fmla="*/ 2147483647 w 16384"/>
            <a:gd name="T1" fmla="*/ 0 h 16384"/>
            <a:gd name="T2" fmla="*/ 2147483647 w 16384"/>
            <a:gd name="T3" fmla="*/ 0 h 16384"/>
            <a:gd name="T4" fmla="*/ 0 w 16384"/>
            <a:gd name="T5" fmla="*/ 0 h 16384"/>
            <a:gd name="T6" fmla="*/ 2147483647 w 16384"/>
            <a:gd name="T7" fmla="*/ 0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44</xdr:col>
      <xdr:colOff>63500</xdr:colOff>
      <xdr:row>63</xdr:row>
      <xdr:rowOff>139700</xdr:rowOff>
    </xdr:from>
    <xdr:to>
      <xdr:col>47</xdr:col>
      <xdr:colOff>88900</xdr:colOff>
      <xdr:row>64</xdr:row>
      <xdr:rowOff>114300</xdr:rowOff>
    </xdr:to>
    <xdr:sp macro="" textlink="">
      <xdr:nvSpPr>
        <xdr:cNvPr id="133" name="Dibujo 270">
          <a:extLst>
            <a:ext uri="{FF2B5EF4-FFF2-40B4-BE49-F238E27FC236}">
              <a16:creationId xmlns:a16="http://schemas.microsoft.com/office/drawing/2014/main" id="{00000000-0008-0000-2500-000085000000}"/>
            </a:ext>
          </a:extLst>
        </xdr:cNvPr>
        <xdr:cNvSpPr>
          <a:spLocks/>
        </xdr:cNvSpPr>
      </xdr:nvSpPr>
      <xdr:spPr bwMode="auto">
        <a:xfrm>
          <a:off x="7213600" y="7086600"/>
          <a:ext cx="546100" cy="114300"/>
        </a:xfrm>
        <a:custGeom>
          <a:avLst/>
          <a:gdLst>
            <a:gd name="T0" fmla="*/ 0 w 16384"/>
            <a:gd name="T1" fmla="*/ 2147483647 h 16384"/>
            <a:gd name="T2" fmla="*/ 2147483647 w 16384"/>
            <a:gd name="T3" fmla="*/ 0 h 16384"/>
            <a:gd name="T4" fmla="*/ 2147483647 w 16384"/>
            <a:gd name="T5" fmla="*/ 2147483647 h 16384"/>
            <a:gd name="T6" fmla="*/ 2147483647 w 16384"/>
            <a:gd name="T7" fmla="*/ 2147483647 h 16384"/>
            <a:gd name="T8" fmla="*/ 2147483647 w 16384"/>
            <a:gd name="T9" fmla="*/ 2147483647 h 16384"/>
            <a:gd name="T10" fmla="*/ 0 60000 65536"/>
            <a:gd name="T11" fmla="*/ 0 60000 65536"/>
            <a:gd name="T12" fmla="*/ 0 60000 65536"/>
            <a:gd name="T13" fmla="*/ 0 60000 65536"/>
            <a:gd name="T14" fmla="*/ 0 60000 65536"/>
          </a:gdLst>
          <a:ahLst/>
          <a:cxnLst>
            <a:cxn ang="T10">
              <a:pos x="T0" y="T1"/>
            </a:cxn>
            <a:cxn ang="T11">
              <a:pos x="T2" y="T3"/>
            </a:cxn>
            <a:cxn ang="T12">
              <a:pos x="T4" y="T5"/>
            </a:cxn>
            <a:cxn ang="T13">
              <a:pos x="T6" y="T7"/>
            </a:cxn>
            <a:cxn ang="T14">
              <a:pos x="T8" y="T9"/>
            </a:cxn>
          </a:cxnLst>
          <a:rect l="0" t="0" r="r" b="b"/>
          <a:pathLst>
            <a:path w="16384" h="16384">
              <a:moveTo>
                <a:pt x="0" y="16384"/>
              </a:moveTo>
              <a:lnTo>
                <a:pt x="4428" y="0"/>
              </a:lnTo>
              <a:lnTo>
                <a:pt x="8413" y="16384"/>
              </a:lnTo>
              <a:lnTo>
                <a:pt x="11513" y="4096"/>
              </a:lnTo>
              <a:lnTo>
                <a:pt x="16384" y="14336"/>
              </a:lnTo>
            </a:path>
          </a:pathLst>
        </a:custGeom>
        <a:noFill/>
        <a:ln w="24765" cap="flat">
          <a:solidFill>
            <a:srgbClr xmlns:mc="http://schemas.openxmlformats.org/markup-compatibility/2006" xmlns:a14="http://schemas.microsoft.com/office/drawing/2010/main" val="000080" mc:Ignorable="a14" a14:legacySpreadsheetColorIndex="18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62</xdr:col>
      <xdr:colOff>616075</xdr:colOff>
      <xdr:row>34</xdr:row>
      <xdr:rowOff>68729</xdr:rowOff>
    </xdr:from>
    <xdr:to>
      <xdr:col>62</xdr:col>
      <xdr:colOff>740585</xdr:colOff>
      <xdr:row>39</xdr:row>
      <xdr:rowOff>9536</xdr:rowOff>
    </xdr:to>
    <xdr:sp macro="" textlink="">
      <xdr:nvSpPr>
        <xdr:cNvPr id="134" name="Dibujo 271">
          <a:extLst>
            <a:ext uri="{FF2B5EF4-FFF2-40B4-BE49-F238E27FC236}">
              <a16:creationId xmlns:a16="http://schemas.microsoft.com/office/drawing/2014/main" id="{00000000-0008-0000-2500-000086000000}"/>
            </a:ext>
          </a:extLst>
        </xdr:cNvPr>
        <xdr:cNvSpPr>
          <a:spLocks/>
        </xdr:cNvSpPr>
      </xdr:nvSpPr>
      <xdr:spPr bwMode="auto">
        <a:xfrm>
          <a:off x="13764808" y="4843929"/>
          <a:ext cx="124510" cy="28794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9</xdr:col>
      <xdr:colOff>0</xdr:colOff>
      <xdr:row>63</xdr:row>
      <xdr:rowOff>12700</xdr:rowOff>
    </xdr:from>
    <xdr:to>
      <xdr:col>10</xdr:col>
      <xdr:colOff>0</xdr:colOff>
      <xdr:row>65</xdr:row>
      <xdr:rowOff>0</xdr:rowOff>
    </xdr:to>
    <xdr:sp macro="" textlink="">
      <xdr:nvSpPr>
        <xdr:cNvPr id="138" name="Dibujo 272">
          <a:extLst>
            <a:ext uri="{FF2B5EF4-FFF2-40B4-BE49-F238E27FC236}">
              <a16:creationId xmlns:a16="http://schemas.microsoft.com/office/drawing/2014/main" id="{00000000-0008-0000-2500-00008A000000}"/>
            </a:ext>
          </a:extLst>
        </xdr:cNvPr>
        <xdr:cNvSpPr>
          <a:spLocks/>
        </xdr:cNvSpPr>
      </xdr:nvSpPr>
      <xdr:spPr bwMode="auto">
        <a:xfrm>
          <a:off x="1739900" y="6985000"/>
          <a:ext cx="165100" cy="21590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0</xdr:col>
      <xdr:colOff>381000</xdr:colOff>
      <xdr:row>63</xdr:row>
      <xdr:rowOff>25400</xdr:rowOff>
    </xdr:from>
    <xdr:to>
      <xdr:col>2</xdr:col>
      <xdr:colOff>127000</xdr:colOff>
      <xdr:row>65</xdr:row>
      <xdr:rowOff>25400</xdr:rowOff>
    </xdr:to>
    <xdr:sp macro="" textlink="">
      <xdr:nvSpPr>
        <xdr:cNvPr id="139" name="Dibujo 273">
          <a:extLst>
            <a:ext uri="{FF2B5EF4-FFF2-40B4-BE49-F238E27FC236}">
              <a16:creationId xmlns:a16="http://schemas.microsoft.com/office/drawing/2014/main" id="{00000000-0008-0000-2500-00008B000000}"/>
            </a:ext>
          </a:extLst>
        </xdr:cNvPr>
        <xdr:cNvSpPr>
          <a:spLocks/>
        </xdr:cNvSpPr>
      </xdr:nvSpPr>
      <xdr:spPr bwMode="auto">
        <a:xfrm>
          <a:off x="381000" y="6997700"/>
          <a:ext cx="393700" cy="22860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0 w 16384"/>
            <a:gd name="T7" fmla="*/ 2147483647 h 16384"/>
            <a:gd name="T8" fmla="*/ 2147483647 w 16384"/>
            <a:gd name="T9" fmla="*/ 2147483647 h 16384"/>
            <a:gd name="T10" fmla="*/ 0 60000 65536"/>
            <a:gd name="T11" fmla="*/ 0 60000 65536"/>
            <a:gd name="T12" fmla="*/ 0 60000 65536"/>
            <a:gd name="T13" fmla="*/ 0 60000 65536"/>
            <a:gd name="T14" fmla="*/ 0 60000 65536"/>
          </a:gdLst>
          <a:ahLst/>
          <a:cxnLst>
            <a:cxn ang="T10">
              <a:pos x="T0" y="T1"/>
            </a:cxn>
            <a:cxn ang="T11">
              <a:pos x="T2" y="T3"/>
            </a:cxn>
            <a:cxn ang="T12">
              <a:pos x="T4" y="T5"/>
            </a:cxn>
            <a:cxn ang="T13">
              <a:pos x="T6" y="T7"/>
            </a:cxn>
            <a:cxn ang="T14">
              <a:pos x="T8" y="T9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546"/>
              </a:lnTo>
              <a:lnTo>
                <a:pt x="0" y="8738"/>
              </a:lnTo>
              <a:lnTo>
                <a:pt x="16384" y="873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0</xdr:col>
      <xdr:colOff>44450</xdr:colOff>
      <xdr:row>57</xdr:row>
      <xdr:rowOff>28575</xdr:rowOff>
    </xdr:from>
    <xdr:to>
      <xdr:col>0</xdr:col>
      <xdr:colOff>366645</xdr:colOff>
      <xdr:row>61</xdr:row>
      <xdr:rowOff>108309</xdr:rowOff>
    </xdr:to>
    <xdr:sp macro="" textlink="">
      <xdr:nvSpPr>
        <xdr:cNvPr id="140" name="Texto 277">
          <a:extLst>
            <a:ext uri="{FF2B5EF4-FFF2-40B4-BE49-F238E27FC236}">
              <a16:creationId xmlns:a16="http://schemas.microsoft.com/office/drawing/2014/main" id="{00000000-0008-0000-2500-00008C000000}"/>
            </a:ext>
          </a:extLst>
        </xdr:cNvPr>
        <xdr:cNvSpPr txBox="1">
          <a:spLocks noChangeArrowheads="1"/>
        </xdr:cNvSpPr>
      </xdr:nvSpPr>
      <xdr:spPr bwMode="auto">
        <a:xfrm>
          <a:off x="44450" y="6480175"/>
          <a:ext cx="322195" cy="3591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Aláctico</a:t>
          </a:r>
        </a:p>
      </xdr:txBody>
    </xdr:sp>
    <xdr:clientData/>
  </xdr:twoCellAnchor>
  <xdr:twoCellAnchor>
    <xdr:from>
      <xdr:col>0</xdr:col>
      <xdr:colOff>44450</xdr:colOff>
      <xdr:row>51</xdr:row>
      <xdr:rowOff>28575</xdr:rowOff>
    </xdr:from>
    <xdr:to>
      <xdr:col>0</xdr:col>
      <xdr:colOff>366645</xdr:colOff>
      <xdr:row>55</xdr:row>
      <xdr:rowOff>85725</xdr:rowOff>
    </xdr:to>
    <xdr:sp macro="" textlink="">
      <xdr:nvSpPr>
        <xdr:cNvPr id="141" name="Texto 278">
          <a:extLst>
            <a:ext uri="{FF2B5EF4-FFF2-40B4-BE49-F238E27FC236}">
              <a16:creationId xmlns:a16="http://schemas.microsoft.com/office/drawing/2014/main" id="{00000000-0008-0000-2500-00008D000000}"/>
            </a:ext>
          </a:extLst>
        </xdr:cNvPr>
        <xdr:cNvSpPr txBox="1">
          <a:spLocks noChangeArrowheads="1"/>
        </xdr:cNvSpPr>
      </xdr:nvSpPr>
      <xdr:spPr bwMode="auto">
        <a:xfrm>
          <a:off x="44450" y="6061075"/>
          <a:ext cx="322195" cy="3619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Láctico 2</a:t>
          </a:r>
        </a:p>
      </xdr:txBody>
    </xdr:sp>
    <xdr:clientData/>
  </xdr:twoCellAnchor>
  <xdr:twoCellAnchor>
    <xdr:from>
      <xdr:col>0</xdr:col>
      <xdr:colOff>44450</xdr:colOff>
      <xdr:row>45</xdr:row>
      <xdr:rowOff>28575</xdr:rowOff>
    </xdr:from>
    <xdr:to>
      <xdr:col>0</xdr:col>
      <xdr:colOff>366645</xdr:colOff>
      <xdr:row>49</xdr:row>
      <xdr:rowOff>85725</xdr:rowOff>
    </xdr:to>
    <xdr:sp macro="" textlink="">
      <xdr:nvSpPr>
        <xdr:cNvPr id="142" name="Texto 279">
          <a:extLst>
            <a:ext uri="{FF2B5EF4-FFF2-40B4-BE49-F238E27FC236}">
              <a16:creationId xmlns:a16="http://schemas.microsoft.com/office/drawing/2014/main" id="{00000000-0008-0000-2500-00008E000000}"/>
            </a:ext>
          </a:extLst>
        </xdr:cNvPr>
        <xdr:cNvSpPr txBox="1">
          <a:spLocks noChangeArrowheads="1"/>
        </xdr:cNvSpPr>
      </xdr:nvSpPr>
      <xdr:spPr bwMode="auto">
        <a:xfrm>
          <a:off x="44450" y="5616575"/>
          <a:ext cx="322195" cy="387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Láctico 1</a:t>
          </a:r>
        </a:p>
      </xdr:txBody>
    </xdr:sp>
    <xdr:clientData/>
  </xdr:twoCellAnchor>
  <xdr:twoCellAnchor>
    <xdr:from>
      <xdr:col>0</xdr:col>
      <xdr:colOff>44450</xdr:colOff>
      <xdr:row>39</xdr:row>
      <xdr:rowOff>28575</xdr:rowOff>
    </xdr:from>
    <xdr:to>
      <xdr:col>0</xdr:col>
      <xdr:colOff>366645</xdr:colOff>
      <xdr:row>43</xdr:row>
      <xdr:rowOff>85725</xdr:rowOff>
    </xdr:to>
    <xdr:sp macro="" textlink="">
      <xdr:nvSpPr>
        <xdr:cNvPr id="143" name="Texto 280">
          <a:extLst>
            <a:ext uri="{FF2B5EF4-FFF2-40B4-BE49-F238E27FC236}">
              <a16:creationId xmlns:a16="http://schemas.microsoft.com/office/drawing/2014/main" id="{00000000-0008-0000-2500-00008F000000}"/>
            </a:ext>
          </a:extLst>
        </xdr:cNvPr>
        <xdr:cNvSpPr txBox="1">
          <a:spLocks noChangeArrowheads="1"/>
        </xdr:cNvSpPr>
      </xdr:nvSpPr>
      <xdr:spPr bwMode="auto">
        <a:xfrm>
          <a:off x="44450" y="5108575"/>
          <a:ext cx="322195" cy="438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Mixto</a:t>
          </a:r>
        </a:p>
      </xdr:txBody>
    </xdr:sp>
    <xdr:clientData/>
  </xdr:twoCellAnchor>
  <xdr:twoCellAnchor>
    <xdr:from>
      <xdr:col>0</xdr:col>
      <xdr:colOff>44450</xdr:colOff>
      <xdr:row>33</xdr:row>
      <xdr:rowOff>15875</xdr:rowOff>
    </xdr:from>
    <xdr:to>
      <xdr:col>0</xdr:col>
      <xdr:colOff>366645</xdr:colOff>
      <xdr:row>37</xdr:row>
      <xdr:rowOff>86083</xdr:rowOff>
    </xdr:to>
    <xdr:sp macro="" textlink="">
      <xdr:nvSpPr>
        <xdr:cNvPr id="144" name="Texto 281">
          <a:extLst>
            <a:ext uri="{FF2B5EF4-FFF2-40B4-BE49-F238E27FC236}">
              <a16:creationId xmlns:a16="http://schemas.microsoft.com/office/drawing/2014/main" id="{00000000-0008-0000-2500-000090000000}"/>
            </a:ext>
          </a:extLst>
        </xdr:cNvPr>
        <xdr:cNvSpPr txBox="1">
          <a:spLocks noChangeArrowheads="1"/>
        </xdr:cNvSpPr>
      </xdr:nvSpPr>
      <xdr:spPr bwMode="auto">
        <a:xfrm>
          <a:off x="44450" y="4651375"/>
          <a:ext cx="322195" cy="40040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Aerób. 3</a:t>
          </a:r>
        </a:p>
      </xdr:txBody>
    </xdr:sp>
    <xdr:clientData/>
  </xdr:twoCellAnchor>
  <xdr:twoCellAnchor>
    <xdr:from>
      <xdr:col>0</xdr:col>
      <xdr:colOff>44450</xdr:colOff>
      <xdr:row>27</xdr:row>
      <xdr:rowOff>15875</xdr:rowOff>
    </xdr:from>
    <xdr:to>
      <xdr:col>0</xdr:col>
      <xdr:colOff>366645</xdr:colOff>
      <xdr:row>31</xdr:row>
      <xdr:rowOff>85698</xdr:rowOff>
    </xdr:to>
    <xdr:sp macro="" textlink="">
      <xdr:nvSpPr>
        <xdr:cNvPr id="145" name="Texto 282">
          <a:extLst>
            <a:ext uri="{FF2B5EF4-FFF2-40B4-BE49-F238E27FC236}">
              <a16:creationId xmlns:a16="http://schemas.microsoft.com/office/drawing/2014/main" id="{00000000-0008-0000-2500-000091000000}"/>
            </a:ext>
          </a:extLst>
        </xdr:cNvPr>
        <xdr:cNvSpPr txBox="1">
          <a:spLocks noChangeArrowheads="1"/>
        </xdr:cNvSpPr>
      </xdr:nvSpPr>
      <xdr:spPr bwMode="auto">
        <a:xfrm>
          <a:off x="44450" y="4232275"/>
          <a:ext cx="322195" cy="37462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Aerób. 2</a:t>
          </a:r>
        </a:p>
      </xdr:txBody>
    </xdr:sp>
    <xdr:clientData/>
  </xdr:twoCellAnchor>
  <xdr:twoCellAnchor>
    <xdr:from>
      <xdr:col>0</xdr:col>
      <xdr:colOff>44450</xdr:colOff>
      <xdr:row>21</xdr:row>
      <xdr:rowOff>15875</xdr:rowOff>
    </xdr:from>
    <xdr:to>
      <xdr:col>0</xdr:col>
      <xdr:colOff>353122</xdr:colOff>
      <xdr:row>25</xdr:row>
      <xdr:rowOff>73430</xdr:rowOff>
    </xdr:to>
    <xdr:sp macro="" textlink="">
      <xdr:nvSpPr>
        <xdr:cNvPr id="146" name="Texto 283">
          <a:extLst>
            <a:ext uri="{FF2B5EF4-FFF2-40B4-BE49-F238E27FC236}">
              <a16:creationId xmlns:a16="http://schemas.microsoft.com/office/drawing/2014/main" id="{00000000-0008-0000-2500-000092000000}"/>
            </a:ext>
          </a:extLst>
        </xdr:cNvPr>
        <xdr:cNvSpPr txBox="1">
          <a:spLocks noChangeArrowheads="1"/>
        </xdr:cNvSpPr>
      </xdr:nvSpPr>
      <xdr:spPr bwMode="auto">
        <a:xfrm>
          <a:off x="44450" y="3800475"/>
          <a:ext cx="308672" cy="38775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Aeró. 1</a:t>
          </a:r>
        </a:p>
      </xdr:txBody>
    </xdr:sp>
    <xdr:clientData/>
  </xdr:twoCellAnchor>
  <xdr:twoCellAnchor>
    <xdr:from>
      <xdr:col>0</xdr:col>
      <xdr:colOff>44450</xdr:colOff>
      <xdr:row>12</xdr:row>
      <xdr:rowOff>88848</xdr:rowOff>
    </xdr:from>
    <xdr:to>
      <xdr:col>0</xdr:col>
      <xdr:colOff>399020</xdr:colOff>
      <xdr:row>15</xdr:row>
      <xdr:rowOff>114492</xdr:rowOff>
    </xdr:to>
    <xdr:sp macro="" textlink="">
      <xdr:nvSpPr>
        <xdr:cNvPr id="147" name="Texto 284">
          <a:extLst>
            <a:ext uri="{FF2B5EF4-FFF2-40B4-BE49-F238E27FC236}">
              <a16:creationId xmlns:a16="http://schemas.microsoft.com/office/drawing/2014/main" id="{00000000-0008-0000-2500-000093000000}"/>
            </a:ext>
          </a:extLst>
        </xdr:cNvPr>
        <xdr:cNvSpPr txBox="1">
          <a:spLocks noChangeArrowheads="1"/>
        </xdr:cNvSpPr>
      </xdr:nvSpPr>
      <xdr:spPr bwMode="auto">
        <a:xfrm>
          <a:off x="44450" y="2082748"/>
          <a:ext cx="354570" cy="48284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Carga</a:t>
          </a:r>
        </a:p>
      </xdr:txBody>
    </xdr:sp>
    <xdr:clientData/>
  </xdr:twoCellAnchor>
  <xdr:twoCellAnchor>
    <xdr:from>
      <xdr:col>28</xdr:col>
      <xdr:colOff>152400</xdr:colOff>
      <xdr:row>63</xdr:row>
      <xdr:rowOff>0</xdr:rowOff>
    </xdr:from>
    <xdr:to>
      <xdr:col>29</xdr:col>
      <xdr:colOff>190500</xdr:colOff>
      <xdr:row>65</xdr:row>
      <xdr:rowOff>63500</xdr:rowOff>
    </xdr:to>
    <xdr:sp macro="" textlink="">
      <xdr:nvSpPr>
        <xdr:cNvPr id="148" name="Dibujo 301">
          <a:extLst>
            <a:ext uri="{FF2B5EF4-FFF2-40B4-BE49-F238E27FC236}">
              <a16:creationId xmlns:a16="http://schemas.microsoft.com/office/drawing/2014/main" id="{00000000-0008-0000-2500-000094000000}"/>
            </a:ext>
          </a:extLst>
        </xdr:cNvPr>
        <xdr:cNvSpPr>
          <a:spLocks/>
        </xdr:cNvSpPr>
      </xdr:nvSpPr>
      <xdr:spPr bwMode="auto">
        <a:xfrm>
          <a:off x="4813300" y="6972300"/>
          <a:ext cx="152400" cy="29210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60</xdr:col>
      <xdr:colOff>698239</xdr:colOff>
      <xdr:row>29</xdr:row>
      <xdr:rowOff>35852</xdr:rowOff>
    </xdr:from>
    <xdr:to>
      <xdr:col>61</xdr:col>
      <xdr:colOff>18093</xdr:colOff>
      <xdr:row>35</xdr:row>
      <xdr:rowOff>34771</xdr:rowOff>
    </xdr:to>
    <xdr:sp macro="" textlink="">
      <xdr:nvSpPr>
        <xdr:cNvPr id="149" name="Dibujo 219">
          <a:extLst>
            <a:ext uri="{FF2B5EF4-FFF2-40B4-BE49-F238E27FC236}">
              <a16:creationId xmlns:a16="http://schemas.microsoft.com/office/drawing/2014/main" id="{00000000-0008-0000-2500-000095000000}"/>
            </a:ext>
          </a:extLst>
        </xdr:cNvPr>
        <xdr:cNvSpPr>
          <a:spLocks/>
        </xdr:cNvSpPr>
      </xdr:nvSpPr>
      <xdr:spPr bwMode="auto">
        <a:xfrm>
          <a:off x="12959143" y="4440320"/>
          <a:ext cx="198046" cy="465036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59</xdr:col>
      <xdr:colOff>578813</xdr:colOff>
      <xdr:row>16</xdr:row>
      <xdr:rowOff>152479</xdr:rowOff>
    </xdr:from>
    <xdr:to>
      <xdr:col>59</xdr:col>
      <xdr:colOff>812802</xdr:colOff>
      <xdr:row>17</xdr:row>
      <xdr:rowOff>88899</xdr:rowOff>
    </xdr:to>
    <xdr:sp macro="" textlink="">
      <xdr:nvSpPr>
        <xdr:cNvPr id="150" name="AutoShape 335">
          <a:extLst>
            <a:ext uri="{FF2B5EF4-FFF2-40B4-BE49-F238E27FC236}">
              <a16:creationId xmlns:a16="http://schemas.microsoft.com/office/drawing/2014/main" id="{00000000-0008-0000-2500-000096000000}"/>
            </a:ext>
          </a:extLst>
        </xdr:cNvPr>
        <xdr:cNvSpPr>
          <a:spLocks noChangeArrowheads="1"/>
        </xdr:cNvSpPr>
      </xdr:nvSpPr>
      <xdr:spPr bwMode="auto">
        <a:xfrm>
          <a:off x="11043613" y="2755979"/>
          <a:ext cx="233989" cy="241220"/>
        </a:xfrm>
        <a:prstGeom prst="wedgeEllipseCallout">
          <a:avLst>
            <a:gd name="adj1" fmla="val 5704"/>
            <a:gd name="adj2" fmla="val 339595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1" i="0" u="none" strike="noStrike" baseline="0">
              <a:solidFill>
                <a:srgbClr val="000000"/>
              </a:solidFill>
              <a:latin typeface="Arial"/>
              <a:cs typeface="Arial"/>
            </a:rPr>
            <a:t>CASTELLON</a:t>
          </a:r>
        </a:p>
      </xdr:txBody>
    </xdr:sp>
    <xdr:clientData/>
  </xdr:twoCellAnchor>
  <xdr:twoCellAnchor editAs="oneCell">
    <xdr:from>
      <xdr:col>58</xdr:col>
      <xdr:colOff>135885</xdr:colOff>
      <xdr:row>30</xdr:row>
      <xdr:rowOff>30339</xdr:rowOff>
    </xdr:from>
    <xdr:to>
      <xdr:col>58</xdr:col>
      <xdr:colOff>831225</xdr:colOff>
      <xdr:row>53</xdr:row>
      <xdr:rowOff>9264</xdr:rowOff>
    </xdr:to>
    <xdr:sp macro="" textlink="">
      <xdr:nvSpPr>
        <xdr:cNvPr id="151" name="AutoShape 336">
          <a:extLst>
            <a:ext uri="{FF2B5EF4-FFF2-40B4-BE49-F238E27FC236}">
              <a16:creationId xmlns:a16="http://schemas.microsoft.com/office/drawing/2014/main" id="{00000000-0008-0000-2500-000097000000}"/>
            </a:ext>
          </a:extLst>
        </xdr:cNvPr>
        <xdr:cNvSpPr>
          <a:spLocks noChangeArrowheads="1"/>
        </xdr:cNvSpPr>
      </xdr:nvSpPr>
      <xdr:spPr bwMode="auto">
        <a:xfrm>
          <a:off x="9724385" y="4475339"/>
          <a:ext cx="695340" cy="1828801"/>
        </a:xfrm>
        <a:prstGeom prst="wedgeEllipseCallout">
          <a:avLst>
            <a:gd name="adj1" fmla="val -45298"/>
            <a:gd name="adj2" fmla="val 16551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800"/>
            </a:lnSpc>
            <a:defRPr sz="1000"/>
          </a:pPr>
          <a:r>
            <a:rPr lang="es-ES_tradnl" sz="7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COLOCAR EL VOLUMEN POR TIPOS, DEL 1 AL 5, ENTRE TODOS SUMAN 15</a:t>
          </a:r>
        </a:p>
        <a:p>
          <a:pPr algn="l" rtl="0">
            <a:defRPr sz="1000"/>
          </a:pPr>
          <a:endParaRPr lang="es-ES_tradnl" sz="700" b="0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</xdr:txBody>
    </xdr:sp>
    <xdr:clientData/>
  </xdr:twoCellAnchor>
  <xdr:twoCellAnchor>
    <xdr:from>
      <xdr:col>57</xdr:col>
      <xdr:colOff>112889</xdr:colOff>
      <xdr:row>29</xdr:row>
      <xdr:rowOff>70555</xdr:rowOff>
    </xdr:from>
    <xdr:to>
      <xdr:col>58</xdr:col>
      <xdr:colOff>261055</xdr:colOff>
      <xdr:row>33</xdr:row>
      <xdr:rowOff>28220</xdr:rowOff>
    </xdr:to>
    <xdr:sp macro="" textlink="">
      <xdr:nvSpPr>
        <xdr:cNvPr id="152" name="Line 338">
          <a:extLst>
            <a:ext uri="{FF2B5EF4-FFF2-40B4-BE49-F238E27FC236}">
              <a16:creationId xmlns:a16="http://schemas.microsoft.com/office/drawing/2014/main" id="{00000000-0008-0000-2500-000098000000}"/>
            </a:ext>
          </a:extLst>
        </xdr:cNvPr>
        <xdr:cNvSpPr>
          <a:spLocks noChangeShapeType="1"/>
        </xdr:cNvSpPr>
      </xdr:nvSpPr>
      <xdr:spPr bwMode="auto">
        <a:xfrm flipH="1" flipV="1">
          <a:off x="9523589" y="4439355"/>
          <a:ext cx="325966" cy="2243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4233</xdr:colOff>
      <xdr:row>35</xdr:row>
      <xdr:rowOff>0</xdr:rowOff>
    </xdr:from>
    <xdr:to>
      <xdr:col>58</xdr:col>
      <xdr:colOff>204610</xdr:colOff>
      <xdr:row>35</xdr:row>
      <xdr:rowOff>35278</xdr:rowOff>
    </xdr:to>
    <xdr:sp macro="" textlink="">
      <xdr:nvSpPr>
        <xdr:cNvPr id="153" name="Line 339">
          <a:extLst>
            <a:ext uri="{FF2B5EF4-FFF2-40B4-BE49-F238E27FC236}">
              <a16:creationId xmlns:a16="http://schemas.microsoft.com/office/drawing/2014/main" id="{00000000-0008-0000-2500-000099000000}"/>
            </a:ext>
          </a:extLst>
        </xdr:cNvPr>
        <xdr:cNvSpPr>
          <a:spLocks noChangeShapeType="1"/>
        </xdr:cNvSpPr>
      </xdr:nvSpPr>
      <xdr:spPr bwMode="auto">
        <a:xfrm flipH="1" flipV="1">
          <a:off x="9592733" y="4813300"/>
          <a:ext cx="200377" cy="3527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57</xdr:col>
      <xdr:colOff>91723</xdr:colOff>
      <xdr:row>42</xdr:row>
      <xdr:rowOff>7056</xdr:rowOff>
    </xdr:from>
    <xdr:to>
      <xdr:col>58</xdr:col>
      <xdr:colOff>176388</xdr:colOff>
      <xdr:row>42</xdr:row>
      <xdr:rowOff>7056</xdr:rowOff>
    </xdr:to>
    <xdr:sp macro="" textlink="">
      <xdr:nvSpPr>
        <xdr:cNvPr id="154" name="Line 340">
          <a:extLst>
            <a:ext uri="{FF2B5EF4-FFF2-40B4-BE49-F238E27FC236}">
              <a16:creationId xmlns:a16="http://schemas.microsoft.com/office/drawing/2014/main" id="{00000000-0008-0000-2500-00009A000000}"/>
            </a:ext>
          </a:extLst>
        </xdr:cNvPr>
        <xdr:cNvSpPr>
          <a:spLocks noChangeShapeType="1"/>
        </xdr:cNvSpPr>
      </xdr:nvSpPr>
      <xdr:spPr bwMode="auto">
        <a:xfrm flipH="1">
          <a:off x="9502423" y="5366456"/>
          <a:ext cx="26246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57</xdr:col>
      <xdr:colOff>112889</xdr:colOff>
      <xdr:row>46</xdr:row>
      <xdr:rowOff>52917</xdr:rowOff>
    </xdr:from>
    <xdr:to>
      <xdr:col>58</xdr:col>
      <xdr:colOff>149579</xdr:colOff>
      <xdr:row>48</xdr:row>
      <xdr:rowOff>35279</xdr:rowOff>
    </xdr:to>
    <xdr:sp macro="" textlink="">
      <xdr:nvSpPr>
        <xdr:cNvPr id="155" name="Line 341">
          <a:extLst>
            <a:ext uri="{FF2B5EF4-FFF2-40B4-BE49-F238E27FC236}">
              <a16:creationId xmlns:a16="http://schemas.microsoft.com/office/drawing/2014/main" id="{00000000-0008-0000-2500-00009B000000}"/>
            </a:ext>
          </a:extLst>
        </xdr:cNvPr>
        <xdr:cNvSpPr>
          <a:spLocks noChangeShapeType="1"/>
        </xdr:cNvSpPr>
      </xdr:nvSpPr>
      <xdr:spPr bwMode="auto">
        <a:xfrm flipH="1">
          <a:off x="9523589" y="5729817"/>
          <a:ext cx="214490" cy="160162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38099</xdr:colOff>
      <xdr:row>51</xdr:row>
      <xdr:rowOff>70554</xdr:rowOff>
    </xdr:from>
    <xdr:to>
      <xdr:col>58</xdr:col>
      <xdr:colOff>246944</xdr:colOff>
      <xdr:row>53</xdr:row>
      <xdr:rowOff>63499</xdr:rowOff>
    </xdr:to>
    <xdr:sp macro="" textlink="">
      <xdr:nvSpPr>
        <xdr:cNvPr id="156" name="Line 342">
          <a:extLst>
            <a:ext uri="{FF2B5EF4-FFF2-40B4-BE49-F238E27FC236}">
              <a16:creationId xmlns:a16="http://schemas.microsoft.com/office/drawing/2014/main" id="{00000000-0008-0000-2500-00009C000000}"/>
            </a:ext>
          </a:extLst>
        </xdr:cNvPr>
        <xdr:cNvSpPr>
          <a:spLocks noChangeShapeType="1"/>
        </xdr:cNvSpPr>
      </xdr:nvSpPr>
      <xdr:spPr bwMode="auto">
        <a:xfrm flipH="1">
          <a:off x="9626599" y="6103054"/>
          <a:ext cx="208845" cy="1453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21166</xdr:colOff>
      <xdr:row>53</xdr:row>
      <xdr:rowOff>14816</xdr:rowOff>
    </xdr:from>
    <xdr:to>
      <xdr:col>58</xdr:col>
      <xdr:colOff>349955</xdr:colOff>
      <xdr:row>60</xdr:row>
      <xdr:rowOff>14111</xdr:rowOff>
    </xdr:to>
    <xdr:sp macro="" textlink="">
      <xdr:nvSpPr>
        <xdr:cNvPr id="157" name="Line 343">
          <a:extLst>
            <a:ext uri="{FF2B5EF4-FFF2-40B4-BE49-F238E27FC236}">
              <a16:creationId xmlns:a16="http://schemas.microsoft.com/office/drawing/2014/main" id="{00000000-0008-0000-2500-00009D000000}"/>
            </a:ext>
          </a:extLst>
        </xdr:cNvPr>
        <xdr:cNvSpPr>
          <a:spLocks noChangeShapeType="1"/>
        </xdr:cNvSpPr>
      </xdr:nvSpPr>
      <xdr:spPr bwMode="auto">
        <a:xfrm flipH="1">
          <a:off x="9609666" y="6199716"/>
          <a:ext cx="328789" cy="49459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21</xdr:col>
      <xdr:colOff>101600</xdr:colOff>
      <xdr:row>62</xdr:row>
      <xdr:rowOff>63500</xdr:rowOff>
    </xdr:from>
    <xdr:to>
      <xdr:col>23</xdr:col>
      <xdr:colOff>38100</xdr:colOff>
      <xdr:row>65</xdr:row>
      <xdr:rowOff>50800</xdr:rowOff>
    </xdr:to>
    <xdr:sp macro="" textlink="">
      <xdr:nvSpPr>
        <xdr:cNvPr id="158" name="Dibujo 301">
          <a:extLst>
            <a:ext uri="{FF2B5EF4-FFF2-40B4-BE49-F238E27FC236}">
              <a16:creationId xmlns:a16="http://schemas.microsoft.com/office/drawing/2014/main" id="{00000000-0008-0000-2500-00009E000000}"/>
            </a:ext>
          </a:extLst>
        </xdr:cNvPr>
        <xdr:cNvSpPr>
          <a:spLocks/>
        </xdr:cNvSpPr>
      </xdr:nvSpPr>
      <xdr:spPr bwMode="auto">
        <a:xfrm>
          <a:off x="3683000" y="6908800"/>
          <a:ext cx="254000" cy="34290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36</xdr:col>
      <xdr:colOff>25400</xdr:colOff>
      <xdr:row>63</xdr:row>
      <xdr:rowOff>50800</xdr:rowOff>
    </xdr:from>
    <xdr:to>
      <xdr:col>37</xdr:col>
      <xdr:colOff>63500</xdr:colOff>
      <xdr:row>65</xdr:row>
      <xdr:rowOff>38100</xdr:rowOff>
    </xdr:to>
    <xdr:sp macro="" textlink="">
      <xdr:nvSpPr>
        <xdr:cNvPr id="159" name="Dibujo 179">
          <a:extLst>
            <a:ext uri="{FF2B5EF4-FFF2-40B4-BE49-F238E27FC236}">
              <a16:creationId xmlns:a16="http://schemas.microsoft.com/office/drawing/2014/main" id="{00000000-0008-0000-2500-00009F000000}"/>
            </a:ext>
          </a:extLst>
        </xdr:cNvPr>
        <xdr:cNvSpPr>
          <a:spLocks/>
        </xdr:cNvSpPr>
      </xdr:nvSpPr>
      <xdr:spPr bwMode="auto">
        <a:xfrm>
          <a:off x="5880100" y="7023100"/>
          <a:ext cx="190500" cy="21590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62</xdr:col>
      <xdr:colOff>211015</xdr:colOff>
      <xdr:row>15</xdr:row>
      <xdr:rowOff>103116</xdr:rowOff>
    </xdr:from>
    <xdr:to>
      <xdr:col>64</xdr:col>
      <xdr:colOff>267470</xdr:colOff>
      <xdr:row>16</xdr:row>
      <xdr:rowOff>213026</xdr:rowOff>
    </xdr:to>
    <xdr:sp macro="" textlink="">
      <xdr:nvSpPr>
        <xdr:cNvPr id="160" name="AutoShape 409">
          <a:extLst>
            <a:ext uri="{FF2B5EF4-FFF2-40B4-BE49-F238E27FC236}">
              <a16:creationId xmlns:a16="http://schemas.microsoft.com/office/drawing/2014/main" id="{00000000-0008-0000-2500-0000A0000000}"/>
            </a:ext>
          </a:extLst>
        </xdr:cNvPr>
        <xdr:cNvSpPr>
          <a:spLocks noChangeArrowheads="1"/>
        </xdr:cNvSpPr>
      </xdr:nvSpPr>
      <xdr:spPr bwMode="auto">
        <a:xfrm>
          <a:off x="13304715" y="2554216"/>
          <a:ext cx="1809055" cy="262310"/>
        </a:xfrm>
        <a:prstGeom prst="wedgeEllipseCallout">
          <a:avLst>
            <a:gd name="adj1" fmla="val -22025"/>
            <a:gd name="adj2" fmla="val 342136"/>
          </a:avLst>
        </a:prstGeom>
        <a:solidFill>
          <a:srgbClr xmlns:mc="http://schemas.openxmlformats.org/markup-compatibility/2006" xmlns:a14="http://schemas.microsoft.com/office/drawing/2010/main" val="CC99FF" mc:Ignorable="a14" a14:legacySpreadsheetColorIndex="46">
            <a:alpha val="20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1000" b="1" i="0" u="none" strike="noStrike" baseline="0">
              <a:solidFill>
                <a:schemeClr val="tx1"/>
              </a:solidFill>
              <a:latin typeface="Arial"/>
              <a:cs typeface="Arial"/>
            </a:rPr>
            <a:t>Tor. Int. Navidad 25m</a:t>
          </a:r>
        </a:p>
      </xdr:txBody>
    </xdr:sp>
    <xdr:clientData/>
  </xdr:twoCellAnchor>
  <xdr:twoCellAnchor>
    <xdr:from>
      <xdr:col>58</xdr:col>
      <xdr:colOff>591019</xdr:colOff>
      <xdr:row>0</xdr:row>
      <xdr:rowOff>230476</xdr:rowOff>
    </xdr:from>
    <xdr:to>
      <xdr:col>58</xdr:col>
      <xdr:colOff>838062</xdr:colOff>
      <xdr:row>6</xdr:row>
      <xdr:rowOff>9607</xdr:rowOff>
    </xdr:to>
    <xdr:sp macro="" textlink="">
      <xdr:nvSpPr>
        <xdr:cNvPr id="161" name="Dibujo 301">
          <a:extLst>
            <a:ext uri="{FF2B5EF4-FFF2-40B4-BE49-F238E27FC236}">
              <a16:creationId xmlns:a16="http://schemas.microsoft.com/office/drawing/2014/main" id="{00000000-0008-0000-2500-0000A1000000}"/>
            </a:ext>
          </a:extLst>
        </xdr:cNvPr>
        <xdr:cNvSpPr>
          <a:spLocks/>
        </xdr:cNvSpPr>
      </xdr:nvSpPr>
      <xdr:spPr bwMode="auto">
        <a:xfrm>
          <a:off x="10217619" y="230476"/>
          <a:ext cx="247043" cy="871331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570835</xdr:colOff>
      <xdr:row>6</xdr:row>
      <xdr:rowOff>138177</xdr:rowOff>
    </xdr:from>
    <xdr:to>
      <xdr:col>58</xdr:col>
      <xdr:colOff>722938</xdr:colOff>
      <xdr:row>8</xdr:row>
      <xdr:rowOff>104546</xdr:rowOff>
    </xdr:to>
    <xdr:sp macro="" textlink="">
      <xdr:nvSpPr>
        <xdr:cNvPr id="162" name="Dibujo 193">
          <a:extLst>
            <a:ext uri="{FF2B5EF4-FFF2-40B4-BE49-F238E27FC236}">
              <a16:creationId xmlns:a16="http://schemas.microsoft.com/office/drawing/2014/main" id="{00000000-0008-0000-2500-0000A2000000}"/>
            </a:ext>
          </a:extLst>
        </xdr:cNvPr>
        <xdr:cNvSpPr>
          <a:spLocks/>
        </xdr:cNvSpPr>
      </xdr:nvSpPr>
      <xdr:spPr bwMode="auto">
        <a:xfrm>
          <a:off x="10197435" y="1230377"/>
          <a:ext cx="152103" cy="271169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60</xdr:col>
      <xdr:colOff>462125</xdr:colOff>
      <xdr:row>17</xdr:row>
      <xdr:rowOff>61914</xdr:rowOff>
    </xdr:from>
    <xdr:to>
      <xdr:col>62</xdr:col>
      <xdr:colOff>571322</xdr:colOff>
      <xdr:row>18</xdr:row>
      <xdr:rowOff>118535</xdr:rowOff>
    </xdr:to>
    <xdr:sp macro="[4]!AutoShape425_AlHacerClic" textlink="">
      <xdr:nvSpPr>
        <xdr:cNvPr id="163" name="AutoShape 425">
          <a:extLst>
            <a:ext uri="{FF2B5EF4-FFF2-40B4-BE49-F238E27FC236}">
              <a16:creationId xmlns:a16="http://schemas.microsoft.com/office/drawing/2014/main" id="{00000000-0008-0000-2500-0000A3000000}"/>
            </a:ext>
          </a:extLst>
        </xdr:cNvPr>
        <xdr:cNvSpPr>
          <a:spLocks noChangeArrowheads="1"/>
        </xdr:cNvSpPr>
      </xdr:nvSpPr>
      <xdr:spPr bwMode="auto">
        <a:xfrm>
          <a:off x="11849792" y="2982914"/>
          <a:ext cx="1870263" cy="276754"/>
        </a:xfrm>
        <a:prstGeom prst="wedgeEllipseCallout">
          <a:avLst>
            <a:gd name="adj1" fmla="val 2356"/>
            <a:gd name="adj2" fmla="val 518935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6862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_tradnl"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España (Pisc.25m)</a:t>
          </a:r>
        </a:p>
        <a:p>
          <a:pPr algn="l" rtl="0">
            <a:defRPr sz="1000"/>
          </a:pPr>
          <a:endParaRPr lang="es-ES_tradnl" sz="1000" b="1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l" rtl="0">
            <a:defRPr sz="1000"/>
          </a:pPr>
          <a:endParaRPr lang="es-ES_tradnl" sz="1000" b="1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l" rtl="0">
            <a:defRPr sz="1000"/>
          </a:pPr>
          <a:r>
            <a:rPr lang="es-ES_tradnl"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25 </a:t>
          </a:r>
        </a:p>
      </xdr:txBody>
    </xdr:sp>
    <xdr:clientData/>
  </xdr:twoCellAnchor>
  <xdr:twoCellAnchor>
    <xdr:from>
      <xdr:col>58</xdr:col>
      <xdr:colOff>254097</xdr:colOff>
      <xdr:row>15</xdr:row>
      <xdr:rowOff>42156</xdr:rowOff>
    </xdr:from>
    <xdr:to>
      <xdr:col>58</xdr:col>
      <xdr:colOff>454939</xdr:colOff>
      <xdr:row>16</xdr:row>
      <xdr:rowOff>240114</xdr:rowOff>
    </xdr:to>
    <xdr:sp macro="" textlink="">
      <xdr:nvSpPr>
        <xdr:cNvPr id="164" name="Dibujo 179">
          <a:extLst>
            <a:ext uri="{FF2B5EF4-FFF2-40B4-BE49-F238E27FC236}">
              <a16:creationId xmlns:a16="http://schemas.microsoft.com/office/drawing/2014/main" id="{00000000-0008-0000-2500-0000A4000000}"/>
            </a:ext>
          </a:extLst>
        </xdr:cNvPr>
        <xdr:cNvSpPr>
          <a:spLocks/>
        </xdr:cNvSpPr>
      </xdr:nvSpPr>
      <xdr:spPr bwMode="auto">
        <a:xfrm>
          <a:off x="9842597" y="2493256"/>
          <a:ext cx="200842" cy="350358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95249</xdr:colOff>
      <xdr:row>23</xdr:row>
      <xdr:rowOff>22579</xdr:rowOff>
    </xdr:from>
    <xdr:to>
      <xdr:col>58</xdr:col>
      <xdr:colOff>395110</xdr:colOff>
      <xdr:row>29</xdr:row>
      <xdr:rowOff>77611</xdr:rowOff>
    </xdr:to>
    <xdr:sp macro="" textlink="">
      <xdr:nvSpPr>
        <xdr:cNvPr id="165" name="Line 338">
          <a:extLst>
            <a:ext uri="{FF2B5EF4-FFF2-40B4-BE49-F238E27FC236}">
              <a16:creationId xmlns:a16="http://schemas.microsoft.com/office/drawing/2014/main" id="{00000000-0008-0000-2500-0000A5000000}"/>
            </a:ext>
          </a:extLst>
        </xdr:cNvPr>
        <xdr:cNvSpPr>
          <a:spLocks noChangeShapeType="1"/>
        </xdr:cNvSpPr>
      </xdr:nvSpPr>
      <xdr:spPr bwMode="auto">
        <a:xfrm flipH="1" flipV="1">
          <a:off x="9683749" y="3984979"/>
          <a:ext cx="299861" cy="461432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819609</xdr:colOff>
      <xdr:row>14</xdr:row>
      <xdr:rowOff>20516</xdr:rowOff>
    </xdr:from>
    <xdr:to>
      <xdr:col>59</xdr:col>
      <xdr:colOff>153561</xdr:colOff>
      <xdr:row>15</xdr:row>
      <xdr:rowOff>102676</xdr:rowOff>
    </xdr:to>
    <xdr:sp macro="" textlink="$F$14:$G$14">
      <xdr:nvSpPr>
        <xdr:cNvPr id="166" name="Dibujo 179">
          <a:extLst>
            <a:ext uri="{FF2B5EF4-FFF2-40B4-BE49-F238E27FC236}">
              <a16:creationId xmlns:a16="http://schemas.microsoft.com/office/drawing/2014/main" id="{00000000-0008-0000-2500-0000A6000000}"/>
            </a:ext>
          </a:extLst>
        </xdr:cNvPr>
        <xdr:cNvSpPr>
          <a:spLocks/>
        </xdr:cNvSpPr>
      </xdr:nvSpPr>
      <xdr:spPr bwMode="auto">
        <a:xfrm>
          <a:off x="10446209" y="2331916"/>
          <a:ext cx="214485" cy="23456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fld id="{C9340FC7-C34F-734D-A512-51CE5691EA68}" type="TxLink">
            <a:rPr lang="en-US" sz="8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82</a:t>
          </a:fld>
          <a:endParaRPr lang="es-ES"/>
        </a:p>
      </xdr:txBody>
    </xdr:sp>
    <xdr:clientData/>
  </xdr:twoCellAnchor>
  <xdr:twoCellAnchor>
    <xdr:from>
      <xdr:col>59</xdr:col>
      <xdr:colOff>755918</xdr:colOff>
      <xdr:row>15</xdr:row>
      <xdr:rowOff>64153</xdr:rowOff>
    </xdr:from>
    <xdr:to>
      <xdr:col>61</xdr:col>
      <xdr:colOff>379282</xdr:colOff>
      <xdr:row>16</xdr:row>
      <xdr:rowOff>96035</xdr:rowOff>
    </xdr:to>
    <xdr:sp macro="" textlink="">
      <xdr:nvSpPr>
        <xdr:cNvPr id="167" name="AutoShape 409">
          <a:extLst>
            <a:ext uri="{FF2B5EF4-FFF2-40B4-BE49-F238E27FC236}">
              <a16:creationId xmlns:a16="http://schemas.microsoft.com/office/drawing/2014/main" id="{00000000-0008-0000-2500-0000A7000000}"/>
            </a:ext>
          </a:extLst>
        </xdr:cNvPr>
        <xdr:cNvSpPr>
          <a:spLocks noChangeArrowheads="1"/>
        </xdr:cNvSpPr>
      </xdr:nvSpPr>
      <xdr:spPr bwMode="auto">
        <a:xfrm>
          <a:off x="11263051" y="2527953"/>
          <a:ext cx="1384431" cy="184282"/>
        </a:xfrm>
        <a:prstGeom prst="wedgeEllipseCallout">
          <a:avLst>
            <a:gd name="adj1" fmla="val 10176"/>
            <a:gd name="adj2" fmla="val 457867"/>
          </a:avLst>
        </a:prstGeom>
        <a:solidFill>
          <a:srgbClr xmlns:mc="http://schemas.openxmlformats.org/markup-compatibility/2006" xmlns:a14="http://schemas.microsoft.com/office/drawing/2010/main" val="CC99FF" mc:Ignorable="a14" a14:legacySpreadsheetColorIndex="46">
            <a:alpha val="20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600" b="1" i="0" u="none" strike="noStrike" baseline="0">
              <a:solidFill>
                <a:srgbClr val="000000"/>
              </a:solidFill>
              <a:latin typeface="Arial"/>
              <a:cs typeface="Arial"/>
            </a:rPr>
            <a:t>Burga en Bulgaria</a:t>
          </a:r>
        </a:p>
      </xdr:txBody>
    </xdr:sp>
    <xdr:clientData/>
  </xdr:twoCellAnchor>
  <xdr:twoCellAnchor>
    <xdr:from>
      <xdr:col>60</xdr:col>
      <xdr:colOff>515774</xdr:colOff>
      <xdr:row>16</xdr:row>
      <xdr:rowOff>133279</xdr:rowOff>
    </xdr:from>
    <xdr:to>
      <xdr:col>60</xdr:col>
      <xdr:colOff>770971</xdr:colOff>
      <xdr:row>18</xdr:row>
      <xdr:rowOff>138059</xdr:rowOff>
    </xdr:to>
    <xdr:sp macro="" textlink="">
      <xdr:nvSpPr>
        <xdr:cNvPr id="168" name="AutoShape 427">
          <a:extLst>
            <a:ext uri="{FF2B5EF4-FFF2-40B4-BE49-F238E27FC236}">
              <a16:creationId xmlns:a16="http://schemas.microsoft.com/office/drawing/2014/main" id="{00000000-0008-0000-2500-0000A8000000}"/>
            </a:ext>
          </a:extLst>
        </xdr:cNvPr>
        <xdr:cNvSpPr>
          <a:spLocks noChangeArrowheads="1"/>
        </xdr:cNvSpPr>
      </xdr:nvSpPr>
      <xdr:spPr bwMode="auto">
        <a:xfrm>
          <a:off x="11856874" y="2736779"/>
          <a:ext cx="255197" cy="525480"/>
        </a:xfrm>
        <a:prstGeom prst="wedgeEllipseCallout">
          <a:avLst>
            <a:gd name="adj1" fmla="val -37747"/>
            <a:gd name="adj2" fmla="val 238282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89803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800" b="1" i="0" u="none" strike="noStrike" baseline="0">
              <a:solidFill>
                <a:schemeClr val="tx1"/>
              </a:solidFill>
              <a:latin typeface="Arial"/>
              <a:cs typeface="Arial"/>
            </a:rPr>
            <a:t>Open de España 1-2-3-4-5 Abril, SABADELL</a:t>
          </a:r>
        </a:p>
      </xdr:txBody>
    </xdr:sp>
    <xdr:clientData/>
  </xdr:twoCellAnchor>
  <xdr:twoCellAnchor>
    <xdr:from>
      <xdr:col>60</xdr:col>
      <xdr:colOff>201434</xdr:colOff>
      <xdr:row>19</xdr:row>
      <xdr:rowOff>186619</xdr:rowOff>
    </xdr:from>
    <xdr:to>
      <xdr:col>60</xdr:col>
      <xdr:colOff>451553</xdr:colOff>
      <xdr:row>22</xdr:row>
      <xdr:rowOff>45507</xdr:rowOff>
    </xdr:to>
    <xdr:sp macro="" textlink="">
      <xdr:nvSpPr>
        <xdr:cNvPr id="170" name="AutoShape 335">
          <a:extLst>
            <a:ext uri="{FF2B5EF4-FFF2-40B4-BE49-F238E27FC236}">
              <a16:creationId xmlns:a16="http://schemas.microsoft.com/office/drawing/2014/main" id="{00000000-0008-0000-2500-0000AA000000}"/>
            </a:ext>
          </a:extLst>
        </xdr:cNvPr>
        <xdr:cNvSpPr>
          <a:spLocks noChangeArrowheads="1"/>
        </xdr:cNvSpPr>
      </xdr:nvSpPr>
      <xdr:spPr bwMode="auto">
        <a:xfrm>
          <a:off x="11542534" y="3653719"/>
          <a:ext cx="250119" cy="265288"/>
        </a:xfrm>
        <a:prstGeom prst="wedgeEllipseCallout">
          <a:avLst>
            <a:gd name="adj1" fmla="val -28763"/>
            <a:gd name="adj2" fmla="val 241115"/>
          </a:avLst>
        </a:prstGeom>
        <a:solidFill>
          <a:srgbClr val="00FF00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metr. semana en miles</a:t>
          </a:r>
        </a:p>
      </xdr:txBody>
    </xdr:sp>
    <xdr:clientData/>
  </xdr:twoCellAnchor>
  <xdr:twoCellAnchor>
    <xdr:from>
      <xdr:col>63</xdr:col>
      <xdr:colOff>509930</xdr:colOff>
      <xdr:row>40</xdr:row>
      <xdr:rowOff>4998</xdr:rowOff>
    </xdr:from>
    <xdr:to>
      <xdr:col>64</xdr:col>
      <xdr:colOff>359663</xdr:colOff>
      <xdr:row>43</xdr:row>
      <xdr:rowOff>54780</xdr:rowOff>
    </xdr:to>
    <xdr:sp macro="" textlink="">
      <xdr:nvSpPr>
        <xdr:cNvPr id="171" name="AutoShape 335">
          <a:extLst>
            <a:ext uri="{FF2B5EF4-FFF2-40B4-BE49-F238E27FC236}">
              <a16:creationId xmlns:a16="http://schemas.microsoft.com/office/drawing/2014/main" id="{00000000-0008-0000-2500-0000AB000000}"/>
            </a:ext>
          </a:extLst>
        </xdr:cNvPr>
        <xdr:cNvSpPr>
          <a:spLocks noChangeArrowheads="1"/>
        </xdr:cNvSpPr>
      </xdr:nvSpPr>
      <xdr:spPr bwMode="auto">
        <a:xfrm>
          <a:off x="14539197" y="5245865"/>
          <a:ext cx="730266" cy="320715"/>
        </a:xfrm>
        <a:prstGeom prst="wedgeEllipseCallout">
          <a:avLst>
            <a:gd name="adj1" fmla="val 71611"/>
            <a:gd name="adj2" fmla="val 104361"/>
          </a:avLst>
        </a:prstGeom>
        <a:solidFill>
          <a:srgbClr val="00FF00">
            <a:alpha val="33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1" i="0" u="none" strike="noStrike" baseline="0">
              <a:solidFill>
                <a:schemeClr val="tx1"/>
              </a:solidFill>
              <a:latin typeface="Arial"/>
              <a:cs typeface="Arial"/>
            </a:rPr>
            <a:t>I trof. GiF.24-25</a:t>
          </a:r>
        </a:p>
      </xdr:txBody>
    </xdr:sp>
    <xdr:clientData/>
  </xdr:twoCellAnchor>
  <xdr:twoCellAnchor>
    <xdr:from>
      <xdr:col>3</xdr:col>
      <xdr:colOff>9459</xdr:colOff>
      <xdr:row>1</xdr:row>
      <xdr:rowOff>31965</xdr:rowOff>
    </xdr:from>
    <xdr:to>
      <xdr:col>10</xdr:col>
      <xdr:colOff>67553</xdr:colOff>
      <xdr:row>4</xdr:row>
      <xdr:rowOff>17024</xdr:rowOff>
    </xdr:to>
    <xdr:sp macro="" textlink="">
      <xdr:nvSpPr>
        <xdr:cNvPr id="172" name="AutoShape 335">
          <a:extLst>
            <a:ext uri="{FF2B5EF4-FFF2-40B4-BE49-F238E27FC236}">
              <a16:creationId xmlns:a16="http://schemas.microsoft.com/office/drawing/2014/main" id="{00000000-0008-0000-2500-0000AC000000}"/>
            </a:ext>
          </a:extLst>
        </xdr:cNvPr>
        <xdr:cNvSpPr>
          <a:spLocks noChangeArrowheads="1"/>
        </xdr:cNvSpPr>
      </xdr:nvSpPr>
      <xdr:spPr bwMode="auto">
        <a:xfrm>
          <a:off x="853874" y="308933"/>
          <a:ext cx="1287562" cy="444421"/>
        </a:xfrm>
        <a:prstGeom prst="wedgeEllipseCallout">
          <a:avLst>
            <a:gd name="adj1" fmla="val 66894"/>
            <a:gd name="adj2" fmla="val 386291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Internac.            CASTELLON 50m</a:t>
          </a:r>
        </a:p>
      </xdr:txBody>
    </xdr:sp>
    <xdr:clientData/>
  </xdr:twoCellAnchor>
  <xdr:twoCellAnchor>
    <xdr:from>
      <xdr:col>59</xdr:col>
      <xdr:colOff>397561</xdr:colOff>
      <xdr:row>17</xdr:row>
      <xdr:rowOff>73025</xdr:rowOff>
    </xdr:from>
    <xdr:to>
      <xdr:col>59</xdr:col>
      <xdr:colOff>504825</xdr:colOff>
      <xdr:row>18</xdr:row>
      <xdr:rowOff>65439</xdr:rowOff>
    </xdr:to>
    <xdr:sp macro="" textlink="">
      <xdr:nvSpPr>
        <xdr:cNvPr id="173" name="AutoShape 335">
          <a:extLst>
            <a:ext uri="{FF2B5EF4-FFF2-40B4-BE49-F238E27FC236}">
              <a16:creationId xmlns:a16="http://schemas.microsoft.com/office/drawing/2014/main" id="{00000000-0008-0000-2500-0000AD000000}"/>
            </a:ext>
          </a:extLst>
        </xdr:cNvPr>
        <xdr:cNvSpPr>
          <a:spLocks noChangeArrowheads="1"/>
        </xdr:cNvSpPr>
      </xdr:nvSpPr>
      <xdr:spPr bwMode="auto">
        <a:xfrm>
          <a:off x="10862361" y="2981325"/>
          <a:ext cx="107264" cy="208314"/>
        </a:xfrm>
        <a:prstGeom prst="wedgeEllipseCallout">
          <a:avLst>
            <a:gd name="adj1" fmla="val -107260"/>
            <a:gd name="adj2" fmla="val 211718"/>
          </a:avLst>
        </a:prstGeom>
        <a:solidFill>
          <a:schemeClr val="tx1">
            <a:alpha val="84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0" i="0" u="none" strike="noStrike" baseline="0">
              <a:solidFill>
                <a:schemeClr val="tx1">
                  <a:lumMod val="50000"/>
                  <a:lumOff val="50000"/>
                </a:schemeClr>
              </a:solidFill>
              <a:latin typeface="Arial"/>
              <a:cs typeface="Arial"/>
            </a:rPr>
            <a:t>Calahorra</a:t>
          </a:r>
        </a:p>
      </xdr:txBody>
    </xdr:sp>
    <xdr:clientData/>
  </xdr:twoCellAnchor>
  <xdr:twoCellAnchor>
    <xdr:from>
      <xdr:col>63</xdr:col>
      <xdr:colOff>541756</xdr:colOff>
      <xdr:row>47</xdr:row>
      <xdr:rowOff>92562</xdr:rowOff>
    </xdr:from>
    <xdr:to>
      <xdr:col>64</xdr:col>
      <xdr:colOff>658362</xdr:colOff>
      <xdr:row>54</xdr:row>
      <xdr:rowOff>24524</xdr:rowOff>
    </xdr:to>
    <xdr:sp macro="" textlink="">
      <xdr:nvSpPr>
        <xdr:cNvPr id="174" name="AutoShape 335">
          <a:extLst>
            <a:ext uri="{FF2B5EF4-FFF2-40B4-BE49-F238E27FC236}">
              <a16:creationId xmlns:a16="http://schemas.microsoft.com/office/drawing/2014/main" id="{00000000-0008-0000-2500-0000AE000000}"/>
            </a:ext>
          </a:extLst>
        </xdr:cNvPr>
        <xdr:cNvSpPr>
          <a:spLocks noChangeArrowheads="1"/>
        </xdr:cNvSpPr>
      </xdr:nvSpPr>
      <xdr:spPr bwMode="auto">
        <a:xfrm>
          <a:off x="14571023" y="5917629"/>
          <a:ext cx="997139" cy="431495"/>
        </a:xfrm>
        <a:prstGeom prst="wedgeEllipseCallout">
          <a:avLst>
            <a:gd name="adj1" fmla="val 32161"/>
            <a:gd name="adj2" fmla="val 153288"/>
          </a:avLst>
        </a:prstGeom>
        <a:solidFill>
          <a:srgbClr val="FF060D">
            <a:alpha val="36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1" i="0" u="none" strike="noStrike" baseline="0">
              <a:solidFill>
                <a:schemeClr val="tx1"/>
              </a:solidFill>
              <a:latin typeface="Arial"/>
              <a:cs typeface="Arial"/>
            </a:rPr>
            <a:t>EH selecciones 22-23</a:t>
          </a:r>
        </a:p>
      </xdr:txBody>
    </xdr:sp>
    <xdr:clientData/>
  </xdr:twoCellAnchor>
  <xdr:twoCellAnchor>
    <xdr:from>
      <xdr:col>63</xdr:col>
      <xdr:colOff>724009</xdr:colOff>
      <xdr:row>0</xdr:row>
      <xdr:rowOff>221816</xdr:rowOff>
    </xdr:from>
    <xdr:to>
      <xdr:col>64</xdr:col>
      <xdr:colOff>337139</xdr:colOff>
      <xdr:row>4</xdr:row>
      <xdr:rowOff>128068</xdr:rowOff>
    </xdr:to>
    <xdr:sp macro="" textlink="">
      <xdr:nvSpPr>
        <xdr:cNvPr id="175" name="AutoShape 335">
          <a:extLst>
            <a:ext uri="{FF2B5EF4-FFF2-40B4-BE49-F238E27FC236}">
              <a16:creationId xmlns:a16="http://schemas.microsoft.com/office/drawing/2014/main" id="{00000000-0008-0000-2500-0000AF000000}"/>
            </a:ext>
          </a:extLst>
        </xdr:cNvPr>
        <xdr:cNvSpPr>
          <a:spLocks noChangeArrowheads="1"/>
        </xdr:cNvSpPr>
      </xdr:nvSpPr>
      <xdr:spPr bwMode="auto">
        <a:xfrm>
          <a:off x="14753276" y="221816"/>
          <a:ext cx="493663" cy="651319"/>
        </a:xfrm>
        <a:prstGeom prst="wedgeEllipseCallout">
          <a:avLst>
            <a:gd name="adj1" fmla="val 79583"/>
            <a:gd name="adj2" fmla="val 175007"/>
          </a:avLst>
        </a:prstGeom>
        <a:solidFill>
          <a:srgbClr val="00FF00">
            <a:alpha val="38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Arial"/>
              <a:cs typeface="Arial"/>
            </a:rPr>
            <a:t>GIF Con 8.</a:t>
          </a:r>
          <a:endParaRPr lang="es-ES" sz="500" b="0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27</xdr:col>
      <xdr:colOff>161143</xdr:colOff>
      <xdr:row>12</xdr:row>
      <xdr:rowOff>145983</xdr:rowOff>
    </xdr:from>
    <xdr:to>
      <xdr:col>28</xdr:col>
      <xdr:colOff>149956</xdr:colOff>
      <xdr:row>15</xdr:row>
      <xdr:rowOff>142582</xdr:rowOff>
    </xdr:to>
    <xdr:sp macro="" textlink="">
      <xdr:nvSpPr>
        <xdr:cNvPr id="176" name="Dibujo 179">
          <a:extLst>
            <a:ext uri="{FF2B5EF4-FFF2-40B4-BE49-F238E27FC236}">
              <a16:creationId xmlns:a16="http://schemas.microsoft.com/office/drawing/2014/main" id="{00000000-0008-0000-2500-0000B0000000}"/>
            </a:ext>
          </a:extLst>
        </xdr:cNvPr>
        <xdr:cNvSpPr>
          <a:spLocks/>
        </xdr:cNvSpPr>
      </xdr:nvSpPr>
      <xdr:spPr bwMode="auto">
        <a:xfrm>
          <a:off x="5220877" y="2159068"/>
          <a:ext cx="164451" cy="462716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57</xdr:col>
      <xdr:colOff>18566</xdr:colOff>
      <xdr:row>1</xdr:row>
      <xdr:rowOff>51352</xdr:rowOff>
    </xdr:from>
    <xdr:to>
      <xdr:col>58</xdr:col>
      <xdr:colOff>132821</xdr:colOff>
      <xdr:row>4</xdr:row>
      <xdr:rowOff>78492</xdr:rowOff>
    </xdr:to>
    <xdr:sp macro="" textlink="">
      <xdr:nvSpPr>
        <xdr:cNvPr id="177" name="Dibujo 219">
          <a:extLst>
            <a:ext uri="{FF2B5EF4-FFF2-40B4-BE49-F238E27FC236}">
              <a16:creationId xmlns:a16="http://schemas.microsoft.com/office/drawing/2014/main" id="{00000000-0008-0000-2500-0000B1000000}"/>
            </a:ext>
          </a:extLst>
        </xdr:cNvPr>
        <xdr:cNvSpPr>
          <a:spLocks/>
        </xdr:cNvSpPr>
      </xdr:nvSpPr>
      <xdr:spPr bwMode="auto">
        <a:xfrm>
          <a:off x="9467366" y="330752"/>
          <a:ext cx="292055" cy="492807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61</xdr:col>
      <xdr:colOff>15877</xdr:colOff>
      <xdr:row>5</xdr:row>
      <xdr:rowOff>85725</xdr:rowOff>
    </xdr:from>
    <xdr:to>
      <xdr:col>63</xdr:col>
      <xdr:colOff>506237</xdr:colOff>
      <xdr:row>10</xdr:row>
      <xdr:rowOff>0</xdr:rowOff>
    </xdr:to>
    <xdr:sp macro="[4]!AutoShape425_AlHacerClic" textlink="">
      <xdr:nvSpPr>
        <xdr:cNvPr id="178" name="AutoShape 425">
          <a:extLst>
            <a:ext uri="{FF2B5EF4-FFF2-40B4-BE49-F238E27FC236}">
              <a16:creationId xmlns:a16="http://schemas.microsoft.com/office/drawing/2014/main" id="{00000000-0008-0000-2500-0000B2000000}"/>
            </a:ext>
          </a:extLst>
        </xdr:cNvPr>
        <xdr:cNvSpPr>
          <a:spLocks noChangeArrowheads="1"/>
        </xdr:cNvSpPr>
      </xdr:nvSpPr>
      <xdr:spPr bwMode="auto">
        <a:xfrm>
          <a:off x="12233277" y="1012825"/>
          <a:ext cx="2242960" cy="676275"/>
        </a:xfrm>
        <a:prstGeom prst="wedgeEllipseCallout">
          <a:avLst>
            <a:gd name="adj1" fmla="val -25323"/>
            <a:gd name="adj2" fmla="val 236585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6862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_tradnl" sz="14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España (OPEN 50)</a:t>
          </a:r>
        </a:p>
        <a:p>
          <a:pPr algn="l" rtl="0">
            <a:defRPr sz="1000"/>
          </a:pPr>
          <a:endParaRPr lang="es-ES_tradnl" sz="1400" b="1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l" rtl="0">
            <a:defRPr sz="1000"/>
          </a:pPr>
          <a:endParaRPr lang="es-ES_tradnl" sz="1000" b="1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l" rtl="0">
            <a:defRPr sz="1000"/>
          </a:pPr>
          <a:r>
            <a:rPr lang="es-ES_tradnl"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25 </a:t>
          </a:r>
        </a:p>
      </xdr:txBody>
    </xdr:sp>
    <xdr:clientData/>
  </xdr:twoCellAnchor>
  <xdr:twoCellAnchor>
    <xdr:from>
      <xdr:col>59</xdr:col>
      <xdr:colOff>109231</xdr:colOff>
      <xdr:row>19</xdr:row>
      <xdr:rowOff>177503</xdr:rowOff>
    </xdr:from>
    <xdr:to>
      <xdr:col>60</xdr:col>
      <xdr:colOff>5012</xdr:colOff>
      <xdr:row>22</xdr:row>
      <xdr:rowOff>64983</xdr:rowOff>
    </xdr:to>
    <xdr:sp macro="" textlink="">
      <xdr:nvSpPr>
        <xdr:cNvPr id="179" name="AutoShape 335">
          <a:extLst>
            <a:ext uri="{FF2B5EF4-FFF2-40B4-BE49-F238E27FC236}">
              <a16:creationId xmlns:a16="http://schemas.microsoft.com/office/drawing/2014/main" id="{00000000-0008-0000-2500-0000B3000000}"/>
            </a:ext>
          </a:extLst>
        </xdr:cNvPr>
        <xdr:cNvSpPr>
          <a:spLocks noChangeArrowheads="1"/>
        </xdr:cNvSpPr>
      </xdr:nvSpPr>
      <xdr:spPr bwMode="auto">
        <a:xfrm>
          <a:off x="10574031" y="3644603"/>
          <a:ext cx="772081" cy="293880"/>
        </a:xfrm>
        <a:prstGeom prst="wedgeEllipseCallout">
          <a:avLst>
            <a:gd name="adj1" fmla="val 16385"/>
            <a:gd name="adj2" fmla="val 140240"/>
          </a:avLst>
        </a:prstGeom>
        <a:solidFill>
          <a:srgbClr val="00FF00">
            <a:alpha val="36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1" i="0" u="none" strike="noStrike" baseline="0">
              <a:solidFill>
                <a:schemeClr val="tx1"/>
              </a:solidFill>
              <a:latin typeface="Arial"/>
              <a:cs typeface="Arial"/>
            </a:rPr>
            <a:t>II trof.GiF.29-30</a:t>
          </a:r>
        </a:p>
      </xdr:txBody>
    </xdr:sp>
    <xdr:clientData/>
  </xdr:twoCellAnchor>
  <xdr:twoCellAnchor>
    <xdr:from>
      <xdr:col>62</xdr:col>
      <xdr:colOff>713584</xdr:colOff>
      <xdr:row>25</xdr:row>
      <xdr:rowOff>30395</xdr:rowOff>
    </xdr:from>
    <xdr:to>
      <xdr:col>64</xdr:col>
      <xdr:colOff>558159</xdr:colOff>
      <xdr:row>29</xdr:row>
      <xdr:rowOff>18378</xdr:rowOff>
    </xdr:to>
    <xdr:sp macro="" textlink="">
      <xdr:nvSpPr>
        <xdr:cNvPr id="180" name="AutoShape 335">
          <a:extLst>
            <a:ext uri="{FF2B5EF4-FFF2-40B4-BE49-F238E27FC236}">
              <a16:creationId xmlns:a16="http://schemas.microsoft.com/office/drawing/2014/main" id="{00000000-0008-0000-2500-0000B4000000}"/>
            </a:ext>
          </a:extLst>
        </xdr:cNvPr>
        <xdr:cNvSpPr>
          <a:spLocks noChangeArrowheads="1"/>
        </xdr:cNvSpPr>
      </xdr:nvSpPr>
      <xdr:spPr bwMode="auto">
        <a:xfrm>
          <a:off x="13807284" y="4145195"/>
          <a:ext cx="1597175" cy="241983"/>
        </a:xfrm>
        <a:prstGeom prst="wedgeEllipseCallout">
          <a:avLst>
            <a:gd name="adj1" fmla="val 32893"/>
            <a:gd name="adj2" fmla="val 322001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G Prix Zaragoza 15-16</a:t>
          </a:r>
        </a:p>
      </xdr:txBody>
    </xdr:sp>
    <xdr:clientData/>
  </xdr:twoCellAnchor>
  <xdr:twoCellAnchor>
    <xdr:from>
      <xdr:col>59</xdr:col>
      <xdr:colOff>210080</xdr:colOff>
      <xdr:row>15</xdr:row>
      <xdr:rowOff>126823</xdr:rowOff>
    </xdr:from>
    <xdr:to>
      <xdr:col>59</xdr:col>
      <xdr:colOff>416102</xdr:colOff>
      <xdr:row>16</xdr:row>
      <xdr:rowOff>212116</xdr:rowOff>
    </xdr:to>
    <xdr:sp macro="" textlink="">
      <xdr:nvSpPr>
        <xdr:cNvPr id="181" name="Dibujo 179">
          <a:extLst>
            <a:ext uri="{FF2B5EF4-FFF2-40B4-BE49-F238E27FC236}">
              <a16:creationId xmlns:a16="http://schemas.microsoft.com/office/drawing/2014/main" id="{00000000-0008-0000-2500-0000B5000000}"/>
            </a:ext>
          </a:extLst>
        </xdr:cNvPr>
        <xdr:cNvSpPr>
          <a:spLocks/>
        </xdr:cNvSpPr>
      </xdr:nvSpPr>
      <xdr:spPr bwMode="auto">
        <a:xfrm>
          <a:off x="10717213" y="2590623"/>
          <a:ext cx="206022" cy="237693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242951</xdr:colOff>
      <xdr:row>6</xdr:row>
      <xdr:rowOff>37589</xdr:rowOff>
    </xdr:from>
    <xdr:to>
      <xdr:col>58</xdr:col>
      <xdr:colOff>394949</xdr:colOff>
      <xdr:row>7</xdr:row>
      <xdr:rowOff>137088</xdr:rowOff>
    </xdr:to>
    <xdr:sp macro="" textlink="">
      <xdr:nvSpPr>
        <xdr:cNvPr id="182" name="Dibujo 223">
          <a:extLst>
            <a:ext uri="{FF2B5EF4-FFF2-40B4-BE49-F238E27FC236}">
              <a16:creationId xmlns:a16="http://schemas.microsoft.com/office/drawing/2014/main" id="{00000000-0008-0000-2500-0000B6000000}"/>
            </a:ext>
          </a:extLst>
        </xdr:cNvPr>
        <xdr:cNvSpPr>
          <a:spLocks/>
        </xdr:cNvSpPr>
      </xdr:nvSpPr>
      <xdr:spPr bwMode="auto">
        <a:xfrm>
          <a:off x="9869551" y="1129789"/>
          <a:ext cx="151998" cy="251899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326935</xdr:colOff>
      <xdr:row>9</xdr:row>
      <xdr:rowOff>119254</xdr:rowOff>
    </xdr:from>
    <xdr:to>
      <xdr:col>58</xdr:col>
      <xdr:colOff>435591</xdr:colOff>
      <xdr:row>11</xdr:row>
      <xdr:rowOff>46499</xdr:rowOff>
    </xdr:to>
    <xdr:sp macro="" textlink="">
      <xdr:nvSpPr>
        <xdr:cNvPr id="183" name="Dibujo 223">
          <a:extLst>
            <a:ext uri="{FF2B5EF4-FFF2-40B4-BE49-F238E27FC236}">
              <a16:creationId xmlns:a16="http://schemas.microsoft.com/office/drawing/2014/main" id="{00000000-0008-0000-2500-0000B7000000}"/>
            </a:ext>
          </a:extLst>
        </xdr:cNvPr>
        <xdr:cNvSpPr>
          <a:spLocks/>
        </xdr:cNvSpPr>
      </xdr:nvSpPr>
      <xdr:spPr bwMode="auto">
        <a:xfrm>
          <a:off x="9953535" y="1668654"/>
          <a:ext cx="108656" cy="23204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63</xdr:col>
      <xdr:colOff>60514</xdr:colOff>
      <xdr:row>18</xdr:row>
      <xdr:rowOff>99780</xdr:rowOff>
    </xdr:from>
    <xdr:to>
      <xdr:col>64</xdr:col>
      <xdr:colOff>560394</xdr:colOff>
      <xdr:row>19</xdr:row>
      <xdr:rowOff>11371</xdr:rowOff>
    </xdr:to>
    <xdr:sp macro="" textlink="">
      <xdr:nvSpPr>
        <xdr:cNvPr id="184" name="AutoShape 335">
          <a:extLst>
            <a:ext uri="{FF2B5EF4-FFF2-40B4-BE49-F238E27FC236}">
              <a16:creationId xmlns:a16="http://schemas.microsoft.com/office/drawing/2014/main" id="{00000000-0008-0000-2500-0000B8000000}"/>
            </a:ext>
          </a:extLst>
        </xdr:cNvPr>
        <xdr:cNvSpPr>
          <a:spLocks noChangeArrowheads="1"/>
        </xdr:cNvSpPr>
      </xdr:nvSpPr>
      <xdr:spPr bwMode="auto">
        <a:xfrm>
          <a:off x="14089781" y="3240913"/>
          <a:ext cx="1380413" cy="258725"/>
        </a:xfrm>
        <a:prstGeom prst="wedgeEllipseCallout">
          <a:avLst>
            <a:gd name="adj1" fmla="val -12626"/>
            <a:gd name="adj2" fmla="val 508215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78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G Prix TARR, 13/15</a:t>
          </a:r>
          <a:endParaRPr lang="es-ES" sz="800" b="1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58</xdr:col>
      <xdr:colOff>399521</xdr:colOff>
      <xdr:row>17</xdr:row>
      <xdr:rowOff>56443</xdr:rowOff>
    </xdr:from>
    <xdr:to>
      <xdr:col>58</xdr:col>
      <xdr:colOff>599722</xdr:colOff>
      <xdr:row>18</xdr:row>
      <xdr:rowOff>227718</xdr:rowOff>
    </xdr:to>
    <xdr:sp macro="" textlink="">
      <xdr:nvSpPr>
        <xdr:cNvPr id="185" name="Dibujo 179">
          <a:extLst>
            <a:ext uri="{FF2B5EF4-FFF2-40B4-BE49-F238E27FC236}">
              <a16:creationId xmlns:a16="http://schemas.microsoft.com/office/drawing/2014/main" id="{00000000-0008-0000-2500-0000B9000000}"/>
            </a:ext>
          </a:extLst>
        </xdr:cNvPr>
        <xdr:cNvSpPr>
          <a:spLocks/>
        </xdr:cNvSpPr>
      </xdr:nvSpPr>
      <xdr:spPr bwMode="auto">
        <a:xfrm>
          <a:off x="10026121" y="2977443"/>
          <a:ext cx="200201" cy="391408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60</xdr:col>
      <xdr:colOff>426265</xdr:colOff>
      <xdr:row>0</xdr:row>
      <xdr:rowOff>193020</xdr:rowOff>
    </xdr:from>
    <xdr:to>
      <xdr:col>61</xdr:col>
      <xdr:colOff>487658</xdr:colOff>
      <xdr:row>2</xdr:row>
      <xdr:rowOff>68181</xdr:rowOff>
    </xdr:to>
    <xdr:sp macro="" textlink="">
      <xdr:nvSpPr>
        <xdr:cNvPr id="186" name="AutoShape 335">
          <a:extLst>
            <a:ext uri="{FF2B5EF4-FFF2-40B4-BE49-F238E27FC236}">
              <a16:creationId xmlns:a16="http://schemas.microsoft.com/office/drawing/2014/main" id="{00000000-0008-0000-2500-0000BA000000}"/>
            </a:ext>
          </a:extLst>
        </xdr:cNvPr>
        <xdr:cNvSpPr>
          <a:spLocks noChangeArrowheads="1"/>
        </xdr:cNvSpPr>
      </xdr:nvSpPr>
      <xdr:spPr bwMode="auto">
        <a:xfrm>
          <a:off x="11813932" y="193020"/>
          <a:ext cx="941926" cy="349294"/>
        </a:xfrm>
        <a:prstGeom prst="wedgeEllipseCallout">
          <a:avLst>
            <a:gd name="adj1" fmla="val -24773"/>
            <a:gd name="adj2" fmla="val 625213"/>
          </a:avLst>
        </a:prstGeom>
        <a:solidFill>
          <a:srgbClr val="FF060D">
            <a:alpha val="45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1" i="0" u="none" strike="noStrike" baseline="0">
              <a:solidFill>
                <a:schemeClr val="tx1"/>
              </a:solidFill>
              <a:latin typeface="Arial"/>
              <a:cs typeface="Arial"/>
            </a:rPr>
            <a:t>Euskadi Seleccio</a:t>
          </a:r>
        </a:p>
      </xdr:txBody>
    </xdr:sp>
    <xdr:clientData/>
  </xdr:twoCellAnchor>
  <xdr:oneCellAnchor>
    <xdr:from>
      <xdr:col>59</xdr:col>
      <xdr:colOff>793304</xdr:colOff>
      <xdr:row>9</xdr:row>
      <xdr:rowOff>149303</xdr:rowOff>
    </xdr:from>
    <xdr:ext cx="1576917" cy="448027"/>
    <xdr:sp macro="" textlink="">
      <xdr:nvSpPr>
        <xdr:cNvPr id="187" name="AutoShape 335">
          <a:extLst>
            <a:ext uri="{FF2B5EF4-FFF2-40B4-BE49-F238E27FC236}">
              <a16:creationId xmlns:a16="http://schemas.microsoft.com/office/drawing/2014/main" id="{00000000-0008-0000-2500-0000BB000000}"/>
            </a:ext>
          </a:extLst>
        </xdr:cNvPr>
        <xdr:cNvSpPr>
          <a:spLocks noChangeArrowheads="1"/>
        </xdr:cNvSpPr>
      </xdr:nvSpPr>
      <xdr:spPr bwMode="auto">
        <a:xfrm>
          <a:off x="11258104" y="1686003"/>
          <a:ext cx="1576917" cy="448027"/>
        </a:xfrm>
        <a:prstGeom prst="wedgeEllipseCallout">
          <a:avLst>
            <a:gd name="adj1" fmla="val 5402"/>
            <a:gd name="adj2" fmla="val 79317"/>
          </a:avLst>
        </a:prstGeom>
        <a:solidFill>
          <a:srgbClr val="FF0000">
            <a:alpha val="54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>
          <a:noAutofit/>
        </a:bodyPr>
        <a:lstStyle/>
        <a:p>
          <a:pPr algn="l" rtl="0">
            <a:lnSpc>
              <a:spcPts val="1000"/>
            </a:lnSpc>
            <a:defRPr sz="1000"/>
          </a:pPr>
          <a:endParaRPr lang="es-ES" sz="2000" b="0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  <a:p>
          <a:pPr algn="l" rtl="0">
            <a:lnSpc>
              <a:spcPts val="1000"/>
            </a:lnSpc>
            <a:defRPr sz="1000"/>
          </a:pPr>
          <a:r>
            <a:rPr lang="es-ES" sz="2000" b="0" i="0" u="none" strike="noStrike" baseline="0">
              <a:solidFill>
                <a:schemeClr val="tx1">
                  <a:lumMod val="50000"/>
                  <a:lumOff val="50000"/>
                </a:schemeClr>
              </a:solidFill>
              <a:latin typeface="Arial"/>
              <a:cs typeface="Arial"/>
            </a:rPr>
            <a:t>    TOKIO</a:t>
          </a:r>
        </a:p>
      </xdr:txBody>
    </xdr:sp>
    <xdr:clientData/>
  </xdr:oneCellAnchor>
  <xdr:twoCellAnchor>
    <xdr:from>
      <xdr:col>51</xdr:col>
      <xdr:colOff>120650</xdr:colOff>
      <xdr:row>19</xdr:row>
      <xdr:rowOff>303561</xdr:rowOff>
    </xdr:from>
    <xdr:to>
      <xdr:col>52</xdr:col>
      <xdr:colOff>0</xdr:colOff>
      <xdr:row>19</xdr:row>
      <xdr:rowOff>303561</xdr:rowOff>
    </xdr:to>
    <xdr:sp macro="" textlink="">
      <xdr:nvSpPr>
        <xdr:cNvPr id="188" name="Texto 99">
          <a:extLst>
            <a:ext uri="{FF2B5EF4-FFF2-40B4-BE49-F238E27FC236}">
              <a16:creationId xmlns:a16="http://schemas.microsoft.com/office/drawing/2014/main" id="{00000000-0008-0000-2500-0000BC000000}"/>
            </a:ext>
          </a:extLst>
        </xdr:cNvPr>
        <xdr:cNvSpPr txBox="1">
          <a:spLocks noChangeArrowheads="1"/>
        </xdr:cNvSpPr>
      </xdr:nvSpPr>
      <xdr:spPr bwMode="auto">
        <a:xfrm>
          <a:off x="8489950" y="3669061"/>
          <a:ext cx="444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52</xdr:col>
      <xdr:colOff>120650</xdr:colOff>
      <xdr:row>19</xdr:row>
      <xdr:rowOff>303561</xdr:rowOff>
    </xdr:from>
    <xdr:to>
      <xdr:col>53</xdr:col>
      <xdr:colOff>0</xdr:colOff>
      <xdr:row>19</xdr:row>
      <xdr:rowOff>303561</xdr:rowOff>
    </xdr:to>
    <xdr:sp macro="" textlink="">
      <xdr:nvSpPr>
        <xdr:cNvPr id="189" name="Texto 99">
          <a:extLst>
            <a:ext uri="{FF2B5EF4-FFF2-40B4-BE49-F238E27FC236}">
              <a16:creationId xmlns:a16="http://schemas.microsoft.com/office/drawing/2014/main" id="{00000000-0008-0000-2500-0000BD000000}"/>
            </a:ext>
          </a:extLst>
        </xdr:cNvPr>
        <xdr:cNvSpPr txBox="1">
          <a:spLocks noChangeArrowheads="1"/>
        </xdr:cNvSpPr>
      </xdr:nvSpPr>
      <xdr:spPr bwMode="auto">
        <a:xfrm>
          <a:off x="8655050" y="3669061"/>
          <a:ext cx="444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53</xdr:col>
      <xdr:colOff>120650</xdr:colOff>
      <xdr:row>19</xdr:row>
      <xdr:rowOff>303561</xdr:rowOff>
    </xdr:from>
    <xdr:to>
      <xdr:col>54</xdr:col>
      <xdr:colOff>0</xdr:colOff>
      <xdr:row>19</xdr:row>
      <xdr:rowOff>303561</xdr:rowOff>
    </xdr:to>
    <xdr:sp macro="" textlink="">
      <xdr:nvSpPr>
        <xdr:cNvPr id="190" name="Texto 99">
          <a:extLst>
            <a:ext uri="{FF2B5EF4-FFF2-40B4-BE49-F238E27FC236}">
              <a16:creationId xmlns:a16="http://schemas.microsoft.com/office/drawing/2014/main" id="{00000000-0008-0000-2500-0000BE000000}"/>
            </a:ext>
          </a:extLst>
        </xdr:cNvPr>
        <xdr:cNvSpPr txBox="1">
          <a:spLocks noChangeArrowheads="1"/>
        </xdr:cNvSpPr>
      </xdr:nvSpPr>
      <xdr:spPr bwMode="auto">
        <a:xfrm>
          <a:off x="8820150" y="3669061"/>
          <a:ext cx="571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54</xdr:col>
      <xdr:colOff>120650</xdr:colOff>
      <xdr:row>19</xdr:row>
      <xdr:rowOff>303561</xdr:rowOff>
    </xdr:from>
    <xdr:to>
      <xdr:col>55</xdr:col>
      <xdr:colOff>0</xdr:colOff>
      <xdr:row>19</xdr:row>
      <xdr:rowOff>303561</xdr:rowOff>
    </xdr:to>
    <xdr:sp macro="" textlink="">
      <xdr:nvSpPr>
        <xdr:cNvPr id="191" name="Texto 99">
          <a:extLst>
            <a:ext uri="{FF2B5EF4-FFF2-40B4-BE49-F238E27FC236}">
              <a16:creationId xmlns:a16="http://schemas.microsoft.com/office/drawing/2014/main" id="{00000000-0008-0000-2500-0000BF000000}"/>
            </a:ext>
          </a:extLst>
        </xdr:cNvPr>
        <xdr:cNvSpPr txBox="1">
          <a:spLocks noChangeArrowheads="1"/>
        </xdr:cNvSpPr>
      </xdr:nvSpPr>
      <xdr:spPr bwMode="auto">
        <a:xfrm>
          <a:off x="8997950" y="3669061"/>
          <a:ext cx="571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55</xdr:col>
      <xdr:colOff>120650</xdr:colOff>
      <xdr:row>19</xdr:row>
      <xdr:rowOff>303561</xdr:rowOff>
    </xdr:from>
    <xdr:to>
      <xdr:col>56</xdr:col>
      <xdr:colOff>0</xdr:colOff>
      <xdr:row>19</xdr:row>
      <xdr:rowOff>303561</xdr:rowOff>
    </xdr:to>
    <xdr:sp macro="" textlink="">
      <xdr:nvSpPr>
        <xdr:cNvPr id="192" name="Texto 99">
          <a:extLst>
            <a:ext uri="{FF2B5EF4-FFF2-40B4-BE49-F238E27FC236}">
              <a16:creationId xmlns:a16="http://schemas.microsoft.com/office/drawing/2014/main" id="{00000000-0008-0000-2500-0000C0000000}"/>
            </a:ext>
          </a:extLst>
        </xdr:cNvPr>
        <xdr:cNvSpPr txBox="1">
          <a:spLocks noChangeArrowheads="1"/>
        </xdr:cNvSpPr>
      </xdr:nvSpPr>
      <xdr:spPr bwMode="auto">
        <a:xfrm>
          <a:off x="9175750" y="3669061"/>
          <a:ext cx="571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56</xdr:col>
      <xdr:colOff>120650</xdr:colOff>
      <xdr:row>19</xdr:row>
      <xdr:rowOff>303561</xdr:rowOff>
    </xdr:from>
    <xdr:to>
      <xdr:col>57</xdr:col>
      <xdr:colOff>0</xdr:colOff>
      <xdr:row>19</xdr:row>
      <xdr:rowOff>303561</xdr:rowOff>
    </xdr:to>
    <xdr:sp macro="" textlink="">
      <xdr:nvSpPr>
        <xdr:cNvPr id="193" name="Texto 99">
          <a:extLst>
            <a:ext uri="{FF2B5EF4-FFF2-40B4-BE49-F238E27FC236}">
              <a16:creationId xmlns:a16="http://schemas.microsoft.com/office/drawing/2014/main" id="{00000000-0008-0000-2500-0000C1000000}"/>
            </a:ext>
          </a:extLst>
        </xdr:cNvPr>
        <xdr:cNvSpPr txBox="1">
          <a:spLocks noChangeArrowheads="1"/>
        </xdr:cNvSpPr>
      </xdr:nvSpPr>
      <xdr:spPr bwMode="auto">
        <a:xfrm>
          <a:off x="9353550" y="3669061"/>
          <a:ext cx="571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57</xdr:col>
      <xdr:colOff>120650</xdr:colOff>
      <xdr:row>19</xdr:row>
      <xdr:rowOff>303561</xdr:rowOff>
    </xdr:from>
    <xdr:to>
      <xdr:col>58</xdr:col>
      <xdr:colOff>0</xdr:colOff>
      <xdr:row>19</xdr:row>
      <xdr:rowOff>303561</xdr:rowOff>
    </xdr:to>
    <xdr:sp macro="" textlink="">
      <xdr:nvSpPr>
        <xdr:cNvPr id="194" name="Texto 99">
          <a:extLst>
            <a:ext uri="{FF2B5EF4-FFF2-40B4-BE49-F238E27FC236}">
              <a16:creationId xmlns:a16="http://schemas.microsoft.com/office/drawing/2014/main" id="{00000000-0008-0000-2500-0000C2000000}"/>
            </a:ext>
          </a:extLst>
        </xdr:cNvPr>
        <xdr:cNvSpPr txBox="1">
          <a:spLocks noChangeArrowheads="1"/>
        </xdr:cNvSpPr>
      </xdr:nvSpPr>
      <xdr:spPr bwMode="auto">
        <a:xfrm>
          <a:off x="9531350" y="3669061"/>
          <a:ext cx="571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Sptiemb.</a:t>
          </a:r>
        </a:p>
      </xdr:txBody>
    </xdr:sp>
    <xdr:clientData/>
  </xdr:twoCellAnchor>
  <xdr:twoCellAnchor>
    <xdr:from>
      <xdr:col>58</xdr:col>
      <xdr:colOff>628846</xdr:colOff>
      <xdr:row>15</xdr:row>
      <xdr:rowOff>152894</xdr:rowOff>
    </xdr:from>
    <xdr:to>
      <xdr:col>58</xdr:col>
      <xdr:colOff>816988</xdr:colOff>
      <xdr:row>18</xdr:row>
      <xdr:rowOff>9298</xdr:rowOff>
    </xdr:to>
    <xdr:sp macro="" textlink="">
      <xdr:nvSpPr>
        <xdr:cNvPr id="196" name="Dibujo 179">
          <a:extLst>
            <a:ext uri="{FF2B5EF4-FFF2-40B4-BE49-F238E27FC236}">
              <a16:creationId xmlns:a16="http://schemas.microsoft.com/office/drawing/2014/main" id="{00000000-0008-0000-2500-0000C4000000}"/>
            </a:ext>
          </a:extLst>
        </xdr:cNvPr>
        <xdr:cNvSpPr>
          <a:spLocks/>
        </xdr:cNvSpPr>
      </xdr:nvSpPr>
      <xdr:spPr bwMode="auto">
        <a:xfrm>
          <a:off x="10217346" y="2603994"/>
          <a:ext cx="188142" cy="529504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61</xdr:col>
      <xdr:colOff>373411</xdr:colOff>
      <xdr:row>40</xdr:row>
      <xdr:rowOff>70452</xdr:rowOff>
    </xdr:from>
    <xdr:to>
      <xdr:col>61</xdr:col>
      <xdr:colOff>867981</xdr:colOff>
      <xdr:row>43</xdr:row>
      <xdr:rowOff>83577</xdr:rowOff>
    </xdr:to>
    <xdr:sp macro="" textlink="">
      <xdr:nvSpPr>
        <xdr:cNvPr id="197" name="AutoShape 335">
          <a:extLst>
            <a:ext uri="{FF2B5EF4-FFF2-40B4-BE49-F238E27FC236}">
              <a16:creationId xmlns:a16="http://schemas.microsoft.com/office/drawing/2014/main" id="{00000000-0008-0000-2500-0000C5000000}"/>
            </a:ext>
          </a:extLst>
        </xdr:cNvPr>
        <xdr:cNvSpPr>
          <a:spLocks noChangeArrowheads="1"/>
        </xdr:cNvSpPr>
      </xdr:nvSpPr>
      <xdr:spPr bwMode="auto">
        <a:xfrm rot="10545450">
          <a:off x="12641611" y="5311319"/>
          <a:ext cx="494570" cy="284058"/>
        </a:xfrm>
        <a:prstGeom prst="wedgeEllipseCallout">
          <a:avLst>
            <a:gd name="adj1" fmla="val 7002"/>
            <a:gd name="adj2" fmla="val 167137"/>
          </a:avLst>
        </a:prstGeom>
        <a:solidFill>
          <a:srgbClr val="00FF00">
            <a:alpha val="29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Arial"/>
              <a:cs typeface="Arial"/>
            </a:rPr>
            <a:t>GIF CO 22 </a:t>
          </a:r>
          <a:endParaRPr lang="es-ES" sz="500" b="0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63</xdr:col>
      <xdr:colOff>140885</xdr:colOff>
      <xdr:row>39</xdr:row>
      <xdr:rowOff>67919</xdr:rowOff>
    </xdr:from>
    <xdr:to>
      <xdr:col>63</xdr:col>
      <xdr:colOff>350664</xdr:colOff>
      <xdr:row>43</xdr:row>
      <xdr:rowOff>74333</xdr:rowOff>
    </xdr:to>
    <xdr:sp macro="" textlink="">
      <xdr:nvSpPr>
        <xdr:cNvPr id="198" name="Dibujo 271">
          <a:extLst>
            <a:ext uri="{FF2B5EF4-FFF2-40B4-BE49-F238E27FC236}">
              <a16:creationId xmlns:a16="http://schemas.microsoft.com/office/drawing/2014/main" id="{00000000-0008-0000-2500-0000C6000000}"/>
            </a:ext>
          </a:extLst>
        </xdr:cNvPr>
        <xdr:cNvSpPr>
          <a:spLocks/>
        </xdr:cNvSpPr>
      </xdr:nvSpPr>
      <xdr:spPr bwMode="auto">
        <a:xfrm>
          <a:off x="14170152" y="5190252"/>
          <a:ext cx="209779" cy="395881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14</xdr:col>
      <xdr:colOff>117231</xdr:colOff>
      <xdr:row>62</xdr:row>
      <xdr:rowOff>68385</xdr:rowOff>
    </xdr:from>
    <xdr:to>
      <xdr:col>16</xdr:col>
      <xdr:colOff>22979</xdr:colOff>
      <xdr:row>66</xdr:row>
      <xdr:rowOff>2949</xdr:rowOff>
    </xdr:to>
    <xdr:sp macro="" textlink="">
      <xdr:nvSpPr>
        <xdr:cNvPr id="199" name="Dibujo 271">
          <a:extLst>
            <a:ext uri="{FF2B5EF4-FFF2-40B4-BE49-F238E27FC236}">
              <a16:creationId xmlns:a16="http://schemas.microsoft.com/office/drawing/2014/main" id="{00000000-0008-0000-2500-0000C7000000}"/>
            </a:ext>
          </a:extLst>
        </xdr:cNvPr>
        <xdr:cNvSpPr>
          <a:spLocks/>
        </xdr:cNvSpPr>
      </xdr:nvSpPr>
      <xdr:spPr bwMode="auto">
        <a:xfrm>
          <a:off x="2631831" y="6913685"/>
          <a:ext cx="210548" cy="366364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59</xdr:col>
      <xdr:colOff>521777</xdr:colOff>
      <xdr:row>18</xdr:row>
      <xdr:rowOff>303889</xdr:rowOff>
    </xdr:from>
    <xdr:to>
      <xdr:col>62</xdr:col>
      <xdr:colOff>715342</xdr:colOff>
      <xdr:row>19</xdr:row>
      <xdr:rowOff>207257</xdr:rowOff>
    </xdr:to>
    <xdr:sp macro="" textlink="">
      <xdr:nvSpPr>
        <xdr:cNvPr id="200" name="AutoShape 335">
          <a:extLst>
            <a:ext uri="{FF2B5EF4-FFF2-40B4-BE49-F238E27FC236}">
              <a16:creationId xmlns:a16="http://schemas.microsoft.com/office/drawing/2014/main" id="{00000000-0008-0000-2500-0000C8000000}"/>
            </a:ext>
          </a:extLst>
        </xdr:cNvPr>
        <xdr:cNvSpPr>
          <a:spLocks noChangeArrowheads="1"/>
        </xdr:cNvSpPr>
      </xdr:nvSpPr>
      <xdr:spPr bwMode="auto">
        <a:xfrm>
          <a:off x="10986577" y="3428089"/>
          <a:ext cx="2822465" cy="246268"/>
        </a:xfrm>
        <a:prstGeom prst="wedgeEllipseCallout">
          <a:avLst>
            <a:gd name="adj1" fmla="val 18294"/>
            <a:gd name="adj2" fmla="val 512287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Monaco29-30/5, Canet 1-2/6, Barc.5-6/6</a:t>
          </a:r>
          <a:endParaRPr lang="es-ES" sz="800" b="1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59</xdr:col>
      <xdr:colOff>548861</xdr:colOff>
      <xdr:row>18</xdr:row>
      <xdr:rowOff>394746</xdr:rowOff>
    </xdr:from>
    <xdr:to>
      <xdr:col>59</xdr:col>
      <xdr:colOff>649313</xdr:colOff>
      <xdr:row>22</xdr:row>
      <xdr:rowOff>8364</xdr:rowOff>
    </xdr:to>
    <xdr:sp macro="" textlink="">
      <xdr:nvSpPr>
        <xdr:cNvPr id="202" name="Dibujo 179">
          <a:extLst>
            <a:ext uri="{FF2B5EF4-FFF2-40B4-BE49-F238E27FC236}">
              <a16:creationId xmlns:a16="http://schemas.microsoft.com/office/drawing/2014/main" id="{00000000-0008-0000-2500-0000CA000000}"/>
            </a:ext>
          </a:extLst>
        </xdr:cNvPr>
        <xdr:cNvSpPr>
          <a:spLocks/>
        </xdr:cNvSpPr>
      </xdr:nvSpPr>
      <xdr:spPr bwMode="auto">
        <a:xfrm>
          <a:off x="11931574" y="3502193"/>
          <a:ext cx="100452" cy="424256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11</xdr:col>
      <xdr:colOff>7139</xdr:colOff>
      <xdr:row>13</xdr:row>
      <xdr:rowOff>70566</xdr:rowOff>
    </xdr:from>
    <xdr:to>
      <xdr:col>11</xdr:col>
      <xdr:colOff>112272</xdr:colOff>
      <xdr:row>15</xdr:row>
      <xdr:rowOff>151963</xdr:rowOff>
    </xdr:to>
    <xdr:sp macro="" textlink="">
      <xdr:nvSpPr>
        <xdr:cNvPr id="203" name="Dibujo 179">
          <a:extLst>
            <a:ext uri="{FF2B5EF4-FFF2-40B4-BE49-F238E27FC236}">
              <a16:creationId xmlns:a16="http://schemas.microsoft.com/office/drawing/2014/main" id="{00000000-0008-0000-2500-0000CB000000}"/>
            </a:ext>
          </a:extLst>
        </xdr:cNvPr>
        <xdr:cNvSpPr>
          <a:spLocks/>
        </xdr:cNvSpPr>
      </xdr:nvSpPr>
      <xdr:spPr bwMode="auto">
        <a:xfrm>
          <a:off x="2256660" y="2239023"/>
          <a:ext cx="105133" cy="392142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59</xdr:col>
      <xdr:colOff>804832</xdr:colOff>
      <xdr:row>6</xdr:row>
      <xdr:rowOff>2491</xdr:rowOff>
    </xdr:from>
    <xdr:to>
      <xdr:col>60</xdr:col>
      <xdr:colOff>772549</xdr:colOff>
      <xdr:row>8</xdr:row>
      <xdr:rowOff>63025</xdr:rowOff>
    </xdr:to>
    <xdr:sp macro="" textlink="">
      <xdr:nvSpPr>
        <xdr:cNvPr id="204" name="AutoShape 427">
          <a:extLst>
            <a:ext uri="{FF2B5EF4-FFF2-40B4-BE49-F238E27FC236}">
              <a16:creationId xmlns:a16="http://schemas.microsoft.com/office/drawing/2014/main" id="{00000000-0008-0000-2500-0000CC000000}"/>
            </a:ext>
          </a:extLst>
        </xdr:cNvPr>
        <xdr:cNvSpPr>
          <a:spLocks noChangeArrowheads="1"/>
        </xdr:cNvSpPr>
      </xdr:nvSpPr>
      <xdr:spPr bwMode="auto">
        <a:xfrm>
          <a:off x="11311965" y="1094691"/>
          <a:ext cx="848251" cy="365334"/>
        </a:xfrm>
        <a:prstGeom prst="wedgeEllipseCallout">
          <a:avLst>
            <a:gd name="adj1" fmla="val -65945"/>
            <a:gd name="adj2" fmla="val 402586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89803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600" b="1" i="0" u="none" strike="noStrike" baseline="0">
              <a:solidFill>
                <a:schemeClr val="tx1"/>
              </a:solidFill>
              <a:latin typeface="Arial"/>
              <a:cs typeface="Arial"/>
            </a:rPr>
            <a:t>EUROPA 25m</a:t>
          </a:r>
        </a:p>
        <a:p>
          <a:pPr algn="l" rtl="0">
            <a:defRPr sz="1000"/>
          </a:pPr>
          <a:r>
            <a:rPr lang="es-ES" sz="600" b="1" i="0" u="none" strike="noStrike" baseline="0">
              <a:solidFill>
                <a:schemeClr val="tx1"/>
              </a:solidFill>
              <a:latin typeface="Arial"/>
              <a:cs typeface="Arial"/>
            </a:rPr>
            <a:t>    Kazan</a:t>
          </a:r>
        </a:p>
      </xdr:txBody>
    </xdr:sp>
    <xdr:clientData/>
  </xdr:twoCellAnchor>
  <xdr:twoCellAnchor>
    <xdr:from>
      <xdr:col>58</xdr:col>
      <xdr:colOff>345593</xdr:colOff>
      <xdr:row>0</xdr:row>
      <xdr:rowOff>262467</xdr:rowOff>
    </xdr:from>
    <xdr:to>
      <xdr:col>58</xdr:col>
      <xdr:colOff>474902</xdr:colOff>
      <xdr:row>3</xdr:row>
      <xdr:rowOff>113824</xdr:rowOff>
    </xdr:to>
    <xdr:sp macro="" textlink="">
      <xdr:nvSpPr>
        <xdr:cNvPr id="205" name="Dibujo 219">
          <a:extLst>
            <a:ext uri="{FF2B5EF4-FFF2-40B4-BE49-F238E27FC236}">
              <a16:creationId xmlns:a16="http://schemas.microsoft.com/office/drawing/2014/main" id="{00000000-0008-0000-2500-0000CD000000}"/>
            </a:ext>
          </a:extLst>
        </xdr:cNvPr>
        <xdr:cNvSpPr>
          <a:spLocks/>
        </xdr:cNvSpPr>
      </xdr:nvSpPr>
      <xdr:spPr bwMode="auto">
        <a:xfrm>
          <a:off x="9972193" y="262467"/>
          <a:ext cx="129309" cy="47789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59</xdr:col>
      <xdr:colOff>43512</xdr:colOff>
      <xdr:row>2</xdr:row>
      <xdr:rowOff>94414</xdr:rowOff>
    </xdr:from>
    <xdr:to>
      <xdr:col>59</xdr:col>
      <xdr:colOff>207976</xdr:colOff>
      <xdr:row>5</xdr:row>
      <xdr:rowOff>89630</xdr:rowOff>
    </xdr:to>
    <xdr:sp macro="" textlink="">
      <xdr:nvSpPr>
        <xdr:cNvPr id="206" name="Dibujo 219">
          <a:extLst>
            <a:ext uri="{FF2B5EF4-FFF2-40B4-BE49-F238E27FC236}">
              <a16:creationId xmlns:a16="http://schemas.microsoft.com/office/drawing/2014/main" id="{00000000-0008-0000-2500-0000CE000000}"/>
            </a:ext>
          </a:extLst>
        </xdr:cNvPr>
        <xdr:cNvSpPr>
          <a:spLocks/>
        </xdr:cNvSpPr>
      </xdr:nvSpPr>
      <xdr:spPr bwMode="auto">
        <a:xfrm>
          <a:off x="10550645" y="568547"/>
          <a:ext cx="164464" cy="460883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59</xdr:col>
      <xdr:colOff>493610</xdr:colOff>
      <xdr:row>1</xdr:row>
      <xdr:rowOff>61240</xdr:rowOff>
    </xdr:from>
    <xdr:to>
      <xdr:col>60</xdr:col>
      <xdr:colOff>476169</xdr:colOff>
      <xdr:row>3</xdr:row>
      <xdr:rowOff>14724</xdr:rowOff>
    </xdr:to>
    <xdr:sp macro="" textlink="">
      <xdr:nvSpPr>
        <xdr:cNvPr id="207" name="AutoShape 427">
          <a:extLst>
            <a:ext uri="{FF2B5EF4-FFF2-40B4-BE49-F238E27FC236}">
              <a16:creationId xmlns:a16="http://schemas.microsoft.com/office/drawing/2014/main" id="{00000000-0008-0000-2500-0000CF000000}"/>
            </a:ext>
          </a:extLst>
        </xdr:cNvPr>
        <xdr:cNvSpPr>
          <a:spLocks noChangeArrowheads="1"/>
        </xdr:cNvSpPr>
      </xdr:nvSpPr>
      <xdr:spPr bwMode="auto">
        <a:xfrm>
          <a:off x="10958410" y="340640"/>
          <a:ext cx="858859" cy="296384"/>
        </a:xfrm>
        <a:prstGeom prst="wedgeEllipseCallout">
          <a:avLst>
            <a:gd name="adj1" fmla="val -51414"/>
            <a:gd name="adj2" fmla="val 473287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89803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600" b="1" i="0" u="none" strike="noStrike" baseline="0">
              <a:solidFill>
                <a:schemeClr val="tx1"/>
              </a:solidFill>
              <a:latin typeface="Arial"/>
              <a:cs typeface="Arial"/>
            </a:rPr>
            <a:t>MUNDIAL 25m Abu-Dhabi</a:t>
          </a:r>
        </a:p>
      </xdr:txBody>
    </xdr:sp>
    <xdr:clientData/>
  </xdr:twoCellAnchor>
  <xdr:twoCellAnchor>
    <xdr:from>
      <xdr:col>59</xdr:col>
      <xdr:colOff>299854</xdr:colOff>
      <xdr:row>4</xdr:row>
      <xdr:rowOff>146178</xdr:rowOff>
    </xdr:from>
    <xdr:to>
      <xdr:col>60</xdr:col>
      <xdr:colOff>287721</xdr:colOff>
      <xdr:row>6</xdr:row>
      <xdr:rowOff>102658</xdr:rowOff>
    </xdr:to>
    <xdr:sp macro="" textlink="">
      <xdr:nvSpPr>
        <xdr:cNvPr id="208" name="AutoShape 427">
          <a:extLst>
            <a:ext uri="{FF2B5EF4-FFF2-40B4-BE49-F238E27FC236}">
              <a16:creationId xmlns:a16="http://schemas.microsoft.com/office/drawing/2014/main" id="{00000000-0008-0000-2500-0000D0000000}"/>
            </a:ext>
          </a:extLst>
        </xdr:cNvPr>
        <xdr:cNvSpPr>
          <a:spLocks noChangeArrowheads="1"/>
        </xdr:cNvSpPr>
      </xdr:nvSpPr>
      <xdr:spPr bwMode="auto">
        <a:xfrm>
          <a:off x="11682567" y="882508"/>
          <a:ext cx="866058" cy="301001"/>
        </a:xfrm>
        <a:prstGeom prst="wedgeEllipseCallout">
          <a:avLst>
            <a:gd name="adj1" fmla="val -61822"/>
            <a:gd name="adj2" fmla="val -63309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89803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600" b="1" i="0" u="none" strike="noStrike" baseline="0">
              <a:solidFill>
                <a:schemeClr val="tx1"/>
              </a:solidFill>
              <a:latin typeface="Arial"/>
              <a:cs typeface="Arial"/>
            </a:rPr>
            <a:t>MUNDIAL 50m 25m Fuj Kuoka</a:t>
          </a:r>
        </a:p>
      </xdr:txBody>
    </xdr:sp>
    <xdr:clientData/>
  </xdr:twoCellAnchor>
  <xdr:twoCellAnchor>
    <xdr:from>
      <xdr:col>60</xdr:col>
      <xdr:colOff>257708</xdr:colOff>
      <xdr:row>29</xdr:row>
      <xdr:rowOff>65319</xdr:rowOff>
    </xdr:from>
    <xdr:to>
      <xdr:col>60</xdr:col>
      <xdr:colOff>448833</xdr:colOff>
      <xdr:row>35</xdr:row>
      <xdr:rowOff>23389</xdr:rowOff>
    </xdr:to>
    <xdr:sp macro="" textlink="">
      <xdr:nvSpPr>
        <xdr:cNvPr id="209" name="Dibujo 219">
          <a:extLst>
            <a:ext uri="{FF2B5EF4-FFF2-40B4-BE49-F238E27FC236}">
              <a16:creationId xmlns:a16="http://schemas.microsoft.com/office/drawing/2014/main" id="{00000000-0008-0000-2500-0000D1000000}"/>
            </a:ext>
          </a:extLst>
        </xdr:cNvPr>
        <xdr:cNvSpPr>
          <a:spLocks/>
        </xdr:cNvSpPr>
      </xdr:nvSpPr>
      <xdr:spPr bwMode="auto">
        <a:xfrm>
          <a:off x="12518612" y="4469787"/>
          <a:ext cx="191125" cy="424187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62</xdr:col>
      <xdr:colOff>356550</xdr:colOff>
      <xdr:row>10</xdr:row>
      <xdr:rowOff>24629</xdr:rowOff>
    </xdr:from>
    <xdr:to>
      <xdr:col>63</xdr:col>
      <xdr:colOff>263621</xdr:colOff>
      <xdr:row>12</xdr:row>
      <xdr:rowOff>53793</xdr:rowOff>
    </xdr:to>
    <xdr:sp macro="" textlink="">
      <xdr:nvSpPr>
        <xdr:cNvPr id="210" name="AutoShape 427">
          <a:extLst>
            <a:ext uri="{FF2B5EF4-FFF2-40B4-BE49-F238E27FC236}">
              <a16:creationId xmlns:a16="http://schemas.microsoft.com/office/drawing/2014/main" id="{00000000-0008-0000-2500-0000D2000000}"/>
            </a:ext>
          </a:extLst>
        </xdr:cNvPr>
        <xdr:cNvSpPr>
          <a:spLocks noChangeArrowheads="1"/>
        </xdr:cNvSpPr>
      </xdr:nvSpPr>
      <xdr:spPr bwMode="auto">
        <a:xfrm>
          <a:off x="14373837" y="1726969"/>
          <a:ext cx="785263" cy="339909"/>
        </a:xfrm>
        <a:prstGeom prst="wedgeEllipseCallout">
          <a:avLst>
            <a:gd name="adj1" fmla="val -59126"/>
            <a:gd name="adj2" fmla="val 54475"/>
          </a:avLst>
        </a:prstGeom>
        <a:solidFill>
          <a:srgbClr val="FFFF00">
            <a:alpha val="6549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600" b="1" i="0" u="none" strike="noStrike" baseline="0">
              <a:solidFill>
                <a:schemeClr val="tx1"/>
              </a:solidFill>
              <a:latin typeface="Arial"/>
              <a:cs typeface="Arial"/>
            </a:rPr>
            <a:t>JJ MEDIT. Oran</a:t>
          </a:r>
        </a:p>
      </xdr:txBody>
    </xdr:sp>
    <xdr:clientData/>
  </xdr:twoCellAnchor>
  <xdr:twoCellAnchor>
    <xdr:from>
      <xdr:col>58</xdr:col>
      <xdr:colOff>583702</xdr:colOff>
      <xdr:row>8</xdr:row>
      <xdr:rowOff>132479</xdr:rowOff>
    </xdr:from>
    <xdr:to>
      <xdr:col>58</xdr:col>
      <xdr:colOff>692358</xdr:colOff>
      <xdr:row>10</xdr:row>
      <xdr:rowOff>59724</xdr:rowOff>
    </xdr:to>
    <xdr:sp macro="" textlink="">
      <xdr:nvSpPr>
        <xdr:cNvPr id="212" name="Dibujo 223">
          <a:extLst>
            <a:ext uri="{FF2B5EF4-FFF2-40B4-BE49-F238E27FC236}">
              <a16:creationId xmlns:a16="http://schemas.microsoft.com/office/drawing/2014/main" id="{00000000-0008-0000-2500-0000D4000000}"/>
            </a:ext>
          </a:extLst>
        </xdr:cNvPr>
        <xdr:cNvSpPr>
          <a:spLocks/>
        </xdr:cNvSpPr>
      </xdr:nvSpPr>
      <xdr:spPr bwMode="auto">
        <a:xfrm>
          <a:off x="10210302" y="1529479"/>
          <a:ext cx="108656" cy="23204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436283</xdr:colOff>
      <xdr:row>7</xdr:row>
      <xdr:rowOff>64745</xdr:rowOff>
    </xdr:from>
    <xdr:to>
      <xdr:col>58</xdr:col>
      <xdr:colOff>544939</xdr:colOff>
      <xdr:row>8</xdr:row>
      <xdr:rowOff>144390</xdr:rowOff>
    </xdr:to>
    <xdr:sp macro="" textlink="">
      <xdr:nvSpPr>
        <xdr:cNvPr id="213" name="Dibujo 223">
          <a:extLst>
            <a:ext uri="{FF2B5EF4-FFF2-40B4-BE49-F238E27FC236}">
              <a16:creationId xmlns:a16="http://schemas.microsoft.com/office/drawing/2014/main" id="{00000000-0008-0000-2500-0000D5000000}"/>
            </a:ext>
          </a:extLst>
        </xdr:cNvPr>
        <xdr:cNvSpPr>
          <a:spLocks/>
        </xdr:cNvSpPr>
      </xdr:nvSpPr>
      <xdr:spPr bwMode="auto">
        <a:xfrm>
          <a:off x="10062883" y="1309345"/>
          <a:ext cx="108656" cy="23204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164804</xdr:colOff>
      <xdr:row>7</xdr:row>
      <xdr:rowOff>54784</xdr:rowOff>
    </xdr:from>
    <xdr:to>
      <xdr:col>58</xdr:col>
      <xdr:colOff>274670</xdr:colOff>
      <xdr:row>8</xdr:row>
      <xdr:rowOff>134429</xdr:rowOff>
    </xdr:to>
    <xdr:sp macro="" textlink="">
      <xdr:nvSpPr>
        <xdr:cNvPr id="214" name="Dibujo 223">
          <a:extLst>
            <a:ext uri="{FF2B5EF4-FFF2-40B4-BE49-F238E27FC236}">
              <a16:creationId xmlns:a16="http://schemas.microsoft.com/office/drawing/2014/main" id="{00000000-0008-0000-2500-0000D6000000}"/>
            </a:ext>
          </a:extLst>
        </xdr:cNvPr>
        <xdr:cNvSpPr>
          <a:spLocks/>
        </xdr:cNvSpPr>
      </xdr:nvSpPr>
      <xdr:spPr bwMode="auto">
        <a:xfrm>
          <a:off x="9791404" y="1299384"/>
          <a:ext cx="109866" cy="23204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125909</xdr:colOff>
      <xdr:row>14</xdr:row>
      <xdr:rowOff>101197</xdr:rowOff>
    </xdr:from>
    <xdr:to>
      <xdr:col>58</xdr:col>
      <xdr:colOff>239486</xdr:colOff>
      <xdr:row>16</xdr:row>
      <xdr:rowOff>184899</xdr:rowOff>
    </xdr:to>
    <xdr:sp macro="" textlink="">
      <xdr:nvSpPr>
        <xdr:cNvPr id="215" name="Dibujo 179">
          <a:extLst>
            <a:ext uri="{FF2B5EF4-FFF2-40B4-BE49-F238E27FC236}">
              <a16:creationId xmlns:a16="http://schemas.microsoft.com/office/drawing/2014/main" id="{00000000-0008-0000-2500-0000D7000000}"/>
            </a:ext>
          </a:extLst>
        </xdr:cNvPr>
        <xdr:cNvSpPr>
          <a:spLocks/>
        </xdr:cNvSpPr>
      </xdr:nvSpPr>
      <xdr:spPr bwMode="auto">
        <a:xfrm>
          <a:off x="9752509" y="2412597"/>
          <a:ext cx="113577" cy="388502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62</xdr:col>
      <xdr:colOff>493902</xdr:colOff>
      <xdr:row>1</xdr:row>
      <xdr:rowOff>73623</xdr:rowOff>
    </xdr:from>
    <xdr:to>
      <xdr:col>63</xdr:col>
      <xdr:colOff>366491</xdr:colOff>
      <xdr:row>4</xdr:row>
      <xdr:rowOff>66672</xdr:rowOff>
    </xdr:to>
    <xdr:sp macro="" textlink="">
      <xdr:nvSpPr>
        <xdr:cNvPr id="216" name="AutoShape 335">
          <a:extLst>
            <a:ext uri="{FF2B5EF4-FFF2-40B4-BE49-F238E27FC236}">
              <a16:creationId xmlns:a16="http://schemas.microsoft.com/office/drawing/2014/main" id="{00000000-0008-0000-2500-0000D8000000}"/>
            </a:ext>
          </a:extLst>
        </xdr:cNvPr>
        <xdr:cNvSpPr>
          <a:spLocks noChangeArrowheads="1"/>
        </xdr:cNvSpPr>
      </xdr:nvSpPr>
      <xdr:spPr bwMode="auto">
        <a:xfrm>
          <a:off x="13642635" y="353023"/>
          <a:ext cx="753123" cy="458716"/>
        </a:xfrm>
        <a:prstGeom prst="wedgeEllipseCallout">
          <a:avLst>
            <a:gd name="adj1" fmla="val -104781"/>
            <a:gd name="adj2" fmla="val 379754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600" b="1" i="0" u="none" strike="noStrike" baseline="0">
              <a:solidFill>
                <a:srgbClr val="000000"/>
              </a:solidFill>
              <a:latin typeface="Arial"/>
              <a:cs typeface="Arial"/>
            </a:rPr>
            <a:t>Gran PRIX</a:t>
          </a:r>
        </a:p>
        <a:p>
          <a:pPr algn="l" rtl="0">
            <a:lnSpc>
              <a:spcPts val="1000"/>
            </a:lnSpc>
            <a:defRPr sz="1000"/>
          </a:pPr>
          <a:r>
            <a:rPr lang="es-ES" sz="600" b="1" i="0" u="none" strike="noStrike" baseline="0">
              <a:solidFill>
                <a:srgbClr val="000000"/>
              </a:solidFill>
              <a:latin typeface="Arial"/>
              <a:cs typeface="Arial"/>
            </a:rPr>
            <a:t>CASTELLON</a:t>
          </a:r>
        </a:p>
      </xdr:txBody>
    </xdr:sp>
    <xdr:clientData/>
  </xdr:twoCellAnchor>
  <xdr:twoCellAnchor>
    <xdr:from>
      <xdr:col>61</xdr:col>
      <xdr:colOff>302036</xdr:colOff>
      <xdr:row>46</xdr:row>
      <xdr:rowOff>21098</xdr:rowOff>
    </xdr:from>
    <xdr:to>
      <xdr:col>61</xdr:col>
      <xdr:colOff>796606</xdr:colOff>
      <xdr:row>49</xdr:row>
      <xdr:rowOff>70074</xdr:rowOff>
    </xdr:to>
    <xdr:sp macro="" textlink="">
      <xdr:nvSpPr>
        <xdr:cNvPr id="217" name="AutoShape 335">
          <a:extLst>
            <a:ext uri="{FF2B5EF4-FFF2-40B4-BE49-F238E27FC236}">
              <a16:creationId xmlns:a16="http://schemas.microsoft.com/office/drawing/2014/main" id="{00000000-0008-0000-2500-0000D9000000}"/>
            </a:ext>
          </a:extLst>
        </xdr:cNvPr>
        <xdr:cNvSpPr>
          <a:spLocks noChangeArrowheads="1"/>
        </xdr:cNvSpPr>
      </xdr:nvSpPr>
      <xdr:spPr bwMode="auto">
        <a:xfrm>
          <a:off x="12570236" y="5753031"/>
          <a:ext cx="494570" cy="311443"/>
        </a:xfrm>
        <a:prstGeom prst="wedgeEllipseCallout">
          <a:avLst>
            <a:gd name="adj1" fmla="val -304068"/>
            <a:gd name="adj2" fmla="val -100466"/>
          </a:avLst>
        </a:prstGeom>
        <a:solidFill>
          <a:srgbClr val="00FF00">
            <a:alpha val="29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Arial"/>
              <a:cs typeface="Arial"/>
            </a:rPr>
            <a:t>GIF Con </a:t>
          </a:r>
          <a:endParaRPr lang="es-ES" sz="500" b="0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61</xdr:col>
      <xdr:colOff>446129</xdr:colOff>
      <xdr:row>51</xdr:row>
      <xdr:rowOff>21736</xdr:rowOff>
    </xdr:from>
    <xdr:to>
      <xdr:col>62</xdr:col>
      <xdr:colOff>60166</xdr:colOff>
      <xdr:row>55</xdr:row>
      <xdr:rowOff>28379</xdr:rowOff>
    </xdr:to>
    <xdr:sp macro="" textlink="">
      <xdr:nvSpPr>
        <xdr:cNvPr id="218" name="AutoShape 335">
          <a:extLst>
            <a:ext uri="{FF2B5EF4-FFF2-40B4-BE49-F238E27FC236}">
              <a16:creationId xmlns:a16="http://schemas.microsoft.com/office/drawing/2014/main" id="{00000000-0008-0000-2500-0000DA000000}"/>
            </a:ext>
          </a:extLst>
        </xdr:cNvPr>
        <xdr:cNvSpPr>
          <a:spLocks noChangeArrowheads="1"/>
        </xdr:cNvSpPr>
      </xdr:nvSpPr>
      <xdr:spPr bwMode="auto">
        <a:xfrm>
          <a:off x="12714329" y="6117736"/>
          <a:ext cx="494570" cy="311443"/>
        </a:xfrm>
        <a:prstGeom prst="wedgeEllipseCallout">
          <a:avLst>
            <a:gd name="adj1" fmla="val -243321"/>
            <a:gd name="adj2" fmla="val -109893"/>
          </a:avLst>
        </a:prstGeom>
        <a:solidFill>
          <a:srgbClr val="00FF00">
            <a:alpha val="29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Arial"/>
              <a:cs typeface="Arial"/>
            </a:rPr>
            <a:t>GIF Con </a:t>
          </a:r>
          <a:endParaRPr lang="es-ES" sz="500" b="0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59</xdr:col>
      <xdr:colOff>634520</xdr:colOff>
      <xdr:row>33</xdr:row>
      <xdr:rowOff>90257</xdr:rowOff>
    </xdr:from>
    <xdr:to>
      <xdr:col>60</xdr:col>
      <xdr:colOff>248556</xdr:colOff>
      <xdr:row>37</xdr:row>
      <xdr:rowOff>54567</xdr:rowOff>
    </xdr:to>
    <xdr:sp macro="" textlink="">
      <xdr:nvSpPr>
        <xdr:cNvPr id="219" name="AutoShape 335">
          <a:extLst>
            <a:ext uri="{FF2B5EF4-FFF2-40B4-BE49-F238E27FC236}">
              <a16:creationId xmlns:a16="http://schemas.microsoft.com/office/drawing/2014/main" id="{00000000-0008-0000-2500-0000DB000000}"/>
            </a:ext>
          </a:extLst>
        </xdr:cNvPr>
        <xdr:cNvSpPr>
          <a:spLocks noChangeArrowheads="1"/>
        </xdr:cNvSpPr>
      </xdr:nvSpPr>
      <xdr:spPr bwMode="auto">
        <a:xfrm>
          <a:off x="11141653" y="4763857"/>
          <a:ext cx="494570" cy="311443"/>
        </a:xfrm>
        <a:prstGeom prst="wedgeEllipseCallout">
          <a:avLst>
            <a:gd name="adj1" fmla="val -70282"/>
            <a:gd name="adj2" fmla="val -145851"/>
          </a:avLst>
        </a:prstGeom>
        <a:solidFill>
          <a:srgbClr val="00FF00">
            <a:alpha val="29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Arial"/>
              <a:cs typeface="Arial"/>
            </a:rPr>
            <a:t>GIF Con </a:t>
          </a:r>
          <a:endParaRPr lang="es-ES" sz="500" b="0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17</xdr:col>
      <xdr:colOff>127160</xdr:colOff>
      <xdr:row>9</xdr:row>
      <xdr:rowOff>40531</xdr:rowOff>
    </xdr:from>
    <xdr:to>
      <xdr:col>21</xdr:col>
      <xdr:colOff>60796</xdr:colOff>
      <xdr:row>10</xdr:row>
      <xdr:rowOff>94573</xdr:rowOff>
    </xdr:to>
    <xdr:sp macro="" textlink="">
      <xdr:nvSpPr>
        <xdr:cNvPr id="220" name="AutoShape 335">
          <a:extLst>
            <a:ext uri="{FF2B5EF4-FFF2-40B4-BE49-F238E27FC236}">
              <a16:creationId xmlns:a16="http://schemas.microsoft.com/office/drawing/2014/main" id="{00000000-0008-0000-2500-0000DC000000}"/>
            </a:ext>
          </a:extLst>
        </xdr:cNvPr>
        <xdr:cNvSpPr>
          <a:spLocks noChangeArrowheads="1"/>
        </xdr:cNvSpPr>
      </xdr:nvSpPr>
      <xdr:spPr bwMode="auto">
        <a:xfrm>
          <a:off x="3430511" y="1587499"/>
          <a:ext cx="636189" cy="209414"/>
        </a:xfrm>
        <a:prstGeom prst="wedgeEllipseCallout">
          <a:avLst>
            <a:gd name="adj1" fmla="val 85820"/>
            <a:gd name="adj2" fmla="val 473928"/>
          </a:avLst>
        </a:prstGeom>
        <a:solidFill>
          <a:srgbClr val="00FF00">
            <a:alpha val="29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Arial"/>
              <a:cs typeface="Arial"/>
            </a:rPr>
            <a:t>GIF CAMP. </a:t>
          </a:r>
          <a:endParaRPr lang="es-ES" sz="500" b="0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62</xdr:col>
      <xdr:colOff>607607</xdr:colOff>
      <xdr:row>40</xdr:row>
      <xdr:rowOff>43329</xdr:rowOff>
    </xdr:from>
    <xdr:to>
      <xdr:col>62</xdr:col>
      <xdr:colOff>732117</xdr:colOff>
      <xdr:row>43</xdr:row>
      <xdr:rowOff>60336</xdr:rowOff>
    </xdr:to>
    <xdr:sp macro="" textlink="">
      <xdr:nvSpPr>
        <xdr:cNvPr id="222" name="Dibujo 271">
          <a:extLst>
            <a:ext uri="{FF2B5EF4-FFF2-40B4-BE49-F238E27FC236}">
              <a16:creationId xmlns:a16="http://schemas.microsoft.com/office/drawing/2014/main" id="{00000000-0008-0000-2500-0000DE000000}"/>
            </a:ext>
          </a:extLst>
        </xdr:cNvPr>
        <xdr:cNvSpPr>
          <a:spLocks/>
        </xdr:cNvSpPr>
      </xdr:nvSpPr>
      <xdr:spPr bwMode="auto">
        <a:xfrm>
          <a:off x="13756340" y="5284196"/>
          <a:ext cx="124510" cy="28794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16</xdr:col>
      <xdr:colOff>139598</xdr:colOff>
      <xdr:row>12</xdr:row>
      <xdr:rowOff>154953</xdr:rowOff>
    </xdr:from>
    <xdr:to>
      <xdr:col>17</xdr:col>
      <xdr:colOff>94240</xdr:colOff>
      <xdr:row>15</xdr:row>
      <xdr:rowOff>84492</xdr:rowOff>
    </xdr:to>
    <xdr:sp macro="" textlink="">
      <xdr:nvSpPr>
        <xdr:cNvPr id="225" name="Dibujo 179">
          <a:extLst>
            <a:ext uri="{FF2B5EF4-FFF2-40B4-BE49-F238E27FC236}">
              <a16:creationId xmlns:a16="http://schemas.microsoft.com/office/drawing/2014/main" id="{00000000-0008-0000-2500-0000E1000000}"/>
            </a:ext>
          </a:extLst>
        </xdr:cNvPr>
        <xdr:cNvSpPr>
          <a:spLocks/>
        </xdr:cNvSpPr>
      </xdr:nvSpPr>
      <xdr:spPr bwMode="auto">
        <a:xfrm>
          <a:off x="3267311" y="2168038"/>
          <a:ext cx="130280" cy="395656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8</xdr:col>
      <xdr:colOff>155338</xdr:colOff>
      <xdr:row>15</xdr:row>
      <xdr:rowOff>3288</xdr:rowOff>
    </xdr:from>
    <xdr:to>
      <xdr:col>9</xdr:col>
      <xdr:colOff>88355</xdr:colOff>
      <xdr:row>16</xdr:row>
      <xdr:rowOff>79961</xdr:rowOff>
    </xdr:to>
    <xdr:sp macro="" textlink="">
      <xdr:nvSpPr>
        <xdr:cNvPr id="226" name="Dibujo 223">
          <a:extLst>
            <a:ext uri="{FF2B5EF4-FFF2-40B4-BE49-F238E27FC236}">
              <a16:creationId xmlns:a16="http://schemas.microsoft.com/office/drawing/2014/main" id="{00000000-0008-0000-2500-0000E2000000}"/>
            </a:ext>
          </a:extLst>
        </xdr:cNvPr>
        <xdr:cNvSpPr>
          <a:spLocks/>
        </xdr:cNvSpPr>
      </xdr:nvSpPr>
      <xdr:spPr bwMode="auto">
        <a:xfrm>
          <a:off x="1877944" y="2482490"/>
          <a:ext cx="108656" cy="23204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60</xdr:col>
      <xdr:colOff>259433</xdr:colOff>
      <xdr:row>54</xdr:row>
      <xdr:rowOff>26538</xdr:rowOff>
    </xdr:from>
    <xdr:to>
      <xdr:col>60</xdr:col>
      <xdr:colOff>758099</xdr:colOff>
      <xdr:row>60</xdr:row>
      <xdr:rowOff>7663</xdr:rowOff>
    </xdr:to>
    <xdr:sp macro="" textlink="">
      <xdr:nvSpPr>
        <xdr:cNvPr id="228" name="AutoShape 335">
          <a:extLst>
            <a:ext uri="{FF2B5EF4-FFF2-40B4-BE49-F238E27FC236}">
              <a16:creationId xmlns:a16="http://schemas.microsoft.com/office/drawing/2014/main" id="{00000000-0008-0000-2500-0000E4000000}"/>
            </a:ext>
          </a:extLst>
        </xdr:cNvPr>
        <xdr:cNvSpPr>
          <a:spLocks noChangeArrowheads="1"/>
        </xdr:cNvSpPr>
      </xdr:nvSpPr>
      <xdr:spPr bwMode="auto">
        <a:xfrm rot="10545450">
          <a:off x="11647100" y="6351138"/>
          <a:ext cx="498666" cy="412925"/>
        </a:xfrm>
        <a:prstGeom prst="wedgeEllipseCallout">
          <a:avLst>
            <a:gd name="adj1" fmla="val -19423"/>
            <a:gd name="adj2" fmla="val 225035"/>
          </a:avLst>
        </a:prstGeom>
        <a:solidFill>
          <a:srgbClr val="00FF00">
            <a:alpha val="29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Arial"/>
              <a:cs typeface="Arial"/>
            </a:rPr>
            <a:t>CAMP, GIF 5Y6</a:t>
          </a:r>
          <a:endParaRPr lang="es-ES" sz="500" b="0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83369</xdr:colOff>
      <xdr:row>1</xdr:row>
      <xdr:rowOff>121314</xdr:rowOff>
    </xdr:from>
    <xdr:to>
      <xdr:col>26</xdr:col>
      <xdr:colOff>85741</xdr:colOff>
      <xdr:row>4</xdr:row>
      <xdr:rowOff>18357</xdr:rowOff>
    </xdr:to>
    <xdr:sp macro="" textlink="">
      <xdr:nvSpPr>
        <xdr:cNvPr id="230" name="AutoShape 335">
          <a:extLst>
            <a:ext uri="{FF2B5EF4-FFF2-40B4-BE49-F238E27FC236}">
              <a16:creationId xmlns:a16="http://schemas.microsoft.com/office/drawing/2014/main" id="{00000000-0008-0000-2500-0000E6000000}"/>
            </a:ext>
          </a:extLst>
        </xdr:cNvPr>
        <xdr:cNvSpPr>
          <a:spLocks noChangeArrowheads="1"/>
        </xdr:cNvSpPr>
      </xdr:nvSpPr>
      <xdr:spPr bwMode="auto">
        <a:xfrm>
          <a:off x="3562358" y="398282"/>
          <a:ext cx="1407479" cy="356405"/>
        </a:xfrm>
        <a:prstGeom prst="wedgeEllipseCallout">
          <a:avLst>
            <a:gd name="adj1" fmla="val 21791"/>
            <a:gd name="adj2" fmla="val 469039"/>
          </a:avLst>
        </a:prstGeom>
        <a:solidFill>
          <a:srgbClr val="FF060D">
            <a:alpha val="36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1" i="0" u="none" strike="noStrike" baseline="0">
              <a:solidFill>
                <a:schemeClr val="bg1"/>
              </a:solidFill>
              <a:latin typeface="Arial"/>
              <a:cs typeface="Arial"/>
            </a:rPr>
            <a:t>EH CAMPEONATO  11y12</a:t>
          </a:r>
        </a:p>
      </xdr:txBody>
    </xdr:sp>
    <xdr:clientData/>
  </xdr:twoCellAnchor>
  <xdr:twoCellAnchor>
    <xdr:from>
      <xdr:col>63</xdr:col>
      <xdr:colOff>0</xdr:colOff>
      <xdr:row>36</xdr:row>
      <xdr:rowOff>0</xdr:rowOff>
    </xdr:from>
    <xdr:to>
      <xdr:col>63</xdr:col>
      <xdr:colOff>127260</xdr:colOff>
      <xdr:row>39</xdr:row>
      <xdr:rowOff>109701</xdr:rowOff>
    </xdr:to>
    <xdr:sp macro="" textlink="">
      <xdr:nvSpPr>
        <xdr:cNvPr id="233" name="Dibujo 271">
          <a:extLst>
            <a:ext uri="{FF2B5EF4-FFF2-40B4-BE49-F238E27FC236}">
              <a16:creationId xmlns:a16="http://schemas.microsoft.com/office/drawing/2014/main" id="{00000000-0008-0000-2500-0000E9000000}"/>
            </a:ext>
          </a:extLst>
        </xdr:cNvPr>
        <xdr:cNvSpPr>
          <a:spLocks/>
        </xdr:cNvSpPr>
      </xdr:nvSpPr>
      <xdr:spPr bwMode="auto">
        <a:xfrm>
          <a:off x="13970000" y="4902200"/>
          <a:ext cx="127260" cy="287501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59</xdr:col>
      <xdr:colOff>852054</xdr:colOff>
      <xdr:row>16</xdr:row>
      <xdr:rowOff>237837</xdr:rowOff>
    </xdr:from>
    <xdr:to>
      <xdr:col>61</xdr:col>
      <xdr:colOff>87745</xdr:colOff>
      <xdr:row>17</xdr:row>
      <xdr:rowOff>212437</xdr:rowOff>
    </xdr:to>
    <xdr:sp macro="" textlink="">
      <xdr:nvSpPr>
        <xdr:cNvPr id="234" name="AutoShape 335">
          <a:extLst>
            <a:ext uri="{FF2B5EF4-FFF2-40B4-BE49-F238E27FC236}">
              <a16:creationId xmlns:a16="http://schemas.microsoft.com/office/drawing/2014/main" id="{00000000-0008-0000-2500-0000EA000000}"/>
            </a:ext>
          </a:extLst>
        </xdr:cNvPr>
        <xdr:cNvSpPr>
          <a:spLocks noChangeArrowheads="1"/>
        </xdr:cNvSpPr>
      </xdr:nvSpPr>
      <xdr:spPr bwMode="auto">
        <a:xfrm>
          <a:off x="12366721" y="2854037"/>
          <a:ext cx="996757" cy="279400"/>
        </a:xfrm>
        <a:prstGeom prst="wedgeEllipseCallout">
          <a:avLst>
            <a:gd name="adj1" fmla="val 41552"/>
            <a:gd name="adj2" fmla="val 734844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21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1" i="0" u="none" strike="noStrike" baseline="0">
              <a:solidFill>
                <a:srgbClr val="000000"/>
              </a:solidFill>
              <a:latin typeface="Arial"/>
              <a:cs typeface="Arial"/>
            </a:rPr>
            <a:t>SAN ANDREU ???</a:t>
          </a:r>
        </a:p>
      </xdr:txBody>
    </xdr:sp>
    <xdr:clientData/>
  </xdr:twoCellAnchor>
  <xdr:twoCellAnchor>
    <xdr:from>
      <xdr:col>61</xdr:col>
      <xdr:colOff>113123</xdr:colOff>
      <xdr:row>31</xdr:row>
      <xdr:rowOff>6298</xdr:rowOff>
    </xdr:from>
    <xdr:to>
      <xdr:col>61</xdr:col>
      <xdr:colOff>325520</xdr:colOff>
      <xdr:row>36</xdr:row>
      <xdr:rowOff>85639</xdr:rowOff>
    </xdr:to>
    <xdr:sp macro="" textlink="">
      <xdr:nvSpPr>
        <xdr:cNvPr id="236" name="Dibujo 219">
          <a:extLst>
            <a:ext uri="{FF2B5EF4-FFF2-40B4-BE49-F238E27FC236}">
              <a16:creationId xmlns:a16="http://schemas.microsoft.com/office/drawing/2014/main" id="{00000000-0008-0000-2500-0000EC000000}"/>
            </a:ext>
          </a:extLst>
        </xdr:cNvPr>
        <xdr:cNvSpPr>
          <a:spLocks/>
        </xdr:cNvSpPr>
      </xdr:nvSpPr>
      <xdr:spPr bwMode="auto">
        <a:xfrm>
          <a:off x="13252219" y="4559383"/>
          <a:ext cx="212397" cy="484660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59</xdr:col>
      <xdr:colOff>200942</xdr:colOff>
      <xdr:row>23</xdr:row>
      <xdr:rowOff>16449</xdr:rowOff>
    </xdr:from>
    <xdr:to>
      <xdr:col>60</xdr:col>
      <xdr:colOff>256745</xdr:colOff>
      <xdr:row>27</xdr:row>
      <xdr:rowOff>66178</xdr:rowOff>
    </xdr:to>
    <xdr:sp macro="" textlink="">
      <xdr:nvSpPr>
        <xdr:cNvPr id="237" name="AutoShape 427">
          <a:extLst>
            <a:ext uri="{FF2B5EF4-FFF2-40B4-BE49-F238E27FC236}">
              <a16:creationId xmlns:a16="http://schemas.microsoft.com/office/drawing/2014/main" id="{00000000-0008-0000-2500-0000ED000000}"/>
            </a:ext>
          </a:extLst>
        </xdr:cNvPr>
        <xdr:cNvSpPr>
          <a:spLocks noChangeArrowheads="1"/>
        </xdr:cNvSpPr>
      </xdr:nvSpPr>
      <xdr:spPr bwMode="auto">
        <a:xfrm>
          <a:off x="11583655" y="4022353"/>
          <a:ext cx="933994" cy="299676"/>
        </a:xfrm>
        <a:prstGeom prst="wedgeEllipseCallout">
          <a:avLst>
            <a:gd name="adj1" fmla="val -12537"/>
            <a:gd name="adj2" fmla="val 398680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89803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600" b="1" i="0" u="none" strike="noStrike" baseline="0">
              <a:solidFill>
                <a:srgbClr val="FF0000"/>
              </a:solidFill>
              <a:latin typeface="Arial"/>
              <a:cs typeface="Arial"/>
            </a:rPr>
            <a:t>ESPAÑA 25m</a:t>
          </a:r>
        </a:p>
        <a:p>
          <a:pPr algn="l" rtl="0">
            <a:defRPr sz="1000"/>
          </a:pPr>
          <a:r>
            <a:rPr lang="es-ES" sz="600" b="1" i="0" u="none" strike="noStrike" baseline="0">
              <a:solidFill>
                <a:srgbClr val="FF0000"/>
              </a:solidFill>
              <a:latin typeface="Arial"/>
              <a:cs typeface="Arial"/>
            </a:rPr>
            <a:t>Universitarios</a:t>
          </a:r>
        </a:p>
      </xdr:txBody>
    </xdr:sp>
    <xdr:clientData/>
  </xdr:twoCellAnchor>
  <xdr:twoCellAnchor>
    <xdr:from>
      <xdr:col>58</xdr:col>
      <xdr:colOff>866322</xdr:colOff>
      <xdr:row>18</xdr:row>
      <xdr:rowOff>236855</xdr:rowOff>
    </xdr:from>
    <xdr:to>
      <xdr:col>59</xdr:col>
      <xdr:colOff>121746</xdr:colOff>
      <xdr:row>19</xdr:row>
      <xdr:rowOff>63581</xdr:rowOff>
    </xdr:to>
    <xdr:sp macro="" textlink="">
      <xdr:nvSpPr>
        <xdr:cNvPr id="238" name="Dibujo 223">
          <a:extLst>
            <a:ext uri="{FF2B5EF4-FFF2-40B4-BE49-F238E27FC236}">
              <a16:creationId xmlns:a16="http://schemas.microsoft.com/office/drawing/2014/main" id="{00000000-0008-0000-2500-0000EE000000}"/>
            </a:ext>
          </a:extLst>
        </xdr:cNvPr>
        <xdr:cNvSpPr>
          <a:spLocks/>
        </xdr:cNvSpPr>
      </xdr:nvSpPr>
      <xdr:spPr bwMode="auto">
        <a:xfrm>
          <a:off x="11370843" y="3344302"/>
          <a:ext cx="133616" cy="232045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7928"/>
              </a:lnTo>
              <a:lnTo>
                <a:pt x="16384" y="792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1714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164013</xdr:colOff>
      <xdr:row>19</xdr:row>
      <xdr:rowOff>119225</xdr:rowOff>
    </xdr:from>
    <xdr:to>
      <xdr:col>58</xdr:col>
      <xdr:colOff>742648</xdr:colOff>
      <xdr:row>22</xdr:row>
      <xdr:rowOff>12402</xdr:rowOff>
    </xdr:to>
    <xdr:sp macro="" textlink="">
      <xdr:nvSpPr>
        <xdr:cNvPr id="239" name="AutoShape 335">
          <a:extLst>
            <a:ext uri="{FF2B5EF4-FFF2-40B4-BE49-F238E27FC236}">
              <a16:creationId xmlns:a16="http://schemas.microsoft.com/office/drawing/2014/main" id="{00000000-0008-0000-2500-0000EF000000}"/>
            </a:ext>
          </a:extLst>
        </xdr:cNvPr>
        <xdr:cNvSpPr>
          <a:spLocks noChangeArrowheads="1"/>
        </xdr:cNvSpPr>
      </xdr:nvSpPr>
      <xdr:spPr bwMode="auto">
        <a:xfrm rot="10545450">
          <a:off x="10668534" y="3618480"/>
          <a:ext cx="578635" cy="298496"/>
        </a:xfrm>
        <a:prstGeom prst="wedgeEllipseCallout">
          <a:avLst>
            <a:gd name="adj1" fmla="val -93516"/>
            <a:gd name="adj2" fmla="val 168821"/>
          </a:avLst>
        </a:prstGeom>
        <a:solidFill>
          <a:srgbClr val="00FF00">
            <a:alpha val="29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Arial"/>
              <a:cs typeface="Arial"/>
            </a:rPr>
            <a:t>GIF CO 22 </a:t>
          </a:r>
          <a:endParaRPr lang="es-ES" sz="500" b="0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58</xdr:col>
      <xdr:colOff>365207</xdr:colOff>
      <xdr:row>19</xdr:row>
      <xdr:rowOff>164645</xdr:rowOff>
    </xdr:from>
    <xdr:to>
      <xdr:col>58</xdr:col>
      <xdr:colOff>470527</xdr:colOff>
      <xdr:row>23</xdr:row>
      <xdr:rowOff>65441</xdr:rowOff>
    </xdr:to>
    <xdr:sp macro="" textlink="">
      <xdr:nvSpPr>
        <xdr:cNvPr id="240" name="Dibujo 179">
          <a:extLst>
            <a:ext uri="{FF2B5EF4-FFF2-40B4-BE49-F238E27FC236}">
              <a16:creationId xmlns:a16="http://schemas.microsoft.com/office/drawing/2014/main" id="{00000000-0008-0000-2500-0000F0000000}"/>
            </a:ext>
          </a:extLst>
        </xdr:cNvPr>
        <xdr:cNvSpPr>
          <a:spLocks/>
        </xdr:cNvSpPr>
      </xdr:nvSpPr>
      <xdr:spPr bwMode="auto">
        <a:xfrm>
          <a:off x="10869728" y="3677411"/>
          <a:ext cx="105320" cy="393934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1</xdr:col>
      <xdr:colOff>109343</xdr:colOff>
      <xdr:row>4</xdr:row>
      <xdr:rowOff>126176</xdr:rowOff>
    </xdr:from>
    <xdr:to>
      <xdr:col>8</xdr:col>
      <xdr:colOff>48508</xdr:colOff>
      <xdr:row>7</xdr:row>
      <xdr:rowOff>60798</xdr:rowOff>
    </xdr:to>
    <xdr:sp macro="" textlink="">
      <xdr:nvSpPr>
        <xdr:cNvPr id="241" name="AutoShape 335">
          <a:extLst>
            <a:ext uri="{FF2B5EF4-FFF2-40B4-BE49-F238E27FC236}">
              <a16:creationId xmlns:a16="http://schemas.microsoft.com/office/drawing/2014/main" id="{00000000-0008-0000-2500-0000F1000000}"/>
            </a:ext>
          </a:extLst>
        </xdr:cNvPr>
        <xdr:cNvSpPr>
          <a:spLocks noChangeArrowheads="1"/>
        </xdr:cNvSpPr>
      </xdr:nvSpPr>
      <xdr:spPr bwMode="auto">
        <a:xfrm>
          <a:off x="602481" y="862506"/>
          <a:ext cx="1168633" cy="434515"/>
        </a:xfrm>
        <a:prstGeom prst="wedgeEllipseCallout">
          <a:avLst>
            <a:gd name="adj1" fmla="val 6784"/>
            <a:gd name="adj2" fmla="val 241946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78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Villefranche,sur Saone Meeting</a:t>
          </a:r>
          <a:endParaRPr lang="es-ES" sz="800" b="1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58</xdr:col>
      <xdr:colOff>645535</xdr:colOff>
      <xdr:row>5</xdr:row>
      <xdr:rowOff>137207</xdr:rowOff>
    </xdr:from>
    <xdr:to>
      <xdr:col>59</xdr:col>
      <xdr:colOff>602485</xdr:colOff>
      <xdr:row>7</xdr:row>
      <xdr:rowOff>81905</xdr:rowOff>
    </xdr:to>
    <xdr:sp macro="" textlink="">
      <xdr:nvSpPr>
        <xdr:cNvPr id="242" name="AutoShape 335">
          <a:extLst>
            <a:ext uri="{FF2B5EF4-FFF2-40B4-BE49-F238E27FC236}">
              <a16:creationId xmlns:a16="http://schemas.microsoft.com/office/drawing/2014/main" id="{00000000-0008-0000-2500-0000F2000000}"/>
            </a:ext>
          </a:extLst>
        </xdr:cNvPr>
        <xdr:cNvSpPr>
          <a:spLocks noChangeArrowheads="1"/>
        </xdr:cNvSpPr>
      </xdr:nvSpPr>
      <xdr:spPr bwMode="auto">
        <a:xfrm>
          <a:off x="11150056" y="1062686"/>
          <a:ext cx="835142" cy="255442"/>
        </a:xfrm>
        <a:prstGeom prst="wedgeEllipseCallout">
          <a:avLst>
            <a:gd name="adj1" fmla="val -216"/>
            <a:gd name="adj2" fmla="val 376924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600" b="1" i="0" u="none" strike="noStrike" baseline="0">
              <a:solidFill>
                <a:srgbClr val="000000"/>
              </a:solidFill>
              <a:latin typeface="Arial"/>
              <a:cs typeface="Arial"/>
            </a:rPr>
            <a:t>NIZA15-16</a:t>
          </a:r>
        </a:p>
      </xdr:txBody>
    </xdr:sp>
    <xdr:clientData/>
  </xdr:twoCellAnchor>
  <xdr:twoCellAnchor>
    <xdr:from>
      <xdr:col>59</xdr:col>
      <xdr:colOff>89040</xdr:colOff>
      <xdr:row>9</xdr:row>
      <xdr:rowOff>86903</xdr:rowOff>
    </xdr:from>
    <xdr:to>
      <xdr:col>59</xdr:col>
      <xdr:colOff>784419</xdr:colOff>
      <xdr:row>11</xdr:row>
      <xdr:rowOff>10075</xdr:rowOff>
    </xdr:to>
    <xdr:sp macro="" textlink="">
      <xdr:nvSpPr>
        <xdr:cNvPr id="243" name="AutoShape 335">
          <a:extLst>
            <a:ext uri="{FF2B5EF4-FFF2-40B4-BE49-F238E27FC236}">
              <a16:creationId xmlns:a16="http://schemas.microsoft.com/office/drawing/2014/main" id="{00000000-0008-0000-2500-0000F3000000}"/>
            </a:ext>
          </a:extLst>
        </xdr:cNvPr>
        <xdr:cNvSpPr>
          <a:spLocks noChangeArrowheads="1"/>
        </xdr:cNvSpPr>
      </xdr:nvSpPr>
      <xdr:spPr bwMode="auto">
        <a:xfrm>
          <a:off x="11471753" y="1633871"/>
          <a:ext cx="695379" cy="233917"/>
        </a:xfrm>
        <a:prstGeom prst="wedgeEllipseCallout">
          <a:avLst>
            <a:gd name="adj1" fmla="val -181592"/>
            <a:gd name="adj2" fmla="val 790576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600" b="1" i="0" u="none" strike="noStrike" baseline="0">
              <a:solidFill>
                <a:srgbClr val="000000"/>
              </a:solidFill>
              <a:latin typeface="Arial"/>
              <a:cs typeface="Arial"/>
            </a:rPr>
            <a:t>Canet 28-29</a:t>
          </a:r>
        </a:p>
      </xdr:txBody>
    </xdr:sp>
    <xdr:clientData/>
  </xdr:twoCellAnchor>
  <xdr:twoCellAnchor>
    <xdr:from>
      <xdr:col>58</xdr:col>
      <xdr:colOff>716064</xdr:colOff>
      <xdr:row>20</xdr:row>
      <xdr:rowOff>16029</xdr:rowOff>
    </xdr:from>
    <xdr:to>
      <xdr:col>58</xdr:col>
      <xdr:colOff>816516</xdr:colOff>
      <xdr:row>25</xdr:row>
      <xdr:rowOff>1190</xdr:rowOff>
    </xdr:to>
    <xdr:sp macro="" textlink="">
      <xdr:nvSpPr>
        <xdr:cNvPr id="244" name="Dibujo 179">
          <a:extLst>
            <a:ext uri="{FF2B5EF4-FFF2-40B4-BE49-F238E27FC236}">
              <a16:creationId xmlns:a16="http://schemas.microsoft.com/office/drawing/2014/main" id="{00000000-0008-0000-2500-0000F4000000}"/>
            </a:ext>
          </a:extLst>
        </xdr:cNvPr>
        <xdr:cNvSpPr>
          <a:spLocks/>
        </xdr:cNvSpPr>
      </xdr:nvSpPr>
      <xdr:spPr bwMode="auto">
        <a:xfrm>
          <a:off x="11220585" y="3731455"/>
          <a:ext cx="100452" cy="424256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59</xdr:col>
      <xdr:colOff>236856</xdr:colOff>
      <xdr:row>30</xdr:row>
      <xdr:rowOff>56141</xdr:rowOff>
    </xdr:from>
    <xdr:to>
      <xdr:col>59</xdr:col>
      <xdr:colOff>337308</xdr:colOff>
      <xdr:row>35</xdr:row>
      <xdr:rowOff>83895</xdr:rowOff>
    </xdr:to>
    <xdr:sp macro="" textlink="">
      <xdr:nvSpPr>
        <xdr:cNvPr id="245" name="Dibujo 179">
          <a:extLst>
            <a:ext uri="{FF2B5EF4-FFF2-40B4-BE49-F238E27FC236}">
              <a16:creationId xmlns:a16="http://schemas.microsoft.com/office/drawing/2014/main" id="{00000000-0008-0000-2500-0000F5000000}"/>
            </a:ext>
          </a:extLst>
        </xdr:cNvPr>
        <xdr:cNvSpPr>
          <a:spLocks/>
        </xdr:cNvSpPr>
      </xdr:nvSpPr>
      <xdr:spPr bwMode="auto">
        <a:xfrm>
          <a:off x="11619569" y="4534918"/>
          <a:ext cx="100452" cy="419562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63</xdr:col>
      <xdr:colOff>196744</xdr:colOff>
      <xdr:row>4</xdr:row>
      <xdr:rowOff>97094</xdr:rowOff>
    </xdr:from>
    <xdr:to>
      <xdr:col>64</xdr:col>
      <xdr:colOff>211095</xdr:colOff>
      <xdr:row>6</xdr:row>
      <xdr:rowOff>7430</xdr:rowOff>
    </xdr:to>
    <xdr:sp macro="" textlink="">
      <xdr:nvSpPr>
        <xdr:cNvPr id="246" name="AutoShape 335">
          <a:extLst>
            <a:ext uri="{FF2B5EF4-FFF2-40B4-BE49-F238E27FC236}">
              <a16:creationId xmlns:a16="http://schemas.microsoft.com/office/drawing/2014/main" id="{00000000-0008-0000-2500-0000F6000000}"/>
            </a:ext>
          </a:extLst>
        </xdr:cNvPr>
        <xdr:cNvSpPr>
          <a:spLocks noChangeArrowheads="1"/>
        </xdr:cNvSpPr>
      </xdr:nvSpPr>
      <xdr:spPr bwMode="auto">
        <a:xfrm>
          <a:off x="15092223" y="833424"/>
          <a:ext cx="892542" cy="254857"/>
        </a:xfrm>
        <a:prstGeom prst="wedgeEllipseCallout">
          <a:avLst>
            <a:gd name="adj1" fmla="val -191314"/>
            <a:gd name="adj2" fmla="val 767135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78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Gipuz.,4 y 5</a:t>
          </a:r>
          <a:endParaRPr lang="es-ES" sz="800" b="1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59</xdr:col>
      <xdr:colOff>0</xdr:colOff>
      <xdr:row>60</xdr:row>
      <xdr:rowOff>0</xdr:rowOff>
    </xdr:from>
    <xdr:to>
      <xdr:col>59</xdr:col>
      <xdr:colOff>397933</xdr:colOff>
      <xdr:row>62</xdr:row>
      <xdr:rowOff>67734</xdr:rowOff>
    </xdr:to>
    <xdr:sp macro="" textlink="">
      <xdr:nvSpPr>
        <xdr:cNvPr id="248" name="Dibujo 273">
          <a:extLst>
            <a:ext uri="{FF2B5EF4-FFF2-40B4-BE49-F238E27FC236}">
              <a16:creationId xmlns:a16="http://schemas.microsoft.com/office/drawing/2014/main" id="{00000000-0008-0000-2500-0000F8000000}"/>
            </a:ext>
          </a:extLst>
        </xdr:cNvPr>
        <xdr:cNvSpPr>
          <a:spLocks/>
        </xdr:cNvSpPr>
      </xdr:nvSpPr>
      <xdr:spPr bwMode="auto">
        <a:xfrm>
          <a:off x="10507133" y="6756400"/>
          <a:ext cx="397933" cy="237067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0 w 16384"/>
            <a:gd name="T7" fmla="*/ 2147483647 h 16384"/>
            <a:gd name="T8" fmla="*/ 2147483647 w 16384"/>
            <a:gd name="T9" fmla="*/ 2147483647 h 16384"/>
            <a:gd name="T10" fmla="*/ 0 60000 65536"/>
            <a:gd name="T11" fmla="*/ 0 60000 65536"/>
            <a:gd name="T12" fmla="*/ 0 60000 65536"/>
            <a:gd name="T13" fmla="*/ 0 60000 65536"/>
            <a:gd name="T14" fmla="*/ 0 60000 65536"/>
          </a:gdLst>
          <a:ahLst/>
          <a:cxnLst>
            <a:cxn ang="T10">
              <a:pos x="T0" y="T1"/>
            </a:cxn>
            <a:cxn ang="T11">
              <a:pos x="T2" y="T3"/>
            </a:cxn>
            <a:cxn ang="T12">
              <a:pos x="T4" y="T5"/>
            </a:cxn>
            <a:cxn ang="T13">
              <a:pos x="T6" y="T7"/>
            </a:cxn>
            <a:cxn ang="T14">
              <a:pos x="T8" y="T9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546"/>
              </a:lnTo>
              <a:lnTo>
                <a:pt x="0" y="8738"/>
              </a:lnTo>
              <a:lnTo>
                <a:pt x="16384" y="8738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24765" cap="flat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/>
          <a:tailEnd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135106</xdr:colOff>
      <xdr:row>11</xdr:row>
      <xdr:rowOff>101331</xdr:rowOff>
    </xdr:from>
    <xdr:to>
      <xdr:col>58</xdr:col>
      <xdr:colOff>312894</xdr:colOff>
      <xdr:row>14</xdr:row>
      <xdr:rowOff>99366</xdr:rowOff>
    </xdr:to>
    <xdr:sp macro="" textlink="">
      <xdr:nvSpPr>
        <xdr:cNvPr id="211" name="Dibujo 179">
          <a:extLst>
            <a:ext uri="{FF2B5EF4-FFF2-40B4-BE49-F238E27FC236}">
              <a16:creationId xmlns:a16="http://schemas.microsoft.com/office/drawing/2014/main" id="{00000000-0008-0000-2500-0000D3000000}"/>
            </a:ext>
          </a:extLst>
        </xdr:cNvPr>
        <xdr:cNvSpPr>
          <a:spLocks/>
        </xdr:cNvSpPr>
      </xdr:nvSpPr>
      <xdr:spPr bwMode="auto">
        <a:xfrm>
          <a:off x="10639627" y="1959044"/>
          <a:ext cx="177788" cy="464152"/>
        </a:xfrm>
        <a:custGeom>
          <a:avLst/>
          <a:gdLst>
            <a:gd name="T0" fmla="*/ 2147483647 w 16384"/>
            <a:gd name="T1" fmla="*/ 2147483647 h 16384"/>
            <a:gd name="T2" fmla="*/ 2147483647 w 16384"/>
            <a:gd name="T3" fmla="*/ 0 h 16384"/>
            <a:gd name="T4" fmla="*/ 0 w 16384"/>
            <a:gd name="T5" fmla="*/ 2147483647 h 16384"/>
            <a:gd name="T6" fmla="*/ 2147483647 w 16384"/>
            <a:gd name="T7" fmla="*/ 2147483647 h 1638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384" h="16384">
              <a:moveTo>
                <a:pt x="16384" y="16384"/>
              </a:moveTo>
              <a:lnTo>
                <a:pt x="16384" y="0"/>
              </a:lnTo>
              <a:lnTo>
                <a:pt x="0" y="10185"/>
              </a:lnTo>
              <a:lnTo>
                <a:pt x="16384" y="10185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00FF" mc:Ignorable="a14" a14:legacySpreadsheetColorIndex="33"/>
        </a:solidFill>
        <a:ln w="24765" cap="flat" cmpd="sng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solid"/>
          <a:round/>
          <a:headEnd type="none" w="med" len="med"/>
          <a:tailEnd type="none" w="med" len="med"/>
        </a:ln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>
    <xdr:from>
      <xdr:col>58</xdr:col>
      <xdr:colOff>87819</xdr:colOff>
      <xdr:row>0</xdr:row>
      <xdr:rowOff>0</xdr:rowOff>
    </xdr:from>
    <xdr:to>
      <xdr:col>59</xdr:col>
      <xdr:colOff>689042</xdr:colOff>
      <xdr:row>0</xdr:row>
      <xdr:rowOff>254857</xdr:rowOff>
    </xdr:to>
    <xdr:sp macro="" textlink="">
      <xdr:nvSpPr>
        <xdr:cNvPr id="223" name="AutoShape 335">
          <a:extLst>
            <a:ext uri="{FF2B5EF4-FFF2-40B4-BE49-F238E27FC236}">
              <a16:creationId xmlns:a16="http://schemas.microsoft.com/office/drawing/2014/main" id="{00000000-0008-0000-2500-0000DF000000}"/>
            </a:ext>
          </a:extLst>
        </xdr:cNvPr>
        <xdr:cNvSpPr>
          <a:spLocks noChangeArrowheads="1"/>
        </xdr:cNvSpPr>
      </xdr:nvSpPr>
      <xdr:spPr bwMode="auto">
        <a:xfrm>
          <a:off x="10592340" y="0"/>
          <a:ext cx="1479415" cy="254857"/>
        </a:xfrm>
        <a:prstGeom prst="wedgeEllipseCallout">
          <a:avLst>
            <a:gd name="adj1" fmla="val 2737"/>
            <a:gd name="adj2" fmla="val 578139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78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Barcelona, 18 y19</a:t>
          </a:r>
          <a:endParaRPr lang="es-ES" sz="800" b="1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Arial"/>
            <a:cs typeface="Arial"/>
          </a:endParaRPr>
        </a:p>
      </xdr:txBody>
    </xdr:sp>
    <xdr:clientData/>
  </xdr:twoCellAnchor>
  <xdr:twoCellAnchor>
    <xdr:from>
      <xdr:col>58</xdr:col>
      <xdr:colOff>429363</xdr:colOff>
      <xdr:row>24</xdr:row>
      <xdr:rowOff>22367</xdr:rowOff>
    </xdr:from>
    <xdr:to>
      <xdr:col>59</xdr:col>
      <xdr:colOff>386313</xdr:colOff>
      <xdr:row>28</xdr:row>
      <xdr:rowOff>27862</xdr:rowOff>
    </xdr:to>
    <xdr:sp macro="" textlink="">
      <xdr:nvSpPr>
        <xdr:cNvPr id="201" name="AutoShape 335">
          <a:extLst>
            <a:ext uri="{FF2B5EF4-FFF2-40B4-BE49-F238E27FC236}">
              <a16:creationId xmlns:a16="http://schemas.microsoft.com/office/drawing/2014/main" id="{00000000-0008-0000-2500-0000C9000000}"/>
            </a:ext>
          </a:extLst>
        </xdr:cNvPr>
        <xdr:cNvSpPr>
          <a:spLocks noChangeArrowheads="1"/>
        </xdr:cNvSpPr>
      </xdr:nvSpPr>
      <xdr:spPr bwMode="auto">
        <a:xfrm>
          <a:off x="10933884" y="4089069"/>
          <a:ext cx="835142" cy="255442"/>
        </a:xfrm>
        <a:prstGeom prst="wedgeEllipseCallout">
          <a:avLst>
            <a:gd name="adj1" fmla="val 6255"/>
            <a:gd name="adj2" fmla="val 287008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>
            <a:alpha val="50195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s-ES" sz="600" b="1" i="0" u="none" strike="noStrike" baseline="0">
              <a:solidFill>
                <a:srgbClr val="000000"/>
              </a:solidFill>
              <a:latin typeface="Arial"/>
              <a:cs typeface="Arial"/>
            </a:rPr>
            <a:t>GIGAN 18-19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15</xdr:row>
      <xdr:rowOff>25400</xdr:rowOff>
    </xdr:from>
    <xdr:to>
      <xdr:col>11</xdr:col>
      <xdr:colOff>0</xdr:colOff>
      <xdr:row>38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33867</xdr:colOff>
      <xdr:row>8</xdr:row>
      <xdr:rowOff>67733</xdr:rowOff>
    </xdr:from>
    <xdr:to>
      <xdr:col>15</xdr:col>
      <xdr:colOff>402167</xdr:colOff>
      <xdr:row>23</xdr:row>
      <xdr:rowOff>110066</xdr:rowOff>
    </xdr:to>
    <xdr:graphicFrame macro="">
      <xdr:nvGraphicFramePr>
        <xdr:cNvPr id="3" name="Gráfico 5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11</xdr:col>
      <xdr:colOff>0</xdr:colOff>
      <xdr:row>18</xdr:row>
      <xdr:rowOff>0</xdr:rowOff>
    </xdr:to>
    <xdr:graphicFrame macro="">
      <xdr:nvGraphicFramePr>
        <xdr:cNvPr id="14856124" name="Gráfico 20">
          <a:extLst>
            <a:ext uri="{FF2B5EF4-FFF2-40B4-BE49-F238E27FC236}">
              <a16:creationId xmlns:a16="http://schemas.microsoft.com/office/drawing/2014/main" id="{00000000-0008-0000-2700-0000BCAFE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11</xdr:col>
      <xdr:colOff>0</xdr:colOff>
      <xdr:row>2</xdr:row>
      <xdr:rowOff>25400</xdr:rowOff>
    </xdr:from>
    <xdr:to>
      <xdr:col>11</xdr:col>
      <xdr:colOff>0</xdr:colOff>
      <xdr:row>16</xdr:row>
      <xdr:rowOff>165100</xdr:rowOff>
    </xdr:to>
    <xdr:graphicFrame macro="">
      <xdr:nvGraphicFramePr>
        <xdr:cNvPr id="14856125" name="Gráfico 25">
          <a:extLst>
            <a:ext uri="{FF2B5EF4-FFF2-40B4-BE49-F238E27FC236}">
              <a16:creationId xmlns:a16="http://schemas.microsoft.com/office/drawing/2014/main" id="{00000000-0008-0000-2700-0000BDAFE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434975</xdr:colOff>
      <xdr:row>9</xdr:row>
      <xdr:rowOff>9525</xdr:rowOff>
    </xdr:from>
    <xdr:to>
      <xdr:col>1</xdr:col>
      <xdr:colOff>914026</xdr:colOff>
      <xdr:row>15</xdr:row>
      <xdr:rowOff>22295</xdr:rowOff>
    </xdr:to>
    <xdr:sp macro="" textlink="">
      <xdr:nvSpPr>
        <xdr:cNvPr id="2108824" name="AutoShape 45">
          <a:extLst>
            <a:ext uri="{FF2B5EF4-FFF2-40B4-BE49-F238E27FC236}">
              <a16:creationId xmlns:a16="http://schemas.microsoft.com/office/drawing/2014/main" id="{00000000-0008-0000-2700-0000982D2000}"/>
            </a:ext>
          </a:extLst>
        </xdr:cNvPr>
        <xdr:cNvSpPr>
          <a:spLocks noChangeArrowheads="1"/>
        </xdr:cNvSpPr>
      </xdr:nvSpPr>
      <xdr:spPr bwMode="auto">
        <a:xfrm>
          <a:off x="600075" y="1219200"/>
          <a:ext cx="428625" cy="1076325"/>
        </a:xfrm>
        <a:prstGeom prst="wedgeRoundRectCallout">
          <a:avLst>
            <a:gd name="adj1" fmla="val 38889"/>
            <a:gd name="adj2" fmla="val -95454"/>
            <a:gd name="adj3" fmla="val 1666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Pegar el Mic copiado en </a:t>
          </a:r>
          <a:r>
            <a:rPr lang="es-ES" sz="1000" b="0" i="0" u="none" strike="noStrike" baseline="0">
              <a:solidFill>
                <a:srgbClr val="FF0000"/>
              </a:solidFill>
              <a:latin typeface="Arial"/>
              <a:cs typeface="Arial"/>
            </a:rPr>
            <a:t>calendario</a:t>
          </a:r>
        </a:p>
      </xdr:txBody>
    </xdr:sp>
    <xdr:clientData/>
  </xdr:twoCellAnchor>
  <xdr:twoCellAnchor>
    <xdr:from>
      <xdr:col>0</xdr:col>
      <xdr:colOff>0</xdr:colOff>
      <xdr:row>18</xdr:row>
      <xdr:rowOff>0</xdr:rowOff>
    </xdr:from>
    <xdr:to>
      <xdr:col>11</xdr:col>
      <xdr:colOff>0</xdr:colOff>
      <xdr:row>18</xdr:row>
      <xdr:rowOff>0</xdr:rowOff>
    </xdr:to>
    <xdr:graphicFrame macro="">
      <xdr:nvGraphicFramePr>
        <xdr:cNvPr id="14856128" name="Gráfico 47">
          <a:extLst>
            <a:ext uri="{FF2B5EF4-FFF2-40B4-BE49-F238E27FC236}">
              <a16:creationId xmlns:a16="http://schemas.microsoft.com/office/drawing/2014/main" id="{00000000-0008-0000-2700-0000C0AFE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  <xdr:twoCellAnchor>
    <xdr:from>
      <xdr:col>11</xdr:col>
      <xdr:colOff>0</xdr:colOff>
      <xdr:row>2</xdr:row>
      <xdr:rowOff>25400</xdr:rowOff>
    </xdr:from>
    <xdr:to>
      <xdr:col>11</xdr:col>
      <xdr:colOff>0</xdr:colOff>
      <xdr:row>16</xdr:row>
      <xdr:rowOff>165100</xdr:rowOff>
    </xdr:to>
    <xdr:graphicFrame macro="">
      <xdr:nvGraphicFramePr>
        <xdr:cNvPr id="14856129" name="Gráfico 49">
          <a:extLst>
            <a:ext uri="{FF2B5EF4-FFF2-40B4-BE49-F238E27FC236}">
              <a16:creationId xmlns:a16="http://schemas.microsoft.com/office/drawing/2014/main" id="{00000000-0008-0000-2700-0000C1AFE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434975</xdr:colOff>
      <xdr:row>9</xdr:row>
      <xdr:rowOff>9525</xdr:rowOff>
    </xdr:from>
    <xdr:to>
      <xdr:col>1</xdr:col>
      <xdr:colOff>914026</xdr:colOff>
      <xdr:row>15</xdr:row>
      <xdr:rowOff>22295</xdr:rowOff>
    </xdr:to>
    <xdr:sp macro="" textlink="">
      <xdr:nvSpPr>
        <xdr:cNvPr id="2108828" name="AutoShape 61">
          <a:extLst>
            <a:ext uri="{FF2B5EF4-FFF2-40B4-BE49-F238E27FC236}">
              <a16:creationId xmlns:a16="http://schemas.microsoft.com/office/drawing/2014/main" id="{00000000-0008-0000-2700-00009C2D2000}"/>
            </a:ext>
          </a:extLst>
        </xdr:cNvPr>
        <xdr:cNvSpPr>
          <a:spLocks noChangeArrowheads="1"/>
        </xdr:cNvSpPr>
      </xdr:nvSpPr>
      <xdr:spPr bwMode="auto">
        <a:xfrm>
          <a:off x="600075" y="1219200"/>
          <a:ext cx="428625" cy="1076325"/>
        </a:xfrm>
        <a:prstGeom prst="wedgeRoundRectCallout">
          <a:avLst>
            <a:gd name="adj1" fmla="val 38889"/>
            <a:gd name="adj2" fmla="val -95454"/>
            <a:gd name="adj3" fmla="val 1666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Pegar el Mic copiado en </a:t>
          </a:r>
          <a:r>
            <a:rPr lang="es-ES" sz="1000" b="0" i="0" u="none" strike="noStrike" baseline="0">
              <a:solidFill>
                <a:srgbClr val="FF0000"/>
              </a:solidFill>
              <a:latin typeface="Arial"/>
              <a:cs typeface="Arial"/>
            </a:rPr>
            <a:t>calendario</a:t>
          </a:r>
        </a:p>
      </xdr:txBody>
    </xdr:sp>
    <xdr:clientData/>
  </xdr:twoCellAnchor>
  <xdr:twoCellAnchor>
    <xdr:from>
      <xdr:col>13</xdr:col>
      <xdr:colOff>829733</xdr:colOff>
      <xdr:row>3</xdr:row>
      <xdr:rowOff>80434</xdr:rowOff>
    </xdr:from>
    <xdr:to>
      <xdr:col>15</xdr:col>
      <xdr:colOff>4233</xdr:colOff>
      <xdr:row>10</xdr:row>
      <xdr:rowOff>67734</xdr:rowOff>
    </xdr:to>
    <xdr:sp macro="" textlink="">
      <xdr:nvSpPr>
        <xdr:cNvPr id="14856132" name="Freeform 66">
          <a:extLst>
            <a:ext uri="{FF2B5EF4-FFF2-40B4-BE49-F238E27FC236}">
              <a16:creationId xmlns:a16="http://schemas.microsoft.com/office/drawing/2014/main" id="{00000000-0008-0000-2700-0000C4AFE200}"/>
            </a:ext>
          </a:extLst>
        </xdr:cNvPr>
        <xdr:cNvSpPr>
          <a:spLocks/>
        </xdr:cNvSpPr>
      </xdr:nvSpPr>
      <xdr:spPr bwMode="auto">
        <a:xfrm>
          <a:off x="7535333" y="791634"/>
          <a:ext cx="740833" cy="1172633"/>
        </a:xfrm>
        <a:custGeom>
          <a:avLst/>
          <a:gdLst>
            <a:gd name="T0" fmla="*/ 2147483647 w 68"/>
            <a:gd name="T1" fmla="*/ 2147483647 h 125"/>
            <a:gd name="T2" fmla="*/ 2147483647 w 68"/>
            <a:gd name="T3" fmla="*/ 2147483647 h 125"/>
            <a:gd name="T4" fmla="*/ 2147483647 w 68"/>
            <a:gd name="T5" fmla="*/ 2147483647 h 125"/>
            <a:gd name="T6" fmla="*/ 2147483647 w 68"/>
            <a:gd name="T7" fmla="*/ 2147483647 h 125"/>
            <a:gd name="T8" fmla="*/ 2147483647 w 68"/>
            <a:gd name="T9" fmla="*/ 2147483647 h 125"/>
            <a:gd name="T10" fmla="*/ 2147483647 w 68"/>
            <a:gd name="T11" fmla="*/ 2147483647 h 125"/>
            <a:gd name="T12" fmla="*/ 2147483647 w 68"/>
            <a:gd name="T13" fmla="*/ 2147483647 h 125"/>
            <a:gd name="T14" fmla="*/ 2147483647 w 68"/>
            <a:gd name="T15" fmla="*/ 2147483647 h 125"/>
            <a:gd name="T16" fmla="*/ 2147483647 w 68"/>
            <a:gd name="T17" fmla="*/ 2147483647 h 125"/>
            <a:gd name="T18" fmla="*/ 2147483647 w 68"/>
            <a:gd name="T19" fmla="*/ 2147483647 h 125"/>
            <a:gd name="T20" fmla="*/ 2147483647 w 68"/>
            <a:gd name="T21" fmla="*/ 2147483647 h 125"/>
            <a:gd name="T22" fmla="*/ 2147483647 w 68"/>
            <a:gd name="T23" fmla="*/ 2147483647 h 125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</a:gdLst>
          <a:ahLst/>
          <a:cxnLst>
            <a:cxn ang="T24">
              <a:pos x="T0" y="T1"/>
            </a:cxn>
            <a:cxn ang="T25">
              <a:pos x="T2" y="T3"/>
            </a:cxn>
            <a:cxn ang="T26">
              <a:pos x="T4" y="T5"/>
            </a:cxn>
            <a:cxn ang="T27">
              <a:pos x="T6" y="T7"/>
            </a:cxn>
            <a:cxn ang="T28">
              <a:pos x="T8" y="T9"/>
            </a:cxn>
            <a:cxn ang="T29">
              <a:pos x="T10" y="T11"/>
            </a:cxn>
            <a:cxn ang="T30">
              <a:pos x="T12" y="T13"/>
            </a:cxn>
            <a:cxn ang="T31">
              <a:pos x="T14" y="T15"/>
            </a:cxn>
            <a:cxn ang="T32">
              <a:pos x="T16" y="T17"/>
            </a:cxn>
            <a:cxn ang="T33">
              <a:pos x="T18" y="T19"/>
            </a:cxn>
            <a:cxn ang="T34">
              <a:pos x="T20" y="T21"/>
            </a:cxn>
            <a:cxn ang="T35">
              <a:pos x="T22" y="T23"/>
            </a:cxn>
          </a:cxnLst>
          <a:rect l="0" t="0" r="r" b="b"/>
          <a:pathLst>
            <a:path w="68" h="125">
              <a:moveTo>
                <a:pt x="3" y="41"/>
              </a:moveTo>
              <a:cubicBezTo>
                <a:pt x="6" y="31"/>
                <a:pt x="9" y="14"/>
                <a:pt x="18" y="8"/>
              </a:cubicBezTo>
              <a:cubicBezTo>
                <a:pt x="23" y="0"/>
                <a:pt x="30" y="2"/>
                <a:pt x="39" y="1"/>
              </a:cubicBezTo>
              <a:cubicBezTo>
                <a:pt x="45" y="0"/>
                <a:pt x="49" y="0"/>
                <a:pt x="54" y="3"/>
              </a:cubicBezTo>
              <a:cubicBezTo>
                <a:pt x="56" y="8"/>
                <a:pt x="56" y="12"/>
                <a:pt x="57" y="17"/>
              </a:cubicBezTo>
              <a:cubicBezTo>
                <a:pt x="58" y="32"/>
                <a:pt x="58" y="46"/>
                <a:pt x="60" y="61"/>
              </a:cubicBezTo>
              <a:cubicBezTo>
                <a:pt x="60" y="76"/>
                <a:pt x="68" y="112"/>
                <a:pt x="49" y="125"/>
              </a:cubicBezTo>
              <a:cubicBezTo>
                <a:pt x="43" y="125"/>
                <a:pt x="36" y="125"/>
                <a:pt x="30" y="124"/>
              </a:cubicBezTo>
              <a:cubicBezTo>
                <a:pt x="28" y="124"/>
                <a:pt x="24" y="120"/>
                <a:pt x="24" y="120"/>
              </a:cubicBezTo>
              <a:cubicBezTo>
                <a:pt x="20" y="114"/>
                <a:pt x="20" y="108"/>
                <a:pt x="16" y="103"/>
              </a:cubicBezTo>
              <a:cubicBezTo>
                <a:pt x="12" y="87"/>
                <a:pt x="10" y="68"/>
                <a:pt x="1" y="54"/>
              </a:cubicBezTo>
              <a:cubicBezTo>
                <a:pt x="0" y="51"/>
                <a:pt x="5" y="34"/>
                <a:pt x="3" y="41"/>
              </a:cubicBezTo>
              <a:close/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 editAs="oneCell">
    <xdr:from>
      <xdr:col>13</xdr:col>
      <xdr:colOff>434975</xdr:colOff>
      <xdr:row>9</xdr:row>
      <xdr:rowOff>9525</xdr:rowOff>
    </xdr:from>
    <xdr:to>
      <xdr:col>13</xdr:col>
      <xdr:colOff>914026</xdr:colOff>
      <xdr:row>15</xdr:row>
      <xdr:rowOff>22295</xdr:rowOff>
    </xdr:to>
    <xdr:sp macro="" textlink="">
      <xdr:nvSpPr>
        <xdr:cNvPr id="2108830" name="AutoShape 67">
          <a:extLst>
            <a:ext uri="{FF2B5EF4-FFF2-40B4-BE49-F238E27FC236}">
              <a16:creationId xmlns:a16="http://schemas.microsoft.com/office/drawing/2014/main" id="{00000000-0008-0000-2700-00009E2D2000}"/>
            </a:ext>
          </a:extLst>
        </xdr:cNvPr>
        <xdr:cNvSpPr>
          <a:spLocks noChangeArrowheads="1"/>
        </xdr:cNvSpPr>
      </xdr:nvSpPr>
      <xdr:spPr bwMode="auto">
        <a:xfrm>
          <a:off x="6200775" y="1219200"/>
          <a:ext cx="428625" cy="1076325"/>
        </a:xfrm>
        <a:prstGeom prst="wedgeRoundRectCallout">
          <a:avLst>
            <a:gd name="adj1" fmla="val 38889"/>
            <a:gd name="adj2" fmla="val -95454"/>
            <a:gd name="adj3" fmla="val 1666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Pegar el Mic copiado en </a:t>
          </a:r>
          <a:r>
            <a:rPr lang="es-ES" sz="1000" b="0" i="0" u="none" strike="noStrike" baseline="0">
              <a:solidFill>
                <a:srgbClr val="FF0000"/>
              </a:solidFill>
              <a:latin typeface="Arial"/>
              <a:cs typeface="Arial"/>
            </a:rPr>
            <a:t>calendario</a:t>
          </a:r>
        </a:p>
      </xdr:txBody>
    </xdr:sp>
    <xdr:clientData/>
  </xdr:twoCellAnchor>
  <xdr:twoCellAnchor>
    <xdr:from>
      <xdr:col>13</xdr:col>
      <xdr:colOff>871590</xdr:colOff>
      <xdr:row>3</xdr:row>
      <xdr:rowOff>3280</xdr:rowOff>
    </xdr:from>
    <xdr:to>
      <xdr:col>15</xdr:col>
      <xdr:colOff>46090</xdr:colOff>
      <xdr:row>9</xdr:row>
      <xdr:rowOff>159913</xdr:rowOff>
    </xdr:to>
    <xdr:sp macro="" textlink="">
      <xdr:nvSpPr>
        <xdr:cNvPr id="14856134" name="Freeform 68">
          <a:extLst>
            <a:ext uri="{FF2B5EF4-FFF2-40B4-BE49-F238E27FC236}">
              <a16:creationId xmlns:a16="http://schemas.microsoft.com/office/drawing/2014/main" id="{00000000-0008-0000-2700-0000C6AFE200}"/>
            </a:ext>
          </a:extLst>
        </xdr:cNvPr>
        <xdr:cNvSpPr>
          <a:spLocks/>
        </xdr:cNvSpPr>
      </xdr:nvSpPr>
      <xdr:spPr bwMode="auto">
        <a:xfrm>
          <a:off x="7577190" y="714480"/>
          <a:ext cx="740833" cy="1172633"/>
        </a:xfrm>
        <a:custGeom>
          <a:avLst/>
          <a:gdLst>
            <a:gd name="T0" fmla="*/ 2147483647 w 68"/>
            <a:gd name="T1" fmla="*/ 2147483647 h 125"/>
            <a:gd name="T2" fmla="*/ 2147483647 w 68"/>
            <a:gd name="T3" fmla="*/ 2147483647 h 125"/>
            <a:gd name="T4" fmla="*/ 2147483647 w 68"/>
            <a:gd name="T5" fmla="*/ 2147483647 h 125"/>
            <a:gd name="T6" fmla="*/ 2147483647 w 68"/>
            <a:gd name="T7" fmla="*/ 2147483647 h 125"/>
            <a:gd name="T8" fmla="*/ 2147483647 w 68"/>
            <a:gd name="T9" fmla="*/ 2147483647 h 125"/>
            <a:gd name="T10" fmla="*/ 2147483647 w 68"/>
            <a:gd name="T11" fmla="*/ 2147483647 h 125"/>
            <a:gd name="T12" fmla="*/ 2147483647 w 68"/>
            <a:gd name="T13" fmla="*/ 2147483647 h 125"/>
            <a:gd name="T14" fmla="*/ 2147483647 w 68"/>
            <a:gd name="T15" fmla="*/ 2147483647 h 125"/>
            <a:gd name="T16" fmla="*/ 2147483647 w 68"/>
            <a:gd name="T17" fmla="*/ 2147483647 h 125"/>
            <a:gd name="T18" fmla="*/ 2147483647 w 68"/>
            <a:gd name="T19" fmla="*/ 2147483647 h 125"/>
            <a:gd name="T20" fmla="*/ 2147483647 w 68"/>
            <a:gd name="T21" fmla="*/ 2147483647 h 125"/>
            <a:gd name="T22" fmla="*/ 2147483647 w 68"/>
            <a:gd name="T23" fmla="*/ 2147483647 h 125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</a:gdLst>
          <a:ahLst/>
          <a:cxnLst>
            <a:cxn ang="T24">
              <a:pos x="T0" y="T1"/>
            </a:cxn>
            <a:cxn ang="T25">
              <a:pos x="T2" y="T3"/>
            </a:cxn>
            <a:cxn ang="T26">
              <a:pos x="T4" y="T5"/>
            </a:cxn>
            <a:cxn ang="T27">
              <a:pos x="T6" y="T7"/>
            </a:cxn>
            <a:cxn ang="T28">
              <a:pos x="T8" y="T9"/>
            </a:cxn>
            <a:cxn ang="T29">
              <a:pos x="T10" y="T11"/>
            </a:cxn>
            <a:cxn ang="T30">
              <a:pos x="T12" y="T13"/>
            </a:cxn>
            <a:cxn ang="T31">
              <a:pos x="T14" y="T15"/>
            </a:cxn>
            <a:cxn ang="T32">
              <a:pos x="T16" y="T17"/>
            </a:cxn>
            <a:cxn ang="T33">
              <a:pos x="T18" y="T19"/>
            </a:cxn>
            <a:cxn ang="T34">
              <a:pos x="T20" y="T21"/>
            </a:cxn>
            <a:cxn ang="T35">
              <a:pos x="T22" y="T23"/>
            </a:cxn>
          </a:cxnLst>
          <a:rect l="0" t="0" r="r" b="b"/>
          <a:pathLst>
            <a:path w="68" h="125">
              <a:moveTo>
                <a:pt x="3" y="41"/>
              </a:moveTo>
              <a:cubicBezTo>
                <a:pt x="6" y="31"/>
                <a:pt x="9" y="14"/>
                <a:pt x="18" y="8"/>
              </a:cubicBezTo>
              <a:cubicBezTo>
                <a:pt x="23" y="0"/>
                <a:pt x="30" y="2"/>
                <a:pt x="39" y="1"/>
              </a:cubicBezTo>
              <a:cubicBezTo>
                <a:pt x="45" y="0"/>
                <a:pt x="49" y="0"/>
                <a:pt x="54" y="3"/>
              </a:cubicBezTo>
              <a:cubicBezTo>
                <a:pt x="56" y="8"/>
                <a:pt x="56" y="12"/>
                <a:pt x="57" y="17"/>
              </a:cubicBezTo>
              <a:cubicBezTo>
                <a:pt x="58" y="32"/>
                <a:pt x="58" y="46"/>
                <a:pt x="60" y="61"/>
              </a:cubicBezTo>
              <a:cubicBezTo>
                <a:pt x="60" y="76"/>
                <a:pt x="68" y="112"/>
                <a:pt x="49" y="125"/>
              </a:cubicBezTo>
              <a:cubicBezTo>
                <a:pt x="43" y="125"/>
                <a:pt x="36" y="125"/>
                <a:pt x="30" y="124"/>
              </a:cubicBezTo>
              <a:cubicBezTo>
                <a:pt x="28" y="124"/>
                <a:pt x="24" y="120"/>
                <a:pt x="24" y="120"/>
              </a:cubicBezTo>
              <a:cubicBezTo>
                <a:pt x="20" y="114"/>
                <a:pt x="20" y="108"/>
                <a:pt x="16" y="103"/>
              </a:cubicBezTo>
              <a:cubicBezTo>
                <a:pt x="12" y="87"/>
                <a:pt x="10" y="68"/>
                <a:pt x="1" y="54"/>
              </a:cubicBezTo>
              <a:cubicBezTo>
                <a:pt x="0" y="51"/>
                <a:pt x="5" y="34"/>
                <a:pt x="3" y="41"/>
              </a:cubicBezTo>
              <a:close/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 editAs="oneCell">
    <xdr:from>
      <xdr:col>13</xdr:col>
      <xdr:colOff>434975</xdr:colOff>
      <xdr:row>9</xdr:row>
      <xdr:rowOff>9525</xdr:rowOff>
    </xdr:from>
    <xdr:to>
      <xdr:col>13</xdr:col>
      <xdr:colOff>914026</xdr:colOff>
      <xdr:row>15</xdr:row>
      <xdr:rowOff>22295</xdr:rowOff>
    </xdr:to>
    <xdr:sp macro="" textlink="">
      <xdr:nvSpPr>
        <xdr:cNvPr id="2108832" name="AutoShape 69">
          <a:extLst>
            <a:ext uri="{FF2B5EF4-FFF2-40B4-BE49-F238E27FC236}">
              <a16:creationId xmlns:a16="http://schemas.microsoft.com/office/drawing/2014/main" id="{00000000-0008-0000-2700-0000A02D2000}"/>
            </a:ext>
          </a:extLst>
        </xdr:cNvPr>
        <xdr:cNvSpPr>
          <a:spLocks noChangeArrowheads="1"/>
        </xdr:cNvSpPr>
      </xdr:nvSpPr>
      <xdr:spPr bwMode="auto">
        <a:xfrm>
          <a:off x="6200775" y="1219200"/>
          <a:ext cx="428625" cy="1076325"/>
        </a:xfrm>
        <a:prstGeom prst="wedgeRoundRectCallout">
          <a:avLst>
            <a:gd name="adj1" fmla="val 38889"/>
            <a:gd name="adj2" fmla="val -95454"/>
            <a:gd name="adj3" fmla="val 1666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E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Pegar el Mic copiado en </a:t>
          </a:r>
          <a:r>
            <a:rPr lang="es-ES" sz="1000" b="0" i="0" u="none" strike="noStrike" baseline="0">
              <a:solidFill>
                <a:srgbClr val="FF0000"/>
              </a:solidFill>
              <a:latin typeface="Arial"/>
              <a:cs typeface="Arial"/>
            </a:rPr>
            <a:t>calendario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84668</xdr:colOff>
      <xdr:row>18</xdr:row>
      <xdr:rowOff>156214</xdr:rowOff>
    </xdr:from>
    <xdr:to>
      <xdr:col>11</xdr:col>
      <xdr:colOff>241300</xdr:colOff>
      <xdr:row>33</xdr:row>
      <xdr:rowOff>8468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0268" y="4431881"/>
          <a:ext cx="3289299" cy="250232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103</xdr:row>
      <xdr:rowOff>184512</xdr:rowOff>
    </xdr:from>
    <xdr:to>
      <xdr:col>0</xdr:col>
      <xdr:colOff>203874</xdr:colOff>
      <xdr:row>103</xdr:row>
      <xdr:rowOff>184512</xdr:rowOff>
    </xdr:to>
    <xdr:sp macro="" textlink="">
      <xdr:nvSpPr>
        <xdr:cNvPr id="2" name="Texto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 txBox="1">
          <a:spLocks noChangeArrowheads="1"/>
        </xdr:cNvSpPr>
      </xdr:nvSpPr>
      <xdr:spPr bwMode="auto">
        <a:xfrm>
          <a:off x="0" y="16135712"/>
          <a:ext cx="203874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103</xdr:row>
      <xdr:rowOff>184512</xdr:rowOff>
    </xdr:from>
    <xdr:to>
      <xdr:col>0</xdr:col>
      <xdr:colOff>203874</xdr:colOff>
      <xdr:row>103</xdr:row>
      <xdr:rowOff>184512</xdr:rowOff>
    </xdr:to>
    <xdr:sp macro="" textlink="">
      <xdr:nvSpPr>
        <xdr:cNvPr id="3" name="Texto 7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 txBox="1">
          <a:spLocks noChangeArrowheads="1"/>
        </xdr:cNvSpPr>
      </xdr:nvSpPr>
      <xdr:spPr bwMode="auto">
        <a:xfrm>
          <a:off x="0" y="16135712"/>
          <a:ext cx="203874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36576" tIns="27432" rIns="36576" bIns="27432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165</xdr:row>
      <xdr:rowOff>3175</xdr:rowOff>
    </xdr:from>
    <xdr:to>
      <xdr:col>0</xdr:col>
      <xdr:colOff>174680</xdr:colOff>
      <xdr:row>168</xdr:row>
      <xdr:rowOff>114490</xdr:rowOff>
    </xdr:to>
    <xdr:sp macro="" textlink="">
      <xdr:nvSpPr>
        <xdr:cNvPr id="4" name="Texto 8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 txBox="1">
          <a:spLocks noChangeArrowheads="1"/>
        </xdr:cNvSpPr>
      </xdr:nvSpPr>
      <xdr:spPr bwMode="auto">
        <a:xfrm>
          <a:off x="0" y="26241375"/>
          <a:ext cx="174680" cy="60661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0</xdr:colOff>
      <xdr:row>101</xdr:row>
      <xdr:rowOff>0</xdr:rowOff>
    </xdr:from>
    <xdr:to>
      <xdr:col>0</xdr:col>
      <xdr:colOff>203874</xdr:colOff>
      <xdr:row>101</xdr:row>
      <xdr:rowOff>0</xdr:rowOff>
    </xdr:to>
    <xdr:sp macro="" textlink="">
      <xdr:nvSpPr>
        <xdr:cNvPr id="5" name="Texto 1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 txBox="1">
          <a:spLocks noChangeArrowheads="1"/>
        </xdr:cNvSpPr>
      </xdr:nvSpPr>
      <xdr:spPr bwMode="auto">
        <a:xfrm>
          <a:off x="0" y="15646400"/>
          <a:ext cx="203874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36576" tIns="27432" rIns="36576" bIns="27432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101</xdr:row>
      <xdr:rowOff>0</xdr:rowOff>
    </xdr:from>
    <xdr:to>
      <xdr:col>0</xdr:col>
      <xdr:colOff>203874</xdr:colOff>
      <xdr:row>101</xdr:row>
      <xdr:rowOff>0</xdr:rowOff>
    </xdr:to>
    <xdr:sp macro="" textlink="">
      <xdr:nvSpPr>
        <xdr:cNvPr id="6" name="Texto 19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SpPr txBox="1">
          <a:spLocks noChangeArrowheads="1"/>
        </xdr:cNvSpPr>
      </xdr:nvSpPr>
      <xdr:spPr bwMode="auto">
        <a:xfrm>
          <a:off x="0" y="15646400"/>
          <a:ext cx="203874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36576" tIns="27432" rIns="36576" bIns="27432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162</xdr:row>
      <xdr:rowOff>38100</xdr:rowOff>
    </xdr:from>
    <xdr:to>
      <xdr:col>0</xdr:col>
      <xdr:colOff>174680</xdr:colOff>
      <xdr:row>165</xdr:row>
      <xdr:rowOff>114405</xdr:rowOff>
    </xdr:to>
    <xdr:sp macro="" textlink="">
      <xdr:nvSpPr>
        <xdr:cNvPr id="7" name="Texto 20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SpPr txBox="1">
          <a:spLocks noChangeArrowheads="1"/>
        </xdr:cNvSpPr>
      </xdr:nvSpPr>
      <xdr:spPr bwMode="auto">
        <a:xfrm>
          <a:off x="0" y="25781000"/>
          <a:ext cx="174680" cy="57160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139</xdr:row>
      <xdr:rowOff>38100</xdr:rowOff>
    </xdr:from>
    <xdr:to>
      <xdr:col>1</xdr:col>
      <xdr:colOff>175891</xdr:colOff>
      <xdr:row>142</xdr:row>
      <xdr:rowOff>101894</xdr:rowOff>
    </xdr:to>
    <xdr:sp macro="" textlink="">
      <xdr:nvSpPr>
        <xdr:cNvPr id="2" name="Texto 8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 txBox="1">
          <a:spLocks noChangeArrowheads="1"/>
        </xdr:cNvSpPr>
      </xdr:nvSpPr>
      <xdr:spPr bwMode="auto">
        <a:xfrm>
          <a:off x="9525" y="21869400"/>
          <a:ext cx="382266" cy="48289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136</xdr:row>
      <xdr:rowOff>38100</xdr:rowOff>
    </xdr:from>
    <xdr:to>
      <xdr:col>1</xdr:col>
      <xdr:colOff>175891</xdr:colOff>
      <xdr:row>139</xdr:row>
      <xdr:rowOff>114441</xdr:rowOff>
    </xdr:to>
    <xdr:sp macro="" textlink="">
      <xdr:nvSpPr>
        <xdr:cNvPr id="3" name="Texto 20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 txBox="1">
          <a:spLocks noChangeArrowheads="1"/>
        </xdr:cNvSpPr>
      </xdr:nvSpPr>
      <xdr:spPr bwMode="auto">
        <a:xfrm>
          <a:off x="9525" y="21450300"/>
          <a:ext cx="382266" cy="4954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155</xdr:row>
      <xdr:rowOff>3175</xdr:rowOff>
    </xdr:from>
    <xdr:to>
      <xdr:col>1</xdr:col>
      <xdr:colOff>174869</xdr:colOff>
      <xdr:row>158</xdr:row>
      <xdr:rowOff>115066</xdr:rowOff>
    </xdr:to>
    <xdr:sp macro="" textlink="">
      <xdr:nvSpPr>
        <xdr:cNvPr id="2" name="Texto 8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 txBox="1">
          <a:spLocks noChangeArrowheads="1"/>
        </xdr:cNvSpPr>
      </xdr:nvSpPr>
      <xdr:spPr bwMode="auto">
        <a:xfrm>
          <a:off x="9525" y="20716875"/>
          <a:ext cx="381244" cy="53099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152</xdr:row>
      <xdr:rowOff>6350</xdr:rowOff>
    </xdr:from>
    <xdr:to>
      <xdr:col>1</xdr:col>
      <xdr:colOff>174869</xdr:colOff>
      <xdr:row>155</xdr:row>
      <xdr:rowOff>114791</xdr:rowOff>
    </xdr:to>
    <xdr:sp macro="" textlink="">
      <xdr:nvSpPr>
        <xdr:cNvPr id="3" name="Texto 20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 txBox="1">
          <a:spLocks noChangeArrowheads="1"/>
        </xdr:cNvSpPr>
      </xdr:nvSpPr>
      <xdr:spPr bwMode="auto">
        <a:xfrm>
          <a:off x="9525" y="20300950"/>
          <a:ext cx="381244" cy="5275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142</xdr:row>
      <xdr:rowOff>38100</xdr:rowOff>
    </xdr:from>
    <xdr:to>
      <xdr:col>1</xdr:col>
      <xdr:colOff>184251</xdr:colOff>
      <xdr:row>146</xdr:row>
      <xdr:rowOff>1764</xdr:rowOff>
    </xdr:to>
    <xdr:sp macro="" textlink="">
      <xdr:nvSpPr>
        <xdr:cNvPr id="4" name="Texto 8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SpPr txBox="1">
          <a:spLocks noChangeArrowheads="1"/>
        </xdr:cNvSpPr>
      </xdr:nvSpPr>
      <xdr:spPr bwMode="auto">
        <a:xfrm>
          <a:off x="9525" y="18884900"/>
          <a:ext cx="390626" cy="52246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139</xdr:row>
      <xdr:rowOff>38100</xdr:rowOff>
    </xdr:from>
    <xdr:to>
      <xdr:col>1</xdr:col>
      <xdr:colOff>184251</xdr:colOff>
      <xdr:row>143</xdr:row>
      <xdr:rowOff>1764</xdr:rowOff>
    </xdr:to>
    <xdr:sp macro="" textlink="">
      <xdr:nvSpPr>
        <xdr:cNvPr id="5" name="Texto 20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SpPr txBox="1">
          <a:spLocks noChangeArrowheads="1"/>
        </xdr:cNvSpPr>
      </xdr:nvSpPr>
      <xdr:spPr bwMode="auto">
        <a:xfrm>
          <a:off x="9525" y="18465800"/>
          <a:ext cx="390626" cy="52246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384721</xdr:colOff>
      <xdr:row>19</xdr:row>
      <xdr:rowOff>96865</xdr:rowOff>
    </xdr:from>
    <xdr:to>
      <xdr:col>14</xdr:col>
      <xdr:colOff>293422</xdr:colOff>
      <xdr:row>65</xdr:row>
      <xdr:rowOff>30064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83</xdr:row>
      <xdr:rowOff>184512</xdr:rowOff>
    </xdr:from>
    <xdr:to>
      <xdr:col>0</xdr:col>
      <xdr:colOff>203874</xdr:colOff>
      <xdr:row>83</xdr:row>
      <xdr:rowOff>184512</xdr:rowOff>
    </xdr:to>
    <xdr:sp macro="" textlink="">
      <xdr:nvSpPr>
        <xdr:cNvPr id="2" name="Texto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SpPr txBox="1">
          <a:spLocks noChangeArrowheads="1"/>
        </xdr:cNvSpPr>
      </xdr:nvSpPr>
      <xdr:spPr bwMode="auto">
        <a:xfrm>
          <a:off x="0" y="16338912"/>
          <a:ext cx="203874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83</xdr:row>
      <xdr:rowOff>184512</xdr:rowOff>
    </xdr:from>
    <xdr:to>
      <xdr:col>0</xdr:col>
      <xdr:colOff>203874</xdr:colOff>
      <xdr:row>83</xdr:row>
      <xdr:rowOff>184512</xdr:rowOff>
    </xdr:to>
    <xdr:sp macro="" textlink="">
      <xdr:nvSpPr>
        <xdr:cNvPr id="3" name="Texto 7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SpPr txBox="1">
          <a:spLocks noChangeArrowheads="1"/>
        </xdr:cNvSpPr>
      </xdr:nvSpPr>
      <xdr:spPr bwMode="auto">
        <a:xfrm>
          <a:off x="0" y="16338912"/>
          <a:ext cx="203874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36576" tIns="27432" rIns="36576" bIns="27432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145</xdr:row>
      <xdr:rowOff>3175</xdr:rowOff>
    </xdr:from>
    <xdr:to>
      <xdr:col>0</xdr:col>
      <xdr:colOff>174680</xdr:colOff>
      <xdr:row>148</xdr:row>
      <xdr:rowOff>114490</xdr:rowOff>
    </xdr:to>
    <xdr:sp macro="" textlink="">
      <xdr:nvSpPr>
        <xdr:cNvPr id="4" name="Texto 8"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SpPr txBox="1">
          <a:spLocks noChangeArrowheads="1"/>
        </xdr:cNvSpPr>
      </xdr:nvSpPr>
      <xdr:spPr bwMode="auto">
        <a:xfrm>
          <a:off x="0" y="26444575"/>
          <a:ext cx="174680" cy="60661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0</xdr:colOff>
      <xdr:row>81</xdr:row>
      <xdr:rowOff>0</xdr:rowOff>
    </xdr:from>
    <xdr:to>
      <xdr:col>0</xdr:col>
      <xdr:colOff>203874</xdr:colOff>
      <xdr:row>81</xdr:row>
      <xdr:rowOff>0</xdr:rowOff>
    </xdr:to>
    <xdr:sp macro="" textlink="">
      <xdr:nvSpPr>
        <xdr:cNvPr id="5" name="Texto 14"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SpPr txBox="1">
          <a:spLocks noChangeArrowheads="1"/>
        </xdr:cNvSpPr>
      </xdr:nvSpPr>
      <xdr:spPr bwMode="auto">
        <a:xfrm>
          <a:off x="0" y="15849600"/>
          <a:ext cx="203874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36576" tIns="27432" rIns="36576" bIns="27432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81</xdr:row>
      <xdr:rowOff>0</xdr:rowOff>
    </xdr:from>
    <xdr:to>
      <xdr:col>0</xdr:col>
      <xdr:colOff>203874</xdr:colOff>
      <xdr:row>81</xdr:row>
      <xdr:rowOff>0</xdr:rowOff>
    </xdr:to>
    <xdr:sp macro="" textlink="">
      <xdr:nvSpPr>
        <xdr:cNvPr id="6" name="Texto 19"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SpPr txBox="1">
          <a:spLocks noChangeArrowheads="1"/>
        </xdr:cNvSpPr>
      </xdr:nvSpPr>
      <xdr:spPr bwMode="auto">
        <a:xfrm>
          <a:off x="0" y="15849600"/>
          <a:ext cx="203874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36576" tIns="27432" rIns="36576" bIns="27432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OTRAS OBSERVAC.</a:t>
          </a:r>
        </a:p>
      </xdr:txBody>
    </xdr:sp>
    <xdr:clientData/>
  </xdr:twoCellAnchor>
  <xdr:twoCellAnchor>
    <xdr:from>
      <xdr:col>0</xdr:col>
      <xdr:colOff>0</xdr:colOff>
      <xdr:row>142</xdr:row>
      <xdr:rowOff>38100</xdr:rowOff>
    </xdr:from>
    <xdr:to>
      <xdr:col>0</xdr:col>
      <xdr:colOff>174680</xdr:colOff>
      <xdr:row>145</xdr:row>
      <xdr:rowOff>114405</xdr:rowOff>
    </xdr:to>
    <xdr:sp macro="" textlink="">
      <xdr:nvSpPr>
        <xdr:cNvPr id="7" name="Texto 20">
          <a:extLst>
            <a:ext uri="{FF2B5EF4-FFF2-40B4-BE49-F238E27FC236}">
              <a16:creationId xmlns:a16="http://schemas.microsoft.com/office/drawing/2014/main" id="{00000000-0008-0000-3A00-000007000000}"/>
            </a:ext>
          </a:extLst>
        </xdr:cNvPr>
        <xdr:cNvSpPr txBox="1">
          <a:spLocks noChangeArrowheads="1"/>
        </xdr:cNvSpPr>
      </xdr:nvSpPr>
      <xdr:spPr bwMode="auto">
        <a:xfrm>
          <a:off x="0" y="25984200"/>
          <a:ext cx="174680" cy="57160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15</xdr:col>
      <xdr:colOff>438299</xdr:colOff>
      <xdr:row>51</xdr:row>
      <xdr:rowOff>145430</xdr:rowOff>
    </xdr:from>
    <xdr:to>
      <xdr:col>16</xdr:col>
      <xdr:colOff>237287</xdr:colOff>
      <xdr:row>63</xdr:row>
      <xdr:rowOff>96261</xdr:rowOff>
    </xdr:to>
    <xdr:sp macro="" textlink="">
      <xdr:nvSpPr>
        <xdr:cNvPr id="8" name="Flecha a la derecha con bandas 7">
          <a:extLst>
            <a:ext uri="{FF2B5EF4-FFF2-40B4-BE49-F238E27FC236}">
              <a16:creationId xmlns:a16="http://schemas.microsoft.com/office/drawing/2014/main" id="{00000000-0008-0000-3A00-000008000000}"/>
            </a:ext>
          </a:extLst>
        </xdr:cNvPr>
        <xdr:cNvSpPr/>
      </xdr:nvSpPr>
      <xdr:spPr bwMode="auto">
        <a:xfrm rot="7301188">
          <a:off x="6844831" y="10739757"/>
          <a:ext cx="2521997" cy="484632"/>
        </a:xfrm>
        <a:prstGeom prst="stripedRightArrow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7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s-ES_tradnl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128</xdr:row>
      <xdr:rowOff>28575</xdr:rowOff>
    </xdr:from>
    <xdr:to>
      <xdr:col>1</xdr:col>
      <xdr:colOff>175118</xdr:colOff>
      <xdr:row>131</xdr:row>
      <xdr:rowOff>114300</xdr:rowOff>
    </xdr:to>
    <xdr:sp macro="" textlink="">
      <xdr:nvSpPr>
        <xdr:cNvPr id="2" name="Texto 8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 txBox="1">
          <a:spLocks noChangeArrowheads="1"/>
        </xdr:cNvSpPr>
      </xdr:nvSpPr>
      <xdr:spPr bwMode="auto">
        <a:xfrm>
          <a:off x="9525" y="242855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125</xdr:row>
      <xdr:rowOff>28575</xdr:rowOff>
    </xdr:from>
    <xdr:to>
      <xdr:col>1</xdr:col>
      <xdr:colOff>175118</xdr:colOff>
      <xdr:row>128</xdr:row>
      <xdr:rowOff>114300</xdr:rowOff>
    </xdr:to>
    <xdr:sp macro="" textlink="">
      <xdr:nvSpPr>
        <xdr:cNvPr id="3" name="Texto 20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SpPr txBox="1">
          <a:spLocks noChangeArrowheads="1"/>
        </xdr:cNvSpPr>
      </xdr:nvSpPr>
      <xdr:spPr bwMode="auto">
        <a:xfrm>
          <a:off x="9525" y="237521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128</xdr:row>
      <xdr:rowOff>28575</xdr:rowOff>
    </xdr:from>
    <xdr:to>
      <xdr:col>1</xdr:col>
      <xdr:colOff>175118</xdr:colOff>
      <xdr:row>131</xdr:row>
      <xdr:rowOff>114300</xdr:rowOff>
    </xdr:to>
    <xdr:sp macro="" textlink="">
      <xdr:nvSpPr>
        <xdr:cNvPr id="4" name="Texto 8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SpPr txBox="1">
          <a:spLocks noChangeArrowheads="1"/>
        </xdr:cNvSpPr>
      </xdr:nvSpPr>
      <xdr:spPr bwMode="auto">
        <a:xfrm>
          <a:off x="9525" y="242855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125</xdr:row>
      <xdr:rowOff>28575</xdr:rowOff>
    </xdr:from>
    <xdr:to>
      <xdr:col>1</xdr:col>
      <xdr:colOff>175118</xdr:colOff>
      <xdr:row>128</xdr:row>
      <xdr:rowOff>114300</xdr:rowOff>
    </xdr:to>
    <xdr:sp macro="" textlink="">
      <xdr:nvSpPr>
        <xdr:cNvPr id="5" name="Texto 20"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SpPr txBox="1">
          <a:spLocks noChangeArrowheads="1"/>
        </xdr:cNvSpPr>
      </xdr:nvSpPr>
      <xdr:spPr bwMode="auto">
        <a:xfrm>
          <a:off x="9525" y="237521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124</xdr:row>
      <xdr:rowOff>28575</xdr:rowOff>
    </xdr:from>
    <xdr:to>
      <xdr:col>1</xdr:col>
      <xdr:colOff>175118</xdr:colOff>
      <xdr:row>127</xdr:row>
      <xdr:rowOff>114300</xdr:rowOff>
    </xdr:to>
    <xdr:sp macro="" textlink="">
      <xdr:nvSpPr>
        <xdr:cNvPr id="6" name="Texto 8"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SpPr txBox="1">
          <a:spLocks noChangeArrowheads="1"/>
        </xdr:cNvSpPr>
      </xdr:nvSpPr>
      <xdr:spPr bwMode="auto">
        <a:xfrm>
          <a:off x="9525" y="225202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121</xdr:row>
      <xdr:rowOff>28575</xdr:rowOff>
    </xdr:from>
    <xdr:to>
      <xdr:col>1</xdr:col>
      <xdr:colOff>175118</xdr:colOff>
      <xdr:row>124</xdr:row>
      <xdr:rowOff>114300</xdr:rowOff>
    </xdr:to>
    <xdr:sp macro="" textlink="">
      <xdr:nvSpPr>
        <xdr:cNvPr id="7" name="Texto 20"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 txBox="1">
          <a:spLocks noChangeArrowheads="1"/>
        </xdr:cNvSpPr>
      </xdr:nvSpPr>
      <xdr:spPr bwMode="auto">
        <a:xfrm>
          <a:off x="9525" y="219868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124</xdr:row>
      <xdr:rowOff>28575</xdr:rowOff>
    </xdr:from>
    <xdr:to>
      <xdr:col>1</xdr:col>
      <xdr:colOff>175118</xdr:colOff>
      <xdr:row>127</xdr:row>
      <xdr:rowOff>114300</xdr:rowOff>
    </xdr:to>
    <xdr:sp macro="" textlink="">
      <xdr:nvSpPr>
        <xdr:cNvPr id="8" name="Texto 8">
          <a:extLst>
            <a:ext uri="{FF2B5EF4-FFF2-40B4-BE49-F238E27FC236}">
              <a16:creationId xmlns:a16="http://schemas.microsoft.com/office/drawing/2014/main" id="{00000000-0008-0000-3B00-000008000000}"/>
            </a:ext>
          </a:extLst>
        </xdr:cNvPr>
        <xdr:cNvSpPr txBox="1">
          <a:spLocks noChangeArrowheads="1"/>
        </xdr:cNvSpPr>
      </xdr:nvSpPr>
      <xdr:spPr bwMode="auto">
        <a:xfrm>
          <a:off x="9525" y="225202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121</xdr:row>
      <xdr:rowOff>28575</xdr:rowOff>
    </xdr:from>
    <xdr:to>
      <xdr:col>1</xdr:col>
      <xdr:colOff>175118</xdr:colOff>
      <xdr:row>124</xdr:row>
      <xdr:rowOff>114300</xdr:rowOff>
    </xdr:to>
    <xdr:sp macro="" textlink="">
      <xdr:nvSpPr>
        <xdr:cNvPr id="9" name="Texto 20">
          <a:extLst>
            <a:ext uri="{FF2B5EF4-FFF2-40B4-BE49-F238E27FC236}">
              <a16:creationId xmlns:a16="http://schemas.microsoft.com/office/drawing/2014/main" id="{00000000-0008-0000-3B00-000009000000}"/>
            </a:ext>
          </a:extLst>
        </xdr:cNvPr>
        <xdr:cNvSpPr txBox="1">
          <a:spLocks noChangeArrowheads="1"/>
        </xdr:cNvSpPr>
      </xdr:nvSpPr>
      <xdr:spPr bwMode="auto">
        <a:xfrm>
          <a:off x="9525" y="219868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118</xdr:row>
      <xdr:rowOff>28575</xdr:rowOff>
    </xdr:from>
    <xdr:to>
      <xdr:col>1</xdr:col>
      <xdr:colOff>175118</xdr:colOff>
      <xdr:row>121</xdr:row>
      <xdr:rowOff>114300</xdr:rowOff>
    </xdr:to>
    <xdr:sp macro="" textlink="">
      <xdr:nvSpPr>
        <xdr:cNvPr id="2" name="Texto 8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SpPr txBox="1">
          <a:spLocks noChangeArrowheads="1"/>
        </xdr:cNvSpPr>
      </xdr:nvSpPr>
      <xdr:spPr bwMode="auto">
        <a:xfrm>
          <a:off x="9525" y="242855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115</xdr:row>
      <xdr:rowOff>28575</xdr:rowOff>
    </xdr:from>
    <xdr:to>
      <xdr:col>1</xdr:col>
      <xdr:colOff>175118</xdr:colOff>
      <xdr:row>118</xdr:row>
      <xdr:rowOff>114300</xdr:rowOff>
    </xdr:to>
    <xdr:sp macro="" textlink="">
      <xdr:nvSpPr>
        <xdr:cNvPr id="3" name="Texto 20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SpPr txBox="1">
          <a:spLocks noChangeArrowheads="1"/>
        </xdr:cNvSpPr>
      </xdr:nvSpPr>
      <xdr:spPr bwMode="auto">
        <a:xfrm>
          <a:off x="9525" y="237521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118</xdr:row>
      <xdr:rowOff>28575</xdr:rowOff>
    </xdr:from>
    <xdr:to>
      <xdr:col>1</xdr:col>
      <xdr:colOff>175118</xdr:colOff>
      <xdr:row>121</xdr:row>
      <xdr:rowOff>114300</xdr:rowOff>
    </xdr:to>
    <xdr:sp macro="" textlink="">
      <xdr:nvSpPr>
        <xdr:cNvPr id="4" name="Texto 8">
          <a:extLst>
            <a:ext uri="{FF2B5EF4-FFF2-40B4-BE49-F238E27FC236}">
              <a16:creationId xmlns:a16="http://schemas.microsoft.com/office/drawing/2014/main" id="{00000000-0008-0000-3E00-000004000000}"/>
            </a:ext>
          </a:extLst>
        </xdr:cNvPr>
        <xdr:cNvSpPr txBox="1">
          <a:spLocks noChangeArrowheads="1"/>
        </xdr:cNvSpPr>
      </xdr:nvSpPr>
      <xdr:spPr bwMode="auto">
        <a:xfrm>
          <a:off x="9525" y="242855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115</xdr:row>
      <xdr:rowOff>28575</xdr:rowOff>
    </xdr:from>
    <xdr:to>
      <xdr:col>1</xdr:col>
      <xdr:colOff>175118</xdr:colOff>
      <xdr:row>118</xdr:row>
      <xdr:rowOff>114300</xdr:rowOff>
    </xdr:to>
    <xdr:sp macro="" textlink="">
      <xdr:nvSpPr>
        <xdr:cNvPr id="5" name="Texto 20">
          <a:extLst>
            <a:ext uri="{FF2B5EF4-FFF2-40B4-BE49-F238E27FC236}">
              <a16:creationId xmlns:a16="http://schemas.microsoft.com/office/drawing/2014/main" id="{00000000-0008-0000-3E00-000005000000}"/>
            </a:ext>
          </a:extLst>
        </xdr:cNvPr>
        <xdr:cNvSpPr txBox="1">
          <a:spLocks noChangeArrowheads="1"/>
        </xdr:cNvSpPr>
      </xdr:nvSpPr>
      <xdr:spPr bwMode="auto">
        <a:xfrm>
          <a:off x="9525" y="237521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oneCellAnchor>
    <xdr:from>
      <xdr:col>11</xdr:col>
      <xdr:colOff>377119</xdr:colOff>
      <xdr:row>2</xdr:row>
      <xdr:rowOff>147675</xdr:rowOff>
    </xdr:from>
    <xdr:ext cx="361254" cy="191978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3E00-000006000000}"/>
            </a:ext>
          </a:extLst>
        </xdr:cNvPr>
        <xdr:cNvSpPr txBox="1"/>
      </xdr:nvSpPr>
      <xdr:spPr>
        <a:xfrm>
          <a:off x="6421925" y="541473"/>
          <a:ext cx="361254" cy="19197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400</a:t>
          </a:r>
        </a:p>
      </xdr:txBody>
    </xdr:sp>
    <xdr:clientData/>
  </xdr:oneCellAnchor>
  <xdr:oneCellAnchor>
    <xdr:from>
      <xdr:col>13</xdr:col>
      <xdr:colOff>0</xdr:colOff>
      <xdr:row>3</xdr:row>
      <xdr:rowOff>0</xdr:rowOff>
    </xdr:from>
    <xdr:ext cx="339651" cy="187054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00000000-0008-0000-3E00-000007000000}"/>
            </a:ext>
          </a:extLst>
        </xdr:cNvPr>
        <xdr:cNvSpPr txBox="1"/>
      </xdr:nvSpPr>
      <xdr:spPr>
        <a:xfrm>
          <a:off x="6960388" y="571008"/>
          <a:ext cx="339651" cy="18705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854061</xdr:colOff>
      <xdr:row>10</xdr:row>
      <xdr:rowOff>11849</xdr:rowOff>
    </xdr:from>
    <xdr:ext cx="355600" cy="165588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3E00-000009000000}"/>
            </a:ext>
          </a:extLst>
        </xdr:cNvPr>
        <xdr:cNvSpPr txBox="1"/>
      </xdr:nvSpPr>
      <xdr:spPr>
        <a:xfrm>
          <a:off x="4598087" y="1804143"/>
          <a:ext cx="355600" cy="16558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10</xdr:col>
      <xdr:colOff>1382102</xdr:colOff>
      <xdr:row>10</xdr:row>
      <xdr:rowOff>15142</xdr:rowOff>
    </xdr:from>
    <xdr:ext cx="365125" cy="161925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3E00-00000A000000}"/>
            </a:ext>
          </a:extLst>
        </xdr:cNvPr>
        <xdr:cNvSpPr txBox="1"/>
      </xdr:nvSpPr>
      <xdr:spPr>
        <a:xfrm>
          <a:off x="4861902" y="2224942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400</a:t>
          </a:r>
        </a:p>
      </xdr:txBody>
    </xdr:sp>
    <xdr:clientData/>
  </xdr:oneCellAnchor>
  <xdr:oneCellAnchor>
    <xdr:from>
      <xdr:col>9</xdr:col>
      <xdr:colOff>554256</xdr:colOff>
      <xdr:row>10</xdr:row>
      <xdr:rowOff>9961</xdr:rowOff>
    </xdr:from>
    <xdr:ext cx="348627" cy="152898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00000000-0008-0000-3E00-00000B000000}"/>
            </a:ext>
          </a:extLst>
        </xdr:cNvPr>
        <xdr:cNvSpPr txBox="1"/>
      </xdr:nvSpPr>
      <xdr:spPr>
        <a:xfrm>
          <a:off x="3729256" y="1813361"/>
          <a:ext cx="348627" cy="15289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400517</xdr:colOff>
      <xdr:row>10</xdr:row>
      <xdr:rowOff>6350</xdr:rowOff>
    </xdr:from>
    <xdr:ext cx="339725" cy="174625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3E00-00000C000000}"/>
            </a:ext>
          </a:extLst>
        </xdr:cNvPr>
        <xdr:cNvSpPr txBox="1"/>
      </xdr:nvSpPr>
      <xdr:spPr>
        <a:xfrm>
          <a:off x="4144543" y="1798644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854547</xdr:colOff>
      <xdr:row>17</xdr:row>
      <xdr:rowOff>7941</xdr:rowOff>
    </xdr:from>
    <xdr:ext cx="355112" cy="181218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3E00-00000D000000}"/>
            </a:ext>
          </a:extLst>
        </xdr:cNvPr>
        <xdr:cNvSpPr txBox="1"/>
      </xdr:nvSpPr>
      <xdr:spPr>
        <a:xfrm>
          <a:off x="4598573" y="3031751"/>
          <a:ext cx="355112" cy="18121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9</xdr:col>
      <xdr:colOff>527792</xdr:colOff>
      <xdr:row>17</xdr:row>
      <xdr:rowOff>5497</xdr:rowOff>
    </xdr:from>
    <xdr:ext cx="346365" cy="164936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0000000-0008-0000-3E00-00000F000000}"/>
            </a:ext>
          </a:extLst>
        </xdr:cNvPr>
        <xdr:cNvSpPr txBox="1"/>
      </xdr:nvSpPr>
      <xdr:spPr>
        <a:xfrm>
          <a:off x="3700043" y="3029307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389522</xdr:colOff>
      <xdr:row>17</xdr:row>
      <xdr:rowOff>11848</xdr:rowOff>
    </xdr:from>
    <xdr:ext cx="339725" cy="174625"/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00000000-0008-0000-3E00-000010000000}"/>
            </a:ext>
          </a:extLst>
        </xdr:cNvPr>
        <xdr:cNvSpPr txBox="1"/>
      </xdr:nvSpPr>
      <xdr:spPr>
        <a:xfrm>
          <a:off x="4133548" y="3035658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1797861</xdr:colOff>
      <xdr:row>17</xdr:row>
      <xdr:rowOff>15633</xdr:rowOff>
    </xdr:from>
    <xdr:ext cx="385151" cy="152400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00000000-0008-0000-3E00-000015000000}"/>
            </a:ext>
          </a:extLst>
        </xdr:cNvPr>
        <xdr:cNvSpPr txBox="1"/>
      </xdr:nvSpPr>
      <xdr:spPr>
        <a:xfrm>
          <a:off x="5541887" y="3039443"/>
          <a:ext cx="385151" cy="152400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50M</a:t>
          </a:r>
        </a:p>
      </xdr:txBody>
    </xdr:sp>
    <xdr:clientData/>
  </xdr:oneCellAnchor>
  <xdr:oneCellAnchor>
    <xdr:from>
      <xdr:col>10</xdr:col>
      <xdr:colOff>1329680</xdr:colOff>
      <xdr:row>17</xdr:row>
      <xdr:rowOff>8792</xdr:rowOff>
    </xdr:from>
    <xdr:ext cx="365125" cy="161925"/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00000000-0008-0000-3E00-000017000000}"/>
            </a:ext>
          </a:extLst>
        </xdr:cNvPr>
        <xdr:cNvSpPr txBox="1"/>
      </xdr:nvSpPr>
      <xdr:spPr>
        <a:xfrm>
          <a:off x="5073706" y="3032602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120</xdr:row>
      <xdr:rowOff>28575</xdr:rowOff>
    </xdr:from>
    <xdr:to>
      <xdr:col>1</xdr:col>
      <xdr:colOff>175118</xdr:colOff>
      <xdr:row>123</xdr:row>
      <xdr:rowOff>114300</xdr:rowOff>
    </xdr:to>
    <xdr:sp macro="" textlink="">
      <xdr:nvSpPr>
        <xdr:cNvPr id="2" name="Texto 8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SpPr txBox="1">
          <a:spLocks noChangeArrowheads="1"/>
        </xdr:cNvSpPr>
      </xdr:nvSpPr>
      <xdr:spPr bwMode="auto">
        <a:xfrm>
          <a:off x="9525" y="237648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117</xdr:row>
      <xdr:rowOff>28575</xdr:rowOff>
    </xdr:from>
    <xdr:to>
      <xdr:col>1</xdr:col>
      <xdr:colOff>175118</xdr:colOff>
      <xdr:row>120</xdr:row>
      <xdr:rowOff>114300</xdr:rowOff>
    </xdr:to>
    <xdr:sp macro="" textlink="">
      <xdr:nvSpPr>
        <xdr:cNvPr id="3" name="Texto 20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SpPr txBox="1">
          <a:spLocks noChangeArrowheads="1"/>
        </xdr:cNvSpPr>
      </xdr:nvSpPr>
      <xdr:spPr bwMode="auto">
        <a:xfrm>
          <a:off x="9525" y="232314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120</xdr:row>
      <xdr:rowOff>28575</xdr:rowOff>
    </xdr:from>
    <xdr:to>
      <xdr:col>1</xdr:col>
      <xdr:colOff>175118</xdr:colOff>
      <xdr:row>123</xdr:row>
      <xdr:rowOff>114300</xdr:rowOff>
    </xdr:to>
    <xdr:sp macro="" textlink="">
      <xdr:nvSpPr>
        <xdr:cNvPr id="4" name="Texto 8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SpPr txBox="1">
          <a:spLocks noChangeArrowheads="1"/>
        </xdr:cNvSpPr>
      </xdr:nvSpPr>
      <xdr:spPr bwMode="auto">
        <a:xfrm>
          <a:off x="9525" y="237648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117</xdr:row>
      <xdr:rowOff>28575</xdr:rowOff>
    </xdr:from>
    <xdr:to>
      <xdr:col>1</xdr:col>
      <xdr:colOff>175118</xdr:colOff>
      <xdr:row>120</xdr:row>
      <xdr:rowOff>114300</xdr:rowOff>
    </xdr:to>
    <xdr:sp macro="" textlink="">
      <xdr:nvSpPr>
        <xdr:cNvPr id="5" name="Texto 20"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SpPr txBox="1">
          <a:spLocks noChangeArrowheads="1"/>
        </xdr:cNvSpPr>
      </xdr:nvSpPr>
      <xdr:spPr bwMode="auto">
        <a:xfrm>
          <a:off x="9525" y="232314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oneCellAnchor>
    <xdr:from>
      <xdr:col>11</xdr:col>
      <xdr:colOff>377119</xdr:colOff>
      <xdr:row>2</xdr:row>
      <xdr:rowOff>147675</xdr:rowOff>
    </xdr:from>
    <xdr:ext cx="361254" cy="191978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SpPr txBox="1"/>
      </xdr:nvSpPr>
      <xdr:spPr>
        <a:xfrm>
          <a:off x="6155619" y="541375"/>
          <a:ext cx="361254" cy="19197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400</a:t>
          </a:r>
        </a:p>
      </xdr:txBody>
    </xdr:sp>
    <xdr:clientData/>
  </xdr:oneCellAnchor>
  <xdr:oneCellAnchor>
    <xdr:from>
      <xdr:col>13</xdr:col>
      <xdr:colOff>0</xdr:colOff>
      <xdr:row>3</xdr:row>
      <xdr:rowOff>0</xdr:rowOff>
    </xdr:from>
    <xdr:ext cx="339651" cy="187054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SpPr txBox="1"/>
      </xdr:nvSpPr>
      <xdr:spPr>
        <a:xfrm>
          <a:off x="6489700" y="571500"/>
          <a:ext cx="339651" cy="18705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13</xdr:col>
      <xdr:colOff>421721</xdr:colOff>
      <xdr:row>2</xdr:row>
      <xdr:rowOff>140199</xdr:rowOff>
    </xdr:from>
    <xdr:ext cx="355600" cy="165588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3F00-000008000000}"/>
            </a:ext>
          </a:extLst>
        </xdr:cNvPr>
        <xdr:cNvSpPr txBox="1"/>
      </xdr:nvSpPr>
      <xdr:spPr>
        <a:xfrm>
          <a:off x="6839274" y="532008"/>
          <a:ext cx="355600" cy="16558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11</xdr:col>
      <xdr:colOff>335027</xdr:colOff>
      <xdr:row>4</xdr:row>
      <xdr:rowOff>8386</xdr:rowOff>
    </xdr:from>
    <xdr:ext cx="365125" cy="161925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SpPr txBox="1"/>
      </xdr:nvSpPr>
      <xdr:spPr>
        <a:xfrm>
          <a:off x="6043272" y="751471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400</a:t>
          </a:r>
        </a:p>
      </xdr:txBody>
    </xdr:sp>
    <xdr:clientData/>
  </xdr:oneCellAnchor>
  <xdr:oneCellAnchor>
    <xdr:from>
      <xdr:col>15</xdr:col>
      <xdr:colOff>682607</xdr:colOff>
      <xdr:row>2</xdr:row>
      <xdr:rowOff>158577</xdr:rowOff>
    </xdr:from>
    <xdr:ext cx="348627" cy="152898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3F00-00000A000000}"/>
            </a:ext>
          </a:extLst>
        </xdr:cNvPr>
        <xdr:cNvSpPr txBox="1"/>
      </xdr:nvSpPr>
      <xdr:spPr>
        <a:xfrm>
          <a:off x="7863511" y="550386"/>
          <a:ext cx="348627" cy="15289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s-ES_tradnl" sz="800" b="1"/>
        </a:p>
      </xdr:txBody>
    </xdr:sp>
    <xdr:clientData/>
  </xdr:oneCellAnchor>
  <xdr:oneCellAnchor>
    <xdr:from>
      <xdr:col>15</xdr:col>
      <xdr:colOff>245145</xdr:colOff>
      <xdr:row>2</xdr:row>
      <xdr:rowOff>100924</xdr:rowOff>
    </xdr:from>
    <xdr:ext cx="339725" cy="174625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00000000-0008-0000-3F00-00000B000000}"/>
            </a:ext>
          </a:extLst>
        </xdr:cNvPr>
        <xdr:cNvSpPr txBox="1"/>
      </xdr:nvSpPr>
      <xdr:spPr>
        <a:xfrm>
          <a:off x="7426049" y="492733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854547</xdr:colOff>
      <xdr:row>19</xdr:row>
      <xdr:rowOff>7941</xdr:rowOff>
    </xdr:from>
    <xdr:ext cx="355112" cy="181218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3F00-00000C000000}"/>
            </a:ext>
          </a:extLst>
        </xdr:cNvPr>
        <xdr:cNvSpPr txBox="1"/>
      </xdr:nvSpPr>
      <xdr:spPr>
        <a:xfrm>
          <a:off x="4334347" y="3462341"/>
          <a:ext cx="355112" cy="18121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9</xdr:col>
      <xdr:colOff>527792</xdr:colOff>
      <xdr:row>19</xdr:row>
      <xdr:rowOff>5497</xdr:rowOff>
    </xdr:from>
    <xdr:ext cx="346365" cy="164936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3F00-00000D000000}"/>
            </a:ext>
          </a:extLst>
        </xdr:cNvPr>
        <xdr:cNvSpPr txBox="1"/>
      </xdr:nvSpPr>
      <xdr:spPr>
        <a:xfrm>
          <a:off x="3436092" y="3459897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389522</xdr:colOff>
      <xdr:row>19</xdr:row>
      <xdr:rowOff>11848</xdr:rowOff>
    </xdr:from>
    <xdr:ext cx="339725" cy="174625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3F00-00000E000000}"/>
            </a:ext>
          </a:extLst>
        </xdr:cNvPr>
        <xdr:cNvSpPr txBox="1"/>
      </xdr:nvSpPr>
      <xdr:spPr>
        <a:xfrm>
          <a:off x="3869322" y="3466248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1797861</xdr:colOff>
      <xdr:row>19</xdr:row>
      <xdr:rowOff>15633</xdr:rowOff>
    </xdr:from>
    <xdr:ext cx="385151" cy="152400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0000000-0008-0000-3F00-00000F000000}"/>
            </a:ext>
          </a:extLst>
        </xdr:cNvPr>
        <xdr:cNvSpPr txBox="1"/>
      </xdr:nvSpPr>
      <xdr:spPr>
        <a:xfrm>
          <a:off x="5277661" y="3470033"/>
          <a:ext cx="385151" cy="152400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50M</a:t>
          </a:r>
        </a:p>
      </xdr:txBody>
    </xdr:sp>
    <xdr:clientData/>
  </xdr:oneCellAnchor>
  <xdr:oneCellAnchor>
    <xdr:from>
      <xdr:col>10</xdr:col>
      <xdr:colOff>1329680</xdr:colOff>
      <xdr:row>19</xdr:row>
      <xdr:rowOff>8792</xdr:rowOff>
    </xdr:from>
    <xdr:ext cx="365125" cy="161925"/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00000000-0008-0000-3F00-000010000000}"/>
            </a:ext>
          </a:extLst>
        </xdr:cNvPr>
        <xdr:cNvSpPr txBox="1"/>
      </xdr:nvSpPr>
      <xdr:spPr>
        <a:xfrm>
          <a:off x="4809480" y="3463192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twoCellAnchor>
    <xdr:from>
      <xdr:col>10</xdr:col>
      <xdr:colOff>1947906</xdr:colOff>
      <xdr:row>52</xdr:row>
      <xdr:rowOff>70913</xdr:rowOff>
    </xdr:from>
    <xdr:to>
      <xdr:col>13</xdr:col>
      <xdr:colOff>167618</xdr:colOff>
      <xdr:row>58</xdr:row>
      <xdr:rowOff>111554</xdr:rowOff>
    </xdr:to>
    <xdr:cxnSp macro="">
      <xdr:nvCxnSpPr>
        <xdr:cNvPr id="17" name="Conector angular 16">
          <a:extLst>
            <a:ext uri="{FF2B5EF4-FFF2-40B4-BE49-F238E27FC236}">
              <a16:creationId xmlns:a16="http://schemas.microsoft.com/office/drawing/2014/main" id="{00000000-0008-0000-3F00-000011000000}"/>
            </a:ext>
          </a:extLst>
        </xdr:cNvPr>
        <xdr:cNvCxnSpPr/>
      </xdr:nvCxnSpPr>
      <xdr:spPr bwMode="auto">
        <a:xfrm rot="10800000" flipV="1">
          <a:off x="5427706" y="9938813"/>
          <a:ext cx="1229612" cy="1107441"/>
        </a:xfrm>
        <a:prstGeom prst="bentConnector3">
          <a:avLst>
            <a:gd name="adj1" fmla="val 10288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7000"/>
          </a:srgbClr>
        </a:solidFill>
        <a:ln w="349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10</xdr:col>
      <xdr:colOff>854547</xdr:colOff>
      <xdr:row>37</xdr:row>
      <xdr:rowOff>7941</xdr:rowOff>
    </xdr:from>
    <xdr:ext cx="355112" cy="181218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00000000-0008-0000-3F00-000012000000}"/>
            </a:ext>
          </a:extLst>
        </xdr:cNvPr>
        <xdr:cNvSpPr txBox="1"/>
      </xdr:nvSpPr>
      <xdr:spPr>
        <a:xfrm>
          <a:off x="4249201" y="3969702"/>
          <a:ext cx="355112" cy="18121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9</xdr:col>
      <xdr:colOff>527792</xdr:colOff>
      <xdr:row>37</xdr:row>
      <xdr:rowOff>5497</xdr:rowOff>
    </xdr:from>
    <xdr:ext cx="346365" cy="164936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00000000-0008-0000-3F00-000013000000}"/>
            </a:ext>
          </a:extLst>
        </xdr:cNvPr>
        <xdr:cNvSpPr txBox="1"/>
      </xdr:nvSpPr>
      <xdr:spPr>
        <a:xfrm>
          <a:off x="3347352" y="3967258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389522</xdr:colOff>
      <xdr:row>37</xdr:row>
      <xdr:rowOff>11848</xdr:rowOff>
    </xdr:from>
    <xdr:ext cx="339725" cy="174625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00000000-0008-0000-3F00-000014000000}"/>
            </a:ext>
          </a:extLst>
        </xdr:cNvPr>
        <xdr:cNvSpPr txBox="1"/>
      </xdr:nvSpPr>
      <xdr:spPr>
        <a:xfrm>
          <a:off x="3784176" y="3973609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1797861</xdr:colOff>
      <xdr:row>37</xdr:row>
      <xdr:rowOff>15633</xdr:rowOff>
    </xdr:from>
    <xdr:ext cx="385151" cy="152400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00000000-0008-0000-3F00-000015000000}"/>
            </a:ext>
          </a:extLst>
        </xdr:cNvPr>
        <xdr:cNvSpPr txBox="1"/>
      </xdr:nvSpPr>
      <xdr:spPr>
        <a:xfrm>
          <a:off x="5192515" y="3977394"/>
          <a:ext cx="385151" cy="152400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50M</a:t>
          </a:r>
        </a:p>
      </xdr:txBody>
    </xdr:sp>
    <xdr:clientData/>
  </xdr:oneCellAnchor>
  <xdr:oneCellAnchor>
    <xdr:from>
      <xdr:col>10</xdr:col>
      <xdr:colOff>1329680</xdr:colOff>
      <xdr:row>37</xdr:row>
      <xdr:rowOff>8792</xdr:rowOff>
    </xdr:from>
    <xdr:ext cx="365125" cy="161925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00000000-0008-0000-3F00-000016000000}"/>
            </a:ext>
          </a:extLst>
        </xdr:cNvPr>
        <xdr:cNvSpPr txBox="1"/>
      </xdr:nvSpPr>
      <xdr:spPr>
        <a:xfrm>
          <a:off x="4724334" y="3970553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twoCellAnchor editAs="oneCell">
    <xdr:from>
      <xdr:col>6</xdr:col>
      <xdr:colOff>322818</xdr:colOff>
      <xdr:row>51</xdr:row>
      <xdr:rowOff>85429</xdr:rowOff>
    </xdr:from>
    <xdr:to>
      <xdr:col>7</xdr:col>
      <xdr:colOff>46620</xdr:colOff>
      <xdr:row>51</xdr:row>
      <xdr:rowOff>163189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00000000-0008-0000-3F00-000018000000}"/>
                </a:ext>
              </a:extLst>
            </xdr14:cNvPr>
            <xdr14:cNvContentPartPr/>
          </xdr14:nvContentPartPr>
          <xdr14:nvPr macro=""/>
          <xdr14:xfrm>
            <a:off x="1534610" y="10398887"/>
            <a:ext cx="194760" cy="7776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B0D23A82-2465-FD4F-8B01-C5003C46921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25610" y="10389887"/>
              <a:ext cx="212400" cy="9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548890</xdr:colOff>
      <xdr:row>62</xdr:row>
      <xdr:rowOff>47178</xdr:rowOff>
    </xdr:from>
    <xdr:to>
      <xdr:col>7</xdr:col>
      <xdr:colOff>549250</xdr:colOff>
      <xdr:row>62</xdr:row>
      <xdr:rowOff>47538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00000000-0008-0000-3F00-000019000000}"/>
                </a:ext>
              </a:extLst>
            </xdr14:cNvPr>
            <xdr14:cNvContentPartPr/>
          </xdr14:nvContentPartPr>
          <xdr14:nvPr macro=""/>
          <xdr14:xfrm>
            <a:off x="2231640" y="12339720"/>
            <a:ext cx="360" cy="36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01629AF6-2573-A841-9615-44F7B6C5C614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222640" y="12331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213212</xdr:colOff>
      <xdr:row>51</xdr:row>
      <xdr:rowOff>135182</xdr:rowOff>
    </xdr:from>
    <xdr:to>
      <xdr:col>7</xdr:col>
      <xdr:colOff>135250</xdr:colOff>
      <xdr:row>52</xdr:row>
      <xdr:rowOff>163705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6" name="Entrada de lápiz 25">
              <a:extLst>
                <a:ext uri="{FF2B5EF4-FFF2-40B4-BE49-F238E27FC236}">
                  <a16:creationId xmlns:a16="http://schemas.microsoft.com/office/drawing/2014/main" id="{00000000-0008-0000-3F00-00001A000000}"/>
                </a:ext>
              </a:extLst>
            </xdr14:cNvPr>
            <xdr14:cNvContentPartPr/>
          </xdr14:nvContentPartPr>
          <xdr14:nvPr macro=""/>
          <xdr14:xfrm>
            <a:off x="1096920" y="10448640"/>
            <a:ext cx="721080" cy="208440"/>
          </xdr14:xfrm>
        </xdr:contentPart>
      </mc:Choice>
      <mc:Fallback xmlns="">
        <xdr:pic>
          <xdr:nvPicPr>
            <xdr:cNvPr id="26" name="Entrada de lápiz 25">
              <a:extLst>
                <a:ext uri="{FF2B5EF4-FFF2-40B4-BE49-F238E27FC236}">
                  <a16:creationId xmlns:a16="http://schemas.microsoft.com/office/drawing/2014/main" id="{0ADE5416-A5F4-8048-8AB1-E15A08348A9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87920" y="10439640"/>
              <a:ext cx="738720" cy="2260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322818</xdr:colOff>
      <xdr:row>56</xdr:row>
      <xdr:rowOff>85429</xdr:rowOff>
    </xdr:from>
    <xdr:ext cx="194760" cy="777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00000000-0008-0000-3F00-00001B000000}"/>
                </a:ext>
              </a:extLst>
            </xdr14:cNvPr>
            <xdr14:cNvContentPartPr/>
          </xdr14:nvContentPartPr>
          <xdr14:nvPr macro=""/>
          <xdr14:xfrm>
            <a:off x="1534610" y="10398887"/>
            <a:ext cx="194760" cy="77760"/>
          </xdr14:xfrm>
        </xdr:contentPart>
      </mc:Choice>
      <mc:Fallback xmlns=""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1094BA31-1DDE-0A43-92B4-28C60EBC1CB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25610" y="10389887"/>
              <a:ext cx="212400" cy="954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4</xdr:col>
      <xdr:colOff>145048</xdr:colOff>
      <xdr:row>56</xdr:row>
      <xdr:rowOff>137208</xdr:rowOff>
    </xdr:from>
    <xdr:to>
      <xdr:col>7</xdr:col>
      <xdr:colOff>536793</xdr:colOff>
      <xdr:row>58</xdr:row>
      <xdr:rowOff>104829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00000000-0008-0000-3F00-00001D000000}"/>
                </a:ext>
              </a:extLst>
            </xdr14:cNvPr>
            <xdr14:cNvContentPartPr/>
          </xdr14:nvContentPartPr>
          <xdr14:nvPr macro=""/>
          <xdr14:xfrm>
            <a:off x="776520" y="11182680"/>
            <a:ext cx="1432440" cy="320400"/>
          </xdr14:xfrm>
        </xdr:contentPart>
      </mc:Choice>
      <mc:Fallback xmlns=""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2C5A6FD8-663A-EA46-9DF5-15497F0A2830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67520" y="11174040"/>
              <a:ext cx="1450080" cy="33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160348</xdr:colOff>
      <xdr:row>60</xdr:row>
      <xdr:rowOff>148772</xdr:rowOff>
    </xdr:from>
    <xdr:to>
      <xdr:col>6</xdr:col>
      <xdr:colOff>160708</xdr:colOff>
      <xdr:row>60</xdr:row>
      <xdr:rowOff>149132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0" name="Entrada de lápiz 29">
              <a:extLst>
                <a:ext uri="{FF2B5EF4-FFF2-40B4-BE49-F238E27FC236}">
                  <a16:creationId xmlns:a16="http://schemas.microsoft.com/office/drawing/2014/main" id="{00000000-0008-0000-3F00-00001E000000}"/>
                </a:ext>
              </a:extLst>
            </xdr14:cNvPr>
            <xdr14:cNvContentPartPr/>
          </xdr14:nvContentPartPr>
          <xdr14:nvPr macro=""/>
          <xdr14:xfrm>
            <a:off x="1363320" y="11899800"/>
            <a:ext cx="360" cy="360"/>
          </xdr14:xfrm>
        </xdr:contentPart>
      </mc:Choice>
      <mc:Fallback xmlns="">
        <xdr:pic>
          <xdr:nvPicPr>
            <xdr:cNvPr id="30" name="Entrada de lápiz 29">
              <a:extLst>
                <a:ext uri="{FF2B5EF4-FFF2-40B4-BE49-F238E27FC236}">
                  <a16:creationId xmlns:a16="http://schemas.microsoft.com/office/drawing/2014/main" id="{E64A635F-CDA5-D140-8665-4389CFFF312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354680" y="118908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380733</xdr:colOff>
      <xdr:row>57</xdr:row>
      <xdr:rowOff>69899</xdr:rowOff>
    </xdr:from>
    <xdr:to>
      <xdr:col>10</xdr:col>
      <xdr:colOff>381093</xdr:colOff>
      <xdr:row>57</xdr:row>
      <xdr:rowOff>70259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00000000-0008-0000-3F00-000022000000}"/>
                </a:ext>
              </a:extLst>
            </xdr14:cNvPr>
            <xdr14:cNvContentPartPr/>
          </xdr14:nvContentPartPr>
          <xdr14:nvPr macro=""/>
          <xdr14:xfrm>
            <a:off x="3767400" y="11291760"/>
            <a:ext cx="360" cy="36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D01FE677-651A-DD4F-AC62-73CAA1EBB78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758760" y="11283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380100</xdr:colOff>
      <xdr:row>56</xdr:row>
      <xdr:rowOff>159460</xdr:rowOff>
    </xdr:from>
    <xdr:to>
      <xdr:col>10</xdr:col>
      <xdr:colOff>1928460</xdr:colOff>
      <xdr:row>57</xdr:row>
      <xdr:rowOff>106220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00000000-0008-0000-3F00-000023000000}"/>
                </a:ext>
              </a:extLst>
            </xdr14:cNvPr>
            <xdr14:cNvContentPartPr/>
          </xdr14:nvContentPartPr>
          <xdr14:nvPr macro=""/>
          <xdr14:xfrm>
            <a:off x="3771000" y="11271960"/>
            <a:ext cx="1548360" cy="124560"/>
          </xdr14:xfrm>
        </xdr:contentPart>
      </mc:Choice>
      <mc:Fallback xmlns=""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898FEBCF-5101-7845-8965-09484E43A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762360" y="11262960"/>
              <a:ext cx="156600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360300</xdr:colOff>
      <xdr:row>57</xdr:row>
      <xdr:rowOff>56900</xdr:rowOff>
    </xdr:from>
    <xdr:to>
      <xdr:col>10</xdr:col>
      <xdr:colOff>1943220</xdr:colOff>
      <xdr:row>58</xdr:row>
      <xdr:rowOff>12299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00000000-0008-0000-3F00-000024000000}"/>
                </a:ext>
              </a:extLst>
            </xdr14:cNvPr>
            <xdr14:cNvContentPartPr/>
          </xdr14:nvContentPartPr>
          <xdr14:nvPr macro=""/>
          <xdr14:xfrm>
            <a:off x="3751200" y="11347200"/>
            <a:ext cx="1582920" cy="133200"/>
          </xdr14:xfrm>
        </xdr:contentPart>
      </mc:Choice>
      <mc:Fallback xmlns=""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9572B831-F3A3-1348-A2B1-8A62154E11C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742560" y="11338200"/>
              <a:ext cx="1600560" cy="1508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108</xdr:row>
      <xdr:rowOff>28575</xdr:rowOff>
    </xdr:from>
    <xdr:to>
      <xdr:col>1</xdr:col>
      <xdr:colOff>175118</xdr:colOff>
      <xdr:row>111</xdr:row>
      <xdr:rowOff>114300</xdr:rowOff>
    </xdr:to>
    <xdr:sp macro="" textlink="">
      <xdr:nvSpPr>
        <xdr:cNvPr id="2" name="Texto 8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SpPr txBox="1">
          <a:spLocks noChangeArrowheads="1"/>
        </xdr:cNvSpPr>
      </xdr:nvSpPr>
      <xdr:spPr bwMode="auto">
        <a:xfrm>
          <a:off x="9525" y="219995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105</xdr:row>
      <xdr:rowOff>28575</xdr:rowOff>
    </xdr:from>
    <xdr:to>
      <xdr:col>1</xdr:col>
      <xdr:colOff>175118</xdr:colOff>
      <xdr:row>108</xdr:row>
      <xdr:rowOff>114300</xdr:rowOff>
    </xdr:to>
    <xdr:sp macro="" textlink="">
      <xdr:nvSpPr>
        <xdr:cNvPr id="3" name="Texto 20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SpPr txBox="1">
          <a:spLocks noChangeArrowheads="1"/>
        </xdr:cNvSpPr>
      </xdr:nvSpPr>
      <xdr:spPr bwMode="auto">
        <a:xfrm>
          <a:off x="9525" y="214661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108</xdr:row>
      <xdr:rowOff>28575</xdr:rowOff>
    </xdr:from>
    <xdr:to>
      <xdr:col>1</xdr:col>
      <xdr:colOff>175118</xdr:colOff>
      <xdr:row>111</xdr:row>
      <xdr:rowOff>114300</xdr:rowOff>
    </xdr:to>
    <xdr:sp macro="" textlink="">
      <xdr:nvSpPr>
        <xdr:cNvPr id="4" name="Texto 8">
          <a:extLst>
            <a:ext uri="{FF2B5EF4-FFF2-40B4-BE49-F238E27FC236}">
              <a16:creationId xmlns:a16="http://schemas.microsoft.com/office/drawing/2014/main" id="{00000000-0008-0000-4000-000004000000}"/>
            </a:ext>
          </a:extLst>
        </xdr:cNvPr>
        <xdr:cNvSpPr txBox="1">
          <a:spLocks noChangeArrowheads="1"/>
        </xdr:cNvSpPr>
      </xdr:nvSpPr>
      <xdr:spPr bwMode="auto">
        <a:xfrm>
          <a:off x="9525" y="219995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105</xdr:row>
      <xdr:rowOff>28575</xdr:rowOff>
    </xdr:from>
    <xdr:to>
      <xdr:col>1</xdr:col>
      <xdr:colOff>175118</xdr:colOff>
      <xdr:row>108</xdr:row>
      <xdr:rowOff>114300</xdr:rowOff>
    </xdr:to>
    <xdr:sp macro="" textlink="">
      <xdr:nvSpPr>
        <xdr:cNvPr id="5" name="Texto 20">
          <a:extLst>
            <a:ext uri="{FF2B5EF4-FFF2-40B4-BE49-F238E27FC236}">
              <a16:creationId xmlns:a16="http://schemas.microsoft.com/office/drawing/2014/main" id="{00000000-0008-0000-4000-000005000000}"/>
            </a:ext>
          </a:extLst>
        </xdr:cNvPr>
        <xdr:cNvSpPr txBox="1">
          <a:spLocks noChangeArrowheads="1"/>
        </xdr:cNvSpPr>
      </xdr:nvSpPr>
      <xdr:spPr bwMode="auto">
        <a:xfrm>
          <a:off x="9525" y="214661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oneCellAnchor>
    <xdr:from>
      <xdr:col>11</xdr:col>
      <xdr:colOff>377119</xdr:colOff>
      <xdr:row>2</xdr:row>
      <xdr:rowOff>147675</xdr:rowOff>
    </xdr:from>
    <xdr:ext cx="361254" cy="191978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4000-000006000000}"/>
            </a:ext>
          </a:extLst>
        </xdr:cNvPr>
        <xdr:cNvSpPr txBox="1"/>
      </xdr:nvSpPr>
      <xdr:spPr>
        <a:xfrm>
          <a:off x="6066719" y="541375"/>
          <a:ext cx="361254" cy="19197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400</a:t>
          </a:r>
        </a:p>
      </xdr:txBody>
    </xdr:sp>
    <xdr:clientData/>
  </xdr:oneCellAnchor>
  <xdr:oneCellAnchor>
    <xdr:from>
      <xdr:col>13</xdr:col>
      <xdr:colOff>0</xdr:colOff>
      <xdr:row>3</xdr:row>
      <xdr:rowOff>0</xdr:rowOff>
    </xdr:from>
    <xdr:ext cx="339651" cy="187054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00000000-0008-0000-4000-000007000000}"/>
            </a:ext>
          </a:extLst>
        </xdr:cNvPr>
        <xdr:cNvSpPr txBox="1"/>
      </xdr:nvSpPr>
      <xdr:spPr>
        <a:xfrm>
          <a:off x="6400800" y="571500"/>
          <a:ext cx="339651" cy="18705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13</xdr:col>
      <xdr:colOff>421721</xdr:colOff>
      <xdr:row>2</xdr:row>
      <xdr:rowOff>140199</xdr:rowOff>
    </xdr:from>
    <xdr:ext cx="355600" cy="165588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4000-000008000000}"/>
            </a:ext>
          </a:extLst>
        </xdr:cNvPr>
        <xdr:cNvSpPr txBox="1"/>
      </xdr:nvSpPr>
      <xdr:spPr>
        <a:xfrm>
          <a:off x="6822521" y="533899"/>
          <a:ext cx="355600" cy="16558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11</xdr:col>
      <xdr:colOff>335027</xdr:colOff>
      <xdr:row>4</xdr:row>
      <xdr:rowOff>8386</xdr:rowOff>
    </xdr:from>
    <xdr:ext cx="365125" cy="161925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4000-000009000000}"/>
            </a:ext>
          </a:extLst>
        </xdr:cNvPr>
        <xdr:cNvSpPr txBox="1"/>
      </xdr:nvSpPr>
      <xdr:spPr>
        <a:xfrm>
          <a:off x="6024627" y="757686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400</a:t>
          </a:r>
        </a:p>
      </xdr:txBody>
    </xdr:sp>
    <xdr:clientData/>
  </xdr:oneCellAnchor>
  <xdr:oneCellAnchor>
    <xdr:from>
      <xdr:col>15</xdr:col>
      <xdr:colOff>682607</xdr:colOff>
      <xdr:row>2</xdr:row>
      <xdr:rowOff>158577</xdr:rowOff>
    </xdr:from>
    <xdr:ext cx="348627" cy="152898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4000-00000A000000}"/>
            </a:ext>
          </a:extLst>
        </xdr:cNvPr>
        <xdr:cNvSpPr txBox="1"/>
      </xdr:nvSpPr>
      <xdr:spPr>
        <a:xfrm>
          <a:off x="7845407" y="552277"/>
          <a:ext cx="348627" cy="15289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s-ES_tradnl" sz="800" b="1"/>
        </a:p>
      </xdr:txBody>
    </xdr:sp>
    <xdr:clientData/>
  </xdr:oneCellAnchor>
  <xdr:oneCellAnchor>
    <xdr:from>
      <xdr:col>15</xdr:col>
      <xdr:colOff>245145</xdr:colOff>
      <xdr:row>2</xdr:row>
      <xdr:rowOff>100924</xdr:rowOff>
    </xdr:from>
    <xdr:ext cx="339725" cy="174625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00000000-0008-0000-4000-00000B000000}"/>
            </a:ext>
          </a:extLst>
        </xdr:cNvPr>
        <xdr:cNvSpPr txBox="1"/>
      </xdr:nvSpPr>
      <xdr:spPr>
        <a:xfrm>
          <a:off x="7407945" y="494624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19792</xdr:colOff>
      <xdr:row>16</xdr:row>
      <xdr:rowOff>8672</xdr:rowOff>
    </xdr:from>
    <xdr:ext cx="346365" cy="164936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4000-00000D000000}"/>
            </a:ext>
          </a:extLst>
        </xdr:cNvPr>
        <xdr:cNvSpPr txBox="1"/>
      </xdr:nvSpPr>
      <xdr:spPr>
        <a:xfrm>
          <a:off x="3474192" y="3678972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389522</xdr:colOff>
      <xdr:row>16</xdr:row>
      <xdr:rowOff>11848</xdr:rowOff>
    </xdr:from>
    <xdr:ext cx="339725" cy="174625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4000-00000E000000}"/>
            </a:ext>
          </a:extLst>
        </xdr:cNvPr>
        <xdr:cNvSpPr txBox="1"/>
      </xdr:nvSpPr>
      <xdr:spPr>
        <a:xfrm>
          <a:off x="3780422" y="3999648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854547</xdr:colOff>
      <xdr:row>30</xdr:row>
      <xdr:rowOff>7941</xdr:rowOff>
    </xdr:from>
    <xdr:ext cx="362352" cy="160212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00000000-0008-0000-4000-000012000000}"/>
            </a:ext>
          </a:extLst>
        </xdr:cNvPr>
        <xdr:cNvSpPr txBox="1"/>
      </xdr:nvSpPr>
      <xdr:spPr>
        <a:xfrm>
          <a:off x="4310540" y="6871251"/>
          <a:ext cx="362352" cy="160212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25700</xdr:colOff>
      <xdr:row>30</xdr:row>
      <xdr:rowOff>12880</xdr:rowOff>
    </xdr:from>
    <xdr:ext cx="346365" cy="164936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00000000-0008-0000-4000-000013000000}"/>
            </a:ext>
          </a:extLst>
        </xdr:cNvPr>
        <xdr:cNvSpPr txBox="1"/>
      </xdr:nvSpPr>
      <xdr:spPr>
        <a:xfrm>
          <a:off x="3481281" y="6879740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442624</xdr:colOff>
      <xdr:row>30</xdr:row>
      <xdr:rowOff>2998</xdr:rowOff>
    </xdr:from>
    <xdr:ext cx="340617" cy="174625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00000000-0008-0000-4000-000014000000}"/>
            </a:ext>
          </a:extLst>
        </xdr:cNvPr>
        <xdr:cNvSpPr txBox="1"/>
      </xdr:nvSpPr>
      <xdr:spPr>
        <a:xfrm>
          <a:off x="3898617" y="6866308"/>
          <a:ext cx="340617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1792161</xdr:colOff>
      <xdr:row>30</xdr:row>
      <xdr:rowOff>8849</xdr:rowOff>
    </xdr:from>
    <xdr:ext cx="398257" cy="159303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00000000-0008-0000-4000-000015000000}"/>
            </a:ext>
          </a:extLst>
        </xdr:cNvPr>
        <xdr:cNvSpPr txBox="1"/>
      </xdr:nvSpPr>
      <xdr:spPr>
        <a:xfrm>
          <a:off x="5248154" y="6872159"/>
          <a:ext cx="398257" cy="159303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50M</a:t>
          </a:r>
        </a:p>
      </xdr:txBody>
    </xdr:sp>
    <xdr:clientData/>
  </xdr:oneCellAnchor>
  <xdr:oneCellAnchor>
    <xdr:from>
      <xdr:col>10</xdr:col>
      <xdr:colOff>1329680</xdr:colOff>
      <xdr:row>30</xdr:row>
      <xdr:rowOff>8792</xdr:rowOff>
    </xdr:from>
    <xdr:ext cx="365125" cy="161925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00000000-0008-0000-4000-000016000000}"/>
            </a:ext>
          </a:extLst>
        </xdr:cNvPr>
        <xdr:cNvSpPr txBox="1"/>
      </xdr:nvSpPr>
      <xdr:spPr>
        <a:xfrm>
          <a:off x="4720580" y="7209692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twoCellAnchor editAs="oneCell">
    <xdr:from>
      <xdr:col>6</xdr:col>
      <xdr:colOff>322818</xdr:colOff>
      <xdr:row>44</xdr:row>
      <xdr:rowOff>0</xdr:rowOff>
    </xdr:from>
    <xdr:to>
      <xdr:col>7</xdr:col>
      <xdr:colOff>198365</xdr:colOff>
      <xdr:row>44</xdr:row>
      <xdr:rowOff>77760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00000000-0008-0000-4000-000017000000}"/>
                </a:ext>
              </a:extLst>
            </xdr14:cNvPr>
            <xdr14:cNvContentPartPr/>
          </xdr14:nvContentPartPr>
          <xdr14:nvPr macro=""/>
          <xdr14:xfrm>
            <a:off x="1534610" y="10398887"/>
            <a:ext cx="194760" cy="7776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B0D23A82-2465-FD4F-8B01-C5003C46921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25610" y="10389887"/>
              <a:ext cx="212400" cy="9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548890</xdr:colOff>
      <xdr:row>50</xdr:row>
      <xdr:rowOff>47178</xdr:rowOff>
    </xdr:from>
    <xdr:to>
      <xdr:col>7</xdr:col>
      <xdr:colOff>549250</xdr:colOff>
      <xdr:row>50</xdr:row>
      <xdr:rowOff>47538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00000000-0008-0000-4000-000018000000}"/>
                </a:ext>
              </a:extLst>
            </xdr14:cNvPr>
            <xdr14:cNvContentPartPr/>
          </xdr14:nvContentPartPr>
          <xdr14:nvPr macro=""/>
          <xdr14:xfrm>
            <a:off x="2231640" y="12339720"/>
            <a:ext cx="360" cy="36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01629AF6-2573-A841-9615-44F7B6C5C614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222640" y="12331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322818</xdr:colOff>
      <xdr:row>44</xdr:row>
      <xdr:rowOff>85429</xdr:rowOff>
    </xdr:from>
    <xdr:ext cx="194760" cy="777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6" name="Entrada de lápiz 25">
              <a:extLst>
                <a:ext uri="{FF2B5EF4-FFF2-40B4-BE49-F238E27FC236}">
                  <a16:creationId xmlns:a16="http://schemas.microsoft.com/office/drawing/2014/main" id="{00000000-0008-0000-4000-00001A000000}"/>
                </a:ext>
              </a:extLst>
            </xdr14:cNvPr>
            <xdr14:cNvContentPartPr/>
          </xdr14:nvContentPartPr>
          <xdr14:nvPr macro=""/>
          <xdr14:xfrm>
            <a:off x="1534610" y="10398887"/>
            <a:ext cx="194760" cy="77760"/>
          </xdr14:xfrm>
        </xdr:contentPart>
      </mc:Choice>
      <mc:Fallback xmlns=""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1094BA31-1DDE-0A43-92B4-28C60EBC1CB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25610" y="10389887"/>
              <a:ext cx="212400" cy="954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6</xdr:col>
      <xdr:colOff>160348</xdr:colOff>
      <xdr:row>48</xdr:row>
      <xdr:rowOff>148772</xdr:rowOff>
    </xdr:from>
    <xdr:to>
      <xdr:col>6</xdr:col>
      <xdr:colOff>160708</xdr:colOff>
      <xdr:row>48</xdr:row>
      <xdr:rowOff>149132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00000000-0008-0000-4000-00001C000000}"/>
                </a:ext>
              </a:extLst>
            </xdr14:cNvPr>
            <xdr14:cNvContentPartPr/>
          </xdr14:nvContentPartPr>
          <xdr14:nvPr macro=""/>
          <xdr14:xfrm>
            <a:off x="1363320" y="11899800"/>
            <a:ext cx="360" cy="360"/>
          </xdr14:xfrm>
        </xdr:contentPart>
      </mc:Choice>
      <mc:Fallback xmlns="">
        <xdr:pic>
          <xdr:nvPicPr>
            <xdr:cNvPr id="30" name="Entrada de lápiz 29">
              <a:extLst>
                <a:ext uri="{FF2B5EF4-FFF2-40B4-BE49-F238E27FC236}">
                  <a16:creationId xmlns:a16="http://schemas.microsoft.com/office/drawing/2014/main" id="{E64A635F-CDA5-D140-8665-4389CFFF312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354680" y="118908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380733</xdr:colOff>
      <xdr:row>45</xdr:row>
      <xdr:rowOff>69899</xdr:rowOff>
    </xdr:from>
    <xdr:to>
      <xdr:col>10</xdr:col>
      <xdr:colOff>381093</xdr:colOff>
      <xdr:row>45</xdr:row>
      <xdr:rowOff>70259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00000000-0008-0000-4000-00001D000000}"/>
                </a:ext>
              </a:extLst>
            </xdr14:cNvPr>
            <xdr14:cNvContentPartPr/>
          </xdr14:nvContentPartPr>
          <xdr14:nvPr macro=""/>
          <xdr14:xfrm>
            <a:off x="3767400" y="11291760"/>
            <a:ext cx="360" cy="36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D01FE677-651A-DD4F-AC62-73CAA1EBB78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758760" y="11283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380100</xdr:colOff>
      <xdr:row>44</xdr:row>
      <xdr:rowOff>159460</xdr:rowOff>
    </xdr:from>
    <xdr:to>
      <xdr:col>10</xdr:col>
      <xdr:colOff>2030060</xdr:colOff>
      <xdr:row>45</xdr:row>
      <xdr:rowOff>118923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30" name="Entrada de lápiz 29">
              <a:extLst>
                <a:ext uri="{FF2B5EF4-FFF2-40B4-BE49-F238E27FC236}">
                  <a16:creationId xmlns:a16="http://schemas.microsoft.com/office/drawing/2014/main" id="{00000000-0008-0000-4000-00001E000000}"/>
                </a:ext>
              </a:extLst>
            </xdr14:cNvPr>
            <xdr14:cNvContentPartPr/>
          </xdr14:nvContentPartPr>
          <xdr14:nvPr macro=""/>
          <xdr14:xfrm>
            <a:off x="3771000" y="11271960"/>
            <a:ext cx="1548360" cy="124560"/>
          </xdr14:xfrm>
        </xdr:contentPart>
      </mc:Choice>
      <mc:Fallback xmlns=""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898FEBCF-5101-7845-8965-09484E43A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762360" y="11262960"/>
              <a:ext cx="156600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360300</xdr:colOff>
      <xdr:row>45</xdr:row>
      <xdr:rowOff>56900</xdr:rowOff>
    </xdr:from>
    <xdr:to>
      <xdr:col>10</xdr:col>
      <xdr:colOff>2044820</xdr:colOff>
      <xdr:row>46</xdr:row>
      <xdr:rowOff>24998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00000000-0008-0000-4000-00001F000000}"/>
                </a:ext>
              </a:extLst>
            </xdr14:cNvPr>
            <xdr14:cNvContentPartPr/>
          </xdr14:nvContentPartPr>
          <xdr14:nvPr macro=""/>
          <xdr14:xfrm>
            <a:off x="3751200" y="11347200"/>
            <a:ext cx="1582920" cy="133200"/>
          </xdr14:xfrm>
        </xdr:contentPart>
      </mc:Choice>
      <mc:Fallback xmlns=""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9572B831-F3A3-1348-A2B1-8A62154E11C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742560" y="11338200"/>
              <a:ext cx="1600560" cy="15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545614</xdr:colOff>
      <xdr:row>27</xdr:row>
      <xdr:rowOff>8743</xdr:rowOff>
    </xdr:from>
    <xdr:to>
      <xdr:col>11</xdr:col>
      <xdr:colOff>4204</xdr:colOff>
      <xdr:row>30</xdr:row>
      <xdr:rowOff>9071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00000000-0008-0000-4000-000026000000}"/>
                </a:ext>
              </a:extLst>
            </xdr14:cNvPr>
            <xdr14:cNvContentPartPr/>
          </xdr14:nvContentPartPr>
          <xdr14:nvPr macro=""/>
          <xdr14:xfrm>
            <a:off x="3426480" y="6314760"/>
            <a:ext cx="2531880" cy="528120"/>
          </xdr14:xfrm>
        </xdr:contentPart>
      </mc:Choice>
      <mc:Fallback xmlns="">
        <xdr:pic>
          <xdr:nvPicPr>
            <xdr:cNvPr id="38" name="Entrada de lápiz 37">
              <a:extLst>
                <a:ext uri="{FF2B5EF4-FFF2-40B4-BE49-F238E27FC236}">
                  <a16:creationId xmlns:a16="http://schemas.microsoft.com/office/drawing/2014/main" id="{C3F2AB94-51B0-0246-B2C0-0F83E56D89DE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417480" y="6305760"/>
              <a:ext cx="2549520" cy="54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32566</xdr:colOff>
      <xdr:row>27</xdr:row>
      <xdr:rowOff>24018</xdr:rowOff>
    </xdr:from>
    <xdr:to>
      <xdr:col>16</xdr:col>
      <xdr:colOff>566196</xdr:colOff>
      <xdr:row>36</xdr:row>
      <xdr:rowOff>166516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00000000-0008-0000-4000-000027000000}"/>
                </a:ext>
              </a:extLst>
            </xdr14:cNvPr>
            <xdr14:cNvContentPartPr/>
          </xdr14:nvContentPartPr>
          <xdr14:nvPr macro=""/>
          <xdr14:xfrm>
            <a:off x="7588800" y="6320880"/>
            <a:ext cx="1383840" cy="1736640"/>
          </xdr14:xfrm>
        </xdr:contentPart>
      </mc:Choice>
      <mc:Fallback xmlns="">
        <xdr:pic>
          <xdr:nvPicPr>
            <xdr:cNvPr id="39" name="Entrada de lápiz 38">
              <a:extLst>
                <a:ext uri="{FF2B5EF4-FFF2-40B4-BE49-F238E27FC236}">
                  <a16:creationId xmlns:a16="http://schemas.microsoft.com/office/drawing/2014/main" id="{27DDED71-80B8-8642-BA9A-3E2BF9514AA6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7580160" y="6311880"/>
              <a:ext cx="1401480" cy="175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479436</xdr:colOff>
      <xdr:row>38</xdr:row>
      <xdr:rowOff>0</xdr:rowOff>
    </xdr:from>
    <xdr:to>
      <xdr:col>16</xdr:col>
      <xdr:colOff>479796</xdr:colOff>
      <xdr:row>38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00000000-0008-0000-4000-000028000000}"/>
                </a:ext>
              </a:extLst>
            </xdr14:cNvPr>
            <xdr14:cNvContentPartPr/>
          </xdr14:nvContentPartPr>
          <xdr14:nvPr macro=""/>
          <xdr14:xfrm>
            <a:off x="8885880" y="8750880"/>
            <a:ext cx="360" cy="360"/>
          </xdr14:xfrm>
        </xdr:contentPart>
      </mc:Choice>
      <mc:Fallback xmlns=""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C8F8D3EC-D676-FA4E-99A0-D08F0C5E3FEF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8877240" y="87418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102766</xdr:colOff>
      <xdr:row>28</xdr:row>
      <xdr:rowOff>85902</xdr:rowOff>
    </xdr:from>
    <xdr:to>
      <xdr:col>15</xdr:col>
      <xdr:colOff>103126</xdr:colOff>
      <xdr:row>28</xdr:row>
      <xdr:rowOff>86262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00000000-0008-0000-4000-000029000000}"/>
                </a:ext>
              </a:extLst>
            </xdr14:cNvPr>
            <xdr14:cNvContentPartPr/>
          </xdr14:nvContentPartPr>
          <xdr14:nvPr macro=""/>
          <xdr14:xfrm>
            <a:off x="7659000" y="6558120"/>
            <a:ext cx="360" cy="3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C2C49A5A-EBBA-CA44-A702-390C927F8048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650360" y="65494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104</xdr:row>
      <xdr:rowOff>28575</xdr:rowOff>
    </xdr:from>
    <xdr:to>
      <xdr:col>1</xdr:col>
      <xdr:colOff>175118</xdr:colOff>
      <xdr:row>107</xdr:row>
      <xdr:rowOff>114300</xdr:rowOff>
    </xdr:to>
    <xdr:sp macro="" textlink="">
      <xdr:nvSpPr>
        <xdr:cNvPr id="2" name="Texto 8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SpPr txBox="1">
          <a:spLocks noChangeArrowheads="1"/>
        </xdr:cNvSpPr>
      </xdr:nvSpPr>
      <xdr:spPr bwMode="auto">
        <a:xfrm>
          <a:off x="9525" y="200818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101</xdr:row>
      <xdr:rowOff>28575</xdr:rowOff>
    </xdr:from>
    <xdr:to>
      <xdr:col>1</xdr:col>
      <xdr:colOff>175118</xdr:colOff>
      <xdr:row>104</xdr:row>
      <xdr:rowOff>114300</xdr:rowOff>
    </xdr:to>
    <xdr:sp macro="" textlink="">
      <xdr:nvSpPr>
        <xdr:cNvPr id="3" name="Texto 20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SpPr txBox="1">
          <a:spLocks noChangeArrowheads="1"/>
        </xdr:cNvSpPr>
      </xdr:nvSpPr>
      <xdr:spPr bwMode="auto">
        <a:xfrm>
          <a:off x="9525" y="195484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104</xdr:row>
      <xdr:rowOff>28575</xdr:rowOff>
    </xdr:from>
    <xdr:to>
      <xdr:col>1</xdr:col>
      <xdr:colOff>175118</xdr:colOff>
      <xdr:row>107</xdr:row>
      <xdr:rowOff>114300</xdr:rowOff>
    </xdr:to>
    <xdr:sp macro="" textlink="">
      <xdr:nvSpPr>
        <xdr:cNvPr id="4" name="Texto 8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SpPr txBox="1">
          <a:spLocks noChangeArrowheads="1"/>
        </xdr:cNvSpPr>
      </xdr:nvSpPr>
      <xdr:spPr bwMode="auto">
        <a:xfrm>
          <a:off x="9525" y="200818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101</xdr:row>
      <xdr:rowOff>28575</xdr:rowOff>
    </xdr:from>
    <xdr:to>
      <xdr:col>1</xdr:col>
      <xdr:colOff>175118</xdr:colOff>
      <xdr:row>104</xdr:row>
      <xdr:rowOff>114300</xdr:rowOff>
    </xdr:to>
    <xdr:sp macro="" textlink="">
      <xdr:nvSpPr>
        <xdr:cNvPr id="5" name="Texto 20">
          <a:extLst>
            <a:ext uri="{FF2B5EF4-FFF2-40B4-BE49-F238E27FC236}">
              <a16:creationId xmlns:a16="http://schemas.microsoft.com/office/drawing/2014/main" id="{00000000-0008-0000-4100-000005000000}"/>
            </a:ext>
          </a:extLst>
        </xdr:cNvPr>
        <xdr:cNvSpPr txBox="1">
          <a:spLocks noChangeArrowheads="1"/>
        </xdr:cNvSpPr>
      </xdr:nvSpPr>
      <xdr:spPr bwMode="auto">
        <a:xfrm>
          <a:off x="9525" y="195484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oneCellAnchor>
    <xdr:from>
      <xdr:col>11</xdr:col>
      <xdr:colOff>377119</xdr:colOff>
      <xdr:row>2</xdr:row>
      <xdr:rowOff>147675</xdr:rowOff>
    </xdr:from>
    <xdr:ext cx="361254" cy="191978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4100-000006000000}"/>
            </a:ext>
          </a:extLst>
        </xdr:cNvPr>
        <xdr:cNvSpPr txBox="1"/>
      </xdr:nvSpPr>
      <xdr:spPr>
        <a:xfrm>
          <a:off x="6333419" y="541375"/>
          <a:ext cx="361254" cy="19197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400</a:t>
          </a:r>
        </a:p>
      </xdr:txBody>
    </xdr:sp>
    <xdr:clientData/>
  </xdr:oneCellAnchor>
  <xdr:oneCellAnchor>
    <xdr:from>
      <xdr:col>13</xdr:col>
      <xdr:colOff>0</xdr:colOff>
      <xdr:row>3</xdr:row>
      <xdr:rowOff>0</xdr:rowOff>
    </xdr:from>
    <xdr:ext cx="339651" cy="187054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SpPr txBox="1"/>
      </xdr:nvSpPr>
      <xdr:spPr>
        <a:xfrm>
          <a:off x="6667500" y="571500"/>
          <a:ext cx="339651" cy="18705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13</xdr:col>
      <xdr:colOff>421721</xdr:colOff>
      <xdr:row>2</xdr:row>
      <xdr:rowOff>140199</xdr:rowOff>
    </xdr:from>
    <xdr:ext cx="355600" cy="165588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SpPr txBox="1"/>
      </xdr:nvSpPr>
      <xdr:spPr>
        <a:xfrm>
          <a:off x="7089221" y="533899"/>
          <a:ext cx="355600" cy="16558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11</xdr:col>
      <xdr:colOff>335027</xdr:colOff>
      <xdr:row>4</xdr:row>
      <xdr:rowOff>8386</xdr:rowOff>
    </xdr:from>
    <xdr:ext cx="365125" cy="161925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SpPr txBox="1"/>
      </xdr:nvSpPr>
      <xdr:spPr>
        <a:xfrm>
          <a:off x="6291327" y="757686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400</a:t>
          </a:r>
        </a:p>
      </xdr:txBody>
    </xdr:sp>
    <xdr:clientData/>
  </xdr:oneCellAnchor>
  <xdr:oneCellAnchor>
    <xdr:from>
      <xdr:col>15</xdr:col>
      <xdr:colOff>682607</xdr:colOff>
      <xdr:row>2</xdr:row>
      <xdr:rowOff>158577</xdr:rowOff>
    </xdr:from>
    <xdr:ext cx="348627" cy="152898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4100-00000A000000}"/>
            </a:ext>
          </a:extLst>
        </xdr:cNvPr>
        <xdr:cNvSpPr txBox="1"/>
      </xdr:nvSpPr>
      <xdr:spPr>
        <a:xfrm>
          <a:off x="8226407" y="552277"/>
          <a:ext cx="348627" cy="15289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s-ES_tradnl" sz="800" b="1"/>
        </a:p>
      </xdr:txBody>
    </xdr:sp>
    <xdr:clientData/>
  </xdr:oneCellAnchor>
  <xdr:oneCellAnchor>
    <xdr:from>
      <xdr:col>15</xdr:col>
      <xdr:colOff>245145</xdr:colOff>
      <xdr:row>2</xdr:row>
      <xdr:rowOff>100924</xdr:rowOff>
    </xdr:from>
    <xdr:ext cx="339725" cy="174625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SpPr txBox="1"/>
      </xdr:nvSpPr>
      <xdr:spPr>
        <a:xfrm>
          <a:off x="7788945" y="494624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19792</xdr:colOff>
      <xdr:row>14</xdr:row>
      <xdr:rowOff>0</xdr:rowOff>
    </xdr:from>
    <xdr:ext cx="346365" cy="164936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SpPr txBox="1"/>
      </xdr:nvSpPr>
      <xdr:spPr>
        <a:xfrm>
          <a:off x="3474192" y="3678972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389522</xdr:colOff>
      <xdr:row>14</xdr:row>
      <xdr:rowOff>0</xdr:rowOff>
    </xdr:from>
    <xdr:ext cx="339725" cy="174625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4100-00000D000000}"/>
            </a:ext>
          </a:extLst>
        </xdr:cNvPr>
        <xdr:cNvSpPr txBox="1"/>
      </xdr:nvSpPr>
      <xdr:spPr>
        <a:xfrm>
          <a:off x="3843922" y="3682148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854547</xdr:colOff>
      <xdr:row>26</xdr:row>
      <xdr:rowOff>7941</xdr:rowOff>
    </xdr:from>
    <xdr:ext cx="362352" cy="160212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4100-00000E000000}"/>
            </a:ext>
          </a:extLst>
        </xdr:cNvPr>
        <xdr:cNvSpPr txBox="1"/>
      </xdr:nvSpPr>
      <xdr:spPr>
        <a:xfrm>
          <a:off x="4308947" y="6180141"/>
          <a:ext cx="362352" cy="160212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25700</xdr:colOff>
      <xdr:row>26</xdr:row>
      <xdr:rowOff>12880</xdr:rowOff>
    </xdr:from>
    <xdr:ext cx="346365" cy="164936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SpPr txBox="1"/>
      </xdr:nvSpPr>
      <xdr:spPr>
        <a:xfrm>
          <a:off x="3480100" y="6185080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442624</xdr:colOff>
      <xdr:row>26</xdr:row>
      <xdr:rowOff>2998</xdr:rowOff>
    </xdr:from>
    <xdr:ext cx="340617" cy="174625"/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00000000-0008-0000-4100-000010000000}"/>
            </a:ext>
          </a:extLst>
        </xdr:cNvPr>
        <xdr:cNvSpPr txBox="1"/>
      </xdr:nvSpPr>
      <xdr:spPr>
        <a:xfrm>
          <a:off x="3897024" y="6175198"/>
          <a:ext cx="340617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1792161</xdr:colOff>
      <xdr:row>26</xdr:row>
      <xdr:rowOff>8849</xdr:rowOff>
    </xdr:from>
    <xdr:ext cx="398257" cy="159303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0000000-0008-0000-4100-000011000000}"/>
            </a:ext>
          </a:extLst>
        </xdr:cNvPr>
        <xdr:cNvSpPr txBox="1"/>
      </xdr:nvSpPr>
      <xdr:spPr>
        <a:xfrm>
          <a:off x="5246561" y="6181049"/>
          <a:ext cx="398257" cy="159303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50M</a:t>
          </a:r>
        </a:p>
      </xdr:txBody>
    </xdr:sp>
    <xdr:clientData/>
  </xdr:oneCellAnchor>
  <xdr:oneCellAnchor>
    <xdr:from>
      <xdr:col>10</xdr:col>
      <xdr:colOff>1329680</xdr:colOff>
      <xdr:row>26</xdr:row>
      <xdr:rowOff>8792</xdr:rowOff>
    </xdr:from>
    <xdr:ext cx="365125" cy="161925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SpPr txBox="1"/>
      </xdr:nvSpPr>
      <xdr:spPr>
        <a:xfrm>
          <a:off x="4784080" y="6180992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twoCellAnchor editAs="oneCell">
    <xdr:from>
      <xdr:col>6</xdr:col>
      <xdr:colOff>322818</xdr:colOff>
      <xdr:row>40</xdr:row>
      <xdr:rowOff>0</xdr:rowOff>
    </xdr:from>
    <xdr:to>
      <xdr:col>7</xdr:col>
      <xdr:colOff>198365</xdr:colOff>
      <xdr:row>40</xdr:row>
      <xdr:rowOff>77760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00000000-0008-0000-4100-000013000000}"/>
                </a:ext>
              </a:extLst>
            </xdr14:cNvPr>
            <xdr14:cNvContentPartPr/>
          </xdr14:nvContentPartPr>
          <xdr14:nvPr macro=""/>
          <xdr14:xfrm>
            <a:off x="1534610" y="10398887"/>
            <a:ext cx="194760" cy="7776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B0D23A82-2465-FD4F-8B01-C5003C46921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25610" y="10389887"/>
              <a:ext cx="212400" cy="9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548890</xdr:colOff>
      <xdr:row>46</xdr:row>
      <xdr:rowOff>47178</xdr:rowOff>
    </xdr:from>
    <xdr:to>
      <xdr:col>7</xdr:col>
      <xdr:colOff>549250</xdr:colOff>
      <xdr:row>46</xdr:row>
      <xdr:rowOff>47538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00000000-0008-0000-4100-000014000000}"/>
                </a:ext>
              </a:extLst>
            </xdr14:cNvPr>
            <xdr14:cNvContentPartPr/>
          </xdr14:nvContentPartPr>
          <xdr14:nvPr macro=""/>
          <xdr14:xfrm>
            <a:off x="2231640" y="12339720"/>
            <a:ext cx="360" cy="36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01629AF6-2573-A841-9615-44F7B6C5C614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222640" y="12331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322818</xdr:colOff>
      <xdr:row>40</xdr:row>
      <xdr:rowOff>85429</xdr:rowOff>
    </xdr:from>
    <xdr:ext cx="194760" cy="777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00000000-0008-0000-4100-000015000000}"/>
                </a:ext>
              </a:extLst>
            </xdr14:cNvPr>
            <xdr14:cNvContentPartPr/>
          </xdr14:nvContentPartPr>
          <xdr14:nvPr macro=""/>
          <xdr14:xfrm>
            <a:off x="1534610" y="10398887"/>
            <a:ext cx="194760" cy="77760"/>
          </xdr14:xfrm>
        </xdr:contentPart>
      </mc:Choice>
      <mc:Fallback xmlns=""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1094BA31-1DDE-0A43-92B4-28C60EBC1CB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25610" y="10389887"/>
              <a:ext cx="212400" cy="954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6</xdr:col>
      <xdr:colOff>160348</xdr:colOff>
      <xdr:row>44</xdr:row>
      <xdr:rowOff>148772</xdr:rowOff>
    </xdr:from>
    <xdr:to>
      <xdr:col>6</xdr:col>
      <xdr:colOff>160708</xdr:colOff>
      <xdr:row>44</xdr:row>
      <xdr:rowOff>149132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00000000-0008-0000-4100-000016000000}"/>
                </a:ext>
              </a:extLst>
            </xdr14:cNvPr>
            <xdr14:cNvContentPartPr/>
          </xdr14:nvContentPartPr>
          <xdr14:nvPr macro=""/>
          <xdr14:xfrm>
            <a:off x="1363320" y="11899800"/>
            <a:ext cx="360" cy="360"/>
          </xdr14:xfrm>
        </xdr:contentPart>
      </mc:Choice>
      <mc:Fallback xmlns="">
        <xdr:pic>
          <xdr:nvPicPr>
            <xdr:cNvPr id="30" name="Entrada de lápiz 29">
              <a:extLst>
                <a:ext uri="{FF2B5EF4-FFF2-40B4-BE49-F238E27FC236}">
                  <a16:creationId xmlns:a16="http://schemas.microsoft.com/office/drawing/2014/main" id="{E64A635F-CDA5-D140-8665-4389CFFF312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354680" y="118908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380733</xdr:colOff>
      <xdr:row>41</xdr:row>
      <xdr:rowOff>69899</xdr:rowOff>
    </xdr:from>
    <xdr:to>
      <xdr:col>10</xdr:col>
      <xdr:colOff>381093</xdr:colOff>
      <xdr:row>41</xdr:row>
      <xdr:rowOff>70259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00000000-0008-0000-4100-000017000000}"/>
                </a:ext>
              </a:extLst>
            </xdr14:cNvPr>
            <xdr14:cNvContentPartPr/>
          </xdr14:nvContentPartPr>
          <xdr14:nvPr macro=""/>
          <xdr14:xfrm>
            <a:off x="3767400" y="11291760"/>
            <a:ext cx="360" cy="36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D01FE677-651A-DD4F-AC62-73CAA1EBB78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758760" y="11283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479436</xdr:colOff>
      <xdr:row>34</xdr:row>
      <xdr:rowOff>0</xdr:rowOff>
    </xdr:from>
    <xdr:to>
      <xdr:col>16</xdr:col>
      <xdr:colOff>479796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00000000-0008-0000-4100-00001C000000}"/>
                </a:ext>
              </a:extLst>
            </xdr14:cNvPr>
            <xdr14:cNvContentPartPr/>
          </xdr14:nvContentPartPr>
          <xdr14:nvPr macro=""/>
          <xdr14:xfrm>
            <a:off x="8885880" y="8750880"/>
            <a:ext cx="360" cy="360"/>
          </xdr14:xfrm>
        </xdr:contentPart>
      </mc:Choice>
      <mc:Fallback xmlns=""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C8F8D3EC-D676-FA4E-99A0-D08F0C5E3FEF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8877240" y="87418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102766</xdr:colOff>
      <xdr:row>24</xdr:row>
      <xdr:rowOff>85902</xdr:rowOff>
    </xdr:from>
    <xdr:to>
      <xdr:col>15</xdr:col>
      <xdr:colOff>103126</xdr:colOff>
      <xdr:row>24</xdr:row>
      <xdr:rowOff>86262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00000000-0008-0000-4100-00001D000000}"/>
                </a:ext>
              </a:extLst>
            </xdr14:cNvPr>
            <xdr14:cNvContentPartPr/>
          </xdr14:nvContentPartPr>
          <xdr14:nvPr macro=""/>
          <xdr14:xfrm>
            <a:off x="7659000" y="6558120"/>
            <a:ext cx="360" cy="3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C2C49A5A-EBBA-CA44-A702-390C927F8048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650360" y="65494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96</xdr:row>
      <xdr:rowOff>28575</xdr:rowOff>
    </xdr:from>
    <xdr:to>
      <xdr:col>1</xdr:col>
      <xdr:colOff>175118</xdr:colOff>
      <xdr:row>99</xdr:row>
      <xdr:rowOff>114300</xdr:rowOff>
    </xdr:to>
    <xdr:sp macro="" textlink="">
      <xdr:nvSpPr>
        <xdr:cNvPr id="2" name="Texto 8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SpPr txBox="1">
          <a:spLocks noChangeArrowheads="1"/>
        </xdr:cNvSpPr>
      </xdr:nvSpPr>
      <xdr:spPr bwMode="auto">
        <a:xfrm>
          <a:off x="9525" y="219995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93</xdr:row>
      <xdr:rowOff>28575</xdr:rowOff>
    </xdr:from>
    <xdr:to>
      <xdr:col>1</xdr:col>
      <xdr:colOff>175118</xdr:colOff>
      <xdr:row>96</xdr:row>
      <xdr:rowOff>114300</xdr:rowOff>
    </xdr:to>
    <xdr:sp macro="" textlink="">
      <xdr:nvSpPr>
        <xdr:cNvPr id="3" name="Texto 20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SpPr txBox="1">
          <a:spLocks noChangeArrowheads="1"/>
        </xdr:cNvSpPr>
      </xdr:nvSpPr>
      <xdr:spPr bwMode="auto">
        <a:xfrm>
          <a:off x="9525" y="214661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96</xdr:row>
      <xdr:rowOff>28575</xdr:rowOff>
    </xdr:from>
    <xdr:to>
      <xdr:col>1</xdr:col>
      <xdr:colOff>175118</xdr:colOff>
      <xdr:row>99</xdr:row>
      <xdr:rowOff>114300</xdr:rowOff>
    </xdr:to>
    <xdr:sp macro="" textlink="">
      <xdr:nvSpPr>
        <xdr:cNvPr id="4" name="Texto 8">
          <a:extLst>
            <a:ext uri="{FF2B5EF4-FFF2-40B4-BE49-F238E27FC236}">
              <a16:creationId xmlns:a16="http://schemas.microsoft.com/office/drawing/2014/main" id="{00000000-0008-0000-4200-000004000000}"/>
            </a:ext>
          </a:extLst>
        </xdr:cNvPr>
        <xdr:cNvSpPr txBox="1">
          <a:spLocks noChangeArrowheads="1"/>
        </xdr:cNvSpPr>
      </xdr:nvSpPr>
      <xdr:spPr bwMode="auto">
        <a:xfrm>
          <a:off x="9525" y="219995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twoCellAnchor>
    <xdr:from>
      <xdr:col>0</xdr:col>
      <xdr:colOff>9525</xdr:colOff>
      <xdr:row>93</xdr:row>
      <xdr:rowOff>28575</xdr:rowOff>
    </xdr:from>
    <xdr:to>
      <xdr:col>1</xdr:col>
      <xdr:colOff>175118</xdr:colOff>
      <xdr:row>96</xdr:row>
      <xdr:rowOff>114300</xdr:rowOff>
    </xdr:to>
    <xdr:sp macro="" textlink="">
      <xdr:nvSpPr>
        <xdr:cNvPr id="5" name="Texto 20">
          <a:extLst>
            <a:ext uri="{FF2B5EF4-FFF2-40B4-BE49-F238E27FC236}">
              <a16:creationId xmlns:a16="http://schemas.microsoft.com/office/drawing/2014/main" id="{00000000-0008-0000-4200-000005000000}"/>
            </a:ext>
          </a:extLst>
        </xdr:cNvPr>
        <xdr:cNvSpPr txBox="1">
          <a:spLocks noChangeArrowheads="1"/>
        </xdr:cNvSpPr>
      </xdr:nvSpPr>
      <xdr:spPr bwMode="auto">
        <a:xfrm>
          <a:off x="9525" y="21466175"/>
          <a:ext cx="381493" cy="619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vert270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es-ES" sz="700" b="1" i="0" u="none" strike="noStrike" baseline="0">
              <a:solidFill>
                <a:srgbClr val="000000"/>
              </a:solidFill>
              <a:latin typeface="Arial"/>
              <a:cs typeface="Arial"/>
            </a:rPr>
            <a:t>OBSERVA-CIONES</a:t>
          </a:r>
        </a:p>
      </xdr:txBody>
    </xdr:sp>
    <xdr:clientData/>
  </xdr:twoCellAnchor>
  <xdr:oneCellAnchor>
    <xdr:from>
      <xdr:col>15</xdr:col>
      <xdr:colOff>682607</xdr:colOff>
      <xdr:row>4</xdr:row>
      <xdr:rowOff>0</xdr:rowOff>
    </xdr:from>
    <xdr:ext cx="348627" cy="152898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4200-00000A000000}"/>
            </a:ext>
          </a:extLst>
        </xdr:cNvPr>
        <xdr:cNvSpPr txBox="1"/>
      </xdr:nvSpPr>
      <xdr:spPr>
        <a:xfrm>
          <a:off x="7845407" y="552277"/>
          <a:ext cx="348627" cy="15289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s-ES_tradnl" sz="800" b="1"/>
        </a:p>
      </xdr:txBody>
    </xdr:sp>
    <xdr:clientData/>
  </xdr:oneCellAnchor>
  <xdr:oneCellAnchor>
    <xdr:from>
      <xdr:col>10</xdr:col>
      <xdr:colOff>854547</xdr:colOff>
      <xdr:row>4</xdr:row>
      <xdr:rowOff>0</xdr:rowOff>
    </xdr:from>
    <xdr:ext cx="355112" cy="181218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4200-00000C000000}"/>
            </a:ext>
          </a:extLst>
        </xdr:cNvPr>
        <xdr:cNvSpPr txBox="1"/>
      </xdr:nvSpPr>
      <xdr:spPr>
        <a:xfrm>
          <a:off x="4245447" y="3995741"/>
          <a:ext cx="355112" cy="18121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10</xdr:col>
      <xdr:colOff>6653</xdr:colOff>
      <xdr:row>4</xdr:row>
      <xdr:rowOff>0</xdr:rowOff>
    </xdr:from>
    <xdr:ext cx="346365" cy="164936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4200-00000D000000}"/>
            </a:ext>
          </a:extLst>
        </xdr:cNvPr>
        <xdr:cNvSpPr txBox="1"/>
      </xdr:nvSpPr>
      <xdr:spPr>
        <a:xfrm>
          <a:off x="3400619" y="2269600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389522</xdr:colOff>
      <xdr:row>4</xdr:row>
      <xdr:rowOff>0</xdr:rowOff>
    </xdr:from>
    <xdr:ext cx="339725" cy="174625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4200-00000E000000}"/>
            </a:ext>
          </a:extLst>
        </xdr:cNvPr>
        <xdr:cNvSpPr txBox="1"/>
      </xdr:nvSpPr>
      <xdr:spPr>
        <a:xfrm>
          <a:off x="3780422" y="3999648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1797861</xdr:colOff>
      <xdr:row>4</xdr:row>
      <xdr:rowOff>0</xdr:rowOff>
    </xdr:from>
    <xdr:ext cx="385151" cy="152400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0000000-0008-0000-4200-00000F000000}"/>
            </a:ext>
          </a:extLst>
        </xdr:cNvPr>
        <xdr:cNvSpPr txBox="1"/>
      </xdr:nvSpPr>
      <xdr:spPr>
        <a:xfrm>
          <a:off x="5188761" y="4003433"/>
          <a:ext cx="385151" cy="152400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50M</a:t>
          </a:r>
        </a:p>
      </xdr:txBody>
    </xdr:sp>
    <xdr:clientData/>
  </xdr:oneCellAnchor>
  <xdr:oneCellAnchor>
    <xdr:from>
      <xdr:col>10</xdr:col>
      <xdr:colOff>1329680</xdr:colOff>
      <xdr:row>4</xdr:row>
      <xdr:rowOff>0</xdr:rowOff>
    </xdr:from>
    <xdr:ext cx="365125" cy="161925"/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00000000-0008-0000-4200-000010000000}"/>
            </a:ext>
          </a:extLst>
        </xdr:cNvPr>
        <xdr:cNvSpPr txBox="1"/>
      </xdr:nvSpPr>
      <xdr:spPr>
        <a:xfrm>
          <a:off x="4720580" y="3996592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10</xdr:col>
      <xdr:colOff>854547</xdr:colOff>
      <xdr:row>4</xdr:row>
      <xdr:rowOff>7941</xdr:rowOff>
    </xdr:from>
    <xdr:ext cx="355112" cy="181218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00000000-0008-0000-4200-000012000000}"/>
            </a:ext>
          </a:extLst>
        </xdr:cNvPr>
        <xdr:cNvSpPr txBox="1"/>
      </xdr:nvSpPr>
      <xdr:spPr>
        <a:xfrm>
          <a:off x="4245447" y="7208841"/>
          <a:ext cx="355112" cy="18121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9</xdr:col>
      <xdr:colOff>527792</xdr:colOff>
      <xdr:row>4</xdr:row>
      <xdr:rowOff>5497</xdr:rowOff>
    </xdr:from>
    <xdr:ext cx="346365" cy="164936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00000000-0008-0000-4200-000013000000}"/>
            </a:ext>
          </a:extLst>
        </xdr:cNvPr>
        <xdr:cNvSpPr txBox="1"/>
      </xdr:nvSpPr>
      <xdr:spPr>
        <a:xfrm>
          <a:off x="3347192" y="7206397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389522</xdr:colOff>
      <xdr:row>4</xdr:row>
      <xdr:rowOff>11848</xdr:rowOff>
    </xdr:from>
    <xdr:ext cx="339725" cy="174625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00000000-0008-0000-4200-000014000000}"/>
            </a:ext>
          </a:extLst>
        </xdr:cNvPr>
        <xdr:cNvSpPr txBox="1"/>
      </xdr:nvSpPr>
      <xdr:spPr>
        <a:xfrm>
          <a:off x="3780422" y="7212748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1797861</xdr:colOff>
      <xdr:row>4</xdr:row>
      <xdr:rowOff>15633</xdr:rowOff>
    </xdr:from>
    <xdr:ext cx="385151" cy="152400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00000000-0008-0000-4200-000015000000}"/>
            </a:ext>
          </a:extLst>
        </xdr:cNvPr>
        <xdr:cNvSpPr txBox="1"/>
      </xdr:nvSpPr>
      <xdr:spPr>
        <a:xfrm>
          <a:off x="5188761" y="7216533"/>
          <a:ext cx="385151" cy="152400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50M</a:t>
          </a:r>
        </a:p>
      </xdr:txBody>
    </xdr:sp>
    <xdr:clientData/>
  </xdr:oneCellAnchor>
  <xdr:oneCellAnchor>
    <xdr:from>
      <xdr:col>10</xdr:col>
      <xdr:colOff>1329680</xdr:colOff>
      <xdr:row>4</xdr:row>
      <xdr:rowOff>8792</xdr:rowOff>
    </xdr:from>
    <xdr:ext cx="365125" cy="161925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00000000-0008-0000-4200-000016000000}"/>
            </a:ext>
          </a:extLst>
        </xdr:cNvPr>
        <xdr:cNvSpPr txBox="1"/>
      </xdr:nvSpPr>
      <xdr:spPr>
        <a:xfrm>
          <a:off x="4720580" y="7209692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twoCellAnchor editAs="oneCell">
    <xdr:from>
      <xdr:col>7</xdr:col>
      <xdr:colOff>548890</xdr:colOff>
      <xdr:row>38</xdr:row>
      <xdr:rowOff>47178</xdr:rowOff>
    </xdr:from>
    <xdr:to>
      <xdr:col>7</xdr:col>
      <xdr:colOff>549250</xdr:colOff>
      <xdr:row>38</xdr:row>
      <xdr:rowOff>47538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00000000-0008-0000-4200-000018000000}"/>
                </a:ext>
              </a:extLst>
            </xdr14:cNvPr>
            <xdr14:cNvContentPartPr/>
          </xdr14:nvContentPartPr>
          <xdr14:nvPr macro=""/>
          <xdr14:xfrm>
            <a:off x="2231640" y="12339720"/>
            <a:ext cx="360" cy="36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01629AF6-2573-A841-9615-44F7B6C5C614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222640" y="12331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322818</xdr:colOff>
      <xdr:row>23</xdr:row>
      <xdr:rowOff>85429</xdr:rowOff>
    </xdr:from>
    <xdr:ext cx="194760" cy="777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6" name="Entrada de lápiz 25">
              <a:extLst>
                <a:ext uri="{FF2B5EF4-FFF2-40B4-BE49-F238E27FC236}">
                  <a16:creationId xmlns:a16="http://schemas.microsoft.com/office/drawing/2014/main" id="{00000000-0008-0000-4200-00001A000000}"/>
                </a:ext>
              </a:extLst>
            </xdr14:cNvPr>
            <xdr14:cNvContentPartPr/>
          </xdr14:nvContentPartPr>
          <xdr14:nvPr macro=""/>
          <xdr14:xfrm>
            <a:off x="1534610" y="10398887"/>
            <a:ext cx="194760" cy="77760"/>
          </xdr14:xfrm>
        </xdr:contentPart>
      </mc:Choice>
      <mc:Fallback xmlns=""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1094BA31-1DDE-0A43-92B4-28C60EBC1CB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25610" y="10389887"/>
              <a:ext cx="212400" cy="954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4</xdr:col>
      <xdr:colOff>145048</xdr:colOff>
      <xdr:row>23</xdr:row>
      <xdr:rowOff>137208</xdr:rowOff>
    </xdr:from>
    <xdr:to>
      <xdr:col>8</xdr:col>
      <xdr:colOff>16093</xdr:colOff>
      <xdr:row>25</xdr:row>
      <xdr:rowOff>130229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00000000-0008-0000-4200-00001B000000}"/>
                </a:ext>
              </a:extLst>
            </xdr14:cNvPr>
            <xdr14:cNvContentPartPr/>
          </xdr14:nvContentPartPr>
          <xdr14:nvPr macro=""/>
          <xdr14:xfrm>
            <a:off x="776520" y="11182680"/>
            <a:ext cx="1432440" cy="320400"/>
          </xdr14:xfrm>
        </xdr:contentPart>
      </mc:Choice>
      <mc:Fallback xmlns=""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2C5A6FD8-663A-EA46-9DF5-15497F0A2830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67520" y="11174040"/>
              <a:ext cx="1450080" cy="33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160348</xdr:colOff>
      <xdr:row>36</xdr:row>
      <xdr:rowOff>148772</xdr:rowOff>
    </xdr:from>
    <xdr:to>
      <xdr:col>6</xdr:col>
      <xdr:colOff>160708</xdr:colOff>
      <xdr:row>36</xdr:row>
      <xdr:rowOff>149132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00000000-0008-0000-4200-00001C000000}"/>
                </a:ext>
              </a:extLst>
            </xdr14:cNvPr>
            <xdr14:cNvContentPartPr/>
          </xdr14:nvContentPartPr>
          <xdr14:nvPr macro=""/>
          <xdr14:xfrm>
            <a:off x="1363320" y="11899800"/>
            <a:ext cx="360" cy="360"/>
          </xdr14:xfrm>
        </xdr:contentPart>
      </mc:Choice>
      <mc:Fallback xmlns="">
        <xdr:pic>
          <xdr:nvPicPr>
            <xdr:cNvPr id="30" name="Entrada de lápiz 29">
              <a:extLst>
                <a:ext uri="{FF2B5EF4-FFF2-40B4-BE49-F238E27FC236}">
                  <a16:creationId xmlns:a16="http://schemas.microsoft.com/office/drawing/2014/main" id="{E64A635F-CDA5-D140-8665-4389CFFF312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354680" y="118908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380733</xdr:colOff>
      <xdr:row>24</xdr:row>
      <xdr:rowOff>69899</xdr:rowOff>
    </xdr:from>
    <xdr:to>
      <xdr:col>10</xdr:col>
      <xdr:colOff>381093</xdr:colOff>
      <xdr:row>24</xdr:row>
      <xdr:rowOff>70259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00000000-0008-0000-4200-00001D000000}"/>
                </a:ext>
              </a:extLst>
            </xdr14:cNvPr>
            <xdr14:cNvContentPartPr/>
          </xdr14:nvContentPartPr>
          <xdr14:nvPr macro=""/>
          <xdr14:xfrm>
            <a:off x="3767400" y="11291760"/>
            <a:ext cx="360" cy="36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D01FE677-651A-DD4F-AC62-73CAA1EBB78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758760" y="11283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380100</xdr:colOff>
      <xdr:row>23</xdr:row>
      <xdr:rowOff>159460</xdr:rowOff>
    </xdr:from>
    <xdr:to>
      <xdr:col>10</xdr:col>
      <xdr:colOff>2030060</xdr:colOff>
      <xdr:row>24</xdr:row>
      <xdr:rowOff>118919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30" name="Entrada de lápiz 29">
              <a:extLst>
                <a:ext uri="{FF2B5EF4-FFF2-40B4-BE49-F238E27FC236}">
                  <a16:creationId xmlns:a16="http://schemas.microsoft.com/office/drawing/2014/main" id="{00000000-0008-0000-4200-00001E000000}"/>
                </a:ext>
              </a:extLst>
            </xdr14:cNvPr>
            <xdr14:cNvContentPartPr/>
          </xdr14:nvContentPartPr>
          <xdr14:nvPr macro=""/>
          <xdr14:xfrm>
            <a:off x="3771000" y="11271960"/>
            <a:ext cx="1548360" cy="124560"/>
          </xdr14:xfrm>
        </xdr:contentPart>
      </mc:Choice>
      <mc:Fallback xmlns=""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898FEBCF-5101-7845-8965-09484E43A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762360" y="11262960"/>
              <a:ext cx="156600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360300</xdr:colOff>
      <xdr:row>24</xdr:row>
      <xdr:rowOff>56900</xdr:rowOff>
    </xdr:from>
    <xdr:to>
      <xdr:col>10</xdr:col>
      <xdr:colOff>2044820</xdr:colOff>
      <xdr:row>25</xdr:row>
      <xdr:rowOff>25000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00000000-0008-0000-4200-00001F000000}"/>
                </a:ext>
              </a:extLst>
            </xdr14:cNvPr>
            <xdr14:cNvContentPartPr/>
          </xdr14:nvContentPartPr>
          <xdr14:nvPr macro=""/>
          <xdr14:xfrm>
            <a:off x="3751200" y="11347200"/>
            <a:ext cx="1582920" cy="133200"/>
          </xdr14:xfrm>
        </xdr:contentPart>
      </mc:Choice>
      <mc:Fallback xmlns=""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9572B831-F3A3-1348-A2B1-8A62154E11C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742560" y="11338200"/>
              <a:ext cx="1600560" cy="15084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854547</xdr:colOff>
      <xdr:row>25</xdr:row>
      <xdr:rowOff>7941</xdr:rowOff>
    </xdr:from>
    <xdr:ext cx="355112" cy="181218"/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00000000-0008-0000-4200-000025000000}"/>
            </a:ext>
          </a:extLst>
        </xdr:cNvPr>
        <xdr:cNvSpPr txBox="1"/>
      </xdr:nvSpPr>
      <xdr:spPr>
        <a:xfrm>
          <a:off x="4308947" y="1415827"/>
          <a:ext cx="355112" cy="18121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10</xdr:col>
      <xdr:colOff>6653</xdr:colOff>
      <xdr:row>25</xdr:row>
      <xdr:rowOff>9876</xdr:rowOff>
    </xdr:from>
    <xdr:ext cx="346365" cy="164936"/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id="{00000000-0008-0000-4200-000026000000}"/>
            </a:ext>
          </a:extLst>
        </xdr:cNvPr>
        <xdr:cNvSpPr txBox="1"/>
      </xdr:nvSpPr>
      <xdr:spPr>
        <a:xfrm>
          <a:off x="3461053" y="1417762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389522</xdr:colOff>
      <xdr:row>25</xdr:row>
      <xdr:rowOff>11848</xdr:rowOff>
    </xdr:from>
    <xdr:ext cx="339725" cy="174625"/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00000000-0008-0000-4200-000027000000}"/>
            </a:ext>
          </a:extLst>
        </xdr:cNvPr>
        <xdr:cNvSpPr txBox="1"/>
      </xdr:nvSpPr>
      <xdr:spPr>
        <a:xfrm>
          <a:off x="3843922" y="1419734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1797861</xdr:colOff>
      <xdr:row>25</xdr:row>
      <xdr:rowOff>15633</xdr:rowOff>
    </xdr:from>
    <xdr:ext cx="385151" cy="152400"/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00000000-0008-0000-4200-000028000000}"/>
            </a:ext>
          </a:extLst>
        </xdr:cNvPr>
        <xdr:cNvSpPr txBox="1"/>
      </xdr:nvSpPr>
      <xdr:spPr>
        <a:xfrm>
          <a:off x="5252261" y="1423519"/>
          <a:ext cx="385151" cy="152400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50M</a:t>
          </a:r>
        </a:p>
      </xdr:txBody>
    </xdr:sp>
    <xdr:clientData/>
  </xdr:oneCellAnchor>
  <xdr:oneCellAnchor>
    <xdr:from>
      <xdr:col>10</xdr:col>
      <xdr:colOff>1329680</xdr:colOff>
      <xdr:row>25</xdr:row>
      <xdr:rowOff>8792</xdr:rowOff>
    </xdr:from>
    <xdr:ext cx="365125" cy="161925"/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4200-000029000000}"/>
            </a:ext>
          </a:extLst>
        </xdr:cNvPr>
        <xdr:cNvSpPr txBox="1"/>
      </xdr:nvSpPr>
      <xdr:spPr>
        <a:xfrm>
          <a:off x="4784080" y="1416678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10</xdr:col>
      <xdr:colOff>854547</xdr:colOff>
      <xdr:row>25</xdr:row>
      <xdr:rowOff>7941</xdr:rowOff>
    </xdr:from>
    <xdr:ext cx="355112" cy="181218"/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4200-00002A000000}"/>
            </a:ext>
          </a:extLst>
        </xdr:cNvPr>
        <xdr:cNvSpPr txBox="1"/>
      </xdr:nvSpPr>
      <xdr:spPr>
        <a:xfrm>
          <a:off x="4297551" y="1408321"/>
          <a:ext cx="355112" cy="18121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10</xdr:col>
      <xdr:colOff>6653</xdr:colOff>
      <xdr:row>25</xdr:row>
      <xdr:rowOff>9876</xdr:rowOff>
    </xdr:from>
    <xdr:ext cx="346365" cy="164936"/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4200-00002B000000}"/>
            </a:ext>
          </a:extLst>
        </xdr:cNvPr>
        <xdr:cNvSpPr txBox="1"/>
      </xdr:nvSpPr>
      <xdr:spPr>
        <a:xfrm>
          <a:off x="3449657" y="1410256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389522</xdr:colOff>
      <xdr:row>25</xdr:row>
      <xdr:rowOff>11848</xdr:rowOff>
    </xdr:from>
    <xdr:ext cx="339725" cy="174625"/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4200-00002C000000}"/>
            </a:ext>
          </a:extLst>
        </xdr:cNvPr>
        <xdr:cNvSpPr txBox="1"/>
      </xdr:nvSpPr>
      <xdr:spPr>
        <a:xfrm>
          <a:off x="3832526" y="1412228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1797861</xdr:colOff>
      <xdr:row>25</xdr:row>
      <xdr:rowOff>15633</xdr:rowOff>
    </xdr:from>
    <xdr:ext cx="385151" cy="152400"/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id="{00000000-0008-0000-4200-00002D000000}"/>
            </a:ext>
          </a:extLst>
        </xdr:cNvPr>
        <xdr:cNvSpPr txBox="1"/>
      </xdr:nvSpPr>
      <xdr:spPr>
        <a:xfrm>
          <a:off x="5240865" y="1416013"/>
          <a:ext cx="385151" cy="152400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50M</a:t>
          </a:r>
        </a:p>
      </xdr:txBody>
    </xdr:sp>
    <xdr:clientData/>
  </xdr:oneCellAnchor>
  <xdr:oneCellAnchor>
    <xdr:from>
      <xdr:col>10</xdr:col>
      <xdr:colOff>1329680</xdr:colOff>
      <xdr:row>25</xdr:row>
      <xdr:rowOff>8792</xdr:rowOff>
    </xdr:from>
    <xdr:ext cx="365125" cy="161925"/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4200-00002E000000}"/>
            </a:ext>
          </a:extLst>
        </xdr:cNvPr>
        <xdr:cNvSpPr txBox="1"/>
      </xdr:nvSpPr>
      <xdr:spPr>
        <a:xfrm>
          <a:off x="4772684" y="1409172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10</xdr:col>
      <xdr:colOff>854547</xdr:colOff>
      <xdr:row>27</xdr:row>
      <xdr:rowOff>7941</xdr:rowOff>
    </xdr:from>
    <xdr:ext cx="355112" cy="181218"/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4200-000034000000}"/>
            </a:ext>
          </a:extLst>
        </xdr:cNvPr>
        <xdr:cNvSpPr txBox="1"/>
      </xdr:nvSpPr>
      <xdr:spPr>
        <a:xfrm>
          <a:off x="4297551" y="8753074"/>
          <a:ext cx="355112" cy="18121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10</xdr:col>
      <xdr:colOff>6653</xdr:colOff>
      <xdr:row>27</xdr:row>
      <xdr:rowOff>9876</xdr:rowOff>
    </xdr:from>
    <xdr:ext cx="346365" cy="164936"/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4200-000035000000}"/>
            </a:ext>
          </a:extLst>
        </xdr:cNvPr>
        <xdr:cNvSpPr txBox="1"/>
      </xdr:nvSpPr>
      <xdr:spPr>
        <a:xfrm>
          <a:off x="3449657" y="8755009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389522</xdr:colOff>
      <xdr:row>27</xdr:row>
      <xdr:rowOff>11848</xdr:rowOff>
    </xdr:from>
    <xdr:ext cx="339725" cy="174625"/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00000000-0008-0000-4200-000036000000}"/>
            </a:ext>
          </a:extLst>
        </xdr:cNvPr>
        <xdr:cNvSpPr txBox="1"/>
      </xdr:nvSpPr>
      <xdr:spPr>
        <a:xfrm>
          <a:off x="3832526" y="8756981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1797861</xdr:colOff>
      <xdr:row>27</xdr:row>
      <xdr:rowOff>15633</xdr:rowOff>
    </xdr:from>
    <xdr:ext cx="385151" cy="152400"/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4200-000037000000}"/>
            </a:ext>
          </a:extLst>
        </xdr:cNvPr>
        <xdr:cNvSpPr txBox="1"/>
      </xdr:nvSpPr>
      <xdr:spPr>
        <a:xfrm>
          <a:off x="5240865" y="8760766"/>
          <a:ext cx="385151" cy="152400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50M</a:t>
          </a:r>
        </a:p>
      </xdr:txBody>
    </xdr:sp>
    <xdr:clientData/>
  </xdr:oneCellAnchor>
  <xdr:oneCellAnchor>
    <xdr:from>
      <xdr:col>10</xdr:col>
      <xdr:colOff>1329680</xdr:colOff>
      <xdr:row>27</xdr:row>
      <xdr:rowOff>8792</xdr:rowOff>
    </xdr:from>
    <xdr:ext cx="365125" cy="161925"/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4200-000038000000}"/>
            </a:ext>
          </a:extLst>
        </xdr:cNvPr>
        <xdr:cNvSpPr txBox="1"/>
      </xdr:nvSpPr>
      <xdr:spPr>
        <a:xfrm>
          <a:off x="4772684" y="8753925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10</xdr:col>
      <xdr:colOff>854547</xdr:colOff>
      <xdr:row>27</xdr:row>
      <xdr:rowOff>7941</xdr:rowOff>
    </xdr:from>
    <xdr:ext cx="355112" cy="181218"/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id="{00000000-0008-0000-4200-000039000000}"/>
            </a:ext>
          </a:extLst>
        </xdr:cNvPr>
        <xdr:cNvSpPr txBox="1"/>
      </xdr:nvSpPr>
      <xdr:spPr>
        <a:xfrm>
          <a:off x="4297551" y="8753074"/>
          <a:ext cx="355112" cy="181218"/>
        </a:xfrm>
        <a:prstGeom prst="rect">
          <a:avLst/>
        </a:prstGeom>
        <a:solidFill>
          <a:srgbClr val="EBEDB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10</xdr:col>
      <xdr:colOff>6653</xdr:colOff>
      <xdr:row>27</xdr:row>
      <xdr:rowOff>9876</xdr:rowOff>
    </xdr:from>
    <xdr:ext cx="346365" cy="164936"/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4200-00003A000000}"/>
            </a:ext>
          </a:extLst>
        </xdr:cNvPr>
        <xdr:cNvSpPr txBox="1"/>
      </xdr:nvSpPr>
      <xdr:spPr>
        <a:xfrm>
          <a:off x="3449657" y="8755009"/>
          <a:ext cx="346365" cy="16493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  <xdr:oneCellAnchor>
    <xdr:from>
      <xdr:col>10</xdr:col>
      <xdr:colOff>389522</xdr:colOff>
      <xdr:row>27</xdr:row>
      <xdr:rowOff>11848</xdr:rowOff>
    </xdr:from>
    <xdr:ext cx="339725" cy="174625"/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4200-00003B000000}"/>
            </a:ext>
          </a:extLst>
        </xdr:cNvPr>
        <xdr:cNvSpPr txBox="1"/>
      </xdr:nvSpPr>
      <xdr:spPr>
        <a:xfrm>
          <a:off x="3832526" y="8756981"/>
          <a:ext cx="339725" cy="1746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200</a:t>
          </a:r>
        </a:p>
      </xdr:txBody>
    </xdr:sp>
    <xdr:clientData/>
  </xdr:oneCellAnchor>
  <xdr:oneCellAnchor>
    <xdr:from>
      <xdr:col>10</xdr:col>
      <xdr:colOff>1797861</xdr:colOff>
      <xdr:row>27</xdr:row>
      <xdr:rowOff>15633</xdr:rowOff>
    </xdr:from>
    <xdr:ext cx="385151" cy="152400"/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00000000-0008-0000-4200-00003C000000}"/>
            </a:ext>
          </a:extLst>
        </xdr:cNvPr>
        <xdr:cNvSpPr txBox="1"/>
      </xdr:nvSpPr>
      <xdr:spPr>
        <a:xfrm>
          <a:off x="5240865" y="8760766"/>
          <a:ext cx="385151" cy="152400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50M</a:t>
          </a:r>
        </a:p>
      </xdr:txBody>
    </xdr:sp>
    <xdr:clientData/>
  </xdr:oneCellAnchor>
  <xdr:oneCellAnchor>
    <xdr:from>
      <xdr:col>10</xdr:col>
      <xdr:colOff>1329680</xdr:colOff>
      <xdr:row>27</xdr:row>
      <xdr:rowOff>8792</xdr:rowOff>
    </xdr:from>
    <xdr:ext cx="365125" cy="161925"/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4200-00003D000000}"/>
            </a:ext>
          </a:extLst>
        </xdr:cNvPr>
        <xdr:cNvSpPr txBox="1"/>
      </xdr:nvSpPr>
      <xdr:spPr>
        <a:xfrm>
          <a:off x="4772684" y="8753925"/>
          <a:ext cx="365125" cy="1619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300</a:t>
          </a:r>
        </a:p>
      </xdr:txBody>
    </xdr:sp>
    <xdr:clientData/>
  </xdr:oneCellAnchor>
  <xdr:oneCellAnchor>
    <xdr:from>
      <xdr:col>13</xdr:col>
      <xdr:colOff>0</xdr:colOff>
      <xdr:row>19</xdr:row>
      <xdr:rowOff>0</xdr:rowOff>
    </xdr:from>
    <xdr:ext cx="339651" cy="187054"/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id="{00000000-0008-0000-4200-00003F000000}"/>
            </a:ext>
          </a:extLst>
        </xdr:cNvPr>
        <xdr:cNvSpPr txBox="1"/>
      </xdr:nvSpPr>
      <xdr:spPr>
        <a:xfrm>
          <a:off x="6445754" y="1310317"/>
          <a:ext cx="339651" cy="18705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800" b="1"/>
            <a:t>100</a:t>
          </a: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46352</xdr:colOff>
      <xdr:row>43</xdr:row>
      <xdr:rowOff>52707</xdr:rowOff>
    </xdr:from>
    <xdr:to>
      <xdr:col>6</xdr:col>
      <xdr:colOff>106838</xdr:colOff>
      <xdr:row>44</xdr:row>
      <xdr:rowOff>115902</xdr:rowOff>
    </xdr:to>
    <xdr:sp macro="" textlink="">
      <xdr:nvSpPr>
        <xdr:cNvPr id="2" name="Flecha derecha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SpPr/>
      </xdr:nvSpPr>
      <xdr:spPr bwMode="auto">
        <a:xfrm rot="1333820">
          <a:off x="640943" y="8065252"/>
          <a:ext cx="585804" cy="242150"/>
        </a:xfrm>
        <a:prstGeom prst="rightArrow">
          <a:avLst/>
        </a:prstGeom>
        <a:solidFill>
          <a:srgbClr val="FFFF00">
            <a:alpha val="58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s-ES_tradnl" sz="1100"/>
        </a:p>
      </xdr:txBody>
    </xdr:sp>
    <xdr:clientData/>
  </xdr:twoCellAnchor>
  <xdr:oneCellAnchor>
    <xdr:from>
      <xdr:col>3</xdr:col>
      <xdr:colOff>29901</xdr:colOff>
      <xdr:row>43</xdr:row>
      <xdr:rowOff>27675</xdr:rowOff>
    </xdr:from>
    <xdr:ext cx="742054" cy="256891"/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SpPr txBox="1"/>
      </xdr:nvSpPr>
      <xdr:spPr>
        <a:xfrm rot="1427798">
          <a:off x="560992" y="8040220"/>
          <a:ext cx="742054" cy="2568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_tradnl" sz="1100"/>
            <a:t>convnado</a:t>
          </a: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406400</xdr:colOff>
      <xdr:row>21</xdr:row>
      <xdr:rowOff>203200</xdr:rowOff>
    </xdr:from>
    <xdr:to>
      <xdr:col>31</xdr:col>
      <xdr:colOff>254000</xdr:colOff>
      <xdr:row>24</xdr:row>
      <xdr:rowOff>228600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SpPr txBox="1"/>
      </xdr:nvSpPr>
      <xdr:spPr>
        <a:xfrm>
          <a:off x="10680700" y="5245100"/>
          <a:ext cx="3175000" cy="774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>
              <a:solidFill>
                <a:srgbClr val="7030A0"/>
              </a:solidFill>
            </a:rPr>
            <a:t>Estas 7 columnas de colores suman los metros entrenados en cada color , ves como suma lo de la mañana y la tarde,  9,2 es 9.200 , lo pongo en miles porque lo arrastro al</a:t>
          </a:r>
          <a:r>
            <a:rPr lang="es-ES_tradnl" sz="1100" baseline="0">
              <a:solidFill>
                <a:srgbClr val="7030A0"/>
              </a:solidFill>
            </a:rPr>
            <a:t> total del año.</a:t>
          </a:r>
          <a:r>
            <a:rPr lang="es-ES_tradnl" sz="1100">
              <a:solidFill>
                <a:srgbClr val="7030A0"/>
              </a:solidFill>
            </a:rPr>
            <a:t> 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88</xdr:row>
      <xdr:rowOff>50800</xdr:rowOff>
    </xdr:from>
    <xdr:to>
      <xdr:col>14</xdr:col>
      <xdr:colOff>76200</xdr:colOff>
      <xdr:row>101</xdr:row>
      <xdr:rowOff>114300</xdr:rowOff>
    </xdr:to>
    <xdr:graphicFrame macro="">
      <xdr:nvGraphicFramePr>
        <xdr:cNvPr id="15653578" name="Gráfico 7">
          <a:extLst>
            <a:ext uri="{FF2B5EF4-FFF2-40B4-BE49-F238E27FC236}">
              <a16:creationId xmlns:a16="http://schemas.microsoft.com/office/drawing/2014/main" id="{00000000-0008-0000-4F00-0000CADAE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50800</xdr:colOff>
          <xdr:row>0</xdr:row>
          <xdr:rowOff>0</xdr:rowOff>
        </xdr:from>
        <xdr:to>
          <xdr:col>2</xdr:col>
          <xdr:colOff>431800</xdr:colOff>
          <xdr:row>0</xdr:row>
          <xdr:rowOff>0</xdr:rowOff>
        </xdr:to>
        <xdr:sp macro="" textlink="">
          <xdr:nvSpPr>
            <xdr:cNvPr id="34825" name="Button 9" hidden="1">
              <a:extLst>
                <a:ext uri="{63B3BB69-23CF-44E3-9099-C40C66FF867C}">
                  <a14:compatExt spid="_x0000_s34825"/>
                </a:ext>
                <a:ext uri="{FF2B5EF4-FFF2-40B4-BE49-F238E27FC236}">
                  <a16:creationId xmlns:a16="http://schemas.microsoft.com/office/drawing/2014/main" id="{00000000-0008-0000-4F00-000009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18288" rIns="18288" bIns="18288" anchor="ctr" upright="1"/>
            <a:lstStyle/>
            <a:p>
              <a:pPr algn="ctr" rtl="0">
                <a:defRPr sz="1000"/>
              </a:pPr>
              <a:r>
                <a:rPr lang="es-ES_tradnl" sz="700" b="1" i="0" u="none" strike="noStrike" baseline="0">
                  <a:solidFill>
                    <a:srgbClr val="000000"/>
                  </a:solidFill>
                  <a:latin typeface="Arial" pitchFamily="2" charset="0"/>
                  <a:cs typeface="Arial" pitchFamily="2" charset="0"/>
                </a:rPr>
                <a:t>PLAN</a:t>
              </a:r>
            </a:p>
          </xdr:txBody>
        </xdr:sp>
        <xdr:clientData fPrintsWithSheet="0"/>
      </xdr:twoCellAnchor>
    </mc:Choice>
    <mc:Fallback/>
  </mc:AlternateContent>
  <xdr:twoCellAnchor>
    <xdr:from>
      <xdr:col>3</xdr:col>
      <xdr:colOff>0</xdr:colOff>
      <xdr:row>0</xdr:row>
      <xdr:rowOff>0</xdr:rowOff>
    </xdr:from>
    <xdr:to>
      <xdr:col>3</xdr:col>
      <xdr:colOff>317500</xdr:colOff>
      <xdr:row>0</xdr:row>
      <xdr:rowOff>0</xdr:rowOff>
    </xdr:to>
    <xdr:sp macro="[0]!MESOCICLO1" textlink="">
      <xdr:nvSpPr>
        <xdr:cNvPr id="15653323" name="Texto 10">
          <a:extLst>
            <a:ext uri="{FF2B5EF4-FFF2-40B4-BE49-F238E27FC236}">
              <a16:creationId xmlns:a16="http://schemas.microsoft.com/office/drawing/2014/main" id="{00000000-0008-0000-4F00-0000CBD9EE00}"/>
            </a:ext>
          </a:extLst>
        </xdr:cNvPr>
        <xdr:cNvSpPr txBox="1">
          <a:spLocks noChangeArrowheads="1"/>
        </xdr:cNvSpPr>
      </xdr:nvSpPr>
      <xdr:spPr bwMode="auto">
        <a:xfrm>
          <a:off x="1485900" y="0"/>
          <a:ext cx="3175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M1</a:t>
          </a:r>
        </a:p>
      </xdr:txBody>
    </xdr:sp>
    <xdr:clientData/>
  </xdr:twoCellAnchor>
  <xdr:twoCellAnchor>
    <xdr:from>
      <xdr:col>3</xdr:col>
      <xdr:colOff>381000</xdr:colOff>
      <xdr:row>0</xdr:row>
      <xdr:rowOff>0</xdr:rowOff>
    </xdr:from>
    <xdr:to>
      <xdr:col>4</xdr:col>
      <xdr:colOff>177800</xdr:colOff>
      <xdr:row>0</xdr:row>
      <xdr:rowOff>0</xdr:rowOff>
    </xdr:to>
    <xdr:sp macro="[0]!MESOCICLO2" textlink="">
      <xdr:nvSpPr>
        <xdr:cNvPr id="15653324" name="Texto 11">
          <a:extLst>
            <a:ext uri="{FF2B5EF4-FFF2-40B4-BE49-F238E27FC236}">
              <a16:creationId xmlns:a16="http://schemas.microsoft.com/office/drawing/2014/main" id="{00000000-0008-0000-4F00-0000CCD9EE00}"/>
            </a:ext>
          </a:extLst>
        </xdr:cNvPr>
        <xdr:cNvSpPr txBox="1">
          <a:spLocks noChangeArrowheads="1"/>
        </xdr:cNvSpPr>
      </xdr:nvSpPr>
      <xdr:spPr bwMode="auto">
        <a:xfrm>
          <a:off x="1866900" y="0"/>
          <a:ext cx="2921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M2</a:t>
          </a:r>
        </a:p>
      </xdr:txBody>
    </xdr:sp>
    <xdr:clientData/>
  </xdr:twoCellAnchor>
  <xdr:twoCellAnchor>
    <xdr:from>
      <xdr:col>5</xdr:col>
      <xdr:colOff>76200</xdr:colOff>
      <xdr:row>0</xdr:row>
      <xdr:rowOff>0</xdr:rowOff>
    </xdr:from>
    <xdr:to>
      <xdr:col>5</xdr:col>
      <xdr:colOff>368300</xdr:colOff>
      <xdr:row>0</xdr:row>
      <xdr:rowOff>0</xdr:rowOff>
    </xdr:to>
    <xdr:sp macro="[0]!MESOCICLO4" textlink="">
      <xdr:nvSpPr>
        <xdr:cNvPr id="15653325" name="Texto 13">
          <a:extLst>
            <a:ext uri="{FF2B5EF4-FFF2-40B4-BE49-F238E27FC236}">
              <a16:creationId xmlns:a16="http://schemas.microsoft.com/office/drawing/2014/main" id="{00000000-0008-0000-4F00-0000CDD9EE00}"/>
            </a:ext>
          </a:extLst>
        </xdr:cNvPr>
        <xdr:cNvSpPr txBox="1">
          <a:spLocks noChangeArrowheads="1"/>
        </xdr:cNvSpPr>
      </xdr:nvSpPr>
      <xdr:spPr bwMode="auto">
        <a:xfrm>
          <a:off x="2552700" y="0"/>
          <a:ext cx="2921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M4</a:t>
          </a:r>
        </a:p>
      </xdr:txBody>
    </xdr:sp>
    <xdr:clientData/>
  </xdr:twoCellAnchor>
  <xdr:twoCellAnchor>
    <xdr:from>
      <xdr:col>5</xdr:col>
      <xdr:colOff>431800</xdr:colOff>
      <xdr:row>0</xdr:row>
      <xdr:rowOff>0</xdr:rowOff>
    </xdr:from>
    <xdr:to>
      <xdr:col>6</xdr:col>
      <xdr:colOff>215900</xdr:colOff>
      <xdr:row>0</xdr:row>
      <xdr:rowOff>0</xdr:rowOff>
    </xdr:to>
    <xdr:sp macro="[0]!MESOCICLO5" textlink="">
      <xdr:nvSpPr>
        <xdr:cNvPr id="15653326" name="Texto 14">
          <a:extLst>
            <a:ext uri="{FF2B5EF4-FFF2-40B4-BE49-F238E27FC236}">
              <a16:creationId xmlns:a16="http://schemas.microsoft.com/office/drawing/2014/main" id="{00000000-0008-0000-4F00-0000CED9EE00}"/>
            </a:ext>
          </a:extLst>
        </xdr:cNvPr>
        <xdr:cNvSpPr txBox="1">
          <a:spLocks noChangeArrowheads="1"/>
        </xdr:cNvSpPr>
      </xdr:nvSpPr>
      <xdr:spPr bwMode="auto">
        <a:xfrm>
          <a:off x="2908300" y="0"/>
          <a:ext cx="2794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M5</a:t>
          </a:r>
        </a:p>
      </xdr:txBody>
    </xdr:sp>
    <xdr:clientData/>
  </xdr:twoCellAnchor>
  <xdr:twoCellAnchor>
    <xdr:from>
      <xdr:col>9</xdr:col>
      <xdr:colOff>127000</xdr:colOff>
      <xdr:row>0</xdr:row>
      <xdr:rowOff>0</xdr:rowOff>
    </xdr:from>
    <xdr:to>
      <xdr:col>9</xdr:col>
      <xdr:colOff>419100</xdr:colOff>
      <xdr:row>0</xdr:row>
      <xdr:rowOff>0</xdr:rowOff>
    </xdr:to>
    <xdr:sp macro="[0]!MESOCICLO10" textlink="">
      <xdr:nvSpPr>
        <xdr:cNvPr id="15653327" name="Texto 15">
          <a:extLst>
            <a:ext uri="{FF2B5EF4-FFF2-40B4-BE49-F238E27FC236}">
              <a16:creationId xmlns:a16="http://schemas.microsoft.com/office/drawing/2014/main" id="{00000000-0008-0000-4F00-0000CFD9EE00}"/>
            </a:ext>
          </a:extLst>
        </xdr:cNvPr>
        <xdr:cNvSpPr txBox="1">
          <a:spLocks noChangeArrowheads="1"/>
        </xdr:cNvSpPr>
      </xdr:nvSpPr>
      <xdr:spPr bwMode="auto">
        <a:xfrm>
          <a:off x="4584700" y="0"/>
          <a:ext cx="2921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M10</a:t>
          </a:r>
        </a:p>
      </xdr:txBody>
    </xdr:sp>
    <xdr:clientData/>
  </xdr:twoCellAnchor>
  <xdr:twoCellAnchor>
    <xdr:from>
      <xdr:col>9</xdr:col>
      <xdr:colOff>508000</xdr:colOff>
      <xdr:row>0</xdr:row>
      <xdr:rowOff>0</xdr:rowOff>
    </xdr:from>
    <xdr:to>
      <xdr:col>10</xdr:col>
      <xdr:colOff>241300</xdr:colOff>
      <xdr:row>0</xdr:row>
      <xdr:rowOff>0</xdr:rowOff>
    </xdr:to>
    <xdr:sp macro="[0]!MESOCICLO11" textlink="">
      <xdr:nvSpPr>
        <xdr:cNvPr id="15653328" name="Texto 16">
          <a:extLst>
            <a:ext uri="{FF2B5EF4-FFF2-40B4-BE49-F238E27FC236}">
              <a16:creationId xmlns:a16="http://schemas.microsoft.com/office/drawing/2014/main" id="{00000000-0008-0000-4F00-0000D0D9EE00}"/>
            </a:ext>
          </a:extLst>
        </xdr:cNvPr>
        <xdr:cNvSpPr txBox="1">
          <a:spLocks noChangeArrowheads="1"/>
        </xdr:cNvSpPr>
      </xdr:nvSpPr>
      <xdr:spPr bwMode="auto">
        <a:xfrm>
          <a:off x="4965700" y="0"/>
          <a:ext cx="3175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M11</a:t>
          </a:r>
        </a:p>
      </xdr:txBody>
    </xdr:sp>
    <xdr:clientData/>
  </xdr:twoCellAnchor>
  <xdr:twoCellAnchor>
    <xdr:from>
      <xdr:col>10</xdr:col>
      <xdr:colOff>330200</xdr:colOff>
      <xdr:row>0</xdr:row>
      <xdr:rowOff>0</xdr:rowOff>
    </xdr:from>
    <xdr:to>
      <xdr:col>11</xdr:col>
      <xdr:colOff>38100</xdr:colOff>
      <xdr:row>0</xdr:row>
      <xdr:rowOff>0</xdr:rowOff>
    </xdr:to>
    <xdr:sp macro="[0]!MESOCICLO12" textlink="">
      <xdr:nvSpPr>
        <xdr:cNvPr id="15653329" name="Texto 17">
          <a:extLst>
            <a:ext uri="{FF2B5EF4-FFF2-40B4-BE49-F238E27FC236}">
              <a16:creationId xmlns:a16="http://schemas.microsoft.com/office/drawing/2014/main" id="{00000000-0008-0000-4F00-0000D1D9EE00}"/>
            </a:ext>
          </a:extLst>
        </xdr:cNvPr>
        <xdr:cNvSpPr txBox="1">
          <a:spLocks noChangeArrowheads="1"/>
        </xdr:cNvSpPr>
      </xdr:nvSpPr>
      <xdr:spPr bwMode="auto">
        <a:xfrm>
          <a:off x="5372100" y="0"/>
          <a:ext cx="2921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M12</a:t>
          </a:r>
        </a:p>
      </xdr:txBody>
    </xdr:sp>
    <xdr:clientData/>
  </xdr:twoCellAnchor>
  <xdr:twoCellAnchor>
    <xdr:from>
      <xdr:col>7</xdr:col>
      <xdr:colOff>469900</xdr:colOff>
      <xdr:row>0</xdr:row>
      <xdr:rowOff>0</xdr:rowOff>
    </xdr:from>
    <xdr:to>
      <xdr:col>8</xdr:col>
      <xdr:colOff>254000</xdr:colOff>
      <xdr:row>0</xdr:row>
      <xdr:rowOff>0</xdr:rowOff>
    </xdr:to>
    <xdr:sp macro="[0]!MESOCICLO8" textlink="">
      <xdr:nvSpPr>
        <xdr:cNvPr id="15653330" name="Texto 18">
          <a:extLst>
            <a:ext uri="{FF2B5EF4-FFF2-40B4-BE49-F238E27FC236}">
              <a16:creationId xmlns:a16="http://schemas.microsoft.com/office/drawing/2014/main" id="{00000000-0008-0000-4F00-0000D2D9EE00}"/>
            </a:ext>
          </a:extLst>
        </xdr:cNvPr>
        <xdr:cNvSpPr txBox="1">
          <a:spLocks noChangeArrowheads="1"/>
        </xdr:cNvSpPr>
      </xdr:nvSpPr>
      <xdr:spPr bwMode="auto">
        <a:xfrm>
          <a:off x="3937000" y="0"/>
          <a:ext cx="2794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M8</a:t>
          </a:r>
        </a:p>
      </xdr:txBody>
    </xdr:sp>
    <xdr:clientData/>
  </xdr:twoCellAnchor>
  <xdr:twoCellAnchor>
    <xdr:from>
      <xdr:col>8</xdr:col>
      <xdr:colOff>304800</xdr:colOff>
      <xdr:row>0</xdr:row>
      <xdr:rowOff>0</xdr:rowOff>
    </xdr:from>
    <xdr:to>
      <xdr:col>9</xdr:col>
      <xdr:colOff>76200</xdr:colOff>
      <xdr:row>0</xdr:row>
      <xdr:rowOff>0</xdr:rowOff>
    </xdr:to>
    <xdr:sp macro="[0]!MESOCICLO9" textlink="">
      <xdr:nvSpPr>
        <xdr:cNvPr id="15653331" name="Texto 19">
          <a:extLst>
            <a:ext uri="{FF2B5EF4-FFF2-40B4-BE49-F238E27FC236}">
              <a16:creationId xmlns:a16="http://schemas.microsoft.com/office/drawing/2014/main" id="{00000000-0008-0000-4F00-0000D3D9EE00}"/>
            </a:ext>
          </a:extLst>
        </xdr:cNvPr>
        <xdr:cNvSpPr txBox="1">
          <a:spLocks noChangeArrowheads="1"/>
        </xdr:cNvSpPr>
      </xdr:nvSpPr>
      <xdr:spPr bwMode="auto">
        <a:xfrm>
          <a:off x="4267200" y="0"/>
          <a:ext cx="2667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M9</a:t>
          </a:r>
        </a:p>
      </xdr:txBody>
    </xdr:sp>
    <xdr:clientData/>
  </xdr:twoCellAnchor>
  <xdr:twoCellAnchor>
    <xdr:from>
      <xdr:col>11</xdr:col>
      <xdr:colOff>127000</xdr:colOff>
      <xdr:row>0</xdr:row>
      <xdr:rowOff>0</xdr:rowOff>
    </xdr:from>
    <xdr:to>
      <xdr:col>11</xdr:col>
      <xdr:colOff>431800</xdr:colOff>
      <xdr:row>0</xdr:row>
      <xdr:rowOff>0</xdr:rowOff>
    </xdr:to>
    <xdr:sp macro="[0]!MESOCICLO13" textlink="">
      <xdr:nvSpPr>
        <xdr:cNvPr id="15653332" name="Texto 20">
          <a:extLst>
            <a:ext uri="{FF2B5EF4-FFF2-40B4-BE49-F238E27FC236}">
              <a16:creationId xmlns:a16="http://schemas.microsoft.com/office/drawing/2014/main" id="{00000000-0008-0000-4F00-0000D4D9EE00}"/>
            </a:ext>
          </a:extLst>
        </xdr:cNvPr>
        <xdr:cNvSpPr txBox="1">
          <a:spLocks noChangeArrowheads="1"/>
        </xdr:cNvSpPr>
      </xdr:nvSpPr>
      <xdr:spPr bwMode="auto">
        <a:xfrm>
          <a:off x="5753100" y="0"/>
          <a:ext cx="3048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M13</a:t>
          </a:r>
        </a:p>
      </xdr:txBody>
    </xdr:sp>
    <xdr:clientData/>
  </xdr:twoCellAnchor>
  <xdr:twoCellAnchor>
    <xdr:from>
      <xdr:col>11</xdr:col>
      <xdr:colOff>533400</xdr:colOff>
      <xdr:row>0</xdr:row>
      <xdr:rowOff>0</xdr:rowOff>
    </xdr:from>
    <xdr:to>
      <xdr:col>12</xdr:col>
      <xdr:colOff>241300</xdr:colOff>
      <xdr:row>0</xdr:row>
      <xdr:rowOff>0</xdr:rowOff>
    </xdr:to>
    <xdr:sp macro="[0]!MESOCICLO14" textlink="">
      <xdr:nvSpPr>
        <xdr:cNvPr id="15653333" name="Texto 21">
          <a:extLst>
            <a:ext uri="{FF2B5EF4-FFF2-40B4-BE49-F238E27FC236}">
              <a16:creationId xmlns:a16="http://schemas.microsoft.com/office/drawing/2014/main" id="{00000000-0008-0000-4F00-0000D5D9EE00}"/>
            </a:ext>
          </a:extLst>
        </xdr:cNvPr>
        <xdr:cNvSpPr txBox="1">
          <a:spLocks noChangeArrowheads="1"/>
        </xdr:cNvSpPr>
      </xdr:nvSpPr>
      <xdr:spPr bwMode="auto">
        <a:xfrm>
          <a:off x="6159500" y="0"/>
          <a:ext cx="2921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M14</a:t>
          </a:r>
        </a:p>
      </xdr:txBody>
    </xdr:sp>
    <xdr:clientData/>
  </xdr:twoCellAnchor>
  <xdr:twoCellAnchor>
    <xdr:from>
      <xdr:col>4</xdr:col>
      <xdr:colOff>241300</xdr:colOff>
      <xdr:row>0</xdr:row>
      <xdr:rowOff>0</xdr:rowOff>
    </xdr:from>
    <xdr:to>
      <xdr:col>5</xdr:col>
      <xdr:colOff>25400</xdr:colOff>
      <xdr:row>0</xdr:row>
      <xdr:rowOff>0</xdr:rowOff>
    </xdr:to>
    <xdr:sp macro="[0]!MESOCICLO3" textlink="">
      <xdr:nvSpPr>
        <xdr:cNvPr id="15653334" name="Texto 22">
          <a:extLst>
            <a:ext uri="{FF2B5EF4-FFF2-40B4-BE49-F238E27FC236}">
              <a16:creationId xmlns:a16="http://schemas.microsoft.com/office/drawing/2014/main" id="{00000000-0008-0000-4F00-0000D6D9EE00}"/>
            </a:ext>
          </a:extLst>
        </xdr:cNvPr>
        <xdr:cNvSpPr txBox="1">
          <a:spLocks noChangeArrowheads="1"/>
        </xdr:cNvSpPr>
      </xdr:nvSpPr>
      <xdr:spPr bwMode="auto">
        <a:xfrm>
          <a:off x="2222500" y="0"/>
          <a:ext cx="2794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M3</a:t>
          </a:r>
        </a:p>
      </xdr:txBody>
    </xdr:sp>
    <xdr:clientData/>
  </xdr:twoCellAnchor>
  <xdr:twoCellAnchor>
    <xdr:from>
      <xdr:col>6</xdr:col>
      <xdr:colOff>292100</xdr:colOff>
      <xdr:row>0</xdr:row>
      <xdr:rowOff>0</xdr:rowOff>
    </xdr:from>
    <xdr:to>
      <xdr:col>7</xdr:col>
      <xdr:colOff>88900</xdr:colOff>
      <xdr:row>0</xdr:row>
      <xdr:rowOff>0</xdr:rowOff>
    </xdr:to>
    <xdr:sp macro="[0]!MESOCICLO6" textlink="">
      <xdr:nvSpPr>
        <xdr:cNvPr id="15653335" name="Texto 23">
          <a:extLst>
            <a:ext uri="{FF2B5EF4-FFF2-40B4-BE49-F238E27FC236}">
              <a16:creationId xmlns:a16="http://schemas.microsoft.com/office/drawing/2014/main" id="{00000000-0008-0000-4F00-0000D7D9EE00}"/>
            </a:ext>
          </a:extLst>
        </xdr:cNvPr>
        <xdr:cNvSpPr txBox="1">
          <a:spLocks noChangeArrowheads="1"/>
        </xdr:cNvSpPr>
      </xdr:nvSpPr>
      <xdr:spPr bwMode="auto">
        <a:xfrm>
          <a:off x="3263900" y="0"/>
          <a:ext cx="2921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M6</a:t>
          </a:r>
        </a:p>
      </xdr:txBody>
    </xdr:sp>
    <xdr:clientData/>
  </xdr:twoCellAnchor>
  <xdr:twoCellAnchor>
    <xdr:from>
      <xdr:col>7</xdr:col>
      <xdr:colOff>152400</xdr:colOff>
      <xdr:row>0</xdr:row>
      <xdr:rowOff>0</xdr:rowOff>
    </xdr:from>
    <xdr:to>
      <xdr:col>7</xdr:col>
      <xdr:colOff>444500</xdr:colOff>
      <xdr:row>0</xdr:row>
      <xdr:rowOff>0</xdr:rowOff>
    </xdr:to>
    <xdr:sp macro="[0]!MESOCICLO7" textlink="">
      <xdr:nvSpPr>
        <xdr:cNvPr id="15653336" name="Texto 24">
          <a:extLst>
            <a:ext uri="{FF2B5EF4-FFF2-40B4-BE49-F238E27FC236}">
              <a16:creationId xmlns:a16="http://schemas.microsoft.com/office/drawing/2014/main" id="{00000000-0008-0000-4F00-0000D8D9EE00}"/>
            </a:ext>
          </a:extLst>
        </xdr:cNvPr>
        <xdr:cNvSpPr txBox="1">
          <a:spLocks noChangeArrowheads="1"/>
        </xdr:cNvSpPr>
      </xdr:nvSpPr>
      <xdr:spPr bwMode="auto">
        <a:xfrm>
          <a:off x="3619500" y="0"/>
          <a:ext cx="29210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7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_tradnl" sz="6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M7</a:t>
          </a:r>
        </a:p>
      </xdr:txBody>
    </xdr:sp>
    <xdr:clientData/>
  </xdr:twoCellAnchor>
  <xdr:twoCellAnchor>
    <xdr:from>
      <xdr:col>9</xdr:col>
      <xdr:colOff>149470</xdr:colOff>
      <xdr:row>3</xdr:row>
      <xdr:rowOff>114300</xdr:rowOff>
    </xdr:from>
    <xdr:to>
      <xdr:col>25</xdr:col>
      <xdr:colOff>31262</xdr:colOff>
      <xdr:row>34</xdr:row>
      <xdr:rowOff>139699</xdr:rowOff>
    </xdr:to>
    <xdr:graphicFrame macro="">
      <xdr:nvGraphicFramePr>
        <xdr:cNvPr id="15653593" name="Gráfico 25">
          <a:extLst>
            <a:ext uri="{FF2B5EF4-FFF2-40B4-BE49-F238E27FC236}">
              <a16:creationId xmlns:a16="http://schemas.microsoft.com/office/drawing/2014/main" id="{00000000-0008-0000-4F00-0000D9DAE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1</xdr:row>
      <xdr:rowOff>63500</xdr:rowOff>
    </xdr:from>
    <xdr:to>
      <xdr:col>13</xdr:col>
      <xdr:colOff>12700</xdr:colOff>
      <xdr:row>89</xdr:row>
      <xdr:rowOff>139700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" y="228600"/>
          <a:ext cx="10033000" cy="14605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ealonsoarnedo/Mac%20de%20Berio%20Dropbox/Jose%20Alonso/_SWIM!22/Junkal97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Sin%20ti&#769;tulo0*%203/Entrenos/Trabajo%2011%20PL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ealonsoarnedo/Mac%20de%20Berio%20Dropbox/Jose%20Alonso/_SWIM!22/Maider%202020_21%202doMES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ealonsoarnedo/Mac%20de%20Berio%20Dropbox/Jose%20Alonso/_SWIM!22/Maider%202021_22%201er.%20MESO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ealonsoarnedo/Dropbox/Mac%20de%20Berio's%20shared%20workspace/PEPE%20Y%20PEPE/CNEASO/Entrenos/Garazi2006-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ealonsoarnedo/Dropbox/_SWIM!22%20(1)/Maider%202020_21%202doMESO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ealonsoarnedo/Mac%20de%20Berio%20Dropbox/Jose%20Alonso/_SWIM!22/Maider%202019_20%202&#186;MESO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ealonsoarnedo/Mac%20de%20Berio%20Dropbox/Jose%20Alonso/_SWIM!22/Maider%202019_20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ealonsoarnedo/Mac%20de%20Berio%20Dropbox/Jose%20Alonso/_SWIM!22/Maider%202019_20%202&#186;MESO(2)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ealonsoarnedo/Downloads/Maider%202020_21%202do.MES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Ficha"/>
      <sheetName val="Plan"/>
      <sheetName val="Test"/>
      <sheetName val="Calculo1_8"/>
      <sheetName val="Calculo9_16"/>
      <sheetName val="Calculo17_24"/>
      <sheetName val="cal.1v-8v"/>
      <sheetName val="cal.9v -16v"/>
      <sheetName val="cal17v-24v"/>
      <sheetName val="Microc."/>
      <sheetName val="Calendario"/>
      <sheetName val="M1-V"/>
      <sheetName val="M2-V"/>
      <sheetName val="M3-V"/>
      <sheetName val="M4-V"/>
      <sheetName val="M5-V"/>
      <sheetName val="M6-V"/>
      <sheetName val="M7-V"/>
      <sheetName val="M8-V"/>
      <sheetName val="M9-V"/>
      <sheetName val="M10-V"/>
      <sheetName val="M11-V"/>
      <sheetName val="Medios"/>
      <sheetName val="M12-V"/>
      <sheetName val="M13-V"/>
      <sheetName val="M14-V"/>
      <sheetName val="M15-V"/>
      <sheetName val="M16-V"/>
      <sheetName val="M17-V"/>
      <sheetName val="M18-V"/>
      <sheetName val="M19-V"/>
      <sheetName val="Calculo de distribución"/>
      <sheetName val="Ejercicios"/>
      <sheetName val="M1"/>
      <sheetName val="M2"/>
      <sheetName val="M3"/>
      <sheetName val="M4"/>
      <sheetName val="M5"/>
      <sheetName val="M6"/>
      <sheetName val="M7"/>
      <sheetName val="M8"/>
      <sheetName val="M9"/>
      <sheetName val="M10"/>
      <sheetName val="M11"/>
      <sheetName val="M12"/>
      <sheetName val="M13"/>
      <sheetName val="M14"/>
      <sheetName val="M15"/>
      <sheetName val="M17"/>
      <sheetName val="M18"/>
      <sheetName val="M19"/>
      <sheetName val="M20"/>
      <sheetName val="M21"/>
      <sheetName val="M22"/>
      <sheetName val="M23"/>
      <sheetName val="M24"/>
      <sheetName val="RESUMEN"/>
      <sheetName val="Módulos"/>
      <sheetName val="Módulo3"/>
      <sheetName val="Junkal97p"/>
    </sheetNames>
    <definedNames>
      <definedName name="Módulos.RITMOS"/>
    </defined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TMOS"/>
      <sheetName val="Ejercicios"/>
      <sheetName val="Portada"/>
      <sheetName val="Hoja1 (2)"/>
      <sheetName val="ENUNCIADO"/>
      <sheetName val="Ficha"/>
      <sheetName val="Test"/>
      <sheetName val="Plan"/>
      <sheetName val="CAL.COMP"/>
      <sheetName val="Calendario"/>
      <sheetName val="Calculo A1-A6"/>
      <sheetName val="Microc."/>
      <sheetName val="A1"/>
      <sheetName val="A2"/>
      <sheetName val="Hoja2"/>
      <sheetName val="A3"/>
      <sheetName val="A4"/>
      <sheetName val="A5"/>
      <sheetName val="A6"/>
      <sheetName val="DIBUJO EN COLUMNA"/>
      <sheetName val="Calculo A7-A10"/>
      <sheetName val="A7"/>
      <sheetName val="A8"/>
      <sheetName val="A9"/>
      <sheetName val="A10"/>
      <sheetName val="A9-2"/>
      <sheetName val="A11-A12"/>
      <sheetName val="Hoja3"/>
      <sheetName val="Hoja4"/>
      <sheetName val="CalculoA9.A16"/>
      <sheetName val="A13"/>
      <sheetName val="A14"/>
      <sheetName val="A15"/>
      <sheetName val="A16"/>
      <sheetName val="A17"/>
      <sheetName val="Medios 2"/>
      <sheetName val="A18"/>
      <sheetName val="Hoja6"/>
      <sheetName val="A19"/>
      <sheetName val="A21"/>
      <sheetName val="A22"/>
      <sheetName val="A23"/>
      <sheetName val="A24"/>
      <sheetName val="A25"/>
      <sheetName val="A26"/>
      <sheetName val="A27C"/>
      <sheetName val="A28C"/>
      <sheetName val="Calculo A29-A32"/>
      <sheetName val="A29"/>
      <sheetName val="Previsional 200X"/>
      <sheetName val="A30"/>
      <sheetName val="A31"/>
      <sheetName val="A32"/>
      <sheetName val="Hoja7"/>
      <sheetName val="Calculo V1-V13"/>
      <sheetName val="V1"/>
      <sheetName val="V2"/>
      <sheetName val="V3"/>
      <sheetName val="V4"/>
      <sheetName val="V5"/>
      <sheetName val="V4-5Andorra Mc2"/>
      <sheetName val="V4-V5AndorraMc3"/>
      <sheetName val="V4-V5aclimatacion SS"/>
      <sheetName val="V6"/>
      <sheetName val="V7"/>
      <sheetName val="V8_PE1"/>
      <sheetName val="V9_PE2"/>
      <sheetName val="V10_PE3"/>
      <sheetName val="VB11_PE4"/>
      <sheetName val="V12PE5"/>
      <sheetName val="V13_14PE6"/>
      <sheetName val="100M  por tramos"/>
      <sheetName val="Calculo de distribución"/>
      <sheetName val="Alactico R"/>
      <sheetName val="Hoja explicativa"/>
      <sheetName val="DECALOGO"/>
      <sheetName val="RESUMEN"/>
      <sheetName val="CERT. MED."/>
      <sheetName val="Flotabilidad"/>
      <sheetName val="Módulos"/>
      <sheetName val="Módulo3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rcicios"/>
      <sheetName val="Portada"/>
      <sheetName val="Ficha"/>
      <sheetName val="Test"/>
      <sheetName val="Hoja1"/>
      <sheetName val="Calculo A1,A10"/>
      <sheetName val="RITMOS"/>
      <sheetName val="A1"/>
      <sheetName val="A2"/>
      <sheetName val="A3"/>
      <sheetName val="Hoja1 (2)"/>
      <sheetName val="A4"/>
      <sheetName val="A5"/>
      <sheetName val="A6"/>
      <sheetName val="A7"/>
      <sheetName val="A8"/>
      <sheetName val="A9-A10"/>
      <sheetName val="A9-2"/>
      <sheetName val="Hoja3"/>
      <sheetName val="Hoja4"/>
      <sheetName val="CalculoA9.A16"/>
      <sheetName val="A11"/>
      <sheetName val="A12"/>
      <sheetName val="A13"/>
      <sheetName val="A14"/>
      <sheetName val="A15"/>
      <sheetName val="A16 España 25"/>
      <sheetName val="A17"/>
      <sheetName val="Hoja6"/>
      <sheetName val="A18"/>
      <sheetName val="A19"/>
      <sheetName val="A20"/>
      <sheetName val="A21"/>
      <sheetName val="A22"/>
      <sheetName val="A23"/>
      <sheetName val="A24"/>
      <sheetName val="A25"/>
      <sheetName val="A26"/>
      <sheetName val="A27"/>
      <sheetName val="A28"/>
      <sheetName val="A29"/>
      <sheetName val="A30"/>
      <sheetName val="A31bis"/>
      <sheetName val="Previsional 200X"/>
      <sheetName val="A32"/>
      <sheetName val="A33"/>
      <sheetName val="A34"/>
      <sheetName val="Hoja7"/>
      <sheetName val="Medios 2"/>
      <sheetName val="V1"/>
      <sheetName val="V2"/>
      <sheetName val="V3"/>
      <sheetName val="V4-5 Andorra Mc1"/>
      <sheetName val="V4-5Andorra Mc2"/>
      <sheetName val="V4-V5AndorraMc3"/>
      <sheetName val="Plan"/>
      <sheetName val="V4-V5aclimatacion SS"/>
      <sheetName val="V6"/>
      <sheetName val="V7"/>
      <sheetName val="V8"/>
      <sheetName val="V9"/>
      <sheetName val="V10"/>
      <sheetName val="V11 pPE1"/>
      <sheetName val="V12pPE2"/>
      <sheetName val="V13pPE3"/>
      <sheetName val="V14PE4"/>
      <sheetName val="V15pE5"/>
      <sheetName val="V16PE6"/>
      <sheetName val="V16_17PE7"/>
      <sheetName val="100M  por tramos"/>
      <sheetName val="Hoja2"/>
      <sheetName val="Calculo de distribución"/>
      <sheetName val="Microc."/>
      <sheetName val="Alactico R"/>
      <sheetName val="Hoja explicativa"/>
      <sheetName val="DECALOGO"/>
      <sheetName val="Calendario"/>
      <sheetName val="RESUMEN"/>
      <sheetName val="CERT. MED."/>
      <sheetName val="Flotabilidad"/>
      <sheetName val="Módulos"/>
      <sheetName val="Módulo3"/>
    </sheetNames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TMOS"/>
      <sheetName val="Ejercicios"/>
      <sheetName val="Portada"/>
      <sheetName val="Hoja1 (2)"/>
      <sheetName val="Ficha"/>
      <sheetName val="Test"/>
      <sheetName val="Calendario"/>
      <sheetName val="Calculo A1,A10"/>
      <sheetName val="A1"/>
      <sheetName val="A2"/>
      <sheetName val="A3"/>
      <sheetName val="A4"/>
      <sheetName val="A5"/>
      <sheetName val="DIBUJO EN COLUMNA"/>
      <sheetName val="A6"/>
      <sheetName val="A7"/>
      <sheetName val="A9"/>
      <sheetName val="A10"/>
      <sheetName val="A9-2"/>
      <sheetName val="Hoja1"/>
      <sheetName val="A11-A12"/>
      <sheetName val="Hoja3"/>
      <sheetName val="Hoja4"/>
      <sheetName val="CalculoA9.A16"/>
      <sheetName val="A13"/>
      <sheetName val="A14"/>
      <sheetName val="A15"/>
      <sheetName val="A16"/>
      <sheetName val="A17"/>
      <sheetName val="Medios 2"/>
      <sheetName val="A18"/>
      <sheetName val="Hoja6"/>
      <sheetName val="A8"/>
      <sheetName val="A19"/>
      <sheetName val="A21"/>
      <sheetName val="A22"/>
      <sheetName val="A23"/>
      <sheetName val="A24"/>
      <sheetName val="A25"/>
      <sheetName val="A26"/>
      <sheetName val="A27C"/>
      <sheetName val="A28C"/>
      <sheetName val="A29"/>
      <sheetName val="Previsional 200X"/>
      <sheetName val="A30"/>
      <sheetName val="A31"/>
      <sheetName val="A32"/>
      <sheetName val="Hoja7"/>
      <sheetName val="Plan"/>
      <sheetName val="V1"/>
      <sheetName val="V2"/>
      <sheetName val="V3"/>
      <sheetName val="V4-5 Andorra Mc1"/>
      <sheetName val="V4-5Andorra Mc2"/>
      <sheetName val="V4-V5AndorraMc3"/>
      <sheetName val="V4-V5aclimatacion SS"/>
      <sheetName val="V6"/>
      <sheetName val="V7"/>
      <sheetName val="V8"/>
      <sheetName val="V9"/>
      <sheetName val="V10"/>
      <sheetName val="V11 pPE1"/>
      <sheetName val="V12pPE2"/>
      <sheetName val="V13pPE3"/>
      <sheetName val="V14PE4"/>
      <sheetName val="V15pE5"/>
      <sheetName val="V16PE6"/>
      <sheetName val="V16_17PE7"/>
      <sheetName val="100M  por tramos"/>
      <sheetName val="Calculo de distribución"/>
      <sheetName val="Microc."/>
      <sheetName val="Alactico R"/>
      <sheetName val="Hoja explicativa"/>
      <sheetName val="DECALOGO"/>
      <sheetName val="RESUMEN"/>
      <sheetName val="CERT. MED."/>
      <sheetName val="Flotabilidad"/>
      <sheetName val="Módulos"/>
      <sheetName val="Módulo3"/>
      <sheetName val="Maider 2021_22 1er. MESO"/>
    </sheetNames>
    <definedNames>
      <definedName name="AutoShape425_AlHacerClic"/>
    </definedNames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os"/>
      <sheetName val="Ejercicios"/>
      <sheetName val="Portada"/>
      <sheetName val="Ficha"/>
      <sheetName val="Test"/>
      <sheetName val="Plan"/>
      <sheetName val="Microplan"/>
      <sheetName val="CalculoA1.A8"/>
      <sheetName val="Calculo de distribución"/>
      <sheetName val="A1"/>
      <sheetName val="A2bis"/>
      <sheetName val="A2"/>
      <sheetName val="A3"/>
      <sheetName val="A4"/>
      <sheetName val="Choque 1"/>
      <sheetName val="A5"/>
      <sheetName val="A6"/>
      <sheetName val="A7"/>
      <sheetName val="A8"/>
      <sheetName val="CalculoA9.A16"/>
      <sheetName val="A9"/>
      <sheetName val="A10"/>
      <sheetName val="A11"/>
      <sheetName val="A12"/>
      <sheetName val="A13"/>
      <sheetName val="A14-15"/>
      <sheetName val="A15-16"/>
      <sheetName val="A17"/>
      <sheetName val="M.del m."/>
      <sheetName val="Medios 2"/>
      <sheetName val="Calendario"/>
      <sheetName val="Microc."/>
      <sheetName val="CalculoA18.A27 "/>
      <sheetName val="A18"/>
      <sheetName val="A19"/>
      <sheetName val="A20"/>
      <sheetName val="A21"/>
      <sheetName val="A22"/>
      <sheetName val="A23"/>
      <sheetName val="A24"/>
      <sheetName val="A25"/>
      <sheetName val="A26"/>
      <sheetName val="A27"/>
      <sheetName val="A27G"/>
      <sheetName val="CalculoA28.v3"/>
      <sheetName val="A28"/>
      <sheetName val="A29"/>
      <sheetName val="A30"/>
      <sheetName val="A31"/>
      <sheetName val="V1"/>
      <sheetName val="V2"/>
      <sheetName val="V3"/>
      <sheetName val="Calculo V4-V12"/>
      <sheetName val="V4"/>
      <sheetName val="V5"/>
      <sheetName val="V6"/>
      <sheetName val="V7"/>
      <sheetName val="V8"/>
      <sheetName val="V9"/>
      <sheetName val="V10"/>
      <sheetName val="V11"/>
      <sheetName val="V12"/>
      <sheetName val="Calculo V11-V16"/>
      <sheetName val="V13"/>
      <sheetName val="RESUMEN"/>
      <sheetName val="Módulos"/>
      <sheetName val="Módulo3"/>
    </sheetNames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rcicios"/>
      <sheetName val="Portada"/>
      <sheetName val="Ficha"/>
      <sheetName val="Test"/>
      <sheetName val="Hoja1"/>
      <sheetName val="Calculo A1,A10"/>
      <sheetName val="RITMOS"/>
      <sheetName val="A1"/>
      <sheetName val="A2"/>
      <sheetName val="A3"/>
      <sheetName val="Hoja1 (2)"/>
      <sheetName val="A4"/>
      <sheetName val="A5"/>
      <sheetName val="A6"/>
      <sheetName val="A7"/>
      <sheetName val="A8"/>
      <sheetName val="A9-A10"/>
      <sheetName val="A9-2"/>
      <sheetName val="Hoja3"/>
      <sheetName val="Hoja4"/>
      <sheetName val="CalculoA9.A16"/>
      <sheetName val="A11"/>
      <sheetName val="A12"/>
      <sheetName val="A13"/>
      <sheetName val="A14"/>
      <sheetName val="A15"/>
      <sheetName val="A16 España 25"/>
      <sheetName val="A17"/>
      <sheetName val="Hoja6"/>
      <sheetName val="A18"/>
      <sheetName val="A19"/>
      <sheetName val="A20"/>
      <sheetName val="A21"/>
      <sheetName val="A22"/>
      <sheetName val="A23"/>
      <sheetName val="A24"/>
      <sheetName val="A25"/>
      <sheetName val="A26"/>
      <sheetName val="A27"/>
      <sheetName val="A28"/>
      <sheetName val="A29"/>
      <sheetName val="A30"/>
      <sheetName val="A31bis"/>
      <sheetName val="Previsional 200X"/>
      <sheetName val="A32"/>
      <sheetName val="A33"/>
      <sheetName val="A34"/>
      <sheetName val="Hoja7"/>
      <sheetName val="Medios 2"/>
      <sheetName val="V1"/>
      <sheetName val="V2"/>
      <sheetName val="V3"/>
      <sheetName val="V4-5 Andorra Mc1"/>
      <sheetName val="V4-5Andorra Mc2"/>
      <sheetName val="V4-V5AndorraMc3"/>
      <sheetName val="Plan"/>
      <sheetName val="V4-V5aclimatacion SS"/>
      <sheetName val="V6"/>
      <sheetName val="V7"/>
      <sheetName val="V8"/>
      <sheetName val="V9"/>
      <sheetName val="V10"/>
      <sheetName val="V11 pPE1"/>
      <sheetName val="V12pPE2"/>
      <sheetName val="V13pPE3"/>
      <sheetName val="V14PE4"/>
      <sheetName val="V15pE5"/>
      <sheetName val="V16PE6"/>
      <sheetName val="V16_17PE7"/>
      <sheetName val="100M  por tramos"/>
      <sheetName val="Hoja2"/>
      <sheetName val="Calculo de distribución"/>
      <sheetName val="Microc."/>
      <sheetName val="Alactico R"/>
      <sheetName val="Hoja explicativa"/>
      <sheetName val="DECALOGO"/>
      <sheetName val="Calendario"/>
      <sheetName val="RESUMEN"/>
      <sheetName val="CERT. MED."/>
      <sheetName val="Flotabilidad"/>
      <sheetName val="Módulos"/>
      <sheetName val="Módulo3"/>
    </sheetNames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o de distribución"/>
      <sheetName val="Ejercicios"/>
      <sheetName val="Portada"/>
      <sheetName val="Ficha"/>
      <sheetName val="Test"/>
      <sheetName val="Hoja1"/>
      <sheetName val="Calculo A1,A10"/>
      <sheetName val="RITMOS"/>
      <sheetName val="A1"/>
      <sheetName val="A2"/>
      <sheetName val="A3"/>
      <sheetName val="Hoja1 (2)"/>
      <sheetName val="A4"/>
      <sheetName val="A5"/>
      <sheetName val="A6"/>
      <sheetName val="A7"/>
      <sheetName val="A8"/>
      <sheetName val="A9-A10"/>
      <sheetName val="A9-2"/>
      <sheetName val="Hoja3"/>
      <sheetName val="Hoja4"/>
      <sheetName val="CalculoA9.A16"/>
      <sheetName val="A11"/>
      <sheetName val="A12"/>
      <sheetName val="A13"/>
      <sheetName val="A14"/>
      <sheetName val="A15"/>
      <sheetName val="A16"/>
      <sheetName val="A17"/>
      <sheetName val="A.2.18"/>
      <sheetName val="A.2.19"/>
      <sheetName val="CalculoA18.A27 "/>
      <sheetName val="A.2.20"/>
      <sheetName val="Medios 2"/>
      <sheetName val="A.2.21"/>
      <sheetName val="A.2.22"/>
      <sheetName val="A.2.23"/>
      <sheetName val="A.2.24"/>
      <sheetName val="A.2.25"/>
      <sheetName val="A.2.26"/>
      <sheetName val="A.2.27"/>
      <sheetName val="A.2.28"/>
      <sheetName val="Plan"/>
      <sheetName val="A.C28"/>
      <sheetName val="A.C30"/>
      <sheetName val="A.C31"/>
      <sheetName val="A.C32"/>
      <sheetName val="V.C1"/>
      <sheetName val="Hoja2"/>
      <sheetName val="V.C2"/>
      <sheetName val="CORONATEST 200"/>
      <sheetName val="V.C3"/>
      <sheetName val="CORONATEST 100"/>
      <sheetName val="V.C4"/>
      <sheetName val="Coronatest de Co2 max"/>
      <sheetName val="V.C5"/>
      <sheetName val="CORONATEST PROGRIDONEO"/>
      <sheetName val="V.C6"/>
      <sheetName val="Coronatest de la V. muerta"/>
      <sheetName val="V.C7"/>
      <sheetName val="V.C8"/>
      <sheetName val="V.C9_A2.22"/>
      <sheetName val="V.C10_A23"/>
      <sheetName val="V.C11_A24"/>
      <sheetName val="V12_A25"/>
      <sheetName val="V13_A26"/>
      <sheetName val="meso a ROMA"/>
      <sheetName val="Calculo V1-V16"/>
      <sheetName val="R1_V14_A27"/>
      <sheetName val="R2_V15_A28"/>
      <sheetName val="R3_V16_A29"/>
      <sheetName val="R4_V17"/>
      <sheetName val="Alactico R"/>
      <sheetName val="Coronatest pulsaciones"/>
      <sheetName val="Hoja explicativa"/>
      <sheetName val="CalculoA28.v3"/>
      <sheetName val="A31"/>
      <sheetName val="DECALOGO"/>
      <sheetName val="Calendario"/>
      <sheetName val="Microc."/>
      <sheetName val="RESUMEN"/>
      <sheetName val="Entreno2"/>
      <sheetName val="tecnica V3"/>
      <sheetName val="Tecnica V4"/>
      <sheetName val="CERT. MED."/>
      <sheetName val="Gran Prix"/>
      <sheetName val="Flotabilidad"/>
      <sheetName val="Módulos"/>
      <sheetName val="Módulo3"/>
      <sheetName val="V2"/>
      <sheetName val="V3"/>
      <sheetName val="V4"/>
      <sheetName val="A14-15"/>
      <sheetName val="V5"/>
      <sheetName val="V6"/>
      <sheetName val="V7"/>
      <sheetName val="V8"/>
      <sheetName val="V9"/>
      <sheetName val="V10"/>
      <sheetName val="V11"/>
      <sheetName val="V12"/>
      <sheetName val="V13-14"/>
    </sheetNames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o de distribución"/>
      <sheetName val="Ejercicios"/>
      <sheetName val="Portada"/>
      <sheetName val="Ficha"/>
      <sheetName val="Test"/>
      <sheetName val="Calculo A1,A10"/>
      <sheetName val="RITMOS"/>
      <sheetName val="Plan"/>
      <sheetName val="Medios 2"/>
      <sheetName val="A1"/>
      <sheetName val="A2"/>
      <sheetName val="A3"/>
      <sheetName val="A4"/>
      <sheetName val="A5"/>
      <sheetName val="A6"/>
      <sheetName val="A7"/>
      <sheetName val="A8"/>
      <sheetName val="A9-A10"/>
      <sheetName val="A9-2"/>
      <sheetName val="Hoja3"/>
      <sheetName val="Hoja4"/>
      <sheetName val="CalculoA9.A16"/>
      <sheetName val="A11"/>
      <sheetName val="A12"/>
      <sheetName val="A13"/>
      <sheetName val="A14"/>
      <sheetName val="A15"/>
      <sheetName val="A16"/>
      <sheetName val="A17"/>
      <sheetName val="A18"/>
      <sheetName val="A19"/>
      <sheetName val="CalculoA18.A27 "/>
      <sheetName val="A20"/>
      <sheetName val="A21"/>
      <sheetName val="A22"/>
      <sheetName val="A23"/>
      <sheetName val="A24"/>
      <sheetName val="Hoja2"/>
      <sheetName val="A25"/>
      <sheetName val="A26"/>
      <sheetName val="A27"/>
      <sheetName val="CalculoA28.v3"/>
      <sheetName val="A28"/>
      <sheetName val="A29"/>
      <sheetName val="A30"/>
      <sheetName val="A31"/>
      <sheetName val="A14-15"/>
      <sheetName val="DECALOGO"/>
      <sheetName val="Calendario"/>
      <sheetName val="Calculo V1-V16"/>
      <sheetName val="Microc."/>
      <sheetName val="V1"/>
      <sheetName val="V2"/>
      <sheetName val="V3"/>
      <sheetName val="V4"/>
      <sheetName val="V5"/>
      <sheetName val="V6"/>
      <sheetName val="V7"/>
      <sheetName val="V8"/>
      <sheetName val="V9"/>
      <sheetName val="V10"/>
      <sheetName val="V11"/>
      <sheetName val="V12"/>
      <sheetName val="V13-14"/>
      <sheetName val="RESUMEN"/>
      <sheetName val="Entreno2"/>
      <sheetName val="tecnica V3"/>
      <sheetName val="Tecnica V4"/>
      <sheetName val="CERT. MED."/>
      <sheetName val="Gran Prix"/>
      <sheetName val="Flotabilidad"/>
      <sheetName val="Módulos"/>
      <sheetName val="Módulo3"/>
      <sheetName val="Hoja1"/>
    </sheet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o de distribución"/>
      <sheetName val="Ejercicios"/>
      <sheetName val="Portada"/>
      <sheetName val="Ficha"/>
      <sheetName val="Test"/>
      <sheetName val="Hoja1"/>
      <sheetName val="Calculo A1,A10"/>
      <sheetName val="RITMOS"/>
      <sheetName val="Plan"/>
      <sheetName val="A1"/>
      <sheetName val="A2"/>
      <sheetName val="A3"/>
      <sheetName val="Hoja1 (2)"/>
      <sheetName val="A4"/>
      <sheetName val="A5"/>
      <sheetName val="A6"/>
      <sheetName val="A7"/>
      <sheetName val="A8"/>
      <sheetName val="A9-A10"/>
      <sheetName val="A9-2"/>
      <sheetName val="Hoja3"/>
      <sheetName val="Hoja4"/>
      <sheetName val="CalculoA9.A16"/>
      <sheetName val="A11"/>
      <sheetName val="A12"/>
      <sheetName val="A13"/>
      <sheetName val="A14"/>
      <sheetName val="A15"/>
      <sheetName val="A16"/>
      <sheetName val="A17"/>
      <sheetName val="A.2.18"/>
      <sheetName val="A.2.19"/>
      <sheetName val="CalculoA18.A27 "/>
      <sheetName val="A.2.20"/>
      <sheetName val="Medios 2"/>
      <sheetName val="A.2.21"/>
      <sheetName val="A.2.22"/>
      <sheetName val="A.2.23"/>
      <sheetName val="A.2.24"/>
      <sheetName val="A.2.25"/>
      <sheetName val="A.2.26"/>
      <sheetName val="A.2.27"/>
      <sheetName val="A.2.28"/>
      <sheetName val="A.C28"/>
      <sheetName val="A.C30"/>
      <sheetName val="A.C31"/>
      <sheetName val="A.C32"/>
      <sheetName val="V.C1"/>
      <sheetName val="V2"/>
      <sheetName val="V3"/>
      <sheetName val="V4"/>
      <sheetName val="A31"/>
      <sheetName val="Hoja explicativa"/>
      <sheetName val="CalculoA28.v3"/>
      <sheetName val="A14-15"/>
      <sheetName val="DECALOGO"/>
      <sheetName val="Calendario"/>
      <sheetName val="Calculo V1-V16"/>
      <sheetName val="Microc."/>
      <sheetName val="V5"/>
      <sheetName val="V6"/>
      <sheetName val="V7"/>
      <sheetName val="V8"/>
      <sheetName val="V9"/>
      <sheetName val="V10"/>
      <sheetName val="V11"/>
      <sheetName val="V12"/>
      <sheetName val="V13-14"/>
      <sheetName val="RESUMEN"/>
      <sheetName val="Entreno2"/>
      <sheetName val="tecnica V3"/>
      <sheetName val="Tecnica V4"/>
      <sheetName val="CERT. MED."/>
      <sheetName val="Gran Prix"/>
      <sheetName val="Flotabilidad"/>
      <sheetName val="Módulos"/>
      <sheetName val="Módulo3"/>
    </sheetNames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rcicios"/>
      <sheetName val="Portada"/>
      <sheetName val="Ficha"/>
      <sheetName val="Test"/>
      <sheetName val="Hoja1"/>
      <sheetName val="Calculo A1,A10"/>
      <sheetName val="RITMOS"/>
      <sheetName val="A1"/>
      <sheetName val="A2"/>
      <sheetName val="A3"/>
      <sheetName val="Hoja1 (2)"/>
      <sheetName val="A4"/>
      <sheetName val="A5"/>
      <sheetName val="A6"/>
      <sheetName val="A7"/>
      <sheetName val="A8"/>
      <sheetName val="A9-A10"/>
      <sheetName val="A9-2"/>
      <sheetName val="Hoja3"/>
      <sheetName val="Hoja4"/>
      <sheetName val="CalculoA9.A16"/>
      <sheetName val="A11"/>
      <sheetName val="A12"/>
      <sheetName val="A13"/>
      <sheetName val="A14"/>
      <sheetName val="A15"/>
      <sheetName val="A16 España 25"/>
      <sheetName val="A17"/>
      <sheetName val="Hoja6"/>
      <sheetName val="A18"/>
      <sheetName val="A19"/>
      <sheetName val="A20"/>
      <sheetName val="A21"/>
      <sheetName val="A22"/>
      <sheetName val="A23"/>
      <sheetName val="A24"/>
      <sheetName val="A25"/>
      <sheetName val="A26"/>
      <sheetName val="A27"/>
      <sheetName val="A28"/>
      <sheetName val="A29"/>
      <sheetName val="A30"/>
      <sheetName val="A31bis"/>
      <sheetName val="Previsional 200X"/>
      <sheetName val="A32"/>
      <sheetName val="A33"/>
      <sheetName val="A34"/>
      <sheetName val="Hoja7"/>
      <sheetName val="Medios 2"/>
      <sheetName val="V1"/>
      <sheetName val="V2"/>
      <sheetName val="V3"/>
      <sheetName val="V4-5 Andorra Mc1"/>
      <sheetName val="V4-5Andorra Mc2"/>
      <sheetName val="V4-V5AndorraMc3"/>
      <sheetName val="Plan"/>
      <sheetName val="V4-V5aclimatacion SS"/>
      <sheetName val="V6"/>
      <sheetName val="V7"/>
      <sheetName val="V8"/>
      <sheetName val="V9"/>
      <sheetName val="V10"/>
      <sheetName val="V11 pPE1"/>
      <sheetName val="V12pPE2"/>
      <sheetName val="V13pPE3"/>
      <sheetName val="V14PE4"/>
      <sheetName val="V15pE5"/>
      <sheetName val="V16PE6"/>
      <sheetName val="V16_17PE7"/>
      <sheetName val="100M  por tramos"/>
      <sheetName val="Calculo de distribución"/>
      <sheetName val="Microc."/>
      <sheetName val="Alactico R"/>
      <sheetName val="Hoja explicativa"/>
      <sheetName val="DECALOGO"/>
      <sheetName val="Calendario"/>
      <sheetName val="RESUMEN"/>
      <sheetName val="CERT. MED."/>
      <sheetName val="Flotabilidad"/>
      <sheetName val="Módulos"/>
      <sheetName val="Módulo3"/>
    </sheetNames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22T10:10:52.794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32 7 24575,'43'65'0,"-1"0"0,1-1 0,-1 1 0,0 0 0,1-2 0,-12-10 0,1-2 0,10 11 0,0 2 0,2-2 0,-3 1 0,1-1 0,1 1 0</inkml:trace>
  <inkml:trace contextRef="#ctx0" brushRef="#br0" timeOffset="1">12 9 24575,'0'18'0,"0"-1"0,-2 2 0,1 10 0,-1-15 0,0 11 0,1-10 0,1-4 0,0 0 0,0-3 0,0-3 0,0 0 0,0-3 0,0 0 0,0-2 0,1-12 0,-3 3 0,3-5 0,-4 7 0</inkml:trace>
  <inkml:trace contextRef="#ctx0" brushRef="#br0" timeOffset="2">46 0 24575,'27'8'0,"-2"0"0,-2-2 0,-4-2 0,-9 1 0,0-3 0,-7 0 0,-1 1 0,-1-3 0,0 2 0,0-1 0,0 0 0,0 1 0,1-2 0,1 3 0,1 0 0,1-1 0,-2 0 0,-1-1 0,-1-1 0,-1-1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22T10:10:52.797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319 0 24575,'-7'21'0,"-3"-2"0,0 2 0,-2 2 0,1-1 0,-2 2 0,2 0 0,-4-1 0,5 1 0,-4 2 0,1-1 0,1 1 0,0-3 0,1-3 0,2-1 0,2-5 0,4-5 0,0 0 0,-1-2 0,2 2 0,-1-2 0,1 2 0,0 1 0,-2-1 0,2 3 0,-2 2 0,-1 0 0,1 2 0,-2 2 0,2-3 0,0 1 0,0 0 0,2-2 0,-1 0 0,2-1 0,-1-1 0,1-2 0,-2 2 0,1-2 0,-1-1 0,0-2 0,-2 2 0,0-2 0,1 4 0,-2 0 0,-1 0 0,1 2 0,-2 2 0,0 0 0,3-1 0,2-5 0,-1-4 0,3-1 0,0-3 0,1 1 0,-1-1 0,0 0 0,1 0 0,0 0 0,0 0 0</inkml:trace>
  <inkml:trace contextRef="#ctx0" brushRef="#br0" timeOffset="1">323 13 24575,'-14'8'0,"-1"-1"0,0 1 0,1 2 0,0-1 0,5-3 0,-1 1 0,5-2 0,0-3 0,3-2 0,1 1 0,-1 1 0,-2 1 0,1 1 0,0 1 0,-2-1 0,3 1 0,0-3 0,10-9 0,-7 6 0,7-4 0</inkml:trace>
  <inkml:trace contextRef="#ctx0" brushRef="#br0" timeOffset="2">321 11 24575,'-2'20'0,"0"0"0,4 0 0,-2-2 0,1-4 0,-1-2 0,0-8 0,0-4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22T10:10:52.800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42 720 24575,'16'-25'0,"2"-10"0,4-11 0,2-5 0,-1 7 0,-3 5 0,-6 12 0,-1-1 0,-3 7 0,0 3 0,-2 6 0,-1-1 0,0 3 0,1 2 0,1 0 0,0-2 0,1 1 0,1-5 0,-2 1 0,3-2 0,-3 2 0,1 0 0,-4 3 0,1 0 0,0 3 0,0-2 0,0 0 0,2-3 0,0-1 0,2-4 0,-2 2 0,1 2 0,-3 1 0,-1 3 0,1-1 0,0 0 0,-1 0 0,1 2 0,-2 0 0,-2 3 0,0 1 0,-2 2 0,1 0 0,-1 0 0,0-2 0,3 0 0,-1-3 0,-1 3 0,0-4 0,-1 5 0,0 2 0,0 0 0,0-1 0,0 0 0,0-1 0,0 2 0,1-2 0,2 2 0,-1-2 0,0 1 0,-2 1 0,-1 0 0,1 1 0</inkml:trace>
  <inkml:trace contextRef="#ctx0" brushRef="#br0" timeOffset="1">66 719 24575,'22'-14'0,"4"-2"0,1-3 0,2-2 0,-1 1 0,-7 5 0,-8 5 0,-5 4 0,-5 3 0,-2 2 0,1 0 0,3-2 0,-1 1 0,5-3 0,-3 2 0,-4 1 0,0 2 0,-2-1 0,-1 1 0</inkml:trace>
  <inkml:trace contextRef="#ctx0" brushRef="#br0" timeOffset="2">44 697 24575,'-13'-21'0,"2"4"0,2 2 0,3 4 0,3 2 0,2 0 0,0-1 0,1-1 0,0-1 0,0-1 0,1 3 0,0-1 0,1 1 0,-1 4 0,0-1 0,-1 3 0,1 1 0,-1 2 0,0 0 0,0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22T10:10:52.803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1 24575,'4'10'0,"2"3"0,2 7 0,10 13 0,3 9 0,4 14 0,0-5 0,-2 4 0,-5-21 0,-5-1 0,-6-14 0,-3-8 0,-4-6 0,2-1 0,-1 0 0,-1 3 0,1-1 0,0 2 0,1-4 0,-1 1 0,1 2 0,-1 1 0,3 1 0,2 6 0,1 0 0,1 3 0,-2-1 0,3 2 0,-2-1 0,2 3 0,-3-3 0,2 2 0,-1-4 0,0-1 0,-3-4 0,2-2 0,-1-1 0,0 0 0,-1 0 0,0 0 0,1 0 0,0-1 0,1 0 0,-3-1 0,0-1 0,-1 0 0,-1-2 0,-1 1 0,2 2 0,4 4 0,0 2 0,2-1 0,-3-3 0,-1-1 0,-3-4 0,1 0 0,-1-1 0,0 3 0,0-4 0,0 1 0,0 0 0,0 0 0,0 2 0,1 0 0,0 0 0,-1-3 0,0 1 0,-1-1 0</inkml:trace>
  <inkml:trace contextRef="#ctx0" brushRef="#br0" timeOffset="1">417 829 24575,'0'-11'0,"0"-1"0,0 0 0,1-4 0,0-3 0,-1-1 0,1-2 0,-3 0 0,-2-2 0,-5 1 0,-2 1 0,3 6 0,3 8 0,4 6 0,3 4 0,1 1 0,0-1 0,-1-2 0</inkml:trace>
  <inkml:trace contextRef="#ctx0" brushRef="#br0" timeOffset="2">358 820 24575,'-9'-6'0,"-3"0"0,1 0 0,-2 0 0,1 2 0,1-2 0,-2 1 0,3 2 0,-2 0 0,3 0 0,2 0 0,4 2 0,-1-1 0,3 1 0,1 1 0,-1-1 0,0 0 0,0 0 0,-2 1 0,1 0 0,-5 0 0,3 0 0,-1 0 0,-3-1 0,4-1 0,0 0 0,0 1 0,2 0 0,0 0 0,2 1 0,-1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22T10:10:52.806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64 33 24575,'4'7'0,"2"1"0,0 2 0,2-1 0,-3 0 0,1 0 0,-1-4 0,-2-1 0,-2-2 0,2-4 0,7-1 0,3-2 0,2-3 0,-4 3 0,-1 0 0,0 0 0,-3 2 0,1 1 0,-4-1 0,2 0 0,0-1 0,-2 1 0,1 0 0,-1-1 0,0 1 0,-1 1 0,-1 0 0,0 0 0,1 2 0,-2-1 0,0 1 0,0 0 0,0-1 0,0 3 0,0 10 0,-1 2 0,2 4 0,-1-7 0,1-3 0,-1-4 0,2 0 0,-1-2 0,-1 0 0,1-1 0,-2-1 0,3 0 0,-1-1 0,4-2 0,-1 2 0,2-1 0,-1-1 0,1 0 0,0 0 0,1 0 0,0 0 0,4-1 0,4 0 0,6-1 0,-1 0 0,0 1 0,-8 1 0,-4-1 0,-5 2 0,-1 0 0,-1 1 0,-1 0 0,1 0 0,-1 0 0,1 0 0,-1 1 0,-1 7 0,0-1 0,0 5 0,0-5 0,1-4 0,5-2 0,2-1 0,16-4 0,-1-1 0,11-1 0,-6 0 0,-3-1 0,-9 4 0,-5 0 0,-8 3 0,0-1 0,-1 2 0,-1-1 0,0 1 0,1 1 0,0 1 0,-1 0 0,2 4 0,2 1 0,1 0 0,1-2 0,-1-2 0,-3 0 0,2-2 0,9 1 0,12-2 0,4 0 0,7 0 0,-6 0 0,2-2 0,-6 1 0,-5-1 0,-7 1 0,-5 1 0,-3-2 0,-2 2 0,1-1 0,4 0 0,1 0 0,-1 0 0,1-1 0,1 0 0,0 1 0,-2-1 0,-1 0 0,-2 1 0,-1 1 0,-4-1 0,-1 2 0,-1-1 0,2 6 0,2 0 0,3 3 0,-1-3 0,-3-3 0,2-3 0,1-2 0,4-1 0,3-3 0,1-1 0,6 0 0,-4 1 0,1 1 0,0 4 0,-1 0 0,2 0 0,4-3 0,-1 3 0,3-2 0,-4 0 0,-4 0 0,-7 2 0,-4 0 0,-2 7 0,4 5 0,3 5 0,4-1 0,1-5 0,-1-7 0,-2-2 0,0-3 0,-3-2 0,1 1 0,-1-2 0,-2 1 0,0 0 0,-1 1 0,-2 3 0,0-1 0,2 1 0,0 0 0,-1-1 0,0 1 0,-3 0 0,0 0 0,-1 1 0,2 0 0,2 1 0,1 0 0,2-1 0,1 1 0,4-4 0,7-1 0,-1-1 0,9-1 0,-9 0 0,3-1 0,-7 4 0,-4 1 0,-6 0 0,0-2 0,0 2 0,1-3 0,2 1 0,0-2 0,1 0 0,3 2 0,10-1 0,2 0 0,5 2 0,-10 1 0,-8-1 0,-6 2 0,-4 3 0,2 6 0,5 7 0,2 3 0,4 2 0,-2-7 0,-1-1 0,-6-7 0,-1-3 0,-1-2 0,-1-1 0,2 1 0,10-1 0,1 0 0,4-1 0,1 0 0,-2-3 0,6 0 0,-6-1 0,2 1 0,-6 2 0,-5 0 0,-1 0 0,-3 2 0,-1-1 0,2 1 0,0-2 0,4 1 0,-2 0 0,3 0 0,-7 1 0,0 0 0,-3 0 0,4 0 0,5 1 0,2 1 0,3-2 0,-2 3 0,-5-4 0,-3 1 0,0-2 0,-1 1 0,-1-1 0,-2 2 0,-1-1 0,0 0 0,-1 0 0,1-1 0,-1 1 0,0 0 0,0-1 0,1-1 0,0 2 0,-1 0 0,-9 7 0,1 1 0,-6 6 0,1 1 0,3 1 0,-5 0 0,0 0 0,2-4 0,2-4 0,4-1 0,2-3 0,4 0 0,1-2 0,0 0 0,2 1 0,0-1 0,2 1 0,1-2 0,5 0 0,-1 1 0,4-2 0,1 1 0,4-1 0,-2 0 0,2 1 0,-3 2 0,-5-1 0,-4 0 0,-5 2 0,-12 0 0,-18 5 0,-22 5 0,1 1 0,1-1 0,21-4 0,17-3 0,5-4 0,7-2 0,7 2 0,0 0 0,6 0 0,0 4 0,3 0 0,-3 0 0,-3 0 0,0 0 0,-5 0 0,-1 0 0,-2-3 0,-2 0 0,-1 1 0,-6-2 0,-3-2 0,-9 0 0,3 1 0,0-1 0,7 1 0,6-1 0,2 1 0,8 4 0,7 2 0,6 2 0,4-1 0,-6-5 0,-5-1 0,-5-3 0,-6 0 0,-1 0 0,-8-1 0,-8 2 0,-6 2 0,-9 4 0,2 1 0,0 1 0,8-2 0,5-1 0,3-3 0,-1-2 0,3 0 0,-1 0 0,3 0 0,3 0 0,0 0 0,1 0 0,4-2 0,3-2 0,4-1 0,-2-1 0,-1 1 0,-3 3 0,-4 2 0,-6-1 0,-8 4 0,-8 4 0,-9 6 0,-6 9 0,5-4 0,8-4 0,16-7 0,9-6 0,3-5 0,1-2 0,1-1 0,-3 3 0,-6-1 0,-6 2 0,-10 0 0,-3 2 0,-7 4 0,5 1 0,3 4 0,7-4 0,7 1 0,8-6 0,6-3 0,-1-1 0,2 0 0,-4 3 0,-9 0 0,-16 1 0,-21-1 0,-13-3 0,-27-2 0,3-2 0,0 0 0,21 4 0,25 3 0,25 2 0,7 1 0,4 1 0,5 2 0,0 2 0,1 4 0,1-1 0,-3-1 0,-2-5 0,0 0 0,-2-2 0,-6-1 0,-5-2 0,-16 1 0,-13-1 0,-15 2 0,2-1 0,-1 2 0,22-1 0,13 0 0,10 0 0,12-1 0,2-1 0,1-1 0,-1 2 0,-1 1 0,-3 0 0,-12 1 0,-3 0 0,-12 3 0,1-1 0,-3 0 0,7-2 0,-2-1 0,11-1 0,9 0 0,14 0 0,1-1 0,6 1 0,-12-2 0,-4 1 0,-2 1 0,-5-1 0,-5-2 0,-16 0 0,-8 1 0,-4 2 0,1 3 0,6 2 0,10 0 0,5-1 0,12-2 0,7-1 0,2 0 0,6 0 0,-2 0 0,0-1 0,-4-2 0,0 1 0,-3 0 0,0-3 0,-4 0 0,-3-2 0,-8-1 0,-8 1 0,-13-2 0,-7 2 0,-4 1 0,7 4 0,8 5 0,12 0 0,5 2 0,7-2 0,5-1 0,1 1 0,2 0 0,2 0 0,1 1 0,0 1 0,-2-2 0,-2-2 0,-1 0 0,-1 0 0,0-1 0,-2 1 0,-1 1 0,-1-1 0,-1 2 0,-2 0 0,-1 1 0,1 0 0,0 2 0,2-1 0,2-2 0,2 0 0,1-2 0,-1-1 0,0 0 0,0 1 0,-2 2 0,0-1 0,-1-1 0,2 1 0,1-1 0,1 0 0,7-8 0,0-1 0,2-5 0,-6 4 0,-5 0 0,-2 4 0,-4 3 0,0 2 0,-2 4 0,0 2 0,3 1 0,4-2 0,3 1 0,7-6 0,4 0 0,3-4 0,0 1 0,-5-5 0,-4 2 0,-3 0 0,-3-1 0,-6 1 0,-2 1 0,-1 2 0,0 2 0,2 1 0,2 0 0,2 0 0,3-1 0,6-3 0,8-4 0,4-2 0,-1 0 0,-5 2 0,-4 3 0,-4 0 0,-2 1 0,-4 2 0,-4 0 0,-5-1 0,-1 2 0,1 1 0,3-1 0,6 1 0,5-4 0,5 1 0,4-2 0,3-4 0,-4 4 0,0 1 0,-5-1 0,-2 2 0,-4-1 0,-7-5 0,-4-1 0,-17-8 0,-8 1 0,2 1 0,9 4 0,13 8 0,13 2 0,12-2 0,3 0 0,6-1 0,-7 3 0,-7-2 0,-4 3 0,-2 1 0,0-1 0,0 0 0,-1 0 0,3-3 0,4-4 0,1-1 0,0 1 0,-2 3 0,-3 0 0,-1 4 0,1-3 0,2-6 0,-7 0 0,6-1 0,-9 6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22T11:48:33.286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64 33 24575,'4'7'0,"2"1"0,0 2 0,2-1 0,-3 0 0,1 0 0,-1-4 0,-2-1 0,-2-2 0,2-4 0,7-1 0,3-2 0,2-3 0,-4 3 0,-1 0 0,0 0 0,-3 2 0,1 1 0,-4-1 0,2 0 0,0-1 0,-2 1 0,1 0 0,-1-1 0,0 1 0,-1 1 0,-1 0 0,0 0 0,1 2 0,-2-1 0,0 1 0,0 0 0,0-1 0,0 3 0,0 10 0,-1 2 0,2 4 0,-1-7 0,1-3 0,-1-4 0,2 0 0,-1-2 0,-1 0 0,1-1 0,-2-1 0,3 0 0,-1-1 0,4-2 0,-1 2 0,2-1 0,-1-1 0,1 0 0,0 0 0,1 0 0,0 0 0,4-1 0,4 0 0,6-1 0,-1 0 0,0 1 0,-8 1 0,-4-1 0,-5 2 0,-1 0 0,-1 1 0,-1 0 0,1 0 0,-1 0 0,1 0 0,-1 1 0,-1 7 0,0-1 0,0 5 0,0-5 0,1-4 0,5-2 0,2-1 0,16-4 0,-1-1 0,11-1 0,-6 0 0,-3-1 0,-9 4 0,-5 0 0,-8 3 0,0-1 0,-1 2 0,-1-1 0,0 1 0,1 1 0,0 1 0,-1 0 0,2 4 0,2 1 0,1 0 0,1-2 0,-1-2 0,-3 0 0,2-2 0,9 1 0,12-2 0,4 0 0,7 0 0,-6 0 0,2-2 0,-6 1 0,-5-1 0,-7 1 0,-5 1 0,-3-2 0,-2 2 0,1-1 0,4 0 0,1 0 0,-1 0 0,1-1 0,1 0 0,0 1 0,-2-1 0,-1 0 0,-2 1 0,-1 1 0,-4-1 0,-1 2 0,-1-1 0,2 6 0,2 0 0,3 3 0,-1-3 0,-3-3 0,2-3 0,1-2 0,4-1 0,3-3 0,1-1 0,6 0 0,-4 1 0,1 1 0,0 4 0,-1 0 0,2 0 0,4-3 0,-1 3 0,3-2 0,-4 0 0,-4 0 0,-7 2 0,-4 0 0,-2 7 0,4 5 0,3 5 0,4-1 0,1-5 0,-1-7 0,-2-2 0,0-3 0,-3-2 0,1 1 0,-1-2 0,-2 1 0,0 0 0,-1 1 0,-2 3 0,0-1 0,2 1 0,0 0 0,-1-1 0,0 1 0,-3 0 0,0 0 0,-1 1 0,2 0 0,2 1 0,1 0 0,2-1 0,1 1 0,4-4 0,7-1 0,-1-1 0,9-1 0,-9 0 0,3-1 0,-7 4 0,-4 1 0,-6 0 0,0-2 0,0 2 0,1-3 0,2 1 0,0-2 0,1 0 0,3 2 0,10-1 0,2 0 0,5 2 0,-10 1 0,-8-1 0,-6 2 0,-4 3 0,2 6 0,5 7 0,2 3 0,4 2 0,-2-7 0,-1-1 0,-6-7 0,-1-3 0,-1-2 0,-1-1 0,2 1 0,10-1 0,1 0 0,4-1 0,1 0 0,-2-3 0,6 0 0,-6-1 0,2 1 0,-6 2 0,-5 0 0,-1 0 0,-3 2 0,-1-1 0,2 1 0,0-2 0,4 1 0,-2 0 0,3 0 0,-7 1 0,0 0 0,-3 0 0,4 0 0,5 1 0,2 1 0,3-2 0,-2 3 0,-5-4 0,-3 1 0,0-2 0,-1 1 0,-1-1 0,-2 2 0,-1-1 0,0 0 0,-1 0 0,1-1 0,-1 1 0,0 0 0,0-1 0,1-1 0,0 2 0,-1 0 0,-9 7 0,1 1 0,-6 6 0,1 1 0,3 1 0,-5 0 0,0 0 0,2-4 0,2-4 0,4-1 0,2-3 0,4 0 0,1-2 0,0 0 0,2 1 0,0-1 0,2 1 0,1-2 0,5 0 0,-1 1 0,4-2 0,1 1 0,4-1 0,-2 0 0,2 1 0,-3 2 0,-5-1 0,-4 0 0,-5 2 0,-12 0 0,-18 5 0,-22 5 0,1 1 0,1-1 0,21-4 0,17-3 0,5-4 0,7-2 0,7 2 0,0 0 0,6 0 0,0 4 0,3 0 0,-3 0 0,-3 0 0,0 0 0,-5 0 0,-1 0 0,-2-3 0,-2 0 0,-1 1 0,-6-2 0,-3-2 0,-9 0 0,3 1 0,0-1 0,7 1 0,6-1 0,2 1 0,8 4 0,7 2 0,6 2 0,4-1 0,-6-5 0,-5-1 0,-5-3 0,-6 0 0,-1 0 0,-8-1 0,-8 2 0,-6 2 0,-9 4 0,2 1 0,0 1 0,8-2 0,5-1 0,3-3 0,-1-2 0,3 0 0,-1 0 0,3 0 0,3 0 0,0 0 0,1 0 0,4-2 0,3-2 0,4-1 0,-2-1 0,-1 1 0,-3 3 0,-4 2 0,-6-1 0,-8 4 0,-8 4 0,-9 6 0,-6 9 0,5-4 0,8-4 0,16-7 0,9-6 0,3-5 0,1-2 0,1-1 0,-3 3 0,-6-1 0,-6 2 0,-10 0 0,-3 2 0,-7 4 0,5 1 0,3 4 0,7-4 0,7 1 0,8-6 0,6-3 0,-1-1 0,2 0 0,-4 3 0,-9 0 0,-16 1 0,-21-1 0,-13-3 0,-27-2 0,3-2 0,0 0 0,21 4 0,25 3 0,25 2 0,7 1 0,4 1 0,5 2 0,0 2 0,1 4 0,1-1 0,-3-1 0,-2-5 0,0 0 0,-2-2 0,-6-1 0,-5-2 0,-16 1 0,-13-1 0,-15 2 0,2-1 0,-1 2 0,22-1 0,13 0 0,10 0 0,12-1 0,2-1 0,1-1 0,-1 2 0,-1 1 0,-3 0 0,-12 1 0,-3 0 0,-12 3 0,1-1 0,-3 0 0,7-2 0,-2-1 0,11-1 0,9 0 0,14 0 0,1-1 0,6 1 0,-12-2 0,-4 1 0,-2 1 0,-5-1 0,-5-2 0,-16 0 0,-8 1 0,-4 2 0,1 3 0,6 2 0,10 0 0,5-1 0,12-2 0,7-1 0,2 0 0,6 0 0,-2 0 0,0-1 0,-4-2 0,0 1 0,-3 0 0,0-3 0,-4 0 0,-3-2 0,-8-1 0,-8 1 0,-13-2 0,-7 2 0,-4 1 0,7 4 0,8 5 0,12 0 0,5 2 0,7-2 0,5-1 0,1 1 0,2 0 0,2 0 0,1 1 0,0 1 0,-2-2 0,-2-2 0,-1 0 0,-1 0 0,0-1 0,-2 1 0,-1 1 0,-1-1 0,-1 2 0,-2 0 0,-1 1 0,1 0 0,0 2 0,2-1 0,2-2 0,2 0 0,1-2 0,-1-1 0,0 0 0,0 1 0,-2 2 0,0-1 0,-1-1 0,2 1 0,1-1 0,1 0 0,7-8 0,0-1 0,2-5 0,-6 4 0,-5 0 0,-2 4 0,-4 3 0,0 2 0,-2 4 0,0 2 0,3 1 0,4-2 0,3 1 0,7-6 0,4 0 0,3-4 0,0 1 0,-5-5 0,-4 2 0,-3 0 0,-3-1 0,-6 1 0,-2 1 0,-1 2 0,0 2 0,2 1 0,2 0 0,2 0 0,3-1 0,6-3 0,8-4 0,4-2 0,-1 0 0,-5 2 0,-4 3 0,-4 0 0,-2 1 0,-4 2 0,-4 0 0,-5-1 0,-1 2 0,1 1 0,3-1 0,6 1 0,5-4 0,5 1 0,4-2 0,3-4 0,-4 4 0,0 1 0,-5-1 0,-2 2 0,-4-1 0,-7-5 0,-4-1 0,-17-8 0,-8 1 0,2 1 0,9 4 0,13 8 0,13 2 0,12-2 0,3 0 0,6-1 0,-7 3 0,-7-2 0,-4 3 0,-2 1 0,0-1 0,0 0 0,-1 0 0,3-3 0,4-4 0,1-1 0,0 1 0,-2 3 0,-3 0 0,-1 4 0,1-3 0,2-6 0,-7 0 0,6-1 0,-9 6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8T09:22:06.873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32 8 24575,'43'74'0,"-1"1"0,0-2 0,0 2 0,0-1 0,1-1 0,-12-13 0,1-1 0,10 12 0,0 2 0,1-2 0,-2 2 0,1-2 0,1 1 0</inkml:trace>
  <inkml:trace contextRef="#ctx0" brushRef="#br0" timeOffset="4">12 10 24575,'0'21'0,"0"-2"0,-2 3 0,1 11 0,-1-16 0,0 11 0,1-11 0,1-4 0,0 0 0,0-4 0,0-3 0,0-1 0,0-2 0,0-1 0,0-2 0,1-14 0,-3 4 0,3-6 0,-4 8 0</inkml:trace>
  <inkml:trace contextRef="#ctx0" brushRef="#br0" timeOffset="5">46 0 24575,'27'9'0,"-2"0"0,-2-2 0,-4-2 0,-9 0 0,-1-2 0,-6-1 0,-1 1 0,-1-2 0,0 1 0,0-1 0,0 0 0,0 1 0,1-1 0,1 2 0,1 0 0,1 0 0,-2-1 0,-1-1 0,-1-1 0,-1-1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8T09:22:06.882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319 0 24575,'-7'23'0,"-3"-2"0,0 3 0,-2 2 0,1-2 0,-2 3 0,2-1 0,-4 0 0,5 1 0,-4 2 0,1-1 0,1 1 0,0-4 0,1-3 0,2 0 0,2-7 0,4-5 0,0 0 0,-1-2 0,2 2 0,-1-2 0,1 2 0,0 1 0,-2-1 0,2 3 0,-2 3 0,-1-1 0,1 3 0,-2 2 0,2-3 0,0 1 0,0 0 0,2-3 0,-1 1 0,2-2 0,-1 0 0,1-3 0,-2 2 0,1-2 0,-1-1 0,0-2 0,-2 2 0,0-2 0,1 4 0,-2 0 0,-1 1 0,1 1 0,-2 3 0,0-1 0,3 0 0,2-6 0,-1-4 0,3-2 0,0-3 0,1 1 0,-1-1 0,0 1 0,1-1 0,0 0 0,0 0 0</inkml:trace>
  <inkml:trace contextRef="#ctx0" brushRef="#br0" timeOffset="1">323 15 24575,'-14'8'0,"-1"0"0,0 1 0,1 2 0,0-1 0,5-3 0,-1 1 0,5-3 0,0-3 0,3-1 0,1 0 0,-1 1 0,-2 1 0,1 2 0,0 0 0,-2 0 0,3 0 0,0-3 0,10-9 0,-7 5 0,7-3 0</inkml:trace>
  <inkml:trace contextRef="#ctx0" brushRef="#br0" timeOffset="2">321 12 24575,'-2'22'0,"0"1"0,4-1 0,-2-2 0,1-4 0,-1-3 0,0-9 0,0-3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8T09:22:06.885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42 773 24575,'16'-27'0,"2"-10"0,4-13 0,2-5 0,-2 8 0,-2 5 0,-6 13 0,-1-1 0,-3 8 0,0 2 0,-2 7 0,-1-1 0,0 4 0,1 1 0,1 1 0,0-3 0,1 1 0,1-5 0,-2 1 0,3-2 0,-3 2 0,1 0 0,-4 4 0,1-1 0,0 3 0,0-1 0,0-1 0,2-3 0,-1-1 0,3-4 0,-2 2 0,1 2 0,-3 1 0,-1 3 0,1-1 0,0 1 0,-1-1 0,1 2 0,-2 1 0,-2 2 0,0 2 0,-2 2 0,1 0 0,-1 0 0,0-3 0,3 1 0,-1-3 0,-1 2 0,0-3 0,-1 5 0,0 1 0,0 1 0,0-1 0,0 0 0,0-1 0,0 2 0,1-2 0,2 1 0,-1-1 0,0 1 0,-2 1 0,-1 0 0,1 1 0</inkml:trace>
  <inkml:trace contextRef="#ctx0" brushRef="#br0" timeOffset="1">66 772 24575,'22'-15'0,"4"-2"0,0-4 0,3-1 0,-1 0 0,-7 6 0,-8 5 0,-5 5 0,-5 3 0,-2 2 0,1 0 0,3-3 0,-1 2 0,5-3 0,-3 2 0,-4 1 0,0 1 0,-2 0 0,-1 1 0</inkml:trace>
  <inkml:trace contextRef="#ctx0" brushRef="#br0" timeOffset="2">44 748 24575,'-13'-22'0,"2"3"0,2 3 0,3 5 0,3 1 0,2 0 0,0-1 0,1 0 0,0-2 0,0-1 0,1 3 0,0-1 0,1 2 0,-1 3 0,0 0 0,-1 2 0,1 2 0,-1 2 0,0 0 0,0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8T09:22:06.888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1 24575,'4'11'0,"2"4"0,2 9 0,10 14 0,3 10 0,4 17 0,0-6 0,-2 4 0,-5-23 0,-5-2 0,-6-17 0,-3-8 0,-4-7 0,2-1 0,-1-1 0,-1 4 0,1-1 0,0 2 0,1-4 0,-1 1 0,1 2 0,-1 1 0,3 2 0,2 6 0,1 0 0,1 4 0,-2-1 0,3 1 0,-2 0 0,2 3 0,-3-3 0,2 2 0,-1-4 0,0-2 0,-3-4 0,2-3 0,-1-1 0,0 1 0,-1-1 0,0 0 0,1 0 0,0-1 0,1 1 0,-3-2 0,0-2 0,-1 1 0,-1-3 0,-1 2 0,2 2 0,4 5 0,0 1 0,2 0 0,-3-3 0,-1-3 0,-3-3 0,1-1 0,-1 0 0,0 2 0,0-3 0,0 0 0,0 0 0,0 1 0,0 1 0,1 1 0,0-1 0,-1-2 0,0 0 0,-1-1 0</inkml:trace>
  <inkml:trace contextRef="#ctx0" brushRef="#br0" timeOffset="1">417 957 24575,'0'-13'0,"0"-1"0,0 0 0,1-4 0,0-4 0,-1-1 0,1-3 0,-3 1 0,-2-2 0,-5 0 0,-2 2 0,3 6 0,3 10 0,4 7 0,3 4 0,1 1 0,0-1 0,-1-1 0</inkml:trace>
  <inkml:trace contextRef="#ctx0" brushRef="#br0" timeOffset="2">358 946 24575,'-9'-6'0,"-3"-1"0,1 0 0,-2 0 0,1 2 0,1-2 0,-2 1 0,3 3 0,-2 0 0,3-1 0,2 1 0,4 1 0,-1 0 0,3 1 0,1 1 0,-1-1 0,0 0 0,0 0 0,-2 1 0,1 0 0,-5 0 0,3-1 0,-1 1 0,-3-1 0,4-1 0,0 0 0,0 0 0,2 1 0,0 0 0,2 1 0,-1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8T09:22:06.891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64 38 24575,'4'9'0,"2"0"0,0 2 0,2 0 0,-3-1 0,1 1 0,-1-5 0,-2-2 0,-2-1 0,2-6 0,7 0 0,3-3 0,2-3 0,-4 3 0,-1 0 0,0 0 0,-3 3 0,1 0 0,-4 0 0,2 0 0,0-2 0,-2 1 0,1 1 0,-1-2 0,0 2 0,-1 0 0,-1 1 0,0 0 0,1 2 0,-2-1 0,0 0 0,0 1 0,0-1 0,0 4 0,0 11 0,-1 2 0,2 5 0,-1-8 0,1-4 0,-1-4 0,2-1 0,-1-1 0,-1-1 0,1-1 0,-2-1 0,3 0 0,-1-1 0,4-2 0,-1 1 0,2 0 0,-1-1 0,1-1 0,0 1 0,1-1 0,0 1 0,4-2 0,4 0 0,6 0 0,-2-1 0,1 1 0,-8 1 0,-4 0 0,-5 2 0,-1-1 0,-1 2 0,-1 0 0,1 0 0,-1 0 0,1-1 0,-1 2 0,-1 9 0,0-2 0,0 5 0,0-5 0,1-4 0,5-3 0,2-2 0,16-3 0,-1-2 0,11-1 0,-6-1 0,-3 0 0,-9 4 0,-5 1 0,-8 2 0,0 0 0,-1 2 0,-1-1 0,0 1 0,1 1 0,0 1 0,-1 1 0,2 4 0,2 1 0,1 0 0,1-2 0,-1-2 0,-3-1 0,2-2 0,9 1 0,12-2 0,4 1 0,7-1 0,-6-1 0,2-1 0,-6 1 0,-5-1 0,-7 0 0,-5 2 0,-3-2 0,-2 2 0,1-1 0,4 0 0,1 0 0,-1-1 0,1 0 0,1 0 0,0 1 0,-2-2 0,-1 1 0,-2 1 0,-1 1 0,-4-1 0,-1 2 0,-1-1 0,2 7 0,2 0 0,3 3 0,-1-3 0,-3-3 0,2-4 0,1-2 0,4-2 0,3-3 0,1-1 0,5 0 0,-3 1 0,1 1 0,0 5 0,-1-1 0,2 1 0,4-3 0,-1 3 0,3-3 0,-4 1 0,-4-1 0,-7 3 0,-4 0 0,-2 8 0,4 6 0,3 5 0,4 0 0,1-7 0,-1-7 0,-2-3 0,0-3 0,-3-3 0,1 1 0,-1-1 0,-2 0 0,0 0 0,-1 2 0,-2 3 0,0-1 0,2 1 0,0 0 0,-1-1 0,0 1 0,-3 0 0,0 0 0,-1 1 0,2 0 0,2 1 0,1 0 0,2 0 0,1 0 0,4-4 0,7-2 0,-1 0 0,9-2 0,-9 0 0,3-1 0,-7 5 0,-4 0 0,-6 1 0,0-2 0,0 2 0,1-4 0,2 1 0,0-2 0,1 1 0,3 1 0,10 0 0,2-1 0,5 3 0,-10 0 0,-8 0 0,-6 2 0,-4 4 0,2 6 0,5 9 0,2 3 0,3 2 0,-1-7 0,-1-2 0,-6-8 0,-1-4 0,-1-1 0,-1-2 0,2 1 0,10-1 0,1 0 0,4-1 0,1-1 0,-2-2 0,6-1 0,-6-1 0,2 2 0,-6 1 0,-5 1 0,-1 0 0,-3 1 0,-1 0 0,2 1 0,0-2 0,4 1 0,-2 0 0,3 0 0,-7 0 0,0 1 0,-3 0 0,4 0 0,5 2 0,2 0 0,3-2 0,-2 3 0,-5-4 0,-3 1 0,0-2 0,-1 1 0,-1-1 0,-2 1 0,-1 0 0,0 0 0,-1 0 0,1-1 0,-1 1 0,0-1 0,0 0 0,1-1 0,0 1 0,-1 1 0,-9 8 0,1 1 0,-6 8 0,1 0 0,3 1 0,-5 1 0,0-1 0,2-4 0,2-5 0,4-1 0,2-3 0,4-1 0,1-1 0,0-1 0,2 1 0,0-1 0,2 1 0,1-1 0,5-1 0,-1 1 0,4-2 0,1 0 0,4 0 0,-2 0 0,2 1 0,-3 2 0,-5 0 0,-4-1 0,-5 2 0,-12 1 0,-18 5 0,-22 6 0,1 1 0,1 0 0,21-6 0,17-3 0,5-5 0,7-1 0,7 1 0,0 0 0,6 1 0,0 3 0,3 1 0,-3 1 0,-3-1 0,0-1 0,-5 1 0,-1 0 0,-2-3 0,-2 0 0,-1 0 0,-6-2 0,-3-1 0,-9-1 0,3 1 0,0-1 0,7 1 0,6-1 0,2 1 0,8 5 0,7 2 0,6 3 0,4-2 0,-6-6 0,-5 0 0,-5-4 0,-6-1 0,-1 1 0,-8-1 0,-8 2 0,-6 2 0,-9 5 0,2 1 0,0 2 0,8-3 0,5-2 0,3-2 0,-1-3 0,3 0 0,-1 0 0,3 0 0,3 0 0,0 0 0,1 0 0,4-2 0,3-3 0,4-1 0,-2-1 0,-1 1 0,-3 4 0,-4 2 0,-6-1 0,-8 4 0,-7 5 0,-10 8 0,-6 9 0,5-4 0,8-4 0,16-9 0,9-7 0,3-6 0,1-2 0,1-1 0,-3 3 0,-6 0 0,-6 1 0,-10 0 0,-3 3 0,-7 5 0,5 1 0,3 4 0,7-4 0,7 0 0,8-6 0,6-3 0,-1-2 0,2 0 0,-4 3 0,-9 1 0,-16 1 0,-21-1 0,-13-4 0,-27-2 0,3-3 0,0 1 0,22 4 0,24 4 0,25 2 0,7 1 0,4 1 0,5 3 0,0 2 0,1 4 0,1 0 0,-3-2 0,-2-5 0,0-1 0,-2-2 0,-6-1 0,-5-2 0,-16 1 0,-13-1 0,-15 1 0,2 0 0,-1 2 0,22-1 0,13 1 0,10-1 0,12-2 0,2 0 0,1-1 0,-1 1 0,-1 2 0,-3 0 0,-12 1 0,-3 1 0,-12 2 0,1 0 0,-3-1 0,7-2 0,-2-1 0,11-1 0,9 0 0,14 0 0,1-1 0,6 0 0,-12-1 0,-4 1 0,-2 1 0,-5-2 0,-5-1 0,-16-1 0,-8 1 0,-4 3 0,1 3 0,6 3 0,10 0 0,5-2 0,12-1 0,7-2 0,2 0 0,6 0 0,-2-1 0,0 0 0,-4-2 0,0 0 0,-3 1 0,0-4 0,-4 0 0,-3-2 0,-8-1 0,-8 1 0,-13-3 0,-7 3 0,-3 1 0,6 5 0,8 5 0,12 1 0,5 2 0,7-3 0,5 0 0,1 0 0,2 0 0,2 1 0,1 1 0,0 0 0,-2-1 0,-2-3 0,-1 0 0,-1 0 0,0 0 0,-2 0 0,-1 1 0,-1-1 0,-1 3 0,-2-1 0,-1 2 0,1 0 0,0 1 0,2 0 0,2-2 0,2-1 0,1-2 0,-1-1 0,0 1 0,0 0 0,-2 2 0,0-1 0,-1 0 0,2 0 0,1-1 0,1 0 0,7-9 0,0-1 0,2-6 0,-6 4 0,-5 1 0,-2 4 0,-4 3 0,0 4 0,-2 3 0,0 3 0,3 1 0,4-2 0,3 1 0,7-7 0,4 0 0,3-5 0,0 2 0,-5-6 0,-4 2 0,-3 0 0,-3-1 0,-6 1 0,-2 1 0,-1 2 0,0 3 0,2 1 0,2 0 0,2 0 0,3-1 0,6-4 0,8-4 0,4-3 0,-1 1 0,-5 1 0,-4 4 0,-4 1 0,-2 0 0,-4 3 0,-4-1 0,-5 0 0,-1 1 0,1 2 0,3-1 0,6 1 0,5-4 0,5 0 0,4-2 0,3-4 0,-4 4 0,0 1 0,-5-1 0,-2 3 0,-4-2 0,-7-5 0,-4-2 0,-17-9 0,-8 2 0,2 0 0,9 5 0,13 9 0,13 3 0,12-3 0,3 1 0,6-2 0,-7 3 0,-7-1 0,-4 3 0,-2 0 0,0 0 0,0 0 0,-1 0 0,3-4 0,4-4 0,1-1 0,0 0 0,-2 4 0,-3 0 0,-1 5 0,1-3 0,2-8 0,-7 0 0,6 0 0,-9 6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9T06:01:55.622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98 24575,'14'0'0,"2"0"0,1 0 0,19-1 0,-17 0 0,10 0 0,-19 0 0,-3 1 0,-1 0 0,-3-1 0,-1 1 0,1 0 0,0 0 0,2 0 0,2-1 0,0 1 0,2-1 0,2 1 0,2 0 0,2 0 0,-1 0 0,0 0 0,-4 0 0,-2 0 0,-5 0 0,-2 0 0,0 0 0,2 0 0,1 1 0,5 0 0,1-1 0,0 1 0,-4-1 0,-4 0 0,0 0 0,-1 0 0,4 0 0,3 1 0,3-1 0,4 2 0,-1-2 0,3 3 0,-1-1 0,-1 0 0,-4 1 0,-2-2 0,-5-1 0,-3 0 0,5 0 0,-1 0 0,3-1 0,0 0 0,-1 0 0,-2 1 0,-1-1 0,-2 1 0,-1 0 0,1 0 0,4 0 0,0-1 0,0 0 0,-2 0 0,-3 1 0,1-1 0,-2 0 0,0-1 0,-2-1 0,-2-2 0,1-1 0,-1 1 0,1 0 0,0 1 0,1 2 0,0 1 0,0 0 0,0-1 0,-2 1 0,1-1 0,-1 0 0,1 1 0,-1-1 0,2 1 0,-1 0 0,2 1 0,-2-1 0,0 1 0,-2-2 0,1 0 0,0-1 0,-2 1 0,1-2 0,-1 1 0,2 0 0,2 1 0,2 0 0,-1-1 0,0 0 0,-1-1 0,1 3 0,0-1 0,0 2 0,-1-1 0,-1-1 0,1-2 0,-2 1 0,2 1 0,-1 0 0,2 0 0,8 10 0,2 1 0,6 7 0,-2-2 0,-3-4 0,-4-4 0,-2-2 0,-3-2 0,1 0 0,1 2 0,0 0 0,2 1 0,-2-2 0,-1 0 0,0-1 0,-1-1 0,1 1 0,1 0 0,1 0 0,-2 1 0,0-2 0,-1 1 0,1 0 0,0 1 0,3 3 0,-2 0 0,1-1 0,-1-1 0,-2-2 0,3 1 0,-2 0 0,0-2 0,-8 3 0,-2 0 0,-3 2 0,1-1 0,4-2 0,1-1 0,4-1 0,-1 0 0,1-1 0,-1 1 0,-1 0 0,1 0 0,0 1 0,1-2 0,0 0 0,-1 1 0,0 0 0,-2 1 0,-3 0 0,2 2 0,-1-2 0,3 1 0,1-2 0,0 0 0,2 0 0,-1-1 0,-1 2 0,-1-1 0,1 1 0,1-1 0,0-1 0,0 1 0,-3 2 0,0-1 0,-3 2 0,-1 0 0,2-1 0,1-1 0,3-1 0,1-1 0,0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9T06:01:58.052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1 24575,'0'0'0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9T06:03:08.411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2002 515 24575,'-21'0'0,"6"0"0,5 0 0,3 0 0,-1 0 0,2 0 0,-1 1 0,1 0 0,0 0 0,-2 0 0,0 0 0,-2 1 0,0 0 0,1 1 0,-1-1 0,3-1 0,-1 1 0,1-1 0,-3 1 0,-3 0 0,-4 1 0,0 1 0,-1-1 0,2 0 0,4-1 0,2 0 0,3-2 0,2 1 0,2-1 0,1 1 0,1-1 0,-2 0 0,-1 1 0,0 0 0,-2 0 0,-2 1 0,0 0 0,-1-1 0,1 1 0,-1-2 0,2 1 0,-2-1 0,0 0 0,1 0 0,-4 1 0,0-1 0,-1 0 0,1 0 0,2 0 0,5 0 0,1 0 0,1 0 0,2 0 0,-2 0 0,-2 0 0,0 1 0,-4-1 0,3 1 0,-1-1 0,1 0 0,-1 0 0,-1 0 0,-1 1 0,-2-1 0,-1 1 0,-3-1 0,1 0 0,-1 0 0,-1 0 0,-4 0 0,0 0 0,-1 0 0,-1 0 0,-6-1 0,0-1 0,3 0 0,4 1 0,9 0 0,1 0 0,2 1 0,1 0 0,-1-1 0,0 1 0,-4 1 0,-2-1 0,0 1 0,0-1 0,6 1 0,3-1 0,4 0 0,-1 1 0,-1 0 0,-4-1 0,-5 1 0,-3 0 0,-8-2 0,-8 0 0,-5-1 0,3 0 0,3 0 0,12 1 0,6 1 0,6 0 0,4 0 0,2 0 0,-1 0 0,0 1 0,-2-1 0,0 1 0,-4 1 0,-6 0 0,-10-1 0,-5 2 0,1-2 0,3 1 0,7-1 0,-1 1 0,0-1 0,-2-1 0,-4 0 0,-2-2 0,-1 0 0,1-1 0,-3 0 0,2 0 0,-7-1 0,4 0 0,7 2 0,5 0 0,11 1 0,2 1 0,3 0 0,2 0 0,-5 0 0,-7-2 0,-5-1 0,-4-2 0,0 2 0,7 0 0,-1 2 0,6 1 0,0 0 0,2 0 0,1-1 0,0 1 0,1-1 0,-2 1 0,-3-2 0,-1 1 0,-2-1 0,4 0 0,1-1 0,2 0 0,2 1 0,2 0 0,-2-2 0,-2-5 0,-3-1 0,1-3 0,2 3 0,2 0 0,-2 0 0,0-2 0,0-1 0,1-1 0,-1 1 0,4 3 0,0 2 0,2 3 0,0 0 0,1 2 0,1-2 0,1-2 0,0-2 0,2-3 0,1 0 0,1 1 0,1-2 0,-1 5 0,2-2 0,-2 4 0,-2 0 0,1 1 0,-1 1 0,-1 0 0,2 0 0,0 0 0,3-3 0,0-1 0,0-2 0,-1 1 0,-2 3 0,0 2 0,-1-1 0,2 0 0,0 0 0,1-2 0,-1 3 0,0-2 0,-1 1 0,2 0 0,-1 0 0,2-1 0,2-2 0,0 1 0,2 1 0,-2 0 0,0 1 0,-1 0 0,0 1 0,-1 1 0,1-1 0,0 1 0,1 0 0,0 0 0,0 2 0,1-1 0,-1 1 0,-2-1 0,1 1 0,-3 0 0,2 1 0,-2-1 0,1 0 0,0 2 0,2-1 0,0 1 0,0-1 0,0 0 0,4 1 0,-1-1 0,3 1 0,3-1 0,3 2 0,1 1 0,-1-1 0,-4 0 0,-5-1 0,-6 0 0,-2-1 0,-1 0 0,1 0 0,2 0 0,0 0 0,-1 0 0,-2 0 0,0 0 0,1 0 0,3 0 0,8 1 0,6 1 0,5 1 0,-4-1 0,-5 0 0,-9-2 0,-2 0 0,-1 0 0,2 0 0,2 0 0,0 1 0,1-1 0,0 1 0,3 0 0,2 0 0,3 1 0,-3-1 0,0 0 0,-6 0 0,-4-1 0,-2 1 0,0-1 0,2 0 0,2 1 0,4-1 0,0 2 0,2-1 0,-2 1 0,-1-2 0,-2 0 0,-4 0 0,-2 1 0,0-1 0,0-1 0,1 0 0,1-1 0,1 0 0,-1 0 0,-1 1 0,-1 0 0,-1 0 0,1 0 0,1 0 0,3-1 0,1-1 0,2 0 0,1 0 0,-1-1 0,-1 2 0,-2 0 0,-2 1 0,-2 0 0,0 0 0,1 0 0,1-1 0,0-1 0,1 0 0,0 1 0,0-2 0,0 2 0,0-1 0,0 1 0,-1 0 0,3-1 0,1 0 0,0 1 0,2-1 0,0 0 0,0 1 0,-2-1 0,-3 1 0,-2 1 0,-3 0 0,1 0 0,0 0 0,0 0 0,0 0 0,0 0 0,0 0 0,2-2 0,1-2 0,4-2 0,0-1 0,1 1 0,-5 2 0,-2 3 0,-7 5 0,0 1 0,-4 4 0,3 0 0,2 0 0,1-2 0,1 0 0,1-2 0,0 0 0,0-1 0,1-1 0,-1 0 0,1 0 0,0-1 0,0 1 0,1 0 0,0 0 0,1 1 0,1 0 0,1 2 0,6 2 0,1 1 0,4 1 0,1 1 0,-4-2 0,5 3 0,-6-4 0,-1-1 0,-5-2 0,-2-3 0,-2 0 0,1 0 0,0-1 0,1 1 0,-2-1 0,7 2 0,9 3 0,6 0 0,1 1 0,-3-1 0,-10-3 0,-3 0 0,-4-2 0,-1 0 0,2 2 0,6 0 0,2 1 0,1 2 0,2 0 0,-2 2 0,7 0 0,-4-1 0,1-2 0,-8-2 0,-2 0 0,-5-1 0,-1-1 0,0 0 0,2 1 0,-1-1 0,4 2 0,-1-1 0,4 1 0,-1-1 0,3 1 0,-2 0 0,-1 0 0,-4-1 0,1 0 0,-2 0 0,7 2 0,0 0 0,0 1 0,-3-1 0,-4-2 0,3 1 0,1 1 0,5 1 0,-3-2 0,-2 0 0,-5-1 0,1 0 0,5 2 0,2 2 0,4 1 0,-2-1 0,-2-2 0,-4-1 0,-1 0 0,-1-1 0,4 2 0,6 3 0,1 2 0,1-2 0,-9-2 0,-2-1 0,-5-2 0,1 2 0,0 0 0,-1-1 0,1 2 0,0-2 0,1 2 0,-2-2 0,0 0 0,0-1 0,1 2 0,1 2 0,2 2 0,0 3 0,2-1 0,1 2 0,1 0 0,-2-2 0,-2-2 0,-4-5 0,0 0 0,0 1 0,-1 0 0,0 1 0,0 1 0,1-1 0,-1 1 0,0-1 0,0-2 0,0-1 0,0 1 0,0-1 0,0 0 0,0 1 0,0 0 0,0-1 0,-1 1 0,0 0 0,1 1 0,-1 0 0,1 1 0,0 4 0,-1 0 0,1 1 0,-1-3 0,2-4 0,-1-2 0,0-1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9T06:08:24.362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98 24575,'14'0'0,"2"0"0,1 0 0,19-1 0,-17 0 0,10 0 0,-19 0 0,-3 1 0,-1 0 0,-3-1 0,-1 1 0,1 0 0,0 0 0,2 0 0,2-1 0,0 1 0,2-1 0,2 1 0,2 0 0,2 0 0,-1 0 0,0 0 0,-4 0 0,-2 0 0,-5 0 0,-2 0 0,0 0 0,2 0 0,1 1 0,5 0 0,1-1 0,0 1 0,-4-1 0,-4 0 0,0 0 0,-1 0 0,4 0 0,3 1 0,3-1 0,4 2 0,-1-2 0,3 3 0,-1-1 0,-1 0 0,-4 1 0,-2-2 0,-5-1 0,-3 0 0,5 0 0,-1 0 0,3-1 0,0 0 0,-1 0 0,-2 1 0,-1-1 0,-2 1 0,-1 0 0,1 0 0,4 0 0,0-1 0,0 0 0,-2 0 0,-3 1 0,1-1 0,-2 0 0,0-1 0,-2-1 0,-2-2 0,1-1 0,-1 1 0,1 0 0,0 1 0,1 2 0,0 1 0,0 0 0,0-1 0,-2 1 0,1-1 0,-1 0 0,1 1 0,-1-1 0,2 1 0,-1 0 0,2 1 0,-2-1 0,0 1 0,-2-2 0,1 0 0,0-1 0,-2 1 0,1-2 0,-1 1 0,2 0 0,2 1 0,2 0 0,-1-1 0,0 0 0,-1-1 0,1 3 0,0-1 0,0 2 0,-1-1 0,-1-1 0,1-2 0,-2 1 0,2 1 0,-1 0 0,2 0 0,8 10 0,2 1 0,6 7 0,-2-2 0,-3-4 0,-4-4 0,-2-2 0,-3-2 0,1 0 0,1 2 0,0 0 0,2 1 0,-2-2 0,-1 0 0,0-1 0,-1-1 0,1 1 0,1 0 0,1 0 0,-2 1 0,0-2 0,-1 1 0,1 0 0,0 1 0,3 3 0,-2 0 0,1-1 0,-1-1 0,-2-2 0,3 1 0,-2 0 0,0-2 0,-8 3 0,-2 0 0,-3 2 0,1-1 0,4-2 0,1-1 0,4-1 0,-1 0 0,1-1 0,-1 1 0,-1 0 0,1 0 0,0 1 0,1-2 0,0 0 0,-1 1 0,0 0 0,-2 1 0,-3 0 0,2 2 0,-1-2 0,3 1 0,1-2 0,0 0 0,2 0 0,-1-1 0,-1 2 0,-1-1 0,1 1 0,1-1 0,0-1 0,0 1 0,-3 2 0,0-1 0,-3 2 0,-1 0 0,2-1 0,1-1 0,3-1 0,1-1 0,0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9T06:11:29.018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1937 180 24575,'-4'1'0,"0"-1"0,2 0 0,-1 1 0,0-1 0,-1 0 0,-1 0 0,-2 0 0,-4-1 0,-2 0 0,-1 1 0,-3-1 0,1 1 0,-1-2 0,2 1 0,4 0 0,4 1 0,3 0 0,0 0 0,1 0 0,-1 0 0,-2 0 0,0 0 0,0 0 0,1 1 0,1 0 0,1-1 0,-1 0 0,-1 0 0,0 0 0,-1 1 0,0-1 0,-1 0 0,2 0 0,-2 2 0,-1-2 0,-3 3 0,0-3 0,-2 2 0,3-1 0,-1 0 0,3-1 0,1 1 0,1-2 0,-2 1 0,0 0 0,-1 0 0,1 0 0,0 0 0,1 0 0,-2 0 0,2 0 0,-2 0 0,-1 0 0,0 0 0,0 0 0,1 1 0,0-1 0,1 0 0,0 0 0,2 0 0,0 0 0,1 0 0,-1 0 0,0 0 0,-1 0 0,0-1 0,2 0 0,0 1 0,0-1 0,0 0 0,-1 0 0,-3-1 0,-2-1 0,-2 0 0,-4 0 0,-1 0 0,2-1 0,2 1 0,4 1 0,4 0 0,2 1 0,0 0 0,1 0 0,-2 1 0,0 0 0,-2-1 0,-1 1 0,-2-1 0,2 1 0,-2 0 0,1 0 0,2 0 0,0 0 0,2 1 0,-1-1 0,1 1 0,-3 0 0,-2-1 0,0 1 0,-2-1 0,2 0 0,0 0 0,1 1 0,0-1 0,2 0 0,-1 1 0,1-1 0,-1 0 0,-1 0 0,1 0 0,0 1 0,1-1 0,-3 0 0,1 1 0,-2 0 0,0-1 0,0 1 0,-3 0 0,3 0 0,-1 0 0,4 1 0,-1 0 0,1-1 0,0-1 0,2 1 0,1-1 0,0 0 0,3 0 0,-2 0 0,0 0 0,-3 1 0,-1-1 0,0 1 0,-1-1 0,1 0 0,-3 1 0,2-1 0,0 1 0,1-1 0,1 0 0,3 1 0,-2-1 0,3 0 0,-4 1 0,-2-1 0,-1 0 0,-3 1 0,3-1 0,0 0 0,-1 0 0,0 0 0,-2 0 0,1 0 0,-1 0 0,3 0 0,0 0 0,-1 0 0,1 1 0,-1-1 0,3 1 0,0-1 0,2 1 0,-1-1 0,1 0 0,0 0 0,-3 0 0,-4 0 0,-4 0 0,-2 0 0,-3 2 0,2 0 0,0 1 0,1-2 0,3 0 0,3 0 0,4-1 0,4 0 0,2 0 0,1 0 0,0 0 0,-1 0 0,-2 1 0,-3 0 0,-2 0 0,-5-1 0,-6 1 0,0-1 0,-1 1 0,7-1 0,4 0 0,6 0 0,3 0 0,1 0 0,-1 0 0,0 0 0,0 0 0,-1 0 0,1 0 0,-2 1 0,1-1 0,0 0 0,0 1 0,0-1 0,-1 1 0,-1 0 0,-3-1 0,0 1 0,-5 0 0,3 0 0,0 0 0,3-1 0,1 2 0,-1 0 0,-1 0 0,-1 1 0,1 0 0,0-1 0,4 0 0,0 0 0,2-1 0,-1 0 0,1 0 0,0 0 0,0-1 0,-1 1 0,-3 1 0,1 0 0,-3 1 0,1-1 0,0 1 0,-1 0 0,0 1 0,-2 1 0,1-2 0,1 1 0,0-1 0,3 0 0,0-1 0,3 0 0,-1-1 0,2-1 0,1 1 0,-1 3 0,1 2 0,1 4 0,0 1 0,1-1 0,-1 1 0,1-1 0,-1-2 0,0-1 0,0-1 0,-1-2 0,1 0 0,-1-2 0,0 0 0,0 1 0,1 0 0,-1 1 0,1 0 0,0 1 0,0 0 0,0-2 0,-1 1 0,1-1 0,-1 1 0,1 1 0,-1 1 0,2 3 0,-1 2 0,1 2 0,-1-2 0,0-1 0,-1-1 0,1 1 0,0-2 0,2 4 0,-1 2 0,2 4 0,-1-1 0,-1-2 0,-1-1 0,-1-4 0,1 0 0,-1-3 0,1 0 0,-1-3 0,1-2 0,0-1 0,0-1 0,2 2 0,2 1 0,7 5 0,5 3 0,5 3 0,3 1 0,-2-2 0,-1-1 0,-5-4 0,-1-1 0,-3-3 0,3 2 0,0-3 0,2 0 0,0-1 0,-1-1 0,1 0 0,1 0 0,5 0 0,4 0 0,3 1 0,9-1 0,3 2 0,-1 1 0,-5-1 0,-8 0 0,-6 0 0,2 0 0,-3 1 0,3 0 0,-1 2 0,9 0 0,6 0 0,1 0 0,-1-1 0,-8-3 0,-3 1 0,-2-1 0,-2 1 0,4-1 0,0 0 0,9 2 0,-1 0 0,4 3 0,3 0 0,5 1 0,6 0 0,-6-1 0,-2-1 0,-10-1 0,-5 0 0,-7-3 0,0 0 0,1 0 0,4 1 0,3-1 0,-1-1 0,7-2 0,-7 0 0,3-2 0,-8 2 0,1-2 0,-2 1 0,3-1 0,2-1 0,-2-1 0,3-1 0,-3 0 0,4 3 0,-1-2 0,6 3 0,2 2 0,1-1 0,-1 2 0,-10 1 0,-3-1 0,-6 2 0,2-1 0,-2 1 0,3 0 0,2 0 0,7 0 0,5 1 0,-2-2 0,5 0 0,-6 0 0,3-1 0,-4 1 0,10-1 0,-4 2 0,11-2 0,-5 1 0,-5 0 0,-3-1 0,-7 1 0,0-2 0,-6 0 0,0 0 0,-2-1 0,2-1 0,0-1 0,-3 0 0,3-2 0,4 0 0,2 2 0,3-2 0,2 3 0,0 1 0,1 0 0,1 1 0,-4-1 0,3 1 0,-3 0 0,6 0 0,-6 0 0,9 0 0,-3-1 0,5-1 0,-6-3 0,-8-2 0,-1-4 0,-6-1 0,0-2 0,-5 0 0,-2 0 0,-2 1 0,0 0 0,-2 1 0,-1 2 0,0 0 0,-2 2 0,1-1 0,-2 2 0,1-3 0,0 1 0,1-3 0,1 0 0,-3 3 0,-1 0 0,1 0 0,-2 2 0,0-1 0,-2 2 0,0 0 0,-2-1 0,2-2 0,-1 0 0,2-3 0,-2 0 0,0-1 0,-1 0 0,-1 2 0,1-2 0,-2 4 0,1-1 0,-1 1 0,0-3 0,0 3 0,0-3 0,0 2 0,1 1 0,-1-1 0,0 0 0,0 0 0,-1 0 0,0 2 0,-1 0 0,2 2 0,-1 1 0,0 2 0,0-1 0,0 1 0,-1-1 0,0-1 0,-1 2 0,-1-1 0,-1-1 0,-2-2 0,-1 0 0,-3-2 0,-1 0 0,-5 0 0,2 1 0,-2 2 0,4 1 0,2 1 0,2 1 0,2 0 0,1 1 0,0 1 0,1 0 0,0-1 0,0 1 0,-1 0 0,-2-1 0,-1 0 0,-2-1 0,-1 0 0,0 1 0,1-1 0,3 1 0,1 0 0,3 1 0,0 0 0,0 0 0,1 1 0,-4-1 0,-1-1 0,-2 0 0,1 0 0,-1 0 0,3 1 0,0 0 0,1 1 0,1-1 0,-1 0 0,0-1 0,-3 1 0,1-1 0,-4 0 0,0 0 0,-2-1 0,0 1 0,1 0 0,1 0 0,3 1 0,1 0 0,0-1 0,0 0 0,-1 0 0,-1 0 0,0 0 0,1 0 0,-1 2 0,1-2 0,-1 1 0,1-1 0,1 1 0,0 0 0,-1 0 0,3 0 0,-1 0 0,3 1 0,-2-1 0,-1 1 0,-4 0 0,1 0 0,-2 0 0,3 0 0,1 1 0,3-1 0,1 0 0,0 1 0,-1-1 0,-1 0 0,-2 0 0,-2 1 0,-3-1 0,-4 2 0,-1 0 0,-2 1 0,4-1 0,4 0 0,3-2 0,6 1 0,2-1 0,0 0 0,-1 1 0,-2-1 0,-4 1 0,-4-1 0,-1 0 0,-3 0 0,4 0 0,0 0 0,4 0 0,4 0 0,2 0 0,1 0 0,-1 0 0,0 0 0,-4 0 0,-2 0 0,-1 0 0,-1-1 0,0 1 0,-1 0 0,0 0 0,1 0 0,3 0 0,1 0 0,2 0 0,1 1 0,0-1 0,-1 0 0,-2 1 0,-4-1 0,-5 1 0,-4 0 0,-5 0 0,-3 1 0,-7-1 0,3-1 0,-1-2 0,8-1 0,4-1 0,6 1 0,5 1 0,3 1 0,2 1 0,-1-1 0,-1 1 0,-4-1 0,-2 1 0,-4-1 0,0 0 0,1 0 0,4 0 0,1 1 0,1-1 0,2 1 0,0 0 0,1 0 0,1 0 0,-4 0 0,1 0 0,-5 0 0,-2 0 0,-2 1 0,2-1 0,1 0 0,2 1 0,0-1 0,2-1 0,2 1 0,2 0 0,1 0 0,0 0 0,0-1 0,-2 1 0,-1-1 0,-1 1 0,-1 0 0,2 0 0,1-1 0,1 1 0,1 0 0,-1 0 0,0 0 0,-2 0 0,0 0 0,-2 0 0,1-1 0,-1 1 0,0-1 0,-1 0 0,-1-1 0,2 1 0,1 0 0,4 1 0,1 0 0,2 0 0,1 0 0,0 0 0,-1 0 0,-2 0 0,0 0 0,-3 0 0,0 0 0,-1 0 0,0 0 0,0 0 0,2 0 0,2 0 0,1 0 0,1 0 0,0-1 0,-4-1 0,-2-2 0,-2 0 0,-2 0 0,3 1 0,2 0 0,3 3 0,3-1 0,0 1 0,0-2 0,-1 0 0,0 0 0,1-1 0,0 2 0,1 0 0,-1 0 0,0-1 0,-1-1 0,0-1 0,0 1 0,1 0 0,0 1 0,0 0 0,1 0 0,-1 0 0,1-1 0,0 1 0,0 0 0,0 1 0,0-1 0,0 0 0,0-3 0,0-1 0,0-2 0,0 2 0,0 2 0,0 1 0,0 2 0,0 0 0,0-1 0,0 0 0,0 0 0,0 0 0,0 1 0,0-2 0,-1 0 0,1-1 0,0 1 0,0 1 0,0-1 0,0 0 0,-1-1 0,1 0 0,0 1 0,0 2 0,0 0 0,-1 0 0,1-1 0,0-1 0,-1 1 0,0 0 0,0 1 0,-2 3 0,-2 1 0,-1 2 0,0-1 0,3-2 0,1 0 0,0-1 0,0 0 0,0 1 0,-1 1 0,0-1 0,1 0 0,-1 1 0,1-1 0,-1 0 0,1-1 0,0 1 0,0 0 0,0 1 0,0 1 0,-1 0 0,0 0 0,1 0 0,0 0 0,1-3 0,1 1 0,0-1 0,-1 0 0,1 1 0,0 0 0,-1 0 0,1 2 0,-1-1 0,0 0 0,1 0 0,-1-2 0,1 0 0,-1 0 0,0 1 0,-1 1 0,0-1 0,1 0 0,0 0 0,0-1 0,0 0 0,0 0 0,0-1 0,-2 3 0,-2-1 0,-2 3 0,0-1 0,0 1 0,0 0 0,1-2 0,0 0 0,3-1 0,0 0 0,1-1 0,0 0 0,1 0 0,0 0 0,-2-1 0,2 1 0,5-8 0,1 0 0,1-2 0,-2 4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9T06:11:31.009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 0 24575,'0'0'0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9T06:13:50.690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 1 24575,'0'0'0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9T06:14:45.872"/>
    </inkml:context>
    <inkml:brush xml:id="br0">
      <inkml:brushProperty name="width" value="0.05" units="cm"/>
      <inkml:brushProperty name="height" value="0.05" units="cm"/>
      <inkml:brushProperty name="color" value="#FF0000"/>
    </inkml:brush>
  </inkml:definitions>
  <inkml:trace contextRef="#ctx0" brushRef="#br0">1 246 24575,'4'-1'0,"0"0"0,-1 0 0,0-1 0,0 0 0,-1 1 0,-1 0 0,1 0 0,0-1 0,-1 0 0,1-1 0,0 0 0,1-1 0,0 0 0,0 2 0,0 0 0,-1 0 0,1 0 0,-1 0 0,0 0 0,0 1 0,0-1 0,1 1 0,1-1 0,1-1 0,1 2 0,-1-1 0,0 0 0,-1 1 0,-1-1 0,-1 1 0,-1 0 0,0 1 0,1-1 0,0 0 0,1-1 0,0 0 0,0 0 0,0 1 0,1-1 0,-1 0 0,1 1 0,0-1 0,2 1 0,-1-2 0,0 2 0,-1-1 0,0 1 0,1 0 0,-1 0 0,2 0 0,2-1 0,-1 0 0,2-1 0,-3 1 0,1 0 0,-2 1 0,2 1 0,0-1 0,1 1 0,-1 0 0,-1 1 0,-1-1 0,-3 0 0,0 0 0,-1 0 0,1 1 0,2-2 0,1 1 0,1-1 0,1 1 0,0-1 0,-2-1 0,-1 2 0,-1-1 0,-1 1 0,0 0 0,0 0 0,-2-1 0,2 1 0,1 0 0,2 0 0,2 0 0,3-1 0,0 1 0,0 0 0,-4-1 0,-3 1 0,-1 0 0,2 0 0,1-1 0,3 0 0,0-1 0,-1 1 0,-2 0 0,-2 0 0,-1 1 0,3-1 0,2 0 0,3 0 0,-2 0 0,1 0 0,-3 0 0,-1 1 0,-1 0 0,1 0 0,-1-1 0,2 1 0,-1 0 0,2 0 0,1-1 0,1 1 0,1-1 0,-1 1 0,-1-1 0,-4 1 0,-1 0 0,-2 0 0,1 0 0,4 0 0,6 0 0,2 1 0,7 1 0,-3 0 0,5 0 0,-7 0 0,1-1 0,-7-1 0,-3 1 0,-3-1 0,-3 0 0,0 0 0,1 0 0,2 0 0,4 0 0,7 0 0,2 0 0,2 0 0,-2 0 0,-6 0 0,-2-1 0,-3 1 0,-1-1 0,-1 0 0,1 0 0,-3 1 0,1-1 0,0 0 0,1 0 0,3 0 0,-1-1 0,1 1 0,1 1 0,0 0 0,3-1 0,9 1 0,2 0 0,8 2 0,-6 0 0,-8-1 0,-4-1 0,-9 0 0,-1 1 0,0 1 0,4 2 0,0-1 0,0 2 0,-3-2 0,-1-2 0,-1-1 0,1 0 0,-4 3 0,2-2 0,-4 3 0,4-3 0,1 1 0,1-1 0,0-1 0,0 0 0,-1 0 0,0 0 0,0 0 0,2 0 0,-2 0 0,0 0 0,0 0 0,1-1 0,0 0 0,1 1 0,-1-1 0,1 1 0,1-1 0,3 0 0,2 0 0,2 0 0,1-1 0,-1 0 0,1 1 0,-3 0 0,0 1 0,-4-1 0,-2 1 0,-2 0 0,0 0 0,2 0 0,4 0 0,5 2 0,5-1 0,-2 1 0,-2-2 0,-4 0 0,-4 0 0,2-1 0,0 1 0,2 0 0,5 0 0,5 0 0,7 2 0,10 2 0,5 2 0,-2-1 0,-2 1 0,-11-4 0,-3 0 0,-4-2 0,-2 0 0,-3 0 0,-2 0 0,-1 0 0,0 0 0,4 0 0,-1 0 0,2 0 0,-2 0 0,-2 0 0,-2-1 0,-1 1 0,-1-1 0,0 0 0,3 0 0,0 0 0,2-1 0,-2 1 0,0-1 0,-1 2 0,-5-1 0,-2 0 0,-1 1 0,3-1 0,1 1 0,2-1 0,0 1 0,1-1 0,3 1 0,1 0 0,6 1 0,-1 0 0,2 0 0,-5 0 0,-4-2 0,-4 1 0,-2-1 0,-3 1 0,-1-1 0,1 1 0,0 0 0,0 0 0,1-1 0,1 0 0,3 0 0,10 0 0,12 1 0,10 1 0,2 1 0,5-1 0,-16-1 0,-4 0 0,-15 0 0,-6 0 0,-4-1 0,-1 0 0,0-1 0,1 1 0,1-3 0,0 1 0,1-1 0,1-1 0,0 2 0,0 1 0,-2 0 0,-1 2 0,-2 3 0,1 0 0,-1 1 0,0-2 0,1 0 0,0 0 0,-1 0 0,0 0 0,0 0 0,0-1 0,0 0 0,0 0 0,-2 0 0,-2-1 0,-2 1 0,-5 0 0,1-1 0,7 1 0,11-1 0,2 0 0,7-1 0,-10-2 0,2 0 0,0-1 0,0-1 0,2 1 0,-1-1 0,-1 2 0,-3 1 0,0 1 0,-2 0 0,0-1 0,-2 2 0,0-1 0,1 0 0,-1 0 0,1 0 0,0 1 0,-1-1 0,0 0 0,0 0 0,1 0 0,-1 0 0,2-1 0,0 0 0,2-1 0,1 0 0,0-1 0,-1 0 0,0 1 0,-3 1 0,0 1 0,0-1 0,-1 1 0,0 0 0,1-1 0,1 0 0,-1-1 0,-1 1 0,2 0 0,-1-2 0,2 0 0,0 0 0,1-1 0,-2 2 0,0 1 0,-2 0 0,0 1 0,0 1 0,0-2 0,-1 1 0,1 0 0,0-2 0,2 0 0,1-2 0,1 1 0,1-2 0,2-2 0,0 0 0,-1 2 0,-2 1 0,-3 3 0,-2 1 0,-1 5 0,0-2 0,-1 3 0,2-3 0,0-1 0,0 0 0,0 2 0,0 0 0,0 2 0,0 0 0,1 0 0,0 0 0,0 2 0,1 1 0,1 3 0,0-2 0,1-2 0,-2-3 0,-1-2 0,-1-1 0,1 0 0,0 2 0,2 2 0,1 1 0,2 2 0,-2-2 0,1 0 0,-2 0 0,2-1 0,-1-1 0,-2-1 0,0-2 0,-1 0 0,1-1 0,2 2 0,5 1 0,7 3 0,6 2 0,5 1 0,1-1 0,-4-2 0,-6-1 0,-9-4 0,-4-1 0,-2 0 0,2-1 0,4 1 0,2-2 0,0 2 0,3-2 0,-3 2 0,2 0 0,-3-1 0,0 1 0,-2 0 0,-1-1 0,-2 1 0,-2 0 0,0-1 0,-1 1 0,2-1 0,0 0 0,2-1 0,-1 1 0,-2 0 0,0 0 0,-3 1 0,2-1 0,0 1 0,0-1 0,2 1 0,5 0 0,5 1 0,7 2 0,0 1 0,-3-1 0,-7-2 0,-5 0 0,-3-2 0,-2 1 0,0-1 0,-5 1 0,1 0 0,-6 0 0,-1-1 0,-4 1 0,6-1 0,3 2 0,20-1 0,-3 1 0,4-2 0,-11 1 0,-4-2 0,1 0 0,2 1 0,4-1 0,4 2 0,2 0 0,5 1 0,-3 2 0,1-1 0,-5-1 0,-2 0 0,-1-1 0,1 0 0,2 0 0,1 0 0,4 0 0,-1 0 0,4-1 0,-4 1 0,0 0 0,-4 0 0,-1 0 0,-1 0 0,1 1 0,2 0 0,1 0 0,3 1 0,3-2 0,0 2 0,6-1 0,0 1 0,3-1 0,-2 0 0,-4-2 0,-4 0 0,2 1 0,-4 0 0,0 0 0,-3 0 0,-5 0 0,0 0 0,-2 0 0,-1 0 0,0 0 0,3 1 0,4 2 0,3 1 0,7 1 0,-2-1 0,5-3 0,-5 0 0,1-1 0,-3-1 0,-2 0 0,2 0 0,-7 1 0,-3 0 0,-4 0 0,-1 0 0,0 0 0,2 2 0,3 0 0,3 1 0,0-1 0,-3 0 0,-4-1 0,-3-1 0,1 0 0,1-1 0,3-1 0,1 0 0,4-2 0,1-1 0,2-3 0,-1 1 0,4-1 0,-6 3 0,3-1 0,-3 2 0,-3 1 0,-2 0 0,-3 2 0,-1 0 0,-1 1 0,1 0 0,-1-1 0,3 1 0,1 0 0,1 0 0,1 0 0,-1 0 0,1-1 0,-2 1 0,0 0 0,-2 1 0,-1-1 0,-1 0 0,-1 0 0,1 1 0,1 0 0,1 0 0,0 2 0,0-1 0,-1 0 0,-1-1 0,1 0 0,-2-1 0,1 0 0,0 1 0,2 0 0,1-1 0,1 1 0,2-1 0,-1 0 0,1 1 0,-1-1 0,0 1 0,-3-1 0,0 1 0,-2-1 0,-1 1 0,2 0 0,2 3 0,2 1 0,1 1 0,-1-1 0,-3-1 0,0-2 0,-3-1 0,2 0 0,2 2 0,1 2 0,1 0 0,-2-2 0,-3-1 0,0-2 0,-1 1 0,2 2 0,3 3 0,4 3 0,-1 1 0,3 1 0,-3-2 0,-1-2 0,-3-3 0,-3-3 0,-1 0 0,-1 1 0,4 2 0,0 3 0,2 1 0,-1-1 0,0 0 0,-2-3 0,0-1 0,-2 0 0,-1-1 0,0 1 0,-1-1 0,1-1 0,-1 0 0,-1-5 0,1 3 0,-3-3 0,-1 3 0,2 2 0,-2-1 0,4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9T06:14:57.843"/>
    </inkml:context>
    <inkml:brush xml:id="br0">
      <inkml:brushProperty name="width" value="0.05" units="cm"/>
      <inkml:brushProperty name="height" value="0.05" units="cm"/>
      <inkml:brushProperty name="color" value="#FF0000"/>
    </inkml:brush>
  </inkml:definitions>
  <inkml:trace contextRef="#ctx0" brushRef="#br0">74 0 24575,'-9'12'0,"-1"1"0,0 1 0,0-1 0,2-2 0,2-2 0,2-1 0,1-3 0,1-1 0,1-1 0,0-1 0,0 2 0,1 1 0,-2 1 0,1 2 0,-1-1 0,1 1 0,0-1 0,1-1 0,-1-2 0,1 0 0,0-3 0,0 2 0,0 0 0,0 2 0,0 1 0,0 5 0,0 1 0,1 2 0,1-3 0,0-3 0,-1-4 0,-1-3 0,0 0 0,3 1 0,0 1 0,4 2 0,0 1 0,1-1 0,-2-2 0,-1 1 0,0-1 0,1 0 0,-1-1 0,2 1 0,-2-1 0,-1-1 0,-1 0 0,0-1 0,-2 1 0,1-1 0,0 0 0,2 0 0,4 1 0,2 0 0,-1 1 0,1-1 0,-4 0 0,0 0 0,1-1 0,3 1 0,2-1 0,1 1 0,-2 0 0,-2 0 0,-2-1 0,0 0 0,0 1 0,2-1 0,-2 1 0,-1-1 0,-2 0 0,-1 0 0,-1 0 0,3 0 0,3 1 0,7 0 0,2 1 0,8 0 0,0 1 0,1 1 0,-4-2 0,-5-1 0,-1-1 0,0 0 0,1-1 0,1 0 0,5 1 0,11 2 0,7 1 0,5 2 0,-6-3 0,-3 1 0,-2 0 0,4 0 0,-5 2 0,-2-2 0,-9 1 0,-3-2 0,-4 0 0,0 0 0,-3 0 0,-1 0 0,0 0 0,-2-1 0,1 0 0,0-1 0,1 1 0,0-1 0,2 0 0,2 0 0,2 0 0,1 1 0,0-1 0,3 2 0,2-2 0,4 1 0,-4-1 0,2 0 0,-4 0 0,3 1 0,-3-1 0,-4 0 0,-2 0 0,-4 0 0,0 0 0,-3 0 0,2 0 0,0 0 0,4-1 0,2 0 0,0 1 0,1-1 0,-1 0 0,4 0 0,0 1 0,5-1 0,1 1 0,8 0 0,2 1 0,3-1 0,3 1 0,-9 0 0,4-1 0,-9 1 0,0-1 0,-5 0 0,0-1 0,0 0 0,-1-1 0,2 0 0,2 0 0,0-1 0,-3 1 0,-2 1 0,-5 0 0,-1 0 0,-3 0 0,-2 0 0,2 0 0,3 0 0,4 1 0,5 0 0,5-1 0,3 2 0,5 0 0,-2 2 0,-6-1 0,-4 0 0,-10-2 0,-2 1 0,-6-1 0,-1 0 0,1 0 0,3 0 0,9 1 0,2-1 0,8 0 0,-1 1 0,8-1 0,-8 1 0,2 0 0,-10-1 0,0 0 0,-2 0 0,-4 1 0,2-1 0,1 1 0,4 0 0,3 0 0,3 1 0,-1 0 0,0 0 0,-2 0 0,-2 0 0,1 0 0,-2-2 0,3 2 0,-3-1 0,1-1 0,-1 2 0,1-2 0,-1 0 0,-4 0 0,-5 0 0,-2 0 0,-3 0 0,-1-1 0,-1 1 0,1 0 0,1 0 0,2-1 0,-1 1 0,6-1 0,-1-1 0,8 0 0,-1-1 0,2 0 0,2 1 0,3-1 0,4 1 0,-2 0 0,9 2 0,-1-1 0,6 1 0,-8 1 0,2-1 0,-1 1 0,5 0 0,-5 0 0,4-1 0,-14 0 0,2 0 0,-10-1 0,-7 0 0,-5 0 0,-3 1 0,-2 0 0,0 0 0,1 0 0,2 0 0,4 0 0,3-1 0,5 1 0,7-1 0,1 1 0,6-2 0,-8 0 0,5 0 0,-7 0 0,4-1 0,-5 1 0,-2-1 0,-1 1 0,-5 1 0,1 0 0,-3 0 0,-2 0 0,-1 1 0,-2 0 0,-2 0 0,-2-1 0,0 1 0,1 0 0,0 0 0,1 0 0,2-2 0,0-1 0,2 0 0,0 0 0,0-1 0,-1 2 0,1-2 0,-3 2 0,-1 1 0,-1-1 0,0 2 0,-1-1 0,0 1 0,0-1 0,1 0 0,-1 0 0,0 0 0,1 0 0,-1-1 0,0 1 0,0 0 0,0 0 0,1 0 0,0-1 0,3-2 0,0 0 0,2-1 0,0 1 0,-1-2 0,1 1 0,0 0 0,-2 0 0,2 0 0,-3 2 0,0 0 0,-2 1 0,-1 1 0,0-1 0,0-3 0,1 0 0,0-1 0,0 1 0,-1-1 0,-1 2 0,0-2 0,0 1 0,0 1 0,0 1 0,-1 2 0,1 0 0,-1 0 0,0-1 0,-1 0 0,2 0 0,-1 1 0,1 0 0,1 0 0,0-1 0,1 0 0,3-2 0,4-3 0,-5 2 0,1 0 0,-6 5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30T06:49:39.803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98 24575,'14'0'0,"2"0"0,1 0 0,19-1 0,-17 0 0,10 0 0,-19 0 0,-3 1 0,-1 0 0,-3-1 0,-1 1 0,1 0 0,0 0 0,2 0 0,2-1 0,0 1 0,2-1 0,2 1 0,2 0 0,2 0 0,-1 0 0,0 0 0,-4 0 0,-2 0 0,-5 0 0,-2 0 0,0 0 0,2 0 0,1 1 0,5 0 0,1-1 0,0 1 0,-4-1 0,-4 0 0,0 0 0,-1 0 0,4 0 0,3 1 0,3-1 0,4 2 0,-1-2 0,3 3 0,-1-1 0,-1 0 0,-4 1 0,-2-2 0,-5-1 0,-3 0 0,5 0 0,-1 0 0,3-1 0,0 0 0,-1 0 0,-2 1 0,-1-1 0,-2 1 0,-1 0 0,1 0 0,4 0 0,0-1 0,0 0 0,-2 0 0,-3 1 0,1-1 0,-2 0 0,0-1 0,-2-1 0,-2-2 0,1-1 0,-1 1 0,1 0 0,0 1 0,1 2 0,0 1 0,0 0 0,0-1 0,-2 1 0,1-1 0,-1 0 0,1 1 0,-1-1 0,2 1 0,-1 0 0,2 1 0,-2-1 0,0 1 0,-2-2 0,1 0 0,0-1 0,-2 1 0,1-2 0,-1 1 0,2 0 0,2 1 0,2 0 0,-1-1 0,0 0 0,-1-1 0,1 3 0,0-1 0,0 2 0,-1-1 0,-1-1 0,1-2 0,-2 1 0,2 1 0,-1 0 0,2 0 0,8 10 0,2 1 0,6 7 0,-2-2 0,-3-4 0,-4-4 0,-2-2 0,-3-2 0,1 0 0,1 2 0,0 0 0,2 1 0,-2-2 0,-1 0 0,0-1 0,-1-1 0,1 1 0,1 0 0,1 0 0,-2 1 0,0-2 0,-1 1 0,1 0 0,0 1 0,3 3 0,-2 0 0,1-1 0,-1-1 0,-2-2 0,3 1 0,-2 0 0,0-2 0,-8 3 0,-2 0 0,-3 2 0,1-1 0,4-2 0,1-1 0,4-1 0,-1 0 0,1-1 0,-1 1 0,-1 0 0,1 0 0,0 1 0,1-2 0,0 0 0,-1 1 0,0 0 0,-2 1 0,-3 0 0,2 2 0,-1-2 0,3 1 0,1-2 0,0 0 0,2 0 0,-1-1 0,-1 2 0,-1-1 0,1 1 0,1-1 0,0-1 0,0 1 0,-3 2 0,0-1 0,-3 2 0,-1 0 0,2-1 0,1-1 0,3-1 0,1-1 0,0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30T06:49:39.804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1 24575,'0'0'0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30T06:49:39.806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98 24575,'14'0'0,"2"0"0,1 0 0,19-1 0,-17 0 0,10 0 0,-19 0 0,-3 1 0,-1 0 0,-3-1 0,-1 1 0,1 0 0,0 0 0,2 0 0,2-1 0,0 1 0,2-1 0,2 1 0,2 0 0,2 0 0,-1 0 0,0 0 0,-4 0 0,-2 0 0,-5 0 0,-2 0 0,0 0 0,2 0 0,1 1 0,5 0 0,1-1 0,0 1 0,-4-1 0,-4 0 0,0 0 0,-1 0 0,4 0 0,3 1 0,3-1 0,4 2 0,-1-2 0,3 3 0,-1-1 0,-1 0 0,-4 1 0,-2-2 0,-5-1 0,-3 0 0,5 0 0,-1 0 0,3-1 0,0 0 0,-1 0 0,-2 1 0,-1-1 0,-2 1 0,-1 0 0,1 0 0,4 0 0,0-1 0,0 0 0,-2 0 0,-3 1 0,1-1 0,-2 0 0,0-1 0,-2-1 0,-2-2 0,1-1 0,-1 1 0,1 0 0,0 1 0,1 2 0,0 1 0,0 0 0,0-1 0,-2 1 0,1-1 0,-1 0 0,1 1 0,-1-1 0,2 1 0,-1 0 0,2 1 0,-2-1 0,0 1 0,-2-2 0,1 0 0,0-1 0,-2 1 0,1-2 0,-1 1 0,2 0 0,2 1 0,2 0 0,-1-1 0,0 0 0,-1-1 0,1 3 0,0-1 0,0 2 0,-1-1 0,-1-1 0,1-2 0,-2 1 0,2 1 0,-1 0 0,2 0 0,8 10 0,2 1 0,6 7 0,-2-2 0,-3-4 0,-4-4 0,-2-2 0,-3-2 0,1 0 0,1 2 0,0 0 0,2 1 0,-2-2 0,-1 0 0,0-1 0,-1-1 0,1 1 0,1 0 0,1 0 0,-2 1 0,0-2 0,-1 1 0,1 0 0,0 1 0,3 3 0,-2 0 0,1-1 0,-1-1 0,-2-2 0,3 1 0,-2 0 0,0-2 0,-8 3 0,-2 0 0,-3 2 0,1-1 0,4-2 0,1-1 0,4-1 0,-1 0 0,1-1 0,-1 1 0,-1 0 0,1 0 0,0 1 0,1-2 0,0 0 0,-1 1 0,0 0 0,-2 1 0,-3 0 0,2 2 0,-1-2 0,3 1 0,1-2 0,0 0 0,2 0 0,-1-1 0,-1 2 0,-1-1 0,1 1 0,1-1 0,0-1 0,0 1 0,-3 2 0,0-1 0,-3 2 0,-1 0 0,2-1 0,1-1 0,3-1 0,1-1 0,0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30T06:49:39.808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 0 24575,'0'0'0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30T06:49:39.809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 1 24575,'0'0'0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30T06:49:39.810"/>
    </inkml:context>
    <inkml:brush xml:id="br0">
      <inkml:brushProperty name="width" value="0.05" units="cm"/>
      <inkml:brushProperty name="height" value="0.05" units="cm"/>
      <inkml:brushProperty name="color" value="#FF0000"/>
    </inkml:brush>
  </inkml:definitions>
  <inkml:trace contextRef="#ctx0" brushRef="#br0">1 272 24575,'4'-2'0,"1"1"0,-2 0 0,0-1 0,0 0 0,-1 1 0,-1 0 0,1 0 0,1-2 0,-2 1 0,1-1 0,0 0 0,1-2 0,0 1 0,1 1 0,-1 1 0,-1 0 0,1 0 0,-1 0 0,0-1 0,0 2 0,1-1 0,0 1 0,1-1 0,1-2 0,2 3 0,-2-1 0,0 0 0,0 1 0,-2-1 0,-1 1 0,-1-1 0,0 2 0,1-1 0,0 0 0,2-1 0,-1 0 0,0 0 0,0 1 0,1-2 0,0 1 0,0 1 0,0-1 0,3 1 0,-2-3 0,0 3 0,-1-1 0,1 1 0,0 0 0,-1 0 0,3 0 0,1-2 0,0 1 0,1-1 0,-2 1 0,0 0 0,-2 0 0,3 2 0,-1-1 0,2 1 0,-2 0 0,0 1 0,-2-1 0,-3 0 0,0 0 0,-1 0 0,2 2 0,1-4 0,1 2 0,2-1 0,0 1 0,0-1 0,-1-1 0,-2 2 0,-1-1 0,-1 1 0,1 0 0,-1 0 0,-2-1 0,2 1 0,1 0 0,2 0 0,3 0 0,2-1 0,1 1 0,0 0 0,-5-1 0,-3 1 0,-1 0 0,3 0 0,0-2 0,4 1 0,-1-1 0,0 1 0,-3 0 0,-2 0 0,-1 1 0,4-1 0,1 0 0,4 0 0,-3-1 0,2 1 0,-4 0 0,0 1 0,-2 0 0,1 0 0,-1-1 0,3 1 0,-2 0 0,3 0 0,0-1 0,2 1 0,0-1 0,0 1 0,-2-1 0,-3 1 0,-2 0 0,-2 0 0,1 0 0,5 0 0,5 0 0,3 1 0,8 1 0,-4 0 0,5 1 0,-7-1 0,1-1 0,-7-1 0,-3 1 0,-4-1 0,-3 0 0,0 0 0,1 0 0,2 0 0,5 0 0,7 0 0,2 0 0,2 0 0,-2 0 0,-6 0 0,-2-1 0,-4 1 0,-1-1 0,0 0 0,0 0 0,-3 1 0,1-2 0,1 1 0,0 0 0,3 0 0,0-1 0,0 1 0,2 1 0,-1 0 0,4-1 0,9 1 0,3 0 0,8 2 0,-7 0 0,-8-1 0,-4-1 0,-10 0 0,-1 1 0,1 2 0,3 1 0,0-1 0,1 3 0,-4-3 0,-1-2 0,-1-1 0,1 0 0,-4 4 0,2-3 0,-4 3 0,4-3 0,1 1 0,1-1 0,0-1 0,0 0 0,-1 0 0,0 0 0,1 0 0,1 0 0,-2 0 0,0 0 0,0 0 0,1-1 0,0 0 0,1 1 0,-1-1 0,2 1 0,0-1 0,3 0 0,3 0 0,2 0 0,1-1 0,-2-1 0,2 2 0,-3 0 0,-1 1 0,-3-1 0,-3 1 0,-2 0 0,0 0 0,2 0 0,5 0 0,4 2 0,6-1 0,-2 2 0,-2-3 0,-4 0 0,-5 0 0,3-2 0,-1 2 0,3 0 0,5 0 0,5 0 0,8 3 0,10 1 0,6 3 0,-3-2 0,-1 2 0,-13-5 0,-2 0 0,-5-2 0,-2 0 0,-3 0 0,-2 0 0,-1 0 0,-1 0 0,5 0 0,-1 0 0,2 0 0,-2 0 0,-2 0 0,-2-1 0,-2 1 0,0-1 0,-1 0 0,4 0 0,0 0 0,2-2 0,-3 2 0,1-1 0,-1 2 0,-6-1 0,-2 0 0,-1 1 0,4-1 0,0 1 0,3-1 0,-1 1 0,2-1 0,3 1 0,0 0 0,8 1 0,-2 0 0,2 0 0,-5 0 0,-4-2 0,-5 1 0,-1-1 0,-4 1 0,-1-1 0,1 1 0,0 0 0,0 0 0,2-1 0,0 0 0,3-1 0,11 1 0,13 1 0,11 1 0,2 2 0,5-2 0,-17-1 0,-5 0 0,-15 0 0,-7 0 0,-4-1 0,-1 0 0,0-2 0,1 2 0,2-3 0,-1 1 0,1-2 0,1 0 0,0 1 0,1 2 0,-3 0 0,-1 2 0,-2 3 0,1 0 0,-1 2 0,0-3 0,1 0 0,0 1 0,-1-1 0,0 0 0,-1 0 0,1-1 0,0 0 0,0 0 0,-2 1 0,-2-2 0,-3 1 0,-4 0 0,0-1 0,8 1 0,11-1 0,3 0 0,7-1 0,-11-3 0,3 1 0,-1-1 0,1-2 0,1 2 0,0-2 0,-2 3 0,-2 1 0,-1 1 0,-2 0 0,0-2 0,-2 3 0,1-1 0,0 0 0,-1 0 0,1 0 0,0 1 0,-1-1 0,0 0 0,0 0 0,1-1 0,-1 1 0,3-1 0,-1 0 0,2-1 0,2-1 0,-1 0 0,-1 0 0,1 0 0,-4 2 0,0 1 0,0-1 0,-1 1 0,0-1 0,1 0 0,1 0 0,0-1 0,-2 1 0,2-1 0,-1-1 0,2-1 0,0 1 0,2-1 0,-3 1 0,0 2 0,-2 0 0,0 1 0,0 1 0,0-2 0,-1 0 0,2 1 0,-1-2 0,2 0 0,1-3 0,1 2 0,2-3 0,1-2 0,1 0 0,-2 3 0,-1 0 0,-4 4 0,-2 1 0,-1 5 0,0-1 0,-1 2 0,2-3 0,0-1 0,0 1 0,0 1 0,0 0 0,0 3 0,0-1 0,1 1 0,0-1 0,0 3 0,1 1 0,1 3 0,0-2 0,1-2 0,-1-4 0,-2-2 0,-1-1 0,1 0 0,0 3 0,2 1 0,1 2 0,3 2 0,-3-3 0,1 1 0,-2 0 0,3-2 0,-2 0 0,-2-2 0,0-2 0,-1 0 0,2-1 0,1 2 0,5 2 0,8 2 0,7 3 0,5 1 0,0-1 0,-3-3 0,-7 0 0,-9-5 0,-5-1 0,-2 0 0,3-1 0,3 1 0,3-2 0,0 2 0,3-2 0,-4 2 0,3 0 0,-3-2 0,0 2 0,-3 0 0,0-1 0,-3 1 0,-2 0 0,0-1 0,-1 1 0,3-1 0,-1 0 0,2-1 0,0 1 0,-3 0 0,0 0 0,-3 1 0,2-2 0,0 2 0,0-1 0,3 1 0,4 0 0,6 1 0,8 3 0,-1 0 0,-3-1 0,-7-1 0,-6-1 0,-3-2 0,-1 1 0,-1-2 0,-6 2 0,2 0 0,-6 0 0,-2-1 0,-4 1 0,6-1 0,4 2 0,21-1 0,-3 1 0,4-2 0,-12 1 0,-4-2 0,1 0 0,3 1 0,3-1 0,5 2 0,2 0 0,5 1 0,-3 2 0,1-1 0,-5-1 0,-2 0 0,-2-1 0,2 0 0,2 0 0,1 0 0,4 0 0,-1 0 0,4-1 0,-4 1 0,0 0 0,-4 0 0,-1 0 0,-1 0 0,0 1 0,3 1 0,1-1 0,3 1 0,3-2 0,1 2 0,5-1 0,1 1 0,3-1 0,-2 1 0,-5-4 0,-3 1 0,1 1 0,-4 0 0,0 0 0,-3 0 0,-5 0 0,-1 0 0,-1 0 0,-2 0 0,1 0 0,2 1 0,5 3 0,3 0 0,8 2 0,-3-2 0,6-3 0,-6 0 0,2-1 0,-4-1 0,-2 0 0,2 0 0,-7 1 0,-3 0 0,-5 0 0,-1 0 0,0 0 0,3 2 0,2 0 0,4 2 0,0-2 0,-3 0 0,-5-1 0,-3-1 0,1 0 0,1-1 0,4-1 0,0 0 0,5-3 0,1 0 0,2-4 0,-1 1 0,4-1 0,-6 4 0,3-2 0,-3 3 0,-4 1 0,-1-1 0,-4 3 0,-1 0 0,-1 1 0,2 0 0,-2-1 0,3 1 0,1 0 0,2 0 0,0 0 0,0 0 0,0-1 0,-1 1 0,-1 0 0,-2 1 0,0-1 0,-2 0 0,-1 0 0,1 1 0,1 0 0,1 0 0,1 3 0,-1-2 0,-1 0 0,-1-1 0,2 0 0,-3-1 0,1 0 0,0 1 0,2 0 0,1-1 0,2 2 0,1-2 0,0 0 0,0 1 0,0-1 0,-1 1 0,-2-1 0,-1 1 0,-2-1 0,-1 1 0,2 0 0,3 3 0,1 2 0,2 1 0,-2-2 0,-3 0 0,1-3 0,-4-1 0,2 0 0,2 2 0,1 3 0,2-1 0,-3-1 0,-3-2 0,1-2 0,-2 1 0,2 2 0,3 4 0,5 3 0,-2 1 0,4 1 0,-3-2 0,-2-2 0,-2-4 0,-4-3 0,-1 0 0,-1 1 0,4 3 0,0 3 0,3 0 0,-2 0 0,0 0 0,-1-4 0,-1 0 0,-2-1 0,-1-1 0,0 1 0,-1 0 0,1-2 0,-1 0 0,-1-6 0,1 4 0,-4-3 0,0 3 0,2 2 0,-3-1 0,5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30T06:49:39.811"/>
    </inkml:context>
    <inkml:brush xml:id="br0">
      <inkml:brushProperty name="width" value="0.05" units="cm"/>
      <inkml:brushProperty name="height" value="0.05" units="cm"/>
      <inkml:brushProperty name="color" value="#FF0000"/>
    </inkml:brush>
  </inkml:definitions>
  <inkml:trace contextRef="#ctx0" brushRef="#br0">79 0 24575,'-10'13'0,"-1"1"0,1 2 0,-1-2 0,3-2 0,1-2 0,3-1 0,1-4 0,1 0 0,1-2 0,0-1 0,0 3 0,1 0 0,-3 2 0,2 1 0,-1 0 0,1 1 0,0-1 0,1-2 0,-1-2 0,1 1 0,0-4 0,0 2 0,0 1 0,0 1 0,0 2 0,0 5 0,0 1 0,1 2 0,1-3 0,0-3 0,-1-5 0,-1-2 0,0-1 0,4 1 0,-1 1 0,4 3 0,1 0 0,0 0 0,-1-3 0,-2 1 0,0 0 0,2-1 0,-2-1 0,2 1 0,-1 0 0,-2-2 0,-1 0 0,0-1 0,-2 1 0,2-1 0,-1 0 0,2 0 0,4 1 0,3 0 0,-1 1 0,0-1 0,-3 1 0,-1-1 0,2-1 0,2 1 0,3-1 0,1 1 0,-2 0 0,-3 0 0,-1-1 0,-1 0 0,0 1 0,3-1 0,-2 1 0,-2-1 0,-2 0 0,-1 0 0,-1 0 0,4 0 0,2 1 0,8 0 0,2 2 0,9-1 0,0 1 0,0 1 0,-3-1 0,-6-2 0,-1-1 0,0 0 0,1-1 0,1 0 0,6 1 0,11 2 0,7 1 0,6 3 0,-6-4 0,-4 1 0,-1 0 0,3 1 0,-5 1 0,-2-2 0,-9 2 0,-4-3 0,-4 0 0,0 0 0,-3 1 0,-1-1 0,0 0 0,-3-1 0,2 0 0,0-1 0,1 1 0,-1-1 0,3 0 0,2 0 0,2 0 0,2 1 0,-1-1 0,3 3 0,3-3 0,4 1 0,-5-1 0,3 0 0,-5 0 0,4 1 0,-4-1 0,-3 0 0,-3 0 0,-5 0 0,1 0 0,-3 0 0,1 0 0,1 0 0,4-1 0,2 0 0,0 1 0,1-2 0,0 1 0,3 0 0,0 1 0,6-1 0,1 1 0,8 0 0,2 1 0,4-1 0,3 1 0,-10 0 0,4-1 0,-9 2 0,0-2 0,-5 0 0,-1-2 0,1 1 0,-2-1 0,3 0 0,2 0 0,-1-2 0,-2 2 0,-3 1 0,-5 0 0,-1 0 0,-3 0 0,-2 0 0,2 0 0,3 0 0,4 1 0,6 0 0,5-2 0,3 4 0,5-1 0,-1 2 0,-7-1 0,-5 0 0,-10-2 0,-2 1 0,-6-1 0,-2 0 0,2 0 0,2 0 0,11 2 0,1-2 0,9 0 0,-1 1 0,8-1 0,-8 1 0,2 0 0,-11-1 0,1 0 0,-3 0 0,-4 1 0,2-1 0,1 1 0,5 0 0,2 0 0,4 1 0,-1 1 0,0-1 0,-3 0 0,-1 0 0,0 0 0,-1-2 0,2 3 0,-2-2 0,0-1 0,0 2 0,0-2 0,0 0 0,-5 0 0,-5 0 0,-3 0 0,-2 0 0,-2-1 0,0 1 0,0 0 0,2 0 0,1-1 0,0 1 0,6-1 0,-1-2 0,8 1 0,-1-1 0,3 0 0,2 0 0,2 0 0,5 1 0,-2 0 0,10 2 0,-2-1 0,7 1 0,-8 1 0,1-1 0,-1 1 0,6 0 0,-6 0 0,5-1 0,-15 0 0,2 0 0,-11-1 0,-7 0 0,-6 0 0,-3 1 0,-1 0 0,-1 0 0,1 0 0,2 0 0,5 0 0,3-1 0,5 1 0,7-1 0,2 1 0,6-3 0,-9 1 0,6 0 0,-7 0 0,3-2 0,-5 2 0,-1-1 0,-2 1 0,-6 1 0,2 0 0,-3 0 0,-3-1 0,0 2 0,-3 0 0,-2 0 0,-1-1 0,-1 1 0,1 0 0,0 0 0,1 0 0,2-2 0,1-1 0,1 0 0,1-1 0,-1 0 0,-1 2 0,2-3 0,-4 3 0,-1 1 0,-1-1 0,1 2 0,-2-1 0,0 1 0,0-1 0,1 0 0,-1-1 0,0 1 0,1 0 0,-1-1 0,0 1 0,0 0 0,0 0 0,2 0 0,-1-2 0,3-1 0,0 0 0,3-2 0,-1 2 0,0-3 0,0 2 0,1-1 0,-3 1 0,2-1 0,-2 3 0,-1 0 0,-2 0 0,-1 2 0,0-1 0,0-3 0,1-1 0,0 0 0,1 0 0,-2 0 0,-1 1 0,0-1 0,0 0 0,0 2 0,0 0 0,-1 3 0,1 0 0,-2 0 0,1-1 0,-1 0 0,2 0 0,-1 0 0,1 1 0,1 0 0,0-1 0,1 0 0,4-3 0,3-2 0,-4 1 0,0 1 0,-6 5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3T05:20:40.181"/>
    </inkml:context>
    <inkml:brush xml:id="br0">
      <inkml:brushProperty name="width" value="0.05" units="cm"/>
      <inkml:brushProperty name="height" value="0.05" units="cm"/>
      <inkml:brushProperty name="color" value="#FF0000"/>
    </inkml:brush>
  </inkml:definitions>
  <inkml:trace contextRef="#ctx0" brushRef="#br0">52 184 24575,'13'-4'0,"-2"0"0,11 0 0,2 0 0,7-1 0,4 0 0,5 0 0,5 2 0,2 0 0,4 2 0,-11 0 0,-4 1 0,-9 0 0,-4 1 0,-3-1 0,-1 1 0,2 0 0,4 0 0,5 0 0,0 0 0,7 0 0,-2-2 0,-1 0 0,-3 0 0,-10 0 0,3 1 0,3-1 0,7 1 0,3 0 0,3 0 0,3-1 0,2-1 0,2-1 0,-7 0 0,1 0 0,-8 2 0,7-1 0,-9 1 0,5-1 0,-3 2 0,2-1 0,6 1 0,-9 0 0,1 0 0,-11 0 0,-1 0 0,-6 0 0,-3 1 0,-2-1 0,1 1 0,7 0 0,2 1 0,11 1 0,4 0 0,9 2 0,-4-2 0,6 1 0,-2-2 0,5 0 0,6-2 0,-9 1 0,9-1 0,-12 0 0,6 0 0,-12-1 0,4 1 0,-7-1 0,9 1 0,-4-1 0,3-1 0,3-3 0,1 3 0,6-2 0,-6 3 0,6-2 0,-1-1 0,4 0 0,-4 0 0,-13 1 0,-12 2 0,-14 0 0,-6 0 0,-2 1 0,2 0 0,1 0 0,6 0 0,3 0 0,7 0 0,5 0 0,11 1 0,9 0 0,11 2 0,2-1 0,-2 1 0,-4 1 0,-7 0 0,-5 1 0,-8-1 0,-10-1 0,-5-1 0,7 4 0,1-2 0,4 2 0,-1-4 0,-3 0 0,5-2 0,6 1 0,1 0 0,13-1 0,1 1 0,35-1 0,0 1 0,-26 0 0,1 0-204,-2 0 1,1 0 203,8 0 0,1 0 0,-5 0 0,-3-2 0,-9 1 0,-1 0 0,-2 0 0,-2 0 0,30 1 0,11 0 0,-20-1 0,2-1 0,-17-1 407,-3 2-407,-5 1 0,-10 0 0,-4 1 0,-9-2 0,-7 1 0,-10-1 0,-3 0 0,-2 0 0,4 0 0,7 1 0,9 0 0,5 1 0,10 0 0,0-2 0,7 1 0,-1-3 0,-6 2 0,7-5 0,-5 5 0,5-5 0,-5 5 0,-10-3 0,0 1 0,-8-1 0,2-1 0,-3 2 0,-3-1 0,-2 3 0,-3-1 0,-1 1 0,-4 0 0,-2-1 0,-1 1 0,-1-1 0,-1 1 0,0 0 0,3 0 0,3 0 0,8-1 0,5 1 0,12-2 0,7 0 0,7-3 0,-4 2 0,1-4 0,-10 2 0,-1-3 0,-4-1 0,-1-1 0,-1-1 0,4-2 0,0 1 0,2-2 0,1 1 0,-3 2 0,0 0 0,-8 2 0,-6 3 0,-6 3 0,-3 1 0,-5 1 0,-1 0 0,0 1 0,1 0 0,-1 1 0,0-1 0,-1 0 0,0 1 0,1-1 0,-2 1 0,1-1 0,-1 0 0,1 0 0,2 3 0,-1-2 0,2 2 0,0-1 0,1 2 0,3-1 0,-2 0 0,1-1 0,-2 0 0,1 0 0,-1-1 0,1 0 0,-1 0 0,-3 0 0,2 0 0,3 1 0,1 0 0,2 0 0,0 1 0,-4-2 0,0 0 0,-4-1 0,-2 0 0,0 0 0,1 2 0,0-2 0,3 1 0,-1 1 0,0-1 0,-1 0 0,-1 0 0,1 1 0,4 4 0,6 2 0,3 4 0,-3-1 0,-1-1 0,-4-1 0,1 1 0,3 3 0,-3-3 0,-1-2 0,-5-4 0,-2-2 0,0 0 0,-1 1 0,1-1 0,0 0 0,-1-1 0,1 2 0,1-2 0,-1 2 0,1 1 0,-2-1 0,2 3 0,0 2 0,0 2 0,1 3 0,0 5 0,0-2 0,0 1 0,-1-5 0,-1-5 0,-1-2 0,0-2 0,0-1 0,0 1 0,0 0 0,0 1 0,0 2 0,0 2 0,-1-1 0,1 5 0,-1-2 0,1 3 0,0-1 0,0 3 0,0 0 0,1 0 0,-1-2 0,0-3 0,0 0 0,-1 0 0,1 0 0,0 0 0,-1-1 0,1 0 0,-2-1 0,0 0 0,0 0 0,0 1 0,0 0 0,0 1 0,0 0 0,0 2 0,0 0 0,0 3 0,-1 1 0,1 0 0,-1 1 0,0-1 0,-2 3 0,0 0 0,1-1 0,0-4 0,1-4 0,0-4 0,2-4 0,0 0 0,0-1 0,0 0 0,-1 3 0,-1 0 0,-1 1 0,1-1 0,1-1 0,0-1 0,0 0 0,1-1 0,-2-1 0,0 2 0,-2-1 0,0 2 0,-1-1 0,1 0 0,-4 3 0,-1 0 0,-4 5 0,-3-1 0,0 3 0,1-1 0,1-1 0,4-1 0,2-3 0,2-1 0,2-2 0,1-1 0,-1 0 0,2 0 0,-3 1 0,-2 1 0,-1 0 0,0 1 0,0-1 0,2-1 0,0-1 0,1 0 0,0-1 0,1 1 0,1-2 0,1 1 0,0-1 0,2 1 0,0-1 0,-1 1 0,0-1 0,0 0 0,-1 1 0,-1 0 0,-4 0 0,1 0 0,-6 1 0,0 1 0,-5 0 0,-7-1 0,0 0 0,-6 1 0,4-1 0,4-1 0,3 0 0,3-1 0,1 0 0,-2 1 0,-3-1 0,-1 1 0,-7 0 0,3 1 0,-4 0 0,6 0 0,-2 1 0,4-1 0,-2-1 0,1 0 0,0-1 0,-3 0 0,2 1 0,-6 0 0,1 0 0,5 1 0,2-1 0,8 0 0,1-1 0,3 0 0,2 0 0,3 0 0,-1 0 0,2 0 0,-2 0 0,-1 1 0,-1-1 0,-1 0 0,2 0 0,-2 0 0,3 0 0,-1 0 0,3 0 0,-2 0 0,0 1 0,-4-1 0,-3 0 0,-1 0 0,-1 1 0,-1 0 0,0-1 0,0 2 0,2-2 0,0 0 0,2 0 0,0 0 0,2 0 0,0 0 0,2 0 0,0 0 0,0 0 0,-2 0 0,0 0 0,-5 0 0,-6 1 0,-4-1 0,-7 1 0,1-2 0,1 0 0,1 0 0,6-2 0,2 2 0,3-1 0,-1 2 0,-4-1 0,-1 0 0,-7 0 0,-2 0 0,-2 1 0,3-1 0,0 1 0,4-1 0,-4 2 0,2 1 0,3-1 0,3 0 0,3 0 0,-6 0 0,2 1 0,-3-2 0,0 2 0,-4-2 0,-6 1 0,2-1 0,-8 0 0,5 0 0,0 0 0,7 1 0,8-1 0,6 1 0,0 0 0,3 0 0,2 2 0,2-1 0,2 0 0,1 0 0,3-1 0,-1 0 0,1 1 0,-3-1 0,-1 1 0,-1-1 0,-3 3 0,-2-2 0,-4 3 0,2 0 0,-2 1 0,2 0 0,2-1 0,0 0 0,5-2 0,2-1 0,2 0 0,1-1 0,2 1 0,-1 0 0,0 2 0,-1-1 0,1 2 0,1-2 0,1 1 0,0 0 0,1 0 0,-1 0 0,1 1 0,-1 0 0,1 1 0,0 1 0,-1 0 0,0 1 0,-1 4 0,-2 1 0,-1 3 0,-1-2 0,1-2 0,2-4 0,2-2 0,0-1 0,2-1 0,-1-2 0,0 1 0,0 0 0,-1 2 0,-1 2 0,-1 4 0,0 1 0,1 0 0,0 0 0,0 0 0,-1 1 0,0 1 0,0-3 0,1 0 0,1-3 0,0 0 0,1-3 0,0 1 0,0-1 0,-1 1 0,1 1 0,-1 0 0,1 1 0,0 0 0,0 0 0,1 0 0,-1 1 0,1-1 0,-1 1 0,1-1 0,-2-1 0,2-1 0,-1-2 0,1-1 0,-1-3 0,1-8 0,0-2 0,0-7 0,0 2 0,0-1 0,0 2 0,0 1 0,-2 2 0,2 1 0,-2 2 0,1 1 0,0 4 0,1 1 0,-1-1 0,0 1 0,0-1 0,0 1 0,-1-1 0,0-1 0,-2-1 0,2-1 0,-4-2 0,2 0 0,-2 0 0,0-2 0,-1 0 0,-1 0 0,2 1 0,0 1 0,1 2 0,3 2 0,0 2 0,1 0 0,1 2 0,-1-2 0,0 0 0,1 1 0,-1-1 0,0 1 0,0 0 0,-2-2 0,-1 0 0,-1-1 0,-3-2 0,0 1 0,-2-2 0,-3 2 0,2 0 0,-5 1 0,3 1 0,-2-2 0,3 1 0,-1-1 0,-1-1 0,-2-2 0,-2 1 0,1 0 0,-1 1 0,-1 1 0,-2 0 0,2 3 0,-1-1 0,5 2 0,-1-1 0,6 2 0,2-1 0,4 1 0,1 0 0,0 0 0,-1 0 0,-3-1 0,-2 0 0,-3 0 0,-2-1 0,2 1 0,0-1 0,4 2 0,0-1 0,4 1 0,1-1 0,2 1 0,-1 0 0,1 0 0,-1 0 0,-1 0 0,-2 0 0,0-1 0,-5 1 0,3 0 0,-1 0 0,4 0 0,1 0 0,2 0 0,-1 0 0,1 0 0,-2 0 0,0 0 0,0-1 0,1 1 0,0-1 0,1 1 0,-2 0 0,0 0 0,-4 0 0,0 0 0,-3 0 0,-2 0 0,1 0 0,-1 0 0,2 0 0,2 0 0,3 0 0,2 0 0,1 0 0,-2 0 0,-4 0 0,-4 0 0,-2 0 0,-2 0 0,2-1 0,0-1 0,-1 1 0,0-1 0,1 1 0,-2-1 0,2 1 0,1-1 0,1 1 0,3 1 0,-1-1 0,0 1 0,2-1 0,-2 0 0,1 0 0,0 1 0,0 0 0,1 0 0,-4 0 0,-3-1 0,-4 0 0,1 0 0,-1 0 0,7 1 0,0 0 0,2-2 0,-2 2 0,-1-1 0,2 1 0,-1 0 0,2 0 0,0 0 0,-3 0 0,-1 0 0,-2 0 0,-1 0 0,2 0 0,0 0 0,1 0 0,1 1 0,-3 0 0,-4 0 0,-4-1 0,2 0 0,-3 0 0,3 1 0,-4 0 0,0 0 0,0 0 0,0-1 0,0 0 0,-5 1 0,-2-1 0,-4 1 0,1 0 0,-4 0 0,3 1 0,4-2 0,5 1 0,10-1 0,5 0 0,6 0 0,2 1 0,0 0 0,1-1 0,-1 1 0,1-1 0,-2 0 0,1 1 0,-2 0 0,0-1 0,-1 2 0,-1-2 0,-5 2 0,-5-1 0,-3 0 0,-4 0 0,-2-2 0,-5 1 0,1-2 0,-4 0 0,5 1 0,-2-1 0,1 1 0,7 0 0,0 0 0,8 1 0,0 0 0,1 0 0,0 0 0,-2 0 0,2 0 0,-3 0 0,2-2 0,-3 2 0,2-1 0,0 1 0,-1 1 0,3-1 0,-2 1 0,0-1 0,-3 0 0,-1 0 0,-8-1 0,-2 0 0,-5-2 0,0 2 0,7-1 0,6 2 0,7-1 0,4 1 0,4 0 0,2-1 0,2 1 0,-2-1 0,-4 0 0,-1 0 0,-7-1 0,-5 0 0,-12-2 0,-3 0 0,-11-1 0,5-2 0,-4 1 0,11-1 0,10 2 0,9 2 0,7 1 0,3 1 0,3 0 0,-3-1 0,-4-1 0,-10-3 0,-8-3 0,-3 0 0,-5 0 0,9 2 0,3 2 0,11 1 0,7 3 0,4-1 0,2 2 0,1-1 0,0 0 0,-1 0 0,-4 0 0,-4-1 0,-4-2 0,-3 0 0,1 0 0,-3-1 0,1 3 0,1-1 0,4 1 0,2 1 0,3 0 0,0 0 0,1 0 0,-2 0 0,-3-3 0,-6 0 0,-4-2 0,-10-3 0,-1 1 0,-5-3 0,8 2 0,4 1 0,11 4 0,7 1 0,5 2 0,3 0 0,-1 1 0,1-1 0,-3-2 0,2 1 0,-3-4 0,1 3 0,-1-1 0,1 0 0,0 1 0,2 1 0,-2 0 0,2-1 0,-1 0 0,-1-4 0,-2-1 0,-2-2 0,-5-1 0,-2-1 0,-2 0 0,2 2 0,5 5 0,3 1 0,2 3 0,1 0 0,2 0 0,0 1 0,1-1 0,-1 1 0,0 0 0,0-2 0,-1 0 0,-3-2 0,-4-3 0,0-2 0,-5-2 0,1 1 0,0-1 0,2 2 0,3 1 0,1 2 0,3 1 0,2 1 0,2 1 0,-1 2 0,0-3 0,-1 1 0,-2-4 0,1 4 0,-1-4 0,1 4 0,0-1 0,3 2 0,0-1 0,0-3 0,1-4 0,-3-5 0,2-1 0,-2-2 0,2 3 0,0 2 0,0 2 0,1 2 0,1 3 0,-1 1 0,1 2 0,-1-3 0,1 1 0,-1-2 0,1 2 0,0 1 0,-1-2 0,2 1 0,-1-1 0,0 0 0,1 1 0,0-1 0,0-1 0,-1-4 0,0-2 0,1-3 0,-1 0 0,1 4 0,-1 0 0,-1 5 0,0 0 0,0 3 0,0-1 0,0 0 0,0-1 0,0 1 0,0 0 0,-1-1 0,1 1 0,0 1 0,0 1 0,0 1 0,0 1 0,0-1 0,0 0 0,0-2 0,-1 0 0,1 0 0,-1 2 0,1 0 0,0 0 0,1 0 0,0 0 0,1 1 0,1-1 0,0 1 0,1-1 0,-1 1 0,-1 0 0,-1 0 0,2-1 0,1-2 0,1 1 0,1-3 0,-3 4 0,-9 2 0,4-1 0,-5 3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3T05:25:02.734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76 282 24575,'3'-15'0,"1"-2"0,-1-2 0,2-1 0,0 0 0,0 4 0,-1 2 0,-2 5 0,0 3 0,-1 2 0,0 2 0,0-1 0,1 0 0,2-3 0,1-1 0,1 0 0,0 1 0,-1 0 0,0 2 0,-1 0 0,0 1 0,-1 2 0,-1-1 0,1 1 0,0 0 0,0-1 0,0 1 0,-1 0 0,2-1 0,-1 1 0,2-1 0,0 1 0,2 0 0,-1 0 0,5-1 0,-1 0 0,3-1 0,-1 2 0,-2-1 0,-1 0 0,-2 1 0,-2 0 0,0 0 0,-1 0 0,1 0 0,3 0 0,5-1 0,4 1 0,9-1 0,3 1 0,1 1 0,-4-1 0,-4 1 0,-5-2 0,-2 2 0,-4-1 0,-2 0 0,-4 0 0,0 1 0,0 0 0,-1 0 0,1 0 0,1 0 0,2 0 0,2 0 0,4 0 0,2-1 0,8 1 0,-3-1 0,3 1 0,-7 0 0,-2-1 0,-6 0 0,-3 1 0,-2 0 0,-1 0 0,0-1 0,-1 1 0,2-1 0,1 0 0,2 0 0,4 0 0,-1 1 0,8-1 0,6 0 0,3 0 0,1-1 0,-2 0 0,-4 0 0,1 1 0,-3 0 0,-4-1 0,-2 2 0,-1-1 0,-1 0 0,-1 0 0,2 0 0,0 1 0,10-1 0,2 1 0,15 1 0,1-1 0,13 1 0,5-2 0,-5 1 0,6-1 0,-9 1 0,9-1 0,5 1 0,-8-2 0,0 0 0,-16 0 0,-4-1 0,-13 1 0,-8 0 0,-10 2 0,-3 0 0,-2 0 0,1-1 0,2 1 0,2-1 0,2 1 0,0-1 0,7 1 0,1 1 0,14-1 0,0 1 0,9 0 0,-10-1 0,-2 1 0,-14-1 0,-4 0 0,-5 0 0,-2 0 0,1 1 0,1-1 0,0 0 0,8 2 0,4 2 0,6-1 0,2 0 0,-5-2 0,-3-1 0,-6 0 0,-5 0 0,-1 0 0,-3 0 0,-1 1 0,5-1 0,-1 0 0,3 0 0,-1 0 0,3 0 0,5 1 0,3-1 0,15 1 0,5-1 0,14 0 0,7 0 0,-5 1 0,4-1 0,-13 0 0,-4-1 0,-11-1 0,-11 1 0,-6 0 0,-4 0 0,-5 1 0,0 0 0,0 0 0,3 0 0,4-1 0,8 1 0,18 2 0,13-1 0,16 2 0,1-2 0,-5 0 0,-3-2 0,-13 0 0,-6-1 0,-15-1 0,-9 1 0,-9 1 0,-3 0 0,-1 1 0,3 0 0,3-1 0,5 0 0,10 0 0,2 1 0,12 0 0,-1 1 0,5-1 0,-5 2 0,2-1 0,-14 0 0,-4 0 0,-11 0 0,-6-1 0,-1 1 0,0-1 0,1 0 0,0 0 0,0 0 0,4 1 0,1-1 0,10 3 0,0-1 0,5 2 0,-8-2 0,-3-1 0,-2 1 0,6 3 0,0 0 0,6 1 0,-4-1 0,-4-1 0,-3-3 0,-6 1 0,-2-1 0,-1 0 0,-1 2 0,2 3 0,2 6 0,4 3 0,2 4 0,1-1 0,-4-5 0,-2-5 0,-3-3 0,-1-3 0,-1 0 0,0 0 0,0 5 0,1 2 0,1 4 0,0-1 0,-1 2 0,0-3 0,-1-3 0,1-1 0,-2-2 0,1 0 0,0-1 0,-1 1 0,0-2 0,0 4 0,1-1 0,-1 5 0,2 0 0,-1 2 0,0-1 0,0-2 0,-1-5 0,1-1 0,-1-2 0,0 0 0,0-1 0,-1 2 0,0 3 0,1 5 0,-2 2 0,2 7 0,-1 0 0,0 3 0,0-6 0,0-2 0,-1-6 0,2-2 0,0-3 0,-1-1 0,-1-1 0,-2 2 0,-2 1 0,-1 2 0,-1-1 0,1 2 0,-1 0 0,2-1 0,-2 0 0,3-3 0,0-1 0,0 0 0,-1 1 0,1 0 0,-2 2 0,2 0 0,-3 0 0,1 1 0,0-1 0,-1 0 0,-1 1 0,0-2 0,0 1 0,-1 1 0,-1 0 0,-4 2 0,1 0 0,-2 3 0,3-2 0,-1 0 0,3-4 0,2-1 0,3-3 0,3 0 0,-1-1 0,1 0 0,-1 1 0,1 0 0,0 0 0,0 0 0,-1-1 0,0 1 0,-2 1 0,0 1 0,0 0 0,0 1 0,0-2 0,-1 1 0,3-1 0,-1 0 0,2-1 0,-1-1 0,2 0 0,-1 0 0,0 0 0,0-1 0,-2 3 0,1-2 0,-4 3 0,1-2 0,-3 3 0,0 0 0,-4 0 0,2-1 0,-2 2 0,3-2 0,1 0 0,2-1 0,2-1 0,0 1 0,2-2 0,-2 1 0,-1 2 0,-3 0 0,-2 2 0,0 0 0,-3 0 0,1-1 0,-1 0 0,0-1 0,0-1 0,1 1 0,-1-1 0,0 2 0,1 0 0,-1 0 0,2-1 0,-1 1 0,2-1 0,-1-1 0,1 1 0,-3-2 0,0 1 0,-2-1 0,-3-1 0,-2 3 0,-2-1 0,3 0 0,0-1 0,4-1 0,2 0 0,3 0 0,1 1 0,2-1 0,-2 1 0,-2-1 0,2 1 0,-6-1 0,1 1 0,-4-1 0,-1 0 0,-6 0 0,-3-1 0,-4 0 0,1 1 0,7 0 0,1 0 0,5 0 0,-1 1 0,4-1 0,0 0 0,0 0 0,-5-1 0,0 1 0,-2 0 0,0 0 0,2 0 0,2 0 0,6 0 0,2-1 0,3 1 0,-1 0 0,1-1 0,0 1 0,4-1 0,-1 1 0,4-1 0,0 0 0,0 0 0,-2 0 0,-1 1 0,-2 0 0,-3 0 0,0 1 0,0 1 0,0 0 0,-1 1 0,1-2 0,-1 1 0,4-1 0,2 0 0,2-1 0,1 0 0,1 0 0,-1 1 0,-2 2 0,-2 3 0,-2 1 0,-6 8 0,-1 4 0,-7 5 0,-2 6 0,1-6 0,-1 3 0,6-6 0,-1-1 0,6-5 0,2 0 0,4-6 0,2 1 0,3-2 0,0-3 0,1-1 0,1-2 0,0-1 0,0 0 0,0 0 0,0-1 0,0 0 0,0 2 0,0 2 0,2 2 0,0 2 0,0 2 0,1 4 0,-2-2 0,2 2 0,-2 0 0,1-2 0,-2 0 0,1-5 0,-1 0 0,0-1 0,0-1 0,1 0 0,-1-1 0,1 1 0,-1 0 0,1 1 0,0 1 0,1 3 0,0 0 0,1 2 0,-2-2 0,0 0 0,0 0 0,1 0 0,0-1 0,-1-1 0,1 0 0,-2 2 0,1 0 0,0 1 0,0 3 0,-1-1 0,1 2 0,-1-2 0,1 0 0,0-1 0,-1-1 0,0-3 0,0-2 0,0-2 0,0-3 0,0 0 0,0 0 0,1-1 0,-1 4 0,1 0 0,-1 3 0,0 3 0,0 2 0,0 5 0,0 3 0,-1 5 0,1 0 0,-2 3 0,2-4 0,-1 2 0,1-6 0,0 0 0,0-8 0,0 0 0,1-3 0,-1-3 0,1 0 0,-1-2 0,1-2 0,-1 0 0,0-2 0,0 2 0,0 1 0,1 8 0,-1 5 0,0 15 0,0 10 0,-2 9 0,1-2 0,-2-1 0,2-12 0,0-4 0,1-9 0,0-10 0,0-6 0,0-3 0,0 3 0,1 3 0,0 3 0,1-1 0,0 0 0,-1-3 0,0 1 0,-1 0 0,1-1 0,-1-1 0,2 0 0,-2 2 0,3 3 0,-1 8 0,2 2 0,1 6 0,-1-2 0,-1-6 0,0-6 0,-3-3 0,1-2 0,-1-1 0,0-2 0,0-2 0,0 3 0,0 3 0,-1 2 0,1 4 0,-1 2 0,1 3 0,0-2 0,1 3 0,-1-1 0,1 6 0,0-1 0,-1 3 0,1-3 0,-1-1 0,0-4 0,0-8 0,1-2 0,-1-7 0,0 0 0,0-3 0,1 0 0,-1 2 0,1 2 0,0 3 0,1 0 0,0 3 0,1 3 0,0 4 0,0 4 0,1 9 0,-3 1 0,2 5 0,-1-7 0,-1-1 0,0-8 0,0 0 0,-1-4 0,0-1 0,0-2 0,0 0 0,2 1 0,-1-2 0,-1 1 0,1-1 0,-2 1 0,1 1 0,-1-1 0,1 4 0,0 4 0,-1 0 0,0-2 0,1-5 0,-1-2 0,1 0 0,-1-1 0,1-2 0,-1 0 0,1-3 0,0-1 0,-1-2 0,1 0 0,-1 0 0,1 3 0,0 0 0,0 1 0,0 1 0,0-1 0,-1 1 0,1-1 0,-1 1 0,1-1 0,0 1 0,0-3 0,-1 1 0,1-3 0,-1 2 0,1-1 0,-1 1 0,-1 3 0,1 1 0,0 2 0,-1-1 0,1 3 0,-1 0 0,0 5 0,0-2 0,0-2 0,0-5 0,2-5 0,-1-1 0,1-2 0,0 1 0,-1 3 0,0 2 0,-1 1 0,0 3 0,-1 2 0,2 2 0,-1-1 0,2-4 0,-1 0 0,0-1 0,0 6 0,-1-1 0,1 1 0,0-5 0,0-1 0,1-4 0,-1-3 0,1-2 0,0 0 0,-1 2 0,1 1 0,-1 2 0,0 3 0,0 0 0,1 1 0,-1-3 0,0-2 0,-1 2 0,0 2 0,-1 1 0,-1 5 0,-1-3 0,0 2 0,0-2 0,1 0 0,1-4 0,0 0 0,2-3 0,1-3 0,0 0 0,0-2 0,0 0 0,0 1 0,0 6 0,0-1 0,0 2 0,1-3 0,-1-1 0,0-1 0,0 3 0,-1 2 0,0 0 0,0 1 0,0-4 0,-1-1 0,1-2 0,0-1 0,0 0 0,0 1 0,-2 1 0,0 1 0,-1 1 0,-1 2 0,-2 2 0,0 1 0,-1 1 0,-1 1 0,2-3 0,-1 1 0,2-4 0,1-1 0,2-3 0,0-1 0,1 0 0,-2 1 0,-2 2 0,0-1 0,0 2 0,0-2 0,1 0 0,2 0 0,-2-2 0,2 1 0,-1-1 0,-1 0 0,-2 3 0,-1 0 0,-1 3 0,0-1 0,1-1 0,1-1 0,2-2 0,2 0 0,1-2 0,1 0 0,0 0 0,0 0 0,-1 0 0,0-1 0,-1 1 0,0 1 0,-1-1 0,1 2 0,0-1 0,0 1 0,0-1 0,1-1 0,-1 0 0,0-1 0,0 1 0,-2 0 0,0 0 0,-1 0 0,1 0 0,0 0 0,2-1 0,-1 1 0,2-1 0,-1 1 0,0-1 0,0 1 0,-1 0 0,0 0 0,-1 1 0,0-1 0,0 1 0,-1-1 0,-1 1 0,1-1 0,-1 1 0,1-1 0,1 0 0,1 0 0,0 0 0,0 0 0,-2 0 0,-1-1 0,-2 1 0,-6-1 0,-6 0 0,-1 1 0,-5 0 0,7 1 0,0 0 0,4-1 0,4 0 0,2-1 0,1 1 0,2-1 0,-2 2 0,1-1 0,1 1 0,-2-1 0,0 0 0,-5 2 0,-1 0 0,-3 0 0,4-1 0,3 0 0,3 0 0,2-2 0,2 1 0,0 0 0,2 0 0,-1-1 0,1 0 0,0 0 0,0 0 0,-3 0 0,-1 1 0,-1-1 0,-1 0 0,1 1 0,-1-1 0,-4 1 0,0-1 0,-8 0 0,2 0 0,-4 0 0,4 1 0,5 0 0,3-1 0,5 0 0,2 0 0,0 0 0,-4 0 0,-4-2 0,-3 0 0,-2-1 0,1 2 0,-4-2 0,2 1 0,-2-1 0,1 1 0,2 1 0,-3-1 0,3 1 0,-1-1 0,1 0 0,-1-1 0,0 2 0,4-1 0,-1 2 0,3-1 0,-1 1 0,1-1 0,-3 1 0,1 0 0,-3 0 0,1 0 0,0 0 0,-1 0 0,1-1 0,-1 1 0,3 0 0,-2 0 0,2-1 0,0 0 0,0 0 0,4 1 0,0 0 0,1 0 0,-2-1 0,-2 1 0,-2-1 0,2 1 0,2 0 0,3 0 0,3 0 0,3 0 0,-2 0 0,-1 0 0,-2 0 0,1 0 0,0 0 0,3 0 0,-1-1 0,0 1 0,-3-1 0,-4-1 0,-13-6 0,-1-1 0,-8-2 0,11 3 0,9 4 0,8 3 0,3-2 0,0-9 0,0-5 0,-2-4 0,-2-5 0,1 6 0,-3-4 0,1 5 0,0 4 0,-1 2 0,2 3 0,1 4 0,1 1 0,2 1 0,-2-2 0,0-2 0,-1-1 0,1-1 0,1 2 0,-1-2 0,2 1 0,-1 0 0,1-1 0,0-2 0,0-1 0,-1-3 0,-2-2 0,0 0 0,-5-10 0,0 1 0,1 0 0,1 6 0,5 9 0,1 5 0,1 3 0,-1 0 0,1 1 0,0-2 0,0-1 0,1-1 0,0-1 0,0-2 0,2-3 0,0-2 0,2-3 0,0 2 0,2-5 0,-1-2 0,-1-6 0,1 0 0,-3-4 0,0-1 0,-2 0 0,1 1 0,-2 9 0,1 6 0,-1 7 0,1 2 0,0 0 0,-1-1 0,1-4 0,0-2 0,0-1 0,2 2 0,-3 0 0,3 2 0,-2-3 0,0 2 0,0-2 0,0 2 0,0-4 0,1 1 0,-1-4 0,2 2 0,-1-4 0,0 1 0,1 0 0,-2 0 0,0 2 0,-1-4 0,0 2 0,-1-2 0,0 1 0,1 0 0,-1 0 0,1 3 0,-1 0 0,0 2 0,0 1 0,1 2 0,0 0 0,0-2 0,0-4 0,0-4 0,-2-1 0,0-4 0,-1 1 0,1-3 0,0 6 0,0 2 0,1 2 0,-1-1 0,0-4 0,-1 2 0,-1-4 0,1 4 0,-1-3 0,1 5 0,2-2 0,-2 3 0,2-3 0,0 1 0,-1-4 0,2 0 0,-1-4 0,0-2 0,0 3 0,1-2 0,-2 6 0,2-1 0,-1 6 0,0-1 0,1 3 0,-1-1 0,1-2 0,-1 2 0,0-2 0,-1 0 0,0 0 0,1 2 0,0 2 0,0 3 0,1 0 0,0 2 0,0 0 0,-1 0 0,1-3 0,0-2 0,0 0 0,-1-4 0,1 0 0,-2-3 0,1 1 0,-2-5 0,0 3 0,1-2 0,0 2 0,1 2 0,1-1 0,-1 0 0,1-4 0,-1 3 0,0-4 0,0 4 0,0 0 0,0 3 0,1 0 0,0 2 0,0 0 0,0 1 0,0 2 0,0-2 0,0 3 0,0 0 0,0 4 0,0 3 0,0 1 0,0 2 0,0 1 0,0 2 0,0 1 0,0 0 0,0 0 0,0 1 0,0 0 0,0-2 0,0-1 0,0-3 0,0-1 0,0-4 0,0-3 0,-1-4 0,1 0 0,-1-3 0,1 2 0,-1-2 0,1 2 0,-1-1 0,1 1 0,0-1 0,0 0 0,0 3 0,0-1 0,0 1 0,0 0 0,0 2 0,-1 1 0,1 5 0,0 0 0,0 2 0,0 1 0,0 2 0,0 1 0,0 0 0,1 1 0,-1-1 0,0 1 0,0-2 0,0-4 0,-1-2 0,1-4 0,-2 0 0,1 1 0,-1 2 0,1 1 0,1 2 0,-1-1 0,1 3 0,-1-2 0,1 2 0,-1 1 0,1-2 0,-1 2 0,1-3 0,-2 0 0,2-1 0,-2 2 0,2 0 0,-1 1 0,1-2 0,0 0 0,0 0 0,0 1 0,0 3 0,0-1 0,0 0 0,0-3 0,0 1 0,-1-1 0,0 1 0,1 2 0,0 2 0,0 2 0,0-1 0,0 1 0,0-2 0,0-2 0,-1-1 0,0-1 0,0 2 0,0-2 0,0-1 0,-2-3 0,-1 0 0,0-2 0,-1 4 0,1 1 0,0 3 0,2 2 0,0 2 0,2 1 0,-1 1 0,1-1 0,-1 2 0,0 0 0,0 0 0,-3-2 0,-2 1 0,-2-3 0,0 2 0,4 2 0,1-1 0,1 1 0,-1 0 0,0-2 0,0 2 0,3-2 0,-1 1 0,1-1 0,0-1 0,0 0 0,0-3 0,0-2 0,0-2 0,0 1 0,0 2 0,0 2 0,0 2 0,-9-1 0,-22 9 0,15-6 0,-12 10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3T05:25:05.264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 0 24575,'0'0'0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3T05:25:12.925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 1 24575,'0'0'0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5T14:10:22.448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98 24575,'14'0'0,"2"0"0,1 0 0,19-1 0,-17 0 0,10 0 0,-19 0 0,-3 1 0,-1 0 0,-3-1 0,-1 1 0,1 0 0,0 0 0,2 0 0,2-1 0,0 1 0,2-1 0,2 1 0,2 0 0,2 0 0,-1 0 0,0 0 0,-4 0 0,-2 0 0,-5 0 0,-2 0 0,0 0 0,2 0 0,1 1 0,5 0 0,1-1 0,0 1 0,-4-1 0,-4 0 0,0 0 0,-1 0 0,4 0 0,3 1 0,3-1 0,4 2 0,-1-2 0,3 3 0,-1-1 0,-1 0 0,-4 1 0,-2-2 0,-5-1 0,-3 0 0,5 0 0,-1 0 0,3-1 0,0 0 0,-1 0 0,-2 1 0,-1-1 0,-2 1 0,-1 0 0,1 0 0,4 0 0,0-1 0,0 0 0,-2 0 0,-3 1 0,1-1 0,-2 0 0,0-1 0,-2-1 0,-2-2 0,1-1 0,-1 1 0,1 0 0,0 1 0,1 2 0,0 1 0,0 0 0,0-1 0,-2 1 0,1-1 0,-1 0 0,1 1 0,-1-1 0,2 1 0,-1 0 0,2 1 0,-2-1 0,0 1 0,-2-2 0,1 0 0,0-1 0,-2 1 0,1-2 0,-1 1 0,2 0 0,2 1 0,2 0 0,-1-1 0,0 0 0,-1-1 0,1 3 0,0-1 0,0 2 0,-1-1 0,-1-1 0,1-2 0,-2 1 0,2 1 0,-1 0 0,2 0 0,8 10 0,2 1 0,6 7 0,-2-2 0,-3-4 0,-4-4 0,-2-2 0,-3-2 0,1 0 0,1 2 0,0 0 0,2 1 0,-2-2 0,-1 0 0,0-1 0,-1-1 0,1 1 0,1 0 0,1 0 0,-2 1 0,0-2 0,-1 1 0,1 0 0,0 1 0,3 3 0,-2 0 0,1-1 0,-1-1 0,-2-2 0,3 1 0,-2 0 0,0-2 0,-8 3 0,-2 0 0,-3 2 0,1-1 0,4-2 0,1-1 0,4-1 0,-1 0 0,1-1 0,-1 1 0,-1 0 0,1 0 0,0 1 0,1-2 0,0 0 0,-1 1 0,0 0 0,-2 1 0,-3 0 0,2 2 0,-1-2 0,3 1 0,1-2 0,0 0 0,2 0 0,-1-1 0,-1 2 0,-1-1 0,1 1 0,1-1 0,0-1 0,0 1 0,-3 2 0,0-1 0,-3 2 0,-1 0 0,2-1 0,1-1 0,3-1 0,1-1 0,0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5T14:10:22.449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1 24575,'0'0'0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5T14:10:22.450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98 24575,'14'0'0,"2"0"0,1 0 0,19-1 0,-17 0 0,10 0 0,-19 0 0,-3 1 0,-1 0 0,-3-1 0,-1 1 0,1 0 0,0 0 0,2 0 0,2-1 0,0 1 0,2-1 0,2 1 0,2 0 0,2 0 0,-1 0 0,0 0 0,-4 0 0,-2 0 0,-5 0 0,-2 0 0,0 0 0,2 0 0,1 1 0,5 0 0,1-1 0,0 1 0,-4-1 0,-4 0 0,0 0 0,-1 0 0,4 0 0,3 1 0,3-1 0,4 2 0,-1-2 0,3 3 0,-1-1 0,-1 0 0,-4 1 0,-2-2 0,-5-1 0,-3 0 0,5 0 0,-1 0 0,3-1 0,0 0 0,-1 0 0,-2 1 0,-1-1 0,-2 1 0,-1 0 0,1 0 0,4 0 0,0-1 0,0 0 0,-2 0 0,-3 1 0,1-1 0,-2 0 0,0-1 0,-2-1 0,-2-2 0,1-1 0,-1 1 0,1 0 0,0 1 0,1 2 0,0 1 0,0 0 0,0-1 0,-2 1 0,1-1 0,-1 0 0,1 1 0,-1-1 0,2 1 0,-1 0 0,2 1 0,-2-1 0,0 1 0,-2-2 0,1 0 0,0-1 0,-2 1 0,1-2 0,-1 1 0,2 0 0,2 1 0,2 0 0,-1-1 0,0 0 0,-1-1 0,1 3 0,0-1 0,0 2 0,-1-1 0,-1-1 0,1-2 0,-2 1 0,2 1 0,-1 0 0,2 0 0,8 10 0,2 1 0,6 7 0,-2-2 0,-3-4 0,-4-4 0,-2-2 0,-3-2 0,1 0 0,1 2 0,0 0 0,2 1 0,-2-2 0,-1 0 0,0-1 0,-1-1 0,1 1 0,1 0 0,1 0 0,-2 1 0,0-2 0,-1 1 0,1 0 0,0 1 0,3 3 0,-2 0 0,1-1 0,-1-1 0,-2-2 0,3 1 0,-2 0 0,0-2 0,-8 3 0,-2 0 0,-3 2 0,1-1 0,4-2 0,1-1 0,4-1 0,-1 0 0,1-1 0,-1 1 0,-1 0 0,1 0 0,0 1 0,1-2 0,0 0 0,-1 1 0,0 0 0,-2 1 0,-3 0 0,2 2 0,-1-2 0,3 1 0,1-2 0,0 0 0,2 0 0,-1-1 0,-1 2 0,-1-1 0,1 1 0,1-1 0,0-1 0,0 1 0,-3 2 0,0-1 0,-3 2 0,-1 0 0,2-1 0,1-1 0,3-1 0,1-1 0,0 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5T14:10:22.451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 0 24575,'0'0'0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5T14:10:22.452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 1 24575,'0'0'0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5T14:10:22.457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 0 24575,'0'0'0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5T14:10:22.458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 1 24575,'0'0'0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9T15:54:19.580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1 24575,'0'0'0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9T15:54:19.582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0 98 24575,'14'0'0,"2"0"0,1 0 0,19-1 0,-17 0 0,10 0 0,-19 0 0,-3 1 0,-1 0 0,-3-1 0,-1 1 0,1 0 0,0 0 0,2 0 0,2-1 0,0 1 0,2-1 0,2 1 0,2 0 0,2 0 0,-1 0 0,0 0 0,-4 0 0,-2 0 0,-5 0 0,-2 0 0,0 0 0,2 0 0,1 1 0,5 0 0,1-1 0,0 1 0,-4-1 0,-4 0 0,0 0 0,-1 0 0,4 0 0,3 1 0,3-1 0,4 2 0,-1-2 0,3 3 0,-1-1 0,-1 0 0,-4 1 0,-2-2 0,-5-1 0,-3 0 0,5 0 0,-1 0 0,3-1 0,0 0 0,-1 0 0,-2 1 0,-1-1 0,-2 1 0,-1 0 0,1 0 0,4 0 0,0-1 0,0 0 0,-2 0 0,-3 1 0,1-1 0,-2 0 0,0-1 0,-2-1 0,-2-2 0,1-1 0,-1 1 0,1 0 0,0 1 0,1 2 0,0 1 0,0 0 0,0-1 0,-2 1 0,1-1 0,-1 0 0,1 1 0,-1-1 0,2 1 0,-1 0 0,2 1 0,-2-1 0,0 1 0,-2-2 0,1 0 0,0-1 0,-2 1 0,1-2 0,-1 1 0,2 0 0,2 1 0,2 0 0,-1-1 0,0 0 0,-1-1 0,1 3 0,0-1 0,0 2 0,-1-1 0,-1-1 0,1-2 0,-2 1 0,2 1 0,-1 0 0,2 0 0,8 10 0,2 1 0,6 7 0,-2-2 0,-3-4 0,-4-4 0,-2-2 0,-3-2 0,1 0 0,1 2 0,0 0 0,2 1 0,-2-2 0,-1 0 0,0-1 0,-1-1 0,1 1 0,1 0 0,1 0 0,-2 1 0,0-2 0,-1 1 0,1 0 0,0 1 0,3 3 0,-2 0 0,1-1 0,-1-1 0,-2-2 0,3 1 0,-2 0 0,0-2 0,-8 3 0,-2 0 0,-3 2 0,1-1 0,4-2 0,1-1 0,4-1 0,-1 0 0,1-1 0,-1 1 0,-1 0 0,1 0 0,0 1 0,1-2 0,0 0 0,-1 1 0,0 0 0,-2 1 0,-3 0 0,2 2 0,-1-2 0,3 1 0,1-2 0,0 0 0,2 0 0,-1-1 0,-1 2 0,-1-1 0,1 1 0,1-1 0,0-1 0,0 1 0,-3 2 0,0-1 0,-3 2 0,-1 0 0,2-1 0,1-1 0,3-1 0,1-1 0,0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9T15:54:19.583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2007 196 24575,'-5'1'0,"1"-1"0,2 0 0,-1 1 0,0-1 0,-1 0 0,-1 0 0,-3 0 0,-3-1 0,-2 0 0,-2 1 0,-3-1 0,2 1 0,-2-2 0,3 1 0,3 0 0,5 1 0,3 0 0,0 0 0,1 0 0,-1 0 0,-3 0 0,1 0 0,0 0 0,1 1 0,1 0 0,0-1 0,0 0 0,-1 0 0,0 0 0,-1 1 0,0-1 0,-2 0 0,3 0 0,-2 2 0,-1-2 0,-4 3 0,1-3 0,-3 3 0,4-2 0,-1 0 0,2-1 0,2 1 0,1-2 0,-2 1 0,-1 0 0,0 0 0,1 0 0,-1 0 0,2 0 0,-2 0 0,2 0 0,-3 0 0,0 0 0,-1 0 0,1 0 0,1 1 0,-1-1 0,2 0 0,0 0 0,2 0 0,-1 0 0,2 0 0,-1 0 0,0 0 0,-1 0 0,-1-1 0,3 0 0,0 1 0,0-1 0,0-1 0,-2 1 0,-2-1 0,-2-1 0,-3 0 0,-3-1 0,-2 1 0,2-1 0,3 0 0,4 2 0,3 0 0,3 1 0,0 0 0,1 0 0,-2 1 0,0 0 0,-3-1 0,0 1 0,-2-1 0,1 1 0,-1 0 0,1 0 0,1 0 0,1 0 0,2 1 0,-1-1 0,1 1 0,-4 0 0,-1-1 0,0 1 0,-3-1 0,3 0 0,-1 0 0,2 1 0,0-1 0,2 0 0,-2 1 0,2-1 0,-1 0 0,-2 0 0,2 0 0,0 1 0,1-1 0,-4 0 0,2 1 0,-2 0 0,-1-1 0,1 2 0,-4-1 0,4 0 0,-2 0 0,5 1 0,-1 0 0,0-1 0,1-1 0,2 1 0,1-1 0,0 0 0,3 0 0,-3 0 0,1 0 0,-3 1 0,-1-1 0,-1 2 0,0-2 0,1 0 0,-4 1 0,3-1 0,0 1 0,0-1 0,2 0 0,3 1 0,-2-1 0,3 0 0,-4 1 0,-3-1 0,0 0 0,-4 1 0,4-1 0,0 0 0,-2 0 0,1 0 0,-3 0 0,2 0 0,-1 0 0,2 0 0,1 0 0,-2 0 0,2 1 0,-1-1 0,2 1 0,1-1 0,2 1 0,-1-1 0,0 0 0,1 0 0,-3 0 0,-5 0 0,-3 0 0,-3 0 0,-3 2 0,3 1 0,-1 0 0,1-2 0,4 0 0,2 0 0,5-1 0,4 0 0,2 0 0,0 0 0,1 0 0,-1 0 0,-2 1 0,-3 0 0,-3 0 0,-4-1 0,-7 2 0,0-2 0,0 1 0,6-1 0,5 0 0,5 0 0,4 0 0,1 0 0,-1 0 0,0 0 0,0 0 0,-1 0 0,1 0 0,-2 1 0,1-1 0,0 0 0,0 1 0,-1-1 0,0 1 0,-1 0 0,-3-1 0,0 1 0,-6 0 0,4 0 0,-1 0 0,4-1 0,1 3 0,-1-1 0,-2 0 0,0 1 0,1 0 0,-1 0 0,5-1 0,0 0 0,2-1 0,-1 0 0,1 0 0,0 0 0,0-1 0,-1 1 0,-4 2 0,2-1 0,-3 1 0,1-1 0,-1 2 0,0-1 0,0 1 0,-2 2 0,0-3 0,2 1 0,0-1 0,2 1 0,1-2 0,3 0 0,-1-1 0,2-1 0,1 1 0,-1 4 0,1 1 0,1 5 0,0 1 0,1-1 0,-1 1 0,1-1 0,-1-2 0,0-2 0,0 0 0,-1-3 0,1 0 0,-1-1 0,0-1 0,0 1 0,1 0 0,-1 2 0,1-1 0,1 2 0,-1-1 0,0-2 0,-1 2 0,1-2 0,-1 1 0,1 2 0,-1 0 0,2 4 0,-1 2 0,1 2 0,-1-2 0,0-1 0,-1-1 0,1 1 0,0-2 0,2 4 0,-1 2 0,2 5 0,-1-2 0,-1-2 0,0 0 0,-2-5 0,1-1 0,-1-2 0,1 0 0,-1-4 0,1-2 0,0-1 0,0-1 0,2 3 0,2 0 0,7 6 0,6 2 0,5 5 0,3 0 0,-2-2 0,-2-1 0,-4-4 0,-1-1 0,-4-4 0,4 3 0,-1-4 0,3 0 0,-1-1 0,0-1 0,1 1 0,0-1 0,6 0 0,4 0 0,3 1 0,10-1 0,2 2 0,0 2 0,-6-2 0,-8 0 0,-6 0 0,2 1 0,-3 0 0,3 0 0,-2 3 0,11 0 0,5-1 0,2 1 0,-2-2 0,-8-3 0,-3 2 0,-2-2 0,-2 1 0,4-1 0,0 0 0,9 3 0,-1-1 0,5 4 0,2-1 0,6 2 0,6 0 0,-6-2 0,-3 0 0,-9-2 0,-6 1 0,-7-4 0,0 0 0,1 0 0,4 2 0,3-2 0,-1-1 0,7-2 0,-7 0 0,4-3 0,-10 3 0,2-2 0,-2 1 0,3-1 0,2-2 0,-2 0 0,4-2 0,-4 1 0,4 2 0,-1-1 0,6 3 0,3 2 0,0-1 0,-1 2 0,-10 1 0,-3-1 0,-6 2 0,2 0 0,-2 0 0,2 0 0,3 0 0,7 1 0,6 0 0,-3-2 0,5 0 0,-5 1 0,2-2 0,-4 1 0,11-1 0,-5 2 0,12-2 0,-5 1 0,-6 1 0,-3-2 0,-7 1 0,0-2 0,-6 0 0,0 0 0,-2-1 0,2-1 0,0-2 0,-4 1 0,4-2 0,4-1 0,2 3 0,4-3 0,1 4 0,0 1 0,1 0 0,2 1 0,-5-1 0,3 1 0,-3 0 0,7 0 0,-7 0 0,10 0 0,-4-1 0,5-1 0,-5-4 0,-9-1 0,-1-5 0,-6-1 0,0-3 0,-6 1 0,-1 0 0,-3 1 0,1-1 0,-3 2 0,0 3 0,-1-1 0,-2 2 0,2-1 0,-3 2 0,1-2 0,1 0 0,0-3 0,1 0 0,-2 3 0,-2 0 0,1 0 0,-2 3 0,1-2 0,-3 2 0,0 1 0,-2-2 0,2-2 0,-1 0 0,2-3 0,-1 0 0,-1-1 0,-1 0 0,-1 2 0,1-2 0,-2 4 0,1-1 0,-1 1 0,0-3 0,0 3 0,0-3 0,0 2 0,1 2 0,-1-2 0,0 0 0,0 0 0,-1 0 0,0 2 0,-1 1 0,2 1 0,-1 2 0,0 1 0,0 0 0,0 1 0,-1-2 0,0 0 0,-2 2 0,0-2 0,-1 0 0,-2-3 0,-1 1 0,-4-3 0,0 0 0,-6 0 0,3 1 0,-3 3 0,5 0 0,1 2 0,3 1 0,2-1 0,0 2 0,1 1 0,1 0 0,0-1 0,0 1 0,-2 0 0,-1-1 0,-1-1 0,-3 0 0,0 0 0,-1 1 0,2-2 0,3 2 0,1 0 0,2 1 0,1 0 0,0 0 0,1 1 0,-4-1 0,-2-1 0,-1-1 0,1 1 0,-2 0 0,4 1 0,0 0 0,1 1 0,1-1 0,-2 0 0,1-2 0,-3 2 0,0-1 0,-3 0 0,0 0 0,-3-1 0,1 0 0,0 1 0,2 0 0,2 1 0,2 0 0,0-1 0,0-1 0,-2 1 0,0 0 0,-1 0 0,2 0 0,-1 2 0,0-2 0,0 0 0,1 0 0,1 1 0,-1 0 0,0 0 0,3 0 0,-2 0 0,4 1 0,-2-1 0,-1 1 0,-5 0 0,2 0 0,-2 0 0,2 0 0,2 1 0,3-1 0,1 0 0,0 1 0,-2-1 0,0 0 0,-2 0 0,-2 1 0,-4-1 0,-4 2 0,0 0 0,-3 2 0,5-2 0,3 0 0,4-2 0,6 1 0,2-1 0,0 0 0,-1 1 0,-3-1 0,-3 1 0,-4-1 0,-2 0 0,-2 0 0,3 0 0,1 0 0,3 0 0,5 0 0,2 0 0,1 0 0,-1 0 0,0 0 0,-4 0 0,-2 0 0,-2 0 0,0-1 0,0 1 0,-2 0 0,1 0 0,0 0 0,4 0 0,1 0 0,2 0 0,1 1 0,0-1 0,-2 0 0,-1 1 0,-4-1 0,-6 1 0,-3 1 0,-6-1 0,-3 1 0,-7-1 0,2-1 0,0-2 0,8-2 0,5 0 0,5 1 0,6 1 0,3 1 0,2 1 0,-2-2 0,0 2 0,-4-1 0,-3 1 0,-3-1 0,-1 0 0,2 0 0,3 0 0,2 1 0,1-1 0,1 1 0,1 0 0,1 0 0,1 0 0,-5 0 0,2 0 0,-5 0 0,-3 0 0,-2 1 0,3-1 0,0 0 0,3 1 0,0-1 0,1-1 0,3 1 0,2 0 0,0 0 0,1 0 0,0-1 0,-2 1 0,-1-1 0,-2 1 0,0 0 0,2 0 0,0-1 0,2 1 0,1 0 0,-1 0 0,0 0 0,-3 0 0,1 0 0,-2 0 0,0-1 0,0 1 0,0-1 0,-2-1 0,0 0 0,1 1 0,2 0 0,4 1 0,1 0 0,2 0 0,1 0 0,0 0 0,-1 0 0,-3 0 0,1 0 0,-3 0 0,0 0 0,-2 0 0,1 0 0,0 0 0,2 0 0,2 0 0,0 0 0,2 0 0,0-1 0,-4-1 0,-2-3 0,-3 1 0,-1 0 0,3 1 0,1-1 0,4 4 0,3-1 0,0 1 0,0-2 0,-1 0 0,0 0 0,1-2 0,0 3 0,1 0 0,-1 0 0,0-1 0,-1-1 0,0-2 0,0 2 0,1 0 0,0 1 0,0-1 0,1 1 0,-2 0 0,2-1 0,0 1 0,0-1 0,0 2 0,0-1 0,0 0 0,0-4 0,0 0 0,0-3 0,0 3 0,0 1 0,0 2 0,0 2 0,0 0 0,0-1 0,0-1 0,0 1 0,0 0 0,0 1 0,0-2 0,-1 0 0,1-2 0,0 2 0,0 1 0,0-2 0,0 1 0,-1-1 0,1-1 0,0 2 0,0 2 0,0 0 0,-1 0 0,1-1 0,0-2 0,-1 2 0,0 0 0,0 1 0,-2 3 0,-2 1 0,-1 3 0,0-2 0,2-2 0,2 1 0,0-2 0,0 0 0,0 1 0,-1 1 0,0-1 0,1 1 0,-1 0 0,1-1 0,-1 0 0,1-1 0,-1 2 0,1-1 0,0 1 0,0 1 0,-1 1 0,0-1 0,1 0 0,0 1 0,1-4 0,1 1 0,0-1 0,-1 0 0,1 1 0,0 1 0,-1-1 0,1 2 0,-1-1 0,0 1 0,1-1 0,-1-2 0,1 0 0,-1 0 0,0 1 0,-1 2 0,-1-2 0,2 0 0,0 0 0,0-1 0,0 0 0,0 0 0,0-1 0,-2 4 0,-2-2 0,-2 3 0,-1 0 0,1 0 0,0 1 0,1-3 0,-1 0 0,4-1 0,0 1 0,1-2 0,0 0 0,1 0 0,0 0 0,-2-1 0,2 1 0,5-9 0,1 1 0,1-3 0,-1 4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9T15:54:19.584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 0 24575,'0'0'0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9T15:54:19.585"/>
    </inkml:context>
    <inkml:brush xml:id="br0">
      <inkml:brushProperty name="width" value="0.05" units="cm"/>
      <inkml:brushProperty name="height" value="0.05" units="cm"/>
      <inkml:brushProperty name="color" value="#E3EF00"/>
    </inkml:brush>
  </inkml:definitions>
  <inkml:trace contextRef="#ctx0" brushRef="#br0">1 1 24575,'0'0'0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9T15:54:19.586"/>
    </inkml:context>
    <inkml:brush xml:id="br0">
      <inkml:brushProperty name="width" value="0.05" units="cm"/>
      <inkml:brushProperty name="height" value="0.05" units="cm"/>
      <inkml:brushProperty name="color" value="#FF0000"/>
    </inkml:brush>
  </inkml:definitions>
  <inkml:trace contextRef="#ctx0" brushRef="#br0">1 272 24575,'4'-2'0,"1"1"0,-2 0 0,0-1 0,0 0 0,-1 1 0,-1 0 0,1 0 0,1-2 0,-2 1 0,1-1 0,0 0 0,1-2 0,0 1 0,1 1 0,-1 1 0,-1 0 0,1 0 0,-1 0 0,0-1 0,0 2 0,1-1 0,0 1 0,1-1 0,1-2 0,2 3 0,-2-1 0,0 0 0,0 1 0,-2-1 0,-1 1 0,-1-1 0,0 2 0,1-1 0,0 0 0,2-1 0,-1 0 0,0 0 0,0 1 0,1-2 0,0 1 0,0 1 0,0-1 0,3 1 0,-2-3 0,0 3 0,-1-1 0,1 1 0,0 0 0,-1 0 0,3 0 0,1-2 0,0 1 0,1-1 0,-2 1 0,0 0 0,-2 0 0,3 2 0,-1-1 0,2 1 0,-2 0 0,0 1 0,-2-1 0,-3 0 0,0 0 0,-1 0 0,2 2 0,1-4 0,1 2 0,2-1 0,0 1 0,0-1 0,-1-1 0,-2 2 0,-1-1 0,-1 1 0,1 0 0,-1 0 0,-2-1 0,2 1 0,1 0 0,2 0 0,3 0 0,2-1 0,1 1 0,0 0 0,-5-1 0,-3 1 0,-1 0 0,3 0 0,0-2 0,4 1 0,-1-1 0,0 1 0,-3 0 0,-2 0 0,-1 1 0,4-1 0,1 0 0,4 0 0,-3-1 0,2 1 0,-4 0 0,0 1 0,-2 0 0,1 0 0,-1-1 0,3 1 0,-2 0 0,3 0 0,0-1 0,2 1 0,0-1 0,0 1 0,-2-1 0,-3 1 0,-2 0 0,-2 0 0,1 0 0,5 0 0,5 0 0,3 1 0,8 1 0,-4 0 0,5 1 0,-7-1 0,1-1 0,-7-1 0,-3 1 0,-4-1 0,-3 0 0,0 0 0,1 0 0,2 0 0,5 0 0,7 0 0,2 0 0,2 0 0,-2 0 0,-6 0 0,-2-1 0,-4 1 0,-1-1 0,0 0 0,0 0 0,-3 1 0,1-2 0,1 1 0,0 0 0,3 0 0,0-1 0,0 1 0,2 1 0,-1 0 0,4-1 0,9 1 0,3 0 0,8 2 0,-7 0 0,-8-1 0,-4-1 0,-10 0 0,-1 1 0,1 2 0,3 1 0,0-1 0,1 3 0,-4-3 0,-1-2 0,-1-1 0,1 0 0,-4 4 0,2-3 0,-4 3 0,4-3 0,1 1 0,1-1 0,0-1 0,0 0 0,-1 0 0,0 0 0,1 0 0,1 0 0,-2 0 0,0 0 0,0 0 0,1-1 0,0 0 0,1 1 0,-1-1 0,2 1 0,0-1 0,3 0 0,3 0 0,2 0 0,1-1 0,-2-1 0,2 2 0,-3 0 0,-1 1 0,-3-1 0,-3 1 0,-2 0 0,0 0 0,2 0 0,5 0 0,4 2 0,6-1 0,-2 2 0,-2-3 0,-4 0 0,-5 0 0,3-2 0,-1 2 0,3 0 0,5 0 0,5 0 0,8 3 0,10 1 0,6 3 0,-3-2 0,-1 2 0,-13-5 0,-2 0 0,-5-2 0,-2 0 0,-3 0 0,-2 0 0,-1 0 0,-1 0 0,5 0 0,-1 0 0,2 0 0,-2 0 0,-2 0 0,-2-1 0,-2 1 0,0-1 0,-1 0 0,4 0 0,0 0 0,2-2 0,-3 2 0,1-1 0,-1 2 0,-6-1 0,-2 0 0,-1 1 0,4-1 0,0 1 0,3-1 0,-1 1 0,2-1 0,3 1 0,0 0 0,8 1 0,-2 0 0,2 0 0,-5 0 0,-4-2 0,-5 1 0,-1-1 0,-4 1 0,-1-1 0,1 1 0,0 0 0,0 0 0,2-1 0,0 0 0,3-1 0,11 1 0,13 1 0,11 1 0,2 2 0,5-2 0,-17-1 0,-5 0 0,-15 0 0,-7 0 0,-4-1 0,-1 0 0,0-2 0,1 2 0,2-3 0,-1 1 0,1-2 0,1 0 0,0 1 0,1 2 0,-3 0 0,-1 2 0,-2 3 0,1 0 0,-1 2 0,0-3 0,1 0 0,0 1 0,-1-1 0,0 0 0,-1 0 0,1-1 0,0 0 0,0 0 0,-2 1 0,-2-2 0,-3 1 0,-4 0 0,0-1 0,8 1 0,11-1 0,3 0 0,7-1 0,-11-3 0,3 1 0,-1-1 0,1-2 0,1 2 0,0-2 0,-2 3 0,-2 1 0,-1 1 0,-2 0 0,0-2 0,-2 3 0,1-1 0,0 0 0,-1 0 0,1 0 0,0 1 0,-1-1 0,0 0 0,0 0 0,1-1 0,-1 1 0,3-1 0,-1 0 0,2-1 0,2-1 0,-1 0 0,-1 0 0,1 0 0,-4 2 0,0 1 0,0-1 0,-1 1 0,0-1 0,1 0 0,1 0 0,0-1 0,-2 1 0,2-1 0,-1-1 0,2-1 0,0 1 0,2-1 0,-3 1 0,0 2 0,-2 0 0,0 1 0,0 1 0,0-2 0,-1 0 0,2 1 0,-1-2 0,2 0 0,1-3 0,1 2 0,2-3 0,1-2 0,1 0 0,-2 3 0,-1 0 0,-4 4 0,-2 1 0,-1 5 0,0-1 0,-1 2 0,2-3 0,0-1 0,0 1 0,0 1 0,0 0 0,0 3 0,0-1 0,1 1 0,0-1 0,0 3 0,1 1 0,1 3 0,0-2 0,1-2 0,-1-4 0,-2-2 0,-1-1 0,1 0 0,0 3 0,2 1 0,1 2 0,3 2 0,-3-3 0,1 1 0,-2 0 0,3-2 0,-2 0 0,-2-2 0,0-2 0,-1 0 0,2-1 0,1 2 0,5 2 0,8 2 0,7 3 0,5 1 0,0-1 0,-3-3 0,-7 0 0,-9-5 0,-5-1 0,-2 0 0,3-1 0,3 1 0,3-2 0,0 2 0,3-2 0,-4 2 0,3 0 0,-3-2 0,0 2 0,-3 0 0,0-1 0,-3 1 0,-2 0 0,0-1 0,-1 1 0,3-1 0,-1 0 0,2-1 0,0 1 0,-3 0 0,0 0 0,-3 1 0,2-2 0,0 2 0,0-1 0,3 1 0,4 0 0,6 1 0,8 3 0,-1 0 0,-3-1 0,-7-1 0,-6-1 0,-3-2 0,-1 1 0,-1-2 0,-6 2 0,2 0 0,-6 0 0,-2-1 0,-4 1 0,6-1 0,4 2 0,21-1 0,-3 1 0,4-2 0,-12 1 0,-4-2 0,1 0 0,3 1 0,3-1 0,5 2 0,2 0 0,5 1 0,-3 2 0,1-1 0,-5-1 0,-2 0 0,-2-1 0,2 0 0,2 0 0,1 0 0,4 0 0,-1 0 0,4-1 0,-4 1 0,0 0 0,-4 0 0,-1 0 0,-1 0 0,0 1 0,3 1 0,1-1 0,3 1 0,3-2 0,1 2 0,5-1 0,1 1 0,3-1 0,-2 1 0,-5-4 0,-3 1 0,1 1 0,-4 0 0,0 0 0,-3 0 0,-5 0 0,-1 0 0,-1 0 0,-2 0 0,1 0 0,2 1 0,5 3 0,3 0 0,8 2 0,-3-2 0,6-3 0,-6 0 0,2-1 0,-4-1 0,-2 0 0,2 0 0,-7 1 0,-3 0 0,-5 0 0,-1 0 0,0 0 0,3 2 0,2 0 0,4 2 0,0-2 0,-3 0 0,-5-1 0,-3-1 0,1 0 0,1-1 0,4-1 0,0 0 0,5-3 0,1 0 0,2-4 0,-1 1 0,4-1 0,-6 4 0,3-2 0,-3 3 0,-4 1 0,-1-1 0,-4 3 0,-1 0 0,-1 1 0,2 0 0,-2-1 0,3 1 0,1 0 0,2 0 0,0 0 0,0 0 0,0-1 0,-1 1 0,-1 0 0,-2 1 0,0-1 0,-2 0 0,-1 0 0,1 1 0,1 0 0,1 0 0,1 3 0,-1-2 0,-1 0 0,-1-1 0,2 0 0,-3-1 0,1 0 0,0 1 0,2 0 0,1-1 0,2 2 0,1-2 0,0 0 0,0 1 0,0-1 0,-1 1 0,-2-1 0,-1 1 0,-2-1 0,-1 1 0,2 0 0,3 3 0,1 2 0,2 1 0,-2-2 0,-3 0 0,1-3 0,-4-1 0,2 0 0,2 2 0,1 3 0,2-1 0,-3-1 0,-3-2 0,1-2 0,-2 1 0,2 2 0,3 4 0,5 3 0,-2 1 0,4 1 0,-3-2 0,-2-2 0,-2-4 0,-4-3 0,-1 0 0,-1 1 0,4 3 0,0 3 0,3 0 0,-2 0 0,0 0 0,-1-4 0,-1 0 0,-2-1 0,-1-1 0,0 1 0,-1 0 0,1-2 0,-1 0 0,-1-6 0,1 4 0,-4-3 0,0 3 0,2 2 0,-3-1 0,5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09T15:54:19.587"/>
    </inkml:context>
    <inkml:brush xml:id="br0">
      <inkml:brushProperty name="width" value="0.05" units="cm"/>
      <inkml:brushProperty name="height" value="0.05" units="cm"/>
      <inkml:brushProperty name="color" value="#FF0000"/>
    </inkml:brush>
  </inkml:definitions>
  <inkml:trace contextRef="#ctx0" brushRef="#br0">79 0 24575,'-10'13'0,"-1"1"0,1 2 0,-1-2 0,3-2 0,1-2 0,3-1 0,1-4 0,1 0 0,1-2 0,0-1 0,0 3 0,1 0 0,-3 2 0,2 1 0,-1 0 0,1 1 0,0-1 0,1-2 0,-1-2 0,1 1 0,0-4 0,0 2 0,0 1 0,0 1 0,0 2 0,0 5 0,0 1 0,1 2 0,1-3 0,0-3 0,-1-5 0,-1-2 0,0-1 0,4 1 0,-1 1 0,4 3 0,1 0 0,0 0 0,-1-3 0,-2 1 0,0 0 0,2-1 0,-2-1 0,2 1 0,-1 0 0,-2-2 0,-1 0 0,0-1 0,-2 1 0,2-1 0,-1 0 0,2 0 0,4 1 0,3 0 0,-1 1 0,0-1 0,-3 1 0,-1-1 0,2-1 0,2 1 0,3-1 0,1 1 0,-2 0 0,-3 0 0,-1-1 0,-1 0 0,0 1 0,3-1 0,-2 1 0,-2-1 0,-2 0 0,-1 0 0,-1 0 0,4 0 0,2 1 0,8 0 0,2 2 0,9-1 0,0 1 0,0 1 0,-3-1 0,-6-2 0,-1-1 0,0 0 0,1-1 0,1 0 0,6 1 0,11 2 0,7 1 0,6 3 0,-6-4 0,-4 1 0,-1 0 0,3 1 0,-5 1 0,-2-2 0,-9 2 0,-4-3 0,-4 0 0,0 0 0,-3 1 0,-1-1 0,0 0 0,-3-1 0,2 0 0,0-1 0,1 1 0,-1-1 0,3 0 0,2 0 0,2 0 0,2 1 0,-1-1 0,3 3 0,3-3 0,4 1 0,-5-1 0,3 0 0,-5 0 0,4 1 0,-4-1 0,-3 0 0,-3 0 0,-5 0 0,1 0 0,-3 0 0,1 0 0,1 0 0,4-1 0,2 0 0,0 1 0,1-2 0,0 1 0,3 0 0,0 1 0,6-1 0,1 1 0,8 0 0,2 1 0,4-1 0,3 1 0,-10 0 0,4-1 0,-9 2 0,0-2 0,-5 0 0,-1-2 0,1 1 0,-2-1 0,3 0 0,2 0 0,-1-2 0,-2 2 0,-3 1 0,-5 0 0,-1 0 0,-3 0 0,-2 0 0,2 0 0,3 0 0,4 1 0,6 0 0,5-2 0,3 4 0,5-1 0,-1 2 0,-7-1 0,-5 0 0,-10-2 0,-2 1 0,-6-1 0,-2 0 0,2 0 0,2 0 0,11 2 0,1-2 0,9 0 0,-1 1 0,8-1 0,-8 1 0,2 0 0,-11-1 0,1 0 0,-3 0 0,-4 1 0,2-1 0,1 1 0,5 0 0,2 0 0,4 1 0,-1 1 0,0-1 0,-3 0 0,-1 0 0,0 0 0,-1-2 0,2 3 0,-2-2 0,0-1 0,0 2 0,0-2 0,0 0 0,-5 0 0,-5 0 0,-3 0 0,-2 0 0,-2-1 0,0 1 0,0 0 0,2 0 0,1-1 0,0 1 0,6-1 0,-1-2 0,8 1 0,-1-1 0,3 0 0,2 0 0,2 0 0,5 1 0,-2 0 0,10 2 0,-2-1 0,7 1 0,-8 1 0,1-1 0,-1 1 0,6 0 0,-6 0 0,5-1 0,-15 0 0,2 0 0,-11-1 0,-7 0 0,-6 0 0,-3 1 0,-1 0 0,-1 0 0,1 0 0,2 0 0,5 0 0,3-1 0,5 1 0,7-1 0,2 1 0,6-3 0,-9 1 0,6 0 0,-7 0 0,3-2 0,-5 2 0,-1-1 0,-2 1 0,-6 1 0,2 0 0,-3 0 0,-3-1 0,0 2 0,-3 0 0,-2 0 0,-1-1 0,-1 1 0,1 0 0,0 0 0,1 0 0,2-2 0,1-1 0,1 0 0,1-1 0,-1 0 0,-1 2 0,2-3 0,-4 3 0,-1 1 0,-1-1 0,1 2 0,-2-1 0,0 1 0,0-1 0,1 0 0,-1-1 0,0 1 0,1 0 0,-1-1 0,0 1 0,0 0 0,0 0 0,2 0 0,-1-2 0,3-1 0,0 0 0,3-2 0,-1 2 0,0-3 0,0 2 0,1-1 0,-3 1 0,2-1 0,-2 3 0,-1 0 0,-2 0 0,-1 2 0,0-1 0,0-3 0,1-1 0,0 0 0,1 0 0,-2 0 0,-1 1 0,0-1 0,0 0 0,0 2 0,0 0 0,-1 3 0,1 0 0,-2 0 0,1-1 0,-1 0 0,2 0 0,-1 0 0,1 1 0,1 0 0,0-1 0,1 0 0,4-3 0,3-2 0,-4 1 0,0 1 0,-6 5 0</inkml:trace>
</inkml:ink>
</file>

<file path=xl/persons/person.xml><?xml version="1.0" encoding="utf-8"?>
<personList xmlns="http://schemas.microsoft.com/office/spreadsheetml/2018/threadedcomments" xmlns:x="http://schemas.openxmlformats.org/spreadsheetml/2006/main">
  <person displayName="Jose Edmundo Alonso Arnedo" id="{56D6AF9C-BBA4-4148-B5A0-23986E231E1A}" userId="Jose Edmundo Alonso Arnedo" providerId="None"/>
  <person displayName="Un usuario de Microsoft Office satisfecho" id="{3B095914-A789-7C43-B21F-631CD96A0956}" userId="Un usuario de Microsoft Office satisfecho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D0000" mc:Ignorable="a14" a14:legacySpreadsheetColorIndex="13">
            <a:alpha val="17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7000"/>
          </a:srgb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" personId="{3B095914-A789-7C43-B21F-631CD96A0956}" id="{3F5EDEB4-702B-BA45-BE79-20756961440D}">
    <text>Escribir el tiempo inicial en 100 m en función del nivel del deportista. Horas;minutos:segundos.
Ejemplo al escribir 0:01:30, aparecerá 1:30,0</text>
  </threadedComment>
  <threadedComment ref="D7" personId="{3B095914-A789-7C43-B21F-631CD96A0956}" id="{10C00638-FCC6-8E4E-B88C-0007D05DFA75}">
    <text>Escribir las frecuencias cardiacas correspondientes a cada uno de los tiempos obtenidos en 50 m.</text>
  </threadedComment>
  <threadedComment ref="E7" personId="{3B095914-A789-7C43-B21F-631CD96A0956}" id="{5D42900B-04FC-484B-BD25-1B4C26974316}">
    <text>Escribir las frecuencias cardiacas correspondientes a cada uno de los tiempos obtenidos en 50 m.</text>
  </threadedComment>
  <threadedComment ref="F7" personId="{3B095914-A789-7C43-B21F-631CD96A0956}" id="{B2D462F5-E8C3-4B4F-81AA-458FB5CAADE7}">
    <text>Escribir las frecuencias cardiacas correspondientes a cada uno de los tiempos obtenidos en 50 m.</text>
  </threadedComment>
  <threadedComment ref="G7" personId="{3B095914-A789-7C43-B21F-631CD96A0956}" id="{A83D8A6B-C76D-5A49-A106-6CE4280D0A5F}">
    <text>Escribir las frecuencias cardiacas correspondientes a cada uno de los tiempos obtenidos en 50 m.</text>
  </threadedComment>
  <threadedComment ref="D27" personId="{3B095914-A789-7C43-B21F-631CD96A0956}" id="{530DA791-02AB-3441-BE21-41ADC9CB4641}">
    <text>Escribir el mejor tiempo</text>
  </threadedComment>
  <threadedComment ref="E27" personId="{3B095914-A789-7C43-B21F-631CD96A0956}" id="{83A6B046-782F-BA4C-95B0-A6F37A16997D}">
    <text>Escribir el mejor tiempo</text>
  </threadedComment>
  <threadedComment ref="F27" personId="{3B095914-A789-7C43-B21F-631CD96A0956}" id="{035E2472-5549-654F-8AD1-D5C8CB2EA4E4}">
    <text>Escribir el mejor tiempo</text>
  </threadedComment>
  <threadedComment ref="G27" personId="{3B095914-A789-7C43-B21F-631CD96A0956}" id="{5FF26450-7809-CA4A-8CED-43CD02281B95}">
    <text>Escribir el mejor tiempo</text>
  </threadedComment>
  <threadedComment ref="D30" personId="{3B095914-A789-7C43-B21F-631CD96A0956}" id="{32C42DB5-9767-7848-A391-957188EA7496}">
    <text>Introducir la frecuencia cardiaca correspondiente a l tiempo en 100 de la casilla superior a partir de la curva del gráfico</text>
  </threadedComment>
  <threadedComment ref="E30" personId="{3B095914-A789-7C43-B21F-631CD96A0956}" id="{F7815536-D1F4-694E-955F-C676661ED5D9}">
    <text>Introducir la frecuencia cardiaca correspondiente a l tiempo en 100 de la casilla superior a partir de la curva del gráfico</text>
  </threadedComment>
  <threadedComment ref="F30" personId="{3B095914-A789-7C43-B21F-631CD96A0956}" id="{5CBF6D1E-DDDE-6C4E-A0F9-FCFEC4F8D2CB}">
    <text>Introducir la frecuencia cardiaca correspondiente a l tiempo en 100 de la casilla superior a partir de la curva del gráfico</text>
  </threadedComment>
  <threadedComment ref="G30" personId="{3B095914-A789-7C43-B21F-631CD96A0956}" id="{718B6D3F-06CC-B640-9F4C-F05E238092EC}">
    <text>Introducir la frecuencia cardiaca correspondiente a l tiempo en 100 de la casilla superior a partir de la curva del gráfico</text>
  </threadedComment>
  <threadedComment ref="D32" personId="{3B095914-A789-7C43-B21F-631CD96A0956}" id="{835FDEF4-48BD-2B43-B03E-2A20B38E3CBA}">
    <text>Introducir la frecuencia cardiaca correspondiente a l tiempo en 100 de la casilla superior a partir de la curva del gráfico</text>
  </threadedComment>
  <threadedComment ref="E32" personId="{3B095914-A789-7C43-B21F-631CD96A0956}" id="{8541D22A-D3AA-634D-AEEC-AC7E1D2E97DB}">
    <text>Introducir la frecuencia cardiaca correspondiente a l tiempo en 100 de la casilla superior a partir de la curva del gráfico</text>
  </threadedComment>
  <threadedComment ref="F32" personId="{3B095914-A789-7C43-B21F-631CD96A0956}" id="{BC1611F0-A333-4446-943C-21564B08941F}">
    <text>Introducir la frecuencia cardiaca correspondiente a l tiempo en 100 de la casilla superior a partir de la curva del gráfico</text>
  </threadedComment>
  <threadedComment ref="G32" personId="{3B095914-A789-7C43-B21F-631CD96A0956}" id="{4357AD59-64FB-AB48-9D77-AA7D4859E0D5}">
    <text>Introducir la frecuencia cardiaca correspondiente a l tiempo en 100 de la casilla superior a partir de la curva del gráfico</text>
  </threadedComment>
  <threadedComment ref="AB33" personId="{3B095914-A789-7C43-B21F-631CD96A0956}" id="{2B61EB71-08E5-8B4E-A1A5-491DF2078D60}">
    <text xml:space="preserve">Escribir el mejor tiempo obtenido en 100 </text>
  </threadedComment>
  <threadedComment ref="AC33" personId="{3B095914-A789-7C43-B21F-631CD96A0956}" id="{6012376D-6044-A141-932C-9701BE98CF6A}">
    <text xml:space="preserve">Escribir el mejor tiempo obtenido en 100 </text>
  </threadedComment>
  <threadedComment ref="AD33" personId="{3B095914-A789-7C43-B21F-631CD96A0956}" id="{E2711F9A-4E3E-1440-9B7B-6FA2705803C4}">
    <text xml:space="preserve">Escribir el mejor tiempo obtenido en 100 </text>
  </threadedComment>
  <threadedComment ref="D34" personId="{3B095914-A789-7C43-B21F-631CD96A0956}" id="{273BBAE6-F22E-ED47-AF66-7AD2DA27EE01}">
    <text>Introducir la frecuencia cardiaca correspondiente a l tiempo en 100 de la casilla superior a partir de la curva del gráfico</text>
  </threadedComment>
  <threadedComment ref="E34" personId="{3B095914-A789-7C43-B21F-631CD96A0956}" id="{34876E65-7D16-C749-98AA-F6E7711A1F62}">
    <text>Introducir la frecuencia cardiaca correspondiente a l tiempo en 100 de la casilla superior a partir de la curva del gráfico</text>
  </threadedComment>
  <threadedComment ref="F34" personId="{3B095914-A789-7C43-B21F-631CD96A0956}" id="{4C0FFF7A-888C-5F4F-B5BF-D6C62CF9049A}">
    <text>Introducir la frecuencia cardiaca correspondiente a l tiempo en 100 de la casilla superior a partir de la curva del gráfico</text>
  </threadedComment>
  <threadedComment ref="G34" personId="{3B095914-A789-7C43-B21F-631CD96A0956}" id="{5151C126-CFB1-7D4B-8289-3EA017D19097}">
    <text>Introducir la frecuencia cardiaca correspondiente a l tiempo en 100 de la casilla superior a partir de la curva del gráfico</text>
  </threadedComment>
  <threadedComment ref="D36" personId="{3B095914-A789-7C43-B21F-631CD96A0956}" id="{3090DFD9-A90F-E140-8738-E51C3E78867A}">
    <text>Escribir la frecuencia cardiaca correspondiene al mejor tiempo obtenido</text>
  </threadedComment>
  <threadedComment ref="E36" personId="{3B095914-A789-7C43-B21F-631CD96A0956}" id="{46A209A5-0D7B-9840-9318-F83BC7AFFD34}">
    <text>Escribir la frecuencia cardiaca correspondiene al mejor tiempo obtenido</text>
  </threadedComment>
  <threadedComment ref="F36" personId="{3B095914-A789-7C43-B21F-631CD96A0956}" id="{085FDBAF-638C-BE45-80F7-F931EA66179A}">
    <text>Escribir la frecuencia cardiaca correspondiene al mejor tiempo obtenido</text>
  </threadedComment>
  <threadedComment ref="G36" personId="{3B095914-A789-7C43-B21F-631CD96A0956}" id="{2521F15A-2B0D-A944-A556-7F90C03540F4}">
    <text>Escribir la frecuencia cardiaca correspondiene al mejor tiempo obtenido</text>
  </threadedComment>
  <threadedComment ref="D61" personId="{3B095914-A789-7C43-B21F-631CD96A0956}" id="{506820D1-054D-0844-8FCE-9C254E93B330}">
    <text>Escribir el tiempo inicial en 100 m en función del nivel del deportista. Horas;minutos:segundos.
Ejemplo al escribir 0:01:30, aparecerá 1:30,0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J38" dT="2021-10-24T06:42:51.26" personId="{56D6AF9C-BBA4-4148-B5A0-23986E231E1A}" id="{7A6E9BD7-274A-B444-B871-154AED75AE8D}">
    <text>no vale 32,xx solo vale 32,00 o menos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2" personId="{3B095914-A789-7C43-B21F-631CD96A0956}" id="{D92C0887-39E0-4F4D-B1DD-6FF7AAD487EC}">
    <text>Introducir la carga específica  con números absolutos. Ejemplo: 12,7</text>
  </threadedComment>
  <threadedComment ref="B9" personId="{3B095914-A789-7C43-B21F-631CD96A0956}" id="{66271EBF-5370-C74C-93EB-48F47A87AC35}">
    <text>Introducir la carga en forma de números. Ejemplo: para poner 2'30", escribir en cada casilla. Ejemplo: 2,30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C2" personId="{3B095914-A789-7C43-B21F-631CD96A0956}" id="{27976A5C-88EA-8140-B9BB-60C1A5047836}">
    <text>Introducir la carga específica  con números absolutos. Ejemplo: 12,7</text>
  </threadedComment>
  <threadedComment ref="C9" personId="{3B095914-A789-7C43-B21F-631CD96A0956}" id="{DA085FEE-D508-C447-B775-EA65DB2C9136}">
    <text>Introducir la carga en forma de números. Ejemplo: para poner 2'30", escribir en cada casilla. Ejemplo: 2,30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J40" dT="2021-10-24T06:42:51.26" personId="{56D6AF9C-BBA4-4148-B5A0-23986E231E1A}" id="{468C9658-4192-EE4F-B5E3-3B5CA93C688E}">
    <text>no vale 32,xx solo vale 32,00 o menos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J25" dT="2021-10-24T06:42:51.26" personId="{56D6AF9C-BBA4-4148-B5A0-23986E231E1A}" id="{BAE4D4E5-DE5E-FD45-9564-C04EF0C7E71C}">
    <text>no vale 32,xx solo vale 32,00 o menos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J26" dT="2021-10-24T06:42:51.26" personId="{56D6AF9C-BBA4-4148-B5A0-23986E231E1A}" id="{2B9F2F3F-6520-5C43-B435-DA1227ABA82D}">
    <text>no vale 32,xx solo vale 32,00 o menos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J19" dT="2021-10-24T06:42:51.26" personId="{56D6AF9C-BBA4-4148-B5A0-23986E231E1A}" id="{ED7D43A0-F0CF-3E42-A0F3-07CBFC373A7A}">
    <text>no vale 32,xx solo vale 32,00 o menos</text>
  </threadedComment>
  <threadedComment ref="J31" dT="2021-10-24T06:42:51.26" personId="{56D6AF9C-BBA4-4148-B5A0-23986E231E1A}" id="{D619625F-05F8-1C4A-9ED6-3BF72C502681}">
    <text>no vale 32,xx solo vale 32,00 o menos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B2" personId="{3B095914-A789-7C43-B21F-631CD96A0956}" id="{69595BF5-75BD-E543-A286-4F3CA7B3B8AC}">
    <text>Introducir la carga específica  con números absolutos. Ejemplo: 12,7</text>
  </threadedComment>
  <threadedComment ref="B9" personId="{3B095914-A789-7C43-B21F-631CD96A0956}" id="{690FAE00-E855-FF43-B002-F0C187220756}">
    <text>Introducir la carga en forma de números. Ejemplo: para poner 2'30", escribir en cada casilla. Ejemplo: 2,30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J7" dT="2021-10-24T06:42:51.26" personId="{56D6AF9C-BBA4-4148-B5A0-23986E231E1A}" id="{07C5974C-F863-594C-B704-805551D11B14}">
    <text>no vale 32,xx solo vale 32,00 o menos</text>
  </threadedComment>
  <threadedComment ref="J8" dT="2021-10-24T06:42:51.26" personId="{56D6AF9C-BBA4-4148-B5A0-23986E231E1A}" id="{05BE3445-7073-3744-A2C2-608FB4653DD1}">
    <text>no vale 32,xx solo vale 32,00 o menos</text>
  </threadedComment>
  <threadedComment ref="J9" dT="2021-10-24T06:42:51.26" personId="{56D6AF9C-BBA4-4148-B5A0-23986E231E1A}" id="{2A815B0F-F187-FE4A-BEEB-C0E145BA2D07}">
    <text>no vale 32,xx solo vale 32,00 o menos</text>
  </threadedComment>
  <threadedComment ref="J20" dT="2021-10-24T06:42:51.26" personId="{56D6AF9C-BBA4-4148-B5A0-23986E231E1A}" id="{101BC5A7-267B-B444-9D7C-12D255A5F5F3}">
    <text>no vale 32,xx solo vale 32,00 o menos</text>
  </threadedComment>
  <threadedComment ref="J22" dT="2021-10-24T06:42:51.26" personId="{56D6AF9C-BBA4-4148-B5A0-23986E231E1A}" id="{E045E7B2-9694-A84C-ACA7-184025CDC5DE}">
    <text>no vale 32,xx solo vale 32,00 o menos</text>
  </threadedComment>
  <threadedComment ref="J46" dT="2021-10-24T06:42:51.26" personId="{56D6AF9C-BBA4-4148-B5A0-23986E231E1A}" id="{B44003D5-8E75-9842-A76C-3A191E6D443D}">
    <text>no vale 32,xx solo vale 32,00 o menos</text>
  </threadedComment>
  <threadedComment ref="J47" dT="2021-10-24T06:42:51.26" personId="{56D6AF9C-BBA4-4148-B5A0-23986E231E1A}" id="{49824D89-5E4A-2540-8644-FF324B5057C4}">
    <text>no vale 32,xx solo vale 32,00 o menos</text>
  </threadedComment>
  <threadedComment ref="J48" dT="2021-10-24T06:42:51.26" personId="{56D6AF9C-BBA4-4148-B5A0-23986E231E1A}" id="{BA1494E1-33B9-BE4C-933B-8E4E16B4A2AB}">
    <text>no vale 32,xx solo vale 32,00 o menos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J349" dT="2021-10-24T06:42:51.26" personId="{56D6AF9C-BBA4-4148-B5A0-23986E231E1A}" id="{99FA3303-5C1B-0F4A-A5E9-33BA892196D8}">
    <text>no vale 32,xx solo vale 32,00 o menos</text>
  </threadedComment>
  <threadedComment ref="J353" dT="2021-10-24T06:42:51.26" personId="{56D6AF9C-BBA4-4148-B5A0-23986E231E1A}" id="{61DB8F42-F9AA-E948-AB28-36C2AF178DB3}">
    <text>no vale 32,xx solo vale 32,00 o menos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B2" personId="{3B095914-A789-7C43-B21F-631CD96A0956}" id="{34663867-5473-004A-B5B7-4AF21F85E87B}">
    <text>Introducir la carga específica  con números absolutos. Ejemplo: 12,7</text>
  </threadedComment>
  <threadedComment ref="B9" personId="{3B095914-A789-7C43-B21F-631CD96A0956}" id="{B306EFE3-685B-744B-AA35-CC03FC9BDF69}">
    <text>Introducir la carga en forma de números. Ejemplo: para poner 2'30", escribir en cada casilla. Ejemplo: 2,30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B4" personId="{3B095914-A789-7C43-B21F-631CD96A0956}" id="{5499C4DA-ED18-AA41-96B6-5A2CFF2691D3}">
    <text>La carga viene expresada en metros de cada tipo de ejercicios.</text>
  </threadedComment>
  <threadedComment ref="B11" personId="{3B095914-A789-7C43-B21F-631CD96A0956}" id="{45BDE4CD-6D66-6847-9B83-4C2DC901CF37}">
    <text xml:space="preserve"> la carga en forma de minutos realizandola. Ejemplo: poner 12.siignifica 12 minutos con ese tipo de gimnasia 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J34" dT="2021-10-24T06:42:51.26" personId="{56D6AF9C-BBA4-4148-B5A0-23986E231E1A}" id="{51C63449-77F9-B647-8FE4-0A54739A908F}">
    <text>no vale 32,xx solo vale 32,00 o menos</text>
  </threadedComment>
  <threadedComment ref="J48" dT="2021-10-24T06:42:51.26" personId="{56D6AF9C-BBA4-4148-B5A0-23986E231E1A}" id="{8272D241-429F-2749-91CE-1A97D1532E6A}">
    <text>no vale 32,xx solo vale 32,00 o menos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J17" dT="2021-10-24T06:42:51.26" personId="{56D6AF9C-BBA4-4148-B5A0-23986E231E1A}" id="{03DE92B7-1638-3945-91F7-B89EC7DEE7B6}">
    <text>no vale 32,xx solo vale 32,00 o menos</text>
  </threadedComment>
  <threadedComment ref="J18" dT="2021-10-24T06:42:51.26" personId="{56D6AF9C-BBA4-4148-B5A0-23986E231E1A}" id="{2F64231A-94EA-6541-879C-F0E3586A98BB}">
    <text>no vale 32,xx solo vale 32,00 o menos</text>
  </threadedComment>
  <threadedComment ref="J19" dT="2021-10-24T06:42:51.26" personId="{56D6AF9C-BBA4-4148-B5A0-23986E231E1A}" id="{1E4CB98F-119F-EC4F-83A6-230764F9E74F}">
    <text>no vale 32,xx solo vale 32,00 o menos</text>
  </threadedComment>
  <threadedComment ref="J20" dT="2021-10-24T06:42:51.26" personId="{56D6AF9C-BBA4-4148-B5A0-23986E231E1A}" id="{37EA0C6F-C931-944B-9F99-DF8AA0B32E03}">
    <text>no vale 32,xx solo vale 32,00 o menos</text>
  </threadedComment>
  <threadedComment ref="J21" dT="2021-10-24T06:42:51.26" personId="{56D6AF9C-BBA4-4148-B5A0-23986E231E1A}" id="{A8DEF5EE-6767-D046-BFC6-701565F524A5}">
    <text>no vale 32,xx solo vale 32,00 o menos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J15" dT="2021-10-24T06:42:51.26" personId="{56D6AF9C-BBA4-4148-B5A0-23986E231E1A}" id="{C4007028-5D70-9544-B4C9-9D16152242CE}">
    <text>no vale 32,xx solo vale 32,00 o menos</text>
  </threadedComment>
  <threadedComment ref="J20" dT="2021-10-24T06:42:51.26" personId="{56D6AF9C-BBA4-4148-B5A0-23986E231E1A}" id="{79FBB53E-8C8B-DA41-86C1-7611E3D27CD7}">
    <text>no vale 32,xx solo vale 32,00 o menos</text>
  </threadedComment>
  <threadedComment ref="J22" dT="2021-10-24T06:42:51.26" personId="{56D6AF9C-BBA4-4148-B5A0-23986E231E1A}" id="{86495838-D868-064E-B9E9-7EB98BF7EE08}">
    <text>no vale 32,xx solo vale 32,00 o menos</text>
  </threadedComment>
  <threadedComment ref="J27" dT="2021-10-24T06:42:51.26" personId="{56D6AF9C-BBA4-4148-B5A0-23986E231E1A}" id="{4E407EBE-6DFA-644F-8246-E9F395AAF974}">
    <text>no vale 32,xx solo vale 32,00 o menos</text>
  </threadedComment>
  <threadedComment ref="J28" dT="2021-10-24T06:42:51.26" personId="{56D6AF9C-BBA4-4148-B5A0-23986E231E1A}" id="{0DE33632-0C25-9842-8450-172AE58AD6FF}">
    <text>no vale 32,xx solo vale 32,00 o menos</text>
  </threadedComment>
  <threadedComment ref="J29" dT="2021-10-24T06:42:51.26" personId="{56D6AF9C-BBA4-4148-B5A0-23986E231E1A}" id="{487E25D9-60C9-0A47-A521-72190E87584D}">
    <text>no vale 32,xx solo vale 32,00 o menos</text>
  </threadedComment>
  <threadedComment ref="J40" dT="2021-10-24T06:42:51.26" personId="{56D6AF9C-BBA4-4148-B5A0-23986E231E1A}" id="{A131554A-F70D-794D-9E49-6E172C1450A6}">
    <text>no vale 32,xx solo vale 32,00 o menos</text>
  </threadedComment>
  <threadedComment ref="J47" dT="2021-10-24T06:42:51.26" personId="{56D6AF9C-BBA4-4148-B5A0-23986E231E1A}" id="{B888B7E6-B756-C742-9C9F-9EF9A55EC0D7}">
    <text>no vale 32,xx solo vale 32,00 o menos</text>
  </threadedComment>
  <threadedComment ref="J55" dT="2021-10-24T06:42:51.26" personId="{56D6AF9C-BBA4-4148-B5A0-23986E231E1A}" id="{58D80E59-D7D3-DC45-A669-9F370F10D999}">
    <text>no vale 32,xx solo vale 32,00 o menos</text>
  </threadedComment>
  <threadedComment ref="J70" dT="2021-10-24T06:42:51.26" personId="{56D6AF9C-BBA4-4148-B5A0-23986E231E1A}" id="{A395A788-1530-3C41-9C30-E4F1D68C4597}">
    <text>no vale 32,xx solo vale 32,00 o menos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K10" dT="2021-10-24T06:42:51.26" personId="{56D6AF9C-BBA4-4148-B5A0-23986E231E1A}" id="{C77D5988-A847-384E-B8E0-AD90625F7912}">
    <text>no vale 32,xx solo vale 32,00 o menos</text>
  </threadedComment>
  <threadedComment ref="K22" dT="2021-10-24T06:42:51.26" personId="{56D6AF9C-BBA4-4148-B5A0-23986E231E1A}" id="{D86A2818-DA53-6E4F-A662-EB034DA9DFE4}">
    <text>no vale 32,xx solo vale 32,00 o menos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K68" dT="2021-10-24T06:42:51.26" personId="{56D6AF9C-BBA4-4148-B5A0-23986E231E1A}" id="{600495EF-9FAF-5341-B424-731A7CDBB5D4}">
    <text>no vale 32,xx solo vale 32,00 o menos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7" dT="2021-10-24T06:42:51.26" personId="{56D6AF9C-BBA4-4148-B5A0-23986E231E1A}" id="{7121A995-5813-964F-9801-E362AAB93307}">
    <text>no vale 32,xx solo vale 32,00 o menos</text>
  </threadedComment>
  <threadedComment ref="J44" dT="2021-10-24T06:42:51.26" personId="{56D6AF9C-BBA4-4148-B5A0-23986E231E1A}" id="{81F73874-A7D8-DF42-9104-3A1FE9070B57}">
    <text>no vale 32,xx solo vale 32,00 o menos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J11" dT="2021-10-24T06:42:51.26" personId="{56D6AF9C-BBA4-4148-B5A0-23986E231E1A}" id="{CFCA3945-AFF7-BA4E-A601-89490DF29E8F}">
    <text>no vale 32,xx solo vale 32,00 o menos</text>
  </threadedComment>
  <threadedComment ref="J15" dT="2021-10-24T06:42:51.26" personId="{56D6AF9C-BBA4-4148-B5A0-23986E231E1A}" id="{E32B3708-37B2-1044-AFCD-E5020DDCA4BF}">
    <text>no vale 32,xx solo vale 32,00 o menos</text>
  </threadedComment>
  <threadedComment ref="J40" dT="2021-10-24T06:42:51.26" personId="{56D6AF9C-BBA4-4148-B5A0-23986E231E1A}" id="{E8816171-DD7D-444A-978C-85ACF5CF91BA}">
    <text>no vale 32,xx solo vale 32,00 o menos</text>
  </threadedComment>
  <threadedComment ref="J44" dT="2021-10-24T06:42:51.26" personId="{56D6AF9C-BBA4-4148-B5A0-23986E231E1A}" id="{1BBFF7B3-5EA0-7E41-88BE-89FE375F9C2D}">
    <text>no vale 32,xx solo vale 32,00 o menos</text>
  </threadedComment>
  <threadedComment ref="J61" dT="2021-10-24T06:42:51.26" personId="{56D6AF9C-BBA4-4148-B5A0-23986E231E1A}" id="{CD4C1990-D6F5-7C46-A161-26848830B1AE}">
    <text>no vale 32,xx solo vale 32,00 o menos</text>
  </threadedComment>
  <threadedComment ref="J62" dT="2021-10-24T06:42:51.26" personId="{56D6AF9C-BBA4-4148-B5A0-23986E231E1A}" id="{6251F1B0-CD13-AC4B-AEA0-A2B78413AC8E}">
    <text>no vale 32,xx solo vale 32,00 o menos</text>
  </threadedComment>
  <threadedComment ref="J63" dT="2021-10-24T06:42:51.26" personId="{56D6AF9C-BBA4-4148-B5A0-23986E231E1A}" id="{3C1C2A1E-D49F-DC4D-BBC9-534B9A2EDC1F}">
    <text>no vale 32,xx solo vale 32,00 o menos</text>
  </threadedComment>
  <threadedComment ref="J66" dT="2021-10-24T06:42:51.26" personId="{56D6AF9C-BBA4-4148-B5A0-23986E231E1A}" id="{53D77E32-CF40-3F41-9271-A34567DA2B3D}">
    <text>no vale 32,xx solo vale 32,00 o menos</text>
  </threadedComment>
  <threadedComment ref="J67" dT="2021-10-24T06:42:51.26" personId="{56D6AF9C-BBA4-4148-B5A0-23986E231E1A}" id="{F69727B1-BF3E-B444-96A3-D6F235E4E105}">
    <text>no vale 32,xx solo vale 32,00 o menos</text>
  </threadedComment>
  <threadedComment ref="J68" dT="2021-10-24T06:42:51.26" personId="{56D6AF9C-BBA4-4148-B5A0-23986E231E1A}" id="{F8ACBD4A-95A6-DF4F-A677-8D88A27608D5}">
    <text>no vale 32,xx solo vale 32,00 o menos</text>
  </threadedComment>
  <threadedComment ref="J71" dT="2021-10-24T06:42:51.26" personId="{56D6AF9C-BBA4-4148-B5A0-23986E231E1A}" id="{17C26414-9829-2B43-A249-CB0A8DC0AD67}">
    <text>no vale 32,xx solo vale 32,00 o menos</text>
  </threadedComment>
  <threadedComment ref="J72" dT="2021-10-24T06:42:51.26" personId="{56D6AF9C-BBA4-4148-B5A0-23986E231E1A}" id="{2A31AAAA-B035-444E-BA3A-75C7D4B1B1F7}">
    <text>no vale 32,xx solo vale 32,00 o menos</text>
  </threadedComment>
  <threadedComment ref="J73" dT="2021-10-24T06:42:51.26" personId="{56D6AF9C-BBA4-4148-B5A0-23986E231E1A}" id="{1FE16CC7-6972-394B-8A2F-FF65E044DC33}">
    <text>no vale 32,xx solo vale 32,00 o menos</text>
  </threadedComment>
  <threadedComment ref="J106" dT="2021-10-24T06:42:51.26" personId="{56D6AF9C-BBA4-4148-B5A0-23986E231E1A}" id="{7179E282-6EA2-4A45-AC7B-45017FDD6773}">
    <text>no vale 32,xx solo vale 32,00 o menos</text>
  </threadedComment>
  <threadedComment ref="J107" dT="2021-10-24T06:42:51.26" personId="{56D6AF9C-BBA4-4148-B5A0-23986E231E1A}" id="{25EA933E-7689-B947-B305-23E6BCC2E37A}">
    <text>no vale 32,xx solo vale 32,00 o menos</text>
  </threadedComment>
  <threadedComment ref="J108" dT="2021-10-24T06:42:51.26" personId="{56D6AF9C-BBA4-4148-B5A0-23986E231E1A}" id="{8641801E-43FE-3C43-B21F-9EA72508B312}">
    <text>no vale 32,xx solo vale 32,00 o menos</text>
  </threadedComment>
  <threadedComment ref="J109" dT="2021-10-24T06:42:51.26" personId="{56D6AF9C-BBA4-4148-B5A0-23986E231E1A}" id="{6AEA9379-881A-EE4C-AD91-621E0982E0BD}">
    <text>no vale 32,xx solo vale 32,00 o menos</text>
  </threadedComment>
  <threadedComment ref="J110" dT="2021-10-24T06:42:51.26" personId="{56D6AF9C-BBA4-4148-B5A0-23986E231E1A}" id="{42B798D7-41D5-3F49-A9A5-B259E8A4ED9E}">
    <text>no vale 32,xx solo vale 32,00 o menos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J17" dT="2021-10-24T06:42:51.26" personId="{56D6AF9C-BBA4-4148-B5A0-23986E231E1A}" id="{FD97B881-B53B-7F48-BFCC-ADDAD08E79B5}">
    <text>no vale 32,xx solo vale 32,00 o menos</text>
  </threadedComment>
  <threadedComment ref="J18" dT="2021-10-24T06:42:51.26" personId="{56D6AF9C-BBA4-4148-B5A0-23986E231E1A}" id="{CF511AFD-8D3A-EA45-842B-FAACD1D2DD77}">
    <text>no vale 32,xx solo vale 32,00 o menos</text>
  </threadedComment>
  <threadedComment ref="J19" dT="2021-10-24T06:42:51.26" personId="{56D6AF9C-BBA4-4148-B5A0-23986E231E1A}" id="{30115460-A9D1-1A4F-9568-2A2D710161C5}">
    <text>no vale 32,xx solo vale 32,00 o menos</text>
  </threadedComment>
  <threadedComment ref="J20" dT="2021-10-24T06:42:51.26" personId="{56D6AF9C-BBA4-4148-B5A0-23986E231E1A}" id="{6A6AD2A2-BBD7-9B47-9903-35C684D53445}">
    <text>no vale 32,xx solo vale 32,00 o menos</text>
  </threadedComment>
  <threadedComment ref="J21" dT="2021-10-24T06:42:51.26" personId="{56D6AF9C-BBA4-4148-B5A0-23986E231E1A}" id="{23A73E4F-9A14-B742-AF93-04A30BEE16D1}">
    <text>no vale 32,xx solo vale 32,00 o menos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J31" dT="2021-10-24T06:42:51.26" personId="{56D6AF9C-BBA4-4148-B5A0-23986E231E1A}" id="{DD654ED6-D5D0-7846-A740-A048C219948F}">
    <text>no vale 32,xx solo vale 32,00 o menos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J49" dT="2021-10-24T06:42:51.26" personId="{56D6AF9C-BBA4-4148-B5A0-23986E231E1A}" id="{BEA70F6F-05C1-6A4D-86E8-01C6FD38A76B}">
    <text>no vale 32,xx solo vale 32,00 o menos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J17" dT="2021-10-24T06:42:51.26" personId="{56D6AF9C-BBA4-4148-B5A0-23986E231E1A}" id="{2E754016-A99C-4247-BF1B-43A2FA0AB063}">
    <text>no vale 32,xx solo vale 32,00 o menos</text>
  </threadedComment>
</ThreadedComment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ctrlProp" Target="../ctrlProps/ctrlProp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4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7.xml"/><Relationship Id="rId4" Type="http://schemas.microsoft.com/office/2017/10/relationships/threadedComment" Target="../threadedComments/threadedComment5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0.xml"/><Relationship Id="rId4" Type="http://schemas.microsoft.com/office/2017/10/relationships/threadedComment" Target="../threadedComments/threadedComment7.xml"/></Relationships>
</file>

<file path=xl/worksheets/_rels/sheet2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2.xml"/><Relationship Id="rId4" Type="http://schemas.microsoft.com/office/2017/10/relationships/threadedComment" Target="../threadedComments/threadedComment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6.xml"/><Relationship Id="rId4" Type="http://schemas.microsoft.com/office/2017/10/relationships/threadedComment" Target="../threadedComments/threadedComment1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9.xml"/><Relationship Id="rId4" Type="http://schemas.microsoft.com/office/2017/10/relationships/threadedComment" Target="../threadedComments/threadedComment12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20.xml"/><Relationship Id="rId4" Type="http://schemas.microsoft.com/office/2017/10/relationships/threadedComment" Target="../threadedComments/threadedComment1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4.xml"/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4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5.xml"/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5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6.xml"/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5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7.xml"/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22.xml"/><Relationship Id="rId4" Type="http://schemas.microsoft.com/office/2017/10/relationships/threadedComment" Target="../threadedComments/threadedComment18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23.xml"/><Relationship Id="rId4" Type="http://schemas.microsoft.com/office/2017/10/relationships/threadedComment" Target="../threadedComments/threadedComment19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4.xml"/><Relationship Id="rId4" Type="http://schemas.microsoft.com/office/2017/10/relationships/threadedComment" Target="../threadedComments/threadedComment20.xml"/></Relationships>
</file>

<file path=xl/worksheets/_rels/sheet5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1.xml"/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7.xml"/><Relationship Id="rId4" Type="http://schemas.microsoft.com/office/2017/10/relationships/threadedComment" Target="../threadedComments/threadedComment22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8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7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3.xml"/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7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4.xml"/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35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/>
  <dimension ref="A2:A88"/>
  <sheetViews>
    <sheetView workbookViewId="0">
      <selection activeCell="I29" sqref="I29"/>
    </sheetView>
  </sheetViews>
  <sheetFormatPr baseColWidth="10" defaultColWidth="10.83203125" defaultRowHeight="13"/>
  <sheetData>
    <row r="2" spans="1:1">
      <c r="A2" t="s">
        <v>1066</v>
      </c>
    </row>
    <row r="3" spans="1:1">
      <c r="A3" t="s">
        <v>1067</v>
      </c>
    </row>
    <row r="4" spans="1:1">
      <c r="A4" t="s">
        <v>1068</v>
      </c>
    </row>
    <row r="5" spans="1:1">
      <c r="A5" t="s">
        <v>1068</v>
      </c>
    </row>
    <row r="6" spans="1:1">
      <c r="A6" t="s">
        <v>1069</v>
      </c>
    </row>
    <row r="7" spans="1:1">
      <c r="A7" t="s">
        <v>1070</v>
      </c>
    </row>
    <row r="8" spans="1:1">
      <c r="A8" t="s">
        <v>1071</v>
      </c>
    </row>
    <row r="9" spans="1:1">
      <c r="A9" t="s">
        <v>1068</v>
      </c>
    </row>
    <row r="10" spans="1:1">
      <c r="A10" t="s">
        <v>1072</v>
      </c>
    </row>
    <row r="11" spans="1:1">
      <c r="A11" t="s">
        <v>1067</v>
      </c>
    </row>
    <row r="12" spans="1:1">
      <c r="A12" t="s">
        <v>1068</v>
      </c>
    </row>
    <row r="13" spans="1:1">
      <c r="A13" t="s">
        <v>1068</v>
      </c>
    </row>
    <row r="14" spans="1:1">
      <c r="A14" t="s">
        <v>1073</v>
      </c>
    </row>
    <row r="15" spans="1:1">
      <c r="A15" t="s">
        <v>1074</v>
      </c>
    </row>
    <row r="16" spans="1:1">
      <c r="A16" t="s">
        <v>1071</v>
      </c>
    </row>
    <row r="17" spans="1:1">
      <c r="A17" t="s">
        <v>1068</v>
      </c>
    </row>
    <row r="18" spans="1:1">
      <c r="A18" t="s">
        <v>1075</v>
      </c>
    </row>
    <row r="19" spans="1:1">
      <c r="A19" t="s">
        <v>1067</v>
      </c>
    </row>
    <row r="20" spans="1:1">
      <c r="A20" t="s">
        <v>1068</v>
      </c>
    </row>
    <row r="21" spans="1:1">
      <c r="A21" t="s">
        <v>1068</v>
      </c>
    </row>
    <row r="22" spans="1:1">
      <c r="A22" t="s">
        <v>1076</v>
      </c>
    </row>
    <row r="23" spans="1:1">
      <c r="A23" t="s">
        <v>1077</v>
      </c>
    </row>
    <row r="24" spans="1:1">
      <c r="A24" t="s">
        <v>1071</v>
      </c>
    </row>
    <row r="25" spans="1:1">
      <c r="A25" t="s">
        <v>1068</v>
      </c>
    </row>
    <row r="26" spans="1:1">
      <c r="A26" t="s">
        <v>1078</v>
      </c>
    </row>
    <row r="27" spans="1:1">
      <c r="A27" t="s">
        <v>1067</v>
      </c>
    </row>
    <row r="28" spans="1:1">
      <c r="A28" t="s">
        <v>1068</v>
      </c>
    </row>
    <row r="29" spans="1:1">
      <c r="A29" t="s">
        <v>1068</v>
      </c>
    </row>
    <row r="30" spans="1:1">
      <c r="A30" t="s">
        <v>1079</v>
      </c>
    </row>
    <row r="31" spans="1:1">
      <c r="A31" t="s">
        <v>1080</v>
      </c>
    </row>
    <row r="32" spans="1:1">
      <c r="A32" t="s">
        <v>1071</v>
      </c>
    </row>
    <row r="33" spans="1:1">
      <c r="A33" t="s">
        <v>1068</v>
      </c>
    </row>
    <row r="34" spans="1:1">
      <c r="A34" t="s">
        <v>1081</v>
      </c>
    </row>
    <row r="35" spans="1:1">
      <c r="A35" t="s">
        <v>1067</v>
      </c>
    </row>
    <row r="36" spans="1:1">
      <c r="A36" t="s">
        <v>1068</v>
      </c>
    </row>
    <row r="37" spans="1:1">
      <c r="A37" t="s">
        <v>1068</v>
      </c>
    </row>
    <row r="38" spans="1:1">
      <c r="A38" t="s">
        <v>1082</v>
      </c>
    </row>
    <row r="39" spans="1:1">
      <c r="A39" t="s">
        <v>1083</v>
      </c>
    </row>
    <row r="40" spans="1:1">
      <c r="A40" t="s">
        <v>1071</v>
      </c>
    </row>
    <row r="41" spans="1:1">
      <c r="A41" t="s">
        <v>1068</v>
      </c>
    </row>
    <row r="42" spans="1:1">
      <c r="A42" t="s">
        <v>1084</v>
      </c>
    </row>
    <row r="43" spans="1:1">
      <c r="A43" t="s">
        <v>1067</v>
      </c>
    </row>
    <row r="44" spans="1:1">
      <c r="A44" t="s">
        <v>1068</v>
      </c>
    </row>
    <row r="45" spans="1:1">
      <c r="A45" t="s">
        <v>1068</v>
      </c>
    </row>
    <row r="46" spans="1:1">
      <c r="A46" t="s">
        <v>1085</v>
      </c>
    </row>
    <row r="47" spans="1:1">
      <c r="A47" t="s">
        <v>1086</v>
      </c>
    </row>
    <row r="48" spans="1:1">
      <c r="A48" t="s">
        <v>1071</v>
      </c>
    </row>
    <row r="49" spans="1:1">
      <c r="A49" t="s">
        <v>1068</v>
      </c>
    </row>
    <row r="50" spans="1:1">
      <c r="A50" t="s">
        <v>1087</v>
      </c>
    </row>
    <row r="51" spans="1:1">
      <c r="A51" t="s">
        <v>1067</v>
      </c>
    </row>
    <row r="52" spans="1:1">
      <c r="A52" t="s">
        <v>1068</v>
      </c>
    </row>
    <row r="53" spans="1:1">
      <c r="A53" t="s">
        <v>1068</v>
      </c>
    </row>
    <row r="54" spans="1:1">
      <c r="A54" t="s">
        <v>1088</v>
      </c>
    </row>
    <row r="55" spans="1:1">
      <c r="A55" t="s">
        <v>1089</v>
      </c>
    </row>
    <row r="56" spans="1:1">
      <c r="A56" t="s">
        <v>1071</v>
      </c>
    </row>
    <row r="57" spans="1:1">
      <c r="A57" t="s">
        <v>1068</v>
      </c>
    </row>
    <row r="58" spans="1:1">
      <c r="A58" t="s">
        <v>1090</v>
      </c>
    </row>
    <row r="59" spans="1:1">
      <c r="A59" t="s">
        <v>1067</v>
      </c>
    </row>
    <row r="60" spans="1:1">
      <c r="A60" t="s">
        <v>1068</v>
      </c>
    </row>
    <row r="61" spans="1:1">
      <c r="A61" t="s">
        <v>1068</v>
      </c>
    </row>
    <row r="62" spans="1:1">
      <c r="A62" t="s">
        <v>1091</v>
      </c>
    </row>
    <row r="63" spans="1:1">
      <c r="A63" t="s">
        <v>1092</v>
      </c>
    </row>
    <row r="64" spans="1:1">
      <c r="A64" t="s">
        <v>1071</v>
      </c>
    </row>
    <row r="65" spans="1:1">
      <c r="A65" t="s">
        <v>1068</v>
      </c>
    </row>
    <row r="66" spans="1:1">
      <c r="A66" t="s">
        <v>1093</v>
      </c>
    </row>
    <row r="67" spans="1:1">
      <c r="A67" t="s">
        <v>1067</v>
      </c>
    </row>
    <row r="68" spans="1:1">
      <c r="A68" t="s">
        <v>1068</v>
      </c>
    </row>
    <row r="69" spans="1:1">
      <c r="A69" t="s">
        <v>1068</v>
      </c>
    </row>
    <row r="70" spans="1:1">
      <c r="A70" t="s">
        <v>1094</v>
      </c>
    </row>
    <row r="71" spans="1:1">
      <c r="A71" t="s">
        <v>1095</v>
      </c>
    </row>
    <row r="72" spans="1:1">
      <c r="A72" t="s">
        <v>1071</v>
      </c>
    </row>
    <row r="73" spans="1:1">
      <c r="A73" t="s">
        <v>1068</v>
      </c>
    </row>
    <row r="74" spans="1:1">
      <c r="A74" t="s">
        <v>1096</v>
      </c>
    </row>
    <row r="75" spans="1:1">
      <c r="A75" t="s">
        <v>1067</v>
      </c>
    </row>
    <row r="76" spans="1:1">
      <c r="A76" t="s">
        <v>1068</v>
      </c>
    </row>
    <row r="77" spans="1:1">
      <c r="A77" t="s">
        <v>1068</v>
      </c>
    </row>
    <row r="78" spans="1:1">
      <c r="A78" t="s">
        <v>1097</v>
      </c>
    </row>
    <row r="79" spans="1:1">
      <c r="A79" t="s">
        <v>1098</v>
      </c>
    </row>
    <row r="80" spans="1:1">
      <c r="A80" t="s">
        <v>1071</v>
      </c>
    </row>
    <row r="81" spans="1:1">
      <c r="A81" t="s">
        <v>1068</v>
      </c>
    </row>
    <row r="82" spans="1:1">
      <c r="A82" t="s">
        <v>1099</v>
      </c>
    </row>
    <row r="83" spans="1:1">
      <c r="A83" t="s">
        <v>1067</v>
      </c>
    </row>
    <row r="84" spans="1:1">
      <c r="A84" t="s">
        <v>1068</v>
      </c>
    </row>
    <row r="85" spans="1:1">
      <c r="A85" t="s">
        <v>1068</v>
      </c>
    </row>
    <row r="86" spans="1:1">
      <c r="A86" t="s">
        <v>1100</v>
      </c>
    </row>
    <row r="87" spans="1:1">
      <c r="A87" t="s">
        <v>1101</v>
      </c>
    </row>
    <row r="88" spans="1:1">
      <c r="A88" t="s">
        <v>1071</v>
      </c>
    </row>
  </sheetData>
  <pageMargins left="0.7" right="0.7" top="0.75" bottom="0.75" header="0.3" footer="0.3"/>
  <pageSetup paperSize="9" orientation="landscape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4"/>
  <dimension ref="A1:P434"/>
  <sheetViews>
    <sheetView topLeftCell="A20" workbookViewId="0">
      <selection activeCell="P139" sqref="P139"/>
    </sheetView>
  </sheetViews>
  <sheetFormatPr baseColWidth="10" defaultColWidth="10.83203125" defaultRowHeight="13"/>
  <cols>
    <col min="1" max="1" width="5.33203125" style="49" customWidth="1"/>
    <col min="2" max="2" width="4.6640625" style="49" customWidth="1"/>
    <col min="3" max="3" width="5.33203125" style="49" customWidth="1"/>
    <col min="4" max="4" width="11.5" style="386" customWidth="1"/>
  </cols>
  <sheetData>
    <row r="1" spans="1:4">
      <c r="A1" s="322" t="s">
        <v>479</v>
      </c>
      <c r="B1" s="322" t="s">
        <v>480</v>
      </c>
      <c r="C1" s="323" t="s">
        <v>481</v>
      </c>
      <c r="D1" s="323" t="s">
        <v>367</v>
      </c>
    </row>
    <row r="2" spans="1:4">
      <c r="A2" s="49">
        <v>1</v>
      </c>
      <c r="B2" s="49" t="s">
        <v>482</v>
      </c>
      <c r="C2" s="49">
        <v>0</v>
      </c>
      <c r="D2" s="381" t="s">
        <v>380</v>
      </c>
    </row>
    <row r="3" spans="1:4">
      <c r="A3" s="49">
        <v>1</v>
      </c>
      <c r="B3" s="49" t="s">
        <v>482</v>
      </c>
      <c r="C3" s="49">
        <v>0</v>
      </c>
      <c r="D3" s="381" t="s">
        <v>381</v>
      </c>
    </row>
    <row r="4" spans="1:4">
      <c r="A4" s="49">
        <v>1</v>
      </c>
      <c r="B4" s="49" t="s">
        <v>482</v>
      </c>
      <c r="C4" s="49">
        <v>0</v>
      </c>
      <c r="D4" s="381" t="s">
        <v>382</v>
      </c>
    </row>
    <row r="5" spans="1:4">
      <c r="A5" s="49">
        <v>1</v>
      </c>
      <c r="B5" s="49" t="s">
        <v>482</v>
      </c>
      <c r="C5" s="49">
        <v>0</v>
      </c>
      <c r="D5" s="381" t="s">
        <v>372</v>
      </c>
    </row>
    <row r="6" spans="1:4">
      <c r="A6" s="49">
        <v>1</v>
      </c>
      <c r="B6" s="49" t="s">
        <v>482</v>
      </c>
      <c r="C6" s="49">
        <v>0</v>
      </c>
      <c r="D6" s="381" t="s">
        <v>383</v>
      </c>
    </row>
    <row r="7" spans="1:4">
      <c r="A7" s="49">
        <v>1</v>
      </c>
      <c r="B7" s="49" t="s">
        <v>482</v>
      </c>
      <c r="C7" s="49">
        <v>0</v>
      </c>
      <c r="D7" s="382" t="s">
        <v>384</v>
      </c>
    </row>
    <row r="8" spans="1:4">
      <c r="A8" s="49">
        <v>1</v>
      </c>
      <c r="B8" s="49" t="s">
        <v>482</v>
      </c>
      <c r="C8" s="49">
        <v>0</v>
      </c>
      <c r="D8" s="381" t="s">
        <v>385</v>
      </c>
    </row>
    <row r="9" spans="1:4">
      <c r="A9" s="49">
        <v>1</v>
      </c>
      <c r="B9" s="49" t="s">
        <v>482</v>
      </c>
      <c r="C9" s="49">
        <v>0</v>
      </c>
      <c r="D9" s="381" t="s">
        <v>386</v>
      </c>
    </row>
    <row r="10" spans="1:4">
      <c r="A10" s="49">
        <v>1</v>
      </c>
      <c r="B10" s="49" t="s">
        <v>482</v>
      </c>
      <c r="C10" s="49">
        <v>0</v>
      </c>
      <c r="D10" s="381" t="s">
        <v>387</v>
      </c>
    </row>
    <row r="11" spans="1:4">
      <c r="A11" s="49">
        <v>1</v>
      </c>
      <c r="B11" s="49" t="s">
        <v>482</v>
      </c>
      <c r="C11" s="49">
        <v>0</v>
      </c>
      <c r="D11" s="382" t="s">
        <v>388</v>
      </c>
    </row>
    <row r="12" spans="1:4">
      <c r="A12" s="49">
        <v>1</v>
      </c>
      <c r="B12" s="49" t="s">
        <v>482</v>
      </c>
      <c r="C12" s="49">
        <v>0</v>
      </c>
      <c r="D12" s="381" t="s">
        <v>389</v>
      </c>
    </row>
    <row r="13" spans="1:4">
      <c r="A13" s="49">
        <v>1</v>
      </c>
      <c r="B13" s="49" t="s">
        <v>482</v>
      </c>
      <c r="C13" s="49">
        <v>0</v>
      </c>
      <c r="D13" s="381" t="s">
        <v>390</v>
      </c>
    </row>
    <row r="14" spans="1:4">
      <c r="A14" s="49">
        <v>1</v>
      </c>
      <c r="B14" s="49" t="s">
        <v>482</v>
      </c>
      <c r="C14" s="49">
        <v>0</v>
      </c>
      <c r="D14" s="381" t="s">
        <v>391</v>
      </c>
    </row>
    <row r="15" spans="1:4">
      <c r="A15" s="49">
        <v>1</v>
      </c>
      <c r="B15" s="49" t="s">
        <v>482</v>
      </c>
      <c r="C15" s="49">
        <v>0</v>
      </c>
      <c r="D15" s="381" t="s">
        <v>392</v>
      </c>
    </row>
    <row r="16" spans="1:4">
      <c r="A16" s="49">
        <v>1</v>
      </c>
      <c r="B16" s="49" t="s">
        <v>482</v>
      </c>
      <c r="C16" s="49">
        <v>0</v>
      </c>
      <c r="D16" s="381" t="s">
        <v>393</v>
      </c>
    </row>
    <row r="17" spans="1:4">
      <c r="A17" s="49">
        <v>1</v>
      </c>
      <c r="B17" s="49" t="s">
        <v>482</v>
      </c>
      <c r="C17" s="49">
        <v>0</v>
      </c>
      <c r="D17" s="381" t="s">
        <v>394</v>
      </c>
    </row>
    <row r="18" spans="1:4">
      <c r="A18" s="49">
        <v>1</v>
      </c>
      <c r="B18" s="49" t="s">
        <v>482</v>
      </c>
      <c r="C18" s="49">
        <v>0</v>
      </c>
      <c r="D18" s="381" t="s">
        <v>396</v>
      </c>
    </row>
    <row r="19" spans="1:4">
      <c r="A19" s="49">
        <v>1</v>
      </c>
      <c r="B19" s="49" t="s">
        <v>482</v>
      </c>
      <c r="C19" s="49">
        <v>0</v>
      </c>
      <c r="D19" s="381" t="s">
        <v>398</v>
      </c>
    </row>
    <row r="20" spans="1:4">
      <c r="A20" s="49">
        <v>1</v>
      </c>
      <c r="B20" s="49" t="s">
        <v>482</v>
      </c>
      <c r="C20" s="49">
        <v>0</v>
      </c>
      <c r="D20" s="381" t="s">
        <v>399</v>
      </c>
    </row>
    <row r="21" spans="1:4">
      <c r="A21" s="49">
        <v>1</v>
      </c>
      <c r="B21" s="49" t="s">
        <v>482</v>
      </c>
      <c r="C21" s="49">
        <v>0</v>
      </c>
      <c r="D21" s="381" t="s">
        <v>400</v>
      </c>
    </row>
    <row r="22" spans="1:4">
      <c r="A22" s="49">
        <v>1</v>
      </c>
      <c r="B22" s="49" t="s">
        <v>482</v>
      </c>
      <c r="C22" s="49">
        <v>0</v>
      </c>
      <c r="D22" s="382" t="s">
        <v>401</v>
      </c>
    </row>
    <row r="23" spans="1:4">
      <c r="A23" s="49">
        <v>1</v>
      </c>
      <c r="B23" s="49" t="s">
        <v>482</v>
      </c>
      <c r="C23" s="49">
        <v>0</v>
      </c>
      <c r="D23" s="381" t="s">
        <v>402</v>
      </c>
    </row>
    <row r="24" spans="1:4">
      <c r="A24" s="49">
        <v>1</v>
      </c>
      <c r="B24" s="49" t="s">
        <v>482</v>
      </c>
      <c r="C24" s="49">
        <v>0</v>
      </c>
      <c r="D24" s="381" t="s">
        <v>377</v>
      </c>
    </row>
    <row r="25" spans="1:4">
      <c r="A25" s="49">
        <v>1</v>
      </c>
      <c r="B25" s="49" t="s">
        <v>482</v>
      </c>
      <c r="C25" s="49">
        <v>0</v>
      </c>
      <c r="D25" s="381" t="s">
        <v>403</v>
      </c>
    </row>
    <row r="26" spans="1:4">
      <c r="A26" s="49">
        <v>1</v>
      </c>
      <c r="B26" s="49" t="s">
        <v>482</v>
      </c>
      <c r="C26" s="49">
        <v>0</v>
      </c>
      <c r="D26" s="381" t="s">
        <v>404</v>
      </c>
    </row>
    <row r="27" spans="1:4">
      <c r="A27" s="49">
        <v>1</v>
      </c>
      <c r="B27" s="49" t="s">
        <v>482</v>
      </c>
      <c r="C27" s="49">
        <v>0</v>
      </c>
      <c r="D27" s="381" t="s">
        <v>405</v>
      </c>
    </row>
    <row r="28" spans="1:4">
      <c r="A28" s="49">
        <v>1</v>
      </c>
      <c r="B28" s="49" t="s">
        <v>482</v>
      </c>
      <c r="C28" s="49">
        <v>0</v>
      </c>
      <c r="D28" s="381" t="s">
        <v>406</v>
      </c>
    </row>
    <row r="29" spans="1:4">
      <c r="A29" s="49">
        <v>1</v>
      </c>
      <c r="B29" s="49" t="s">
        <v>482</v>
      </c>
      <c r="C29" s="49">
        <v>0</v>
      </c>
      <c r="D29" s="381" t="s">
        <v>417</v>
      </c>
    </row>
    <row r="30" spans="1:4">
      <c r="A30" s="49">
        <v>1</v>
      </c>
      <c r="B30" s="49" t="s">
        <v>482</v>
      </c>
      <c r="C30" s="49">
        <v>0</v>
      </c>
      <c r="D30" s="381" t="s">
        <v>418</v>
      </c>
    </row>
    <row r="31" spans="1:4">
      <c r="A31" s="49">
        <v>1</v>
      </c>
      <c r="B31" s="49" t="s">
        <v>482</v>
      </c>
      <c r="C31" s="49">
        <v>3</v>
      </c>
      <c r="D31" s="381" t="s">
        <v>299</v>
      </c>
    </row>
    <row r="32" spans="1:4">
      <c r="A32" s="49">
        <v>1</v>
      </c>
      <c r="B32" s="49" t="s">
        <v>482</v>
      </c>
      <c r="C32" s="49">
        <v>3</v>
      </c>
      <c r="D32" s="383" t="s">
        <v>419</v>
      </c>
    </row>
    <row r="33" spans="1:4">
      <c r="A33" s="49">
        <v>1</v>
      </c>
      <c r="B33" s="49" t="s">
        <v>482</v>
      </c>
      <c r="C33" s="49">
        <v>3</v>
      </c>
      <c r="D33" s="383" t="s">
        <v>422</v>
      </c>
    </row>
    <row r="34" spans="1:4">
      <c r="A34" s="49">
        <v>1</v>
      </c>
      <c r="B34" s="49" t="s">
        <v>482</v>
      </c>
      <c r="C34" s="49">
        <v>3</v>
      </c>
      <c r="D34" s="383" t="s">
        <v>423</v>
      </c>
    </row>
    <row r="35" spans="1:4">
      <c r="A35" s="49">
        <v>1</v>
      </c>
      <c r="B35" s="49" t="s">
        <v>482</v>
      </c>
      <c r="C35" s="49">
        <v>5</v>
      </c>
      <c r="D35" s="383" t="s">
        <v>424</v>
      </c>
    </row>
    <row r="36" spans="1:4">
      <c r="A36" s="49">
        <v>1</v>
      </c>
      <c r="B36" s="49" t="s">
        <v>482</v>
      </c>
      <c r="C36" s="49">
        <v>5</v>
      </c>
      <c r="D36" s="383" t="s">
        <v>425</v>
      </c>
    </row>
    <row r="37" spans="1:4">
      <c r="A37" s="49">
        <v>1</v>
      </c>
      <c r="B37" s="49" t="s">
        <v>482</v>
      </c>
      <c r="C37" s="49">
        <v>5</v>
      </c>
      <c r="D37" s="383" t="s">
        <v>426</v>
      </c>
    </row>
    <row r="38" spans="1:4">
      <c r="A38" s="49">
        <v>1</v>
      </c>
      <c r="B38" s="49" t="s">
        <v>482</v>
      </c>
      <c r="C38" s="49">
        <v>5</v>
      </c>
      <c r="D38" s="384" t="s">
        <v>427</v>
      </c>
    </row>
    <row r="39" spans="1:4">
      <c r="A39" s="49">
        <v>1</v>
      </c>
      <c r="B39" s="49" t="s">
        <v>482</v>
      </c>
      <c r="C39" s="49">
        <v>5</v>
      </c>
      <c r="D39" s="383" t="s">
        <v>428</v>
      </c>
    </row>
    <row r="40" spans="1:4">
      <c r="A40" s="49">
        <v>1</v>
      </c>
      <c r="B40" s="49" t="s">
        <v>482</v>
      </c>
      <c r="C40" s="49">
        <v>5</v>
      </c>
      <c r="D40" s="383" t="s">
        <v>430</v>
      </c>
    </row>
    <row r="41" spans="1:4">
      <c r="A41" s="49">
        <v>1</v>
      </c>
      <c r="B41" s="49" t="s">
        <v>482</v>
      </c>
      <c r="C41" s="49">
        <v>5</v>
      </c>
      <c r="D41" s="383" t="s">
        <v>431</v>
      </c>
    </row>
    <row r="42" spans="1:4">
      <c r="A42" s="49">
        <v>1</v>
      </c>
      <c r="B42" s="49" t="s">
        <v>482</v>
      </c>
      <c r="C42" s="49">
        <v>5</v>
      </c>
      <c r="D42" s="383" t="s">
        <v>432</v>
      </c>
    </row>
    <row r="43" spans="1:4">
      <c r="A43" s="49">
        <v>1</v>
      </c>
      <c r="B43" s="49" t="s">
        <v>482</v>
      </c>
      <c r="C43" s="49">
        <v>6</v>
      </c>
      <c r="D43" s="384" t="s">
        <v>433</v>
      </c>
    </row>
    <row r="44" spans="1:4">
      <c r="A44" s="49">
        <v>1</v>
      </c>
      <c r="B44" s="49" t="s">
        <v>482</v>
      </c>
      <c r="C44" s="49">
        <v>7</v>
      </c>
      <c r="D44" s="383" t="s">
        <v>315</v>
      </c>
    </row>
    <row r="45" spans="1:4">
      <c r="A45" s="49">
        <v>1</v>
      </c>
      <c r="B45" s="49" t="s">
        <v>482</v>
      </c>
      <c r="C45" s="49">
        <v>7</v>
      </c>
      <c r="D45" s="383" t="s">
        <v>434</v>
      </c>
    </row>
    <row r="46" spans="1:4">
      <c r="A46" s="49">
        <v>1</v>
      </c>
      <c r="B46" s="49" t="s">
        <v>482</v>
      </c>
      <c r="C46" s="49">
        <v>7</v>
      </c>
      <c r="D46" s="383" t="s">
        <v>435</v>
      </c>
    </row>
    <row r="47" spans="1:4">
      <c r="A47" s="49">
        <v>1</v>
      </c>
      <c r="B47" s="49" t="s">
        <v>482</v>
      </c>
      <c r="C47" s="49">
        <v>7</v>
      </c>
      <c r="D47" s="383" t="s">
        <v>436</v>
      </c>
    </row>
    <row r="48" spans="1:4">
      <c r="A48" s="49">
        <v>1</v>
      </c>
      <c r="B48" s="49" t="s">
        <v>482</v>
      </c>
      <c r="C48" s="49">
        <v>7</v>
      </c>
      <c r="D48" s="383" t="s">
        <v>437</v>
      </c>
    </row>
    <row r="49" spans="1:4">
      <c r="A49" s="49">
        <v>1</v>
      </c>
      <c r="B49" s="49" t="s">
        <v>482</v>
      </c>
      <c r="C49" s="49">
        <v>7</v>
      </c>
      <c r="D49" s="383" t="s">
        <v>439</v>
      </c>
    </row>
    <row r="50" spans="1:4">
      <c r="A50" s="49">
        <v>1</v>
      </c>
      <c r="B50" s="49" t="s">
        <v>482</v>
      </c>
      <c r="C50" s="49">
        <v>7</v>
      </c>
      <c r="D50" s="383" t="s">
        <v>440</v>
      </c>
    </row>
    <row r="51" spans="1:4">
      <c r="A51" s="49">
        <v>1</v>
      </c>
      <c r="B51" s="49" t="s">
        <v>482</v>
      </c>
      <c r="C51" s="49">
        <v>7</v>
      </c>
      <c r="D51" s="383" t="s">
        <v>441</v>
      </c>
    </row>
    <row r="52" spans="1:4">
      <c r="A52" s="49">
        <v>1</v>
      </c>
      <c r="B52" s="49" t="s">
        <v>482</v>
      </c>
      <c r="C52" s="49">
        <v>7</v>
      </c>
      <c r="D52" s="383" t="s">
        <v>442</v>
      </c>
    </row>
    <row r="53" spans="1:4">
      <c r="A53" s="49">
        <v>1</v>
      </c>
      <c r="B53" s="49" t="s">
        <v>482</v>
      </c>
      <c r="C53" s="49">
        <v>7</v>
      </c>
      <c r="D53" s="383" t="s">
        <v>443</v>
      </c>
    </row>
    <row r="54" spans="1:4">
      <c r="A54" s="49">
        <v>1</v>
      </c>
      <c r="B54" s="49" t="s">
        <v>482</v>
      </c>
      <c r="C54" s="49">
        <v>7</v>
      </c>
      <c r="D54" s="383" t="s">
        <v>538</v>
      </c>
    </row>
    <row r="55" spans="1:4">
      <c r="A55" s="49">
        <v>1</v>
      </c>
      <c r="B55" s="49" t="s">
        <v>482</v>
      </c>
      <c r="C55" s="49">
        <v>7</v>
      </c>
      <c r="D55" s="383" t="s">
        <v>539</v>
      </c>
    </row>
    <row r="56" spans="1:4">
      <c r="A56" s="49">
        <v>1</v>
      </c>
      <c r="B56" s="49" t="s">
        <v>482</v>
      </c>
      <c r="C56" s="49">
        <v>7</v>
      </c>
      <c r="D56" s="383" t="s">
        <v>540</v>
      </c>
    </row>
    <row r="57" spans="1:4">
      <c r="A57" s="49">
        <v>1</v>
      </c>
      <c r="B57" s="49" t="s">
        <v>482</v>
      </c>
      <c r="C57" s="49">
        <v>7</v>
      </c>
      <c r="D57" s="383" t="s">
        <v>541</v>
      </c>
    </row>
    <row r="58" spans="1:4">
      <c r="A58" s="49">
        <v>1</v>
      </c>
      <c r="B58" s="49" t="s">
        <v>482</v>
      </c>
      <c r="C58" s="49">
        <v>7</v>
      </c>
      <c r="D58" s="383" t="s">
        <v>542</v>
      </c>
    </row>
    <row r="59" spans="1:4">
      <c r="A59" s="49">
        <v>1</v>
      </c>
      <c r="B59" s="49" t="s">
        <v>482</v>
      </c>
      <c r="C59" s="49">
        <v>7</v>
      </c>
      <c r="D59" s="383" t="s">
        <v>543</v>
      </c>
    </row>
    <row r="60" spans="1:4">
      <c r="A60" s="49">
        <v>1</v>
      </c>
      <c r="B60" s="49" t="s">
        <v>482</v>
      </c>
      <c r="C60" s="49">
        <v>7</v>
      </c>
      <c r="D60" s="383" t="s">
        <v>544</v>
      </c>
    </row>
    <row r="61" spans="1:4">
      <c r="A61" s="49">
        <v>1</v>
      </c>
      <c r="B61" s="49" t="s">
        <v>482</v>
      </c>
      <c r="C61" s="49">
        <v>7</v>
      </c>
      <c r="D61" s="383" t="s">
        <v>545</v>
      </c>
    </row>
    <row r="62" spans="1:4">
      <c r="A62" s="49">
        <v>1</v>
      </c>
      <c r="B62" s="49" t="s">
        <v>482</v>
      </c>
      <c r="C62" s="49">
        <v>7</v>
      </c>
      <c r="D62" s="383" t="s">
        <v>546</v>
      </c>
    </row>
    <row r="63" spans="1:4">
      <c r="A63" s="49">
        <v>1</v>
      </c>
      <c r="B63" s="49" t="s">
        <v>482</v>
      </c>
      <c r="C63" s="49">
        <v>7</v>
      </c>
      <c r="D63" s="383" t="s">
        <v>547</v>
      </c>
    </row>
    <row r="64" spans="1:4">
      <c r="A64" s="49">
        <v>1</v>
      </c>
      <c r="B64" s="49" t="s">
        <v>482</v>
      </c>
      <c r="C64" s="49">
        <v>7</v>
      </c>
      <c r="D64" s="383" t="s">
        <v>548</v>
      </c>
    </row>
    <row r="65" spans="1:4">
      <c r="A65" s="49">
        <v>1</v>
      </c>
      <c r="B65" s="49" t="s">
        <v>482</v>
      </c>
      <c r="C65" s="49">
        <v>7</v>
      </c>
      <c r="D65" s="383" t="s">
        <v>489</v>
      </c>
    </row>
    <row r="66" spans="1:4">
      <c r="A66" s="49">
        <v>1</v>
      </c>
      <c r="B66" s="49" t="s">
        <v>482</v>
      </c>
      <c r="C66" s="49">
        <v>7</v>
      </c>
      <c r="D66" s="383" t="s">
        <v>490</v>
      </c>
    </row>
    <row r="67" spans="1:4">
      <c r="A67" s="49">
        <v>1</v>
      </c>
      <c r="B67" s="49" t="s">
        <v>482</v>
      </c>
      <c r="C67" s="49">
        <v>7</v>
      </c>
      <c r="D67" s="383" t="s">
        <v>491</v>
      </c>
    </row>
    <row r="68" spans="1:4">
      <c r="A68" s="49">
        <v>1</v>
      </c>
      <c r="B68" s="49" t="s">
        <v>482</v>
      </c>
      <c r="C68" s="49">
        <v>7</v>
      </c>
      <c r="D68" s="383" t="s">
        <v>502</v>
      </c>
    </row>
    <row r="69" spans="1:4">
      <c r="A69" s="49">
        <v>1</v>
      </c>
      <c r="B69" s="49" t="s">
        <v>482</v>
      </c>
      <c r="C69" s="49">
        <v>7</v>
      </c>
      <c r="D69" s="383" t="s">
        <v>503</v>
      </c>
    </row>
    <row r="70" spans="1:4">
      <c r="A70" s="49">
        <v>1</v>
      </c>
      <c r="B70" s="49" t="s">
        <v>482</v>
      </c>
      <c r="C70" s="49">
        <v>7</v>
      </c>
      <c r="D70" s="383" t="s">
        <v>504</v>
      </c>
    </row>
    <row r="71" spans="1:4">
      <c r="A71" s="49">
        <v>1</v>
      </c>
      <c r="B71" s="49" t="s">
        <v>482</v>
      </c>
      <c r="C71" s="49">
        <v>7</v>
      </c>
      <c r="D71" s="383" t="s">
        <v>505</v>
      </c>
    </row>
    <row r="72" spans="1:4">
      <c r="A72" s="49">
        <v>1</v>
      </c>
      <c r="B72" s="49" t="s">
        <v>482</v>
      </c>
      <c r="C72" s="49">
        <v>7</v>
      </c>
      <c r="D72" s="383" t="s">
        <v>506</v>
      </c>
    </row>
    <row r="73" spans="1:4">
      <c r="A73" s="49">
        <v>1</v>
      </c>
      <c r="B73" s="49" t="s">
        <v>482</v>
      </c>
      <c r="C73" s="49">
        <v>7</v>
      </c>
      <c r="D73" s="383" t="s">
        <v>507</v>
      </c>
    </row>
    <row r="74" spans="1:4">
      <c r="A74" s="49">
        <v>1</v>
      </c>
      <c r="B74" s="49" t="s">
        <v>482</v>
      </c>
      <c r="C74" s="49">
        <v>7</v>
      </c>
      <c r="D74" s="383" t="s">
        <v>508</v>
      </c>
    </row>
    <row r="75" spans="1:4">
      <c r="A75" s="49">
        <v>1</v>
      </c>
      <c r="B75" s="49" t="s">
        <v>482</v>
      </c>
      <c r="C75" s="49">
        <v>7</v>
      </c>
      <c r="D75" s="383" t="s">
        <v>509</v>
      </c>
    </row>
    <row r="76" spans="1:4">
      <c r="A76" s="49">
        <v>1</v>
      </c>
      <c r="B76" s="49" t="s">
        <v>482</v>
      </c>
      <c r="C76" s="49">
        <v>7</v>
      </c>
      <c r="D76" s="383" t="s">
        <v>510</v>
      </c>
    </row>
    <row r="77" spans="1:4">
      <c r="A77" s="49">
        <v>1</v>
      </c>
      <c r="B77" s="49" t="s">
        <v>482</v>
      </c>
      <c r="C77" s="49">
        <v>8</v>
      </c>
      <c r="D77" s="383" t="s">
        <v>281</v>
      </c>
    </row>
    <row r="78" spans="1:4">
      <c r="A78" s="49">
        <v>1</v>
      </c>
      <c r="B78" s="49" t="s">
        <v>482</v>
      </c>
      <c r="C78" s="49">
        <v>8</v>
      </c>
      <c r="D78" s="383" t="s">
        <v>511</v>
      </c>
    </row>
    <row r="79" spans="1:4">
      <c r="A79" s="49">
        <v>1</v>
      </c>
      <c r="B79" s="49" t="s">
        <v>482</v>
      </c>
      <c r="C79" s="49">
        <v>8</v>
      </c>
      <c r="D79" s="383" t="s">
        <v>512</v>
      </c>
    </row>
    <row r="80" spans="1:4">
      <c r="A80" s="49">
        <v>1</v>
      </c>
      <c r="B80" s="49" t="s">
        <v>482</v>
      </c>
      <c r="C80" s="49">
        <v>8</v>
      </c>
      <c r="D80" s="383" t="s">
        <v>513</v>
      </c>
    </row>
    <row r="81" spans="1:4">
      <c r="A81" s="49">
        <v>1</v>
      </c>
      <c r="B81" s="49" t="s">
        <v>482</v>
      </c>
      <c r="C81" s="49">
        <v>8</v>
      </c>
      <c r="D81" s="383" t="s">
        <v>514</v>
      </c>
    </row>
    <row r="82" spans="1:4">
      <c r="A82" s="49">
        <v>1</v>
      </c>
      <c r="B82" s="49" t="s">
        <v>482</v>
      </c>
      <c r="C82" s="49">
        <v>8</v>
      </c>
      <c r="D82" s="383" t="s">
        <v>563</v>
      </c>
    </row>
    <row r="83" spans="1:4">
      <c r="A83" s="49">
        <v>1</v>
      </c>
      <c r="B83" s="49" t="s">
        <v>482</v>
      </c>
      <c r="C83" s="49">
        <v>8</v>
      </c>
      <c r="D83" s="383" t="s">
        <v>563</v>
      </c>
    </row>
    <row r="84" spans="1:4">
      <c r="A84" s="49">
        <v>1</v>
      </c>
      <c r="B84" s="49" t="s">
        <v>482</v>
      </c>
      <c r="C84" s="49">
        <v>8</v>
      </c>
      <c r="D84" s="383" t="s">
        <v>564</v>
      </c>
    </row>
    <row r="85" spans="1:4">
      <c r="A85" s="49">
        <v>1</v>
      </c>
      <c r="B85" s="49" t="s">
        <v>482</v>
      </c>
      <c r="C85" s="49">
        <v>8</v>
      </c>
      <c r="D85" s="383" t="s">
        <v>565</v>
      </c>
    </row>
    <row r="86" spans="1:4">
      <c r="A86" s="49">
        <v>1</v>
      </c>
      <c r="B86" s="49" t="s">
        <v>482</v>
      </c>
      <c r="C86" s="49">
        <v>8</v>
      </c>
      <c r="D86" s="384" t="s">
        <v>566</v>
      </c>
    </row>
    <row r="87" spans="1:4">
      <c r="A87" s="49">
        <v>1</v>
      </c>
      <c r="B87" s="49" t="s">
        <v>482</v>
      </c>
      <c r="C87" s="49">
        <v>8</v>
      </c>
      <c r="D87" s="383" t="s">
        <v>567</v>
      </c>
    </row>
    <row r="88" spans="1:4">
      <c r="A88" s="49">
        <v>1</v>
      </c>
      <c r="B88" s="49" t="s">
        <v>482</v>
      </c>
      <c r="C88" s="49">
        <v>8</v>
      </c>
      <c r="D88" s="383" t="s">
        <v>568</v>
      </c>
    </row>
    <row r="89" spans="1:4">
      <c r="A89" s="49">
        <v>1</v>
      </c>
      <c r="B89" s="49" t="s">
        <v>482</v>
      </c>
      <c r="C89" s="49">
        <v>8</v>
      </c>
      <c r="D89" s="383" t="s">
        <v>569</v>
      </c>
    </row>
    <row r="90" spans="1:4">
      <c r="A90" s="49">
        <v>1</v>
      </c>
      <c r="B90" s="49" t="s">
        <v>482</v>
      </c>
      <c r="C90" s="49">
        <v>8</v>
      </c>
      <c r="D90" s="383" t="s">
        <v>570</v>
      </c>
    </row>
    <row r="91" spans="1:4">
      <c r="A91" s="49">
        <v>1</v>
      </c>
      <c r="B91" s="49" t="s">
        <v>482</v>
      </c>
      <c r="C91" s="49">
        <v>8</v>
      </c>
      <c r="D91" s="383" t="s">
        <v>571</v>
      </c>
    </row>
    <row r="92" spans="1:4">
      <c r="A92" s="49">
        <v>1</v>
      </c>
      <c r="B92" s="49" t="s">
        <v>482</v>
      </c>
      <c r="C92" s="49">
        <v>8</v>
      </c>
      <c r="D92" s="383" t="s">
        <v>572</v>
      </c>
    </row>
    <row r="93" spans="1:4">
      <c r="A93" s="49">
        <v>1</v>
      </c>
      <c r="B93" s="49" t="s">
        <v>482</v>
      </c>
      <c r="C93" s="49">
        <v>8</v>
      </c>
      <c r="D93" s="383" t="s">
        <v>515</v>
      </c>
    </row>
    <row r="94" spans="1:4">
      <c r="A94" s="49">
        <v>1</v>
      </c>
      <c r="B94" s="49" t="s">
        <v>482</v>
      </c>
      <c r="C94" s="49">
        <v>8</v>
      </c>
      <c r="D94" s="383" t="s">
        <v>516</v>
      </c>
    </row>
    <row r="95" spans="1:4">
      <c r="A95" s="49">
        <v>1</v>
      </c>
      <c r="B95" s="49" t="s">
        <v>482</v>
      </c>
      <c r="C95" s="49">
        <v>8</v>
      </c>
      <c r="D95" s="383" t="s">
        <v>517</v>
      </c>
    </row>
    <row r="96" spans="1:4">
      <c r="A96" s="49">
        <v>1</v>
      </c>
      <c r="B96" s="49" t="s">
        <v>482</v>
      </c>
      <c r="C96" s="49">
        <v>8</v>
      </c>
      <c r="D96" s="383" t="s">
        <v>518</v>
      </c>
    </row>
    <row r="97" spans="1:4">
      <c r="A97" s="49">
        <v>1</v>
      </c>
      <c r="B97" s="49" t="s">
        <v>482</v>
      </c>
      <c r="C97" s="49">
        <v>8</v>
      </c>
      <c r="D97" s="383" t="s">
        <v>519</v>
      </c>
    </row>
    <row r="98" spans="1:4">
      <c r="A98" s="49">
        <v>1</v>
      </c>
      <c r="B98" s="49" t="s">
        <v>482</v>
      </c>
      <c r="C98" s="49">
        <v>8</v>
      </c>
      <c r="D98" s="383" t="s">
        <v>520</v>
      </c>
    </row>
    <row r="99" spans="1:4">
      <c r="A99" s="49">
        <v>1</v>
      </c>
      <c r="B99" s="49" t="s">
        <v>482</v>
      </c>
      <c r="C99" s="49">
        <v>8</v>
      </c>
      <c r="D99" s="383" t="s">
        <v>521</v>
      </c>
    </row>
    <row r="100" spans="1:4">
      <c r="A100" s="49">
        <v>1</v>
      </c>
      <c r="B100" s="49" t="s">
        <v>482</v>
      </c>
      <c r="C100" s="49">
        <v>8</v>
      </c>
      <c r="D100" s="383" t="s">
        <v>522</v>
      </c>
    </row>
    <row r="101" spans="1:4">
      <c r="A101" s="49">
        <v>1</v>
      </c>
      <c r="B101" s="49" t="s">
        <v>482</v>
      </c>
      <c r="C101" s="49">
        <v>9</v>
      </c>
      <c r="D101" s="383" t="s">
        <v>525</v>
      </c>
    </row>
    <row r="102" spans="1:4">
      <c r="A102" s="49">
        <v>1</v>
      </c>
      <c r="B102" s="49" t="s">
        <v>482</v>
      </c>
      <c r="C102" s="49">
        <v>10</v>
      </c>
      <c r="D102" s="383" t="s">
        <v>528</v>
      </c>
    </row>
    <row r="103" spans="1:4">
      <c r="A103" s="49">
        <v>1</v>
      </c>
      <c r="B103" s="49" t="s">
        <v>482</v>
      </c>
      <c r="C103" s="49">
        <v>10</v>
      </c>
      <c r="D103" s="383" t="s">
        <v>529</v>
      </c>
    </row>
    <row r="104" spans="1:4">
      <c r="A104" s="49">
        <v>1</v>
      </c>
      <c r="B104" s="49" t="s">
        <v>482</v>
      </c>
      <c r="C104" s="49">
        <v>10</v>
      </c>
      <c r="D104" s="383" t="s">
        <v>530</v>
      </c>
    </row>
    <row r="105" spans="1:4">
      <c r="A105" s="49">
        <v>1</v>
      </c>
      <c r="B105" s="49" t="s">
        <v>482</v>
      </c>
      <c r="C105" s="49">
        <v>10</v>
      </c>
      <c r="D105" s="383" t="s">
        <v>531</v>
      </c>
    </row>
    <row r="106" spans="1:4">
      <c r="A106" s="49">
        <v>1</v>
      </c>
      <c r="B106" s="49" t="s">
        <v>482</v>
      </c>
      <c r="C106" s="49">
        <v>11</v>
      </c>
      <c r="D106" s="384" t="s">
        <v>532</v>
      </c>
    </row>
    <row r="107" spans="1:4">
      <c r="A107" s="49">
        <v>1</v>
      </c>
      <c r="B107" s="49" t="s">
        <v>482</v>
      </c>
      <c r="C107" s="49">
        <v>12</v>
      </c>
      <c r="D107" s="383" t="s">
        <v>533</v>
      </c>
    </row>
    <row r="108" spans="1:4">
      <c r="A108" s="49">
        <v>1</v>
      </c>
      <c r="B108" s="49" t="s">
        <v>482</v>
      </c>
      <c r="C108" s="49">
        <v>12</v>
      </c>
      <c r="D108" s="383" t="s">
        <v>534</v>
      </c>
    </row>
    <row r="109" spans="1:4">
      <c r="A109" s="49">
        <v>1</v>
      </c>
      <c r="B109" s="49" t="s">
        <v>482</v>
      </c>
      <c r="C109" s="49">
        <v>13</v>
      </c>
      <c r="D109" s="383" t="s">
        <v>535</v>
      </c>
    </row>
    <row r="110" spans="1:4">
      <c r="A110" s="49">
        <v>1</v>
      </c>
      <c r="B110" s="49" t="s">
        <v>482</v>
      </c>
      <c r="C110" s="49">
        <v>14</v>
      </c>
      <c r="D110" s="383" t="s">
        <v>536</v>
      </c>
    </row>
    <row r="111" spans="1:4">
      <c r="A111" s="49">
        <v>1</v>
      </c>
      <c r="B111" s="49" t="s">
        <v>482</v>
      </c>
      <c r="C111" s="49">
        <v>16</v>
      </c>
      <c r="D111" s="383" t="s">
        <v>598</v>
      </c>
    </row>
    <row r="112" spans="1:4">
      <c r="A112" s="49">
        <v>1</v>
      </c>
      <c r="B112" s="49" t="s">
        <v>482</v>
      </c>
      <c r="C112" s="49">
        <v>17</v>
      </c>
      <c r="D112" s="383" t="s">
        <v>599</v>
      </c>
    </row>
    <row r="113" spans="1:4">
      <c r="A113" s="49">
        <v>1</v>
      </c>
      <c r="B113" s="49" t="s">
        <v>482</v>
      </c>
      <c r="C113" s="49">
        <v>17</v>
      </c>
      <c r="D113" s="383" t="s">
        <v>600</v>
      </c>
    </row>
    <row r="114" spans="1:4">
      <c r="A114" s="49">
        <v>1</v>
      </c>
      <c r="B114" s="49" t="s">
        <v>482</v>
      </c>
      <c r="C114" s="49">
        <v>17</v>
      </c>
      <c r="D114" s="383" t="s">
        <v>601</v>
      </c>
    </row>
    <row r="115" spans="1:4">
      <c r="A115" s="49">
        <v>1</v>
      </c>
      <c r="B115" s="49" t="s">
        <v>482</v>
      </c>
      <c r="C115" s="49">
        <v>17</v>
      </c>
      <c r="D115" s="383" t="s">
        <v>602</v>
      </c>
    </row>
    <row r="116" spans="1:4">
      <c r="A116" s="49">
        <v>1</v>
      </c>
      <c r="B116" s="49" t="s">
        <v>482</v>
      </c>
      <c r="C116" s="49">
        <v>17</v>
      </c>
      <c r="D116" s="383" t="s">
        <v>603</v>
      </c>
    </row>
    <row r="117" spans="1:4">
      <c r="A117" s="49">
        <v>1</v>
      </c>
      <c r="B117" s="49" t="s">
        <v>482</v>
      </c>
      <c r="C117" s="49">
        <v>17</v>
      </c>
      <c r="D117" s="383" t="s">
        <v>604</v>
      </c>
    </row>
    <row r="118" spans="1:4">
      <c r="A118" s="49">
        <v>1</v>
      </c>
      <c r="B118" s="49" t="s">
        <v>482</v>
      </c>
      <c r="C118" s="49">
        <v>17</v>
      </c>
      <c r="D118" s="383" t="s">
        <v>605</v>
      </c>
    </row>
    <row r="119" spans="1:4">
      <c r="A119" s="49">
        <v>1</v>
      </c>
      <c r="B119" s="49" t="s">
        <v>482</v>
      </c>
      <c r="C119" s="49">
        <v>17</v>
      </c>
      <c r="D119" s="383" t="s">
        <v>606</v>
      </c>
    </row>
    <row r="120" spans="1:4">
      <c r="A120" s="49">
        <v>1</v>
      </c>
      <c r="B120" s="49" t="s">
        <v>482</v>
      </c>
      <c r="C120" s="49">
        <v>17</v>
      </c>
      <c r="D120" s="383" t="s">
        <v>607</v>
      </c>
    </row>
    <row r="121" spans="1:4">
      <c r="A121" s="49">
        <v>1</v>
      </c>
      <c r="B121" s="49" t="s">
        <v>482</v>
      </c>
      <c r="C121" s="49">
        <v>17</v>
      </c>
      <c r="D121" s="383" t="s">
        <v>608</v>
      </c>
    </row>
    <row r="122" spans="1:4">
      <c r="A122" s="49">
        <v>1</v>
      </c>
      <c r="B122" s="49" t="s">
        <v>482</v>
      </c>
      <c r="C122" s="49">
        <v>17</v>
      </c>
      <c r="D122" s="383" t="s">
        <v>609</v>
      </c>
    </row>
    <row r="123" spans="1:4">
      <c r="A123" s="49">
        <v>1</v>
      </c>
      <c r="B123" s="49" t="s">
        <v>482</v>
      </c>
      <c r="C123" s="49">
        <v>18</v>
      </c>
      <c r="D123" s="383" t="s">
        <v>610</v>
      </c>
    </row>
    <row r="124" spans="1:4">
      <c r="A124" s="49">
        <v>1</v>
      </c>
      <c r="B124" s="49" t="s">
        <v>482</v>
      </c>
      <c r="C124" s="49">
        <v>18</v>
      </c>
      <c r="D124" s="383" t="s">
        <v>611</v>
      </c>
    </row>
    <row r="125" spans="1:4">
      <c r="A125" s="49">
        <v>1</v>
      </c>
      <c r="B125" s="49" t="s">
        <v>482</v>
      </c>
      <c r="C125" s="49">
        <v>18</v>
      </c>
      <c r="D125" s="383" t="s">
        <v>612</v>
      </c>
    </row>
    <row r="126" spans="1:4">
      <c r="A126" s="49">
        <v>1</v>
      </c>
      <c r="B126" s="49" t="s">
        <v>482</v>
      </c>
      <c r="C126" s="49">
        <v>18</v>
      </c>
      <c r="D126" s="383" t="s">
        <v>613</v>
      </c>
    </row>
    <row r="127" spans="1:4">
      <c r="A127" s="49">
        <v>1</v>
      </c>
      <c r="B127" s="49" t="s">
        <v>482</v>
      </c>
      <c r="C127" s="49">
        <v>18</v>
      </c>
      <c r="D127" s="383" t="s">
        <v>614</v>
      </c>
    </row>
    <row r="128" spans="1:4">
      <c r="A128" s="49">
        <v>1</v>
      </c>
      <c r="B128" s="49" t="s">
        <v>482</v>
      </c>
      <c r="C128" s="49">
        <v>18</v>
      </c>
      <c r="D128" s="383" t="s">
        <v>615</v>
      </c>
    </row>
    <row r="129" spans="1:4">
      <c r="A129" s="49">
        <v>1</v>
      </c>
      <c r="B129" s="49" t="s">
        <v>482</v>
      </c>
      <c r="C129" s="49">
        <v>18</v>
      </c>
      <c r="D129" s="383" t="s">
        <v>616</v>
      </c>
    </row>
    <row r="130" spans="1:4">
      <c r="A130" s="49">
        <v>1</v>
      </c>
      <c r="B130" s="49" t="s">
        <v>482</v>
      </c>
      <c r="C130" s="49">
        <v>18</v>
      </c>
      <c r="D130" s="383" t="s">
        <v>549</v>
      </c>
    </row>
    <row r="131" spans="1:4">
      <c r="A131" s="49">
        <v>1</v>
      </c>
      <c r="B131" s="49" t="s">
        <v>482</v>
      </c>
      <c r="C131" s="49">
        <v>18</v>
      </c>
      <c r="D131" s="383" t="s">
        <v>550</v>
      </c>
    </row>
    <row r="132" spans="1:4">
      <c r="A132" s="49">
        <v>1</v>
      </c>
      <c r="B132" s="49" t="s">
        <v>482</v>
      </c>
      <c r="C132" s="49">
        <v>19</v>
      </c>
      <c r="D132" s="383" t="s">
        <v>551</v>
      </c>
    </row>
    <row r="133" spans="1:4">
      <c r="A133" s="49">
        <v>1</v>
      </c>
      <c r="B133" s="49" t="s">
        <v>482</v>
      </c>
      <c r="C133" s="49">
        <v>19</v>
      </c>
      <c r="D133" s="383" t="s">
        <v>552</v>
      </c>
    </row>
    <row r="134" spans="1:4">
      <c r="A134" s="49">
        <v>1</v>
      </c>
      <c r="B134" s="49" t="s">
        <v>482</v>
      </c>
      <c r="C134" s="49">
        <v>19</v>
      </c>
      <c r="D134" s="383" t="s">
        <v>553</v>
      </c>
    </row>
    <row r="135" spans="1:4">
      <c r="A135" s="49">
        <v>1</v>
      </c>
      <c r="B135" s="49" t="s">
        <v>482</v>
      </c>
      <c r="C135" s="49">
        <v>19</v>
      </c>
      <c r="D135" s="383" t="s">
        <v>555</v>
      </c>
    </row>
    <row r="136" spans="1:4">
      <c r="A136" s="49">
        <v>1</v>
      </c>
      <c r="B136" s="49" t="s">
        <v>482</v>
      </c>
      <c r="C136" s="49">
        <v>19</v>
      </c>
      <c r="D136" s="383" t="s">
        <v>559</v>
      </c>
    </row>
    <row r="137" spans="1:4">
      <c r="A137" s="49">
        <v>1</v>
      </c>
      <c r="B137" s="49" t="s">
        <v>482</v>
      </c>
      <c r="C137" s="49">
        <v>19</v>
      </c>
      <c r="D137" s="383" t="s">
        <v>560</v>
      </c>
    </row>
    <row r="138" spans="1:4">
      <c r="A138" s="49">
        <v>1</v>
      </c>
      <c r="B138" s="49" t="s">
        <v>482</v>
      </c>
      <c r="C138" s="49">
        <v>60</v>
      </c>
      <c r="D138" s="383" t="s">
        <v>561</v>
      </c>
    </row>
    <row r="139" spans="1:4">
      <c r="A139" s="49">
        <v>1</v>
      </c>
      <c r="B139" s="49" t="s">
        <v>482</v>
      </c>
      <c r="C139" s="49">
        <v>60</v>
      </c>
      <c r="D139" s="383" t="s">
        <v>562</v>
      </c>
    </row>
    <row r="140" spans="1:4">
      <c r="A140" s="49">
        <v>1</v>
      </c>
      <c r="B140" s="49" t="s">
        <v>482</v>
      </c>
      <c r="C140" s="49">
        <v>60</v>
      </c>
      <c r="D140" s="383" t="s">
        <v>629</v>
      </c>
    </row>
    <row r="141" spans="1:4">
      <c r="A141" s="49">
        <v>1</v>
      </c>
      <c r="B141" s="49" t="s">
        <v>482</v>
      </c>
      <c r="C141" s="49">
        <v>60</v>
      </c>
      <c r="D141" s="383" t="s">
        <v>630</v>
      </c>
    </row>
    <row r="142" spans="1:4">
      <c r="A142" s="49">
        <v>1</v>
      </c>
      <c r="B142" s="49" t="s">
        <v>482</v>
      </c>
      <c r="C142" s="49">
        <v>61</v>
      </c>
      <c r="D142" s="383" t="s">
        <v>631</v>
      </c>
    </row>
    <row r="143" spans="1:4">
      <c r="A143" s="49">
        <v>1</v>
      </c>
      <c r="B143" s="49" t="s">
        <v>482</v>
      </c>
      <c r="C143" s="49">
        <v>62</v>
      </c>
      <c r="D143" s="384" t="s">
        <v>632</v>
      </c>
    </row>
    <row r="144" spans="1:4">
      <c r="A144" s="49">
        <v>1</v>
      </c>
      <c r="B144" s="49" t="s">
        <v>633</v>
      </c>
      <c r="C144" s="49">
        <v>0</v>
      </c>
      <c r="D144" s="383" t="s">
        <v>634</v>
      </c>
    </row>
    <row r="145" spans="1:16">
      <c r="A145" s="49">
        <v>1</v>
      </c>
      <c r="B145" s="49" t="s">
        <v>633</v>
      </c>
      <c r="C145" s="49">
        <v>0</v>
      </c>
      <c r="D145" s="383" t="s">
        <v>635</v>
      </c>
    </row>
    <row r="146" spans="1:16">
      <c r="A146" s="49">
        <v>1</v>
      </c>
      <c r="B146" s="49" t="s">
        <v>633</v>
      </c>
      <c r="C146" s="49">
        <v>0</v>
      </c>
      <c r="D146" s="383" t="s">
        <v>636</v>
      </c>
    </row>
    <row r="147" spans="1:16">
      <c r="A147" s="49">
        <v>1</v>
      </c>
      <c r="B147" s="49" t="s">
        <v>633</v>
      </c>
      <c r="C147" s="49">
        <v>0</v>
      </c>
      <c r="D147" s="383" t="s">
        <v>637</v>
      </c>
    </row>
    <row r="148" spans="1:16">
      <c r="A148" s="49">
        <v>1</v>
      </c>
      <c r="C148" s="49">
        <v>0</v>
      </c>
      <c r="D148" s="383" t="s">
        <v>638</v>
      </c>
    </row>
    <row r="149" spans="1:16">
      <c r="A149" s="49">
        <v>1</v>
      </c>
      <c r="C149" s="49">
        <v>0</v>
      </c>
      <c r="D149" s="383" t="s">
        <v>639</v>
      </c>
    </row>
    <row r="150" spans="1:16">
      <c r="A150" s="49">
        <v>1</v>
      </c>
      <c r="C150" s="49">
        <v>0</v>
      </c>
      <c r="D150" s="383" t="s">
        <v>640</v>
      </c>
    </row>
    <row r="151" spans="1:16">
      <c r="A151" s="49">
        <v>1</v>
      </c>
      <c r="C151" s="49">
        <v>0</v>
      </c>
      <c r="D151" s="383" t="s">
        <v>641</v>
      </c>
    </row>
    <row r="152" spans="1:16">
      <c r="A152" s="49">
        <v>1</v>
      </c>
      <c r="C152" s="49">
        <v>0</v>
      </c>
      <c r="D152" s="383" t="s">
        <v>642</v>
      </c>
    </row>
    <row r="153" spans="1:16">
      <c r="A153" s="49">
        <v>1</v>
      </c>
      <c r="C153" s="49">
        <v>0</v>
      </c>
      <c r="D153" s="383" t="s">
        <v>643</v>
      </c>
    </row>
    <row r="154" spans="1:16">
      <c r="A154" s="49">
        <v>1</v>
      </c>
      <c r="C154" s="49">
        <v>0</v>
      </c>
      <c r="D154" s="383" t="s">
        <v>644</v>
      </c>
    </row>
    <row r="155" spans="1:16">
      <c r="A155" s="49">
        <v>1</v>
      </c>
      <c r="C155" s="49">
        <v>0</v>
      </c>
      <c r="D155" s="385" t="s">
        <v>645</v>
      </c>
    </row>
    <row r="156" spans="1:16">
      <c r="A156" s="49">
        <v>1</v>
      </c>
      <c r="C156" s="49">
        <v>0</v>
      </c>
      <c r="D156" s="383" t="s">
        <v>646</v>
      </c>
      <c r="J156" s="46"/>
      <c r="K156" s="371"/>
      <c r="L156" s="371"/>
      <c r="M156" s="371"/>
      <c r="N156" s="371"/>
      <c r="O156" s="371"/>
      <c r="P156" s="371"/>
    </row>
    <row r="157" spans="1:16">
      <c r="A157" s="49">
        <v>1</v>
      </c>
      <c r="C157" s="49">
        <v>0</v>
      </c>
      <c r="D157" s="383" t="s">
        <v>647</v>
      </c>
      <c r="J157" s="46"/>
      <c r="K157" s="372"/>
      <c r="L157" s="372"/>
      <c r="M157" s="372"/>
      <c r="N157" s="372"/>
      <c r="O157" s="372"/>
      <c r="P157" s="372"/>
    </row>
    <row r="158" spans="1:16">
      <c r="A158" s="49">
        <v>1</v>
      </c>
      <c r="C158" s="49">
        <v>0</v>
      </c>
      <c r="D158" s="383" t="s">
        <v>648</v>
      </c>
      <c r="K158" s="373"/>
      <c r="L158" s="373"/>
      <c r="M158" s="373"/>
      <c r="N158" s="373"/>
      <c r="O158" s="373"/>
      <c r="P158" s="373"/>
    </row>
    <row r="159" spans="1:16">
      <c r="A159" s="49">
        <v>1</v>
      </c>
      <c r="C159" s="49">
        <v>1</v>
      </c>
      <c r="D159" s="384" t="s">
        <v>649</v>
      </c>
    </row>
    <row r="160" spans="1:16">
      <c r="A160" s="49">
        <v>1</v>
      </c>
      <c r="C160" s="49">
        <v>1</v>
      </c>
      <c r="D160" s="383" t="s">
        <v>650</v>
      </c>
    </row>
    <row r="161" spans="1:4">
      <c r="A161" s="49">
        <v>1</v>
      </c>
      <c r="C161" s="49">
        <v>2</v>
      </c>
      <c r="D161" s="383" t="s">
        <v>413</v>
      </c>
    </row>
    <row r="162" spans="1:4">
      <c r="A162" s="49">
        <v>1</v>
      </c>
      <c r="C162" s="49">
        <v>2</v>
      </c>
      <c r="D162" s="383" t="s">
        <v>651</v>
      </c>
    </row>
    <row r="163" spans="1:4">
      <c r="A163" s="49">
        <v>1</v>
      </c>
      <c r="C163" s="49">
        <v>2</v>
      </c>
      <c r="D163" s="383" t="s">
        <v>573</v>
      </c>
    </row>
    <row r="164" spans="1:4">
      <c r="A164" s="49">
        <v>1</v>
      </c>
      <c r="C164" s="49">
        <v>2</v>
      </c>
      <c r="D164" s="383" t="s">
        <v>574</v>
      </c>
    </row>
    <row r="165" spans="1:4">
      <c r="A165" s="49">
        <v>1</v>
      </c>
      <c r="C165" s="49">
        <v>2</v>
      </c>
      <c r="D165" s="383" t="s">
        <v>575</v>
      </c>
    </row>
    <row r="166" spans="1:4">
      <c r="A166" s="49">
        <v>1</v>
      </c>
      <c r="C166" s="49">
        <v>2</v>
      </c>
      <c r="D166" s="383" t="s">
        <v>576</v>
      </c>
    </row>
    <row r="167" spans="1:4">
      <c r="A167" s="49">
        <v>1</v>
      </c>
      <c r="C167" s="49">
        <v>2</v>
      </c>
      <c r="D167" s="383" t="s">
        <v>577</v>
      </c>
    </row>
    <row r="168" spans="1:4">
      <c r="A168" s="49">
        <v>1</v>
      </c>
      <c r="C168" s="49">
        <v>2</v>
      </c>
      <c r="D168" s="383" t="s">
        <v>578</v>
      </c>
    </row>
    <row r="169" spans="1:4">
      <c r="A169" s="49">
        <v>1</v>
      </c>
      <c r="C169" s="49">
        <v>3</v>
      </c>
      <c r="D169" s="383" t="s">
        <v>579</v>
      </c>
    </row>
    <row r="170" spans="1:4">
      <c r="A170" s="49">
        <v>1</v>
      </c>
      <c r="C170" s="49">
        <v>3</v>
      </c>
      <c r="D170" s="383" t="s">
        <v>580</v>
      </c>
    </row>
    <row r="171" spans="1:4">
      <c r="A171" s="49">
        <v>1</v>
      </c>
      <c r="C171" s="49">
        <v>4</v>
      </c>
      <c r="D171" s="383" t="s">
        <v>581</v>
      </c>
    </row>
    <row r="172" spans="1:4">
      <c r="A172" s="49">
        <v>1</v>
      </c>
      <c r="C172" s="49">
        <v>4</v>
      </c>
      <c r="D172" s="383" t="s">
        <v>582</v>
      </c>
    </row>
    <row r="173" spans="1:4">
      <c r="A173" s="49">
        <v>1</v>
      </c>
      <c r="C173" s="49">
        <v>4</v>
      </c>
      <c r="D173" s="383" t="s">
        <v>583</v>
      </c>
    </row>
    <row r="174" spans="1:4">
      <c r="A174" s="49">
        <v>1</v>
      </c>
      <c r="C174" s="49">
        <v>4</v>
      </c>
      <c r="D174" s="383" t="s">
        <v>584</v>
      </c>
    </row>
    <row r="175" spans="1:4">
      <c r="A175" s="49">
        <v>1</v>
      </c>
      <c r="C175" s="49">
        <v>4</v>
      </c>
      <c r="D175" s="383" t="s">
        <v>585</v>
      </c>
    </row>
    <row r="176" spans="1:4">
      <c r="A176" s="49">
        <v>1</v>
      </c>
      <c r="C176" s="49">
        <v>4</v>
      </c>
      <c r="D176" s="383" t="s">
        <v>586</v>
      </c>
    </row>
    <row r="177" spans="1:4">
      <c r="A177" s="49">
        <v>1</v>
      </c>
      <c r="C177" s="49">
        <v>4</v>
      </c>
      <c r="D177" s="383" t="s">
        <v>587</v>
      </c>
    </row>
    <row r="178" spans="1:4">
      <c r="A178" s="49">
        <v>1</v>
      </c>
      <c r="C178" s="49">
        <v>4</v>
      </c>
      <c r="D178" s="383" t="s">
        <v>588</v>
      </c>
    </row>
    <row r="179" spans="1:4">
      <c r="A179" s="49">
        <v>1</v>
      </c>
      <c r="C179" s="49">
        <v>4</v>
      </c>
      <c r="D179" s="383" t="s">
        <v>589</v>
      </c>
    </row>
    <row r="180" spans="1:4">
      <c r="A180" s="49">
        <v>1</v>
      </c>
      <c r="C180" s="49">
        <v>4</v>
      </c>
      <c r="D180" s="383" t="s">
        <v>590</v>
      </c>
    </row>
    <row r="181" spans="1:4">
      <c r="A181" s="49">
        <v>1</v>
      </c>
      <c r="C181" s="49">
        <v>4</v>
      </c>
      <c r="D181" s="383" t="s">
        <v>591</v>
      </c>
    </row>
    <row r="182" spans="1:4">
      <c r="A182" s="49">
        <v>1</v>
      </c>
      <c r="C182" s="49">
        <v>4</v>
      </c>
      <c r="D182" s="383" t="s">
        <v>592</v>
      </c>
    </row>
    <row r="183" spans="1:4">
      <c r="A183" s="49">
        <v>1</v>
      </c>
      <c r="C183" s="49">
        <v>4</v>
      </c>
      <c r="D183" s="383" t="s">
        <v>593</v>
      </c>
    </row>
    <row r="184" spans="1:4">
      <c r="A184" s="49">
        <v>1</v>
      </c>
      <c r="C184" s="49">
        <v>4</v>
      </c>
      <c r="D184" s="383" t="s">
        <v>594</v>
      </c>
    </row>
    <row r="185" spans="1:4">
      <c r="A185" s="49">
        <v>1</v>
      </c>
      <c r="C185" s="49">
        <v>4</v>
      </c>
      <c r="D185" s="383" t="s">
        <v>595</v>
      </c>
    </row>
    <row r="186" spans="1:4">
      <c r="A186" s="49">
        <v>1</v>
      </c>
      <c r="C186" s="49">
        <v>4</v>
      </c>
      <c r="D186" s="383" t="s">
        <v>596</v>
      </c>
    </row>
    <row r="187" spans="1:4">
      <c r="A187" s="49">
        <v>1</v>
      </c>
      <c r="C187" s="49">
        <v>4</v>
      </c>
      <c r="D187" s="383" t="s">
        <v>597</v>
      </c>
    </row>
    <row r="188" spans="1:4">
      <c r="A188" s="49">
        <v>1</v>
      </c>
      <c r="C188" s="49">
        <v>4</v>
      </c>
      <c r="D188" s="383" t="s">
        <v>675</v>
      </c>
    </row>
    <row r="189" spans="1:4">
      <c r="A189" s="49">
        <v>1</v>
      </c>
      <c r="C189" s="49">
        <v>4</v>
      </c>
      <c r="D189" s="383" t="s">
        <v>676</v>
      </c>
    </row>
    <row r="190" spans="1:4">
      <c r="A190" s="49">
        <v>1</v>
      </c>
      <c r="C190" s="49">
        <v>4</v>
      </c>
      <c r="D190" s="383" t="s">
        <v>677</v>
      </c>
    </row>
    <row r="191" spans="1:4">
      <c r="A191" s="49">
        <v>1</v>
      </c>
      <c r="C191" s="49">
        <v>4</v>
      </c>
      <c r="D191" s="383" t="s">
        <v>678</v>
      </c>
    </row>
    <row r="192" spans="1:4">
      <c r="A192" s="49">
        <v>1</v>
      </c>
      <c r="C192" s="49">
        <v>4</v>
      </c>
      <c r="D192" s="383" t="s">
        <v>679</v>
      </c>
    </row>
    <row r="193" spans="1:4">
      <c r="A193" s="49">
        <v>1</v>
      </c>
      <c r="C193" s="49">
        <v>5</v>
      </c>
      <c r="D193" s="383" t="s">
        <v>680</v>
      </c>
    </row>
    <row r="194" spans="1:4">
      <c r="A194" s="49">
        <v>1</v>
      </c>
      <c r="C194" s="49">
        <v>5</v>
      </c>
      <c r="D194" s="383" t="s">
        <v>681</v>
      </c>
    </row>
    <row r="195" spans="1:4">
      <c r="A195" s="49">
        <v>1</v>
      </c>
      <c r="C195" s="49">
        <v>5</v>
      </c>
      <c r="D195" s="383" t="s">
        <v>682</v>
      </c>
    </row>
    <row r="196" spans="1:4">
      <c r="A196" s="49">
        <v>1</v>
      </c>
      <c r="C196" s="49">
        <v>5</v>
      </c>
      <c r="D196" s="383" t="s">
        <v>683</v>
      </c>
    </row>
    <row r="197" spans="1:4">
      <c r="A197" s="49">
        <v>1</v>
      </c>
      <c r="C197" s="49">
        <v>5</v>
      </c>
      <c r="D197" s="383" t="s">
        <v>684</v>
      </c>
    </row>
    <row r="198" spans="1:4">
      <c r="A198" s="49">
        <v>1</v>
      </c>
      <c r="C198" s="49">
        <v>5</v>
      </c>
      <c r="D198" s="383" t="s">
        <v>685</v>
      </c>
    </row>
    <row r="199" spans="1:4">
      <c r="A199" s="49">
        <v>1</v>
      </c>
      <c r="C199" s="49">
        <v>5</v>
      </c>
      <c r="D199" s="383" t="s">
        <v>686</v>
      </c>
    </row>
    <row r="200" spans="1:4">
      <c r="A200" s="49">
        <v>1</v>
      </c>
      <c r="C200" s="49">
        <v>5</v>
      </c>
      <c r="D200" s="383" t="s">
        <v>690</v>
      </c>
    </row>
    <row r="201" spans="1:4">
      <c r="A201" s="49">
        <v>1</v>
      </c>
      <c r="C201" s="49">
        <v>5</v>
      </c>
      <c r="D201" s="383" t="s">
        <v>691</v>
      </c>
    </row>
    <row r="202" spans="1:4">
      <c r="A202" s="49">
        <v>1</v>
      </c>
      <c r="C202" s="49">
        <v>5</v>
      </c>
      <c r="D202" s="383" t="s">
        <v>617</v>
      </c>
    </row>
    <row r="203" spans="1:4">
      <c r="A203" s="49">
        <v>1</v>
      </c>
      <c r="C203" s="49">
        <v>5</v>
      </c>
      <c r="D203" s="383" t="s">
        <v>618</v>
      </c>
    </row>
    <row r="204" spans="1:4">
      <c r="A204" s="49">
        <v>1</v>
      </c>
      <c r="C204" s="49">
        <v>5</v>
      </c>
      <c r="D204" s="383" t="s">
        <v>619</v>
      </c>
    </row>
    <row r="205" spans="1:4">
      <c r="A205" s="49">
        <v>1</v>
      </c>
      <c r="C205" s="49">
        <v>20</v>
      </c>
      <c r="D205" s="383" t="s">
        <v>620</v>
      </c>
    </row>
    <row r="206" spans="1:4">
      <c r="A206" s="49">
        <v>1</v>
      </c>
      <c r="C206" s="49">
        <v>7</v>
      </c>
      <c r="D206" s="383" t="s">
        <v>621</v>
      </c>
    </row>
    <row r="207" spans="1:4">
      <c r="A207" s="49">
        <v>1</v>
      </c>
      <c r="C207" s="49">
        <v>7</v>
      </c>
      <c r="D207" s="383" t="s">
        <v>622</v>
      </c>
    </row>
    <row r="208" spans="1:4">
      <c r="A208" s="49">
        <v>1</v>
      </c>
      <c r="C208" s="49">
        <v>7</v>
      </c>
      <c r="D208" s="383" t="s">
        <v>623</v>
      </c>
    </row>
    <row r="209" spans="1:4">
      <c r="A209" s="49">
        <v>1</v>
      </c>
      <c r="C209" s="49">
        <v>7</v>
      </c>
      <c r="D209" s="383" t="s">
        <v>409</v>
      </c>
    </row>
    <row r="210" spans="1:4">
      <c r="A210" s="49">
        <v>1</v>
      </c>
      <c r="C210" s="49">
        <v>7</v>
      </c>
      <c r="D210" s="383" t="s">
        <v>626</v>
      </c>
    </row>
    <row r="211" spans="1:4">
      <c r="A211" s="49">
        <v>1</v>
      </c>
      <c r="C211" s="49">
        <v>7</v>
      </c>
      <c r="D211" s="383" t="s">
        <v>627</v>
      </c>
    </row>
    <row r="212" spans="1:4">
      <c r="A212" s="49">
        <v>1</v>
      </c>
      <c r="C212" s="49">
        <v>7</v>
      </c>
      <c r="D212" s="383" t="s">
        <v>628</v>
      </c>
    </row>
    <row r="213" spans="1:4">
      <c r="A213" s="49">
        <v>1</v>
      </c>
      <c r="C213" s="49">
        <v>7</v>
      </c>
      <c r="D213" s="383" t="s">
        <v>725</v>
      </c>
    </row>
    <row r="214" spans="1:4">
      <c r="A214" s="49">
        <v>1</v>
      </c>
      <c r="C214" s="49">
        <v>8</v>
      </c>
      <c r="D214" s="383" t="s">
        <v>726</v>
      </c>
    </row>
    <row r="215" spans="1:4">
      <c r="A215" s="49">
        <v>1</v>
      </c>
      <c r="C215" s="49">
        <v>8</v>
      </c>
      <c r="D215" s="383" t="s">
        <v>727</v>
      </c>
    </row>
    <row r="216" spans="1:4">
      <c r="A216" s="49">
        <v>1</v>
      </c>
      <c r="C216" s="49">
        <v>8</v>
      </c>
      <c r="D216" s="383" t="s">
        <v>728</v>
      </c>
    </row>
    <row r="217" spans="1:4">
      <c r="A217" s="49">
        <v>1</v>
      </c>
      <c r="C217" s="49">
        <v>8</v>
      </c>
      <c r="D217" s="383" t="s">
        <v>729</v>
      </c>
    </row>
    <row r="218" spans="1:4">
      <c r="A218" s="49">
        <v>1</v>
      </c>
      <c r="C218" s="49">
        <v>8</v>
      </c>
      <c r="D218" s="383" t="s">
        <v>730</v>
      </c>
    </row>
    <row r="219" spans="1:4">
      <c r="A219" s="49">
        <v>1</v>
      </c>
      <c r="C219" s="49">
        <v>8</v>
      </c>
      <c r="D219" s="383" t="s">
        <v>731</v>
      </c>
    </row>
    <row r="220" spans="1:4">
      <c r="A220" s="49">
        <v>1</v>
      </c>
      <c r="C220" s="49">
        <v>8</v>
      </c>
      <c r="D220" s="383" t="s">
        <v>732</v>
      </c>
    </row>
    <row r="221" spans="1:4">
      <c r="A221" s="49">
        <v>1</v>
      </c>
      <c r="C221" s="49">
        <v>8</v>
      </c>
      <c r="D221" s="383" t="s">
        <v>733</v>
      </c>
    </row>
    <row r="222" spans="1:4">
      <c r="A222" s="49">
        <v>1</v>
      </c>
      <c r="C222" s="49">
        <v>8</v>
      </c>
      <c r="D222" s="383" t="s">
        <v>734</v>
      </c>
    </row>
    <row r="223" spans="1:4">
      <c r="A223" s="49">
        <v>1</v>
      </c>
      <c r="C223" s="49">
        <v>8</v>
      </c>
      <c r="D223" s="383" t="s">
        <v>735</v>
      </c>
    </row>
    <row r="224" spans="1:4">
      <c r="A224" s="49">
        <v>1</v>
      </c>
      <c r="C224" s="49">
        <v>8</v>
      </c>
      <c r="D224" s="383" t="s">
        <v>736</v>
      </c>
    </row>
    <row r="225" spans="1:4">
      <c r="A225" s="49">
        <v>1</v>
      </c>
      <c r="C225" s="49">
        <v>8</v>
      </c>
      <c r="D225" s="383" t="s">
        <v>737</v>
      </c>
    </row>
    <row r="226" spans="1:4">
      <c r="A226" s="49">
        <v>1</v>
      </c>
      <c r="C226" s="49">
        <v>15</v>
      </c>
      <c r="D226" s="383" t="s">
        <v>738</v>
      </c>
    </row>
    <row r="227" spans="1:4">
      <c r="A227" s="49">
        <v>1</v>
      </c>
      <c r="C227" s="49">
        <v>17</v>
      </c>
      <c r="D227" s="383" t="s">
        <v>739</v>
      </c>
    </row>
    <row r="228" spans="1:4">
      <c r="A228" s="49">
        <v>1</v>
      </c>
      <c r="C228" s="49">
        <v>17</v>
      </c>
      <c r="D228" s="383" t="s">
        <v>740</v>
      </c>
    </row>
    <row r="229" spans="1:4">
      <c r="A229" s="49">
        <v>1</v>
      </c>
      <c r="C229" s="49">
        <v>17</v>
      </c>
      <c r="D229" s="383" t="s">
        <v>741</v>
      </c>
    </row>
    <row r="230" spans="1:4">
      <c r="A230" s="49">
        <v>1</v>
      </c>
      <c r="C230" s="49">
        <v>17</v>
      </c>
      <c r="D230" s="383" t="s">
        <v>742</v>
      </c>
    </row>
    <row r="231" spans="1:4">
      <c r="A231" s="49">
        <v>2</v>
      </c>
      <c r="C231" s="49">
        <v>18</v>
      </c>
      <c r="D231" s="383" t="s">
        <v>743</v>
      </c>
    </row>
    <row r="232" spans="1:4">
      <c r="A232" s="49">
        <v>1</v>
      </c>
      <c r="C232" s="49">
        <v>18</v>
      </c>
      <c r="D232" s="383" t="s">
        <v>744</v>
      </c>
    </row>
    <row r="233" spans="1:4">
      <c r="A233" s="49">
        <v>1</v>
      </c>
      <c r="C233" s="49">
        <v>18</v>
      </c>
      <c r="D233" s="383" t="s">
        <v>745</v>
      </c>
    </row>
    <row r="234" spans="1:4">
      <c r="A234" s="49">
        <v>1</v>
      </c>
      <c r="C234" s="49">
        <v>18</v>
      </c>
      <c r="D234" s="383" t="s">
        <v>746</v>
      </c>
    </row>
    <row r="235" spans="1:4">
      <c r="A235" s="49">
        <v>1</v>
      </c>
      <c r="C235" s="49">
        <v>18</v>
      </c>
      <c r="D235" s="383" t="s">
        <v>747</v>
      </c>
    </row>
    <row r="236" spans="1:4">
      <c r="A236" s="49">
        <v>1</v>
      </c>
      <c r="C236" s="49">
        <v>18</v>
      </c>
      <c r="D236" s="383" t="s">
        <v>748</v>
      </c>
    </row>
    <row r="237" spans="1:4">
      <c r="A237" s="49">
        <v>1</v>
      </c>
      <c r="C237" s="49">
        <v>18</v>
      </c>
      <c r="D237" s="383" t="s">
        <v>749</v>
      </c>
    </row>
    <row r="238" spans="1:4">
      <c r="A238" s="49">
        <v>1</v>
      </c>
      <c r="C238" s="49">
        <v>18</v>
      </c>
      <c r="D238" s="383" t="s">
        <v>750</v>
      </c>
    </row>
    <row r="239" spans="1:4">
      <c r="A239" s="49">
        <v>1</v>
      </c>
      <c r="C239" s="49">
        <v>18</v>
      </c>
      <c r="D239" s="383" t="s">
        <v>751</v>
      </c>
    </row>
    <row r="240" spans="1:4">
      <c r="A240" s="49">
        <v>1</v>
      </c>
      <c r="C240" s="49">
        <v>18</v>
      </c>
      <c r="D240" s="383" t="s">
        <v>752</v>
      </c>
    </row>
    <row r="241" spans="1:4">
      <c r="A241" s="49">
        <v>1</v>
      </c>
      <c r="C241" s="49">
        <v>18</v>
      </c>
      <c r="D241" s="383" t="s">
        <v>753</v>
      </c>
    </row>
    <row r="242" spans="1:4">
      <c r="A242" s="49">
        <v>1</v>
      </c>
      <c r="C242" s="49">
        <v>18</v>
      </c>
      <c r="D242" s="383" t="s">
        <v>652</v>
      </c>
    </row>
    <row r="243" spans="1:4">
      <c r="A243" s="49">
        <v>1</v>
      </c>
      <c r="C243" s="49">
        <v>18</v>
      </c>
      <c r="D243" s="383" t="s">
        <v>653</v>
      </c>
    </row>
    <row r="244" spans="1:4">
      <c r="A244" s="49">
        <v>1</v>
      </c>
      <c r="C244" s="49">
        <v>19</v>
      </c>
      <c r="D244" s="383" t="s">
        <v>654</v>
      </c>
    </row>
    <row r="245" spans="1:4">
      <c r="A245" s="49">
        <v>1</v>
      </c>
      <c r="C245" s="49">
        <v>19</v>
      </c>
      <c r="D245" s="383" t="s">
        <v>655</v>
      </c>
    </row>
    <row r="246" spans="1:4">
      <c r="A246" s="49">
        <v>1</v>
      </c>
      <c r="C246" s="49">
        <v>19</v>
      </c>
      <c r="D246" s="383" t="s">
        <v>656</v>
      </c>
    </row>
    <row r="247" spans="1:4">
      <c r="A247" s="49">
        <v>1</v>
      </c>
      <c r="C247" s="49">
        <v>19</v>
      </c>
      <c r="D247" s="383" t="s">
        <v>657</v>
      </c>
    </row>
    <row r="248" spans="1:4">
      <c r="A248" s="49">
        <v>1</v>
      </c>
      <c r="C248" s="49">
        <v>19</v>
      </c>
      <c r="D248" s="383" t="s">
        <v>659</v>
      </c>
    </row>
    <row r="249" spans="1:4">
      <c r="A249" s="49">
        <v>1</v>
      </c>
      <c r="C249" s="49">
        <v>19</v>
      </c>
      <c r="D249" s="383" t="s">
        <v>660</v>
      </c>
    </row>
    <row r="250" spans="1:4">
      <c r="A250" s="49">
        <v>1</v>
      </c>
      <c r="C250" s="49">
        <v>19</v>
      </c>
      <c r="D250" s="383" t="s">
        <v>661</v>
      </c>
    </row>
    <row r="251" spans="1:4">
      <c r="A251" s="49">
        <v>1</v>
      </c>
      <c r="C251" s="49">
        <v>19</v>
      </c>
      <c r="D251" s="383" t="s">
        <v>662</v>
      </c>
    </row>
    <row r="252" spans="1:4">
      <c r="A252" s="49">
        <v>1</v>
      </c>
      <c r="C252" s="49">
        <v>19</v>
      </c>
      <c r="D252" s="383" t="s">
        <v>663</v>
      </c>
    </row>
    <row r="253" spans="1:4">
      <c r="A253" s="49">
        <v>1</v>
      </c>
      <c r="C253" s="49">
        <v>19</v>
      </c>
      <c r="D253" s="383" t="s">
        <v>664</v>
      </c>
    </row>
    <row r="254" spans="1:4">
      <c r="A254" s="49">
        <v>1</v>
      </c>
      <c r="C254" s="49">
        <v>19</v>
      </c>
      <c r="D254" s="383" t="s">
        <v>665</v>
      </c>
    </row>
    <row r="255" spans="1:4">
      <c r="A255" s="49">
        <v>1</v>
      </c>
      <c r="C255" s="49">
        <v>19</v>
      </c>
      <c r="D255" s="383" t="s">
        <v>666</v>
      </c>
    </row>
    <row r="256" spans="1:4">
      <c r="A256" s="49">
        <v>1</v>
      </c>
      <c r="C256" s="49">
        <v>19</v>
      </c>
      <c r="D256" s="383" t="s">
        <v>667</v>
      </c>
    </row>
    <row r="257" spans="1:4">
      <c r="A257" s="49">
        <v>1</v>
      </c>
      <c r="C257" s="49">
        <v>19</v>
      </c>
      <c r="D257" s="383" t="s">
        <v>668</v>
      </c>
    </row>
    <row r="258" spans="1:4">
      <c r="A258" s="49">
        <v>1</v>
      </c>
      <c r="C258" s="49">
        <v>21</v>
      </c>
      <c r="D258" s="383" t="s">
        <v>669</v>
      </c>
    </row>
    <row r="259" spans="1:4">
      <c r="A259" s="49">
        <v>1</v>
      </c>
      <c r="C259" s="49">
        <v>22</v>
      </c>
      <c r="D259" s="384" t="s">
        <v>670</v>
      </c>
    </row>
    <row r="260" spans="1:4">
      <c r="A260" s="49">
        <v>1</v>
      </c>
      <c r="C260" s="49">
        <v>22</v>
      </c>
      <c r="D260" s="383" t="s">
        <v>671</v>
      </c>
    </row>
    <row r="261" spans="1:4">
      <c r="A261" s="49">
        <v>1</v>
      </c>
      <c r="C261" s="49">
        <v>22</v>
      </c>
      <c r="D261" s="383" t="s">
        <v>672</v>
      </c>
    </row>
    <row r="262" spans="1:4">
      <c r="A262" s="49">
        <v>1</v>
      </c>
      <c r="C262" s="49">
        <v>22</v>
      </c>
      <c r="D262" s="383" t="s">
        <v>673</v>
      </c>
    </row>
    <row r="263" spans="1:4">
      <c r="A263" s="49">
        <v>1</v>
      </c>
      <c r="C263" s="49">
        <v>22</v>
      </c>
      <c r="D263" s="383" t="s">
        <v>765</v>
      </c>
    </row>
    <row r="264" spans="1:4">
      <c r="A264" s="49">
        <v>1</v>
      </c>
      <c r="C264" s="49">
        <v>22</v>
      </c>
      <c r="D264" s="383" t="s">
        <v>766</v>
      </c>
    </row>
    <row r="265" spans="1:4">
      <c r="A265" s="49">
        <v>1</v>
      </c>
      <c r="C265" s="49">
        <v>22</v>
      </c>
      <c r="D265" s="383" t="s">
        <v>767</v>
      </c>
    </row>
    <row r="266" spans="1:4">
      <c r="A266" s="49">
        <v>1</v>
      </c>
      <c r="C266" s="49">
        <v>22</v>
      </c>
      <c r="D266" s="384" t="s">
        <v>768</v>
      </c>
    </row>
    <row r="267" spans="1:4">
      <c r="A267" s="49">
        <v>1</v>
      </c>
      <c r="C267" s="49">
        <v>22</v>
      </c>
      <c r="D267" s="383" t="s">
        <v>769</v>
      </c>
    </row>
    <row r="268" spans="1:4">
      <c r="A268" s="49">
        <v>1</v>
      </c>
      <c r="C268" s="49">
        <v>22</v>
      </c>
      <c r="D268" s="383" t="s">
        <v>770</v>
      </c>
    </row>
    <row r="269" spans="1:4">
      <c r="A269" s="49">
        <v>1</v>
      </c>
      <c r="C269" s="49">
        <v>22</v>
      </c>
      <c r="D269" s="383" t="s">
        <v>771</v>
      </c>
    </row>
    <row r="270" spans="1:4">
      <c r="A270" s="49">
        <v>1</v>
      </c>
      <c r="C270" s="49">
        <v>22</v>
      </c>
      <c r="D270" s="383" t="s">
        <v>772</v>
      </c>
    </row>
    <row r="271" spans="1:4">
      <c r="A271" s="49">
        <v>1</v>
      </c>
      <c r="C271" s="49">
        <v>22</v>
      </c>
      <c r="D271" s="383" t="s">
        <v>773</v>
      </c>
    </row>
    <row r="272" spans="1:4">
      <c r="A272" s="49">
        <v>1</v>
      </c>
      <c r="C272" s="49">
        <v>22</v>
      </c>
      <c r="D272" s="383" t="s">
        <v>774</v>
      </c>
    </row>
    <row r="273" spans="1:4">
      <c r="A273" s="49">
        <v>1</v>
      </c>
      <c r="C273" s="49">
        <v>22</v>
      </c>
      <c r="D273" s="383" t="s">
        <v>775</v>
      </c>
    </row>
    <row r="274" spans="1:4">
      <c r="A274" s="49">
        <v>1</v>
      </c>
      <c r="C274" s="49">
        <v>23</v>
      </c>
      <c r="D274" s="383" t="s">
        <v>832</v>
      </c>
    </row>
    <row r="275" spans="1:4">
      <c r="A275" s="49">
        <v>1</v>
      </c>
      <c r="C275" s="49">
        <v>20</v>
      </c>
      <c r="D275" s="383" t="s">
        <v>833</v>
      </c>
    </row>
    <row r="276" spans="1:4">
      <c r="A276" s="49">
        <v>1</v>
      </c>
      <c r="C276" s="49">
        <v>30</v>
      </c>
      <c r="D276" s="383" t="s">
        <v>834</v>
      </c>
    </row>
    <row r="277" spans="1:4">
      <c r="A277" s="49">
        <v>1</v>
      </c>
      <c r="C277" s="49">
        <v>40</v>
      </c>
      <c r="D277" s="383" t="s">
        <v>835</v>
      </c>
    </row>
    <row r="278" spans="1:4">
      <c r="A278" s="49">
        <v>1</v>
      </c>
      <c r="C278" s="49">
        <v>40</v>
      </c>
      <c r="D278" s="383" t="s">
        <v>836</v>
      </c>
    </row>
    <row r="279" spans="1:4">
      <c r="A279" s="49">
        <v>1</v>
      </c>
      <c r="C279" s="49">
        <v>40</v>
      </c>
      <c r="D279" s="383" t="s">
        <v>837</v>
      </c>
    </row>
    <row r="280" spans="1:4">
      <c r="A280" s="49">
        <v>1</v>
      </c>
      <c r="C280" s="49">
        <v>40</v>
      </c>
      <c r="D280" s="383" t="s">
        <v>838</v>
      </c>
    </row>
    <row r="281" spans="1:4">
      <c r="A281" s="49">
        <v>1</v>
      </c>
      <c r="C281" s="49">
        <v>40</v>
      </c>
      <c r="D281" s="383" t="s">
        <v>839</v>
      </c>
    </row>
    <row r="282" spans="1:4">
      <c r="A282" s="49">
        <v>1</v>
      </c>
      <c r="C282" s="49">
        <v>40</v>
      </c>
      <c r="D282" s="383" t="s">
        <v>840</v>
      </c>
    </row>
    <row r="283" spans="1:4">
      <c r="A283" s="49">
        <v>1</v>
      </c>
      <c r="C283" s="49">
        <v>40</v>
      </c>
      <c r="D283" s="383" t="s">
        <v>841</v>
      </c>
    </row>
    <row r="284" spans="1:4">
      <c r="A284" s="49">
        <v>1</v>
      </c>
      <c r="C284" s="49">
        <v>40</v>
      </c>
      <c r="D284" s="383" t="s">
        <v>842</v>
      </c>
    </row>
    <row r="285" spans="1:4">
      <c r="A285" s="49">
        <v>1</v>
      </c>
      <c r="C285" s="49">
        <v>40</v>
      </c>
      <c r="D285" s="383" t="s">
        <v>843</v>
      </c>
    </row>
    <row r="286" spans="1:4">
      <c r="A286" s="49">
        <v>1</v>
      </c>
      <c r="C286" s="49">
        <v>50</v>
      </c>
      <c r="D286" s="383" t="s">
        <v>844</v>
      </c>
    </row>
    <row r="287" spans="1:4">
      <c r="A287" s="49">
        <v>1</v>
      </c>
      <c r="C287" s="49">
        <v>50</v>
      </c>
      <c r="D287" s="383" t="s">
        <v>845</v>
      </c>
    </row>
    <row r="288" spans="1:4">
      <c r="A288" s="49">
        <v>1</v>
      </c>
      <c r="C288" s="49">
        <v>50</v>
      </c>
      <c r="D288" s="383" t="s">
        <v>846</v>
      </c>
    </row>
    <row r="289" spans="1:4">
      <c r="A289" s="49">
        <v>2</v>
      </c>
      <c r="B289" s="49" t="s">
        <v>482</v>
      </c>
      <c r="C289" s="49">
        <v>0</v>
      </c>
      <c r="D289" s="383" t="s">
        <v>847</v>
      </c>
    </row>
    <row r="290" spans="1:4">
      <c r="A290" s="49">
        <v>2</v>
      </c>
      <c r="B290" s="49" t="s">
        <v>482</v>
      </c>
      <c r="C290" s="49">
        <v>0</v>
      </c>
      <c r="D290" s="385" t="s">
        <v>848</v>
      </c>
    </row>
    <row r="291" spans="1:4">
      <c r="A291" s="49">
        <v>2</v>
      </c>
      <c r="B291" s="49" t="s">
        <v>482</v>
      </c>
      <c r="C291" s="49">
        <v>0</v>
      </c>
      <c r="D291" s="383" t="s">
        <v>849</v>
      </c>
    </row>
    <row r="292" spans="1:4">
      <c r="A292" s="49">
        <v>2</v>
      </c>
      <c r="B292" s="49" t="s">
        <v>482</v>
      </c>
      <c r="C292" s="49">
        <v>0</v>
      </c>
      <c r="D292" s="383" t="s">
        <v>850</v>
      </c>
    </row>
    <row r="293" spans="1:4">
      <c r="A293" s="49">
        <v>2</v>
      </c>
      <c r="B293" s="49" t="s">
        <v>482</v>
      </c>
      <c r="C293" s="49">
        <v>3</v>
      </c>
      <c r="D293" s="383" t="s">
        <v>851</v>
      </c>
    </row>
    <row r="294" spans="1:4">
      <c r="A294" s="49">
        <v>2</v>
      </c>
      <c r="B294" s="49" t="s">
        <v>482</v>
      </c>
      <c r="C294" s="49">
        <v>5</v>
      </c>
      <c r="D294" s="383" t="s">
        <v>852</v>
      </c>
    </row>
    <row r="295" spans="1:4">
      <c r="A295" s="49">
        <v>2</v>
      </c>
      <c r="B295" s="49" t="s">
        <v>482</v>
      </c>
      <c r="C295" s="49">
        <v>5</v>
      </c>
      <c r="D295" s="384" t="s">
        <v>853</v>
      </c>
    </row>
    <row r="296" spans="1:4">
      <c r="A296" s="49">
        <v>2</v>
      </c>
      <c r="B296" s="49" t="s">
        <v>482</v>
      </c>
      <c r="C296" s="49">
        <v>5</v>
      </c>
      <c r="D296" s="383" t="s">
        <v>854</v>
      </c>
    </row>
    <row r="297" spans="1:4">
      <c r="A297" s="49">
        <v>2</v>
      </c>
      <c r="B297" s="49" t="s">
        <v>482</v>
      </c>
      <c r="C297" s="49">
        <v>7</v>
      </c>
      <c r="D297" s="384" t="s">
        <v>433</v>
      </c>
    </row>
    <row r="298" spans="1:4">
      <c r="A298" s="49">
        <v>2</v>
      </c>
      <c r="B298" s="49" t="s">
        <v>482</v>
      </c>
      <c r="C298" s="49">
        <v>7</v>
      </c>
      <c r="D298" s="383" t="s">
        <v>855</v>
      </c>
    </row>
    <row r="299" spans="1:4">
      <c r="A299" s="49">
        <v>2</v>
      </c>
      <c r="B299" s="49" t="s">
        <v>482</v>
      </c>
      <c r="C299" s="49">
        <v>7</v>
      </c>
      <c r="D299" s="383" t="s">
        <v>792</v>
      </c>
    </row>
    <row r="300" spans="1:4">
      <c r="A300" s="49">
        <v>2</v>
      </c>
      <c r="B300" s="49" t="s">
        <v>482</v>
      </c>
      <c r="C300" s="49">
        <v>7</v>
      </c>
      <c r="D300" s="383" t="s">
        <v>793</v>
      </c>
    </row>
    <row r="301" spans="1:4">
      <c r="A301" s="49">
        <v>2</v>
      </c>
      <c r="B301" s="49" t="s">
        <v>482</v>
      </c>
      <c r="C301" s="49">
        <v>8</v>
      </c>
      <c r="D301" s="383" t="s">
        <v>794</v>
      </c>
    </row>
    <row r="302" spans="1:4">
      <c r="A302" s="49">
        <v>2</v>
      </c>
      <c r="B302" s="49" t="s">
        <v>482</v>
      </c>
      <c r="C302" s="49">
        <v>8</v>
      </c>
      <c r="D302" s="383" t="s">
        <v>795</v>
      </c>
    </row>
    <row r="303" spans="1:4">
      <c r="A303" s="49">
        <v>2</v>
      </c>
      <c r="B303" s="49" t="s">
        <v>482</v>
      </c>
      <c r="C303" s="49">
        <v>8</v>
      </c>
      <c r="D303" s="383" t="s">
        <v>796</v>
      </c>
    </row>
    <row r="304" spans="1:4">
      <c r="A304" s="49">
        <v>2</v>
      </c>
      <c r="B304" s="49" t="s">
        <v>482</v>
      </c>
      <c r="C304" s="49">
        <v>8</v>
      </c>
      <c r="D304" s="383" t="s">
        <v>797</v>
      </c>
    </row>
    <row r="305" spans="1:4">
      <c r="A305" s="49">
        <v>2</v>
      </c>
      <c r="B305" s="49" t="s">
        <v>482</v>
      </c>
      <c r="C305" s="49">
        <v>8</v>
      </c>
      <c r="D305" s="383" t="s">
        <v>798</v>
      </c>
    </row>
    <row r="306" spans="1:4">
      <c r="A306" s="49">
        <v>2</v>
      </c>
      <c r="B306" s="49" t="s">
        <v>482</v>
      </c>
      <c r="C306" s="49">
        <v>8</v>
      </c>
      <c r="D306" s="383" t="s">
        <v>799</v>
      </c>
    </row>
    <row r="307" spans="1:4">
      <c r="A307" s="49">
        <v>2</v>
      </c>
      <c r="B307" s="49" t="s">
        <v>482</v>
      </c>
      <c r="D307" s="383" t="s">
        <v>800</v>
      </c>
    </row>
    <row r="308" spans="1:4">
      <c r="A308" s="49">
        <v>2</v>
      </c>
      <c r="B308" s="49" t="s">
        <v>482</v>
      </c>
      <c r="C308" s="49">
        <v>60</v>
      </c>
      <c r="D308" s="383" t="s">
        <v>801</v>
      </c>
    </row>
    <row r="309" spans="1:4">
      <c r="A309" s="49">
        <v>2</v>
      </c>
      <c r="B309" s="49" t="s">
        <v>482</v>
      </c>
      <c r="C309" s="49">
        <v>60</v>
      </c>
      <c r="D309" s="383" t="s">
        <v>802</v>
      </c>
    </row>
    <row r="310" spans="1:4">
      <c r="A310" s="49">
        <v>2</v>
      </c>
      <c r="C310" s="49">
        <v>0</v>
      </c>
      <c r="D310" s="383" t="s">
        <v>804</v>
      </c>
    </row>
    <row r="311" spans="1:4">
      <c r="A311" s="49">
        <v>2</v>
      </c>
      <c r="C311" s="49">
        <v>0</v>
      </c>
      <c r="D311" s="383" t="s">
        <v>805</v>
      </c>
    </row>
    <row r="312" spans="1:4">
      <c r="A312" s="49">
        <v>2</v>
      </c>
      <c r="C312" s="49">
        <v>0</v>
      </c>
      <c r="D312" s="384" t="s">
        <v>806</v>
      </c>
    </row>
    <row r="313" spans="1:4">
      <c r="A313" s="49">
        <v>2</v>
      </c>
      <c r="C313" s="49">
        <v>0</v>
      </c>
      <c r="D313" s="383" t="s">
        <v>807</v>
      </c>
    </row>
    <row r="314" spans="1:4">
      <c r="A314" s="49">
        <v>2</v>
      </c>
      <c r="C314" s="49">
        <v>0</v>
      </c>
      <c r="D314" s="383" t="s">
        <v>808</v>
      </c>
    </row>
    <row r="315" spans="1:4">
      <c r="A315" s="49">
        <v>2</v>
      </c>
      <c r="C315" s="49">
        <v>0</v>
      </c>
      <c r="D315" s="383" t="s">
        <v>809</v>
      </c>
    </row>
    <row r="316" spans="1:4">
      <c r="A316" s="49">
        <v>2</v>
      </c>
      <c r="C316" s="49">
        <v>0</v>
      </c>
      <c r="D316" s="383" t="s">
        <v>873</v>
      </c>
    </row>
    <row r="317" spans="1:4">
      <c r="A317" s="49">
        <v>2</v>
      </c>
      <c r="C317" s="49">
        <v>0</v>
      </c>
      <c r="D317" s="383" t="s">
        <v>874</v>
      </c>
    </row>
    <row r="318" spans="1:4">
      <c r="A318" s="49">
        <v>2</v>
      </c>
      <c r="C318" s="49">
        <v>2</v>
      </c>
      <c r="D318" s="383" t="s">
        <v>0</v>
      </c>
    </row>
    <row r="319" spans="1:4">
      <c r="A319" s="49">
        <v>2</v>
      </c>
      <c r="C319" s="49">
        <v>2</v>
      </c>
      <c r="D319" s="383" t="s">
        <v>1</v>
      </c>
    </row>
    <row r="320" spans="1:4">
      <c r="A320" s="49">
        <v>2</v>
      </c>
      <c r="C320" s="49">
        <v>3</v>
      </c>
      <c r="D320" s="383" t="s">
        <v>2</v>
      </c>
    </row>
    <row r="321" spans="1:4">
      <c r="A321" s="49">
        <v>2</v>
      </c>
      <c r="C321" s="49">
        <v>3</v>
      </c>
      <c r="D321" s="383" t="s">
        <v>3</v>
      </c>
    </row>
    <row r="322" spans="1:4">
      <c r="A322" s="49">
        <v>2</v>
      </c>
      <c r="C322" s="49">
        <v>3</v>
      </c>
      <c r="D322" s="383" t="s">
        <v>4</v>
      </c>
    </row>
    <row r="323" spans="1:4">
      <c r="A323" s="49">
        <v>2</v>
      </c>
      <c r="C323" s="49">
        <v>4</v>
      </c>
      <c r="D323" s="383" t="s">
        <v>5</v>
      </c>
    </row>
    <row r="324" spans="1:4">
      <c r="A324" s="49">
        <v>2</v>
      </c>
      <c r="C324" s="49">
        <v>4</v>
      </c>
      <c r="D324" s="383" t="s">
        <v>6</v>
      </c>
    </row>
    <row r="325" spans="1:4">
      <c r="A325" s="49">
        <v>2</v>
      </c>
      <c r="C325" s="49">
        <v>4</v>
      </c>
      <c r="D325" s="383" t="s">
        <v>7</v>
      </c>
    </row>
    <row r="326" spans="1:4">
      <c r="A326" s="49">
        <v>2</v>
      </c>
      <c r="C326" s="49">
        <v>4</v>
      </c>
      <c r="D326" s="383" t="s">
        <v>8</v>
      </c>
    </row>
    <row r="327" spans="1:4">
      <c r="A327" s="49">
        <v>2</v>
      </c>
      <c r="C327" s="49">
        <v>4</v>
      </c>
      <c r="D327" s="383" t="s">
        <v>595</v>
      </c>
    </row>
    <row r="328" spans="1:4">
      <c r="A328" s="49">
        <v>2</v>
      </c>
      <c r="C328" s="49">
        <v>4</v>
      </c>
      <c r="D328" s="383" t="s">
        <v>9</v>
      </c>
    </row>
    <row r="329" spans="1:4">
      <c r="A329" s="49">
        <v>2</v>
      </c>
      <c r="C329" s="49">
        <v>4</v>
      </c>
      <c r="D329" s="383" t="s">
        <v>10</v>
      </c>
    </row>
    <row r="330" spans="1:4">
      <c r="A330" s="49">
        <v>2</v>
      </c>
      <c r="C330" s="49">
        <v>4</v>
      </c>
      <c r="D330" s="383" t="s">
        <v>11</v>
      </c>
    </row>
    <row r="331" spans="1:4">
      <c r="A331" s="49">
        <v>2</v>
      </c>
      <c r="C331" s="49">
        <v>4</v>
      </c>
      <c r="D331" s="383" t="s">
        <v>12</v>
      </c>
    </row>
    <row r="332" spans="1:4">
      <c r="A332" s="49">
        <v>2</v>
      </c>
      <c r="C332" s="49">
        <v>4</v>
      </c>
      <c r="D332" s="383" t="s">
        <v>13</v>
      </c>
    </row>
    <row r="333" spans="1:4">
      <c r="A333" s="49">
        <v>2</v>
      </c>
      <c r="C333" s="49">
        <v>4</v>
      </c>
      <c r="D333" s="383" t="s">
        <v>14</v>
      </c>
    </row>
    <row r="334" spans="1:4">
      <c r="A334" s="49">
        <v>2</v>
      </c>
      <c r="D334" s="383" t="s">
        <v>15</v>
      </c>
    </row>
    <row r="335" spans="1:4">
      <c r="A335" s="49">
        <v>2</v>
      </c>
      <c r="C335" s="49">
        <v>5</v>
      </c>
      <c r="D335" s="383" t="s">
        <v>811</v>
      </c>
    </row>
    <row r="336" spans="1:4">
      <c r="A336" s="49">
        <v>2</v>
      </c>
      <c r="C336" s="49">
        <v>5</v>
      </c>
      <c r="D336" s="383" t="s">
        <v>812</v>
      </c>
    </row>
    <row r="337" spans="1:4">
      <c r="A337" s="49">
        <v>2</v>
      </c>
      <c r="C337" s="49">
        <v>5</v>
      </c>
      <c r="D337" s="383" t="s">
        <v>813</v>
      </c>
    </row>
    <row r="338" spans="1:4">
      <c r="A338" s="49">
        <v>2</v>
      </c>
      <c r="C338" s="49">
        <v>5</v>
      </c>
      <c r="D338" s="383" t="s">
        <v>814</v>
      </c>
    </row>
    <row r="339" spans="1:4">
      <c r="A339" s="49">
        <v>2</v>
      </c>
      <c r="C339" s="49">
        <v>5</v>
      </c>
      <c r="D339" s="383" t="s">
        <v>815</v>
      </c>
    </row>
    <row r="340" spans="1:4">
      <c r="A340" s="49">
        <v>2</v>
      </c>
      <c r="C340" s="49">
        <v>7</v>
      </c>
      <c r="D340" s="383" t="s">
        <v>816</v>
      </c>
    </row>
    <row r="341" spans="1:4">
      <c r="A341" s="49">
        <v>2</v>
      </c>
      <c r="C341" s="49">
        <v>8</v>
      </c>
      <c r="D341" s="383" t="s">
        <v>817</v>
      </c>
    </row>
    <row r="342" spans="1:4">
      <c r="A342" s="49">
        <v>2</v>
      </c>
      <c r="C342" s="49">
        <v>8</v>
      </c>
      <c r="D342" s="383" t="s">
        <v>818</v>
      </c>
    </row>
    <row r="343" spans="1:4">
      <c r="A343" s="49">
        <v>2</v>
      </c>
      <c r="C343" s="49">
        <v>8</v>
      </c>
      <c r="D343" s="383" t="s">
        <v>819</v>
      </c>
    </row>
    <row r="344" spans="1:4">
      <c r="A344" s="49">
        <v>2</v>
      </c>
      <c r="C344" s="49">
        <v>8</v>
      </c>
      <c r="D344" s="383" t="s">
        <v>820</v>
      </c>
    </row>
    <row r="345" spans="1:4">
      <c r="A345" s="49">
        <v>2</v>
      </c>
      <c r="C345" s="49">
        <v>8</v>
      </c>
      <c r="D345" s="383" t="s">
        <v>821</v>
      </c>
    </row>
    <row r="346" spans="1:4">
      <c r="A346" s="49">
        <v>2</v>
      </c>
      <c r="C346" s="49">
        <v>17</v>
      </c>
      <c r="D346" s="383" t="s">
        <v>822</v>
      </c>
    </row>
    <row r="347" spans="1:4">
      <c r="A347" s="49">
        <v>2</v>
      </c>
      <c r="C347" s="49">
        <v>17</v>
      </c>
      <c r="D347" s="383" t="s">
        <v>739</v>
      </c>
    </row>
    <row r="348" spans="1:4">
      <c r="A348" s="49">
        <v>2</v>
      </c>
      <c r="C348" s="49">
        <v>17</v>
      </c>
      <c r="D348" s="383" t="s">
        <v>823</v>
      </c>
    </row>
    <row r="349" spans="1:4">
      <c r="A349" s="49">
        <v>2</v>
      </c>
      <c r="C349" s="49">
        <v>17</v>
      </c>
      <c r="D349" s="383" t="s">
        <v>824</v>
      </c>
    </row>
    <row r="350" spans="1:4">
      <c r="A350" s="49">
        <v>2</v>
      </c>
      <c r="C350" s="49">
        <v>17</v>
      </c>
      <c r="D350" s="383" t="s">
        <v>825</v>
      </c>
    </row>
    <row r="351" spans="1:4">
      <c r="A351" s="49">
        <v>2</v>
      </c>
      <c r="C351" s="49">
        <v>18</v>
      </c>
      <c r="D351" s="383" t="s">
        <v>826</v>
      </c>
    </row>
    <row r="352" spans="1:4">
      <c r="A352" s="49">
        <v>2</v>
      </c>
      <c r="C352" s="49">
        <v>18</v>
      </c>
      <c r="D352" s="383" t="s">
        <v>827</v>
      </c>
    </row>
    <row r="353" spans="1:4">
      <c r="A353" s="49">
        <v>2</v>
      </c>
      <c r="C353" s="49">
        <v>18</v>
      </c>
      <c r="D353" s="383" t="s">
        <v>828</v>
      </c>
    </row>
    <row r="354" spans="1:4">
      <c r="A354" s="49">
        <v>2</v>
      </c>
      <c r="C354" s="49">
        <v>18</v>
      </c>
      <c r="D354" s="383" t="s">
        <v>829</v>
      </c>
    </row>
    <row r="355" spans="1:4">
      <c r="A355" s="49">
        <v>2</v>
      </c>
      <c r="C355" s="49">
        <v>18</v>
      </c>
      <c r="D355" s="383" t="s">
        <v>829</v>
      </c>
    </row>
    <row r="356" spans="1:4">
      <c r="A356" s="49">
        <v>2</v>
      </c>
      <c r="C356" s="49">
        <v>18</v>
      </c>
      <c r="D356" s="383" t="s">
        <v>830</v>
      </c>
    </row>
    <row r="357" spans="1:4">
      <c r="A357" s="49">
        <v>2</v>
      </c>
      <c r="C357" s="49">
        <v>18</v>
      </c>
      <c r="D357" s="383" t="s">
        <v>743</v>
      </c>
    </row>
    <row r="358" spans="1:4">
      <c r="A358" s="49">
        <v>2</v>
      </c>
      <c r="C358" s="49">
        <v>18</v>
      </c>
      <c r="D358" s="383" t="s">
        <v>831</v>
      </c>
    </row>
    <row r="359" spans="1:4">
      <c r="A359" s="49">
        <v>2</v>
      </c>
      <c r="C359" s="49">
        <v>18</v>
      </c>
      <c r="D359" s="383" t="s">
        <v>26</v>
      </c>
    </row>
    <row r="360" spans="1:4">
      <c r="A360" s="49">
        <v>2</v>
      </c>
      <c r="C360" s="49">
        <v>18</v>
      </c>
      <c r="D360" s="383" t="s">
        <v>26</v>
      </c>
    </row>
    <row r="361" spans="1:4">
      <c r="A361" s="49">
        <v>2</v>
      </c>
      <c r="C361" s="49">
        <v>18</v>
      </c>
      <c r="D361" s="383" t="s">
        <v>27</v>
      </c>
    </row>
    <row r="362" spans="1:4">
      <c r="A362" s="49">
        <v>2</v>
      </c>
      <c r="C362" s="49">
        <v>18</v>
      </c>
      <c r="D362" s="383" t="s">
        <v>28</v>
      </c>
    </row>
    <row r="363" spans="1:4">
      <c r="A363" s="49">
        <v>2</v>
      </c>
      <c r="C363" s="49">
        <v>18</v>
      </c>
      <c r="D363" s="383" t="s">
        <v>29</v>
      </c>
    </row>
    <row r="364" spans="1:4">
      <c r="A364" s="49">
        <v>2</v>
      </c>
      <c r="C364" s="49">
        <v>18</v>
      </c>
      <c r="D364" s="384" t="s">
        <v>30</v>
      </c>
    </row>
    <row r="365" spans="1:4">
      <c r="A365" s="49">
        <v>2</v>
      </c>
      <c r="C365" s="49">
        <v>18</v>
      </c>
      <c r="D365" s="383" t="s">
        <v>31</v>
      </c>
    </row>
    <row r="366" spans="1:4">
      <c r="A366" s="49">
        <v>3</v>
      </c>
      <c r="C366" s="49">
        <v>18</v>
      </c>
      <c r="D366" s="383" t="s">
        <v>32</v>
      </c>
    </row>
    <row r="367" spans="1:4">
      <c r="A367" s="49">
        <v>2</v>
      </c>
      <c r="C367" s="49">
        <v>19</v>
      </c>
      <c r="D367" s="383" t="s">
        <v>33</v>
      </c>
    </row>
    <row r="368" spans="1:4">
      <c r="A368" s="49">
        <v>2</v>
      </c>
      <c r="C368" s="49">
        <v>19</v>
      </c>
      <c r="D368" s="384" t="s">
        <v>34</v>
      </c>
    </row>
    <row r="369" spans="1:4">
      <c r="A369" s="49">
        <v>2</v>
      </c>
      <c r="C369" s="49">
        <v>19</v>
      </c>
      <c r="D369" s="383" t="s">
        <v>35</v>
      </c>
    </row>
    <row r="370" spans="1:4">
      <c r="A370" s="49">
        <v>2</v>
      </c>
      <c r="C370" s="49">
        <v>22</v>
      </c>
      <c r="D370" s="383" t="s">
        <v>36</v>
      </c>
    </row>
    <row r="371" spans="1:4">
      <c r="A371" s="49">
        <v>2</v>
      </c>
      <c r="C371" s="49">
        <v>22</v>
      </c>
      <c r="D371" s="384" t="s">
        <v>768</v>
      </c>
    </row>
    <row r="372" spans="1:4">
      <c r="A372" s="49">
        <v>2</v>
      </c>
      <c r="C372" s="49">
        <v>22</v>
      </c>
      <c r="D372" s="383" t="s">
        <v>38</v>
      </c>
    </row>
    <row r="373" spans="1:4">
      <c r="A373" s="49">
        <v>2</v>
      </c>
      <c r="C373" s="49">
        <v>22</v>
      </c>
      <c r="D373" s="383" t="s">
        <v>39</v>
      </c>
    </row>
    <row r="374" spans="1:4">
      <c r="A374" s="49">
        <v>2</v>
      </c>
      <c r="C374" s="49">
        <v>22</v>
      </c>
      <c r="D374" s="383" t="s">
        <v>40</v>
      </c>
    </row>
    <row r="375" spans="1:4">
      <c r="A375" s="49">
        <v>2</v>
      </c>
      <c r="C375" s="49">
        <v>22</v>
      </c>
      <c r="D375" s="383" t="s">
        <v>41</v>
      </c>
    </row>
    <row r="376" spans="1:4">
      <c r="A376" s="49">
        <v>2</v>
      </c>
      <c r="D376" s="383" t="s">
        <v>42</v>
      </c>
    </row>
    <row r="377" spans="1:4">
      <c r="A377" s="49">
        <v>3</v>
      </c>
      <c r="B377" s="49" t="s">
        <v>482</v>
      </c>
      <c r="D377" s="383" t="s">
        <v>43</v>
      </c>
    </row>
    <row r="378" spans="1:4">
      <c r="A378" s="49">
        <v>3</v>
      </c>
      <c r="D378" s="383" t="s">
        <v>856</v>
      </c>
    </row>
    <row r="379" spans="1:4">
      <c r="A379" s="49">
        <v>3</v>
      </c>
      <c r="D379" s="383" t="s">
        <v>857</v>
      </c>
    </row>
    <row r="380" spans="1:4">
      <c r="A380" s="49">
        <v>3</v>
      </c>
      <c r="D380" s="383" t="s">
        <v>858</v>
      </c>
    </row>
    <row r="381" spans="1:4">
      <c r="A381" s="49">
        <v>3</v>
      </c>
      <c r="D381" s="383" t="s">
        <v>859</v>
      </c>
    </row>
    <row r="382" spans="1:4">
      <c r="A382" s="49">
        <v>3</v>
      </c>
      <c r="D382" s="383" t="s">
        <v>860</v>
      </c>
    </row>
    <row r="383" spans="1:4">
      <c r="A383" s="49">
        <v>3</v>
      </c>
      <c r="D383" s="383" t="s">
        <v>861</v>
      </c>
    </row>
    <row r="384" spans="1:4">
      <c r="A384" s="49">
        <v>3</v>
      </c>
      <c r="D384" s="384" t="s">
        <v>862</v>
      </c>
    </row>
    <row r="385" spans="1:4">
      <c r="A385" s="49">
        <v>3</v>
      </c>
      <c r="D385" s="383" t="s">
        <v>863</v>
      </c>
    </row>
    <row r="386" spans="1:4">
      <c r="A386" s="49">
        <v>3</v>
      </c>
      <c r="D386" s="384" t="s">
        <v>864</v>
      </c>
    </row>
    <row r="387" spans="1:4">
      <c r="A387" s="49">
        <v>3</v>
      </c>
      <c r="D387" s="384" t="s">
        <v>864</v>
      </c>
    </row>
    <row r="388" spans="1:4">
      <c r="A388" s="49">
        <v>3</v>
      </c>
      <c r="D388" s="383" t="s">
        <v>865</v>
      </c>
    </row>
    <row r="389" spans="1:4">
      <c r="A389" s="49">
        <v>3</v>
      </c>
      <c r="D389" s="383" t="s">
        <v>866</v>
      </c>
    </row>
    <row r="390" spans="1:4">
      <c r="A390" s="49">
        <v>3</v>
      </c>
      <c r="D390" s="383" t="s">
        <v>867</v>
      </c>
    </row>
    <row r="391" spans="1:4">
      <c r="A391" s="49">
        <v>3</v>
      </c>
      <c r="D391" s="383" t="s">
        <v>868</v>
      </c>
    </row>
    <row r="392" spans="1:4">
      <c r="A392" s="49">
        <v>3</v>
      </c>
      <c r="D392" s="383" t="s">
        <v>869</v>
      </c>
    </row>
    <row r="393" spans="1:4">
      <c r="A393" s="49">
        <v>3</v>
      </c>
      <c r="D393" s="383" t="s">
        <v>870</v>
      </c>
    </row>
    <row r="394" spans="1:4">
      <c r="A394" s="49">
        <v>3</v>
      </c>
      <c r="D394" s="384" t="s">
        <v>871</v>
      </c>
    </row>
    <row r="395" spans="1:4">
      <c r="A395" s="49">
        <v>3</v>
      </c>
      <c r="D395" s="384" t="s">
        <v>871</v>
      </c>
    </row>
    <row r="396" spans="1:4">
      <c r="A396" s="49">
        <v>3</v>
      </c>
      <c r="D396" s="383" t="s">
        <v>872</v>
      </c>
    </row>
    <row r="397" spans="1:4">
      <c r="A397" s="49">
        <v>3</v>
      </c>
      <c r="D397" s="383" t="s">
        <v>70</v>
      </c>
    </row>
    <row r="398" spans="1:4">
      <c r="A398" s="49">
        <v>3</v>
      </c>
      <c r="D398" s="383" t="s">
        <v>71</v>
      </c>
    </row>
    <row r="399" spans="1:4">
      <c r="A399" s="49">
        <v>3</v>
      </c>
      <c r="D399" s="384" t="s">
        <v>72</v>
      </c>
    </row>
    <row r="400" spans="1:4">
      <c r="A400" s="49">
        <v>3</v>
      </c>
      <c r="D400" s="383" t="s">
        <v>73</v>
      </c>
    </row>
    <row r="401" spans="1:4">
      <c r="A401" s="49">
        <v>3</v>
      </c>
      <c r="D401" s="383" t="s">
        <v>74</v>
      </c>
    </row>
    <row r="402" spans="1:4">
      <c r="A402" s="49">
        <v>3</v>
      </c>
      <c r="D402" s="383" t="s">
        <v>75</v>
      </c>
    </row>
    <row r="403" spans="1:4">
      <c r="A403" s="49">
        <v>3</v>
      </c>
      <c r="D403" s="383" t="s">
        <v>19</v>
      </c>
    </row>
    <row r="404" spans="1:4">
      <c r="A404" s="49">
        <v>3</v>
      </c>
      <c r="D404" s="383" t="s">
        <v>141</v>
      </c>
    </row>
    <row r="405" spans="1:4">
      <c r="A405" s="49">
        <v>3</v>
      </c>
      <c r="D405" s="383" t="s">
        <v>143</v>
      </c>
    </row>
    <row r="406" spans="1:4">
      <c r="A406" s="49">
        <v>3</v>
      </c>
      <c r="D406" s="383" t="s">
        <v>144</v>
      </c>
    </row>
    <row r="407" spans="1:4">
      <c r="A407" s="49">
        <v>3</v>
      </c>
      <c r="D407" s="383" t="s">
        <v>800</v>
      </c>
    </row>
    <row r="408" spans="1:4">
      <c r="A408" s="49">
        <v>3</v>
      </c>
      <c r="D408" s="383" t="s">
        <v>822</v>
      </c>
    </row>
    <row r="409" spans="1:4">
      <c r="A409" s="49">
        <v>3</v>
      </c>
      <c r="D409" s="383" t="s">
        <v>145</v>
      </c>
    </row>
    <row r="410" spans="1:4">
      <c r="A410" s="49">
        <v>3</v>
      </c>
      <c r="D410" s="383" t="s">
        <v>753</v>
      </c>
    </row>
    <row r="411" spans="1:4">
      <c r="A411" s="49">
        <v>3</v>
      </c>
      <c r="D411" s="383" t="s">
        <v>146</v>
      </c>
    </row>
    <row r="412" spans="1:4">
      <c r="A412" s="49">
        <v>3</v>
      </c>
      <c r="D412" s="383" t="s">
        <v>147</v>
      </c>
    </row>
    <row r="413" spans="1:4">
      <c r="A413" s="49">
        <v>3</v>
      </c>
      <c r="D413" s="383" t="s">
        <v>148</v>
      </c>
    </row>
    <row r="414" spans="1:4">
      <c r="A414" s="49">
        <v>3</v>
      </c>
      <c r="D414" s="383" t="s">
        <v>44</v>
      </c>
    </row>
    <row r="415" spans="1:4">
      <c r="A415" s="49">
        <v>3</v>
      </c>
      <c r="D415" s="383" t="s">
        <v>45</v>
      </c>
    </row>
    <row r="416" spans="1:4">
      <c r="A416" s="49">
        <v>4</v>
      </c>
      <c r="D416" s="383" t="s">
        <v>46</v>
      </c>
    </row>
    <row r="417" spans="1:4">
      <c r="A417" s="49">
        <v>4</v>
      </c>
      <c r="D417" s="383" t="s">
        <v>47</v>
      </c>
    </row>
    <row r="418" spans="1:4">
      <c r="A418" s="49">
        <v>4</v>
      </c>
      <c r="D418" s="383" t="s">
        <v>57</v>
      </c>
    </row>
    <row r="419" spans="1:4">
      <c r="A419" s="49">
        <v>4</v>
      </c>
      <c r="D419" s="383" t="s">
        <v>58</v>
      </c>
    </row>
    <row r="420" spans="1:4">
      <c r="A420" s="49">
        <v>4</v>
      </c>
      <c r="D420" s="383" t="s">
        <v>61</v>
      </c>
    </row>
    <row r="421" spans="1:4">
      <c r="A421" s="49">
        <v>4</v>
      </c>
      <c r="D421" s="384" t="s">
        <v>62</v>
      </c>
    </row>
    <row r="422" spans="1:4">
      <c r="A422" s="49">
        <v>4</v>
      </c>
      <c r="D422" s="383" t="s">
        <v>63</v>
      </c>
    </row>
    <row r="423" spans="1:4">
      <c r="A423" s="49">
        <v>4</v>
      </c>
      <c r="D423" s="383" t="s">
        <v>64</v>
      </c>
    </row>
    <row r="424" spans="1:4">
      <c r="A424" s="49">
        <v>4</v>
      </c>
      <c r="D424" s="383" t="s">
        <v>65</v>
      </c>
    </row>
    <row r="425" spans="1:4">
      <c r="A425" s="49">
        <v>4</v>
      </c>
      <c r="D425" s="383" t="s">
        <v>66</v>
      </c>
    </row>
    <row r="426" spans="1:4">
      <c r="A426" s="49">
        <v>5</v>
      </c>
      <c r="D426" s="383" t="s">
        <v>67</v>
      </c>
    </row>
    <row r="427" spans="1:4">
      <c r="A427" s="49">
        <v>5</v>
      </c>
      <c r="D427" s="383" t="s">
        <v>68</v>
      </c>
    </row>
    <row r="428" spans="1:4">
      <c r="A428" s="49">
        <v>5</v>
      </c>
      <c r="D428" s="383" t="s">
        <v>69</v>
      </c>
    </row>
    <row r="429" spans="1:4">
      <c r="A429" s="49">
        <v>5</v>
      </c>
      <c r="D429" s="383" t="s">
        <v>176</v>
      </c>
    </row>
    <row r="430" spans="1:4">
      <c r="A430" s="49">
        <v>5</v>
      </c>
      <c r="D430" s="383" t="s">
        <v>177</v>
      </c>
    </row>
    <row r="431" spans="1:4">
      <c r="A431" s="49">
        <v>7</v>
      </c>
      <c r="D431" s="383" t="s">
        <v>178</v>
      </c>
    </row>
    <row r="432" spans="1:4">
      <c r="A432" s="49">
        <v>8</v>
      </c>
      <c r="D432" s="383" t="s">
        <v>179</v>
      </c>
    </row>
    <row r="433" spans="1:4">
      <c r="A433" s="49">
        <v>9</v>
      </c>
      <c r="D433" s="386" t="s">
        <v>182</v>
      </c>
    </row>
    <row r="434" spans="1:4">
      <c r="A434" s="49">
        <v>24</v>
      </c>
      <c r="D434" s="383" t="s">
        <v>183</v>
      </c>
    </row>
  </sheetData>
  <phoneticPr fontId="21" type="noConversion"/>
  <pageMargins left="0.75" right="0.75" top="1" bottom="1" header="0.511811024" footer="0.511811024"/>
  <pageSetup paperSize="9" orientation="landscape" horizontalDpi="0" verticalDpi="0"/>
  <headerFooter>
    <oddHeader>&amp;A</oddHeader>
    <oddFooter>Página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1"/>
  <dimension ref="A1:K21"/>
  <sheetViews>
    <sheetView topLeftCell="A6" zoomScale="209" zoomScaleNormal="209" zoomScalePageLayoutView="209" workbookViewId="0">
      <selection activeCell="E25" sqref="E25"/>
    </sheetView>
  </sheetViews>
  <sheetFormatPr baseColWidth="10" defaultColWidth="10.83203125" defaultRowHeight="13"/>
  <cols>
    <col min="1" max="1" width="1.5" customWidth="1"/>
    <col min="8" max="8" width="5.33203125" customWidth="1"/>
    <col min="10" max="10" width="8.83203125" customWidth="1"/>
    <col min="11" max="11" width="1.33203125" customWidth="1"/>
  </cols>
  <sheetData>
    <row r="1" spans="1:11" ht="10.25" customHeight="1">
      <c r="A1" s="2697"/>
      <c r="B1" s="2698"/>
      <c r="C1" s="2697"/>
      <c r="D1" s="2697"/>
      <c r="E1" s="2697"/>
      <c r="F1" s="2697"/>
      <c r="G1" s="2697"/>
      <c r="H1" s="2697"/>
      <c r="I1" s="2697"/>
      <c r="J1" s="2697"/>
      <c r="K1" s="2697"/>
    </row>
    <row r="2" spans="1:11">
      <c r="A2" s="2697"/>
      <c r="B2" s="536"/>
      <c r="C2" s="536"/>
      <c r="D2" s="536"/>
      <c r="E2" s="536"/>
      <c r="F2" s="536"/>
      <c r="G2" s="536"/>
      <c r="H2" s="536"/>
      <c r="I2" s="536"/>
      <c r="J2" s="536"/>
      <c r="K2" s="2697"/>
    </row>
    <row r="3" spans="1:11">
      <c r="A3" s="2697"/>
      <c r="B3" s="536"/>
      <c r="C3" s="536"/>
      <c r="D3" s="536"/>
      <c r="E3" s="536"/>
      <c r="F3" s="536"/>
      <c r="G3" s="536"/>
      <c r="H3" s="536"/>
      <c r="I3" s="536"/>
      <c r="J3" s="536"/>
      <c r="K3" s="2697"/>
    </row>
    <row r="4" spans="1:11">
      <c r="A4" s="2697"/>
      <c r="B4" s="536"/>
      <c r="C4" s="536"/>
      <c r="D4" s="536"/>
      <c r="E4" s="536"/>
      <c r="F4" s="536"/>
      <c r="G4" s="536"/>
      <c r="H4" s="536"/>
      <c r="I4" s="536"/>
      <c r="J4" s="536"/>
      <c r="K4" s="2697"/>
    </row>
    <row r="5" spans="1:11" ht="14" thickBot="1">
      <c r="A5" s="2697"/>
      <c r="B5" s="536"/>
      <c r="C5" s="536"/>
      <c r="D5" s="536"/>
      <c r="E5" s="536"/>
      <c r="F5" s="536"/>
      <c r="G5" s="536"/>
      <c r="H5" s="536"/>
      <c r="I5" s="536"/>
      <c r="J5" s="536"/>
      <c r="K5" s="2697"/>
    </row>
    <row r="6" spans="1:11" ht="35" thickTop="1" thickBot="1">
      <c r="A6" s="2697"/>
      <c r="B6" s="536"/>
      <c r="C6" s="2699" t="s">
        <v>187</v>
      </c>
      <c r="D6" s="2699"/>
      <c r="E6" s="2699"/>
      <c r="F6" s="2699"/>
      <c r="G6" s="2699"/>
      <c r="H6" s="536"/>
      <c r="I6" s="536"/>
      <c r="J6" s="536"/>
      <c r="K6" s="2697"/>
    </row>
    <row r="7" spans="1:11" ht="14" thickTop="1">
      <c r="A7" s="2697"/>
      <c r="B7" s="536"/>
      <c r="C7" s="536"/>
      <c r="D7" s="536"/>
      <c r="E7" s="536"/>
      <c r="F7" s="536"/>
      <c r="G7" s="536"/>
      <c r="H7" s="536"/>
      <c r="I7" s="536"/>
      <c r="J7" s="536"/>
      <c r="K7" s="2697"/>
    </row>
    <row r="8" spans="1:11">
      <c r="A8" s="2697"/>
      <c r="B8" s="536"/>
      <c r="C8" s="536"/>
      <c r="D8" s="536"/>
      <c r="E8" s="536"/>
      <c r="F8" s="536"/>
      <c r="G8" s="536"/>
      <c r="H8" s="536"/>
      <c r="I8" s="536"/>
      <c r="J8" s="536"/>
      <c r="K8" s="2697"/>
    </row>
    <row r="9" spans="1:11">
      <c r="A9" s="2697"/>
      <c r="B9" s="536"/>
      <c r="C9" s="536"/>
      <c r="D9" s="536"/>
      <c r="E9" s="536"/>
      <c r="F9" s="536"/>
      <c r="G9" s="536"/>
      <c r="H9" s="536"/>
      <c r="I9" s="536"/>
      <c r="J9" s="536"/>
      <c r="K9" s="2697"/>
    </row>
    <row r="10" spans="1:11">
      <c r="A10" s="2697"/>
      <c r="B10" s="536"/>
      <c r="C10" s="536"/>
      <c r="D10" s="536"/>
      <c r="E10" s="536"/>
      <c r="F10" s="536"/>
      <c r="G10" s="536"/>
      <c r="H10" s="536"/>
      <c r="I10" s="536"/>
      <c r="J10" s="536"/>
      <c r="K10" s="2697"/>
    </row>
    <row r="11" spans="1:11">
      <c r="A11" s="2697"/>
      <c r="B11" s="536"/>
      <c r="C11" s="536"/>
      <c r="D11" s="536"/>
      <c r="E11" s="536"/>
      <c r="F11" s="536"/>
      <c r="G11" s="536"/>
      <c r="H11" s="536"/>
      <c r="I11" s="536"/>
      <c r="J11" s="536"/>
      <c r="K11" s="2697"/>
    </row>
    <row r="12" spans="1:11">
      <c r="A12" s="2697"/>
      <c r="B12" s="536"/>
      <c r="C12" s="536"/>
      <c r="D12" s="536"/>
      <c r="E12" s="536"/>
      <c r="F12" s="536"/>
      <c r="G12" s="536"/>
      <c r="H12" s="536"/>
      <c r="I12" s="536"/>
      <c r="J12" s="536"/>
      <c r="K12" s="2697"/>
    </row>
    <row r="13" spans="1:11" ht="14" thickBot="1">
      <c r="A13" s="2697"/>
      <c r="B13" s="536"/>
      <c r="C13" s="536"/>
      <c r="D13" s="536"/>
      <c r="E13" s="536"/>
      <c r="F13" s="536"/>
      <c r="G13" s="536"/>
      <c r="H13" s="536"/>
      <c r="I13" s="536"/>
      <c r="J13" s="536"/>
      <c r="K13" s="2697"/>
    </row>
    <row r="14" spans="1:11" ht="30" thickTop="1" thickBot="1">
      <c r="A14" s="2697"/>
      <c r="B14" s="536"/>
      <c r="C14" s="537" t="s">
        <v>188</v>
      </c>
      <c r="D14" s="536"/>
      <c r="E14" s="536"/>
      <c r="F14" s="2700" t="s">
        <v>189</v>
      </c>
      <c r="G14" s="2701"/>
      <c r="H14" s="2701"/>
      <c r="I14" s="2702"/>
      <c r="J14" s="536"/>
      <c r="K14" s="2697"/>
    </row>
    <row r="15" spans="1:11" ht="15" thickTop="1" thickBot="1">
      <c r="A15" s="2697"/>
      <c r="B15" s="536"/>
      <c r="C15" s="536"/>
      <c r="D15" s="536"/>
      <c r="E15" s="536"/>
      <c r="F15" s="536"/>
      <c r="G15" s="536"/>
      <c r="H15" s="536"/>
      <c r="I15" s="536"/>
      <c r="J15" s="536"/>
      <c r="K15" s="2697"/>
    </row>
    <row r="16" spans="1:11" ht="30" thickTop="1" thickBot="1">
      <c r="A16" s="2697"/>
      <c r="B16" s="536"/>
      <c r="C16" s="538" t="s">
        <v>190</v>
      </c>
      <c r="D16" s="536"/>
      <c r="E16" s="536"/>
      <c r="F16" s="2700" t="s">
        <v>902</v>
      </c>
      <c r="G16" s="2703"/>
      <c r="H16" s="2703"/>
      <c r="I16" s="2704"/>
      <c r="J16" s="536"/>
      <c r="K16" s="2697"/>
    </row>
    <row r="17" spans="1:11" ht="25" thickTop="1" thickBot="1">
      <c r="A17" s="2697"/>
      <c r="B17" s="536"/>
      <c r="C17" s="539"/>
      <c r="D17" s="536"/>
      <c r="E17" s="540"/>
      <c r="F17" s="880"/>
      <c r="G17" s="880"/>
      <c r="H17" s="470"/>
      <c r="I17" s="470"/>
      <c r="J17" s="536"/>
      <c r="K17" s="2697"/>
    </row>
    <row r="18" spans="1:11" ht="30" thickTop="1" thickBot="1">
      <c r="A18" s="2697"/>
      <c r="B18" s="536"/>
      <c r="C18" s="541" t="s">
        <v>98</v>
      </c>
      <c r="D18" s="536"/>
      <c r="E18" s="536"/>
      <c r="F18" s="2705" t="s">
        <v>2220</v>
      </c>
      <c r="G18" s="2701"/>
      <c r="H18" s="2701"/>
      <c r="I18" s="2702"/>
      <c r="J18" s="536"/>
      <c r="K18" s="2697"/>
    </row>
    <row r="19" spans="1:11" ht="14" thickTop="1">
      <c r="A19" s="2697"/>
      <c r="B19" s="536"/>
      <c r="C19" s="536"/>
      <c r="D19" s="536"/>
      <c r="E19" s="536"/>
      <c r="F19" s="536"/>
      <c r="G19" s="536"/>
      <c r="H19" s="536"/>
      <c r="I19" s="536"/>
      <c r="J19" s="536"/>
      <c r="K19" s="2697"/>
    </row>
    <row r="20" spans="1:11" ht="21">
      <c r="A20" s="2697"/>
      <c r="B20" s="536"/>
      <c r="C20" s="536"/>
      <c r="D20" s="536"/>
      <c r="E20" s="536"/>
      <c r="F20" s="536"/>
      <c r="G20" s="536"/>
      <c r="H20" s="542" t="s">
        <v>191</v>
      </c>
      <c r="I20" s="543" t="s">
        <v>192</v>
      </c>
      <c r="J20" s="536"/>
      <c r="K20" s="2697"/>
    </row>
    <row r="21" spans="1:11" ht="8" customHeight="1">
      <c r="A21" s="2697"/>
      <c r="B21" s="2697"/>
      <c r="C21" s="2697"/>
      <c r="D21" s="2697"/>
      <c r="E21" s="2697"/>
      <c r="F21" s="2697"/>
      <c r="G21" s="2697"/>
      <c r="H21" s="2697"/>
      <c r="I21" s="2697"/>
      <c r="J21" s="2697"/>
      <c r="K21" s="2697"/>
    </row>
  </sheetData>
  <phoneticPr fontId="21" type="noConversion"/>
  <printOptions horizontalCentered="1" verticalCentered="1"/>
  <pageMargins left="0" right="0" top="0" bottom="0" header="0" footer="0"/>
  <pageSetup paperSize="9" scale="140" orientation="landscape" horizontalDpi="0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77"/>
  <dimension ref="A2:A88"/>
  <sheetViews>
    <sheetView topLeftCell="A23" zoomScale="150" workbookViewId="0">
      <selection activeCell="P139" sqref="P139"/>
    </sheetView>
  </sheetViews>
  <sheetFormatPr baseColWidth="10" defaultColWidth="10.83203125" defaultRowHeight="13"/>
  <cols>
    <col min="1" max="16384" width="10.83203125" style="2695"/>
  </cols>
  <sheetData>
    <row r="2" spans="1:1">
      <c r="A2" s="2695" t="s">
        <v>1066</v>
      </c>
    </row>
    <row r="3" spans="1:1">
      <c r="A3" s="2695" t="s">
        <v>1067</v>
      </c>
    </row>
    <row r="4" spans="1:1">
      <c r="A4" s="2695" t="s">
        <v>1068</v>
      </c>
    </row>
    <row r="5" spans="1:1">
      <c r="A5" s="2695" t="s">
        <v>1068</v>
      </c>
    </row>
    <row r="6" spans="1:1">
      <c r="A6" s="2695" t="s">
        <v>1069</v>
      </c>
    </row>
    <row r="7" spans="1:1">
      <c r="A7" s="2695" t="s">
        <v>1070</v>
      </c>
    </row>
    <row r="8" spans="1:1">
      <c r="A8" s="2695" t="s">
        <v>1071</v>
      </c>
    </row>
    <row r="9" spans="1:1">
      <c r="A9" s="2695" t="s">
        <v>1068</v>
      </c>
    </row>
    <row r="10" spans="1:1">
      <c r="A10" s="2695" t="s">
        <v>1072</v>
      </c>
    </row>
    <row r="11" spans="1:1">
      <c r="A11" s="2695" t="s">
        <v>1067</v>
      </c>
    </row>
    <row r="12" spans="1:1">
      <c r="A12" s="2695" t="s">
        <v>1068</v>
      </c>
    </row>
    <row r="13" spans="1:1">
      <c r="A13" s="2695" t="s">
        <v>1068</v>
      </c>
    </row>
    <row r="14" spans="1:1">
      <c r="A14" s="2695" t="s">
        <v>1073</v>
      </c>
    </row>
    <row r="15" spans="1:1">
      <c r="A15" s="2695" t="s">
        <v>1074</v>
      </c>
    </row>
    <row r="16" spans="1:1">
      <c r="A16" s="2695" t="s">
        <v>1071</v>
      </c>
    </row>
    <row r="17" spans="1:1">
      <c r="A17" s="2695" t="s">
        <v>1068</v>
      </c>
    </row>
    <row r="18" spans="1:1">
      <c r="A18" s="2695" t="s">
        <v>1075</v>
      </c>
    </row>
    <row r="19" spans="1:1">
      <c r="A19" s="2695" t="s">
        <v>1067</v>
      </c>
    </row>
    <row r="20" spans="1:1">
      <c r="A20" s="2695" t="s">
        <v>1068</v>
      </c>
    </row>
    <row r="21" spans="1:1">
      <c r="A21" s="2695" t="s">
        <v>1068</v>
      </c>
    </row>
    <row r="22" spans="1:1">
      <c r="A22" s="2695" t="s">
        <v>1076</v>
      </c>
    </row>
    <row r="23" spans="1:1">
      <c r="A23" s="2695" t="s">
        <v>1077</v>
      </c>
    </row>
    <row r="24" spans="1:1">
      <c r="A24" s="2695" t="s">
        <v>1071</v>
      </c>
    </row>
    <row r="25" spans="1:1">
      <c r="A25" s="2695" t="s">
        <v>1068</v>
      </c>
    </row>
    <row r="26" spans="1:1">
      <c r="A26" s="2695" t="s">
        <v>1078</v>
      </c>
    </row>
    <row r="27" spans="1:1">
      <c r="A27" s="2695" t="s">
        <v>1067</v>
      </c>
    </row>
    <row r="28" spans="1:1">
      <c r="A28" s="2695" t="s">
        <v>1068</v>
      </c>
    </row>
    <row r="29" spans="1:1">
      <c r="A29" s="2695" t="s">
        <v>1068</v>
      </c>
    </row>
    <row r="30" spans="1:1">
      <c r="A30" s="2695" t="s">
        <v>1079</v>
      </c>
    </row>
    <row r="31" spans="1:1">
      <c r="A31" s="2695" t="s">
        <v>1080</v>
      </c>
    </row>
    <row r="32" spans="1:1">
      <c r="A32" s="2695" t="s">
        <v>1071</v>
      </c>
    </row>
    <row r="33" spans="1:1">
      <c r="A33" s="2695" t="s">
        <v>1068</v>
      </c>
    </row>
    <row r="34" spans="1:1">
      <c r="A34" s="2695" t="s">
        <v>1081</v>
      </c>
    </row>
    <row r="35" spans="1:1">
      <c r="A35" s="2695" t="s">
        <v>1067</v>
      </c>
    </row>
    <row r="36" spans="1:1">
      <c r="A36" s="2695" t="s">
        <v>1068</v>
      </c>
    </row>
    <row r="37" spans="1:1">
      <c r="A37" s="2695" t="s">
        <v>1068</v>
      </c>
    </row>
    <row r="38" spans="1:1">
      <c r="A38" s="2695" t="s">
        <v>1082</v>
      </c>
    </row>
    <row r="39" spans="1:1">
      <c r="A39" s="2695" t="s">
        <v>1083</v>
      </c>
    </row>
    <row r="40" spans="1:1">
      <c r="A40" s="2695" t="s">
        <v>1071</v>
      </c>
    </row>
    <row r="41" spans="1:1">
      <c r="A41" s="2695" t="s">
        <v>1068</v>
      </c>
    </row>
    <row r="42" spans="1:1">
      <c r="A42" s="2695" t="s">
        <v>1084</v>
      </c>
    </row>
    <row r="43" spans="1:1">
      <c r="A43" s="2695" t="s">
        <v>1067</v>
      </c>
    </row>
    <row r="44" spans="1:1">
      <c r="A44" s="2695" t="s">
        <v>1068</v>
      </c>
    </row>
    <row r="45" spans="1:1">
      <c r="A45" s="2695" t="s">
        <v>1068</v>
      </c>
    </row>
    <row r="46" spans="1:1">
      <c r="A46" s="2695" t="s">
        <v>1085</v>
      </c>
    </row>
    <row r="47" spans="1:1">
      <c r="A47" s="2695" t="s">
        <v>1086</v>
      </c>
    </row>
    <row r="48" spans="1:1">
      <c r="A48" s="2695" t="s">
        <v>1071</v>
      </c>
    </row>
    <row r="49" spans="1:1">
      <c r="A49" s="2695" t="s">
        <v>1068</v>
      </c>
    </row>
    <row r="50" spans="1:1">
      <c r="A50" s="2695" t="s">
        <v>1087</v>
      </c>
    </row>
    <row r="51" spans="1:1">
      <c r="A51" s="2695" t="s">
        <v>1067</v>
      </c>
    </row>
    <row r="52" spans="1:1">
      <c r="A52" s="2695" t="s">
        <v>1068</v>
      </c>
    </row>
    <row r="53" spans="1:1">
      <c r="A53" s="2695" t="s">
        <v>1068</v>
      </c>
    </row>
    <row r="54" spans="1:1">
      <c r="A54" s="2695" t="s">
        <v>1088</v>
      </c>
    </row>
    <row r="55" spans="1:1">
      <c r="A55" s="2695" t="s">
        <v>1089</v>
      </c>
    </row>
    <row r="56" spans="1:1">
      <c r="A56" s="2695" t="s">
        <v>1071</v>
      </c>
    </row>
    <row r="57" spans="1:1">
      <c r="A57" s="2695" t="s">
        <v>1068</v>
      </c>
    </row>
    <row r="58" spans="1:1">
      <c r="A58" s="2695" t="s">
        <v>1090</v>
      </c>
    </row>
    <row r="59" spans="1:1">
      <c r="A59" s="2695" t="s">
        <v>1067</v>
      </c>
    </row>
    <row r="60" spans="1:1">
      <c r="A60" s="2695" t="s">
        <v>1068</v>
      </c>
    </row>
    <row r="61" spans="1:1">
      <c r="A61" s="2695" t="s">
        <v>1068</v>
      </c>
    </row>
    <row r="62" spans="1:1">
      <c r="A62" s="2695" t="s">
        <v>1091</v>
      </c>
    </row>
    <row r="63" spans="1:1">
      <c r="A63" s="2695" t="s">
        <v>1092</v>
      </c>
    </row>
    <row r="64" spans="1:1">
      <c r="A64" s="2695" t="s">
        <v>1071</v>
      </c>
    </row>
    <row r="65" spans="1:1">
      <c r="A65" s="2695" t="s">
        <v>1068</v>
      </c>
    </row>
    <row r="66" spans="1:1">
      <c r="A66" s="2695" t="s">
        <v>1093</v>
      </c>
    </row>
    <row r="67" spans="1:1">
      <c r="A67" s="2695" t="s">
        <v>1067</v>
      </c>
    </row>
    <row r="68" spans="1:1">
      <c r="A68" s="2695" t="s">
        <v>1068</v>
      </c>
    </row>
    <row r="69" spans="1:1">
      <c r="A69" s="2695" t="s">
        <v>1068</v>
      </c>
    </row>
    <row r="70" spans="1:1">
      <c r="A70" s="2695" t="s">
        <v>1094</v>
      </c>
    </row>
    <row r="71" spans="1:1">
      <c r="A71" s="2695" t="s">
        <v>1095</v>
      </c>
    </row>
    <row r="72" spans="1:1">
      <c r="A72" s="2695" t="s">
        <v>1071</v>
      </c>
    </row>
    <row r="73" spans="1:1">
      <c r="A73" s="2695" t="s">
        <v>1068</v>
      </c>
    </row>
    <row r="74" spans="1:1">
      <c r="A74" s="2695" t="s">
        <v>1096</v>
      </c>
    </row>
    <row r="75" spans="1:1">
      <c r="A75" s="2695" t="s">
        <v>1067</v>
      </c>
    </row>
    <row r="76" spans="1:1">
      <c r="A76" s="2695" t="s">
        <v>1068</v>
      </c>
    </row>
    <row r="77" spans="1:1">
      <c r="A77" s="2695" t="s">
        <v>1068</v>
      </c>
    </row>
    <row r="78" spans="1:1">
      <c r="A78" s="2695" t="s">
        <v>1097</v>
      </c>
    </row>
    <row r="79" spans="1:1">
      <c r="A79" s="2695" t="s">
        <v>1098</v>
      </c>
    </row>
    <row r="80" spans="1:1">
      <c r="A80" s="2695" t="s">
        <v>1071</v>
      </c>
    </row>
    <row r="81" spans="1:1">
      <c r="A81" s="2695" t="s">
        <v>1068</v>
      </c>
    </row>
    <row r="82" spans="1:1">
      <c r="A82" s="2695" t="s">
        <v>1099</v>
      </c>
    </row>
    <row r="83" spans="1:1">
      <c r="A83" s="2695" t="s">
        <v>1067</v>
      </c>
    </row>
    <row r="84" spans="1:1">
      <c r="A84" s="2695" t="s">
        <v>1068</v>
      </c>
    </row>
    <row r="85" spans="1:1">
      <c r="A85" s="2695" t="s">
        <v>1068</v>
      </c>
    </row>
    <row r="86" spans="1:1">
      <c r="A86" s="2695" t="s">
        <v>1100</v>
      </c>
    </row>
    <row r="87" spans="1:1">
      <c r="A87" s="2695" t="s">
        <v>1101</v>
      </c>
    </row>
    <row r="88" spans="1:1">
      <c r="A88" s="2695" t="s">
        <v>1071</v>
      </c>
    </row>
  </sheetData>
  <pageMargins left="0.7" right="0.7" top="0.75" bottom="0.75" header="0.3" footer="0.3"/>
  <pageSetup paperSize="9" orientation="landscape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2">
    <pageSetUpPr fitToPage="1"/>
  </sheetPr>
  <dimension ref="A1:AF86"/>
  <sheetViews>
    <sheetView zoomScale="124" zoomScaleNormal="124" zoomScalePageLayoutView="125" workbookViewId="0">
      <selection activeCell="X7" sqref="X7"/>
    </sheetView>
  </sheetViews>
  <sheetFormatPr baseColWidth="10" defaultColWidth="11.5" defaultRowHeight="15" customHeight="1"/>
  <cols>
    <col min="1" max="1" width="0.83203125" style="5" customWidth="1"/>
    <col min="2" max="2" width="13.33203125" style="5" customWidth="1"/>
    <col min="3" max="3" width="6" style="5" customWidth="1"/>
    <col min="4" max="4" width="9" style="691" customWidth="1"/>
    <col min="5" max="5" width="0.6640625" style="5" customWidth="1"/>
    <col min="6" max="6" width="13.5" style="5" customWidth="1"/>
    <col min="7" max="7" width="9.5" style="5" customWidth="1"/>
    <col min="8" max="8" width="10.6640625" style="5" customWidth="1"/>
    <col min="9" max="9" width="11.6640625" style="5" customWidth="1"/>
    <col min="10" max="10" width="0.6640625" style="5" customWidth="1"/>
    <col min="11" max="11" width="12.33203125" style="5" customWidth="1"/>
    <col min="12" max="12" width="9" style="5" customWidth="1"/>
    <col min="13" max="13" width="9.1640625" style="5" customWidth="1"/>
    <col min="14" max="14" width="11.5" style="5"/>
    <col min="15" max="15" width="1.5" style="5" customWidth="1"/>
    <col min="16" max="16" width="51.33203125" style="5" customWidth="1"/>
    <col min="17" max="17" width="5.33203125" style="5" customWidth="1"/>
    <col min="18" max="18" width="6.6640625" style="5" customWidth="1"/>
    <col min="19" max="32" width="5.33203125" style="5" customWidth="1"/>
    <col min="33" max="16384" width="11.5" style="5"/>
  </cols>
  <sheetData>
    <row r="1" spans="1:32" ht="19.5" customHeight="1">
      <c r="A1" s="2"/>
      <c r="B1" s="3"/>
      <c r="C1" s="3"/>
      <c r="D1" s="687"/>
      <c r="E1" s="3"/>
      <c r="F1" s="185" t="s">
        <v>99</v>
      </c>
      <c r="G1" s="191"/>
      <c r="H1" s="260" t="s">
        <v>1917</v>
      </c>
      <c r="I1" s="108"/>
      <c r="J1" s="3"/>
      <c r="K1" s="3"/>
      <c r="L1" s="3"/>
      <c r="M1" s="3"/>
      <c r="N1" s="3"/>
      <c r="O1" s="3"/>
      <c r="P1" s="3"/>
      <c r="Q1" s="2"/>
    </row>
    <row r="2" spans="1:32" ht="36.75" customHeight="1">
      <c r="A2" s="2"/>
      <c r="B2" s="3"/>
      <c r="C2" s="183" t="s">
        <v>100</v>
      </c>
      <c r="D2" s="688"/>
      <c r="E2" s="6"/>
      <c r="F2" s="157" t="s">
        <v>902</v>
      </c>
      <c r="G2" s="158"/>
      <c r="H2" s="159"/>
      <c r="I2" s="159"/>
      <c r="J2" s="7"/>
      <c r="K2" s="184" t="s">
        <v>101</v>
      </c>
      <c r="L2" s="873" t="s">
        <v>1026</v>
      </c>
      <c r="M2" s="180"/>
      <c r="N2" s="8"/>
      <c r="O2" s="3"/>
      <c r="P2" s="3"/>
      <c r="Q2" s="2"/>
    </row>
    <row r="3" spans="1:32" ht="15" customHeight="1">
      <c r="A3" s="2"/>
      <c r="B3" s="6"/>
      <c r="C3" s="183" t="s">
        <v>102</v>
      </c>
      <c r="D3" s="688"/>
      <c r="E3" s="99"/>
      <c r="F3" s="261">
        <v>36890</v>
      </c>
      <c r="G3" s="161"/>
      <c r="H3" s="161"/>
      <c r="I3" s="161"/>
      <c r="J3" s="9"/>
      <c r="K3" s="184" t="s">
        <v>103</v>
      </c>
      <c r="L3" s="181">
        <v>66</v>
      </c>
      <c r="M3" s="180"/>
      <c r="N3" s="7852"/>
      <c r="O3" s="7853"/>
      <c r="P3" s="7854"/>
      <c r="Q3" s="2"/>
    </row>
    <row r="4" spans="1:32" ht="15" customHeight="1">
      <c r="A4" s="2"/>
      <c r="B4" s="6"/>
      <c r="C4" s="183" t="s">
        <v>104</v>
      </c>
      <c r="D4" s="688"/>
      <c r="E4" s="99"/>
      <c r="F4" s="160" t="s">
        <v>105</v>
      </c>
      <c r="G4" s="161"/>
      <c r="H4" s="161"/>
      <c r="I4" s="161"/>
      <c r="J4" s="9"/>
      <c r="K4" s="184" t="s">
        <v>106</v>
      </c>
      <c r="L4" s="181" t="s">
        <v>1058</v>
      </c>
      <c r="M4" s="180"/>
      <c r="N4" s="7855"/>
      <c r="O4" s="7855"/>
      <c r="P4" s="7855"/>
      <c r="Q4" s="2"/>
    </row>
    <row r="5" spans="1:32" ht="15" customHeight="1">
      <c r="A5" s="2"/>
      <c r="B5" s="6"/>
      <c r="C5" s="183" t="s">
        <v>107</v>
      </c>
      <c r="D5" s="688"/>
      <c r="E5" s="99"/>
      <c r="F5" s="162" t="s">
        <v>48</v>
      </c>
      <c r="G5" s="163"/>
      <c r="H5" s="163"/>
      <c r="I5" s="163"/>
      <c r="J5" s="9"/>
      <c r="K5" s="184" t="s">
        <v>108</v>
      </c>
      <c r="L5" s="874" t="s">
        <v>876</v>
      </c>
      <c r="M5" s="182"/>
      <c r="N5" s="7856"/>
      <c r="O5" s="7856"/>
      <c r="P5" s="7856"/>
      <c r="Q5" s="2"/>
    </row>
    <row r="6" spans="1:32" ht="9" customHeight="1">
      <c r="A6" s="2"/>
      <c r="B6" s="8"/>
      <c r="C6" s="186"/>
      <c r="D6" s="689"/>
      <c r="E6" s="3"/>
      <c r="F6" s="3"/>
      <c r="G6" s="3"/>
      <c r="H6" s="3"/>
      <c r="I6" s="3"/>
      <c r="J6" s="3"/>
      <c r="K6" s="107"/>
      <c r="L6" s="3"/>
      <c r="M6" s="3"/>
      <c r="N6" s="3"/>
      <c r="O6" s="3"/>
      <c r="P6" s="3"/>
      <c r="Q6" s="2"/>
    </row>
    <row r="7" spans="1:32" ht="15" customHeight="1" thickBot="1">
      <c r="A7" s="2"/>
      <c r="B7" s="186"/>
      <c r="C7" s="878" t="s">
        <v>52</v>
      </c>
      <c r="D7" s="689"/>
      <c r="E7" s="188"/>
      <c r="F7" s="189" t="s">
        <v>109</v>
      </c>
      <c r="G7" s="189"/>
      <c r="H7" s="190"/>
      <c r="I7" s="186"/>
      <c r="J7" s="186"/>
      <c r="K7" s="190" t="s">
        <v>110</v>
      </c>
      <c r="L7" s="190"/>
      <c r="M7" s="186"/>
      <c r="N7" s="186"/>
      <c r="O7" s="191"/>
      <c r="P7" s="187" t="s">
        <v>111</v>
      </c>
      <c r="Q7" s="2"/>
      <c r="U7"/>
    </row>
    <row r="8" spans="1:32" s="13" customFormat="1" ht="15" customHeight="1">
      <c r="A8" s="202"/>
      <c r="B8" s="110" t="s">
        <v>112</v>
      </c>
      <c r="C8" s="197" t="s">
        <v>113</v>
      </c>
      <c r="D8" s="690" t="s">
        <v>114</v>
      </c>
      <c r="E8" s="109"/>
      <c r="F8" s="1084"/>
      <c r="G8" s="1085" t="s">
        <v>115</v>
      </c>
      <c r="H8" s="1086" t="s">
        <v>116</v>
      </c>
      <c r="I8" s="1087" t="s">
        <v>117</v>
      </c>
      <c r="J8" s="11"/>
      <c r="K8" s="193" t="s">
        <v>115</v>
      </c>
      <c r="L8" s="194" t="s">
        <v>118</v>
      </c>
      <c r="M8" s="195" t="s">
        <v>906</v>
      </c>
      <c r="N8" s="196" t="s">
        <v>905</v>
      </c>
      <c r="O8" s="4"/>
      <c r="P8" s="1595" t="s">
        <v>954</v>
      </c>
      <c r="Q8" s="12"/>
      <c r="U8"/>
    </row>
    <row r="9" spans="1:32" ht="15" customHeight="1">
      <c r="A9" s="2"/>
      <c r="B9" s="164" t="s">
        <v>120</v>
      </c>
      <c r="C9" s="165"/>
      <c r="D9" s="1345">
        <v>3.1388888888888889E-4</v>
      </c>
      <c r="E9" s="14"/>
      <c r="F9" s="1094"/>
      <c r="G9" s="1091"/>
      <c r="H9" s="1083"/>
      <c r="I9" s="1080"/>
      <c r="J9" s="14"/>
      <c r="K9" s="1350"/>
      <c r="L9" s="170"/>
      <c r="M9" s="171"/>
      <c r="N9" s="172"/>
      <c r="O9" s="4"/>
      <c r="P9" s="172" t="s">
        <v>955</v>
      </c>
      <c r="Q9" s="15"/>
      <c r="R9" s="13"/>
      <c r="S9" s="16"/>
      <c r="T9" s="16"/>
      <c r="U9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</row>
    <row r="10" spans="1:32" ht="15" customHeight="1">
      <c r="A10" s="2"/>
      <c r="B10" s="164" t="s">
        <v>121</v>
      </c>
      <c r="C10" s="165"/>
      <c r="D10" s="1345">
        <v>7.0717592592592588E-4</v>
      </c>
      <c r="E10" s="14"/>
      <c r="F10" s="1090"/>
      <c r="G10" s="1091"/>
      <c r="H10" s="1083"/>
      <c r="I10" s="1501"/>
      <c r="J10" s="14"/>
      <c r="K10" s="1351"/>
      <c r="L10" s="170"/>
      <c r="M10" s="171"/>
      <c r="N10" s="172"/>
      <c r="O10" s="4"/>
      <c r="P10" s="172" t="s">
        <v>956</v>
      </c>
      <c r="Q10" s="15"/>
      <c r="R10" s="13"/>
      <c r="S10" s="16"/>
      <c r="T10" s="16"/>
      <c r="U10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</row>
    <row r="11" spans="1:32" ht="15" customHeight="1">
      <c r="A11" s="2"/>
      <c r="B11" s="164" t="s">
        <v>903</v>
      </c>
      <c r="C11" s="165"/>
      <c r="D11" s="1345">
        <v>1.7013888888888892E-3</v>
      </c>
      <c r="E11" s="14"/>
      <c r="F11" s="1094"/>
      <c r="G11" s="1091"/>
      <c r="H11" s="1083"/>
      <c r="I11" s="1501"/>
      <c r="J11" s="14"/>
      <c r="K11" s="1351"/>
      <c r="L11" s="170"/>
      <c r="M11" s="171"/>
      <c r="N11" s="172"/>
      <c r="O11" s="4"/>
      <c r="P11" s="172" t="s">
        <v>957</v>
      </c>
      <c r="Q11" s="15"/>
      <c r="R11" s="13"/>
      <c r="S11" s="16"/>
      <c r="T11" s="16"/>
      <c r="U11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</row>
    <row r="12" spans="1:32" ht="15" customHeight="1">
      <c r="A12" s="2"/>
      <c r="B12" s="166" t="s">
        <v>122</v>
      </c>
      <c r="C12" s="165"/>
      <c r="D12" s="1345">
        <v>3.4432870370370368E-4</v>
      </c>
      <c r="E12" s="14"/>
      <c r="F12" s="1094"/>
      <c r="G12" s="1091"/>
      <c r="H12" s="1083"/>
      <c r="I12" s="1080"/>
      <c r="J12" s="14"/>
      <c r="K12" s="1352"/>
      <c r="L12" s="170"/>
      <c r="M12" s="171"/>
      <c r="N12" s="172"/>
      <c r="O12" s="4"/>
      <c r="P12" s="172" t="s">
        <v>958</v>
      </c>
      <c r="Q12" s="15"/>
      <c r="R12" s="13"/>
      <c r="S12" s="16"/>
      <c r="T12" s="16"/>
      <c r="U12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</row>
    <row r="13" spans="1:32" ht="15" customHeight="1">
      <c r="A13" s="2"/>
      <c r="B13" s="167" t="s">
        <v>123</v>
      </c>
      <c r="C13" s="168"/>
      <c r="D13" s="1345">
        <v>7.5752314814814812E-4</v>
      </c>
      <c r="E13" s="14"/>
      <c r="F13" s="1092"/>
      <c r="G13" s="1091"/>
      <c r="H13" s="1083"/>
      <c r="I13" s="1080"/>
      <c r="J13" s="14"/>
      <c r="K13" s="1352"/>
      <c r="L13" s="170"/>
      <c r="M13" s="171"/>
      <c r="N13" s="172"/>
      <c r="O13" s="4"/>
      <c r="P13" s="4369" t="s">
        <v>1918</v>
      </c>
      <c r="Q13" s="15"/>
      <c r="R13" s="17"/>
      <c r="S13" s="17"/>
      <c r="T13" s="17"/>
      <c r="U13"/>
      <c r="V13" s="17"/>
      <c r="W13" s="17"/>
      <c r="X13" s="17"/>
      <c r="Y13" s="17"/>
      <c r="Z13" s="17"/>
      <c r="AA13" s="17"/>
      <c r="AB13" s="17"/>
      <c r="AC13" s="17"/>
      <c r="AD13" s="17"/>
      <c r="AE13" s="17"/>
    </row>
    <row r="14" spans="1:32" ht="15" customHeight="1">
      <c r="A14" s="2"/>
      <c r="B14" s="167" t="s">
        <v>124</v>
      </c>
      <c r="C14" s="168"/>
      <c r="D14" s="1345">
        <v>1.6658564814814815E-3</v>
      </c>
      <c r="E14" s="14"/>
      <c r="F14" s="1080"/>
      <c r="G14" s="1091"/>
      <c r="H14" s="1083"/>
      <c r="I14" s="1080"/>
      <c r="J14" s="14"/>
      <c r="K14" s="169"/>
      <c r="L14" s="170"/>
      <c r="M14" s="171"/>
      <c r="N14" s="172"/>
      <c r="O14" s="4"/>
      <c r="P14" s="172"/>
      <c r="Q14" s="15"/>
      <c r="R14" s="17"/>
      <c r="S14" s="17"/>
      <c r="T14" s="17"/>
      <c r="U14"/>
      <c r="V14" s="17"/>
      <c r="W14" s="17"/>
      <c r="X14" s="17"/>
      <c r="Y14" s="17"/>
      <c r="Z14" s="17"/>
      <c r="AA14" s="17"/>
      <c r="AB14" s="17"/>
      <c r="AC14" s="17"/>
      <c r="AD14" s="17"/>
      <c r="AE14" s="17"/>
    </row>
    <row r="15" spans="1:32" ht="15" customHeight="1">
      <c r="A15" s="2"/>
      <c r="B15" s="876" t="s">
        <v>49</v>
      </c>
      <c r="C15" s="168"/>
      <c r="D15" s="692"/>
      <c r="E15" s="14"/>
      <c r="F15" s="1092"/>
      <c r="G15" s="1091"/>
      <c r="H15" s="1083"/>
      <c r="I15" s="1080"/>
      <c r="J15" s="14"/>
      <c r="K15" s="169"/>
      <c r="L15" s="170"/>
      <c r="M15" s="171"/>
      <c r="N15" s="172"/>
      <c r="O15" s="4"/>
      <c r="P15" s="879" t="s">
        <v>54</v>
      </c>
      <c r="Q15" s="15"/>
      <c r="R15" s="17"/>
      <c r="S15" s="17"/>
      <c r="T15" s="17"/>
      <c r="U15"/>
      <c r="V15" s="17"/>
      <c r="W15" s="17"/>
      <c r="X15" s="17"/>
      <c r="Y15" s="17"/>
      <c r="Z15" s="17"/>
      <c r="AA15" s="17"/>
      <c r="AB15" s="17"/>
      <c r="AC15" s="17"/>
      <c r="AD15" s="17"/>
      <c r="AE15" s="17"/>
    </row>
    <row r="16" spans="1:32" ht="15" customHeight="1">
      <c r="A16" s="2"/>
      <c r="B16" s="877" t="s">
        <v>50</v>
      </c>
      <c r="C16" s="168"/>
      <c r="D16" s="692"/>
      <c r="E16" s="14"/>
      <c r="F16" s="1095"/>
      <c r="G16" s="1091"/>
      <c r="H16" s="1083"/>
      <c r="I16" s="1080"/>
      <c r="J16" s="14"/>
      <c r="K16" s="169"/>
      <c r="L16" s="170"/>
      <c r="M16" s="171"/>
      <c r="N16" s="172"/>
      <c r="O16" s="4"/>
      <c r="P16" s="177"/>
      <c r="Q16" s="15"/>
      <c r="R16" s="17"/>
      <c r="S16" s="17"/>
      <c r="T16" s="17"/>
      <c r="U16"/>
      <c r="V16" s="17"/>
      <c r="W16" s="17"/>
      <c r="X16" s="17"/>
      <c r="Y16" s="17"/>
      <c r="Z16" s="17"/>
      <c r="AA16" s="17"/>
      <c r="AB16" s="17"/>
      <c r="AC16" s="17"/>
      <c r="AD16" s="17"/>
      <c r="AE16" s="17"/>
    </row>
    <row r="17" spans="1:31" ht="15" customHeight="1" thickBot="1">
      <c r="A17" s="2"/>
      <c r="B17" s="877" t="s">
        <v>51</v>
      </c>
      <c r="C17" s="168"/>
      <c r="D17" s="694"/>
      <c r="E17" s="14"/>
      <c r="F17" s="1088"/>
      <c r="G17" s="1089" t="s">
        <v>444</v>
      </c>
      <c r="H17" s="1088"/>
      <c r="I17" s="1088"/>
      <c r="J17" s="14"/>
      <c r="K17" s="169"/>
      <c r="L17" s="170"/>
      <c r="M17" s="171"/>
      <c r="N17" s="172"/>
      <c r="O17" s="4"/>
      <c r="P17" s="177"/>
      <c r="Q17" s="15"/>
      <c r="R17" s="17"/>
      <c r="S17" s="17"/>
      <c r="T17" s="17"/>
      <c r="U17"/>
      <c r="V17" s="17"/>
      <c r="W17" s="17"/>
      <c r="X17" s="17"/>
      <c r="Y17" s="17"/>
      <c r="Z17" s="17"/>
      <c r="AA17" s="17"/>
      <c r="AB17" s="17"/>
      <c r="AC17" s="17"/>
      <c r="AD17" s="17"/>
      <c r="AE17" s="17"/>
    </row>
    <row r="18" spans="1:31" ht="15" customHeight="1">
      <c r="A18" s="2"/>
      <c r="B18" s="167" t="s">
        <v>125</v>
      </c>
      <c r="C18" s="165"/>
      <c r="D18" s="1346">
        <v>3.1863425925925928E-4</v>
      </c>
      <c r="E18" s="14"/>
      <c r="F18" s="198" t="s">
        <v>127</v>
      </c>
      <c r="G18" s="199" t="s">
        <v>119</v>
      </c>
      <c r="H18" s="200" t="s">
        <v>128</v>
      </c>
      <c r="I18" s="201" t="s">
        <v>129</v>
      </c>
      <c r="J18" s="14"/>
      <c r="K18" s="169"/>
      <c r="L18" s="170"/>
      <c r="M18" s="171"/>
      <c r="N18" s="172"/>
      <c r="O18" s="4"/>
      <c r="P18" s="177"/>
      <c r="Q18" s="15"/>
      <c r="R18" s="17"/>
      <c r="S18" s="17"/>
      <c r="T18" s="17"/>
      <c r="U18"/>
      <c r="V18" s="17"/>
      <c r="W18" s="17"/>
      <c r="X18" s="17"/>
      <c r="Y18" s="17"/>
      <c r="Z18" s="17"/>
      <c r="AA18" s="17"/>
      <c r="AB18" s="17"/>
      <c r="AC18" s="17"/>
      <c r="AD18" s="17"/>
      <c r="AE18" s="17"/>
    </row>
    <row r="19" spans="1:31" ht="15" customHeight="1" thickBot="1">
      <c r="A19" s="2"/>
      <c r="B19" s="167" t="s">
        <v>126</v>
      </c>
      <c r="C19" s="168"/>
      <c r="D19" s="1346">
        <v>6.8449074074074072E-4</v>
      </c>
      <c r="E19" s="14"/>
      <c r="F19" s="1093" t="s">
        <v>284</v>
      </c>
      <c r="G19" s="1080">
        <v>50</v>
      </c>
      <c r="H19" s="1081">
        <v>3.0671296296296295E-4</v>
      </c>
      <c r="I19" s="1082"/>
      <c r="J19" s="14"/>
      <c r="K19" s="169"/>
      <c r="L19" s="170"/>
      <c r="M19" s="171"/>
      <c r="N19" s="172"/>
      <c r="O19" s="4"/>
      <c r="P19" s="178"/>
      <c r="Q19" s="15"/>
      <c r="R19" s="17"/>
      <c r="S19" s="17"/>
      <c r="T19" s="17"/>
      <c r="U19"/>
      <c r="V19" s="17"/>
      <c r="W19" s="17"/>
      <c r="X19" s="17"/>
      <c r="Y19" s="17"/>
      <c r="Z19" s="17"/>
      <c r="AA19" s="17"/>
      <c r="AB19" s="17"/>
      <c r="AC19" s="17"/>
      <c r="AD19" s="17"/>
      <c r="AE19" s="17"/>
    </row>
    <row r="20" spans="1:31" ht="15" customHeight="1" thickBot="1">
      <c r="A20" s="2"/>
      <c r="B20" s="167" t="s">
        <v>130</v>
      </c>
      <c r="C20" s="168"/>
      <c r="D20" s="1880">
        <v>1.5335648148148149E-3</v>
      </c>
      <c r="E20" s="3"/>
      <c r="F20" s="1093" t="s">
        <v>284</v>
      </c>
      <c r="G20" s="1080">
        <v>100</v>
      </c>
      <c r="H20" s="1082">
        <v>6.9328703703703696E-4</v>
      </c>
      <c r="I20" s="1082"/>
      <c r="J20" s="14"/>
      <c r="K20" s="169"/>
      <c r="L20" s="170"/>
      <c r="M20" s="171"/>
      <c r="N20" s="172"/>
      <c r="O20" s="4"/>
      <c r="P20" s="192" t="s">
        <v>132</v>
      </c>
      <c r="Q20" s="15"/>
      <c r="R20" s="17"/>
      <c r="S20" s="17"/>
      <c r="T20" s="17"/>
      <c r="U20"/>
      <c r="V20" s="17"/>
      <c r="W20" s="17"/>
      <c r="X20" s="17"/>
      <c r="Y20" s="17"/>
      <c r="Z20" s="17"/>
      <c r="AA20" s="17"/>
      <c r="AB20" s="17"/>
      <c r="AC20" s="17"/>
      <c r="AD20" s="17"/>
      <c r="AE20" s="17"/>
    </row>
    <row r="21" spans="1:31" ht="15" customHeight="1">
      <c r="A21" s="2"/>
      <c r="B21" s="167" t="s">
        <v>131</v>
      </c>
      <c r="C21" s="168"/>
      <c r="D21" s="692"/>
      <c r="E21" s="3"/>
      <c r="F21" s="1093" t="s">
        <v>284</v>
      </c>
      <c r="G21" s="1080">
        <v>200</v>
      </c>
      <c r="H21" s="1082">
        <v>1.5740740740740741E-3</v>
      </c>
      <c r="I21" s="1082"/>
      <c r="J21" s="14"/>
      <c r="K21" s="169"/>
      <c r="L21" s="170"/>
      <c r="M21" s="171"/>
      <c r="N21" s="172"/>
      <c r="O21" s="4"/>
      <c r="P21" s="179"/>
      <c r="Q21" s="15"/>
      <c r="R21" s="17"/>
      <c r="S21" s="17"/>
      <c r="T21" s="17"/>
      <c r="U21"/>
      <c r="V21" s="17"/>
      <c r="W21" s="17"/>
      <c r="X21" s="17"/>
      <c r="Y21" s="17"/>
      <c r="Z21" s="17"/>
      <c r="AA21" s="17"/>
      <c r="AB21" s="17"/>
      <c r="AC21" s="17"/>
      <c r="AD21" s="17"/>
      <c r="AE21" s="17"/>
    </row>
    <row r="22" spans="1:31" ht="15" customHeight="1">
      <c r="A22" s="2"/>
      <c r="B22" s="167" t="s">
        <v>133</v>
      </c>
      <c r="C22" s="168"/>
      <c r="D22" s="692"/>
      <c r="E22" s="3"/>
      <c r="F22" s="1093" t="s">
        <v>298</v>
      </c>
      <c r="G22" s="1080">
        <v>50</v>
      </c>
      <c r="H22" s="1082">
        <v>3.4143518518518513E-4</v>
      </c>
      <c r="I22" s="1082"/>
      <c r="J22" s="14"/>
      <c r="K22" s="173"/>
      <c r="L22" s="174"/>
      <c r="M22" s="175"/>
      <c r="N22" s="176"/>
      <c r="O22" s="4"/>
      <c r="P22" s="1078"/>
      <c r="Q22" s="15"/>
      <c r="R22" s="17"/>
      <c r="S22" s="17"/>
      <c r="T22" s="17"/>
      <c r="U22"/>
      <c r="V22" s="17"/>
      <c r="W22" s="17"/>
      <c r="X22" s="17"/>
      <c r="Y22" s="17" t="s">
        <v>193</v>
      </c>
      <c r="Z22" s="17"/>
      <c r="AA22" s="17"/>
      <c r="AB22" s="17"/>
      <c r="AC22" s="17"/>
      <c r="AD22" s="17"/>
      <c r="AE22" s="17"/>
    </row>
    <row r="23" spans="1:31" ht="15" customHeight="1">
      <c r="A23" s="2"/>
      <c r="B23" s="167" t="s">
        <v>904</v>
      </c>
      <c r="C23" s="168"/>
      <c r="D23" s="692"/>
      <c r="E23" s="3"/>
      <c r="F23" s="1093" t="s">
        <v>298</v>
      </c>
      <c r="G23" s="1080">
        <v>100</v>
      </c>
      <c r="H23" s="1082">
        <v>7.4421296296296301E-4</v>
      </c>
      <c r="I23" s="1082"/>
      <c r="J23" s="14"/>
      <c r="K23" s="173"/>
      <c r="L23" s="174"/>
      <c r="M23" s="175"/>
      <c r="N23" s="176"/>
      <c r="O23" s="4"/>
      <c r="P23" s="1078"/>
      <c r="Q23" s="15"/>
      <c r="R23" s="17"/>
      <c r="S23" s="17"/>
      <c r="T23" s="17"/>
      <c r="U23"/>
      <c r="V23" s="17"/>
      <c r="W23" s="17"/>
      <c r="X23" s="17"/>
      <c r="Y23" s="17"/>
      <c r="Z23" s="17"/>
      <c r="AA23" s="17"/>
      <c r="AB23" s="17"/>
      <c r="AC23" s="17"/>
      <c r="AD23" s="17"/>
      <c r="AE23" s="17"/>
    </row>
    <row r="24" spans="1:31" ht="15" customHeight="1">
      <c r="A24" s="2"/>
      <c r="B24" s="167" t="s">
        <v>134</v>
      </c>
      <c r="C24" s="875"/>
      <c r="D24" s="1880">
        <v>1.6689814814814814E-3</v>
      </c>
      <c r="E24" s="3"/>
      <c r="F24" s="1093" t="s">
        <v>298</v>
      </c>
      <c r="G24" s="1080">
        <v>200</v>
      </c>
      <c r="H24" s="1082">
        <v>1.5914351851851851E-3</v>
      </c>
      <c r="I24" s="1082"/>
      <c r="J24" s="14"/>
      <c r="K24" s="1077"/>
      <c r="L24" s="1077"/>
      <c r="M24" s="1077"/>
      <c r="N24" s="1077"/>
      <c r="O24" s="4"/>
      <c r="P24" s="1078"/>
      <c r="Q24" s="15"/>
      <c r="R24" s="17"/>
      <c r="S24" s="17"/>
      <c r="T24" s="17"/>
      <c r="U24"/>
      <c r="V24" s="17"/>
      <c r="W24" s="17"/>
      <c r="X24" s="17"/>
      <c r="Y24" s="17"/>
      <c r="Z24" s="17"/>
      <c r="AA24" s="17"/>
      <c r="AB24" s="17"/>
      <c r="AC24" s="17"/>
      <c r="AD24" s="17"/>
      <c r="AE24" s="17"/>
    </row>
    <row r="25" spans="1:31" ht="15" customHeight="1">
      <c r="A25" s="2"/>
      <c r="B25" s="167" t="s">
        <v>135</v>
      </c>
      <c r="C25" s="875"/>
      <c r="D25" s="1076"/>
      <c r="E25" s="3"/>
      <c r="F25" s="1079" t="s">
        <v>299</v>
      </c>
      <c r="G25" s="1080">
        <v>50</v>
      </c>
      <c r="H25" s="1083"/>
      <c r="I25" s="1082"/>
      <c r="J25" s="14"/>
      <c r="K25" s="1077"/>
      <c r="L25" s="1077"/>
      <c r="M25" s="1077"/>
      <c r="N25" s="1077"/>
      <c r="O25" s="4"/>
      <c r="P25" s="1078"/>
      <c r="Q25" s="15"/>
      <c r="R25" s="17"/>
      <c r="S25" s="17"/>
      <c r="T25" s="17"/>
      <c r="U25"/>
      <c r="V25" s="17"/>
      <c r="W25" s="17"/>
      <c r="X25" s="17"/>
      <c r="Y25" s="17"/>
      <c r="Z25" s="17"/>
      <c r="AA25" s="17"/>
      <c r="AB25" s="17"/>
      <c r="AC25" s="17"/>
      <c r="AD25" s="17"/>
      <c r="AE25" s="17"/>
    </row>
    <row r="26" spans="1:31" ht="15" customHeight="1">
      <c r="A26" s="2"/>
      <c r="B26" s="875"/>
      <c r="C26" s="875"/>
      <c r="D26" s="1076"/>
      <c r="E26" s="3"/>
      <c r="F26" s="1079" t="s">
        <v>299</v>
      </c>
      <c r="G26" s="1080">
        <v>100</v>
      </c>
      <c r="H26" s="1083"/>
      <c r="I26" s="1082"/>
      <c r="J26" s="14"/>
      <c r="K26" s="1077"/>
      <c r="L26" s="1077"/>
      <c r="M26" s="1077"/>
      <c r="N26" s="1077"/>
      <c r="O26" s="4"/>
      <c r="P26" s="1078"/>
      <c r="Q26" s="15"/>
      <c r="R26" s="17"/>
      <c r="S26" s="17"/>
      <c r="T26" s="17"/>
      <c r="U26"/>
      <c r="V26" s="17"/>
      <c r="W26" s="17"/>
      <c r="X26" s="17"/>
      <c r="Y26" s="17"/>
      <c r="Z26" s="17"/>
      <c r="AA26" s="17"/>
      <c r="AB26" s="17"/>
      <c r="AC26" s="17"/>
      <c r="AD26" s="17"/>
      <c r="AE26" s="17"/>
    </row>
    <row r="27" spans="1:31" ht="15" customHeight="1">
      <c r="A27" s="2"/>
      <c r="B27" s="875"/>
      <c r="C27" s="875"/>
      <c r="D27" s="1076"/>
      <c r="E27" s="3"/>
      <c r="F27" s="1079" t="s">
        <v>299</v>
      </c>
      <c r="G27" s="1080">
        <v>200</v>
      </c>
      <c r="H27" s="1083"/>
      <c r="I27" s="1082"/>
      <c r="J27" s="14"/>
      <c r="K27" s="1077"/>
      <c r="L27" s="1077"/>
      <c r="M27" s="1077"/>
      <c r="N27" s="1077"/>
      <c r="O27" s="4"/>
      <c r="P27" s="1078"/>
      <c r="Q27" s="15"/>
      <c r="R27" s="17"/>
      <c r="S27" s="17"/>
      <c r="T27" s="17"/>
      <c r="U27"/>
      <c r="V27" s="17"/>
      <c r="W27" s="17"/>
      <c r="X27" s="17"/>
      <c r="Y27" s="17"/>
      <c r="Z27" s="17"/>
      <c r="AA27" s="17"/>
      <c r="AB27" s="17"/>
      <c r="AC27" s="17"/>
      <c r="AD27" s="17"/>
      <c r="AE27" s="17"/>
    </row>
    <row r="28" spans="1:31" ht="15" customHeight="1">
      <c r="A28" s="2"/>
      <c r="B28" s="875"/>
      <c r="C28" s="875"/>
      <c r="D28" s="1076"/>
      <c r="E28" s="3"/>
      <c r="F28" s="1079" t="s">
        <v>300</v>
      </c>
      <c r="G28" s="1080">
        <v>50</v>
      </c>
      <c r="H28" s="1083">
        <v>3.0208333333333335E-4</v>
      </c>
      <c r="I28" s="1082"/>
      <c r="J28" s="14"/>
      <c r="K28" s="1077"/>
      <c r="L28" s="1077"/>
      <c r="M28" s="1077"/>
      <c r="N28" s="1077"/>
      <c r="O28" s="4"/>
      <c r="P28" s="1078"/>
      <c r="Q28" s="15"/>
      <c r="R28" s="17"/>
      <c r="S28" s="17"/>
      <c r="T28" s="17"/>
      <c r="U28"/>
      <c r="V28" s="17"/>
      <c r="W28" s="17"/>
      <c r="X28" s="17"/>
      <c r="Y28" s="17"/>
      <c r="Z28" s="17"/>
      <c r="AA28" s="17"/>
      <c r="AB28" s="17"/>
      <c r="AC28" s="17"/>
      <c r="AD28" s="17"/>
      <c r="AE28" s="17"/>
    </row>
    <row r="29" spans="1:31" ht="15" customHeight="1">
      <c r="A29" s="2"/>
      <c r="B29" s="875"/>
      <c r="C29" s="875"/>
      <c r="D29" s="1076"/>
      <c r="E29" s="3"/>
      <c r="F29" s="1079" t="s">
        <v>300</v>
      </c>
      <c r="G29" s="1080">
        <v>100</v>
      </c>
      <c r="H29" s="1083">
        <v>6.7245370370370375E-4</v>
      </c>
      <c r="I29" s="1082"/>
      <c r="J29" s="14"/>
      <c r="K29" s="1077"/>
      <c r="L29" s="1077"/>
      <c r="M29" s="1077"/>
      <c r="N29" s="1077"/>
      <c r="O29" s="4"/>
      <c r="P29" s="1078"/>
      <c r="Q29" s="15"/>
      <c r="R29" s="17"/>
      <c r="S29" s="17"/>
      <c r="T29" s="17"/>
      <c r="U29"/>
      <c r="V29" s="17"/>
      <c r="W29" s="17"/>
      <c r="X29" s="17"/>
      <c r="Y29" s="17"/>
      <c r="Z29" s="17"/>
      <c r="AA29" s="17"/>
      <c r="AB29" s="17"/>
      <c r="AC29" s="17"/>
      <c r="AD29" s="17"/>
      <c r="AE29" s="17"/>
    </row>
    <row r="30" spans="1:31" ht="15" customHeight="1">
      <c r="A30" s="2"/>
      <c r="B30" s="875"/>
      <c r="C30" s="875"/>
      <c r="D30" s="1076"/>
      <c r="E30" s="3"/>
      <c r="F30" s="1079" t="s">
        <v>300</v>
      </c>
      <c r="G30" s="1080">
        <v>200</v>
      </c>
      <c r="H30" s="1083">
        <v>1.4351851851851854E-3</v>
      </c>
      <c r="I30" s="1082"/>
      <c r="J30" s="14"/>
      <c r="K30" s="1077"/>
      <c r="L30" s="1077"/>
      <c r="M30" s="1077"/>
      <c r="N30" s="1077"/>
      <c r="O30" s="4"/>
      <c r="P30" s="1078"/>
      <c r="Q30" s="15"/>
      <c r="R30" s="17"/>
      <c r="S30" s="17"/>
      <c r="T30" s="17"/>
      <c r="U30"/>
      <c r="V30" s="17"/>
      <c r="W30" s="17"/>
      <c r="X30" s="17"/>
      <c r="Y30" s="17"/>
      <c r="Z30" s="17"/>
      <c r="AA30" s="17"/>
      <c r="AB30" s="17"/>
      <c r="AC30" s="17"/>
      <c r="AD30" s="17"/>
      <c r="AE30" s="17"/>
    </row>
    <row r="31" spans="1:31" ht="15" customHeight="1">
      <c r="A31" s="2"/>
      <c r="B31" s="875"/>
      <c r="C31" s="875"/>
      <c r="D31" s="1076"/>
      <c r="E31" s="3"/>
      <c r="F31" s="1079" t="s">
        <v>300</v>
      </c>
      <c r="G31" s="1080">
        <v>400</v>
      </c>
      <c r="H31" s="1083">
        <v>3.0902777777777782E-3</v>
      </c>
      <c r="I31" s="1082"/>
      <c r="J31" s="14"/>
      <c r="K31" s="1077"/>
      <c r="L31" s="1077"/>
      <c r="M31" s="1077"/>
      <c r="N31" s="1077"/>
      <c r="O31" s="4"/>
      <c r="P31" s="1078"/>
      <c r="Q31" s="15"/>
      <c r="R31" s="17"/>
      <c r="S31" s="17"/>
      <c r="T31" s="17"/>
      <c r="U31"/>
      <c r="V31" s="17"/>
      <c r="W31" s="17"/>
      <c r="X31" s="17"/>
      <c r="Y31" s="17"/>
      <c r="Z31" s="17"/>
      <c r="AA31" s="17"/>
      <c r="AB31" s="17"/>
      <c r="AC31" s="17"/>
      <c r="AD31" s="17"/>
      <c r="AE31" s="17"/>
    </row>
    <row r="32" spans="1:31" ht="15" customHeight="1">
      <c r="A32" s="2"/>
      <c r="B32" s="875"/>
      <c r="C32" s="875"/>
      <c r="D32" s="1076"/>
      <c r="E32" s="3"/>
      <c r="F32" s="1079" t="s">
        <v>300</v>
      </c>
      <c r="G32" s="1080">
        <v>800</v>
      </c>
      <c r="H32" s="1083">
        <v>6.6435185185185182E-3</v>
      </c>
      <c r="I32" s="1082"/>
      <c r="J32" s="14"/>
      <c r="K32" s="1077"/>
      <c r="L32" s="1077"/>
      <c r="M32" s="1077"/>
      <c r="N32" s="1077"/>
      <c r="O32" s="4"/>
      <c r="P32" s="1078"/>
      <c r="Q32" s="15"/>
      <c r="R32" s="17"/>
      <c r="S32" s="17"/>
      <c r="T32" s="17"/>
      <c r="U32"/>
      <c r="V32" s="17"/>
      <c r="W32" s="17"/>
      <c r="X32" s="17"/>
      <c r="Y32" s="17"/>
      <c r="Z32" s="17"/>
      <c r="AA32" s="17"/>
      <c r="AB32" s="17"/>
      <c r="AC32" s="17"/>
      <c r="AD32" s="17"/>
      <c r="AE32" s="17"/>
    </row>
    <row r="33" spans="1:31" ht="15" customHeight="1">
      <c r="A33" s="2"/>
      <c r="B33" s="875"/>
      <c r="C33" s="875"/>
      <c r="D33" s="1076"/>
      <c r="E33" s="3"/>
      <c r="F33" s="1079" t="s">
        <v>300</v>
      </c>
      <c r="G33" s="1080">
        <v>1500</v>
      </c>
      <c r="H33" s="1083">
        <v>1.3194444444444444E-2</v>
      </c>
      <c r="I33" s="1082"/>
      <c r="J33" s="14"/>
      <c r="K33" s="1077"/>
      <c r="L33" s="1077"/>
      <c r="M33" s="1077"/>
      <c r="N33" s="1077"/>
      <c r="O33" s="4"/>
      <c r="P33" s="1078"/>
      <c r="Q33" s="15"/>
      <c r="R33" s="17"/>
      <c r="S33" s="17"/>
      <c r="T33" s="17"/>
      <c r="U33"/>
      <c r="V33" s="17"/>
      <c r="W33" s="17"/>
      <c r="X33" s="17"/>
      <c r="Y33" s="17"/>
      <c r="Z33" s="17"/>
      <c r="AA33" s="17"/>
      <c r="AB33" s="17"/>
      <c r="AC33" s="17"/>
      <c r="AD33" s="17"/>
      <c r="AE33" s="17"/>
    </row>
    <row r="34" spans="1:31" ht="15" customHeight="1">
      <c r="A34" s="2"/>
      <c r="B34" s="875"/>
      <c r="C34" s="875"/>
      <c r="D34" s="1076"/>
      <c r="E34" s="3"/>
      <c r="F34" s="1079" t="s">
        <v>535</v>
      </c>
      <c r="G34" s="1080">
        <v>200</v>
      </c>
      <c r="H34" s="1083">
        <v>1.6203703703703703E-3</v>
      </c>
      <c r="I34" s="1082"/>
      <c r="J34" s="14"/>
      <c r="K34" s="1077"/>
      <c r="L34" s="1077"/>
      <c r="M34" s="1077"/>
      <c r="N34" s="1077"/>
      <c r="O34" s="4"/>
      <c r="P34" s="1078"/>
      <c r="Q34" s="15"/>
      <c r="R34" s="17"/>
      <c r="S34" s="17"/>
      <c r="T34" s="17"/>
      <c r="U34"/>
      <c r="V34" s="17"/>
      <c r="W34" s="17"/>
      <c r="X34" s="17"/>
      <c r="Y34" s="17"/>
      <c r="Z34" s="17"/>
      <c r="AA34" s="17"/>
      <c r="AB34" s="17"/>
      <c r="AC34" s="17"/>
      <c r="AD34" s="17"/>
      <c r="AE34" s="17"/>
    </row>
    <row r="35" spans="1:31" ht="15" customHeight="1">
      <c r="A35" s="2"/>
      <c r="B35" s="875"/>
      <c r="C35" s="875"/>
      <c r="D35" s="1076"/>
      <c r="E35" s="3"/>
      <c r="F35" s="1079" t="s">
        <v>535</v>
      </c>
      <c r="G35" s="1080">
        <v>400</v>
      </c>
      <c r="H35" s="1083">
        <v>3.2638888888888891E-3</v>
      </c>
      <c r="I35" s="1082"/>
      <c r="J35" s="14"/>
      <c r="K35" s="1077"/>
      <c r="L35" s="1077"/>
      <c r="M35" s="1077"/>
      <c r="N35" s="1077"/>
      <c r="O35" s="4"/>
      <c r="P35" s="1078"/>
      <c r="Q35" s="15"/>
      <c r="R35" s="17"/>
      <c r="S35" s="17"/>
      <c r="T35" s="17"/>
      <c r="U35"/>
      <c r="V35" s="17"/>
      <c r="W35" s="17"/>
      <c r="X35" s="17"/>
      <c r="Y35" s="17"/>
      <c r="Z35" s="17"/>
      <c r="AA35" s="17"/>
      <c r="AB35" s="17"/>
      <c r="AC35" s="17"/>
      <c r="AD35" s="17"/>
      <c r="AE35" s="17"/>
    </row>
    <row r="36" spans="1:31" ht="15" customHeight="1">
      <c r="A36" s="2"/>
      <c r="B36" s="18"/>
      <c r="C36" s="3"/>
      <c r="D36" s="687"/>
      <c r="E36" s="3"/>
      <c r="F36" s="19"/>
      <c r="G36" s="14"/>
      <c r="H36" s="14"/>
      <c r="I36" s="14"/>
      <c r="J36" s="14"/>
      <c r="K36" s="10"/>
      <c r="L36" s="3"/>
      <c r="M36" s="3"/>
      <c r="N36" s="3"/>
      <c r="O36" s="3"/>
      <c r="P36" s="3"/>
      <c r="Q36" s="2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</row>
    <row r="37" spans="1:31" ht="15" customHeight="1">
      <c r="A37" s="20"/>
      <c r="B37" s="20"/>
      <c r="C37" s="20"/>
      <c r="D37" s="693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</row>
    <row r="38" spans="1:31" ht="15" customHeight="1">
      <c r="A38" s="20"/>
      <c r="B38" s="20"/>
      <c r="C38" s="20"/>
      <c r="D38" s="693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</row>
    <row r="39" spans="1:31" ht="15" customHeight="1">
      <c r="A39" s="20"/>
      <c r="B39" s="20"/>
      <c r="C39" s="20"/>
      <c r="D39" s="693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</row>
    <row r="46" spans="1:31" ht="11"/>
    <row r="47" spans="1:31" ht="11"/>
    <row r="48" spans="1:31" ht="11"/>
    <row r="49" ht="11"/>
    <row r="50" ht="11"/>
    <row r="51" ht="11"/>
    <row r="52" ht="11"/>
    <row r="53" ht="11"/>
    <row r="54" ht="11"/>
    <row r="55" ht="11"/>
    <row r="56" ht="11"/>
    <row r="57" ht="11"/>
    <row r="58" ht="11"/>
    <row r="59" ht="11"/>
    <row r="60" ht="11"/>
    <row r="61" ht="11"/>
    <row r="62" ht="11"/>
    <row r="63" ht="11"/>
    <row r="64" ht="11"/>
    <row r="65" ht="11"/>
    <row r="66" ht="11"/>
    <row r="67" ht="11"/>
    <row r="68" ht="11"/>
    <row r="69" ht="11"/>
    <row r="70" ht="11"/>
    <row r="71" ht="11"/>
    <row r="72" ht="11"/>
    <row r="73" ht="11"/>
    <row r="74" ht="11"/>
    <row r="75" ht="11"/>
    <row r="76" ht="11"/>
    <row r="77" ht="11"/>
    <row r="78" ht="11"/>
    <row r="79" ht="11"/>
    <row r="80" ht="11"/>
    <row r="81" ht="11"/>
    <row r="82" ht="11"/>
    <row r="83" ht="11"/>
    <row r="84" ht="11"/>
    <row r="85" ht="11"/>
    <row r="86" ht="11"/>
  </sheetData>
  <mergeCells count="3">
    <mergeCell ref="N3:P3"/>
    <mergeCell ref="N4:P4"/>
    <mergeCell ref="N5:P5"/>
  </mergeCells>
  <phoneticPr fontId="21" type="noConversion"/>
  <pageMargins left="0" right="0" top="1.1811023622047245" bottom="0" header="0" footer="0"/>
  <pageSetup paperSize="9" scale="85" orientation="landscape" horizontalDpi="0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00FF00"/>
    <pageSetUpPr fitToPage="1"/>
  </sheetPr>
  <dimension ref="A1:AE85"/>
  <sheetViews>
    <sheetView topLeftCell="A20" zoomScale="150" zoomScaleNormal="150" zoomScalePageLayoutView="145" workbookViewId="0">
      <selection activeCell="K46" sqref="K46:Q46"/>
    </sheetView>
  </sheetViews>
  <sheetFormatPr baseColWidth="10" defaultColWidth="11.5" defaultRowHeight="11"/>
  <cols>
    <col min="1" max="1" width="3" style="21" customWidth="1"/>
    <col min="2" max="2" width="6.6640625" style="22" customWidth="1"/>
    <col min="3" max="3" width="6" style="22" customWidth="1"/>
    <col min="4" max="7" width="5.33203125" style="22" customWidth="1"/>
    <col min="8" max="8" width="1.33203125" style="22" customWidth="1"/>
    <col min="9" max="9" width="2.83203125" style="22" customWidth="1"/>
    <col min="10" max="10" width="8.83203125" style="22" customWidth="1"/>
    <col min="11" max="11" width="4.33203125" style="22" customWidth="1"/>
    <col min="12" max="15" width="4" style="22" customWidth="1"/>
    <col min="16" max="16" width="4.5" style="22" customWidth="1"/>
    <col min="17" max="17" width="4" style="22" customWidth="1"/>
    <col min="18" max="18" width="5.6640625" style="22" customWidth="1"/>
    <col min="19" max="19" width="6.6640625" style="22" customWidth="1"/>
    <col min="20" max="20" width="7.1640625" style="22" customWidth="1"/>
    <col min="21" max="21" width="6.6640625" style="22" customWidth="1"/>
    <col min="22" max="22" width="5.33203125" style="22" customWidth="1"/>
    <col min="23" max="23" width="4" style="22" customWidth="1"/>
    <col min="24" max="24" width="5.33203125" style="22" customWidth="1"/>
    <col min="25" max="25" width="5.83203125" style="22" customWidth="1"/>
    <col min="26" max="26" width="5.33203125" style="22" customWidth="1"/>
    <col min="27" max="27" width="5.83203125" style="22" customWidth="1"/>
    <col min="28" max="28" width="5.33203125" style="22" customWidth="1"/>
    <col min="29" max="29" width="5.83203125" style="22" customWidth="1"/>
    <col min="30" max="245" width="4" style="22" customWidth="1"/>
    <col min="246" max="16384" width="11.5" style="22"/>
  </cols>
  <sheetData>
    <row r="1" spans="1:29" ht="15" thickTop="1" thickBot="1">
      <c r="A1" s="253"/>
      <c r="B1" s="254"/>
      <c r="D1" s="1056" t="s">
        <v>21</v>
      </c>
    </row>
    <row r="2" spans="1:29" ht="14" thickTop="1">
      <c r="A2" s="253"/>
      <c r="B2" s="255"/>
      <c r="D2" s="1056" t="s">
        <v>674</v>
      </c>
      <c r="X2" s="255"/>
      <c r="Z2" s="255"/>
      <c r="AB2" s="255"/>
    </row>
    <row r="3" spans="1:29" ht="5.25" customHeight="1">
      <c r="A3" s="253"/>
      <c r="B3" s="255"/>
      <c r="D3" s="1057"/>
      <c r="X3" s="255"/>
      <c r="Z3" s="255"/>
      <c r="AB3" s="255"/>
    </row>
    <row r="4" spans="1:29" ht="13">
      <c r="A4" s="253"/>
      <c r="B4" s="255"/>
      <c r="D4" s="1056" t="s">
        <v>22</v>
      </c>
      <c r="X4" s="255"/>
      <c r="Z4" s="255"/>
      <c r="AB4" s="255"/>
    </row>
    <row r="5" spans="1:29" ht="14" thickBot="1">
      <c r="A5" s="253"/>
      <c r="B5" s="255"/>
      <c r="D5" s="1056"/>
      <c r="T5" s="23"/>
      <c r="X5" s="255"/>
      <c r="Z5" s="255"/>
      <c r="AB5" s="255"/>
    </row>
    <row r="6" spans="1:29" ht="13.5" customHeight="1" thickBot="1">
      <c r="A6" s="253"/>
      <c r="B6" s="7857" t="s">
        <v>1169</v>
      </c>
      <c r="C6" s="7858"/>
      <c r="D6" s="1061">
        <v>44812</v>
      </c>
      <c r="E6" s="1058"/>
      <c r="F6" s="1059"/>
      <c r="G6" s="1060"/>
      <c r="X6" s="7857" t="s">
        <v>284</v>
      </c>
      <c r="Y6" s="7858"/>
      <c r="Z6" s="7857" t="s">
        <v>298</v>
      </c>
      <c r="AA6" s="7858"/>
      <c r="AB6" s="7857" t="s">
        <v>300</v>
      </c>
      <c r="AC6" s="7858"/>
    </row>
    <row r="7" spans="1:29" ht="12" thickBot="1">
      <c r="A7" s="253"/>
      <c r="B7" s="939">
        <v>50</v>
      </c>
      <c r="C7" s="939">
        <v>100</v>
      </c>
      <c r="D7" s="941" t="s">
        <v>158</v>
      </c>
      <c r="E7" s="941" t="s">
        <v>158</v>
      </c>
      <c r="F7" s="942" t="s">
        <v>158</v>
      </c>
      <c r="G7" s="942" t="s">
        <v>158</v>
      </c>
      <c r="X7" s="939">
        <v>50</v>
      </c>
      <c r="Y7" s="939">
        <v>100</v>
      </c>
      <c r="Z7" s="939">
        <v>50</v>
      </c>
      <c r="AA7" s="939">
        <v>100</v>
      </c>
      <c r="AB7" s="939">
        <v>50</v>
      </c>
      <c r="AC7" s="939">
        <v>100</v>
      </c>
    </row>
    <row r="8" spans="1:29">
      <c r="A8" s="128">
        <v>1</v>
      </c>
      <c r="B8" s="1922">
        <v>5.8940972222222218E-4</v>
      </c>
      <c r="C8" s="944">
        <v>1.2152777777777778E-3</v>
      </c>
      <c r="D8" s="940">
        <v>120</v>
      </c>
      <c r="F8" s="131"/>
      <c r="G8" s="1030"/>
      <c r="X8" s="943">
        <f>B8*0.97297</f>
        <v>5.7347797743055552E-4</v>
      </c>
      <c r="Y8" s="944">
        <f t="shared" ref="Y8:Y26" si="0">C8*0.97297</f>
        <v>1.1824288194444445E-3</v>
      </c>
      <c r="Z8" s="943">
        <f>B8*0.98666</f>
        <v>5.8154699652777767E-4</v>
      </c>
      <c r="AA8" s="944">
        <f t="shared" ref="AA8:AA26" si="1">C8*0.98666</f>
        <v>1.1990659722222222E-3</v>
      </c>
      <c r="AB8" s="943">
        <f>B8*0.89189</f>
        <v>5.2568863715277776E-4</v>
      </c>
      <c r="AC8" s="944">
        <f t="shared" ref="AC8:AC26" si="2">C8*0.89189</f>
        <v>1.0838940972222222E-3</v>
      </c>
    </row>
    <row r="9" spans="1:29">
      <c r="A9" s="128">
        <v>2</v>
      </c>
      <c r="B9" s="1923">
        <v>5.7256944444444445E-4</v>
      </c>
      <c r="C9" s="946">
        <v>1.1805555555555556E-3</v>
      </c>
      <c r="D9" s="940">
        <v>135</v>
      </c>
      <c r="F9" s="1030"/>
      <c r="G9" s="1030"/>
      <c r="X9" s="945">
        <f t="shared" ref="X9:X26" si="3">B9*0.97297</f>
        <v>5.5709289236111114E-4</v>
      </c>
      <c r="Y9" s="946">
        <f t="shared" si="0"/>
        <v>1.1486451388888889E-3</v>
      </c>
      <c r="Z9" s="945">
        <f t="shared" ref="Z9:Z26" si="4">B9*0.98666</f>
        <v>5.649313680555555E-4</v>
      </c>
      <c r="AA9" s="946">
        <f t="shared" si="1"/>
        <v>1.1648069444444445E-3</v>
      </c>
      <c r="AB9" s="945">
        <f t="shared" ref="AB9:AB26" si="5">B9*0.89189</f>
        <v>5.1066896180555548E-4</v>
      </c>
      <c r="AC9" s="946">
        <f t="shared" si="2"/>
        <v>1.0529256944444444E-3</v>
      </c>
    </row>
    <row r="10" spans="1:29">
      <c r="A10" s="128">
        <v>3</v>
      </c>
      <c r="B10" s="1923">
        <v>5.5572916666666661E-4</v>
      </c>
      <c r="C10" s="946">
        <v>1.1458333333333333E-3</v>
      </c>
      <c r="D10" s="131">
        <v>140</v>
      </c>
      <c r="F10" s="1030"/>
      <c r="G10" s="1030"/>
      <c r="X10" s="945">
        <f t="shared" si="3"/>
        <v>5.4070780729166665E-4</v>
      </c>
      <c r="Y10" s="946">
        <f t="shared" si="0"/>
        <v>1.1148614583333333E-3</v>
      </c>
      <c r="Z10" s="945">
        <f t="shared" si="4"/>
        <v>5.4831573958333323E-4</v>
      </c>
      <c r="AA10" s="946">
        <f t="shared" si="1"/>
        <v>1.1305479166666666E-3</v>
      </c>
      <c r="AB10" s="945">
        <f t="shared" si="5"/>
        <v>4.9564928645833332E-4</v>
      </c>
      <c r="AC10" s="946">
        <f t="shared" si="2"/>
        <v>1.0219572916666667E-3</v>
      </c>
    </row>
    <row r="11" spans="1:29">
      <c r="A11" s="128">
        <v>4</v>
      </c>
      <c r="B11" s="1923">
        <v>5.3888888888888888E-4</v>
      </c>
      <c r="C11" s="946">
        <v>1.1111111111111111E-3</v>
      </c>
      <c r="D11" s="131">
        <v>143</v>
      </c>
      <c r="F11" s="1030"/>
      <c r="G11" s="1030"/>
      <c r="X11" s="945">
        <f t="shared" si="3"/>
        <v>5.2432272222222227E-4</v>
      </c>
      <c r="Y11" s="946">
        <f t="shared" si="0"/>
        <v>1.0810777777777777E-3</v>
      </c>
      <c r="Z11" s="945">
        <f t="shared" si="4"/>
        <v>5.3170011111111106E-4</v>
      </c>
      <c r="AA11" s="946">
        <f t="shared" si="1"/>
        <v>1.0962888888888889E-3</v>
      </c>
      <c r="AB11" s="945">
        <f t="shared" si="5"/>
        <v>4.8062961111111109E-4</v>
      </c>
      <c r="AC11" s="946">
        <f t="shared" si="2"/>
        <v>9.9098888888888887E-4</v>
      </c>
    </row>
    <row r="12" spans="1:29">
      <c r="A12" s="128">
        <v>5</v>
      </c>
      <c r="B12" s="1923">
        <v>5.2204861111111104E-4</v>
      </c>
      <c r="C12" s="946">
        <v>1.0763888888888889E-3</v>
      </c>
      <c r="D12" s="131">
        <v>155</v>
      </c>
      <c r="F12" s="1030"/>
      <c r="G12" s="1030"/>
      <c r="X12" s="945">
        <f t="shared" si="3"/>
        <v>5.0793763715277767E-4</v>
      </c>
      <c r="Y12" s="946">
        <f t="shared" si="0"/>
        <v>1.0472940972222223E-3</v>
      </c>
      <c r="Z12" s="945">
        <f t="shared" si="4"/>
        <v>5.1508448263888878E-4</v>
      </c>
      <c r="AA12" s="946">
        <f t="shared" si="1"/>
        <v>1.0620298611111112E-3</v>
      </c>
      <c r="AB12" s="945">
        <f t="shared" si="5"/>
        <v>4.6560993576388881E-4</v>
      </c>
      <c r="AC12" s="946">
        <f t="shared" si="2"/>
        <v>9.6002048611111101E-4</v>
      </c>
    </row>
    <row r="13" spans="1:29">
      <c r="A13" s="128">
        <v>6</v>
      </c>
      <c r="B13" s="1924">
        <v>5.0520833333333331E-4</v>
      </c>
      <c r="C13" s="800">
        <v>1.0416666666666667E-3</v>
      </c>
      <c r="D13" s="131">
        <v>158</v>
      </c>
      <c r="F13" s="958"/>
      <c r="G13" s="958"/>
      <c r="X13" s="801">
        <f t="shared" si="3"/>
        <v>4.9155255208333329E-4</v>
      </c>
      <c r="Y13" s="800">
        <f t="shared" si="0"/>
        <v>1.0135104166666667E-3</v>
      </c>
      <c r="Z13" s="801">
        <f t="shared" si="4"/>
        <v>4.9846885416666661E-4</v>
      </c>
      <c r="AA13" s="800">
        <f t="shared" si="1"/>
        <v>1.0277708333333332E-3</v>
      </c>
      <c r="AB13" s="801">
        <f t="shared" si="5"/>
        <v>4.5059026041666665E-4</v>
      </c>
      <c r="AC13" s="800">
        <f t="shared" si="2"/>
        <v>9.2905208333333327E-4</v>
      </c>
    </row>
    <row r="14" spans="1:29">
      <c r="A14" s="128">
        <v>7</v>
      </c>
      <c r="B14" s="1924">
        <v>4.8836805555555558E-4</v>
      </c>
      <c r="C14" s="800">
        <v>1.0069444444444444E-3</v>
      </c>
      <c r="D14" s="940">
        <v>160</v>
      </c>
      <c r="F14" s="940"/>
      <c r="G14" s="1030"/>
      <c r="X14" s="801">
        <f t="shared" si="3"/>
        <v>4.751674670138889E-4</v>
      </c>
      <c r="Y14" s="800">
        <f t="shared" si="0"/>
        <v>9.7972673611111108E-4</v>
      </c>
      <c r="Z14" s="801">
        <f t="shared" si="4"/>
        <v>4.8185322569444444E-4</v>
      </c>
      <c r="AA14" s="800">
        <f t="shared" si="1"/>
        <v>9.9351180555555551E-4</v>
      </c>
      <c r="AB14" s="801">
        <f t="shared" si="5"/>
        <v>4.3557058506944442E-4</v>
      </c>
      <c r="AC14" s="800">
        <f t="shared" si="2"/>
        <v>8.9808368055555553E-4</v>
      </c>
    </row>
    <row r="15" spans="1:29">
      <c r="A15" s="128">
        <v>8</v>
      </c>
      <c r="B15" s="1924">
        <v>4.7152777777777774E-4</v>
      </c>
      <c r="C15" s="800">
        <v>9.7222222222222219E-4</v>
      </c>
      <c r="D15" s="940">
        <v>163</v>
      </c>
      <c r="F15" s="940"/>
      <c r="G15" s="958"/>
      <c r="X15" s="801">
        <f t="shared" si="3"/>
        <v>4.5878238194444441E-4</v>
      </c>
      <c r="Y15" s="800">
        <f t="shared" si="0"/>
        <v>9.4594305555555558E-4</v>
      </c>
      <c r="Z15" s="801">
        <f t="shared" si="4"/>
        <v>4.6523759722222216E-4</v>
      </c>
      <c r="AA15" s="800">
        <f t="shared" si="1"/>
        <v>9.5925277777777769E-4</v>
      </c>
      <c r="AB15" s="801">
        <f t="shared" si="5"/>
        <v>4.205509097222222E-4</v>
      </c>
      <c r="AC15" s="800">
        <f t="shared" si="2"/>
        <v>8.6711527777777768E-4</v>
      </c>
    </row>
    <row r="16" spans="1:29">
      <c r="A16" s="128">
        <v>9</v>
      </c>
      <c r="B16" s="1925">
        <v>4.6030092592592591E-4</v>
      </c>
      <c r="C16" s="948">
        <v>9.4907407407407408E-4</v>
      </c>
      <c r="D16" s="940">
        <v>166</v>
      </c>
      <c r="F16" s="940"/>
      <c r="G16" s="1030"/>
      <c r="X16" s="947">
        <f t="shared" si="3"/>
        <v>4.4785899189814812E-4</v>
      </c>
      <c r="Y16" s="948">
        <f t="shared" si="0"/>
        <v>9.2342060185185188E-4</v>
      </c>
      <c r="Z16" s="947">
        <f t="shared" si="4"/>
        <v>4.5416051157407407E-4</v>
      </c>
      <c r="AA16" s="948">
        <f t="shared" si="1"/>
        <v>9.3641342592592591E-4</v>
      </c>
      <c r="AB16" s="947">
        <f t="shared" si="5"/>
        <v>4.1053779282407401E-4</v>
      </c>
      <c r="AC16" s="948">
        <f t="shared" si="2"/>
        <v>8.4646967592592588E-4</v>
      </c>
    </row>
    <row r="17" spans="1:31">
      <c r="A17" s="128">
        <v>10</v>
      </c>
      <c r="B17" s="1925">
        <v>4.4907407407407407E-4</v>
      </c>
      <c r="C17" s="948">
        <v>9.2592592592592596E-4</v>
      </c>
      <c r="D17" s="940">
        <v>168</v>
      </c>
      <c r="F17" s="940"/>
      <c r="G17" s="958"/>
      <c r="X17" s="947">
        <f t="shared" si="3"/>
        <v>4.3693560185185183E-4</v>
      </c>
      <c r="Y17" s="948">
        <f t="shared" si="0"/>
        <v>9.0089814814814817E-4</v>
      </c>
      <c r="Z17" s="947">
        <f t="shared" si="4"/>
        <v>4.4308342592592592E-4</v>
      </c>
      <c r="AA17" s="948">
        <f t="shared" si="1"/>
        <v>9.1357407407407414E-4</v>
      </c>
      <c r="AB17" s="947">
        <f t="shared" si="5"/>
        <v>4.0052467592592588E-4</v>
      </c>
      <c r="AC17" s="948">
        <f t="shared" si="2"/>
        <v>8.2582407407407409E-4</v>
      </c>
    </row>
    <row r="18" spans="1:31">
      <c r="A18" s="128">
        <v>11</v>
      </c>
      <c r="B18" s="1926">
        <v>4.3784722222222223E-4</v>
      </c>
      <c r="C18" s="950">
        <v>9.0277777777777784E-4</v>
      </c>
      <c r="D18" s="940">
        <v>172</v>
      </c>
      <c r="F18" s="940"/>
      <c r="G18" s="1030"/>
      <c r="X18" s="949">
        <f t="shared" si="3"/>
        <v>4.2601221180555554E-4</v>
      </c>
      <c r="Y18" s="950">
        <f t="shared" si="0"/>
        <v>8.7837569444444447E-4</v>
      </c>
      <c r="Z18" s="949">
        <f t="shared" si="4"/>
        <v>4.3200634027777777E-4</v>
      </c>
      <c r="AA18" s="950">
        <f t="shared" si="1"/>
        <v>8.9073472222222225E-4</v>
      </c>
      <c r="AB18" s="949">
        <f t="shared" si="5"/>
        <v>3.9051155902777775E-4</v>
      </c>
      <c r="AC18" s="950">
        <f t="shared" si="2"/>
        <v>8.051784722222223E-4</v>
      </c>
    </row>
    <row r="19" spans="1:31">
      <c r="A19" s="128">
        <v>12</v>
      </c>
      <c r="B19" s="1926">
        <v>4.2662037037037039E-4</v>
      </c>
      <c r="C19" s="950">
        <v>8.7962962962962973E-4</v>
      </c>
      <c r="D19" s="940">
        <v>180</v>
      </c>
      <c r="F19" s="940"/>
      <c r="G19" s="958"/>
      <c r="X19" s="949">
        <f t="shared" si="3"/>
        <v>4.1508882175925931E-4</v>
      </c>
      <c r="Y19" s="950">
        <f t="shared" si="0"/>
        <v>8.5585324074074088E-4</v>
      </c>
      <c r="Z19" s="949">
        <f t="shared" si="4"/>
        <v>4.2092925462962962E-4</v>
      </c>
      <c r="AA19" s="950">
        <f t="shared" si="1"/>
        <v>8.6789537037037048E-4</v>
      </c>
      <c r="AB19" s="949">
        <f t="shared" si="5"/>
        <v>3.8049844212962962E-4</v>
      </c>
      <c r="AC19" s="950">
        <f t="shared" si="2"/>
        <v>7.845328703703704E-4</v>
      </c>
    </row>
    <row r="20" spans="1:31" ht="13.5" customHeight="1">
      <c r="A20" s="128">
        <v>13</v>
      </c>
      <c r="B20" s="1927">
        <v>4.1539351851851855E-4</v>
      </c>
      <c r="C20" s="952">
        <v>8.5648148148148161E-4</v>
      </c>
      <c r="D20" s="940">
        <v>172</v>
      </c>
      <c r="F20" s="940"/>
      <c r="G20" s="1030"/>
      <c r="X20" s="951">
        <f t="shared" si="3"/>
        <v>4.0416543171296302E-4</v>
      </c>
      <c r="Y20" s="952">
        <f t="shared" si="0"/>
        <v>8.3333078703703718E-4</v>
      </c>
      <c r="Z20" s="951">
        <f t="shared" si="4"/>
        <v>4.0985216898148152E-4</v>
      </c>
      <c r="AA20" s="952">
        <f t="shared" si="1"/>
        <v>8.450560185185186E-4</v>
      </c>
      <c r="AB20" s="951">
        <f t="shared" si="5"/>
        <v>3.7048532523148149E-4</v>
      </c>
      <c r="AC20" s="952">
        <f t="shared" si="2"/>
        <v>7.638872685185186E-4</v>
      </c>
    </row>
    <row r="21" spans="1:31" ht="13.5" customHeight="1">
      <c r="A21" s="128">
        <v>14</v>
      </c>
      <c r="B21" s="1927">
        <v>4.0416666666666671E-4</v>
      </c>
      <c r="C21" s="952">
        <v>8.333333333333335E-4</v>
      </c>
      <c r="D21" s="940">
        <v>171</v>
      </c>
      <c r="F21" s="940"/>
      <c r="G21" s="958"/>
      <c r="X21" s="951">
        <f t="shared" si="3"/>
        <v>3.9324204166666673E-4</v>
      </c>
      <c r="Y21" s="952">
        <f t="shared" si="0"/>
        <v>8.1080833333333348E-4</v>
      </c>
      <c r="Z21" s="951">
        <f t="shared" si="4"/>
        <v>3.9877508333333337E-4</v>
      </c>
      <c r="AA21" s="952">
        <f t="shared" si="1"/>
        <v>8.2221666666666682E-4</v>
      </c>
      <c r="AB21" s="951">
        <f t="shared" si="5"/>
        <v>3.6047220833333336E-4</v>
      </c>
      <c r="AC21" s="952">
        <f t="shared" si="2"/>
        <v>7.4324166666666681E-4</v>
      </c>
    </row>
    <row r="22" spans="1:31" ht="13.5" customHeight="1">
      <c r="A22" s="128">
        <v>15</v>
      </c>
      <c r="B22" s="1928">
        <v>3.9855324074074077E-4</v>
      </c>
      <c r="C22" s="954">
        <v>8.2175925925925938E-4</v>
      </c>
      <c r="D22" s="940">
        <v>185</v>
      </c>
      <c r="F22" s="940"/>
      <c r="G22" s="1030"/>
      <c r="X22" s="953">
        <f t="shared" si="3"/>
        <v>3.8778034664351853E-4</v>
      </c>
      <c r="Y22" s="954">
        <f t="shared" si="0"/>
        <v>7.9954710648148157E-4</v>
      </c>
      <c r="Z22" s="953">
        <f t="shared" si="4"/>
        <v>3.932365405092593E-4</v>
      </c>
      <c r="AA22" s="954">
        <f t="shared" si="1"/>
        <v>8.1079699074074088E-4</v>
      </c>
      <c r="AB22" s="953">
        <f t="shared" si="5"/>
        <v>3.5546564988425927E-4</v>
      </c>
      <c r="AC22" s="954">
        <f t="shared" si="2"/>
        <v>7.3291886574074086E-4</v>
      </c>
    </row>
    <row r="23" spans="1:31" ht="13.5" customHeight="1">
      <c r="A23" s="128">
        <v>16</v>
      </c>
      <c r="B23" s="1928">
        <v>3.8732638888888893E-4</v>
      </c>
      <c r="C23" s="954">
        <v>7.9861111111111127E-4</v>
      </c>
      <c r="D23" s="940">
        <v>192</v>
      </c>
      <c r="F23" s="940"/>
      <c r="G23" s="958"/>
      <c r="X23" s="953">
        <f t="shared" si="3"/>
        <v>3.7685695659722224E-4</v>
      </c>
      <c r="Y23" s="954">
        <f t="shared" si="0"/>
        <v>7.7702465277777798E-4</v>
      </c>
      <c r="Z23" s="953">
        <f t="shared" si="4"/>
        <v>3.8215945486111115E-4</v>
      </c>
      <c r="AA23" s="954">
        <f t="shared" si="1"/>
        <v>7.87957638888889E-4</v>
      </c>
      <c r="AB23" s="953">
        <f t="shared" si="5"/>
        <v>3.4545253298611114E-4</v>
      </c>
      <c r="AC23" s="954">
        <f t="shared" si="2"/>
        <v>7.1227326388888896E-4</v>
      </c>
    </row>
    <row r="24" spans="1:31" ht="12.75" customHeight="1">
      <c r="A24" s="128">
        <v>17</v>
      </c>
      <c r="B24" s="1928">
        <v>3.7609953703703709E-4</v>
      </c>
      <c r="C24" s="954">
        <v>7.7546296296296315E-4</v>
      </c>
      <c r="D24" s="940">
        <v>194</v>
      </c>
      <c r="F24" s="940"/>
      <c r="G24" s="1030"/>
      <c r="X24" s="953">
        <f t="shared" si="3"/>
        <v>3.65933566550926E-4</v>
      </c>
      <c r="Y24" s="954">
        <f t="shared" si="0"/>
        <v>7.5450219907407428E-4</v>
      </c>
      <c r="Z24" s="953">
        <f t="shared" si="4"/>
        <v>3.71082369212963E-4</v>
      </c>
      <c r="AA24" s="954">
        <f t="shared" si="1"/>
        <v>7.6511828703703722E-4</v>
      </c>
      <c r="AB24" s="953">
        <f t="shared" si="5"/>
        <v>3.3543941608796301E-4</v>
      </c>
      <c r="AC24" s="954">
        <f t="shared" si="2"/>
        <v>6.9162766203703717E-4</v>
      </c>
    </row>
    <row r="25" spans="1:31" ht="12.75" customHeight="1" thickBot="1">
      <c r="A25" s="128">
        <v>18</v>
      </c>
      <c r="B25" s="1929">
        <v>3.6487268518518525E-4</v>
      </c>
      <c r="C25" s="956">
        <v>7.5231481481481503E-4</v>
      </c>
      <c r="D25" s="940">
        <v>195</v>
      </c>
      <c r="F25" s="940"/>
      <c r="G25" s="958"/>
      <c r="X25" s="955">
        <f t="shared" si="3"/>
        <v>3.5501017650462971E-4</v>
      </c>
      <c r="Y25" s="956">
        <f t="shared" si="0"/>
        <v>7.3197974537037057E-4</v>
      </c>
      <c r="Z25" s="955">
        <f t="shared" si="4"/>
        <v>3.6000528356481485E-4</v>
      </c>
      <c r="AA25" s="956">
        <f t="shared" si="1"/>
        <v>7.4227893518518534E-4</v>
      </c>
      <c r="AB25" s="955">
        <f t="shared" si="5"/>
        <v>3.2542629918981487E-4</v>
      </c>
      <c r="AC25" s="956">
        <f t="shared" si="2"/>
        <v>6.7098206018518537E-4</v>
      </c>
    </row>
    <row r="26" spans="1:31" ht="12.75" customHeight="1" thickBot="1">
      <c r="A26" s="128">
        <v>19</v>
      </c>
      <c r="B26" s="1929">
        <v>3.5364583333333347E-4</v>
      </c>
      <c r="C26" s="956">
        <v>7.2916666666666692E-4</v>
      </c>
      <c r="D26" s="940">
        <v>195</v>
      </c>
      <c r="F26" s="940"/>
      <c r="G26" s="1030"/>
      <c r="X26" s="955">
        <f t="shared" si="3"/>
        <v>3.4408678645833347E-4</v>
      </c>
      <c r="Y26" s="956">
        <f t="shared" si="0"/>
        <v>7.0945729166666687E-4</v>
      </c>
      <c r="Z26" s="955">
        <f t="shared" si="4"/>
        <v>3.4892819791666681E-4</v>
      </c>
      <c r="AA26" s="956">
        <f t="shared" si="1"/>
        <v>7.1943958333333356E-4</v>
      </c>
      <c r="AB26" s="955">
        <f t="shared" si="5"/>
        <v>3.154131822916668E-4</v>
      </c>
      <c r="AC26" s="956">
        <f t="shared" si="2"/>
        <v>6.5033645833333347E-4</v>
      </c>
    </row>
    <row r="27" spans="1:31" ht="18" customHeight="1" thickBot="1">
      <c r="A27" s="1931" t="s">
        <v>159</v>
      </c>
      <c r="B27" s="6254">
        <f>B26</f>
        <v>3.5364583333333347E-4</v>
      </c>
      <c r="C27" s="6255">
        <f>C26</f>
        <v>7.2916666666666692E-4</v>
      </c>
      <c r="D27" s="1930"/>
      <c r="E27" s="133"/>
      <c r="F27" s="133"/>
      <c r="G27" s="133"/>
      <c r="X27" s="126"/>
      <c r="Y27" s="127"/>
      <c r="Z27" s="126"/>
      <c r="AA27" s="127"/>
      <c r="AB27" s="126"/>
      <c r="AC27" s="127"/>
    </row>
    <row r="28" spans="1:31" ht="18" customHeight="1" thickBot="1">
      <c r="A28" s="128" t="s">
        <v>249</v>
      </c>
      <c r="B28" s="1940">
        <f>50/30.56</f>
        <v>1.6361256544502618</v>
      </c>
      <c r="C28" s="1940">
        <v>1.5873015873015872</v>
      </c>
      <c r="D28" s="1941" t="s">
        <v>160</v>
      </c>
      <c r="F28" s="124"/>
      <c r="G28" s="119"/>
      <c r="X28" s="7861" t="s">
        <v>53</v>
      </c>
      <c r="Y28" s="7861"/>
      <c r="Z28" s="7861"/>
      <c r="AA28" s="7861"/>
      <c r="AB28" s="7861"/>
      <c r="AC28" s="7861"/>
      <c r="AD28" s="7861"/>
      <c r="AE28" s="7861"/>
    </row>
    <row r="29" spans="1:31" ht="13.5" customHeight="1" thickTop="1">
      <c r="A29" s="25"/>
      <c r="B29" s="1939" t="s">
        <v>161</v>
      </c>
      <c r="C29" s="1938" t="s">
        <v>162</v>
      </c>
      <c r="D29" s="776">
        <f>C$27*(($G$71-$G$66)/100+1)</f>
        <v>9.1523857526881758E-4</v>
      </c>
      <c r="E29" s="776">
        <f t="shared" ref="E29:G29" si="6">E$27*(($G$71-$G$66)/100+1)</f>
        <v>0</v>
      </c>
      <c r="F29" s="776">
        <f t="shared" si="6"/>
        <v>0</v>
      </c>
      <c r="G29" s="776">
        <f t="shared" si="6"/>
        <v>0</v>
      </c>
      <c r="X29" s="7861"/>
      <c r="Y29" s="7861"/>
      <c r="Z29" s="7861"/>
      <c r="AA29" s="7861"/>
      <c r="AB29" s="7861"/>
      <c r="AC29" s="7861"/>
      <c r="AD29" s="7861"/>
      <c r="AE29" s="7861"/>
    </row>
    <row r="30" spans="1:31" ht="13.5" customHeight="1" thickBot="1">
      <c r="A30" s="26"/>
      <c r="B30" s="744"/>
      <c r="C30" s="745" t="s">
        <v>158</v>
      </c>
      <c r="D30" s="746">
        <v>150</v>
      </c>
      <c r="E30" s="746">
        <v>147</v>
      </c>
      <c r="F30" s="746"/>
      <c r="G30" s="746"/>
      <c r="X30" s="7861"/>
      <c r="Y30" s="7861"/>
      <c r="Z30" s="7861"/>
      <c r="AA30" s="7861"/>
      <c r="AB30" s="7861"/>
      <c r="AC30" s="7861"/>
      <c r="AD30" s="7861"/>
      <c r="AE30" s="7861"/>
    </row>
    <row r="31" spans="1:31" ht="13.5" customHeight="1" thickTop="1">
      <c r="A31" s="26"/>
      <c r="B31" s="747" t="s">
        <v>163</v>
      </c>
      <c r="C31" s="748" t="s">
        <v>162</v>
      </c>
      <c r="D31" s="777">
        <f>C$27*(($G$71-$G$67)/100+1)</f>
        <v>8.7635030864197572E-4</v>
      </c>
      <c r="E31" s="777">
        <f t="shared" ref="E31:G31" si="7">E$27*(($G$71-$G$67)/100+1)</f>
        <v>0</v>
      </c>
      <c r="F31" s="777">
        <f t="shared" si="7"/>
        <v>0</v>
      </c>
      <c r="G31" s="777">
        <f t="shared" si="7"/>
        <v>0</v>
      </c>
    </row>
    <row r="32" spans="1:31" ht="13.5" customHeight="1" thickBot="1">
      <c r="A32" s="26"/>
      <c r="B32" s="749"/>
      <c r="C32" s="750" t="s">
        <v>158</v>
      </c>
      <c r="D32" s="132">
        <v>150</v>
      </c>
      <c r="E32" s="132">
        <v>153</v>
      </c>
      <c r="F32" s="132"/>
      <c r="G32" s="132"/>
      <c r="X32" s="1031" t="s">
        <v>879</v>
      </c>
      <c r="Y32" s="1031"/>
      <c r="Z32" s="1031"/>
      <c r="AA32" s="1031"/>
      <c r="AB32" s="1031"/>
      <c r="AC32" s="1031"/>
      <c r="AD32" s="1031"/>
      <c r="AE32" s="1031"/>
    </row>
    <row r="33" spans="1:31" ht="13.5" customHeight="1" thickTop="1">
      <c r="A33" s="26"/>
      <c r="B33" s="770" t="s">
        <v>164</v>
      </c>
      <c r="C33" s="771" t="s">
        <v>162</v>
      </c>
      <c r="D33" s="778">
        <f>C$27*(($G$71-$G$68)/100+1)</f>
        <v>8.4888763197586746E-4</v>
      </c>
      <c r="E33" s="778">
        <f t="shared" ref="E33:G33" si="8">E$27*(($G$71-$G$68)/100+1)</f>
        <v>0</v>
      </c>
      <c r="F33" s="778">
        <f t="shared" si="8"/>
        <v>0</v>
      </c>
      <c r="G33" s="778">
        <f t="shared" si="8"/>
        <v>0</v>
      </c>
      <c r="X33" s="1031" t="s">
        <v>880</v>
      </c>
      <c r="Y33" s="1031"/>
      <c r="Z33" s="1031"/>
      <c r="AA33" s="1031"/>
      <c r="AB33" s="1031"/>
      <c r="AC33" s="1031"/>
      <c r="AD33" s="1031"/>
      <c r="AE33" s="1031"/>
    </row>
    <row r="34" spans="1:31" ht="13.5" customHeight="1" thickBot="1">
      <c r="A34" s="27"/>
      <c r="B34" s="772"/>
      <c r="C34" s="773" t="s">
        <v>158</v>
      </c>
      <c r="D34" s="774">
        <v>160</v>
      </c>
      <c r="E34" s="774">
        <v>160</v>
      </c>
      <c r="F34" s="774"/>
      <c r="G34" s="774"/>
      <c r="X34" s="1031" t="s">
        <v>658</v>
      </c>
      <c r="Y34" s="1031"/>
      <c r="Z34" s="1031"/>
      <c r="AA34" s="1031"/>
      <c r="AB34" s="1031"/>
      <c r="AC34" s="1031"/>
      <c r="AD34" s="1031"/>
      <c r="AE34" s="1031"/>
    </row>
    <row r="35" spans="1:31" ht="13">
      <c r="A35" s="26"/>
      <c r="B35" s="751" t="s">
        <v>165</v>
      </c>
      <c r="C35" s="752" t="s">
        <v>162</v>
      </c>
      <c r="D35" s="753">
        <f>C$27*(($G$71-$G$69)/100+1)</f>
        <v>8.0990657955066516E-4</v>
      </c>
      <c r="E35" s="753">
        <f t="shared" ref="E35:G35" si="9">E$27*(($G$71-$G$69)/100+1)</f>
        <v>0</v>
      </c>
      <c r="F35" s="753">
        <f t="shared" si="9"/>
        <v>0</v>
      </c>
      <c r="G35" s="753">
        <f t="shared" si="9"/>
        <v>0</v>
      </c>
    </row>
    <row r="36" spans="1:31" ht="14" thickBot="1">
      <c r="A36" s="27"/>
      <c r="B36" s="754"/>
      <c r="C36" s="755" t="s">
        <v>158</v>
      </c>
      <c r="D36" s="756">
        <v>175</v>
      </c>
      <c r="E36" s="756">
        <v>166</v>
      </c>
      <c r="F36" s="756"/>
      <c r="G36" s="756"/>
      <c r="J36" s="23"/>
      <c r="O36" s="23"/>
    </row>
    <row r="37" spans="1:31" ht="14" thickTop="1">
      <c r="A37" s="26"/>
      <c r="B37" s="757" t="s">
        <v>166</v>
      </c>
      <c r="C37" s="758" t="s">
        <v>162</v>
      </c>
      <c r="D37" s="779">
        <f>C$27*(($G$71-$G$70)/100+1)</f>
        <v>7.5735749690210676E-4</v>
      </c>
      <c r="E37" s="779">
        <f t="shared" ref="E37:G37" si="10">E$27*(($G$71-$G$70)/100+1)</f>
        <v>0</v>
      </c>
      <c r="F37" s="779">
        <f t="shared" si="10"/>
        <v>0</v>
      </c>
      <c r="G37" s="779">
        <f t="shared" si="10"/>
        <v>0</v>
      </c>
    </row>
    <row r="38" spans="1:31" ht="14" thickBot="1">
      <c r="A38" s="26"/>
      <c r="B38" s="757"/>
      <c r="C38" s="758"/>
      <c r="D38" s="1933">
        <v>180</v>
      </c>
      <c r="E38" s="759">
        <v>173</v>
      </c>
      <c r="F38" s="759"/>
      <c r="G38" s="759"/>
    </row>
    <row r="39" spans="1:31" ht="14" thickTop="1">
      <c r="A39" s="26"/>
      <c r="B39" s="760" t="s">
        <v>167</v>
      </c>
      <c r="C39" s="761" t="s">
        <v>162</v>
      </c>
      <c r="D39" s="775">
        <f>C$27*(($G$71-$G$71)/100+1)</f>
        <v>7.2916666666666692E-4</v>
      </c>
      <c r="E39" s="775">
        <f t="shared" ref="E39:G39" si="11">E$27*(($G$71-$G$71)/100+1)</f>
        <v>0</v>
      </c>
      <c r="F39" s="775">
        <f t="shared" si="11"/>
        <v>0</v>
      </c>
      <c r="G39" s="775">
        <f t="shared" si="11"/>
        <v>0</v>
      </c>
    </row>
    <row r="40" spans="1:31" ht="14" thickBot="1">
      <c r="A40" s="26"/>
      <c r="B40" s="762"/>
      <c r="C40" s="1932"/>
      <c r="D40" s="763">
        <v>188</v>
      </c>
      <c r="E40" s="763">
        <v>177</v>
      </c>
      <c r="F40" s="763"/>
      <c r="G40" s="763"/>
    </row>
    <row r="41" spans="1:31" ht="13.5" customHeight="1" thickTop="1">
      <c r="A41" s="29"/>
      <c r="B41" s="764" t="s">
        <v>168</v>
      </c>
      <c r="C41" s="765" t="s">
        <v>162</v>
      </c>
      <c r="D41" s="766">
        <f>C$27*(($G$71-$G$72)/100+1)</f>
        <v>7.0729166666666694E-4</v>
      </c>
      <c r="E41" s="766">
        <f>E$27*(($G$71-$G$72)/100+1)</f>
        <v>0</v>
      </c>
      <c r="F41" s="766">
        <f>F$27*(($G$71-$G$72)/100+1)</f>
        <v>0</v>
      </c>
      <c r="G41" s="766">
        <f>G$27*(($G$71-$G$72)/100+1)</f>
        <v>0</v>
      </c>
    </row>
    <row r="42" spans="1:31" ht="13.5" customHeight="1" thickBot="1">
      <c r="A42" s="30"/>
      <c r="B42" s="767"/>
      <c r="C42" s="768"/>
      <c r="D42" s="769">
        <v>195</v>
      </c>
      <c r="E42" s="769">
        <v>179</v>
      </c>
      <c r="F42" s="769"/>
      <c r="G42" s="769"/>
    </row>
    <row r="43" spans="1:31" ht="7.5" customHeight="1" thickTop="1">
      <c r="A43" s="31"/>
      <c r="B43" s="24"/>
      <c r="C43" s="32"/>
      <c r="D43" s="33"/>
      <c r="E43" s="34"/>
      <c r="F43" s="34"/>
      <c r="G43" s="34"/>
    </row>
    <row r="44" spans="1:31" ht="13">
      <c r="A44" s="35"/>
      <c r="B44"/>
      <c r="C44"/>
      <c r="D44"/>
      <c r="E44"/>
      <c r="F44"/>
      <c r="G44"/>
      <c r="X44"/>
      <c r="Y44"/>
      <c r="Z44"/>
      <c r="AA44"/>
      <c r="AB44"/>
      <c r="AC44"/>
    </row>
    <row r="45" spans="1:31">
      <c r="A45" s="36"/>
      <c r="B45" s="37"/>
      <c r="C45" s="37"/>
      <c r="D45" s="37"/>
      <c r="E45" s="37"/>
      <c r="F45" s="37"/>
      <c r="G45" s="37"/>
      <c r="X45" s="37"/>
      <c r="Y45" s="37"/>
      <c r="Z45" s="37"/>
      <c r="AA45" s="37"/>
      <c r="AB45" s="37"/>
      <c r="AC45" s="37"/>
    </row>
    <row r="46" spans="1:31" ht="13">
      <c r="A46" s="36"/>
      <c r="B46" s="24"/>
      <c r="C46" s="24"/>
      <c r="D46" s="24"/>
      <c r="E46" s="24"/>
      <c r="F46" s="24"/>
      <c r="J46" s="125" t="s">
        <v>169</v>
      </c>
      <c r="K46" s="114">
        <f>Test!$D$29</f>
        <v>9.1523857526881758E-4</v>
      </c>
      <c r="L46" s="114">
        <f>Test!$D$31</f>
        <v>8.7635030864197572E-4</v>
      </c>
      <c r="M46" s="114">
        <f>Test!$D$33</f>
        <v>8.4888763197586746E-4</v>
      </c>
      <c r="N46" s="114">
        <f>Test!$D$35</f>
        <v>8.0990657955066516E-4</v>
      </c>
      <c r="O46" s="114">
        <f>Test!$D$37</f>
        <v>7.5735749690210676E-4</v>
      </c>
      <c r="P46" s="114">
        <f>Test!$D$39</f>
        <v>7.2916666666666692E-4</v>
      </c>
      <c r="Q46" s="115">
        <f>Test!$D$41</f>
        <v>7.0729166666666694E-4</v>
      </c>
      <c r="R46" s="1935"/>
      <c r="S46" s="1935"/>
      <c r="T46" s="1935"/>
      <c r="U46" s="1935"/>
      <c r="V46" s="1936"/>
      <c r="W46" s="1936"/>
      <c r="X46" s="1937"/>
      <c r="Y46" s="24"/>
      <c r="Z46" s="24"/>
      <c r="AA46" s="24"/>
      <c r="AB46" s="24"/>
      <c r="AC46" s="24"/>
    </row>
    <row r="47" spans="1:31" ht="13">
      <c r="A47" s="36"/>
      <c r="B47" s="24"/>
      <c r="C47" s="24"/>
      <c r="D47" s="24"/>
      <c r="E47" s="24"/>
      <c r="F47" s="24"/>
      <c r="J47" s="125" t="s">
        <v>173</v>
      </c>
      <c r="K47" s="114">
        <f>Test!$E$29</f>
        <v>0</v>
      </c>
      <c r="L47" s="114">
        <f>Test!$E$31</f>
        <v>0</v>
      </c>
      <c r="M47" s="114">
        <f>Test!$E$33</f>
        <v>0</v>
      </c>
      <c r="N47" s="114">
        <f>Test!$E$35</f>
        <v>0</v>
      </c>
      <c r="O47" s="114">
        <f>Test!$E$37</f>
        <v>0</v>
      </c>
      <c r="P47" s="114">
        <f>Test!$E$39</f>
        <v>0</v>
      </c>
      <c r="Q47" s="115">
        <f>Test!$E$41</f>
        <v>0</v>
      </c>
      <c r="X47" s="24"/>
      <c r="Y47" s="24"/>
      <c r="Z47" s="24"/>
      <c r="AA47" s="24"/>
      <c r="AB47" s="24"/>
      <c r="AC47" s="24"/>
    </row>
    <row r="48" spans="1:31" ht="13">
      <c r="A48" s="36"/>
      <c r="B48" s="24"/>
      <c r="C48" s="24"/>
      <c r="D48" s="24"/>
      <c r="E48" s="24"/>
      <c r="F48" s="24"/>
      <c r="J48" s="125" t="s">
        <v>174</v>
      </c>
      <c r="K48" s="113">
        <f>Test!$F$29</f>
        <v>0</v>
      </c>
      <c r="L48" s="114">
        <f>Test!$F$31</f>
        <v>0</v>
      </c>
      <c r="M48" s="114">
        <f>Test!$F$33</f>
        <v>0</v>
      </c>
      <c r="N48" s="114">
        <f>Test!$F$35</f>
        <v>0</v>
      </c>
      <c r="O48" s="114">
        <f>Test!$F$37</f>
        <v>0</v>
      </c>
      <c r="P48" s="114">
        <f>Test!$F$39</f>
        <v>0</v>
      </c>
      <c r="Q48" s="115">
        <f>Test!$F$41</f>
        <v>0</v>
      </c>
      <c r="X48" s="24"/>
      <c r="Y48" s="24"/>
      <c r="Z48" s="24"/>
      <c r="AA48" s="24"/>
      <c r="AB48" s="24"/>
      <c r="AC48" s="24"/>
    </row>
    <row r="49" spans="1:29" ht="14" thickBot="1">
      <c r="B49" s="38"/>
      <c r="C49" s="24"/>
      <c r="D49" s="24"/>
      <c r="E49" s="24"/>
      <c r="F49" s="24"/>
      <c r="J49" s="125" t="s">
        <v>175</v>
      </c>
      <c r="K49" s="116">
        <f>Test!$G$29</f>
        <v>0</v>
      </c>
      <c r="L49" s="117">
        <f>Test!$G$31</f>
        <v>0</v>
      </c>
      <c r="M49" s="117">
        <f>Test!$G$33</f>
        <v>0</v>
      </c>
      <c r="N49" s="117">
        <f>Test!$G$35</f>
        <v>0</v>
      </c>
      <c r="O49" s="117">
        <f>Test!$G$37</f>
        <v>0</v>
      </c>
      <c r="P49" s="117">
        <f>Test!$G$39</f>
        <v>0</v>
      </c>
      <c r="Q49" s="118">
        <f>Test!$G$41</f>
        <v>0</v>
      </c>
      <c r="X49" s="38"/>
      <c r="Y49" s="24"/>
      <c r="Z49" s="38"/>
      <c r="AA49" s="24"/>
      <c r="AB49" s="38"/>
      <c r="AC49" s="24"/>
    </row>
    <row r="50" spans="1:29" ht="3" customHeight="1" thickBot="1">
      <c r="A50" s="31"/>
      <c r="B50" s="102"/>
      <c r="C50" s="103"/>
      <c r="D50" s="103"/>
      <c r="E50" s="103"/>
      <c r="F50" s="103"/>
      <c r="X50" s="102"/>
      <c r="Y50" s="103"/>
      <c r="Z50" s="102"/>
      <c r="AA50" s="103"/>
      <c r="AB50" s="102"/>
      <c r="AC50" s="103"/>
    </row>
    <row r="51" spans="1:29">
      <c r="A51" s="544" t="s">
        <v>320</v>
      </c>
      <c r="B51" s="545"/>
      <c r="C51" s="545"/>
      <c r="D51" s="545"/>
      <c r="E51" s="545"/>
      <c r="F51" s="545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T51" s="545"/>
      <c r="U51" s="619" t="s">
        <v>700</v>
      </c>
      <c r="V51" s="595" t="s">
        <v>1104</v>
      </c>
      <c r="W51" s="104"/>
      <c r="X51" s="545"/>
      <c r="Y51" s="545"/>
      <c r="Z51" s="545"/>
      <c r="AA51" s="545"/>
      <c r="AB51" s="545"/>
      <c r="AC51" s="545"/>
    </row>
    <row r="52" spans="1:29" ht="11.25" customHeight="1" thickBot="1">
      <c r="A52" s="122" t="s">
        <v>321</v>
      </c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7859" t="s">
        <v>1103</v>
      </c>
      <c r="V52" s="7860"/>
      <c r="W52" s="104"/>
      <c r="X52" s="119"/>
      <c r="Y52" s="119"/>
      <c r="Z52" s="119"/>
      <c r="AA52" s="119"/>
      <c r="AB52" s="119"/>
      <c r="AC52" s="119"/>
    </row>
    <row r="53" spans="1:29">
      <c r="A53" s="546" t="s">
        <v>184</v>
      </c>
      <c r="B53" s="545"/>
      <c r="C53" s="545"/>
      <c r="D53" s="545"/>
      <c r="E53" s="545"/>
      <c r="F53" s="545"/>
      <c r="G53" s="545"/>
      <c r="H53" s="545"/>
      <c r="I53" s="545"/>
      <c r="J53" s="545"/>
      <c r="K53" s="545"/>
      <c r="L53" s="545"/>
      <c r="M53" s="545"/>
      <c r="N53" s="545"/>
      <c r="O53" s="545"/>
      <c r="P53" s="545"/>
      <c r="Q53" s="119"/>
      <c r="R53" s="596" t="s">
        <v>695</v>
      </c>
      <c r="S53" s="597" t="s">
        <v>696</v>
      </c>
      <c r="T53" s="615" t="s">
        <v>697</v>
      </c>
      <c r="U53" s="611"/>
      <c r="V53" s="597" t="s">
        <v>698</v>
      </c>
      <c r="W53" s="598" t="s">
        <v>699</v>
      </c>
      <c r="X53" s="545"/>
      <c r="Y53" s="545"/>
      <c r="Z53" s="545"/>
      <c r="AA53" s="545"/>
      <c r="AB53" s="545"/>
      <c r="AC53" s="545"/>
    </row>
    <row r="54" spans="1:29">
      <c r="A54" s="122" t="s">
        <v>322</v>
      </c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29"/>
      <c r="O54" s="129"/>
      <c r="P54" s="129"/>
      <c r="Q54" s="119"/>
      <c r="R54" s="599">
        <v>2</v>
      </c>
      <c r="S54" s="608">
        <v>2.0092592592592597E-3</v>
      </c>
      <c r="T54" s="612">
        <v>1.9513888888888888E-3</v>
      </c>
      <c r="U54" s="616">
        <v>2.0706018518518517E-3</v>
      </c>
      <c r="V54" s="602">
        <v>112</v>
      </c>
      <c r="W54" s="603"/>
      <c r="X54" s="119"/>
      <c r="Y54" s="119"/>
      <c r="Z54" s="119"/>
      <c r="AA54" s="119"/>
      <c r="AB54" s="119"/>
      <c r="AC54" s="119"/>
    </row>
    <row r="55" spans="1:29">
      <c r="A55" s="544" t="s">
        <v>323</v>
      </c>
      <c r="B55" s="545"/>
      <c r="C55" s="545"/>
      <c r="D55" s="545"/>
      <c r="E55" s="545"/>
      <c r="F55" s="545"/>
      <c r="G55" s="545"/>
      <c r="H55" s="545"/>
      <c r="I55" s="119"/>
      <c r="J55" s="119"/>
      <c r="K55" s="119"/>
      <c r="L55" s="119"/>
      <c r="M55" s="119"/>
      <c r="N55" s="129"/>
      <c r="O55" s="129"/>
      <c r="R55" s="599">
        <v>3</v>
      </c>
      <c r="S55" s="608">
        <v>1.8749999999999999E-3</v>
      </c>
      <c r="T55" s="612">
        <v>1.8263888888888887E-3</v>
      </c>
      <c r="U55" s="616">
        <v>1.9270833333333334E-3</v>
      </c>
      <c r="V55" s="602"/>
      <c r="W55" s="603"/>
      <c r="X55" s="545"/>
      <c r="Y55" s="545"/>
      <c r="Z55" s="545"/>
      <c r="AA55" s="545"/>
      <c r="AB55" s="545"/>
      <c r="AC55" s="545"/>
    </row>
    <row r="56" spans="1:29">
      <c r="A56" s="122" t="s">
        <v>324</v>
      </c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29"/>
      <c r="O56" s="129"/>
      <c r="R56" s="599">
        <v>4</v>
      </c>
      <c r="S56" s="608">
        <v>1.7905092592592591E-3</v>
      </c>
      <c r="T56" s="612">
        <v>1.7465277777777781E-3</v>
      </c>
      <c r="U56" s="616">
        <v>1.8368055555555557E-3</v>
      </c>
      <c r="V56" s="602"/>
      <c r="W56" s="603"/>
      <c r="X56" s="119"/>
      <c r="Y56" s="119"/>
      <c r="Z56" s="119"/>
      <c r="AA56" s="119"/>
      <c r="AB56" s="119"/>
      <c r="AC56" s="119"/>
    </row>
    <row r="57" spans="1:29">
      <c r="A57" s="105"/>
      <c r="B57" s="104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130"/>
      <c r="O57" s="130"/>
      <c r="P57" s="130"/>
      <c r="Q57" s="104"/>
      <c r="R57" s="600">
        <v>6</v>
      </c>
      <c r="S57" s="609">
        <v>1.6828703703703704E-3</v>
      </c>
      <c r="T57" s="613">
        <v>1.6458333333333333E-3</v>
      </c>
      <c r="U57" s="616">
        <v>1.7222222222222222E-3</v>
      </c>
      <c r="V57" s="604"/>
      <c r="W57" s="605"/>
      <c r="X57" s="104"/>
      <c r="Y57" s="104"/>
      <c r="Z57" s="104"/>
      <c r="AA57" s="104"/>
      <c r="AB57" s="104"/>
      <c r="AC57" s="104"/>
    </row>
    <row r="58" spans="1:29">
      <c r="A58" s="105"/>
      <c r="B58" s="104"/>
      <c r="C58" s="119" t="s">
        <v>325</v>
      </c>
      <c r="D58" s="104"/>
      <c r="E58" s="104"/>
      <c r="F58" s="104"/>
      <c r="G58" s="104"/>
      <c r="H58" s="104"/>
      <c r="I58" s="104"/>
      <c r="J58" s="104"/>
      <c r="K58" s="104"/>
      <c r="L58" s="104"/>
      <c r="M58" s="104"/>
      <c r="N58" s="130"/>
      <c r="O58" s="130"/>
      <c r="P58" s="130"/>
      <c r="Q58" s="104"/>
      <c r="R58" s="600">
        <v>8</v>
      </c>
      <c r="S58" s="609">
        <v>1.5567129629629629E-3</v>
      </c>
      <c r="T58" s="613">
        <v>1.5810185185185187E-3</v>
      </c>
      <c r="U58" s="616">
        <v>1.6504629629629632E-3</v>
      </c>
      <c r="V58" s="604"/>
      <c r="W58" s="605"/>
      <c r="X58" s="104"/>
      <c r="Y58" s="119"/>
      <c r="Z58" s="104"/>
      <c r="AA58" s="119"/>
      <c r="AB58" s="104"/>
      <c r="AC58" s="119"/>
    </row>
    <row r="59" spans="1:29" ht="12" thickBot="1">
      <c r="B59" s="119"/>
      <c r="C59" s="119"/>
      <c r="D59" s="119"/>
      <c r="N59" s="37"/>
      <c r="O59" s="37"/>
      <c r="P59" s="37"/>
      <c r="R59" s="601">
        <v>14</v>
      </c>
      <c r="S59" s="610">
        <v>1.4965277777777778E-3</v>
      </c>
      <c r="T59" s="614">
        <v>1.4687500000000002E-3</v>
      </c>
      <c r="U59" s="617">
        <v>1.5254629629629631E-3</v>
      </c>
      <c r="V59" s="606"/>
      <c r="W59" s="607"/>
      <c r="X59" s="119"/>
      <c r="Y59" s="119"/>
      <c r="Z59" s="119"/>
      <c r="AA59" s="119"/>
      <c r="AB59" s="119"/>
      <c r="AC59" s="119"/>
    </row>
    <row r="60" spans="1:29" ht="12" thickBot="1">
      <c r="B60" s="120" t="s">
        <v>326</v>
      </c>
      <c r="C60" s="121" t="s">
        <v>327</v>
      </c>
      <c r="D60" s="121" t="s">
        <v>328</v>
      </c>
      <c r="N60" s="37"/>
      <c r="O60" s="37"/>
      <c r="P60" s="37"/>
      <c r="X60" s="120"/>
      <c r="Y60" s="121"/>
      <c r="Z60" s="120"/>
      <c r="AA60" s="121"/>
      <c r="AB60" s="120"/>
      <c r="AC60" s="121"/>
    </row>
    <row r="61" spans="1:29" ht="13" thickTop="1" thickBot="1">
      <c r="B61" s="121">
        <v>1</v>
      </c>
      <c r="C61" s="253">
        <f t="shared" ref="C61:C78" si="12">(D61/2)*0.97</f>
        <v>5.8940972222222218E-4</v>
      </c>
      <c r="D61" s="254">
        <v>1.2152777777777778E-3</v>
      </c>
      <c r="E61" s="39"/>
      <c r="N61" s="37"/>
      <c r="O61" s="37"/>
      <c r="P61" s="37"/>
      <c r="R61" s="545"/>
      <c r="S61" s="545"/>
      <c r="T61" s="545"/>
      <c r="U61" s="619" t="s">
        <v>701</v>
      </c>
      <c r="V61" s="595"/>
      <c r="W61" s="104"/>
      <c r="X61" s="121"/>
      <c r="Y61" s="253"/>
      <c r="Z61" s="121"/>
      <c r="AA61" s="253"/>
      <c r="AB61" s="121"/>
      <c r="AC61" s="253"/>
    </row>
    <row r="62" spans="1:29" ht="11.25" customHeight="1" thickTop="1" thickBot="1">
      <c r="B62" s="121">
        <v>2</v>
      </c>
      <c r="C62" s="253">
        <f t="shared" si="12"/>
        <v>5.7256944444444445E-4</v>
      </c>
      <c r="D62" s="255">
        <f t="shared" ref="D62:D68" si="13">D61-$D$82</f>
        <v>1.1805555555555556E-3</v>
      </c>
      <c r="N62" s="37"/>
      <c r="O62" s="37"/>
      <c r="P62" s="37"/>
      <c r="R62" s="119"/>
      <c r="S62" s="119"/>
      <c r="T62" s="119"/>
      <c r="U62" s="620"/>
      <c r="V62" s="618"/>
      <c r="W62" s="104"/>
      <c r="X62" s="121"/>
      <c r="Y62" s="253"/>
      <c r="Z62" s="121"/>
      <c r="AA62" s="253"/>
      <c r="AB62" s="121"/>
      <c r="AC62" s="253"/>
    </row>
    <row r="63" spans="1:29">
      <c r="B63" s="121">
        <v>3</v>
      </c>
      <c r="C63" s="253">
        <f t="shared" si="12"/>
        <v>5.5572916666666661E-4</v>
      </c>
      <c r="D63" s="255">
        <f t="shared" si="13"/>
        <v>1.1458333333333333E-3</v>
      </c>
      <c r="N63" s="37"/>
      <c r="O63" s="37"/>
      <c r="P63" s="37"/>
      <c r="R63" s="596" t="s">
        <v>695</v>
      </c>
      <c r="S63" s="597" t="s">
        <v>696</v>
      </c>
      <c r="T63" s="615" t="s">
        <v>697</v>
      </c>
      <c r="U63" s="611"/>
      <c r="V63" s="597" t="s">
        <v>698</v>
      </c>
      <c r="W63" s="598" t="s">
        <v>699</v>
      </c>
      <c r="X63" s="121"/>
      <c r="Y63" s="253"/>
      <c r="Z63" s="121"/>
      <c r="AA63" s="253"/>
      <c r="AB63" s="121"/>
      <c r="AC63" s="253"/>
    </row>
    <row r="64" spans="1:29">
      <c r="B64" s="121">
        <v>4</v>
      </c>
      <c r="C64" s="253">
        <f t="shared" si="12"/>
        <v>5.3888888888888888E-4</v>
      </c>
      <c r="D64" s="255">
        <f t="shared" si="13"/>
        <v>1.1111111111111111E-3</v>
      </c>
      <c r="N64" s="37"/>
      <c r="O64" s="37"/>
      <c r="P64" s="37"/>
      <c r="R64" s="599"/>
      <c r="S64" s="608"/>
      <c r="T64" s="612"/>
      <c r="U64" s="616"/>
      <c r="V64" s="602"/>
      <c r="W64" s="603"/>
      <c r="X64" s="121"/>
      <c r="Y64" s="253"/>
      <c r="Z64" s="121"/>
      <c r="AA64" s="253"/>
      <c r="AB64" s="121"/>
      <c r="AC64" s="253"/>
    </row>
    <row r="65" spans="2:29">
      <c r="B65" s="121">
        <v>5</v>
      </c>
      <c r="C65" s="253">
        <f t="shared" si="12"/>
        <v>5.2204861111111104E-4</v>
      </c>
      <c r="D65" s="255">
        <f t="shared" si="13"/>
        <v>1.0763888888888889E-3</v>
      </c>
      <c r="E65" s="119"/>
      <c r="F65" s="119" t="s">
        <v>329</v>
      </c>
      <c r="G65" s="119"/>
      <c r="H65" s="119"/>
      <c r="I65" s="119"/>
      <c r="N65" s="37"/>
      <c r="O65" s="37"/>
      <c r="P65" s="37"/>
      <c r="R65" s="599"/>
      <c r="S65" s="608"/>
      <c r="T65" s="612"/>
      <c r="U65" s="616"/>
      <c r="V65" s="602"/>
      <c r="W65" s="603"/>
      <c r="X65" s="121"/>
      <c r="Y65" s="253"/>
      <c r="Z65" s="121"/>
      <c r="AA65" s="253"/>
      <c r="AB65" s="121"/>
      <c r="AC65" s="253"/>
    </row>
    <row r="66" spans="2:29">
      <c r="B66" s="121">
        <v>6</v>
      </c>
      <c r="C66" s="253">
        <f t="shared" si="12"/>
        <v>5.0520833333333331E-4</v>
      </c>
      <c r="D66" s="255">
        <f t="shared" si="13"/>
        <v>1.0416666666666667E-3</v>
      </c>
      <c r="E66" s="129"/>
      <c r="F66" s="122" t="s">
        <v>330</v>
      </c>
      <c r="G66" s="119">
        <f>S59/S54*100</f>
        <v>74.481566820276484</v>
      </c>
      <c r="H66" s="123" t="s">
        <v>331</v>
      </c>
      <c r="I66" s="119"/>
      <c r="N66" s="37"/>
      <c r="O66" s="37"/>
      <c r="P66" s="37"/>
      <c r="R66" s="599"/>
      <c r="S66" s="608"/>
      <c r="T66" s="612"/>
      <c r="U66" s="616"/>
      <c r="V66" s="602"/>
      <c r="W66" s="603"/>
      <c r="X66" s="121"/>
      <c r="Y66" s="253"/>
      <c r="Z66" s="121"/>
      <c r="AA66" s="253"/>
      <c r="AB66" s="121"/>
      <c r="AC66" s="253"/>
    </row>
    <row r="67" spans="2:29">
      <c r="B67" s="121">
        <v>7</v>
      </c>
      <c r="C67" s="253">
        <f t="shared" si="12"/>
        <v>4.8836805555555558E-4</v>
      </c>
      <c r="D67" s="255">
        <f t="shared" si="13"/>
        <v>1.0069444444444444E-3</v>
      </c>
      <c r="E67" s="129"/>
      <c r="F67" s="122" t="s">
        <v>332</v>
      </c>
      <c r="G67" s="119">
        <f>S59/S55*100</f>
        <v>79.81481481481481</v>
      </c>
      <c r="H67" s="123" t="s">
        <v>331</v>
      </c>
      <c r="I67" s="119"/>
      <c r="N67" s="37"/>
      <c r="O67" s="37"/>
      <c r="P67" s="37"/>
      <c r="R67" s="600"/>
      <c r="S67" s="609"/>
      <c r="T67" s="613"/>
      <c r="U67" s="616"/>
      <c r="V67" s="604"/>
      <c r="W67" s="605"/>
      <c r="X67" s="121"/>
      <c r="Y67" s="253"/>
      <c r="Z67" s="121"/>
      <c r="AA67" s="253"/>
      <c r="AB67" s="121"/>
      <c r="AC67" s="253"/>
    </row>
    <row r="68" spans="2:29" ht="13">
      <c r="B68" s="121">
        <v>8</v>
      </c>
      <c r="C68" s="253">
        <f t="shared" si="12"/>
        <v>4.7152777777777774E-4</v>
      </c>
      <c r="D68" s="255">
        <f t="shared" si="13"/>
        <v>9.7222222222222219E-4</v>
      </c>
      <c r="E68" s="129"/>
      <c r="F68" s="122" t="s">
        <v>333</v>
      </c>
      <c r="G68" s="119">
        <f>S59/S56*100</f>
        <v>83.581124757595362</v>
      </c>
      <c r="H68" s="123" t="s">
        <v>331</v>
      </c>
      <c r="I68" s="119"/>
      <c r="J68" s="42"/>
      <c r="K68" s="43"/>
      <c r="N68" s="37"/>
      <c r="O68" s="37"/>
      <c r="P68" s="37"/>
      <c r="R68" s="600"/>
      <c r="S68" s="609"/>
      <c r="T68" s="613"/>
      <c r="U68" s="616"/>
      <c r="V68" s="604"/>
      <c r="W68" s="605"/>
      <c r="X68" s="121"/>
      <c r="Y68" s="253"/>
      <c r="Z68" s="121"/>
      <c r="AA68" s="253"/>
      <c r="AB68" s="121"/>
      <c r="AC68" s="253"/>
    </row>
    <row r="69" spans="2:29" ht="12" thickBot="1">
      <c r="B69" s="121">
        <v>9</v>
      </c>
      <c r="C69" s="253">
        <f t="shared" si="12"/>
        <v>4.6030092592592591E-4</v>
      </c>
      <c r="D69" s="255">
        <f t="shared" ref="D69:D74" si="14">D68-$D$83</f>
        <v>9.4907407407407408E-4</v>
      </c>
      <c r="E69" s="129"/>
      <c r="F69" s="119" t="s">
        <v>1102</v>
      </c>
      <c r="G69" s="119">
        <f>S59/S57*100</f>
        <v>88.927097661623108</v>
      </c>
      <c r="H69" s="123" t="s">
        <v>331</v>
      </c>
      <c r="I69" s="119"/>
      <c r="J69" s="21"/>
      <c r="N69" s="37"/>
      <c r="O69" s="37"/>
      <c r="P69" s="37"/>
      <c r="R69" s="601"/>
      <c r="S69" s="610"/>
      <c r="T69" s="614"/>
      <c r="U69" s="617"/>
      <c r="V69" s="606"/>
      <c r="W69" s="607"/>
      <c r="X69" s="121"/>
      <c r="Y69" s="253"/>
      <c r="Z69" s="121"/>
      <c r="AA69" s="253"/>
      <c r="AB69" s="121"/>
      <c r="AC69" s="253"/>
    </row>
    <row r="70" spans="2:29">
      <c r="B70" s="121">
        <v>10</v>
      </c>
      <c r="C70" s="253">
        <f t="shared" si="12"/>
        <v>4.4907407407407407E-4</v>
      </c>
      <c r="D70" s="255">
        <f t="shared" si="14"/>
        <v>9.2592592592592596E-4</v>
      </c>
      <c r="E70" s="129"/>
      <c r="F70" s="122" t="s">
        <v>334</v>
      </c>
      <c r="G70" s="119">
        <f>S59/S58*100</f>
        <v>96.133828996282531</v>
      </c>
      <c r="H70" s="123" t="s">
        <v>331</v>
      </c>
      <c r="I70" s="119"/>
      <c r="N70" s="37"/>
      <c r="O70" s="37"/>
      <c r="P70" s="37"/>
      <c r="X70" s="121"/>
      <c r="Y70" s="253"/>
      <c r="Z70" s="121"/>
      <c r="AA70" s="253"/>
      <c r="AB70" s="121"/>
      <c r="AC70" s="253"/>
    </row>
    <row r="71" spans="2:29">
      <c r="B71" s="121">
        <v>11</v>
      </c>
      <c r="C71" s="253">
        <f t="shared" si="12"/>
        <v>4.3784722222222223E-4</v>
      </c>
      <c r="D71" s="255">
        <f t="shared" si="14"/>
        <v>9.0277777777777784E-4</v>
      </c>
      <c r="E71" s="129"/>
      <c r="F71" s="122" t="s">
        <v>335</v>
      </c>
      <c r="G71" s="119">
        <f>(S59/S59*100)</f>
        <v>100</v>
      </c>
      <c r="H71" s="123" t="s">
        <v>331</v>
      </c>
      <c r="I71" s="119"/>
      <c r="N71" s="37"/>
      <c r="O71" s="37"/>
      <c r="P71" s="37"/>
      <c r="X71" s="121"/>
      <c r="Y71" s="253"/>
      <c r="Z71" s="121"/>
      <c r="AA71" s="253"/>
      <c r="AB71" s="121"/>
      <c r="AC71" s="253"/>
    </row>
    <row r="72" spans="2:29">
      <c r="B72" s="121">
        <v>12</v>
      </c>
      <c r="C72" s="253">
        <f t="shared" si="12"/>
        <v>4.2662037037037039E-4</v>
      </c>
      <c r="D72" s="255">
        <f t="shared" si="14"/>
        <v>8.7962962962962973E-4</v>
      </c>
      <c r="E72" s="129"/>
      <c r="F72" s="122" t="s">
        <v>336</v>
      </c>
      <c r="G72" s="119">
        <f>G71+3</f>
        <v>103</v>
      </c>
      <c r="H72" s="123" t="s">
        <v>331</v>
      </c>
      <c r="I72" s="119"/>
      <c r="N72" s="37"/>
      <c r="O72" s="37"/>
      <c r="P72" s="37"/>
      <c r="X72" s="121"/>
      <c r="Y72" s="253"/>
      <c r="Z72" s="121"/>
      <c r="AA72" s="253"/>
      <c r="AB72" s="121"/>
      <c r="AC72" s="253"/>
    </row>
    <row r="73" spans="2:29">
      <c r="B73" s="121">
        <v>13</v>
      </c>
      <c r="C73" s="253">
        <f t="shared" si="12"/>
        <v>4.1539351851851855E-4</v>
      </c>
      <c r="D73" s="255">
        <f t="shared" si="14"/>
        <v>8.5648148148148161E-4</v>
      </c>
      <c r="E73" s="37"/>
      <c r="F73" s="28"/>
      <c r="G73" s="41"/>
      <c r="H73" s="40"/>
      <c r="N73" s="37"/>
      <c r="O73" s="37"/>
      <c r="P73" s="37"/>
      <c r="X73" s="121"/>
      <c r="Y73" s="253"/>
      <c r="Z73" s="121"/>
      <c r="AA73" s="253"/>
      <c r="AB73" s="121"/>
      <c r="AC73" s="253"/>
    </row>
    <row r="74" spans="2:29">
      <c r="B74" s="121">
        <v>14</v>
      </c>
      <c r="C74" s="253">
        <f t="shared" si="12"/>
        <v>4.0416666666666671E-4</v>
      </c>
      <c r="D74" s="255">
        <f t="shared" si="14"/>
        <v>8.333333333333335E-4</v>
      </c>
      <c r="E74" s="37"/>
      <c r="F74" s="28"/>
      <c r="G74" s="41"/>
      <c r="H74" s="40"/>
      <c r="N74" s="37"/>
      <c r="O74" s="37"/>
      <c r="P74" s="37"/>
      <c r="X74" s="121"/>
      <c r="Y74" s="253"/>
      <c r="Z74" s="121"/>
      <c r="AA74" s="253"/>
      <c r="AB74" s="121"/>
      <c r="AC74" s="253"/>
    </row>
    <row r="75" spans="2:29">
      <c r="B75" s="121">
        <v>15</v>
      </c>
      <c r="C75" s="253">
        <f t="shared" si="12"/>
        <v>3.9855324074074077E-4</v>
      </c>
      <c r="D75" s="255">
        <f>D74-$D$84</f>
        <v>8.2175925925925938E-4</v>
      </c>
      <c r="E75" s="35"/>
      <c r="F75" s="28"/>
      <c r="G75" s="41"/>
      <c r="H75" s="40"/>
      <c r="N75" s="35"/>
      <c r="X75" s="121"/>
      <c r="Y75" s="253"/>
      <c r="Z75" s="121"/>
      <c r="AA75" s="253"/>
      <c r="AB75" s="121"/>
      <c r="AC75" s="253"/>
    </row>
    <row r="76" spans="2:29">
      <c r="B76" s="121">
        <v>16</v>
      </c>
      <c r="C76" s="253">
        <f t="shared" si="12"/>
        <v>3.8732638888888893E-4</v>
      </c>
      <c r="D76" s="255">
        <f>D75-$D$83</f>
        <v>7.9861111111111127E-4</v>
      </c>
      <c r="E76" s="35"/>
      <c r="F76" s="41"/>
      <c r="G76" s="41"/>
      <c r="H76" s="40"/>
      <c r="X76" s="121"/>
      <c r="Y76" s="253"/>
      <c r="Z76" s="121"/>
      <c r="AA76" s="253"/>
      <c r="AB76" s="121"/>
      <c r="AC76" s="253"/>
    </row>
    <row r="77" spans="2:29">
      <c r="B77" s="121">
        <v>17</v>
      </c>
      <c r="C77" s="253">
        <f t="shared" si="12"/>
        <v>3.7609953703703709E-4</v>
      </c>
      <c r="D77" s="255">
        <f>D76-$D$83</f>
        <v>7.7546296296296315E-4</v>
      </c>
      <c r="E77" s="35"/>
      <c r="F77" s="28"/>
      <c r="G77" s="40"/>
      <c r="H77" s="40"/>
      <c r="X77" s="121"/>
      <c r="Y77" s="253"/>
      <c r="Z77" s="121"/>
      <c r="AA77" s="253"/>
      <c r="AB77" s="121"/>
      <c r="AC77" s="253"/>
    </row>
    <row r="78" spans="2:29">
      <c r="B78" s="121">
        <v>18</v>
      </c>
      <c r="C78" s="253">
        <f t="shared" si="12"/>
        <v>3.6487268518518525E-4</v>
      </c>
      <c r="D78" s="255">
        <f>D77-$D$83</f>
        <v>7.5231481481481503E-4</v>
      </c>
      <c r="E78" s="35"/>
      <c r="F78" s="44"/>
      <c r="X78" s="121"/>
      <c r="Y78" s="253"/>
      <c r="Z78" s="121"/>
      <c r="AA78" s="253"/>
      <c r="AB78" s="121"/>
      <c r="AC78" s="253"/>
    </row>
    <row r="79" spans="2:29" ht="13">
      <c r="B79" s="121">
        <v>19</v>
      </c>
      <c r="C79" s="253">
        <f>(D79/2)*0.97</f>
        <v>3.5364583333333347E-4</v>
      </c>
      <c r="D79" s="255">
        <f>D78-$D$83</f>
        <v>7.2916666666666692E-4</v>
      </c>
      <c r="E79" s="24"/>
      <c r="F79" s="35"/>
      <c r="G79" s="44"/>
      <c r="X79" s="121"/>
      <c r="Y79" s="253"/>
      <c r="Z79" s="121"/>
      <c r="AA79" s="253"/>
      <c r="AB79" s="121"/>
      <c r="AC79" s="253"/>
    </row>
    <row r="80" spans="2:29">
      <c r="B80" s="119"/>
      <c r="C80" s="119"/>
      <c r="D80" s="119"/>
      <c r="F80" s="35"/>
      <c r="G80" s="44"/>
      <c r="X80" s="119"/>
      <c r="Y80" s="119"/>
      <c r="Z80" s="119"/>
      <c r="AA80" s="119"/>
      <c r="AB80" s="119"/>
      <c r="AC80" s="119"/>
    </row>
    <row r="81" spans="2:29">
      <c r="B81" s="119"/>
      <c r="C81" s="119"/>
      <c r="D81" s="119"/>
      <c r="F81" s="35"/>
      <c r="G81" s="44"/>
      <c r="X81" s="119"/>
      <c r="Y81" s="119"/>
      <c r="Z81" s="119"/>
      <c r="AA81" s="119"/>
      <c r="AB81" s="119"/>
      <c r="AC81" s="119"/>
    </row>
    <row r="82" spans="2:29">
      <c r="B82" s="256" t="s">
        <v>337</v>
      </c>
      <c r="C82" s="256" t="s">
        <v>338</v>
      </c>
      <c r="D82" s="257">
        <v>3.4722222222222222E-5</v>
      </c>
      <c r="F82" s="44"/>
      <c r="G82" s="44"/>
      <c r="X82" s="256"/>
      <c r="Y82" s="256"/>
      <c r="Z82" s="256"/>
      <c r="AA82" s="256"/>
      <c r="AB82" s="256"/>
      <c r="AC82" s="256"/>
    </row>
    <row r="83" spans="2:29">
      <c r="B83" s="256"/>
      <c r="C83" s="256"/>
      <c r="D83" s="258">
        <v>2.3148148148148147E-5</v>
      </c>
      <c r="F83" s="35"/>
      <c r="G83" s="44"/>
      <c r="X83" s="256"/>
      <c r="Y83" s="256"/>
      <c r="Z83" s="256"/>
      <c r="AA83" s="256"/>
      <c r="AB83" s="256"/>
      <c r="AC83" s="256"/>
    </row>
    <row r="84" spans="2:29">
      <c r="B84" s="256"/>
      <c r="C84" s="256"/>
      <c r="D84" s="259">
        <v>1.1574074074074073E-5</v>
      </c>
      <c r="F84" s="35"/>
      <c r="G84" s="44"/>
      <c r="X84" s="256"/>
      <c r="Y84" s="256"/>
      <c r="Z84" s="256"/>
      <c r="AA84" s="256"/>
      <c r="AB84" s="256"/>
      <c r="AC84" s="256"/>
    </row>
    <row r="85" spans="2:29">
      <c r="F85" s="35"/>
      <c r="G85" s="44"/>
    </row>
  </sheetData>
  <mergeCells count="6">
    <mergeCell ref="AB6:AC6"/>
    <mergeCell ref="U52:V52"/>
    <mergeCell ref="B6:C6"/>
    <mergeCell ref="X6:Y6"/>
    <mergeCell ref="Z6:AA6"/>
    <mergeCell ref="X28:AE30"/>
  </mergeCells>
  <phoneticPr fontId="21" type="noConversion"/>
  <pageMargins left="0.8" right="0.31496062992125984" top="0.98425196850393704" bottom="0.27559055118110237" header="0.43307086614173229" footer="0.23622047244094491"/>
  <pageSetup paperSize="9" orientation="portrait" r:id="rId1"/>
  <headerFooter>
    <oddHeader>&amp;L&amp;14&amp;A&amp;F&amp;C&amp;N&amp;R&amp;D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33" r:id="rId4" name="Button 37">
              <controlPr defaultSize="0" print="0" autoFill="0" autoLine="0" autoPict="0" macro="[1]!Módulos.RITMOS" altText="ESTABLECIMIENTO_x000a_ DE RITMOS Y COLORES DE ENTRENAMIENTO">
                <anchor moveWithCells="1" sizeWithCells="1">
                  <from>
                    <xdr:col>4</xdr:col>
                    <xdr:colOff>177800</xdr:colOff>
                    <xdr:row>57</xdr:row>
                    <xdr:rowOff>12700</xdr:rowOff>
                  </from>
                  <to>
                    <xdr:col>9</xdr:col>
                    <xdr:colOff>63500</xdr:colOff>
                    <xdr:row>63</xdr:row>
                    <xdr:rowOff>63500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26"/>
  <dimension ref="A1:AO221"/>
  <sheetViews>
    <sheetView zoomScale="154" zoomScaleNormal="154" zoomScalePageLayoutView="166" workbookViewId="0">
      <selection activeCell="D7" sqref="D7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6640625" style="204" customWidth="1"/>
    <col min="4" max="4" width="1" style="902" customWidth="1"/>
    <col min="5" max="5" width="3.83203125" style="1959" customWidth="1"/>
    <col min="6" max="6" width="3.33203125" style="207" customWidth="1"/>
    <col min="7" max="7" width="5.6640625" style="208" customWidth="1"/>
    <col min="8" max="8" width="6.5" style="208" customWidth="1"/>
    <col min="9" max="10" width="8.5" style="208" customWidth="1"/>
    <col min="11" max="11" width="35" style="208" customWidth="1"/>
    <col min="12" max="12" width="8.33203125" style="1671" customWidth="1"/>
    <col min="13" max="13" width="1" style="1208" customWidth="1"/>
    <col min="14" max="14" width="9.6640625" style="1205" customWidth="1"/>
    <col min="15" max="15" width="1" style="1206" customWidth="1"/>
    <col min="16" max="16" width="9" style="1206" customWidth="1"/>
    <col min="17" max="17" width="5.6640625" style="1209" customWidth="1"/>
    <col min="18" max="18" width="5.1640625" style="1209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20.25" customHeight="1">
      <c r="A1" s="203" t="s">
        <v>344</v>
      </c>
      <c r="B1" s="204"/>
      <c r="C1" s="205"/>
      <c r="D1" s="901"/>
      <c r="E1" s="206"/>
      <c r="V1" s="212"/>
      <c r="AI1" s="213"/>
      <c r="AJ1" s="213"/>
      <c r="AK1" s="213"/>
      <c r="AL1" s="213"/>
      <c r="AM1" s="213"/>
    </row>
    <row r="2" spans="1:40" ht="15" customHeight="1" thickBot="1">
      <c r="F2" s="527"/>
      <c r="G2" s="155"/>
      <c r="H2" s="155"/>
      <c r="I2" s="155"/>
      <c r="J2" s="217"/>
      <c r="K2" s="2372">
        <v>45901</v>
      </c>
      <c r="L2" s="1672"/>
      <c r="U2" s="218" t="s">
        <v>345</v>
      </c>
      <c r="AI2" s="213"/>
      <c r="AJ2" s="213"/>
      <c r="AK2" s="213"/>
      <c r="AL2" s="213"/>
      <c r="AM2" s="213"/>
    </row>
    <row r="3" spans="1:40" s="223" customFormat="1" ht="67.25" customHeight="1" thickTop="1" thickBot="1">
      <c r="A3" s="351" t="s">
        <v>346</v>
      </c>
      <c r="B3" s="352" t="s">
        <v>347</v>
      </c>
      <c r="C3" s="353" t="s">
        <v>348</v>
      </c>
      <c r="D3" s="903"/>
      <c r="E3" s="4400" t="s">
        <v>349</v>
      </c>
      <c r="F3" s="440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1673"/>
      <c r="M3" s="1220" t="s">
        <v>355</v>
      </c>
      <c r="N3" s="350" t="s">
        <v>445</v>
      </c>
      <c r="O3" s="353" t="s">
        <v>446</v>
      </c>
      <c r="P3" s="353" t="s">
        <v>447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3" customFormat="1" ht="12" customHeight="1" thickBot="1">
      <c r="A4" s="911"/>
      <c r="B4" s="912"/>
      <c r="C4" s="913"/>
      <c r="D4" s="4398"/>
      <c r="E4" s="4402"/>
      <c r="F4" s="4405"/>
      <c r="G4" s="4400"/>
      <c r="H4" s="4400"/>
      <c r="I4" s="4400"/>
      <c r="J4" s="4399"/>
      <c r="K4" s="913"/>
      <c r="L4" s="4409"/>
      <c r="M4" s="4411"/>
      <c r="N4" s="4400"/>
      <c r="O4" s="4401"/>
      <c r="P4" s="4400"/>
      <c r="Q4" s="4414"/>
      <c r="R4" s="4405"/>
      <c r="S4" s="4415"/>
      <c r="T4" s="919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0"/>
      <c r="AC4" s="221"/>
      <c r="AD4" s="222"/>
      <c r="AE4" s="222"/>
      <c r="AF4" s="222"/>
      <c r="AG4" s="222"/>
      <c r="AH4" s="222"/>
      <c r="AI4" s="220"/>
      <c r="AJ4" s="220"/>
      <c r="AK4" s="220"/>
      <c r="AL4" s="220"/>
      <c r="AM4" s="220"/>
      <c r="AN4" s="220"/>
    </row>
    <row r="5" spans="1:40" s="228" customFormat="1" ht="5" customHeight="1" thickBot="1">
      <c r="A5" s="621"/>
      <c r="B5" s="2251"/>
      <c r="C5" s="2252"/>
      <c r="D5" s="4396"/>
      <c r="E5" s="4403"/>
      <c r="F5" s="4406"/>
      <c r="G5" s="4408"/>
      <c r="H5" s="4408"/>
      <c r="I5" s="4408"/>
      <c r="J5" s="4397"/>
      <c r="K5" s="2253"/>
      <c r="L5" s="4410"/>
      <c r="M5" s="4412"/>
      <c r="N5" s="4408"/>
      <c r="O5" s="4401"/>
      <c r="P5" s="4413"/>
      <c r="Q5" s="4413"/>
      <c r="R5" s="4417"/>
      <c r="S5" s="4416"/>
      <c r="T5" s="224"/>
      <c r="U5" s="111">
        <f>U4/4</f>
        <v>2.2880964381720439E-4</v>
      </c>
      <c r="V5" s="111">
        <f t="shared" ref="V5:AA5" si="0">V4/4</f>
        <v>2.1908757716049393E-4</v>
      </c>
      <c r="W5" s="111">
        <f t="shared" si="0"/>
        <v>2.1222190799396687E-4</v>
      </c>
      <c r="X5" s="111">
        <f t="shared" si="0"/>
        <v>2.0247664488766629E-4</v>
      </c>
      <c r="Y5" s="111">
        <f t="shared" si="0"/>
        <v>1.8933937422552669E-4</v>
      </c>
      <c r="Z5" s="111">
        <f t="shared" si="0"/>
        <v>1.8229166666666673E-4</v>
      </c>
      <c r="AA5" s="111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s="228" customFormat="1" ht="13.25" customHeight="1" thickTop="1" thickBot="1">
      <c r="A6" s="1344" t="s">
        <v>215</v>
      </c>
      <c r="B6" s="1344" t="s">
        <v>215</v>
      </c>
      <c r="C6" s="629"/>
      <c r="D6" s="1357"/>
      <c r="E6" s="4384"/>
      <c r="F6" s="1357"/>
      <c r="G6" s="1357"/>
      <c r="H6" s="1357"/>
      <c r="I6" s="1357"/>
      <c r="J6" s="2327" t="s">
        <v>1919</v>
      </c>
      <c r="K6" s="2327" t="s">
        <v>1029</v>
      </c>
      <c r="L6" s="1357"/>
      <c r="M6" s="1357"/>
      <c r="N6" s="1357"/>
      <c r="O6" s="1357"/>
      <c r="P6" s="1357"/>
      <c r="Q6" s="1357"/>
      <c r="R6" s="2353"/>
      <c r="S6" s="229">
        <f t="shared" ref="S6:S46" si="1">E6*F6*G6/1000</f>
        <v>0</v>
      </c>
      <c r="T6" s="230">
        <f t="shared" ref="T6:T46" si="2">E6*F6*O6*4</f>
        <v>0</v>
      </c>
      <c r="U6" s="374">
        <f t="shared" ref="U6:U46" si="3">IF(C6*4&gt;=$U$4,S6,0)</f>
        <v>0</v>
      </c>
      <c r="V6" s="375">
        <f t="shared" ref="V6:V46" si="4">IF(AND(C6*4&gt;=$V$4,C6*4&lt;$U$4),S6,0)</f>
        <v>0</v>
      </c>
      <c r="W6" s="376">
        <f t="shared" ref="W6:W46" si="5">IF(AND(C6*4&gt;=$W$4,C6*4&lt;$V$4),S6,0)</f>
        <v>0</v>
      </c>
      <c r="X6" s="377">
        <f t="shared" ref="X6:X46" si="6">IF(AND(C6*4&gt;=$X$4,C6*4&lt;$W$4),S6,0)</f>
        <v>0</v>
      </c>
      <c r="Y6" s="378">
        <f t="shared" ref="Y6:Y46" si="7">IF(AND(C6*4&gt;=$Y$4,C6*4&lt;$X$4),S6,0)</f>
        <v>0</v>
      </c>
      <c r="Z6" s="379">
        <f t="shared" ref="Z6:Z46" si="8">IF(AND(C6*4&gt;=$Z$4,C6*4&lt;$Y$4),S6,0)</f>
        <v>0</v>
      </c>
      <c r="AA6" s="380">
        <f t="shared" ref="AA6:AA46" si="9">IF(AND(C6*4&gt;=$AA$4,C6*4&lt;$Z$4),S6,0)</f>
        <v>0</v>
      </c>
      <c r="AB6" s="225"/>
      <c r="AC6" s="226"/>
      <c r="AD6" s="227"/>
      <c r="AE6" s="227"/>
      <c r="AF6" s="227"/>
      <c r="AG6" s="227"/>
      <c r="AH6" s="227"/>
      <c r="AI6" s="225"/>
      <c r="AJ6" s="225"/>
      <c r="AK6" s="225"/>
      <c r="AL6" s="225"/>
      <c r="AM6" s="225"/>
      <c r="AN6" s="225"/>
    </row>
    <row r="7" spans="1:40" s="228" customFormat="1" ht="13.25" customHeight="1" thickBot="1">
      <c r="A7" s="1344" t="s">
        <v>138</v>
      </c>
      <c r="B7" s="1344" t="s">
        <v>215</v>
      </c>
      <c r="C7" s="629"/>
      <c r="D7" s="2309">
        <v>1</v>
      </c>
      <c r="E7" s="4385">
        <v>1</v>
      </c>
      <c r="F7" s="630">
        <v>4</v>
      </c>
      <c r="G7" s="630">
        <v>300</v>
      </c>
      <c r="H7" s="630"/>
      <c r="I7" s="631">
        <v>1.1574074074074073E-4</v>
      </c>
      <c r="J7" s="631">
        <v>1.3888888888888889E-3</v>
      </c>
      <c r="K7" s="632" t="s">
        <v>1028</v>
      </c>
      <c r="L7" s="631">
        <v>0.3611111111111111</v>
      </c>
      <c r="M7" s="1362">
        <v>1.1000000000000001</v>
      </c>
      <c r="N7" s="631">
        <f>P7*E7*F7+I7*E7*F7+J7*E7</f>
        <v>1.8518518518518519E-3</v>
      </c>
      <c r="O7" s="634">
        <f>C7*(G7/25)</f>
        <v>0</v>
      </c>
      <c r="P7" s="631">
        <f>O7*M7</f>
        <v>0</v>
      </c>
      <c r="Q7" s="2255">
        <v>129</v>
      </c>
      <c r="R7" s="1363">
        <f>E7*F7*G7</f>
        <v>1200</v>
      </c>
      <c r="S7" s="229">
        <f t="shared" si="1"/>
        <v>1.2</v>
      </c>
      <c r="T7" s="230">
        <f t="shared" si="2"/>
        <v>0</v>
      </c>
      <c r="U7" s="374">
        <f t="shared" si="3"/>
        <v>0</v>
      </c>
      <c r="V7" s="375">
        <f t="shared" si="4"/>
        <v>0</v>
      </c>
      <c r="W7" s="376">
        <f t="shared" si="5"/>
        <v>0</v>
      </c>
      <c r="X7" s="377">
        <f t="shared" si="6"/>
        <v>0</v>
      </c>
      <c r="Y7" s="378">
        <f t="shared" si="7"/>
        <v>0</v>
      </c>
      <c r="Z7" s="379">
        <f t="shared" si="8"/>
        <v>0</v>
      </c>
      <c r="AA7" s="380">
        <f t="shared" si="9"/>
        <v>0</v>
      </c>
      <c r="AB7" s="225"/>
      <c r="AC7" s="226"/>
      <c r="AD7" s="227"/>
      <c r="AE7" s="227"/>
      <c r="AF7" s="227"/>
      <c r="AG7" s="227"/>
      <c r="AH7" s="227"/>
      <c r="AI7" s="225"/>
      <c r="AJ7" s="225"/>
      <c r="AK7" s="225"/>
      <c r="AL7" s="225"/>
      <c r="AM7" s="225"/>
      <c r="AN7" s="225"/>
    </row>
    <row r="8" spans="1:40" s="228" customFormat="1" ht="15" customHeight="1" thickBot="1">
      <c r="A8" s="1344" t="s">
        <v>462</v>
      </c>
      <c r="B8" s="1344" t="s">
        <v>215</v>
      </c>
      <c r="C8" s="629">
        <f t="shared" ref="C8:C14" si="10">IF(D8=1,U$5,IF(D8=2,V$5,IF(D8=3,W$5,IF(D8=4,X$5,IF(D8=5,Y$5,IF(D8=6,Z$5,IF(D8=7,AA$5,0)))))))</f>
        <v>2.1222190799396687E-4</v>
      </c>
      <c r="D8" s="1442">
        <v>3</v>
      </c>
      <c r="E8" s="3818">
        <v>1</v>
      </c>
      <c r="F8" s="2257">
        <v>16</v>
      </c>
      <c r="G8" s="2257">
        <v>25</v>
      </c>
      <c r="H8" s="2257"/>
      <c r="I8" s="2258">
        <v>1.3888888888888889E-4</v>
      </c>
      <c r="J8" s="2258">
        <v>1.3888888888888889E-3</v>
      </c>
      <c r="K8" s="2259" t="s">
        <v>558</v>
      </c>
      <c r="L8" s="2260">
        <f>L7+N7</f>
        <v>0.36296296296296293</v>
      </c>
      <c r="M8" s="2261">
        <v>1.3</v>
      </c>
      <c r="N8" s="2260">
        <f t="shared" ref="N8" si="11">P8*E8*F8+I8*F8*E8+J8*E8</f>
        <v>8.4667483660130737E-3</v>
      </c>
      <c r="O8" s="2262">
        <f>C8*(G8/25)*1.1</f>
        <v>2.3344409879336357E-4</v>
      </c>
      <c r="P8" s="2260">
        <f>O8*M8</f>
        <v>3.0347732843137267E-4</v>
      </c>
      <c r="Q8" s="2263">
        <v>144</v>
      </c>
      <c r="R8" s="2357">
        <f>E8*F8*G8</f>
        <v>400</v>
      </c>
      <c r="S8" s="229">
        <f t="shared" si="1"/>
        <v>0.4</v>
      </c>
      <c r="T8" s="230">
        <f t="shared" si="2"/>
        <v>1.4940422322775268E-2</v>
      </c>
      <c r="U8" s="374">
        <f t="shared" si="3"/>
        <v>0</v>
      </c>
      <c r="V8" s="375">
        <f t="shared" si="4"/>
        <v>0</v>
      </c>
      <c r="W8" s="376">
        <f t="shared" si="5"/>
        <v>0.4</v>
      </c>
      <c r="X8" s="377">
        <f t="shared" si="6"/>
        <v>0</v>
      </c>
      <c r="Y8" s="378">
        <f t="shared" si="7"/>
        <v>0</v>
      </c>
      <c r="Z8" s="379">
        <f t="shared" si="8"/>
        <v>0</v>
      </c>
      <c r="AA8" s="380">
        <f t="shared" si="9"/>
        <v>0</v>
      </c>
      <c r="AB8" s="225"/>
      <c r="AC8" s="226"/>
      <c r="AD8" s="227"/>
      <c r="AE8" s="227"/>
      <c r="AF8" s="227"/>
      <c r="AG8" s="227"/>
      <c r="AH8" s="227"/>
      <c r="AI8" s="225"/>
      <c r="AJ8" s="225"/>
      <c r="AK8" s="225"/>
      <c r="AL8" s="225"/>
      <c r="AM8" s="225"/>
      <c r="AN8" s="225"/>
    </row>
    <row r="9" spans="1:40" ht="16.25" customHeight="1" thickBot="1">
      <c r="A9" s="1344" t="s">
        <v>461</v>
      </c>
      <c r="B9" s="1344" t="s">
        <v>215</v>
      </c>
      <c r="C9" s="629">
        <f t="shared" si="10"/>
        <v>1.7682291666666674E-4</v>
      </c>
      <c r="D9" s="920">
        <v>7</v>
      </c>
      <c r="E9" s="3818">
        <v>1</v>
      </c>
      <c r="F9" s="2257">
        <v>20</v>
      </c>
      <c r="G9" s="2257">
        <v>50</v>
      </c>
      <c r="H9" s="2258">
        <v>5.7870370370370378E-4</v>
      </c>
      <c r="I9" s="2258"/>
      <c r="J9" s="2258">
        <v>0</v>
      </c>
      <c r="K9" s="2259" t="s">
        <v>2369</v>
      </c>
      <c r="L9" s="2358">
        <f t="shared" ref="L9:L15" si="12">L8+N8</f>
        <v>0.37142971132897601</v>
      </c>
      <c r="M9" s="2326">
        <v>1.1000000000000001</v>
      </c>
      <c r="N9" s="2258">
        <f>H9*F9*E9</f>
        <v>1.1574074074074075E-2</v>
      </c>
      <c r="O9" s="2262">
        <f t="shared" ref="O9" si="13">C9*(G9/25)</f>
        <v>3.5364583333333347E-4</v>
      </c>
      <c r="P9" s="2262">
        <f>O9*M9</f>
        <v>3.8901041666666684E-4</v>
      </c>
      <c r="Q9" s="2274">
        <v>160</v>
      </c>
      <c r="R9" s="2356">
        <f>E9*F9*G9</f>
        <v>1000</v>
      </c>
      <c r="S9" s="229">
        <f t="shared" si="1"/>
        <v>1</v>
      </c>
      <c r="T9" s="230">
        <f t="shared" si="2"/>
        <v>2.8291666666666677E-2</v>
      </c>
      <c r="U9" s="374">
        <f t="shared" si="3"/>
        <v>0</v>
      </c>
      <c r="V9" s="375">
        <f t="shared" si="4"/>
        <v>0</v>
      </c>
      <c r="W9" s="376">
        <f t="shared" si="5"/>
        <v>0</v>
      </c>
      <c r="X9" s="377">
        <f t="shared" si="6"/>
        <v>0</v>
      </c>
      <c r="Y9" s="378">
        <f t="shared" si="7"/>
        <v>0</v>
      </c>
      <c r="Z9" s="379">
        <f t="shared" si="8"/>
        <v>0</v>
      </c>
      <c r="AA9" s="380">
        <f t="shared" si="9"/>
        <v>1</v>
      </c>
      <c r="AC9" s="231"/>
      <c r="AD9" s="231"/>
      <c r="AE9" s="231"/>
      <c r="AF9" s="231"/>
      <c r="AG9" s="231"/>
      <c r="AH9" s="231"/>
      <c r="AI9" s="213"/>
      <c r="AJ9" s="213"/>
      <c r="AK9" s="213"/>
      <c r="AL9" s="213"/>
      <c r="AM9" s="213"/>
    </row>
    <row r="10" spans="1:40" ht="13.25" customHeight="1" thickBot="1">
      <c r="A10" s="1344" t="s">
        <v>458</v>
      </c>
      <c r="B10" s="1344" t="s">
        <v>215</v>
      </c>
      <c r="C10" s="629">
        <f t="shared" si="10"/>
        <v>2.1908757716049393E-4</v>
      </c>
      <c r="D10" s="1442">
        <v>2</v>
      </c>
      <c r="E10" s="4387">
        <v>4</v>
      </c>
      <c r="F10" s="2373">
        <v>4</v>
      </c>
      <c r="G10" s="2373">
        <v>25</v>
      </c>
      <c r="H10" s="2269"/>
      <c r="I10" s="2374">
        <v>2.3148148148148146E-4</v>
      </c>
      <c r="J10" s="2375">
        <v>1.3888888888888889E-3</v>
      </c>
      <c r="K10" s="2376" t="s">
        <v>1027</v>
      </c>
      <c r="L10" s="2375">
        <f t="shared" si="12"/>
        <v>0.38300378540305008</v>
      </c>
      <c r="M10" s="2269">
        <v>0.9</v>
      </c>
      <c r="N10" s="2377">
        <f t="shared" ref="N10" si="14">P10*E10*F10+I10*F10*E10+J10*E10</f>
        <v>1.241412037037037E-2</v>
      </c>
      <c r="O10" s="2271">
        <f>C10*(G10/25)</f>
        <v>2.1908757716049393E-4</v>
      </c>
      <c r="P10" s="2377">
        <f>O10*M10</f>
        <v>1.9717881944444454E-4</v>
      </c>
      <c r="Q10" s="2272"/>
      <c r="R10" s="2378">
        <f>E10*F10*G10</f>
        <v>400</v>
      </c>
      <c r="S10" s="229">
        <f t="shared" si="1"/>
        <v>0.4</v>
      </c>
      <c r="T10" s="230">
        <f t="shared" si="2"/>
        <v>1.4021604938271611E-2</v>
      </c>
      <c r="U10" s="374">
        <f t="shared" si="3"/>
        <v>0</v>
      </c>
      <c r="V10" s="375">
        <f t="shared" si="4"/>
        <v>0.4</v>
      </c>
      <c r="W10" s="376">
        <f t="shared" si="5"/>
        <v>0</v>
      </c>
      <c r="X10" s="377">
        <f t="shared" si="6"/>
        <v>0</v>
      </c>
      <c r="Y10" s="378">
        <f t="shared" si="7"/>
        <v>0</v>
      </c>
      <c r="Z10" s="379">
        <f t="shared" si="8"/>
        <v>0</v>
      </c>
      <c r="AA10" s="380">
        <f t="shared" si="9"/>
        <v>0</v>
      </c>
      <c r="AC10" s="231"/>
      <c r="AD10" s="231"/>
      <c r="AE10" s="231"/>
      <c r="AF10" s="231"/>
      <c r="AG10" s="231"/>
      <c r="AH10" s="231"/>
      <c r="AI10" s="213"/>
      <c r="AJ10" s="213"/>
      <c r="AK10" s="213"/>
      <c r="AL10" s="213"/>
      <c r="AM10" s="213"/>
    </row>
    <row r="11" spans="1:40" ht="14" customHeight="1">
      <c r="A11" s="1344" t="s">
        <v>219</v>
      </c>
      <c r="B11" s="1344" t="s">
        <v>215</v>
      </c>
      <c r="C11" s="629">
        <f t="shared" si="10"/>
        <v>2.1908757716049393E-4</v>
      </c>
      <c r="D11" s="1442">
        <v>2</v>
      </c>
      <c r="E11" s="4386">
        <v>1</v>
      </c>
      <c r="F11" s="2276">
        <v>8</v>
      </c>
      <c r="G11" s="2276">
        <v>100</v>
      </c>
      <c r="H11" s="2277"/>
      <c r="I11" s="2277">
        <v>1.7361111111111112E-4</v>
      </c>
      <c r="J11" s="2277">
        <v>2.8935185185185189E-4</v>
      </c>
      <c r="K11" s="2278" t="s">
        <v>899</v>
      </c>
      <c r="L11" s="2279">
        <f t="shared" si="12"/>
        <v>0.39541790577342045</v>
      </c>
      <c r="M11" s="2280">
        <v>1.2</v>
      </c>
      <c r="N11" s="2277">
        <f>P11*E11*F11+I11*F11*E11+J11*E11</f>
        <v>1.0091203703703706E-2</v>
      </c>
      <c r="O11" s="2281">
        <f t="shared" ref="O11:O14" si="15">C11*(G11/25)</f>
        <v>8.7635030864197572E-4</v>
      </c>
      <c r="P11" s="2281">
        <f t="shared" ref="P11:P14" si="16">O11*M11</f>
        <v>1.0516203703703707E-3</v>
      </c>
      <c r="Q11" s="2282">
        <v>144</v>
      </c>
      <c r="R11" s="2354">
        <f t="shared" ref="R11:R14" si="17">E11*F11*G11</f>
        <v>800</v>
      </c>
      <c r="S11" s="229">
        <f t="shared" si="1"/>
        <v>0.8</v>
      </c>
      <c r="T11" s="230">
        <f t="shared" si="2"/>
        <v>2.8043209876543223E-2</v>
      </c>
      <c r="U11" s="374">
        <f t="shared" si="3"/>
        <v>0</v>
      </c>
      <c r="V11" s="375">
        <f t="shared" si="4"/>
        <v>0.8</v>
      </c>
      <c r="W11" s="376">
        <f t="shared" si="5"/>
        <v>0</v>
      </c>
      <c r="X11" s="377">
        <f t="shared" si="6"/>
        <v>0</v>
      </c>
      <c r="Y11" s="378">
        <f t="shared" si="7"/>
        <v>0</v>
      </c>
      <c r="Z11" s="379">
        <f t="shared" si="8"/>
        <v>0</v>
      </c>
      <c r="AA11" s="380">
        <f t="shared" si="9"/>
        <v>0</v>
      </c>
      <c r="AC11" s="231"/>
      <c r="AD11" s="231"/>
      <c r="AE11" s="231"/>
      <c r="AF11" s="231"/>
      <c r="AG11" s="231"/>
      <c r="AH11" s="231"/>
      <c r="AI11" s="213"/>
      <c r="AJ11" s="213"/>
      <c r="AK11" s="213"/>
      <c r="AL11" s="213"/>
      <c r="AM11" s="213"/>
    </row>
    <row r="12" spans="1:40" ht="13.5" customHeight="1">
      <c r="A12" s="2360"/>
      <c r="B12" s="1344" t="s">
        <v>215</v>
      </c>
      <c r="C12" s="2256">
        <f t="shared" si="10"/>
        <v>2.1908757716049393E-4</v>
      </c>
      <c r="D12" s="2309">
        <v>2</v>
      </c>
      <c r="E12" s="3818">
        <v>1</v>
      </c>
      <c r="F12" s="2257">
        <v>16</v>
      </c>
      <c r="G12" s="2257">
        <v>50</v>
      </c>
      <c r="H12" s="2258"/>
      <c r="I12" s="2258">
        <v>1.7361111111111112E-4</v>
      </c>
      <c r="J12" s="2258">
        <v>1.3888888888888889E-3</v>
      </c>
      <c r="K12" s="2259" t="s">
        <v>1483</v>
      </c>
      <c r="L12" s="2361">
        <f t="shared" si="12"/>
        <v>0.40550910947712415</v>
      </c>
      <c r="M12" s="2326">
        <v>1</v>
      </c>
      <c r="N12" s="2258">
        <f t="shared" ref="N12" si="18">P12*E12*F12+I12*E12*F12+J12*E12</f>
        <v>1.1177469135802472E-2</v>
      </c>
      <c r="O12" s="2262">
        <f t="shared" si="15"/>
        <v>4.3817515432098786E-4</v>
      </c>
      <c r="P12" s="2262">
        <f t="shared" si="16"/>
        <v>4.3817515432098786E-4</v>
      </c>
      <c r="Q12" s="2274">
        <v>160</v>
      </c>
      <c r="R12" s="2356">
        <f t="shared" si="17"/>
        <v>800</v>
      </c>
      <c r="S12" s="229">
        <f t="shared" si="1"/>
        <v>0.8</v>
      </c>
      <c r="T12" s="230">
        <f t="shared" si="2"/>
        <v>2.8043209876543223E-2</v>
      </c>
      <c r="U12" s="374">
        <f t="shared" si="3"/>
        <v>0</v>
      </c>
      <c r="V12" s="375">
        <f t="shared" si="4"/>
        <v>0.8</v>
      </c>
      <c r="W12" s="376">
        <f t="shared" si="5"/>
        <v>0</v>
      </c>
      <c r="X12" s="377">
        <f t="shared" si="6"/>
        <v>0</v>
      </c>
      <c r="Y12" s="378">
        <f t="shared" si="7"/>
        <v>0</v>
      </c>
      <c r="Z12" s="379">
        <f t="shared" si="8"/>
        <v>0</v>
      </c>
      <c r="AA12" s="380">
        <f t="shared" si="9"/>
        <v>0</v>
      </c>
      <c r="AC12" s="231"/>
      <c r="AD12" s="231"/>
      <c r="AE12" s="231"/>
      <c r="AF12" s="231"/>
      <c r="AG12" s="231"/>
      <c r="AH12" s="231"/>
      <c r="AI12" s="213"/>
      <c r="AJ12" s="213"/>
      <c r="AK12" s="213"/>
      <c r="AL12" s="213"/>
      <c r="AM12" s="213"/>
    </row>
    <row r="13" spans="1:40" ht="15" customHeight="1">
      <c r="A13" s="2360"/>
      <c r="B13" s="1344" t="s">
        <v>215</v>
      </c>
      <c r="C13" s="2256">
        <f t="shared" si="10"/>
        <v>1.7682291666666674E-4</v>
      </c>
      <c r="D13" s="2286">
        <v>7</v>
      </c>
      <c r="E13" s="4386">
        <v>2</v>
      </c>
      <c r="F13" s="2276">
        <v>4</v>
      </c>
      <c r="G13" s="2276">
        <v>100</v>
      </c>
      <c r="H13" s="2277"/>
      <c r="I13" s="2277">
        <v>3.4722222222222224E-4</v>
      </c>
      <c r="J13" s="2277">
        <v>1.3888888888888889E-3</v>
      </c>
      <c r="K13" s="2278" t="s">
        <v>2223</v>
      </c>
      <c r="L13" s="2279">
        <f t="shared" si="12"/>
        <v>0.41668657861292663</v>
      </c>
      <c r="M13" s="2280">
        <v>1</v>
      </c>
      <c r="N13" s="2277">
        <f>P13*E13*F13+I13*E13*F13+J13*E13</f>
        <v>1.1213888888888891E-2</v>
      </c>
      <c r="O13" s="2281">
        <f t="shared" si="15"/>
        <v>7.0729166666666694E-4</v>
      </c>
      <c r="P13" s="2281">
        <f t="shared" si="16"/>
        <v>7.0729166666666694E-4</v>
      </c>
      <c r="Q13" s="2282" t="s">
        <v>278</v>
      </c>
      <c r="R13" s="2354">
        <f t="shared" si="17"/>
        <v>800</v>
      </c>
      <c r="S13" s="229">
        <f t="shared" si="1"/>
        <v>0.8</v>
      </c>
      <c r="T13" s="230">
        <f t="shared" si="2"/>
        <v>2.2633333333333342E-2</v>
      </c>
      <c r="U13" s="374">
        <f t="shared" si="3"/>
        <v>0</v>
      </c>
      <c r="V13" s="375">
        <f t="shared" si="4"/>
        <v>0</v>
      </c>
      <c r="W13" s="376">
        <f t="shared" si="5"/>
        <v>0</v>
      </c>
      <c r="X13" s="377">
        <f t="shared" si="6"/>
        <v>0</v>
      </c>
      <c r="Y13" s="378">
        <f t="shared" si="7"/>
        <v>0</v>
      </c>
      <c r="Z13" s="379">
        <f t="shared" si="8"/>
        <v>0</v>
      </c>
      <c r="AA13" s="380">
        <f t="shared" si="9"/>
        <v>0.8</v>
      </c>
      <c r="AC13" s="231"/>
      <c r="AD13" s="231"/>
      <c r="AE13" s="231"/>
      <c r="AF13" s="231"/>
      <c r="AG13" s="231"/>
      <c r="AH13" s="231"/>
      <c r="AI13" s="213"/>
      <c r="AJ13" s="213"/>
      <c r="AK13" s="213"/>
      <c r="AL13" s="213"/>
      <c r="AM13" s="213"/>
    </row>
    <row r="14" spans="1:40" ht="15" customHeight="1" thickBot="1">
      <c r="A14" s="812"/>
      <c r="B14" s="1344" t="s">
        <v>215</v>
      </c>
      <c r="C14" s="2256">
        <f t="shared" si="10"/>
        <v>2.1222190799396687E-4</v>
      </c>
      <c r="D14" s="2287">
        <v>3</v>
      </c>
      <c r="E14" s="3818">
        <v>1</v>
      </c>
      <c r="F14" s="2257">
        <v>6</v>
      </c>
      <c r="G14" s="2257">
        <v>20</v>
      </c>
      <c r="H14" s="2257"/>
      <c r="I14" s="2258">
        <v>4.6296296296296293E-4</v>
      </c>
      <c r="J14" s="2258">
        <v>2.0833333333333333E-3</v>
      </c>
      <c r="K14" s="2259" t="s">
        <v>1484</v>
      </c>
      <c r="L14" s="2260">
        <f t="shared" si="12"/>
        <v>0.42790046750181554</v>
      </c>
      <c r="M14" s="2259">
        <v>1</v>
      </c>
      <c r="N14" s="2258">
        <f>P14*E14*F14+I14*E14*F14+J14*E14</f>
        <v>5.8797762694821516E-3</v>
      </c>
      <c r="O14" s="2262">
        <f t="shared" si="15"/>
        <v>1.6977752639517351E-4</v>
      </c>
      <c r="P14" s="2258">
        <f t="shared" si="16"/>
        <v>1.6977752639517351E-4</v>
      </c>
      <c r="Q14" s="2274" t="s">
        <v>316</v>
      </c>
      <c r="R14" s="2356">
        <f t="shared" si="17"/>
        <v>120</v>
      </c>
      <c r="S14" s="229">
        <f t="shared" si="1"/>
        <v>0.12</v>
      </c>
      <c r="T14" s="230">
        <f t="shared" si="2"/>
        <v>4.0746606334841643E-3</v>
      </c>
      <c r="U14" s="374">
        <f t="shared" si="3"/>
        <v>0</v>
      </c>
      <c r="V14" s="375">
        <f t="shared" si="4"/>
        <v>0</v>
      </c>
      <c r="W14" s="376">
        <f t="shared" si="5"/>
        <v>0.12</v>
      </c>
      <c r="X14" s="377">
        <f t="shared" si="6"/>
        <v>0</v>
      </c>
      <c r="Y14" s="378">
        <f t="shared" si="7"/>
        <v>0</v>
      </c>
      <c r="Z14" s="379">
        <f t="shared" si="8"/>
        <v>0</v>
      </c>
      <c r="AA14" s="380">
        <f t="shared" si="9"/>
        <v>0</v>
      </c>
      <c r="AC14" s="231"/>
      <c r="AD14" s="231"/>
      <c r="AE14" s="231"/>
      <c r="AF14" s="231"/>
      <c r="AG14" s="231"/>
      <c r="AH14" s="231"/>
      <c r="AI14" s="213"/>
      <c r="AJ14" s="213"/>
      <c r="AK14" s="213"/>
      <c r="AL14" s="213"/>
      <c r="AM14" s="213"/>
    </row>
    <row r="15" spans="1:40" ht="16.25" customHeight="1" thickBot="1">
      <c r="A15" s="2298"/>
      <c r="B15" s="2298"/>
      <c r="C15" s="2290"/>
      <c r="D15" s="2362"/>
      <c r="E15" s="4389"/>
      <c r="F15" s="2363"/>
      <c r="G15" s="2363"/>
      <c r="H15" s="2364"/>
      <c r="I15" s="2365"/>
      <c r="J15" s="2365"/>
      <c r="K15" s="2366"/>
      <c r="L15" s="2367">
        <f t="shared" si="12"/>
        <v>0.4337802437712977</v>
      </c>
      <c r="M15" s="2368">
        <v>2</v>
      </c>
      <c r="N15" s="2365">
        <f>SUM(N8:N14)</f>
        <v>7.0817280808334729E-2</v>
      </c>
      <c r="O15" s="2365"/>
      <c r="P15" s="2369"/>
      <c r="Q15" s="2370"/>
      <c r="R15" s="2371">
        <f>SUM(R8:R14)</f>
        <v>4320</v>
      </c>
      <c r="S15" s="229">
        <f t="shared" si="1"/>
        <v>0</v>
      </c>
      <c r="T15" s="230">
        <f t="shared" si="2"/>
        <v>0</v>
      </c>
      <c r="U15" s="374">
        <f t="shared" si="3"/>
        <v>0</v>
      </c>
      <c r="V15" s="375">
        <f t="shared" si="4"/>
        <v>0</v>
      </c>
      <c r="W15" s="376">
        <f t="shared" si="5"/>
        <v>0</v>
      </c>
      <c r="X15" s="377">
        <f t="shared" si="6"/>
        <v>0</v>
      </c>
      <c r="Y15" s="378">
        <f t="shared" si="7"/>
        <v>0</v>
      </c>
      <c r="Z15" s="379">
        <f t="shared" si="8"/>
        <v>0</v>
      </c>
      <c r="AA15" s="380">
        <f t="shared" si="9"/>
        <v>0</v>
      </c>
      <c r="AC15" s="231"/>
      <c r="AD15" s="231"/>
      <c r="AE15" s="231"/>
      <c r="AF15" s="231"/>
      <c r="AG15" s="231"/>
      <c r="AH15" s="231"/>
      <c r="AI15" s="213"/>
      <c r="AJ15" s="213"/>
      <c r="AK15" s="213"/>
      <c r="AL15" s="213"/>
      <c r="AM15" s="213"/>
    </row>
    <row r="16" spans="1:40" ht="14" thickBot="1">
      <c r="A16" s="848" t="s">
        <v>215</v>
      </c>
      <c r="B16" s="1342"/>
      <c r="C16" s="629"/>
      <c r="D16" s="2330"/>
      <c r="E16" s="4384"/>
      <c r="F16" s="1357"/>
      <c r="G16" s="1357"/>
      <c r="H16" s="1357"/>
      <c r="I16" s="1357"/>
      <c r="J16" s="2327" t="s">
        <v>1504</v>
      </c>
      <c r="K16" s="2327" t="s">
        <v>1032</v>
      </c>
      <c r="L16" s="1357"/>
      <c r="M16" s="1357"/>
      <c r="N16" s="1357"/>
      <c r="O16" s="1357"/>
      <c r="P16" s="1357"/>
      <c r="Q16" s="1357"/>
      <c r="R16" s="2353"/>
      <c r="S16" s="229">
        <f t="shared" si="1"/>
        <v>0</v>
      </c>
      <c r="T16" s="230">
        <f t="shared" si="2"/>
        <v>0</v>
      </c>
      <c r="U16" s="374">
        <f t="shared" si="3"/>
        <v>0</v>
      </c>
      <c r="V16" s="375">
        <f t="shared" si="4"/>
        <v>0</v>
      </c>
      <c r="W16" s="376">
        <f t="shared" si="5"/>
        <v>0</v>
      </c>
      <c r="X16" s="377">
        <f t="shared" si="6"/>
        <v>0</v>
      </c>
      <c r="Y16" s="378">
        <f t="shared" si="7"/>
        <v>0</v>
      </c>
      <c r="Z16" s="379">
        <f t="shared" si="8"/>
        <v>0</v>
      </c>
      <c r="AA16" s="380">
        <f t="shared" si="9"/>
        <v>0</v>
      </c>
      <c r="AC16" s="231"/>
      <c r="AD16" s="231"/>
      <c r="AE16" s="231"/>
      <c r="AF16" s="231"/>
      <c r="AG16" s="231"/>
      <c r="AH16" s="231"/>
      <c r="AI16" s="213"/>
      <c r="AJ16" s="213"/>
      <c r="AK16" s="213"/>
      <c r="AL16" s="213"/>
      <c r="AM16" s="213"/>
    </row>
    <row r="17" spans="1:40" ht="15" customHeight="1" thickBot="1">
      <c r="A17" s="848" t="s">
        <v>139</v>
      </c>
      <c r="B17" s="1342" t="s">
        <v>215</v>
      </c>
      <c r="C17" s="629">
        <f>IF(D17=1,U$5,IF(D17=2,V$5,IF(D17=3,W$5,IF(D17=4,X$5,IF(D17=5,Y$5,IF(D17=6,Z$5,IF(D17=7,AA$5,0)))))))</f>
        <v>2.2880964381720439E-4</v>
      </c>
      <c r="D17" s="2254">
        <v>1</v>
      </c>
      <c r="E17" s="4385">
        <v>1</v>
      </c>
      <c r="F17" s="630">
        <v>2</v>
      </c>
      <c r="G17" s="630">
        <v>700</v>
      </c>
      <c r="H17" s="630"/>
      <c r="I17" s="631">
        <v>1.1574074074074073E-4</v>
      </c>
      <c r="J17" s="631">
        <v>1.3888888888888889E-3</v>
      </c>
      <c r="K17" s="632" t="s">
        <v>1028</v>
      </c>
      <c r="L17" s="631">
        <v>0.3611111111111111</v>
      </c>
      <c r="M17" s="1362">
        <v>1.1000000000000001</v>
      </c>
      <c r="N17" s="631">
        <f>P17*E17*F17+I17*E17*F17+J17*E17</f>
        <v>1.5715044429510161E-2</v>
      </c>
      <c r="O17" s="634">
        <f>C17*(G17/25)</f>
        <v>6.4066700268817231E-3</v>
      </c>
      <c r="P17" s="631">
        <f>O17*M17</f>
        <v>7.0473370295698959E-3</v>
      </c>
      <c r="Q17" s="2255">
        <v>129</v>
      </c>
      <c r="R17" s="1363">
        <f>E17*F17*G17</f>
        <v>1400</v>
      </c>
      <c r="S17" s="229">
        <f t="shared" si="1"/>
        <v>1.4</v>
      </c>
      <c r="T17" s="230">
        <f t="shared" si="2"/>
        <v>5.1253360215053785E-2</v>
      </c>
      <c r="U17" s="374">
        <f t="shared" si="3"/>
        <v>1.4</v>
      </c>
      <c r="V17" s="375">
        <f t="shared" si="4"/>
        <v>0</v>
      </c>
      <c r="W17" s="376">
        <f t="shared" si="5"/>
        <v>0</v>
      </c>
      <c r="X17" s="377">
        <f t="shared" si="6"/>
        <v>0</v>
      </c>
      <c r="Y17" s="378">
        <f t="shared" si="7"/>
        <v>0</v>
      </c>
      <c r="Z17" s="379">
        <f t="shared" si="8"/>
        <v>0</v>
      </c>
      <c r="AA17" s="380">
        <f t="shared" si="9"/>
        <v>0</v>
      </c>
      <c r="AC17" s="231"/>
      <c r="AD17" s="231"/>
      <c r="AE17" s="231"/>
      <c r="AF17" s="231"/>
      <c r="AG17" s="231"/>
      <c r="AH17" s="231"/>
      <c r="AI17" s="213"/>
      <c r="AJ17" s="213"/>
      <c r="AK17" s="213"/>
      <c r="AL17" s="213"/>
      <c r="AM17" s="213"/>
    </row>
    <row r="18" spans="1:40" s="245" customFormat="1" ht="14" thickBot="1">
      <c r="A18" s="848" t="s">
        <v>458</v>
      </c>
      <c r="B18" s="1342" t="s">
        <v>215</v>
      </c>
      <c r="C18" s="629">
        <f t="shared" ref="C18:C23" si="19">IF(D18=1,U$5,IF(D18=2,V$5,IF(D18=3,W$5,IF(D18=4,X$5,IF(D18=5,Y$5,IF(D18=6,Z$5,IF(D18=7,AA$5,0)))))))</f>
        <v>2.1222190799396687E-4</v>
      </c>
      <c r="D18" s="2309">
        <v>3</v>
      </c>
      <c r="E18" s="3818">
        <v>1</v>
      </c>
      <c r="F18" s="2257">
        <v>8</v>
      </c>
      <c r="G18" s="2257">
        <v>50</v>
      </c>
      <c r="H18" s="2257"/>
      <c r="I18" s="2258">
        <v>2.3148148148148146E-4</v>
      </c>
      <c r="J18" s="2258">
        <v>1.736111111111111E-3</v>
      </c>
      <c r="K18" s="2310" t="s">
        <v>977</v>
      </c>
      <c r="L18" s="2311">
        <f>L17</f>
        <v>0.3611111111111111</v>
      </c>
      <c r="M18" s="2312">
        <v>1.05</v>
      </c>
      <c r="N18" s="2313">
        <f>P18*E18*F18+I18*E18*F18+J18*E18</f>
        <v>7.1532910172616062E-3</v>
      </c>
      <c r="O18" s="2314">
        <f>C18*(G18/25)</f>
        <v>4.2444381598793373E-4</v>
      </c>
      <c r="P18" s="2315">
        <f>O18*M18</f>
        <v>4.4566600678733046E-4</v>
      </c>
      <c r="Q18" s="2274"/>
      <c r="R18" s="2316">
        <f>E18*F18*G18</f>
        <v>400</v>
      </c>
      <c r="S18" s="229">
        <f t="shared" si="1"/>
        <v>0.4</v>
      </c>
      <c r="T18" s="230">
        <f t="shared" si="2"/>
        <v>1.3582202111613879E-2</v>
      </c>
      <c r="U18" s="374">
        <f t="shared" si="3"/>
        <v>0</v>
      </c>
      <c r="V18" s="375">
        <f t="shared" si="4"/>
        <v>0</v>
      </c>
      <c r="W18" s="376">
        <f t="shared" si="5"/>
        <v>0.4</v>
      </c>
      <c r="X18" s="377">
        <f t="shared" si="6"/>
        <v>0</v>
      </c>
      <c r="Y18" s="378">
        <f t="shared" si="7"/>
        <v>0</v>
      </c>
      <c r="Z18" s="379">
        <f t="shared" si="8"/>
        <v>0</v>
      </c>
      <c r="AA18" s="380">
        <f t="shared" si="9"/>
        <v>0</v>
      </c>
      <c r="AB18" s="565"/>
      <c r="AC18" s="214"/>
      <c r="AD18" s="214"/>
      <c r="AE18" s="222"/>
      <c r="AF18" s="222"/>
      <c r="AG18" s="222"/>
      <c r="AH18" s="222"/>
      <c r="AI18" s="222"/>
      <c r="AJ18" s="214"/>
      <c r="AK18" s="214"/>
      <c r="AL18" s="214"/>
      <c r="AM18" s="214"/>
      <c r="AN18" s="244"/>
    </row>
    <row r="19" spans="1:40" s="245" customFormat="1" ht="14" thickBot="1">
      <c r="A19" s="848" t="s">
        <v>462</v>
      </c>
      <c r="B19" s="1342" t="s">
        <v>215</v>
      </c>
      <c r="C19" s="629">
        <f t="shared" si="19"/>
        <v>2.1908757716049393E-4</v>
      </c>
      <c r="D19" s="2317">
        <v>2</v>
      </c>
      <c r="E19" s="4386">
        <v>2</v>
      </c>
      <c r="F19" s="2276">
        <v>8</v>
      </c>
      <c r="G19" s="2276">
        <v>50</v>
      </c>
      <c r="H19" s="2277"/>
      <c r="I19" s="2277">
        <v>4.6296296296296293E-4</v>
      </c>
      <c r="J19" s="2277">
        <v>1.9675925925925928E-3</v>
      </c>
      <c r="K19" s="2278" t="s">
        <v>2224</v>
      </c>
      <c r="L19" s="2279">
        <f>L17+N17</f>
        <v>0.37682615554062127</v>
      </c>
      <c r="M19" s="2280">
        <v>1.1000000000000001</v>
      </c>
      <c r="N19" s="2277">
        <f>P19*E19*F19+I19*E19*F19+J19*E19</f>
        <v>1.9362950617283957E-2</v>
      </c>
      <c r="O19" s="2281">
        <f>C19*(G19/25)*1.04</f>
        <v>4.5570216049382737E-4</v>
      </c>
      <c r="P19" s="2281">
        <f>O19*M19</f>
        <v>5.0127237654321011E-4</v>
      </c>
      <c r="Q19" s="2282"/>
      <c r="R19" s="2283">
        <f>E19*F19*G19</f>
        <v>800</v>
      </c>
      <c r="S19" s="229">
        <f t="shared" si="1"/>
        <v>0.8</v>
      </c>
      <c r="T19" s="230">
        <f t="shared" si="2"/>
        <v>2.9164938271604952E-2</v>
      </c>
      <c r="U19" s="374">
        <f t="shared" si="3"/>
        <v>0</v>
      </c>
      <c r="V19" s="375">
        <f t="shared" si="4"/>
        <v>0.8</v>
      </c>
      <c r="W19" s="376">
        <f t="shared" si="5"/>
        <v>0</v>
      </c>
      <c r="X19" s="377">
        <f t="shared" si="6"/>
        <v>0</v>
      </c>
      <c r="Y19" s="378">
        <f t="shared" si="7"/>
        <v>0</v>
      </c>
      <c r="Z19" s="379">
        <f t="shared" si="8"/>
        <v>0</v>
      </c>
      <c r="AA19" s="380">
        <f t="shared" si="9"/>
        <v>0</v>
      </c>
      <c r="AB19" s="565"/>
      <c r="AC19" s="214"/>
      <c r="AD19" s="214"/>
      <c r="AE19" s="222"/>
      <c r="AF19" s="222"/>
      <c r="AG19" s="222"/>
      <c r="AH19" s="222"/>
      <c r="AI19" s="222"/>
      <c r="AJ19" s="214"/>
      <c r="AK19" s="214"/>
      <c r="AL19" s="214"/>
      <c r="AM19" s="214"/>
      <c r="AN19" s="244"/>
    </row>
    <row r="20" spans="1:40" s="245" customFormat="1" ht="14" thickBot="1">
      <c r="A20" s="848" t="s">
        <v>140</v>
      </c>
      <c r="B20" s="1342" t="s">
        <v>215</v>
      </c>
      <c r="C20" s="629">
        <f t="shared" si="19"/>
        <v>2.1222190799396687E-4</v>
      </c>
      <c r="D20" s="2309">
        <v>3</v>
      </c>
      <c r="E20" s="3818">
        <v>2</v>
      </c>
      <c r="F20" s="2257">
        <v>8</v>
      </c>
      <c r="G20" s="2257">
        <v>50</v>
      </c>
      <c r="H20" s="2257"/>
      <c r="I20" s="2258">
        <v>2.3148148148148146E-4</v>
      </c>
      <c r="J20" s="2258">
        <v>1.736111111111111E-3</v>
      </c>
      <c r="K20" s="2310" t="s">
        <v>2225</v>
      </c>
      <c r="L20" s="2311">
        <f>L19</f>
        <v>0.37682615554062127</v>
      </c>
      <c r="M20" s="2312">
        <v>1.05</v>
      </c>
      <c r="N20" s="2313">
        <f>P20*E20*F20+I20*E20*F20+J20*E20</f>
        <v>1.4306582034523212E-2</v>
      </c>
      <c r="O20" s="2314">
        <f>C20*(G20/25)</f>
        <v>4.2444381598793373E-4</v>
      </c>
      <c r="P20" s="2315">
        <f>O20*M20</f>
        <v>4.4566600678733046E-4</v>
      </c>
      <c r="Q20" s="2274"/>
      <c r="R20" s="2316">
        <f>E20*F20*G20</f>
        <v>800</v>
      </c>
      <c r="S20" s="229">
        <f t="shared" si="1"/>
        <v>0.8</v>
      </c>
      <c r="T20" s="230">
        <f t="shared" si="2"/>
        <v>2.7164404223227759E-2</v>
      </c>
      <c r="U20" s="374">
        <f t="shared" si="3"/>
        <v>0</v>
      </c>
      <c r="V20" s="375">
        <f t="shared" si="4"/>
        <v>0</v>
      </c>
      <c r="W20" s="376">
        <f t="shared" si="5"/>
        <v>0.8</v>
      </c>
      <c r="X20" s="377">
        <f t="shared" si="6"/>
        <v>0</v>
      </c>
      <c r="Y20" s="378">
        <f t="shared" si="7"/>
        <v>0</v>
      </c>
      <c r="Z20" s="379">
        <f t="shared" si="8"/>
        <v>0</v>
      </c>
      <c r="AA20" s="380">
        <f t="shared" si="9"/>
        <v>0</v>
      </c>
      <c r="AB20" s="565"/>
      <c r="AC20" s="214"/>
      <c r="AD20" s="214"/>
      <c r="AE20" s="222"/>
      <c r="AF20" s="222"/>
      <c r="AG20" s="222"/>
      <c r="AH20" s="222"/>
      <c r="AI20" s="222"/>
      <c r="AJ20" s="214"/>
      <c r="AK20" s="214"/>
      <c r="AL20" s="214"/>
      <c r="AM20" s="214"/>
      <c r="AN20" s="244"/>
    </row>
    <row r="21" spans="1:40" s="245" customFormat="1" ht="14" thickBot="1">
      <c r="A21" s="848" t="s">
        <v>674</v>
      </c>
      <c r="B21" s="1342" t="s">
        <v>215</v>
      </c>
      <c r="C21" s="629">
        <f t="shared" si="19"/>
        <v>1.7682291666666674E-4</v>
      </c>
      <c r="D21" s="2318">
        <v>7</v>
      </c>
      <c r="E21" s="4387">
        <v>1</v>
      </c>
      <c r="F21" s="2373">
        <v>4</v>
      </c>
      <c r="G21" s="2373">
        <v>50</v>
      </c>
      <c r="H21" s="2269"/>
      <c r="I21" s="2374">
        <v>0</v>
      </c>
      <c r="J21" s="2375">
        <v>1.3888888888888889E-3</v>
      </c>
      <c r="K21" s="2376" t="s">
        <v>1036</v>
      </c>
      <c r="L21" s="2375">
        <f>L20+N20</f>
        <v>0.3911327375751445</v>
      </c>
      <c r="M21" s="2269">
        <v>1.03</v>
      </c>
      <c r="N21" s="2377">
        <f>P21*E21*F21+I21*E21*F21+J21*E21</f>
        <v>2.9479011805555564E-3</v>
      </c>
      <c r="O21" s="2271">
        <f>C21*(G21/25)*1.07</f>
        <v>3.7840104166666686E-4</v>
      </c>
      <c r="P21" s="2377">
        <f>O21*M21</f>
        <v>3.8975307291666685E-4</v>
      </c>
      <c r="Q21" s="2272"/>
      <c r="R21" s="2378">
        <f>E21*F21*G21</f>
        <v>200</v>
      </c>
      <c r="S21" s="229">
        <f t="shared" si="1"/>
        <v>0.2</v>
      </c>
      <c r="T21" s="230">
        <f t="shared" si="2"/>
        <v>6.0544166666666697E-3</v>
      </c>
      <c r="U21" s="374">
        <f t="shared" si="3"/>
        <v>0</v>
      </c>
      <c r="V21" s="375">
        <f t="shared" si="4"/>
        <v>0</v>
      </c>
      <c r="W21" s="376">
        <f t="shared" si="5"/>
        <v>0</v>
      </c>
      <c r="X21" s="377">
        <f t="shared" si="6"/>
        <v>0</v>
      </c>
      <c r="Y21" s="378">
        <f t="shared" si="7"/>
        <v>0</v>
      </c>
      <c r="Z21" s="379">
        <f t="shared" si="8"/>
        <v>0</v>
      </c>
      <c r="AA21" s="380">
        <f t="shared" si="9"/>
        <v>0.2</v>
      </c>
      <c r="AB21" s="565"/>
      <c r="AC21" s="214"/>
      <c r="AD21" s="214"/>
      <c r="AE21" s="222"/>
      <c r="AF21" s="222"/>
      <c r="AG21" s="222"/>
      <c r="AH21" s="222"/>
      <c r="AI21" s="222"/>
      <c r="AJ21" s="214"/>
      <c r="AK21" s="214"/>
      <c r="AL21" s="214"/>
      <c r="AM21" s="214"/>
      <c r="AN21" s="244"/>
    </row>
    <row r="22" spans="1:40" s="245" customFormat="1" ht="14" thickBot="1">
      <c r="A22" s="848" t="s">
        <v>214</v>
      </c>
      <c r="B22" s="1342" t="s">
        <v>215</v>
      </c>
      <c r="C22" s="629">
        <f t="shared" si="19"/>
        <v>1.7682291666666674E-4</v>
      </c>
      <c r="D22" s="1442">
        <v>7</v>
      </c>
      <c r="E22" s="4387">
        <v>1</v>
      </c>
      <c r="F22" s="2373">
        <v>4</v>
      </c>
      <c r="G22" s="2373">
        <v>20</v>
      </c>
      <c r="H22" s="2269" t="s">
        <v>1035</v>
      </c>
      <c r="I22" s="2374">
        <v>6.9444444444444447E-4</v>
      </c>
      <c r="J22" s="2375">
        <v>1.6203703703703703E-3</v>
      </c>
      <c r="K22" s="2376" t="s">
        <v>1033</v>
      </c>
      <c r="L22" s="2375">
        <f t="shared" ref="L22:L46" si="20">L21+N21</f>
        <v>0.39408063875570004</v>
      </c>
      <c r="M22" s="2269">
        <v>0.78</v>
      </c>
      <c r="N22" s="2377">
        <f t="shared" ref="N22" si="21">P22*E22*F22+I22*F22*E22+J22*E22</f>
        <v>4.8394981481481485E-3</v>
      </c>
      <c r="O22" s="2271">
        <f t="shared" ref="O22" si="22">C22*(G22/25)</f>
        <v>1.4145833333333339E-4</v>
      </c>
      <c r="P22" s="2377">
        <f t="shared" ref="P22:P23" si="23">O22*M22</f>
        <v>1.1033750000000005E-4</v>
      </c>
      <c r="Q22" s="2272">
        <v>144</v>
      </c>
      <c r="R22" s="2378">
        <f t="shared" ref="R22:R23" si="24">E22*F22*G22</f>
        <v>80</v>
      </c>
      <c r="S22" s="229">
        <f t="shared" si="1"/>
        <v>0.08</v>
      </c>
      <c r="T22" s="230">
        <f t="shared" si="2"/>
        <v>2.2633333333333342E-3</v>
      </c>
      <c r="U22" s="374">
        <f t="shared" si="3"/>
        <v>0</v>
      </c>
      <c r="V22" s="375">
        <f t="shared" si="4"/>
        <v>0</v>
      </c>
      <c r="W22" s="376">
        <f t="shared" si="5"/>
        <v>0</v>
      </c>
      <c r="X22" s="377">
        <f t="shared" si="6"/>
        <v>0</v>
      </c>
      <c r="Y22" s="378">
        <f t="shared" si="7"/>
        <v>0</v>
      </c>
      <c r="Z22" s="379">
        <f t="shared" si="8"/>
        <v>0</v>
      </c>
      <c r="AA22" s="380">
        <f t="shared" si="9"/>
        <v>0.08</v>
      </c>
      <c r="AB22" s="565"/>
      <c r="AC22" s="214"/>
      <c r="AD22" s="214"/>
      <c r="AE22" s="222"/>
      <c r="AF22" s="222"/>
      <c r="AG22" s="222"/>
      <c r="AH22" s="222"/>
      <c r="AI22" s="222"/>
      <c r="AJ22" s="214"/>
      <c r="AK22" s="214"/>
      <c r="AL22" s="214"/>
      <c r="AM22" s="214"/>
      <c r="AN22" s="244"/>
    </row>
    <row r="23" spans="1:40" s="245" customFormat="1" ht="14" thickBot="1">
      <c r="A23" s="848" t="s">
        <v>458</v>
      </c>
      <c r="B23" s="1342" t="s">
        <v>215</v>
      </c>
      <c r="C23" s="629">
        <f t="shared" si="19"/>
        <v>2.1908757716049393E-4</v>
      </c>
      <c r="D23" s="2302">
        <v>2</v>
      </c>
      <c r="E23" s="4386">
        <v>2</v>
      </c>
      <c r="F23" s="2276">
        <v>3</v>
      </c>
      <c r="G23" s="2276">
        <v>100</v>
      </c>
      <c r="H23" s="2277"/>
      <c r="I23" s="2277">
        <v>1.7361111111111112E-4</v>
      </c>
      <c r="J23" s="2277">
        <v>1.3888888888888889E-3</v>
      </c>
      <c r="K23" s="2303" t="s">
        <v>703</v>
      </c>
      <c r="L23" s="2304">
        <f t="shared" si="20"/>
        <v>0.3989201369038482</v>
      </c>
      <c r="M23" s="2305">
        <v>1</v>
      </c>
      <c r="N23" s="2324">
        <f t="shared" ref="N23" si="25">P23*E23*F23+I23*E23*F23+J23*E23</f>
        <v>9.2878703703703734E-3</v>
      </c>
      <c r="O23" s="2307">
        <f t="shared" ref="O23" si="26">C23*(G23/25)*1.04</f>
        <v>9.1140432098765474E-4</v>
      </c>
      <c r="P23" s="2307">
        <f t="shared" si="23"/>
        <v>9.1140432098765474E-4</v>
      </c>
      <c r="Q23" s="2282"/>
      <c r="R23" s="2354">
        <f t="shared" si="24"/>
        <v>600</v>
      </c>
      <c r="S23" s="229">
        <f t="shared" si="1"/>
        <v>0.6</v>
      </c>
      <c r="T23" s="230">
        <f t="shared" si="2"/>
        <v>2.1873703703703715E-2</v>
      </c>
      <c r="U23" s="374">
        <f t="shared" si="3"/>
        <v>0</v>
      </c>
      <c r="V23" s="375">
        <f t="shared" si="4"/>
        <v>0.6</v>
      </c>
      <c r="W23" s="376">
        <f t="shared" si="5"/>
        <v>0</v>
      </c>
      <c r="X23" s="377">
        <f t="shared" si="6"/>
        <v>0</v>
      </c>
      <c r="Y23" s="378">
        <f t="shared" si="7"/>
        <v>0</v>
      </c>
      <c r="Z23" s="379">
        <f t="shared" si="8"/>
        <v>0</v>
      </c>
      <c r="AA23" s="380">
        <f t="shared" si="9"/>
        <v>0</v>
      </c>
      <c r="AB23" s="565"/>
      <c r="AC23" s="214"/>
      <c r="AD23" s="214"/>
      <c r="AE23" s="222"/>
      <c r="AF23" s="222"/>
      <c r="AG23" s="222"/>
      <c r="AH23" s="222"/>
      <c r="AI23" s="222"/>
      <c r="AJ23" s="214"/>
      <c r="AK23" s="214"/>
      <c r="AL23" s="214"/>
      <c r="AM23" s="214"/>
      <c r="AN23" s="244"/>
    </row>
    <row r="24" spans="1:40" ht="14" thickBot="1">
      <c r="A24" s="2288"/>
      <c r="B24" s="2289"/>
      <c r="C24" s="2289"/>
      <c r="D24" s="2289"/>
      <c r="E24" s="4388"/>
      <c r="F24" s="4383"/>
      <c r="G24" s="4383"/>
      <c r="H24" s="4382"/>
      <c r="I24" s="4380"/>
      <c r="J24" s="4380"/>
      <c r="K24" s="4379"/>
      <c r="L24" s="2273">
        <f t="shared" si="20"/>
        <v>0.40820800727421858</v>
      </c>
      <c r="M24" s="2368">
        <v>2</v>
      </c>
      <c r="N24" s="2365">
        <f>SUM(N17:N23)</f>
        <v>7.3613137797653022E-2</v>
      </c>
      <c r="O24" s="2365"/>
      <c r="P24" s="2369"/>
      <c r="Q24" s="2370"/>
      <c r="R24" s="2371">
        <f>SUM(R17:R23)</f>
        <v>4280</v>
      </c>
      <c r="S24" s="229">
        <f t="shared" si="1"/>
        <v>0</v>
      </c>
      <c r="T24" s="230">
        <f t="shared" si="2"/>
        <v>0</v>
      </c>
      <c r="U24" s="374">
        <f t="shared" si="3"/>
        <v>0</v>
      </c>
      <c r="V24" s="375">
        <f t="shared" si="4"/>
        <v>0</v>
      </c>
      <c r="W24" s="376">
        <f t="shared" si="5"/>
        <v>0</v>
      </c>
      <c r="X24" s="377">
        <f t="shared" si="6"/>
        <v>0</v>
      </c>
      <c r="Y24" s="378">
        <f t="shared" si="7"/>
        <v>0</v>
      </c>
      <c r="Z24" s="379">
        <f t="shared" si="8"/>
        <v>0</v>
      </c>
      <c r="AA24" s="380">
        <f t="shared" si="9"/>
        <v>0</v>
      </c>
      <c r="AB24" s="144"/>
      <c r="AC24" s="231"/>
      <c r="AD24" s="227"/>
      <c r="AE24" s="227"/>
      <c r="AF24" s="227"/>
      <c r="AG24" s="227"/>
      <c r="AH24" s="227"/>
      <c r="AI24" s="225"/>
      <c r="AJ24" s="204"/>
      <c r="AK24" s="204"/>
      <c r="AL24" s="204"/>
      <c r="AM24" s="204"/>
      <c r="AN24" s="204"/>
    </row>
    <row r="25" spans="1:40" ht="14" thickBot="1">
      <c r="A25" s="2299"/>
      <c r="B25" s="1490" t="s">
        <v>215</v>
      </c>
      <c r="C25" s="629"/>
      <c r="D25" s="2330"/>
      <c r="E25" s="2331"/>
      <c r="F25" s="2331"/>
      <c r="G25" s="2331"/>
      <c r="H25" s="2331"/>
      <c r="I25" s="2331"/>
      <c r="J25" s="2331"/>
      <c r="K25" s="2332" t="s">
        <v>975</v>
      </c>
      <c r="L25" s="2300">
        <v>0.31944444444444448</v>
      </c>
      <c r="M25" s="2333"/>
      <c r="N25" s="2301"/>
      <c r="O25" s="2331"/>
      <c r="P25" s="2331"/>
      <c r="Q25" s="2331"/>
      <c r="R25" s="2334"/>
      <c r="S25" s="229">
        <f t="shared" si="1"/>
        <v>0</v>
      </c>
      <c r="T25" s="230">
        <f t="shared" si="2"/>
        <v>0</v>
      </c>
      <c r="U25" s="374">
        <f t="shared" si="3"/>
        <v>0</v>
      </c>
      <c r="V25" s="375">
        <f t="shared" si="4"/>
        <v>0</v>
      </c>
      <c r="W25" s="376">
        <f t="shared" si="5"/>
        <v>0</v>
      </c>
      <c r="X25" s="377">
        <f t="shared" si="6"/>
        <v>0</v>
      </c>
      <c r="Y25" s="378">
        <f t="shared" si="7"/>
        <v>0</v>
      </c>
      <c r="Z25" s="379">
        <f t="shared" si="8"/>
        <v>0</v>
      </c>
      <c r="AA25" s="380">
        <f t="shared" si="9"/>
        <v>0</v>
      </c>
      <c r="AB25" s="144"/>
      <c r="AC25" s="231"/>
      <c r="AD25" s="227"/>
      <c r="AE25" s="227"/>
      <c r="AF25" s="227"/>
      <c r="AG25" s="227"/>
      <c r="AH25" s="227"/>
      <c r="AI25" s="225"/>
      <c r="AJ25" s="204"/>
      <c r="AK25" s="204"/>
      <c r="AL25" s="204"/>
      <c r="AM25" s="204"/>
      <c r="AN25" s="204"/>
    </row>
    <row r="26" spans="1:40" ht="15" customHeight="1" thickBot="1">
      <c r="A26" s="1344" t="s">
        <v>217</v>
      </c>
      <c r="B26" s="1490" t="s">
        <v>215</v>
      </c>
      <c r="C26" s="629">
        <f t="shared" ref="C26:C32" si="27">IF(D26=1,U$5,IF(D26=2,V$5,IF(D26=3,W$5,IF(D26=4,X$5,IF(D26=5,Y$5,IF(D26=6,Z$5,IF(D26=7,AA$5,0)))))))</f>
        <v>2.2880964381720439E-4</v>
      </c>
      <c r="D26" s="2335">
        <v>1</v>
      </c>
      <c r="E26" s="4390">
        <v>1</v>
      </c>
      <c r="F26" s="2336">
        <v>1</v>
      </c>
      <c r="G26" s="2336">
        <v>1500</v>
      </c>
      <c r="H26" s="2337"/>
      <c r="I26" s="2337">
        <v>1.1574074074074073E-4</v>
      </c>
      <c r="J26" s="2337">
        <v>1.3888888888888889E-3</v>
      </c>
      <c r="K26" s="2338" t="s">
        <v>581</v>
      </c>
      <c r="L26" s="2328">
        <v>0.3611111111111111</v>
      </c>
      <c r="M26" s="2339">
        <v>1</v>
      </c>
      <c r="N26" s="2329">
        <f t="shared" ref="N26:N32" si="28">P26*E26*F26+I26*E26*F26+J26*E26</f>
        <v>1.5782351403823183E-2</v>
      </c>
      <c r="O26" s="2256">
        <f>C26*(G26/25)*1.04</f>
        <v>1.4277721774193555E-2</v>
      </c>
      <c r="P26" s="2340">
        <f t="shared" ref="P26:P32" si="29">O26*M26</f>
        <v>1.4277721774193555E-2</v>
      </c>
      <c r="Q26" s="2341"/>
      <c r="R26" s="2342">
        <f t="shared" ref="R26:R32" si="30">E26*F26*G26</f>
        <v>1500</v>
      </c>
      <c r="S26" s="229">
        <f t="shared" si="1"/>
        <v>1.5</v>
      </c>
      <c r="T26" s="230">
        <f t="shared" si="2"/>
        <v>5.711088709677422E-2</v>
      </c>
      <c r="U26" s="374">
        <f t="shared" si="3"/>
        <v>1.5</v>
      </c>
      <c r="V26" s="375">
        <f t="shared" si="4"/>
        <v>0</v>
      </c>
      <c r="W26" s="376">
        <f t="shared" si="5"/>
        <v>0</v>
      </c>
      <c r="X26" s="377">
        <f t="shared" si="6"/>
        <v>0</v>
      </c>
      <c r="Y26" s="378">
        <f t="shared" si="7"/>
        <v>0</v>
      </c>
      <c r="Z26" s="379">
        <f t="shared" si="8"/>
        <v>0</v>
      </c>
      <c r="AA26" s="380">
        <f t="shared" si="9"/>
        <v>0</v>
      </c>
      <c r="AB26" s="144"/>
      <c r="AC26" s="231">
        <v>0</v>
      </c>
      <c r="AD26" s="231">
        <v>0</v>
      </c>
      <c r="AE26" s="231">
        <v>0</v>
      </c>
      <c r="AF26" s="231">
        <v>0</v>
      </c>
      <c r="AG26" s="231">
        <v>0</v>
      </c>
      <c r="AH26" s="231">
        <v>0</v>
      </c>
      <c r="AI26" s="225"/>
      <c r="AJ26" s="204"/>
      <c r="AK26" s="204"/>
      <c r="AL26" s="204"/>
      <c r="AM26" s="204"/>
      <c r="AN26" s="204"/>
    </row>
    <row r="27" spans="1:40" ht="14" thickBot="1">
      <c r="A27" s="1344" t="s">
        <v>459</v>
      </c>
      <c r="B27" s="1490" t="s">
        <v>215</v>
      </c>
      <c r="C27" s="629">
        <f t="shared" si="27"/>
        <v>2.1908757716049393E-4</v>
      </c>
      <c r="D27" s="2302">
        <v>2</v>
      </c>
      <c r="E27" s="4386">
        <v>1</v>
      </c>
      <c r="F27" s="2276">
        <v>12</v>
      </c>
      <c r="G27" s="2276">
        <v>50</v>
      </c>
      <c r="H27" s="2277"/>
      <c r="I27" s="2277">
        <v>1.3888888888888889E-4</v>
      </c>
      <c r="J27" s="2277">
        <v>1.3888888888888889E-3</v>
      </c>
      <c r="K27" s="2278" t="s">
        <v>2371</v>
      </c>
      <c r="L27" s="2304" t="s">
        <v>2370</v>
      </c>
      <c r="M27" s="2305">
        <v>1.2</v>
      </c>
      <c r="N27" s="2306">
        <f t="shared" si="28"/>
        <v>9.6176666666666702E-3</v>
      </c>
      <c r="O27" s="2307">
        <f>C27*(G27/25)*1.04</f>
        <v>4.5570216049382737E-4</v>
      </c>
      <c r="P27" s="2307">
        <f t="shared" si="29"/>
        <v>5.468425925925928E-4</v>
      </c>
      <c r="Q27" s="2282"/>
      <c r="R27" s="2308">
        <f t="shared" si="30"/>
        <v>600</v>
      </c>
      <c r="S27" s="229">
        <f t="shared" si="1"/>
        <v>0.6</v>
      </c>
      <c r="T27" s="230">
        <f t="shared" si="2"/>
        <v>2.1873703703703715E-2</v>
      </c>
      <c r="U27" s="374">
        <f t="shared" si="3"/>
        <v>0</v>
      </c>
      <c r="V27" s="375">
        <f t="shared" si="4"/>
        <v>0.6</v>
      </c>
      <c r="W27" s="376">
        <f t="shared" si="5"/>
        <v>0</v>
      </c>
      <c r="X27" s="377">
        <f t="shared" si="6"/>
        <v>0</v>
      </c>
      <c r="Y27" s="378">
        <f t="shared" si="7"/>
        <v>0</v>
      </c>
      <c r="Z27" s="379">
        <f t="shared" si="8"/>
        <v>0</v>
      </c>
      <c r="AA27" s="380">
        <f t="shared" si="9"/>
        <v>0</v>
      </c>
      <c r="AB27" s="144"/>
      <c r="AC27" s="231"/>
      <c r="AD27" s="231"/>
      <c r="AE27" s="231"/>
      <c r="AF27" s="231"/>
      <c r="AG27" s="231"/>
      <c r="AH27" s="231"/>
      <c r="AI27" s="225"/>
      <c r="AJ27" s="204"/>
      <c r="AK27" s="204"/>
      <c r="AL27" s="204"/>
      <c r="AM27" s="204"/>
      <c r="AN27" s="204"/>
    </row>
    <row r="28" spans="1:40" ht="14" thickBot="1">
      <c r="A28" s="1344" t="s">
        <v>458</v>
      </c>
      <c r="B28" s="1490" t="s">
        <v>215</v>
      </c>
      <c r="C28" s="629">
        <f t="shared" si="27"/>
        <v>2.1908757716049393E-4</v>
      </c>
      <c r="D28" s="2302">
        <v>2</v>
      </c>
      <c r="E28" s="4386">
        <v>1</v>
      </c>
      <c r="F28" s="2276">
        <v>8</v>
      </c>
      <c r="G28" s="2276">
        <v>50</v>
      </c>
      <c r="H28" s="2277"/>
      <c r="I28" s="2277">
        <v>4.6296296296296293E-4</v>
      </c>
      <c r="J28" s="2277">
        <v>2.0833333333333333E-3</v>
      </c>
      <c r="K28" s="2303" t="s">
        <v>703</v>
      </c>
      <c r="L28" s="2304" t="e">
        <f t="shared" si="20"/>
        <v>#VALUE!</v>
      </c>
      <c r="M28" s="2305">
        <v>1</v>
      </c>
      <c r="N28" s="2306">
        <f t="shared" si="28"/>
        <v>9.4326543209876552E-3</v>
      </c>
      <c r="O28" s="2307">
        <f>C28*(G28/25)*1.04</f>
        <v>4.5570216049382737E-4</v>
      </c>
      <c r="P28" s="2307">
        <f t="shared" si="29"/>
        <v>4.5570216049382737E-4</v>
      </c>
      <c r="Q28" s="2282"/>
      <c r="R28" s="2308">
        <f t="shared" si="30"/>
        <v>400</v>
      </c>
      <c r="S28" s="229">
        <f t="shared" si="1"/>
        <v>0.4</v>
      </c>
      <c r="T28" s="230">
        <f t="shared" si="2"/>
        <v>1.4582469135802476E-2</v>
      </c>
      <c r="U28" s="374">
        <f t="shared" si="3"/>
        <v>0</v>
      </c>
      <c r="V28" s="375">
        <f t="shared" si="4"/>
        <v>0.4</v>
      </c>
      <c r="W28" s="376">
        <f t="shared" si="5"/>
        <v>0</v>
      </c>
      <c r="X28" s="377">
        <f t="shared" si="6"/>
        <v>0</v>
      </c>
      <c r="Y28" s="378">
        <f t="shared" si="7"/>
        <v>0</v>
      </c>
      <c r="Z28" s="379">
        <f t="shared" si="8"/>
        <v>0</v>
      </c>
      <c r="AA28" s="380">
        <f t="shared" si="9"/>
        <v>0</v>
      </c>
      <c r="AB28" s="144"/>
      <c r="AC28" s="231"/>
      <c r="AD28" s="231"/>
      <c r="AE28" s="231"/>
      <c r="AF28" s="231"/>
      <c r="AG28" s="231"/>
      <c r="AH28" s="231"/>
      <c r="AI28" s="225"/>
      <c r="AJ28" s="204"/>
      <c r="AK28" s="204"/>
      <c r="AL28" s="204"/>
      <c r="AM28" s="204"/>
      <c r="AN28" s="204"/>
    </row>
    <row r="29" spans="1:40" ht="14" customHeight="1" thickBot="1">
      <c r="A29" s="1344" t="s">
        <v>218</v>
      </c>
      <c r="B29" s="1490" t="s">
        <v>215</v>
      </c>
      <c r="C29" s="629">
        <f t="shared" si="27"/>
        <v>2.1222190799396687E-4</v>
      </c>
      <c r="D29" s="2309">
        <v>3</v>
      </c>
      <c r="E29" s="3818">
        <v>1</v>
      </c>
      <c r="F29" s="2257">
        <v>8</v>
      </c>
      <c r="G29" s="2257">
        <v>50</v>
      </c>
      <c r="H29" s="2258"/>
      <c r="I29" s="2258">
        <v>2.3148148148148146E-4</v>
      </c>
      <c r="J29" s="2258">
        <v>3.4722222222222224E-4</v>
      </c>
      <c r="K29" s="2310" t="s">
        <v>977</v>
      </c>
      <c r="L29" s="2311" t="e">
        <f t="shared" si="20"/>
        <v>#VALUE!</v>
      </c>
      <c r="M29" s="2312">
        <v>1.05</v>
      </c>
      <c r="N29" s="2313">
        <f t="shared" si="28"/>
        <v>5.764402128372717E-3</v>
      </c>
      <c r="O29" s="2314">
        <f>C29*(G29/25)</f>
        <v>4.2444381598793373E-4</v>
      </c>
      <c r="P29" s="2315">
        <f t="shared" si="29"/>
        <v>4.4566600678733046E-4</v>
      </c>
      <c r="Q29" s="2274"/>
      <c r="R29" s="2316">
        <f t="shared" si="30"/>
        <v>400</v>
      </c>
      <c r="S29" s="229">
        <f t="shared" si="1"/>
        <v>0.4</v>
      </c>
      <c r="T29" s="230">
        <f t="shared" si="2"/>
        <v>1.3582202111613879E-2</v>
      </c>
      <c r="U29" s="374">
        <f t="shared" si="3"/>
        <v>0</v>
      </c>
      <c r="V29" s="375">
        <f t="shared" si="4"/>
        <v>0</v>
      </c>
      <c r="W29" s="376">
        <f t="shared" si="5"/>
        <v>0.4</v>
      </c>
      <c r="X29" s="377">
        <f t="shared" si="6"/>
        <v>0</v>
      </c>
      <c r="Y29" s="378">
        <f t="shared" si="7"/>
        <v>0</v>
      </c>
      <c r="Z29" s="379">
        <f t="shared" si="8"/>
        <v>0</v>
      </c>
      <c r="AA29" s="380">
        <f t="shared" si="9"/>
        <v>0</v>
      </c>
      <c r="AB29" s="144"/>
      <c r="AC29" s="231"/>
      <c r="AD29" s="231"/>
      <c r="AE29" s="231"/>
      <c r="AF29" s="231"/>
      <c r="AG29" s="231"/>
      <c r="AH29" s="231"/>
      <c r="AI29" s="225"/>
      <c r="AJ29" s="204"/>
      <c r="AK29" s="204"/>
      <c r="AL29" s="204"/>
      <c r="AM29" s="204"/>
      <c r="AN29" s="204"/>
    </row>
    <row r="30" spans="1:40" ht="14" thickBot="1">
      <c r="A30" s="1344" t="s">
        <v>458</v>
      </c>
      <c r="B30" s="1490" t="s">
        <v>215</v>
      </c>
      <c r="C30" s="629">
        <f t="shared" si="27"/>
        <v>2.1222190799396687E-4</v>
      </c>
      <c r="D30" s="2309">
        <v>3</v>
      </c>
      <c r="E30" s="3818">
        <v>1</v>
      </c>
      <c r="F30" s="2257">
        <v>24</v>
      </c>
      <c r="G30" s="2257">
        <v>25</v>
      </c>
      <c r="H30" s="2258"/>
      <c r="I30" s="2258">
        <v>5.7870370370370366E-5</v>
      </c>
      <c r="J30" s="2258">
        <v>1.3888888888888889E-3</v>
      </c>
      <c r="K30" s="2259" t="s">
        <v>1278</v>
      </c>
      <c r="L30" s="2343" t="e">
        <f>L29+N29</f>
        <v>#VALUE!</v>
      </c>
      <c r="M30" s="2326">
        <v>1</v>
      </c>
      <c r="N30" s="2258">
        <f>P30*E30*F30+I30*E30*F30+J30*E30</f>
        <v>7.8711035696329822E-3</v>
      </c>
      <c r="O30" s="2262">
        <f t="shared" ref="O30" si="31">C30*(G30/25)</f>
        <v>2.1222190799396687E-4</v>
      </c>
      <c r="P30" s="2262">
        <f t="shared" si="29"/>
        <v>2.1222190799396687E-4</v>
      </c>
      <c r="Q30" s="2274">
        <v>160</v>
      </c>
      <c r="R30" s="2275">
        <f>E30*F30*G30</f>
        <v>600</v>
      </c>
      <c r="S30" s="229">
        <f t="shared" si="1"/>
        <v>0.6</v>
      </c>
      <c r="T30" s="230">
        <f t="shared" si="2"/>
        <v>2.0373303167420819E-2</v>
      </c>
      <c r="U30" s="374">
        <f t="shared" si="3"/>
        <v>0</v>
      </c>
      <c r="V30" s="375">
        <f t="shared" si="4"/>
        <v>0</v>
      </c>
      <c r="W30" s="376">
        <f t="shared" si="5"/>
        <v>0.6</v>
      </c>
      <c r="X30" s="377">
        <f t="shared" si="6"/>
        <v>0</v>
      </c>
      <c r="Y30" s="378">
        <f t="shared" si="7"/>
        <v>0</v>
      </c>
      <c r="Z30" s="379">
        <f t="shared" si="8"/>
        <v>0</v>
      </c>
      <c r="AA30" s="380">
        <f t="shared" si="9"/>
        <v>0</v>
      </c>
      <c r="AB30" s="144"/>
      <c r="AC30" s="231"/>
      <c r="AD30" s="231"/>
      <c r="AE30" s="231"/>
      <c r="AF30" s="231"/>
      <c r="AG30" s="231"/>
      <c r="AH30" s="231"/>
      <c r="AI30" s="225"/>
      <c r="AJ30" s="204"/>
      <c r="AK30" s="204"/>
      <c r="AL30" s="204"/>
      <c r="AM30" s="204"/>
      <c r="AN30" s="204"/>
    </row>
    <row r="31" spans="1:40" ht="14" thickBot="1">
      <c r="A31" s="1344" t="s">
        <v>219</v>
      </c>
      <c r="B31" s="1490" t="s">
        <v>215</v>
      </c>
      <c r="C31" s="629">
        <f t="shared" si="27"/>
        <v>2.1222190799396687E-4</v>
      </c>
      <c r="D31" s="2344">
        <v>3</v>
      </c>
      <c r="E31" s="4391">
        <v>1</v>
      </c>
      <c r="F31" s="2345">
        <v>24</v>
      </c>
      <c r="G31" s="2345">
        <v>25</v>
      </c>
      <c r="H31" s="2346"/>
      <c r="I31" s="2346">
        <v>5.7870370370370366E-5</v>
      </c>
      <c r="J31" s="2346">
        <v>1.3888888888888889E-3</v>
      </c>
      <c r="K31" s="2347" t="s">
        <v>1280</v>
      </c>
      <c r="L31" s="2348" t="e">
        <f>L30+N30</f>
        <v>#VALUE!</v>
      </c>
      <c r="M31" s="2349" t="s">
        <v>1279</v>
      </c>
      <c r="N31" s="2346">
        <v>7.8703703703703713E-3</v>
      </c>
      <c r="O31" s="2350">
        <v>2.0833333333333335E-4</v>
      </c>
      <c r="P31" s="2350">
        <v>2.0833333333333335E-4</v>
      </c>
      <c r="Q31" s="2351">
        <v>160</v>
      </c>
      <c r="R31" s="2352">
        <v>600</v>
      </c>
      <c r="S31" s="229">
        <f t="shared" si="1"/>
        <v>0.6</v>
      </c>
      <c r="T31" s="230">
        <f t="shared" si="2"/>
        <v>0.02</v>
      </c>
      <c r="U31" s="374">
        <f t="shared" si="3"/>
        <v>0</v>
      </c>
      <c r="V31" s="375">
        <f t="shared" si="4"/>
        <v>0</v>
      </c>
      <c r="W31" s="376">
        <f t="shared" si="5"/>
        <v>0.6</v>
      </c>
      <c r="X31" s="377">
        <f t="shared" si="6"/>
        <v>0</v>
      </c>
      <c r="Y31" s="378">
        <f t="shared" si="7"/>
        <v>0</v>
      </c>
      <c r="Z31" s="379">
        <f t="shared" si="8"/>
        <v>0</v>
      </c>
      <c r="AA31" s="380">
        <f t="shared" si="9"/>
        <v>0</v>
      </c>
      <c r="AB31" s="144"/>
      <c r="AC31" s="231"/>
      <c r="AD31" s="231"/>
      <c r="AE31" s="231"/>
      <c r="AF31" s="231"/>
      <c r="AG31" s="231"/>
      <c r="AH31" s="231"/>
      <c r="AI31" s="225"/>
      <c r="AJ31" s="204"/>
      <c r="AK31" s="204"/>
      <c r="AL31" s="204"/>
      <c r="AM31" s="204"/>
      <c r="AN31" s="204"/>
    </row>
    <row r="32" spans="1:40" ht="14" thickBot="1">
      <c r="A32" s="1344"/>
      <c r="B32" s="1490" t="s">
        <v>215</v>
      </c>
      <c r="C32" s="629">
        <f t="shared" si="27"/>
        <v>1.7682291666666674E-4</v>
      </c>
      <c r="D32" s="2318">
        <v>7</v>
      </c>
      <c r="E32" s="4387">
        <v>1</v>
      </c>
      <c r="F32" s="2373">
        <v>8</v>
      </c>
      <c r="G32" s="2373">
        <v>50</v>
      </c>
      <c r="H32" s="2269"/>
      <c r="I32" s="2374">
        <v>0</v>
      </c>
      <c r="J32" s="2375">
        <v>1.3888888888888889E-3</v>
      </c>
      <c r="K32" s="2376" t="s">
        <v>2226</v>
      </c>
      <c r="L32" s="2375" t="e">
        <f>L31+N31</f>
        <v>#VALUE!</v>
      </c>
      <c r="M32" s="2269">
        <v>1</v>
      </c>
      <c r="N32" s="2377">
        <f t="shared" si="28"/>
        <v>4.416097222222224E-3</v>
      </c>
      <c r="O32" s="2271">
        <f>C32*(G32/25)*1.07</f>
        <v>3.7840104166666686E-4</v>
      </c>
      <c r="P32" s="2377">
        <f t="shared" si="29"/>
        <v>3.7840104166666686E-4</v>
      </c>
      <c r="Q32" s="2272"/>
      <c r="R32" s="2378">
        <f t="shared" si="30"/>
        <v>400</v>
      </c>
      <c r="S32" s="229">
        <f t="shared" si="1"/>
        <v>0.4</v>
      </c>
      <c r="T32" s="230">
        <f t="shared" si="2"/>
        <v>1.2108833333333339E-2</v>
      </c>
      <c r="U32" s="374">
        <f t="shared" si="3"/>
        <v>0</v>
      </c>
      <c r="V32" s="375">
        <f t="shared" si="4"/>
        <v>0</v>
      </c>
      <c r="W32" s="376">
        <f t="shared" si="5"/>
        <v>0</v>
      </c>
      <c r="X32" s="377">
        <f t="shared" si="6"/>
        <v>0</v>
      </c>
      <c r="Y32" s="378">
        <f t="shared" si="7"/>
        <v>0</v>
      </c>
      <c r="Z32" s="379">
        <f t="shared" si="8"/>
        <v>0</v>
      </c>
      <c r="AA32" s="380">
        <f t="shared" si="9"/>
        <v>0.4</v>
      </c>
      <c r="AB32" s="144"/>
      <c r="AC32" s="231"/>
      <c r="AD32" s="231"/>
      <c r="AE32" s="231"/>
      <c r="AF32" s="231"/>
      <c r="AG32" s="231"/>
      <c r="AH32" s="231"/>
      <c r="AI32" s="225"/>
      <c r="AJ32" s="204"/>
      <c r="AK32" s="204"/>
      <c r="AL32" s="204"/>
      <c r="AM32" s="204"/>
      <c r="AN32" s="204"/>
    </row>
    <row r="33" spans="1:40" ht="14" thickBot="1">
      <c r="A33" s="2319"/>
      <c r="B33" s="2320"/>
      <c r="C33" s="2321"/>
      <c r="D33" s="981"/>
      <c r="E33" s="682"/>
      <c r="F33" s="682"/>
      <c r="G33" s="682"/>
      <c r="H33" s="682"/>
      <c r="I33" s="682"/>
      <c r="J33" s="682"/>
      <c r="K33" s="682"/>
      <c r="L33" s="2291" t="e">
        <f t="shared" si="20"/>
        <v>#VALUE!</v>
      </c>
      <c r="M33" s="2292"/>
      <c r="N33" s="2293">
        <f>SUM(N26:N32)</f>
        <v>6.0754645682075809E-2</v>
      </c>
      <c r="O33" s="2293"/>
      <c r="P33" s="2294"/>
      <c r="Q33" s="2295"/>
      <c r="R33" s="2296">
        <f>SUM(R26:R32)</f>
        <v>4500</v>
      </c>
      <c r="S33" s="229">
        <f t="shared" si="1"/>
        <v>0</v>
      </c>
      <c r="T33" s="230">
        <f t="shared" si="2"/>
        <v>0</v>
      </c>
      <c r="U33" s="374">
        <f t="shared" si="3"/>
        <v>0</v>
      </c>
      <c r="V33" s="375">
        <f t="shared" si="4"/>
        <v>0</v>
      </c>
      <c r="W33" s="376">
        <f t="shared" si="5"/>
        <v>0</v>
      </c>
      <c r="X33" s="377">
        <f t="shared" si="6"/>
        <v>0</v>
      </c>
      <c r="Y33" s="378">
        <f t="shared" si="7"/>
        <v>0</v>
      </c>
      <c r="Z33" s="379">
        <f t="shared" si="8"/>
        <v>0</v>
      </c>
      <c r="AA33" s="380">
        <f t="shared" si="9"/>
        <v>0</v>
      </c>
      <c r="AB33" s="144"/>
      <c r="AC33" s="231"/>
      <c r="AD33" s="231"/>
      <c r="AE33" s="231"/>
      <c r="AF33" s="231"/>
      <c r="AG33" s="231"/>
      <c r="AH33" s="231"/>
      <c r="AI33" s="225"/>
      <c r="AJ33" s="204"/>
      <c r="AK33" s="204"/>
      <c r="AL33" s="204"/>
      <c r="AM33" s="204"/>
      <c r="AN33" s="204"/>
    </row>
    <row r="34" spans="1:40" ht="14" thickBot="1">
      <c r="A34" s="848" t="s">
        <v>218</v>
      </c>
      <c r="B34" s="848" t="s">
        <v>215</v>
      </c>
      <c r="C34" s="629"/>
      <c r="D34" s="980"/>
      <c r="E34" s="679"/>
      <c r="F34" s="679"/>
      <c r="G34" s="679"/>
      <c r="H34" s="679"/>
      <c r="I34" s="679"/>
      <c r="J34" s="2327" t="s">
        <v>1504</v>
      </c>
      <c r="K34" s="2327" t="s">
        <v>1920</v>
      </c>
      <c r="L34" s="2328"/>
      <c r="M34" s="1668"/>
      <c r="N34" s="2329"/>
      <c r="O34" s="679"/>
      <c r="P34" s="679"/>
      <c r="Q34" s="679"/>
      <c r="R34" s="1578"/>
      <c r="S34" s="229">
        <f t="shared" si="1"/>
        <v>0</v>
      </c>
      <c r="T34" s="230">
        <f t="shared" si="2"/>
        <v>0</v>
      </c>
      <c r="U34" s="374">
        <f t="shared" si="3"/>
        <v>0</v>
      </c>
      <c r="V34" s="375">
        <f t="shared" si="4"/>
        <v>0</v>
      </c>
      <c r="W34" s="376">
        <f t="shared" si="5"/>
        <v>0</v>
      </c>
      <c r="X34" s="377">
        <f t="shared" si="6"/>
        <v>0</v>
      </c>
      <c r="Y34" s="378">
        <f t="shared" si="7"/>
        <v>0</v>
      </c>
      <c r="Z34" s="379">
        <f t="shared" si="8"/>
        <v>0</v>
      </c>
      <c r="AA34" s="380">
        <f t="shared" si="9"/>
        <v>0</v>
      </c>
      <c r="AB34" s="144"/>
      <c r="AC34" s="231"/>
      <c r="AD34" s="231"/>
      <c r="AE34" s="231"/>
      <c r="AF34" s="231"/>
      <c r="AG34" s="231"/>
      <c r="AH34" s="231"/>
      <c r="AI34" s="213"/>
      <c r="AJ34" s="204"/>
      <c r="AK34" s="204"/>
      <c r="AL34" s="204"/>
      <c r="AM34" s="204"/>
      <c r="AN34" s="204"/>
    </row>
    <row r="35" spans="1:40" ht="14" thickBot="1">
      <c r="A35" s="848"/>
      <c r="B35" s="848"/>
      <c r="C35" s="629">
        <f>IF(D35=1,U$5,IF(D35=2,V$5,IF(D35=3,W$5,IF(D35=4,X$5,IF(D35=5,Y$5,IF(D35=6,Z$5,IF(D35=7,AA$5,0)))))))</f>
        <v>2.2880964381720439E-4</v>
      </c>
      <c r="D35" s="2254">
        <v>1</v>
      </c>
      <c r="E35" s="4385">
        <v>1</v>
      </c>
      <c r="F35" s="630">
        <v>3</v>
      </c>
      <c r="G35" s="630">
        <v>500</v>
      </c>
      <c r="H35" s="630"/>
      <c r="I35" s="631">
        <v>1.1574074074074073E-4</v>
      </c>
      <c r="J35" s="631">
        <v>1.3888888888888889E-3</v>
      </c>
      <c r="K35" s="632" t="s">
        <v>1028</v>
      </c>
      <c r="L35" s="631">
        <v>0.3611111111111111</v>
      </c>
      <c r="M35" s="1362">
        <v>1.1000000000000001</v>
      </c>
      <c r="N35" s="631">
        <f>P35*E35*F35+I35*E35*F35+J35*E35</f>
        <v>1.6837547603046604E-2</v>
      </c>
      <c r="O35" s="634">
        <f>C35*(G35/25)</f>
        <v>4.5761928763440882E-3</v>
      </c>
      <c r="P35" s="631">
        <f>O35*M35</f>
        <v>5.0338121639784978E-3</v>
      </c>
      <c r="Q35" s="2255">
        <v>129</v>
      </c>
      <c r="R35" s="1363">
        <f>E35*F35*G35</f>
        <v>1500</v>
      </c>
      <c r="S35" s="229">
        <f t="shared" si="1"/>
        <v>1.5</v>
      </c>
      <c r="T35" s="230">
        <f t="shared" si="2"/>
        <v>5.4914314516129062E-2</v>
      </c>
      <c r="U35" s="374">
        <f t="shared" si="3"/>
        <v>1.5</v>
      </c>
      <c r="V35" s="375">
        <f t="shared" si="4"/>
        <v>0</v>
      </c>
      <c r="W35" s="376">
        <f t="shared" si="5"/>
        <v>0</v>
      </c>
      <c r="X35" s="377">
        <f t="shared" si="6"/>
        <v>0</v>
      </c>
      <c r="Y35" s="378">
        <f t="shared" si="7"/>
        <v>0</v>
      </c>
      <c r="Z35" s="379">
        <f t="shared" si="8"/>
        <v>0</v>
      </c>
      <c r="AA35" s="380">
        <f t="shared" si="9"/>
        <v>0</v>
      </c>
      <c r="AB35" s="144"/>
      <c r="AC35" s="231"/>
      <c r="AD35" s="231"/>
      <c r="AE35" s="231"/>
      <c r="AF35" s="231"/>
      <c r="AG35" s="231"/>
      <c r="AH35" s="231"/>
      <c r="AI35" s="213"/>
      <c r="AJ35" s="204"/>
      <c r="AK35" s="204"/>
      <c r="AL35" s="204"/>
      <c r="AM35" s="204"/>
      <c r="AN35" s="204"/>
    </row>
    <row r="36" spans="1:40" ht="14" thickBot="1">
      <c r="A36" s="848" t="s">
        <v>139</v>
      </c>
      <c r="B36" s="848" t="s">
        <v>215</v>
      </c>
      <c r="C36" s="629">
        <f>IF(D36=1,U$5,IF(D36=2,V$5,IF(D36=3,W$5,IF(D36=4,X$5,IF(D36=5,Y$5,IF(D36=6,Z$5,IF(D36=7,AA$5,0)))))))</f>
        <v>2.1908757716049393E-4</v>
      </c>
      <c r="D36" s="2302">
        <v>2</v>
      </c>
      <c r="E36" s="4386">
        <v>1</v>
      </c>
      <c r="F36" s="2276">
        <v>5</v>
      </c>
      <c r="G36" s="2276">
        <v>50</v>
      </c>
      <c r="H36" s="2277"/>
      <c r="I36" s="2277">
        <v>7.5231481481481471E-4</v>
      </c>
      <c r="J36" s="2277">
        <v>1.3888888888888889E-3</v>
      </c>
      <c r="K36" s="2278" t="s">
        <v>948</v>
      </c>
      <c r="L36" s="2304">
        <v>0.3611111111111111</v>
      </c>
      <c r="M36" s="2305">
        <v>1</v>
      </c>
      <c r="N36" s="2306">
        <f>P36*E36*F36+I36*E36*F36+J36*E36</f>
        <v>7.4289737654320998E-3</v>
      </c>
      <c r="O36" s="2307">
        <f>C36*(G36/25)*1.04</f>
        <v>4.5570216049382737E-4</v>
      </c>
      <c r="P36" s="2307">
        <f>O36*M36</f>
        <v>4.5570216049382737E-4</v>
      </c>
      <c r="Q36" s="2282"/>
      <c r="R36" s="2308">
        <f>E36*F36*G36</f>
        <v>250</v>
      </c>
      <c r="S36" s="229">
        <f t="shared" si="1"/>
        <v>0.25</v>
      </c>
      <c r="T36" s="230">
        <f t="shared" si="2"/>
        <v>9.1140432098765472E-3</v>
      </c>
      <c r="U36" s="374">
        <f t="shared" si="3"/>
        <v>0</v>
      </c>
      <c r="V36" s="375">
        <f t="shared" si="4"/>
        <v>0.25</v>
      </c>
      <c r="W36" s="376">
        <f t="shared" si="5"/>
        <v>0</v>
      </c>
      <c r="X36" s="377">
        <f t="shared" si="6"/>
        <v>0</v>
      </c>
      <c r="Y36" s="378">
        <f t="shared" si="7"/>
        <v>0</v>
      </c>
      <c r="Z36" s="379">
        <f t="shared" si="8"/>
        <v>0</v>
      </c>
      <c r="AA36" s="380">
        <f t="shared" si="9"/>
        <v>0</v>
      </c>
      <c r="AB36" s="144"/>
      <c r="AC36" s="231"/>
      <c r="AD36" s="231"/>
      <c r="AE36" s="231"/>
      <c r="AF36" s="231"/>
      <c r="AG36" s="231"/>
      <c r="AH36" s="231"/>
      <c r="AI36" s="213"/>
      <c r="AJ36" s="204"/>
      <c r="AK36" s="204"/>
      <c r="AL36" s="204"/>
      <c r="AM36" s="204"/>
      <c r="AN36" s="204"/>
    </row>
    <row r="37" spans="1:40" ht="14" thickBot="1">
      <c r="A37" s="848" t="s">
        <v>458</v>
      </c>
      <c r="B37" s="848" t="s">
        <v>215</v>
      </c>
      <c r="C37" s="629">
        <f t="shared" ref="C37:C41" si="32">IF(D37=1,U$5,IF(D37=2,V$5,IF(D37=3,W$5,IF(D37=4,X$5,IF(D37=5,Y$5,IF(D37=6,Z$5,IF(D37=7,AA$5,0)))))))</f>
        <v>1.7682291666666674E-4</v>
      </c>
      <c r="D37" s="920">
        <v>7</v>
      </c>
      <c r="E37" s="4387">
        <v>1</v>
      </c>
      <c r="F37" s="2373">
        <v>4</v>
      </c>
      <c r="G37" s="2373">
        <v>20</v>
      </c>
      <c r="H37" s="2269" t="s">
        <v>1034</v>
      </c>
      <c r="I37" s="2374">
        <v>6.9444444444444447E-4</v>
      </c>
      <c r="J37" s="2375">
        <v>1.6203703703703703E-3</v>
      </c>
      <c r="K37" s="2376" t="s">
        <v>1033</v>
      </c>
      <c r="L37" s="2375">
        <f t="shared" ref="L37:L39" si="33">L36+N36</f>
        <v>0.36854008487654322</v>
      </c>
      <c r="M37" s="2269">
        <v>0.78</v>
      </c>
      <c r="N37" s="2377">
        <f t="shared" ref="N37" si="34">P37*E37*F37+I37*F37*E37+J37*E37</f>
        <v>4.8394981481481485E-3</v>
      </c>
      <c r="O37" s="2271">
        <f t="shared" ref="O37:O41" si="35">C37*(G37/25)</f>
        <v>1.4145833333333339E-4</v>
      </c>
      <c r="P37" s="2377">
        <f t="shared" ref="P37:P41" si="36">O37*M37</f>
        <v>1.1033750000000005E-4</v>
      </c>
      <c r="Q37" s="2272">
        <v>144</v>
      </c>
      <c r="R37" s="2378">
        <f t="shared" ref="R37:R41" si="37">E37*F37*G37</f>
        <v>80</v>
      </c>
      <c r="S37" s="229">
        <f t="shared" si="1"/>
        <v>0.08</v>
      </c>
      <c r="T37" s="230">
        <f t="shared" si="2"/>
        <v>2.2633333333333342E-3</v>
      </c>
      <c r="U37" s="374">
        <f t="shared" si="3"/>
        <v>0</v>
      </c>
      <c r="V37" s="375">
        <f t="shared" si="4"/>
        <v>0</v>
      </c>
      <c r="W37" s="376">
        <f t="shared" si="5"/>
        <v>0</v>
      </c>
      <c r="X37" s="377">
        <f t="shared" si="6"/>
        <v>0</v>
      </c>
      <c r="Y37" s="378">
        <f t="shared" si="7"/>
        <v>0</v>
      </c>
      <c r="Z37" s="379">
        <f t="shared" si="8"/>
        <v>0</v>
      </c>
      <c r="AA37" s="380">
        <f t="shared" si="9"/>
        <v>0.08</v>
      </c>
      <c r="AB37" s="144"/>
      <c r="AC37" s="231"/>
      <c r="AD37" s="231"/>
      <c r="AE37" s="231"/>
      <c r="AF37" s="231"/>
      <c r="AG37" s="231"/>
      <c r="AH37" s="231"/>
      <c r="AI37" s="213"/>
      <c r="AJ37" s="204"/>
      <c r="AK37" s="204"/>
      <c r="AL37" s="204"/>
      <c r="AM37" s="204"/>
      <c r="AN37" s="204"/>
    </row>
    <row r="38" spans="1:40" ht="14" customHeight="1" thickBot="1">
      <c r="A38" s="848" t="s">
        <v>462</v>
      </c>
      <c r="B38" s="848" t="s">
        <v>215</v>
      </c>
      <c r="C38" s="629">
        <f t="shared" si="32"/>
        <v>2.1908757716049393E-4</v>
      </c>
      <c r="D38" s="1442">
        <v>2</v>
      </c>
      <c r="E38" s="4386">
        <v>1</v>
      </c>
      <c r="F38" s="2276">
        <v>1</v>
      </c>
      <c r="G38" s="2276">
        <v>200</v>
      </c>
      <c r="H38" s="2277"/>
      <c r="I38" s="2277">
        <v>1.7361111111111112E-4</v>
      </c>
      <c r="J38" s="2277">
        <v>2.8935185185185189E-4</v>
      </c>
      <c r="K38" s="2278" t="s">
        <v>172</v>
      </c>
      <c r="L38" s="2279">
        <f t="shared" si="33"/>
        <v>0.37337958302469137</v>
      </c>
      <c r="M38" s="2280">
        <v>1.2</v>
      </c>
      <c r="N38" s="2277">
        <f>P38*E38*F38+I38*F38*E38+J38*E38</f>
        <v>2.5662037037037042E-3</v>
      </c>
      <c r="O38" s="2281">
        <f t="shared" si="35"/>
        <v>1.7527006172839514E-3</v>
      </c>
      <c r="P38" s="2281">
        <f t="shared" si="36"/>
        <v>2.1032407407407415E-3</v>
      </c>
      <c r="Q38" s="2282">
        <v>144</v>
      </c>
      <c r="R38" s="2283">
        <f t="shared" si="37"/>
        <v>200</v>
      </c>
      <c r="S38" s="229">
        <f t="shared" si="1"/>
        <v>0.2</v>
      </c>
      <c r="T38" s="230">
        <f t="shared" si="2"/>
        <v>7.0108024691358057E-3</v>
      </c>
      <c r="U38" s="374">
        <f t="shared" si="3"/>
        <v>0</v>
      </c>
      <c r="V38" s="375">
        <f t="shared" si="4"/>
        <v>0.2</v>
      </c>
      <c r="W38" s="376">
        <f t="shared" si="5"/>
        <v>0</v>
      </c>
      <c r="X38" s="377">
        <f t="shared" si="6"/>
        <v>0</v>
      </c>
      <c r="Y38" s="378">
        <f t="shared" si="7"/>
        <v>0</v>
      </c>
      <c r="Z38" s="379">
        <f t="shared" si="8"/>
        <v>0</v>
      </c>
      <c r="AA38" s="380">
        <f t="shared" si="9"/>
        <v>0</v>
      </c>
      <c r="AB38" s="144"/>
      <c r="AC38" s="231"/>
      <c r="AD38" s="231"/>
      <c r="AE38" s="231"/>
      <c r="AF38" s="231"/>
      <c r="AG38" s="231"/>
      <c r="AH38" s="231"/>
      <c r="AI38" s="213"/>
      <c r="AJ38" s="204"/>
      <c r="AK38" s="204"/>
      <c r="AL38" s="204"/>
      <c r="AM38" s="204"/>
      <c r="AN38" s="204"/>
    </row>
    <row r="39" spans="1:40" ht="14" customHeight="1" thickBot="1">
      <c r="A39" s="848" t="s">
        <v>460</v>
      </c>
      <c r="B39" s="848" t="s">
        <v>215</v>
      </c>
      <c r="C39" s="629">
        <f t="shared" si="32"/>
        <v>1.7682291666666674E-4</v>
      </c>
      <c r="D39" s="920">
        <v>7</v>
      </c>
      <c r="E39" s="4387">
        <v>1</v>
      </c>
      <c r="F39" s="2373">
        <v>4</v>
      </c>
      <c r="G39" s="2373">
        <v>20</v>
      </c>
      <c r="H39" s="2269" t="s">
        <v>1034</v>
      </c>
      <c r="I39" s="2374">
        <v>6.9444444444444447E-4</v>
      </c>
      <c r="J39" s="2375">
        <v>1.6203703703703703E-3</v>
      </c>
      <c r="K39" s="2376" t="s">
        <v>1033</v>
      </c>
      <c r="L39" s="2375">
        <f t="shared" si="33"/>
        <v>0.37594578672839507</v>
      </c>
      <c r="M39" s="2269">
        <v>0.78</v>
      </c>
      <c r="N39" s="2377">
        <f t="shared" ref="N39" si="38">P39*E39*F39+I39*F39*E39+J39*E39</f>
        <v>4.8394981481481485E-3</v>
      </c>
      <c r="O39" s="2271">
        <f t="shared" si="35"/>
        <v>1.4145833333333339E-4</v>
      </c>
      <c r="P39" s="2377">
        <f t="shared" si="36"/>
        <v>1.1033750000000005E-4</v>
      </c>
      <c r="Q39" s="2272">
        <v>144</v>
      </c>
      <c r="R39" s="2378">
        <f t="shared" si="37"/>
        <v>80</v>
      </c>
      <c r="S39" s="229">
        <f t="shared" si="1"/>
        <v>0.08</v>
      </c>
      <c r="T39" s="230">
        <f t="shared" si="2"/>
        <v>2.2633333333333342E-3</v>
      </c>
      <c r="U39" s="374">
        <f t="shared" si="3"/>
        <v>0</v>
      </c>
      <c r="V39" s="375">
        <f t="shared" si="4"/>
        <v>0</v>
      </c>
      <c r="W39" s="376">
        <f t="shared" si="5"/>
        <v>0</v>
      </c>
      <c r="X39" s="377">
        <f t="shared" si="6"/>
        <v>0</v>
      </c>
      <c r="Y39" s="378">
        <f t="shared" si="7"/>
        <v>0</v>
      </c>
      <c r="Z39" s="379">
        <f t="shared" si="8"/>
        <v>0</v>
      </c>
      <c r="AA39" s="380">
        <f t="shared" si="9"/>
        <v>0.08</v>
      </c>
      <c r="AB39" s="144"/>
      <c r="AC39" s="231"/>
      <c r="AD39" s="231"/>
      <c r="AE39" s="231"/>
      <c r="AF39" s="231"/>
      <c r="AG39" s="231"/>
      <c r="AH39" s="231"/>
      <c r="AI39" s="213"/>
      <c r="AJ39" s="204"/>
      <c r="AK39" s="204"/>
      <c r="AL39" s="204"/>
      <c r="AM39" s="204"/>
      <c r="AN39" s="204"/>
    </row>
    <row r="40" spans="1:40" ht="14" customHeight="1" thickBot="1">
      <c r="A40" s="848" t="s">
        <v>458</v>
      </c>
      <c r="B40" s="848" t="s">
        <v>215</v>
      </c>
      <c r="C40" s="629">
        <f t="shared" si="32"/>
        <v>2.1908757716049393E-4</v>
      </c>
      <c r="D40" s="1442">
        <v>2</v>
      </c>
      <c r="E40" s="4386">
        <v>1</v>
      </c>
      <c r="F40" s="2276">
        <v>1</v>
      </c>
      <c r="G40" s="2276">
        <v>200</v>
      </c>
      <c r="H40" s="2277"/>
      <c r="I40" s="2277">
        <v>1.7361111111111112E-4</v>
      </c>
      <c r="J40" s="2277">
        <v>2.8935185185185189E-4</v>
      </c>
      <c r="K40" s="2278" t="s">
        <v>172</v>
      </c>
      <c r="L40" s="2279">
        <f>L39+N39</f>
        <v>0.38078528487654323</v>
      </c>
      <c r="M40" s="2280">
        <v>1.2</v>
      </c>
      <c r="N40" s="2277">
        <f>P40*E40*F40+I40*F40*E40+J40*E40</f>
        <v>2.5662037037037042E-3</v>
      </c>
      <c r="O40" s="2281">
        <f t="shared" si="35"/>
        <v>1.7527006172839514E-3</v>
      </c>
      <c r="P40" s="2281">
        <f t="shared" si="36"/>
        <v>2.1032407407407415E-3</v>
      </c>
      <c r="Q40" s="2282">
        <v>144</v>
      </c>
      <c r="R40" s="2283">
        <f t="shared" si="37"/>
        <v>200</v>
      </c>
      <c r="S40" s="229">
        <f t="shared" si="1"/>
        <v>0.2</v>
      </c>
      <c r="T40" s="230">
        <f t="shared" si="2"/>
        <v>7.0108024691358057E-3</v>
      </c>
      <c r="U40" s="374">
        <f t="shared" si="3"/>
        <v>0</v>
      </c>
      <c r="V40" s="375">
        <f t="shared" si="4"/>
        <v>0.2</v>
      </c>
      <c r="W40" s="376">
        <f t="shared" si="5"/>
        <v>0</v>
      </c>
      <c r="X40" s="377">
        <f t="shared" si="6"/>
        <v>0</v>
      </c>
      <c r="Y40" s="378">
        <f t="shared" si="7"/>
        <v>0</v>
      </c>
      <c r="Z40" s="379">
        <f t="shared" si="8"/>
        <v>0</v>
      </c>
      <c r="AA40" s="380">
        <f t="shared" si="9"/>
        <v>0</v>
      </c>
      <c r="AB40" s="144"/>
      <c r="AC40" s="231"/>
      <c r="AD40" s="231"/>
      <c r="AE40" s="231"/>
      <c r="AF40" s="231"/>
      <c r="AG40" s="231"/>
      <c r="AH40" s="231"/>
      <c r="AI40" s="213"/>
      <c r="AJ40" s="204"/>
      <c r="AK40" s="204"/>
      <c r="AL40" s="204"/>
      <c r="AM40" s="204"/>
      <c r="AN40" s="204"/>
    </row>
    <row r="41" spans="1:40" ht="14" customHeight="1" thickBot="1">
      <c r="A41" s="848" t="s">
        <v>219</v>
      </c>
      <c r="B41" s="848" t="s">
        <v>215</v>
      </c>
      <c r="C41" s="629">
        <f t="shared" si="32"/>
        <v>1.7682291666666674E-4</v>
      </c>
      <c r="D41" s="1442">
        <v>7</v>
      </c>
      <c r="E41" s="4387">
        <v>1</v>
      </c>
      <c r="F41" s="2373">
        <v>4</v>
      </c>
      <c r="G41" s="2373">
        <v>20</v>
      </c>
      <c r="H41" s="2269" t="s">
        <v>1034</v>
      </c>
      <c r="I41" s="2374">
        <v>6.9444444444444447E-4</v>
      </c>
      <c r="J41" s="2375">
        <v>1.6203703703703703E-3</v>
      </c>
      <c r="K41" s="2376" t="s">
        <v>1033</v>
      </c>
      <c r="L41" s="2375">
        <f t="shared" ref="L41:L42" si="39">L40+N40</f>
        <v>0.38335148858024692</v>
      </c>
      <c r="M41" s="2269">
        <v>0.78</v>
      </c>
      <c r="N41" s="2377">
        <f t="shared" ref="N41" si="40">P41*E41*F41+I41*F41*E41+J41*E41</f>
        <v>4.8394981481481485E-3</v>
      </c>
      <c r="O41" s="2271">
        <f t="shared" si="35"/>
        <v>1.4145833333333339E-4</v>
      </c>
      <c r="P41" s="2377">
        <f t="shared" si="36"/>
        <v>1.1033750000000005E-4</v>
      </c>
      <c r="Q41" s="2272">
        <v>144</v>
      </c>
      <c r="R41" s="2378">
        <f t="shared" si="37"/>
        <v>80</v>
      </c>
      <c r="S41" s="229">
        <f t="shared" si="1"/>
        <v>0.08</v>
      </c>
      <c r="T41" s="230">
        <f t="shared" si="2"/>
        <v>2.2633333333333342E-3</v>
      </c>
      <c r="U41" s="374">
        <f t="shared" si="3"/>
        <v>0</v>
      </c>
      <c r="V41" s="375">
        <f t="shared" si="4"/>
        <v>0</v>
      </c>
      <c r="W41" s="376">
        <f t="shared" si="5"/>
        <v>0</v>
      </c>
      <c r="X41" s="377">
        <f t="shared" si="6"/>
        <v>0</v>
      </c>
      <c r="Y41" s="378">
        <f t="shared" si="7"/>
        <v>0</v>
      </c>
      <c r="Z41" s="379">
        <f t="shared" si="8"/>
        <v>0</v>
      </c>
      <c r="AA41" s="380">
        <f t="shared" si="9"/>
        <v>0.08</v>
      </c>
      <c r="AB41" s="144"/>
      <c r="AC41" s="231"/>
      <c r="AD41" s="231"/>
      <c r="AE41" s="231"/>
      <c r="AF41" s="231"/>
      <c r="AG41" s="231"/>
      <c r="AH41" s="231"/>
      <c r="AI41" s="213"/>
      <c r="AJ41" s="204"/>
      <c r="AK41" s="204"/>
      <c r="AL41" s="204"/>
      <c r="AM41" s="204"/>
      <c r="AN41" s="204"/>
    </row>
    <row r="42" spans="1:40" ht="14" thickBot="1">
      <c r="A42" s="2288"/>
      <c r="B42" s="2289"/>
      <c r="C42" s="2290"/>
      <c r="D42" s="4381"/>
      <c r="E42" s="4388"/>
      <c r="F42" s="4383"/>
      <c r="G42" s="4383"/>
      <c r="H42" s="4382"/>
      <c r="I42" s="4380"/>
      <c r="J42" s="4380"/>
      <c r="K42" s="4379"/>
      <c r="L42" s="2273">
        <f t="shared" si="39"/>
        <v>0.38819098672839508</v>
      </c>
      <c r="M42" s="2368">
        <v>2</v>
      </c>
      <c r="N42" s="2365">
        <f>SUM(N37:N41)</f>
        <v>1.9650901851851855E-2</v>
      </c>
      <c r="O42" s="2365"/>
      <c r="P42" s="2369"/>
      <c r="Q42" s="2370"/>
      <c r="R42" s="2371">
        <f>SUM(R35:R41)</f>
        <v>2390</v>
      </c>
      <c r="S42" s="229">
        <f t="shared" si="1"/>
        <v>0</v>
      </c>
      <c r="T42" s="230">
        <f t="shared" si="2"/>
        <v>0</v>
      </c>
      <c r="U42" s="374">
        <f t="shared" si="3"/>
        <v>0</v>
      </c>
      <c r="V42" s="375">
        <f t="shared" si="4"/>
        <v>0</v>
      </c>
      <c r="W42" s="376">
        <f t="shared" si="5"/>
        <v>0</v>
      </c>
      <c r="X42" s="377">
        <f t="shared" si="6"/>
        <v>0</v>
      </c>
      <c r="Y42" s="378">
        <f t="shared" si="7"/>
        <v>0</v>
      </c>
      <c r="Z42" s="379">
        <f t="shared" si="8"/>
        <v>0</v>
      </c>
      <c r="AA42" s="380">
        <f t="shared" si="9"/>
        <v>0</v>
      </c>
      <c r="AB42" s="144"/>
      <c r="AC42" s="231"/>
      <c r="AD42" s="231"/>
      <c r="AE42" s="231"/>
      <c r="AF42" s="231"/>
      <c r="AG42" s="231"/>
      <c r="AH42" s="231"/>
      <c r="AI42" s="213"/>
      <c r="AJ42" s="204"/>
      <c r="AK42" s="204"/>
      <c r="AL42" s="204"/>
      <c r="AM42" s="204"/>
      <c r="AN42" s="204"/>
    </row>
    <row r="43" spans="1:40" ht="15" customHeight="1" thickBot="1">
      <c r="A43" s="2297" t="s">
        <v>219</v>
      </c>
      <c r="B43" s="1490" t="s">
        <v>215</v>
      </c>
      <c r="C43" s="629">
        <f>IF(D43=1,U$5,IF(D43=2,V$5,IF(D43=3,W$5,IF(D43=4,X$5,IF(D43=5,Y$5,IF(D43=6,Z$5,IF(D43=7,AA$5,0)))))))</f>
        <v>2.2880964381720439E-4</v>
      </c>
      <c r="D43" s="920">
        <v>1</v>
      </c>
      <c r="E43" s="4385">
        <v>1</v>
      </c>
      <c r="F43" s="630">
        <v>1</v>
      </c>
      <c r="G43" s="630">
        <v>600</v>
      </c>
      <c r="H43" s="7862"/>
      <c r="I43" s="631">
        <v>1.1574074074074073E-4</v>
      </c>
      <c r="J43" s="631">
        <v>8.3333333333333332E-3</v>
      </c>
      <c r="K43" s="2322" t="s">
        <v>1485</v>
      </c>
      <c r="L43" s="2300">
        <v>0.34027777777777773</v>
      </c>
      <c r="M43" s="1158">
        <v>1</v>
      </c>
      <c r="N43" s="629">
        <f>P43*E43*F43+I43*E43*F43+J43*E43</f>
        <v>1.4160162783751496E-2</v>
      </c>
      <c r="O43" s="629">
        <f>C43*(G43/25)*1.04</f>
        <v>5.7110887096774223E-3</v>
      </c>
      <c r="P43" s="1159">
        <f>O43*M43</f>
        <v>5.7110887096774223E-3</v>
      </c>
      <c r="Q43" s="635"/>
      <c r="R43" s="1160">
        <f>E43*F43*G43</f>
        <v>600</v>
      </c>
      <c r="S43" s="229">
        <f t="shared" si="1"/>
        <v>0.6</v>
      </c>
      <c r="T43" s="230">
        <f t="shared" si="2"/>
        <v>2.2844354838709689E-2</v>
      </c>
      <c r="U43" s="374">
        <f t="shared" si="3"/>
        <v>0.6</v>
      </c>
      <c r="V43" s="375">
        <f t="shared" si="4"/>
        <v>0</v>
      </c>
      <c r="W43" s="376">
        <f t="shared" si="5"/>
        <v>0</v>
      </c>
      <c r="X43" s="377">
        <f t="shared" si="6"/>
        <v>0</v>
      </c>
      <c r="Y43" s="378">
        <f t="shared" si="7"/>
        <v>0</v>
      </c>
      <c r="Z43" s="379">
        <f t="shared" si="8"/>
        <v>0</v>
      </c>
      <c r="AA43" s="380">
        <f t="shared" si="9"/>
        <v>0</v>
      </c>
      <c r="AB43" s="144"/>
      <c r="AC43" s="231"/>
      <c r="AD43" s="231"/>
      <c r="AE43" s="231"/>
      <c r="AF43" s="231"/>
      <c r="AG43" s="231"/>
      <c r="AH43" s="231"/>
      <c r="AI43" s="213"/>
      <c r="AJ43" s="204"/>
      <c r="AK43" s="204"/>
      <c r="AL43" s="204"/>
      <c r="AM43" s="204"/>
      <c r="AN43" s="204"/>
    </row>
    <row r="44" spans="1:40" ht="14" thickBot="1">
      <c r="A44" s="812" t="s">
        <v>138</v>
      </c>
      <c r="B44" s="1341" t="s">
        <v>215</v>
      </c>
      <c r="C44" s="629">
        <f>IF(D44=1,U$5,IF(D44=2,V$5,IF(D44=3,W$5,IF(D44=4,X$5,IF(D44=5,Y$5,IF(D44=6,Z$5,IF(D44=7,AA$5,0)))))))</f>
        <v>2.1908757716049393E-4</v>
      </c>
      <c r="D44" s="2302">
        <v>2</v>
      </c>
      <c r="E44" s="4386">
        <v>1</v>
      </c>
      <c r="F44" s="2276">
        <v>14</v>
      </c>
      <c r="G44" s="2276">
        <v>50</v>
      </c>
      <c r="H44" s="7863"/>
      <c r="I44" s="2277">
        <v>1.3888888888888889E-4</v>
      </c>
      <c r="J44" s="2277">
        <v>8.3333333333333332E-3</v>
      </c>
      <c r="K44" s="2323"/>
      <c r="L44" s="2304">
        <f t="shared" si="20"/>
        <v>0.35443794056152922</v>
      </c>
      <c r="M44" s="2305">
        <v>1.2</v>
      </c>
      <c r="N44" s="2324">
        <f>P44*E44*F44+I44*E44*F44+J44*E44</f>
        <v>1.7933574074074077E-2</v>
      </c>
      <c r="O44" s="2307">
        <f>C44*(G44/25)*1.04</f>
        <v>4.5570216049382737E-4</v>
      </c>
      <c r="P44" s="2307">
        <f>O44*M44</f>
        <v>5.468425925925928E-4</v>
      </c>
      <c r="Q44" s="2282"/>
      <c r="R44" s="2308">
        <f>E44*F44*G44</f>
        <v>700</v>
      </c>
      <c r="S44" s="229">
        <f t="shared" si="1"/>
        <v>0.7</v>
      </c>
      <c r="T44" s="230">
        <f t="shared" si="2"/>
        <v>2.5519320987654331E-2</v>
      </c>
      <c r="U44" s="374">
        <f t="shared" si="3"/>
        <v>0</v>
      </c>
      <c r="V44" s="375">
        <f t="shared" si="4"/>
        <v>0.7</v>
      </c>
      <c r="W44" s="376">
        <f t="shared" si="5"/>
        <v>0</v>
      </c>
      <c r="X44" s="377">
        <f t="shared" si="6"/>
        <v>0</v>
      </c>
      <c r="Y44" s="378">
        <f t="shared" si="7"/>
        <v>0</v>
      </c>
      <c r="Z44" s="379">
        <f t="shared" si="8"/>
        <v>0</v>
      </c>
      <c r="AA44" s="380">
        <f t="shared" si="9"/>
        <v>0</v>
      </c>
      <c r="AB44" s="144"/>
      <c r="AC44" s="231"/>
      <c r="AD44" s="231"/>
      <c r="AE44" s="231"/>
      <c r="AF44" s="231"/>
      <c r="AG44" s="231"/>
      <c r="AH44" s="231"/>
      <c r="AI44" s="213"/>
      <c r="AJ44" s="204"/>
      <c r="AK44" s="204"/>
      <c r="AL44" s="204"/>
      <c r="AM44" s="204"/>
      <c r="AN44" s="204"/>
    </row>
    <row r="45" spans="1:40">
      <c r="A45" s="812" t="s">
        <v>779</v>
      </c>
      <c r="B45" s="1341" t="s">
        <v>215</v>
      </c>
      <c r="C45" s="629">
        <f>IF(D45=1,U$5,IF(D45=2,V$5,IF(D45=3,W$5,IF(D45=4,X$5,IF(D45=5,Y$5,IF(D45=6,Z$5,IF(D45=7,AA$5,0)))))))</f>
        <v>2.1222190799396687E-4</v>
      </c>
      <c r="D45" s="2309">
        <v>3</v>
      </c>
      <c r="E45" s="3818">
        <v>1</v>
      </c>
      <c r="F45" s="2257">
        <v>14</v>
      </c>
      <c r="G45" s="2257">
        <v>100</v>
      </c>
      <c r="H45" s="7864"/>
      <c r="I45" s="2258">
        <v>4.6296296296296293E-4</v>
      </c>
      <c r="J45" s="2325">
        <v>8.3333333333333332E-3</v>
      </c>
      <c r="K45" s="2323" t="s">
        <v>1921</v>
      </c>
      <c r="L45" s="2311">
        <f t="shared" si="20"/>
        <v>0.37237151463560331</v>
      </c>
      <c r="M45" s="2312">
        <v>1</v>
      </c>
      <c r="N45" s="2314">
        <f>P45*E45*F45+I45*E45*F45+J45*E45</f>
        <v>2.7174618736383445E-2</v>
      </c>
      <c r="O45" s="2314">
        <f>C45*(G45/25)*1.04</f>
        <v>8.8284313725490223E-4</v>
      </c>
      <c r="P45" s="2315">
        <f>O45*M45</f>
        <v>8.8284313725490223E-4</v>
      </c>
      <c r="Q45" s="2274"/>
      <c r="R45" s="2316">
        <f>E45*F45*G45</f>
        <v>1400</v>
      </c>
      <c r="S45" s="229">
        <f t="shared" si="1"/>
        <v>1.4</v>
      </c>
      <c r="T45" s="230">
        <f t="shared" si="2"/>
        <v>4.9439215686274525E-2</v>
      </c>
      <c r="U45" s="374">
        <f t="shared" si="3"/>
        <v>0</v>
      </c>
      <c r="V45" s="375">
        <f t="shared" si="4"/>
        <v>0</v>
      </c>
      <c r="W45" s="376">
        <f t="shared" si="5"/>
        <v>1.4</v>
      </c>
      <c r="X45" s="377">
        <f t="shared" si="6"/>
        <v>0</v>
      </c>
      <c r="Y45" s="378">
        <f t="shared" si="7"/>
        <v>0</v>
      </c>
      <c r="Z45" s="379">
        <f t="shared" si="8"/>
        <v>0</v>
      </c>
      <c r="AA45" s="380">
        <f t="shared" si="9"/>
        <v>0</v>
      </c>
      <c r="AB45" s="144"/>
      <c r="AC45" s="231"/>
      <c r="AD45" s="231"/>
      <c r="AE45" s="231"/>
      <c r="AF45" s="231"/>
      <c r="AG45" s="231"/>
      <c r="AH45" s="231"/>
      <c r="AI45" s="213"/>
      <c r="AJ45" s="204"/>
      <c r="AK45" s="204"/>
      <c r="AL45" s="204"/>
      <c r="AM45" s="204"/>
      <c r="AN45" s="204"/>
    </row>
    <row r="46" spans="1:40" ht="14" thickBot="1">
      <c r="A46" s="6242"/>
      <c r="B46" s="6243"/>
      <c r="C46" s="856"/>
      <c r="D46" s="6244"/>
      <c r="E46" s="6245"/>
      <c r="F46" s="1870"/>
      <c r="G46" s="5799"/>
      <c r="H46" s="6246"/>
      <c r="I46" s="2578"/>
      <c r="J46" s="6247"/>
      <c r="K46" s="3295"/>
      <c r="L46" s="2311">
        <f t="shared" si="20"/>
        <v>0.39954613337198674</v>
      </c>
      <c r="M46" s="6248"/>
      <c r="N46" s="6249">
        <f>SUM(N43:N45)</f>
        <v>5.9268355594209017E-2</v>
      </c>
      <c r="O46" s="6249"/>
      <c r="P46" s="6250"/>
      <c r="Q46" s="6251"/>
      <c r="R46" s="6252">
        <f>SUM(R43:R45)</f>
        <v>2700</v>
      </c>
      <c r="S46" s="229">
        <f t="shared" si="1"/>
        <v>0</v>
      </c>
      <c r="T46" s="230">
        <f t="shared" si="2"/>
        <v>0</v>
      </c>
      <c r="U46" s="374">
        <f t="shared" si="3"/>
        <v>0</v>
      </c>
      <c r="V46" s="375">
        <f t="shared" si="4"/>
        <v>0</v>
      </c>
      <c r="W46" s="376">
        <f t="shared" si="5"/>
        <v>0</v>
      </c>
      <c r="X46" s="377">
        <f t="shared" si="6"/>
        <v>0</v>
      </c>
      <c r="Y46" s="378">
        <f t="shared" si="7"/>
        <v>0</v>
      </c>
      <c r="Z46" s="379">
        <f t="shared" si="8"/>
        <v>0</v>
      </c>
      <c r="AA46" s="380">
        <f t="shared" si="9"/>
        <v>0</v>
      </c>
      <c r="AB46" s="144"/>
      <c r="AC46" s="231"/>
      <c r="AD46" s="231"/>
      <c r="AE46" s="231"/>
      <c r="AF46" s="231"/>
      <c r="AG46" s="231"/>
      <c r="AH46" s="231"/>
      <c r="AI46" s="213"/>
      <c r="AJ46" s="204"/>
      <c r="AK46" s="204"/>
      <c r="AL46" s="204"/>
      <c r="AM46" s="204"/>
      <c r="AN46" s="204"/>
    </row>
    <row r="47" spans="1:40" ht="15" thickTop="1" thickBot="1">
      <c r="A47" s="144"/>
      <c r="B47" s="144"/>
      <c r="C47" s="144"/>
      <c r="D47" s="906"/>
      <c r="E47" s="4392">
        <f>U47*100000/Q47</f>
        <v>27.487630566245191</v>
      </c>
      <c r="F47" s="4372">
        <f>V47*100000/$Q$47</f>
        <v>31.610775151181976</v>
      </c>
      <c r="G47" s="4373">
        <f t="shared" ref="G47:K47" si="41">W47*100000/$Q$47</f>
        <v>25.948323254535463</v>
      </c>
      <c r="H47" s="4374">
        <f t="shared" si="41"/>
        <v>0</v>
      </c>
      <c r="I47" s="4375">
        <f t="shared" si="41"/>
        <v>0</v>
      </c>
      <c r="J47" s="4376">
        <f t="shared" si="41"/>
        <v>0</v>
      </c>
      <c r="K47" s="4377">
        <f t="shared" si="41"/>
        <v>14.953271028037383</v>
      </c>
      <c r="L47" s="4378" t="s">
        <v>1922</v>
      </c>
      <c r="M47" s="1278"/>
      <c r="N47" s="1278"/>
      <c r="O47" s="1278"/>
      <c r="P47" s="1278"/>
      <c r="Q47" s="7865">
        <f>AB47*1000</f>
        <v>18190</v>
      </c>
      <c r="R47" s="7866"/>
      <c r="S47" s="144"/>
      <c r="T47" s="239"/>
      <c r="U47" s="240">
        <f t="shared" ref="U47:AA47" si="42">SUM(U6:U45)</f>
        <v>5</v>
      </c>
      <c r="V47" s="240">
        <f t="shared" si="42"/>
        <v>5.7500000000000009</v>
      </c>
      <c r="W47" s="240">
        <f t="shared" si="42"/>
        <v>4.7200000000000006</v>
      </c>
      <c r="X47" s="240">
        <f t="shared" si="42"/>
        <v>0</v>
      </c>
      <c r="Y47" s="240">
        <f t="shared" si="42"/>
        <v>0</v>
      </c>
      <c r="Z47" s="240">
        <f t="shared" si="42"/>
        <v>0</v>
      </c>
      <c r="AA47" s="240">
        <f t="shared" si="42"/>
        <v>2.72</v>
      </c>
      <c r="AB47" s="982">
        <f>SUM(U47:AA47)</f>
        <v>18.190000000000001</v>
      </c>
      <c r="AC47" s="231">
        <v>0</v>
      </c>
      <c r="AD47" s="231">
        <v>0</v>
      </c>
      <c r="AE47" s="231">
        <v>0</v>
      </c>
      <c r="AF47" s="231">
        <v>0</v>
      </c>
      <c r="AG47" s="231">
        <v>0</v>
      </c>
      <c r="AH47" s="231">
        <v>0</v>
      </c>
      <c r="AI47" s="213"/>
      <c r="AJ47" s="204"/>
      <c r="AK47" s="204"/>
      <c r="AL47" s="204"/>
      <c r="AM47" s="204"/>
      <c r="AN47" s="204"/>
    </row>
    <row r="48" spans="1:40" ht="14" thickBot="1">
      <c r="A48" s="144"/>
      <c r="B48" s="144"/>
      <c r="C48" s="144"/>
      <c r="D48" s="906"/>
      <c r="E48" s="4392">
        <f>INT(E47*15/100)</f>
        <v>4</v>
      </c>
      <c r="F48" s="4372">
        <f>INT(F47*15/100)</f>
        <v>4</v>
      </c>
      <c r="G48" s="4373">
        <f>INT(G47*15/100)</f>
        <v>3</v>
      </c>
      <c r="H48" s="4373">
        <f>INT(H47*15/100)</f>
        <v>0</v>
      </c>
      <c r="I48" s="4373">
        <f t="shared" ref="I48:K48" si="43">INT(I47*15/100)</f>
        <v>0</v>
      </c>
      <c r="J48" s="4373">
        <f t="shared" si="43"/>
        <v>0</v>
      </c>
      <c r="K48" s="4373">
        <f t="shared" si="43"/>
        <v>2</v>
      </c>
      <c r="L48" s="4378" t="s">
        <v>1252</v>
      </c>
      <c r="M48" s="1278"/>
      <c r="N48" s="1278"/>
      <c r="O48" s="1278"/>
      <c r="P48" s="1278"/>
      <c r="Q48" s="1278"/>
      <c r="R48" s="1278"/>
      <c r="S48" s="144"/>
      <c r="T48" s="144"/>
      <c r="U48" s="566">
        <f>IF(U47&gt;0,U47,#REF!)</f>
        <v>5</v>
      </c>
      <c r="V48" s="566">
        <f>IF(V47&gt;0,V47,#REF!)</f>
        <v>5.7500000000000009</v>
      </c>
      <c r="W48" s="566">
        <f>IF(W47&gt;0,W47,#REF!)</f>
        <v>4.7200000000000006</v>
      </c>
      <c r="X48" s="566" t="e">
        <f>IF(X47&gt;0,X47,#REF!)</f>
        <v>#REF!</v>
      </c>
      <c r="Y48" s="566" t="e">
        <f>IF(Y47&gt;0,Y47,#REF!)</f>
        <v>#REF!</v>
      </c>
      <c r="Z48" s="566" t="e">
        <f>IF(Z47&gt;0,Z47,#REF!)</f>
        <v>#REF!</v>
      </c>
      <c r="AA48" s="566">
        <f>IF(AA47&gt;0,AA47,#REF!)</f>
        <v>2.72</v>
      </c>
      <c r="AB48" s="144"/>
      <c r="AC48" s="231"/>
      <c r="AD48" s="231"/>
      <c r="AE48" s="231"/>
      <c r="AF48" s="231"/>
      <c r="AG48" s="231"/>
      <c r="AH48" s="231"/>
      <c r="AI48" s="213"/>
      <c r="AJ48" s="204"/>
      <c r="AK48" s="204"/>
      <c r="AL48" s="204"/>
      <c r="AM48" s="204"/>
      <c r="AN48" s="204"/>
    </row>
    <row r="49" spans="1:40">
      <c r="A49" s="144"/>
      <c r="B49" s="144"/>
      <c r="C49" s="144"/>
      <c r="D49" s="906"/>
      <c r="E49" s="146"/>
      <c r="F49" s="144"/>
      <c r="G49" s="144"/>
      <c r="H49" s="144"/>
      <c r="I49" s="144"/>
      <c r="J49" s="144"/>
      <c r="K49" s="144"/>
      <c r="L49" s="1675"/>
      <c r="M49" s="1278"/>
      <c r="N49" s="1278"/>
      <c r="O49" s="1278"/>
      <c r="P49" s="1278"/>
      <c r="Q49" s="1278"/>
      <c r="R49" s="1278"/>
      <c r="S49" s="144"/>
      <c r="T49" s="144"/>
      <c r="U49" s="566">
        <f t="shared" ref="U49:AA64" si="44">IF(U48&gt;0,U48,U47)</f>
        <v>5</v>
      </c>
      <c r="V49" s="566">
        <f t="shared" si="44"/>
        <v>5.7500000000000009</v>
      </c>
      <c r="W49" s="566">
        <f t="shared" si="44"/>
        <v>4.7200000000000006</v>
      </c>
      <c r="X49" s="566" t="e">
        <f t="shared" si="44"/>
        <v>#REF!</v>
      </c>
      <c r="Y49" s="566" t="e">
        <f t="shared" si="44"/>
        <v>#REF!</v>
      </c>
      <c r="Z49" s="566" t="e">
        <f t="shared" si="44"/>
        <v>#REF!</v>
      </c>
      <c r="AA49" s="566">
        <f t="shared" si="44"/>
        <v>2.72</v>
      </c>
      <c r="AB49" s="144"/>
      <c r="AC49" s="231"/>
      <c r="AD49" s="231"/>
      <c r="AE49" s="231"/>
      <c r="AF49" s="231"/>
      <c r="AG49" s="231"/>
      <c r="AH49" s="231"/>
      <c r="AI49" s="213"/>
      <c r="AJ49" s="204"/>
      <c r="AK49" s="204"/>
      <c r="AL49" s="204"/>
      <c r="AM49" s="204"/>
      <c r="AN49" s="204"/>
    </row>
    <row r="50" spans="1:40">
      <c r="A50" s="144"/>
      <c r="B50" s="144"/>
      <c r="C50" s="144"/>
      <c r="D50" s="906"/>
      <c r="E50" s="146"/>
      <c r="F50" s="144"/>
      <c r="G50" s="144"/>
      <c r="H50" s="144"/>
      <c r="I50" s="144"/>
      <c r="J50" s="144"/>
      <c r="K50" s="144"/>
      <c r="L50" s="1675"/>
      <c r="M50" s="1278"/>
      <c r="N50" s="1278"/>
      <c r="O50" s="1278"/>
      <c r="P50" s="1278"/>
      <c r="Q50" s="1278"/>
      <c r="R50" s="1278"/>
      <c r="S50" s="144"/>
      <c r="T50" s="144"/>
      <c r="U50" s="566">
        <f t="shared" si="44"/>
        <v>5</v>
      </c>
      <c r="V50" s="566">
        <f t="shared" si="44"/>
        <v>5.7500000000000009</v>
      </c>
      <c r="W50" s="566">
        <f t="shared" si="44"/>
        <v>4.7200000000000006</v>
      </c>
      <c r="X50" s="566" t="e">
        <f t="shared" si="44"/>
        <v>#REF!</v>
      </c>
      <c r="Y50" s="566" t="e">
        <f t="shared" si="44"/>
        <v>#REF!</v>
      </c>
      <c r="Z50" s="566" t="e">
        <f t="shared" si="44"/>
        <v>#REF!</v>
      </c>
      <c r="AA50" s="566">
        <f t="shared" si="44"/>
        <v>2.72</v>
      </c>
      <c r="AB50" s="144"/>
      <c r="AC50" s="231">
        <v>0</v>
      </c>
      <c r="AD50" s="231">
        <v>0</v>
      </c>
      <c r="AE50" s="231">
        <v>0</v>
      </c>
      <c r="AF50" s="231">
        <v>0</v>
      </c>
      <c r="AG50" s="231">
        <v>0</v>
      </c>
      <c r="AH50" s="231">
        <v>0</v>
      </c>
      <c r="AI50" s="213"/>
      <c r="AJ50" s="204"/>
      <c r="AK50" s="204"/>
      <c r="AL50" s="204"/>
      <c r="AM50" s="204"/>
      <c r="AN50" s="204"/>
    </row>
    <row r="51" spans="1:40">
      <c r="A51" s="144"/>
      <c r="B51" s="144"/>
      <c r="C51" s="144"/>
      <c r="D51" s="906"/>
      <c r="E51" s="146"/>
      <c r="F51" s="144"/>
      <c r="G51" s="144"/>
      <c r="H51" s="144"/>
      <c r="I51" s="144"/>
      <c r="J51" s="144"/>
      <c r="K51" s="144"/>
      <c r="L51" s="1675"/>
      <c r="M51" s="1278"/>
      <c r="N51" s="1278"/>
      <c r="O51" s="1278"/>
      <c r="P51" s="1278"/>
      <c r="Q51" s="1278"/>
      <c r="R51" s="1278"/>
      <c r="S51" s="144"/>
      <c r="T51" s="144"/>
      <c r="U51" s="566">
        <f t="shared" si="44"/>
        <v>5</v>
      </c>
      <c r="V51" s="566">
        <f t="shared" si="44"/>
        <v>5.7500000000000009</v>
      </c>
      <c r="W51" s="566">
        <f t="shared" si="44"/>
        <v>4.7200000000000006</v>
      </c>
      <c r="X51" s="566" t="e">
        <f t="shared" si="44"/>
        <v>#REF!</v>
      </c>
      <c r="Y51" s="566" t="e">
        <f t="shared" si="44"/>
        <v>#REF!</v>
      </c>
      <c r="Z51" s="566" t="e">
        <f t="shared" si="44"/>
        <v>#REF!</v>
      </c>
      <c r="AA51" s="566">
        <f t="shared" si="44"/>
        <v>2.72</v>
      </c>
      <c r="AB51" s="144"/>
      <c r="AC51" s="231">
        <v>0</v>
      </c>
      <c r="AD51" s="231">
        <v>0</v>
      </c>
      <c r="AE51" s="231">
        <v>0</v>
      </c>
      <c r="AF51" s="231">
        <v>0</v>
      </c>
      <c r="AG51" s="231">
        <v>0</v>
      </c>
      <c r="AH51" s="231">
        <v>0</v>
      </c>
      <c r="AI51" s="213"/>
      <c r="AJ51" s="204"/>
      <c r="AK51" s="204"/>
      <c r="AL51" s="204"/>
      <c r="AM51" s="204"/>
      <c r="AN51" s="204"/>
    </row>
    <row r="52" spans="1:40">
      <c r="A52" s="144"/>
      <c r="B52" s="144"/>
      <c r="C52" s="144"/>
      <c r="D52" s="906"/>
      <c r="E52" s="146"/>
      <c r="F52" s="144"/>
      <c r="G52" s="144"/>
      <c r="H52" s="144"/>
      <c r="I52" s="144"/>
      <c r="J52" s="144"/>
      <c r="K52" s="144"/>
      <c r="L52" s="1675"/>
      <c r="M52" s="1278"/>
      <c r="N52" s="1278"/>
      <c r="O52" s="1278"/>
      <c r="P52" s="1278"/>
      <c r="Q52" s="1278"/>
      <c r="R52" s="1278"/>
      <c r="S52" s="144"/>
      <c r="T52" s="144"/>
      <c r="U52" s="566">
        <f t="shared" si="44"/>
        <v>5</v>
      </c>
      <c r="V52" s="566">
        <f t="shared" si="44"/>
        <v>5.7500000000000009</v>
      </c>
      <c r="W52" s="566">
        <f t="shared" si="44"/>
        <v>4.7200000000000006</v>
      </c>
      <c r="X52" s="566" t="e">
        <f t="shared" si="44"/>
        <v>#REF!</v>
      </c>
      <c r="Y52" s="566" t="e">
        <f t="shared" si="44"/>
        <v>#REF!</v>
      </c>
      <c r="Z52" s="566" t="e">
        <f t="shared" si="44"/>
        <v>#REF!</v>
      </c>
      <c r="AA52" s="566">
        <f t="shared" si="44"/>
        <v>2.72</v>
      </c>
      <c r="AB52" s="144"/>
      <c r="AC52" s="231"/>
      <c r="AD52" s="231"/>
      <c r="AE52" s="231"/>
      <c r="AF52" s="231"/>
      <c r="AG52" s="231"/>
      <c r="AH52" s="231"/>
      <c r="AI52" s="213"/>
      <c r="AJ52" s="204"/>
      <c r="AK52" s="204"/>
      <c r="AL52" s="204"/>
      <c r="AM52" s="204"/>
      <c r="AN52" s="204"/>
    </row>
    <row r="53" spans="1:40" ht="15" customHeight="1">
      <c r="A53" s="144"/>
      <c r="B53" s="144"/>
      <c r="C53" s="144"/>
      <c r="D53" s="906"/>
      <c r="E53" s="146"/>
      <c r="F53" s="144"/>
      <c r="G53" s="144"/>
      <c r="H53" s="144"/>
      <c r="I53" s="144"/>
      <c r="J53" s="4371"/>
      <c r="K53" s="144"/>
      <c r="L53" s="1675"/>
      <c r="M53" s="1278"/>
      <c r="N53" s="1278"/>
      <c r="O53" s="1278"/>
      <c r="P53" s="1278"/>
      <c r="Q53" s="1278"/>
      <c r="R53" s="1278"/>
      <c r="S53" s="144"/>
      <c r="T53" s="144"/>
      <c r="U53" s="566">
        <f t="shared" si="44"/>
        <v>5</v>
      </c>
      <c r="V53" s="566">
        <f t="shared" si="44"/>
        <v>5.7500000000000009</v>
      </c>
      <c r="W53" s="566">
        <f t="shared" si="44"/>
        <v>4.7200000000000006</v>
      </c>
      <c r="X53" s="566" t="e">
        <f t="shared" si="44"/>
        <v>#REF!</v>
      </c>
      <c r="Y53" s="566" t="e">
        <f t="shared" si="44"/>
        <v>#REF!</v>
      </c>
      <c r="Z53" s="566" t="e">
        <f t="shared" si="44"/>
        <v>#REF!</v>
      </c>
      <c r="AA53" s="566">
        <f t="shared" si="44"/>
        <v>2.72</v>
      </c>
      <c r="AB53" s="144"/>
      <c r="AC53" s="231"/>
      <c r="AD53" s="231"/>
      <c r="AE53" s="231"/>
      <c r="AF53" s="231"/>
      <c r="AG53" s="231"/>
      <c r="AH53" s="231"/>
      <c r="AI53" s="213"/>
      <c r="AJ53" s="204"/>
      <c r="AK53" s="204"/>
      <c r="AL53" s="204"/>
      <c r="AM53" s="204"/>
      <c r="AN53" s="204"/>
    </row>
    <row r="54" spans="1:40">
      <c r="A54" s="144"/>
      <c r="B54" s="144"/>
      <c r="C54" s="144"/>
      <c r="D54" s="906"/>
      <c r="E54" s="146"/>
      <c r="F54" s="144"/>
      <c r="G54" s="144"/>
      <c r="H54" s="144"/>
      <c r="I54" s="144"/>
      <c r="J54" s="144"/>
      <c r="K54" s="144"/>
      <c r="L54" s="1675"/>
      <c r="M54" s="1278"/>
      <c r="N54" s="1278"/>
      <c r="O54" s="1278"/>
      <c r="P54" s="1278"/>
      <c r="Q54" s="1278"/>
      <c r="R54" s="1278"/>
      <c r="S54" s="144"/>
      <c r="T54" s="144"/>
      <c r="U54" s="566">
        <f t="shared" si="44"/>
        <v>5</v>
      </c>
      <c r="V54" s="566">
        <f t="shared" si="44"/>
        <v>5.7500000000000009</v>
      </c>
      <c r="W54" s="566">
        <f t="shared" si="44"/>
        <v>4.7200000000000006</v>
      </c>
      <c r="X54" s="566" t="e">
        <f t="shared" si="44"/>
        <v>#REF!</v>
      </c>
      <c r="Y54" s="566" t="e">
        <f t="shared" si="44"/>
        <v>#REF!</v>
      </c>
      <c r="Z54" s="566" t="e">
        <f t="shared" si="44"/>
        <v>#REF!</v>
      </c>
      <c r="AA54" s="566">
        <f t="shared" si="44"/>
        <v>2.72</v>
      </c>
      <c r="AB54" s="144"/>
      <c r="AC54" s="231">
        <v>0</v>
      </c>
      <c r="AD54" s="231">
        <v>0</v>
      </c>
      <c r="AE54" s="231">
        <v>0</v>
      </c>
      <c r="AF54" s="231">
        <v>0</v>
      </c>
      <c r="AG54" s="231">
        <v>0</v>
      </c>
      <c r="AH54" s="231">
        <v>0</v>
      </c>
      <c r="AI54" s="213"/>
      <c r="AJ54" s="204"/>
      <c r="AK54" s="204"/>
      <c r="AL54" s="204"/>
      <c r="AM54" s="204"/>
      <c r="AN54" s="204"/>
    </row>
    <row r="55" spans="1:40">
      <c r="A55" s="144"/>
      <c r="B55" s="144"/>
      <c r="C55" s="144"/>
      <c r="D55" s="906"/>
      <c r="E55" s="146"/>
      <c r="F55" s="144"/>
      <c r="G55" s="144"/>
      <c r="H55" s="144"/>
      <c r="I55" s="144"/>
      <c r="J55" s="144"/>
      <c r="K55" s="144"/>
      <c r="L55" s="1675"/>
      <c r="M55" s="1278"/>
      <c r="N55" s="1278"/>
      <c r="O55" s="1278"/>
      <c r="P55" s="1278"/>
      <c r="Q55" s="1278"/>
      <c r="R55" s="1278"/>
      <c r="S55" s="144"/>
      <c r="T55" s="144"/>
      <c r="U55" s="566">
        <f t="shared" si="44"/>
        <v>5</v>
      </c>
      <c r="V55" s="566">
        <f t="shared" si="44"/>
        <v>5.7500000000000009</v>
      </c>
      <c r="W55" s="566">
        <f t="shared" si="44"/>
        <v>4.7200000000000006</v>
      </c>
      <c r="X55" s="566" t="e">
        <f t="shared" si="44"/>
        <v>#REF!</v>
      </c>
      <c r="Y55" s="566" t="e">
        <f t="shared" si="44"/>
        <v>#REF!</v>
      </c>
      <c r="Z55" s="566" t="e">
        <f t="shared" si="44"/>
        <v>#REF!</v>
      </c>
      <c r="AA55" s="566">
        <f t="shared" si="44"/>
        <v>2.72</v>
      </c>
      <c r="AB55" s="144"/>
      <c r="AC55" s="231">
        <v>0</v>
      </c>
      <c r="AD55" s="231">
        <v>0</v>
      </c>
      <c r="AE55" s="231">
        <v>0</v>
      </c>
      <c r="AF55" s="231">
        <v>0</v>
      </c>
      <c r="AG55" s="231">
        <v>0</v>
      </c>
      <c r="AH55" s="231">
        <v>0</v>
      </c>
      <c r="AI55" s="213"/>
      <c r="AJ55" s="204"/>
      <c r="AK55" s="204"/>
      <c r="AL55" s="204"/>
      <c r="AM55" s="204"/>
      <c r="AN55" s="204"/>
    </row>
    <row r="56" spans="1:40">
      <c r="A56" s="144"/>
      <c r="B56" s="144"/>
      <c r="C56" s="144"/>
      <c r="D56" s="906"/>
      <c r="E56" s="146"/>
      <c r="F56" s="144"/>
      <c r="G56" s="144"/>
      <c r="H56" s="144"/>
      <c r="I56" s="144"/>
      <c r="J56" s="144"/>
      <c r="K56" s="144"/>
      <c r="L56" s="1675"/>
      <c r="M56" s="1278"/>
      <c r="N56" s="1278"/>
      <c r="O56" s="1278"/>
      <c r="P56" s="1278"/>
      <c r="Q56" s="1278"/>
      <c r="R56" s="1278"/>
      <c r="S56" s="144"/>
      <c r="T56" s="144"/>
      <c r="U56" s="566">
        <f t="shared" si="44"/>
        <v>5</v>
      </c>
      <c r="V56" s="566">
        <f t="shared" si="44"/>
        <v>5.7500000000000009</v>
      </c>
      <c r="W56" s="566">
        <f t="shared" si="44"/>
        <v>4.7200000000000006</v>
      </c>
      <c r="X56" s="566" t="e">
        <f t="shared" si="44"/>
        <v>#REF!</v>
      </c>
      <c r="Y56" s="566" t="e">
        <f t="shared" si="44"/>
        <v>#REF!</v>
      </c>
      <c r="Z56" s="566" t="e">
        <f t="shared" si="44"/>
        <v>#REF!</v>
      </c>
      <c r="AA56" s="566">
        <f t="shared" si="44"/>
        <v>2.72</v>
      </c>
      <c r="AB56" s="144"/>
      <c r="AC56" s="231">
        <v>0</v>
      </c>
      <c r="AD56" s="231">
        <v>0</v>
      </c>
      <c r="AE56" s="231">
        <v>0</v>
      </c>
      <c r="AF56" s="231">
        <v>0</v>
      </c>
      <c r="AG56" s="231">
        <v>0</v>
      </c>
      <c r="AH56" s="231">
        <v>0</v>
      </c>
      <c r="AI56" s="213"/>
      <c r="AJ56" s="204"/>
      <c r="AK56" s="204"/>
      <c r="AL56" s="204"/>
      <c r="AM56" s="204"/>
      <c r="AN56" s="204"/>
    </row>
    <row r="57" spans="1:40">
      <c r="A57" s="144"/>
      <c r="B57" s="144"/>
      <c r="C57" s="144"/>
      <c r="D57" s="906"/>
      <c r="E57" s="146"/>
      <c r="F57" s="144"/>
      <c r="G57" s="144"/>
      <c r="H57" s="144"/>
      <c r="I57" s="144"/>
      <c r="J57" s="144"/>
      <c r="K57" s="144"/>
      <c r="L57" s="1675"/>
      <c r="M57" s="1278"/>
      <c r="N57" s="1278"/>
      <c r="O57" s="1278"/>
      <c r="P57" s="1278"/>
      <c r="Q57" s="1278"/>
      <c r="R57" s="1278"/>
      <c r="S57" s="144"/>
      <c r="T57" s="144"/>
      <c r="U57" s="566">
        <f t="shared" si="44"/>
        <v>5</v>
      </c>
      <c r="V57" s="566">
        <f t="shared" si="44"/>
        <v>5.7500000000000009</v>
      </c>
      <c r="W57" s="566">
        <f t="shared" si="44"/>
        <v>4.7200000000000006</v>
      </c>
      <c r="X57" s="566" t="e">
        <f t="shared" si="44"/>
        <v>#REF!</v>
      </c>
      <c r="Y57" s="566" t="e">
        <f t="shared" si="44"/>
        <v>#REF!</v>
      </c>
      <c r="Z57" s="566" t="e">
        <f t="shared" si="44"/>
        <v>#REF!</v>
      </c>
      <c r="AA57" s="566">
        <f t="shared" si="44"/>
        <v>2.72</v>
      </c>
      <c r="AB57" s="144"/>
      <c r="AC57" s="231">
        <v>0</v>
      </c>
      <c r="AD57" s="231">
        <v>0</v>
      </c>
      <c r="AE57" s="231">
        <v>0</v>
      </c>
      <c r="AF57" s="231">
        <v>0</v>
      </c>
      <c r="AG57" s="231">
        <v>0</v>
      </c>
      <c r="AH57" s="231">
        <v>0</v>
      </c>
      <c r="AI57" s="213"/>
      <c r="AJ57" s="204"/>
      <c r="AK57" s="204"/>
      <c r="AL57" s="204"/>
      <c r="AM57" s="204"/>
      <c r="AN57" s="204"/>
    </row>
    <row r="58" spans="1:40">
      <c r="A58" s="144"/>
      <c r="B58" s="144"/>
      <c r="C58" s="144"/>
      <c r="D58" s="906"/>
      <c r="E58" s="146"/>
      <c r="F58" s="144"/>
      <c r="G58" s="144"/>
      <c r="H58" s="144"/>
      <c r="I58" s="144"/>
      <c r="J58" s="144"/>
      <c r="K58" s="144"/>
      <c r="L58" s="1675"/>
      <c r="M58" s="1278"/>
      <c r="N58" s="1278"/>
      <c r="O58" s="1278"/>
      <c r="P58" s="1278"/>
      <c r="Q58" s="1278"/>
      <c r="R58" s="1278"/>
      <c r="S58" s="144"/>
      <c r="T58" s="144"/>
      <c r="U58" s="566">
        <f t="shared" si="44"/>
        <v>5</v>
      </c>
      <c r="V58" s="566">
        <f t="shared" si="44"/>
        <v>5.7500000000000009</v>
      </c>
      <c r="W58" s="566">
        <f t="shared" si="44"/>
        <v>4.7200000000000006</v>
      </c>
      <c r="X58" s="566" t="e">
        <f t="shared" si="44"/>
        <v>#REF!</v>
      </c>
      <c r="Y58" s="566" t="e">
        <f t="shared" si="44"/>
        <v>#REF!</v>
      </c>
      <c r="Z58" s="566" t="e">
        <f t="shared" si="44"/>
        <v>#REF!</v>
      </c>
      <c r="AA58" s="566">
        <f t="shared" si="44"/>
        <v>2.72</v>
      </c>
      <c r="AB58" s="144"/>
      <c r="AC58" s="231"/>
      <c r="AD58" s="231"/>
      <c r="AE58" s="231"/>
      <c r="AF58" s="231"/>
      <c r="AG58" s="231"/>
      <c r="AH58" s="231"/>
      <c r="AI58" s="213"/>
      <c r="AJ58" s="204"/>
      <c r="AK58" s="204"/>
      <c r="AL58" s="204"/>
      <c r="AM58" s="204"/>
      <c r="AN58" s="204"/>
    </row>
    <row r="59" spans="1:40">
      <c r="A59" s="144"/>
      <c r="B59" s="144"/>
      <c r="C59" s="144"/>
      <c r="D59" s="906"/>
      <c r="E59" s="146"/>
      <c r="F59" s="144"/>
      <c r="G59" s="144"/>
      <c r="H59" s="144"/>
      <c r="I59" s="144"/>
      <c r="J59" s="144"/>
      <c r="K59" s="144"/>
      <c r="L59" s="1675"/>
      <c r="M59" s="1278"/>
      <c r="N59" s="1278"/>
      <c r="O59" s="1278"/>
      <c r="P59" s="1278"/>
      <c r="Q59" s="1278"/>
      <c r="R59" s="1278"/>
      <c r="S59" s="144"/>
      <c r="T59" s="144"/>
      <c r="U59" s="566">
        <f t="shared" si="44"/>
        <v>5</v>
      </c>
      <c r="V59" s="566">
        <f t="shared" si="44"/>
        <v>5.7500000000000009</v>
      </c>
      <c r="W59" s="566">
        <f t="shared" si="44"/>
        <v>4.7200000000000006</v>
      </c>
      <c r="X59" s="566" t="e">
        <f t="shared" si="44"/>
        <v>#REF!</v>
      </c>
      <c r="Y59" s="566" t="e">
        <f t="shared" si="44"/>
        <v>#REF!</v>
      </c>
      <c r="Z59" s="566" t="e">
        <f t="shared" si="44"/>
        <v>#REF!</v>
      </c>
      <c r="AA59" s="566">
        <f t="shared" si="44"/>
        <v>2.72</v>
      </c>
      <c r="AB59" s="144"/>
      <c r="AC59" s="231">
        <v>0</v>
      </c>
      <c r="AD59" s="231">
        <v>0</v>
      </c>
      <c r="AE59" s="231">
        <v>0</v>
      </c>
      <c r="AF59" s="231">
        <v>0</v>
      </c>
      <c r="AG59" s="231">
        <v>0</v>
      </c>
      <c r="AH59" s="231">
        <v>0</v>
      </c>
      <c r="AI59" s="213"/>
      <c r="AJ59" s="204"/>
      <c r="AK59" s="204"/>
      <c r="AL59" s="204"/>
      <c r="AM59" s="204"/>
      <c r="AN59" s="204"/>
    </row>
    <row r="60" spans="1:40">
      <c r="A60" s="144"/>
      <c r="B60" s="144"/>
      <c r="C60" s="144"/>
      <c r="D60" s="906"/>
      <c r="E60" s="146"/>
      <c r="F60" s="144"/>
      <c r="G60" s="144"/>
      <c r="H60" s="144"/>
      <c r="I60" s="144"/>
      <c r="J60" s="144"/>
      <c r="K60" s="144"/>
      <c r="L60" s="1675"/>
      <c r="M60" s="1278"/>
      <c r="N60" s="1278"/>
      <c r="O60" s="1278"/>
      <c r="P60" s="1278"/>
      <c r="Q60" s="1278"/>
      <c r="R60" s="1278"/>
      <c r="S60" s="144"/>
      <c r="T60" s="144"/>
      <c r="U60" s="566">
        <f t="shared" si="44"/>
        <v>5</v>
      </c>
      <c r="V60" s="566">
        <f t="shared" si="44"/>
        <v>5.7500000000000009</v>
      </c>
      <c r="W60" s="566">
        <f t="shared" si="44"/>
        <v>4.7200000000000006</v>
      </c>
      <c r="X60" s="566" t="e">
        <f t="shared" si="44"/>
        <v>#REF!</v>
      </c>
      <c r="Y60" s="566" t="e">
        <f t="shared" si="44"/>
        <v>#REF!</v>
      </c>
      <c r="Z60" s="566" t="e">
        <f t="shared" si="44"/>
        <v>#REF!</v>
      </c>
      <c r="AA60" s="566">
        <f t="shared" si="44"/>
        <v>2.72</v>
      </c>
      <c r="AB60" s="144"/>
      <c r="AC60" s="231">
        <v>0</v>
      </c>
      <c r="AD60" s="231">
        <v>0</v>
      </c>
      <c r="AE60" s="231">
        <v>0</v>
      </c>
      <c r="AF60" s="231">
        <v>0</v>
      </c>
      <c r="AG60" s="231">
        <v>0</v>
      </c>
      <c r="AH60" s="231">
        <v>0</v>
      </c>
      <c r="AI60" s="213"/>
      <c r="AJ60" s="204"/>
      <c r="AK60" s="204"/>
      <c r="AL60" s="204"/>
      <c r="AM60" s="204"/>
      <c r="AN60" s="204"/>
    </row>
    <row r="61" spans="1:40">
      <c r="A61" s="144"/>
      <c r="B61" s="144"/>
      <c r="C61" s="144"/>
      <c r="D61" s="906"/>
      <c r="E61" s="146"/>
      <c r="F61" s="144"/>
      <c r="G61" s="144"/>
      <c r="H61" s="144"/>
      <c r="I61" s="144"/>
      <c r="J61" s="144"/>
      <c r="K61" s="144"/>
      <c r="L61" s="1675"/>
      <c r="M61" s="1278"/>
      <c r="N61" s="1278"/>
      <c r="O61" s="1278"/>
      <c r="P61" s="1278"/>
      <c r="Q61" s="1278"/>
      <c r="R61" s="1278"/>
      <c r="S61" s="144"/>
      <c r="T61" s="144"/>
      <c r="U61" s="566">
        <f t="shared" si="44"/>
        <v>5</v>
      </c>
      <c r="V61" s="566">
        <f t="shared" si="44"/>
        <v>5.7500000000000009</v>
      </c>
      <c r="W61" s="566">
        <f t="shared" si="44"/>
        <v>4.7200000000000006</v>
      </c>
      <c r="X61" s="566" t="e">
        <f t="shared" si="44"/>
        <v>#REF!</v>
      </c>
      <c r="Y61" s="566" t="e">
        <f t="shared" si="44"/>
        <v>#REF!</v>
      </c>
      <c r="Z61" s="566" t="e">
        <f t="shared" si="44"/>
        <v>#REF!</v>
      </c>
      <c r="AA61" s="566">
        <f t="shared" si="44"/>
        <v>2.72</v>
      </c>
      <c r="AB61" s="144"/>
      <c r="AC61" s="231"/>
      <c r="AD61" s="231"/>
      <c r="AE61" s="231"/>
      <c r="AF61" s="231"/>
      <c r="AG61" s="231"/>
      <c r="AH61" s="231"/>
      <c r="AI61" s="213"/>
      <c r="AJ61" s="204"/>
      <c r="AK61" s="204"/>
      <c r="AL61" s="204"/>
      <c r="AM61" s="204"/>
      <c r="AN61" s="204"/>
    </row>
    <row r="62" spans="1:40">
      <c r="A62" s="144"/>
      <c r="B62" s="144"/>
      <c r="C62" s="144"/>
      <c r="D62" s="906"/>
      <c r="E62" s="146"/>
      <c r="F62" s="144"/>
      <c r="G62" s="144"/>
      <c r="H62" s="144"/>
      <c r="I62" s="144"/>
      <c r="J62" s="144"/>
      <c r="K62" s="144"/>
      <c r="L62" s="1675"/>
      <c r="M62" s="1278"/>
      <c r="N62" s="1278"/>
      <c r="O62" s="1278"/>
      <c r="P62" s="1278"/>
      <c r="Q62" s="1278"/>
      <c r="R62" s="1278"/>
      <c r="S62" s="144"/>
      <c r="T62" s="144"/>
      <c r="U62" s="566">
        <f t="shared" si="44"/>
        <v>5</v>
      </c>
      <c r="V62" s="566">
        <f t="shared" si="44"/>
        <v>5.7500000000000009</v>
      </c>
      <c r="W62" s="566">
        <f t="shared" si="44"/>
        <v>4.7200000000000006</v>
      </c>
      <c r="X62" s="566" t="e">
        <f t="shared" si="44"/>
        <v>#REF!</v>
      </c>
      <c r="Y62" s="566" t="e">
        <f t="shared" si="44"/>
        <v>#REF!</v>
      </c>
      <c r="Z62" s="566" t="e">
        <f t="shared" si="44"/>
        <v>#REF!</v>
      </c>
      <c r="AA62" s="566">
        <f t="shared" si="44"/>
        <v>2.72</v>
      </c>
      <c r="AB62" s="144"/>
      <c r="AC62" s="231"/>
      <c r="AD62" s="231"/>
      <c r="AE62" s="231"/>
      <c r="AF62" s="231"/>
      <c r="AG62" s="231"/>
      <c r="AH62" s="231"/>
      <c r="AI62" s="213"/>
      <c r="AJ62" s="204"/>
      <c r="AK62" s="204"/>
      <c r="AL62" s="204"/>
      <c r="AM62" s="204"/>
      <c r="AN62" s="204"/>
    </row>
    <row r="63" spans="1:40">
      <c r="A63" s="144"/>
      <c r="B63" s="144"/>
      <c r="C63" s="144"/>
      <c r="D63" s="906"/>
      <c r="E63" s="146"/>
      <c r="F63" s="144"/>
      <c r="G63" s="144"/>
      <c r="H63" s="144"/>
      <c r="I63" s="144"/>
      <c r="J63" s="144"/>
      <c r="K63" s="144"/>
      <c r="L63" s="1675"/>
      <c r="M63" s="1278"/>
      <c r="N63" s="1278"/>
      <c r="O63" s="1278"/>
      <c r="P63" s="1278"/>
      <c r="Q63" s="1278"/>
      <c r="R63" s="1278"/>
      <c r="S63" s="144"/>
      <c r="T63" s="144"/>
      <c r="U63" s="566">
        <f t="shared" si="44"/>
        <v>5</v>
      </c>
      <c r="V63" s="566">
        <f t="shared" si="44"/>
        <v>5.7500000000000009</v>
      </c>
      <c r="W63" s="566">
        <f t="shared" si="44"/>
        <v>4.7200000000000006</v>
      </c>
      <c r="X63" s="566" t="e">
        <f t="shared" si="44"/>
        <v>#REF!</v>
      </c>
      <c r="Y63" s="566" t="e">
        <f t="shared" si="44"/>
        <v>#REF!</v>
      </c>
      <c r="Z63" s="566" t="e">
        <f t="shared" si="44"/>
        <v>#REF!</v>
      </c>
      <c r="AA63" s="566">
        <f t="shared" si="44"/>
        <v>2.72</v>
      </c>
      <c r="AB63" s="144"/>
      <c r="AC63" s="231">
        <v>0</v>
      </c>
      <c r="AD63" s="231">
        <v>0</v>
      </c>
      <c r="AE63" s="231">
        <v>0</v>
      </c>
      <c r="AF63" s="231">
        <v>0</v>
      </c>
      <c r="AG63" s="231">
        <v>0</v>
      </c>
      <c r="AH63" s="231">
        <v>0</v>
      </c>
      <c r="AI63" s="213"/>
      <c r="AJ63" s="204"/>
      <c r="AK63" s="204"/>
      <c r="AL63" s="204"/>
      <c r="AM63" s="204"/>
      <c r="AN63" s="204"/>
    </row>
    <row r="64" spans="1:40">
      <c r="A64" s="144"/>
      <c r="B64" s="144"/>
      <c r="C64" s="144"/>
      <c r="D64" s="906"/>
      <c r="E64" s="146"/>
      <c r="F64" s="144"/>
      <c r="G64" s="144"/>
      <c r="H64" s="144"/>
      <c r="I64" s="144"/>
      <c r="J64" s="144"/>
      <c r="K64" s="144"/>
      <c r="L64" s="1675"/>
      <c r="M64" s="1278"/>
      <c r="N64" s="1278"/>
      <c r="O64" s="1278"/>
      <c r="P64" s="1278"/>
      <c r="Q64" s="1278"/>
      <c r="R64" s="1278"/>
      <c r="S64" s="144"/>
      <c r="T64" s="144"/>
      <c r="U64" s="566">
        <f t="shared" si="44"/>
        <v>5</v>
      </c>
      <c r="V64" s="566">
        <f t="shared" si="44"/>
        <v>5.7500000000000009</v>
      </c>
      <c r="W64" s="566">
        <f t="shared" si="44"/>
        <v>4.7200000000000006</v>
      </c>
      <c r="X64" s="566" t="e">
        <f t="shared" si="44"/>
        <v>#REF!</v>
      </c>
      <c r="Y64" s="566" t="e">
        <f t="shared" si="44"/>
        <v>#REF!</v>
      </c>
      <c r="Z64" s="566" t="e">
        <f t="shared" si="44"/>
        <v>#REF!</v>
      </c>
      <c r="AA64" s="566">
        <f t="shared" si="44"/>
        <v>2.72</v>
      </c>
      <c r="AB64" s="144"/>
      <c r="AC64" s="231">
        <v>0</v>
      </c>
      <c r="AD64" s="231">
        <v>0</v>
      </c>
      <c r="AE64" s="231">
        <v>0</v>
      </c>
      <c r="AF64" s="231">
        <v>0</v>
      </c>
      <c r="AG64" s="231">
        <v>0</v>
      </c>
      <c r="AH64" s="231">
        <v>0</v>
      </c>
      <c r="AI64" s="213"/>
      <c r="AJ64" s="204"/>
      <c r="AK64" s="204"/>
      <c r="AL64" s="204"/>
      <c r="AM64" s="204"/>
      <c r="AN64" s="204"/>
    </row>
    <row r="65" spans="1:40">
      <c r="A65" s="144"/>
      <c r="B65" s="144"/>
      <c r="C65" s="144"/>
      <c r="D65" s="906"/>
      <c r="E65" s="146"/>
      <c r="F65" s="144"/>
      <c r="G65" s="144"/>
      <c r="H65" s="144"/>
      <c r="I65" s="144"/>
      <c r="J65" s="144"/>
      <c r="K65" s="144"/>
      <c r="L65" s="1675"/>
      <c r="M65" s="1278"/>
      <c r="N65" s="1278"/>
      <c r="O65" s="1278"/>
      <c r="P65" s="1278"/>
      <c r="Q65" s="1278"/>
      <c r="R65" s="1278"/>
      <c r="S65" s="144"/>
      <c r="T65" s="144"/>
      <c r="U65" s="566">
        <f t="shared" ref="U65:AA76" si="45">IF(U64&gt;0,U64,U63)</f>
        <v>5</v>
      </c>
      <c r="V65" s="566">
        <f t="shared" si="45"/>
        <v>5.7500000000000009</v>
      </c>
      <c r="W65" s="566">
        <f t="shared" si="45"/>
        <v>4.7200000000000006</v>
      </c>
      <c r="X65" s="566" t="e">
        <f t="shared" si="45"/>
        <v>#REF!</v>
      </c>
      <c r="Y65" s="566" t="e">
        <f t="shared" si="45"/>
        <v>#REF!</v>
      </c>
      <c r="Z65" s="566" t="e">
        <f t="shared" si="45"/>
        <v>#REF!</v>
      </c>
      <c r="AA65" s="566">
        <f t="shared" si="45"/>
        <v>2.72</v>
      </c>
      <c r="AB65" s="144"/>
      <c r="AC65" s="231">
        <v>0</v>
      </c>
      <c r="AD65" s="231">
        <v>0</v>
      </c>
      <c r="AE65" s="231">
        <v>0</v>
      </c>
      <c r="AF65" s="231">
        <v>0</v>
      </c>
      <c r="AG65" s="231">
        <v>0</v>
      </c>
      <c r="AH65" s="231">
        <v>0</v>
      </c>
      <c r="AI65" s="213"/>
      <c r="AJ65" s="204"/>
      <c r="AK65" s="204"/>
      <c r="AL65" s="204"/>
      <c r="AM65" s="204"/>
      <c r="AN65" s="204"/>
    </row>
    <row r="66" spans="1:40">
      <c r="A66" s="144"/>
      <c r="B66" s="144"/>
      <c r="C66" s="144"/>
      <c r="D66" s="906"/>
      <c r="E66" s="146"/>
      <c r="F66" s="144"/>
      <c r="G66" s="144"/>
      <c r="H66" s="144"/>
      <c r="I66" s="144"/>
      <c r="J66" s="144"/>
      <c r="K66" s="144"/>
      <c r="L66" s="1675"/>
      <c r="M66" s="1278"/>
      <c r="N66" s="1278"/>
      <c r="O66" s="1278"/>
      <c r="P66" s="1278"/>
      <c r="Q66" s="1278"/>
      <c r="R66" s="1278"/>
      <c r="S66" s="144"/>
      <c r="T66" s="144"/>
      <c r="U66" s="566">
        <f t="shared" si="45"/>
        <v>5</v>
      </c>
      <c r="V66" s="566">
        <f t="shared" si="45"/>
        <v>5.7500000000000009</v>
      </c>
      <c r="W66" s="566">
        <f t="shared" si="45"/>
        <v>4.7200000000000006</v>
      </c>
      <c r="X66" s="566" t="e">
        <f t="shared" si="45"/>
        <v>#REF!</v>
      </c>
      <c r="Y66" s="566" t="e">
        <f t="shared" si="45"/>
        <v>#REF!</v>
      </c>
      <c r="Z66" s="566" t="e">
        <f t="shared" si="45"/>
        <v>#REF!</v>
      </c>
      <c r="AA66" s="566">
        <f t="shared" si="45"/>
        <v>2.72</v>
      </c>
      <c r="AB66" s="144"/>
      <c r="AC66" s="231"/>
      <c r="AD66" s="231"/>
      <c r="AE66" s="231"/>
      <c r="AF66" s="231"/>
      <c r="AG66" s="231"/>
      <c r="AH66" s="231"/>
      <c r="AI66" s="213"/>
      <c r="AJ66" s="204"/>
      <c r="AK66" s="204"/>
      <c r="AL66" s="204"/>
      <c r="AM66" s="204"/>
      <c r="AN66" s="204"/>
    </row>
    <row r="67" spans="1:40">
      <c r="A67" s="144"/>
      <c r="B67" s="144"/>
      <c r="C67" s="144"/>
      <c r="D67" s="906"/>
      <c r="E67" s="146"/>
      <c r="F67" s="144"/>
      <c r="G67" s="144"/>
      <c r="H67" s="144"/>
      <c r="I67" s="144"/>
      <c r="J67" s="144"/>
      <c r="K67" s="144"/>
      <c r="L67" s="1675"/>
      <c r="M67" s="1278"/>
      <c r="N67" s="1278"/>
      <c r="O67" s="1278"/>
      <c r="P67" s="1278"/>
      <c r="Q67" s="1278"/>
      <c r="R67" s="1278"/>
      <c r="S67" s="144"/>
      <c r="T67" s="144"/>
      <c r="U67" s="566">
        <f t="shared" si="45"/>
        <v>5</v>
      </c>
      <c r="V67" s="566">
        <f t="shared" si="45"/>
        <v>5.7500000000000009</v>
      </c>
      <c r="W67" s="566">
        <f t="shared" si="45"/>
        <v>4.7200000000000006</v>
      </c>
      <c r="X67" s="566" t="e">
        <f t="shared" si="45"/>
        <v>#REF!</v>
      </c>
      <c r="Y67" s="566" t="e">
        <f t="shared" si="45"/>
        <v>#REF!</v>
      </c>
      <c r="Z67" s="566" t="e">
        <f t="shared" si="45"/>
        <v>#REF!</v>
      </c>
      <c r="AA67" s="566">
        <f t="shared" si="45"/>
        <v>2.72</v>
      </c>
      <c r="AB67" s="144"/>
      <c r="AC67" s="231"/>
      <c r="AD67" s="231"/>
      <c r="AE67" s="231"/>
      <c r="AF67" s="231"/>
      <c r="AG67" s="231"/>
      <c r="AH67" s="231"/>
      <c r="AI67" s="213"/>
      <c r="AJ67" s="204"/>
      <c r="AK67" s="204"/>
      <c r="AL67" s="204"/>
      <c r="AM67" s="204"/>
      <c r="AN67" s="204"/>
    </row>
    <row r="68" spans="1:40">
      <c r="A68" s="144"/>
      <c r="B68" s="144"/>
      <c r="C68" s="144"/>
      <c r="D68" s="906"/>
      <c r="E68" s="146"/>
      <c r="F68" s="144"/>
      <c r="G68" s="144"/>
      <c r="H68" s="144"/>
      <c r="I68" s="144"/>
      <c r="J68" s="144"/>
      <c r="K68" s="144"/>
      <c r="L68" s="1675"/>
      <c r="M68" s="1278"/>
      <c r="N68" s="1278"/>
      <c r="O68" s="1278"/>
      <c r="P68" s="1278"/>
      <c r="Q68" s="1278"/>
      <c r="R68" s="1278"/>
      <c r="S68" s="144"/>
      <c r="T68" s="144"/>
      <c r="U68" s="566">
        <f t="shared" si="45"/>
        <v>5</v>
      </c>
      <c r="V68" s="566">
        <f t="shared" si="45"/>
        <v>5.7500000000000009</v>
      </c>
      <c r="W68" s="566">
        <f t="shared" si="45"/>
        <v>4.7200000000000006</v>
      </c>
      <c r="X68" s="566" t="e">
        <f t="shared" si="45"/>
        <v>#REF!</v>
      </c>
      <c r="Y68" s="566" t="e">
        <f t="shared" si="45"/>
        <v>#REF!</v>
      </c>
      <c r="Z68" s="566" t="e">
        <f t="shared" si="45"/>
        <v>#REF!</v>
      </c>
      <c r="AA68" s="566">
        <f t="shared" si="45"/>
        <v>2.72</v>
      </c>
      <c r="AB68" s="144"/>
      <c r="AC68" s="231">
        <v>0</v>
      </c>
      <c r="AD68" s="231">
        <v>0</v>
      </c>
      <c r="AE68" s="231">
        <v>0</v>
      </c>
      <c r="AF68" s="231">
        <v>0</v>
      </c>
      <c r="AG68" s="231">
        <v>0</v>
      </c>
      <c r="AH68" s="231">
        <v>0</v>
      </c>
      <c r="AI68" s="213"/>
      <c r="AJ68" s="204"/>
      <c r="AK68" s="204"/>
      <c r="AL68" s="204"/>
      <c r="AM68" s="204"/>
      <c r="AN68" s="204"/>
    </row>
    <row r="69" spans="1:40">
      <c r="A69" s="144"/>
      <c r="B69" s="144"/>
      <c r="C69" s="144"/>
      <c r="D69" s="906"/>
      <c r="E69" s="146"/>
      <c r="F69" s="144"/>
      <c r="G69" s="144"/>
      <c r="H69" s="144"/>
      <c r="I69" s="144"/>
      <c r="J69" s="144"/>
      <c r="K69" s="144"/>
      <c r="L69" s="1675"/>
      <c r="M69" s="1278"/>
      <c r="N69" s="1278"/>
      <c r="O69" s="1278"/>
      <c r="P69" s="1278"/>
      <c r="Q69" s="1278"/>
      <c r="R69" s="1278"/>
      <c r="S69" s="144"/>
      <c r="T69" s="144"/>
      <c r="U69" s="566">
        <f t="shared" si="45"/>
        <v>5</v>
      </c>
      <c r="V69" s="566">
        <f t="shared" si="45"/>
        <v>5.7500000000000009</v>
      </c>
      <c r="W69" s="566">
        <f t="shared" si="45"/>
        <v>4.7200000000000006</v>
      </c>
      <c r="X69" s="566" t="e">
        <f t="shared" si="45"/>
        <v>#REF!</v>
      </c>
      <c r="Y69" s="566" t="e">
        <f t="shared" si="45"/>
        <v>#REF!</v>
      </c>
      <c r="Z69" s="566" t="e">
        <f t="shared" si="45"/>
        <v>#REF!</v>
      </c>
      <c r="AA69" s="566">
        <f t="shared" si="45"/>
        <v>2.72</v>
      </c>
      <c r="AB69" s="144"/>
      <c r="AC69" s="231">
        <v>0</v>
      </c>
      <c r="AD69" s="231">
        <v>0</v>
      </c>
      <c r="AE69" s="231">
        <v>0</v>
      </c>
      <c r="AF69" s="231">
        <v>0</v>
      </c>
      <c r="AG69" s="231">
        <v>0</v>
      </c>
      <c r="AH69" s="231">
        <v>0</v>
      </c>
      <c r="AI69" s="213"/>
      <c r="AJ69" s="204"/>
      <c r="AK69" s="204"/>
      <c r="AL69" s="204"/>
      <c r="AM69" s="204"/>
      <c r="AN69" s="204"/>
    </row>
    <row r="70" spans="1:40">
      <c r="A70" s="144"/>
      <c r="B70" s="144"/>
      <c r="C70" s="144"/>
      <c r="D70" s="906"/>
      <c r="E70" s="146"/>
      <c r="F70" s="144"/>
      <c r="G70" s="144"/>
      <c r="H70" s="144"/>
      <c r="I70" s="144"/>
      <c r="J70" s="144"/>
      <c r="K70" s="144"/>
      <c r="L70" s="1675"/>
      <c r="M70" s="1278"/>
      <c r="N70" s="1278"/>
      <c r="O70" s="1278"/>
      <c r="P70" s="1278"/>
      <c r="Q70" s="1278"/>
      <c r="R70" s="1278"/>
      <c r="S70" s="144"/>
      <c r="T70" s="144"/>
      <c r="U70" s="566">
        <f t="shared" si="45"/>
        <v>5</v>
      </c>
      <c r="V70" s="566">
        <f t="shared" si="45"/>
        <v>5.7500000000000009</v>
      </c>
      <c r="W70" s="566">
        <f t="shared" si="45"/>
        <v>4.7200000000000006</v>
      </c>
      <c r="X70" s="566" t="e">
        <f t="shared" si="45"/>
        <v>#REF!</v>
      </c>
      <c r="Y70" s="566" t="e">
        <f t="shared" si="45"/>
        <v>#REF!</v>
      </c>
      <c r="Z70" s="566" t="e">
        <f t="shared" si="45"/>
        <v>#REF!</v>
      </c>
      <c r="AA70" s="566">
        <f t="shared" si="45"/>
        <v>2.72</v>
      </c>
      <c r="AB70" s="144"/>
      <c r="AC70" s="231">
        <v>0</v>
      </c>
      <c r="AD70" s="231">
        <v>0</v>
      </c>
      <c r="AE70" s="231">
        <v>0</v>
      </c>
      <c r="AF70" s="231">
        <v>0</v>
      </c>
      <c r="AG70" s="231">
        <v>0</v>
      </c>
      <c r="AH70" s="231">
        <v>0</v>
      </c>
      <c r="AI70" s="213"/>
      <c r="AJ70" s="204"/>
      <c r="AK70" s="204"/>
      <c r="AL70" s="204"/>
      <c r="AM70" s="204"/>
      <c r="AN70" s="204"/>
    </row>
    <row r="71" spans="1:40">
      <c r="A71" s="144"/>
      <c r="B71" s="144"/>
      <c r="C71" s="144"/>
      <c r="D71" s="906"/>
      <c r="E71" s="146"/>
      <c r="F71" s="144"/>
      <c r="G71" s="144"/>
      <c r="H71" s="144"/>
      <c r="I71" s="144"/>
      <c r="J71" s="144"/>
      <c r="K71" s="144"/>
      <c r="L71" s="1675"/>
      <c r="M71" s="1278"/>
      <c r="N71" s="1278"/>
      <c r="O71" s="1278"/>
      <c r="P71" s="1278"/>
      <c r="Q71" s="1278"/>
      <c r="R71" s="1278"/>
      <c r="S71" s="144"/>
      <c r="T71" s="144"/>
      <c r="U71" s="566">
        <f t="shared" si="45"/>
        <v>5</v>
      </c>
      <c r="V71" s="566">
        <f t="shared" si="45"/>
        <v>5.7500000000000009</v>
      </c>
      <c r="W71" s="566">
        <f t="shared" si="45"/>
        <v>4.7200000000000006</v>
      </c>
      <c r="X71" s="566" t="e">
        <f t="shared" si="45"/>
        <v>#REF!</v>
      </c>
      <c r="Y71" s="566" t="e">
        <f t="shared" si="45"/>
        <v>#REF!</v>
      </c>
      <c r="Z71" s="566" t="e">
        <f t="shared" si="45"/>
        <v>#REF!</v>
      </c>
      <c r="AA71" s="566">
        <f t="shared" si="45"/>
        <v>2.72</v>
      </c>
      <c r="AB71" s="144"/>
      <c r="AC71" s="231"/>
      <c r="AD71" s="231"/>
      <c r="AE71" s="231"/>
      <c r="AF71" s="231"/>
      <c r="AG71" s="231"/>
      <c r="AH71" s="231"/>
      <c r="AI71" s="213"/>
      <c r="AJ71" s="204"/>
      <c r="AK71" s="204"/>
      <c r="AL71" s="204"/>
      <c r="AM71" s="204"/>
      <c r="AN71" s="204"/>
    </row>
    <row r="72" spans="1:40">
      <c r="A72" s="144"/>
      <c r="B72" s="144"/>
      <c r="C72" s="144"/>
      <c r="D72" s="906"/>
      <c r="E72" s="146"/>
      <c r="F72" s="144"/>
      <c r="G72" s="144"/>
      <c r="H72" s="144"/>
      <c r="I72" s="144"/>
      <c r="J72" s="144"/>
      <c r="K72" s="144"/>
      <c r="L72" s="1675"/>
      <c r="M72" s="1278"/>
      <c r="N72" s="1278"/>
      <c r="O72" s="1278"/>
      <c r="P72" s="1278"/>
      <c r="Q72" s="1278"/>
      <c r="R72" s="1278"/>
      <c r="S72" s="144"/>
      <c r="T72" s="144"/>
      <c r="U72" s="566">
        <f t="shared" si="45"/>
        <v>5</v>
      </c>
      <c r="V72" s="566">
        <f t="shared" si="45"/>
        <v>5.7500000000000009</v>
      </c>
      <c r="W72" s="566">
        <f t="shared" si="45"/>
        <v>4.7200000000000006</v>
      </c>
      <c r="X72" s="566" t="e">
        <f t="shared" si="45"/>
        <v>#REF!</v>
      </c>
      <c r="Y72" s="566" t="e">
        <f t="shared" si="45"/>
        <v>#REF!</v>
      </c>
      <c r="Z72" s="566" t="e">
        <f t="shared" si="45"/>
        <v>#REF!</v>
      </c>
      <c r="AA72" s="566">
        <f t="shared" si="45"/>
        <v>2.72</v>
      </c>
      <c r="AB72" s="144"/>
      <c r="AC72" s="231"/>
      <c r="AD72" s="231"/>
      <c r="AE72" s="231"/>
      <c r="AF72" s="231"/>
      <c r="AG72" s="231"/>
      <c r="AH72" s="231"/>
      <c r="AI72" s="213"/>
      <c r="AJ72" s="204"/>
      <c r="AK72" s="204"/>
      <c r="AL72" s="204"/>
      <c r="AM72" s="204"/>
      <c r="AN72" s="204"/>
    </row>
    <row r="73" spans="1:40">
      <c r="A73" s="144"/>
      <c r="B73" s="144"/>
      <c r="C73" s="144"/>
      <c r="D73" s="906"/>
      <c r="E73" s="146"/>
      <c r="F73" s="144"/>
      <c r="G73" s="144"/>
      <c r="H73" s="144"/>
      <c r="I73" s="144"/>
      <c r="J73" s="144"/>
      <c r="K73" s="144"/>
      <c r="L73" s="1675"/>
      <c r="M73" s="1278"/>
      <c r="N73" s="1278"/>
      <c r="O73" s="1278"/>
      <c r="P73" s="1278"/>
      <c r="Q73" s="1278"/>
      <c r="R73" s="1278"/>
      <c r="S73" s="144"/>
      <c r="T73" s="144"/>
      <c r="U73" s="566">
        <f t="shared" si="45"/>
        <v>5</v>
      </c>
      <c r="V73" s="566">
        <f t="shared" si="45"/>
        <v>5.7500000000000009</v>
      </c>
      <c r="W73" s="566">
        <f t="shared" si="45"/>
        <v>4.7200000000000006</v>
      </c>
      <c r="X73" s="566" t="e">
        <f t="shared" si="45"/>
        <v>#REF!</v>
      </c>
      <c r="Y73" s="566" t="e">
        <f t="shared" si="45"/>
        <v>#REF!</v>
      </c>
      <c r="Z73" s="566" t="e">
        <f t="shared" si="45"/>
        <v>#REF!</v>
      </c>
      <c r="AA73" s="566">
        <f t="shared" si="45"/>
        <v>2.72</v>
      </c>
      <c r="AB73" s="144"/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13"/>
      <c r="AJ73" s="204"/>
      <c r="AK73" s="204"/>
      <c r="AL73" s="204"/>
      <c r="AM73" s="204"/>
      <c r="AN73" s="204"/>
    </row>
    <row r="74" spans="1:40">
      <c r="A74" s="144"/>
      <c r="B74" s="144"/>
      <c r="C74" s="144"/>
      <c r="D74" s="906"/>
      <c r="E74" s="146"/>
      <c r="F74" s="144"/>
      <c r="G74" s="144"/>
      <c r="H74" s="144"/>
      <c r="I74" s="144"/>
      <c r="J74" s="144"/>
      <c r="K74" s="144"/>
      <c r="L74" s="1675"/>
      <c r="M74" s="1278"/>
      <c r="N74" s="1278"/>
      <c r="O74" s="1278"/>
      <c r="P74" s="1278"/>
      <c r="Q74" s="1278"/>
      <c r="R74" s="1278"/>
      <c r="S74" s="144"/>
      <c r="T74" s="144"/>
      <c r="U74" s="566">
        <f t="shared" si="45"/>
        <v>5</v>
      </c>
      <c r="V74" s="566">
        <f t="shared" si="45"/>
        <v>5.7500000000000009</v>
      </c>
      <c r="W74" s="566">
        <f t="shared" si="45"/>
        <v>4.7200000000000006</v>
      </c>
      <c r="X74" s="566" t="e">
        <f t="shared" si="45"/>
        <v>#REF!</v>
      </c>
      <c r="Y74" s="566" t="e">
        <f t="shared" si="45"/>
        <v>#REF!</v>
      </c>
      <c r="Z74" s="566" t="e">
        <f t="shared" si="45"/>
        <v>#REF!</v>
      </c>
      <c r="AA74" s="566">
        <f t="shared" si="45"/>
        <v>2.72</v>
      </c>
      <c r="AB74" s="144"/>
      <c r="AC74" s="231">
        <v>0</v>
      </c>
      <c r="AD74" s="231">
        <v>0</v>
      </c>
      <c r="AE74" s="231">
        <v>0</v>
      </c>
      <c r="AF74" s="231">
        <v>0</v>
      </c>
      <c r="AG74" s="231">
        <v>0</v>
      </c>
      <c r="AH74" s="231">
        <v>0</v>
      </c>
      <c r="AI74" s="213"/>
      <c r="AJ74" s="204"/>
      <c r="AK74" s="204"/>
      <c r="AL74" s="204"/>
      <c r="AM74" s="204"/>
      <c r="AN74" s="204"/>
    </row>
    <row r="75" spans="1:40">
      <c r="A75" s="144"/>
      <c r="B75" s="144"/>
      <c r="C75" s="144"/>
      <c r="D75" s="906"/>
      <c r="E75" s="146"/>
      <c r="F75" s="144"/>
      <c r="G75" s="144"/>
      <c r="H75" s="144"/>
      <c r="I75" s="144"/>
      <c r="J75" s="144"/>
      <c r="K75" s="144"/>
      <c r="L75" s="1675"/>
      <c r="M75" s="1278"/>
      <c r="N75" s="1278"/>
      <c r="O75" s="1278"/>
      <c r="P75" s="1278"/>
      <c r="Q75" s="1278"/>
      <c r="R75" s="1278"/>
      <c r="S75" s="144"/>
      <c r="T75" s="144"/>
      <c r="U75" s="566">
        <f t="shared" si="45"/>
        <v>5</v>
      </c>
      <c r="V75" s="566">
        <f t="shared" si="45"/>
        <v>5.7500000000000009</v>
      </c>
      <c r="W75" s="566">
        <f t="shared" si="45"/>
        <v>4.7200000000000006</v>
      </c>
      <c r="X75" s="566" t="e">
        <f t="shared" si="45"/>
        <v>#REF!</v>
      </c>
      <c r="Y75" s="566" t="e">
        <f t="shared" si="45"/>
        <v>#REF!</v>
      </c>
      <c r="Z75" s="566" t="e">
        <f t="shared" si="45"/>
        <v>#REF!</v>
      </c>
      <c r="AA75" s="566">
        <f t="shared" si="45"/>
        <v>2.72</v>
      </c>
      <c r="AB75" s="144"/>
      <c r="AC75" s="231">
        <v>0</v>
      </c>
      <c r="AD75" s="231">
        <v>0</v>
      </c>
      <c r="AE75" s="231">
        <v>0</v>
      </c>
      <c r="AF75" s="231">
        <v>0</v>
      </c>
      <c r="AG75" s="231">
        <v>0</v>
      </c>
      <c r="AH75" s="231">
        <v>0</v>
      </c>
      <c r="AI75" s="213"/>
      <c r="AJ75" s="204"/>
      <c r="AK75" s="204"/>
      <c r="AL75" s="204"/>
      <c r="AM75" s="204"/>
      <c r="AN75" s="204"/>
    </row>
    <row r="76" spans="1:40">
      <c r="A76" s="144"/>
      <c r="B76" s="144"/>
      <c r="C76" s="144"/>
      <c r="D76" s="906"/>
      <c r="E76" s="146"/>
      <c r="F76" s="144"/>
      <c r="G76" s="144"/>
      <c r="H76" s="144"/>
      <c r="I76" s="144"/>
      <c r="J76" s="144"/>
      <c r="K76" s="144"/>
      <c r="L76" s="1675"/>
      <c r="M76" s="1278"/>
      <c r="N76" s="1278"/>
      <c r="O76" s="1278"/>
      <c r="P76" s="1278"/>
      <c r="Q76" s="1278"/>
      <c r="R76" s="1278"/>
      <c r="S76" s="144"/>
      <c r="T76" s="144"/>
      <c r="U76" s="567">
        <f>IF(U75&gt;0,U75,U74)</f>
        <v>5</v>
      </c>
      <c r="V76" s="567">
        <f t="shared" si="45"/>
        <v>5.7500000000000009</v>
      </c>
      <c r="W76" s="567">
        <f t="shared" si="45"/>
        <v>4.7200000000000006</v>
      </c>
      <c r="X76" s="567" t="e">
        <f t="shared" si="45"/>
        <v>#REF!</v>
      </c>
      <c r="Y76" s="567" t="e">
        <f t="shared" si="45"/>
        <v>#REF!</v>
      </c>
      <c r="Z76" s="567" t="e">
        <f t="shared" si="45"/>
        <v>#REF!</v>
      </c>
      <c r="AA76" s="567">
        <f t="shared" si="45"/>
        <v>2.72</v>
      </c>
      <c r="AB76" s="144"/>
      <c r="AC76" s="231"/>
      <c r="AD76" s="231"/>
      <c r="AE76" s="231"/>
      <c r="AF76" s="231"/>
      <c r="AG76" s="231"/>
      <c r="AH76" s="231"/>
      <c r="AI76" s="213"/>
      <c r="AJ76" s="204"/>
      <c r="AK76" s="204"/>
      <c r="AL76" s="204"/>
      <c r="AM76" s="204"/>
      <c r="AN76" s="204"/>
    </row>
    <row r="77" spans="1:40">
      <c r="A77" s="144"/>
      <c r="B77" s="144"/>
      <c r="C77" s="144"/>
      <c r="D77" s="906"/>
      <c r="E77" s="146"/>
      <c r="F77" s="144"/>
      <c r="G77" s="144"/>
      <c r="H77" s="144"/>
      <c r="I77" s="144"/>
      <c r="J77" s="144"/>
      <c r="K77" s="144"/>
      <c r="L77" s="1675"/>
      <c r="M77" s="1278"/>
      <c r="N77" s="1278"/>
      <c r="O77" s="1278"/>
      <c r="P77" s="1278"/>
      <c r="Q77" s="1278"/>
      <c r="R77" s="1278"/>
      <c r="S77" s="144"/>
      <c r="T77" s="144"/>
      <c r="U77" s="222"/>
      <c r="V77" s="222"/>
      <c r="W77" s="222"/>
      <c r="X77" s="222"/>
      <c r="Y77" s="222"/>
      <c r="Z77" s="222"/>
      <c r="AA77" s="222"/>
      <c r="AB77" s="144"/>
      <c r="AC77" s="231"/>
      <c r="AD77" s="231"/>
      <c r="AE77" s="231"/>
      <c r="AF77" s="231"/>
      <c r="AG77" s="231"/>
      <c r="AH77" s="231"/>
      <c r="AI77" s="213"/>
      <c r="AJ77" s="204"/>
      <c r="AK77" s="204"/>
      <c r="AL77" s="204"/>
      <c r="AM77" s="204"/>
      <c r="AN77" s="204"/>
    </row>
    <row r="78" spans="1:40">
      <c r="A78" s="144"/>
      <c r="B78" s="144"/>
      <c r="C78" s="144"/>
      <c r="D78" s="906"/>
      <c r="E78" s="146"/>
      <c r="F78" s="144"/>
      <c r="G78" s="144"/>
      <c r="H78" s="144"/>
      <c r="I78" s="144"/>
      <c r="J78" s="144"/>
      <c r="K78" s="144"/>
      <c r="L78" s="1675"/>
      <c r="M78" s="1278"/>
      <c r="N78" s="1278"/>
      <c r="O78" s="1278"/>
      <c r="P78" s="1278"/>
      <c r="Q78" s="1278"/>
      <c r="R78" s="1278"/>
      <c r="S78" s="144"/>
      <c r="T78" s="144"/>
      <c r="U78" s="222"/>
      <c r="V78" s="222"/>
      <c r="W78" s="222"/>
      <c r="X78" s="222"/>
      <c r="Y78" s="222"/>
      <c r="Z78" s="222"/>
      <c r="AA78" s="222"/>
      <c r="AB78" s="144"/>
      <c r="AC78" s="231">
        <v>0</v>
      </c>
      <c r="AD78" s="231">
        <v>0</v>
      </c>
      <c r="AE78" s="231">
        <v>0</v>
      </c>
      <c r="AF78" s="231">
        <v>0</v>
      </c>
      <c r="AG78" s="231">
        <v>0</v>
      </c>
      <c r="AH78" s="231">
        <v>0</v>
      </c>
      <c r="AI78" s="213"/>
      <c r="AJ78" s="204"/>
      <c r="AK78" s="204"/>
      <c r="AL78" s="204"/>
      <c r="AM78" s="204"/>
      <c r="AN78" s="204"/>
    </row>
    <row r="79" spans="1:40">
      <c r="A79" s="144"/>
      <c r="B79" s="144"/>
      <c r="C79" s="144"/>
      <c r="D79" s="906"/>
      <c r="E79" s="146"/>
      <c r="F79" s="144"/>
      <c r="G79" s="144"/>
      <c r="H79" s="144"/>
      <c r="I79" s="144"/>
      <c r="J79" s="144"/>
      <c r="K79" s="144"/>
      <c r="L79" s="1675"/>
      <c r="M79" s="1278"/>
      <c r="N79" s="1278"/>
      <c r="O79" s="1278"/>
      <c r="P79" s="1278"/>
      <c r="Q79" s="1278"/>
      <c r="R79" s="1278"/>
      <c r="S79" s="144"/>
      <c r="T79" s="144"/>
      <c r="U79" s="222"/>
      <c r="V79" s="222"/>
      <c r="W79" s="222"/>
      <c r="X79" s="222"/>
      <c r="Y79" s="222"/>
      <c r="Z79" s="222"/>
      <c r="AA79" s="222"/>
      <c r="AB79" s="144"/>
      <c r="AC79" s="231"/>
      <c r="AD79" s="231"/>
      <c r="AE79" s="231"/>
      <c r="AF79" s="231"/>
      <c r="AG79" s="231"/>
      <c r="AH79" s="231"/>
      <c r="AJ79" s="204"/>
      <c r="AK79" s="204"/>
      <c r="AL79" s="204"/>
      <c r="AM79" s="204"/>
      <c r="AN79" s="204"/>
    </row>
    <row r="80" spans="1:40">
      <c r="A80" s="144"/>
      <c r="B80" s="144"/>
      <c r="C80" s="144"/>
      <c r="D80" s="906"/>
      <c r="E80" s="146"/>
      <c r="F80" s="144"/>
      <c r="G80" s="144"/>
      <c r="H80" s="144"/>
      <c r="I80" s="144"/>
      <c r="J80" s="144"/>
      <c r="K80" s="144"/>
      <c r="L80" s="1675"/>
      <c r="M80" s="1278"/>
      <c r="N80" s="1278"/>
      <c r="O80" s="1278"/>
      <c r="P80" s="1278"/>
      <c r="Q80" s="1278"/>
      <c r="R80" s="1278"/>
      <c r="S80" s="144"/>
      <c r="T80" s="144"/>
      <c r="U80" s="222"/>
      <c r="V80" s="222"/>
      <c r="W80" s="222"/>
      <c r="X80" s="222"/>
      <c r="Y80" s="222"/>
      <c r="Z80" s="222"/>
      <c r="AA80" s="222"/>
      <c r="AB80" s="144"/>
      <c r="AJ80" s="204"/>
      <c r="AK80" s="204"/>
      <c r="AL80" s="204"/>
      <c r="AM80" s="204"/>
      <c r="AN80" s="204"/>
    </row>
    <row r="81" spans="1:40">
      <c r="A81" s="144"/>
      <c r="B81" s="144"/>
      <c r="C81" s="144"/>
      <c r="D81" s="906"/>
      <c r="E81" s="146"/>
      <c r="F81" s="144"/>
      <c r="G81" s="144"/>
      <c r="H81" s="144"/>
      <c r="I81" s="144"/>
      <c r="J81" s="144"/>
      <c r="K81" s="144"/>
      <c r="L81" s="1675"/>
      <c r="M81" s="1278"/>
      <c r="N81" s="1278"/>
      <c r="O81" s="1278"/>
      <c r="P81" s="1278"/>
      <c r="Q81" s="1278"/>
      <c r="R81" s="1278"/>
      <c r="S81" s="144"/>
      <c r="T81" s="144"/>
      <c r="U81" s="222"/>
      <c r="V81" s="222"/>
      <c r="W81" s="222"/>
      <c r="X81" s="222"/>
      <c r="Y81" s="222"/>
      <c r="Z81" s="222"/>
      <c r="AA81" s="222"/>
      <c r="AB81" s="144"/>
      <c r="AJ81" s="204"/>
      <c r="AK81" s="204"/>
      <c r="AL81" s="204"/>
      <c r="AM81" s="204"/>
      <c r="AN81" s="204"/>
    </row>
    <row r="82" spans="1:40">
      <c r="A82" s="144"/>
      <c r="B82" s="144"/>
      <c r="C82" s="144"/>
      <c r="D82" s="906"/>
      <c r="E82" s="146"/>
      <c r="F82" s="144"/>
      <c r="G82" s="144"/>
      <c r="H82" s="144"/>
      <c r="I82" s="144"/>
      <c r="J82" s="144"/>
      <c r="K82" s="144"/>
      <c r="L82" s="1675"/>
      <c r="M82" s="1278"/>
      <c r="N82" s="1278"/>
      <c r="O82" s="1278"/>
      <c r="P82" s="1278"/>
      <c r="Q82" s="1278"/>
      <c r="R82" s="1278"/>
      <c r="S82" s="144"/>
      <c r="T82" s="144"/>
      <c r="U82" s="222"/>
      <c r="V82" s="222"/>
      <c r="W82" s="222"/>
      <c r="X82" s="222"/>
      <c r="Y82" s="222"/>
      <c r="Z82" s="222"/>
      <c r="AA82" s="222"/>
      <c r="AB82" s="144"/>
      <c r="AJ82" s="204"/>
      <c r="AK82" s="204"/>
      <c r="AL82" s="204"/>
      <c r="AM82" s="204"/>
      <c r="AN82" s="204"/>
    </row>
    <row r="83" spans="1:40">
      <c r="A83" s="144"/>
      <c r="B83" s="144"/>
      <c r="C83" s="144"/>
      <c r="D83" s="906"/>
      <c r="E83" s="146"/>
      <c r="F83" s="144"/>
      <c r="G83" s="144"/>
      <c r="H83" s="144"/>
      <c r="I83" s="144"/>
      <c r="J83" s="144"/>
      <c r="K83" s="144"/>
      <c r="L83" s="1675"/>
      <c r="M83" s="1278"/>
      <c r="N83" s="1278"/>
      <c r="O83" s="1278"/>
      <c r="P83" s="1278"/>
      <c r="Q83" s="1278"/>
      <c r="R83" s="1278"/>
      <c r="S83" s="144"/>
      <c r="T83" s="144"/>
      <c r="U83" s="222"/>
      <c r="V83" s="222"/>
      <c r="W83" s="222"/>
      <c r="X83" s="222"/>
      <c r="Y83" s="222"/>
      <c r="Z83" s="222"/>
      <c r="AA83" s="222"/>
      <c r="AB83" s="144"/>
      <c r="AJ83" s="204"/>
      <c r="AK83" s="204"/>
      <c r="AL83" s="204"/>
      <c r="AM83" s="204"/>
      <c r="AN83" s="204"/>
    </row>
    <row r="84" spans="1:40">
      <c r="A84" s="144"/>
      <c r="B84" s="144"/>
      <c r="C84" s="144"/>
      <c r="D84" s="906"/>
      <c r="E84" s="146"/>
      <c r="F84" s="144"/>
      <c r="G84" s="144"/>
      <c r="H84" s="144"/>
      <c r="I84" s="144"/>
      <c r="J84" s="144"/>
      <c r="K84" s="144"/>
      <c r="L84" s="1675"/>
      <c r="M84" s="1278"/>
      <c r="N84" s="1278"/>
      <c r="O84" s="1278"/>
      <c r="P84" s="1278"/>
      <c r="Q84" s="1278"/>
      <c r="R84" s="1278"/>
      <c r="S84" s="144"/>
      <c r="T84" s="144"/>
      <c r="U84" s="222"/>
      <c r="V84" s="222"/>
      <c r="W84" s="222"/>
      <c r="X84" s="222"/>
      <c r="Y84" s="222"/>
      <c r="Z84" s="222"/>
      <c r="AA84" s="222"/>
      <c r="AB84" s="144"/>
      <c r="AJ84" s="204"/>
      <c r="AK84" s="204"/>
      <c r="AL84" s="204"/>
      <c r="AM84" s="204"/>
      <c r="AN84" s="204"/>
    </row>
    <row r="85" spans="1:40">
      <c r="A85" s="144"/>
      <c r="B85" s="144"/>
      <c r="C85" s="144"/>
      <c r="D85" s="906"/>
      <c r="E85" s="146"/>
      <c r="F85" s="144"/>
      <c r="G85" s="144"/>
      <c r="H85" s="144"/>
      <c r="I85" s="144"/>
      <c r="J85" s="144"/>
      <c r="K85" s="144"/>
      <c r="L85" s="1675"/>
      <c r="M85" s="1278"/>
      <c r="N85" s="1278"/>
      <c r="O85" s="1278"/>
      <c r="P85" s="1278"/>
      <c r="Q85" s="1278"/>
      <c r="R85" s="1278"/>
      <c r="S85" s="144"/>
      <c r="T85" s="144"/>
      <c r="U85" s="222"/>
      <c r="V85" s="222"/>
      <c r="W85" s="222"/>
      <c r="X85" s="222"/>
      <c r="Y85" s="222"/>
      <c r="Z85" s="222"/>
      <c r="AA85" s="222"/>
      <c r="AB85" s="144"/>
      <c r="AJ85" s="204"/>
      <c r="AK85" s="204"/>
      <c r="AL85" s="204"/>
      <c r="AM85" s="204"/>
      <c r="AN85" s="204"/>
    </row>
    <row r="86" spans="1:40">
      <c r="A86" s="144"/>
      <c r="B86" s="144"/>
      <c r="C86" s="144"/>
      <c r="D86" s="906"/>
      <c r="E86" s="146"/>
      <c r="F86" s="144"/>
      <c r="G86" s="144"/>
      <c r="H86" s="144"/>
      <c r="I86" s="144"/>
      <c r="J86" s="144"/>
      <c r="K86" s="144"/>
      <c r="L86" s="1675"/>
      <c r="M86" s="1278"/>
      <c r="N86" s="1278"/>
      <c r="O86" s="1278"/>
      <c r="P86" s="1278"/>
      <c r="Q86" s="1278"/>
      <c r="R86" s="1278"/>
      <c r="S86" s="144"/>
      <c r="T86" s="144"/>
      <c r="U86" s="222"/>
      <c r="V86" s="222"/>
      <c r="W86" s="222"/>
      <c r="X86" s="222"/>
      <c r="Y86" s="222"/>
      <c r="Z86" s="222"/>
      <c r="AA86" s="222"/>
      <c r="AB86" s="144"/>
      <c r="AJ86" s="204"/>
      <c r="AK86" s="204"/>
      <c r="AL86" s="204"/>
      <c r="AM86" s="204"/>
      <c r="AN86" s="204"/>
    </row>
    <row r="87" spans="1:40">
      <c r="A87" s="144"/>
      <c r="B87" s="144"/>
      <c r="C87" s="144"/>
      <c r="D87" s="906"/>
      <c r="E87" s="146"/>
      <c r="F87" s="144"/>
      <c r="G87" s="144"/>
      <c r="H87" s="144"/>
      <c r="I87" s="144"/>
      <c r="J87" s="144"/>
      <c r="K87" s="144"/>
      <c r="L87" s="1675"/>
      <c r="M87" s="1278"/>
      <c r="N87" s="1278"/>
      <c r="O87" s="1278"/>
      <c r="P87" s="1278"/>
      <c r="Q87" s="1278"/>
      <c r="R87" s="1278"/>
      <c r="S87" s="144"/>
      <c r="T87" s="144"/>
      <c r="U87" s="222"/>
      <c r="V87" s="222"/>
      <c r="W87" s="222"/>
      <c r="X87" s="222"/>
      <c r="Y87" s="222"/>
      <c r="Z87" s="222"/>
      <c r="AA87" s="222"/>
      <c r="AB87" s="144"/>
      <c r="AN87" s="204"/>
    </row>
    <row r="88" spans="1:40">
      <c r="A88" s="144"/>
      <c r="B88" s="144"/>
      <c r="C88" s="144"/>
      <c r="D88" s="906"/>
      <c r="E88" s="146"/>
      <c r="F88" s="144"/>
      <c r="G88" s="144"/>
      <c r="H88" s="144"/>
      <c r="I88" s="144"/>
      <c r="J88" s="144"/>
      <c r="K88" s="144"/>
      <c r="L88" s="1675"/>
      <c r="M88" s="1278"/>
      <c r="N88" s="1278"/>
      <c r="O88" s="1278"/>
      <c r="P88" s="1278"/>
      <c r="Q88" s="1278"/>
      <c r="R88" s="1278"/>
      <c r="S88" s="144"/>
      <c r="T88" s="144"/>
      <c r="U88" s="222"/>
      <c r="V88" s="222"/>
      <c r="W88" s="222"/>
      <c r="X88" s="222"/>
      <c r="Y88" s="222"/>
      <c r="Z88" s="222"/>
      <c r="AA88" s="222"/>
      <c r="AB88" s="144"/>
      <c r="AN88" s="204"/>
    </row>
    <row r="89" spans="1:40">
      <c r="A89" s="144"/>
      <c r="B89" s="144"/>
      <c r="C89" s="144"/>
      <c r="D89" s="906"/>
      <c r="E89" s="146"/>
      <c r="F89" s="144"/>
      <c r="G89" s="144"/>
      <c r="H89" s="144"/>
      <c r="I89" s="144"/>
      <c r="J89" s="144"/>
      <c r="K89" s="144"/>
      <c r="L89" s="1675"/>
      <c r="M89" s="1278"/>
      <c r="N89" s="1278"/>
      <c r="O89" s="1278"/>
      <c r="P89" s="1278"/>
      <c r="Q89" s="1278"/>
      <c r="R89" s="1278"/>
      <c r="S89" s="144"/>
      <c r="T89" s="144"/>
      <c r="U89" s="222"/>
      <c r="V89" s="222"/>
      <c r="W89" s="222"/>
      <c r="X89" s="222"/>
      <c r="Y89" s="222"/>
      <c r="Z89" s="222"/>
      <c r="AA89" s="222"/>
      <c r="AB89" s="144"/>
      <c r="AN89" s="204"/>
    </row>
    <row r="90" spans="1:40">
      <c r="A90" s="144"/>
      <c r="B90" s="144"/>
      <c r="C90" s="144"/>
      <c r="D90" s="906"/>
      <c r="E90" s="146"/>
      <c r="F90" s="144"/>
      <c r="G90" s="144"/>
      <c r="H90" s="144"/>
      <c r="I90" s="144"/>
      <c r="J90" s="144"/>
      <c r="K90" s="144"/>
      <c r="L90" s="1675"/>
      <c r="M90" s="1278"/>
      <c r="N90" s="1278"/>
      <c r="O90" s="1278"/>
      <c r="P90" s="1278"/>
      <c r="Q90" s="1278"/>
      <c r="R90" s="1278"/>
      <c r="S90" s="144"/>
      <c r="T90" s="144"/>
      <c r="U90" s="222"/>
      <c r="V90" s="222"/>
      <c r="W90" s="222"/>
      <c r="X90" s="222"/>
      <c r="Y90" s="222"/>
      <c r="Z90" s="222"/>
      <c r="AA90" s="222"/>
      <c r="AB90" s="144"/>
      <c r="AN90" s="204"/>
    </row>
    <row r="91" spans="1:40">
      <c r="A91" s="144"/>
      <c r="B91" s="144"/>
      <c r="C91" s="144"/>
      <c r="D91" s="906"/>
      <c r="E91" s="146"/>
      <c r="F91" s="144"/>
      <c r="G91" s="144"/>
      <c r="H91" s="144"/>
      <c r="I91" s="144"/>
      <c r="J91" s="144"/>
      <c r="K91" s="144"/>
      <c r="L91" s="1675"/>
      <c r="M91" s="1278"/>
      <c r="N91" s="1278"/>
      <c r="O91" s="1278"/>
      <c r="P91" s="1278"/>
      <c r="Q91" s="1278"/>
      <c r="R91" s="1278"/>
      <c r="S91" s="144"/>
      <c r="T91" s="144"/>
      <c r="U91" s="222"/>
      <c r="V91" s="222"/>
      <c r="W91" s="222"/>
      <c r="X91" s="222"/>
      <c r="Y91" s="222"/>
      <c r="Z91" s="222"/>
      <c r="AA91" s="222"/>
      <c r="AB91" s="144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  <c r="AN91" s="204"/>
    </row>
    <row r="92" spans="1:40" s="247" customFormat="1" ht="11">
      <c r="A92" s="144"/>
      <c r="B92" s="144"/>
      <c r="C92" s="144"/>
      <c r="D92" s="906"/>
      <c r="E92" s="146"/>
      <c r="F92" s="144"/>
      <c r="G92" s="144"/>
      <c r="H92" s="144"/>
      <c r="I92" s="144"/>
      <c r="J92" s="144"/>
      <c r="K92" s="144"/>
      <c r="L92" s="1675"/>
      <c r="M92" s="1278"/>
      <c r="N92" s="1278"/>
      <c r="O92" s="1278"/>
      <c r="P92" s="1278"/>
      <c r="Q92" s="1278"/>
      <c r="R92" s="1278"/>
      <c r="S92" s="144"/>
      <c r="T92" s="144"/>
      <c r="U92" s="222"/>
      <c r="V92" s="222"/>
      <c r="W92" s="222"/>
      <c r="X92" s="222"/>
      <c r="Y92" s="222"/>
      <c r="Z92" s="222"/>
      <c r="AA92" s="222"/>
      <c r="AB92" s="14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</row>
    <row r="93" spans="1:40" s="247" customFormat="1" ht="11">
      <c r="A93" s="144"/>
      <c r="B93" s="144"/>
      <c r="C93" s="144"/>
      <c r="D93" s="906"/>
      <c r="E93" s="146"/>
      <c r="F93" s="144"/>
      <c r="G93" s="144"/>
      <c r="H93" s="144"/>
      <c r="I93" s="144"/>
      <c r="J93" s="144"/>
      <c r="K93" s="144"/>
      <c r="L93" s="1675"/>
      <c r="M93" s="1278"/>
      <c r="N93" s="1278"/>
      <c r="O93" s="1278"/>
      <c r="P93" s="1278"/>
      <c r="Q93" s="1278"/>
      <c r="R93" s="1278"/>
      <c r="S93" s="144"/>
      <c r="T93" s="144"/>
      <c r="U93" s="222"/>
      <c r="V93" s="222"/>
      <c r="W93" s="222"/>
      <c r="X93" s="222"/>
      <c r="Y93" s="222"/>
      <c r="Z93" s="222"/>
      <c r="AA93" s="222"/>
      <c r="AB93" s="14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</row>
    <row r="94" spans="1:40" s="247" customFormat="1" ht="11">
      <c r="A94" s="144"/>
      <c r="B94" s="144"/>
      <c r="C94" s="144"/>
      <c r="D94" s="906"/>
      <c r="E94" s="146"/>
      <c r="F94" s="144"/>
      <c r="G94" s="144"/>
      <c r="H94" s="144"/>
      <c r="I94" s="144"/>
      <c r="J94" s="144"/>
      <c r="K94" s="144"/>
      <c r="L94" s="1675"/>
      <c r="M94" s="1278"/>
      <c r="N94" s="1278"/>
      <c r="O94" s="1278"/>
      <c r="P94" s="1278"/>
      <c r="Q94" s="1278"/>
      <c r="R94" s="1278"/>
      <c r="S94" s="144"/>
      <c r="T94" s="144"/>
      <c r="U94" s="222"/>
      <c r="V94" s="222"/>
      <c r="W94" s="222"/>
      <c r="X94" s="222"/>
      <c r="Y94" s="222"/>
      <c r="Z94" s="222"/>
      <c r="AA94" s="222"/>
      <c r="AB94" s="14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</row>
    <row r="95" spans="1:40" s="247" customFormat="1" ht="11">
      <c r="A95" s="144"/>
      <c r="B95" s="144"/>
      <c r="C95" s="144"/>
      <c r="D95" s="906"/>
      <c r="E95" s="146"/>
      <c r="F95" s="144"/>
      <c r="G95" s="144"/>
      <c r="H95" s="144"/>
      <c r="I95" s="144"/>
      <c r="J95" s="144"/>
      <c r="K95" s="144"/>
      <c r="L95" s="1675"/>
      <c r="M95" s="1278"/>
      <c r="N95" s="1278"/>
      <c r="O95" s="1278"/>
      <c r="P95" s="1278"/>
      <c r="Q95" s="1278"/>
      <c r="R95" s="1278"/>
      <c r="S95" s="144"/>
      <c r="T95" s="144"/>
      <c r="U95" s="222"/>
      <c r="V95" s="222"/>
      <c r="W95" s="222"/>
      <c r="X95" s="222"/>
      <c r="Y95" s="222"/>
      <c r="Z95" s="222"/>
      <c r="AA95" s="222"/>
      <c r="AB95" s="14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</row>
    <row r="96" spans="1:40" s="247" customFormat="1" ht="11">
      <c r="B96" s="144"/>
      <c r="C96" s="143"/>
      <c r="D96" s="907"/>
      <c r="E96" s="142"/>
      <c r="F96" s="145"/>
      <c r="G96" s="146"/>
      <c r="H96" s="146"/>
      <c r="I96" s="146"/>
      <c r="J96" s="146"/>
      <c r="K96" s="146"/>
      <c r="L96" s="1676"/>
      <c r="M96" s="1286"/>
      <c r="N96" s="1284"/>
      <c r="O96" s="150"/>
      <c r="P96" s="150"/>
      <c r="Q96" s="1287"/>
      <c r="R96" s="1287"/>
      <c r="S96" s="142"/>
      <c r="T96" s="142"/>
      <c r="U96" s="222"/>
      <c r="V96" s="222"/>
      <c r="W96" s="222"/>
      <c r="X96" s="222"/>
      <c r="Y96" s="222"/>
      <c r="Z96" s="222"/>
      <c r="AA96" s="222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</row>
    <row r="97" spans="2:39" s="247" customFormat="1" ht="11">
      <c r="B97" s="144"/>
      <c r="C97" s="143"/>
      <c r="D97" s="907"/>
      <c r="E97" s="142"/>
      <c r="F97" s="145"/>
      <c r="G97" s="146"/>
      <c r="H97" s="146"/>
      <c r="I97" s="146"/>
      <c r="J97" s="146"/>
      <c r="K97" s="146"/>
      <c r="L97" s="1676"/>
      <c r="M97" s="1286"/>
      <c r="N97" s="1284"/>
      <c r="O97" s="150"/>
      <c r="P97" s="150"/>
      <c r="Q97" s="1287"/>
      <c r="R97" s="1287"/>
      <c r="S97" s="142"/>
      <c r="T97" s="142"/>
      <c r="U97" s="222"/>
      <c r="V97" s="222"/>
      <c r="W97" s="222"/>
      <c r="X97" s="222"/>
      <c r="Y97" s="222"/>
      <c r="Z97" s="222"/>
      <c r="AA97" s="222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</row>
    <row r="98" spans="2:39" s="247" customFormat="1" ht="11">
      <c r="B98" s="144"/>
      <c r="C98" s="143"/>
      <c r="D98" s="907"/>
      <c r="E98" s="142"/>
      <c r="F98" s="145"/>
      <c r="G98" s="146"/>
      <c r="H98" s="146"/>
      <c r="I98" s="146"/>
      <c r="J98" s="146"/>
      <c r="K98" s="146"/>
      <c r="L98" s="1676"/>
      <c r="M98" s="1286"/>
      <c r="N98" s="1284"/>
      <c r="O98" s="150"/>
      <c r="P98" s="150"/>
      <c r="Q98" s="1287"/>
      <c r="R98" s="1287"/>
      <c r="S98" s="142"/>
      <c r="T98" s="142"/>
      <c r="U98" s="222"/>
      <c r="V98" s="222"/>
      <c r="W98" s="222"/>
      <c r="X98" s="222"/>
      <c r="Y98" s="222"/>
      <c r="Z98" s="222"/>
      <c r="AA98" s="222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</row>
    <row r="99" spans="2:39" s="247" customFormat="1" ht="11">
      <c r="B99" s="144"/>
      <c r="C99" s="143"/>
      <c r="D99" s="907"/>
      <c r="E99" s="142"/>
      <c r="F99" s="145"/>
      <c r="G99" s="146"/>
      <c r="H99" s="146"/>
      <c r="I99" s="146"/>
      <c r="J99" s="146"/>
      <c r="K99" s="146"/>
      <c r="L99" s="1676"/>
      <c r="M99" s="1286"/>
      <c r="N99" s="1284"/>
      <c r="O99" s="150"/>
      <c r="P99" s="150"/>
      <c r="Q99" s="1287"/>
      <c r="R99" s="1287"/>
      <c r="S99" s="142"/>
      <c r="T99" s="142"/>
      <c r="U99" s="222"/>
      <c r="V99" s="222"/>
      <c r="W99" s="222"/>
      <c r="X99" s="222"/>
      <c r="Y99" s="222"/>
      <c r="Z99" s="222"/>
      <c r="AA99" s="222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</row>
    <row r="100" spans="2:39" s="247" customFormat="1" ht="11">
      <c r="B100" s="144"/>
      <c r="C100" s="143"/>
      <c r="D100" s="907"/>
      <c r="E100" s="142"/>
      <c r="F100" s="145"/>
      <c r="G100" s="146"/>
      <c r="H100" s="146"/>
      <c r="I100" s="146"/>
      <c r="J100" s="146"/>
      <c r="K100" s="146"/>
      <c r="L100" s="1676"/>
      <c r="M100" s="1286"/>
      <c r="N100" s="1284"/>
      <c r="O100" s="150"/>
      <c r="P100" s="150"/>
      <c r="Q100" s="1287"/>
      <c r="R100" s="1287"/>
      <c r="S100" s="142"/>
      <c r="T100" s="142"/>
      <c r="U100" s="146"/>
      <c r="V100" s="146"/>
      <c r="W100" s="146"/>
      <c r="X100" s="146"/>
      <c r="Y100" s="146"/>
      <c r="Z100" s="146"/>
      <c r="AA100" s="146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</row>
    <row r="101" spans="2:39" s="247" customFormat="1" ht="11">
      <c r="B101" s="144"/>
      <c r="C101" s="143"/>
      <c r="D101" s="907"/>
      <c r="E101" s="142"/>
      <c r="F101" s="145"/>
      <c r="G101" s="146"/>
      <c r="H101" s="146"/>
      <c r="I101" s="146"/>
      <c r="J101" s="146"/>
      <c r="K101" s="146"/>
      <c r="L101" s="1676"/>
      <c r="M101" s="1286"/>
      <c r="N101" s="1284"/>
      <c r="O101" s="150"/>
      <c r="P101" s="150"/>
      <c r="Q101" s="1287"/>
      <c r="R101" s="1287"/>
      <c r="S101" s="142"/>
      <c r="T101" s="142"/>
      <c r="U101" s="146"/>
      <c r="V101" s="146"/>
      <c r="W101" s="146"/>
      <c r="X101" s="146"/>
      <c r="Y101" s="146"/>
      <c r="Z101" s="146"/>
      <c r="AA101" s="146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</row>
    <row r="102" spans="2:39" s="247" customFormat="1" ht="11">
      <c r="B102" s="144"/>
      <c r="C102" s="143"/>
      <c r="D102" s="907"/>
      <c r="E102" s="142"/>
      <c r="F102" s="145"/>
      <c r="G102" s="146"/>
      <c r="H102" s="146"/>
      <c r="I102" s="146"/>
      <c r="J102" s="146"/>
      <c r="K102" s="146"/>
      <c r="L102" s="1676"/>
      <c r="M102" s="1286"/>
      <c r="N102" s="1284"/>
      <c r="O102" s="150"/>
      <c r="P102" s="150"/>
      <c r="Q102" s="1287"/>
      <c r="R102" s="1287"/>
      <c r="S102" s="142"/>
      <c r="T102" s="142"/>
      <c r="U102" s="146"/>
      <c r="V102" s="146"/>
      <c r="W102" s="146"/>
      <c r="X102" s="146"/>
      <c r="Y102" s="146"/>
      <c r="Z102" s="146"/>
      <c r="AA102" s="146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2:39" s="247" customFormat="1" ht="11">
      <c r="B103" s="144"/>
      <c r="C103" s="143"/>
      <c r="D103" s="907"/>
      <c r="E103" s="142"/>
      <c r="F103" s="145"/>
      <c r="G103" s="146"/>
      <c r="H103" s="146"/>
      <c r="I103" s="146"/>
      <c r="J103" s="146"/>
      <c r="K103" s="146"/>
      <c r="L103" s="1676"/>
      <c r="M103" s="1286"/>
      <c r="N103" s="1284"/>
      <c r="O103" s="150"/>
      <c r="P103" s="150"/>
      <c r="Q103" s="1287"/>
      <c r="R103" s="1287"/>
      <c r="S103" s="142"/>
      <c r="T103" s="142"/>
      <c r="U103" s="146"/>
      <c r="V103" s="146"/>
      <c r="W103" s="146"/>
      <c r="X103" s="146"/>
      <c r="Y103" s="146"/>
      <c r="Z103" s="146"/>
      <c r="AA103" s="146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2:39" s="247" customFormat="1" ht="11">
      <c r="B104" s="144"/>
      <c r="C104" s="143"/>
      <c r="D104" s="907"/>
      <c r="E104" s="142"/>
      <c r="F104" s="145"/>
      <c r="G104" s="146"/>
      <c r="H104" s="146"/>
      <c r="I104" s="146"/>
      <c r="J104" s="146"/>
      <c r="K104" s="146"/>
      <c r="L104" s="1676"/>
      <c r="M104" s="1286"/>
      <c r="N104" s="1284"/>
      <c r="O104" s="150"/>
      <c r="P104" s="150"/>
      <c r="Q104" s="1287"/>
      <c r="R104" s="1287"/>
      <c r="S104" s="142"/>
      <c r="T104" s="142"/>
      <c r="U104" s="146"/>
      <c r="V104" s="146"/>
      <c r="W104" s="146"/>
      <c r="X104" s="146"/>
      <c r="Y104" s="146"/>
      <c r="Z104" s="146"/>
      <c r="AA104" s="146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2:39" s="247" customFormat="1" ht="11">
      <c r="B105" s="144"/>
      <c r="C105" s="143"/>
      <c r="D105" s="907"/>
      <c r="E105" s="142"/>
      <c r="F105" s="145"/>
      <c r="G105" s="146"/>
      <c r="H105" s="146"/>
      <c r="I105" s="146"/>
      <c r="J105" s="146"/>
      <c r="K105" s="146"/>
      <c r="L105" s="1676"/>
      <c r="M105" s="1286"/>
      <c r="N105" s="1284"/>
      <c r="O105" s="150"/>
      <c r="P105" s="150"/>
      <c r="Q105" s="1287"/>
      <c r="R105" s="1287"/>
      <c r="S105" s="142"/>
      <c r="T105" s="142"/>
      <c r="U105" s="146"/>
      <c r="V105" s="146"/>
      <c r="W105" s="146"/>
      <c r="X105" s="146"/>
      <c r="Y105" s="146"/>
      <c r="Z105" s="146"/>
      <c r="AA105" s="146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2:39" s="247" customFormat="1" ht="11">
      <c r="B106" s="144"/>
      <c r="C106" s="143"/>
      <c r="D106" s="907"/>
      <c r="E106" s="142"/>
      <c r="F106" s="145"/>
      <c r="G106" s="146"/>
      <c r="H106" s="146"/>
      <c r="I106" s="146"/>
      <c r="J106" s="146"/>
      <c r="K106" s="146"/>
      <c r="L106" s="1676"/>
      <c r="M106" s="1286"/>
      <c r="N106" s="1284"/>
      <c r="O106" s="150"/>
      <c r="P106" s="150"/>
      <c r="Q106" s="1287"/>
      <c r="R106" s="1287"/>
      <c r="S106" s="142"/>
      <c r="T106" s="142"/>
      <c r="U106" s="146"/>
      <c r="V106" s="146"/>
      <c r="W106" s="146"/>
      <c r="X106" s="146"/>
      <c r="Y106" s="146"/>
      <c r="Z106" s="146"/>
      <c r="AA106" s="146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2:39" s="247" customFormat="1" ht="11">
      <c r="B107" s="144"/>
      <c r="C107" s="143"/>
      <c r="D107" s="907"/>
      <c r="E107" s="142"/>
      <c r="F107" s="145"/>
      <c r="G107" s="146"/>
      <c r="H107" s="146"/>
      <c r="I107" s="146"/>
      <c r="J107" s="146"/>
      <c r="K107" s="146"/>
      <c r="L107" s="1676"/>
      <c r="M107" s="1286"/>
      <c r="N107" s="1284"/>
      <c r="O107" s="150"/>
      <c r="P107" s="150"/>
      <c r="Q107" s="1287"/>
      <c r="R107" s="1287"/>
      <c r="S107" s="142"/>
      <c r="T107" s="142"/>
      <c r="U107" s="146"/>
      <c r="V107" s="146"/>
      <c r="W107" s="146"/>
      <c r="X107" s="146"/>
      <c r="Y107" s="146"/>
      <c r="Z107" s="146"/>
      <c r="AA107" s="146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2:39" s="247" customFormat="1" ht="11">
      <c r="B108" s="144"/>
      <c r="C108" s="143"/>
      <c r="D108" s="907"/>
      <c r="E108" s="142"/>
      <c r="F108" s="145"/>
      <c r="G108" s="146"/>
      <c r="H108" s="146"/>
      <c r="I108" s="146"/>
      <c r="J108" s="146"/>
      <c r="K108" s="146"/>
      <c r="L108" s="1676"/>
      <c r="M108" s="1286"/>
      <c r="N108" s="1284"/>
      <c r="O108" s="150"/>
      <c r="P108" s="150"/>
      <c r="Q108" s="1287"/>
      <c r="R108" s="1287"/>
      <c r="S108" s="142"/>
      <c r="T108" s="142"/>
      <c r="U108" s="146"/>
      <c r="V108" s="146"/>
      <c r="W108" s="146"/>
      <c r="X108" s="146"/>
      <c r="Y108" s="146"/>
      <c r="Z108" s="146"/>
      <c r="AA108" s="146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2:39" s="247" customFormat="1" ht="11">
      <c r="B109" s="144"/>
      <c r="C109" s="143"/>
      <c r="D109" s="907"/>
      <c r="E109" s="142"/>
      <c r="F109" s="145"/>
      <c r="G109" s="146"/>
      <c r="H109" s="146"/>
      <c r="I109" s="146"/>
      <c r="J109" s="146"/>
      <c r="K109" s="146"/>
      <c r="L109" s="1676"/>
      <c r="M109" s="1286"/>
      <c r="N109" s="1284"/>
      <c r="O109" s="150"/>
      <c r="P109" s="150"/>
      <c r="Q109" s="1287"/>
      <c r="R109" s="1287"/>
      <c r="S109" s="142"/>
      <c r="T109" s="142"/>
      <c r="U109" s="146"/>
      <c r="V109" s="146"/>
      <c r="W109" s="146"/>
      <c r="X109" s="146"/>
      <c r="Y109" s="146"/>
      <c r="Z109" s="146"/>
      <c r="AA109" s="146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2:39" s="247" customFormat="1" ht="11">
      <c r="B110" s="144"/>
      <c r="C110" s="143"/>
      <c r="D110" s="907"/>
      <c r="E110" s="142"/>
      <c r="F110" s="145"/>
      <c r="G110" s="146"/>
      <c r="H110" s="146"/>
      <c r="I110" s="146"/>
      <c r="J110" s="146"/>
      <c r="K110" s="146"/>
      <c r="L110" s="1676"/>
      <c r="M110" s="1286"/>
      <c r="N110" s="1284"/>
      <c r="O110" s="150"/>
      <c r="P110" s="150"/>
      <c r="Q110" s="1287"/>
      <c r="R110" s="1287"/>
      <c r="S110" s="142"/>
      <c r="T110" s="142"/>
      <c r="U110" s="146"/>
      <c r="V110" s="146"/>
      <c r="W110" s="146"/>
      <c r="X110" s="146"/>
      <c r="Y110" s="146"/>
      <c r="Z110" s="146"/>
      <c r="AA110" s="146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2:39" s="247" customFormat="1" ht="11">
      <c r="B111" s="144"/>
      <c r="C111" s="143"/>
      <c r="D111" s="907"/>
      <c r="E111" s="142"/>
      <c r="F111" s="145"/>
      <c r="G111" s="146"/>
      <c r="H111" s="146"/>
      <c r="I111" s="146"/>
      <c r="J111" s="146"/>
      <c r="K111" s="146"/>
      <c r="L111" s="1676"/>
      <c r="M111" s="1286"/>
      <c r="N111" s="1284"/>
      <c r="O111" s="150"/>
      <c r="P111" s="150"/>
      <c r="Q111" s="1287"/>
      <c r="R111" s="1287"/>
      <c r="S111" s="142"/>
      <c r="T111" s="142"/>
      <c r="U111" s="146"/>
      <c r="V111" s="146"/>
      <c r="W111" s="146"/>
      <c r="X111" s="146"/>
      <c r="Y111" s="146"/>
      <c r="Z111" s="146"/>
      <c r="AA111" s="146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2:39" s="247" customFormat="1" ht="11">
      <c r="B112" s="144"/>
      <c r="C112" s="143"/>
      <c r="D112" s="907"/>
      <c r="E112" s="142"/>
      <c r="F112" s="145"/>
      <c r="G112" s="146"/>
      <c r="H112" s="146"/>
      <c r="I112" s="146"/>
      <c r="J112" s="146"/>
      <c r="K112" s="146"/>
      <c r="L112" s="1676"/>
      <c r="M112" s="1286"/>
      <c r="N112" s="1284"/>
      <c r="O112" s="150"/>
      <c r="P112" s="150"/>
      <c r="Q112" s="1287"/>
      <c r="R112" s="1287"/>
      <c r="S112" s="142"/>
      <c r="T112" s="142"/>
      <c r="U112" s="146"/>
      <c r="V112" s="146"/>
      <c r="W112" s="146"/>
      <c r="X112" s="146"/>
      <c r="Y112" s="146"/>
      <c r="Z112" s="146"/>
      <c r="AA112" s="146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2:39" s="247" customFormat="1" ht="11">
      <c r="B113" s="144"/>
      <c r="C113" s="143"/>
      <c r="D113" s="907"/>
      <c r="E113" s="142"/>
      <c r="F113" s="145"/>
      <c r="G113" s="146"/>
      <c r="H113" s="146"/>
      <c r="I113" s="146"/>
      <c r="J113" s="146"/>
      <c r="K113" s="146"/>
      <c r="L113" s="1676"/>
      <c r="M113" s="1286"/>
      <c r="N113" s="1284"/>
      <c r="O113" s="150"/>
      <c r="P113" s="150"/>
      <c r="Q113" s="1287"/>
      <c r="R113" s="1287"/>
      <c r="S113" s="142"/>
      <c r="T113" s="142"/>
      <c r="U113" s="146"/>
      <c r="V113" s="146"/>
      <c r="W113" s="146"/>
      <c r="X113" s="146"/>
      <c r="Y113" s="146"/>
      <c r="Z113" s="146"/>
      <c r="AA113" s="146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</row>
    <row r="114" spans="2:39" s="247" customFormat="1" ht="11">
      <c r="B114" s="144"/>
      <c r="C114" s="143"/>
      <c r="D114" s="907"/>
      <c r="E114" s="142"/>
      <c r="F114" s="145"/>
      <c r="G114" s="146"/>
      <c r="H114" s="146"/>
      <c r="I114" s="146"/>
      <c r="J114" s="146"/>
      <c r="K114" s="146"/>
      <c r="L114" s="1676"/>
      <c r="M114" s="1286"/>
      <c r="N114" s="1284"/>
      <c r="O114" s="150"/>
      <c r="P114" s="150"/>
      <c r="Q114" s="1287"/>
      <c r="R114" s="1287"/>
      <c r="S114" s="142"/>
      <c r="T114" s="142"/>
      <c r="U114" s="146"/>
      <c r="V114" s="146"/>
      <c r="W114" s="146"/>
      <c r="X114" s="146"/>
      <c r="Y114" s="146"/>
      <c r="Z114" s="146"/>
      <c r="AA114" s="146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2:39" s="247" customFormat="1" ht="11">
      <c r="B115" s="144"/>
      <c r="C115" s="143"/>
      <c r="D115" s="907"/>
      <c r="E115" s="142"/>
      <c r="F115" s="145"/>
      <c r="G115" s="146"/>
      <c r="H115" s="146"/>
      <c r="I115" s="146"/>
      <c r="J115" s="146"/>
      <c r="K115" s="146"/>
      <c r="L115" s="1676"/>
      <c r="M115" s="1286"/>
      <c r="N115" s="1284"/>
      <c r="O115" s="150"/>
      <c r="P115" s="150"/>
      <c r="Q115" s="1287"/>
      <c r="R115" s="1287"/>
      <c r="S115" s="142"/>
      <c r="T115" s="142"/>
      <c r="U115" s="146"/>
      <c r="V115" s="146"/>
      <c r="W115" s="146"/>
      <c r="X115" s="146"/>
      <c r="Y115" s="146"/>
      <c r="Z115" s="146"/>
      <c r="AA115" s="146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2:39" s="247" customFormat="1" ht="11">
      <c r="B116" s="144"/>
      <c r="C116" s="143"/>
      <c r="D116" s="907"/>
      <c r="E116" s="142"/>
      <c r="F116" s="145"/>
      <c r="G116" s="146"/>
      <c r="H116" s="146"/>
      <c r="I116" s="146"/>
      <c r="J116" s="146"/>
      <c r="K116" s="146"/>
      <c r="L116" s="1676"/>
      <c r="M116" s="1286"/>
      <c r="N116" s="1284"/>
      <c r="O116" s="150"/>
      <c r="P116" s="150"/>
      <c r="Q116" s="1287"/>
      <c r="R116" s="1287"/>
      <c r="S116" s="142"/>
      <c r="T116" s="142"/>
      <c r="U116" s="146"/>
      <c r="V116" s="146"/>
      <c r="W116" s="146"/>
      <c r="X116" s="146"/>
      <c r="Y116" s="146"/>
      <c r="Z116" s="146"/>
      <c r="AA116" s="146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2:39" s="247" customFormat="1" ht="11">
      <c r="B117" s="144"/>
      <c r="C117" s="143"/>
      <c r="D117" s="907"/>
      <c r="E117" s="142"/>
      <c r="F117" s="145"/>
      <c r="G117" s="146"/>
      <c r="H117" s="146"/>
      <c r="I117" s="146"/>
      <c r="J117" s="146"/>
      <c r="K117" s="146"/>
      <c r="L117" s="1676"/>
      <c r="M117" s="1286"/>
      <c r="N117" s="1284"/>
      <c r="O117" s="150"/>
      <c r="P117" s="150"/>
      <c r="Q117" s="1287"/>
      <c r="R117" s="1287"/>
      <c r="S117" s="142"/>
      <c r="T117" s="142"/>
      <c r="U117" s="146"/>
      <c r="V117" s="146"/>
      <c r="W117" s="146"/>
      <c r="X117" s="146"/>
      <c r="Y117" s="146"/>
      <c r="Z117" s="146"/>
      <c r="AA117" s="146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2:39" s="247" customFormat="1" ht="11">
      <c r="B118" s="144"/>
      <c r="C118" s="143"/>
      <c r="D118" s="907"/>
      <c r="E118" s="142"/>
      <c r="F118" s="145"/>
      <c r="G118" s="146"/>
      <c r="H118" s="146"/>
      <c r="I118" s="146"/>
      <c r="J118" s="146"/>
      <c r="K118" s="146"/>
      <c r="L118" s="1676"/>
      <c r="M118" s="1286"/>
      <c r="N118" s="1284"/>
      <c r="O118" s="150"/>
      <c r="P118" s="150"/>
      <c r="Q118" s="1287"/>
      <c r="R118" s="1287"/>
      <c r="S118" s="142"/>
      <c r="T118" s="142"/>
      <c r="U118" s="146"/>
      <c r="V118" s="146"/>
      <c r="W118" s="146"/>
      <c r="X118" s="146"/>
      <c r="Y118" s="146"/>
      <c r="Z118" s="146"/>
      <c r="AA118" s="146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2:39" s="247" customFormat="1" ht="11">
      <c r="B119" s="144"/>
      <c r="C119" s="143"/>
      <c r="D119" s="907"/>
      <c r="E119" s="142"/>
      <c r="F119" s="145"/>
      <c r="G119" s="146"/>
      <c r="H119" s="146"/>
      <c r="I119" s="146"/>
      <c r="J119" s="146"/>
      <c r="K119" s="146"/>
      <c r="L119" s="1676"/>
      <c r="M119" s="1286"/>
      <c r="N119" s="1284"/>
      <c r="O119" s="150"/>
      <c r="P119" s="150"/>
      <c r="Q119" s="1287"/>
      <c r="R119" s="1287"/>
      <c r="S119" s="142"/>
      <c r="T119" s="142"/>
      <c r="U119" s="146"/>
      <c r="V119" s="146"/>
      <c r="W119" s="146"/>
      <c r="X119" s="146"/>
      <c r="Y119" s="146"/>
      <c r="Z119" s="146"/>
      <c r="AA119" s="146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2:39" s="247" customFormat="1" ht="11">
      <c r="B120" s="144"/>
      <c r="C120" s="143"/>
      <c r="D120" s="907"/>
      <c r="E120" s="142"/>
      <c r="F120" s="145"/>
      <c r="G120" s="146"/>
      <c r="H120" s="146"/>
      <c r="I120" s="146"/>
      <c r="J120" s="146"/>
      <c r="K120" s="146"/>
      <c r="L120" s="1676"/>
      <c r="M120" s="1286"/>
      <c r="N120" s="1284"/>
      <c r="O120" s="150"/>
      <c r="P120" s="150"/>
      <c r="Q120" s="1287"/>
      <c r="R120" s="1287"/>
      <c r="S120" s="142"/>
      <c r="T120" s="142"/>
      <c r="U120" s="146"/>
      <c r="V120" s="146"/>
      <c r="W120" s="146"/>
      <c r="X120" s="146"/>
      <c r="Y120" s="146"/>
      <c r="Z120" s="146"/>
      <c r="AA120" s="146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2:39" s="247" customFormat="1" ht="11">
      <c r="B121" s="144"/>
      <c r="C121" s="143"/>
      <c r="D121" s="907"/>
      <c r="E121" s="142"/>
      <c r="F121" s="145"/>
      <c r="G121" s="146"/>
      <c r="H121" s="146"/>
      <c r="I121" s="146"/>
      <c r="J121" s="146"/>
      <c r="K121" s="146"/>
      <c r="L121" s="1676"/>
      <c r="M121" s="1286"/>
      <c r="N121" s="1284"/>
      <c r="O121" s="150"/>
      <c r="P121" s="150"/>
      <c r="Q121" s="1287"/>
      <c r="R121" s="1287"/>
      <c r="S121" s="142"/>
      <c r="T121" s="142"/>
      <c r="U121" s="146"/>
      <c r="V121" s="146"/>
      <c r="W121" s="146"/>
      <c r="X121" s="146"/>
      <c r="Y121" s="146"/>
      <c r="Z121" s="146"/>
      <c r="AA121" s="146"/>
      <c r="AB121" s="247">
        <f>SUBTOTAL(9,AB79:AB120)</f>
        <v>0</v>
      </c>
      <c r="AC121" s="214">
        <f>SUBTOTAL(9,AC79:AC120)</f>
        <v>0</v>
      </c>
      <c r="AD121" s="214">
        <f>SUBTOTAL(9,AD79:AD120)</f>
        <v>0</v>
      </c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2:39" s="247" customFormat="1" ht="11">
      <c r="B122" s="144"/>
      <c r="C122" s="143"/>
      <c r="D122" s="907"/>
      <c r="E122" s="142"/>
      <c r="F122" s="145"/>
      <c r="G122" s="146"/>
      <c r="H122" s="146"/>
      <c r="I122" s="146"/>
      <c r="J122" s="146"/>
      <c r="K122" s="146"/>
      <c r="L122" s="1676"/>
      <c r="M122" s="1286"/>
      <c r="N122" s="1284"/>
      <c r="O122" s="150"/>
      <c r="P122" s="150"/>
      <c r="Q122" s="1287"/>
      <c r="R122" s="1287"/>
      <c r="S122" s="142"/>
      <c r="T122" s="142"/>
      <c r="U122" s="146"/>
      <c r="V122" s="146"/>
      <c r="W122" s="146"/>
      <c r="X122" s="146"/>
      <c r="Y122" s="146"/>
      <c r="Z122" s="146"/>
      <c r="AA122" s="146"/>
      <c r="AB122" s="247">
        <v>0</v>
      </c>
      <c r="AC122" s="214">
        <v>0</v>
      </c>
      <c r="AD122" s="214">
        <v>0</v>
      </c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2:39" s="247" customFormat="1" ht="11">
      <c r="B123" s="144"/>
      <c r="C123" s="143"/>
      <c r="D123" s="907"/>
      <c r="E123" s="142"/>
      <c r="F123" s="145"/>
      <c r="G123" s="146"/>
      <c r="H123" s="146"/>
      <c r="I123" s="146"/>
      <c r="J123" s="146"/>
      <c r="K123" s="146"/>
      <c r="L123" s="1676"/>
      <c r="M123" s="1286"/>
      <c r="N123" s="1284"/>
      <c r="O123" s="150"/>
      <c r="P123" s="150"/>
      <c r="Q123" s="1287"/>
      <c r="R123" s="1287"/>
      <c r="S123" s="142"/>
      <c r="T123" s="142"/>
      <c r="U123" s="146"/>
      <c r="V123" s="146"/>
      <c r="W123" s="146"/>
      <c r="X123" s="146"/>
      <c r="Y123" s="146"/>
      <c r="Z123" s="146"/>
      <c r="AA123" s="146"/>
      <c r="AB123" s="247">
        <v>0</v>
      </c>
      <c r="AC123" s="214">
        <v>0</v>
      </c>
      <c r="AD123" s="214">
        <v>0</v>
      </c>
      <c r="AE123" s="214"/>
      <c r="AF123" s="214"/>
      <c r="AG123" s="214"/>
      <c r="AH123" s="214"/>
      <c r="AI123" s="214"/>
      <c r="AJ123" s="214"/>
      <c r="AK123" s="214"/>
      <c r="AL123" s="214"/>
      <c r="AM123" s="214"/>
    </row>
    <row r="124" spans="2:39" s="247" customFormat="1" ht="11">
      <c r="B124" s="144"/>
      <c r="C124" s="143"/>
      <c r="D124" s="907"/>
      <c r="E124" s="142"/>
      <c r="F124" s="145"/>
      <c r="G124" s="146"/>
      <c r="H124" s="146"/>
      <c r="I124" s="146"/>
      <c r="J124" s="146"/>
      <c r="K124" s="146"/>
      <c r="L124" s="1676"/>
      <c r="M124" s="1286"/>
      <c r="N124" s="1284"/>
      <c r="O124" s="150"/>
      <c r="P124" s="150"/>
      <c r="Q124" s="1287"/>
      <c r="R124" s="1287"/>
      <c r="S124" s="142"/>
      <c r="T124" s="142"/>
      <c r="U124" s="146"/>
      <c r="V124" s="146"/>
      <c r="W124" s="146"/>
      <c r="X124" s="146"/>
      <c r="Y124" s="146"/>
      <c r="Z124" s="146"/>
      <c r="AA124" s="146"/>
      <c r="AB124" s="247">
        <v>0</v>
      </c>
      <c r="AC124" s="214">
        <v>0</v>
      </c>
      <c r="AD124" s="214">
        <v>0</v>
      </c>
      <c r="AE124" s="214"/>
      <c r="AF124" s="214"/>
      <c r="AG124" s="214"/>
      <c r="AH124" s="214"/>
      <c r="AI124" s="214"/>
      <c r="AJ124" s="214"/>
      <c r="AK124" s="214"/>
      <c r="AL124" s="214"/>
      <c r="AM124" s="214"/>
    </row>
    <row r="125" spans="2:39" s="247" customFormat="1" ht="11">
      <c r="B125" s="144"/>
      <c r="C125" s="143"/>
      <c r="D125" s="907"/>
      <c r="E125" s="142"/>
      <c r="F125" s="145"/>
      <c r="G125" s="146"/>
      <c r="H125" s="146"/>
      <c r="I125" s="146"/>
      <c r="J125" s="146"/>
      <c r="K125" s="146"/>
      <c r="L125" s="1676"/>
      <c r="M125" s="1286"/>
      <c r="N125" s="1284"/>
      <c r="O125" s="150"/>
      <c r="P125" s="150"/>
      <c r="Q125" s="1287"/>
      <c r="R125" s="1287"/>
      <c r="S125" s="142"/>
      <c r="T125" s="142"/>
      <c r="U125" s="146"/>
      <c r="V125" s="146"/>
      <c r="W125" s="146"/>
      <c r="X125" s="146"/>
      <c r="Y125" s="146"/>
      <c r="Z125" s="146"/>
      <c r="AA125" s="146"/>
      <c r="AB125" s="247">
        <v>0</v>
      </c>
      <c r="AC125" s="214">
        <v>0</v>
      </c>
      <c r="AD125" s="214">
        <v>0</v>
      </c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2:39" s="247" customFormat="1" ht="11">
      <c r="B126" s="144"/>
      <c r="C126" s="143"/>
      <c r="D126" s="907"/>
      <c r="E126" s="142"/>
      <c r="F126" s="145"/>
      <c r="G126" s="146"/>
      <c r="H126" s="146"/>
      <c r="I126" s="146"/>
      <c r="J126" s="146"/>
      <c r="K126" s="146"/>
      <c r="L126" s="1676"/>
      <c r="M126" s="1286"/>
      <c r="N126" s="1284"/>
      <c r="O126" s="150"/>
      <c r="P126" s="150"/>
      <c r="Q126" s="1287"/>
      <c r="R126" s="1287"/>
      <c r="S126" s="142"/>
      <c r="T126" s="142"/>
      <c r="U126" s="146"/>
      <c r="V126" s="146"/>
      <c r="W126" s="146"/>
      <c r="X126" s="146"/>
      <c r="Y126" s="146"/>
      <c r="Z126" s="146"/>
      <c r="AA126" s="146"/>
      <c r="AB126" s="247">
        <v>0</v>
      </c>
      <c r="AC126" s="214">
        <v>0</v>
      </c>
      <c r="AD126" s="214">
        <v>0</v>
      </c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2:39" s="247" customFormat="1" ht="11">
      <c r="B127" s="144"/>
      <c r="C127" s="143"/>
      <c r="D127" s="907"/>
      <c r="E127" s="142"/>
      <c r="F127" s="145"/>
      <c r="G127" s="146"/>
      <c r="H127" s="146"/>
      <c r="I127" s="146"/>
      <c r="J127" s="146"/>
      <c r="K127" s="146"/>
      <c r="L127" s="1676"/>
      <c r="M127" s="1286"/>
      <c r="N127" s="1284"/>
      <c r="O127" s="150"/>
      <c r="P127" s="150"/>
      <c r="Q127" s="1287"/>
      <c r="R127" s="1287"/>
      <c r="S127" s="142"/>
      <c r="T127" s="142"/>
      <c r="U127" s="146"/>
      <c r="V127" s="146"/>
      <c r="W127" s="146"/>
      <c r="X127" s="146"/>
      <c r="Y127" s="146"/>
      <c r="Z127" s="146"/>
      <c r="AA127" s="146"/>
      <c r="AB127" s="247">
        <v>0</v>
      </c>
      <c r="AC127" s="214">
        <v>0</v>
      </c>
      <c r="AD127" s="214">
        <v>0</v>
      </c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2:39" s="247" customFormat="1" ht="11">
      <c r="B128" s="144"/>
      <c r="C128" s="143"/>
      <c r="D128" s="907"/>
      <c r="E128" s="142"/>
      <c r="F128" s="145"/>
      <c r="G128" s="146"/>
      <c r="H128" s="146"/>
      <c r="I128" s="146"/>
      <c r="J128" s="146"/>
      <c r="K128" s="146"/>
      <c r="L128" s="1676"/>
      <c r="M128" s="1286"/>
      <c r="N128" s="1284"/>
      <c r="O128" s="150"/>
      <c r="P128" s="150"/>
      <c r="Q128" s="1287"/>
      <c r="R128" s="1287"/>
      <c r="S128" s="142"/>
      <c r="T128" s="142"/>
      <c r="U128" s="146"/>
      <c r="V128" s="146"/>
      <c r="W128" s="146"/>
      <c r="X128" s="146"/>
      <c r="Y128" s="146"/>
      <c r="Z128" s="146"/>
      <c r="AA128" s="146"/>
      <c r="AB128" s="247">
        <v>0</v>
      </c>
      <c r="AC128" s="214">
        <v>0</v>
      </c>
      <c r="AD128" s="214">
        <v>0</v>
      </c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41" s="247" customFormat="1" ht="11">
      <c r="B129" s="144"/>
      <c r="C129" s="143"/>
      <c r="D129" s="907"/>
      <c r="E129" s="142"/>
      <c r="F129" s="145"/>
      <c r="G129" s="146"/>
      <c r="H129" s="146"/>
      <c r="I129" s="146"/>
      <c r="J129" s="146"/>
      <c r="K129" s="146"/>
      <c r="L129" s="1676"/>
      <c r="M129" s="1286"/>
      <c r="N129" s="1284"/>
      <c r="O129" s="150"/>
      <c r="P129" s="150"/>
      <c r="Q129" s="1287"/>
      <c r="R129" s="1287"/>
      <c r="S129" s="142"/>
      <c r="T129" s="142"/>
      <c r="U129" s="146"/>
      <c r="V129" s="146"/>
      <c r="W129" s="146"/>
      <c r="X129" s="146"/>
      <c r="Y129" s="146"/>
      <c r="Z129" s="146"/>
      <c r="AA129" s="146"/>
      <c r="AB129" s="247">
        <v>0</v>
      </c>
      <c r="AC129" s="214">
        <v>0</v>
      </c>
      <c r="AD129" s="214">
        <v>0</v>
      </c>
      <c r="AE129" s="214"/>
      <c r="AF129" s="214"/>
      <c r="AG129" s="214"/>
      <c r="AH129" s="214"/>
      <c r="AI129" s="214"/>
      <c r="AJ129" s="214"/>
      <c r="AK129" s="214"/>
      <c r="AL129" s="214"/>
      <c r="AM129" s="214"/>
    </row>
    <row r="130" spans="2:41" s="247" customFormat="1" ht="11">
      <c r="B130" s="144"/>
      <c r="C130" s="143"/>
      <c r="D130" s="907"/>
      <c r="E130" s="142"/>
      <c r="F130" s="145"/>
      <c r="G130" s="146"/>
      <c r="H130" s="146"/>
      <c r="I130" s="146"/>
      <c r="J130" s="146"/>
      <c r="K130" s="146"/>
      <c r="L130" s="1676"/>
      <c r="M130" s="1286"/>
      <c r="N130" s="1284"/>
      <c r="O130" s="150"/>
      <c r="P130" s="150"/>
      <c r="Q130" s="1287"/>
      <c r="R130" s="1287"/>
      <c r="S130" s="142"/>
      <c r="T130" s="142"/>
      <c r="U130" s="146"/>
      <c r="V130" s="146"/>
      <c r="W130" s="146"/>
      <c r="X130" s="146"/>
      <c r="Y130" s="146"/>
      <c r="Z130" s="146"/>
      <c r="AA130" s="146"/>
      <c r="AB130" s="247">
        <v>0</v>
      </c>
      <c r="AC130" s="214">
        <v>0</v>
      </c>
      <c r="AD130" s="214">
        <v>0</v>
      </c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41" s="247" customFormat="1" ht="11">
      <c r="B131" s="144"/>
      <c r="C131" s="143"/>
      <c r="D131" s="907"/>
      <c r="E131" s="142"/>
      <c r="F131" s="145"/>
      <c r="G131" s="146"/>
      <c r="H131" s="146"/>
      <c r="I131" s="146"/>
      <c r="J131" s="146"/>
      <c r="K131" s="146"/>
      <c r="L131" s="1676"/>
      <c r="M131" s="1286"/>
      <c r="N131" s="1284"/>
      <c r="O131" s="150"/>
      <c r="P131" s="150"/>
      <c r="Q131" s="1287"/>
      <c r="R131" s="1287"/>
      <c r="S131" s="142"/>
      <c r="T131" s="142"/>
      <c r="U131" s="146"/>
      <c r="V131" s="146"/>
      <c r="W131" s="146"/>
      <c r="X131" s="146"/>
      <c r="Y131" s="146"/>
      <c r="Z131" s="146"/>
      <c r="AA131" s="146"/>
      <c r="AB131" s="247">
        <v>0</v>
      </c>
      <c r="AC131" s="214">
        <v>0</v>
      </c>
      <c r="AD131" s="214">
        <v>0</v>
      </c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41" s="247" customFormat="1" ht="11">
      <c r="B132" s="144"/>
      <c r="C132" s="143"/>
      <c r="D132" s="907"/>
      <c r="E132" s="142"/>
      <c r="F132" s="145"/>
      <c r="G132" s="146"/>
      <c r="H132" s="146"/>
      <c r="I132" s="146"/>
      <c r="J132" s="146"/>
      <c r="K132" s="146"/>
      <c r="L132" s="1676"/>
      <c r="M132" s="1286"/>
      <c r="N132" s="1284"/>
      <c r="O132" s="150"/>
      <c r="P132" s="150"/>
      <c r="Q132" s="1287"/>
      <c r="R132" s="1287"/>
      <c r="S132" s="142"/>
      <c r="T132" s="142"/>
      <c r="U132" s="146">
        <f>SUBTOTAL(9,U90:U131)</f>
        <v>0</v>
      </c>
      <c r="V132" s="146">
        <f t="shared" ref="V132:AA132" si="46">SUBTOTAL(9,V90:V131)</f>
        <v>0</v>
      </c>
      <c r="W132" s="146">
        <f t="shared" si="46"/>
        <v>0</v>
      </c>
      <c r="X132" s="146">
        <f t="shared" si="46"/>
        <v>0</v>
      </c>
      <c r="Y132" s="146">
        <f t="shared" si="46"/>
        <v>0</v>
      </c>
      <c r="Z132" s="146">
        <f t="shared" si="46"/>
        <v>0</v>
      </c>
      <c r="AA132" s="146">
        <f t="shared" si="46"/>
        <v>0</v>
      </c>
      <c r="AB132" s="247">
        <v>0</v>
      </c>
      <c r="AC132" s="214">
        <v>0</v>
      </c>
      <c r="AD132" s="214">
        <v>0</v>
      </c>
      <c r="AE132" s="214"/>
      <c r="AF132" s="214"/>
      <c r="AG132" s="214"/>
      <c r="AH132" s="214"/>
      <c r="AI132" s="214"/>
      <c r="AJ132" s="214"/>
      <c r="AK132" s="214"/>
      <c r="AL132" s="214"/>
      <c r="AM132" s="214"/>
    </row>
    <row r="133" spans="2:41" s="213" customFormat="1" ht="14" thickBot="1">
      <c r="B133" s="139"/>
      <c r="C133" s="138"/>
      <c r="D133" s="908"/>
      <c r="E133" s="4393"/>
      <c r="F133" s="140"/>
      <c r="G133" s="141"/>
      <c r="H133" s="141"/>
      <c r="I133" s="141"/>
      <c r="J133" s="141"/>
      <c r="K133" s="141"/>
      <c r="L133" s="1676"/>
      <c r="M133" s="1286"/>
      <c r="N133" s="1284"/>
      <c r="O133" s="150"/>
      <c r="P133" s="150"/>
      <c r="Q133" s="1287"/>
      <c r="R133" s="1287"/>
      <c r="S133" s="149"/>
      <c r="T133" s="149"/>
      <c r="U133" s="150"/>
      <c r="V133" s="150"/>
      <c r="W133" s="150"/>
      <c r="X133" s="150"/>
      <c r="Y133" s="150"/>
      <c r="Z133" s="150"/>
      <c r="AA133" s="150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</row>
    <row r="134" spans="2:41" s="213" customFormat="1" ht="15" thickTop="1" thickBot="1">
      <c r="B134" s="139"/>
      <c r="C134" s="138"/>
      <c r="D134" s="908"/>
      <c r="E134" s="4393"/>
      <c r="F134" s="140"/>
      <c r="G134" s="141"/>
      <c r="H134" s="141"/>
      <c r="I134" s="141"/>
      <c r="J134" s="141"/>
      <c r="K134" s="141"/>
      <c r="L134" s="1676"/>
      <c r="M134" s="1286"/>
      <c r="N134" s="1284"/>
      <c r="O134" s="150"/>
      <c r="P134" s="150"/>
      <c r="Q134" s="1287"/>
      <c r="R134" s="1287"/>
      <c r="S134" s="148"/>
      <c r="T134" s="149"/>
      <c r="U134" s="151"/>
      <c r="V134" s="152"/>
      <c r="W134" s="153"/>
      <c r="X134" s="153"/>
      <c r="Y134" s="153"/>
      <c r="Z134" s="153"/>
      <c r="AA134" s="154"/>
      <c r="AB134" s="246"/>
      <c r="AC134" s="246"/>
      <c r="AE134" s="214"/>
      <c r="AF134" s="214"/>
      <c r="AG134" s="214"/>
      <c r="AH134" s="214"/>
      <c r="AI134" s="214"/>
      <c r="AJ134" s="214"/>
      <c r="AK134" s="214"/>
      <c r="AL134" s="214"/>
      <c r="AM134" s="214"/>
      <c r="AN134" s="214"/>
      <c r="AO134" s="214"/>
    </row>
    <row r="135" spans="2:41" s="247" customFormat="1" ht="12" thickTop="1">
      <c r="B135" s="144"/>
      <c r="C135" s="143"/>
      <c r="D135" s="907"/>
      <c r="E135" s="142"/>
      <c r="F135" s="145"/>
      <c r="G135" s="146"/>
      <c r="H135" s="146"/>
      <c r="I135" s="146"/>
      <c r="J135" s="146"/>
      <c r="K135" s="146"/>
      <c r="L135" s="1676"/>
      <c r="M135" s="1286"/>
      <c r="N135" s="1284"/>
      <c r="O135" s="150"/>
      <c r="P135" s="150"/>
      <c r="Q135" s="1287"/>
      <c r="R135" s="128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</row>
    <row r="136" spans="2:41" s="247" customFormat="1" ht="11">
      <c r="B136" s="144"/>
      <c r="C136" s="143"/>
      <c r="D136" s="907"/>
      <c r="E136" s="142"/>
      <c r="F136" s="145"/>
      <c r="G136" s="146"/>
      <c r="H136" s="146"/>
      <c r="I136" s="146"/>
      <c r="J136" s="146"/>
      <c r="K136" s="146"/>
      <c r="L136" s="1676"/>
      <c r="M136" s="1286"/>
      <c r="N136" s="1284"/>
      <c r="O136" s="150"/>
      <c r="P136" s="150"/>
      <c r="Q136" s="1287"/>
      <c r="R136" s="128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2:41" s="247" customFormat="1" ht="11">
      <c r="B137" s="144"/>
      <c r="C137" s="143"/>
      <c r="D137" s="907"/>
      <c r="E137" s="142"/>
      <c r="F137" s="145"/>
      <c r="G137" s="146"/>
      <c r="H137" s="146"/>
      <c r="I137" s="146"/>
      <c r="J137" s="146"/>
      <c r="K137" s="146"/>
      <c r="L137" s="1676"/>
      <c r="M137" s="1286"/>
      <c r="N137" s="1284"/>
      <c r="O137" s="150"/>
      <c r="P137" s="150"/>
      <c r="Q137" s="1287"/>
      <c r="R137" s="128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2:41" s="247" customFormat="1" ht="11">
      <c r="B138" s="144"/>
      <c r="C138" s="143"/>
      <c r="D138" s="907"/>
      <c r="E138" s="142"/>
      <c r="F138" s="145"/>
      <c r="G138" s="146"/>
      <c r="H138" s="146"/>
      <c r="I138" s="146"/>
      <c r="J138" s="146"/>
      <c r="K138" s="146"/>
      <c r="L138" s="1676"/>
      <c r="M138" s="1286"/>
      <c r="N138" s="1284"/>
      <c r="O138" s="150"/>
      <c r="P138" s="150"/>
      <c r="Q138" s="1287"/>
      <c r="R138" s="128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2:41" s="247" customFormat="1" ht="11">
      <c r="B139" s="144"/>
      <c r="C139" s="143"/>
      <c r="D139" s="907"/>
      <c r="E139" s="142"/>
      <c r="F139" s="145"/>
      <c r="G139" s="146"/>
      <c r="H139" s="146"/>
      <c r="I139" s="146"/>
      <c r="J139" s="146"/>
      <c r="K139" s="146"/>
      <c r="L139" s="1676"/>
      <c r="M139" s="1286"/>
      <c r="N139" s="1284"/>
      <c r="O139" s="150"/>
      <c r="P139" s="150"/>
      <c r="Q139" s="1287"/>
      <c r="R139" s="1287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2:41" s="247" customFormat="1" ht="11">
      <c r="B140" s="144"/>
      <c r="C140" s="143"/>
      <c r="D140" s="907"/>
      <c r="E140" s="142"/>
      <c r="F140" s="145"/>
      <c r="G140" s="146"/>
      <c r="H140" s="146"/>
      <c r="I140" s="146"/>
      <c r="J140" s="146"/>
      <c r="K140" s="146"/>
      <c r="L140" s="1676"/>
      <c r="M140" s="1286"/>
      <c r="N140" s="1284"/>
      <c r="O140" s="150"/>
      <c r="P140" s="150"/>
      <c r="Q140" s="1287"/>
      <c r="R140" s="128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2:41" s="247" customFormat="1" ht="11">
      <c r="B141" s="144"/>
      <c r="C141" s="143"/>
      <c r="D141" s="907"/>
      <c r="E141" s="142"/>
      <c r="F141" s="145"/>
      <c r="G141" s="146"/>
      <c r="H141" s="146"/>
      <c r="I141" s="146"/>
      <c r="J141" s="146"/>
      <c r="K141" s="146"/>
      <c r="L141" s="1676"/>
      <c r="M141" s="1286"/>
      <c r="N141" s="1284"/>
      <c r="O141" s="150"/>
      <c r="P141" s="150"/>
      <c r="Q141" s="1287"/>
      <c r="R141" s="128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2:41" s="247" customFormat="1" ht="11">
      <c r="B142" s="144"/>
      <c r="C142" s="143"/>
      <c r="D142" s="907"/>
      <c r="E142" s="142"/>
      <c r="F142" s="145"/>
      <c r="G142" s="146"/>
      <c r="H142" s="146"/>
      <c r="I142" s="146"/>
      <c r="J142" s="146"/>
      <c r="K142" s="146"/>
      <c r="L142" s="1676"/>
      <c r="M142" s="1286"/>
      <c r="N142" s="1284"/>
      <c r="O142" s="150"/>
      <c r="P142" s="150"/>
      <c r="Q142" s="1287"/>
      <c r="R142" s="128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2:41" s="247" customFormat="1" ht="11">
      <c r="B143" s="144"/>
      <c r="C143" s="143"/>
      <c r="D143" s="907"/>
      <c r="E143" s="142"/>
      <c r="F143" s="145"/>
      <c r="G143" s="146"/>
      <c r="H143" s="146"/>
      <c r="I143" s="146"/>
      <c r="J143" s="146"/>
      <c r="K143" s="146"/>
      <c r="L143" s="1676"/>
      <c r="M143" s="1286"/>
      <c r="N143" s="1284"/>
      <c r="O143" s="150"/>
      <c r="P143" s="150"/>
      <c r="Q143" s="1287"/>
      <c r="R143" s="128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2:41" s="247" customFormat="1" ht="11">
      <c r="B144" s="144"/>
      <c r="C144" s="143"/>
      <c r="D144" s="907"/>
      <c r="E144" s="142"/>
      <c r="F144" s="145"/>
      <c r="G144" s="146"/>
      <c r="H144" s="146"/>
      <c r="I144" s="146"/>
      <c r="J144" s="146"/>
      <c r="K144" s="146"/>
      <c r="L144" s="1676"/>
      <c r="M144" s="1286"/>
      <c r="N144" s="1284"/>
      <c r="O144" s="150"/>
      <c r="P144" s="150"/>
      <c r="Q144" s="1287"/>
      <c r="R144" s="128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39" s="247" customFormat="1" ht="11">
      <c r="B145" s="144"/>
      <c r="C145" s="143"/>
      <c r="D145" s="907"/>
      <c r="E145" s="142"/>
      <c r="F145" s="145"/>
      <c r="G145" s="146"/>
      <c r="H145" s="146"/>
      <c r="I145" s="146"/>
      <c r="J145" s="146"/>
      <c r="K145" s="146"/>
      <c r="L145" s="1676"/>
      <c r="M145" s="1286"/>
      <c r="N145" s="1284"/>
      <c r="O145" s="150"/>
      <c r="P145" s="150"/>
      <c r="Q145" s="1287"/>
      <c r="R145" s="128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39" s="247" customFormat="1" ht="11">
      <c r="B146" s="144"/>
      <c r="C146" s="143"/>
      <c r="D146" s="907"/>
      <c r="E146" s="142"/>
      <c r="F146" s="145"/>
      <c r="G146" s="146"/>
      <c r="H146" s="146"/>
      <c r="I146" s="146"/>
      <c r="J146" s="146"/>
      <c r="K146" s="146"/>
      <c r="L146" s="1676"/>
      <c r="M146" s="1286"/>
      <c r="N146" s="1284"/>
      <c r="O146" s="150"/>
      <c r="P146" s="150"/>
      <c r="Q146" s="1287"/>
      <c r="R146" s="128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39" s="247" customFormat="1" ht="11">
      <c r="B147" s="144"/>
      <c r="C147" s="143"/>
      <c r="D147" s="907"/>
      <c r="E147" s="142"/>
      <c r="F147" s="145"/>
      <c r="G147" s="146"/>
      <c r="H147" s="146"/>
      <c r="I147" s="146"/>
      <c r="J147" s="146"/>
      <c r="K147" s="146"/>
      <c r="L147" s="1676"/>
      <c r="M147" s="1286"/>
      <c r="N147" s="1284"/>
      <c r="O147" s="150"/>
      <c r="P147" s="150"/>
      <c r="Q147" s="1287"/>
      <c r="R147" s="128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39" s="247" customFormat="1" ht="11">
      <c r="B148" s="144"/>
      <c r="C148" s="143"/>
      <c r="D148" s="907"/>
      <c r="E148" s="142"/>
      <c r="F148" s="145"/>
      <c r="G148" s="146"/>
      <c r="H148" s="146"/>
      <c r="I148" s="146"/>
      <c r="J148" s="146"/>
      <c r="K148" s="146"/>
      <c r="L148" s="1676"/>
      <c r="M148" s="1286"/>
      <c r="N148" s="1284"/>
      <c r="O148" s="150"/>
      <c r="P148" s="150"/>
      <c r="Q148" s="1287"/>
      <c r="R148" s="128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39" s="247" customFormat="1" ht="11">
      <c r="B149" s="144"/>
      <c r="C149" s="143"/>
      <c r="D149" s="907"/>
      <c r="E149" s="142"/>
      <c r="F149" s="145"/>
      <c r="G149" s="146"/>
      <c r="H149" s="146"/>
      <c r="I149" s="146"/>
      <c r="J149" s="146"/>
      <c r="K149" s="146"/>
      <c r="L149" s="1676"/>
      <c r="M149" s="1286"/>
      <c r="N149" s="1284"/>
      <c r="O149" s="150"/>
      <c r="P149" s="150"/>
      <c r="Q149" s="1287"/>
      <c r="R149" s="128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39" s="247" customFormat="1" ht="11">
      <c r="B150" s="144"/>
      <c r="C150" s="143"/>
      <c r="D150" s="907"/>
      <c r="E150" s="142"/>
      <c r="F150" s="145"/>
      <c r="G150" s="146"/>
      <c r="H150" s="146"/>
      <c r="I150" s="146"/>
      <c r="J150" s="146"/>
      <c r="K150" s="146"/>
      <c r="L150" s="1676"/>
      <c r="M150" s="1286"/>
      <c r="N150" s="1284"/>
      <c r="O150" s="150"/>
      <c r="P150" s="150"/>
      <c r="Q150" s="1287"/>
      <c r="R150" s="128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39" s="247" customFormat="1" ht="11">
      <c r="B151" s="144"/>
      <c r="C151" s="143"/>
      <c r="D151" s="907"/>
      <c r="E151" s="142"/>
      <c r="F151" s="145"/>
      <c r="G151" s="146"/>
      <c r="H151" s="146"/>
      <c r="I151" s="146"/>
      <c r="J151" s="146"/>
      <c r="K151" s="146"/>
      <c r="L151" s="1676"/>
      <c r="M151" s="1286"/>
      <c r="N151" s="1284"/>
      <c r="O151" s="150"/>
      <c r="P151" s="150"/>
      <c r="Q151" s="1287"/>
      <c r="R151" s="128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39" s="247" customFormat="1" ht="11">
      <c r="B152" s="144"/>
      <c r="C152" s="143"/>
      <c r="D152" s="907"/>
      <c r="E152" s="142"/>
      <c r="F152" s="145"/>
      <c r="G152" s="146"/>
      <c r="H152" s="146"/>
      <c r="I152" s="146"/>
      <c r="J152" s="146"/>
      <c r="K152" s="146"/>
      <c r="L152" s="1676"/>
      <c r="M152" s="1286"/>
      <c r="N152" s="1284"/>
      <c r="O152" s="150"/>
      <c r="P152" s="150"/>
      <c r="Q152" s="1287"/>
      <c r="R152" s="128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39" s="247" customFormat="1" ht="11">
      <c r="B153" s="144"/>
      <c r="C153" s="143"/>
      <c r="D153" s="907"/>
      <c r="E153" s="142"/>
      <c r="F153" s="145"/>
      <c r="G153" s="146"/>
      <c r="H153" s="146"/>
      <c r="I153" s="146"/>
      <c r="J153" s="146"/>
      <c r="K153" s="146"/>
      <c r="L153" s="1676"/>
      <c r="M153" s="1286"/>
      <c r="N153" s="1284"/>
      <c r="O153" s="150"/>
      <c r="P153" s="150"/>
      <c r="Q153" s="1287"/>
      <c r="R153" s="128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39" s="247" customFormat="1" ht="11">
      <c r="B154" s="144"/>
      <c r="C154" s="143"/>
      <c r="D154" s="907"/>
      <c r="E154" s="142"/>
      <c r="F154" s="145"/>
      <c r="G154" s="146"/>
      <c r="H154" s="146"/>
      <c r="I154" s="146"/>
      <c r="J154" s="146"/>
      <c r="K154" s="146"/>
      <c r="L154" s="1676"/>
      <c r="M154" s="1286"/>
      <c r="N154" s="1284"/>
      <c r="O154" s="150"/>
      <c r="P154" s="150"/>
      <c r="Q154" s="1287"/>
      <c r="R154" s="128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39" s="247" customFormat="1" ht="11">
      <c r="B155" s="144"/>
      <c r="C155" s="143"/>
      <c r="D155" s="907"/>
      <c r="E155" s="142"/>
      <c r="F155" s="145"/>
      <c r="G155" s="146"/>
      <c r="H155" s="146"/>
      <c r="I155" s="146"/>
      <c r="J155" s="146"/>
      <c r="K155" s="146"/>
      <c r="L155" s="1676"/>
      <c r="M155" s="1286"/>
      <c r="N155" s="1284"/>
      <c r="O155" s="150"/>
      <c r="P155" s="150"/>
      <c r="Q155" s="1287"/>
      <c r="R155" s="128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39" s="247" customFormat="1" ht="11">
      <c r="B156" s="144"/>
      <c r="C156" s="143"/>
      <c r="D156" s="907"/>
      <c r="E156" s="142"/>
      <c r="F156" s="145"/>
      <c r="G156" s="146"/>
      <c r="H156" s="146"/>
      <c r="I156" s="146"/>
      <c r="J156" s="146"/>
      <c r="K156" s="146"/>
      <c r="L156" s="1676"/>
      <c r="M156" s="1286"/>
      <c r="N156" s="1284"/>
      <c r="O156" s="150"/>
      <c r="P156" s="150"/>
      <c r="Q156" s="1287"/>
      <c r="R156" s="128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39" s="247" customFormat="1" ht="11">
      <c r="B157" s="144"/>
      <c r="C157" s="143"/>
      <c r="D157" s="907"/>
      <c r="E157" s="142"/>
      <c r="F157" s="145"/>
      <c r="G157" s="146"/>
      <c r="H157" s="146"/>
      <c r="I157" s="146"/>
      <c r="J157" s="146"/>
      <c r="K157" s="146"/>
      <c r="L157" s="1676"/>
      <c r="M157" s="1286"/>
      <c r="N157" s="1284"/>
      <c r="O157" s="150"/>
      <c r="P157" s="150"/>
      <c r="Q157" s="1287"/>
      <c r="R157" s="128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39" s="247" customFormat="1" ht="11">
      <c r="B158" s="144"/>
      <c r="C158" s="143"/>
      <c r="D158" s="907"/>
      <c r="E158" s="142"/>
      <c r="F158" s="145"/>
      <c r="G158" s="146"/>
      <c r="H158" s="146"/>
      <c r="I158" s="146"/>
      <c r="J158" s="146"/>
      <c r="K158" s="146"/>
      <c r="L158" s="1676"/>
      <c r="M158" s="1286"/>
      <c r="N158" s="1284"/>
      <c r="O158" s="150"/>
      <c r="P158" s="150"/>
      <c r="Q158" s="1287"/>
      <c r="R158" s="128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39" s="247" customFormat="1" ht="11">
      <c r="B159" s="144"/>
      <c r="C159" s="143"/>
      <c r="D159" s="907"/>
      <c r="E159" s="142"/>
      <c r="F159" s="145"/>
      <c r="G159" s="146"/>
      <c r="H159" s="146"/>
      <c r="I159" s="146"/>
      <c r="J159" s="146"/>
      <c r="K159" s="146"/>
      <c r="L159" s="1676"/>
      <c r="M159" s="1286"/>
      <c r="N159" s="1284"/>
      <c r="O159" s="150"/>
      <c r="P159" s="150"/>
      <c r="Q159" s="1287"/>
      <c r="R159" s="128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39" s="247" customFormat="1" ht="11">
      <c r="B160" s="144"/>
      <c r="C160" s="143"/>
      <c r="D160" s="907"/>
      <c r="E160" s="142"/>
      <c r="F160" s="145"/>
      <c r="G160" s="146"/>
      <c r="H160" s="146"/>
      <c r="I160" s="146"/>
      <c r="J160" s="146"/>
      <c r="K160" s="146"/>
      <c r="L160" s="1676"/>
      <c r="M160" s="1286"/>
      <c r="N160" s="1284"/>
      <c r="O160" s="150"/>
      <c r="P160" s="150"/>
      <c r="Q160" s="1287"/>
      <c r="R160" s="128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39" s="247" customFormat="1" ht="11">
      <c r="B161" s="144"/>
      <c r="C161" s="143"/>
      <c r="D161" s="907"/>
      <c r="E161" s="142"/>
      <c r="F161" s="145"/>
      <c r="G161" s="146"/>
      <c r="H161" s="146"/>
      <c r="I161" s="146"/>
      <c r="J161" s="146"/>
      <c r="K161" s="146"/>
      <c r="L161" s="1676"/>
      <c r="M161" s="1286"/>
      <c r="N161" s="1284"/>
      <c r="O161" s="150"/>
      <c r="P161" s="150"/>
      <c r="Q161" s="1287"/>
      <c r="R161" s="128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39" s="247" customFormat="1" ht="11">
      <c r="B162" s="144"/>
      <c r="C162" s="143"/>
      <c r="D162" s="907"/>
      <c r="E162" s="142"/>
      <c r="F162" s="145"/>
      <c r="G162" s="146"/>
      <c r="H162" s="146"/>
      <c r="I162" s="146"/>
      <c r="J162" s="146"/>
      <c r="K162" s="146"/>
      <c r="L162" s="1676"/>
      <c r="M162" s="1286"/>
      <c r="N162" s="1284"/>
      <c r="O162" s="150"/>
      <c r="P162" s="150"/>
      <c r="Q162" s="1287"/>
      <c r="R162" s="128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39" s="247" customFormat="1" ht="11">
      <c r="B163" s="144"/>
      <c r="C163" s="143"/>
      <c r="D163" s="907"/>
      <c r="E163" s="142"/>
      <c r="F163" s="145"/>
      <c r="G163" s="146"/>
      <c r="H163" s="146"/>
      <c r="I163" s="146"/>
      <c r="J163" s="146"/>
      <c r="K163" s="146"/>
      <c r="L163" s="1676"/>
      <c r="M163" s="1286"/>
      <c r="N163" s="1284"/>
      <c r="O163" s="150"/>
      <c r="P163" s="150"/>
      <c r="Q163" s="1287"/>
      <c r="R163" s="128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39" s="247" customFormat="1" ht="11">
      <c r="B164" s="144"/>
      <c r="C164" s="143"/>
      <c r="D164" s="907"/>
      <c r="E164" s="142"/>
      <c r="F164" s="145"/>
      <c r="G164" s="146"/>
      <c r="H164" s="146"/>
      <c r="I164" s="146"/>
      <c r="J164" s="146"/>
      <c r="K164" s="146"/>
      <c r="L164" s="1676"/>
      <c r="M164" s="1286"/>
      <c r="N164" s="1284"/>
      <c r="O164" s="150"/>
      <c r="P164" s="150"/>
      <c r="Q164" s="1287"/>
      <c r="R164" s="128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39" s="247" customFormat="1" ht="11">
      <c r="B165" s="144"/>
      <c r="C165" s="143"/>
      <c r="D165" s="907"/>
      <c r="E165" s="142"/>
      <c r="F165" s="145"/>
      <c r="G165" s="146"/>
      <c r="H165" s="146"/>
      <c r="I165" s="146"/>
      <c r="J165" s="146"/>
      <c r="K165" s="146"/>
      <c r="L165" s="1676"/>
      <c r="M165" s="1286"/>
      <c r="N165" s="1284"/>
      <c r="O165" s="150"/>
      <c r="P165" s="150"/>
      <c r="Q165" s="1287"/>
      <c r="R165" s="128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39" s="247" customFormat="1" ht="11">
      <c r="B166" s="144"/>
      <c r="C166" s="143"/>
      <c r="D166" s="907"/>
      <c r="E166" s="142"/>
      <c r="F166" s="145"/>
      <c r="G166" s="146"/>
      <c r="H166" s="146"/>
      <c r="I166" s="146"/>
      <c r="J166" s="146"/>
      <c r="K166" s="146"/>
      <c r="L166" s="1676"/>
      <c r="M166" s="1286"/>
      <c r="N166" s="1284"/>
      <c r="O166" s="150"/>
      <c r="P166" s="150"/>
      <c r="Q166" s="1287"/>
      <c r="R166" s="128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39" s="247" customFormat="1" ht="11">
      <c r="B167" s="144"/>
      <c r="C167" s="143"/>
      <c r="D167" s="907"/>
      <c r="E167" s="142"/>
      <c r="F167" s="145"/>
      <c r="G167" s="146"/>
      <c r="H167" s="146"/>
      <c r="I167" s="146"/>
      <c r="J167" s="146"/>
      <c r="K167" s="146"/>
      <c r="L167" s="1676"/>
      <c r="M167" s="1286"/>
      <c r="N167" s="1284"/>
      <c r="O167" s="150"/>
      <c r="P167" s="150"/>
      <c r="Q167" s="1287"/>
      <c r="R167" s="128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39" s="247" customFormat="1" ht="11">
      <c r="B168" s="144"/>
      <c r="C168" s="143"/>
      <c r="D168" s="907"/>
      <c r="E168" s="142"/>
      <c r="F168" s="145"/>
      <c r="G168" s="146"/>
      <c r="H168" s="146"/>
      <c r="I168" s="146"/>
      <c r="J168" s="146"/>
      <c r="K168" s="146"/>
      <c r="L168" s="1676"/>
      <c r="M168" s="1286"/>
      <c r="N168" s="1284"/>
      <c r="O168" s="150"/>
      <c r="P168" s="150"/>
      <c r="Q168" s="1287"/>
      <c r="R168" s="128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39" s="247" customFormat="1" ht="11">
      <c r="B169" s="144"/>
      <c r="C169" s="143"/>
      <c r="D169" s="907"/>
      <c r="E169" s="142"/>
      <c r="F169" s="145"/>
      <c r="G169" s="146"/>
      <c r="H169" s="146"/>
      <c r="I169" s="146"/>
      <c r="J169" s="146"/>
      <c r="K169" s="146"/>
      <c r="L169" s="1676"/>
      <c r="M169" s="1286"/>
      <c r="N169" s="1284"/>
      <c r="O169" s="150"/>
      <c r="P169" s="150"/>
      <c r="Q169" s="1287"/>
      <c r="R169" s="128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39" s="247" customFormat="1" ht="11">
      <c r="B170" s="144"/>
      <c r="C170" s="143"/>
      <c r="D170" s="907"/>
      <c r="E170" s="142"/>
      <c r="F170" s="145"/>
      <c r="G170" s="146"/>
      <c r="H170" s="146"/>
      <c r="I170" s="146"/>
      <c r="J170" s="146"/>
      <c r="K170" s="146"/>
      <c r="L170" s="1676"/>
      <c r="M170" s="1286"/>
      <c r="N170" s="1284"/>
      <c r="O170" s="150"/>
      <c r="P170" s="150"/>
      <c r="Q170" s="1287"/>
      <c r="R170" s="128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39" s="247" customFormat="1" ht="11">
      <c r="B171" s="248"/>
      <c r="D171" s="909"/>
      <c r="E171" s="214"/>
      <c r="F171" s="249"/>
      <c r="G171" s="250"/>
      <c r="H171" s="250"/>
      <c r="I171" s="250"/>
      <c r="J171" s="250"/>
      <c r="K171" s="250"/>
      <c r="L171" s="1677"/>
      <c r="M171" s="1244"/>
      <c r="N171" s="1290"/>
      <c r="O171" s="150"/>
      <c r="P171" s="150"/>
      <c r="Q171" s="1287"/>
      <c r="R171" s="128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39" s="247" customFormat="1" ht="11">
      <c r="B172" s="248"/>
      <c r="D172" s="909"/>
      <c r="E172" s="214"/>
      <c r="F172" s="249"/>
      <c r="G172" s="250"/>
      <c r="H172" s="250"/>
      <c r="I172" s="250"/>
      <c r="J172" s="250"/>
      <c r="K172" s="250"/>
      <c r="L172" s="1677"/>
      <c r="M172" s="1244"/>
      <c r="N172" s="1290"/>
      <c r="O172" s="150"/>
      <c r="P172" s="150"/>
      <c r="Q172" s="1287"/>
      <c r="R172" s="128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39" s="247" customFormat="1" ht="11">
      <c r="B173" s="248"/>
      <c r="D173" s="909"/>
      <c r="E173" s="214"/>
      <c r="F173" s="249"/>
      <c r="G173" s="250"/>
      <c r="H173" s="250"/>
      <c r="I173" s="250"/>
      <c r="J173" s="250"/>
      <c r="K173" s="250"/>
      <c r="L173" s="1677"/>
      <c r="M173" s="1244"/>
      <c r="N173" s="1290"/>
      <c r="O173" s="150"/>
      <c r="P173" s="150"/>
      <c r="Q173" s="1287"/>
      <c r="R173" s="128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39" s="247" customFormat="1" ht="11">
      <c r="B174" s="248"/>
      <c r="D174" s="909"/>
      <c r="E174" s="214"/>
      <c r="F174" s="249"/>
      <c r="G174" s="250"/>
      <c r="H174" s="250"/>
      <c r="I174" s="250"/>
      <c r="J174" s="250"/>
      <c r="K174" s="250"/>
      <c r="L174" s="1677"/>
      <c r="M174" s="1244"/>
      <c r="N174" s="1290"/>
      <c r="O174" s="150"/>
      <c r="P174" s="150"/>
      <c r="Q174" s="1287"/>
      <c r="R174" s="128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39" s="247" customFormat="1" ht="11">
      <c r="B175" s="248"/>
      <c r="D175" s="909"/>
      <c r="E175" s="214"/>
      <c r="F175" s="249"/>
      <c r="G175" s="250"/>
      <c r="H175" s="250"/>
      <c r="I175" s="250"/>
      <c r="J175" s="250"/>
      <c r="K175" s="250"/>
      <c r="L175" s="1677"/>
      <c r="M175" s="1244"/>
      <c r="N175" s="1290"/>
      <c r="O175" s="150"/>
      <c r="P175" s="150"/>
      <c r="Q175" s="1287"/>
      <c r="R175" s="1287"/>
      <c r="S175" s="142"/>
      <c r="T175" s="142"/>
      <c r="U175" s="146">
        <f>SUBTOTAL(9,U133:U174)</f>
        <v>0</v>
      </c>
      <c r="V175" s="146">
        <f t="shared" ref="V175:AA175" si="47">SUBTOTAL(9,V133:V174)</f>
        <v>0</v>
      </c>
      <c r="W175" s="146">
        <f t="shared" si="47"/>
        <v>0</v>
      </c>
      <c r="X175" s="146">
        <f t="shared" si="47"/>
        <v>0</v>
      </c>
      <c r="Y175" s="146">
        <f t="shared" si="47"/>
        <v>0</v>
      </c>
      <c r="Z175" s="146">
        <f t="shared" si="47"/>
        <v>0</v>
      </c>
      <c r="AA175" s="146">
        <f t="shared" si="47"/>
        <v>0</v>
      </c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39" s="213" customFormat="1" ht="14" thickBot="1">
      <c r="B176" s="225"/>
      <c r="D176" s="910"/>
      <c r="E176" s="566"/>
      <c r="F176" s="242"/>
      <c r="G176" s="243"/>
      <c r="H176" s="243"/>
      <c r="I176" s="243"/>
      <c r="J176" s="243"/>
      <c r="K176" s="243"/>
      <c r="L176" s="1677"/>
      <c r="M176" s="1244"/>
      <c r="N176" s="1290"/>
      <c r="O176" s="150"/>
      <c r="P176" s="150"/>
      <c r="Q176" s="1287"/>
      <c r="R176" s="1287"/>
      <c r="S176" s="149"/>
      <c r="T176" s="149"/>
      <c r="U176" s="150"/>
      <c r="V176" s="150"/>
      <c r="W176" s="150"/>
      <c r="X176" s="150"/>
      <c r="Y176" s="150"/>
      <c r="Z176" s="150"/>
      <c r="AA176" s="150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41" s="213" customFormat="1" ht="15" thickTop="1" thickBot="1">
      <c r="B177" s="225"/>
      <c r="D177" s="910"/>
      <c r="E177" s="566"/>
      <c r="F177" s="242"/>
      <c r="G177" s="243"/>
      <c r="H177" s="243"/>
      <c r="I177" s="243"/>
      <c r="J177" s="243"/>
      <c r="K177" s="243"/>
      <c r="L177" s="1677"/>
      <c r="M177" s="1244"/>
      <c r="N177" s="1290"/>
      <c r="O177" s="150"/>
      <c r="P177" s="150"/>
      <c r="Q177" s="1287"/>
      <c r="R177" s="1287"/>
      <c r="S177" s="148"/>
      <c r="T177" s="148"/>
      <c r="U177" s="151">
        <f>SUBTOTAL(9,U135:U176)</f>
        <v>0</v>
      </c>
      <c r="V177" s="152">
        <f t="shared" ref="V177:AA177" si="48">SUBTOTAL(9,V135:V176)</f>
        <v>0</v>
      </c>
      <c r="W177" s="153">
        <f t="shared" si="48"/>
        <v>0</v>
      </c>
      <c r="X177" s="153">
        <f t="shared" si="48"/>
        <v>0</v>
      </c>
      <c r="Y177" s="153">
        <f t="shared" si="48"/>
        <v>0</v>
      </c>
      <c r="Z177" s="153">
        <f t="shared" si="48"/>
        <v>0</v>
      </c>
      <c r="AA177" s="154">
        <f t="shared" si="48"/>
        <v>0</v>
      </c>
      <c r="AB177" s="246"/>
      <c r="AC177" s="246"/>
      <c r="AE177" s="214"/>
      <c r="AF177" s="214"/>
      <c r="AG177" s="214"/>
      <c r="AH177" s="214"/>
      <c r="AI177" s="214"/>
      <c r="AJ177" s="214"/>
      <c r="AK177" s="214"/>
      <c r="AL177" s="214"/>
      <c r="AM177" s="214"/>
      <c r="AN177" s="214"/>
      <c r="AO177" s="214"/>
    </row>
    <row r="178" spans="2:41" s="213" customFormat="1" ht="14" thickTop="1">
      <c r="B178" s="225"/>
      <c r="D178" s="910"/>
      <c r="E178" s="566"/>
      <c r="F178" s="242"/>
      <c r="G178" s="243"/>
      <c r="H178" s="243"/>
      <c r="I178" s="243"/>
      <c r="J178" s="243"/>
      <c r="K178" s="243"/>
      <c r="L178" s="1677"/>
      <c r="M178" s="1244"/>
      <c r="N178" s="1290"/>
      <c r="O178" s="150"/>
      <c r="P178" s="150"/>
      <c r="Q178" s="1287"/>
      <c r="R178" s="1287"/>
      <c r="S178" s="149"/>
      <c r="T178" s="149"/>
      <c r="U178" s="150"/>
      <c r="V178" s="150"/>
      <c r="W178" s="150"/>
      <c r="X178" s="150"/>
      <c r="Y178" s="150"/>
      <c r="Z178" s="150"/>
      <c r="AA178" s="150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41" s="213" customFormat="1">
      <c r="B179" s="225"/>
      <c r="D179" s="910"/>
      <c r="E179" s="566"/>
      <c r="F179" s="242"/>
      <c r="G179" s="243"/>
      <c r="H179" s="243"/>
      <c r="I179" s="243"/>
      <c r="J179" s="243"/>
      <c r="K179" s="243"/>
      <c r="L179" s="1677"/>
      <c r="M179" s="1244"/>
      <c r="N179" s="1290"/>
      <c r="O179" s="150"/>
      <c r="P179" s="150"/>
      <c r="Q179" s="1287"/>
      <c r="R179" s="1287"/>
      <c r="S179" s="149"/>
      <c r="T179" s="149"/>
      <c r="U179" s="150"/>
      <c r="V179" s="150"/>
      <c r="W179" s="150"/>
      <c r="X179" s="150"/>
      <c r="Y179" s="150"/>
      <c r="Z179" s="150"/>
      <c r="AA179" s="150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41" s="213" customFormat="1">
      <c r="B180" s="225"/>
      <c r="D180" s="910"/>
      <c r="E180" s="566"/>
      <c r="F180" s="242"/>
      <c r="G180" s="243"/>
      <c r="H180" s="243"/>
      <c r="I180" s="243"/>
      <c r="J180" s="243"/>
      <c r="K180" s="243"/>
      <c r="L180" s="1677"/>
      <c r="M180" s="1244"/>
      <c r="N180" s="1290"/>
      <c r="O180" s="150"/>
      <c r="P180" s="150"/>
      <c r="Q180" s="1287"/>
      <c r="R180" s="1287"/>
      <c r="S180" s="149"/>
      <c r="T180" s="149"/>
      <c r="U180" s="150"/>
      <c r="V180" s="150"/>
      <c r="W180" s="150"/>
      <c r="X180" s="150"/>
      <c r="Y180" s="150"/>
      <c r="Z180" s="150"/>
      <c r="AA180" s="150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41" s="213" customFormat="1">
      <c r="B181" s="225"/>
      <c r="D181" s="910"/>
      <c r="E181" s="566"/>
      <c r="F181" s="242"/>
      <c r="G181" s="243"/>
      <c r="H181" s="243"/>
      <c r="I181" s="243"/>
      <c r="J181" s="243"/>
      <c r="K181" s="243"/>
      <c r="L181" s="1677"/>
      <c r="M181" s="1244"/>
      <c r="N181" s="1290"/>
      <c r="O181" s="150"/>
      <c r="P181" s="150"/>
      <c r="Q181" s="1287"/>
      <c r="R181" s="1287"/>
      <c r="S181" s="149"/>
      <c r="T181" s="149"/>
      <c r="U181" s="150"/>
      <c r="V181" s="150"/>
      <c r="W181" s="150"/>
      <c r="X181" s="150"/>
      <c r="Y181" s="150"/>
      <c r="Z181" s="150"/>
      <c r="AA181" s="150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41" s="213" customFormat="1">
      <c r="B182" s="225"/>
      <c r="D182" s="910"/>
      <c r="E182" s="566"/>
      <c r="F182" s="242"/>
      <c r="G182" s="243"/>
      <c r="H182" s="243"/>
      <c r="I182" s="243"/>
      <c r="J182" s="243"/>
      <c r="K182" s="243"/>
      <c r="L182" s="1677"/>
      <c r="M182" s="1244"/>
      <c r="N182" s="1290"/>
      <c r="O182" s="150"/>
      <c r="P182" s="150"/>
      <c r="Q182" s="1287"/>
      <c r="R182" s="1287"/>
      <c r="S182" s="149"/>
      <c r="T182" s="149"/>
      <c r="U182" s="150"/>
      <c r="V182" s="150"/>
      <c r="W182" s="150"/>
      <c r="X182" s="150"/>
      <c r="Y182" s="150"/>
      <c r="Z182" s="150"/>
      <c r="AA182" s="150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41" s="213" customFormat="1">
      <c r="B183" s="225"/>
      <c r="D183" s="910"/>
      <c r="E183" s="566"/>
      <c r="F183" s="242"/>
      <c r="G183" s="243"/>
      <c r="H183" s="243"/>
      <c r="I183" s="243"/>
      <c r="J183" s="243"/>
      <c r="K183" s="243"/>
      <c r="L183" s="1677"/>
      <c r="M183" s="1244"/>
      <c r="N183" s="1290"/>
      <c r="O183" s="150"/>
      <c r="P183" s="150"/>
      <c r="Q183" s="1287"/>
      <c r="R183" s="1287"/>
      <c r="S183" s="149"/>
      <c r="T183" s="149"/>
      <c r="U183" s="150"/>
      <c r="V183" s="150"/>
      <c r="W183" s="150"/>
      <c r="X183" s="150"/>
      <c r="Y183" s="150"/>
      <c r="Z183" s="150"/>
      <c r="AA183" s="150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41" s="213" customFormat="1">
      <c r="B184" s="225"/>
      <c r="D184" s="910"/>
      <c r="E184" s="566"/>
      <c r="F184" s="242"/>
      <c r="G184" s="243"/>
      <c r="H184" s="243"/>
      <c r="I184" s="243"/>
      <c r="J184" s="243"/>
      <c r="K184" s="243"/>
      <c r="L184" s="1677"/>
      <c r="M184" s="1244"/>
      <c r="N184" s="1290"/>
      <c r="O184" s="150"/>
      <c r="P184" s="150"/>
      <c r="Q184" s="1287"/>
      <c r="R184" s="1287"/>
      <c r="S184" s="149"/>
      <c r="T184" s="149"/>
      <c r="U184" s="150"/>
      <c r="V184" s="150"/>
      <c r="W184" s="150"/>
      <c r="X184" s="150"/>
      <c r="Y184" s="150"/>
      <c r="Z184" s="150"/>
      <c r="AA184" s="150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41" s="213" customFormat="1">
      <c r="B185" s="225"/>
      <c r="D185" s="910"/>
      <c r="E185" s="566"/>
      <c r="F185" s="242"/>
      <c r="G185" s="243"/>
      <c r="H185" s="243"/>
      <c r="I185" s="243"/>
      <c r="J185" s="243"/>
      <c r="K185" s="243"/>
      <c r="L185" s="1677"/>
      <c r="M185" s="1244"/>
      <c r="N185" s="1290"/>
      <c r="O185" s="150"/>
      <c r="P185" s="150"/>
      <c r="Q185" s="1287"/>
      <c r="R185" s="1287"/>
      <c r="S185" s="149"/>
      <c r="T185" s="149"/>
      <c r="U185" s="150"/>
      <c r="V185" s="150"/>
      <c r="W185" s="150"/>
      <c r="X185" s="150"/>
      <c r="Y185" s="150"/>
      <c r="Z185" s="150"/>
      <c r="AA185" s="150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41" s="213" customFormat="1">
      <c r="B186" s="225"/>
      <c r="D186" s="910"/>
      <c r="E186" s="566"/>
      <c r="F186" s="242"/>
      <c r="G186" s="243"/>
      <c r="H186" s="243"/>
      <c r="I186" s="243"/>
      <c r="J186" s="243"/>
      <c r="K186" s="243"/>
      <c r="L186" s="1677"/>
      <c r="M186" s="1244"/>
      <c r="N186" s="1290"/>
      <c r="O186" s="150"/>
      <c r="P186" s="150"/>
      <c r="Q186" s="1287"/>
      <c r="R186" s="1287"/>
      <c r="S186" s="149"/>
      <c r="T186" s="149"/>
      <c r="U186" s="150"/>
      <c r="V186" s="150"/>
      <c r="W186" s="150"/>
      <c r="X186" s="150"/>
      <c r="Y186" s="150"/>
      <c r="Z186" s="150"/>
      <c r="AA186" s="150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41" s="213" customFormat="1">
      <c r="B187" s="225"/>
      <c r="D187" s="910"/>
      <c r="E187" s="566"/>
      <c r="F187" s="242"/>
      <c r="G187" s="243"/>
      <c r="H187" s="243"/>
      <c r="I187" s="243"/>
      <c r="J187" s="243"/>
      <c r="K187" s="243"/>
      <c r="L187" s="1677"/>
      <c r="M187" s="1244"/>
      <c r="N187" s="1290"/>
      <c r="O187" s="150"/>
      <c r="P187" s="150"/>
      <c r="Q187" s="1287"/>
      <c r="R187" s="1287"/>
      <c r="S187" s="149"/>
      <c r="T187" s="149"/>
      <c r="U187" s="150"/>
      <c r="V187" s="150"/>
      <c r="W187" s="150"/>
      <c r="X187" s="150"/>
      <c r="Y187" s="150"/>
      <c r="Z187" s="150"/>
      <c r="AA187" s="150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41" s="213" customFormat="1">
      <c r="B188" s="225"/>
      <c r="D188" s="910"/>
      <c r="E188" s="566"/>
      <c r="F188" s="242"/>
      <c r="G188" s="243"/>
      <c r="H188" s="243"/>
      <c r="I188" s="243"/>
      <c r="J188" s="243"/>
      <c r="K188" s="243"/>
      <c r="L188" s="1677"/>
      <c r="M188" s="1244"/>
      <c r="N188" s="1290"/>
      <c r="O188" s="150"/>
      <c r="P188" s="150"/>
      <c r="Q188" s="1287"/>
      <c r="R188" s="1287"/>
      <c r="S188" s="149"/>
      <c r="T188" s="149"/>
      <c r="U188" s="150"/>
      <c r="V188" s="150"/>
      <c r="W188" s="150"/>
      <c r="X188" s="150"/>
      <c r="Y188" s="150"/>
      <c r="Z188" s="150"/>
      <c r="AA188" s="150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41" s="213" customFormat="1">
      <c r="B189" s="225"/>
      <c r="D189" s="910"/>
      <c r="E189" s="566"/>
      <c r="F189" s="242"/>
      <c r="G189" s="243"/>
      <c r="H189" s="243"/>
      <c r="I189" s="243"/>
      <c r="J189" s="243"/>
      <c r="K189" s="243"/>
      <c r="L189" s="1677"/>
      <c r="M189" s="1244"/>
      <c r="N189" s="1290"/>
      <c r="O189" s="150"/>
      <c r="P189" s="150"/>
      <c r="Q189" s="1287"/>
      <c r="R189" s="1287"/>
      <c r="S189" s="149"/>
      <c r="T189" s="149"/>
      <c r="U189" s="150"/>
      <c r="V189" s="150"/>
      <c r="W189" s="150"/>
      <c r="X189" s="150"/>
      <c r="Y189" s="150"/>
      <c r="Z189" s="150"/>
      <c r="AA189" s="150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41" s="213" customFormat="1">
      <c r="B190" s="225"/>
      <c r="D190" s="910"/>
      <c r="E190" s="566"/>
      <c r="F190" s="242"/>
      <c r="G190" s="243"/>
      <c r="H190" s="243"/>
      <c r="I190" s="243"/>
      <c r="J190" s="243"/>
      <c r="K190" s="243"/>
      <c r="L190" s="1677"/>
      <c r="M190" s="1244"/>
      <c r="N190" s="1290"/>
      <c r="O190" s="150"/>
      <c r="P190" s="150"/>
      <c r="Q190" s="1287"/>
      <c r="R190" s="1287"/>
      <c r="S190" s="149"/>
      <c r="T190" s="149"/>
      <c r="U190" s="150"/>
      <c r="V190" s="150"/>
      <c r="W190" s="150"/>
      <c r="X190" s="150"/>
      <c r="Y190" s="150"/>
      <c r="Z190" s="150"/>
      <c r="AA190" s="150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41" s="213" customFormat="1">
      <c r="B191" s="225"/>
      <c r="D191" s="910"/>
      <c r="E191" s="566"/>
      <c r="F191" s="242"/>
      <c r="G191" s="243"/>
      <c r="H191" s="243"/>
      <c r="I191" s="243"/>
      <c r="J191" s="243"/>
      <c r="K191" s="243"/>
      <c r="L191" s="1677"/>
      <c r="M191" s="1244"/>
      <c r="N191" s="1290"/>
      <c r="O191" s="150"/>
      <c r="P191" s="150"/>
      <c r="Q191" s="1287"/>
      <c r="R191" s="1287"/>
      <c r="S191" s="149"/>
      <c r="T191" s="149"/>
      <c r="U191" s="150"/>
      <c r="V191" s="150"/>
      <c r="W191" s="150"/>
      <c r="X191" s="150"/>
      <c r="Y191" s="150"/>
      <c r="Z191" s="150"/>
      <c r="AA191" s="150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41" s="213" customFormat="1">
      <c r="B192" s="225"/>
      <c r="D192" s="910"/>
      <c r="E192" s="566"/>
      <c r="F192" s="242"/>
      <c r="G192" s="243"/>
      <c r="H192" s="243"/>
      <c r="I192" s="243"/>
      <c r="J192" s="243"/>
      <c r="K192" s="243"/>
      <c r="L192" s="1677"/>
      <c r="M192" s="1244"/>
      <c r="N192" s="1290"/>
      <c r="O192" s="150"/>
      <c r="P192" s="150"/>
      <c r="Q192" s="1287"/>
      <c r="R192" s="1287"/>
      <c r="S192" s="149"/>
      <c r="T192" s="149"/>
      <c r="U192" s="150"/>
      <c r="V192" s="150"/>
      <c r="W192" s="150"/>
      <c r="X192" s="150"/>
      <c r="Y192" s="150"/>
      <c r="Z192" s="150"/>
      <c r="AA192" s="150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39" s="213" customFormat="1">
      <c r="B193" s="225"/>
      <c r="D193" s="910"/>
      <c r="E193" s="566"/>
      <c r="F193" s="242"/>
      <c r="G193" s="243"/>
      <c r="H193" s="243"/>
      <c r="I193" s="243"/>
      <c r="J193" s="243"/>
      <c r="K193" s="243"/>
      <c r="L193" s="1677"/>
      <c r="M193" s="1244"/>
      <c r="N193" s="1290"/>
      <c r="O193" s="150"/>
      <c r="P193" s="150"/>
      <c r="Q193" s="1287"/>
      <c r="R193" s="1287"/>
      <c r="S193" s="149"/>
      <c r="T193" s="149"/>
      <c r="U193" s="150"/>
      <c r="V193" s="150"/>
      <c r="W193" s="150"/>
      <c r="X193" s="150"/>
      <c r="Y193" s="150"/>
      <c r="Z193" s="150"/>
      <c r="AA193" s="150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39" s="213" customFormat="1">
      <c r="B194" s="225"/>
      <c r="D194" s="910"/>
      <c r="E194" s="566"/>
      <c r="F194" s="242"/>
      <c r="G194" s="243"/>
      <c r="H194" s="243"/>
      <c r="I194" s="243"/>
      <c r="J194" s="243"/>
      <c r="K194" s="243"/>
      <c r="L194" s="1677"/>
      <c r="M194" s="1244"/>
      <c r="N194" s="1290"/>
      <c r="O194" s="150"/>
      <c r="P194" s="150"/>
      <c r="Q194" s="1287"/>
      <c r="R194" s="1287"/>
      <c r="S194" s="149"/>
      <c r="T194" s="149"/>
      <c r="U194" s="150"/>
      <c r="V194" s="150"/>
      <c r="W194" s="150"/>
      <c r="X194" s="150"/>
      <c r="Y194" s="150"/>
      <c r="Z194" s="150"/>
      <c r="AA194" s="150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39" s="213" customFormat="1">
      <c r="B195" s="225"/>
      <c r="D195" s="910"/>
      <c r="E195" s="566"/>
      <c r="F195" s="242"/>
      <c r="G195" s="243"/>
      <c r="H195" s="243"/>
      <c r="I195" s="243"/>
      <c r="J195" s="243"/>
      <c r="K195" s="243"/>
      <c r="L195" s="1677"/>
      <c r="M195" s="1244"/>
      <c r="N195" s="1290"/>
      <c r="O195" s="150"/>
      <c r="P195" s="150"/>
      <c r="Q195" s="1287"/>
      <c r="R195" s="1287"/>
      <c r="S195" s="149"/>
      <c r="T195" s="149"/>
      <c r="U195" s="150"/>
      <c r="V195" s="150"/>
      <c r="W195" s="150"/>
      <c r="X195" s="150"/>
      <c r="Y195" s="150"/>
      <c r="Z195" s="150"/>
      <c r="AA195" s="150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39" s="213" customFormat="1">
      <c r="B196" s="225"/>
      <c r="D196" s="910"/>
      <c r="E196" s="566"/>
      <c r="F196" s="242"/>
      <c r="G196" s="243"/>
      <c r="H196" s="243"/>
      <c r="I196" s="243"/>
      <c r="J196" s="243"/>
      <c r="K196" s="243"/>
      <c r="L196" s="1677"/>
      <c r="M196" s="1244"/>
      <c r="N196" s="1290"/>
      <c r="O196" s="150"/>
      <c r="P196" s="150"/>
      <c r="Q196" s="1287"/>
      <c r="R196" s="1287"/>
      <c r="S196" s="149"/>
      <c r="T196" s="149"/>
      <c r="U196" s="150"/>
      <c r="V196" s="150"/>
      <c r="W196" s="150"/>
      <c r="X196" s="150"/>
      <c r="Y196" s="150"/>
      <c r="Z196" s="150"/>
      <c r="AA196" s="150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39" s="213" customFormat="1">
      <c r="B197" s="225"/>
      <c r="D197" s="910"/>
      <c r="E197" s="566"/>
      <c r="F197" s="242"/>
      <c r="G197" s="243"/>
      <c r="H197" s="243"/>
      <c r="I197" s="243"/>
      <c r="J197" s="243"/>
      <c r="K197" s="243"/>
      <c r="L197" s="1677"/>
      <c r="M197" s="1244"/>
      <c r="N197" s="1290"/>
      <c r="O197" s="150"/>
      <c r="P197" s="150"/>
      <c r="Q197" s="1287"/>
      <c r="R197" s="1287"/>
      <c r="S197" s="149"/>
      <c r="T197" s="149"/>
      <c r="U197" s="150"/>
      <c r="V197" s="150"/>
      <c r="W197" s="150"/>
      <c r="X197" s="150"/>
      <c r="Y197" s="150"/>
      <c r="Z197" s="150"/>
      <c r="AA197" s="150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39" s="213" customFormat="1">
      <c r="B198" s="225"/>
      <c r="D198" s="910"/>
      <c r="E198" s="566"/>
      <c r="F198" s="242"/>
      <c r="G198" s="243"/>
      <c r="H198" s="243"/>
      <c r="I198" s="243"/>
      <c r="J198" s="243"/>
      <c r="K198" s="243"/>
      <c r="L198" s="1677"/>
      <c r="M198" s="1244"/>
      <c r="N198" s="1290"/>
      <c r="O198" s="150"/>
      <c r="P198" s="150"/>
      <c r="Q198" s="1287"/>
      <c r="R198" s="1287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39" s="213" customFormat="1">
      <c r="B199" s="225"/>
      <c r="D199" s="910"/>
      <c r="E199" s="566"/>
      <c r="F199" s="242"/>
      <c r="G199" s="243"/>
      <c r="H199" s="243"/>
      <c r="I199" s="243"/>
      <c r="J199" s="243"/>
      <c r="K199" s="243"/>
      <c r="L199" s="1677"/>
      <c r="M199" s="1244"/>
      <c r="N199" s="1290"/>
      <c r="O199" s="150"/>
      <c r="P199" s="150"/>
      <c r="Q199" s="1287"/>
      <c r="R199" s="1287"/>
      <c r="S199" s="149"/>
      <c r="T199" s="149"/>
      <c r="U199" s="150"/>
      <c r="V199" s="150"/>
      <c r="W199" s="150"/>
      <c r="X199" s="150"/>
      <c r="Y199" s="150"/>
      <c r="Z199" s="150"/>
      <c r="AA199" s="150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39" s="213" customFormat="1">
      <c r="B200" s="225"/>
      <c r="D200" s="910"/>
      <c r="E200" s="566"/>
      <c r="F200" s="242"/>
      <c r="G200" s="243"/>
      <c r="H200" s="243"/>
      <c r="I200" s="243"/>
      <c r="J200" s="243"/>
      <c r="K200" s="243"/>
      <c r="L200" s="1677"/>
      <c r="M200" s="1244"/>
      <c r="N200" s="1290"/>
      <c r="O200" s="150"/>
      <c r="P200" s="150"/>
      <c r="Q200" s="1287"/>
      <c r="R200" s="1287"/>
      <c r="S200" s="149"/>
      <c r="T200" s="149"/>
      <c r="U200" s="150"/>
      <c r="V200" s="150"/>
      <c r="W200" s="150"/>
      <c r="X200" s="150"/>
      <c r="Y200" s="150"/>
      <c r="Z200" s="150"/>
      <c r="AA200" s="150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39" s="213" customFormat="1">
      <c r="B201" s="225"/>
      <c r="D201" s="910"/>
      <c r="E201" s="566"/>
      <c r="F201" s="242"/>
      <c r="G201" s="243"/>
      <c r="H201" s="243"/>
      <c r="I201" s="243"/>
      <c r="J201" s="243"/>
      <c r="K201" s="243"/>
      <c r="L201" s="1677"/>
      <c r="M201" s="1244"/>
      <c r="N201" s="1290"/>
      <c r="O201" s="150"/>
      <c r="P201" s="150"/>
      <c r="Q201" s="1287"/>
      <c r="R201" s="1287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39" s="213" customFormat="1">
      <c r="B202" s="225"/>
      <c r="D202" s="910"/>
      <c r="E202" s="566"/>
      <c r="F202" s="242"/>
      <c r="G202" s="243"/>
      <c r="H202" s="243"/>
      <c r="I202" s="243"/>
      <c r="J202" s="243"/>
      <c r="K202" s="243"/>
      <c r="L202" s="1677"/>
      <c r="M202" s="1244"/>
      <c r="N202" s="1290"/>
      <c r="O202" s="150"/>
      <c r="P202" s="150"/>
      <c r="Q202" s="1287"/>
      <c r="R202" s="1287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39" s="213" customFormat="1">
      <c r="B203" s="225"/>
      <c r="D203" s="910"/>
      <c r="E203" s="566"/>
      <c r="F203" s="242"/>
      <c r="G203" s="243"/>
      <c r="H203" s="243"/>
      <c r="I203" s="243"/>
      <c r="J203" s="243"/>
      <c r="K203" s="243"/>
      <c r="L203" s="1677"/>
      <c r="M203" s="1244"/>
      <c r="N203" s="1290"/>
      <c r="O203" s="150"/>
      <c r="P203" s="150"/>
      <c r="Q203" s="1287"/>
      <c r="R203" s="1287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39" s="213" customFormat="1">
      <c r="B204" s="225"/>
      <c r="D204" s="910"/>
      <c r="E204" s="566"/>
      <c r="F204" s="242"/>
      <c r="G204" s="243"/>
      <c r="H204" s="243"/>
      <c r="I204" s="243"/>
      <c r="J204" s="243"/>
      <c r="K204" s="243"/>
      <c r="L204" s="1677"/>
      <c r="M204" s="1244"/>
      <c r="N204" s="1290"/>
      <c r="O204" s="150"/>
      <c r="P204" s="150"/>
      <c r="Q204" s="1287"/>
      <c r="R204" s="1287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39" s="213" customFormat="1">
      <c r="B205" s="225"/>
      <c r="D205" s="910"/>
      <c r="E205" s="566"/>
      <c r="F205" s="242"/>
      <c r="G205" s="243"/>
      <c r="H205" s="243"/>
      <c r="I205" s="243"/>
      <c r="J205" s="243"/>
      <c r="K205" s="243"/>
      <c r="L205" s="1677"/>
      <c r="M205" s="1244"/>
      <c r="N205" s="1290"/>
      <c r="O205" s="150"/>
      <c r="P205" s="150"/>
      <c r="Q205" s="1287"/>
      <c r="R205" s="1287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39" s="213" customFormat="1">
      <c r="B206" s="225"/>
      <c r="D206" s="910"/>
      <c r="E206" s="566"/>
      <c r="F206" s="242"/>
      <c r="G206" s="243"/>
      <c r="H206" s="243"/>
      <c r="I206" s="243"/>
      <c r="J206" s="243"/>
      <c r="K206" s="243"/>
      <c r="L206" s="1677"/>
      <c r="M206" s="1244"/>
      <c r="N206" s="1290"/>
      <c r="O206" s="150"/>
      <c r="P206" s="150"/>
      <c r="Q206" s="1287"/>
      <c r="R206" s="1287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39" s="213" customFormat="1">
      <c r="B207" s="225"/>
      <c r="D207" s="910"/>
      <c r="E207" s="566"/>
      <c r="F207" s="242"/>
      <c r="G207" s="243"/>
      <c r="H207" s="243"/>
      <c r="I207" s="243"/>
      <c r="J207" s="243"/>
      <c r="K207" s="243"/>
      <c r="L207" s="1677"/>
      <c r="M207" s="1244"/>
      <c r="N207" s="1290"/>
      <c r="O207" s="150"/>
      <c r="P207" s="150"/>
      <c r="Q207" s="1287"/>
      <c r="R207" s="1287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39" s="213" customFormat="1">
      <c r="B208" s="225"/>
      <c r="D208" s="910"/>
      <c r="E208" s="566"/>
      <c r="F208" s="242"/>
      <c r="G208" s="243"/>
      <c r="H208" s="243"/>
      <c r="I208" s="243"/>
      <c r="J208" s="243"/>
      <c r="K208" s="243"/>
      <c r="L208" s="1677"/>
      <c r="M208" s="1244"/>
      <c r="N208" s="1290"/>
      <c r="O208" s="150"/>
      <c r="P208" s="150"/>
      <c r="Q208" s="1287"/>
      <c r="R208" s="1287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1:40">
      <c r="A209" s="204"/>
      <c r="O209" s="1215"/>
      <c r="P209" s="1215"/>
      <c r="Q209" s="1293"/>
      <c r="R209" s="1293"/>
      <c r="S209" s="251"/>
      <c r="T209" s="251"/>
      <c r="U209" s="252"/>
      <c r="V209" s="252"/>
      <c r="W209" s="252"/>
      <c r="X209" s="252"/>
      <c r="Y209" s="252"/>
      <c r="Z209" s="252"/>
      <c r="AA209" s="252"/>
      <c r="AN209" s="204"/>
    </row>
    <row r="210" spans="1:40">
      <c r="A210" s="204"/>
      <c r="O210" s="1215"/>
      <c r="P210" s="1215"/>
      <c r="Q210" s="1293"/>
      <c r="R210" s="1293"/>
      <c r="S210" s="251"/>
      <c r="T210" s="251"/>
      <c r="U210" s="252"/>
      <c r="V210" s="252"/>
      <c r="W210" s="252"/>
      <c r="X210" s="252"/>
      <c r="Y210" s="252"/>
      <c r="Z210" s="252"/>
      <c r="AA210" s="252"/>
      <c r="AN210" s="204"/>
    </row>
    <row r="211" spans="1:40">
      <c r="A211" s="204"/>
      <c r="O211" s="1215"/>
      <c r="P211" s="1215"/>
      <c r="Q211" s="1293"/>
      <c r="R211" s="1293"/>
      <c r="S211" s="251"/>
      <c r="T211" s="251"/>
      <c r="U211" s="252"/>
      <c r="V211" s="252"/>
      <c r="W211" s="252"/>
      <c r="X211" s="252"/>
      <c r="Y211" s="252"/>
      <c r="Z211" s="252"/>
      <c r="AA211" s="252"/>
      <c r="AN211" s="204"/>
    </row>
    <row r="212" spans="1:40">
      <c r="A212" s="204"/>
      <c r="O212" s="1215"/>
      <c r="P212" s="1215"/>
      <c r="Q212" s="1293"/>
      <c r="R212" s="1293"/>
      <c r="S212" s="251"/>
      <c r="T212" s="251"/>
      <c r="U212" s="252"/>
      <c r="V212" s="252"/>
      <c r="W212" s="252"/>
      <c r="X212" s="252"/>
      <c r="Y212" s="252"/>
      <c r="Z212" s="252"/>
      <c r="AA212" s="252"/>
      <c r="AN212" s="204"/>
    </row>
    <row r="213" spans="1:40">
      <c r="A213" s="204"/>
      <c r="O213" s="1215"/>
      <c r="P213" s="1215"/>
      <c r="Q213" s="1293"/>
      <c r="R213" s="1293"/>
      <c r="S213" s="251"/>
      <c r="T213" s="251"/>
      <c r="U213" s="252"/>
      <c r="V213" s="252"/>
      <c r="W213" s="252"/>
      <c r="X213" s="252"/>
      <c r="Y213" s="252"/>
      <c r="Z213" s="252"/>
      <c r="AA213" s="252"/>
      <c r="AN213" s="204"/>
    </row>
    <row r="214" spans="1:40">
      <c r="A214" s="204"/>
      <c r="O214" s="1215"/>
      <c r="P214" s="1215"/>
      <c r="Q214" s="1293"/>
      <c r="R214" s="1293"/>
      <c r="S214" s="251"/>
      <c r="T214" s="251"/>
      <c r="U214" s="252"/>
      <c r="V214" s="252"/>
      <c r="W214" s="252"/>
      <c r="X214" s="252"/>
      <c r="Y214" s="252"/>
      <c r="Z214" s="252"/>
      <c r="AA214" s="252"/>
      <c r="AN214" s="204"/>
    </row>
    <row r="215" spans="1:40">
      <c r="A215" s="204"/>
      <c r="B215" s="204"/>
      <c r="D215" s="204"/>
      <c r="F215" s="204"/>
      <c r="G215" s="204"/>
      <c r="H215" s="204"/>
      <c r="I215" s="204"/>
      <c r="J215" s="204"/>
      <c r="K215" s="204"/>
      <c r="L215" s="1678"/>
      <c r="M215" s="245"/>
      <c r="N215" s="245"/>
      <c r="O215" s="1215"/>
      <c r="P215" s="1215"/>
      <c r="Q215" s="1293"/>
      <c r="R215" s="1293"/>
      <c r="S215" s="251"/>
      <c r="T215" s="251"/>
      <c r="U215" s="252"/>
      <c r="V215" s="252"/>
      <c r="W215" s="252"/>
      <c r="X215" s="252"/>
      <c r="Y215" s="252"/>
      <c r="Z215" s="252"/>
      <c r="AA215" s="252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</row>
    <row r="216" spans="1:40">
      <c r="A216" s="204"/>
      <c r="B216" s="204"/>
      <c r="D216" s="204"/>
      <c r="F216" s="204"/>
      <c r="G216" s="204"/>
      <c r="H216" s="204"/>
      <c r="I216" s="204"/>
      <c r="J216" s="204"/>
      <c r="K216" s="204"/>
      <c r="L216" s="1678"/>
      <c r="M216" s="245"/>
      <c r="N216" s="245"/>
      <c r="O216" s="1215"/>
      <c r="P216" s="1215"/>
      <c r="Q216" s="1293"/>
      <c r="R216" s="1293"/>
      <c r="S216" s="251"/>
      <c r="T216" s="251"/>
      <c r="U216" s="252"/>
      <c r="V216" s="252"/>
      <c r="W216" s="252"/>
      <c r="X216" s="252"/>
      <c r="Y216" s="252"/>
      <c r="Z216" s="252"/>
      <c r="AA216" s="252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</row>
    <row r="217" spans="1:40">
      <c r="A217" s="204"/>
      <c r="B217" s="204"/>
      <c r="D217" s="204"/>
      <c r="F217" s="204"/>
      <c r="G217" s="204"/>
      <c r="H217" s="204"/>
      <c r="I217" s="204"/>
      <c r="J217" s="204"/>
      <c r="K217" s="204"/>
      <c r="L217" s="1678"/>
      <c r="M217" s="245"/>
      <c r="N217" s="245"/>
      <c r="O217" s="1215"/>
      <c r="P217" s="1215"/>
      <c r="Q217" s="1293"/>
      <c r="R217" s="1293"/>
      <c r="S217" s="251"/>
      <c r="T217" s="251"/>
      <c r="U217" s="252"/>
      <c r="V217" s="252"/>
      <c r="W217" s="252"/>
      <c r="X217" s="252"/>
      <c r="Y217" s="252"/>
      <c r="Z217" s="252"/>
      <c r="AA217" s="252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</row>
    <row r="218" spans="1:40">
      <c r="A218" s="204"/>
      <c r="B218" s="204"/>
      <c r="D218" s="204"/>
      <c r="F218" s="204"/>
      <c r="G218" s="204"/>
      <c r="H218" s="204"/>
      <c r="I218" s="204"/>
      <c r="J218" s="204"/>
      <c r="K218" s="204"/>
      <c r="L218" s="1678"/>
      <c r="M218" s="245"/>
      <c r="N218" s="245"/>
      <c r="O218" s="1215"/>
      <c r="P218" s="1215"/>
      <c r="Q218" s="1293"/>
      <c r="R218" s="1293"/>
      <c r="S218" s="251"/>
      <c r="T218" s="251"/>
      <c r="U218" s="252"/>
      <c r="V218" s="252"/>
      <c r="W218" s="252"/>
      <c r="X218" s="252"/>
      <c r="Y218" s="252"/>
      <c r="Z218" s="252"/>
      <c r="AA218" s="252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</row>
    <row r="219" spans="1:40">
      <c r="A219" s="204"/>
      <c r="B219" s="204"/>
      <c r="D219" s="204"/>
      <c r="F219" s="204"/>
      <c r="G219" s="204"/>
      <c r="H219" s="204"/>
      <c r="I219" s="204"/>
      <c r="J219" s="204"/>
      <c r="K219" s="204"/>
      <c r="L219" s="1678"/>
      <c r="M219" s="245"/>
      <c r="N219" s="245"/>
      <c r="O219" s="1215"/>
      <c r="P219" s="1215"/>
      <c r="Q219" s="1293"/>
      <c r="R219" s="1293"/>
      <c r="S219" s="251"/>
      <c r="T219" s="251"/>
      <c r="U219" s="252"/>
      <c r="V219" s="252"/>
      <c r="W219" s="252"/>
      <c r="X219" s="252"/>
      <c r="Y219" s="252"/>
      <c r="Z219" s="252"/>
      <c r="AA219" s="252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</row>
    <row r="220" spans="1:40">
      <c r="A220" s="204"/>
      <c r="B220" s="204"/>
      <c r="D220" s="204"/>
      <c r="F220" s="204"/>
      <c r="G220" s="204"/>
      <c r="H220" s="204"/>
      <c r="I220" s="204"/>
      <c r="J220" s="204"/>
      <c r="K220" s="204"/>
      <c r="L220" s="1678"/>
      <c r="M220" s="245"/>
      <c r="N220" s="245"/>
      <c r="O220" s="1215"/>
      <c r="P220" s="1215"/>
      <c r="Q220" s="1293"/>
      <c r="R220" s="1293"/>
      <c r="S220" s="251"/>
      <c r="T220" s="251"/>
      <c r="U220" s="252"/>
      <c r="V220" s="252"/>
      <c r="W220" s="252"/>
      <c r="X220" s="252"/>
      <c r="Y220" s="252"/>
      <c r="Z220" s="252"/>
      <c r="AA220" s="252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</row>
    <row r="221" spans="1:40">
      <c r="A221" s="204"/>
      <c r="B221" s="204"/>
      <c r="D221" s="204"/>
      <c r="F221" s="204"/>
      <c r="G221" s="204"/>
      <c r="H221" s="204"/>
      <c r="I221" s="204"/>
      <c r="J221" s="204"/>
      <c r="K221" s="204"/>
      <c r="L221" s="1678"/>
      <c r="M221" s="245"/>
      <c r="N221" s="245"/>
      <c r="O221" s="1215"/>
      <c r="P221" s="1215"/>
      <c r="Q221" s="1293"/>
      <c r="R221" s="1293"/>
      <c r="S221" s="251"/>
      <c r="T221" s="251"/>
      <c r="U221" s="252"/>
      <c r="V221" s="252"/>
      <c r="W221" s="252"/>
      <c r="X221" s="252"/>
      <c r="Y221" s="252"/>
      <c r="Z221" s="252"/>
      <c r="AA221" s="252"/>
      <c r="AB221" s="204"/>
      <c r="AC221" s="204"/>
      <c r="AD221" s="204"/>
      <c r="AE221" s="204"/>
      <c r="AF221" s="204"/>
      <c r="AG221" s="204"/>
      <c r="AH221" s="204"/>
      <c r="AI221" s="204"/>
      <c r="AJ221" s="204"/>
      <c r="AK221" s="204"/>
      <c r="AL221" s="204"/>
      <c r="AM221" s="204"/>
      <c r="AN221" s="204"/>
    </row>
  </sheetData>
  <mergeCells count="2">
    <mergeCell ref="H43:H45"/>
    <mergeCell ref="Q47:R47"/>
  </mergeCells>
  <phoneticPr fontId="21" type="noConversion"/>
  <printOptions horizontalCentered="1" verticalCentered="1"/>
  <pageMargins left="0" right="0" top="0.59055118110236227" bottom="0" header="0.19685039370078741" footer="0"/>
  <pageSetup paperSize="9" scale="105" fitToHeight="2" orientation="landscape" horizontalDpi="0" verticalDpi="0"/>
  <headerFooter>
    <oddHeader>&amp;L&amp;K000000&amp;D&amp;C&amp;K000000&amp;Z&amp;F&amp;R&amp;K000000&amp;P de &amp;N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>
    <pageSetUpPr fitToPage="1"/>
  </sheetPr>
  <dimension ref="A1:AO244"/>
  <sheetViews>
    <sheetView topLeftCell="A23" zoomScale="164" zoomScaleNormal="164" zoomScalePageLayoutView="118" workbookViewId="0">
      <selection sqref="A1:R71"/>
    </sheetView>
  </sheetViews>
  <sheetFormatPr baseColWidth="10" defaultColWidth="11.5" defaultRowHeight="11"/>
  <cols>
    <col min="1" max="1" width="2.83203125" style="1020" customWidth="1"/>
    <col min="2" max="2" width="2.83203125" style="1212" customWidth="1"/>
    <col min="3" max="3" width="1.6640625" style="245" customWidth="1"/>
    <col min="4" max="4" width="1" style="1213" customWidth="1"/>
    <col min="5" max="5" width="2" style="1281" customWidth="1"/>
    <col min="6" max="6" width="3" style="1205" customWidth="1"/>
    <col min="7" max="7" width="4" style="1206" customWidth="1"/>
    <col min="8" max="8" width="6.83203125" style="1206" customWidth="1"/>
    <col min="9" max="10" width="7.6640625" style="1206" customWidth="1"/>
    <col min="11" max="11" width="46.83203125" style="1206" customWidth="1"/>
    <col min="12" max="12" width="7.83203125" style="1671" customWidth="1"/>
    <col min="13" max="13" width="1" style="1208" customWidth="1"/>
    <col min="14" max="14" width="7.6640625" style="1205" customWidth="1"/>
    <col min="15" max="15" width="1" style="1206" customWidth="1"/>
    <col min="16" max="16" width="7.6640625" style="1206" customWidth="1"/>
    <col min="17" max="17" width="6" style="1209" customWidth="1"/>
    <col min="18" max="18" width="4.5" style="1209" customWidth="1"/>
    <col min="19" max="19" width="1" style="210" customWidth="1"/>
    <col min="20" max="20" width="0.33203125" style="210" customWidth="1"/>
    <col min="21" max="21" width="6" style="1098" customWidth="1"/>
    <col min="22" max="22" width="5.6640625" style="1098" customWidth="1"/>
    <col min="23" max="23" width="6.33203125" style="1098" customWidth="1"/>
    <col min="24" max="24" width="5.33203125" style="1098" customWidth="1"/>
    <col min="25" max="25" width="6" style="1098" customWidth="1"/>
    <col min="26" max="27" width="5.33203125" style="1098" customWidth="1"/>
    <col min="28" max="28" width="7.6640625" style="244" customWidth="1"/>
    <col min="29" max="29" width="8.5" style="1211" customWidth="1"/>
    <col min="30" max="33" width="4.5" style="1211" customWidth="1"/>
    <col min="34" max="34" width="6.5" style="1211" customWidth="1"/>
    <col min="35" max="39" width="5.33203125" style="1211" customWidth="1"/>
    <col min="40" max="40" width="11.5" style="244"/>
    <col min="41" max="16384" width="11.5" style="245"/>
  </cols>
  <sheetData>
    <row r="1" spans="1:40" ht="12" customHeight="1">
      <c r="A1" s="1204" t="s">
        <v>344</v>
      </c>
      <c r="B1" s="245"/>
      <c r="C1" s="1126"/>
      <c r="D1" s="1127"/>
      <c r="E1" s="1128"/>
      <c r="K1" s="7868">
        <v>45901</v>
      </c>
      <c r="V1" s="1210"/>
      <c r="AI1" s="244"/>
      <c r="AJ1" s="244"/>
      <c r="AK1" s="244"/>
      <c r="AL1" s="244"/>
      <c r="AM1" s="244"/>
    </row>
    <row r="2" spans="1:40" ht="11" customHeight="1" thickBot="1">
      <c r="F2" s="1496"/>
      <c r="G2" s="1215"/>
      <c r="H2" s="1215"/>
      <c r="I2" s="1215"/>
      <c r="K2" s="7869"/>
      <c r="L2" s="2393"/>
      <c r="U2" s="1219" t="s">
        <v>345</v>
      </c>
      <c r="AI2" s="244"/>
      <c r="AJ2" s="244"/>
      <c r="AK2" s="244"/>
      <c r="AL2" s="244"/>
      <c r="AM2" s="244"/>
    </row>
    <row r="3" spans="1:40" s="4464" customFormat="1" ht="61" customHeight="1" thickTop="1" thickBot="1">
      <c r="A3" s="4446" t="s">
        <v>346</v>
      </c>
      <c r="B3" s="4447" t="s">
        <v>347</v>
      </c>
      <c r="C3" s="4448" t="s">
        <v>348</v>
      </c>
      <c r="D3" s="4449"/>
      <c r="E3" s="4448" t="s">
        <v>349</v>
      </c>
      <c r="F3" s="4450" t="s">
        <v>350</v>
      </c>
      <c r="G3" s="4451" t="s">
        <v>351</v>
      </c>
      <c r="H3" s="4451" t="s">
        <v>624</v>
      </c>
      <c r="I3" s="4451" t="s">
        <v>352</v>
      </c>
      <c r="J3" s="4450" t="s">
        <v>353</v>
      </c>
      <c r="K3" s="4451" t="s">
        <v>354</v>
      </c>
      <c r="L3" s="4452"/>
      <c r="M3" s="1100" t="s">
        <v>355</v>
      </c>
      <c r="N3" s="4451" t="s">
        <v>445</v>
      </c>
      <c r="O3" s="4448" t="s">
        <v>446</v>
      </c>
      <c r="P3" s="4448" t="s">
        <v>447</v>
      </c>
      <c r="Q3" s="4453" t="s">
        <v>448</v>
      </c>
      <c r="R3" s="4454" t="s">
        <v>371</v>
      </c>
      <c r="S3" s="4455" t="s">
        <v>449</v>
      </c>
      <c r="T3" s="4455" t="s">
        <v>450</v>
      </c>
      <c r="U3" s="4456" t="s">
        <v>451</v>
      </c>
      <c r="V3" s="4457" t="s">
        <v>452</v>
      </c>
      <c r="W3" s="4458" t="s">
        <v>453</v>
      </c>
      <c r="X3" s="4459" t="s">
        <v>454</v>
      </c>
      <c r="Y3" s="4460" t="s">
        <v>455</v>
      </c>
      <c r="Z3" s="4461" t="s">
        <v>456</v>
      </c>
      <c r="AA3" s="4462" t="s">
        <v>457</v>
      </c>
      <c r="AB3" s="4463"/>
      <c r="AC3" s="221"/>
      <c r="AD3" s="222"/>
      <c r="AE3" s="222"/>
      <c r="AF3" s="222"/>
      <c r="AG3" s="222"/>
      <c r="AH3" s="222"/>
      <c r="AI3" s="4463"/>
      <c r="AJ3" s="4463"/>
      <c r="AK3" s="4463"/>
      <c r="AL3" s="4463"/>
      <c r="AM3" s="4463"/>
      <c r="AN3" s="4463"/>
    </row>
    <row r="4" spans="1:40" s="223" customFormat="1" ht="5" customHeight="1" thickBot="1">
      <c r="A4" s="911"/>
      <c r="B4" s="912"/>
      <c r="C4" s="913"/>
      <c r="D4" s="914"/>
      <c r="E4" s="913"/>
      <c r="F4" s="915"/>
      <c r="G4" s="913"/>
      <c r="H4" s="913"/>
      <c r="I4" s="913"/>
      <c r="J4" s="915"/>
      <c r="K4" s="913"/>
      <c r="L4" s="1674"/>
      <c r="M4" s="1339"/>
      <c r="N4" s="913"/>
      <c r="O4" s="913"/>
      <c r="P4" s="913"/>
      <c r="Q4" s="917"/>
      <c r="R4" s="918"/>
      <c r="S4" s="919"/>
      <c r="T4" s="919"/>
      <c r="U4" s="1108">
        <f>Test!$D$29</f>
        <v>9.1523857526881758E-4</v>
      </c>
      <c r="V4" s="1108">
        <f>Test!$D$31</f>
        <v>8.7635030864197572E-4</v>
      </c>
      <c r="W4" s="1108">
        <f>Test!$D$33</f>
        <v>8.4888763197586746E-4</v>
      </c>
      <c r="X4" s="1108">
        <f>Test!$D$35</f>
        <v>8.0990657955066516E-4</v>
      </c>
      <c r="Y4" s="1108">
        <f>Test!$D$37</f>
        <v>7.5735749690210676E-4</v>
      </c>
      <c r="Z4" s="1108">
        <f>Test!$D$39</f>
        <v>7.2916666666666692E-4</v>
      </c>
      <c r="AA4" s="3186">
        <f>Test!$D$41</f>
        <v>7.0729166666666694E-4</v>
      </c>
      <c r="AB4" s="220"/>
      <c r="AC4" s="1221"/>
      <c r="AD4" s="1211"/>
      <c r="AE4" s="1211"/>
      <c r="AF4" s="1211"/>
      <c r="AG4" s="1211"/>
      <c r="AH4" s="1211"/>
      <c r="AI4" s="220"/>
      <c r="AJ4" s="220"/>
      <c r="AK4" s="220"/>
      <c r="AL4" s="220"/>
      <c r="AM4" s="220"/>
      <c r="AN4" s="220"/>
    </row>
    <row r="5" spans="1:40" s="223" customFormat="1" ht="13" customHeight="1" thickBot="1">
      <c r="A5" s="911"/>
      <c r="B5" s="912"/>
      <c r="C5" s="1224"/>
      <c r="D5" s="1225"/>
      <c r="E5" s="1224"/>
      <c r="F5" s="2383"/>
      <c r="G5" s="2382"/>
      <c r="H5" s="361"/>
      <c r="I5" s="2382"/>
      <c r="J5" s="2383"/>
      <c r="K5" s="2382"/>
      <c r="L5" s="2394"/>
      <c r="M5" s="1226"/>
      <c r="N5" s="2382"/>
      <c r="O5" s="1224"/>
      <c r="P5" s="1224"/>
      <c r="Q5" s="1224"/>
      <c r="R5" s="1227"/>
      <c r="S5" s="1228"/>
      <c r="T5" s="1228"/>
      <c r="U5" s="1108">
        <f>U4/4</f>
        <v>2.2880964381720439E-4</v>
      </c>
      <c r="V5" s="1108">
        <f t="shared" ref="V5:AA5" si="0">V4/4</f>
        <v>2.1908757716049393E-4</v>
      </c>
      <c r="W5" s="1108">
        <f t="shared" si="0"/>
        <v>2.1222190799396687E-4</v>
      </c>
      <c r="X5" s="1108">
        <f t="shared" si="0"/>
        <v>2.0247664488766629E-4</v>
      </c>
      <c r="Y5" s="1108">
        <f t="shared" si="0"/>
        <v>1.8933937422552669E-4</v>
      </c>
      <c r="Z5" s="1108">
        <f t="shared" si="0"/>
        <v>1.8229166666666673E-4</v>
      </c>
      <c r="AA5" s="1108">
        <f t="shared" si="0"/>
        <v>1.7682291666666674E-4</v>
      </c>
      <c r="AB5" s="220"/>
      <c r="AC5" s="1229"/>
      <c r="AD5" s="1230"/>
      <c r="AE5" s="1230"/>
      <c r="AF5" s="1230"/>
      <c r="AG5" s="1230"/>
      <c r="AH5" s="1230"/>
      <c r="AI5" s="220"/>
      <c r="AJ5" s="220"/>
      <c r="AK5" s="220"/>
      <c r="AL5" s="220"/>
      <c r="AM5" s="220"/>
      <c r="AN5" s="220"/>
    </row>
    <row r="6" spans="1:40" s="223" customFormat="1" ht="13" customHeight="1" thickTop="1" thickBot="1">
      <c r="A6" s="4426"/>
      <c r="B6" s="4427" t="s">
        <v>140</v>
      </c>
      <c r="C6" s="629"/>
      <c r="D6" s="1357"/>
      <c r="E6" s="1206"/>
      <c r="F6" s="1206"/>
      <c r="G6" s="1206"/>
      <c r="J6" s="2390" t="s">
        <v>1486</v>
      </c>
      <c r="K6" s="3039" t="s">
        <v>2372</v>
      </c>
      <c r="L6" s="1206"/>
      <c r="M6" s="1206"/>
      <c r="N6" s="1206"/>
      <c r="O6" s="1206"/>
      <c r="P6" s="1206"/>
      <c r="Q6" s="1206"/>
      <c r="R6" s="1206"/>
      <c r="S6" s="1118">
        <f t="shared" ref="S6" si="1">E6*F6*G6/1000</f>
        <v>0</v>
      </c>
      <c r="T6" s="1119">
        <f t="shared" ref="T6" si="2">E6*F6*O6*4</f>
        <v>0</v>
      </c>
      <c r="U6" s="374">
        <f t="shared" ref="U6" si="3">IF(C6*4&gt;=$U$4,S6,0)</f>
        <v>0</v>
      </c>
      <c r="V6" s="1120">
        <f t="shared" ref="V6" si="4">IF(AND(C6*4&gt;=$V$4,C6*4&lt;$U$4),S6,0)</f>
        <v>0</v>
      </c>
      <c r="W6" s="376">
        <f t="shared" ref="W6" si="5">IF(AND(C6*4&gt;=$W$4,C6*4&lt;$V$4),S6,0)</f>
        <v>0</v>
      </c>
      <c r="X6" s="377">
        <f t="shared" ref="X6" si="6">IF(AND(C6*4&gt;=$X$4,C6*4&lt;$W$4),S6,0)</f>
        <v>0</v>
      </c>
      <c r="Y6" s="378">
        <f t="shared" ref="Y6" si="7">IF(AND(C6*4&gt;=$Y$4,C6*4&lt;$X$4),S6,0)</f>
        <v>0</v>
      </c>
      <c r="Z6" s="1121">
        <f t="shared" ref="Z6" si="8">IF(AND(C6*4&gt;=$Z$4,C6*4&lt;$Y$4),S6,0)</f>
        <v>0</v>
      </c>
      <c r="AA6" s="1122">
        <f t="shared" ref="AA6" si="9">IF(AND(C6*4&gt;=$AA$4,C6*4&lt;$Z$4),S6,0)</f>
        <v>0</v>
      </c>
      <c r="AB6" s="220"/>
      <c r="AC6" s="1229"/>
      <c r="AD6" s="1230"/>
      <c r="AE6" s="1230"/>
      <c r="AF6" s="1230"/>
      <c r="AG6" s="1230"/>
      <c r="AH6" s="1230"/>
      <c r="AI6" s="220"/>
      <c r="AJ6" s="220"/>
      <c r="AK6" s="220"/>
      <c r="AL6" s="220"/>
      <c r="AM6" s="220"/>
      <c r="AN6" s="220"/>
    </row>
    <row r="7" spans="1:40" s="223" customFormat="1" ht="13" customHeight="1" thickBot="1">
      <c r="A7" s="4426"/>
      <c r="B7" s="3566" t="s">
        <v>215</v>
      </c>
      <c r="C7" s="629">
        <f t="shared" ref="C7:C11" si="10">IF(D7=1,U$5,IF(D7=2,V$5,IF(D7=3,W$5,IF(D7=4,X$5,IF(D7=5,Y$5,IF(D7=6,Z$5,IF(D7=7,AA$5,0)))))))</f>
        <v>2.2880964381720439E-4</v>
      </c>
      <c r="D7" s="2309">
        <v>1</v>
      </c>
      <c r="E7" s="4385">
        <v>1</v>
      </c>
      <c r="F7" s="630">
        <v>2</v>
      </c>
      <c r="G7" s="630">
        <v>300</v>
      </c>
      <c r="H7" s="630"/>
      <c r="I7" s="631">
        <v>1.1574074074074073E-4</v>
      </c>
      <c r="J7" s="631">
        <v>1.3888888888888889E-3</v>
      </c>
      <c r="K7" s="632" t="s">
        <v>1028</v>
      </c>
      <c r="L7" s="631">
        <v>0.34027777777777773</v>
      </c>
      <c r="M7" s="1362">
        <v>1.1000000000000001</v>
      </c>
      <c r="N7" s="631">
        <f>P7*E7*F7+I7*E7*F7+J7*E7</f>
        <v>7.6609449671445678E-3</v>
      </c>
      <c r="O7" s="634">
        <f>C7*(G7/25)</f>
        <v>2.7457157258064528E-3</v>
      </c>
      <c r="P7" s="631">
        <f>O7*M7</f>
        <v>3.0202872983870984E-3</v>
      </c>
      <c r="Q7" s="2255">
        <v>129</v>
      </c>
      <c r="R7" s="1363">
        <f>E7*F7*G7</f>
        <v>600</v>
      </c>
      <c r="S7" s="1118">
        <f t="shared" ref="S7" si="11">E7*F7*G7/1000</f>
        <v>0.6</v>
      </c>
      <c r="T7" s="1119">
        <f t="shared" ref="T7" si="12">E7*F7*O7*4</f>
        <v>2.1965725806451623E-2</v>
      </c>
      <c r="U7" s="374">
        <f t="shared" ref="U7" si="13">IF(C7*4&gt;=$U$4,S7,0)</f>
        <v>0.6</v>
      </c>
      <c r="V7" s="1120">
        <f t="shared" ref="V7" si="14">IF(AND(C7*4&gt;=$V$4,C7*4&lt;$U$4),S7,0)</f>
        <v>0</v>
      </c>
      <c r="W7" s="376">
        <f t="shared" ref="W7" si="15">IF(AND(C7*4&gt;=$W$4,C7*4&lt;$V$4),S7,0)</f>
        <v>0</v>
      </c>
      <c r="X7" s="377">
        <f t="shared" ref="X7" si="16">IF(AND(C7*4&gt;=$X$4,C7*4&lt;$W$4),S7,0)</f>
        <v>0</v>
      </c>
      <c r="Y7" s="378">
        <f t="shared" ref="Y7" si="17">IF(AND(C7*4&gt;=$Y$4,C7*4&lt;$X$4),S7,0)</f>
        <v>0</v>
      </c>
      <c r="Z7" s="1121">
        <f t="shared" ref="Z7" si="18">IF(AND(C7*4&gt;=$Z$4,C7*4&lt;$Y$4),S7,0)</f>
        <v>0</v>
      </c>
      <c r="AA7" s="1122">
        <f t="shared" ref="AA7" si="19">IF(AND(C7*4&gt;=$AA$4,C7*4&lt;$Z$4),S7,0)</f>
        <v>0</v>
      </c>
      <c r="AB7" s="220"/>
      <c r="AC7" s="1229"/>
      <c r="AD7" s="1230"/>
      <c r="AE7" s="1230"/>
      <c r="AF7" s="1230"/>
      <c r="AG7" s="1230"/>
      <c r="AH7" s="1230"/>
      <c r="AI7" s="220"/>
      <c r="AJ7" s="220"/>
      <c r="AK7" s="220"/>
      <c r="AL7" s="220"/>
      <c r="AM7" s="220"/>
      <c r="AN7" s="220"/>
    </row>
    <row r="8" spans="1:40" s="223" customFormat="1" ht="13" customHeight="1" thickBot="1">
      <c r="A8" s="4426" t="s">
        <v>214</v>
      </c>
      <c r="B8" s="3566" t="s">
        <v>215</v>
      </c>
      <c r="C8" s="629">
        <f t="shared" si="10"/>
        <v>2.1222190799396687E-4</v>
      </c>
      <c r="D8" s="1442">
        <v>3</v>
      </c>
      <c r="E8" s="3818">
        <v>1</v>
      </c>
      <c r="F8" s="2257">
        <v>16</v>
      </c>
      <c r="G8" s="2257">
        <v>25</v>
      </c>
      <c r="H8" s="2257"/>
      <c r="I8" s="2258">
        <v>1.3888888888888889E-4</v>
      </c>
      <c r="J8" s="2258">
        <v>1.3888888888888889E-3</v>
      </c>
      <c r="K8" s="2259" t="s">
        <v>2545</v>
      </c>
      <c r="L8" s="2260">
        <f>L7+N7</f>
        <v>0.34793872274492232</v>
      </c>
      <c r="M8" s="2261">
        <v>1.3</v>
      </c>
      <c r="N8" s="2260">
        <f t="shared" ref="N8" si="20">P8*E8*F8+I8*F8*E8+J8*E8</f>
        <v>8.4667483660130737E-3</v>
      </c>
      <c r="O8" s="2262">
        <f>C8*(G8/25)*1.1</f>
        <v>2.3344409879336357E-4</v>
      </c>
      <c r="P8" s="2260">
        <f>O8*M8</f>
        <v>3.0347732843137267E-4</v>
      </c>
      <c r="Q8" s="2263">
        <v>144</v>
      </c>
      <c r="R8" s="2357">
        <f>E8*F8*G8</f>
        <v>400</v>
      </c>
      <c r="S8" s="1118">
        <f t="shared" ref="S8:S56" si="21">E8*F8*G8/1000</f>
        <v>0.4</v>
      </c>
      <c r="T8" s="1119">
        <f t="shared" ref="T8:T56" si="22">E8*F8*O8*4</f>
        <v>1.4940422322775268E-2</v>
      </c>
      <c r="U8" s="374">
        <f t="shared" ref="U8:U69" si="23">IF(C8*4&gt;=$U$4,S8,0)</f>
        <v>0</v>
      </c>
      <c r="V8" s="1120">
        <f t="shared" ref="V8:V69" si="24">IF(AND(C8*4&gt;=$V$4,C8*4&lt;$U$4),S8,0)</f>
        <v>0</v>
      </c>
      <c r="W8" s="376">
        <f t="shared" ref="W8:W69" si="25">IF(AND(C8*4&gt;=$W$4,C8*4&lt;$V$4),S8,0)</f>
        <v>0.4</v>
      </c>
      <c r="X8" s="377">
        <f t="shared" ref="X8:X69" si="26">IF(AND(C8*4&gt;=$X$4,C8*4&lt;$W$4),S8,0)</f>
        <v>0</v>
      </c>
      <c r="Y8" s="378">
        <f t="shared" ref="Y8:Y69" si="27">IF(AND(C8*4&gt;=$Y$4,C8*4&lt;$X$4),S8,0)</f>
        <v>0</v>
      </c>
      <c r="Z8" s="1121">
        <f t="shared" ref="Z8:Z69" si="28">IF(AND(C8*4&gt;=$Z$4,C8*4&lt;$Y$4),S8,0)</f>
        <v>0</v>
      </c>
      <c r="AA8" s="1122">
        <f t="shared" ref="AA8:AA69" si="29">IF(AND(C8*4&gt;=$AA$4,C8*4&lt;$Z$4),S8,0)</f>
        <v>0</v>
      </c>
      <c r="AB8" s="220"/>
      <c r="AC8" s="1229"/>
      <c r="AD8" s="1230"/>
      <c r="AE8" s="1230"/>
      <c r="AF8" s="1230"/>
      <c r="AG8" s="1230"/>
      <c r="AH8" s="1230"/>
      <c r="AI8" s="220"/>
      <c r="AJ8" s="220"/>
      <c r="AK8" s="220"/>
      <c r="AL8" s="220"/>
      <c r="AM8" s="220"/>
      <c r="AN8" s="220"/>
    </row>
    <row r="9" spans="1:40" s="223" customFormat="1" ht="13" customHeight="1" thickBot="1">
      <c r="A9" s="4426" t="s">
        <v>460</v>
      </c>
      <c r="B9" s="3566" t="s">
        <v>215</v>
      </c>
      <c r="C9" s="629">
        <f t="shared" si="10"/>
        <v>2.1908757716049393E-4</v>
      </c>
      <c r="D9" s="1442">
        <v>2</v>
      </c>
      <c r="E9" s="4387">
        <v>2</v>
      </c>
      <c r="F9" s="2373">
        <v>4</v>
      </c>
      <c r="G9" s="2373">
        <v>25</v>
      </c>
      <c r="H9" s="2269"/>
      <c r="I9" s="2374">
        <v>2.3148148148148146E-4</v>
      </c>
      <c r="J9" s="2375">
        <v>1.3888888888888889E-3</v>
      </c>
      <c r="K9" s="2376" t="s">
        <v>1027</v>
      </c>
      <c r="L9" s="2375">
        <f>L8+N8</f>
        <v>0.3564054711109354</v>
      </c>
      <c r="M9" s="2269">
        <v>0.9</v>
      </c>
      <c r="N9" s="2377">
        <f t="shared" ref="N9" si="30">P9*E9*F9+I9*F9*E9+J9*E9</f>
        <v>6.2070601851851852E-3</v>
      </c>
      <c r="O9" s="2271">
        <f>C9*(G9/25)</f>
        <v>2.1908757716049393E-4</v>
      </c>
      <c r="P9" s="2377">
        <f>O9*M9</f>
        <v>1.9717881944444454E-4</v>
      </c>
      <c r="Q9" s="2272"/>
      <c r="R9" s="2378">
        <f>E9*F9*G9</f>
        <v>200</v>
      </c>
      <c r="S9" s="1118">
        <f t="shared" si="21"/>
        <v>0.2</v>
      </c>
      <c r="T9" s="1119">
        <f t="shared" si="22"/>
        <v>7.0108024691358057E-3</v>
      </c>
      <c r="U9" s="374">
        <f t="shared" si="23"/>
        <v>0</v>
      </c>
      <c r="V9" s="1120">
        <f t="shared" si="24"/>
        <v>0.2</v>
      </c>
      <c r="W9" s="376">
        <f t="shared" si="25"/>
        <v>0</v>
      </c>
      <c r="X9" s="377">
        <f t="shared" si="26"/>
        <v>0</v>
      </c>
      <c r="Y9" s="378">
        <f t="shared" si="27"/>
        <v>0</v>
      </c>
      <c r="Z9" s="1121">
        <f t="shared" si="28"/>
        <v>0</v>
      </c>
      <c r="AA9" s="1122">
        <f t="shared" si="29"/>
        <v>0</v>
      </c>
      <c r="AB9" s="501">
        <v>0</v>
      </c>
      <c r="AC9" s="535"/>
      <c r="AD9" s="1230"/>
      <c r="AE9" s="1230"/>
      <c r="AF9" s="1230"/>
      <c r="AG9" s="1230"/>
      <c r="AH9" s="1230"/>
      <c r="AI9" s="220"/>
      <c r="AJ9" s="220"/>
      <c r="AK9" s="220"/>
      <c r="AL9" s="220"/>
      <c r="AM9" s="220"/>
      <c r="AN9" s="220"/>
    </row>
    <row r="10" spans="1:40" s="223" customFormat="1" ht="13" customHeight="1" thickBot="1">
      <c r="A10" s="4426" t="s">
        <v>458</v>
      </c>
      <c r="B10" s="3566" t="s">
        <v>215</v>
      </c>
      <c r="C10" s="629">
        <f t="shared" si="10"/>
        <v>2.1908757716049393E-4</v>
      </c>
      <c r="D10" s="1442">
        <v>2</v>
      </c>
      <c r="E10" s="4386">
        <v>1</v>
      </c>
      <c r="F10" s="2276">
        <v>8</v>
      </c>
      <c r="G10" s="2276">
        <v>100</v>
      </c>
      <c r="H10" s="2277"/>
      <c r="I10" s="2277">
        <v>1.7361111111111112E-4</v>
      </c>
      <c r="J10" s="2277">
        <v>2.8935185185185189E-4</v>
      </c>
      <c r="K10" s="1498" t="s">
        <v>2546</v>
      </c>
      <c r="L10" s="2279">
        <f t="shared" ref="L10:L12" si="31">L9+N9</f>
        <v>0.36261253129612059</v>
      </c>
      <c r="M10" s="2280">
        <v>1.2</v>
      </c>
      <c r="N10" s="2277">
        <f>P10*E10*F10+I10*F10*E10+J10*E10</f>
        <v>1.0091203703703706E-2</v>
      </c>
      <c r="O10" s="2281">
        <f t="shared" ref="O10:O11" si="32">C10*(G10/25)</f>
        <v>8.7635030864197572E-4</v>
      </c>
      <c r="P10" s="2281">
        <f t="shared" ref="P10:P11" si="33">O10*M10</f>
        <v>1.0516203703703707E-3</v>
      </c>
      <c r="Q10" s="2282">
        <v>144</v>
      </c>
      <c r="R10" s="2354">
        <f t="shared" ref="R10:R11" si="34">E10*F10*G10</f>
        <v>800</v>
      </c>
      <c r="S10" s="1118">
        <f t="shared" si="21"/>
        <v>0.8</v>
      </c>
      <c r="T10" s="1119">
        <f t="shared" si="22"/>
        <v>2.8043209876543223E-2</v>
      </c>
      <c r="U10" s="374">
        <f t="shared" si="23"/>
        <v>0</v>
      </c>
      <c r="V10" s="1120">
        <f t="shared" si="24"/>
        <v>0.8</v>
      </c>
      <c r="W10" s="376">
        <f t="shared" si="25"/>
        <v>0</v>
      </c>
      <c r="X10" s="377">
        <f t="shared" si="26"/>
        <v>0</v>
      </c>
      <c r="Y10" s="378">
        <f t="shared" si="27"/>
        <v>0</v>
      </c>
      <c r="Z10" s="1121">
        <f t="shared" si="28"/>
        <v>0</v>
      </c>
      <c r="AA10" s="1122">
        <f t="shared" si="29"/>
        <v>0</v>
      </c>
      <c r="AB10" s="502">
        <v>0</v>
      </c>
      <c r="AC10" s="535"/>
      <c r="AD10" s="1230"/>
      <c r="AE10" s="1230"/>
      <c r="AF10" s="1230"/>
      <c r="AG10" s="1230"/>
      <c r="AH10" s="1230"/>
      <c r="AI10" s="220"/>
      <c r="AJ10" s="220"/>
      <c r="AK10" s="220"/>
      <c r="AL10" s="220"/>
      <c r="AM10" s="220"/>
      <c r="AN10" s="220"/>
    </row>
    <row r="11" spans="1:40" s="223" customFormat="1" ht="13" customHeight="1" thickBot="1">
      <c r="A11" s="4426" t="s">
        <v>219</v>
      </c>
      <c r="B11" s="3566" t="s">
        <v>215</v>
      </c>
      <c r="C11" s="2256">
        <f t="shared" si="10"/>
        <v>2.1908757716049393E-4</v>
      </c>
      <c r="D11" s="2309">
        <v>2</v>
      </c>
      <c r="E11" s="3818">
        <v>1</v>
      </c>
      <c r="F11" s="2257">
        <v>4</v>
      </c>
      <c r="G11" s="2257">
        <v>50</v>
      </c>
      <c r="H11" s="2258"/>
      <c r="I11" s="2258">
        <v>1.7361111111111112E-4</v>
      </c>
      <c r="J11" s="2258">
        <v>1.3888888888888889E-3</v>
      </c>
      <c r="K11" s="2259" t="s">
        <v>1483</v>
      </c>
      <c r="L11" s="2361">
        <f t="shared" si="31"/>
        <v>0.37270373499982429</v>
      </c>
      <c r="M11" s="2326">
        <v>1</v>
      </c>
      <c r="N11" s="2258">
        <f t="shared" ref="N11" si="35">P11*E11*F11+I11*E11*F11+J11*E11</f>
        <v>3.8360339506172845E-3</v>
      </c>
      <c r="O11" s="2262">
        <f t="shared" si="32"/>
        <v>4.3817515432098786E-4</v>
      </c>
      <c r="P11" s="2262">
        <f t="shared" si="33"/>
        <v>4.3817515432098786E-4</v>
      </c>
      <c r="Q11" s="2274">
        <v>160</v>
      </c>
      <c r="R11" s="2356">
        <f t="shared" si="34"/>
        <v>200</v>
      </c>
      <c r="S11" s="1118">
        <f t="shared" si="21"/>
        <v>0.2</v>
      </c>
      <c r="T11" s="1119">
        <f t="shared" si="22"/>
        <v>7.0108024691358057E-3</v>
      </c>
      <c r="U11" s="374">
        <f t="shared" si="23"/>
        <v>0</v>
      </c>
      <c r="V11" s="1120">
        <f t="shared" si="24"/>
        <v>0.2</v>
      </c>
      <c r="W11" s="376">
        <f t="shared" si="25"/>
        <v>0</v>
      </c>
      <c r="X11" s="377">
        <f t="shared" si="26"/>
        <v>0</v>
      </c>
      <c r="Y11" s="378">
        <f t="shared" si="27"/>
        <v>0</v>
      </c>
      <c r="Z11" s="1121">
        <f t="shared" si="28"/>
        <v>0</v>
      </c>
      <c r="AA11" s="1122">
        <f t="shared" si="29"/>
        <v>0</v>
      </c>
      <c r="AB11" s="503">
        <v>1462.3513513513515</v>
      </c>
      <c r="AC11" s="535"/>
      <c r="AD11" s="1230"/>
      <c r="AE11" s="1230"/>
      <c r="AF11" s="1230"/>
      <c r="AG11" s="1230"/>
      <c r="AH11" s="1230"/>
      <c r="AI11" s="220"/>
      <c r="AJ11" s="220"/>
      <c r="AK11" s="220"/>
      <c r="AL11" s="220"/>
      <c r="AM11" s="220"/>
      <c r="AN11" s="220"/>
    </row>
    <row r="12" spans="1:40" s="223" customFormat="1" ht="13" customHeight="1" thickBot="1">
      <c r="A12" s="4426" t="s">
        <v>458</v>
      </c>
      <c r="B12" s="3566" t="s">
        <v>215</v>
      </c>
      <c r="C12" s="629">
        <f t="shared" ref="C12:C13" si="36">IF(D12=1,U$5,IF(D12=2,V$5,IF(D12=3,W$5,IF(D12=4,X$5,IF(D12=5,Y$5,IF(D12=6,Z$5,IF(D12=7,AA$5,0)))))))</f>
        <v>2.1908757716049393E-4</v>
      </c>
      <c r="D12" s="3264">
        <v>2</v>
      </c>
      <c r="E12" s="2386">
        <v>2</v>
      </c>
      <c r="F12" s="2386">
        <v>1</v>
      </c>
      <c r="G12" s="2386">
        <v>100</v>
      </c>
      <c r="H12" s="1453"/>
      <c r="I12" s="1453">
        <v>1.7361111111111112E-4</v>
      </c>
      <c r="J12" s="1453">
        <v>2.8935185185185189E-4</v>
      </c>
      <c r="K12" s="1498" t="s">
        <v>2546</v>
      </c>
      <c r="L12" s="1143">
        <f t="shared" si="31"/>
        <v>0.37653976895044156</v>
      </c>
      <c r="M12" s="2397">
        <v>1.1000000000000001</v>
      </c>
      <c r="N12" s="1453">
        <f>P12*E12*F12+I12*F12*E12+J12*E12</f>
        <v>2.8538966049382725E-3</v>
      </c>
      <c r="O12" s="1175">
        <f t="shared" ref="O12:O13" si="37">C12*(G12/25)</f>
        <v>8.7635030864197572E-4</v>
      </c>
      <c r="P12" s="1175">
        <f t="shared" ref="P12:P13" si="38">O12*M12</f>
        <v>9.6398533950617339E-4</v>
      </c>
      <c r="Q12" s="550">
        <v>144</v>
      </c>
      <c r="R12" s="2398">
        <f t="shared" ref="R12:R13" si="39">E12*F12*G12</f>
        <v>200</v>
      </c>
      <c r="S12" s="1118">
        <f t="shared" si="21"/>
        <v>0.2</v>
      </c>
      <c r="T12" s="1119">
        <f t="shared" si="22"/>
        <v>7.0108024691358057E-3</v>
      </c>
      <c r="U12" s="374">
        <f t="shared" si="23"/>
        <v>0</v>
      </c>
      <c r="V12" s="1120">
        <f t="shared" si="24"/>
        <v>0.2</v>
      </c>
      <c r="W12" s="376">
        <f t="shared" si="25"/>
        <v>0</v>
      </c>
      <c r="X12" s="377">
        <f t="shared" si="26"/>
        <v>0</v>
      </c>
      <c r="Y12" s="378">
        <f t="shared" si="27"/>
        <v>0</v>
      </c>
      <c r="Z12" s="1121">
        <f t="shared" si="28"/>
        <v>0</v>
      </c>
      <c r="AA12" s="1122">
        <f t="shared" si="29"/>
        <v>0</v>
      </c>
      <c r="AB12" s="501">
        <v>0</v>
      </c>
      <c r="AC12" s="1229"/>
      <c r="AD12" s="1230"/>
      <c r="AE12" s="1230"/>
      <c r="AF12" s="1230"/>
      <c r="AG12" s="1230"/>
      <c r="AH12" s="1230"/>
      <c r="AI12" s="220"/>
      <c r="AJ12" s="220"/>
      <c r="AK12" s="220"/>
      <c r="AL12" s="220"/>
      <c r="AM12" s="220"/>
      <c r="AN12" s="220"/>
    </row>
    <row r="13" spans="1:40" s="223" customFormat="1" ht="13" customHeight="1" thickBot="1">
      <c r="A13" s="4426" t="s">
        <v>219</v>
      </c>
      <c r="B13" s="3566" t="s">
        <v>215</v>
      </c>
      <c r="C13" s="629">
        <f t="shared" si="36"/>
        <v>1.7682291666666674E-4</v>
      </c>
      <c r="D13" s="3264">
        <v>7</v>
      </c>
      <c r="E13" s="2387">
        <v>2</v>
      </c>
      <c r="F13" s="2388">
        <v>3</v>
      </c>
      <c r="G13" s="2388">
        <v>20</v>
      </c>
      <c r="H13" s="2391" t="s">
        <v>2373</v>
      </c>
      <c r="I13" s="2391">
        <v>6.9444444444444447E-4</v>
      </c>
      <c r="J13" s="2392">
        <v>1.6203703703703703E-3</v>
      </c>
      <c r="K13" s="2387" t="s">
        <v>1033</v>
      </c>
      <c r="L13" s="2392">
        <f t="shared" ref="L13:L14" si="40">L12+N12</f>
        <v>0.37939366555537984</v>
      </c>
      <c r="M13" s="1493">
        <v>0.78</v>
      </c>
      <c r="N13" s="1499">
        <f t="shared" ref="N13" si="41">P13*E13*F13+I13*F13*E13+J13*E13</f>
        <v>8.0694324074074078E-3</v>
      </c>
      <c r="O13" s="1191">
        <f t="shared" si="37"/>
        <v>1.4145833333333339E-4</v>
      </c>
      <c r="P13" s="1499">
        <f t="shared" si="38"/>
        <v>1.1033750000000005E-4</v>
      </c>
      <c r="Q13" s="790">
        <v>144</v>
      </c>
      <c r="R13" s="2402">
        <f t="shared" si="39"/>
        <v>120</v>
      </c>
      <c r="S13" s="1118">
        <f t="shared" si="21"/>
        <v>0.12</v>
      </c>
      <c r="T13" s="1119">
        <f t="shared" si="22"/>
        <v>3.3950000000000013E-3</v>
      </c>
      <c r="U13" s="374">
        <f t="shared" si="23"/>
        <v>0</v>
      </c>
      <c r="V13" s="1120">
        <f t="shared" si="24"/>
        <v>0</v>
      </c>
      <c r="W13" s="376">
        <f t="shared" si="25"/>
        <v>0</v>
      </c>
      <c r="X13" s="377">
        <f t="shared" si="26"/>
        <v>0</v>
      </c>
      <c r="Y13" s="378">
        <f t="shared" si="27"/>
        <v>0</v>
      </c>
      <c r="Z13" s="1121">
        <f t="shared" si="28"/>
        <v>0</v>
      </c>
      <c r="AA13" s="1122">
        <f t="shared" si="29"/>
        <v>0.12</v>
      </c>
      <c r="AB13" s="502">
        <v>0</v>
      </c>
      <c r="AC13" s="1229"/>
      <c r="AD13" s="1230"/>
      <c r="AE13" s="1230"/>
      <c r="AF13" s="1230"/>
      <c r="AG13" s="1230"/>
      <c r="AH13" s="1230"/>
      <c r="AI13" s="220"/>
      <c r="AJ13" s="220"/>
      <c r="AK13" s="220"/>
      <c r="AL13" s="220"/>
      <c r="AM13" s="220"/>
      <c r="AN13" s="220"/>
    </row>
    <row r="14" spans="1:40" s="223" customFormat="1" ht="13" customHeight="1" thickBot="1">
      <c r="A14" s="4426"/>
      <c r="B14" s="4427"/>
      <c r="C14" s="913"/>
      <c r="D14" s="914"/>
      <c r="E14" s="913"/>
      <c r="F14" s="2389"/>
      <c r="G14" s="1952"/>
      <c r="H14" s="625"/>
      <c r="I14" s="1952"/>
      <c r="J14" s="2389"/>
      <c r="K14" s="1952"/>
      <c r="L14" s="4434">
        <f t="shared" si="40"/>
        <v>0.38746309796278727</v>
      </c>
      <c r="M14" s="4435">
        <v>2</v>
      </c>
      <c r="N14" s="4482">
        <f>SUM(N11:N13)</f>
        <v>1.4759362962962964E-2</v>
      </c>
      <c r="O14" s="4436"/>
      <c r="P14" s="4437"/>
      <c r="Q14" s="4438"/>
      <c r="R14" s="4483">
        <f>SUM(R7:R13)</f>
        <v>2520</v>
      </c>
      <c r="S14" s="1118">
        <f t="shared" ref="S14" si="42">E14*F14*G14/1000</f>
        <v>0</v>
      </c>
      <c r="T14" s="1119">
        <f t="shared" si="22"/>
        <v>0</v>
      </c>
      <c r="U14" s="374">
        <f t="shared" si="23"/>
        <v>0</v>
      </c>
      <c r="V14" s="1120">
        <f t="shared" si="24"/>
        <v>0</v>
      </c>
      <c r="W14" s="376">
        <f t="shared" si="25"/>
        <v>0</v>
      </c>
      <c r="X14" s="377">
        <f t="shared" si="26"/>
        <v>0</v>
      </c>
      <c r="Y14" s="378">
        <f t="shared" si="27"/>
        <v>0</v>
      </c>
      <c r="Z14" s="1121">
        <f t="shared" si="28"/>
        <v>0</v>
      </c>
      <c r="AA14" s="1122">
        <f t="shared" si="29"/>
        <v>0</v>
      </c>
      <c r="AB14" s="220"/>
      <c r="AC14" s="1229"/>
      <c r="AD14" s="1230"/>
      <c r="AE14" s="1230"/>
      <c r="AF14" s="1230"/>
      <c r="AG14" s="1230"/>
      <c r="AH14" s="1230"/>
      <c r="AI14" s="220"/>
      <c r="AJ14" s="220"/>
      <c r="AK14" s="220"/>
      <c r="AL14" s="220"/>
      <c r="AM14" s="220"/>
      <c r="AN14" s="220"/>
    </row>
    <row r="15" spans="1:40" s="223" customFormat="1" ht="13" customHeight="1">
      <c r="A15" s="4439" t="s">
        <v>215</v>
      </c>
      <c r="B15" s="2892" t="s">
        <v>215</v>
      </c>
      <c r="C15" s="629">
        <f>IF(D15=1,U$5,IF(D15=2,V$5,IF(D15=3,W$5,IF(D15=4,X$5,IF(D15=5,Y$5,IF(D15=6,Z$5,IF(D15=7,AA$5,0)))))))</f>
        <v>2.2880964381720439E-4</v>
      </c>
      <c r="D15" s="2254">
        <v>1</v>
      </c>
      <c r="E15" s="630">
        <v>1</v>
      </c>
      <c r="F15" s="630">
        <v>2</v>
      </c>
      <c r="G15" s="630">
        <v>300</v>
      </c>
      <c r="H15" s="630"/>
      <c r="I15" s="631">
        <v>1.1574074074074073E-4</v>
      </c>
      <c r="J15" s="631">
        <v>1.3888888888888889E-3</v>
      </c>
      <c r="K15" s="632" t="s">
        <v>1028</v>
      </c>
      <c r="L15" s="629">
        <v>0.34027777777777773</v>
      </c>
      <c r="M15" s="1362">
        <v>1.1200000000000001</v>
      </c>
      <c r="N15" s="631">
        <f>P15*E15*F15+I15*E15*F15+J15*E15</f>
        <v>7.7707735961768257E-3</v>
      </c>
      <c r="O15" s="634">
        <f>C15*(G15/25)</f>
        <v>2.7457157258064528E-3</v>
      </c>
      <c r="P15" s="631">
        <f>O15*M15</f>
        <v>3.0752016129032274E-3</v>
      </c>
      <c r="Q15" s="2255">
        <v>129</v>
      </c>
      <c r="R15" s="636">
        <f>E15*F15*G15</f>
        <v>600</v>
      </c>
      <c r="S15" s="1118">
        <f t="shared" si="21"/>
        <v>0.6</v>
      </c>
      <c r="T15" s="1119">
        <f t="shared" si="22"/>
        <v>2.1965725806451623E-2</v>
      </c>
      <c r="U15" s="374">
        <f t="shared" si="23"/>
        <v>0.6</v>
      </c>
      <c r="V15" s="1120">
        <f t="shared" si="24"/>
        <v>0</v>
      </c>
      <c r="W15" s="376">
        <f t="shared" si="25"/>
        <v>0</v>
      </c>
      <c r="X15" s="377">
        <f t="shared" si="26"/>
        <v>0</v>
      </c>
      <c r="Y15" s="378">
        <f t="shared" si="27"/>
        <v>0</v>
      </c>
      <c r="Z15" s="1121">
        <f t="shared" si="28"/>
        <v>0</v>
      </c>
      <c r="AA15" s="1122">
        <f t="shared" si="29"/>
        <v>0</v>
      </c>
      <c r="AB15" s="220"/>
      <c r="AC15" s="1229"/>
      <c r="AD15" s="1230"/>
      <c r="AE15" s="1230"/>
      <c r="AF15" s="1230"/>
      <c r="AG15" s="1230"/>
      <c r="AH15" s="1230"/>
      <c r="AI15" s="220"/>
      <c r="AJ15" s="220"/>
      <c r="AK15" s="220"/>
      <c r="AL15" s="220"/>
      <c r="AM15" s="220"/>
      <c r="AN15" s="220"/>
    </row>
    <row r="16" spans="1:40" s="223" customFormat="1" ht="13" customHeight="1">
      <c r="A16" s="4439" t="s">
        <v>138</v>
      </c>
      <c r="B16" s="2889" t="s">
        <v>215</v>
      </c>
      <c r="C16" s="4107">
        <f>IF(D16=1,U$5,IF(D16=2,V$5,IF(D16=3,W$5,IF(D16=4,X$5,IF(D16=5,Y$5,IF(D16=6,Z$5,IF(D16=7,AA$5,0)))))))</f>
        <v>2.1222190799396687E-4</v>
      </c>
      <c r="D16" s="4418">
        <v>3</v>
      </c>
      <c r="E16" s="4135">
        <v>1</v>
      </c>
      <c r="F16" s="4135">
        <v>16</v>
      </c>
      <c r="G16" s="4135">
        <v>25</v>
      </c>
      <c r="H16" s="4135"/>
      <c r="I16" s="4125">
        <v>1.3888888888888889E-4</v>
      </c>
      <c r="J16" s="4125">
        <v>1.3888888888888889E-3</v>
      </c>
      <c r="K16" s="4136" t="s">
        <v>1923</v>
      </c>
      <c r="L16" s="4125">
        <f t="shared" ref="L16:L20" si="43">L15+N15</f>
        <v>0.34804855137395457</v>
      </c>
      <c r="M16" s="4465">
        <v>1.1000000000000001</v>
      </c>
      <c r="N16" s="4125">
        <f t="shared" ref="N16" si="44">P16*E16*F16+I16*F16*E16+J16*E16</f>
        <v>7.3462166918049285E-3</v>
      </c>
      <c r="O16" s="4137">
        <f>C16*(G16/25)</f>
        <v>2.1222190799396687E-4</v>
      </c>
      <c r="P16" s="4125">
        <f>O16*M16</f>
        <v>2.3344409879336357E-4</v>
      </c>
      <c r="Q16" s="4466">
        <v>144</v>
      </c>
      <c r="R16" s="4419">
        <f>E16*F16*G16</f>
        <v>400</v>
      </c>
      <c r="S16" s="1118">
        <f t="shared" si="21"/>
        <v>0.4</v>
      </c>
      <c r="T16" s="1119">
        <f t="shared" si="22"/>
        <v>1.3582202111613879E-2</v>
      </c>
      <c r="U16" s="374">
        <f t="shared" si="23"/>
        <v>0</v>
      </c>
      <c r="V16" s="1120">
        <f t="shared" si="24"/>
        <v>0</v>
      </c>
      <c r="W16" s="376">
        <f t="shared" si="25"/>
        <v>0.4</v>
      </c>
      <c r="X16" s="377">
        <f t="shared" si="26"/>
        <v>0</v>
      </c>
      <c r="Y16" s="378">
        <f t="shared" si="27"/>
        <v>0</v>
      </c>
      <c r="Z16" s="1121">
        <f t="shared" si="28"/>
        <v>0</v>
      </c>
      <c r="AA16" s="1122">
        <f t="shared" si="29"/>
        <v>0</v>
      </c>
      <c r="AB16" s="220"/>
      <c r="AC16" s="1229"/>
      <c r="AD16" s="1230"/>
      <c r="AE16" s="1230"/>
      <c r="AF16" s="1230"/>
      <c r="AG16" s="1230"/>
      <c r="AH16" s="1230"/>
      <c r="AI16" s="220"/>
      <c r="AJ16" s="220"/>
      <c r="AK16" s="220"/>
      <c r="AL16" s="220"/>
      <c r="AM16" s="220"/>
      <c r="AN16" s="220"/>
    </row>
    <row r="17" spans="1:40" s="223" customFormat="1" ht="13" customHeight="1" thickBot="1">
      <c r="A17" s="4439" t="s">
        <v>462</v>
      </c>
      <c r="B17" s="2889" t="s">
        <v>215</v>
      </c>
      <c r="C17" s="4107">
        <f>IF(D17=1,U$5,IF(D17=2,V$5,IF(D17=3,W$5,IF(D17=4,X$5,IF(D17=5,Y$5,IF(D17=6,Z$5,IF(D17=7,AA$5,0)))))))</f>
        <v>2.0247664488766629E-4</v>
      </c>
      <c r="D17" s="892">
        <v>4</v>
      </c>
      <c r="E17" s="303">
        <v>1</v>
      </c>
      <c r="F17" s="303">
        <v>4</v>
      </c>
      <c r="G17" s="303">
        <v>50</v>
      </c>
      <c r="H17" s="304" t="s">
        <v>2373</v>
      </c>
      <c r="I17" s="1134">
        <v>7.5231481481481471E-4</v>
      </c>
      <c r="J17" s="1134"/>
      <c r="K17" s="316" t="s">
        <v>1924</v>
      </c>
      <c r="L17" s="1134">
        <f t="shared" si="43"/>
        <v>0.35539476806575948</v>
      </c>
      <c r="M17" s="457">
        <v>0.95</v>
      </c>
      <c r="N17" s="1134">
        <f>P17*E17*F17+I17*E17*F17+J17*E17</f>
        <v>4.6096346604513729E-3</v>
      </c>
      <c r="O17" s="1134">
        <f>C17*(G17/25)*1.04</f>
        <v>4.2115142136634587E-4</v>
      </c>
      <c r="P17" s="1134">
        <f>O17*M17</f>
        <v>4.0009385029802857E-4</v>
      </c>
      <c r="Q17" s="334"/>
      <c r="R17" s="303">
        <f>E17*F17*G17</f>
        <v>200</v>
      </c>
      <c r="S17" s="1118">
        <f t="shared" si="21"/>
        <v>0.2</v>
      </c>
      <c r="T17" s="1119">
        <f t="shared" si="22"/>
        <v>6.738422741861534E-3</v>
      </c>
      <c r="U17" s="374">
        <f t="shared" si="23"/>
        <v>0</v>
      </c>
      <c r="V17" s="1120">
        <f t="shared" si="24"/>
        <v>0</v>
      </c>
      <c r="W17" s="376">
        <f t="shared" si="25"/>
        <v>0</v>
      </c>
      <c r="X17" s="377">
        <f t="shared" si="26"/>
        <v>0.2</v>
      </c>
      <c r="Y17" s="378">
        <f t="shared" si="27"/>
        <v>0</v>
      </c>
      <c r="Z17" s="1121">
        <f t="shared" si="28"/>
        <v>0</v>
      </c>
      <c r="AA17" s="1122">
        <f t="shared" si="29"/>
        <v>0</v>
      </c>
      <c r="AB17" s="220"/>
      <c r="AC17" s="1229"/>
      <c r="AD17" s="1230"/>
      <c r="AE17" s="1230"/>
      <c r="AF17" s="1230"/>
      <c r="AG17" s="1230"/>
      <c r="AH17" s="1230"/>
      <c r="AI17" s="220"/>
      <c r="AJ17" s="220"/>
      <c r="AK17" s="220"/>
      <c r="AL17" s="220"/>
      <c r="AM17" s="220"/>
      <c r="AN17" s="220"/>
    </row>
    <row r="18" spans="1:40" s="223" customFormat="1" ht="13" customHeight="1" thickBot="1">
      <c r="A18" s="4439" t="s">
        <v>461</v>
      </c>
      <c r="B18" s="2889" t="s">
        <v>215</v>
      </c>
      <c r="C18" s="629">
        <f t="shared" ref="C18:C20" si="45">IF(D18=1,U$5,IF(D18=2,V$5,IF(D18=3,W$5,IF(D18=4,X$5,IF(D18=5,Y$5,IF(D18=6,Z$5,IF(D18=7,AA$5,0)))))))</f>
        <v>2.1908757716049393E-4</v>
      </c>
      <c r="D18" s="4418">
        <v>2</v>
      </c>
      <c r="E18" s="4128">
        <v>1</v>
      </c>
      <c r="F18" s="4128">
        <v>3</v>
      </c>
      <c r="G18" s="4128">
        <v>200</v>
      </c>
      <c r="H18" s="4129"/>
      <c r="I18" s="4129">
        <v>1.7361111111111112E-4</v>
      </c>
      <c r="J18" s="4129">
        <v>2.8935185185185189E-4</v>
      </c>
      <c r="K18" s="1498" t="s">
        <v>2547</v>
      </c>
      <c r="L18" s="4420">
        <f t="shared" si="43"/>
        <v>0.36000440272621087</v>
      </c>
      <c r="M18" s="4131">
        <v>1.2</v>
      </c>
      <c r="N18" s="4129">
        <f>P18*E18*F18+I18*F18*E18+J18*E18</f>
        <v>7.1199074074074099E-3</v>
      </c>
      <c r="O18" s="4132">
        <f t="shared" ref="O18:O20" si="46">C18*(G18/25)</f>
        <v>1.7527006172839514E-3</v>
      </c>
      <c r="P18" s="4132">
        <f t="shared" ref="P18:P20" si="47">O18*M18</f>
        <v>2.1032407407407415E-3</v>
      </c>
      <c r="Q18" s="4133">
        <v>144</v>
      </c>
      <c r="R18" s="3965">
        <f t="shared" ref="R18:R20" si="48">E18*F18*G18</f>
        <v>600</v>
      </c>
      <c r="S18" s="1118">
        <f t="shared" si="21"/>
        <v>0.6</v>
      </c>
      <c r="T18" s="1119">
        <f t="shared" si="22"/>
        <v>2.1032407407407416E-2</v>
      </c>
      <c r="U18" s="374">
        <f t="shared" si="23"/>
        <v>0</v>
      </c>
      <c r="V18" s="1120">
        <f t="shared" si="24"/>
        <v>0.6</v>
      </c>
      <c r="W18" s="376">
        <f t="shared" si="25"/>
        <v>0</v>
      </c>
      <c r="X18" s="377">
        <f t="shared" si="26"/>
        <v>0</v>
      </c>
      <c r="Y18" s="378">
        <f t="shared" si="27"/>
        <v>0</v>
      </c>
      <c r="Z18" s="1121">
        <f t="shared" si="28"/>
        <v>0</v>
      </c>
      <c r="AA18" s="1122">
        <f t="shared" si="29"/>
        <v>0</v>
      </c>
      <c r="AB18" s="484">
        <v>1338.036036036036</v>
      </c>
      <c r="AC18" s="1229"/>
      <c r="AD18" s="1230"/>
      <c r="AE18" s="1230"/>
      <c r="AF18" s="1230"/>
      <c r="AG18" s="1230"/>
      <c r="AH18" s="1230"/>
      <c r="AI18" s="220"/>
      <c r="AJ18" s="220"/>
      <c r="AK18" s="220"/>
      <c r="AL18" s="220"/>
      <c r="AM18" s="220"/>
      <c r="AN18" s="220"/>
    </row>
    <row r="19" spans="1:40" s="223" customFormat="1" ht="13" customHeight="1" thickBot="1">
      <c r="A19" s="4439" t="s">
        <v>458</v>
      </c>
      <c r="B19" s="2889" t="s">
        <v>215</v>
      </c>
      <c r="C19" s="4107">
        <f t="shared" si="45"/>
        <v>2.0247664488766629E-4</v>
      </c>
      <c r="D19" s="892">
        <v>4</v>
      </c>
      <c r="E19" s="303">
        <v>1</v>
      </c>
      <c r="F19" s="303">
        <v>4</v>
      </c>
      <c r="G19" s="303">
        <v>150</v>
      </c>
      <c r="H19" s="304" t="s">
        <v>2373</v>
      </c>
      <c r="I19" s="1134">
        <v>6.9444444444444447E-4</v>
      </c>
      <c r="J19" s="1134">
        <v>1.3888888888888889E-3</v>
      </c>
      <c r="K19" s="316" t="s">
        <v>2548</v>
      </c>
      <c r="L19" s="1134">
        <f t="shared" si="43"/>
        <v>0.36712431013361829</v>
      </c>
      <c r="M19" s="457">
        <v>1.2</v>
      </c>
      <c r="N19" s="1134">
        <f>P19*E19*F19+I19*E19*F19+J19*E19</f>
        <v>9.997994039431456E-3</v>
      </c>
      <c r="O19" s="1134">
        <f t="shared" si="46"/>
        <v>1.2148598693259977E-3</v>
      </c>
      <c r="P19" s="1134">
        <f t="shared" si="47"/>
        <v>1.4578318431911971E-3</v>
      </c>
      <c r="Q19" s="334">
        <v>164</v>
      </c>
      <c r="R19" s="303">
        <f t="shared" si="48"/>
        <v>600</v>
      </c>
      <c r="S19" s="1118">
        <f t="shared" si="21"/>
        <v>0.6</v>
      </c>
      <c r="T19" s="1119">
        <f t="shared" si="22"/>
        <v>1.9437757909215963E-2</v>
      </c>
      <c r="U19" s="374">
        <f t="shared" si="23"/>
        <v>0</v>
      </c>
      <c r="V19" s="1120">
        <f t="shared" si="24"/>
        <v>0</v>
      </c>
      <c r="W19" s="376">
        <f t="shared" si="25"/>
        <v>0</v>
      </c>
      <c r="X19" s="377">
        <f t="shared" si="26"/>
        <v>0.6</v>
      </c>
      <c r="Y19" s="378">
        <f t="shared" si="27"/>
        <v>0</v>
      </c>
      <c r="Z19" s="1121">
        <f t="shared" si="28"/>
        <v>0</v>
      </c>
      <c r="AA19" s="1122">
        <f t="shared" si="29"/>
        <v>0</v>
      </c>
      <c r="AB19" s="535">
        <v>1070.4684684684685</v>
      </c>
      <c r="AC19" s="1229"/>
      <c r="AD19" s="1230"/>
      <c r="AE19" s="1230"/>
      <c r="AF19" s="1230"/>
      <c r="AG19" s="1230"/>
      <c r="AH19" s="1230"/>
      <c r="AI19" s="220"/>
      <c r="AJ19" s="220"/>
      <c r="AK19" s="220"/>
      <c r="AL19" s="220"/>
      <c r="AM19" s="220"/>
      <c r="AN19" s="220"/>
    </row>
    <row r="20" spans="1:40" s="223" customFormat="1" ht="13" customHeight="1" thickBot="1">
      <c r="A20" s="4439" t="s">
        <v>219</v>
      </c>
      <c r="B20" s="2889" t="s">
        <v>215</v>
      </c>
      <c r="C20" s="4107">
        <f t="shared" si="45"/>
        <v>1.7682291666666674E-4</v>
      </c>
      <c r="D20" s="4421">
        <v>7</v>
      </c>
      <c r="E20" s="4141">
        <v>1</v>
      </c>
      <c r="F20" s="4472">
        <v>4</v>
      </c>
      <c r="G20" s="4472">
        <v>15</v>
      </c>
      <c r="H20" s="4473"/>
      <c r="I20" s="4474">
        <v>3.4722222222222224E-4</v>
      </c>
      <c r="J20" s="4142">
        <v>1.3888888888888889E-3</v>
      </c>
      <c r="K20" s="4475" t="s">
        <v>2549</v>
      </c>
      <c r="L20" s="4142">
        <f t="shared" si="43"/>
        <v>0.37712230417304976</v>
      </c>
      <c r="M20" s="4476">
        <v>1</v>
      </c>
      <c r="N20" s="4477">
        <f>P20*E20*F20+I20*E20*F20+J20*E20</f>
        <v>3.2021527777777777E-3</v>
      </c>
      <c r="O20" s="4143">
        <f t="shared" si="46"/>
        <v>1.0609375000000004E-4</v>
      </c>
      <c r="P20" s="4477">
        <f t="shared" si="47"/>
        <v>1.0609375000000004E-4</v>
      </c>
      <c r="Q20" s="4478" t="s">
        <v>278</v>
      </c>
      <c r="R20" s="4479">
        <f t="shared" si="48"/>
        <v>60</v>
      </c>
      <c r="S20" s="1118">
        <f t="shared" si="21"/>
        <v>0.06</v>
      </c>
      <c r="T20" s="1119">
        <f t="shared" si="22"/>
        <v>1.6975000000000007E-3</v>
      </c>
      <c r="U20" s="374">
        <f t="shared" si="23"/>
        <v>0</v>
      </c>
      <c r="V20" s="1120">
        <f t="shared" si="24"/>
        <v>0</v>
      </c>
      <c r="W20" s="376">
        <f t="shared" si="25"/>
        <v>0</v>
      </c>
      <c r="X20" s="377">
        <f t="shared" si="26"/>
        <v>0</v>
      </c>
      <c r="Y20" s="378">
        <f t="shared" si="27"/>
        <v>0</v>
      </c>
      <c r="Z20" s="1121">
        <f t="shared" si="28"/>
        <v>0</v>
      </c>
      <c r="AA20" s="1122">
        <f t="shared" si="29"/>
        <v>0.06</v>
      </c>
      <c r="AB20" s="500">
        <v>662.2609664209665</v>
      </c>
      <c r="AC20" s="1229"/>
      <c r="AD20" s="1230"/>
      <c r="AE20" s="1230"/>
      <c r="AF20" s="1230"/>
      <c r="AG20" s="1230"/>
      <c r="AH20" s="1230"/>
      <c r="AI20" s="220"/>
      <c r="AJ20" s="220"/>
      <c r="AK20" s="220"/>
      <c r="AL20" s="220"/>
      <c r="AM20" s="220"/>
      <c r="AN20" s="220"/>
    </row>
    <row r="21" spans="1:40" s="223" customFormat="1" ht="13" customHeight="1" thickBot="1">
      <c r="A21" s="2956"/>
      <c r="B21" s="2956"/>
      <c r="C21" s="4422"/>
      <c r="D21" s="4423"/>
      <c r="E21" s="4422"/>
      <c r="F21" s="4424"/>
      <c r="G21" s="4425"/>
      <c r="H21" s="4425"/>
      <c r="I21" s="4425"/>
      <c r="J21" s="4424"/>
      <c r="K21" s="4425"/>
      <c r="L21" s="4434">
        <f>L20+M20</f>
        <v>1.3771223041730498</v>
      </c>
      <c r="M21" s="4435">
        <v>2</v>
      </c>
      <c r="N21" s="4482">
        <f>SUM(N15:N20)</f>
        <v>4.0046679173049771E-2</v>
      </c>
      <c r="O21" s="4436"/>
      <c r="P21" s="4437"/>
      <c r="Q21" s="4438"/>
      <c r="R21" s="4483">
        <f>SUM(R15:R20)</f>
        <v>2460</v>
      </c>
      <c r="S21" s="1118">
        <f t="shared" si="21"/>
        <v>0</v>
      </c>
      <c r="T21" s="1119">
        <f t="shared" si="22"/>
        <v>0</v>
      </c>
      <c r="U21" s="374">
        <f t="shared" si="23"/>
        <v>0</v>
      </c>
      <c r="V21" s="1120">
        <f t="shared" si="24"/>
        <v>0</v>
      </c>
      <c r="W21" s="376">
        <f t="shared" si="25"/>
        <v>0</v>
      </c>
      <c r="X21" s="377">
        <f t="shared" si="26"/>
        <v>0</v>
      </c>
      <c r="Y21" s="378">
        <f t="shared" si="27"/>
        <v>0</v>
      </c>
      <c r="Z21" s="1121">
        <f t="shared" si="28"/>
        <v>0</v>
      </c>
      <c r="AA21" s="1122">
        <f t="shared" si="29"/>
        <v>0</v>
      </c>
      <c r="AB21" s="501">
        <v>2946.0545454545454</v>
      </c>
      <c r="AC21" s="1229"/>
      <c r="AD21" s="1230"/>
      <c r="AE21" s="1230"/>
      <c r="AF21" s="1230"/>
      <c r="AG21" s="1230"/>
      <c r="AH21" s="1230"/>
      <c r="AI21" s="220"/>
      <c r="AJ21" s="220"/>
      <c r="AK21" s="220"/>
      <c r="AL21" s="220"/>
      <c r="AM21" s="220"/>
      <c r="AN21" s="220"/>
    </row>
    <row r="22" spans="1:40" s="223" customFormat="1" ht="13" customHeight="1" thickBot="1">
      <c r="A22" s="3514"/>
      <c r="B22" s="3988"/>
      <c r="C22" s="1669"/>
      <c r="D22" s="3487"/>
      <c r="E22" s="3488"/>
      <c r="F22" s="3488"/>
      <c r="G22" s="3488"/>
      <c r="H22" s="3488"/>
      <c r="I22" s="3488"/>
      <c r="J22" s="2390" t="s">
        <v>1486</v>
      </c>
      <c r="K22" s="3039" t="s">
        <v>2372</v>
      </c>
      <c r="L22" s="4480"/>
      <c r="M22" s="3489"/>
      <c r="N22" s="4481"/>
      <c r="O22" s="3488"/>
      <c r="P22" s="3488"/>
      <c r="Q22" s="3488"/>
      <c r="R22" s="3490"/>
      <c r="S22" s="1118">
        <f t="shared" si="21"/>
        <v>0</v>
      </c>
      <c r="T22" s="1119">
        <f t="shared" si="22"/>
        <v>0</v>
      </c>
      <c r="U22" s="374">
        <f t="shared" si="23"/>
        <v>0</v>
      </c>
      <c r="V22" s="1120">
        <f t="shared" si="24"/>
        <v>0</v>
      </c>
      <c r="W22" s="376">
        <f t="shared" si="25"/>
        <v>0</v>
      </c>
      <c r="X22" s="377">
        <f t="shared" si="26"/>
        <v>0</v>
      </c>
      <c r="Y22" s="378">
        <f t="shared" si="27"/>
        <v>0</v>
      </c>
      <c r="Z22" s="1121">
        <f t="shared" si="28"/>
        <v>0</v>
      </c>
      <c r="AA22" s="1122">
        <f t="shared" si="29"/>
        <v>0</v>
      </c>
      <c r="AB22" s="220"/>
      <c r="AC22" s="1229"/>
      <c r="AD22" s="1230"/>
      <c r="AE22" s="1230"/>
      <c r="AF22" s="1230"/>
      <c r="AG22" s="1230"/>
      <c r="AH22" s="1230"/>
      <c r="AI22" s="220"/>
      <c r="AJ22" s="220"/>
      <c r="AK22" s="220"/>
      <c r="AL22" s="220"/>
      <c r="AM22" s="220"/>
      <c r="AN22" s="220"/>
    </row>
    <row r="23" spans="1:40" s="223" customFormat="1" ht="13" customHeight="1" thickBot="1">
      <c r="A23" s="3514" t="s">
        <v>215</v>
      </c>
      <c r="B23" s="3988" t="s">
        <v>215</v>
      </c>
      <c r="C23" s="274">
        <f t="shared" ref="C23:C27" si="49">IF(D23=1,U$5,IF(D23=2,V$5,IF(D23=3,W$5,IF(D23=4,X$5,IF(D23=5,Y$5,IF(D23=6,Z$5,IF(D23=7,AA$5,0)))))))</f>
        <v>2.2880964381720439E-4</v>
      </c>
      <c r="D23" s="547">
        <v>1</v>
      </c>
      <c r="E23" s="275">
        <v>1</v>
      </c>
      <c r="F23" s="275">
        <v>1</v>
      </c>
      <c r="G23" s="275">
        <v>800</v>
      </c>
      <c r="H23" s="276"/>
      <c r="I23" s="1135">
        <v>0</v>
      </c>
      <c r="J23" s="1135">
        <v>1.3888888888888889E-3</v>
      </c>
      <c r="K23" s="312" t="s">
        <v>1490</v>
      </c>
      <c r="L23" s="1135">
        <v>0.33680555555555558</v>
      </c>
      <c r="M23" s="451">
        <v>1</v>
      </c>
      <c r="N23" s="1135">
        <f>P23*E23*F23+I23*E23*F23+J23*E23</f>
        <v>8.7107974910394289E-3</v>
      </c>
      <c r="O23" s="296">
        <f>C23*(G23/25)</f>
        <v>7.3219086021505406E-3</v>
      </c>
      <c r="P23" s="1135">
        <f>O23*M23</f>
        <v>7.3219086021505406E-3</v>
      </c>
      <c r="Q23" s="548">
        <f>IF(D23=1,125,IF(D23=2,140,IF(D23=3,164,IF(D23=4,170,IF(D23=5,173,IF(D23=6,177,IF(R23=7,200,0)))))))</f>
        <v>125</v>
      </c>
      <c r="R23" s="275">
        <f>E23*F23*G23</f>
        <v>800</v>
      </c>
      <c r="S23" s="1118">
        <f t="shared" si="21"/>
        <v>0.8</v>
      </c>
      <c r="T23" s="1119">
        <f t="shared" si="22"/>
        <v>2.9287634408602162E-2</v>
      </c>
      <c r="U23" s="374">
        <f t="shared" si="23"/>
        <v>0.8</v>
      </c>
      <c r="V23" s="1120">
        <f t="shared" si="24"/>
        <v>0</v>
      </c>
      <c r="W23" s="376">
        <f t="shared" si="25"/>
        <v>0</v>
      </c>
      <c r="X23" s="377">
        <f t="shared" si="26"/>
        <v>0</v>
      </c>
      <c r="Y23" s="378">
        <f t="shared" si="27"/>
        <v>0</v>
      </c>
      <c r="Z23" s="1121">
        <f t="shared" si="28"/>
        <v>0</v>
      </c>
      <c r="AA23" s="1122">
        <f t="shared" si="29"/>
        <v>0</v>
      </c>
      <c r="AB23" s="220"/>
      <c r="AC23" s="1229"/>
      <c r="AD23" s="1230"/>
      <c r="AE23" s="1230"/>
      <c r="AF23" s="1230"/>
      <c r="AG23" s="1230"/>
      <c r="AH23" s="1230"/>
      <c r="AI23" s="220"/>
      <c r="AJ23" s="220"/>
      <c r="AK23" s="220"/>
      <c r="AL23" s="220"/>
      <c r="AM23" s="220"/>
      <c r="AN23" s="220"/>
    </row>
    <row r="24" spans="1:40" s="223" customFormat="1" ht="13" customHeight="1" thickBot="1">
      <c r="A24" s="3514" t="s">
        <v>139</v>
      </c>
      <c r="B24" s="3988" t="s">
        <v>215</v>
      </c>
      <c r="C24" s="274">
        <f t="shared" si="49"/>
        <v>2.1908757716049393E-4</v>
      </c>
      <c r="D24" s="889">
        <v>2</v>
      </c>
      <c r="E24" s="300">
        <v>1</v>
      </c>
      <c r="F24" s="300">
        <v>1</v>
      </c>
      <c r="G24" s="300">
        <v>400</v>
      </c>
      <c r="H24" s="301"/>
      <c r="I24" s="1133">
        <v>5.7870370370370366E-5</v>
      </c>
      <c r="J24" s="1133">
        <v>1.3888888888888889E-3</v>
      </c>
      <c r="K24" s="1123" t="s">
        <v>2550</v>
      </c>
      <c r="L24" s="1143">
        <f t="shared" ref="L24:L27" si="50">L23+N23</f>
        <v>0.345516353046595</v>
      </c>
      <c r="M24" s="455">
        <v>1.1000000000000001</v>
      </c>
      <c r="N24" s="1133">
        <f t="shared" ref="N24:N27" si="51">P24*E24*F24+I24*F24*E24+J24*E24</f>
        <v>5.3027006172839527E-3</v>
      </c>
      <c r="O24" s="1133">
        <f t="shared" ref="O24:O27" si="52">C24*(G24/25)</f>
        <v>3.5054012345679029E-3</v>
      </c>
      <c r="P24" s="1133">
        <f t="shared" ref="P24:P27" si="53">O24*M24</f>
        <v>3.8559413580246935E-3</v>
      </c>
      <c r="Q24" s="550">
        <v>144</v>
      </c>
      <c r="R24" s="369">
        <f t="shared" ref="R24:R27" si="54">E24*F24*G24</f>
        <v>400</v>
      </c>
      <c r="S24" s="1118">
        <f t="shared" si="21"/>
        <v>0.4</v>
      </c>
      <c r="T24" s="1119">
        <f t="shared" si="22"/>
        <v>1.4021604938271611E-2</v>
      </c>
      <c r="U24" s="374">
        <f t="shared" si="23"/>
        <v>0</v>
      </c>
      <c r="V24" s="1120">
        <f t="shared" si="24"/>
        <v>0.4</v>
      </c>
      <c r="W24" s="376">
        <f t="shared" si="25"/>
        <v>0</v>
      </c>
      <c r="X24" s="377">
        <f t="shared" si="26"/>
        <v>0</v>
      </c>
      <c r="Y24" s="378">
        <f t="shared" si="27"/>
        <v>0</v>
      </c>
      <c r="Z24" s="1121">
        <f t="shared" si="28"/>
        <v>0</v>
      </c>
      <c r="AA24" s="1122">
        <f t="shared" si="29"/>
        <v>0</v>
      </c>
      <c r="AB24" s="220"/>
      <c r="AC24" s="1229"/>
      <c r="AD24" s="1230"/>
      <c r="AE24" s="1230"/>
      <c r="AF24" s="1230"/>
      <c r="AG24" s="1230"/>
      <c r="AH24" s="1230"/>
      <c r="AI24" s="220"/>
      <c r="AJ24" s="220"/>
      <c r="AK24" s="220"/>
      <c r="AL24" s="220"/>
      <c r="AM24" s="220"/>
      <c r="AN24" s="220"/>
    </row>
    <row r="25" spans="1:40" s="223" customFormat="1" ht="13" customHeight="1" thickBot="1">
      <c r="A25" s="3514" t="s">
        <v>458</v>
      </c>
      <c r="B25" s="3988" t="s">
        <v>215</v>
      </c>
      <c r="C25" s="274">
        <f t="shared" si="49"/>
        <v>2.0247664488766629E-4</v>
      </c>
      <c r="D25" s="892">
        <v>4</v>
      </c>
      <c r="E25" s="303">
        <v>1</v>
      </c>
      <c r="F25" s="303">
        <v>8</v>
      </c>
      <c r="G25" s="303">
        <v>100</v>
      </c>
      <c r="H25" s="304"/>
      <c r="I25" s="1134">
        <v>2.8935185185185189E-4</v>
      </c>
      <c r="J25" s="1134">
        <v>1.3888888888888889E-3</v>
      </c>
      <c r="K25" s="316" t="s">
        <v>2551</v>
      </c>
      <c r="L25" s="1134">
        <f t="shared" si="50"/>
        <v>0.35081905366387894</v>
      </c>
      <c r="M25" s="457">
        <v>1.1000000000000001</v>
      </c>
      <c r="N25" s="1134">
        <f t="shared" si="51"/>
        <v>1.0830881603749558E-2</v>
      </c>
      <c r="O25" s="1134">
        <f t="shared" si="52"/>
        <v>8.0990657955066516E-4</v>
      </c>
      <c r="P25" s="1134">
        <f t="shared" si="53"/>
        <v>8.9089723750573175E-4</v>
      </c>
      <c r="Q25" s="334">
        <v>144</v>
      </c>
      <c r="R25" s="303">
        <f t="shared" si="54"/>
        <v>800</v>
      </c>
      <c r="S25" s="1118">
        <f t="shared" si="21"/>
        <v>0.8</v>
      </c>
      <c r="T25" s="1119">
        <f t="shared" si="22"/>
        <v>2.5917010545621285E-2</v>
      </c>
      <c r="U25" s="374">
        <f t="shared" si="23"/>
        <v>0</v>
      </c>
      <c r="V25" s="1120">
        <f t="shared" si="24"/>
        <v>0</v>
      </c>
      <c r="W25" s="376">
        <f t="shared" si="25"/>
        <v>0</v>
      </c>
      <c r="X25" s="377">
        <f t="shared" si="26"/>
        <v>0.8</v>
      </c>
      <c r="Y25" s="378">
        <f t="shared" si="27"/>
        <v>0</v>
      </c>
      <c r="Z25" s="1121">
        <f t="shared" si="28"/>
        <v>0</v>
      </c>
      <c r="AA25" s="1122">
        <f t="shared" si="29"/>
        <v>0</v>
      </c>
      <c r="AB25" s="484">
        <v>1338.036036036036</v>
      </c>
      <c r="AC25" s="1229"/>
      <c r="AD25" s="1230"/>
      <c r="AE25" s="1230"/>
      <c r="AF25" s="1230"/>
      <c r="AG25" s="1230"/>
      <c r="AH25" s="1230"/>
      <c r="AI25" s="220"/>
      <c r="AJ25" s="220"/>
      <c r="AK25" s="220"/>
      <c r="AL25" s="220"/>
      <c r="AM25" s="220"/>
      <c r="AN25" s="220"/>
    </row>
    <row r="26" spans="1:40" s="223" customFormat="1" ht="13" customHeight="1" thickBot="1">
      <c r="A26" s="3514" t="s">
        <v>462</v>
      </c>
      <c r="B26" s="3988" t="s">
        <v>215</v>
      </c>
      <c r="C26" s="274">
        <f t="shared" si="49"/>
        <v>2.1222190799396687E-4</v>
      </c>
      <c r="D26" s="547">
        <v>3</v>
      </c>
      <c r="E26" s="280">
        <v>1</v>
      </c>
      <c r="F26" s="280">
        <v>1</v>
      </c>
      <c r="G26" s="280">
        <v>500</v>
      </c>
      <c r="H26" s="281"/>
      <c r="I26" s="281">
        <v>0</v>
      </c>
      <c r="J26" s="281">
        <v>1.1574074074074073E-4</v>
      </c>
      <c r="K26" s="1074" t="s">
        <v>1488</v>
      </c>
      <c r="L26" s="3356">
        <f t="shared" si="50"/>
        <v>0.36164993526762851</v>
      </c>
      <c r="M26" s="1074">
        <v>1.1000000000000001</v>
      </c>
      <c r="N26" s="3356">
        <f t="shared" si="51"/>
        <v>4.7846227166080122E-3</v>
      </c>
      <c r="O26" s="1165">
        <f t="shared" si="52"/>
        <v>4.2444381598793369E-3</v>
      </c>
      <c r="P26" s="3356">
        <f t="shared" si="53"/>
        <v>4.6688819758672713E-3</v>
      </c>
      <c r="Q26" s="333">
        <v>144</v>
      </c>
      <c r="R26" s="1074">
        <f t="shared" si="54"/>
        <v>500</v>
      </c>
      <c r="S26" s="1118">
        <f t="shared" si="21"/>
        <v>0.5</v>
      </c>
      <c r="T26" s="1119">
        <f t="shared" si="22"/>
        <v>1.6977752639517348E-2</v>
      </c>
      <c r="U26" s="374">
        <f t="shared" si="23"/>
        <v>0</v>
      </c>
      <c r="V26" s="1120">
        <f t="shared" si="24"/>
        <v>0</v>
      </c>
      <c r="W26" s="376">
        <f t="shared" si="25"/>
        <v>0.5</v>
      </c>
      <c r="X26" s="377">
        <f t="shared" si="26"/>
        <v>0</v>
      </c>
      <c r="Y26" s="378">
        <f t="shared" si="27"/>
        <v>0</v>
      </c>
      <c r="Z26" s="1121">
        <f t="shared" si="28"/>
        <v>0</v>
      </c>
      <c r="AA26" s="1122">
        <f t="shared" si="29"/>
        <v>0</v>
      </c>
      <c r="AB26" s="535">
        <v>1070.4684684684685</v>
      </c>
      <c r="AC26" s="1229"/>
      <c r="AD26" s="1230"/>
      <c r="AE26" s="1230"/>
      <c r="AF26" s="1230"/>
      <c r="AG26" s="1230"/>
      <c r="AH26" s="1230"/>
      <c r="AI26" s="220"/>
      <c r="AJ26" s="220"/>
      <c r="AK26" s="220"/>
      <c r="AL26" s="220"/>
      <c r="AM26" s="220"/>
      <c r="AN26" s="220"/>
    </row>
    <row r="27" spans="1:40" s="223" customFormat="1" ht="13" customHeight="1" thickBot="1">
      <c r="A27" s="3514" t="s">
        <v>140</v>
      </c>
      <c r="B27" s="3988" t="s">
        <v>215</v>
      </c>
      <c r="C27" s="274">
        <f t="shared" si="49"/>
        <v>2.1222190799396687E-4</v>
      </c>
      <c r="D27" s="1442">
        <v>3</v>
      </c>
      <c r="E27" s="280">
        <v>1</v>
      </c>
      <c r="F27" s="280">
        <v>4</v>
      </c>
      <c r="G27" s="280">
        <v>50</v>
      </c>
      <c r="H27" s="281"/>
      <c r="I27" s="281">
        <v>1.9675925925925926E-4</v>
      </c>
      <c r="J27" s="281">
        <v>2.3148148148148146E-4</v>
      </c>
      <c r="K27" s="1074" t="s">
        <v>938</v>
      </c>
      <c r="L27" s="3356">
        <f t="shared" si="50"/>
        <v>0.36643455798423652</v>
      </c>
      <c r="M27" s="1074">
        <v>1.1000000000000001</v>
      </c>
      <c r="N27" s="3356">
        <f t="shared" si="51"/>
        <v>2.8860713088654272E-3</v>
      </c>
      <c r="O27" s="1165">
        <f t="shared" si="52"/>
        <v>4.2444381598793373E-4</v>
      </c>
      <c r="P27" s="3356">
        <f t="shared" si="53"/>
        <v>4.6688819758672714E-4</v>
      </c>
      <c r="Q27" s="333">
        <v>144</v>
      </c>
      <c r="R27" s="1074">
        <f t="shared" si="54"/>
        <v>200</v>
      </c>
      <c r="S27" s="1118">
        <f t="shared" si="21"/>
        <v>0.2</v>
      </c>
      <c r="T27" s="1119">
        <f t="shared" si="22"/>
        <v>6.7911010558069397E-3</v>
      </c>
      <c r="U27" s="374">
        <f t="shared" si="23"/>
        <v>0</v>
      </c>
      <c r="V27" s="1120">
        <f t="shared" si="24"/>
        <v>0</v>
      </c>
      <c r="W27" s="376">
        <f t="shared" si="25"/>
        <v>0.2</v>
      </c>
      <c r="X27" s="377">
        <f t="shared" si="26"/>
        <v>0</v>
      </c>
      <c r="Y27" s="378">
        <f t="shared" si="27"/>
        <v>0</v>
      </c>
      <c r="Z27" s="1121">
        <f t="shared" si="28"/>
        <v>0</v>
      </c>
      <c r="AA27" s="1122">
        <f t="shared" si="29"/>
        <v>0</v>
      </c>
      <c r="AB27" s="500">
        <v>73.050057330057484</v>
      </c>
      <c r="AC27" s="1229"/>
      <c r="AD27" s="1230"/>
      <c r="AE27" s="1230"/>
      <c r="AF27" s="1230"/>
      <c r="AG27" s="1230"/>
      <c r="AH27" s="1230"/>
      <c r="AI27" s="220"/>
      <c r="AJ27" s="220"/>
      <c r="AK27" s="220"/>
      <c r="AL27" s="220"/>
      <c r="AM27" s="220"/>
      <c r="AN27" s="220"/>
    </row>
    <row r="28" spans="1:40" s="223" customFormat="1" ht="13" customHeight="1" thickBot="1">
      <c r="A28" s="3514" t="s">
        <v>674</v>
      </c>
      <c r="B28" s="3988" t="s">
        <v>215</v>
      </c>
      <c r="C28" s="433"/>
      <c r="D28" s="905"/>
      <c r="E28" s="336"/>
      <c r="F28" s="336"/>
      <c r="G28" s="336"/>
      <c r="H28" s="336"/>
      <c r="I28" s="336"/>
      <c r="J28" s="336"/>
      <c r="K28" s="336"/>
      <c r="L28" s="1135">
        <f t="shared" ref="L28" si="55">L27+N27</f>
        <v>0.36932062929310194</v>
      </c>
      <c r="M28" s="2400">
        <v>1</v>
      </c>
      <c r="N28" s="1154">
        <f>SUM(N23:N27)</f>
        <v>3.2515073737546377E-2</v>
      </c>
      <c r="O28" s="1154"/>
      <c r="P28" s="1154"/>
      <c r="Q28" s="1155">
        <f t="shared" ref="Q28" si="56">IF(D28=1,125,IF(D28=2,140,IF(D28=3,164,IF(D28=4,170,IF(D28=5,173,IF(D28=6,177,IF(R28=7,200,0)))))))</f>
        <v>0</v>
      </c>
      <c r="R28" s="2401">
        <f>SUM(R23:R27)</f>
        <v>2700</v>
      </c>
      <c r="S28" s="1118">
        <f t="shared" si="21"/>
        <v>0</v>
      </c>
      <c r="T28" s="1119">
        <f t="shared" si="22"/>
        <v>0</v>
      </c>
      <c r="U28" s="374">
        <f t="shared" si="23"/>
        <v>0</v>
      </c>
      <c r="V28" s="1120">
        <f t="shared" si="24"/>
        <v>0</v>
      </c>
      <c r="W28" s="376">
        <f t="shared" si="25"/>
        <v>0</v>
      </c>
      <c r="X28" s="377">
        <f t="shared" si="26"/>
        <v>0</v>
      </c>
      <c r="Y28" s="378">
        <f t="shared" si="27"/>
        <v>0</v>
      </c>
      <c r="Z28" s="1121">
        <f t="shared" si="28"/>
        <v>0</v>
      </c>
      <c r="AA28" s="1122">
        <f t="shared" si="29"/>
        <v>0</v>
      </c>
      <c r="AB28" s="501">
        <v>3928.0727272727272</v>
      </c>
      <c r="AC28" s="1229"/>
      <c r="AD28" s="1230"/>
      <c r="AE28" s="1230"/>
      <c r="AF28" s="1230"/>
      <c r="AG28" s="1230"/>
      <c r="AH28" s="1230"/>
      <c r="AI28" s="220"/>
      <c r="AJ28" s="220"/>
      <c r="AK28" s="220"/>
      <c r="AL28" s="220"/>
      <c r="AM28" s="220"/>
      <c r="AN28" s="220"/>
    </row>
    <row r="29" spans="1:40" s="223" customFormat="1" ht="13" customHeight="1" thickBot="1">
      <c r="A29" s="3514" t="s">
        <v>214</v>
      </c>
      <c r="B29" s="3988" t="s">
        <v>461</v>
      </c>
      <c r="C29" s="274">
        <f t="shared" ref="C29:C38" si="57">IF(D29=1,U$5,IF(D29=2,V$5,IF(D29=3,W$5,IF(D29=4,X$5,IF(D29=5,Y$5,IF(D29=6,Z$5,IF(D29=7,AA$5,0)))))))</f>
        <v>2.1908757716049393E-4</v>
      </c>
      <c r="D29" s="4127">
        <v>2</v>
      </c>
      <c r="E29" s="4128">
        <v>2</v>
      </c>
      <c r="F29" s="4128">
        <v>3</v>
      </c>
      <c r="G29" s="4128">
        <v>200</v>
      </c>
      <c r="H29" s="4129"/>
      <c r="I29" s="4129">
        <v>1.7361111111111112E-4</v>
      </c>
      <c r="J29" s="4129">
        <v>1.3888888888888889E-3</v>
      </c>
      <c r="K29" s="4130" t="s">
        <v>703</v>
      </c>
      <c r="L29" s="4480">
        <v>0.67013888888888884</v>
      </c>
      <c r="M29" s="4050">
        <v>1.2</v>
      </c>
      <c r="N29" s="4432">
        <f t="shared" ref="N29" si="58">P29*E29*F29+I29*E29*F29+J29*E29</f>
        <v>1.6943666666666673E-2</v>
      </c>
      <c r="O29" s="4433">
        <f t="shared" ref="O29" si="59">C29*(G29/25)*1.04</f>
        <v>1.8228086419753095E-3</v>
      </c>
      <c r="P29" s="4433">
        <f t="shared" ref="P29:P37" si="60">O29*M29</f>
        <v>2.1873703703703712E-3</v>
      </c>
      <c r="Q29" s="4133"/>
      <c r="R29" s="3965">
        <f t="shared" ref="R29:R37" si="61">E29*F29*G29</f>
        <v>1200</v>
      </c>
      <c r="S29" s="1118">
        <f t="shared" si="21"/>
        <v>1.2</v>
      </c>
      <c r="T29" s="1119">
        <f t="shared" si="22"/>
        <v>4.3747407407407429E-2</v>
      </c>
      <c r="U29" s="374">
        <f t="shared" si="23"/>
        <v>0</v>
      </c>
      <c r="V29" s="1120">
        <f t="shared" si="24"/>
        <v>1.2</v>
      </c>
      <c r="W29" s="376">
        <f t="shared" si="25"/>
        <v>0</v>
      </c>
      <c r="X29" s="377">
        <f t="shared" si="26"/>
        <v>0</v>
      </c>
      <c r="Y29" s="378">
        <f t="shared" si="27"/>
        <v>0</v>
      </c>
      <c r="Z29" s="1121">
        <f t="shared" si="28"/>
        <v>0</v>
      </c>
      <c r="AA29" s="1122">
        <f t="shared" si="29"/>
        <v>0</v>
      </c>
      <c r="AB29" s="502">
        <v>0</v>
      </c>
      <c r="AC29" s="1229"/>
      <c r="AD29" s="1230"/>
      <c r="AE29" s="1230"/>
      <c r="AF29" s="1230"/>
      <c r="AG29" s="1230"/>
      <c r="AH29" s="1230"/>
      <c r="AI29" s="220"/>
      <c r="AJ29" s="220"/>
      <c r="AK29" s="220"/>
      <c r="AL29" s="220"/>
      <c r="AM29" s="220"/>
      <c r="AN29" s="220"/>
    </row>
    <row r="30" spans="1:40" s="223" customFormat="1" ht="13" customHeight="1" thickBot="1">
      <c r="A30" s="3514"/>
      <c r="B30" s="3988" t="s">
        <v>461</v>
      </c>
      <c r="C30" s="274">
        <f t="shared" si="57"/>
        <v>2.1222190799396687E-4</v>
      </c>
      <c r="D30" s="4134">
        <v>3</v>
      </c>
      <c r="E30" s="4135">
        <v>1</v>
      </c>
      <c r="F30" s="4135">
        <v>4</v>
      </c>
      <c r="G30" s="4135">
        <v>100</v>
      </c>
      <c r="H30" s="4125"/>
      <c r="I30" s="4125">
        <v>1.7361111111111112E-4</v>
      </c>
      <c r="J30" s="4125">
        <v>1.3888888888888889E-3</v>
      </c>
      <c r="K30" s="4140" t="s">
        <v>898</v>
      </c>
      <c r="L30" s="4430">
        <f t="shared" ref="L30:L38" si="62">L29+N29</f>
        <v>0.68708255555555553</v>
      </c>
      <c r="M30" s="4051">
        <v>1.1000000000000001</v>
      </c>
      <c r="N30" s="4430">
        <f t="shared" ref="N30:N37" si="63">P30*E30*F30+I30*F30*E30+J30*E30</f>
        <v>5.8184389140271504E-3</v>
      </c>
      <c r="O30" s="4430">
        <f t="shared" ref="O30:O37" si="64">C30*(G30/25)</f>
        <v>8.4888763197586746E-4</v>
      </c>
      <c r="P30" s="4431">
        <f t="shared" si="60"/>
        <v>9.3377639517345427E-4</v>
      </c>
      <c r="Q30" s="4138">
        <v>144</v>
      </c>
      <c r="R30" s="4135">
        <f t="shared" si="61"/>
        <v>400</v>
      </c>
      <c r="S30" s="1118">
        <f t="shared" si="21"/>
        <v>0.4</v>
      </c>
      <c r="T30" s="1119">
        <f t="shared" si="22"/>
        <v>1.3582202111613879E-2</v>
      </c>
      <c r="U30" s="374">
        <f t="shared" si="23"/>
        <v>0</v>
      </c>
      <c r="V30" s="1120">
        <f t="shared" si="24"/>
        <v>0</v>
      </c>
      <c r="W30" s="376">
        <f t="shared" si="25"/>
        <v>0.4</v>
      </c>
      <c r="X30" s="377">
        <f t="shared" si="26"/>
        <v>0</v>
      </c>
      <c r="Y30" s="378">
        <f t="shared" si="27"/>
        <v>0</v>
      </c>
      <c r="Z30" s="1121">
        <f t="shared" si="28"/>
        <v>0</v>
      </c>
      <c r="AA30" s="1122">
        <f t="shared" si="29"/>
        <v>0</v>
      </c>
      <c r="AB30" s="503">
        <v>0</v>
      </c>
      <c r="AC30" s="1229"/>
      <c r="AD30" s="1230"/>
      <c r="AE30" s="1230"/>
      <c r="AF30" s="1230"/>
      <c r="AG30" s="1230"/>
      <c r="AH30" s="1230"/>
      <c r="AI30" s="220"/>
      <c r="AJ30" s="220"/>
      <c r="AK30" s="220"/>
      <c r="AL30" s="220"/>
      <c r="AM30" s="220"/>
      <c r="AN30" s="220"/>
    </row>
    <row r="31" spans="1:40" ht="13" customHeight="1" thickBot="1">
      <c r="A31" s="3514" t="s">
        <v>215</v>
      </c>
      <c r="B31" s="4427" t="s">
        <v>461</v>
      </c>
      <c r="C31" s="274">
        <f t="shared" si="57"/>
        <v>2.1222190799396687E-4</v>
      </c>
      <c r="D31" s="3264">
        <v>3</v>
      </c>
      <c r="E31" s="2385">
        <v>1</v>
      </c>
      <c r="F31" s="2385">
        <v>4</v>
      </c>
      <c r="G31" s="2385">
        <v>50</v>
      </c>
      <c r="H31" s="1454"/>
      <c r="I31" s="1454">
        <v>1.9675925925925926E-4</v>
      </c>
      <c r="J31" s="1454">
        <v>2.3148148148148146E-4</v>
      </c>
      <c r="K31" s="1492" t="s">
        <v>1925</v>
      </c>
      <c r="L31" s="1454">
        <f t="shared" si="62"/>
        <v>0.69290099446958264</v>
      </c>
      <c r="M31" s="1492">
        <v>1.1000000000000001</v>
      </c>
      <c r="N31" s="1454">
        <f t="shared" si="63"/>
        <v>2.8860713088654272E-3</v>
      </c>
      <c r="O31" s="1165">
        <f t="shared" si="64"/>
        <v>4.2444381598793373E-4</v>
      </c>
      <c r="P31" s="1454">
        <f t="shared" si="60"/>
        <v>4.6688819758672714E-4</v>
      </c>
      <c r="Q31" s="333">
        <v>144</v>
      </c>
      <c r="R31" s="2385">
        <f t="shared" si="61"/>
        <v>200</v>
      </c>
      <c r="S31" s="1118">
        <f t="shared" si="21"/>
        <v>0.2</v>
      </c>
      <c r="T31" s="1119">
        <f t="shared" si="22"/>
        <v>6.7911010558069397E-3</v>
      </c>
      <c r="U31" s="374">
        <f t="shared" si="23"/>
        <v>0</v>
      </c>
      <c r="V31" s="1120">
        <f t="shared" si="24"/>
        <v>0</v>
      </c>
      <c r="W31" s="376">
        <f t="shared" si="25"/>
        <v>0.2</v>
      </c>
      <c r="X31" s="377">
        <f t="shared" si="26"/>
        <v>0</v>
      </c>
      <c r="Y31" s="378">
        <f t="shared" si="27"/>
        <v>0</v>
      </c>
      <c r="Z31" s="1121">
        <f t="shared" si="28"/>
        <v>0</v>
      </c>
      <c r="AA31" s="1122">
        <f t="shared" si="29"/>
        <v>0</v>
      </c>
      <c r="AB31" s="504">
        <v>133.98198198198199</v>
      </c>
      <c r="AC31" s="1244"/>
      <c r="AD31" s="1244"/>
      <c r="AE31" s="1244"/>
      <c r="AF31" s="1244"/>
      <c r="AG31" s="1244"/>
      <c r="AH31" s="1244"/>
      <c r="AI31" s="244"/>
      <c r="AJ31" s="244"/>
      <c r="AK31" s="244"/>
      <c r="AL31" s="244"/>
      <c r="AM31" s="244"/>
    </row>
    <row r="32" spans="1:40" s="223" customFormat="1" ht="13" customHeight="1" thickBot="1">
      <c r="A32" s="3514" t="s">
        <v>139</v>
      </c>
      <c r="B32" s="4427" t="s">
        <v>461</v>
      </c>
      <c r="C32" s="274">
        <f t="shared" si="57"/>
        <v>1.7682291666666674E-4</v>
      </c>
      <c r="D32" s="3264">
        <v>7</v>
      </c>
      <c r="E32" s="2387">
        <v>2</v>
      </c>
      <c r="F32" s="2388">
        <v>4</v>
      </c>
      <c r="G32" s="2388">
        <v>20</v>
      </c>
      <c r="H32" s="2391"/>
      <c r="I32" s="2391">
        <v>6.9444444444444447E-4</v>
      </c>
      <c r="J32" s="2392">
        <v>1.6203703703703703E-3</v>
      </c>
      <c r="K32" s="2387" t="s">
        <v>1033</v>
      </c>
      <c r="L32" s="1499">
        <f t="shared" si="62"/>
        <v>0.69578706577844807</v>
      </c>
      <c r="M32" s="1493">
        <v>1.1000000000000001</v>
      </c>
      <c r="N32" s="1499">
        <f t="shared" si="63"/>
        <v>1.0041129629629631E-2</v>
      </c>
      <c r="O32" s="1191">
        <f t="shared" si="64"/>
        <v>1.4145833333333339E-4</v>
      </c>
      <c r="P32" s="1499">
        <f t="shared" si="60"/>
        <v>1.5560416666666674E-4</v>
      </c>
      <c r="Q32" s="790">
        <v>144</v>
      </c>
      <c r="R32" s="2402">
        <f t="shared" si="61"/>
        <v>160</v>
      </c>
      <c r="S32" s="1118">
        <f t="shared" si="21"/>
        <v>0.16</v>
      </c>
      <c r="T32" s="1119">
        <f t="shared" si="22"/>
        <v>4.5266666666666684E-3</v>
      </c>
      <c r="U32" s="374">
        <f t="shared" si="23"/>
        <v>0</v>
      </c>
      <c r="V32" s="1120">
        <f t="shared" si="24"/>
        <v>0</v>
      </c>
      <c r="W32" s="376">
        <f t="shared" si="25"/>
        <v>0</v>
      </c>
      <c r="X32" s="377">
        <f t="shared" si="26"/>
        <v>0</v>
      </c>
      <c r="Y32" s="378">
        <f t="shared" si="27"/>
        <v>0</v>
      </c>
      <c r="Z32" s="1121">
        <f t="shared" si="28"/>
        <v>0</v>
      </c>
      <c r="AA32" s="1122">
        <f t="shared" si="29"/>
        <v>0.16</v>
      </c>
      <c r="AB32" s="220"/>
      <c r="AC32" s="1229"/>
      <c r="AD32" s="1230"/>
      <c r="AE32" s="1230"/>
      <c r="AF32" s="1230"/>
      <c r="AG32" s="1230"/>
      <c r="AH32" s="1230"/>
      <c r="AI32" s="220"/>
      <c r="AJ32" s="220"/>
      <c r="AK32" s="220"/>
      <c r="AL32" s="220"/>
      <c r="AM32" s="220"/>
      <c r="AN32" s="220"/>
    </row>
    <row r="33" spans="1:40" ht="13" customHeight="1" thickBot="1">
      <c r="A33" s="3514" t="s">
        <v>458</v>
      </c>
      <c r="B33" s="4427" t="s">
        <v>461</v>
      </c>
      <c r="C33" s="274">
        <f t="shared" si="57"/>
        <v>2.1908757716049393E-4</v>
      </c>
      <c r="D33" s="3264">
        <v>2</v>
      </c>
      <c r="E33" s="2386">
        <v>1</v>
      </c>
      <c r="F33" s="2386">
        <v>1</v>
      </c>
      <c r="G33" s="2386">
        <v>100</v>
      </c>
      <c r="H33" s="1453"/>
      <c r="I33" s="1453">
        <v>1.7361111111111112E-4</v>
      </c>
      <c r="J33" s="1453">
        <v>2.8935185185185189E-4</v>
      </c>
      <c r="K33" s="1498" t="s">
        <v>706</v>
      </c>
      <c r="L33" s="1453">
        <f t="shared" si="62"/>
        <v>0.70582819540807773</v>
      </c>
      <c r="M33" s="2397">
        <v>1.1000000000000001</v>
      </c>
      <c r="N33" s="1453">
        <f t="shared" si="63"/>
        <v>1.4269483024691363E-3</v>
      </c>
      <c r="O33" s="1175">
        <f t="shared" si="64"/>
        <v>8.7635030864197572E-4</v>
      </c>
      <c r="P33" s="1175">
        <f t="shared" si="60"/>
        <v>9.6398533950617339E-4</v>
      </c>
      <c r="Q33" s="550">
        <v>144</v>
      </c>
      <c r="R33" s="2398">
        <f t="shared" si="61"/>
        <v>100</v>
      </c>
      <c r="S33" s="1118">
        <f t="shared" si="21"/>
        <v>0.1</v>
      </c>
      <c r="T33" s="1119">
        <f t="shared" si="22"/>
        <v>3.5054012345679029E-3</v>
      </c>
      <c r="U33" s="374">
        <f t="shared" si="23"/>
        <v>0</v>
      </c>
      <c r="V33" s="1120">
        <f t="shared" si="24"/>
        <v>0.1</v>
      </c>
      <c r="W33" s="376">
        <f t="shared" si="25"/>
        <v>0</v>
      </c>
      <c r="X33" s="377">
        <f t="shared" si="26"/>
        <v>0</v>
      </c>
      <c r="Y33" s="378">
        <f t="shared" si="27"/>
        <v>0</v>
      </c>
      <c r="Z33" s="1121">
        <f t="shared" si="28"/>
        <v>0</v>
      </c>
      <c r="AA33" s="1122">
        <f t="shared" si="29"/>
        <v>0</v>
      </c>
      <c r="AB33" s="1277"/>
    </row>
    <row r="34" spans="1:40" s="223" customFormat="1" ht="13" customHeight="1" thickBot="1">
      <c r="A34" s="3514" t="s">
        <v>462</v>
      </c>
      <c r="B34" s="4427" t="s">
        <v>461</v>
      </c>
      <c r="C34" s="274">
        <f t="shared" si="57"/>
        <v>1.7682291666666674E-4</v>
      </c>
      <c r="D34" s="3264">
        <v>7</v>
      </c>
      <c r="E34" s="2387">
        <v>2</v>
      </c>
      <c r="F34" s="2388">
        <v>4</v>
      </c>
      <c r="G34" s="2388">
        <v>20</v>
      </c>
      <c r="H34" s="2391"/>
      <c r="I34" s="2391">
        <v>6.9444444444444447E-4</v>
      </c>
      <c r="J34" s="2392">
        <v>1.6203703703703703E-3</v>
      </c>
      <c r="K34" s="2387" t="s">
        <v>1033</v>
      </c>
      <c r="L34" s="1499">
        <f t="shared" si="62"/>
        <v>0.70725514371054687</v>
      </c>
      <c r="M34" s="1493">
        <v>1.1000000000000001</v>
      </c>
      <c r="N34" s="1499">
        <f t="shared" si="63"/>
        <v>1.0041129629629631E-2</v>
      </c>
      <c r="O34" s="1191">
        <f t="shared" si="64"/>
        <v>1.4145833333333339E-4</v>
      </c>
      <c r="P34" s="1499">
        <f t="shared" si="60"/>
        <v>1.5560416666666674E-4</v>
      </c>
      <c r="Q34" s="790">
        <v>144</v>
      </c>
      <c r="R34" s="2402">
        <f t="shared" si="61"/>
        <v>160</v>
      </c>
      <c r="S34" s="1118">
        <f t="shared" si="21"/>
        <v>0.16</v>
      </c>
      <c r="T34" s="1119">
        <f t="shared" si="22"/>
        <v>4.5266666666666684E-3</v>
      </c>
      <c r="U34" s="374">
        <f t="shared" si="23"/>
        <v>0</v>
      </c>
      <c r="V34" s="1120">
        <f t="shared" si="24"/>
        <v>0</v>
      </c>
      <c r="W34" s="376">
        <f t="shared" si="25"/>
        <v>0</v>
      </c>
      <c r="X34" s="377">
        <f t="shared" si="26"/>
        <v>0</v>
      </c>
      <c r="Y34" s="378">
        <f t="shared" si="27"/>
        <v>0</v>
      </c>
      <c r="Z34" s="1121">
        <f t="shared" si="28"/>
        <v>0</v>
      </c>
      <c r="AA34" s="1122">
        <f t="shared" si="29"/>
        <v>0.16</v>
      </c>
      <c r="AB34" s="220"/>
      <c r="AC34" s="1229"/>
      <c r="AD34" s="1230"/>
      <c r="AE34" s="1230"/>
      <c r="AF34" s="1230"/>
      <c r="AG34" s="1230"/>
      <c r="AH34" s="1230"/>
      <c r="AI34" s="220"/>
      <c r="AJ34" s="220"/>
      <c r="AK34" s="220"/>
      <c r="AL34" s="220"/>
      <c r="AM34" s="220"/>
      <c r="AN34" s="220"/>
    </row>
    <row r="35" spans="1:40" ht="13" customHeight="1" thickBot="1">
      <c r="A35" s="3514" t="s">
        <v>140</v>
      </c>
      <c r="B35" s="4427" t="s">
        <v>461</v>
      </c>
      <c r="C35" s="274">
        <f t="shared" si="57"/>
        <v>2.1908757716049393E-4</v>
      </c>
      <c r="D35" s="3264">
        <v>2</v>
      </c>
      <c r="E35" s="2386">
        <v>1</v>
      </c>
      <c r="F35" s="2386">
        <v>1</v>
      </c>
      <c r="G35" s="2386">
        <v>100</v>
      </c>
      <c r="H35" s="1453"/>
      <c r="I35" s="1453">
        <v>1.7361111111111112E-4</v>
      </c>
      <c r="J35" s="1453">
        <v>2.8935185185185189E-4</v>
      </c>
      <c r="K35" s="1498" t="s">
        <v>706</v>
      </c>
      <c r="L35" s="1453">
        <f t="shared" si="62"/>
        <v>0.71729627334017654</v>
      </c>
      <c r="M35" s="2397">
        <v>1.1000000000000001</v>
      </c>
      <c r="N35" s="1453">
        <f t="shared" si="63"/>
        <v>1.4269483024691363E-3</v>
      </c>
      <c r="O35" s="1175">
        <f t="shared" si="64"/>
        <v>8.7635030864197572E-4</v>
      </c>
      <c r="P35" s="1175">
        <f t="shared" si="60"/>
        <v>9.6398533950617339E-4</v>
      </c>
      <c r="Q35" s="550">
        <v>144</v>
      </c>
      <c r="R35" s="2398">
        <f t="shared" si="61"/>
        <v>100</v>
      </c>
      <c r="S35" s="1118">
        <f t="shared" si="21"/>
        <v>0.1</v>
      </c>
      <c r="T35" s="1119">
        <f t="shared" si="22"/>
        <v>3.5054012345679029E-3</v>
      </c>
      <c r="U35" s="374">
        <f t="shared" si="23"/>
        <v>0</v>
      </c>
      <c r="V35" s="1120">
        <f t="shared" si="24"/>
        <v>0.1</v>
      </c>
      <c r="W35" s="376">
        <f t="shared" si="25"/>
        <v>0</v>
      </c>
      <c r="X35" s="377">
        <f t="shared" si="26"/>
        <v>0</v>
      </c>
      <c r="Y35" s="378">
        <f t="shared" si="27"/>
        <v>0</v>
      </c>
      <c r="Z35" s="1121">
        <f t="shared" si="28"/>
        <v>0</v>
      </c>
      <c r="AA35" s="1122">
        <f t="shared" si="29"/>
        <v>0</v>
      </c>
      <c r="AB35" s="1277"/>
    </row>
    <row r="36" spans="1:40" s="223" customFormat="1" ht="13" customHeight="1" thickBot="1">
      <c r="A36" s="3514" t="s">
        <v>674</v>
      </c>
      <c r="B36" s="4427" t="s">
        <v>461</v>
      </c>
      <c r="C36" s="274">
        <f t="shared" si="57"/>
        <v>1.7682291666666674E-4</v>
      </c>
      <c r="D36" s="3264">
        <v>7</v>
      </c>
      <c r="E36" s="2387">
        <v>2</v>
      </c>
      <c r="F36" s="2388">
        <v>4</v>
      </c>
      <c r="G36" s="2388">
        <v>20</v>
      </c>
      <c r="H36" s="2391"/>
      <c r="I36" s="2391">
        <v>6.9444444444444447E-4</v>
      </c>
      <c r="J36" s="2392">
        <v>1.6203703703703703E-3</v>
      </c>
      <c r="K36" s="2387" t="s">
        <v>1033</v>
      </c>
      <c r="L36" s="1499">
        <f t="shared" si="62"/>
        <v>0.71872322164264568</v>
      </c>
      <c r="M36" s="1493">
        <v>1.1000000000000001</v>
      </c>
      <c r="N36" s="1499">
        <f t="shared" si="63"/>
        <v>1.0041129629629631E-2</v>
      </c>
      <c r="O36" s="1191">
        <f t="shared" si="64"/>
        <v>1.4145833333333339E-4</v>
      </c>
      <c r="P36" s="1499">
        <f t="shared" si="60"/>
        <v>1.5560416666666674E-4</v>
      </c>
      <c r="Q36" s="790">
        <v>144</v>
      </c>
      <c r="R36" s="2402">
        <f t="shared" si="61"/>
        <v>160</v>
      </c>
      <c r="S36" s="1118">
        <f t="shared" si="21"/>
        <v>0.16</v>
      </c>
      <c r="T36" s="1119">
        <f t="shared" si="22"/>
        <v>4.5266666666666684E-3</v>
      </c>
      <c r="U36" s="374">
        <f t="shared" si="23"/>
        <v>0</v>
      </c>
      <c r="V36" s="1120">
        <f t="shared" si="24"/>
        <v>0</v>
      </c>
      <c r="W36" s="376">
        <f t="shared" si="25"/>
        <v>0</v>
      </c>
      <c r="X36" s="377">
        <f t="shared" si="26"/>
        <v>0</v>
      </c>
      <c r="Y36" s="378">
        <f t="shared" si="27"/>
        <v>0</v>
      </c>
      <c r="Z36" s="1121">
        <f t="shared" si="28"/>
        <v>0</v>
      </c>
      <c r="AA36" s="1122">
        <f t="shared" si="29"/>
        <v>0.16</v>
      </c>
      <c r="AB36" s="220"/>
      <c r="AC36" s="1229"/>
      <c r="AD36" s="1230"/>
      <c r="AE36" s="1230"/>
      <c r="AF36" s="1230"/>
      <c r="AG36" s="1230"/>
      <c r="AH36" s="1230"/>
      <c r="AI36" s="220"/>
      <c r="AJ36" s="220"/>
      <c r="AK36" s="220"/>
      <c r="AL36" s="220"/>
      <c r="AM36" s="220"/>
      <c r="AN36" s="220"/>
    </row>
    <row r="37" spans="1:40" s="223" customFormat="1" ht="13" customHeight="1" thickBot="1">
      <c r="A37" s="3514" t="s">
        <v>214</v>
      </c>
      <c r="B37" s="4427" t="s">
        <v>461</v>
      </c>
      <c r="C37" s="274">
        <f t="shared" si="57"/>
        <v>1.7682291666666674E-4</v>
      </c>
      <c r="D37" s="3264">
        <v>7</v>
      </c>
      <c r="E37" s="2387">
        <v>8</v>
      </c>
      <c r="F37" s="2388">
        <v>4</v>
      </c>
      <c r="G37" s="2388">
        <v>15</v>
      </c>
      <c r="H37" s="2391"/>
      <c r="I37" s="2391">
        <v>1.1574074074074073E-4</v>
      </c>
      <c r="J37" s="2392">
        <v>6.9444444444444447E-4</v>
      </c>
      <c r="K37" s="2387" t="s">
        <v>319</v>
      </c>
      <c r="L37" s="1499">
        <f t="shared" si="62"/>
        <v>0.72876435127227535</v>
      </c>
      <c r="M37" s="1493">
        <v>1.1000000000000001</v>
      </c>
      <c r="N37" s="1499">
        <f t="shared" si="63"/>
        <v>1.299375925925926E-2</v>
      </c>
      <c r="O37" s="1191">
        <f t="shared" si="64"/>
        <v>1.0609375000000004E-4</v>
      </c>
      <c r="P37" s="1499">
        <f t="shared" si="60"/>
        <v>1.1670312500000005E-4</v>
      </c>
      <c r="Q37" s="790">
        <v>144</v>
      </c>
      <c r="R37" s="2407">
        <f t="shared" si="61"/>
        <v>480</v>
      </c>
      <c r="S37" s="1118">
        <f t="shared" si="21"/>
        <v>0.48</v>
      </c>
      <c r="T37" s="1119">
        <f t="shared" si="22"/>
        <v>1.3580000000000005E-2</v>
      </c>
      <c r="U37" s="374">
        <f t="shared" si="23"/>
        <v>0</v>
      </c>
      <c r="V37" s="1120">
        <f t="shared" si="24"/>
        <v>0</v>
      </c>
      <c r="W37" s="376">
        <f t="shared" si="25"/>
        <v>0</v>
      </c>
      <c r="X37" s="377">
        <f t="shared" si="26"/>
        <v>0</v>
      </c>
      <c r="Y37" s="378">
        <f t="shared" si="27"/>
        <v>0</v>
      </c>
      <c r="Z37" s="1121">
        <f t="shared" si="28"/>
        <v>0</v>
      </c>
      <c r="AA37" s="1122">
        <f t="shared" si="29"/>
        <v>0.48</v>
      </c>
      <c r="AB37" s="220"/>
      <c r="AC37" s="1229" t="s">
        <v>193</v>
      </c>
      <c r="AD37" s="1230"/>
      <c r="AE37" s="1230"/>
      <c r="AF37" s="1230"/>
      <c r="AG37" s="1230"/>
      <c r="AH37" s="1230"/>
      <c r="AI37" s="220"/>
      <c r="AJ37" s="220"/>
      <c r="AK37" s="220"/>
      <c r="AL37" s="220"/>
      <c r="AM37" s="220"/>
      <c r="AN37" s="220"/>
    </row>
    <row r="38" spans="1:40" ht="13" customHeight="1" thickBot="1">
      <c r="A38" s="4426"/>
      <c r="B38" s="4427" t="s">
        <v>461</v>
      </c>
      <c r="C38" s="274">
        <f t="shared" si="57"/>
        <v>0</v>
      </c>
      <c r="D38" s="4440"/>
      <c r="E38" s="682"/>
      <c r="F38" s="682"/>
      <c r="G38" s="682"/>
      <c r="H38" s="682"/>
      <c r="I38" s="682"/>
      <c r="J38" s="682"/>
      <c r="K38" s="682"/>
      <c r="L38" s="4484">
        <f t="shared" si="62"/>
        <v>0.74175811053153462</v>
      </c>
      <c r="M38" s="4485"/>
      <c r="N38" s="4486">
        <v>3.667824074074074E-2</v>
      </c>
      <c r="O38" s="4486"/>
      <c r="P38" s="4486"/>
      <c r="Q38" s="4487">
        <v>0</v>
      </c>
      <c r="R38" s="4488">
        <f>SUM(R29:R37)</f>
        <v>2960</v>
      </c>
      <c r="S38" s="1118">
        <f t="shared" si="21"/>
        <v>0</v>
      </c>
      <c r="T38" s="1119">
        <f t="shared" si="22"/>
        <v>0</v>
      </c>
      <c r="U38" s="374">
        <f t="shared" si="23"/>
        <v>0</v>
      </c>
      <c r="V38" s="1120">
        <f t="shared" si="24"/>
        <v>0</v>
      </c>
      <c r="W38" s="376">
        <f t="shared" si="25"/>
        <v>0</v>
      </c>
      <c r="X38" s="377">
        <f t="shared" si="26"/>
        <v>0</v>
      </c>
      <c r="Y38" s="378">
        <f t="shared" si="27"/>
        <v>0</v>
      </c>
      <c r="Z38" s="1121">
        <f t="shared" si="28"/>
        <v>0</v>
      </c>
      <c r="AA38" s="1122">
        <f t="shared" si="29"/>
        <v>0</v>
      </c>
      <c r="AB38" s="1278"/>
      <c r="AC38" s="1244"/>
      <c r="AD38" s="1230"/>
      <c r="AE38" s="1230"/>
      <c r="AF38" s="1230"/>
      <c r="AG38" s="1230"/>
      <c r="AH38" s="1230"/>
      <c r="AI38" s="220"/>
      <c r="AJ38" s="245"/>
      <c r="AK38" s="245"/>
      <c r="AL38" s="245"/>
      <c r="AM38" s="245"/>
      <c r="AN38" s="245"/>
    </row>
    <row r="39" spans="1:40" ht="13" customHeight="1" thickBot="1">
      <c r="A39" s="4439"/>
      <c r="B39" s="4441" t="s">
        <v>215</v>
      </c>
      <c r="C39" s="629"/>
      <c r="D39" s="4442"/>
      <c r="E39" s="679"/>
      <c r="F39" s="679"/>
      <c r="G39" s="679"/>
      <c r="H39" s="679"/>
      <c r="I39" s="679"/>
      <c r="J39" s="679"/>
      <c r="K39" s="2132"/>
      <c r="L39" s="2408"/>
      <c r="M39" s="2409"/>
      <c r="N39" s="2410"/>
      <c r="O39" s="2410"/>
      <c r="P39" s="2381"/>
      <c r="Q39" s="2411"/>
      <c r="R39" s="2412"/>
      <c r="S39" s="1118">
        <f t="shared" si="21"/>
        <v>0</v>
      </c>
      <c r="T39" s="1119">
        <f t="shared" si="22"/>
        <v>0</v>
      </c>
      <c r="U39" s="374">
        <f t="shared" si="23"/>
        <v>0</v>
      </c>
      <c r="V39" s="1120">
        <f t="shared" si="24"/>
        <v>0</v>
      </c>
      <c r="W39" s="376">
        <f t="shared" si="25"/>
        <v>0</v>
      </c>
      <c r="X39" s="377">
        <f t="shared" si="26"/>
        <v>0</v>
      </c>
      <c r="Y39" s="378">
        <f t="shared" si="27"/>
        <v>0</v>
      </c>
      <c r="Z39" s="1121">
        <f t="shared" si="28"/>
        <v>0</v>
      </c>
      <c r="AA39" s="1122">
        <f t="shared" si="29"/>
        <v>0</v>
      </c>
      <c r="AB39" s="1278"/>
      <c r="AC39" s="1244"/>
      <c r="AD39" s="1230"/>
      <c r="AE39" s="1230"/>
      <c r="AF39" s="1230"/>
      <c r="AG39" s="1230"/>
      <c r="AH39" s="1230"/>
      <c r="AI39" s="220"/>
      <c r="AJ39" s="245"/>
      <c r="AK39" s="245"/>
      <c r="AL39" s="245"/>
      <c r="AM39" s="245"/>
      <c r="AN39" s="245"/>
    </row>
    <row r="40" spans="1:40" ht="13" customHeight="1" thickBot="1">
      <c r="A40" s="4439" t="s">
        <v>217</v>
      </c>
      <c r="B40" s="4441" t="s">
        <v>215</v>
      </c>
      <c r="C40" s="629">
        <f t="shared" ref="C40:C47" si="65">IF(D40=1,U$5,IF(D40=2,V$5,IF(D40=3,W$5,IF(D40=4,X$5,IF(D40=5,Y$5,IF(D40=6,Z$5,IF(D40=7,AA$5,0)))))))</f>
        <v>2.1222190799396687E-4</v>
      </c>
      <c r="D40" s="3264">
        <v>3</v>
      </c>
      <c r="E40" s="2385">
        <v>1</v>
      </c>
      <c r="F40" s="2385">
        <v>4</v>
      </c>
      <c r="G40" s="2385">
        <v>50</v>
      </c>
      <c r="H40" s="1161"/>
      <c r="I40" s="1454">
        <v>1.9675925925925926E-4</v>
      </c>
      <c r="J40" s="1454">
        <v>2.3148148148148146E-4</v>
      </c>
      <c r="K40" s="1492" t="s">
        <v>938</v>
      </c>
      <c r="L40" s="1454">
        <v>0.33680555555555558</v>
      </c>
      <c r="M40" s="1492">
        <v>1</v>
      </c>
      <c r="N40" s="1454">
        <f t="shared" ref="N40:N41" si="66">P40*E40*F40+I40*F40*E40+J40*E40</f>
        <v>2.7162937824702534E-3</v>
      </c>
      <c r="O40" s="1165">
        <f t="shared" ref="O40:O47" si="67">C40*(G40/25)</f>
        <v>4.2444381598793373E-4</v>
      </c>
      <c r="P40" s="1454">
        <f t="shared" ref="P40:P47" si="68">O40*M40</f>
        <v>4.2444381598793373E-4</v>
      </c>
      <c r="Q40" s="333">
        <v>144</v>
      </c>
      <c r="R40" s="2385">
        <f t="shared" ref="R40:R47" si="69">E40*F40*G40</f>
        <v>200</v>
      </c>
      <c r="S40" s="1118">
        <f t="shared" si="21"/>
        <v>0.2</v>
      </c>
      <c r="T40" s="1119">
        <f t="shared" si="22"/>
        <v>6.7911010558069397E-3</v>
      </c>
      <c r="U40" s="374">
        <f t="shared" si="23"/>
        <v>0</v>
      </c>
      <c r="V40" s="1120">
        <f t="shared" si="24"/>
        <v>0</v>
      </c>
      <c r="W40" s="376">
        <f t="shared" si="25"/>
        <v>0.2</v>
      </c>
      <c r="X40" s="377">
        <f t="shared" si="26"/>
        <v>0</v>
      </c>
      <c r="Y40" s="378">
        <f t="shared" si="27"/>
        <v>0</v>
      </c>
      <c r="Z40" s="1121">
        <f t="shared" si="28"/>
        <v>0</v>
      </c>
      <c r="AA40" s="1122">
        <f t="shared" si="29"/>
        <v>0</v>
      </c>
      <c r="AB40" s="484">
        <v>1459.6756756756758</v>
      </c>
      <c r="AC40" s="1244"/>
      <c r="AD40" s="1244"/>
      <c r="AE40" s="1244"/>
      <c r="AF40" s="1244"/>
      <c r="AG40" s="1244"/>
      <c r="AH40" s="1244"/>
      <c r="AI40" s="220"/>
      <c r="AJ40" s="245"/>
      <c r="AK40" s="245"/>
      <c r="AL40" s="245"/>
      <c r="AM40" s="245"/>
      <c r="AN40" s="245"/>
    </row>
    <row r="41" spans="1:40" ht="13" customHeight="1" thickBot="1">
      <c r="A41" s="1281" t="s">
        <v>459</v>
      </c>
      <c r="B41" s="4441" t="s">
        <v>215</v>
      </c>
      <c r="C41" s="629">
        <f t="shared" si="65"/>
        <v>1.7682291666666674E-4</v>
      </c>
      <c r="D41" s="920">
        <v>7</v>
      </c>
      <c r="E41" s="2387">
        <v>1</v>
      </c>
      <c r="F41" s="2388">
        <v>4</v>
      </c>
      <c r="G41" s="2388">
        <v>50</v>
      </c>
      <c r="H41" s="1323"/>
      <c r="I41" s="2391">
        <v>1.2731481481481483E-3</v>
      </c>
      <c r="J41" s="2392">
        <v>2.3148148148148146E-4</v>
      </c>
      <c r="K41" s="2387" t="s">
        <v>1038</v>
      </c>
      <c r="L41" s="2392">
        <f t="shared" ref="L41:L43" si="70">L40+N40</f>
        <v>0.33952184933802582</v>
      </c>
      <c r="M41" s="1493">
        <v>0.78</v>
      </c>
      <c r="N41" s="1499">
        <f t="shared" si="66"/>
        <v>6.427449074074075E-3</v>
      </c>
      <c r="O41" s="1191">
        <f t="shared" si="67"/>
        <v>3.5364583333333347E-4</v>
      </c>
      <c r="P41" s="1499">
        <f t="shared" si="68"/>
        <v>2.758437500000001E-4</v>
      </c>
      <c r="Q41" s="790">
        <v>144</v>
      </c>
      <c r="R41" s="2402">
        <f t="shared" si="69"/>
        <v>200</v>
      </c>
      <c r="S41" s="1118">
        <f t="shared" si="21"/>
        <v>0.2</v>
      </c>
      <c r="T41" s="1119">
        <f t="shared" si="22"/>
        <v>5.6583333333333355E-3</v>
      </c>
      <c r="U41" s="374">
        <f t="shared" si="23"/>
        <v>0</v>
      </c>
      <c r="V41" s="1120">
        <f t="shared" si="24"/>
        <v>0</v>
      </c>
      <c r="W41" s="376">
        <f t="shared" si="25"/>
        <v>0</v>
      </c>
      <c r="X41" s="377">
        <f t="shared" si="26"/>
        <v>0</v>
      </c>
      <c r="Y41" s="378">
        <f t="shared" si="27"/>
        <v>0</v>
      </c>
      <c r="Z41" s="1121">
        <f t="shared" si="28"/>
        <v>0</v>
      </c>
      <c r="AA41" s="1122">
        <f t="shared" si="29"/>
        <v>0.2</v>
      </c>
      <c r="AB41" s="535">
        <v>1167.7837837837837</v>
      </c>
      <c r="AC41" s="1244"/>
      <c r="AD41" s="1244"/>
      <c r="AE41" s="1244"/>
      <c r="AF41" s="1244"/>
      <c r="AG41" s="1244"/>
      <c r="AH41" s="1244"/>
      <c r="AI41" s="244"/>
      <c r="AJ41" s="244"/>
      <c r="AK41" s="244"/>
      <c r="AL41" s="244"/>
      <c r="AM41" s="244"/>
    </row>
    <row r="42" spans="1:40" ht="13" customHeight="1" thickBot="1">
      <c r="A42" s="4439" t="s">
        <v>458</v>
      </c>
      <c r="B42" s="4441" t="s">
        <v>215</v>
      </c>
      <c r="C42" s="629">
        <f t="shared" si="65"/>
        <v>2.1908757716049393E-4</v>
      </c>
      <c r="D42" s="3264">
        <v>2</v>
      </c>
      <c r="E42" s="2386">
        <v>2</v>
      </c>
      <c r="F42" s="2386">
        <v>1</v>
      </c>
      <c r="G42" s="2386">
        <v>400</v>
      </c>
      <c r="H42" s="299"/>
      <c r="I42" s="1453">
        <v>1.7361111111111112E-4</v>
      </c>
      <c r="J42" s="1453">
        <v>2.8935185185185189E-4</v>
      </c>
      <c r="K42" s="1498" t="s">
        <v>2546</v>
      </c>
      <c r="L42" s="1143">
        <f t="shared" si="70"/>
        <v>0.34594929841209987</v>
      </c>
      <c r="M42" s="2397">
        <v>1.2</v>
      </c>
      <c r="N42" s="1453">
        <f>P42*E42*F42+I42*F42*E42+J42*E42</f>
        <v>9.3388888888888931E-3</v>
      </c>
      <c r="O42" s="1175">
        <f t="shared" si="67"/>
        <v>3.5054012345679029E-3</v>
      </c>
      <c r="P42" s="1175">
        <f t="shared" si="68"/>
        <v>4.2064814814814829E-3</v>
      </c>
      <c r="Q42" s="550">
        <v>144</v>
      </c>
      <c r="R42" s="2398">
        <f t="shared" si="69"/>
        <v>800</v>
      </c>
      <c r="S42" s="1118">
        <f t="shared" si="21"/>
        <v>0.8</v>
      </c>
      <c r="T42" s="1119">
        <f t="shared" si="22"/>
        <v>2.8043209876543223E-2</v>
      </c>
      <c r="U42" s="374">
        <f t="shared" si="23"/>
        <v>0</v>
      </c>
      <c r="V42" s="1120">
        <f t="shared" si="24"/>
        <v>0.8</v>
      </c>
      <c r="W42" s="376">
        <f t="shared" si="25"/>
        <v>0</v>
      </c>
      <c r="X42" s="377">
        <f t="shared" si="26"/>
        <v>0</v>
      </c>
      <c r="Y42" s="378">
        <f t="shared" si="27"/>
        <v>0</v>
      </c>
      <c r="Z42" s="1121">
        <f t="shared" si="28"/>
        <v>0</v>
      </c>
      <c r="AA42" s="1122">
        <f t="shared" si="29"/>
        <v>0</v>
      </c>
      <c r="AB42" s="500">
        <v>1021.8378378378379</v>
      </c>
      <c r="AC42" s="1244"/>
      <c r="AD42" s="1244"/>
      <c r="AE42" s="1244"/>
      <c r="AF42" s="1244"/>
      <c r="AG42" s="1244"/>
      <c r="AH42" s="1244"/>
      <c r="AI42" s="220"/>
      <c r="AJ42" s="245"/>
      <c r="AK42" s="245"/>
      <c r="AL42" s="245"/>
      <c r="AM42" s="245"/>
      <c r="AN42" s="245"/>
    </row>
    <row r="43" spans="1:40" ht="13" customHeight="1" thickBot="1">
      <c r="A43" s="1281" t="s">
        <v>218</v>
      </c>
      <c r="B43" s="4441" t="s">
        <v>215</v>
      </c>
      <c r="C43" s="629">
        <f t="shared" si="65"/>
        <v>1.7682291666666674E-4</v>
      </c>
      <c r="D43" s="920">
        <v>7</v>
      </c>
      <c r="E43" s="2387">
        <v>1</v>
      </c>
      <c r="F43" s="2388">
        <v>12</v>
      </c>
      <c r="G43" s="2388">
        <v>50</v>
      </c>
      <c r="H43" s="1323"/>
      <c r="I43" s="2391">
        <v>1.0416666666666667E-3</v>
      </c>
      <c r="J43" s="2392">
        <v>3.4722222222222224E-4</v>
      </c>
      <c r="K43" s="2387" t="s">
        <v>1030</v>
      </c>
      <c r="L43" s="2392">
        <f t="shared" si="70"/>
        <v>0.35528818730098877</v>
      </c>
      <c r="M43" s="1493">
        <v>0.85</v>
      </c>
      <c r="N43" s="1499">
        <f t="shared" ref="N43" si="71">P43*E43*F43+I43*F43*E43+J43*E43</f>
        <v>1.6454409722222223E-2</v>
      </c>
      <c r="O43" s="1191">
        <f t="shared" si="67"/>
        <v>3.5364583333333347E-4</v>
      </c>
      <c r="P43" s="1499">
        <f t="shared" si="68"/>
        <v>3.0059895833333344E-4</v>
      </c>
      <c r="Q43" s="790">
        <v>144</v>
      </c>
      <c r="R43" s="2402">
        <f t="shared" si="69"/>
        <v>600</v>
      </c>
      <c r="S43" s="1118">
        <f t="shared" si="21"/>
        <v>0.6</v>
      </c>
      <c r="T43" s="1119">
        <f t="shared" si="22"/>
        <v>1.6975000000000007E-2</v>
      </c>
      <c r="U43" s="374">
        <f t="shared" si="23"/>
        <v>0</v>
      </c>
      <c r="V43" s="1120">
        <f t="shared" si="24"/>
        <v>0</v>
      </c>
      <c r="W43" s="376">
        <f t="shared" si="25"/>
        <v>0</v>
      </c>
      <c r="X43" s="377">
        <f t="shared" si="26"/>
        <v>0</v>
      </c>
      <c r="Y43" s="378">
        <f t="shared" si="27"/>
        <v>0</v>
      </c>
      <c r="Z43" s="1121">
        <f t="shared" si="28"/>
        <v>0</v>
      </c>
      <c r="AA43" s="1122">
        <f t="shared" si="29"/>
        <v>0.6</v>
      </c>
      <c r="AB43" s="501">
        <v>0</v>
      </c>
      <c r="AC43" s="1244"/>
      <c r="AD43" s="1244"/>
      <c r="AE43" s="1244"/>
      <c r="AF43" s="1244"/>
      <c r="AG43" s="1244"/>
      <c r="AH43" s="1244"/>
      <c r="AI43" s="244"/>
      <c r="AJ43" s="244"/>
      <c r="AK43" s="244"/>
      <c r="AL43" s="244"/>
      <c r="AM43" s="244"/>
    </row>
    <row r="44" spans="1:40" ht="13" customHeight="1" thickBot="1">
      <c r="A44" s="4439" t="s">
        <v>458</v>
      </c>
      <c r="B44" s="4441" t="s">
        <v>215</v>
      </c>
      <c r="C44" s="629">
        <f t="shared" si="65"/>
        <v>2.1908757716049393E-4</v>
      </c>
      <c r="D44" s="3264">
        <v>2</v>
      </c>
      <c r="E44" s="2386">
        <v>2</v>
      </c>
      <c r="F44" s="2386">
        <v>1</v>
      </c>
      <c r="G44" s="2386">
        <v>200</v>
      </c>
      <c r="H44" s="299"/>
      <c r="I44" s="1453">
        <v>1.7361111111111112E-4</v>
      </c>
      <c r="J44" s="1453">
        <v>2.8935185185185189E-4</v>
      </c>
      <c r="K44" s="1498" t="s">
        <v>2546</v>
      </c>
      <c r="L44" s="1143">
        <f>L43+N43</f>
        <v>0.371742597023211</v>
      </c>
      <c r="M44" s="2397">
        <v>1.2</v>
      </c>
      <c r="N44" s="1453">
        <f>P44*E44*F44+I44*F44*E44+J44*E44</f>
        <v>5.1324074074074084E-3</v>
      </c>
      <c r="O44" s="1175">
        <f t="shared" si="67"/>
        <v>1.7527006172839514E-3</v>
      </c>
      <c r="P44" s="1175">
        <f t="shared" si="68"/>
        <v>2.1032407407407415E-3</v>
      </c>
      <c r="Q44" s="550">
        <v>144</v>
      </c>
      <c r="R44" s="2398">
        <f t="shared" si="69"/>
        <v>400</v>
      </c>
      <c r="S44" s="1118">
        <f t="shared" si="21"/>
        <v>0.4</v>
      </c>
      <c r="T44" s="1119">
        <f t="shared" si="22"/>
        <v>1.4021604938271611E-2</v>
      </c>
      <c r="U44" s="374">
        <f t="shared" si="23"/>
        <v>0</v>
      </c>
      <c r="V44" s="1120">
        <f t="shared" si="24"/>
        <v>0.4</v>
      </c>
      <c r="W44" s="376">
        <f t="shared" si="25"/>
        <v>0</v>
      </c>
      <c r="X44" s="377">
        <f t="shared" si="26"/>
        <v>0</v>
      </c>
      <c r="Y44" s="378">
        <f t="shared" si="27"/>
        <v>0</v>
      </c>
      <c r="Z44" s="1121">
        <f t="shared" si="28"/>
        <v>0</v>
      </c>
      <c r="AA44" s="1122">
        <f t="shared" si="29"/>
        <v>0</v>
      </c>
      <c r="AB44" s="502">
        <v>7</v>
      </c>
      <c r="AC44" s="1244"/>
      <c r="AD44" s="1244"/>
      <c r="AE44" s="1244"/>
      <c r="AF44" s="1244"/>
      <c r="AG44" s="1244"/>
      <c r="AH44" s="1244"/>
      <c r="AI44" s="220"/>
      <c r="AJ44" s="245"/>
      <c r="AK44" s="245"/>
      <c r="AL44" s="245"/>
      <c r="AM44" s="245"/>
      <c r="AN44" s="245"/>
    </row>
    <row r="45" spans="1:40" ht="13" customHeight="1" thickBot="1">
      <c r="A45" s="4439" t="s">
        <v>219</v>
      </c>
      <c r="B45" s="4441" t="s">
        <v>215</v>
      </c>
      <c r="C45" s="274">
        <f t="shared" si="65"/>
        <v>1.8229166666666673E-4</v>
      </c>
      <c r="D45" s="920">
        <v>6</v>
      </c>
      <c r="E45" s="1171">
        <v>1</v>
      </c>
      <c r="F45" s="1171">
        <v>6</v>
      </c>
      <c r="G45" s="1171">
        <v>100</v>
      </c>
      <c r="H45" s="2380"/>
      <c r="I45" s="1956">
        <v>6.9444444444444447E-4</v>
      </c>
      <c r="J45" s="1956">
        <v>1.3888888888888889E-3</v>
      </c>
      <c r="K45" s="1495" t="s">
        <v>1037</v>
      </c>
      <c r="L45" s="1956">
        <f>L44+N44</f>
        <v>0.37687500443061839</v>
      </c>
      <c r="M45" s="2403">
        <v>1.25</v>
      </c>
      <c r="N45" s="1956">
        <f>P45*E45*F45+I45*E45*F45+J45*E45</f>
        <v>1.1024305555555558E-2</v>
      </c>
      <c r="O45" s="1169">
        <f t="shared" si="67"/>
        <v>7.2916666666666692E-4</v>
      </c>
      <c r="P45" s="1956">
        <f t="shared" si="68"/>
        <v>9.1145833333333367E-4</v>
      </c>
      <c r="Q45" s="1171">
        <v>164</v>
      </c>
      <c r="R45" s="1171">
        <f t="shared" si="69"/>
        <v>600</v>
      </c>
      <c r="S45" s="1118">
        <f t="shared" si="21"/>
        <v>0.6</v>
      </c>
      <c r="T45" s="1119">
        <f t="shared" si="22"/>
        <v>1.7500000000000005E-2</v>
      </c>
      <c r="U45" s="374">
        <f t="shared" si="23"/>
        <v>0</v>
      </c>
      <c r="V45" s="1120">
        <f t="shared" si="24"/>
        <v>0</v>
      </c>
      <c r="W45" s="376">
        <f t="shared" si="25"/>
        <v>0</v>
      </c>
      <c r="X45" s="377">
        <f t="shared" si="26"/>
        <v>0</v>
      </c>
      <c r="Y45" s="378">
        <f t="shared" si="27"/>
        <v>0</v>
      </c>
      <c r="Z45" s="1121">
        <f t="shared" si="28"/>
        <v>0.6</v>
      </c>
      <c r="AA45" s="1122">
        <f t="shared" si="29"/>
        <v>0</v>
      </c>
      <c r="AB45" s="503">
        <v>1462.3513513513515</v>
      </c>
      <c r="AC45" s="1244"/>
      <c r="AD45" s="1244"/>
      <c r="AE45" s="1244"/>
      <c r="AF45" s="1244"/>
      <c r="AG45" s="1244"/>
      <c r="AH45" s="1244"/>
      <c r="AI45" s="220"/>
      <c r="AJ45" s="245"/>
      <c r="AK45" s="245"/>
      <c r="AL45" s="245"/>
      <c r="AM45" s="245"/>
      <c r="AN45" s="245"/>
    </row>
    <row r="46" spans="1:40" ht="13" customHeight="1" thickBot="1">
      <c r="A46" s="245"/>
      <c r="B46" s="4441" t="s">
        <v>215</v>
      </c>
      <c r="C46" s="629">
        <f t="shared" si="65"/>
        <v>1.7682291666666674E-4</v>
      </c>
      <c r="D46" s="920">
        <v>7</v>
      </c>
      <c r="E46" s="2387">
        <v>2</v>
      </c>
      <c r="F46" s="2388">
        <v>4</v>
      </c>
      <c r="G46" s="2388">
        <v>15</v>
      </c>
      <c r="H46" s="1323"/>
      <c r="I46" s="2391">
        <v>3.4722222222222224E-4</v>
      </c>
      <c r="J46" s="2392">
        <v>1.3888888888888889E-3</v>
      </c>
      <c r="K46" s="2387" t="s">
        <v>892</v>
      </c>
      <c r="L46" s="2392">
        <f>L45+N45</f>
        <v>0.38789930998617395</v>
      </c>
      <c r="M46" s="1493">
        <v>0.9</v>
      </c>
      <c r="N46" s="1499">
        <f>P46*E46*F46+I46*E46*F46+J46*E46</f>
        <v>6.3194305555555556E-3</v>
      </c>
      <c r="O46" s="1191">
        <f t="shared" si="67"/>
        <v>1.0609375000000004E-4</v>
      </c>
      <c r="P46" s="1499">
        <f t="shared" si="68"/>
        <v>9.5484375000000042E-5</v>
      </c>
      <c r="Q46" s="790" t="s">
        <v>278</v>
      </c>
      <c r="R46" s="2402">
        <f t="shared" si="69"/>
        <v>120</v>
      </c>
      <c r="S46" s="1118">
        <f t="shared" si="21"/>
        <v>0.12</v>
      </c>
      <c r="T46" s="1119">
        <f t="shared" si="22"/>
        <v>3.3950000000000013E-3</v>
      </c>
      <c r="U46" s="374">
        <f t="shared" si="23"/>
        <v>0</v>
      </c>
      <c r="V46" s="1120">
        <f t="shared" si="24"/>
        <v>0</v>
      </c>
      <c r="W46" s="376">
        <f t="shared" si="25"/>
        <v>0</v>
      </c>
      <c r="X46" s="377">
        <f t="shared" si="26"/>
        <v>0</v>
      </c>
      <c r="Y46" s="378">
        <f t="shared" si="27"/>
        <v>0</v>
      </c>
      <c r="Z46" s="1121">
        <f t="shared" si="28"/>
        <v>0</v>
      </c>
      <c r="AA46" s="1122">
        <f t="shared" si="29"/>
        <v>0.12</v>
      </c>
      <c r="AB46" s="504">
        <v>146.16216216216216</v>
      </c>
      <c r="AC46" s="1244"/>
      <c r="AD46" s="1244"/>
      <c r="AE46" s="1244"/>
      <c r="AF46" s="1244"/>
      <c r="AG46" s="1244"/>
      <c r="AH46" s="1244"/>
      <c r="AI46" s="244"/>
      <c r="AJ46" s="244"/>
      <c r="AK46" s="244"/>
      <c r="AL46" s="244"/>
      <c r="AM46" s="244"/>
    </row>
    <row r="47" spans="1:40" ht="13" customHeight="1" thickBot="1">
      <c r="A47" s="4439"/>
      <c r="B47" s="4441" t="s">
        <v>215</v>
      </c>
      <c r="C47" s="274">
        <f t="shared" si="65"/>
        <v>2.1222190799396687E-4</v>
      </c>
      <c r="D47" s="3211">
        <v>3</v>
      </c>
      <c r="E47" s="2385">
        <v>1</v>
      </c>
      <c r="F47" s="2385">
        <v>6</v>
      </c>
      <c r="G47" s="2385">
        <v>20</v>
      </c>
      <c r="H47" s="1161"/>
      <c r="I47" s="1454">
        <v>4.6296296296296293E-4</v>
      </c>
      <c r="J47" s="1454">
        <v>2.0833333333333333E-3</v>
      </c>
      <c r="K47" s="1492" t="s">
        <v>1031</v>
      </c>
      <c r="L47" s="1454">
        <f>L46+N46</f>
        <v>0.39421874054172951</v>
      </c>
      <c r="M47" s="1492">
        <v>1</v>
      </c>
      <c r="N47" s="1454">
        <f>P47*E47*F47+I47*E47*F47+J47*E47</f>
        <v>5.8797762694821516E-3</v>
      </c>
      <c r="O47" s="1165">
        <f t="shared" si="67"/>
        <v>1.6977752639517351E-4</v>
      </c>
      <c r="P47" s="1454">
        <f t="shared" si="68"/>
        <v>1.6977752639517351E-4</v>
      </c>
      <c r="Q47" s="333" t="s">
        <v>316</v>
      </c>
      <c r="R47" s="2385">
        <f t="shared" si="69"/>
        <v>120</v>
      </c>
      <c r="S47" s="1118">
        <f t="shared" si="21"/>
        <v>0.12</v>
      </c>
      <c r="T47" s="1119">
        <f t="shared" si="22"/>
        <v>4.0746606334841643E-3</v>
      </c>
      <c r="U47" s="374">
        <f t="shared" si="23"/>
        <v>0</v>
      </c>
      <c r="V47" s="1120">
        <f t="shared" si="24"/>
        <v>0</v>
      </c>
      <c r="W47" s="376">
        <f t="shared" si="25"/>
        <v>0.12</v>
      </c>
      <c r="X47" s="377">
        <f t="shared" si="26"/>
        <v>0</v>
      </c>
      <c r="Y47" s="378">
        <f t="shared" si="27"/>
        <v>0</v>
      </c>
      <c r="Z47" s="1121">
        <f t="shared" si="28"/>
        <v>0</v>
      </c>
      <c r="AA47" s="1122">
        <f t="shared" si="29"/>
        <v>0</v>
      </c>
      <c r="AB47" s="1278"/>
      <c r="AC47" s="1244"/>
      <c r="AD47" s="1244"/>
      <c r="AE47" s="1244"/>
      <c r="AF47" s="1244"/>
      <c r="AG47" s="1244"/>
      <c r="AH47" s="1244"/>
      <c r="AI47" s="220"/>
      <c r="AJ47" s="245"/>
      <c r="AK47" s="245"/>
      <c r="AL47" s="245"/>
      <c r="AM47" s="245"/>
      <c r="AN47" s="245"/>
    </row>
    <row r="48" spans="1:40" ht="13" customHeight="1" thickBot="1">
      <c r="A48" s="4439"/>
      <c r="B48" s="4441"/>
      <c r="C48" s="913"/>
      <c r="D48" s="914"/>
      <c r="E48" s="913"/>
      <c r="F48" s="2389"/>
      <c r="G48" s="1952"/>
      <c r="H48" s="625"/>
      <c r="I48" s="1952"/>
      <c r="J48" s="2389"/>
      <c r="K48" s="1952"/>
      <c r="L48" s="4484">
        <f t="shared" ref="L48" si="72">L47+N47</f>
        <v>0.40009851681121167</v>
      </c>
      <c r="M48" s="4485">
        <v>2</v>
      </c>
      <c r="N48" s="4486">
        <f>SUM(N40:N47)</f>
        <v>6.3292961255656116E-2</v>
      </c>
      <c r="O48" s="4486"/>
      <c r="P48" s="4486"/>
      <c r="Q48" s="4487"/>
      <c r="R48" s="4488">
        <f>SUM(R40:R47)</f>
        <v>3040</v>
      </c>
      <c r="S48" s="1118">
        <f t="shared" si="21"/>
        <v>0</v>
      </c>
      <c r="T48" s="1119">
        <f t="shared" si="22"/>
        <v>0</v>
      </c>
      <c r="U48" s="374">
        <f t="shared" si="23"/>
        <v>0</v>
      </c>
      <c r="V48" s="1120">
        <f t="shared" si="24"/>
        <v>0</v>
      </c>
      <c r="W48" s="376">
        <f t="shared" si="25"/>
        <v>0</v>
      </c>
      <c r="X48" s="377">
        <f t="shared" si="26"/>
        <v>0</v>
      </c>
      <c r="Y48" s="378">
        <f t="shared" si="27"/>
        <v>0</v>
      </c>
      <c r="Z48" s="1121">
        <f t="shared" si="28"/>
        <v>0</v>
      </c>
      <c r="AA48" s="1122">
        <f t="shared" si="29"/>
        <v>0</v>
      </c>
      <c r="AB48" s="1278"/>
      <c r="AC48" s="1244"/>
      <c r="AD48" s="1244"/>
      <c r="AE48" s="1244"/>
      <c r="AF48" s="1244"/>
      <c r="AG48" s="1244"/>
      <c r="AH48" s="1244"/>
      <c r="AI48" s="220"/>
      <c r="AJ48" s="245"/>
      <c r="AK48" s="245"/>
      <c r="AL48" s="245"/>
      <c r="AM48" s="245"/>
      <c r="AN48" s="245"/>
    </row>
    <row r="49" spans="1:40" ht="13" customHeight="1" thickBot="1">
      <c r="A49" s="4426"/>
      <c r="B49" s="4426" t="s">
        <v>140</v>
      </c>
      <c r="C49" s="629"/>
      <c r="D49" s="4442"/>
      <c r="E49" s="679"/>
      <c r="F49" s="679"/>
      <c r="G49" s="679"/>
      <c r="H49" s="679"/>
      <c r="I49" s="679"/>
      <c r="J49" s="2390" t="s">
        <v>1486</v>
      </c>
      <c r="K49" s="3039" t="s">
        <v>2372</v>
      </c>
      <c r="L49" s="2405"/>
      <c r="M49" s="1668"/>
      <c r="N49" s="2406"/>
      <c r="O49" s="679"/>
      <c r="P49" s="679"/>
      <c r="Q49" s="679"/>
      <c r="R49" s="2417"/>
      <c r="S49" s="1118">
        <f t="shared" si="21"/>
        <v>0</v>
      </c>
      <c r="T49" s="1119">
        <f t="shared" si="22"/>
        <v>0</v>
      </c>
      <c r="U49" s="374">
        <f t="shared" si="23"/>
        <v>0</v>
      </c>
      <c r="V49" s="1120">
        <f t="shared" si="24"/>
        <v>0</v>
      </c>
      <c r="W49" s="376">
        <f t="shared" si="25"/>
        <v>0</v>
      </c>
      <c r="X49" s="377">
        <f t="shared" si="26"/>
        <v>0</v>
      </c>
      <c r="Y49" s="378">
        <f t="shared" si="27"/>
        <v>0</v>
      </c>
      <c r="Z49" s="1121">
        <f t="shared" si="28"/>
        <v>0</v>
      </c>
      <c r="AA49" s="1122">
        <f t="shared" si="29"/>
        <v>0</v>
      </c>
      <c r="AB49" s="1278"/>
      <c r="AC49" s="1244"/>
      <c r="AD49" s="1244"/>
      <c r="AE49" s="1244"/>
      <c r="AF49" s="1244"/>
      <c r="AG49" s="1244"/>
      <c r="AH49" s="1244"/>
      <c r="AI49" s="244"/>
      <c r="AJ49" s="245"/>
      <c r="AK49" s="245"/>
      <c r="AL49" s="245"/>
      <c r="AM49" s="245"/>
      <c r="AN49" s="245"/>
    </row>
    <row r="50" spans="1:40" ht="13" customHeight="1">
      <c r="A50" s="4426"/>
      <c r="B50" s="4426" t="s">
        <v>215</v>
      </c>
      <c r="C50" s="274">
        <f t="shared" ref="C50:C53" si="73">IF(D50=1,U$5,IF(D50=2,V$5,IF(D50=3,W$5,IF(D50=4,X$5,IF(D50=5,Y$5,IF(D50=6,Z$5,IF(D50=7,AA$5,0)))))))</f>
        <v>2.2880964381720439E-4</v>
      </c>
      <c r="D50" s="547">
        <v>1</v>
      </c>
      <c r="E50" s="275">
        <v>1</v>
      </c>
      <c r="F50" s="275">
        <v>1</v>
      </c>
      <c r="G50" s="275">
        <v>600</v>
      </c>
      <c r="H50" s="276"/>
      <c r="I50" s="276">
        <v>0</v>
      </c>
      <c r="J50" s="276">
        <v>1.1574074074074073E-4</v>
      </c>
      <c r="K50" s="312" t="s">
        <v>372</v>
      </c>
      <c r="L50" s="1135">
        <v>0.33680555555555558</v>
      </c>
      <c r="M50" s="451">
        <v>1.1000000000000001</v>
      </c>
      <c r="N50" s="276">
        <f>P50*E50*F50+I50*E50*F50+J50*E50</f>
        <v>6.1563153375149378E-3</v>
      </c>
      <c r="O50" s="296">
        <f>C50*(G50/25)</f>
        <v>5.4914314516129057E-3</v>
      </c>
      <c r="P50" s="296">
        <f>O50*M50</f>
        <v>6.0405745967741968E-3</v>
      </c>
      <c r="Q50" s="548">
        <f t="shared" ref="Q50" si="74">IF(D50=1,125,IF(D50=2,140,IF(D50=3,164,IF(D50=4,170,IF(D50=5,173,IF(D50=6,177,IF(R50=7,200,0)))))))</f>
        <v>125</v>
      </c>
      <c r="R50" s="275">
        <f>E50*F50*G50</f>
        <v>600</v>
      </c>
      <c r="S50" s="1118"/>
      <c r="T50" s="1119"/>
      <c r="U50" s="374">
        <f t="shared" si="23"/>
        <v>0</v>
      </c>
      <c r="V50" s="1120">
        <f t="shared" si="24"/>
        <v>0</v>
      </c>
      <c r="W50" s="376">
        <f t="shared" si="25"/>
        <v>0</v>
      </c>
      <c r="X50" s="377">
        <f t="shared" si="26"/>
        <v>0</v>
      </c>
      <c r="Y50" s="378">
        <f t="shared" si="27"/>
        <v>0</v>
      </c>
      <c r="Z50" s="1121">
        <f t="shared" si="28"/>
        <v>0</v>
      </c>
      <c r="AA50" s="1122">
        <f t="shared" si="29"/>
        <v>0</v>
      </c>
      <c r="AB50" s="1278"/>
      <c r="AC50" s="1244"/>
      <c r="AD50" s="1244"/>
      <c r="AE50" s="1244"/>
      <c r="AF50" s="1244"/>
      <c r="AG50" s="1244"/>
      <c r="AH50" s="1244"/>
      <c r="AI50" s="244"/>
      <c r="AJ50" s="245"/>
      <c r="AK50" s="245"/>
      <c r="AL50" s="245"/>
      <c r="AM50" s="245"/>
      <c r="AN50" s="245"/>
    </row>
    <row r="51" spans="1:40" ht="13" customHeight="1">
      <c r="A51" s="4426" t="s">
        <v>218</v>
      </c>
      <c r="B51" s="4426" t="s">
        <v>215</v>
      </c>
      <c r="C51" s="274">
        <f t="shared" si="73"/>
        <v>1.7682291666666674E-4</v>
      </c>
      <c r="D51" s="897">
        <v>7</v>
      </c>
      <c r="E51" s="1045">
        <v>1</v>
      </c>
      <c r="F51" s="1045">
        <v>16</v>
      </c>
      <c r="G51" s="1045">
        <v>50</v>
      </c>
      <c r="H51" s="1041"/>
      <c r="I51" s="1041">
        <v>3.4722222222222224E-4</v>
      </c>
      <c r="J51" s="1046">
        <v>1.3888888888888889E-3</v>
      </c>
      <c r="K51" s="438" t="s">
        <v>1040</v>
      </c>
      <c r="L51" s="4489">
        <f>L50+N50</f>
        <v>0.34296187089307051</v>
      </c>
      <c r="M51" s="4490">
        <v>1</v>
      </c>
      <c r="N51" s="4491">
        <f>P51*E51*F51+I51*E51*F51+J51*E51</f>
        <v>1.260277777777778E-2</v>
      </c>
      <c r="O51" s="1191">
        <f>C51*(G51/25)</f>
        <v>3.5364583333333347E-4</v>
      </c>
      <c r="P51" s="1192">
        <f>O51*M51</f>
        <v>3.5364583333333347E-4</v>
      </c>
      <c r="Q51" s="788"/>
      <c r="R51" s="2402">
        <f>E51*F51*G51</f>
        <v>800</v>
      </c>
      <c r="S51" s="1118"/>
      <c r="T51" s="1119"/>
      <c r="U51" s="374">
        <f t="shared" si="23"/>
        <v>0</v>
      </c>
      <c r="V51" s="1120">
        <f t="shared" si="24"/>
        <v>0</v>
      </c>
      <c r="W51" s="376">
        <f t="shared" si="25"/>
        <v>0</v>
      </c>
      <c r="X51" s="377">
        <f t="shared" si="26"/>
        <v>0</v>
      </c>
      <c r="Y51" s="378">
        <f t="shared" si="27"/>
        <v>0</v>
      </c>
      <c r="Z51" s="1121">
        <f t="shared" si="28"/>
        <v>0</v>
      </c>
      <c r="AA51" s="1122">
        <f t="shared" si="29"/>
        <v>0</v>
      </c>
      <c r="AB51" s="1278"/>
      <c r="AC51" s="1244"/>
      <c r="AD51" s="1244"/>
      <c r="AE51" s="1244"/>
      <c r="AF51" s="1244"/>
      <c r="AG51" s="1244"/>
      <c r="AH51" s="1244"/>
      <c r="AI51" s="244"/>
      <c r="AJ51" s="245"/>
      <c r="AK51" s="245"/>
      <c r="AL51" s="245"/>
      <c r="AM51" s="245"/>
      <c r="AN51" s="245"/>
    </row>
    <row r="52" spans="1:40" ht="13" customHeight="1">
      <c r="A52" s="4426" t="s">
        <v>139</v>
      </c>
      <c r="B52" s="4426" t="s">
        <v>215</v>
      </c>
      <c r="C52" s="274">
        <f t="shared" si="73"/>
        <v>1.7682291666666674E-4</v>
      </c>
      <c r="D52" s="897">
        <v>7</v>
      </c>
      <c r="E52" s="1045">
        <v>2</v>
      </c>
      <c r="F52" s="1045">
        <v>6</v>
      </c>
      <c r="G52" s="1045">
        <v>25</v>
      </c>
      <c r="H52" s="1041"/>
      <c r="I52" s="1041">
        <v>2.3148148148148146E-4</v>
      </c>
      <c r="J52" s="1046">
        <v>1.3888888888888889E-3</v>
      </c>
      <c r="K52" s="438" t="s">
        <v>1041</v>
      </c>
      <c r="L52" s="4489">
        <f>L51+N51</f>
        <v>0.3555646486708483</v>
      </c>
      <c r="M52" s="4490">
        <v>1</v>
      </c>
      <c r="N52" s="4491">
        <f>P52*E52*F52+I52*E52*F52+J52*E52</f>
        <v>7.6774305555555571E-3</v>
      </c>
      <c r="O52" s="1191">
        <f>C52*(G52/25)</f>
        <v>1.7682291666666674E-4</v>
      </c>
      <c r="P52" s="1192">
        <f>O52*M52</f>
        <v>1.7682291666666674E-4</v>
      </c>
      <c r="Q52" s="788"/>
      <c r="R52" s="2402">
        <f>E52*F52*G52</f>
        <v>300</v>
      </c>
      <c r="S52" s="1118"/>
      <c r="T52" s="1119"/>
      <c r="U52" s="374">
        <f t="shared" si="23"/>
        <v>0</v>
      </c>
      <c r="V52" s="1120">
        <f t="shared" si="24"/>
        <v>0</v>
      </c>
      <c r="W52" s="376">
        <f t="shared" si="25"/>
        <v>0</v>
      </c>
      <c r="X52" s="377">
        <f t="shared" si="26"/>
        <v>0</v>
      </c>
      <c r="Y52" s="378">
        <f t="shared" si="27"/>
        <v>0</v>
      </c>
      <c r="Z52" s="1121">
        <f t="shared" si="28"/>
        <v>0</v>
      </c>
      <c r="AA52" s="1122">
        <f t="shared" si="29"/>
        <v>0</v>
      </c>
      <c r="AB52" s="1278"/>
      <c r="AC52" s="1244"/>
      <c r="AD52" s="1244"/>
      <c r="AE52" s="1244"/>
      <c r="AF52" s="1244"/>
      <c r="AG52" s="1244"/>
      <c r="AH52" s="1244"/>
      <c r="AI52" s="244"/>
      <c r="AJ52" s="245"/>
      <c r="AK52" s="245"/>
      <c r="AL52" s="245"/>
      <c r="AM52" s="245"/>
      <c r="AN52" s="245"/>
    </row>
    <row r="53" spans="1:40" ht="13" customHeight="1">
      <c r="A53" s="4426" t="s">
        <v>458</v>
      </c>
      <c r="B53" s="4426" t="s">
        <v>215</v>
      </c>
      <c r="C53" s="274">
        <f t="shared" si="73"/>
        <v>1.7682291666666674E-4</v>
      </c>
      <c r="D53" s="897">
        <v>7</v>
      </c>
      <c r="E53" s="1045">
        <v>1</v>
      </c>
      <c r="F53" s="1045">
        <v>4</v>
      </c>
      <c r="G53" s="1045">
        <v>25</v>
      </c>
      <c r="H53" s="1041"/>
      <c r="I53" s="1041">
        <v>1.6203703703703703E-3</v>
      </c>
      <c r="J53" s="1046">
        <v>0</v>
      </c>
      <c r="K53" s="438" t="s">
        <v>1042</v>
      </c>
      <c r="L53" s="4489">
        <f>L52+N52</f>
        <v>0.36324207922640384</v>
      </c>
      <c r="M53" s="4490">
        <v>1</v>
      </c>
      <c r="N53" s="4491">
        <f>P53*E53*F53+I53*E53*F53+J53*E53</f>
        <v>7.1887731481481481E-3</v>
      </c>
      <c r="O53" s="1191">
        <f>C53*(G53/25)</f>
        <v>1.7682291666666674E-4</v>
      </c>
      <c r="P53" s="1192">
        <f>O53*M53</f>
        <v>1.7682291666666674E-4</v>
      </c>
      <c r="Q53" s="788"/>
      <c r="R53" s="2402">
        <f>E53*F53*G53</f>
        <v>100</v>
      </c>
      <c r="S53" s="1118"/>
      <c r="T53" s="1119"/>
      <c r="U53" s="374">
        <f t="shared" si="23"/>
        <v>0</v>
      </c>
      <c r="V53" s="1120">
        <f t="shared" si="24"/>
        <v>0</v>
      </c>
      <c r="W53" s="376">
        <f t="shared" si="25"/>
        <v>0</v>
      </c>
      <c r="X53" s="377">
        <f t="shared" si="26"/>
        <v>0</v>
      </c>
      <c r="Y53" s="378">
        <f t="shared" si="27"/>
        <v>0</v>
      </c>
      <c r="Z53" s="1121">
        <f t="shared" si="28"/>
        <v>0</v>
      </c>
      <c r="AA53" s="1122">
        <f t="shared" si="29"/>
        <v>0</v>
      </c>
      <c r="AB53" s="1278"/>
      <c r="AC53" s="1244"/>
      <c r="AD53" s="1244"/>
      <c r="AE53" s="1244"/>
      <c r="AF53" s="1244"/>
      <c r="AG53" s="1244"/>
      <c r="AH53" s="1244"/>
      <c r="AI53" s="244"/>
      <c r="AJ53" s="245"/>
      <c r="AK53" s="245"/>
      <c r="AL53" s="245"/>
      <c r="AM53" s="245"/>
      <c r="AN53" s="245"/>
    </row>
    <row r="54" spans="1:40" ht="13" customHeight="1">
      <c r="A54" s="4426" t="s">
        <v>462</v>
      </c>
      <c r="B54" s="4426" t="s">
        <v>215</v>
      </c>
      <c r="C54" s="274"/>
      <c r="D54" s="547"/>
      <c r="E54" s="4497"/>
      <c r="F54" s="275"/>
      <c r="G54" s="275"/>
      <c r="H54" s="276"/>
      <c r="I54" s="276"/>
      <c r="J54" s="276"/>
      <c r="K54" s="312"/>
      <c r="L54" s="4484">
        <f t="shared" ref="L54" si="75">L53+N53</f>
        <v>0.37043085237455198</v>
      </c>
      <c r="M54" s="4485">
        <v>1</v>
      </c>
      <c r="N54" s="4486">
        <f>SUM(N50:N53)</f>
        <v>3.3625296818996425E-2</v>
      </c>
      <c r="O54" s="4486"/>
      <c r="P54" s="4486"/>
      <c r="Q54" s="4487">
        <f t="shared" ref="Q54" si="76">IF(D54=1,125,IF(D54=2,140,IF(D54=3,164,IF(D54=4,170,IF(D54=5,173,IF(D54=6,177,IF(R54=7,200,0)))))))</f>
        <v>0</v>
      </c>
      <c r="R54" s="4488">
        <f>SUM(R50:R53)</f>
        <v>1800</v>
      </c>
      <c r="S54" s="1118"/>
      <c r="T54" s="1119"/>
      <c r="U54" s="374">
        <f t="shared" si="23"/>
        <v>0</v>
      </c>
      <c r="V54" s="1120">
        <f t="shared" si="24"/>
        <v>0</v>
      </c>
      <c r="W54" s="376">
        <f t="shared" si="25"/>
        <v>0</v>
      </c>
      <c r="X54" s="377">
        <f t="shared" si="26"/>
        <v>0</v>
      </c>
      <c r="Y54" s="378">
        <f t="shared" si="27"/>
        <v>0</v>
      </c>
      <c r="Z54" s="1121">
        <f t="shared" si="28"/>
        <v>0</v>
      </c>
      <c r="AA54" s="1122">
        <f t="shared" si="29"/>
        <v>0</v>
      </c>
      <c r="AB54" s="1278"/>
      <c r="AC54" s="1244"/>
      <c r="AD54" s="1244"/>
      <c r="AE54" s="1244"/>
      <c r="AF54" s="1244"/>
      <c r="AG54" s="1244"/>
      <c r="AH54" s="1244"/>
      <c r="AI54" s="244"/>
      <c r="AJ54" s="245"/>
      <c r="AK54" s="245"/>
      <c r="AL54" s="245"/>
      <c r="AM54" s="245"/>
      <c r="AN54" s="245"/>
    </row>
    <row r="55" spans="1:40" ht="13" customHeight="1">
      <c r="A55" s="4426" t="s">
        <v>460</v>
      </c>
      <c r="B55" s="4426" t="s">
        <v>461</v>
      </c>
      <c r="C55" s="274">
        <f t="shared" ref="C55:C60" si="77">IF(D55=1,U$5,IF(D55=2,V$5,IF(D55=3,W$5,IF(D55=4,X$5,IF(D55=5,Y$5,IF(D55=6,Z$5,IF(D55=7,AA$5,0)))))))</f>
        <v>2.2880964381720439E-4</v>
      </c>
      <c r="D55" s="547">
        <v>1</v>
      </c>
      <c r="E55" s="275">
        <v>1</v>
      </c>
      <c r="F55" s="275">
        <v>20</v>
      </c>
      <c r="G55" s="275">
        <v>50</v>
      </c>
      <c r="H55" s="276"/>
      <c r="I55" s="276">
        <v>1.1574074074074073E-4</v>
      </c>
      <c r="J55" s="276">
        <v>1.3888888888888889E-3</v>
      </c>
      <c r="K55" s="312"/>
      <c r="L55" s="4480">
        <v>0.67013888888888884</v>
      </c>
      <c r="M55" s="451">
        <v>1</v>
      </c>
      <c r="N55" s="1135">
        <f t="shared" ref="N55:N59" si="78">P55*E55*F55+I55*F55*E55+J55*E55</f>
        <v>1.285608945639188E-2</v>
      </c>
      <c r="O55" s="296">
        <f t="shared" ref="O55:O59" si="79">C55*(G55/25)</f>
        <v>4.5761928763440879E-4</v>
      </c>
      <c r="P55" s="1135">
        <f t="shared" ref="P55:P59" si="80">O55*M55</f>
        <v>4.5761928763440879E-4</v>
      </c>
      <c r="Q55" s="548">
        <v>144</v>
      </c>
      <c r="R55" s="275">
        <f t="shared" ref="R55:R59" si="81">E55*F55*G55</f>
        <v>1000</v>
      </c>
      <c r="S55" s="1118">
        <f t="shared" si="21"/>
        <v>1</v>
      </c>
      <c r="T55" s="1119">
        <f t="shared" si="22"/>
        <v>3.6609543010752706E-2</v>
      </c>
      <c r="U55" s="374">
        <f t="shared" si="23"/>
        <v>1</v>
      </c>
      <c r="V55" s="1120">
        <f t="shared" si="24"/>
        <v>0</v>
      </c>
      <c r="W55" s="376">
        <f t="shared" si="25"/>
        <v>0</v>
      </c>
      <c r="X55" s="377">
        <f t="shared" si="26"/>
        <v>0</v>
      </c>
      <c r="Y55" s="378">
        <f t="shared" si="27"/>
        <v>0</v>
      </c>
      <c r="Z55" s="1121">
        <f t="shared" si="28"/>
        <v>0</v>
      </c>
      <c r="AA55" s="1122">
        <f t="shared" si="29"/>
        <v>0</v>
      </c>
      <c r="AB55" s="1278"/>
      <c r="AC55" s="1244"/>
      <c r="AD55" s="1244"/>
      <c r="AE55" s="1244"/>
      <c r="AF55" s="1244"/>
      <c r="AG55" s="1244"/>
      <c r="AH55" s="1244"/>
      <c r="AI55" s="244"/>
      <c r="AJ55" s="245"/>
      <c r="AK55" s="245"/>
      <c r="AL55" s="245"/>
      <c r="AM55" s="245"/>
      <c r="AN55" s="245"/>
    </row>
    <row r="56" spans="1:40" ht="13" customHeight="1" thickBot="1">
      <c r="A56" s="4426" t="s">
        <v>458</v>
      </c>
      <c r="B56" s="4426" t="s">
        <v>461</v>
      </c>
      <c r="C56" s="274">
        <f t="shared" si="77"/>
        <v>2.1908757716049393E-4</v>
      </c>
      <c r="D56" s="890">
        <v>2</v>
      </c>
      <c r="E56" s="300">
        <v>1</v>
      </c>
      <c r="F56" s="300">
        <v>16</v>
      </c>
      <c r="G56" s="300">
        <v>25</v>
      </c>
      <c r="H56" s="301"/>
      <c r="I56" s="301">
        <v>5.7870370370370366E-5</v>
      </c>
      <c r="J56" s="301">
        <v>1.3888888888888889E-3</v>
      </c>
      <c r="K56" s="314" t="s">
        <v>186</v>
      </c>
      <c r="L56" s="1133">
        <f t="shared" ref="L56:L59" si="82">L55+N55</f>
        <v>0.68299497834528067</v>
      </c>
      <c r="M56" s="455">
        <v>1.2</v>
      </c>
      <c r="N56" s="1133">
        <f t="shared" si="78"/>
        <v>6.5212962962962976E-3</v>
      </c>
      <c r="O56" s="1133">
        <f t="shared" si="79"/>
        <v>2.1908757716049393E-4</v>
      </c>
      <c r="P56" s="1133">
        <f t="shared" si="80"/>
        <v>2.6290509259259268E-4</v>
      </c>
      <c r="Q56" s="550">
        <v>144</v>
      </c>
      <c r="R56" s="369">
        <f t="shared" si="81"/>
        <v>400</v>
      </c>
      <c r="S56" s="1118">
        <f t="shared" si="21"/>
        <v>0.4</v>
      </c>
      <c r="T56" s="1119">
        <f t="shared" si="22"/>
        <v>1.4021604938271611E-2</v>
      </c>
      <c r="U56" s="374">
        <f t="shared" si="23"/>
        <v>0</v>
      </c>
      <c r="V56" s="1120">
        <f t="shared" si="24"/>
        <v>0.4</v>
      </c>
      <c r="W56" s="376">
        <f t="shared" si="25"/>
        <v>0</v>
      </c>
      <c r="X56" s="377">
        <f t="shared" si="26"/>
        <v>0</v>
      </c>
      <c r="Y56" s="378">
        <f t="shared" si="27"/>
        <v>0</v>
      </c>
      <c r="Z56" s="1121">
        <f t="shared" si="28"/>
        <v>0</v>
      </c>
      <c r="AA56" s="1122">
        <f t="shared" si="29"/>
        <v>0</v>
      </c>
      <c r="AB56" s="1278"/>
      <c r="AC56" s="1244"/>
      <c r="AD56" s="1244"/>
      <c r="AE56" s="1244"/>
      <c r="AF56" s="1244"/>
      <c r="AG56" s="1244"/>
      <c r="AH56" s="1244"/>
      <c r="AI56" s="244"/>
      <c r="AJ56" s="245"/>
      <c r="AK56" s="245"/>
      <c r="AL56" s="245"/>
      <c r="AM56" s="245"/>
      <c r="AN56" s="245"/>
    </row>
    <row r="57" spans="1:40" ht="13" customHeight="1" thickBot="1">
      <c r="A57" s="4426" t="s">
        <v>219</v>
      </c>
      <c r="B57" s="4426" t="s">
        <v>461</v>
      </c>
      <c r="C57" s="274">
        <f t="shared" si="77"/>
        <v>2.1222190799396687E-4</v>
      </c>
      <c r="D57" s="891">
        <v>3</v>
      </c>
      <c r="E57" s="280">
        <v>1</v>
      </c>
      <c r="F57" s="280">
        <v>16</v>
      </c>
      <c r="G57" s="280">
        <v>100</v>
      </c>
      <c r="H57" s="281"/>
      <c r="I57" s="281">
        <v>1.7361111111111112E-4</v>
      </c>
      <c r="J57" s="281">
        <v>1.3888888888888889E-3</v>
      </c>
      <c r="K57" s="315" t="s">
        <v>495</v>
      </c>
      <c r="L57" s="1140">
        <f t="shared" si="82"/>
        <v>0.68951627464157694</v>
      </c>
      <c r="M57" s="453">
        <v>1</v>
      </c>
      <c r="N57" s="1140">
        <f t="shared" si="78"/>
        <v>1.7748868778280545E-2</v>
      </c>
      <c r="O57" s="995">
        <f t="shared" si="79"/>
        <v>8.4888763197586746E-4</v>
      </c>
      <c r="P57" s="1140">
        <f t="shared" si="80"/>
        <v>8.4888763197586746E-4</v>
      </c>
      <c r="Q57" s="333">
        <v>144</v>
      </c>
      <c r="R57" s="280">
        <f t="shared" si="81"/>
        <v>1600</v>
      </c>
      <c r="S57" s="1118">
        <f t="shared" ref="S57:S69" si="83">E57*F57*G57/1000</f>
        <v>1.6</v>
      </c>
      <c r="T57" s="1119">
        <f t="shared" ref="T57:T69" si="84">E57*F57*O57*4</f>
        <v>5.4328808446455518E-2</v>
      </c>
      <c r="U57" s="374">
        <f t="shared" si="23"/>
        <v>0</v>
      </c>
      <c r="V57" s="1120">
        <f t="shared" si="24"/>
        <v>0</v>
      </c>
      <c r="W57" s="376">
        <f t="shared" si="25"/>
        <v>1.6</v>
      </c>
      <c r="X57" s="377">
        <f t="shared" si="26"/>
        <v>0</v>
      </c>
      <c r="Y57" s="378">
        <f t="shared" si="27"/>
        <v>0</v>
      </c>
      <c r="Z57" s="1121">
        <f t="shared" si="28"/>
        <v>0</v>
      </c>
      <c r="AA57" s="1122">
        <f t="shared" si="29"/>
        <v>0</v>
      </c>
      <c r="AB57" s="484">
        <v>912.29729729729729</v>
      </c>
      <c r="AC57" s="1244"/>
      <c r="AD57" s="1244"/>
      <c r="AE57" s="1244"/>
      <c r="AF57" s="1244"/>
      <c r="AG57" s="1244"/>
      <c r="AH57" s="1244"/>
      <c r="AI57" s="244"/>
      <c r="AJ57" s="245"/>
      <c r="AK57" s="245"/>
      <c r="AL57" s="245"/>
      <c r="AM57" s="245"/>
      <c r="AN57" s="245"/>
    </row>
    <row r="58" spans="1:40" ht="13" customHeight="1" thickBot="1">
      <c r="A58" s="4426"/>
      <c r="B58" s="4426" t="s">
        <v>461</v>
      </c>
      <c r="C58" s="274">
        <f t="shared" si="77"/>
        <v>2.1908757716049393E-4</v>
      </c>
      <c r="D58" s="890">
        <v>2</v>
      </c>
      <c r="E58" s="300">
        <v>1</v>
      </c>
      <c r="F58" s="300">
        <v>9</v>
      </c>
      <c r="G58" s="300">
        <v>75</v>
      </c>
      <c r="H58" s="301"/>
      <c r="I58" s="301">
        <v>1.3888888888888889E-4</v>
      </c>
      <c r="J58" s="301">
        <v>1.3888888888888889E-3</v>
      </c>
      <c r="K58" s="314" t="s">
        <v>766</v>
      </c>
      <c r="L58" s="1133">
        <f t="shared" si="82"/>
        <v>0.70726514341985747</v>
      </c>
      <c r="M58" s="455">
        <v>1.2</v>
      </c>
      <c r="N58" s="1133">
        <f t="shared" si="78"/>
        <v>9.7373263888888908E-3</v>
      </c>
      <c r="O58" s="1133">
        <f t="shared" si="79"/>
        <v>6.5726273148148176E-4</v>
      </c>
      <c r="P58" s="1133">
        <f t="shared" si="80"/>
        <v>7.8871527777777805E-4</v>
      </c>
      <c r="Q58" s="550">
        <v>144</v>
      </c>
      <c r="R58" s="369">
        <f t="shared" si="81"/>
        <v>675</v>
      </c>
      <c r="S58" s="1118">
        <f t="shared" si="83"/>
        <v>0.67500000000000004</v>
      </c>
      <c r="T58" s="1119">
        <f t="shared" si="84"/>
        <v>2.3661458333333343E-2</v>
      </c>
      <c r="U58" s="374">
        <f t="shared" si="23"/>
        <v>0</v>
      </c>
      <c r="V58" s="1120">
        <f t="shared" si="24"/>
        <v>0.67500000000000004</v>
      </c>
      <c r="W58" s="376">
        <f t="shared" si="25"/>
        <v>0</v>
      </c>
      <c r="X58" s="377">
        <f t="shared" si="26"/>
        <v>0</v>
      </c>
      <c r="Y58" s="378">
        <f t="shared" si="27"/>
        <v>0</v>
      </c>
      <c r="Z58" s="1121">
        <f t="shared" si="28"/>
        <v>0</v>
      </c>
      <c r="AA58" s="1122">
        <f t="shared" si="29"/>
        <v>0</v>
      </c>
      <c r="AB58" s="535">
        <v>729.8648648648649</v>
      </c>
      <c r="AC58" s="1244"/>
      <c r="AD58" s="1244"/>
      <c r="AE58" s="1244"/>
      <c r="AF58" s="1244"/>
      <c r="AG58" s="1244"/>
      <c r="AH58" s="1244"/>
      <c r="AI58" s="244"/>
      <c r="AJ58" s="245"/>
      <c r="AK58" s="245"/>
      <c r="AL58" s="245"/>
      <c r="AM58" s="245"/>
      <c r="AN58" s="245"/>
    </row>
    <row r="59" spans="1:40" ht="13" customHeight="1" thickBot="1">
      <c r="A59" s="4426"/>
      <c r="B59" s="4426" t="s">
        <v>461</v>
      </c>
      <c r="C59" s="274">
        <f t="shared" si="77"/>
        <v>2.0247664488766629E-4</v>
      </c>
      <c r="D59" s="892">
        <v>4</v>
      </c>
      <c r="E59" s="303">
        <v>1</v>
      </c>
      <c r="F59" s="303">
        <v>2</v>
      </c>
      <c r="G59" s="303">
        <v>300</v>
      </c>
      <c r="H59" s="304"/>
      <c r="I59" s="304">
        <v>5.2083333333333333E-4</v>
      </c>
      <c r="J59" s="304">
        <v>1.3888888888888889E-3</v>
      </c>
      <c r="K59" s="316" t="s">
        <v>712</v>
      </c>
      <c r="L59" s="1134">
        <f t="shared" si="82"/>
        <v>0.71700246980874638</v>
      </c>
      <c r="M59" s="457">
        <v>1</v>
      </c>
      <c r="N59" s="1134">
        <f t="shared" si="78"/>
        <v>7.2899950328595463E-3</v>
      </c>
      <c r="O59" s="1134">
        <f t="shared" si="79"/>
        <v>2.4297197386519954E-3</v>
      </c>
      <c r="P59" s="1134">
        <f t="shared" si="80"/>
        <v>2.4297197386519954E-3</v>
      </c>
      <c r="Q59" s="334">
        <v>144</v>
      </c>
      <c r="R59" s="303">
        <f t="shared" si="81"/>
        <v>600</v>
      </c>
      <c r="S59" s="1118">
        <f t="shared" si="83"/>
        <v>0.6</v>
      </c>
      <c r="T59" s="1119">
        <f t="shared" si="84"/>
        <v>1.9437757909215963E-2</v>
      </c>
      <c r="U59" s="374">
        <f t="shared" si="23"/>
        <v>0</v>
      </c>
      <c r="V59" s="1120">
        <f t="shared" si="24"/>
        <v>0</v>
      </c>
      <c r="W59" s="376">
        <f t="shared" si="25"/>
        <v>0</v>
      </c>
      <c r="X59" s="377">
        <f t="shared" si="26"/>
        <v>0.6</v>
      </c>
      <c r="Y59" s="378">
        <f t="shared" si="27"/>
        <v>0</v>
      </c>
      <c r="Z59" s="1121">
        <f t="shared" si="28"/>
        <v>0</v>
      </c>
      <c r="AA59" s="1122">
        <f t="shared" si="29"/>
        <v>0</v>
      </c>
      <c r="AB59" s="500">
        <v>526.35105651105653</v>
      </c>
      <c r="AC59" s="1244"/>
      <c r="AD59" s="1244"/>
      <c r="AE59" s="1244"/>
      <c r="AF59" s="1244"/>
      <c r="AG59" s="1244"/>
      <c r="AH59" s="1244"/>
      <c r="AI59" s="244"/>
      <c r="AJ59" s="245"/>
      <c r="AK59" s="245"/>
      <c r="AL59" s="245"/>
      <c r="AM59" s="245"/>
      <c r="AN59" s="245"/>
    </row>
    <row r="60" spans="1:40" ht="13" customHeight="1" thickBot="1">
      <c r="A60" s="4426"/>
      <c r="B60" s="4426"/>
      <c r="C60" s="274">
        <f t="shared" si="77"/>
        <v>0</v>
      </c>
      <c r="D60" s="899"/>
      <c r="E60" s="336"/>
      <c r="F60" s="336"/>
      <c r="G60" s="336"/>
      <c r="H60" s="336"/>
      <c r="I60" s="336"/>
      <c r="J60" s="336"/>
      <c r="K60" s="336"/>
      <c r="L60" s="4484">
        <f>L59+N59</f>
        <v>0.72429246484160592</v>
      </c>
      <c r="M60" s="4485"/>
      <c r="N60" s="4486">
        <f>SUM(N55:N59)</f>
        <v>5.4153575952717165E-2</v>
      </c>
      <c r="O60" s="4486"/>
      <c r="P60" s="4486"/>
      <c r="Q60" s="4487">
        <f t="shared" ref="Q60" si="85">IF(D60=1,125,IF(D60=2,140,IF(D60=3,164,IF(D60=4,170,IF(D60=5,173,IF(D60=6,177,IF(R60=7,200,0)))))))</f>
        <v>0</v>
      </c>
      <c r="R60" s="4488">
        <f>SUM(R55:R59)</f>
        <v>4275</v>
      </c>
      <c r="S60" s="1118">
        <f t="shared" si="83"/>
        <v>0</v>
      </c>
      <c r="T60" s="1119">
        <f t="shared" si="84"/>
        <v>0</v>
      </c>
      <c r="U60" s="374">
        <f t="shared" si="23"/>
        <v>0</v>
      </c>
      <c r="V60" s="1120">
        <f t="shared" si="24"/>
        <v>0</v>
      </c>
      <c r="W60" s="376">
        <f t="shared" si="25"/>
        <v>0</v>
      </c>
      <c r="X60" s="377">
        <f t="shared" si="26"/>
        <v>0</v>
      </c>
      <c r="Y60" s="378">
        <f t="shared" si="27"/>
        <v>0</v>
      </c>
      <c r="Z60" s="1121">
        <f t="shared" si="28"/>
        <v>0</v>
      </c>
      <c r="AA60" s="1122">
        <f t="shared" si="29"/>
        <v>0</v>
      </c>
      <c r="AB60" s="501">
        <v>1884.5213759213759</v>
      </c>
      <c r="AC60" s="1244"/>
      <c r="AD60" s="1244"/>
      <c r="AE60" s="1244"/>
      <c r="AF60" s="1244"/>
      <c r="AG60" s="1244"/>
      <c r="AH60" s="1244"/>
      <c r="AI60" s="244"/>
      <c r="AJ60" s="245"/>
      <c r="AK60" s="245"/>
      <c r="AL60" s="245"/>
      <c r="AM60" s="245"/>
      <c r="AN60" s="245"/>
    </row>
    <row r="61" spans="1:40" ht="13" customHeight="1" thickBot="1">
      <c r="A61" s="2805" t="s">
        <v>219</v>
      </c>
      <c r="B61" s="2806" t="s">
        <v>215</v>
      </c>
      <c r="C61" s="629">
        <f t="shared" ref="C61:C68" si="86">IF(D61=1,U$5,IF(D61=2,V$5,IF(D61=3,W$5,IF(D61=4,X$5,IF(D61=5,Y$5,IF(D61=6,Z$5,IF(D61=7,AA$5,0)))))))</f>
        <v>2.2880964381720439E-4</v>
      </c>
      <c r="D61" s="3264">
        <v>1</v>
      </c>
      <c r="E61" s="4493">
        <v>1</v>
      </c>
      <c r="F61" s="4493">
        <v>1</v>
      </c>
      <c r="G61" s="1157">
        <v>100</v>
      </c>
      <c r="H61" s="1157"/>
      <c r="I61" s="629">
        <v>3.4722222222222224E-4</v>
      </c>
      <c r="J61" s="629">
        <v>1.6203703703703703E-3</v>
      </c>
      <c r="K61" s="2322" t="s">
        <v>1927</v>
      </c>
      <c r="L61" s="629">
        <v>0.34027777777777773</v>
      </c>
      <c r="M61" s="632">
        <v>1</v>
      </c>
      <c r="N61" s="629">
        <f>P61*E61*F61+I61*F61*E61+J61*E61</f>
        <v>2.8828311678614103E-3</v>
      </c>
      <c r="O61" s="1159">
        <f>C61*(G61/25)</f>
        <v>9.1523857526881758E-4</v>
      </c>
      <c r="P61" s="629">
        <f t="shared" ref="P61:P68" si="87">O61*M61</f>
        <v>9.1523857526881758E-4</v>
      </c>
      <c r="Q61" s="4428">
        <v>145</v>
      </c>
      <c r="R61" s="1160">
        <f>E61*F61*G61</f>
        <v>100</v>
      </c>
      <c r="S61" s="1118">
        <f t="shared" ref="S61:S66" si="88">E61*F61*G61/1000</f>
        <v>0.1</v>
      </c>
      <c r="T61" s="1119">
        <f t="shared" ref="T61:T66" si="89">E61*F61*O61*4</f>
        <v>3.6609543010752703E-3</v>
      </c>
      <c r="U61" s="374">
        <f t="shared" si="23"/>
        <v>0.1</v>
      </c>
      <c r="V61" s="1120">
        <f t="shared" si="24"/>
        <v>0</v>
      </c>
      <c r="W61" s="376">
        <f t="shared" si="25"/>
        <v>0</v>
      </c>
      <c r="X61" s="377">
        <f t="shared" si="26"/>
        <v>0</v>
      </c>
      <c r="Y61" s="378">
        <f t="shared" si="27"/>
        <v>0</v>
      </c>
      <c r="Z61" s="1121">
        <f t="shared" si="28"/>
        <v>0</v>
      </c>
      <c r="AA61" s="1122">
        <f t="shared" si="29"/>
        <v>0</v>
      </c>
      <c r="AB61" s="1278"/>
      <c r="AC61" s="1244"/>
      <c r="AD61" s="1244"/>
      <c r="AE61" s="1244"/>
      <c r="AF61" s="1244"/>
      <c r="AG61" s="1244"/>
      <c r="AH61" s="1244"/>
      <c r="AI61" s="244"/>
      <c r="AJ61" s="245"/>
      <c r="AK61" s="245"/>
      <c r="AL61" s="245"/>
      <c r="AM61" s="245"/>
      <c r="AN61" s="245"/>
    </row>
    <row r="62" spans="1:40" ht="13" customHeight="1" thickBot="1">
      <c r="A62" s="2805" t="s">
        <v>138</v>
      </c>
      <c r="B62" s="2806" t="s">
        <v>215</v>
      </c>
      <c r="C62" s="629">
        <f t="shared" si="86"/>
        <v>2.1908757716049393E-4</v>
      </c>
      <c r="D62" s="3264">
        <v>2</v>
      </c>
      <c r="E62" s="4499">
        <v>3</v>
      </c>
      <c r="F62" s="4494">
        <v>1</v>
      </c>
      <c r="G62" s="300">
        <v>100</v>
      </c>
      <c r="H62" s="301"/>
      <c r="I62" s="301">
        <v>1.7361111111111112E-4</v>
      </c>
      <c r="J62" s="301">
        <v>2.8935185185185189E-4</v>
      </c>
      <c r="K62" s="1498" t="s">
        <v>1927</v>
      </c>
      <c r="L62" s="1133">
        <f t="shared" ref="L62:L69" si="90">L61+N61</f>
        <v>0.34316060894563916</v>
      </c>
      <c r="M62" s="455">
        <v>1</v>
      </c>
      <c r="N62" s="1133">
        <f t="shared" ref="N62:N68" si="91">P62*E62*F62+I62*F62*E62+J62*E62</f>
        <v>4.0179398148148162E-3</v>
      </c>
      <c r="O62" s="1133">
        <f t="shared" ref="O62:O68" si="92">C62*(G62/25)</f>
        <v>8.7635030864197572E-4</v>
      </c>
      <c r="P62" s="1133">
        <f t="shared" si="87"/>
        <v>8.7635030864197572E-4</v>
      </c>
      <c r="Q62" s="550">
        <v>144</v>
      </c>
      <c r="R62" s="369">
        <f t="shared" ref="R62:R68" si="93">E62*F62*G62</f>
        <v>300</v>
      </c>
      <c r="S62" s="1118">
        <f t="shared" si="88"/>
        <v>0.3</v>
      </c>
      <c r="T62" s="1119">
        <f t="shared" si="89"/>
        <v>1.0516203703703708E-2</v>
      </c>
      <c r="U62" s="374">
        <f t="shared" si="23"/>
        <v>0</v>
      </c>
      <c r="V62" s="1120">
        <f t="shared" si="24"/>
        <v>0.3</v>
      </c>
      <c r="W62" s="376">
        <f t="shared" si="25"/>
        <v>0</v>
      </c>
      <c r="X62" s="377">
        <f t="shared" si="26"/>
        <v>0</v>
      </c>
      <c r="Y62" s="378">
        <f t="shared" si="27"/>
        <v>0</v>
      </c>
      <c r="Z62" s="1121">
        <f t="shared" si="28"/>
        <v>0</v>
      </c>
      <c r="AA62" s="1122">
        <f t="shared" si="29"/>
        <v>0</v>
      </c>
      <c r="AB62" s="484">
        <v>729.83783783783792</v>
      </c>
      <c r="AC62" s="1244"/>
      <c r="AD62" s="1244"/>
      <c r="AE62" s="1244"/>
      <c r="AF62" s="1244"/>
      <c r="AG62" s="1244"/>
      <c r="AH62" s="1244"/>
      <c r="AI62" s="244"/>
      <c r="AJ62" s="245"/>
      <c r="AK62" s="245"/>
      <c r="AL62" s="245"/>
      <c r="AM62" s="245"/>
      <c r="AN62" s="245"/>
    </row>
    <row r="63" spans="1:40" ht="13" customHeight="1" thickBot="1">
      <c r="A63" s="2805" t="s">
        <v>779</v>
      </c>
      <c r="B63" s="2806" t="s">
        <v>215</v>
      </c>
      <c r="C63" s="629">
        <f t="shared" si="86"/>
        <v>2.0247664488766629E-4</v>
      </c>
      <c r="D63" s="3264">
        <v>4</v>
      </c>
      <c r="E63" s="4500">
        <v>3</v>
      </c>
      <c r="F63" s="4495">
        <v>1</v>
      </c>
      <c r="G63" s="303">
        <v>100</v>
      </c>
      <c r="H63" s="304"/>
      <c r="I63" s="304">
        <v>3.4722222222222224E-4</v>
      </c>
      <c r="J63" s="304">
        <v>1.3888888888888889E-3</v>
      </c>
      <c r="K63" s="4512" t="s">
        <v>1927</v>
      </c>
      <c r="L63" s="1134">
        <f t="shared" si="90"/>
        <v>0.34717854876045395</v>
      </c>
      <c r="M63" s="457">
        <v>1</v>
      </c>
      <c r="N63" s="1134">
        <f t="shared" si="91"/>
        <v>7.6380530719853288E-3</v>
      </c>
      <c r="O63" s="1134">
        <f t="shared" si="92"/>
        <v>8.0990657955066516E-4</v>
      </c>
      <c r="P63" s="1134">
        <f t="shared" si="87"/>
        <v>8.0990657955066516E-4</v>
      </c>
      <c r="Q63" s="334">
        <v>144</v>
      </c>
      <c r="R63" s="303">
        <f t="shared" si="93"/>
        <v>300</v>
      </c>
      <c r="S63" s="1118">
        <f t="shared" si="88"/>
        <v>0.3</v>
      </c>
      <c r="T63" s="1119">
        <f t="shared" si="89"/>
        <v>9.7188789546079814E-3</v>
      </c>
      <c r="U63" s="374">
        <f t="shared" si="23"/>
        <v>0</v>
      </c>
      <c r="V63" s="1120">
        <f t="shared" si="24"/>
        <v>0</v>
      </c>
      <c r="W63" s="376">
        <f t="shared" si="25"/>
        <v>0</v>
      </c>
      <c r="X63" s="377">
        <f t="shared" si="26"/>
        <v>0.3</v>
      </c>
      <c r="Y63" s="378">
        <f t="shared" si="27"/>
        <v>0</v>
      </c>
      <c r="Z63" s="1121">
        <f t="shared" si="28"/>
        <v>0</v>
      </c>
      <c r="AA63" s="1122">
        <f t="shared" si="29"/>
        <v>0</v>
      </c>
      <c r="AB63" s="535">
        <v>583.89189189189187</v>
      </c>
      <c r="AC63" s="1244"/>
      <c r="AD63" s="1244"/>
      <c r="AE63" s="1244"/>
      <c r="AF63" s="1244"/>
      <c r="AG63" s="1244"/>
      <c r="AH63" s="1244"/>
      <c r="AI63" s="244"/>
      <c r="AJ63" s="245"/>
      <c r="AK63" s="245"/>
      <c r="AL63" s="245"/>
      <c r="AM63" s="245"/>
      <c r="AN63" s="245"/>
    </row>
    <row r="64" spans="1:40" ht="13" customHeight="1" thickBot="1">
      <c r="A64" s="2805" t="s">
        <v>1926</v>
      </c>
      <c r="B64" s="2806" t="s">
        <v>215</v>
      </c>
      <c r="C64" s="629">
        <f t="shared" si="86"/>
        <v>1.8933937422552669E-4</v>
      </c>
      <c r="D64" s="3264">
        <v>5</v>
      </c>
      <c r="E64" s="4501">
        <v>3</v>
      </c>
      <c r="F64" s="4496">
        <v>1</v>
      </c>
      <c r="G64" s="3980">
        <v>100</v>
      </c>
      <c r="H64" s="3980"/>
      <c r="I64" s="4139">
        <v>1.7361111111111112E-4</v>
      </c>
      <c r="J64" s="4139">
        <v>1.3888888888888889E-3</v>
      </c>
      <c r="K64" s="4504" t="s">
        <v>1927</v>
      </c>
      <c r="L64" s="4467">
        <f t="shared" si="90"/>
        <v>0.35481660183243929</v>
      </c>
      <c r="M64" s="3448">
        <v>1</v>
      </c>
      <c r="N64" s="4468">
        <f t="shared" si="91"/>
        <v>6.95957249070632E-3</v>
      </c>
      <c r="O64" s="4469">
        <f t="shared" si="92"/>
        <v>7.5735749690210676E-4</v>
      </c>
      <c r="P64" s="4470">
        <f t="shared" si="87"/>
        <v>7.5735749690210676E-4</v>
      </c>
      <c r="Q64" s="4048">
        <v>144</v>
      </c>
      <c r="R64" s="4471">
        <f t="shared" si="93"/>
        <v>300</v>
      </c>
      <c r="S64" s="1118">
        <f t="shared" si="88"/>
        <v>0.3</v>
      </c>
      <c r="T64" s="1119">
        <f t="shared" si="89"/>
        <v>9.0882899628252807E-3</v>
      </c>
      <c r="U64" s="374">
        <f t="shared" si="23"/>
        <v>0</v>
      </c>
      <c r="V64" s="1120">
        <f t="shared" si="24"/>
        <v>0</v>
      </c>
      <c r="W64" s="376">
        <f t="shared" si="25"/>
        <v>0</v>
      </c>
      <c r="X64" s="377">
        <f t="shared" si="26"/>
        <v>0</v>
      </c>
      <c r="Y64" s="378">
        <f t="shared" si="27"/>
        <v>0.3</v>
      </c>
      <c r="Z64" s="1121">
        <f t="shared" si="28"/>
        <v>0</v>
      </c>
      <c r="AA64" s="1122">
        <f t="shared" si="29"/>
        <v>0</v>
      </c>
      <c r="AB64" s="500">
        <v>510.91891891891896</v>
      </c>
      <c r="AC64" s="1244"/>
      <c r="AD64" s="1244"/>
      <c r="AE64" s="1244"/>
      <c r="AF64" s="1244"/>
      <c r="AG64" s="1244"/>
      <c r="AH64" s="1244"/>
      <c r="AI64" s="244"/>
      <c r="AJ64" s="245"/>
      <c r="AK64" s="245"/>
      <c r="AL64" s="245"/>
      <c r="AM64" s="245"/>
      <c r="AN64" s="245"/>
    </row>
    <row r="65" spans="1:40" ht="13" customHeight="1" thickBot="1">
      <c r="A65" s="2805" t="s">
        <v>674</v>
      </c>
      <c r="B65" s="2806" t="s">
        <v>215</v>
      </c>
      <c r="C65" s="629">
        <f t="shared" si="86"/>
        <v>2.2880964381720439E-4</v>
      </c>
      <c r="D65" s="3264">
        <v>1</v>
      </c>
      <c r="E65" s="4498">
        <v>1</v>
      </c>
      <c r="F65" s="1157">
        <v>1</v>
      </c>
      <c r="G65" s="1157">
        <v>100</v>
      </c>
      <c r="H65" s="1157"/>
      <c r="I65" s="629">
        <v>1.7361111111111112E-4</v>
      </c>
      <c r="J65" s="629">
        <v>1.3888888888888889E-3</v>
      </c>
      <c r="K65" s="2322"/>
      <c r="L65" s="629">
        <f t="shared" si="90"/>
        <v>0.36177617432314563</v>
      </c>
      <c r="M65" s="632">
        <v>1</v>
      </c>
      <c r="N65" s="629">
        <f t="shared" si="91"/>
        <v>2.4777385752688176E-3</v>
      </c>
      <c r="O65" s="1159">
        <f t="shared" si="92"/>
        <v>9.1523857526881758E-4</v>
      </c>
      <c r="P65" s="629">
        <f t="shared" si="87"/>
        <v>9.1523857526881758E-4</v>
      </c>
      <c r="Q65" s="4428">
        <v>144</v>
      </c>
      <c r="R65" s="1160">
        <f t="shared" si="93"/>
        <v>100</v>
      </c>
      <c r="S65" s="1118">
        <f t="shared" si="88"/>
        <v>0.1</v>
      </c>
      <c r="T65" s="1119">
        <f t="shared" si="89"/>
        <v>3.6609543010752703E-3</v>
      </c>
      <c r="U65" s="374">
        <f t="shared" si="23"/>
        <v>0.1</v>
      </c>
      <c r="V65" s="1120">
        <f t="shared" si="24"/>
        <v>0</v>
      </c>
      <c r="W65" s="376">
        <f t="shared" si="25"/>
        <v>0</v>
      </c>
      <c r="X65" s="377">
        <f t="shared" si="26"/>
        <v>0</v>
      </c>
      <c r="Y65" s="378">
        <f t="shared" si="27"/>
        <v>0</v>
      </c>
      <c r="Z65" s="1121">
        <f t="shared" si="28"/>
        <v>0</v>
      </c>
      <c r="AA65" s="1122">
        <f t="shared" si="29"/>
        <v>0</v>
      </c>
      <c r="AB65" s="501">
        <v>1061.5331695331695</v>
      </c>
      <c r="AC65" s="1244"/>
      <c r="AD65" s="1244"/>
      <c r="AE65" s="1244"/>
      <c r="AF65" s="1244"/>
      <c r="AG65" s="1244"/>
      <c r="AH65" s="1244"/>
      <c r="AI65" s="244"/>
      <c r="AJ65" s="245"/>
      <c r="AK65" s="245"/>
      <c r="AL65" s="245"/>
      <c r="AM65" s="245"/>
      <c r="AN65" s="245"/>
    </row>
    <row r="66" spans="1:40" s="223" customFormat="1" ht="13" customHeight="1" thickBot="1">
      <c r="A66" s="4426"/>
      <c r="B66" s="4427"/>
      <c r="C66" s="629">
        <f t="shared" si="86"/>
        <v>2.1222190799396687E-4</v>
      </c>
      <c r="D66" s="3264">
        <v>3</v>
      </c>
      <c r="E66" s="4492">
        <v>2</v>
      </c>
      <c r="F66" s="280">
        <v>1</v>
      </c>
      <c r="G66" s="280">
        <v>100</v>
      </c>
      <c r="H66" s="281"/>
      <c r="I66" s="281">
        <v>1.1574074074074073E-4</v>
      </c>
      <c r="J66" s="281">
        <v>6.9444444444444447E-4</v>
      </c>
      <c r="K66" s="1454" t="s">
        <v>1927</v>
      </c>
      <c r="L66" s="1140">
        <f t="shared" si="90"/>
        <v>0.36425391289841447</v>
      </c>
      <c r="M66" s="453">
        <v>1</v>
      </c>
      <c r="N66" s="1140">
        <f t="shared" si="91"/>
        <v>3.318145634322105E-3</v>
      </c>
      <c r="O66" s="1140">
        <f t="shared" si="92"/>
        <v>8.4888763197586746E-4</v>
      </c>
      <c r="P66" s="995">
        <f t="shared" si="87"/>
        <v>8.4888763197586746E-4</v>
      </c>
      <c r="Q66" s="1140">
        <v>144</v>
      </c>
      <c r="R66" s="333">
        <f t="shared" si="93"/>
        <v>200</v>
      </c>
      <c r="S66" s="1118">
        <f t="shared" si="88"/>
        <v>0.2</v>
      </c>
      <c r="T66" s="1119">
        <f t="shared" si="89"/>
        <v>6.7911010558069397E-3</v>
      </c>
      <c r="U66" s="374">
        <f t="shared" si="23"/>
        <v>0</v>
      </c>
      <c r="V66" s="1120">
        <f t="shared" si="24"/>
        <v>0</v>
      </c>
      <c r="W66" s="376">
        <f t="shared" si="25"/>
        <v>0.2</v>
      </c>
      <c r="X66" s="377">
        <f t="shared" si="26"/>
        <v>0</v>
      </c>
      <c r="Y66" s="378">
        <f t="shared" si="27"/>
        <v>0</v>
      </c>
      <c r="Z66" s="1121">
        <f t="shared" si="28"/>
        <v>0</v>
      </c>
      <c r="AA66" s="1122">
        <f t="shared" si="29"/>
        <v>0</v>
      </c>
      <c r="AB66" s="502">
        <v>0</v>
      </c>
      <c r="AC66" s="1229"/>
      <c r="AD66" s="1230"/>
      <c r="AE66" s="1230"/>
      <c r="AF66" s="1230"/>
      <c r="AG66" s="1230"/>
      <c r="AH66" s="1230"/>
      <c r="AI66" s="220"/>
      <c r="AJ66" s="220"/>
      <c r="AK66" s="220"/>
      <c r="AL66" s="220"/>
      <c r="AM66" s="220"/>
      <c r="AN66" s="220"/>
    </row>
    <row r="67" spans="1:40" ht="13" customHeight="1" thickBot="1">
      <c r="A67" s="4426"/>
      <c r="B67" s="4426" t="s">
        <v>461</v>
      </c>
      <c r="C67" s="629">
        <f t="shared" si="86"/>
        <v>1.8229166666666673E-4</v>
      </c>
      <c r="D67" s="3264">
        <v>6</v>
      </c>
      <c r="E67" s="4502">
        <v>2</v>
      </c>
      <c r="F67" s="1171">
        <v>1</v>
      </c>
      <c r="G67" s="1171">
        <v>100</v>
      </c>
      <c r="H67" s="1956"/>
      <c r="I67" s="1956">
        <v>3.4722222222222224E-4</v>
      </c>
      <c r="J67" s="1956"/>
      <c r="K67" s="1495" t="s">
        <v>1927</v>
      </c>
      <c r="L67" s="1956">
        <f t="shared" si="90"/>
        <v>0.36757205853273656</v>
      </c>
      <c r="M67" s="2403">
        <v>1</v>
      </c>
      <c r="N67" s="1956">
        <f t="shared" si="91"/>
        <v>2.1527777777777782E-3</v>
      </c>
      <c r="O67" s="1169">
        <f t="shared" si="92"/>
        <v>7.2916666666666692E-4</v>
      </c>
      <c r="P67" s="1956">
        <f t="shared" si="87"/>
        <v>7.2916666666666692E-4</v>
      </c>
      <c r="Q67" s="1171">
        <v>144</v>
      </c>
      <c r="R67" s="1171">
        <f t="shared" si="93"/>
        <v>200</v>
      </c>
      <c r="S67" s="1118">
        <f t="shared" si="83"/>
        <v>0.2</v>
      </c>
      <c r="T67" s="1119">
        <f t="shared" si="84"/>
        <v>5.8333333333333353E-3</v>
      </c>
      <c r="U67" s="374">
        <f t="shared" si="23"/>
        <v>0</v>
      </c>
      <c r="V67" s="1120">
        <f t="shared" si="24"/>
        <v>0</v>
      </c>
      <c r="W67" s="376">
        <f t="shared" si="25"/>
        <v>0</v>
      </c>
      <c r="X67" s="377">
        <f t="shared" si="26"/>
        <v>0</v>
      </c>
      <c r="Y67" s="378">
        <f t="shared" si="27"/>
        <v>0</v>
      </c>
      <c r="Z67" s="1121">
        <f t="shared" si="28"/>
        <v>0.2</v>
      </c>
      <c r="AA67" s="1122">
        <f t="shared" si="29"/>
        <v>0</v>
      </c>
      <c r="AB67" s="503">
        <v>1462.3513513513515</v>
      </c>
      <c r="AC67" s="1244"/>
      <c r="AD67" s="1244"/>
      <c r="AE67" s="1244"/>
      <c r="AF67" s="1244"/>
      <c r="AG67" s="1244"/>
      <c r="AH67" s="1244"/>
      <c r="AI67" s="244"/>
      <c r="AJ67" s="245"/>
      <c r="AK67" s="245"/>
      <c r="AL67" s="245"/>
      <c r="AM67" s="245"/>
      <c r="AN67" s="245"/>
    </row>
    <row r="68" spans="1:40" s="223" customFormat="1" ht="13" customHeight="1" thickBot="1">
      <c r="A68" s="2805" t="s">
        <v>779</v>
      </c>
      <c r="B68" s="2806" t="s">
        <v>215</v>
      </c>
      <c r="C68" s="629">
        <f t="shared" si="86"/>
        <v>1.7682291666666674E-4</v>
      </c>
      <c r="D68" s="3264">
        <v>7</v>
      </c>
      <c r="E68" s="4503">
        <v>2</v>
      </c>
      <c r="F68" s="2388">
        <v>1</v>
      </c>
      <c r="G68" s="2388">
        <v>100</v>
      </c>
      <c r="H68" s="2391"/>
      <c r="I68" s="2391">
        <v>3.4722222222222224E-4</v>
      </c>
      <c r="J68" s="2392">
        <v>1.3888888888888889E-3</v>
      </c>
      <c r="K68" s="2387" t="s">
        <v>1927</v>
      </c>
      <c r="L68" s="2392">
        <f t="shared" si="90"/>
        <v>0.36972483631051434</v>
      </c>
      <c r="M68" s="1493">
        <v>1</v>
      </c>
      <c r="N68" s="1499">
        <f t="shared" si="91"/>
        <v>4.8868055555555557E-3</v>
      </c>
      <c r="O68" s="1191">
        <f t="shared" si="92"/>
        <v>7.0729166666666694E-4</v>
      </c>
      <c r="P68" s="1499">
        <f t="shared" si="87"/>
        <v>7.0729166666666694E-4</v>
      </c>
      <c r="Q68" s="790">
        <v>144</v>
      </c>
      <c r="R68" s="2402">
        <f t="shared" si="93"/>
        <v>200</v>
      </c>
      <c r="S68" s="1118">
        <f t="shared" si="83"/>
        <v>0.2</v>
      </c>
      <c r="T68" s="1119">
        <f t="shared" si="84"/>
        <v>5.6583333333333355E-3</v>
      </c>
      <c r="U68" s="374">
        <f t="shared" si="23"/>
        <v>0</v>
      </c>
      <c r="V68" s="1120">
        <f t="shared" si="24"/>
        <v>0</v>
      </c>
      <c r="W68" s="376">
        <f t="shared" si="25"/>
        <v>0</v>
      </c>
      <c r="X68" s="377">
        <f t="shared" si="26"/>
        <v>0</v>
      </c>
      <c r="Y68" s="378">
        <f t="shared" si="27"/>
        <v>0</v>
      </c>
      <c r="Z68" s="1121">
        <f t="shared" si="28"/>
        <v>0</v>
      </c>
      <c r="AA68" s="1122">
        <f t="shared" si="29"/>
        <v>0.2</v>
      </c>
      <c r="AB68" s="504">
        <v>73.081081081081081</v>
      </c>
      <c r="AC68" s="1229"/>
      <c r="AD68" s="1230"/>
      <c r="AE68" s="1230"/>
      <c r="AF68" s="1230"/>
      <c r="AG68" s="1230"/>
      <c r="AH68" s="1230"/>
      <c r="AI68" s="220"/>
      <c r="AJ68" s="220"/>
      <c r="AK68" s="220"/>
      <c r="AL68" s="220"/>
      <c r="AM68" s="220"/>
      <c r="AN68" s="220"/>
    </row>
    <row r="69" spans="1:40" ht="13" customHeight="1" thickBot="1">
      <c r="A69" s="4426"/>
      <c r="B69" s="4426" t="s">
        <v>461</v>
      </c>
      <c r="C69" s="1882">
        <v>0</v>
      </c>
      <c r="D69" s="4443"/>
      <c r="E69" s="1884"/>
      <c r="F69" s="1884"/>
      <c r="G69" s="1884"/>
      <c r="H69" s="1884"/>
      <c r="I69" s="1884"/>
      <c r="J69" s="1884"/>
      <c r="K69" s="1884"/>
      <c r="L69" s="2404">
        <f t="shared" si="90"/>
        <v>0.37461164186606988</v>
      </c>
      <c r="M69" s="2413"/>
      <c r="N69" s="2414">
        <f>SUM(N61:N68)</f>
        <v>3.4333864088292136E-2</v>
      </c>
      <c r="O69" s="2414"/>
      <c r="P69" s="2379"/>
      <c r="Q69" s="2415"/>
      <c r="R69" s="2416">
        <f>SUM(R61:R68)</f>
        <v>1700</v>
      </c>
      <c r="S69" s="1118">
        <f t="shared" si="83"/>
        <v>0</v>
      </c>
      <c r="T69" s="1119">
        <f t="shared" si="84"/>
        <v>0</v>
      </c>
      <c r="U69" s="374">
        <f t="shared" si="23"/>
        <v>0</v>
      </c>
      <c r="V69" s="1120">
        <f t="shared" si="24"/>
        <v>0</v>
      </c>
      <c r="W69" s="376">
        <f t="shared" si="25"/>
        <v>0</v>
      </c>
      <c r="X69" s="377">
        <f t="shared" si="26"/>
        <v>0</v>
      </c>
      <c r="Y69" s="378">
        <f t="shared" si="27"/>
        <v>0</v>
      </c>
      <c r="Z69" s="1121">
        <f t="shared" si="28"/>
        <v>0</v>
      </c>
      <c r="AA69" s="1122">
        <f t="shared" si="29"/>
        <v>0</v>
      </c>
      <c r="AB69" s="1278"/>
      <c r="AC69" s="1244"/>
      <c r="AD69" s="1244"/>
      <c r="AE69" s="1244"/>
      <c r="AF69" s="1244"/>
      <c r="AG69" s="1244"/>
      <c r="AH69" s="1244"/>
      <c r="AI69" s="244"/>
      <c r="AJ69" s="245"/>
      <c r="AK69" s="245"/>
      <c r="AL69" s="245"/>
      <c r="AM69" s="245"/>
      <c r="AN69" s="245"/>
    </row>
    <row r="70" spans="1:40" ht="13" customHeight="1" thickTop="1" thickBot="1">
      <c r="A70" s="1278"/>
      <c r="B70" s="1278"/>
      <c r="C70" s="1278"/>
      <c r="D70" s="1279"/>
      <c r="E70" s="4444">
        <f>U70*100000/Q70</f>
        <v>16.280844568812004</v>
      </c>
      <c r="F70" s="4445">
        <f>V70*100000/$Q$70</f>
        <v>32.434495039430168</v>
      </c>
      <c r="G70" s="280">
        <f t="shared" ref="G70:K70" si="94">W70*100000/$Q$70</f>
        <v>21.470363775120834</v>
      </c>
      <c r="H70" s="303">
        <f t="shared" si="94"/>
        <v>12.719409819384378</v>
      </c>
      <c r="I70" s="3980">
        <f t="shared" si="94"/>
        <v>1.5263291783261255</v>
      </c>
      <c r="J70" s="1171">
        <f t="shared" si="94"/>
        <v>4.070211142203001</v>
      </c>
      <c r="K70" s="2388">
        <f t="shared" si="94"/>
        <v>11.49834647672348</v>
      </c>
      <c r="L70" s="4378" t="s">
        <v>1922</v>
      </c>
      <c r="M70" s="150"/>
      <c r="N70" s="150"/>
      <c r="O70" s="150"/>
      <c r="P70" s="150"/>
      <c r="Q70" s="7870">
        <f>AB70*1000</f>
        <v>19655.000000000004</v>
      </c>
      <c r="R70" s="7870"/>
      <c r="S70" s="1118">
        <f t="shared" ref="S70" si="95">E70*F70*G70/1000</f>
        <v>11.33766117297653</v>
      </c>
      <c r="T70" s="1119">
        <f t="shared" ref="T70" si="96">E70*F70*O70*4</f>
        <v>0</v>
      </c>
      <c r="U70" s="1276">
        <f t="shared" ref="U70:AA70" si="97">SUM(U6:U69)</f>
        <v>3.2</v>
      </c>
      <c r="V70" s="1276">
        <f t="shared" si="97"/>
        <v>6.375</v>
      </c>
      <c r="W70" s="1276">
        <f t="shared" si="97"/>
        <v>4.2200000000000006</v>
      </c>
      <c r="X70" s="1276">
        <f t="shared" si="97"/>
        <v>2.5</v>
      </c>
      <c r="Y70" s="1276">
        <f t="shared" si="97"/>
        <v>0.3</v>
      </c>
      <c r="Z70" s="1276">
        <f t="shared" si="97"/>
        <v>0.8</v>
      </c>
      <c r="AA70" s="1276">
        <f t="shared" si="97"/>
        <v>2.2600000000000002</v>
      </c>
      <c r="AB70" s="1276">
        <f>SUM(U70:AA70)</f>
        <v>19.655000000000005</v>
      </c>
      <c r="AC70" s="1244">
        <v>0</v>
      </c>
      <c r="AD70" s="1244">
        <v>0</v>
      </c>
      <c r="AE70" s="1244">
        <v>0</v>
      </c>
      <c r="AF70" s="1244">
        <v>0</v>
      </c>
      <c r="AG70" s="1244">
        <v>0</v>
      </c>
      <c r="AH70" s="1244">
        <v>0</v>
      </c>
      <c r="AI70" s="244"/>
      <c r="AJ70" s="245"/>
      <c r="AK70" s="245"/>
      <c r="AL70" s="245"/>
      <c r="AM70" s="245"/>
      <c r="AN70" s="245"/>
    </row>
    <row r="71" spans="1:40" ht="13" customHeight="1" thickBot="1">
      <c r="A71" s="1278"/>
      <c r="B71" s="1278"/>
      <c r="C71" s="1278"/>
      <c r="D71" s="1279"/>
      <c r="E71" s="4444">
        <f>INT(E70*15/100)</f>
        <v>2</v>
      </c>
      <c r="F71" s="4445">
        <f>INT(F70*15/100)</f>
        <v>4</v>
      </c>
      <c r="G71" s="2259">
        <f>INT(G70*15/100)</f>
        <v>3</v>
      </c>
      <c r="H71" s="2259">
        <f>INT(H70*15/100)</f>
        <v>1</v>
      </c>
      <c r="I71" s="2259">
        <v>1</v>
      </c>
      <c r="J71" s="2259">
        <v>2</v>
      </c>
      <c r="K71" s="2259">
        <v>2</v>
      </c>
      <c r="L71" s="4378" t="s">
        <v>1252</v>
      </c>
      <c r="M71" s="150"/>
      <c r="N71" s="150"/>
      <c r="O71" s="150"/>
      <c r="P71" s="150"/>
      <c r="Q71" s="7870"/>
      <c r="R71" s="7870"/>
      <c r="S71" s="150"/>
      <c r="T71" s="1278"/>
      <c r="U71" s="1211">
        <f>IF(U70&gt;0,U70,#REF!)</f>
        <v>3.2</v>
      </c>
      <c r="V71" s="1211">
        <f>IF(V70&gt;0,V70,#REF!)</f>
        <v>6.375</v>
      </c>
      <c r="W71" s="1211">
        <f>IF(W70&gt;0,W70,#REF!)</f>
        <v>4.2200000000000006</v>
      </c>
      <c r="X71" s="1211">
        <f>IF(X70&gt;0,X70,#REF!)</f>
        <v>2.5</v>
      </c>
      <c r="Y71" s="1211">
        <f>IF(Y70&gt;0,Y70,#REF!)</f>
        <v>0.3</v>
      </c>
      <c r="Z71" s="1211">
        <f>IF(Z70&gt;0,Z70,#REF!)</f>
        <v>0.8</v>
      </c>
      <c r="AA71" s="1211">
        <f>IF(AA70&gt;0,AA70,#REF!)</f>
        <v>2.2600000000000002</v>
      </c>
      <c r="AB71" s="1278"/>
      <c r="AC71" s="1244"/>
      <c r="AD71" s="1244"/>
      <c r="AE71" s="1244"/>
      <c r="AF71" s="1244"/>
      <c r="AG71" s="1244"/>
      <c r="AH71" s="1244"/>
      <c r="AI71" s="244"/>
      <c r="AJ71" s="245"/>
      <c r="AK71" s="245"/>
      <c r="AL71" s="245"/>
      <c r="AM71" s="245"/>
      <c r="AN71" s="245"/>
    </row>
    <row r="72" spans="1:40" ht="12" thickBot="1">
      <c r="A72" s="1278"/>
      <c r="B72" s="1278"/>
      <c r="C72" s="1278"/>
      <c r="D72" s="1279"/>
      <c r="E72" s="150"/>
      <c r="F72" s="150"/>
      <c r="G72" s="150"/>
      <c r="H72" s="1278"/>
      <c r="I72" s="150"/>
      <c r="J72" s="150"/>
      <c r="K72" s="150"/>
      <c r="L72" s="1676"/>
      <c r="M72" s="150"/>
      <c r="N72" s="150"/>
      <c r="O72" s="150"/>
      <c r="P72" s="150"/>
      <c r="Q72" s="150"/>
      <c r="R72" s="150"/>
      <c r="S72" s="1278"/>
      <c r="T72" s="1278"/>
      <c r="U72" s="484">
        <v>973.11711711711712</v>
      </c>
      <c r="V72" s="484">
        <v>1338.036036036036</v>
      </c>
      <c r="W72" s="484">
        <v>1338.036036036036</v>
      </c>
      <c r="X72" s="484">
        <v>1459.6756756756758</v>
      </c>
      <c r="Y72" s="484">
        <v>912.29729729729729</v>
      </c>
      <c r="Z72" s="484">
        <v>729.83783783783792</v>
      </c>
      <c r="AA72" s="484">
        <v>1</v>
      </c>
      <c r="AB72" s="1278"/>
      <c r="AC72" s="1244"/>
      <c r="AD72" s="1244"/>
      <c r="AE72" s="1244"/>
      <c r="AF72" s="1244"/>
      <c r="AG72" s="1244"/>
      <c r="AH72" s="1244"/>
      <c r="AI72" s="244"/>
      <c r="AJ72" s="245"/>
      <c r="AK72" s="245"/>
      <c r="AL72" s="245"/>
      <c r="AM72" s="245"/>
      <c r="AN72" s="245"/>
    </row>
    <row r="73" spans="1:40" ht="12" thickBot="1">
      <c r="A73" s="1278"/>
      <c r="B73" s="1278"/>
      <c r="C73" s="1278"/>
      <c r="D73" s="1279"/>
      <c r="E73" s="150"/>
      <c r="F73" s="150"/>
      <c r="G73" s="150"/>
      <c r="H73" s="1278"/>
      <c r="I73" s="150"/>
      <c r="J73" s="150"/>
      <c r="K73" s="150"/>
      <c r="L73" s="1676"/>
      <c r="M73" s="150"/>
      <c r="N73" s="150"/>
      <c r="O73" s="150"/>
      <c r="P73" s="150"/>
      <c r="Q73" s="150"/>
      <c r="R73" s="150"/>
      <c r="S73" s="1278"/>
      <c r="T73" s="1278"/>
      <c r="U73" s="535">
        <v>778.52252252252254</v>
      </c>
      <c r="V73" s="535">
        <v>1070.4684684684685</v>
      </c>
      <c r="W73" s="535">
        <v>1070.4684684684685</v>
      </c>
      <c r="X73" s="535">
        <v>1167.7837837837837</v>
      </c>
      <c r="Y73" s="535">
        <v>729.8648648648649</v>
      </c>
      <c r="Z73" s="535">
        <v>583.89189189189187</v>
      </c>
      <c r="AA73" s="535">
        <v>1</v>
      </c>
      <c r="AB73" s="1278"/>
      <c r="AC73" s="1244">
        <v>0</v>
      </c>
      <c r="AD73" s="1244">
        <v>0</v>
      </c>
      <c r="AE73" s="1244">
        <v>0</v>
      </c>
      <c r="AF73" s="1244">
        <v>0</v>
      </c>
      <c r="AG73" s="1244">
        <v>0</v>
      </c>
      <c r="AH73" s="1244">
        <v>0</v>
      </c>
      <c r="AI73" s="244"/>
      <c r="AJ73" s="245"/>
      <c r="AK73" s="245"/>
      <c r="AL73" s="245"/>
      <c r="AM73" s="245"/>
      <c r="AN73" s="245"/>
    </row>
    <row r="74" spans="1:40" ht="12" thickBot="1">
      <c r="A74" s="1278"/>
      <c r="B74" s="1278"/>
      <c r="C74" s="1278"/>
      <c r="D74" s="1279"/>
      <c r="E74" s="150"/>
      <c r="F74" s="150"/>
      <c r="G74" s="150"/>
      <c r="H74" s="1278"/>
      <c r="I74" s="150"/>
      <c r="J74" s="150"/>
      <c r="K74" s="150"/>
      <c r="L74" s="1676"/>
      <c r="M74" s="150"/>
      <c r="N74" s="150"/>
      <c r="O74" s="150"/>
      <c r="P74" s="150"/>
      <c r="Q74" s="150"/>
      <c r="R74" s="150"/>
      <c r="S74" s="1278"/>
      <c r="T74" s="1278"/>
      <c r="U74" s="500">
        <v>305.11678951678937</v>
      </c>
      <c r="V74" s="500">
        <v>662.2609664209665</v>
      </c>
      <c r="W74" s="500">
        <v>73.050057330057484</v>
      </c>
      <c r="X74" s="500">
        <v>1021.8378378378379</v>
      </c>
      <c r="Y74" s="500">
        <v>526.35105651105653</v>
      </c>
      <c r="Z74" s="500">
        <v>510.91891891891896</v>
      </c>
      <c r="AA74" s="500">
        <v>1</v>
      </c>
      <c r="AB74" s="1278"/>
      <c r="AC74" s="1244">
        <v>0</v>
      </c>
      <c r="AD74" s="1244">
        <v>0</v>
      </c>
      <c r="AE74" s="1244">
        <v>0</v>
      </c>
      <c r="AF74" s="1244">
        <v>0</v>
      </c>
      <c r="AG74" s="1244">
        <v>0</v>
      </c>
      <c r="AH74" s="1244">
        <v>0</v>
      </c>
      <c r="AI74" s="244"/>
      <c r="AJ74" s="245"/>
      <c r="AK74" s="245"/>
      <c r="AL74" s="245"/>
      <c r="AM74" s="245"/>
      <c r="AN74" s="245"/>
    </row>
    <row r="75" spans="1:40" ht="12" thickBot="1">
      <c r="A75" s="1278"/>
      <c r="B75" s="1278"/>
      <c r="C75" s="1278"/>
      <c r="D75" s="1279"/>
      <c r="E75" s="150"/>
      <c r="F75" s="150"/>
      <c r="G75" s="150"/>
      <c r="H75" s="1278"/>
      <c r="I75" s="150"/>
      <c r="J75" s="150"/>
      <c r="K75" s="150"/>
      <c r="L75" s="1676"/>
      <c r="M75" s="150"/>
      <c r="N75" s="150"/>
      <c r="O75" s="150"/>
      <c r="P75" s="150"/>
      <c r="Q75" s="150"/>
      <c r="R75" s="150"/>
      <c r="S75" s="1278"/>
      <c r="T75" s="1278"/>
      <c r="U75" s="501">
        <v>0</v>
      </c>
      <c r="V75" s="501">
        <v>2946.0545454545454</v>
      </c>
      <c r="W75" s="501">
        <v>3928.0727272727272</v>
      </c>
      <c r="X75" s="501">
        <v>0</v>
      </c>
      <c r="Y75" s="501">
        <v>1884.5213759213759</v>
      </c>
      <c r="Z75" s="501">
        <v>1061.5331695331695</v>
      </c>
      <c r="AA75" s="501">
        <v>1</v>
      </c>
      <c r="AB75" s="1278"/>
      <c r="AC75" s="1244"/>
      <c r="AD75" s="1244"/>
      <c r="AE75" s="1244"/>
      <c r="AF75" s="1244"/>
      <c r="AG75" s="1244"/>
      <c r="AH75" s="1244"/>
      <c r="AI75" s="244"/>
      <c r="AJ75" s="245"/>
      <c r="AK75" s="245"/>
      <c r="AL75" s="245"/>
      <c r="AM75" s="245"/>
      <c r="AN75" s="245"/>
    </row>
    <row r="76" spans="1:40" ht="12" thickBot="1">
      <c r="A76" s="1278"/>
      <c r="B76" s="1278"/>
      <c r="C76" s="1278"/>
      <c r="D76" s="1279"/>
      <c r="E76" s="150"/>
      <c r="F76" s="150"/>
      <c r="G76" s="150"/>
      <c r="H76" s="1278"/>
      <c r="I76" s="150"/>
      <c r="J76" s="150"/>
      <c r="K76" s="150"/>
      <c r="L76" s="1676"/>
      <c r="M76" s="150"/>
      <c r="N76" s="150"/>
      <c r="O76" s="150"/>
      <c r="P76" s="150"/>
      <c r="Q76" s="150"/>
      <c r="R76" s="150"/>
      <c r="S76" s="1278"/>
      <c r="T76" s="1278"/>
      <c r="U76" s="502">
        <v>0</v>
      </c>
      <c r="V76" s="502">
        <v>0</v>
      </c>
      <c r="W76" s="502">
        <v>0</v>
      </c>
      <c r="X76" s="502">
        <v>7</v>
      </c>
      <c r="Y76" s="502">
        <v>0</v>
      </c>
      <c r="Z76" s="502">
        <v>0</v>
      </c>
      <c r="AA76" s="502">
        <v>0</v>
      </c>
      <c r="AB76" s="1278"/>
      <c r="AC76" s="1244"/>
      <c r="AD76" s="1244"/>
      <c r="AE76" s="1244"/>
      <c r="AF76" s="1244"/>
      <c r="AG76" s="1244"/>
      <c r="AH76" s="1244"/>
      <c r="AI76" s="244"/>
      <c r="AJ76" s="245"/>
      <c r="AK76" s="245"/>
      <c r="AL76" s="245"/>
      <c r="AM76" s="245"/>
      <c r="AN76" s="245"/>
    </row>
    <row r="77" spans="1:40" ht="12" thickBot="1">
      <c r="A77" s="1278"/>
      <c r="B77" s="1278"/>
      <c r="C77" s="1278"/>
      <c r="D77" s="1279"/>
      <c r="E77" s="150"/>
      <c r="F77" s="150"/>
      <c r="G77" s="150"/>
      <c r="H77" s="1278"/>
      <c r="I77" s="150"/>
      <c r="J77" s="150"/>
      <c r="K77" s="150"/>
      <c r="L77" s="1676"/>
      <c r="M77" s="150"/>
      <c r="N77" s="150"/>
      <c r="O77" s="150"/>
      <c r="P77" s="150"/>
      <c r="Q77" s="150"/>
      <c r="R77" s="150"/>
      <c r="S77" s="1278"/>
      <c r="T77" s="1278"/>
      <c r="U77" s="503">
        <v>1462.3513513513515</v>
      </c>
      <c r="V77" s="503">
        <v>0</v>
      </c>
      <c r="W77" s="503">
        <v>0</v>
      </c>
      <c r="X77" s="503">
        <v>1462.3513513513515</v>
      </c>
      <c r="Y77" s="503">
        <v>0</v>
      </c>
      <c r="Z77" s="503">
        <v>1462.3513513513515</v>
      </c>
      <c r="AA77" s="503">
        <v>0</v>
      </c>
      <c r="AB77" s="1278"/>
      <c r="AC77" s="1244">
        <v>0</v>
      </c>
      <c r="AD77" s="1244">
        <v>0</v>
      </c>
      <c r="AE77" s="1244">
        <v>0</v>
      </c>
      <c r="AF77" s="1244">
        <v>0</v>
      </c>
      <c r="AG77" s="1244">
        <v>0</v>
      </c>
      <c r="AH77" s="1244">
        <v>0</v>
      </c>
      <c r="AI77" s="244"/>
      <c r="AJ77" s="245"/>
      <c r="AK77" s="245"/>
      <c r="AL77" s="245"/>
      <c r="AM77" s="245"/>
      <c r="AN77" s="245"/>
    </row>
    <row r="78" spans="1:40" ht="12" thickBot="1">
      <c r="A78" s="1278"/>
      <c r="B78" s="1278"/>
      <c r="C78" s="1278"/>
      <c r="D78" s="1279"/>
      <c r="E78" s="150"/>
      <c r="F78" s="150"/>
      <c r="G78" s="150"/>
      <c r="H78" s="1278"/>
      <c r="I78" s="150"/>
      <c r="J78" s="150"/>
      <c r="K78" s="150"/>
      <c r="L78" s="1676"/>
      <c r="M78" s="150"/>
      <c r="N78" s="150"/>
      <c r="O78" s="150"/>
      <c r="P78" s="150"/>
      <c r="Q78" s="150"/>
      <c r="R78" s="150"/>
      <c r="S78" s="1278"/>
      <c r="T78" s="1278"/>
      <c r="U78" s="504">
        <v>97.441441441441441</v>
      </c>
      <c r="V78" s="504">
        <v>133.98198198198199</v>
      </c>
      <c r="W78" s="504">
        <v>133.98198198198199</v>
      </c>
      <c r="X78" s="504">
        <v>146.16216216216216</v>
      </c>
      <c r="Y78" s="504">
        <v>91.351351351351354</v>
      </c>
      <c r="Z78" s="504">
        <v>73.081081081081081</v>
      </c>
      <c r="AA78" s="504">
        <v>1</v>
      </c>
      <c r="AB78" s="1278"/>
      <c r="AC78" s="1244">
        <v>0</v>
      </c>
      <c r="AD78" s="1244">
        <v>0</v>
      </c>
      <c r="AE78" s="1244">
        <v>0</v>
      </c>
      <c r="AF78" s="1244">
        <v>0</v>
      </c>
      <c r="AG78" s="1244">
        <v>0</v>
      </c>
      <c r="AH78" s="1244">
        <v>0</v>
      </c>
      <c r="AI78" s="244"/>
      <c r="AJ78" s="245"/>
      <c r="AK78" s="245"/>
      <c r="AL78" s="245"/>
      <c r="AM78" s="245"/>
      <c r="AN78" s="245"/>
    </row>
    <row r="79" spans="1:40">
      <c r="A79" s="1278"/>
      <c r="B79" s="1278"/>
      <c r="C79" s="1278"/>
      <c r="D79" s="1279"/>
      <c r="E79" s="150"/>
      <c r="F79" s="150"/>
      <c r="G79" s="150"/>
      <c r="H79" s="1278"/>
      <c r="I79" s="150"/>
      <c r="J79" s="150"/>
      <c r="K79" s="150"/>
      <c r="L79" s="1676"/>
      <c r="M79" s="150"/>
      <c r="N79" s="150"/>
      <c r="O79" s="150"/>
      <c r="P79" s="150"/>
      <c r="Q79" s="7867">
        <f>SUM(U79:AA79)</f>
        <v>30166.426498771503</v>
      </c>
      <c r="R79" s="7867"/>
      <c r="S79" s="1278"/>
      <c r="T79" s="1278"/>
      <c r="U79" s="6256">
        <f>SUM(U71:U78)</f>
        <v>3619.7492219492224</v>
      </c>
      <c r="V79" s="6256">
        <f t="shared" ref="V79:AA79" si="98">SUM(V71:V78)</f>
        <v>6157.1769983619988</v>
      </c>
      <c r="W79" s="6256">
        <f t="shared" si="98"/>
        <v>6547.8292710892711</v>
      </c>
      <c r="X79" s="6256">
        <f t="shared" si="98"/>
        <v>5267.3108108108117</v>
      </c>
      <c r="Y79" s="6256">
        <f t="shared" si="98"/>
        <v>4144.6859459459465</v>
      </c>
      <c r="Z79" s="6256">
        <f t="shared" si="98"/>
        <v>4422.4142506142507</v>
      </c>
      <c r="AA79" s="6256">
        <f t="shared" si="98"/>
        <v>7.26</v>
      </c>
      <c r="AB79" s="1278"/>
      <c r="AC79" s="1244">
        <v>0</v>
      </c>
      <c r="AD79" s="1244">
        <v>0</v>
      </c>
      <c r="AE79" s="1244">
        <v>0</v>
      </c>
      <c r="AF79" s="1244">
        <v>0</v>
      </c>
      <c r="AG79" s="1244">
        <v>0</v>
      </c>
      <c r="AH79" s="1244">
        <v>0</v>
      </c>
      <c r="AI79" s="244"/>
      <c r="AJ79" s="245"/>
      <c r="AK79" s="245"/>
      <c r="AL79" s="245"/>
      <c r="AM79" s="245"/>
      <c r="AN79" s="245"/>
    </row>
    <row r="80" spans="1:40">
      <c r="A80" s="1278"/>
      <c r="B80" s="1278"/>
      <c r="C80" s="1278"/>
      <c r="D80" s="1279"/>
      <c r="E80" s="150"/>
      <c r="F80" s="150"/>
      <c r="G80" s="150"/>
      <c r="H80" s="1278"/>
      <c r="I80" s="150"/>
      <c r="J80" s="150"/>
      <c r="K80" s="150"/>
      <c r="L80" s="1676"/>
      <c r="M80" s="150"/>
      <c r="N80" s="150"/>
      <c r="O80" s="150"/>
      <c r="P80" s="150"/>
      <c r="Q80" s="150"/>
      <c r="R80" s="150"/>
      <c r="S80" s="1278"/>
      <c r="T80" s="1278"/>
      <c r="U80" s="1211">
        <f t="shared" ref="U80:AA87" si="99">IF(U79&gt;0,U79,U78)</f>
        <v>3619.7492219492224</v>
      </c>
      <c r="V80" s="1211">
        <f t="shared" si="99"/>
        <v>6157.1769983619988</v>
      </c>
      <c r="W80" s="1211">
        <f t="shared" si="99"/>
        <v>6547.8292710892711</v>
      </c>
      <c r="X80" s="1211">
        <f t="shared" si="99"/>
        <v>5267.3108108108117</v>
      </c>
      <c r="Y80" s="1211">
        <f t="shared" si="99"/>
        <v>4144.6859459459465</v>
      </c>
      <c r="Z80" s="1211">
        <f t="shared" si="99"/>
        <v>4422.4142506142507</v>
      </c>
      <c r="AA80" s="1211">
        <f t="shared" si="99"/>
        <v>7.26</v>
      </c>
      <c r="AB80" s="1278"/>
      <c r="AC80" s="1244">
        <v>0</v>
      </c>
      <c r="AD80" s="1244">
        <v>0</v>
      </c>
      <c r="AE80" s="1244">
        <v>0</v>
      </c>
      <c r="AF80" s="1244">
        <v>0</v>
      </c>
      <c r="AG80" s="1244">
        <v>0</v>
      </c>
      <c r="AH80" s="1244">
        <v>0</v>
      </c>
      <c r="AI80" s="244"/>
      <c r="AJ80" s="245"/>
      <c r="AK80" s="245"/>
      <c r="AL80" s="245"/>
      <c r="AM80" s="245"/>
      <c r="AN80" s="245"/>
    </row>
    <row r="81" spans="1:40">
      <c r="A81" s="1278"/>
      <c r="B81" s="1278"/>
      <c r="C81" s="1278"/>
      <c r="D81" s="1279"/>
      <c r="E81" s="150"/>
      <c r="F81" s="150"/>
      <c r="G81" s="150"/>
      <c r="H81" s="1278"/>
      <c r="I81" s="150"/>
      <c r="J81" s="150"/>
      <c r="K81" s="150"/>
      <c r="L81" s="1676"/>
      <c r="M81" s="150"/>
      <c r="N81" s="150"/>
      <c r="O81" s="150"/>
      <c r="P81" s="150"/>
      <c r="Q81" s="150"/>
      <c r="R81" s="150"/>
      <c r="S81" s="1278"/>
      <c r="T81" s="1278"/>
      <c r="U81" s="1211">
        <f t="shared" si="99"/>
        <v>3619.7492219492224</v>
      </c>
      <c r="V81" s="1211">
        <f t="shared" si="99"/>
        <v>6157.1769983619988</v>
      </c>
      <c r="W81" s="1211">
        <f t="shared" si="99"/>
        <v>6547.8292710892711</v>
      </c>
      <c r="X81" s="1211">
        <f t="shared" si="99"/>
        <v>5267.3108108108117</v>
      </c>
      <c r="Y81" s="1211">
        <f t="shared" si="99"/>
        <v>4144.6859459459465</v>
      </c>
      <c r="Z81" s="1211">
        <f t="shared" si="99"/>
        <v>4422.4142506142507</v>
      </c>
      <c r="AA81" s="1211">
        <f t="shared" si="99"/>
        <v>7.26</v>
      </c>
      <c r="AB81" s="1278"/>
      <c r="AC81" s="1244"/>
      <c r="AD81" s="1244"/>
      <c r="AE81" s="1244"/>
      <c r="AF81" s="1244"/>
      <c r="AG81" s="1244"/>
      <c r="AH81" s="1244"/>
      <c r="AI81" s="244"/>
      <c r="AJ81" s="245"/>
      <c r="AK81" s="245"/>
      <c r="AL81" s="245"/>
      <c r="AM81" s="245"/>
      <c r="AN81" s="245"/>
    </row>
    <row r="82" spans="1:40">
      <c r="A82" s="1278"/>
      <c r="B82" s="1278"/>
      <c r="C82" s="1278"/>
      <c r="D82" s="1279"/>
      <c r="E82" s="150"/>
      <c r="F82" s="150"/>
      <c r="G82" s="150"/>
      <c r="H82" s="1278"/>
      <c r="I82" s="150"/>
      <c r="J82" s="150"/>
      <c r="K82" s="150"/>
      <c r="L82" s="1676"/>
      <c r="M82" s="150"/>
      <c r="N82" s="150"/>
      <c r="O82" s="150"/>
      <c r="P82" s="150"/>
      <c r="Q82" s="150"/>
      <c r="R82" s="150"/>
      <c r="S82" s="1278"/>
      <c r="T82" s="1278"/>
      <c r="U82" s="1211">
        <f t="shared" si="99"/>
        <v>3619.7492219492224</v>
      </c>
      <c r="V82" s="1211">
        <f t="shared" si="99"/>
        <v>6157.1769983619988</v>
      </c>
      <c r="W82" s="1211">
        <f t="shared" si="99"/>
        <v>6547.8292710892711</v>
      </c>
      <c r="X82" s="1211">
        <f t="shared" si="99"/>
        <v>5267.3108108108117</v>
      </c>
      <c r="Y82" s="1211">
        <f t="shared" si="99"/>
        <v>4144.6859459459465</v>
      </c>
      <c r="Z82" s="1211">
        <f t="shared" si="99"/>
        <v>4422.4142506142507</v>
      </c>
      <c r="AA82" s="1211">
        <f t="shared" si="99"/>
        <v>7.26</v>
      </c>
      <c r="AB82" s="1278"/>
      <c r="AC82" s="1244">
        <v>0</v>
      </c>
      <c r="AD82" s="1244">
        <v>0</v>
      </c>
      <c r="AE82" s="1244">
        <v>0</v>
      </c>
      <c r="AF82" s="1244">
        <v>0</v>
      </c>
      <c r="AG82" s="1244">
        <v>0</v>
      </c>
      <c r="AH82" s="1244">
        <v>0</v>
      </c>
      <c r="AI82" s="244"/>
      <c r="AJ82" s="245"/>
      <c r="AK82" s="245"/>
      <c r="AL82" s="245"/>
      <c r="AM82" s="245"/>
      <c r="AN82" s="245"/>
    </row>
    <row r="83" spans="1:40">
      <c r="A83" s="1278"/>
      <c r="B83" s="1278"/>
      <c r="C83" s="1278"/>
      <c r="D83" s="1279"/>
      <c r="E83" s="150"/>
      <c r="F83" s="150"/>
      <c r="G83" s="150"/>
      <c r="H83" s="1278"/>
      <c r="I83" s="150"/>
      <c r="J83" s="150"/>
      <c r="K83" s="150"/>
      <c r="L83" s="1676"/>
      <c r="M83" s="150"/>
      <c r="N83" s="150"/>
      <c r="O83" s="150"/>
      <c r="P83" s="150"/>
      <c r="Q83" s="150"/>
      <c r="R83" s="150"/>
      <c r="S83" s="1278"/>
      <c r="T83" s="1278"/>
      <c r="U83" s="1211">
        <f t="shared" si="99"/>
        <v>3619.7492219492224</v>
      </c>
      <c r="V83" s="1211">
        <f t="shared" si="99"/>
        <v>6157.1769983619988</v>
      </c>
      <c r="W83" s="1211">
        <f t="shared" si="99"/>
        <v>6547.8292710892711</v>
      </c>
      <c r="X83" s="1211">
        <f t="shared" si="99"/>
        <v>5267.3108108108117</v>
      </c>
      <c r="Y83" s="1211">
        <f t="shared" si="99"/>
        <v>4144.6859459459465</v>
      </c>
      <c r="Z83" s="1211">
        <f t="shared" si="99"/>
        <v>4422.4142506142507</v>
      </c>
      <c r="AA83" s="1211">
        <f t="shared" si="99"/>
        <v>7.26</v>
      </c>
      <c r="AB83" s="1278"/>
      <c r="AC83" s="1244">
        <v>0</v>
      </c>
      <c r="AD83" s="1244">
        <v>0</v>
      </c>
      <c r="AE83" s="1244">
        <v>0</v>
      </c>
      <c r="AF83" s="1244">
        <v>0</v>
      </c>
      <c r="AG83" s="1244">
        <v>0</v>
      </c>
      <c r="AH83" s="1244">
        <v>0</v>
      </c>
      <c r="AI83" s="244"/>
      <c r="AJ83" s="245"/>
      <c r="AK83" s="245"/>
      <c r="AL83" s="245"/>
      <c r="AM83" s="245"/>
      <c r="AN83" s="245"/>
    </row>
    <row r="84" spans="1:40">
      <c r="A84" s="1278"/>
      <c r="B84" s="1278"/>
      <c r="C84" s="1278"/>
      <c r="D84" s="1279"/>
      <c r="E84" s="150"/>
      <c r="F84" s="150"/>
      <c r="G84" s="150"/>
      <c r="H84" s="1278"/>
      <c r="I84" s="150"/>
      <c r="J84" s="150"/>
      <c r="K84" s="150"/>
      <c r="L84" s="1676"/>
      <c r="M84" s="150"/>
      <c r="N84" s="150"/>
      <c r="O84" s="150"/>
      <c r="P84" s="150"/>
      <c r="Q84" s="150"/>
      <c r="R84" s="150"/>
      <c r="S84" s="1278"/>
      <c r="T84" s="1278"/>
      <c r="U84" s="1211">
        <f t="shared" si="99"/>
        <v>3619.7492219492224</v>
      </c>
      <c r="V84" s="1211">
        <f t="shared" si="99"/>
        <v>6157.1769983619988</v>
      </c>
      <c r="W84" s="1211">
        <f t="shared" si="99"/>
        <v>6547.8292710892711</v>
      </c>
      <c r="X84" s="1211">
        <f t="shared" si="99"/>
        <v>5267.3108108108117</v>
      </c>
      <c r="Y84" s="1211">
        <f t="shared" si="99"/>
        <v>4144.6859459459465</v>
      </c>
      <c r="Z84" s="1211">
        <f t="shared" si="99"/>
        <v>4422.4142506142507</v>
      </c>
      <c r="AA84" s="1211">
        <f t="shared" si="99"/>
        <v>7.26</v>
      </c>
      <c r="AB84" s="1278"/>
      <c r="AC84" s="1244"/>
      <c r="AD84" s="1244"/>
      <c r="AE84" s="1244"/>
      <c r="AF84" s="1244"/>
      <c r="AG84" s="1244"/>
      <c r="AH84" s="1244"/>
      <c r="AI84" s="244"/>
      <c r="AJ84" s="245"/>
      <c r="AK84" s="245"/>
      <c r="AL84" s="245"/>
      <c r="AM84" s="245"/>
      <c r="AN84" s="245"/>
    </row>
    <row r="85" spans="1:40">
      <c r="A85" s="1278"/>
      <c r="B85" s="1278"/>
      <c r="C85" s="1278"/>
      <c r="D85" s="1279"/>
      <c r="E85" s="150"/>
      <c r="F85" s="150"/>
      <c r="G85" s="150"/>
      <c r="H85" s="1278"/>
      <c r="I85" s="150"/>
      <c r="J85" s="150"/>
      <c r="K85" s="150"/>
      <c r="L85" s="1676"/>
      <c r="M85" s="150"/>
      <c r="N85" s="150"/>
      <c r="O85" s="150"/>
      <c r="P85" s="150"/>
      <c r="Q85" s="150"/>
      <c r="R85" s="150"/>
      <c r="S85" s="1278"/>
      <c r="T85" s="1278"/>
      <c r="U85" s="1211">
        <f t="shared" si="99"/>
        <v>3619.7492219492224</v>
      </c>
      <c r="V85" s="1211">
        <f t="shared" si="99"/>
        <v>6157.1769983619988</v>
      </c>
      <c r="W85" s="1211">
        <f t="shared" si="99"/>
        <v>6547.8292710892711</v>
      </c>
      <c r="X85" s="1211">
        <f t="shared" si="99"/>
        <v>5267.3108108108117</v>
      </c>
      <c r="Y85" s="1211">
        <f t="shared" si="99"/>
        <v>4144.6859459459465</v>
      </c>
      <c r="Z85" s="1211">
        <f t="shared" si="99"/>
        <v>4422.4142506142507</v>
      </c>
      <c r="AA85" s="1211">
        <f t="shared" si="99"/>
        <v>7.26</v>
      </c>
      <c r="AB85" s="1278"/>
      <c r="AC85" s="1244"/>
      <c r="AD85" s="1244"/>
      <c r="AE85" s="1244"/>
      <c r="AF85" s="1244"/>
      <c r="AG85" s="1244"/>
      <c r="AH85" s="1244"/>
      <c r="AI85" s="244"/>
      <c r="AJ85" s="245"/>
      <c r="AK85" s="245"/>
      <c r="AL85" s="245"/>
      <c r="AM85" s="245"/>
      <c r="AN85" s="245"/>
    </row>
    <row r="86" spans="1:40">
      <c r="A86" s="1278"/>
      <c r="B86" s="1278"/>
      <c r="C86" s="1278"/>
      <c r="D86" s="1279"/>
      <c r="E86" s="150"/>
      <c r="F86" s="150"/>
      <c r="G86" s="150"/>
      <c r="H86" s="1278"/>
      <c r="I86" s="150"/>
      <c r="J86" s="150"/>
      <c r="K86" s="150"/>
      <c r="L86" s="1676"/>
      <c r="M86" s="150"/>
      <c r="N86" s="150"/>
      <c r="O86" s="150"/>
      <c r="P86" s="150"/>
      <c r="Q86" s="150"/>
      <c r="R86" s="150"/>
      <c r="S86" s="1278"/>
      <c r="T86" s="1278"/>
      <c r="U86" s="1211">
        <f t="shared" si="99"/>
        <v>3619.7492219492224</v>
      </c>
      <c r="V86" s="1211">
        <f t="shared" si="99"/>
        <v>6157.1769983619988</v>
      </c>
      <c r="W86" s="1211">
        <f t="shared" si="99"/>
        <v>6547.8292710892711</v>
      </c>
      <c r="X86" s="1211">
        <f t="shared" si="99"/>
        <v>5267.3108108108117</v>
      </c>
      <c r="Y86" s="1211">
        <f t="shared" si="99"/>
        <v>4144.6859459459465</v>
      </c>
      <c r="Z86" s="1211">
        <f t="shared" si="99"/>
        <v>4422.4142506142507</v>
      </c>
      <c r="AA86" s="1211">
        <f t="shared" si="99"/>
        <v>7.26</v>
      </c>
      <c r="AB86" s="1278"/>
      <c r="AC86" s="1244">
        <v>0</v>
      </c>
      <c r="AD86" s="1244">
        <v>0</v>
      </c>
      <c r="AE86" s="1244">
        <v>0</v>
      </c>
      <c r="AF86" s="1244">
        <v>0</v>
      </c>
      <c r="AG86" s="1244">
        <v>0</v>
      </c>
      <c r="AH86" s="1244">
        <v>0</v>
      </c>
      <c r="AI86" s="244"/>
      <c r="AJ86" s="245"/>
      <c r="AK86" s="245"/>
      <c r="AL86" s="245"/>
      <c r="AM86" s="245"/>
      <c r="AN86" s="245"/>
    </row>
    <row r="87" spans="1:40">
      <c r="A87" s="1278"/>
      <c r="B87" s="1278"/>
      <c r="C87" s="1278"/>
      <c r="D87" s="1279"/>
      <c r="E87" s="150"/>
      <c r="F87" s="150"/>
      <c r="G87" s="150"/>
      <c r="H87" s="1278"/>
      <c r="I87" s="150"/>
      <c r="J87" s="150"/>
      <c r="K87" s="150"/>
      <c r="L87" s="1676"/>
      <c r="M87" s="150"/>
      <c r="N87" s="150"/>
      <c r="O87" s="150"/>
      <c r="P87" s="150"/>
      <c r="Q87" s="150"/>
      <c r="R87" s="150"/>
      <c r="S87" s="1278"/>
      <c r="T87" s="1278"/>
      <c r="U87" s="1211">
        <f t="shared" si="99"/>
        <v>3619.7492219492224</v>
      </c>
      <c r="V87" s="1211">
        <f t="shared" si="99"/>
        <v>6157.1769983619988</v>
      </c>
      <c r="W87" s="1211">
        <f t="shared" si="99"/>
        <v>6547.8292710892711</v>
      </c>
      <c r="X87" s="1211">
        <f t="shared" si="99"/>
        <v>5267.3108108108117</v>
      </c>
      <c r="Y87" s="1211">
        <f t="shared" si="99"/>
        <v>4144.6859459459465</v>
      </c>
      <c r="Z87" s="1211">
        <f t="shared" si="99"/>
        <v>4422.4142506142507</v>
      </c>
      <c r="AA87" s="1211">
        <f t="shared" si="99"/>
        <v>7.26</v>
      </c>
      <c r="AB87" s="1278"/>
      <c r="AC87" s="1244">
        <v>0</v>
      </c>
      <c r="AD87" s="1244">
        <v>0</v>
      </c>
      <c r="AE87" s="1244">
        <v>0</v>
      </c>
      <c r="AF87" s="1244">
        <v>0</v>
      </c>
      <c r="AG87" s="1244">
        <v>0</v>
      </c>
      <c r="AH87" s="1244">
        <v>0</v>
      </c>
      <c r="AI87" s="244"/>
      <c r="AJ87" s="245"/>
      <c r="AK87" s="245"/>
      <c r="AL87" s="245"/>
      <c r="AM87" s="245"/>
      <c r="AN87" s="245"/>
    </row>
    <row r="88" spans="1:40">
      <c r="A88" s="1278"/>
      <c r="B88" s="1278"/>
      <c r="C88" s="1278"/>
      <c r="D88" s="1279"/>
      <c r="E88" s="150"/>
      <c r="F88" s="150"/>
      <c r="G88" s="150"/>
      <c r="H88" s="1278"/>
      <c r="I88" s="150"/>
      <c r="J88" s="150"/>
      <c r="K88" s="150"/>
      <c r="L88" s="1676"/>
      <c r="M88" s="150"/>
      <c r="N88" s="150"/>
      <c r="O88" s="150"/>
      <c r="P88" s="150"/>
      <c r="Q88" s="150"/>
      <c r="R88" s="150"/>
      <c r="S88" s="1278"/>
      <c r="T88" s="1278"/>
      <c r="U88" s="1211">
        <f t="shared" ref="U88:AA99" si="100">IF(U87&gt;0,U87,U86)</f>
        <v>3619.7492219492224</v>
      </c>
      <c r="V88" s="1211">
        <f t="shared" si="100"/>
        <v>6157.1769983619988</v>
      </c>
      <c r="W88" s="1211">
        <f t="shared" si="100"/>
        <v>6547.8292710892711</v>
      </c>
      <c r="X88" s="1211">
        <f t="shared" si="100"/>
        <v>5267.3108108108117</v>
      </c>
      <c r="Y88" s="1211">
        <f t="shared" si="100"/>
        <v>4144.6859459459465</v>
      </c>
      <c r="Z88" s="1211">
        <f t="shared" si="100"/>
        <v>4422.4142506142507</v>
      </c>
      <c r="AA88" s="1211">
        <f t="shared" si="100"/>
        <v>7.26</v>
      </c>
      <c r="AB88" s="1278"/>
      <c r="AC88" s="1244">
        <v>0</v>
      </c>
      <c r="AD88" s="1244">
        <v>0</v>
      </c>
      <c r="AE88" s="1244">
        <v>0</v>
      </c>
      <c r="AF88" s="1244">
        <v>0</v>
      </c>
      <c r="AG88" s="1244">
        <v>0</v>
      </c>
      <c r="AH88" s="1244">
        <v>0</v>
      </c>
      <c r="AI88" s="244"/>
      <c r="AJ88" s="245"/>
      <c r="AK88" s="245"/>
      <c r="AL88" s="245"/>
      <c r="AM88" s="245"/>
      <c r="AN88" s="245"/>
    </row>
    <row r="89" spans="1:40" ht="15" customHeight="1">
      <c r="A89" s="1278"/>
      <c r="B89" s="1278"/>
      <c r="C89" s="1278"/>
      <c r="D89" s="1279"/>
      <c r="E89" s="150"/>
      <c r="F89" s="150"/>
      <c r="G89" s="150"/>
      <c r="H89" s="1278"/>
      <c r="I89" s="150"/>
      <c r="J89" s="150"/>
      <c r="K89" s="150"/>
      <c r="L89" s="1676"/>
      <c r="M89" s="150"/>
      <c r="N89" s="150"/>
      <c r="O89" s="150"/>
      <c r="P89" s="150"/>
      <c r="Q89" s="150"/>
      <c r="R89" s="150"/>
      <c r="S89" s="1278"/>
      <c r="T89" s="1278"/>
      <c r="U89" s="1211">
        <f t="shared" si="100"/>
        <v>3619.7492219492224</v>
      </c>
      <c r="V89" s="1211">
        <f t="shared" si="100"/>
        <v>6157.1769983619988</v>
      </c>
      <c r="W89" s="1211">
        <f t="shared" si="100"/>
        <v>6547.8292710892711</v>
      </c>
      <c r="X89" s="1211">
        <f t="shared" si="100"/>
        <v>5267.3108108108117</v>
      </c>
      <c r="Y89" s="1211">
        <f t="shared" si="100"/>
        <v>4144.6859459459465</v>
      </c>
      <c r="Z89" s="1211">
        <f t="shared" si="100"/>
        <v>4422.4142506142507</v>
      </c>
      <c r="AA89" s="1211">
        <f t="shared" si="100"/>
        <v>7.26</v>
      </c>
      <c r="AB89" s="1278"/>
      <c r="AC89" s="1244"/>
      <c r="AD89" s="1244"/>
      <c r="AE89" s="1244"/>
      <c r="AF89" s="1244"/>
      <c r="AG89" s="1244"/>
      <c r="AH89" s="1244"/>
      <c r="AI89" s="244"/>
      <c r="AJ89" s="245"/>
      <c r="AK89" s="245"/>
      <c r="AL89" s="245"/>
      <c r="AM89" s="245"/>
      <c r="AN89" s="245"/>
    </row>
    <row r="90" spans="1:40">
      <c r="A90" s="1278"/>
      <c r="B90" s="1278"/>
      <c r="C90" s="1278"/>
      <c r="D90" s="1279"/>
      <c r="E90" s="150"/>
      <c r="F90" s="150"/>
      <c r="G90" s="150"/>
      <c r="H90" s="1278"/>
      <c r="I90" s="150"/>
      <c r="J90" s="150"/>
      <c r="K90" s="150"/>
      <c r="L90" s="1676"/>
      <c r="M90" s="150"/>
      <c r="N90" s="150"/>
      <c r="O90" s="150"/>
      <c r="P90" s="150"/>
      <c r="Q90" s="150"/>
      <c r="R90" s="150"/>
      <c r="S90" s="1278"/>
      <c r="T90" s="1278"/>
      <c r="U90" s="1211">
        <f t="shared" si="100"/>
        <v>3619.7492219492224</v>
      </c>
      <c r="V90" s="1211">
        <f t="shared" si="100"/>
        <v>6157.1769983619988</v>
      </c>
      <c r="W90" s="1211">
        <f t="shared" si="100"/>
        <v>6547.8292710892711</v>
      </c>
      <c r="X90" s="1211">
        <f t="shared" si="100"/>
        <v>5267.3108108108117</v>
      </c>
      <c r="Y90" s="1211">
        <f t="shared" si="100"/>
        <v>4144.6859459459465</v>
      </c>
      <c r="Z90" s="1211">
        <f t="shared" si="100"/>
        <v>4422.4142506142507</v>
      </c>
      <c r="AA90" s="1211">
        <f t="shared" si="100"/>
        <v>7.26</v>
      </c>
      <c r="AB90" s="1278"/>
      <c r="AC90" s="1244"/>
      <c r="AD90" s="1244"/>
      <c r="AE90" s="1244"/>
      <c r="AF90" s="1244"/>
      <c r="AG90" s="1244"/>
      <c r="AH90" s="1244"/>
      <c r="AI90" s="244"/>
      <c r="AJ90" s="245"/>
      <c r="AK90" s="245"/>
      <c r="AL90" s="245"/>
      <c r="AM90" s="245"/>
      <c r="AN90" s="245"/>
    </row>
    <row r="91" spans="1:40">
      <c r="A91" s="1278"/>
      <c r="B91" s="1278"/>
      <c r="C91" s="1278"/>
      <c r="D91" s="1279"/>
      <c r="E91" s="150"/>
      <c r="F91" s="150"/>
      <c r="G91" s="150"/>
      <c r="H91" s="1278"/>
      <c r="I91" s="150"/>
      <c r="J91" s="150"/>
      <c r="K91" s="150"/>
      <c r="L91" s="1676"/>
      <c r="M91" s="150"/>
      <c r="N91" s="150"/>
      <c r="O91" s="150"/>
      <c r="P91" s="150"/>
      <c r="Q91" s="150"/>
      <c r="R91" s="150"/>
      <c r="S91" s="1278"/>
      <c r="T91" s="1278"/>
      <c r="U91" s="1211">
        <f t="shared" si="100"/>
        <v>3619.7492219492224</v>
      </c>
      <c r="V91" s="1211">
        <f t="shared" si="100"/>
        <v>6157.1769983619988</v>
      </c>
      <c r="W91" s="1211">
        <f t="shared" si="100"/>
        <v>6547.8292710892711</v>
      </c>
      <c r="X91" s="1211">
        <f t="shared" si="100"/>
        <v>5267.3108108108117</v>
      </c>
      <c r="Y91" s="1211">
        <f t="shared" si="100"/>
        <v>4144.6859459459465</v>
      </c>
      <c r="Z91" s="1211">
        <f t="shared" si="100"/>
        <v>4422.4142506142507</v>
      </c>
      <c r="AA91" s="1211">
        <f t="shared" si="100"/>
        <v>7.26</v>
      </c>
      <c r="AB91" s="1278"/>
      <c r="AC91" s="1244">
        <v>0</v>
      </c>
      <c r="AD91" s="1244">
        <v>0</v>
      </c>
      <c r="AE91" s="1244">
        <v>0</v>
      </c>
      <c r="AF91" s="1244">
        <v>0</v>
      </c>
      <c r="AG91" s="1244">
        <v>0</v>
      </c>
      <c r="AH91" s="1244">
        <v>0</v>
      </c>
      <c r="AI91" s="244"/>
      <c r="AJ91" s="245"/>
      <c r="AK91" s="245"/>
      <c r="AL91" s="245"/>
      <c r="AM91" s="245"/>
      <c r="AN91" s="245"/>
    </row>
    <row r="92" spans="1:40">
      <c r="A92" s="1278"/>
      <c r="B92" s="1278"/>
      <c r="C92" s="1278"/>
      <c r="D92" s="1279"/>
      <c r="E92" s="150"/>
      <c r="F92" s="150"/>
      <c r="G92" s="150"/>
      <c r="H92" s="1278"/>
      <c r="I92" s="150"/>
      <c r="J92" s="150"/>
      <c r="K92" s="150"/>
      <c r="L92" s="1676"/>
      <c r="M92" s="150"/>
      <c r="N92" s="150"/>
      <c r="O92" s="150"/>
      <c r="P92" s="150"/>
      <c r="Q92" s="150"/>
      <c r="R92" s="150"/>
      <c r="S92" s="1278"/>
      <c r="T92" s="1278"/>
      <c r="U92" s="1211">
        <f t="shared" si="100"/>
        <v>3619.7492219492224</v>
      </c>
      <c r="V92" s="1211">
        <f t="shared" si="100"/>
        <v>6157.1769983619988</v>
      </c>
      <c r="W92" s="1211">
        <f t="shared" si="100"/>
        <v>6547.8292710892711</v>
      </c>
      <c r="X92" s="1211">
        <f t="shared" si="100"/>
        <v>5267.3108108108117</v>
      </c>
      <c r="Y92" s="1211">
        <f t="shared" si="100"/>
        <v>4144.6859459459465</v>
      </c>
      <c r="Z92" s="1211">
        <f t="shared" si="100"/>
        <v>4422.4142506142507</v>
      </c>
      <c r="AA92" s="1211">
        <f t="shared" si="100"/>
        <v>7.26</v>
      </c>
      <c r="AB92" s="1278"/>
      <c r="AC92" s="1244">
        <v>0</v>
      </c>
      <c r="AD92" s="1244">
        <v>0</v>
      </c>
      <c r="AE92" s="1244">
        <v>0</v>
      </c>
      <c r="AF92" s="1244">
        <v>0</v>
      </c>
      <c r="AG92" s="1244">
        <v>0</v>
      </c>
      <c r="AH92" s="1244">
        <v>0</v>
      </c>
      <c r="AI92" s="244"/>
      <c r="AJ92" s="245"/>
      <c r="AK92" s="245"/>
      <c r="AL92" s="245"/>
      <c r="AM92" s="245"/>
      <c r="AN92" s="245"/>
    </row>
    <row r="93" spans="1:40">
      <c r="A93" s="1278"/>
      <c r="B93" s="1278"/>
      <c r="C93" s="1278"/>
      <c r="D93" s="1279"/>
      <c r="E93" s="150"/>
      <c r="F93" s="150"/>
      <c r="G93" s="150"/>
      <c r="H93" s="1278"/>
      <c r="I93" s="150"/>
      <c r="J93" s="150"/>
      <c r="K93" s="150"/>
      <c r="L93" s="1676"/>
      <c r="M93" s="150"/>
      <c r="N93" s="150"/>
      <c r="O93" s="150"/>
      <c r="P93" s="150"/>
      <c r="Q93" s="150"/>
      <c r="R93" s="150"/>
      <c r="S93" s="1278"/>
      <c r="T93" s="1278"/>
      <c r="U93" s="1211">
        <f t="shared" si="100"/>
        <v>3619.7492219492224</v>
      </c>
      <c r="V93" s="1211">
        <f t="shared" si="100"/>
        <v>6157.1769983619988</v>
      </c>
      <c r="W93" s="1211">
        <f t="shared" si="100"/>
        <v>6547.8292710892711</v>
      </c>
      <c r="X93" s="1211">
        <f t="shared" si="100"/>
        <v>5267.3108108108117</v>
      </c>
      <c r="Y93" s="1211">
        <f t="shared" si="100"/>
        <v>4144.6859459459465</v>
      </c>
      <c r="Z93" s="1211">
        <f t="shared" si="100"/>
        <v>4422.4142506142507</v>
      </c>
      <c r="AA93" s="1211">
        <f t="shared" si="100"/>
        <v>7.26</v>
      </c>
      <c r="AB93" s="1278"/>
      <c r="AC93" s="1244">
        <v>0</v>
      </c>
      <c r="AD93" s="1244">
        <v>0</v>
      </c>
      <c r="AE93" s="1244">
        <v>0</v>
      </c>
      <c r="AF93" s="1244">
        <v>0</v>
      </c>
      <c r="AG93" s="1244">
        <v>0</v>
      </c>
      <c r="AH93" s="1244">
        <v>0</v>
      </c>
      <c r="AI93" s="244"/>
      <c r="AJ93" s="245"/>
      <c r="AK93" s="245"/>
      <c r="AL93" s="245"/>
      <c r="AM93" s="245"/>
      <c r="AN93" s="245"/>
    </row>
    <row r="94" spans="1:40">
      <c r="A94" s="1278"/>
      <c r="B94" s="1278"/>
      <c r="C94" s="1278"/>
      <c r="D94" s="1279"/>
      <c r="E94" s="150"/>
      <c r="F94" s="150"/>
      <c r="G94" s="150"/>
      <c r="H94" s="1278"/>
      <c r="I94" s="150"/>
      <c r="J94" s="150"/>
      <c r="K94" s="150"/>
      <c r="L94" s="1676"/>
      <c r="M94" s="150"/>
      <c r="N94" s="150"/>
      <c r="O94" s="150"/>
      <c r="P94" s="150"/>
      <c r="Q94" s="150"/>
      <c r="R94" s="150"/>
      <c r="S94" s="1278"/>
      <c r="T94" s="1278"/>
      <c r="U94" s="1211">
        <f t="shared" si="100"/>
        <v>3619.7492219492224</v>
      </c>
      <c r="V94" s="1211">
        <f t="shared" si="100"/>
        <v>6157.1769983619988</v>
      </c>
      <c r="W94" s="1211">
        <f t="shared" si="100"/>
        <v>6547.8292710892711</v>
      </c>
      <c r="X94" s="1211">
        <f t="shared" si="100"/>
        <v>5267.3108108108117</v>
      </c>
      <c r="Y94" s="1211">
        <f t="shared" si="100"/>
        <v>4144.6859459459465</v>
      </c>
      <c r="Z94" s="1211">
        <f t="shared" si="100"/>
        <v>4422.4142506142507</v>
      </c>
      <c r="AA94" s="1211">
        <f t="shared" si="100"/>
        <v>7.26</v>
      </c>
      <c r="AB94" s="1278"/>
      <c r="AC94" s="1244"/>
      <c r="AD94" s="1244"/>
      <c r="AE94" s="1244"/>
      <c r="AF94" s="1244"/>
      <c r="AG94" s="1244"/>
      <c r="AH94" s="1244"/>
      <c r="AI94" s="244"/>
      <c r="AJ94" s="245"/>
      <c r="AK94" s="245"/>
      <c r="AL94" s="245"/>
      <c r="AM94" s="245"/>
      <c r="AN94" s="245"/>
    </row>
    <row r="95" spans="1:40">
      <c r="A95" s="1278"/>
      <c r="B95" s="1278"/>
      <c r="C95" s="1278"/>
      <c r="D95" s="1279"/>
      <c r="E95" s="150"/>
      <c r="F95" s="150"/>
      <c r="G95" s="150"/>
      <c r="H95" s="1278"/>
      <c r="I95" s="150"/>
      <c r="J95" s="150"/>
      <c r="K95" s="150"/>
      <c r="L95" s="1676"/>
      <c r="M95" s="150"/>
      <c r="N95" s="150"/>
      <c r="O95" s="150"/>
      <c r="P95" s="150"/>
      <c r="Q95" s="150"/>
      <c r="R95" s="150"/>
      <c r="S95" s="1278"/>
      <c r="T95" s="1278"/>
      <c r="U95" s="1211">
        <f t="shared" si="100"/>
        <v>3619.7492219492224</v>
      </c>
      <c r="V95" s="1211">
        <f t="shared" si="100"/>
        <v>6157.1769983619988</v>
      </c>
      <c r="W95" s="1211">
        <f t="shared" si="100"/>
        <v>6547.8292710892711</v>
      </c>
      <c r="X95" s="1211">
        <f t="shared" si="100"/>
        <v>5267.3108108108117</v>
      </c>
      <c r="Y95" s="1211">
        <f t="shared" si="100"/>
        <v>4144.6859459459465</v>
      </c>
      <c r="Z95" s="1211">
        <f t="shared" si="100"/>
        <v>4422.4142506142507</v>
      </c>
      <c r="AA95" s="1211">
        <f t="shared" si="100"/>
        <v>7.26</v>
      </c>
      <c r="AB95" s="1278"/>
      <c r="AC95" s="1244"/>
      <c r="AD95" s="1244"/>
      <c r="AE95" s="1244"/>
      <c r="AF95" s="1244"/>
      <c r="AG95" s="1244"/>
      <c r="AH95" s="1244"/>
      <c r="AI95" s="244"/>
      <c r="AJ95" s="245"/>
      <c r="AK95" s="245"/>
      <c r="AL95" s="245"/>
      <c r="AM95" s="245"/>
      <c r="AN95" s="245"/>
    </row>
    <row r="96" spans="1:40">
      <c r="A96" s="1278"/>
      <c r="B96" s="1278"/>
      <c r="C96" s="1278"/>
      <c r="D96" s="1279"/>
      <c r="E96" s="150"/>
      <c r="F96" s="150"/>
      <c r="G96" s="150"/>
      <c r="H96" s="1278"/>
      <c r="I96" s="150"/>
      <c r="J96" s="150"/>
      <c r="K96" s="150"/>
      <c r="L96" s="1676"/>
      <c r="M96" s="150"/>
      <c r="N96" s="150"/>
      <c r="O96" s="150"/>
      <c r="P96" s="150"/>
      <c r="Q96" s="150"/>
      <c r="R96" s="150"/>
      <c r="S96" s="1278"/>
      <c r="T96" s="1278"/>
      <c r="U96" s="1211">
        <f t="shared" si="100"/>
        <v>3619.7492219492224</v>
      </c>
      <c r="V96" s="1211">
        <f t="shared" si="100"/>
        <v>6157.1769983619988</v>
      </c>
      <c r="W96" s="1211">
        <f t="shared" si="100"/>
        <v>6547.8292710892711</v>
      </c>
      <c r="X96" s="1211">
        <f t="shared" si="100"/>
        <v>5267.3108108108117</v>
      </c>
      <c r="Y96" s="1211">
        <f t="shared" si="100"/>
        <v>4144.6859459459465</v>
      </c>
      <c r="Z96" s="1211">
        <f t="shared" si="100"/>
        <v>4422.4142506142507</v>
      </c>
      <c r="AA96" s="1211">
        <f t="shared" si="100"/>
        <v>7.26</v>
      </c>
      <c r="AB96" s="1278"/>
      <c r="AC96" s="1244">
        <v>0</v>
      </c>
      <c r="AD96" s="1244">
        <v>0</v>
      </c>
      <c r="AE96" s="1244">
        <v>0</v>
      </c>
      <c r="AF96" s="1244">
        <v>0</v>
      </c>
      <c r="AG96" s="1244">
        <v>0</v>
      </c>
      <c r="AH96" s="1244">
        <v>0</v>
      </c>
      <c r="AI96" s="244"/>
      <c r="AJ96" s="245"/>
      <c r="AK96" s="245"/>
      <c r="AL96" s="245"/>
      <c r="AM96" s="245"/>
      <c r="AN96" s="245"/>
    </row>
    <row r="97" spans="1:40">
      <c r="A97" s="1278"/>
      <c r="B97" s="1278"/>
      <c r="C97" s="1278"/>
      <c r="D97" s="1279"/>
      <c r="E97" s="150"/>
      <c r="F97" s="150"/>
      <c r="G97" s="150"/>
      <c r="H97" s="1278"/>
      <c r="I97" s="150"/>
      <c r="J97" s="150"/>
      <c r="K97" s="150"/>
      <c r="L97" s="1676"/>
      <c r="M97" s="150"/>
      <c r="N97" s="150"/>
      <c r="O97" s="150"/>
      <c r="P97" s="150"/>
      <c r="Q97" s="150"/>
      <c r="R97" s="150"/>
      <c r="S97" s="1278"/>
      <c r="T97" s="1278"/>
      <c r="U97" s="1211">
        <f t="shared" si="100"/>
        <v>3619.7492219492224</v>
      </c>
      <c r="V97" s="1211">
        <f t="shared" si="100"/>
        <v>6157.1769983619988</v>
      </c>
      <c r="W97" s="1211">
        <f t="shared" si="100"/>
        <v>6547.8292710892711</v>
      </c>
      <c r="X97" s="1211">
        <f t="shared" si="100"/>
        <v>5267.3108108108117</v>
      </c>
      <c r="Y97" s="1211">
        <f t="shared" si="100"/>
        <v>4144.6859459459465</v>
      </c>
      <c r="Z97" s="1211">
        <f t="shared" si="100"/>
        <v>4422.4142506142507</v>
      </c>
      <c r="AA97" s="1211">
        <f t="shared" si="100"/>
        <v>7.26</v>
      </c>
      <c r="AB97" s="1278"/>
      <c r="AC97" s="1244">
        <v>0</v>
      </c>
      <c r="AD97" s="1244">
        <v>0</v>
      </c>
      <c r="AE97" s="1244">
        <v>0</v>
      </c>
      <c r="AF97" s="1244">
        <v>0</v>
      </c>
      <c r="AG97" s="1244">
        <v>0</v>
      </c>
      <c r="AH97" s="1244">
        <v>0</v>
      </c>
      <c r="AI97" s="244"/>
      <c r="AJ97" s="245"/>
      <c r="AK97" s="245"/>
      <c r="AL97" s="245"/>
      <c r="AM97" s="245"/>
      <c r="AN97" s="245"/>
    </row>
    <row r="98" spans="1:40">
      <c r="A98" s="1278"/>
      <c r="B98" s="1278"/>
      <c r="C98" s="1278"/>
      <c r="D98" s="1279"/>
      <c r="E98" s="150"/>
      <c r="F98" s="150"/>
      <c r="G98" s="150"/>
      <c r="H98" s="1278"/>
      <c r="I98" s="150"/>
      <c r="J98" s="150"/>
      <c r="K98" s="150"/>
      <c r="L98" s="1676"/>
      <c r="M98" s="150"/>
      <c r="N98" s="150"/>
      <c r="O98" s="150"/>
      <c r="P98" s="150"/>
      <c r="Q98" s="150"/>
      <c r="R98" s="150"/>
      <c r="S98" s="1278"/>
      <c r="T98" s="1278"/>
      <c r="U98" s="1211">
        <f t="shared" si="100"/>
        <v>3619.7492219492224</v>
      </c>
      <c r="V98" s="1211">
        <f t="shared" si="100"/>
        <v>6157.1769983619988</v>
      </c>
      <c r="W98" s="1211">
        <f t="shared" si="100"/>
        <v>6547.8292710892711</v>
      </c>
      <c r="X98" s="1211">
        <f t="shared" si="100"/>
        <v>5267.3108108108117</v>
      </c>
      <c r="Y98" s="1211">
        <f t="shared" si="100"/>
        <v>4144.6859459459465</v>
      </c>
      <c r="Z98" s="1211">
        <f t="shared" si="100"/>
        <v>4422.4142506142507</v>
      </c>
      <c r="AA98" s="1211">
        <f t="shared" si="100"/>
        <v>7.26</v>
      </c>
      <c r="AB98" s="1278"/>
      <c r="AC98" s="1244">
        <v>0</v>
      </c>
      <c r="AD98" s="1244">
        <v>0</v>
      </c>
      <c r="AE98" s="1244">
        <v>0</v>
      </c>
      <c r="AF98" s="1244">
        <v>0</v>
      </c>
      <c r="AG98" s="1244">
        <v>0</v>
      </c>
      <c r="AH98" s="1244">
        <v>0</v>
      </c>
      <c r="AI98" s="244"/>
      <c r="AJ98" s="245"/>
      <c r="AK98" s="245"/>
      <c r="AL98" s="245"/>
      <c r="AM98" s="245"/>
      <c r="AN98" s="245"/>
    </row>
    <row r="99" spans="1:40">
      <c r="A99" s="1278"/>
      <c r="B99" s="1278"/>
      <c r="C99" s="1278"/>
      <c r="D99" s="1279"/>
      <c r="E99" s="150"/>
      <c r="F99" s="150"/>
      <c r="G99" s="150"/>
      <c r="H99" s="1278"/>
      <c r="I99" s="150"/>
      <c r="J99" s="150"/>
      <c r="K99" s="150"/>
      <c r="L99" s="1676"/>
      <c r="M99" s="150"/>
      <c r="N99" s="150"/>
      <c r="O99" s="150"/>
      <c r="P99" s="150"/>
      <c r="Q99" s="150"/>
      <c r="R99" s="150"/>
      <c r="S99" s="1278"/>
      <c r="T99" s="1278"/>
      <c r="U99" s="1281">
        <f>IF(U98&gt;0,U98,U97)</f>
        <v>3619.7492219492224</v>
      </c>
      <c r="V99" s="1281">
        <f t="shared" si="100"/>
        <v>6157.1769983619988</v>
      </c>
      <c r="W99" s="1281">
        <f t="shared" si="100"/>
        <v>6547.8292710892711</v>
      </c>
      <c r="X99" s="1281">
        <f t="shared" si="100"/>
        <v>5267.3108108108117</v>
      </c>
      <c r="Y99" s="1281">
        <f t="shared" si="100"/>
        <v>4144.6859459459465</v>
      </c>
      <c r="Z99" s="1281">
        <f t="shared" si="100"/>
        <v>4422.4142506142507</v>
      </c>
      <c r="AA99" s="1281">
        <f t="shared" si="100"/>
        <v>7.26</v>
      </c>
      <c r="AB99" s="1278"/>
      <c r="AC99" s="1244"/>
      <c r="AD99" s="1244"/>
      <c r="AE99" s="1244"/>
      <c r="AF99" s="1244"/>
      <c r="AG99" s="1244"/>
      <c r="AH99" s="1244"/>
      <c r="AI99" s="244"/>
      <c r="AJ99" s="245"/>
      <c r="AK99" s="245"/>
      <c r="AL99" s="245"/>
      <c r="AM99" s="245"/>
      <c r="AN99" s="245"/>
    </row>
    <row r="100" spans="1:40">
      <c r="A100" s="1278"/>
      <c r="B100" s="1278"/>
      <c r="C100" s="1278"/>
      <c r="D100" s="1279"/>
      <c r="E100" s="150"/>
      <c r="F100" s="150"/>
      <c r="G100" s="150"/>
      <c r="H100" s="1278"/>
      <c r="I100" s="150"/>
      <c r="J100" s="150"/>
      <c r="K100" s="150"/>
      <c r="L100" s="1676"/>
      <c r="M100" s="150"/>
      <c r="N100" s="150"/>
      <c r="O100" s="150"/>
      <c r="P100" s="150"/>
      <c r="Q100" s="150"/>
      <c r="R100" s="150"/>
      <c r="S100" s="1278"/>
      <c r="T100" s="1278"/>
      <c r="U100" s="1211"/>
      <c r="V100" s="1211"/>
      <c r="W100" s="1211"/>
      <c r="X100" s="1211"/>
      <c r="Y100" s="1211"/>
      <c r="Z100" s="1211"/>
      <c r="AA100" s="1211"/>
      <c r="AB100" s="1278"/>
      <c r="AC100" s="1244"/>
      <c r="AD100" s="1244"/>
      <c r="AE100" s="1244"/>
      <c r="AF100" s="1244"/>
      <c r="AG100" s="1244"/>
      <c r="AH100" s="1244"/>
      <c r="AI100" s="244"/>
      <c r="AJ100" s="245"/>
      <c r="AK100" s="245"/>
      <c r="AL100" s="245"/>
      <c r="AM100" s="245"/>
      <c r="AN100" s="245"/>
    </row>
    <row r="101" spans="1:40">
      <c r="A101" s="1278"/>
      <c r="B101" s="1278"/>
      <c r="C101" s="1278"/>
      <c r="D101" s="1279"/>
      <c r="E101" s="150"/>
      <c r="F101" s="150"/>
      <c r="G101" s="150"/>
      <c r="H101" s="1278"/>
      <c r="I101" s="150"/>
      <c r="J101" s="150"/>
      <c r="K101" s="150"/>
      <c r="L101" s="1676"/>
      <c r="M101" s="150"/>
      <c r="N101" s="150"/>
      <c r="O101" s="150"/>
      <c r="P101" s="150"/>
      <c r="Q101" s="150"/>
      <c r="R101" s="150"/>
      <c r="S101" s="1278"/>
      <c r="T101" s="1278"/>
      <c r="U101" s="1211"/>
      <c r="V101" s="1211"/>
      <c r="W101" s="1211"/>
      <c r="X101" s="1211"/>
      <c r="Y101" s="1211"/>
      <c r="Z101" s="1211"/>
      <c r="AA101" s="1211"/>
      <c r="AB101" s="1278"/>
      <c r="AC101" s="1244">
        <v>0</v>
      </c>
      <c r="AD101" s="1244">
        <v>0</v>
      </c>
      <c r="AE101" s="1244">
        <v>0</v>
      </c>
      <c r="AF101" s="1244">
        <v>0</v>
      </c>
      <c r="AG101" s="1244">
        <v>0</v>
      </c>
      <c r="AH101" s="1244">
        <v>0</v>
      </c>
      <c r="AI101" s="244"/>
      <c r="AJ101" s="245"/>
      <c r="AK101" s="245"/>
      <c r="AL101" s="245"/>
      <c r="AM101" s="245"/>
      <c r="AN101" s="245"/>
    </row>
    <row r="102" spans="1:40">
      <c r="A102" s="1278"/>
      <c r="B102" s="1278"/>
      <c r="C102" s="1278"/>
      <c r="D102" s="1279"/>
      <c r="E102" s="150"/>
      <c r="F102" s="150"/>
      <c r="G102" s="150"/>
      <c r="H102" s="1278"/>
      <c r="I102" s="150"/>
      <c r="J102" s="150"/>
      <c r="K102" s="150"/>
      <c r="L102" s="1676"/>
      <c r="M102" s="150"/>
      <c r="N102" s="150"/>
      <c r="O102" s="150"/>
      <c r="P102" s="150"/>
      <c r="Q102" s="150"/>
      <c r="R102" s="150"/>
      <c r="S102" s="1278"/>
      <c r="T102" s="1278"/>
      <c r="U102" s="1211"/>
      <c r="V102" s="1211"/>
      <c r="W102" s="1211"/>
      <c r="X102" s="1211"/>
      <c r="Y102" s="1211"/>
      <c r="Z102" s="1211"/>
      <c r="AA102" s="1211"/>
      <c r="AB102" s="1278"/>
      <c r="AC102" s="1244"/>
      <c r="AD102" s="1244"/>
      <c r="AE102" s="1244"/>
      <c r="AF102" s="1244"/>
      <c r="AG102" s="1244"/>
      <c r="AH102" s="1244"/>
      <c r="AJ102" s="245"/>
      <c r="AK102" s="245"/>
      <c r="AL102" s="245"/>
      <c r="AM102" s="245"/>
      <c r="AN102" s="245"/>
    </row>
    <row r="103" spans="1:40">
      <c r="A103" s="1278"/>
      <c r="B103" s="1278"/>
      <c r="C103" s="1278"/>
      <c r="D103" s="1279"/>
      <c r="E103" s="150"/>
      <c r="F103" s="150"/>
      <c r="G103" s="150"/>
      <c r="H103" s="1278"/>
      <c r="I103" s="150"/>
      <c r="J103" s="150"/>
      <c r="K103" s="150"/>
      <c r="L103" s="1676"/>
      <c r="M103" s="150"/>
      <c r="N103" s="150"/>
      <c r="O103" s="150"/>
      <c r="P103" s="150"/>
      <c r="Q103" s="150"/>
      <c r="R103" s="150"/>
      <c r="S103" s="1278"/>
      <c r="T103" s="1278"/>
      <c r="U103" s="1211"/>
      <c r="V103" s="1211"/>
      <c r="W103" s="1211"/>
      <c r="X103" s="1211"/>
      <c r="Y103" s="1211"/>
      <c r="Z103" s="1211"/>
      <c r="AA103" s="1211"/>
      <c r="AB103" s="1278"/>
      <c r="AJ103" s="245"/>
      <c r="AK103" s="245"/>
      <c r="AL103" s="245"/>
      <c r="AM103" s="245"/>
      <c r="AN103" s="245"/>
    </row>
    <row r="104" spans="1:40">
      <c r="A104" s="1278"/>
      <c r="B104" s="1278"/>
      <c r="C104" s="1278"/>
      <c r="D104" s="1279"/>
      <c r="E104" s="150"/>
      <c r="F104" s="150"/>
      <c r="G104" s="150"/>
      <c r="H104" s="1278"/>
      <c r="I104" s="150"/>
      <c r="J104" s="150"/>
      <c r="K104" s="150"/>
      <c r="L104" s="1676"/>
      <c r="M104" s="150"/>
      <c r="N104" s="150"/>
      <c r="O104" s="150"/>
      <c r="P104" s="150"/>
      <c r="Q104" s="150"/>
      <c r="R104" s="150"/>
      <c r="S104" s="1278"/>
      <c r="T104" s="1278"/>
      <c r="U104" s="1211"/>
      <c r="V104" s="1211"/>
      <c r="W104" s="1211"/>
      <c r="X104" s="1211"/>
      <c r="Y104" s="1211"/>
      <c r="Z104" s="1211"/>
      <c r="AA104" s="1211"/>
      <c r="AB104" s="1278"/>
      <c r="AJ104" s="245"/>
      <c r="AK104" s="245"/>
      <c r="AL104" s="245"/>
      <c r="AM104" s="245"/>
      <c r="AN104" s="245"/>
    </row>
    <row r="105" spans="1:40">
      <c r="A105" s="1278"/>
      <c r="B105" s="1278"/>
      <c r="C105" s="1278"/>
      <c r="D105" s="1279"/>
      <c r="E105" s="150"/>
      <c r="F105" s="150"/>
      <c r="G105" s="150"/>
      <c r="H105" s="1278"/>
      <c r="I105" s="150"/>
      <c r="J105" s="150"/>
      <c r="K105" s="150"/>
      <c r="L105" s="1676"/>
      <c r="M105" s="150"/>
      <c r="N105" s="150"/>
      <c r="O105" s="150"/>
      <c r="P105" s="150"/>
      <c r="Q105" s="150"/>
      <c r="R105" s="150"/>
      <c r="S105" s="1278"/>
      <c r="T105" s="1278"/>
      <c r="U105" s="1211"/>
      <c r="V105" s="1211"/>
      <c r="W105" s="1211"/>
      <c r="X105" s="1211"/>
      <c r="Y105" s="1211"/>
      <c r="Z105" s="1211"/>
      <c r="AA105" s="1211"/>
      <c r="AB105" s="1278"/>
      <c r="AJ105" s="245"/>
      <c r="AK105" s="245"/>
      <c r="AL105" s="245"/>
      <c r="AM105" s="245"/>
      <c r="AN105" s="245"/>
    </row>
    <row r="106" spans="1:40">
      <c r="A106" s="1278"/>
      <c r="B106" s="1278"/>
      <c r="C106" s="1278"/>
      <c r="D106" s="1279"/>
      <c r="E106" s="150"/>
      <c r="F106" s="150"/>
      <c r="G106" s="150"/>
      <c r="H106" s="1278"/>
      <c r="I106" s="150"/>
      <c r="J106" s="150"/>
      <c r="K106" s="150"/>
      <c r="L106" s="1676"/>
      <c r="M106" s="150"/>
      <c r="N106" s="150"/>
      <c r="O106" s="150"/>
      <c r="P106" s="150"/>
      <c r="Q106" s="150"/>
      <c r="R106" s="150"/>
      <c r="S106" s="1278"/>
      <c r="T106" s="1278"/>
      <c r="U106" s="1211"/>
      <c r="V106" s="1211"/>
      <c r="W106" s="1211"/>
      <c r="X106" s="1211"/>
      <c r="Y106" s="1211"/>
      <c r="Z106" s="1211"/>
      <c r="AA106" s="1211"/>
      <c r="AB106" s="1278"/>
      <c r="AJ106" s="245"/>
      <c r="AK106" s="245"/>
      <c r="AL106" s="245"/>
      <c r="AM106" s="245"/>
      <c r="AN106" s="245"/>
    </row>
    <row r="107" spans="1:40">
      <c r="A107" s="1278"/>
      <c r="B107" s="1278"/>
      <c r="C107" s="1278"/>
      <c r="D107" s="1279"/>
      <c r="E107" s="150"/>
      <c r="F107" s="150"/>
      <c r="G107" s="150"/>
      <c r="H107" s="1278"/>
      <c r="I107" s="150"/>
      <c r="J107" s="150"/>
      <c r="K107" s="150"/>
      <c r="L107" s="1676"/>
      <c r="M107" s="150"/>
      <c r="N107" s="150"/>
      <c r="O107" s="150"/>
      <c r="P107" s="150"/>
      <c r="Q107" s="150"/>
      <c r="R107" s="150"/>
      <c r="S107" s="1278"/>
      <c r="T107" s="1278"/>
      <c r="U107" s="1211"/>
      <c r="V107" s="1211"/>
      <c r="W107" s="1211"/>
      <c r="X107" s="1211"/>
      <c r="Y107" s="1211"/>
      <c r="Z107" s="1211"/>
      <c r="AA107" s="1211"/>
      <c r="AB107" s="1278"/>
      <c r="AJ107" s="245"/>
      <c r="AK107" s="245"/>
      <c r="AL107" s="245"/>
      <c r="AM107" s="245"/>
      <c r="AN107" s="245"/>
    </row>
    <row r="108" spans="1:40">
      <c r="A108" s="1278"/>
      <c r="B108" s="1278"/>
      <c r="C108" s="1278"/>
      <c r="D108" s="1279"/>
      <c r="E108" s="150"/>
      <c r="F108" s="150"/>
      <c r="G108" s="150"/>
      <c r="H108" s="1278"/>
      <c r="I108" s="150"/>
      <c r="J108" s="150"/>
      <c r="K108" s="150"/>
      <c r="L108" s="1676"/>
      <c r="M108" s="150"/>
      <c r="N108" s="150"/>
      <c r="O108" s="150"/>
      <c r="P108" s="150"/>
      <c r="Q108" s="150"/>
      <c r="R108" s="150"/>
      <c r="S108" s="1278"/>
      <c r="T108" s="1278"/>
      <c r="U108" s="1211"/>
      <c r="V108" s="1211"/>
      <c r="W108" s="1211"/>
      <c r="X108" s="1211"/>
      <c r="Y108" s="1211"/>
      <c r="Z108" s="1211"/>
      <c r="AA108" s="1211"/>
      <c r="AB108" s="1278"/>
      <c r="AJ108" s="245"/>
      <c r="AK108" s="245"/>
      <c r="AL108" s="245"/>
      <c r="AM108" s="245"/>
      <c r="AN108" s="245"/>
    </row>
    <row r="109" spans="1:40">
      <c r="A109" s="1278"/>
      <c r="B109" s="1278"/>
      <c r="C109" s="1278"/>
      <c r="D109" s="1279"/>
      <c r="E109" s="150"/>
      <c r="F109" s="150"/>
      <c r="G109" s="150"/>
      <c r="H109" s="1278"/>
      <c r="I109" s="150"/>
      <c r="J109" s="150"/>
      <c r="K109" s="150"/>
      <c r="L109" s="1676"/>
      <c r="M109" s="150"/>
      <c r="N109" s="150"/>
      <c r="O109" s="150"/>
      <c r="P109" s="150"/>
      <c r="Q109" s="150"/>
      <c r="R109" s="150"/>
      <c r="S109" s="1278"/>
      <c r="T109" s="1278"/>
      <c r="U109" s="1211"/>
      <c r="V109" s="1211"/>
      <c r="W109" s="1211"/>
      <c r="X109" s="1211"/>
      <c r="Y109" s="1211"/>
      <c r="Z109" s="1211"/>
      <c r="AA109" s="1211"/>
      <c r="AB109" s="1278"/>
      <c r="AJ109" s="245"/>
      <c r="AK109" s="245"/>
      <c r="AL109" s="245"/>
      <c r="AM109" s="245"/>
      <c r="AN109" s="245"/>
    </row>
    <row r="110" spans="1:40">
      <c r="A110" s="1278"/>
      <c r="B110" s="1278"/>
      <c r="C110" s="1278"/>
      <c r="D110" s="1279"/>
      <c r="E110" s="150"/>
      <c r="F110" s="150"/>
      <c r="G110" s="150"/>
      <c r="H110" s="1278"/>
      <c r="I110" s="150"/>
      <c r="J110" s="150"/>
      <c r="K110" s="150"/>
      <c r="L110" s="1676"/>
      <c r="M110" s="150"/>
      <c r="N110" s="150"/>
      <c r="O110" s="150"/>
      <c r="P110" s="150"/>
      <c r="Q110" s="150"/>
      <c r="R110" s="150"/>
      <c r="S110" s="1278"/>
      <c r="T110" s="1278"/>
      <c r="U110" s="1211"/>
      <c r="V110" s="1211"/>
      <c r="W110" s="1211"/>
      <c r="X110" s="1211"/>
      <c r="Y110" s="1211"/>
      <c r="Z110" s="1211"/>
      <c r="AA110" s="1211"/>
      <c r="AB110" s="1278"/>
      <c r="AN110" s="245"/>
    </row>
    <row r="111" spans="1:40">
      <c r="A111" s="1278"/>
      <c r="B111" s="1278"/>
      <c r="C111" s="1278"/>
      <c r="D111" s="1279"/>
      <c r="E111" s="150"/>
      <c r="F111" s="150"/>
      <c r="G111" s="150"/>
      <c r="H111" s="1278"/>
      <c r="I111" s="150"/>
      <c r="J111" s="150"/>
      <c r="K111" s="150"/>
      <c r="L111" s="1676"/>
      <c r="M111" s="150"/>
      <c r="N111" s="150"/>
      <c r="O111" s="150"/>
      <c r="P111" s="150"/>
      <c r="Q111" s="150"/>
      <c r="R111" s="150"/>
      <c r="S111" s="1278"/>
      <c r="T111" s="1278"/>
      <c r="U111" s="1211"/>
      <c r="V111" s="1211"/>
      <c r="W111" s="1211"/>
      <c r="X111" s="1211"/>
      <c r="Y111" s="1211"/>
      <c r="Z111" s="1211"/>
      <c r="AA111" s="1211"/>
      <c r="AB111" s="1278"/>
      <c r="AN111" s="245"/>
    </row>
    <row r="112" spans="1:40">
      <c r="A112" s="1278"/>
      <c r="B112" s="1278"/>
      <c r="C112" s="1278"/>
      <c r="D112" s="1279"/>
      <c r="E112" s="150"/>
      <c r="F112" s="150"/>
      <c r="G112" s="150"/>
      <c r="H112" s="1278"/>
      <c r="I112" s="150"/>
      <c r="J112" s="150"/>
      <c r="K112" s="150"/>
      <c r="L112" s="1676"/>
      <c r="M112" s="150"/>
      <c r="N112" s="150"/>
      <c r="O112" s="150"/>
      <c r="P112" s="150"/>
      <c r="Q112" s="150"/>
      <c r="R112" s="150"/>
      <c r="S112" s="1278"/>
      <c r="T112" s="1278"/>
      <c r="U112" s="1211"/>
      <c r="V112" s="1211"/>
      <c r="W112" s="1211"/>
      <c r="X112" s="1211"/>
      <c r="Y112" s="1211"/>
      <c r="Z112" s="1211"/>
      <c r="AA112" s="1211"/>
      <c r="AB112" s="1278"/>
      <c r="AN112" s="245"/>
    </row>
    <row r="113" spans="1:40">
      <c r="A113" s="1278"/>
      <c r="B113" s="1278"/>
      <c r="C113" s="1278"/>
      <c r="D113" s="1279"/>
      <c r="E113" s="150"/>
      <c r="F113" s="150"/>
      <c r="G113" s="150"/>
      <c r="H113" s="1278"/>
      <c r="I113" s="150"/>
      <c r="J113" s="150"/>
      <c r="K113" s="150"/>
      <c r="L113" s="1676"/>
      <c r="M113" s="150"/>
      <c r="N113" s="150"/>
      <c r="O113" s="150"/>
      <c r="P113" s="150"/>
      <c r="Q113" s="150"/>
      <c r="R113" s="150"/>
      <c r="S113" s="1278"/>
      <c r="T113" s="1278"/>
      <c r="U113" s="1211"/>
      <c r="V113" s="1211"/>
      <c r="W113" s="1211"/>
      <c r="X113" s="1211"/>
      <c r="Y113" s="1211"/>
      <c r="Z113" s="1211"/>
      <c r="AA113" s="1211"/>
      <c r="AB113" s="1278"/>
      <c r="AN113" s="245"/>
    </row>
    <row r="114" spans="1:40">
      <c r="A114" s="1278"/>
      <c r="B114" s="1278"/>
      <c r="C114" s="1278"/>
      <c r="D114" s="1279"/>
      <c r="E114" s="150"/>
      <c r="F114" s="150"/>
      <c r="G114" s="150"/>
      <c r="H114" s="1278"/>
      <c r="I114" s="150"/>
      <c r="J114" s="150"/>
      <c r="K114" s="150"/>
      <c r="L114" s="1676"/>
      <c r="M114" s="150"/>
      <c r="N114" s="150"/>
      <c r="O114" s="150"/>
      <c r="P114" s="150"/>
      <c r="Q114" s="150"/>
      <c r="R114" s="150"/>
      <c r="S114" s="1278"/>
      <c r="T114" s="1278"/>
      <c r="U114" s="1211"/>
      <c r="V114" s="1211"/>
      <c r="W114" s="1211"/>
      <c r="X114" s="1211"/>
      <c r="Y114" s="1211"/>
      <c r="Z114" s="1211"/>
      <c r="AA114" s="1211"/>
      <c r="AB114" s="1278"/>
      <c r="AC114" s="244"/>
      <c r="AD114" s="244"/>
      <c r="AE114" s="244"/>
      <c r="AF114" s="244"/>
      <c r="AG114" s="244"/>
      <c r="AH114" s="244"/>
      <c r="AI114" s="244"/>
      <c r="AJ114" s="244"/>
      <c r="AK114" s="244"/>
      <c r="AL114" s="244"/>
      <c r="AM114" s="244"/>
      <c r="AN114" s="245"/>
    </row>
    <row r="115" spans="1:40" s="244" customFormat="1">
      <c r="A115" s="1278"/>
      <c r="B115" s="1278"/>
      <c r="C115" s="1278"/>
      <c r="D115" s="1279"/>
      <c r="E115" s="150"/>
      <c r="F115" s="150"/>
      <c r="G115" s="150"/>
      <c r="H115" s="1278"/>
      <c r="I115" s="150"/>
      <c r="J115" s="150"/>
      <c r="K115" s="150"/>
      <c r="L115" s="1676"/>
      <c r="M115" s="150"/>
      <c r="N115" s="150"/>
      <c r="O115" s="150"/>
      <c r="P115" s="150"/>
      <c r="Q115" s="150"/>
      <c r="R115" s="150"/>
      <c r="S115" s="1278"/>
      <c r="T115" s="1278"/>
      <c r="U115" s="1211"/>
      <c r="V115" s="1211"/>
      <c r="W115" s="1211"/>
      <c r="X115" s="1211"/>
      <c r="Y115" s="1211"/>
      <c r="Z115" s="1211"/>
      <c r="AA115" s="1211"/>
      <c r="AB115" s="1278"/>
      <c r="AC115" s="1211"/>
      <c r="AD115" s="1211"/>
      <c r="AE115" s="1211"/>
      <c r="AF115" s="1211"/>
      <c r="AG115" s="1211"/>
      <c r="AH115" s="1211"/>
      <c r="AI115" s="1211"/>
      <c r="AJ115" s="1211"/>
      <c r="AK115" s="1211"/>
      <c r="AL115" s="1211"/>
      <c r="AM115" s="1211"/>
    </row>
    <row r="116" spans="1:40" s="244" customFormat="1">
      <c r="A116" s="1278"/>
      <c r="B116" s="1278"/>
      <c r="C116" s="1278"/>
      <c r="D116" s="1279"/>
      <c r="E116" s="150"/>
      <c r="F116" s="150"/>
      <c r="G116" s="150"/>
      <c r="H116" s="1278"/>
      <c r="I116" s="150"/>
      <c r="J116" s="150"/>
      <c r="K116" s="150"/>
      <c r="L116" s="1676"/>
      <c r="M116" s="150"/>
      <c r="N116" s="150"/>
      <c r="O116" s="150"/>
      <c r="P116" s="150"/>
      <c r="Q116" s="150"/>
      <c r="R116" s="150"/>
      <c r="S116" s="1278"/>
      <c r="T116" s="1278"/>
      <c r="U116" s="1211"/>
      <c r="V116" s="1211"/>
      <c r="W116" s="1211"/>
      <c r="X116" s="1211"/>
      <c r="Y116" s="1211"/>
      <c r="Z116" s="1211"/>
      <c r="AA116" s="1211"/>
      <c r="AB116" s="1278"/>
      <c r="AC116" s="1211"/>
      <c r="AD116" s="1211"/>
      <c r="AE116" s="1211"/>
      <c r="AF116" s="1211"/>
      <c r="AG116" s="1211"/>
      <c r="AH116" s="1211"/>
      <c r="AI116" s="1211"/>
      <c r="AJ116" s="1211"/>
      <c r="AK116" s="1211"/>
      <c r="AL116" s="1211"/>
      <c r="AM116" s="1211"/>
    </row>
    <row r="117" spans="1:40" s="244" customFormat="1">
      <c r="A117" s="1278"/>
      <c r="B117" s="1278"/>
      <c r="C117" s="1278"/>
      <c r="D117" s="1279"/>
      <c r="E117" s="150"/>
      <c r="F117" s="150"/>
      <c r="G117" s="150"/>
      <c r="H117" s="1278"/>
      <c r="I117" s="150"/>
      <c r="J117" s="150"/>
      <c r="K117" s="150"/>
      <c r="L117" s="1676"/>
      <c r="M117" s="150"/>
      <c r="N117" s="150"/>
      <c r="O117" s="150"/>
      <c r="P117" s="150"/>
      <c r="Q117" s="150"/>
      <c r="R117" s="150"/>
      <c r="S117" s="1278"/>
      <c r="T117" s="1278"/>
      <c r="U117" s="1211"/>
      <c r="V117" s="1211"/>
      <c r="W117" s="1211"/>
      <c r="X117" s="1211"/>
      <c r="Y117" s="1211"/>
      <c r="Z117" s="1211"/>
      <c r="AA117" s="1211"/>
      <c r="AB117" s="1278"/>
      <c r="AC117" s="1211"/>
      <c r="AD117" s="1211"/>
      <c r="AE117" s="1211"/>
      <c r="AF117" s="1211"/>
      <c r="AG117" s="1211"/>
      <c r="AH117" s="1211"/>
      <c r="AI117" s="1211"/>
      <c r="AJ117" s="1211"/>
      <c r="AK117" s="1211"/>
      <c r="AL117" s="1211"/>
      <c r="AM117" s="1211"/>
    </row>
    <row r="118" spans="1:40" s="244" customFormat="1">
      <c r="A118" s="1278"/>
      <c r="B118" s="1278"/>
      <c r="C118" s="1278"/>
      <c r="D118" s="1279"/>
      <c r="E118" s="150"/>
      <c r="F118" s="150"/>
      <c r="G118" s="150"/>
      <c r="H118" s="1278"/>
      <c r="I118" s="150"/>
      <c r="J118" s="150"/>
      <c r="K118" s="150"/>
      <c r="L118" s="1676"/>
      <c r="M118" s="150"/>
      <c r="N118" s="150"/>
      <c r="O118" s="150"/>
      <c r="P118" s="150"/>
      <c r="Q118" s="150"/>
      <c r="R118" s="150"/>
      <c r="S118" s="1278"/>
      <c r="T118" s="1278"/>
      <c r="U118" s="1211"/>
      <c r="V118" s="1211"/>
      <c r="W118" s="1211"/>
      <c r="X118" s="1211"/>
      <c r="Y118" s="1211"/>
      <c r="Z118" s="1211"/>
      <c r="AA118" s="1211"/>
      <c r="AB118" s="1278"/>
      <c r="AC118" s="1211"/>
      <c r="AD118" s="1211"/>
      <c r="AE118" s="1211"/>
      <c r="AF118" s="1211"/>
      <c r="AG118" s="1211"/>
      <c r="AH118" s="1211"/>
      <c r="AI118" s="1211"/>
      <c r="AJ118" s="1211"/>
      <c r="AK118" s="1211"/>
      <c r="AL118" s="1211"/>
      <c r="AM118" s="1211"/>
    </row>
    <row r="119" spans="1:40" s="244" customFormat="1">
      <c r="B119" s="1278"/>
      <c r="C119" s="1282"/>
      <c r="D119" s="1283"/>
      <c r="E119" s="149"/>
      <c r="F119" s="1284"/>
      <c r="G119" s="150"/>
      <c r="H119" s="150"/>
      <c r="I119" s="150"/>
      <c r="J119" s="150"/>
      <c r="K119" s="150"/>
      <c r="L119" s="1676"/>
      <c r="M119" s="1286"/>
      <c r="N119" s="1284"/>
      <c r="O119" s="150"/>
      <c r="P119" s="150"/>
      <c r="Q119" s="1287"/>
      <c r="R119" s="1287"/>
      <c r="S119" s="149"/>
      <c r="T119" s="149"/>
      <c r="U119" s="1211"/>
      <c r="V119" s="1211"/>
      <c r="W119" s="1211"/>
      <c r="X119" s="1211"/>
      <c r="Y119" s="1211"/>
      <c r="Z119" s="1211"/>
      <c r="AA119" s="1211"/>
      <c r="AC119" s="1211"/>
      <c r="AD119" s="1211"/>
      <c r="AE119" s="1211"/>
      <c r="AF119" s="1211"/>
      <c r="AG119" s="1211"/>
      <c r="AH119" s="1211"/>
      <c r="AI119" s="1211"/>
      <c r="AJ119" s="1211"/>
      <c r="AK119" s="1211"/>
      <c r="AL119" s="1211"/>
      <c r="AM119" s="1211"/>
    </row>
    <row r="120" spans="1:40" s="244" customFormat="1">
      <c r="B120" s="1278"/>
      <c r="C120" s="1282"/>
      <c r="D120" s="1283"/>
      <c r="E120" s="149"/>
      <c r="F120" s="1284"/>
      <c r="G120" s="150"/>
      <c r="H120" s="150"/>
      <c r="I120" s="150"/>
      <c r="J120" s="150"/>
      <c r="K120" s="150"/>
      <c r="L120" s="1676"/>
      <c r="M120" s="1286"/>
      <c r="N120" s="1284"/>
      <c r="O120" s="150"/>
      <c r="P120" s="150"/>
      <c r="Q120" s="1287"/>
      <c r="R120" s="1287"/>
      <c r="S120" s="149"/>
      <c r="T120" s="149"/>
      <c r="U120" s="1211"/>
      <c r="V120" s="1211"/>
      <c r="W120" s="1211"/>
      <c r="X120" s="1211"/>
      <c r="Y120" s="1211"/>
      <c r="Z120" s="1211"/>
      <c r="AA120" s="1211"/>
      <c r="AC120" s="1211"/>
      <c r="AD120" s="1211"/>
      <c r="AE120" s="1211"/>
      <c r="AF120" s="1211"/>
      <c r="AG120" s="1211"/>
      <c r="AH120" s="1211"/>
      <c r="AI120" s="1211"/>
      <c r="AJ120" s="1211"/>
      <c r="AK120" s="1211"/>
      <c r="AL120" s="1211"/>
      <c r="AM120" s="1211"/>
    </row>
    <row r="121" spans="1:40" s="244" customFormat="1">
      <c r="B121" s="1278"/>
      <c r="C121" s="1282"/>
      <c r="D121" s="1283"/>
      <c r="E121" s="149"/>
      <c r="F121" s="1284"/>
      <c r="G121" s="150"/>
      <c r="H121" s="150"/>
      <c r="I121" s="150"/>
      <c r="J121" s="150"/>
      <c r="K121" s="150"/>
      <c r="L121" s="1676"/>
      <c r="M121" s="1286"/>
      <c r="N121" s="1284"/>
      <c r="O121" s="150"/>
      <c r="P121" s="150"/>
      <c r="Q121" s="1287"/>
      <c r="R121" s="1287"/>
      <c r="S121" s="149"/>
      <c r="T121" s="149"/>
      <c r="U121" s="1211"/>
      <c r="V121" s="1211"/>
      <c r="W121" s="1211"/>
      <c r="X121" s="1211"/>
      <c r="Y121" s="1211"/>
      <c r="Z121" s="1211"/>
      <c r="AA121" s="1211"/>
      <c r="AC121" s="1211"/>
      <c r="AD121" s="1211"/>
      <c r="AE121" s="1211"/>
      <c r="AF121" s="1211"/>
      <c r="AG121" s="1211"/>
      <c r="AH121" s="1211"/>
      <c r="AI121" s="1211"/>
      <c r="AJ121" s="1211"/>
      <c r="AK121" s="1211"/>
      <c r="AL121" s="1211"/>
      <c r="AM121" s="1211"/>
    </row>
    <row r="122" spans="1:40" s="244" customFormat="1">
      <c r="B122" s="1278"/>
      <c r="C122" s="1282"/>
      <c r="D122" s="1283"/>
      <c r="E122" s="149"/>
      <c r="F122" s="1284"/>
      <c r="G122" s="150"/>
      <c r="H122" s="150"/>
      <c r="I122" s="150"/>
      <c r="J122" s="150"/>
      <c r="K122" s="150"/>
      <c r="L122" s="1676"/>
      <c r="M122" s="1286"/>
      <c r="N122" s="1284"/>
      <c r="O122" s="150"/>
      <c r="P122" s="150"/>
      <c r="Q122" s="1287"/>
      <c r="R122" s="1287"/>
      <c r="S122" s="149"/>
      <c r="T122" s="149"/>
      <c r="U122" s="1211"/>
      <c r="V122" s="1211"/>
      <c r="W122" s="1211"/>
      <c r="X122" s="1211"/>
      <c r="Y122" s="1211"/>
      <c r="Z122" s="1211"/>
      <c r="AA122" s="1211"/>
      <c r="AC122" s="1211"/>
      <c r="AD122" s="1211"/>
      <c r="AE122" s="1211"/>
      <c r="AF122" s="1211"/>
      <c r="AG122" s="1211"/>
      <c r="AH122" s="1211"/>
      <c r="AI122" s="1211"/>
      <c r="AJ122" s="1211"/>
      <c r="AK122" s="1211"/>
      <c r="AL122" s="1211"/>
      <c r="AM122" s="1211"/>
    </row>
    <row r="123" spans="1:40" s="244" customFormat="1">
      <c r="B123" s="1278"/>
      <c r="C123" s="1282"/>
      <c r="D123" s="1283"/>
      <c r="E123" s="149"/>
      <c r="F123" s="1284"/>
      <c r="G123" s="150"/>
      <c r="H123" s="150"/>
      <c r="I123" s="150"/>
      <c r="J123" s="150"/>
      <c r="K123" s="150"/>
      <c r="L123" s="1676"/>
      <c r="M123" s="1286"/>
      <c r="N123" s="1284"/>
      <c r="O123" s="150"/>
      <c r="P123" s="150"/>
      <c r="Q123" s="1287"/>
      <c r="R123" s="1287"/>
      <c r="S123" s="149"/>
      <c r="T123" s="149"/>
      <c r="U123" s="150"/>
      <c r="V123" s="150"/>
      <c r="W123" s="150"/>
      <c r="X123" s="150"/>
      <c r="Y123" s="150"/>
      <c r="Z123" s="150"/>
      <c r="AA123" s="150"/>
      <c r="AC123" s="1211"/>
      <c r="AD123" s="1211"/>
      <c r="AE123" s="1211"/>
      <c r="AF123" s="1211"/>
      <c r="AG123" s="1211"/>
      <c r="AH123" s="1211"/>
      <c r="AI123" s="1211"/>
      <c r="AJ123" s="1211"/>
      <c r="AK123" s="1211"/>
      <c r="AL123" s="1211"/>
      <c r="AM123" s="1211"/>
    </row>
    <row r="124" spans="1:40" s="244" customFormat="1">
      <c r="B124" s="1278"/>
      <c r="C124" s="1282"/>
      <c r="D124" s="1283"/>
      <c r="E124" s="149"/>
      <c r="F124" s="1284"/>
      <c r="G124" s="150"/>
      <c r="H124" s="150"/>
      <c r="I124" s="150"/>
      <c r="J124" s="150"/>
      <c r="K124" s="150"/>
      <c r="L124" s="1676"/>
      <c r="M124" s="1286"/>
      <c r="N124" s="1284"/>
      <c r="O124" s="150"/>
      <c r="P124" s="150"/>
      <c r="Q124" s="1287"/>
      <c r="R124" s="1287"/>
      <c r="S124" s="149"/>
      <c r="T124" s="149"/>
      <c r="U124" s="150"/>
      <c r="V124" s="150"/>
      <c r="W124" s="150"/>
      <c r="X124" s="150"/>
      <c r="Y124" s="150"/>
      <c r="Z124" s="150"/>
      <c r="AA124" s="150"/>
      <c r="AC124" s="1211"/>
      <c r="AD124" s="1211"/>
      <c r="AE124" s="1211"/>
      <c r="AF124" s="1211"/>
      <c r="AG124" s="1211"/>
      <c r="AH124" s="1211"/>
      <c r="AI124" s="1211"/>
      <c r="AJ124" s="1211"/>
      <c r="AK124" s="1211"/>
      <c r="AL124" s="1211"/>
      <c r="AM124" s="1211"/>
    </row>
    <row r="125" spans="1:40" s="244" customFormat="1">
      <c r="B125" s="1278"/>
      <c r="C125" s="1282"/>
      <c r="D125" s="1283"/>
      <c r="E125" s="149"/>
      <c r="F125" s="1284"/>
      <c r="G125" s="150"/>
      <c r="H125" s="150"/>
      <c r="I125" s="150"/>
      <c r="J125" s="150"/>
      <c r="K125" s="150"/>
      <c r="L125" s="1676"/>
      <c r="M125" s="1286"/>
      <c r="N125" s="1284"/>
      <c r="O125" s="150"/>
      <c r="P125" s="150"/>
      <c r="Q125" s="1287"/>
      <c r="R125" s="1287"/>
      <c r="S125" s="149"/>
      <c r="T125" s="149"/>
      <c r="U125" s="150"/>
      <c r="V125" s="150"/>
      <c r="W125" s="150"/>
      <c r="X125" s="150"/>
      <c r="Y125" s="150"/>
      <c r="Z125" s="150"/>
      <c r="AA125" s="150"/>
      <c r="AC125" s="1211"/>
      <c r="AD125" s="1211"/>
      <c r="AE125" s="1211"/>
      <c r="AF125" s="1211"/>
      <c r="AG125" s="1211"/>
      <c r="AH125" s="1211"/>
      <c r="AI125" s="1211"/>
      <c r="AJ125" s="1211"/>
      <c r="AK125" s="1211"/>
      <c r="AL125" s="1211"/>
      <c r="AM125" s="1211"/>
    </row>
    <row r="126" spans="1:40" s="244" customFormat="1">
      <c r="B126" s="1278"/>
      <c r="C126" s="1282"/>
      <c r="D126" s="1283"/>
      <c r="E126" s="149"/>
      <c r="F126" s="1284"/>
      <c r="G126" s="150"/>
      <c r="H126" s="150"/>
      <c r="I126" s="150"/>
      <c r="J126" s="150"/>
      <c r="K126" s="150"/>
      <c r="L126" s="1676"/>
      <c r="M126" s="1286"/>
      <c r="N126" s="1284"/>
      <c r="O126" s="150"/>
      <c r="P126" s="150"/>
      <c r="Q126" s="1287"/>
      <c r="R126" s="1287"/>
      <c r="S126" s="149"/>
      <c r="T126" s="149"/>
      <c r="U126" s="150"/>
      <c r="V126" s="150"/>
      <c r="W126" s="150"/>
      <c r="X126" s="150"/>
      <c r="Y126" s="150"/>
      <c r="Z126" s="150"/>
      <c r="AA126" s="150"/>
      <c r="AC126" s="1211"/>
      <c r="AD126" s="1211"/>
      <c r="AE126" s="1211"/>
      <c r="AF126" s="1211"/>
      <c r="AG126" s="1211"/>
      <c r="AH126" s="1211"/>
      <c r="AI126" s="1211"/>
      <c r="AJ126" s="1211"/>
      <c r="AK126" s="1211"/>
      <c r="AL126" s="1211"/>
      <c r="AM126" s="1211"/>
    </row>
    <row r="127" spans="1:40" s="244" customFormat="1">
      <c r="B127" s="1278"/>
      <c r="C127" s="1282"/>
      <c r="D127" s="1283"/>
      <c r="E127" s="149"/>
      <c r="F127" s="1284"/>
      <c r="G127" s="150"/>
      <c r="H127" s="150"/>
      <c r="I127" s="150"/>
      <c r="J127" s="150"/>
      <c r="K127" s="150"/>
      <c r="L127" s="1676"/>
      <c r="M127" s="1286"/>
      <c r="N127" s="1284"/>
      <c r="O127" s="150"/>
      <c r="P127" s="150"/>
      <c r="Q127" s="1287"/>
      <c r="R127" s="1287"/>
      <c r="S127" s="149"/>
      <c r="T127" s="149"/>
      <c r="U127" s="150"/>
      <c r="V127" s="150"/>
      <c r="W127" s="150"/>
      <c r="X127" s="150"/>
      <c r="Y127" s="150"/>
      <c r="Z127" s="150"/>
      <c r="AA127" s="150"/>
      <c r="AC127" s="1211"/>
      <c r="AD127" s="1211"/>
      <c r="AE127" s="1211"/>
      <c r="AF127" s="1211"/>
      <c r="AG127" s="1211"/>
      <c r="AH127" s="1211"/>
      <c r="AI127" s="1211"/>
      <c r="AJ127" s="1211"/>
      <c r="AK127" s="1211"/>
      <c r="AL127" s="1211"/>
      <c r="AM127" s="1211"/>
    </row>
    <row r="128" spans="1:40" s="244" customFormat="1">
      <c r="B128" s="1278"/>
      <c r="C128" s="1282"/>
      <c r="D128" s="1283"/>
      <c r="E128" s="149"/>
      <c r="F128" s="1284"/>
      <c r="G128" s="150"/>
      <c r="H128" s="150"/>
      <c r="I128" s="150"/>
      <c r="J128" s="150"/>
      <c r="K128" s="150"/>
      <c r="L128" s="1676"/>
      <c r="M128" s="1286"/>
      <c r="N128" s="1284"/>
      <c r="O128" s="150"/>
      <c r="P128" s="150"/>
      <c r="Q128" s="1287"/>
      <c r="R128" s="1287"/>
      <c r="S128" s="149"/>
      <c r="T128" s="149"/>
      <c r="U128" s="150"/>
      <c r="V128" s="150"/>
      <c r="W128" s="150"/>
      <c r="X128" s="150"/>
      <c r="Y128" s="150"/>
      <c r="Z128" s="150"/>
      <c r="AA128" s="150"/>
      <c r="AC128" s="1211"/>
      <c r="AD128" s="1211"/>
      <c r="AE128" s="1211"/>
      <c r="AF128" s="1211"/>
      <c r="AG128" s="1211"/>
      <c r="AH128" s="1211"/>
      <c r="AI128" s="1211"/>
      <c r="AJ128" s="1211"/>
      <c r="AK128" s="1211"/>
      <c r="AL128" s="1211"/>
      <c r="AM128" s="1211"/>
    </row>
    <row r="129" spans="2:39" s="244" customFormat="1">
      <c r="B129" s="1278"/>
      <c r="C129" s="1282"/>
      <c r="D129" s="1283"/>
      <c r="E129" s="149"/>
      <c r="F129" s="1284"/>
      <c r="G129" s="150"/>
      <c r="H129" s="150"/>
      <c r="I129" s="150"/>
      <c r="J129" s="150"/>
      <c r="K129" s="150"/>
      <c r="L129" s="1676"/>
      <c r="M129" s="1286"/>
      <c r="N129" s="1284"/>
      <c r="O129" s="150"/>
      <c r="P129" s="150"/>
      <c r="Q129" s="1287"/>
      <c r="R129" s="1287"/>
      <c r="S129" s="149"/>
      <c r="T129" s="149"/>
      <c r="U129" s="150"/>
      <c r="V129" s="150"/>
      <c r="W129" s="150"/>
      <c r="X129" s="150"/>
      <c r="Y129" s="150"/>
      <c r="Z129" s="150"/>
      <c r="AA129" s="150"/>
      <c r="AC129" s="1211"/>
      <c r="AD129" s="1211"/>
      <c r="AE129" s="1211"/>
      <c r="AF129" s="1211"/>
      <c r="AG129" s="1211"/>
      <c r="AH129" s="1211"/>
      <c r="AI129" s="1211"/>
      <c r="AJ129" s="1211"/>
      <c r="AK129" s="1211"/>
      <c r="AL129" s="1211"/>
      <c r="AM129" s="1211"/>
    </row>
    <row r="130" spans="2:39" s="244" customFormat="1">
      <c r="B130" s="1278"/>
      <c r="C130" s="1282"/>
      <c r="D130" s="1283"/>
      <c r="E130" s="149"/>
      <c r="F130" s="1284"/>
      <c r="G130" s="150"/>
      <c r="H130" s="150"/>
      <c r="I130" s="150"/>
      <c r="J130" s="150"/>
      <c r="K130" s="150"/>
      <c r="L130" s="1676"/>
      <c r="M130" s="1286"/>
      <c r="N130" s="1284"/>
      <c r="O130" s="150"/>
      <c r="P130" s="150"/>
      <c r="Q130" s="1287"/>
      <c r="R130" s="1287"/>
      <c r="S130" s="149"/>
      <c r="T130" s="149"/>
      <c r="U130" s="150"/>
      <c r="V130" s="150"/>
      <c r="W130" s="150"/>
      <c r="X130" s="150"/>
      <c r="Y130" s="150"/>
      <c r="Z130" s="150"/>
      <c r="AA130" s="150"/>
      <c r="AC130" s="1211"/>
      <c r="AD130" s="1211"/>
      <c r="AE130" s="1211"/>
      <c r="AF130" s="1211"/>
      <c r="AG130" s="1211"/>
      <c r="AH130" s="1211"/>
      <c r="AI130" s="1211"/>
      <c r="AJ130" s="1211"/>
      <c r="AK130" s="1211"/>
      <c r="AL130" s="1211"/>
      <c r="AM130" s="1211"/>
    </row>
    <row r="131" spans="2:39" s="244" customFormat="1">
      <c r="B131" s="1278"/>
      <c r="C131" s="1282"/>
      <c r="D131" s="1283"/>
      <c r="E131" s="149"/>
      <c r="F131" s="1284"/>
      <c r="G131" s="150"/>
      <c r="H131" s="150"/>
      <c r="I131" s="150"/>
      <c r="J131" s="150"/>
      <c r="K131" s="150"/>
      <c r="L131" s="1676"/>
      <c r="M131" s="1286"/>
      <c r="N131" s="1284"/>
      <c r="O131" s="150"/>
      <c r="P131" s="150"/>
      <c r="Q131" s="1287"/>
      <c r="R131" s="1287"/>
      <c r="S131" s="149"/>
      <c r="T131" s="149"/>
      <c r="U131" s="150"/>
      <c r="V131" s="150"/>
      <c r="W131" s="150"/>
      <c r="X131" s="150"/>
      <c r="Y131" s="150"/>
      <c r="Z131" s="150"/>
      <c r="AA131" s="150"/>
      <c r="AC131" s="1211"/>
      <c r="AD131" s="1211"/>
      <c r="AE131" s="1211"/>
      <c r="AF131" s="1211"/>
      <c r="AG131" s="1211"/>
      <c r="AH131" s="1211"/>
      <c r="AI131" s="1211"/>
      <c r="AJ131" s="1211"/>
      <c r="AK131" s="1211"/>
      <c r="AL131" s="1211"/>
      <c r="AM131" s="1211"/>
    </row>
    <row r="132" spans="2:39" s="244" customFormat="1">
      <c r="B132" s="1278"/>
      <c r="C132" s="1282"/>
      <c r="D132" s="1283"/>
      <c r="E132" s="149"/>
      <c r="F132" s="1284"/>
      <c r="G132" s="150"/>
      <c r="H132" s="150"/>
      <c r="I132" s="150"/>
      <c r="J132" s="150"/>
      <c r="K132" s="150"/>
      <c r="L132" s="1676"/>
      <c r="M132" s="1286"/>
      <c r="N132" s="1284"/>
      <c r="O132" s="150"/>
      <c r="P132" s="150"/>
      <c r="Q132" s="1287"/>
      <c r="R132" s="1287"/>
      <c r="S132" s="149"/>
      <c r="T132" s="149"/>
      <c r="U132" s="150"/>
      <c r="V132" s="150"/>
      <c r="W132" s="150"/>
      <c r="X132" s="150"/>
      <c r="Y132" s="150"/>
      <c r="Z132" s="150"/>
      <c r="AA132" s="150"/>
      <c r="AC132" s="1211"/>
      <c r="AD132" s="1211"/>
      <c r="AE132" s="1211"/>
      <c r="AF132" s="1211"/>
      <c r="AG132" s="1211"/>
      <c r="AH132" s="1211"/>
      <c r="AI132" s="1211"/>
      <c r="AJ132" s="1211"/>
      <c r="AK132" s="1211"/>
      <c r="AL132" s="1211"/>
      <c r="AM132" s="1211"/>
    </row>
    <row r="133" spans="2:39" s="244" customFormat="1">
      <c r="B133" s="1278"/>
      <c r="C133" s="1282"/>
      <c r="D133" s="1283"/>
      <c r="E133" s="149"/>
      <c r="F133" s="1284"/>
      <c r="G133" s="150"/>
      <c r="H133" s="150"/>
      <c r="I133" s="150"/>
      <c r="J133" s="150"/>
      <c r="K133" s="150"/>
      <c r="L133" s="1676"/>
      <c r="M133" s="1286"/>
      <c r="N133" s="1284"/>
      <c r="O133" s="150"/>
      <c r="P133" s="150"/>
      <c r="Q133" s="1287"/>
      <c r="R133" s="1287"/>
      <c r="S133" s="149"/>
      <c r="T133" s="149"/>
      <c r="U133" s="150"/>
      <c r="V133" s="150"/>
      <c r="W133" s="150"/>
      <c r="X133" s="150"/>
      <c r="Y133" s="150"/>
      <c r="Z133" s="150"/>
      <c r="AA133" s="150"/>
      <c r="AC133" s="1211"/>
      <c r="AD133" s="1211"/>
      <c r="AE133" s="1211"/>
      <c r="AF133" s="1211"/>
      <c r="AG133" s="1211"/>
      <c r="AH133" s="1211"/>
      <c r="AI133" s="1211"/>
      <c r="AJ133" s="1211"/>
      <c r="AK133" s="1211"/>
      <c r="AL133" s="1211"/>
      <c r="AM133" s="1211"/>
    </row>
    <row r="134" spans="2:39" s="244" customFormat="1">
      <c r="B134" s="1278"/>
      <c r="C134" s="1282"/>
      <c r="D134" s="1283"/>
      <c r="E134" s="149"/>
      <c r="F134" s="1284"/>
      <c r="G134" s="150"/>
      <c r="H134" s="150"/>
      <c r="I134" s="150"/>
      <c r="J134" s="150"/>
      <c r="K134" s="150"/>
      <c r="L134" s="1676"/>
      <c r="M134" s="1286"/>
      <c r="N134" s="1284"/>
      <c r="O134" s="150"/>
      <c r="P134" s="150"/>
      <c r="Q134" s="1287"/>
      <c r="R134" s="1287"/>
      <c r="S134" s="149"/>
      <c r="T134" s="149"/>
      <c r="U134" s="150"/>
      <c r="V134" s="150"/>
      <c r="W134" s="150"/>
      <c r="X134" s="150"/>
      <c r="Y134" s="150"/>
      <c r="Z134" s="150"/>
      <c r="AA134" s="150"/>
      <c r="AC134" s="1211"/>
      <c r="AD134" s="1211"/>
      <c r="AE134" s="1211"/>
      <c r="AF134" s="1211"/>
      <c r="AG134" s="1211"/>
      <c r="AH134" s="1211"/>
      <c r="AI134" s="1211"/>
      <c r="AJ134" s="1211"/>
      <c r="AK134" s="1211"/>
      <c r="AL134" s="1211"/>
      <c r="AM134" s="1211"/>
    </row>
    <row r="135" spans="2:39" s="244" customFormat="1">
      <c r="B135" s="1278"/>
      <c r="C135" s="1282"/>
      <c r="D135" s="1283"/>
      <c r="E135" s="149"/>
      <c r="F135" s="1284"/>
      <c r="G135" s="150"/>
      <c r="H135" s="150"/>
      <c r="I135" s="150"/>
      <c r="J135" s="150"/>
      <c r="K135" s="150"/>
      <c r="L135" s="1676"/>
      <c r="M135" s="1286"/>
      <c r="N135" s="1284"/>
      <c r="O135" s="150"/>
      <c r="P135" s="150"/>
      <c r="Q135" s="1287"/>
      <c r="R135" s="1287"/>
      <c r="S135" s="149"/>
      <c r="T135" s="149"/>
      <c r="U135" s="150"/>
      <c r="V135" s="150"/>
      <c r="W135" s="150"/>
      <c r="X135" s="150"/>
      <c r="Y135" s="150"/>
      <c r="Z135" s="150"/>
      <c r="AA135" s="150"/>
      <c r="AC135" s="1211"/>
      <c r="AD135" s="1211"/>
      <c r="AE135" s="1211"/>
      <c r="AF135" s="1211"/>
      <c r="AG135" s="1211"/>
      <c r="AH135" s="1211"/>
      <c r="AI135" s="1211"/>
      <c r="AJ135" s="1211"/>
      <c r="AK135" s="1211"/>
      <c r="AL135" s="1211"/>
      <c r="AM135" s="1211"/>
    </row>
    <row r="136" spans="2:39" s="244" customFormat="1">
      <c r="B136" s="1278"/>
      <c r="C136" s="1282"/>
      <c r="D136" s="1283"/>
      <c r="E136" s="149"/>
      <c r="F136" s="1284"/>
      <c r="G136" s="150"/>
      <c r="H136" s="150"/>
      <c r="I136" s="150"/>
      <c r="J136" s="150"/>
      <c r="K136" s="150"/>
      <c r="L136" s="1676"/>
      <c r="M136" s="1286"/>
      <c r="N136" s="1284"/>
      <c r="O136" s="150"/>
      <c r="P136" s="150"/>
      <c r="Q136" s="1287"/>
      <c r="R136" s="1287"/>
      <c r="S136" s="149"/>
      <c r="T136" s="149"/>
      <c r="U136" s="150"/>
      <c r="V136" s="150"/>
      <c r="W136" s="150"/>
      <c r="X136" s="150"/>
      <c r="Y136" s="150"/>
      <c r="Z136" s="150"/>
      <c r="AA136" s="150"/>
      <c r="AC136" s="1211"/>
      <c r="AD136" s="1211"/>
      <c r="AE136" s="1211"/>
      <c r="AF136" s="1211"/>
      <c r="AG136" s="1211"/>
      <c r="AH136" s="1211"/>
      <c r="AI136" s="1211"/>
      <c r="AJ136" s="1211"/>
      <c r="AK136" s="1211"/>
      <c r="AL136" s="1211"/>
      <c r="AM136" s="1211"/>
    </row>
    <row r="137" spans="2:39" s="244" customFormat="1">
      <c r="B137" s="1278"/>
      <c r="C137" s="1282"/>
      <c r="D137" s="1283"/>
      <c r="E137" s="149"/>
      <c r="F137" s="1284"/>
      <c r="G137" s="150"/>
      <c r="H137" s="150"/>
      <c r="I137" s="150"/>
      <c r="J137" s="150"/>
      <c r="K137" s="150"/>
      <c r="L137" s="1676"/>
      <c r="M137" s="1286"/>
      <c r="N137" s="1284"/>
      <c r="O137" s="150"/>
      <c r="P137" s="150"/>
      <c r="Q137" s="1287"/>
      <c r="R137" s="1287"/>
      <c r="S137" s="149"/>
      <c r="T137" s="149"/>
      <c r="U137" s="150"/>
      <c r="V137" s="150"/>
      <c r="W137" s="150"/>
      <c r="X137" s="150"/>
      <c r="Y137" s="150"/>
      <c r="Z137" s="150"/>
      <c r="AA137" s="150"/>
      <c r="AC137" s="1211"/>
      <c r="AD137" s="1211"/>
      <c r="AE137" s="1211"/>
      <c r="AF137" s="1211"/>
      <c r="AG137" s="1211"/>
      <c r="AH137" s="1211"/>
      <c r="AI137" s="1211"/>
      <c r="AJ137" s="1211"/>
      <c r="AK137" s="1211"/>
      <c r="AL137" s="1211"/>
      <c r="AM137" s="1211"/>
    </row>
    <row r="138" spans="2:39" s="244" customFormat="1">
      <c r="B138" s="1278"/>
      <c r="C138" s="1282"/>
      <c r="D138" s="1283"/>
      <c r="E138" s="149"/>
      <c r="F138" s="1284"/>
      <c r="G138" s="150"/>
      <c r="H138" s="150"/>
      <c r="I138" s="150"/>
      <c r="J138" s="150"/>
      <c r="K138" s="150"/>
      <c r="L138" s="1676"/>
      <c r="M138" s="1286"/>
      <c r="N138" s="1284"/>
      <c r="O138" s="150"/>
      <c r="P138" s="150"/>
      <c r="Q138" s="1287"/>
      <c r="R138" s="1287"/>
      <c r="S138" s="149"/>
      <c r="T138" s="149"/>
      <c r="U138" s="150"/>
      <c r="V138" s="150"/>
      <c r="W138" s="150"/>
      <c r="X138" s="150"/>
      <c r="Y138" s="150"/>
      <c r="Z138" s="150"/>
      <c r="AA138" s="150"/>
      <c r="AC138" s="1211"/>
      <c r="AD138" s="1211"/>
      <c r="AE138" s="1211"/>
      <c r="AF138" s="1211"/>
      <c r="AG138" s="1211"/>
      <c r="AH138" s="1211"/>
      <c r="AI138" s="1211"/>
      <c r="AJ138" s="1211"/>
      <c r="AK138" s="1211"/>
      <c r="AL138" s="1211"/>
      <c r="AM138" s="1211"/>
    </row>
    <row r="139" spans="2:39" s="244" customFormat="1">
      <c r="B139" s="1278"/>
      <c r="C139" s="1282"/>
      <c r="D139" s="1283"/>
      <c r="E139" s="149"/>
      <c r="F139" s="1284"/>
      <c r="G139" s="150"/>
      <c r="H139" s="150"/>
      <c r="I139" s="150"/>
      <c r="J139" s="150"/>
      <c r="K139" s="150"/>
      <c r="L139" s="1676"/>
      <c r="M139" s="1286"/>
      <c r="N139" s="1284"/>
      <c r="O139" s="150"/>
      <c r="P139" s="150"/>
      <c r="Q139" s="1287"/>
      <c r="R139" s="1287"/>
      <c r="S139" s="149"/>
      <c r="T139" s="149"/>
      <c r="U139" s="150"/>
      <c r="V139" s="150"/>
      <c r="W139" s="150"/>
      <c r="X139" s="150"/>
      <c r="Y139" s="150"/>
      <c r="Z139" s="150"/>
      <c r="AA139" s="150"/>
      <c r="AC139" s="1211"/>
      <c r="AD139" s="1211"/>
      <c r="AE139" s="1211"/>
      <c r="AF139" s="1211"/>
      <c r="AG139" s="1211"/>
      <c r="AH139" s="1211"/>
      <c r="AI139" s="1211"/>
      <c r="AJ139" s="1211"/>
      <c r="AK139" s="1211"/>
      <c r="AL139" s="1211"/>
      <c r="AM139" s="1211"/>
    </row>
    <row r="140" spans="2:39" s="244" customFormat="1">
      <c r="B140" s="1278"/>
      <c r="C140" s="1282"/>
      <c r="D140" s="1283"/>
      <c r="E140" s="149"/>
      <c r="F140" s="1284"/>
      <c r="G140" s="150"/>
      <c r="H140" s="150"/>
      <c r="I140" s="150"/>
      <c r="J140" s="150"/>
      <c r="K140" s="150"/>
      <c r="L140" s="1676"/>
      <c r="M140" s="1286"/>
      <c r="N140" s="1284"/>
      <c r="O140" s="150"/>
      <c r="P140" s="150"/>
      <c r="Q140" s="1287"/>
      <c r="R140" s="1287"/>
      <c r="S140" s="149"/>
      <c r="T140" s="149"/>
      <c r="U140" s="150"/>
      <c r="V140" s="150"/>
      <c r="W140" s="150"/>
      <c r="X140" s="150"/>
      <c r="Y140" s="150"/>
      <c r="Z140" s="150"/>
      <c r="AA140" s="150"/>
      <c r="AC140" s="1211"/>
      <c r="AD140" s="1211"/>
      <c r="AE140" s="1211"/>
      <c r="AF140" s="1211"/>
      <c r="AG140" s="1211"/>
      <c r="AH140" s="1211"/>
      <c r="AI140" s="1211"/>
      <c r="AJ140" s="1211"/>
      <c r="AK140" s="1211"/>
      <c r="AL140" s="1211"/>
      <c r="AM140" s="1211"/>
    </row>
    <row r="141" spans="2:39" s="244" customFormat="1">
      <c r="B141" s="1278"/>
      <c r="C141" s="1282"/>
      <c r="D141" s="1283"/>
      <c r="E141" s="149"/>
      <c r="F141" s="1284"/>
      <c r="G141" s="150"/>
      <c r="H141" s="150"/>
      <c r="I141" s="150"/>
      <c r="J141" s="150"/>
      <c r="K141" s="150"/>
      <c r="L141" s="1676"/>
      <c r="M141" s="1286"/>
      <c r="N141" s="1284"/>
      <c r="O141" s="150"/>
      <c r="P141" s="150"/>
      <c r="Q141" s="1287"/>
      <c r="R141" s="1287"/>
      <c r="S141" s="149"/>
      <c r="T141" s="149"/>
      <c r="U141" s="150"/>
      <c r="V141" s="150"/>
      <c r="W141" s="150"/>
      <c r="X141" s="150"/>
      <c r="Y141" s="150"/>
      <c r="Z141" s="150"/>
      <c r="AA141" s="150"/>
      <c r="AC141" s="1211"/>
      <c r="AD141" s="1211"/>
      <c r="AE141" s="1211"/>
      <c r="AF141" s="1211"/>
      <c r="AG141" s="1211"/>
      <c r="AH141" s="1211"/>
      <c r="AI141" s="1211"/>
      <c r="AJ141" s="1211"/>
      <c r="AK141" s="1211"/>
      <c r="AL141" s="1211"/>
      <c r="AM141" s="1211"/>
    </row>
    <row r="142" spans="2:39" s="244" customFormat="1">
      <c r="B142" s="1278"/>
      <c r="C142" s="1282"/>
      <c r="D142" s="1283"/>
      <c r="E142" s="149"/>
      <c r="F142" s="1284"/>
      <c r="G142" s="150"/>
      <c r="H142" s="150"/>
      <c r="I142" s="150"/>
      <c r="J142" s="150"/>
      <c r="K142" s="150"/>
      <c r="L142" s="1676"/>
      <c r="M142" s="1286"/>
      <c r="N142" s="1284"/>
      <c r="O142" s="150"/>
      <c r="P142" s="150"/>
      <c r="Q142" s="1287"/>
      <c r="R142" s="1287"/>
      <c r="S142" s="149"/>
      <c r="T142" s="149"/>
      <c r="U142" s="150"/>
      <c r="V142" s="150"/>
      <c r="W142" s="150"/>
      <c r="X142" s="150"/>
      <c r="Y142" s="150"/>
      <c r="Z142" s="150"/>
      <c r="AA142" s="150"/>
      <c r="AC142" s="1211"/>
      <c r="AD142" s="1211"/>
      <c r="AE142" s="1211"/>
      <c r="AF142" s="1211"/>
      <c r="AG142" s="1211"/>
      <c r="AH142" s="1211"/>
      <c r="AI142" s="1211"/>
      <c r="AJ142" s="1211"/>
      <c r="AK142" s="1211"/>
      <c r="AL142" s="1211"/>
      <c r="AM142" s="1211"/>
    </row>
    <row r="143" spans="2:39" s="244" customFormat="1">
      <c r="B143" s="1278"/>
      <c r="C143" s="1282"/>
      <c r="D143" s="1283"/>
      <c r="E143" s="149"/>
      <c r="F143" s="1284"/>
      <c r="G143" s="150"/>
      <c r="H143" s="150"/>
      <c r="I143" s="150"/>
      <c r="J143" s="150"/>
      <c r="K143" s="150"/>
      <c r="L143" s="1676"/>
      <c r="M143" s="1286"/>
      <c r="N143" s="1284"/>
      <c r="O143" s="150"/>
      <c r="P143" s="150"/>
      <c r="Q143" s="1287"/>
      <c r="R143" s="1287"/>
      <c r="S143" s="149"/>
      <c r="T143" s="149"/>
      <c r="U143" s="150"/>
      <c r="V143" s="150"/>
      <c r="W143" s="150"/>
      <c r="X143" s="150"/>
      <c r="Y143" s="150"/>
      <c r="Z143" s="150"/>
      <c r="AA143" s="150"/>
      <c r="AC143" s="1211"/>
      <c r="AD143" s="1211"/>
      <c r="AE143" s="1211"/>
      <c r="AF143" s="1211"/>
      <c r="AG143" s="1211"/>
      <c r="AH143" s="1211"/>
      <c r="AI143" s="1211"/>
      <c r="AJ143" s="1211"/>
      <c r="AK143" s="1211"/>
      <c r="AL143" s="1211"/>
      <c r="AM143" s="1211"/>
    </row>
    <row r="144" spans="2:39" s="244" customFormat="1">
      <c r="B144" s="1278"/>
      <c r="C144" s="1282"/>
      <c r="D144" s="1283"/>
      <c r="E144" s="149"/>
      <c r="F144" s="1284"/>
      <c r="G144" s="150"/>
      <c r="H144" s="150"/>
      <c r="I144" s="150"/>
      <c r="J144" s="150"/>
      <c r="K144" s="150"/>
      <c r="L144" s="1676"/>
      <c r="M144" s="1286"/>
      <c r="N144" s="1284"/>
      <c r="O144" s="150"/>
      <c r="P144" s="150"/>
      <c r="Q144" s="1287"/>
      <c r="R144" s="1287"/>
      <c r="S144" s="149"/>
      <c r="T144" s="149"/>
      <c r="U144" s="150"/>
      <c r="V144" s="150"/>
      <c r="W144" s="150"/>
      <c r="X144" s="150"/>
      <c r="Y144" s="150"/>
      <c r="Z144" s="150"/>
      <c r="AA144" s="150"/>
      <c r="AB144" s="244">
        <f>SUBTOTAL(9,AB102:AB143)</f>
        <v>0</v>
      </c>
      <c r="AC144" s="1211">
        <f>SUBTOTAL(9,AC102:AC143)</f>
        <v>0</v>
      </c>
      <c r="AD144" s="1211">
        <f>SUBTOTAL(9,AD102:AD143)</f>
        <v>0</v>
      </c>
      <c r="AE144" s="1211"/>
      <c r="AF144" s="1211"/>
      <c r="AG144" s="1211"/>
      <c r="AH144" s="1211"/>
      <c r="AI144" s="1211"/>
      <c r="AJ144" s="1211"/>
      <c r="AK144" s="1211"/>
      <c r="AL144" s="1211"/>
      <c r="AM144" s="1211"/>
    </row>
    <row r="145" spans="2:41" s="244" customFormat="1">
      <c r="B145" s="1278"/>
      <c r="C145" s="1282"/>
      <c r="D145" s="1283"/>
      <c r="E145" s="149"/>
      <c r="F145" s="1284"/>
      <c r="G145" s="150"/>
      <c r="H145" s="150"/>
      <c r="I145" s="150"/>
      <c r="J145" s="150"/>
      <c r="K145" s="150"/>
      <c r="L145" s="1676"/>
      <c r="M145" s="1286"/>
      <c r="N145" s="1284"/>
      <c r="O145" s="150"/>
      <c r="P145" s="150"/>
      <c r="Q145" s="1287"/>
      <c r="R145" s="1287"/>
      <c r="S145" s="149"/>
      <c r="T145" s="149"/>
      <c r="U145" s="150"/>
      <c r="V145" s="150"/>
      <c r="W145" s="150"/>
      <c r="X145" s="150"/>
      <c r="Y145" s="150"/>
      <c r="Z145" s="150"/>
      <c r="AA145" s="150"/>
      <c r="AB145" s="244">
        <v>0</v>
      </c>
      <c r="AC145" s="1211">
        <v>0</v>
      </c>
      <c r="AD145" s="1211">
        <v>0</v>
      </c>
      <c r="AE145" s="1211"/>
      <c r="AF145" s="1211"/>
      <c r="AG145" s="1211"/>
      <c r="AH145" s="1211"/>
      <c r="AI145" s="1211"/>
      <c r="AJ145" s="1211"/>
      <c r="AK145" s="1211"/>
      <c r="AL145" s="1211"/>
      <c r="AM145" s="1211"/>
    </row>
    <row r="146" spans="2:41" s="244" customFormat="1">
      <c r="B146" s="1278"/>
      <c r="C146" s="1282"/>
      <c r="D146" s="1283"/>
      <c r="E146" s="149"/>
      <c r="F146" s="1284"/>
      <c r="G146" s="150"/>
      <c r="H146" s="150"/>
      <c r="I146" s="150"/>
      <c r="J146" s="150"/>
      <c r="K146" s="150"/>
      <c r="L146" s="1676"/>
      <c r="M146" s="1286"/>
      <c r="N146" s="1284"/>
      <c r="O146" s="150"/>
      <c r="P146" s="150"/>
      <c r="Q146" s="1287"/>
      <c r="R146" s="1287"/>
      <c r="S146" s="149"/>
      <c r="T146" s="149"/>
      <c r="U146" s="150"/>
      <c r="V146" s="150"/>
      <c r="W146" s="150"/>
      <c r="X146" s="150"/>
      <c r="Y146" s="150"/>
      <c r="Z146" s="150"/>
      <c r="AA146" s="150"/>
      <c r="AB146" s="244">
        <v>0</v>
      </c>
      <c r="AC146" s="1211">
        <v>0</v>
      </c>
      <c r="AD146" s="1211">
        <v>0</v>
      </c>
      <c r="AE146" s="1211"/>
      <c r="AF146" s="1211"/>
      <c r="AG146" s="1211"/>
      <c r="AH146" s="1211"/>
      <c r="AI146" s="1211"/>
      <c r="AJ146" s="1211"/>
      <c r="AK146" s="1211"/>
      <c r="AL146" s="1211"/>
      <c r="AM146" s="1211"/>
    </row>
    <row r="147" spans="2:41" s="244" customFormat="1">
      <c r="B147" s="1278"/>
      <c r="C147" s="1282"/>
      <c r="D147" s="1283"/>
      <c r="E147" s="149"/>
      <c r="F147" s="1284"/>
      <c r="G147" s="150"/>
      <c r="H147" s="150"/>
      <c r="I147" s="150"/>
      <c r="J147" s="150"/>
      <c r="K147" s="150"/>
      <c r="L147" s="1676"/>
      <c r="M147" s="1286"/>
      <c r="N147" s="1284"/>
      <c r="O147" s="150"/>
      <c r="P147" s="150"/>
      <c r="Q147" s="1287"/>
      <c r="R147" s="1287"/>
      <c r="S147" s="149"/>
      <c r="T147" s="149"/>
      <c r="U147" s="150"/>
      <c r="V147" s="150"/>
      <c r="W147" s="150"/>
      <c r="X147" s="150"/>
      <c r="Y147" s="150"/>
      <c r="Z147" s="150"/>
      <c r="AA147" s="150"/>
      <c r="AB147" s="244">
        <v>0</v>
      </c>
      <c r="AC147" s="1211">
        <v>0</v>
      </c>
      <c r="AD147" s="1211">
        <v>0</v>
      </c>
      <c r="AE147" s="1211"/>
      <c r="AF147" s="1211"/>
      <c r="AG147" s="1211"/>
      <c r="AH147" s="1211"/>
      <c r="AI147" s="1211"/>
      <c r="AJ147" s="1211"/>
      <c r="AK147" s="1211"/>
      <c r="AL147" s="1211"/>
      <c r="AM147" s="1211"/>
    </row>
    <row r="148" spans="2:41" s="244" customFormat="1">
      <c r="B148" s="1278"/>
      <c r="C148" s="1282"/>
      <c r="D148" s="1283"/>
      <c r="E148" s="149"/>
      <c r="F148" s="1284"/>
      <c r="G148" s="150"/>
      <c r="H148" s="150"/>
      <c r="I148" s="150"/>
      <c r="J148" s="150"/>
      <c r="K148" s="150"/>
      <c r="L148" s="1676"/>
      <c r="M148" s="1286"/>
      <c r="N148" s="1284"/>
      <c r="O148" s="150"/>
      <c r="P148" s="150"/>
      <c r="Q148" s="1287"/>
      <c r="R148" s="1287"/>
      <c r="S148" s="149"/>
      <c r="T148" s="149"/>
      <c r="U148" s="150"/>
      <c r="V148" s="150"/>
      <c r="W148" s="150"/>
      <c r="X148" s="150"/>
      <c r="Y148" s="150"/>
      <c r="Z148" s="150"/>
      <c r="AA148" s="150"/>
      <c r="AB148" s="244">
        <v>0</v>
      </c>
      <c r="AC148" s="1211">
        <v>0</v>
      </c>
      <c r="AD148" s="1211">
        <v>0</v>
      </c>
      <c r="AE148" s="1211"/>
      <c r="AF148" s="1211"/>
      <c r="AG148" s="1211"/>
      <c r="AH148" s="1211"/>
      <c r="AI148" s="1211"/>
      <c r="AJ148" s="1211"/>
      <c r="AK148" s="1211"/>
      <c r="AL148" s="1211"/>
      <c r="AM148" s="1211"/>
    </row>
    <row r="149" spans="2:41" s="244" customFormat="1">
      <c r="B149" s="1278"/>
      <c r="C149" s="1282"/>
      <c r="D149" s="1283"/>
      <c r="E149" s="149"/>
      <c r="F149" s="1284"/>
      <c r="G149" s="150"/>
      <c r="H149" s="150"/>
      <c r="I149" s="150"/>
      <c r="J149" s="150"/>
      <c r="K149" s="150"/>
      <c r="L149" s="1676"/>
      <c r="M149" s="1286"/>
      <c r="N149" s="1284"/>
      <c r="O149" s="150"/>
      <c r="P149" s="150"/>
      <c r="Q149" s="1287"/>
      <c r="R149" s="1287"/>
      <c r="S149" s="149"/>
      <c r="T149" s="149"/>
      <c r="U149" s="150"/>
      <c r="V149" s="150"/>
      <c r="W149" s="150"/>
      <c r="X149" s="150"/>
      <c r="Y149" s="150"/>
      <c r="Z149" s="150"/>
      <c r="AA149" s="150"/>
      <c r="AB149" s="244">
        <v>0</v>
      </c>
      <c r="AC149" s="1211">
        <v>0</v>
      </c>
      <c r="AD149" s="1211">
        <v>0</v>
      </c>
      <c r="AE149" s="1211"/>
      <c r="AF149" s="1211"/>
      <c r="AG149" s="1211"/>
      <c r="AH149" s="1211"/>
      <c r="AI149" s="1211"/>
      <c r="AJ149" s="1211"/>
      <c r="AK149" s="1211"/>
      <c r="AL149" s="1211"/>
      <c r="AM149" s="1211"/>
    </row>
    <row r="150" spans="2:41" s="244" customFormat="1">
      <c r="B150" s="1278"/>
      <c r="C150" s="1282"/>
      <c r="D150" s="1283"/>
      <c r="E150" s="149"/>
      <c r="F150" s="1284"/>
      <c r="G150" s="150"/>
      <c r="H150" s="150"/>
      <c r="I150" s="150"/>
      <c r="J150" s="150"/>
      <c r="K150" s="150"/>
      <c r="L150" s="1676"/>
      <c r="M150" s="1286"/>
      <c r="N150" s="1284"/>
      <c r="O150" s="150"/>
      <c r="P150" s="150"/>
      <c r="Q150" s="1287"/>
      <c r="R150" s="1287"/>
      <c r="S150" s="149"/>
      <c r="T150" s="149"/>
      <c r="U150" s="150"/>
      <c r="V150" s="150"/>
      <c r="W150" s="150"/>
      <c r="X150" s="150"/>
      <c r="Y150" s="150"/>
      <c r="Z150" s="150"/>
      <c r="AA150" s="150"/>
      <c r="AB150" s="244">
        <v>0</v>
      </c>
      <c r="AC150" s="1211">
        <v>0</v>
      </c>
      <c r="AD150" s="1211">
        <v>0</v>
      </c>
      <c r="AE150" s="1211"/>
      <c r="AF150" s="1211"/>
      <c r="AG150" s="1211"/>
      <c r="AH150" s="1211"/>
      <c r="AI150" s="1211"/>
      <c r="AJ150" s="1211"/>
      <c r="AK150" s="1211"/>
      <c r="AL150" s="1211"/>
      <c r="AM150" s="1211"/>
    </row>
    <row r="151" spans="2:41" s="244" customFormat="1">
      <c r="B151" s="1278"/>
      <c r="C151" s="1282"/>
      <c r="D151" s="1283"/>
      <c r="E151" s="149"/>
      <c r="F151" s="1284"/>
      <c r="G151" s="150"/>
      <c r="H151" s="150"/>
      <c r="I151" s="150"/>
      <c r="J151" s="150"/>
      <c r="K151" s="150"/>
      <c r="L151" s="1676"/>
      <c r="M151" s="1286"/>
      <c r="N151" s="1284"/>
      <c r="O151" s="150"/>
      <c r="P151" s="150"/>
      <c r="Q151" s="1287"/>
      <c r="R151" s="1287"/>
      <c r="S151" s="149"/>
      <c r="T151" s="149"/>
      <c r="U151" s="150"/>
      <c r="V151" s="150"/>
      <c r="W151" s="150"/>
      <c r="X151" s="150"/>
      <c r="Y151" s="150"/>
      <c r="Z151" s="150"/>
      <c r="AA151" s="150"/>
      <c r="AB151" s="244">
        <v>0</v>
      </c>
      <c r="AC151" s="1211">
        <v>0</v>
      </c>
      <c r="AD151" s="1211">
        <v>0</v>
      </c>
      <c r="AE151" s="1211"/>
      <c r="AF151" s="1211"/>
      <c r="AG151" s="1211"/>
      <c r="AH151" s="1211"/>
      <c r="AI151" s="1211"/>
      <c r="AJ151" s="1211"/>
      <c r="AK151" s="1211"/>
      <c r="AL151" s="1211"/>
      <c r="AM151" s="1211"/>
    </row>
    <row r="152" spans="2:41" s="244" customFormat="1">
      <c r="B152" s="1278"/>
      <c r="C152" s="1282"/>
      <c r="D152" s="1283"/>
      <c r="E152" s="149"/>
      <c r="F152" s="1284"/>
      <c r="G152" s="150"/>
      <c r="H152" s="150"/>
      <c r="I152" s="150"/>
      <c r="J152" s="150"/>
      <c r="K152" s="150"/>
      <c r="L152" s="1676"/>
      <c r="M152" s="1286"/>
      <c r="N152" s="1284"/>
      <c r="O152" s="150"/>
      <c r="P152" s="150"/>
      <c r="Q152" s="1287"/>
      <c r="R152" s="1287"/>
      <c r="S152" s="149"/>
      <c r="T152" s="149"/>
      <c r="U152" s="150"/>
      <c r="V152" s="150"/>
      <c r="W152" s="150"/>
      <c r="X152" s="150"/>
      <c r="Y152" s="150"/>
      <c r="Z152" s="150"/>
      <c r="AA152" s="150"/>
      <c r="AB152" s="244">
        <v>0</v>
      </c>
      <c r="AC152" s="1211">
        <v>0</v>
      </c>
      <c r="AD152" s="1211">
        <v>0</v>
      </c>
      <c r="AE152" s="1211"/>
      <c r="AF152" s="1211"/>
      <c r="AG152" s="1211"/>
      <c r="AH152" s="1211"/>
      <c r="AI152" s="1211"/>
      <c r="AJ152" s="1211"/>
      <c r="AK152" s="1211"/>
      <c r="AL152" s="1211"/>
      <c r="AM152" s="1211"/>
    </row>
    <row r="153" spans="2:41" s="244" customFormat="1">
      <c r="B153" s="1278"/>
      <c r="C153" s="1282"/>
      <c r="D153" s="1283"/>
      <c r="E153" s="149"/>
      <c r="F153" s="1284"/>
      <c r="G153" s="150"/>
      <c r="H153" s="150"/>
      <c r="I153" s="150"/>
      <c r="J153" s="150"/>
      <c r="K153" s="150"/>
      <c r="L153" s="1676"/>
      <c r="M153" s="1286"/>
      <c r="N153" s="1284"/>
      <c r="O153" s="150"/>
      <c r="P153" s="150"/>
      <c r="Q153" s="1287"/>
      <c r="R153" s="1287"/>
      <c r="S153" s="149"/>
      <c r="T153" s="149"/>
      <c r="U153" s="150"/>
      <c r="V153" s="150"/>
      <c r="W153" s="150"/>
      <c r="X153" s="150"/>
      <c r="Y153" s="150"/>
      <c r="Z153" s="150"/>
      <c r="AA153" s="150"/>
      <c r="AB153" s="244">
        <v>0</v>
      </c>
      <c r="AC153" s="1211">
        <v>0</v>
      </c>
      <c r="AD153" s="1211">
        <v>0</v>
      </c>
      <c r="AE153" s="1211"/>
      <c r="AF153" s="1211"/>
      <c r="AG153" s="1211"/>
      <c r="AH153" s="1211"/>
      <c r="AI153" s="1211"/>
      <c r="AJ153" s="1211"/>
      <c r="AK153" s="1211"/>
      <c r="AL153" s="1211"/>
      <c r="AM153" s="1211"/>
    </row>
    <row r="154" spans="2:41" s="244" customFormat="1">
      <c r="B154" s="1278"/>
      <c r="C154" s="1282"/>
      <c r="D154" s="1283"/>
      <c r="E154" s="149"/>
      <c r="F154" s="1284"/>
      <c r="G154" s="150"/>
      <c r="H154" s="150"/>
      <c r="I154" s="150"/>
      <c r="J154" s="150"/>
      <c r="K154" s="150"/>
      <c r="L154" s="1676"/>
      <c r="M154" s="1286"/>
      <c r="N154" s="1284"/>
      <c r="O154" s="150"/>
      <c r="P154" s="150"/>
      <c r="Q154" s="1287"/>
      <c r="R154" s="1287"/>
      <c r="S154" s="149"/>
      <c r="T154" s="149"/>
      <c r="U154" s="150"/>
      <c r="V154" s="150"/>
      <c r="W154" s="150"/>
      <c r="X154" s="150"/>
      <c r="Y154" s="150"/>
      <c r="Z154" s="150"/>
      <c r="AA154" s="150"/>
      <c r="AB154" s="244">
        <v>0</v>
      </c>
      <c r="AC154" s="1211">
        <v>0</v>
      </c>
      <c r="AD154" s="1211">
        <v>0</v>
      </c>
      <c r="AE154" s="1211"/>
      <c r="AF154" s="1211"/>
      <c r="AG154" s="1211"/>
      <c r="AH154" s="1211"/>
      <c r="AI154" s="1211"/>
      <c r="AJ154" s="1211"/>
      <c r="AK154" s="1211"/>
      <c r="AL154" s="1211"/>
      <c r="AM154" s="1211"/>
    </row>
    <row r="155" spans="2:41" s="244" customFormat="1">
      <c r="B155" s="1278"/>
      <c r="C155" s="1282"/>
      <c r="D155" s="1283"/>
      <c r="E155" s="149"/>
      <c r="F155" s="1284"/>
      <c r="G155" s="150"/>
      <c r="H155" s="150"/>
      <c r="I155" s="150"/>
      <c r="J155" s="150"/>
      <c r="K155" s="150"/>
      <c r="L155" s="1676"/>
      <c r="M155" s="1286"/>
      <c r="N155" s="1284"/>
      <c r="O155" s="150"/>
      <c r="P155" s="150"/>
      <c r="Q155" s="1287"/>
      <c r="R155" s="1287"/>
      <c r="S155" s="149"/>
      <c r="T155" s="149"/>
      <c r="U155" s="150">
        <f>SUBTOTAL(9,U113:U154)</f>
        <v>0</v>
      </c>
      <c r="V155" s="150">
        <f t="shared" ref="V155:AA155" si="101">SUBTOTAL(9,V113:V154)</f>
        <v>0</v>
      </c>
      <c r="W155" s="150">
        <f t="shared" si="101"/>
        <v>0</v>
      </c>
      <c r="X155" s="150">
        <f t="shared" si="101"/>
        <v>0</v>
      </c>
      <c r="Y155" s="150">
        <f t="shared" si="101"/>
        <v>0</v>
      </c>
      <c r="Z155" s="150">
        <f t="shared" si="101"/>
        <v>0</v>
      </c>
      <c r="AA155" s="150">
        <f t="shared" si="101"/>
        <v>0</v>
      </c>
      <c r="AB155" s="244">
        <v>0</v>
      </c>
      <c r="AC155" s="1211">
        <v>0</v>
      </c>
      <c r="AD155" s="1211">
        <v>0</v>
      </c>
      <c r="AE155" s="1211"/>
      <c r="AF155" s="1211"/>
      <c r="AG155" s="1211"/>
      <c r="AH155" s="1211"/>
      <c r="AI155" s="1211"/>
      <c r="AJ155" s="1211"/>
      <c r="AK155" s="1211"/>
      <c r="AL155" s="1211"/>
      <c r="AM155" s="1211"/>
    </row>
    <row r="156" spans="2:41" s="244" customFormat="1" ht="12" thickBot="1">
      <c r="B156" s="1278"/>
      <c r="C156" s="1282"/>
      <c r="D156" s="1283"/>
      <c r="E156" s="149"/>
      <c r="F156" s="1284"/>
      <c r="G156" s="150"/>
      <c r="H156" s="150"/>
      <c r="I156" s="150"/>
      <c r="J156" s="150"/>
      <c r="K156" s="150"/>
      <c r="L156" s="1676"/>
      <c r="M156" s="1286"/>
      <c r="N156" s="1284"/>
      <c r="O156" s="150"/>
      <c r="P156" s="150"/>
      <c r="Q156" s="1287"/>
      <c r="R156" s="1287"/>
      <c r="S156" s="149"/>
      <c r="T156" s="149"/>
      <c r="U156" s="150"/>
      <c r="V156" s="150"/>
      <c r="W156" s="150"/>
      <c r="X156" s="150"/>
      <c r="Y156" s="150"/>
      <c r="Z156" s="150"/>
      <c r="AA156" s="150"/>
      <c r="AC156" s="1211"/>
      <c r="AD156" s="1211"/>
      <c r="AE156" s="1211"/>
      <c r="AF156" s="1211"/>
      <c r="AG156" s="1211"/>
      <c r="AH156" s="1211"/>
      <c r="AI156" s="1211"/>
      <c r="AJ156" s="1211"/>
      <c r="AK156" s="1211"/>
      <c r="AL156" s="1211"/>
      <c r="AM156" s="1211"/>
    </row>
    <row r="157" spans="2:41" s="244" customFormat="1" ht="13" thickTop="1" thickBot="1">
      <c r="B157" s="1278"/>
      <c r="C157" s="1282"/>
      <c r="D157" s="1283"/>
      <c r="E157" s="149"/>
      <c r="F157" s="1284"/>
      <c r="G157" s="150"/>
      <c r="H157" s="150"/>
      <c r="I157" s="150"/>
      <c r="J157" s="150"/>
      <c r="K157" s="150"/>
      <c r="L157" s="1676"/>
      <c r="M157" s="1286"/>
      <c r="N157" s="1284"/>
      <c r="O157" s="150"/>
      <c r="P157" s="150"/>
      <c r="Q157" s="1287"/>
      <c r="R157" s="1287"/>
      <c r="S157" s="1287"/>
      <c r="T157" s="149"/>
      <c r="U157" s="151"/>
      <c r="V157" s="152"/>
      <c r="W157" s="153"/>
      <c r="X157" s="153"/>
      <c r="Y157" s="153"/>
      <c r="Z157" s="153"/>
      <c r="AA157" s="154"/>
      <c r="AB157" s="1288"/>
      <c r="AC157" s="1288"/>
      <c r="AE157" s="1211"/>
      <c r="AF157" s="1211"/>
      <c r="AG157" s="1211"/>
      <c r="AH157" s="1211"/>
      <c r="AI157" s="1211"/>
      <c r="AJ157" s="1211"/>
      <c r="AK157" s="1211"/>
      <c r="AL157" s="1211"/>
      <c r="AM157" s="1211"/>
      <c r="AN157" s="1211"/>
      <c r="AO157" s="1211"/>
    </row>
    <row r="158" spans="2:41" s="244" customFormat="1" ht="12" thickTop="1">
      <c r="B158" s="1278"/>
      <c r="C158" s="1282"/>
      <c r="D158" s="1283"/>
      <c r="E158" s="149"/>
      <c r="F158" s="1284"/>
      <c r="G158" s="150"/>
      <c r="H158" s="150"/>
      <c r="I158" s="150"/>
      <c r="J158" s="150"/>
      <c r="K158" s="150"/>
      <c r="L158" s="1676"/>
      <c r="M158" s="1286"/>
      <c r="N158" s="1284"/>
      <c r="O158" s="150"/>
      <c r="P158" s="150"/>
      <c r="Q158" s="1287"/>
      <c r="R158" s="1287"/>
      <c r="S158" s="149"/>
      <c r="T158" s="149"/>
      <c r="U158" s="150"/>
      <c r="V158" s="150"/>
      <c r="W158" s="150"/>
      <c r="X158" s="150"/>
      <c r="Y158" s="150"/>
      <c r="Z158" s="150"/>
      <c r="AA158" s="150"/>
      <c r="AC158" s="1211"/>
      <c r="AD158" s="1211"/>
      <c r="AE158" s="1211"/>
      <c r="AF158" s="1211"/>
      <c r="AG158" s="1211"/>
      <c r="AH158" s="1211"/>
      <c r="AI158" s="1211"/>
      <c r="AJ158" s="1211"/>
      <c r="AK158" s="1211"/>
      <c r="AL158" s="1211"/>
      <c r="AM158" s="1211"/>
    </row>
    <row r="159" spans="2:41" s="244" customFormat="1">
      <c r="B159" s="1278"/>
      <c r="C159" s="1282"/>
      <c r="D159" s="1283"/>
      <c r="E159" s="149"/>
      <c r="F159" s="1284"/>
      <c r="G159" s="150"/>
      <c r="H159" s="150"/>
      <c r="I159" s="150"/>
      <c r="J159" s="150"/>
      <c r="K159" s="150"/>
      <c r="L159" s="1676"/>
      <c r="M159" s="1286"/>
      <c r="N159" s="1284"/>
      <c r="O159" s="150"/>
      <c r="P159" s="150"/>
      <c r="Q159" s="1287"/>
      <c r="R159" s="1287"/>
      <c r="S159" s="149"/>
      <c r="T159" s="149"/>
      <c r="U159" s="150"/>
      <c r="V159" s="150"/>
      <c r="W159" s="150"/>
      <c r="X159" s="150"/>
      <c r="Y159" s="150"/>
      <c r="Z159" s="150"/>
      <c r="AA159" s="150"/>
      <c r="AC159" s="1211"/>
      <c r="AD159" s="1211"/>
      <c r="AE159" s="1211"/>
      <c r="AF159" s="1211"/>
      <c r="AG159" s="1211"/>
      <c r="AH159" s="1211"/>
      <c r="AI159" s="1211"/>
      <c r="AJ159" s="1211"/>
      <c r="AK159" s="1211"/>
      <c r="AL159" s="1211"/>
      <c r="AM159" s="1211"/>
    </row>
    <row r="160" spans="2:41" s="244" customFormat="1">
      <c r="B160" s="1278"/>
      <c r="C160" s="1282"/>
      <c r="D160" s="1283"/>
      <c r="E160" s="149"/>
      <c r="F160" s="1284"/>
      <c r="G160" s="150"/>
      <c r="H160" s="150"/>
      <c r="I160" s="150"/>
      <c r="J160" s="150"/>
      <c r="K160" s="150"/>
      <c r="L160" s="1676"/>
      <c r="M160" s="1286"/>
      <c r="N160" s="1284"/>
      <c r="O160" s="150"/>
      <c r="P160" s="150"/>
      <c r="Q160" s="1287"/>
      <c r="R160" s="1287"/>
      <c r="S160" s="149"/>
      <c r="T160" s="149"/>
      <c r="U160" s="150"/>
      <c r="V160" s="150"/>
      <c r="W160" s="150"/>
      <c r="X160" s="150"/>
      <c r="Y160" s="150"/>
      <c r="Z160" s="150"/>
      <c r="AA160" s="150"/>
      <c r="AC160" s="1211"/>
      <c r="AD160" s="1211"/>
      <c r="AE160" s="1211"/>
      <c r="AF160" s="1211"/>
      <c r="AG160" s="1211"/>
      <c r="AH160" s="1211"/>
      <c r="AI160" s="1211"/>
      <c r="AJ160" s="1211"/>
      <c r="AK160" s="1211"/>
      <c r="AL160" s="1211"/>
      <c r="AM160" s="1211"/>
    </row>
    <row r="161" spans="2:39" s="244" customFormat="1">
      <c r="B161" s="1278"/>
      <c r="C161" s="1282"/>
      <c r="D161" s="1283"/>
      <c r="E161" s="149"/>
      <c r="F161" s="1284"/>
      <c r="G161" s="150"/>
      <c r="H161" s="150"/>
      <c r="I161" s="150"/>
      <c r="J161" s="150"/>
      <c r="K161" s="150"/>
      <c r="L161" s="1676"/>
      <c r="M161" s="1286"/>
      <c r="N161" s="1284"/>
      <c r="O161" s="150"/>
      <c r="P161" s="150"/>
      <c r="Q161" s="1287"/>
      <c r="R161" s="1287"/>
      <c r="S161" s="149"/>
      <c r="T161" s="149"/>
      <c r="U161" s="150"/>
      <c r="V161" s="150"/>
      <c r="W161" s="150"/>
      <c r="X161" s="150"/>
      <c r="Y161" s="150"/>
      <c r="Z161" s="150"/>
      <c r="AA161" s="150"/>
      <c r="AC161" s="1211"/>
      <c r="AD161" s="1211"/>
      <c r="AE161" s="1211"/>
      <c r="AF161" s="1211"/>
      <c r="AG161" s="1211"/>
      <c r="AH161" s="1211"/>
      <c r="AI161" s="1211"/>
      <c r="AJ161" s="1211"/>
      <c r="AK161" s="1211"/>
      <c r="AL161" s="1211"/>
      <c r="AM161" s="1211"/>
    </row>
    <row r="162" spans="2:39" s="244" customFormat="1">
      <c r="B162" s="1278"/>
      <c r="C162" s="1282"/>
      <c r="D162" s="1283"/>
      <c r="E162" s="149"/>
      <c r="F162" s="1284"/>
      <c r="G162" s="150"/>
      <c r="H162" s="150"/>
      <c r="I162" s="150"/>
      <c r="J162" s="150"/>
      <c r="K162" s="150"/>
      <c r="L162" s="1676"/>
      <c r="M162" s="1286"/>
      <c r="N162" s="1284"/>
      <c r="O162" s="150"/>
      <c r="P162" s="150"/>
      <c r="Q162" s="1287"/>
      <c r="R162" s="1287"/>
      <c r="S162" s="149"/>
      <c r="T162" s="149"/>
      <c r="U162" s="150"/>
      <c r="V162" s="150"/>
      <c r="W162" s="150"/>
      <c r="X162" s="150"/>
      <c r="Y162" s="150"/>
      <c r="Z162" s="150"/>
      <c r="AA162" s="150"/>
      <c r="AC162" s="1211"/>
      <c r="AD162" s="1211"/>
      <c r="AE162" s="1211"/>
      <c r="AF162" s="1211"/>
      <c r="AG162" s="1211"/>
      <c r="AH162" s="1211"/>
      <c r="AI162" s="1211"/>
      <c r="AJ162" s="1211"/>
      <c r="AK162" s="1211"/>
      <c r="AL162" s="1211"/>
      <c r="AM162" s="1211"/>
    </row>
    <row r="163" spans="2:39" s="244" customFormat="1">
      <c r="B163" s="1278"/>
      <c r="C163" s="1282"/>
      <c r="D163" s="1283"/>
      <c r="E163" s="149"/>
      <c r="F163" s="1284"/>
      <c r="G163" s="150"/>
      <c r="H163" s="150"/>
      <c r="I163" s="150"/>
      <c r="J163" s="150"/>
      <c r="K163" s="150"/>
      <c r="L163" s="1676"/>
      <c r="M163" s="1286"/>
      <c r="N163" s="1284"/>
      <c r="O163" s="150"/>
      <c r="P163" s="150"/>
      <c r="Q163" s="1287"/>
      <c r="R163" s="1287"/>
      <c r="S163" s="149"/>
      <c r="T163" s="149"/>
      <c r="U163" s="150"/>
      <c r="V163" s="150"/>
      <c r="W163" s="150"/>
      <c r="X163" s="150"/>
      <c r="Y163" s="150"/>
      <c r="Z163" s="150"/>
      <c r="AA163" s="150"/>
      <c r="AC163" s="1211"/>
      <c r="AD163" s="1211"/>
      <c r="AE163" s="1211"/>
      <c r="AF163" s="1211"/>
      <c r="AG163" s="1211"/>
      <c r="AH163" s="1211"/>
      <c r="AI163" s="1211"/>
      <c r="AJ163" s="1211"/>
      <c r="AK163" s="1211"/>
      <c r="AL163" s="1211"/>
      <c r="AM163" s="1211"/>
    </row>
    <row r="164" spans="2:39" s="244" customFormat="1">
      <c r="B164" s="1278"/>
      <c r="C164" s="1282"/>
      <c r="D164" s="1283"/>
      <c r="E164" s="149"/>
      <c r="F164" s="1284"/>
      <c r="G164" s="150"/>
      <c r="H164" s="150"/>
      <c r="I164" s="150"/>
      <c r="J164" s="150"/>
      <c r="K164" s="150"/>
      <c r="L164" s="1676"/>
      <c r="M164" s="1286"/>
      <c r="N164" s="1284"/>
      <c r="O164" s="150"/>
      <c r="P164" s="150"/>
      <c r="Q164" s="1287"/>
      <c r="R164" s="1287"/>
      <c r="S164" s="149"/>
      <c r="T164" s="149"/>
      <c r="U164" s="150"/>
      <c r="V164" s="150"/>
      <c r="W164" s="150"/>
      <c r="X164" s="150"/>
      <c r="Y164" s="150"/>
      <c r="Z164" s="150"/>
      <c r="AA164" s="150"/>
      <c r="AC164" s="1211"/>
      <c r="AD164" s="1211"/>
      <c r="AE164" s="1211"/>
      <c r="AF164" s="1211"/>
      <c r="AG164" s="1211"/>
      <c r="AH164" s="1211"/>
      <c r="AI164" s="1211"/>
      <c r="AJ164" s="1211"/>
      <c r="AK164" s="1211"/>
      <c r="AL164" s="1211"/>
      <c r="AM164" s="1211"/>
    </row>
    <row r="165" spans="2:39" s="244" customFormat="1">
      <c r="B165" s="1278"/>
      <c r="C165" s="1282"/>
      <c r="D165" s="1283"/>
      <c r="E165" s="149"/>
      <c r="F165" s="1284"/>
      <c r="G165" s="150"/>
      <c r="H165" s="150"/>
      <c r="I165" s="150"/>
      <c r="J165" s="150"/>
      <c r="K165" s="150"/>
      <c r="L165" s="1676"/>
      <c r="M165" s="1286"/>
      <c r="N165" s="1284"/>
      <c r="O165" s="150"/>
      <c r="P165" s="150"/>
      <c r="Q165" s="1287"/>
      <c r="R165" s="1287"/>
      <c r="S165" s="149"/>
      <c r="T165" s="149"/>
      <c r="U165" s="150"/>
      <c r="V165" s="150"/>
      <c r="W165" s="150"/>
      <c r="X165" s="150"/>
      <c r="Y165" s="150"/>
      <c r="Z165" s="150"/>
      <c r="AA165" s="150"/>
      <c r="AC165" s="1211"/>
      <c r="AD165" s="1211"/>
      <c r="AE165" s="1211"/>
      <c r="AF165" s="1211"/>
      <c r="AG165" s="1211"/>
      <c r="AH165" s="1211"/>
      <c r="AI165" s="1211"/>
      <c r="AJ165" s="1211"/>
      <c r="AK165" s="1211"/>
      <c r="AL165" s="1211"/>
      <c r="AM165" s="1211"/>
    </row>
    <row r="166" spans="2:39" s="244" customFormat="1">
      <c r="B166" s="1278"/>
      <c r="C166" s="1282"/>
      <c r="D166" s="1283"/>
      <c r="E166" s="149"/>
      <c r="F166" s="1284"/>
      <c r="G166" s="150"/>
      <c r="H166" s="150"/>
      <c r="I166" s="150"/>
      <c r="J166" s="150"/>
      <c r="K166" s="150"/>
      <c r="L166" s="1676"/>
      <c r="M166" s="1286"/>
      <c r="N166" s="1284"/>
      <c r="O166" s="150"/>
      <c r="P166" s="150"/>
      <c r="Q166" s="1287"/>
      <c r="R166" s="1287"/>
      <c r="S166" s="149"/>
      <c r="T166" s="149"/>
      <c r="U166" s="150"/>
      <c r="V166" s="150"/>
      <c r="W166" s="150"/>
      <c r="X166" s="150"/>
      <c r="Y166" s="150"/>
      <c r="Z166" s="150"/>
      <c r="AA166" s="150"/>
      <c r="AC166" s="1211"/>
      <c r="AD166" s="1211"/>
      <c r="AE166" s="1211"/>
      <c r="AF166" s="1211"/>
      <c r="AG166" s="1211"/>
      <c r="AH166" s="1211"/>
      <c r="AI166" s="1211"/>
      <c r="AJ166" s="1211"/>
      <c r="AK166" s="1211"/>
      <c r="AL166" s="1211"/>
      <c r="AM166" s="1211"/>
    </row>
    <row r="167" spans="2:39" s="244" customFormat="1">
      <c r="B167" s="1278"/>
      <c r="C167" s="1282"/>
      <c r="D167" s="1283"/>
      <c r="E167" s="149"/>
      <c r="F167" s="1284"/>
      <c r="G167" s="150"/>
      <c r="H167" s="150"/>
      <c r="I167" s="150"/>
      <c r="J167" s="150"/>
      <c r="K167" s="150"/>
      <c r="L167" s="1676"/>
      <c r="M167" s="1286"/>
      <c r="N167" s="1284"/>
      <c r="O167" s="150"/>
      <c r="P167" s="150"/>
      <c r="Q167" s="1287"/>
      <c r="R167" s="1287"/>
      <c r="S167" s="149"/>
      <c r="T167" s="149"/>
      <c r="U167" s="150"/>
      <c r="V167" s="150"/>
      <c r="W167" s="150"/>
      <c r="X167" s="150"/>
      <c r="Y167" s="150"/>
      <c r="Z167" s="150"/>
      <c r="AA167" s="150"/>
      <c r="AC167" s="1211"/>
      <c r="AD167" s="1211"/>
      <c r="AE167" s="1211"/>
      <c r="AF167" s="1211"/>
      <c r="AG167" s="1211"/>
      <c r="AH167" s="1211"/>
      <c r="AI167" s="1211"/>
      <c r="AJ167" s="1211"/>
      <c r="AK167" s="1211"/>
      <c r="AL167" s="1211"/>
      <c r="AM167" s="1211"/>
    </row>
    <row r="168" spans="2:39" s="244" customFormat="1">
      <c r="B168" s="1278"/>
      <c r="C168" s="1282"/>
      <c r="D168" s="1283"/>
      <c r="E168" s="149"/>
      <c r="F168" s="1284"/>
      <c r="G168" s="150"/>
      <c r="H168" s="150"/>
      <c r="I168" s="150"/>
      <c r="J168" s="150"/>
      <c r="K168" s="150"/>
      <c r="L168" s="1676"/>
      <c r="M168" s="1286"/>
      <c r="N168" s="1284"/>
      <c r="O168" s="150"/>
      <c r="P168" s="150"/>
      <c r="Q168" s="1287"/>
      <c r="R168" s="1287"/>
      <c r="S168" s="149"/>
      <c r="T168" s="149"/>
      <c r="U168" s="150"/>
      <c r="V168" s="150"/>
      <c r="W168" s="150"/>
      <c r="X168" s="150"/>
      <c r="Y168" s="150"/>
      <c r="Z168" s="150"/>
      <c r="AA168" s="150"/>
      <c r="AC168" s="1211"/>
      <c r="AD168" s="1211"/>
      <c r="AE168" s="1211"/>
      <c r="AF168" s="1211"/>
      <c r="AG168" s="1211"/>
      <c r="AH168" s="1211"/>
      <c r="AI168" s="1211"/>
      <c r="AJ168" s="1211"/>
      <c r="AK168" s="1211"/>
      <c r="AL168" s="1211"/>
      <c r="AM168" s="1211"/>
    </row>
    <row r="169" spans="2:39" s="244" customFormat="1">
      <c r="B169" s="1278"/>
      <c r="C169" s="1282"/>
      <c r="D169" s="1283"/>
      <c r="E169" s="149"/>
      <c r="F169" s="1284"/>
      <c r="G169" s="150"/>
      <c r="H169" s="150"/>
      <c r="I169" s="150"/>
      <c r="J169" s="150"/>
      <c r="K169" s="150"/>
      <c r="L169" s="1676"/>
      <c r="M169" s="1286"/>
      <c r="N169" s="1284"/>
      <c r="O169" s="150"/>
      <c r="P169" s="150"/>
      <c r="Q169" s="1287"/>
      <c r="R169" s="1287"/>
      <c r="S169" s="149"/>
      <c r="T169" s="149"/>
      <c r="U169" s="150"/>
      <c r="V169" s="150"/>
      <c r="W169" s="150"/>
      <c r="X169" s="150"/>
      <c r="Y169" s="150"/>
      <c r="Z169" s="150"/>
      <c r="AA169" s="150"/>
      <c r="AC169" s="1211"/>
      <c r="AD169" s="1211"/>
      <c r="AE169" s="1211"/>
      <c r="AF169" s="1211"/>
      <c r="AG169" s="1211"/>
      <c r="AH169" s="1211"/>
      <c r="AI169" s="1211"/>
      <c r="AJ169" s="1211"/>
      <c r="AK169" s="1211"/>
      <c r="AL169" s="1211"/>
      <c r="AM169" s="1211"/>
    </row>
    <row r="170" spans="2:39" s="244" customFormat="1">
      <c r="B170" s="1278"/>
      <c r="C170" s="1282"/>
      <c r="D170" s="1283"/>
      <c r="E170" s="149"/>
      <c r="F170" s="1284"/>
      <c r="G170" s="150"/>
      <c r="H170" s="150"/>
      <c r="I170" s="150"/>
      <c r="J170" s="150"/>
      <c r="K170" s="150"/>
      <c r="L170" s="1676"/>
      <c r="M170" s="1286"/>
      <c r="N170" s="1284"/>
      <c r="O170" s="150"/>
      <c r="P170" s="150"/>
      <c r="Q170" s="1287"/>
      <c r="R170" s="1287"/>
      <c r="S170" s="149"/>
      <c r="T170" s="149"/>
      <c r="U170" s="150"/>
      <c r="V170" s="150"/>
      <c r="W170" s="150"/>
      <c r="X170" s="150"/>
      <c r="Y170" s="150"/>
      <c r="Z170" s="150"/>
      <c r="AA170" s="150"/>
      <c r="AC170" s="1211"/>
      <c r="AD170" s="1211"/>
      <c r="AE170" s="1211"/>
      <c r="AF170" s="1211"/>
      <c r="AG170" s="1211"/>
      <c r="AH170" s="1211"/>
      <c r="AI170" s="1211"/>
      <c r="AJ170" s="1211"/>
      <c r="AK170" s="1211"/>
      <c r="AL170" s="1211"/>
      <c r="AM170" s="1211"/>
    </row>
    <row r="171" spans="2:39" s="244" customFormat="1">
      <c r="B171" s="1278"/>
      <c r="C171" s="1282"/>
      <c r="D171" s="1283"/>
      <c r="E171" s="149"/>
      <c r="F171" s="1284"/>
      <c r="G171" s="150"/>
      <c r="H171" s="150"/>
      <c r="I171" s="150"/>
      <c r="J171" s="150"/>
      <c r="K171" s="150"/>
      <c r="L171" s="1676"/>
      <c r="M171" s="1286"/>
      <c r="N171" s="1284"/>
      <c r="O171" s="150"/>
      <c r="P171" s="150"/>
      <c r="Q171" s="1287"/>
      <c r="R171" s="1287"/>
      <c r="S171" s="149"/>
      <c r="T171" s="149"/>
      <c r="U171" s="150"/>
      <c r="V171" s="150"/>
      <c r="W171" s="150"/>
      <c r="X171" s="150"/>
      <c r="Y171" s="150"/>
      <c r="Z171" s="150"/>
      <c r="AA171" s="150"/>
      <c r="AC171" s="1211"/>
      <c r="AD171" s="1211"/>
      <c r="AE171" s="1211"/>
      <c r="AF171" s="1211"/>
      <c r="AG171" s="1211"/>
      <c r="AH171" s="1211"/>
      <c r="AI171" s="1211"/>
      <c r="AJ171" s="1211"/>
      <c r="AK171" s="1211"/>
      <c r="AL171" s="1211"/>
      <c r="AM171" s="1211"/>
    </row>
    <row r="172" spans="2:39" s="244" customFormat="1">
      <c r="B172" s="1278"/>
      <c r="C172" s="1282"/>
      <c r="D172" s="1283"/>
      <c r="E172" s="149"/>
      <c r="F172" s="1284"/>
      <c r="G172" s="150"/>
      <c r="H172" s="150"/>
      <c r="I172" s="150"/>
      <c r="J172" s="150"/>
      <c r="K172" s="150"/>
      <c r="L172" s="1676"/>
      <c r="M172" s="1286"/>
      <c r="N172" s="1284"/>
      <c r="O172" s="150"/>
      <c r="P172" s="150"/>
      <c r="Q172" s="1287"/>
      <c r="R172" s="1287"/>
      <c r="S172" s="149"/>
      <c r="T172" s="149"/>
      <c r="U172" s="150"/>
      <c r="V172" s="150"/>
      <c r="W172" s="150"/>
      <c r="X172" s="150"/>
      <c r="Y172" s="150"/>
      <c r="Z172" s="150"/>
      <c r="AA172" s="150"/>
      <c r="AC172" s="1211"/>
      <c r="AD172" s="1211"/>
      <c r="AE172" s="1211"/>
      <c r="AF172" s="1211"/>
      <c r="AG172" s="1211"/>
      <c r="AH172" s="1211"/>
      <c r="AI172" s="1211"/>
      <c r="AJ172" s="1211"/>
      <c r="AK172" s="1211"/>
      <c r="AL172" s="1211"/>
      <c r="AM172" s="1211"/>
    </row>
    <row r="173" spans="2:39" s="244" customFormat="1">
      <c r="B173" s="1278"/>
      <c r="C173" s="1282"/>
      <c r="D173" s="1283"/>
      <c r="E173" s="149"/>
      <c r="F173" s="1284"/>
      <c r="G173" s="150"/>
      <c r="H173" s="150"/>
      <c r="I173" s="150"/>
      <c r="J173" s="150"/>
      <c r="K173" s="150"/>
      <c r="L173" s="1676"/>
      <c r="M173" s="1286"/>
      <c r="N173" s="1284"/>
      <c r="O173" s="150"/>
      <c r="P173" s="150"/>
      <c r="Q173" s="1287"/>
      <c r="R173" s="1287"/>
      <c r="S173" s="149"/>
      <c r="T173" s="149"/>
      <c r="U173" s="150"/>
      <c r="V173" s="150"/>
      <c r="W173" s="150"/>
      <c r="X173" s="150"/>
      <c r="Y173" s="150"/>
      <c r="Z173" s="150"/>
      <c r="AA173" s="150"/>
      <c r="AC173" s="1211"/>
      <c r="AD173" s="1211"/>
      <c r="AE173" s="1211"/>
      <c r="AF173" s="1211"/>
      <c r="AG173" s="1211"/>
      <c r="AH173" s="1211"/>
      <c r="AI173" s="1211"/>
      <c r="AJ173" s="1211"/>
      <c r="AK173" s="1211"/>
      <c r="AL173" s="1211"/>
      <c r="AM173" s="1211"/>
    </row>
    <row r="174" spans="2:39" s="244" customFormat="1">
      <c r="B174" s="1278"/>
      <c r="C174" s="1282"/>
      <c r="D174" s="1283"/>
      <c r="E174" s="149"/>
      <c r="F174" s="1284"/>
      <c r="G174" s="150"/>
      <c r="H174" s="150"/>
      <c r="I174" s="150"/>
      <c r="J174" s="150"/>
      <c r="K174" s="150"/>
      <c r="L174" s="1676"/>
      <c r="M174" s="1286"/>
      <c r="N174" s="1284"/>
      <c r="O174" s="150"/>
      <c r="P174" s="150"/>
      <c r="Q174" s="1287"/>
      <c r="R174" s="1287"/>
      <c r="S174" s="149"/>
      <c r="T174" s="149"/>
      <c r="U174" s="150"/>
      <c r="V174" s="150"/>
      <c r="W174" s="150"/>
      <c r="X174" s="150"/>
      <c r="Y174" s="150"/>
      <c r="Z174" s="150"/>
      <c r="AA174" s="150"/>
      <c r="AC174" s="1211"/>
      <c r="AD174" s="1211"/>
      <c r="AE174" s="1211"/>
      <c r="AF174" s="1211"/>
      <c r="AG174" s="1211"/>
      <c r="AH174" s="1211"/>
      <c r="AI174" s="1211"/>
      <c r="AJ174" s="1211"/>
      <c r="AK174" s="1211"/>
      <c r="AL174" s="1211"/>
      <c r="AM174" s="1211"/>
    </row>
    <row r="175" spans="2:39" s="244" customFormat="1">
      <c r="B175" s="1278"/>
      <c r="C175" s="1282"/>
      <c r="D175" s="1283"/>
      <c r="E175" s="149"/>
      <c r="F175" s="1284"/>
      <c r="G175" s="150"/>
      <c r="H175" s="150"/>
      <c r="I175" s="150"/>
      <c r="J175" s="150"/>
      <c r="K175" s="150"/>
      <c r="L175" s="1676"/>
      <c r="M175" s="1286"/>
      <c r="N175" s="1284"/>
      <c r="O175" s="150"/>
      <c r="P175" s="150"/>
      <c r="Q175" s="1287"/>
      <c r="R175" s="1287"/>
      <c r="S175" s="149"/>
      <c r="T175" s="149"/>
      <c r="U175" s="150"/>
      <c r="V175" s="150"/>
      <c r="W175" s="150"/>
      <c r="X175" s="150"/>
      <c r="Y175" s="150"/>
      <c r="Z175" s="150"/>
      <c r="AA175" s="150"/>
      <c r="AC175" s="1211"/>
      <c r="AD175" s="1211"/>
      <c r="AE175" s="1211"/>
      <c r="AF175" s="1211"/>
      <c r="AG175" s="1211"/>
      <c r="AH175" s="1211"/>
      <c r="AI175" s="1211"/>
      <c r="AJ175" s="1211"/>
      <c r="AK175" s="1211"/>
      <c r="AL175" s="1211"/>
      <c r="AM175" s="1211"/>
    </row>
    <row r="176" spans="2:39" s="244" customFormat="1">
      <c r="B176" s="1278"/>
      <c r="C176" s="1282"/>
      <c r="D176" s="1283"/>
      <c r="E176" s="149"/>
      <c r="F176" s="1284"/>
      <c r="G176" s="150"/>
      <c r="H176" s="150"/>
      <c r="I176" s="150"/>
      <c r="J176" s="150"/>
      <c r="K176" s="150"/>
      <c r="L176" s="1676"/>
      <c r="M176" s="1286"/>
      <c r="N176" s="1284"/>
      <c r="O176" s="150"/>
      <c r="P176" s="150"/>
      <c r="Q176" s="1287"/>
      <c r="R176" s="1287"/>
      <c r="S176" s="149"/>
      <c r="T176" s="149"/>
      <c r="U176" s="150"/>
      <c r="V176" s="150"/>
      <c r="W176" s="150"/>
      <c r="X176" s="150"/>
      <c r="Y176" s="150"/>
      <c r="Z176" s="150"/>
      <c r="AA176" s="150"/>
      <c r="AC176" s="1211"/>
      <c r="AD176" s="1211"/>
      <c r="AE176" s="1211"/>
      <c r="AF176" s="1211"/>
      <c r="AG176" s="1211"/>
      <c r="AH176" s="1211"/>
      <c r="AI176" s="1211"/>
      <c r="AJ176" s="1211"/>
      <c r="AK176" s="1211"/>
      <c r="AL176" s="1211"/>
      <c r="AM176" s="1211"/>
    </row>
    <row r="177" spans="2:39" s="244" customFormat="1">
      <c r="B177" s="1278"/>
      <c r="C177" s="1282"/>
      <c r="D177" s="1283"/>
      <c r="E177" s="149"/>
      <c r="F177" s="1284"/>
      <c r="G177" s="150"/>
      <c r="H177" s="150"/>
      <c r="I177" s="150"/>
      <c r="J177" s="150"/>
      <c r="K177" s="150"/>
      <c r="L177" s="1676"/>
      <c r="M177" s="1286"/>
      <c r="N177" s="1284"/>
      <c r="O177" s="150"/>
      <c r="P177" s="150"/>
      <c r="Q177" s="1287"/>
      <c r="R177" s="1287"/>
      <c r="S177" s="149"/>
      <c r="T177" s="149"/>
      <c r="U177" s="150"/>
      <c r="V177" s="150"/>
      <c r="W177" s="150"/>
      <c r="X177" s="150"/>
      <c r="Y177" s="150"/>
      <c r="Z177" s="150"/>
      <c r="AA177" s="150"/>
      <c r="AC177" s="1211"/>
      <c r="AD177" s="1211"/>
      <c r="AE177" s="1211"/>
      <c r="AF177" s="1211"/>
      <c r="AG177" s="1211"/>
      <c r="AH177" s="1211"/>
      <c r="AI177" s="1211"/>
      <c r="AJ177" s="1211"/>
      <c r="AK177" s="1211"/>
      <c r="AL177" s="1211"/>
      <c r="AM177" s="1211"/>
    </row>
    <row r="178" spans="2:39" s="244" customFormat="1">
      <c r="B178" s="1278"/>
      <c r="C178" s="1282"/>
      <c r="D178" s="1283"/>
      <c r="E178" s="149"/>
      <c r="F178" s="1284"/>
      <c r="G178" s="150"/>
      <c r="H178" s="150"/>
      <c r="I178" s="150"/>
      <c r="J178" s="150"/>
      <c r="K178" s="150"/>
      <c r="L178" s="1676"/>
      <c r="M178" s="1286"/>
      <c r="N178" s="1284"/>
      <c r="O178" s="150"/>
      <c r="P178" s="150"/>
      <c r="Q178" s="1287"/>
      <c r="R178" s="1287"/>
      <c r="S178" s="149"/>
      <c r="T178" s="149"/>
      <c r="U178" s="150"/>
      <c r="V178" s="150"/>
      <c r="W178" s="150"/>
      <c r="X178" s="150"/>
      <c r="Y178" s="150"/>
      <c r="Z178" s="150"/>
      <c r="AA178" s="150"/>
      <c r="AC178" s="1211"/>
      <c r="AD178" s="1211"/>
      <c r="AE178" s="1211"/>
      <c r="AF178" s="1211"/>
      <c r="AG178" s="1211"/>
      <c r="AH178" s="1211"/>
      <c r="AI178" s="1211"/>
      <c r="AJ178" s="1211"/>
      <c r="AK178" s="1211"/>
      <c r="AL178" s="1211"/>
      <c r="AM178" s="1211"/>
    </row>
    <row r="179" spans="2:39" s="244" customFormat="1">
      <c r="B179" s="1278"/>
      <c r="C179" s="1282"/>
      <c r="D179" s="1283"/>
      <c r="E179" s="149"/>
      <c r="F179" s="1284"/>
      <c r="G179" s="150"/>
      <c r="H179" s="150"/>
      <c r="I179" s="150"/>
      <c r="J179" s="150"/>
      <c r="K179" s="150"/>
      <c r="L179" s="1676"/>
      <c r="M179" s="1286"/>
      <c r="N179" s="1284"/>
      <c r="O179" s="150"/>
      <c r="P179" s="150"/>
      <c r="Q179" s="1287"/>
      <c r="R179" s="1287"/>
      <c r="S179" s="149"/>
      <c r="T179" s="149"/>
      <c r="U179" s="150"/>
      <c r="V179" s="150"/>
      <c r="W179" s="150"/>
      <c r="X179" s="150"/>
      <c r="Y179" s="150"/>
      <c r="Z179" s="150"/>
      <c r="AA179" s="150"/>
      <c r="AC179" s="1211"/>
      <c r="AD179" s="1211"/>
      <c r="AE179" s="1211"/>
      <c r="AF179" s="1211"/>
      <c r="AG179" s="1211"/>
      <c r="AH179" s="1211"/>
      <c r="AI179" s="1211"/>
      <c r="AJ179" s="1211"/>
      <c r="AK179" s="1211"/>
      <c r="AL179" s="1211"/>
      <c r="AM179" s="1211"/>
    </row>
    <row r="180" spans="2:39" s="244" customFormat="1">
      <c r="B180" s="1278"/>
      <c r="C180" s="1282"/>
      <c r="D180" s="1283"/>
      <c r="E180" s="149"/>
      <c r="F180" s="1284"/>
      <c r="G180" s="150"/>
      <c r="H180" s="150"/>
      <c r="I180" s="150"/>
      <c r="J180" s="150"/>
      <c r="K180" s="150"/>
      <c r="L180" s="1676"/>
      <c r="M180" s="1286"/>
      <c r="N180" s="1284"/>
      <c r="O180" s="150"/>
      <c r="P180" s="150"/>
      <c r="Q180" s="1287"/>
      <c r="R180" s="1287"/>
      <c r="S180" s="149"/>
      <c r="T180" s="149"/>
      <c r="U180" s="150"/>
      <c r="V180" s="150"/>
      <c r="W180" s="150"/>
      <c r="X180" s="150"/>
      <c r="Y180" s="150"/>
      <c r="Z180" s="150"/>
      <c r="AA180" s="150"/>
      <c r="AC180" s="1211"/>
      <c r="AD180" s="1211"/>
      <c r="AE180" s="1211"/>
      <c r="AF180" s="1211"/>
      <c r="AG180" s="1211"/>
      <c r="AH180" s="1211"/>
      <c r="AI180" s="1211"/>
      <c r="AJ180" s="1211"/>
      <c r="AK180" s="1211"/>
      <c r="AL180" s="1211"/>
      <c r="AM180" s="1211"/>
    </row>
    <row r="181" spans="2:39" s="244" customFormat="1">
      <c r="B181" s="1278"/>
      <c r="C181" s="1282"/>
      <c r="D181" s="1283"/>
      <c r="E181" s="149"/>
      <c r="F181" s="1284"/>
      <c r="G181" s="150"/>
      <c r="H181" s="150"/>
      <c r="I181" s="150"/>
      <c r="J181" s="150"/>
      <c r="K181" s="150"/>
      <c r="L181" s="1676"/>
      <c r="M181" s="1286"/>
      <c r="N181" s="1284"/>
      <c r="O181" s="150"/>
      <c r="P181" s="150"/>
      <c r="Q181" s="1287"/>
      <c r="R181" s="1287"/>
      <c r="S181" s="149"/>
      <c r="T181" s="149"/>
      <c r="U181" s="150"/>
      <c r="V181" s="150"/>
      <c r="W181" s="150"/>
      <c r="X181" s="150"/>
      <c r="Y181" s="150"/>
      <c r="Z181" s="150"/>
      <c r="AA181" s="150"/>
      <c r="AC181" s="1211"/>
      <c r="AD181" s="1211"/>
      <c r="AE181" s="1211"/>
      <c r="AF181" s="1211"/>
      <c r="AG181" s="1211"/>
      <c r="AH181" s="1211"/>
      <c r="AI181" s="1211"/>
      <c r="AJ181" s="1211"/>
      <c r="AK181" s="1211"/>
      <c r="AL181" s="1211"/>
      <c r="AM181" s="1211"/>
    </row>
    <row r="182" spans="2:39" s="244" customFormat="1">
      <c r="B182" s="1278"/>
      <c r="C182" s="1282"/>
      <c r="D182" s="1283"/>
      <c r="E182" s="149"/>
      <c r="F182" s="1284"/>
      <c r="G182" s="150"/>
      <c r="H182" s="150"/>
      <c r="I182" s="150"/>
      <c r="J182" s="150"/>
      <c r="K182" s="150"/>
      <c r="L182" s="1676"/>
      <c r="M182" s="1286"/>
      <c r="N182" s="1284"/>
      <c r="O182" s="150"/>
      <c r="P182" s="150"/>
      <c r="Q182" s="1287"/>
      <c r="R182" s="1287"/>
      <c r="S182" s="149"/>
      <c r="T182" s="149"/>
      <c r="U182" s="150"/>
      <c r="V182" s="150"/>
      <c r="W182" s="150"/>
      <c r="X182" s="150"/>
      <c r="Y182" s="150"/>
      <c r="Z182" s="150"/>
      <c r="AA182" s="150"/>
      <c r="AC182" s="1211"/>
      <c r="AD182" s="1211"/>
      <c r="AE182" s="1211"/>
      <c r="AF182" s="1211"/>
      <c r="AG182" s="1211"/>
      <c r="AH182" s="1211"/>
      <c r="AI182" s="1211"/>
      <c r="AJ182" s="1211"/>
      <c r="AK182" s="1211"/>
      <c r="AL182" s="1211"/>
      <c r="AM182" s="1211"/>
    </row>
    <row r="183" spans="2:39" s="244" customFormat="1">
      <c r="B183" s="1278"/>
      <c r="C183" s="1282"/>
      <c r="D183" s="1283"/>
      <c r="E183" s="149"/>
      <c r="F183" s="1284"/>
      <c r="G183" s="150"/>
      <c r="H183" s="150"/>
      <c r="I183" s="150"/>
      <c r="J183" s="150"/>
      <c r="K183" s="150"/>
      <c r="L183" s="1676"/>
      <c r="M183" s="1286"/>
      <c r="N183" s="1284"/>
      <c r="O183" s="150"/>
      <c r="P183" s="150"/>
      <c r="Q183" s="1287"/>
      <c r="R183" s="1287"/>
      <c r="S183" s="149"/>
      <c r="T183" s="149"/>
      <c r="U183" s="150"/>
      <c r="V183" s="150"/>
      <c r="W183" s="150"/>
      <c r="X183" s="150"/>
      <c r="Y183" s="150"/>
      <c r="Z183" s="150"/>
      <c r="AA183" s="150"/>
      <c r="AC183" s="1211"/>
      <c r="AD183" s="1211"/>
      <c r="AE183" s="1211"/>
      <c r="AF183" s="1211"/>
      <c r="AG183" s="1211"/>
      <c r="AH183" s="1211"/>
      <c r="AI183" s="1211"/>
      <c r="AJ183" s="1211"/>
      <c r="AK183" s="1211"/>
      <c r="AL183" s="1211"/>
      <c r="AM183" s="1211"/>
    </row>
    <row r="184" spans="2:39" s="244" customFormat="1">
      <c r="B184" s="1278"/>
      <c r="C184" s="1282"/>
      <c r="D184" s="1283"/>
      <c r="E184" s="149"/>
      <c r="F184" s="1284"/>
      <c r="G184" s="150"/>
      <c r="H184" s="150"/>
      <c r="I184" s="150"/>
      <c r="J184" s="150"/>
      <c r="K184" s="150"/>
      <c r="L184" s="1676"/>
      <c r="M184" s="1286"/>
      <c r="N184" s="1284"/>
      <c r="O184" s="150"/>
      <c r="P184" s="150"/>
      <c r="Q184" s="1287"/>
      <c r="R184" s="1287"/>
      <c r="S184" s="149"/>
      <c r="T184" s="149"/>
      <c r="U184" s="150"/>
      <c r="V184" s="150"/>
      <c r="W184" s="150"/>
      <c r="X184" s="150"/>
      <c r="Y184" s="150"/>
      <c r="Z184" s="150"/>
      <c r="AA184" s="150"/>
      <c r="AC184" s="1211"/>
      <c r="AD184" s="1211"/>
      <c r="AE184" s="1211"/>
      <c r="AF184" s="1211"/>
      <c r="AG184" s="1211"/>
      <c r="AH184" s="1211"/>
      <c r="AI184" s="1211"/>
      <c r="AJ184" s="1211"/>
      <c r="AK184" s="1211"/>
      <c r="AL184" s="1211"/>
      <c r="AM184" s="1211"/>
    </row>
    <row r="185" spans="2:39" s="244" customFormat="1">
      <c r="B185" s="1278"/>
      <c r="C185" s="1282"/>
      <c r="D185" s="1283"/>
      <c r="E185" s="149"/>
      <c r="F185" s="1284"/>
      <c r="G185" s="150"/>
      <c r="H185" s="150"/>
      <c r="I185" s="150"/>
      <c r="J185" s="150"/>
      <c r="K185" s="150"/>
      <c r="L185" s="1676"/>
      <c r="M185" s="1286"/>
      <c r="N185" s="1284"/>
      <c r="O185" s="150"/>
      <c r="P185" s="150"/>
      <c r="Q185" s="1287"/>
      <c r="R185" s="1287"/>
      <c r="S185" s="149"/>
      <c r="T185" s="149"/>
      <c r="U185" s="150"/>
      <c r="V185" s="150"/>
      <c r="W185" s="150"/>
      <c r="X185" s="150"/>
      <c r="Y185" s="150"/>
      <c r="Z185" s="150"/>
      <c r="AA185" s="150"/>
      <c r="AC185" s="1211"/>
      <c r="AD185" s="1211"/>
      <c r="AE185" s="1211"/>
      <c r="AF185" s="1211"/>
      <c r="AG185" s="1211"/>
      <c r="AH185" s="1211"/>
      <c r="AI185" s="1211"/>
      <c r="AJ185" s="1211"/>
      <c r="AK185" s="1211"/>
      <c r="AL185" s="1211"/>
      <c r="AM185" s="1211"/>
    </row>
    <row r="186" spans="2:39" s="244" customFormat="1">
      <c r="B186" s="1278"/>
      <c r="C186" s="1282"/>
      <c r="D186" s="1283"/>
      <c r="E186" s="149"/>
      <c r="F186" s="1284"/>
      <c r="G186" s="150"/>
      <c r="H186" s="150"/>
      <c r="I186" s="150"/>
      <c r="J186" s="150"/>
      <c r="K186" s="150"/>
      <c r="L186" s="1676"/>
      <c r="M186" s="1286"/>
      <c r="N186" s="1284"/>
      <c r="O186" s="150"/>
      <c r="P186" s="150"/>
      <c r="Q186" s="1287"/>
      <c r="R186" s="1287"/>
      <c r="S186" s="149"/>
      <c r="T186" s="149"/>
      <c r="U186" s="150"/>
      <c r="V186" s="150"/>
      <c r="W186" s="150"/>
      <c r="X186" s="150"/>
      <c r="Y186" s="150"/>
      <c r="Z186" s="150"/>
      <c r="AA186" s="150"/>
      <c r="AC186" s="1211"/>
      <c r="AD186" s="1211"/>
      <c r="AE186" s="1211"/>
      <c r="AF186" s="1211"/>
      <c r="AG186" s="1211"/>
      <c r="AH186" s="1211"/>
      <c r="AI186" s="1211"/>
      <c r="AJ186" s="1211"/>
      <c r="AK186" s="1211"/>
      <c r="AL186" s="1211"/>
      <c r="AM186" s="1211"/>
    </row>
    <row r="187" spans="2:39" s="244" customFormat="1">
      <c r="B187" s="1278"/>
      <c r="C187" s="1282"/>
      <c r="D187" s="1283"/>
      <c r="E187" s="149"/>
      <c r="F187" s="1284"/>
      <c r="G187" s="150"/>
      <c r="H187" s="150"/>
      <c r="I187" s="150"/>
      <c r="J187" s="150"/>
      <c r="K187" s="150"/>
      <c r="L187" s="1676"/>
      <c r="M187" s="1286"/>
      <c r="N187" s="1284"/>
      <c r="O187" s="150"/>
      <c r="P187" s="150"/>
      <c r="Q187" s="1287"/>
      <c r="R187" s="1287"/>
      <c r="S187" s="149"/>
      <c r="T187" s="149"/>
      <c r="U187" s="150"/>
      <c r="V187" s="150"/>
      <c r="W187" s="150"/>
      <c r="X187" s="150"/>
      <c r="Y187" s="150"/>
      <c r="Z187" s="150"/>
      <c r="AA187" s="150"/>
      <c r="AC187" s="1211"/>
      <c r="AD187" s="1211"/>
      <c r="AE187" s="1211"/>
      <c r="AF187" s="1211"/>
      <c r="AG187" s="1211"/>
      <c r="AH187" s="1211"/>
      <c r="AI187" s="1211"/>
      <c r="AJ187" s="1211"/>
      <c r="AK187" s="1211"/>
      <c r="AL187" s="1211"/>
      <c r="AM187" s="1211"/>
    </row>
    <row r="188" spans="2:39" s="244" customFormat="1">
      <c r="B188" s="1278"/>
      <c r="C188" s="1282"/>
      <c r="D188" s="1283"/>
      <c r="E188" s="149"/>
      <c r="F188" s="1284"/>
      <c r="G188" s="150"/>
      <c r="H188" s="150"/>
      <c r="I188" s="150"/>
      <c r="J188" s="150"/>
      <c r="K188" s="150"/>
      <c r="L188" s="1676"/>
      <c r="M188" s="1286"/>
      <c r="N188" s="1284"/>
      <c r="O188" s="150"/>
      <c r="P188" s="150"/>
      <c r="Q188" s="1287"/>
      <c r="R188" s="1287"/>
      <c r="S188" s="149"/>
      <c r="T188" s="149"/>
      <c r="U188" s="150"/>
      <c r="V188" s="150"/>
      <c r="W188" s="150"/>
      <c r="X188" s="150"/>
      <c r="Y188" s="150"/>
      <c r="Z188" s="150"/>
      <c r="AA188" s="150"/>
      <c r="AC188" s="1211"/>
      <c r="AD188" s="1211"/>
      <c r="AE188" s="1211"/>
      <c r="AF188" s="1211"/>
      <c r="AG188" s="1211"/>
      <c r="AH188" s="1211"/>
      <c r="AI188" s="1211"/>
      <c r="AJ188" s="1211"/>
      <c r="AK188" s="1211"/>
      <c r="AL188" s="1211"/>
      <c r="AM188" s="1211"/>
    </row>
    <row r="189" spans="2:39" s="244" customFormat="1">
      <c r="B189" s="1278"/>
      <c r="C189" s="1282"/>
      <c r="D189" s="1283"/>
      <c r="E189" s="149"/>
      <c r="F189" s="1284"/>
      <c r="G189" s="150"/>
      <c r="H189" s="150"/>
      <c r="I189" s="150"/>
      <c r="J189" s="150"/>
      <c r="K189" s="150"/>
      <c r="L189" s="1676"/>
      <c r="M189" s="1286"/>
      <c r="N189" s="1284"/>
      <c r="O189" s="150"/>
      <c r="P189" s="150"/>
      <c r="Q189" s="1287"/>
      <c r="R189" s="1287"/>
      <c r="S189" s="149"/>
      <c r="T189" s="149"/>
      <c r="U189" s="150"/>
      <c r="V189" s="150"/>
      <c r="W189" s="150"/>
      <c r="X189" s="150"/>
      <c r="Y189" s="150"/>
      <c r="Z189" s="150"/>
      <c r="AA189" s="150"/>
      <c r="AC189" s="1211"/>
      <c r="AD189" s="1211"/>
      <c r="AE189" s="1211"/>
      <c r="AF189" s="1211"/>
      <c r="AG189" s="1211"/>
      <c r="AH189" s="1211"/>
      <c r="AI189" s="1211"/>
      <c r="AJ189" s="1211"/>
      <c r="AK189" s="1211"/>
      <c r="AL189" s="1211"/>
      <c r="AM189" s="1211"/>
    </row>
    <row r="190" spans="2:39" s="244" customFormat="1">
      <c r="B190" s="1278"/>
      <c r="C190" s="1282"/>
      <c r="D190" s="1283"/>
      <c r="E190" s="149"/>
      <c r="F190" s="1284"/>
      <c r="G190" s="150"/>
      <c r="H190" s="150"/>
      <c r="I190" s="150"/>
      <c r="J190" s="150"/>
      <c r="K190" s="150"/>
      <c r="L190" s="1676"/>
      <c r="M190" s="1286"/>
      <c r="N190" s="1284"/>
      <c r="O190" s="150"/>
      <c r="P190" s="150"/>
      <c r="Q190" s="1287"/>
      <c r="R190" s="1287"/>
      <c r="S190" s="149"/>
      <c r="T190" s="149"/>
      <c r="U190" s="150"/>
      <c r="V190" s="150"/>
      <c r="W190" s="150"/>
      <c r="X190" s="150"/>
      <c r="Y190" s="150"/>
      <c r="Z190" s="150"/>
      <c r="AA190" s="150"/>
      <c r="AC190" s="1211"/>
      <c r="AD190" s="1211"/>
      <c r="AE190" s="1211"/>
      <c r="AF190" s="1211"/>
      <c r="AG190" s="1211"/>
      <c r="AH190" s="1211"/>
      <c r="AI190" s="1211"/>
      <c r="AJ190" s="1211"/>
      <c r="AK190" s="1211"/>
      <c r="AL190" s="1211"/>
      <c r="AM190" s="1211"/>
    </row>
    <row r="191" spans="2:39" s="244" customFormat="1">
      <c r="B191" s="1278"/>
      <c r="C191" s="1282"/>
      <c r="D191" s="1283"/>
      <c r="E191" s="149"/>
      <c r="F191" s="1284"/>
      <c r="G191" s="150"/>
      <c r="H191" s="150"/>
      <c r="I191" s="150"/>
      <c r="J191" s="150"/>
      <c r="K191" s="150"/>
      <c r="L191" s="1676"/>
      <c r="M191" s="1286"/>
      <c r="N191" s="1284"/>
      <c r="O191" s="150"/>
      <c r="P191" s="150"/>
      <c r="Q191" s="1287"/>
      <c r="R191" s="1287"/>
      <c r="S191" s="149"/>
      <c r="T191" s="149"/>
      <c r="U191" s="150"/>
      <c r="V191" s="150"/>
      <c r="W191" s="150"/>
      <c r="X191" s="150"/>
      <c r="Y191" s="150"/>
      <c r="Z191" s="150"/>
      <c r="AA191" s="150"/>
      <c r="AC191" s="1211"/>
      <c r="AD191" s="1211"/>
      <c r="AE191" s="1211"/>
      <c r="AF191" s="1211"/>
      <c r="AG191" s="1211"/>
      <c r="AH191" s="1211"/>
      <c r="AI191" s="1211"/>
      <c r="AJ191" s="1211"/>
      <c r="AK191" s="1211"/>
      <c r="AL191" s="1211"/>
      <c r="AM191" s="1211"/>
    </row>
    <row r="192" spans="2:39" s="244" customFormat="1">
      <c r="B192" s="1278"/>
      <c r="C192" s="1282"/>
      <c r="D192" s="1283"/>
      <c r="E192" s="149"/>
      <c r="F192" s="1284"/>
      <c r="G192" s="150"/>
      <c r="H192" s="150"/>
      <c r="I192" s="150"/>
      <c r="J192" s="150"/>
      <c r="K192" s="150"/>
      <c r="L192" s="1676"/>
      <c r="M192" s="1286"/>
      <c r="N192" s="1284"/>
      <c r="O192" s="150"/>
      <c r="P192" s="150"/>
      <c r="Q192" s="1287"/>
      <c r="R192" s="1287"/>
      <c r="S192" s="149"/>
      <c r="T192" s="149"/>
      <c r="U192" s="150"/>
      <c r="V192" s="150"/>
      <c r="W192" s="150"/>
      <c r="X192" s="150"/>
      <c r="Y192" s="150"/>
      <c r="Z192" s="150"/>
      <c r="AA192" s="150"/>
      <c r="AC192" s="1211"/>
      <c r="AD192" s="1211"/>
      <c r="AE192" s="1211"/>
      <c r="AF192" s="1211"/>
      <c r="AG192" s="1211"/>
      <c r="AH192" s="1211"/>
      <c r="AI192" s="1211"/>
      <c r="AJ192" s="1211"/>
      <c r="AK192" s="1211"/>
      <c r="AL192" s="1211"/>
      <c r="AM192" s="1211"/>
    </row>
    <row r="193" spans="2:41" s="244" customFormat="1">
      <c r="B193" s="1278"/>
      <c r="C193" s="1282"/>
      <c r="D193" s="1283"/>
      <c r="E193" s="149"/>
      <c r="F193" s="1284"/>
      <c r="G193" s="150"/>
      <c r="H193" s="150"/>
      <c r="I193" s="150"/>
      <c r="J193" s="150"/>
      <c r="K193" s="150"/>
      <c r="L193" s="1676"/>
      <c r="M193" s="1286"/>
      <c r="N193" s="1284"/>
      <c r="O193" s="150"/>
      <c r="P193" s="150"/>
      <c r="Q193" s="1287"/>
      <c r="R193" s="1287"/>
      <c r="S193" s="149"/>
      <c r="T193" s="149"/>
      <c r="U193" s="150"/>
      <c r="V193" s="150"/>
      <c r="W193" s="150"/>
      <c r="X193" s="150"/>
      <c r="Y193" s="150"/>
      <c r="Z193" s="150"/>
      <c r="AA193" s="150"/>
      <c r="AC193" s="1211"/>
      <c r="AD193" s="1211"/>
      <c r="AE193" s="1211"/>
      <c r="AF193" s="1211"/>
      <c r="AG193" s="1211"/>
      <c r="AH193" s="1211"/>
      <c r="AI193" s="1211"/>
      <c r="AJ193" s="1211"/>
      <c r="AK193" s="1211"/>
      <c r="AL193" s="1211"/>
      <c r="AM193" s="1211"/>
    </row>
    <row r="194" spans="2:41" s="244" customFormat="1">
      <c r="B194" s="220"/>
      <c r="D194" s="1289"/>
      <c r="E194" s="1211"/>
      <c r="F194" s="1290"/>
      <c r="G194" s="1291"/>
      <c r="H194" s="1291"/>
      <c r="I194" s="1291"/>
      <c r="J194" s="1291"/>
      <c r="K194" s="1291"/>
      <c r="L194" s="1677"/>
      <c r="M194" s="1244"/>
      <c r="N194" s="1290"/>
      <c r="O194" s="150"/>
      <c r="P194" s="150"/>
      <c r="Q194" s="1287"/>
      <c r="R194" s="1287"/>
      <c r="S194" s="149"/>
      <c r="T194" s="149"/>
      <c r="U194" s="150"/>
      <c r="V194" s="150"/>
      <c r="W194" s="150"/>
      <c r="X194" s="150"/>
      <c r="Y194" s="150"/>
      <c r="Z194" s="150"/>
      <c r="AA194" s="150"/>
      <c r="AC194" s="1211"/>
      <c r="AD194" s="1211"/>
      <c r="AE194" s="1211"/>
      <c r="AF194" s="1211"/>
      <c r="AG194" s="1211"/>
      <c r="AH194" s="1211"/>
      <c r="AI194" s="1211"/>
      <c r="AJ194" s="1211"/>
      <c r="AK194" s="1211"/>
      <c r="AL194" s="1211"/>
      <c r="AM194" s="1211"/>
    </row>
    <row r="195" spans="2:41" s="244" customFormat="1">
      <c r="B195" s="220"/>
      <c r="D195" s="1289"/>
      <c r="E195" s="1211"/>
      <c r="F195" s="1290"/>
      <c r="G195" s="1291"/>
      <c r="H195" s="1291"/>
      <c r="I195" s="1291"/>
      <c r="J195" s="1291"/>
      <c r="K195" s="1291"/>
      <c r="L195" s="1677"/>
      <c r="M195" s="1244"/>
      <c r="N195" s="1290"/>
      <c r="O195" s="150"/>
      <c r="P195" s="150"/>
      <c r="Q195" s="1287"/>
      <c r="R195" s="1287"/>
      <c r="S195" s="149"/>
      <c r="T195" s="149"/>
      <c r="U195" s="150"/>
      <c r="V195" s="150"/>
      <c r="W195" s="150"/>
      <c r="X195" s="150"/>
      <c r="Y195" s="150"/>
      <c r="Z195" s="150"/>
      <c r="AA195" s="150"/>
      <c r="AC195" s="1211"/>
      <c r="AD195" s="1211"/>
      <c r="AE195" s="1211"/>
      <c r="AF195" s="1211"/>
      <c r="AG195" s="1211"/>
      <c r="AH195" s="1211"/>
      <c r="AI195" s="1211"/>
      <c r="AJ195" s="1211"/>
      <c r="AK195" s="1211"/>
      <c r="AL195" s="1211"/>
      <c r="AM195" s="1211"/>
    </row>
    <row r="196" spans="2:41" s="244" customFormat="1">
      <c r="B196" s="220"/>
      <c r="D196" s="1289"/>
      <c r="E196" s="1211"/>
      <c r="F196" s="1290"/>
      <c r="G196" s="1291"/>
      <c r="H196" s="1291"/>
      <c r="I196" s="1291"/>
      <c r="J196" s="1291"/>
      <c r="K196" s="1291"/>
      <c r="L196" s="1677"/>
      <c r="M196" s="1244"/>
      <c r="N196" s="1290"/>
      <c r="O196" s="150"/>
      <c r="P196" s="150"/>
      <c r="Q196" s="1287"/>
      <c r="R196" s="1287"/>
      <c r="S196" s="149"/>
      <c r="T196" s="149"/>
      <c r="U196" s="150"/>
      <c r="V196" s="150"/>
      <c r="W196" s="150"/>
      <c r="X196" s="150"/>
      <c r="Y196" s="150"/>
      <c r="Z196" s="150"/>
      <c r="AA196" s="150"/>
      <c r="AC196" s="1211"/>
      <c r="AD196" s="1211"/>
      <c r="AE196" s="1211"/>
      <c r="AF196" s="1211"/>
      <c r="AG196" s="1211"/>
      <c r="AH196" s="1211"/>
      <c r="AI196" s="1211"/>
      <c r="AJ196" s="1211"/>
      <c r="AK196" s="1211"/>
      <c r="AL196" s="1211"/>
      <c r="AM196" s="1211"/>
    </row>
    <row r="197" spans="2:41" s="244" customFormat="1">
      <c r="B197" s="220"/>
      <c r="D197" s="1289"/>
      <c r="E197" s="1211"/>
      <c r="F197" s="1290"/>
      <c r="G197" s="1291"/>
      <c r="H197" s="1291"/>
      <c r="I197" s="1291"/>
      <c r="J197" s="1291"/>
      <c r="K197" s="1291"/>
      <c r="L197" s="1677"/>
      <c r="M197" s="1244"/>
      <c r="N197" s="1290"/>
      <c r="O197" s="150"/>
      <c r="P197" s="150"/>
      <c r="Q197" s="1287"/>
      <c r="R197" s="1287"/>
      <c r="S197" s="149"/>
      <c r="T197" s="149"/>
      <c r="U197" s="150"/>
      <c r="V197" s="150"/>
      <c r="W197" s="150"/>
      <c r="X197" s="150"/>
      <c r="Y197" s="150"/>
      <c r="Z197" s="150"/>
      <c r="AA197" s="150"/>
      <c r="AC197" s="1211"/>
      <c r="AD197" s="1211"/>
      <c r="AE197" s="1211"/>
      <c r="AF197" s="1211"/>
      <c r="AG197" s="1211"/>
      <c r="AH197" s="1211"/>
      <c r="AI197" s="1211"/>
      <c r="AJ197" s="1211"/>
      <c r="AK197" s="1211"/>
      <c r="AL197" s="1211"/>
      <c r="AM197" s="1211"/>
    </row>
    <row r="198" spans="2:41" s="244" customFormat="1">
      <c r="B198" s="220"/>
      <c r="D198" s="1289"/>
      <c r="E198" s="1211"/>
      <c r="F198" s="1290"/>
      <c r="G198" s="1291"/>
      <c r="H198" s="1291"/>
      <c r="I198" s="1291"/>
      <c r="J198" s="1291"/>
      <c r="K198" s="1291"/>
      <c r="L198" s="1677"/>
      <c r="M198" s="1244"/>
      <c r="N198" s="1290"/>
      <c r="O198" s="150"/>
      <c r="P198" s="150"/>
      <c r="Q198" s="1287"/>
      <c r="R198" s="1287"/>
      <c r="S198" s="149"/>
      <c r="T198" s="149"/>
      <c r="U198" s="150">
        <f>SUBTOTAL(9,U156:U197)</f>
        <v>0</v>
      </c>
      <c r="V198" s="150">
        <f t="shared" ref="V198:AA198" si="102">SUBTOTAL(9,V156:V197)</f>
        <v>0</v>
      </c>
      <c r="W198" s="150">
        <f t="shared" si="102"/>
        <v>0</v>
      </c>
      <c r="X198" s="150">
        <f t="shared" si="102"/>
        <v>0</v>
      </c>
      <c r="Y198" s="150">
        <f t="shared" si="102"/>
        <v>0</v>
      </c>
      <c r="Z198" s="150">
        <f t="shared" si="102"/>
        <v>0</v>
      </c>
      <c r="AA198" s="150">
        <f t="shared" si="102"/>
        <v>0</v>
      </c>
      <c r="AC198" s="1211"/>
      <c r="AD198" s="1211"/>
      <c r="AE198" s="1211"/>
      <c r="AF198" s="1211"/>
      <c r="AG198" s="1211"/>
      <c r="AH198" s="1211"/>
      <c r="AI198" s="1211"/>
      <c r="AJ198" s="1211"/>
      <c r="AK198" s="1211"/>
      <c r="AL198" s="1211"/>
      <c r="AM198" s="1211"/>
    </row>
    <row r="199" spans="2:41" s="244" customFormat="1" ht="12" thickBot="1">
      <c r="B199" s="220"/>
      <c r="D199" s="1289"/>
      <c r="E199" s="1211"/>
      <c r="F199" s="1290"/>
      <c r="G199" s="1291"/>
      <c r="H199" s="1291"/>
      <c r="I199" s="1291"/>
      <c r="J199" s="1291"/>
      <c r="K199" s="1291"/>
      <c r="L199" s="1677"/>
      <c r="M199" s="1244"/>
      <c r="N199" s="1290"/>
      <c r="O199" s="150"/>
      <c r="P199" s="150"/>
      <c r="Q199" s="1287"/>
      <c r="R199" s="1287"/>
      <c r="S199" s="149"/>
      <c r="T199" s="149"/>
      <c r="U199" s="150"/>
      <c r="V199" s="150"/>
      <c r="W199" s="150"/>
      <c r="X199" s="150"/>
      <c r="Y199" s="150"/>
      <c r="Z199" s="150"/>
      <c r="AA199" s="150"/>
      <c r="AC199" s="1211"/>
      <c r="AD199" s="1211"/>
      <c r="AE199" s="1211"/>
      <c r="AF199" s="1211"/>
      <c r="AG199" s="1211"/>
      <c r="AH199" s="1211"/>
      <c r="AI199" s="1211"/>
      <c r="AJ199" s="1211"/>
      <c r="AK199" s="1211"/>
      <c r="AL199" s="1211"/>
      <c r="AM199" s="1211"/>
    </row>
    <row r="200" spans="2:41" s="244" customFormat="1" ht="13" thickTop="1" thickBot="1">
      <c r="B200" s="220"/>
      <c r="D200" s="1289"/>
      <c r="E200" s="1211"/>
      <c r="F200" s="1290"/>
      <c r="G200" s="1291"/>
      <c r="H200" s="1291"/>
      <c r="I200" s="1291"/>
      <c r="J200" s="1291"/>
      <c r="K200" s="1291"/>
      <c r="L200" s="1677"/>
      <c r="M200" s="1244"/>
      <c r="N200" s="1290"/>
      <c r="O200" s="150"/>
      <c r="P200" s="150"/>
      <c r="Q200" s="1287"/>
      <c r="R200" s="1287"/>
      <c r="S200" s="1287"/>
      <c r="T200" s="1287"/>
      <c r="U200" s="151">
        <f>SUBTOTAL(9,U158:U199)</f>
        <v>0</v>
      </c>
      <c r="V200" s="152">
        <f t="shared" ref="V200:AA200" si="103">SUBTOTAL(9,V158:V199)</f>
        <v>0</v>
      </c>
      <c r="W200" s="153">
        <f t="shared" si="103"/>
        <v>0</v>
      </c>
      <c r="X200" s="153">
        <f t="shared" si="103"/>
        <v>0</v>
      </c>
      <c r="Y200" s="153">
        <f t="shared" si="103"/>
        <v>0</v>
      </c>
      <c r="Z200" s="153">
        <f t="shared" si="103"/>
        <v>0</v>
      </c>
      <c r="AA200" s="154">
        <f t="shared" si="103"/>
        <v>0</v>
      </c>
      <c r="AB200" s="1288"/>
      <c r="AC200" s="1288"/>
      <c r="AE200" s="1211"/>
      <c r="AF200" s="1211"/>
      <c r="AG200" s="1211"/>
      <c r="AH200" s="1211"/>
      <c r="AI200" s="1211"/>
      <c r="AJ200" s="1211"/>
      <c r="AK200" s="1211"/>
      <c r="AL200" s="1211"/>
      <c r="AM200" s="1211"/>
      <c r="AN200" s="1211"/>
      <c r="AO200" s="1211"/>
    </row>
    <row r="201" spans="2:41" s="244" customFormat="1" ht="12" thickTop="1">
      <c r="B201" s="220"/>
      <c r="D201" s="1289"/>
      <c r="E201" s="1211"/>
      <c r="F201" s="1290"/>
      <c r="G201" s="1291"/>
      <c r="H201" s="1291"/>
      <c r="I201" s="1291"/>
      <c r="J201" s="1291"/>
      <c r="K201" s="1291"/>
      <c r="L201" s="1677"/>
      <c r="M201" s="1244"/>
      <c r="N201" s="1290"/>
      <c r="O201" s="150"/>
      <c r="P201" s="150"/>
      <c r="Q201" s="1287"/>
      <c r="R201" s="1287"/>
      <c r="S201" s="149"/>
      <c r="T201" s="149"/>
      <c r="U201" s="150"/>
      <c r="V201" s="150"/>
      <c r="W201" s="150"/>
      <c r="X201" s="150"/>
      <c r="Y201" s="150"/>
      <c r="Z201" s="150"/>
      <c r="AA201" s="150"/>
      <c r="AC201" s="1211"/>
      <c r="AD201" s="1211"/>
      <c r="AE201" s="1211"/>
      <c r="AF201" s="1211"/>
      <c r="AG201" s="1211"/>
      <c r="AH201" s="1211"/>
      <c r="AI201" s="1211"/>
      <c r="AJ201" s="1211"/>
      <c r="AK201" s="1211"/>
      <c r="AL201" s="1211"/>
      <c r="AM201" s="1211"/>
    </row>
    <row r="202" spans="2:41" s="244" customFormat="1">
      <c r="B202" s="220"/>
      <c r="D202" s="1289"/>
      <c r="E202" s="1211"/>
      <c r="F202" s="1290"/>
      <c r="G202" s="1291"/>
      <c r="H202" s="1291"/>
      <c r="I202" s="1291"/>
      <c r="J202" s="1291"/>
      <c r="K202" s="1291"/>
      <c r="L202" s="1677"/>
      <c r="M202" s="1244"/>
      <c r="N202" s="1290"/>
      <c r="O202" s="150"/>
      <c r="P202" s="150"/>
      <c r="Q202" s="1287"/>
      <c r="R202" s="1287"/>
      <c r="S202" s="149"/>
      <c r="T202" s="149"/>
      <c r="U202" s="150"/>
      <c r="V202" s="150"/>
      <c r="W202" s="150"/>
      <c r="X202" s="150"/>
      <c r="Y202" s="150"/>
      <c r="Z202" s="150"/>
      <c r="AA202" s="150"/>
      <c r="AC202" s="1211"/>
      <c r="AD202" s="1211"/>
      <c r="AE202" s="1211"/>
      <c r="AF202" s="1211"/>
      <c r="AG202" s="1211"/>
      <c r="AH202" s="1211"/>
      <c r="AI202" s="1211"/>
      <c r="AJ202" s="1211"/>
      <c r="AK202" s="1211"/>
      <c r="AL202" s="1211"/>
      <c r="AM202" s="1211"/>
    </row>
    <row r="203" spans="2:41" s="244" customFormat="1">
      <c r="B203" s="220"/>
      <c r="D203" s="1289"/>
      <c r="E203" s="1211"/>
      <c r="F203" s="1290"/>
      <c r="G203" s="1291"/>
      <c r="H203" s="1291"/>
      <c r="I203" s="1291"/>
      <c r="J203" s="1291"/>
      <c r="K203" s="1291"/>
      <c r="L203" s="1677"/>
      <c r="M203" s="1244"/>
      <c r="N203" s="1290"/>
      <c r="O203" s="150"/>
      <c r="P203" s="150"/>
      <c r="Q203" s="1287"/>
      <c r="R203" s="1287"/>
      <c r="S203" s="149"/>
      <c r="T203" s="149"/>
      <c r="U203" s="150"/>
      <c r="V203" s="150"/>
      <c r="W203" s="150"/>
      <c r="X203" s="150"/>
      <c r="Y203" s="150"/>
      <c r="Z203" s="150"/>
      <c r="AA203" s="150"/>
      <c r="AC203" s="1211"/>
      <c r="AD203" s="1211"/>
      <c r="AE203" s="1211"/>
      <c r="AF203" s="1211"/>
      <c r="AG203" s="1211"/>
      <c r="AH203" s="1211"/>
      <c r="AI203" s="1211"/>
      <c r="AJ203" s="1211"/>
      <c r="AK203" s="1211"/>
      <c r="AL203" s="1211"/>
      <c r="AM203" s="1211"/>
    </row>
    <row r="204" spans="2:41" s="244" customFormat="1">
      <c r="B204" s="220"/>
      <c r="D204" s="1289"/>
      <c r="E204" s="1211"/>
      <c r="F204" s="1290"/>
      <c r="G204" s="1291"/>
      <c r="H204" s="1291"/>
      <c r="I204" s="1291"/>
      <c r="J204" s="1291"/>
      <c r="K204" s="1291"/>
      <c r="L204" s="1677"/>
      <c r="M204" s="1244"/>
      <c r="N204" s="1290"/>
      <c r="O204" s="150"/>
      <c r="P204" s="150"/>
      <c r="Q204" s="1287"/>
      <c r="R204" s="1287"/>
      <c r="S204" s="149"/>
      <c r="T204" s="149"/>
      <c r="U204" s="150"/>
      <c r="V204" s="150"/>
      <c r="W204" s="150"/>
      <c r="X204" s="150"/>
      <c r="Y204" s="150"/>
      <c r="Z204" s="150"/>
      <c r="AA204" s="150"/>
      <c r="AC204" s="1211"/>
      <c r="AD204" s="1211"/>
      <c r="AE204" s="1211"/>
      <c r="AF204" s="1211"/>
      <c r="AG204" s="1211"/>
      <c r="AH204" s="1211"/>
      <c r="AI204" s="1211"/>
      <c r="AJ204" s="1211"/>
      <c r="AK204" s="1211"/>
      <c r="AL204" s="1211"/>
      <c r="AM204" s="1211"/>
    </row>
    <row r="205" spans="2:41" s="244" customFormat="1">
      <c r="B205" s="220"/>
      <c r="D205" s="1289"/>
      <c r="E205" s="1211"/>
      <c r="F205" s="1290"/>
      <c r="G205" s="1291"/>
      <c r="H205" s="1291"/>
      <c r="I205" s="1291"/>
      <c r="J205" s="1291"/>
      <c r="K205" s="1291"/>
      <c r="L205" s="1677"/>
      <c r="M205" s="1244"/>
      <c r="N205" s="1290"/>
      <c r="O205" s="150"/>
      <c r="P205" s="150"/>
      <c r="Q205" s="1287"/>
      <c r="R205" s="1287"/>
      <c r="S205" s="149"/>
      <c r="T205" s="149"/>
      <c r="U205" s="150"/>
      <c r="V205" s="150"/>
      <c r="W205" s="150"/>
      <c r="X205" s="150"/>
      <c r="Y205" s="150"/>
      <c r="Z205" s="150"/>
      <c r="AA205" s="150"/>
      <c r="AC205" s="1211"/>
      <c r="AD205" s="1211"/>
      <c r="AE205" s="1211"/>
      <c r="AF205" s="1211"/>
      <c r="AG205" s="1211"/>
      <c r="AH205" s="1211"/>
      <c r="AI205" s="1211"/>
      <c r="AJ205" s="1211"/>
      <c r="AK205" s="1211"/>
      <c r="AL205" s="1211"/>
      <c r="AM205" s="1211"/>
    </row>
    <row r="206" spans="2:41" s="244" customFormat="1">
      <c r="B206" s="220"/>
      <c r="D206" s="1289"/>
      <c r="E206" s="1211"/>
      <c r="F206" s="1290"/>
      <c r="G206" s="1291"/>
      <c r="H206" s="1291"/>
      <c r="I206" s="1291"/>
      <c r="J206" s="1291"/>
      <c r="K206" s="1291"/>
      <c r="L206" s="1677"/>
      <c r="M206" s="1244"/>
      <c r="N206" s="1290"/>
      <c r="O206" s="150"/>
      <c r="P206" s="150"/>
      <c r="Q206" s="1287"/>
      <c r="R206" s="1287"/>
      <c r="S206" s="149"/>
      <c r="T206" s="149"/>
      <c r="U206" s="150"/>
      <c r="V206" s="150"/>
      <c r="W206" s="150"/>
      <c r="X206" s="150"/>
      <c r="Y206" s="150"/>
      <c r="Z206" s="150"/>
      <c r="AA206" s="150"/>
      <c r="AC206" s="1211"/>
      <c r="AD206" s="1211"/>
      <c r="AE206" s="1211"/>
      <c r="AF206" s="1211"/>
      <c r="AG206" s="1211"/>
      <c r="AH206" s="1211"/>
      <c r="AI206" s="1211"/>
      <c r="AJ206" s="1211"/>
      <c r="AK206" s="1211"/>
      <c r="AL206" s="1211"/>
      <c r="AM206" s="1211"/>
    </row>
    <row r="207" spans="2:41" s="244" customFormat="1">
      <c r="B207" s="220"/>
      <c r="D207" s="1289"/>
      <c r="E207" s="1211"/>
      <c r="F207" s="1290"/>
      <c r="G207" s="1291"/>
      <c r="H207" s="1291"/>
      <c r="I207" s="1291"/>
      <c r="J207" s="1291"/>
      <c r="K207" s="1291"/>
      <c r="L207" s="1677"/>
      <c r="M207" s="1244"/>
      <c r="N207" s="1290"/>
      <c r="O207" s="150"/>
      <c r="P207" s="150"/>
      <c r="Q207" s="1287"/>
      <c r="R207" s="1287"/>
      <c r="S207" s="149"/>
      <c r="T207" s="149"/>
      <c r="U207" s="150"/>
      <c r="V207" s="150"/>
      <c r="W207" s="150"/>
      <c r="X207" s="150"/>
      <c r="Y207" s="150"/>
      <c r="Z207" s="150"/>
      <c r="AA207" s="150"/>
      <c r="AC207" s="1211"/>
      <c r="AD207" s="1211"/>
      <c r="AE207" s="1211"/>
      <c r="AF207" s="1211"/>
      <c r="AG207" s="1211"/>
      <c r="AH207" s="1211"/>
      <c r="AI207" s="1211"/>
      <c r="AJ207" s="1211"/>
      <c r="AK207" s="1211"/>
      <c r="AL207" s="1211"/>
      <c r="AM207" s="1211"/>
    </row>
    <row r="208" spans="2:41" s="244" customFormat="1">
      <c r="B208" s="220"/>
      <c r="D208" s="1289"/>
      <c r="E208" s="1211"/>
      <c r="F208" s="1290"/>
      <c r="G208" s="1291"/>
      <c r="H208" s="1291"/>
      <c r="I208" s="1291"/>
      <c r="J208" s="1291"/>
      <c r="K208" s="1291"/>
      <c r="L208" s="1677"/>
      <c r="M208" s="1244"/>
      <c r="N208" s="1290"/>
      <c r="O208" s="150"/>
      <c r="P208" s="150"/>
      <c r="Q208" s="1287"/>
      <c r="R208" s="1287"/>
      <c r="S208" s="149"/>
      <c r="T208" s="149"/>
      <c r="U208" s="150"/>
      <c r="V208" s="150"/>
      <c r="W208" s="150"/>
      <c r="X208" s="150"/>
      <c r="Y208" s="150"/>
      <c r="Z208" s="150"/>
      <c r="AA208" s="150"/>
      <c r="AC208" s="1211"/>
      <c r="AD208" s="1211"/>
      <c r="AE208" s="1211"/>
      <c r="AF208" s="1211"/>
      <c r="AG208" s="1211"/>
      <c r="AH208" s="1211"/>
      <c r="AI208" s="1211"/>
      <c r="AJ208" s="1211"/>
      <c r="AK208" s="1211"/>
      <c r="AL208" s="1211"/>
      <c r="AM208" s="1211"/>
    </row>
    <row r="209" spans="2:39" s="244" customFormat="1">
      <c r="B209" s="220"/>
      <c r="D209" s="1289"/>
      <c r="E209" s="1211"/>
      <c r="F209" s="1290"/>
      <c r="G209" s="1291"/>
      <c r="H209" s="1291"/>
      <c r="I209" s="1291"/>
      <c r="J209" s="1291"/>
      <c r="K209" s="1291"/>
      <c r="L209" s="1677"/>
      <c r="M209" s="1244"/>
      <c r="N209" s="1290"/>
      <c r="O209" s="150"/>
      <c r="P209" s="150"/>
      <c r="Q209" s="1287"/>
      <c r="R209" s="1287"/>
      <c r="S209" s="149"/>
      <c r="T209" s="149"/>
      <c r="U209" s="150"/>
      <c r="V209" s="150"/>
      <c r="W209" s="150"/>
      <c r="X209" s="150"/>
      <c r="Y209" s="150"/>
      <c r="Z209" s="150"/>
      <c r="AA209" s="150"/>
      <c r="AC209" s="1211"/>
      <c r="AD209" s="1211"/>
      <c r="AE209" s="1211"/>
      <c r="AF209" s="1211"/>
      <c r="AG209" s="1211"/>
      <c r="AH209" s="1211"/>
      <c r="AI209" s="1211"/>
      <c r="AJ209" s="1211"/>
      <c r="AK209" s="1211"/>
      <c r="AL209" s="1211"/>
      <c r="AM209" s="1211"/>
    </row>
    <row r="210" spans="2:39" s="244" customFormat="1">
      <c r="B210" s="220"/>
      <c r="D210" s="1289"/>
      <c r="E210" s="1211"/>
      <c r="F210" s="1290"/>
      <c r="G210" s="1291"/>
      <c r="H210" s="1291"/>
      <c r="I210" s="1291"/>
      <c r="J210" s="1291"/>
      <c r="K210" s="1291"/>
      <c r="L210" s="1677"/>
      <c r="M210" s="1244"/>
      <c r="N210" s="1290"/>
      <c r="O210" s="150"/>
      <c r="P210" s="150"/>
      <c r="Q210" s="1287"/>
      <c r="R210" s="1287"/>
      <c r="S210" s="149"/>
      <c r="T210" s="149"/>
      <c r="U210" s="150"/>
      <c r="V210" s="150"/>
      <c r="W210" s="150"/>
      <c r="X210" s="150"/>
      <c r="Y210" s="150"/>
      <c r="Z210" s="150"/>
      <c r="AA210" s="150"/>
      <c r="AC210" s="1211"/>
      <c r="AD210" s="1211"/>
      <c r="AE210" s="1211"/>
      <c r="AF210" s="1211"/>
      <c r="AG210" s="1211"/>
      <c r="AH210" s="1211"/>
      <c r="AI210" s="1211"/>
      <c r="AJ210" s="1211"/>
      <c r="AK210" s="1211"/>
      <c r="AL210" s="1211"/>
      <c r="AM210" s="1211"/>
    </row>
    <row r="211" spans="2:39" s="244" customFormat="1">
      <c r="B211" s="220"/>
      <c r="D211" s="1289"/>
      <c r="E211" s="1211"/>
      <c r="F211" s="1290"/>
      <c r="G211" s="1291"/>
      <c r="H211" s="1291"/>
      <c r="I211" s="1291"/>
      <c r="J211" s="1291"/>
      <c r="K211" s="1291"/>
      <c r="L211" s="1677"/>
      <c r="M211" s="1244"/>
      <c r="N211" s="1290"/>
      <c r="O211" s="150"/>
      <c r="P211" s="150"/>
      <c r="Q211" s="1287"/>
      <c r="R211" s="1287"/>
      <c r="S211" s="149"/>
      <c r="T211" s="149"/>
      <c r="U211" s="150"/>
      <c r="V211" s="150"/>
      <c r="W211" s="150"/>
      <c r="X211" s="150"/>
      <c r="Y211" s="150"/>
      <c r="Z211" s="150"/>
      <c r="AA211" s="150"/>
      <c r="AC211" s="1211"/>
      <c r="AD211" s="1211"/>
      <c r="AE211" s="1211"/>
      <c r="AF211" s="1211"/>
      <c r="AG211" s="1211"/>
      <c r="AH211" s="1211"/>
      <c r="AI211" s="1211"/>
      <c r="AJ211" s="1211"/>
      <c r="AK211" s="1211"/>
      <c r="AL211" s="1211"/>
      <c r="AM211" s="1211"/>
    </row>
    <row r="212" spans="2:39" s="244" customFormat="1">
      <c r="B212" s="220"/>
      <c r="D212" s="1289"/>
      <c r="E212" s="1211"/>
      <c r="F212" s="1290"/>
      <c r="G212" s="1291"/>
      <c r="H212" s="1291"/>
      <c r="I212" s="1291"/>
      <c r="J212" s="1291"/>
      <c r="K212" s="1291"/>
      <c r="L212" s="1677"/>
      <c r="M212" s="1244"/>
      <c r="N212" s="1290"/>
      <c r="O212" s="150"/>
      <c r="P212" s="150"/>
      <c r="Q212" s="1287"/>
      <c r="R212" s="1287"/>
      <c r="S212" s="149"/>
      <c r="T212" s="149"/>
      <c r="U212" s="150"/>
      <c r="V212" s="150"/>
      <c r="W212" s="150"/>
      <c r="X212" s="150"/>
      <c r="Y212" s="150"/>
      <c r="Z212" s="150"/>
      <c r="AA212" s="150"/>
      <c r="AC212" s="1211"/>
      <c r="AD212" s="1211"/>
      <c r="AE212" s="1211"/>
      <c r="AF212" s="1211"/>
      <c r="AG212" s="1211"/>
      <c r="AH212" s="1211"/>
      <c r="AI212" s="1211"/>
      <c r="AJ212" s="1211"/>
      <c r="AK212" s="1211"/>
      <c r="AL212" s="1211"/>
      <c r="AM212" s="1211"/>
    </row>
    <row r="213" spans="2:39" s="244" customFormat="1">
      <c r="B213" s="220"/>
      <c r="D213" s="1289"/>
      <c r="E213" s="1211"/>
      <c r="F213" s="1290"/>
      <c r="G213" s="1291"/>
      <c r="H213" s="1291"/>
      <c r="I213" s="1291"/>
      <c r="J213" s="1291"/>
      <c r="K213" s="1291"/>
      <c r="L213" s="1677"/>
      <c r="M213" s="1244"/>
      <c r="N213" s="1290"/>
      <c r="O213" s="150"/>
      <c r="P213" s="150"/>
      <c r="Q213" s="1287"/>
      <c r="R213" s="1287"/>
      <c r="S213" s="149"/>
      <c r="T213" s="149"/>
      <c r="U213" s="150"/>
      <c r="V213" s="150"/>
      <c r="W213" s="150"/>
      <c r="X213" s="150"/>
      <c r="Y213" s="150"/>
      <c r="Z213" s="150"/>
      <c r="AA213" s="150"/>
      <c r="AC213" s="1211"/>
      <c r="AD213" s="1211"/>
      <c r="AE213" s="1211"/>
      <c r="AF213" s="1211"/>
      <c r="AG213" s="1211"/>
      <c r="AH213" s="1211"/>
      <c r="AI213" s="1211"/>
      <c r="AJ213" s="1211"/>
      <c r="AK213" s="1211"/>
      <c r="AL213" s="1211"/>
      <c r="AM213" s="1211"/>
    </row>
    <row r="214" spans="2:39" s="244" customFormat="1">
      <c r="B214" s="220"/>
      <c r="D214" s="1289"/>
      <c r="E214" s="1211"/>
      <c r="F214" s="1290"/>
      <c r="G214" s="1291"/>
      <c r="H214" s="1291"/>
      <c r="I214" s="1291"/>
      <c r="J214" s="1291"/>
      <c r="K214" s="1291"/>
      <c r="L214" s="1677"/>
      <c r="M214" s="1244"/>
      <c r="N214" s="1290"/>
      <c r="O214" s="150"/>
      <c r="P214" s="150"/>
      <c r="Q214" s="1287"/>
      <c r="R214" s="1287"/>
      <c r="S214" s="149"/>
      <c r="T214" s="149"/>
      <c r="U214" s="150"/>
      <c r="V214" s="150"/>
      <c r="W214" s="150"/>
      <c r="X214" s="150"/>
      <c r="Y214" s="150"/>
      <c r="Z214" s="150"/>
      <c r="AA214" s="150"/>
      <c r="AC214" s="1211"/>
      <c r="AD214" s="1211"/>
      <c r="AE214" s="1211"/>
      <c r="AF214" s="1211"/>
      <c r="AG214" s="1211"/>
      <c r="AH214" s="1211"/>
      <c r="AI214" s="1211"/>
      <c r="AJ214" s="1211"/>
      <c r="AK214" s="1211"/>
      <c r="AL214" s="1211"/>
      <c r="AM214" s="1211"/>
    </row>
    <row r="215" spans="2:39" s="244" customFormat="1">
      <c r="B215" s="220"/>
      <c r="D215" s="1289"/>
      <c r="E215" s="1211"/>
      <c r="F215" s="1290"/>
      <c r="G215" s="1291"/>
      <c r="H215" s="1291"/>
      <c r="I215" s="1291"/>
      <c r="J215" s="1291"/>
      <c r="K215" s="1291"/>
      <c r="L215" s="1677"/>
      <c r="M215" s="1244"/>
      <c r="N215" s="1290"/>
      <c r="O215" s="150"/>
      <c r="P215" s="150"/>
      <c r="Q215" s="1287"/>
      <c r="R215" s="1287"/>
      <c r="S215" s="149"/>
      <c r="T215" s="149"/>
      <c r="U215" s="150"/>
      <c r="V215" s="150"/>
      <c r="W215" s="150"/>
      <c r="X215" s="150"/>
      <c r="Y215" s="150"/>
      <c r="Z215" s="150"/>
      <c r="AA215" s="150"/>
      <c r="AC215" s="1211"/>
      <c r="AD215" s="1211"/>
      <c r="AE215" s="1211"/>
      <c r="AF215" s="1211"/>
      <c r="AG215" s="1211"/>
      <c r="AH215" s="1211"/>
      <c r="AI215" s="1211"/>
      <c r="AJ215" s="1211"/>
      <c r="AK215" s="1211"/>
      <c r="AL215" s="1211"/>
      <c r="AM215" s="1211"/>
    </row>
    <row r="216" spans="2:39" s="244" customFormat="1">
      <c r="B216" s="220"/>
      <c r="D216" s="1289"/>
      <c r="E216" s="1211"/>
      <c r="F216" s="1290"/>
      <c r="G216" s="1291"/>
      <c r="H216" s="1291"/>
      <c r="I216" s="1291"/>
      <c r="J216" s="1291"/>
      <c r="K216" s="1291"/>
      <c r="L216" s="1677"/>
      <c r="M216" s="1244"/>
      <c r="N216" s="1290"/>
      <c r="O216" s="150"/>
      <c r="P216" s="150"/>
      <c r="Q216" s="1287"/>
      <c r="R216" s="1287"/>
      <c r="S216" s="149"/>
      <c r="T216" s="149"/>
      <c r="U216" s="150"/>
      <c r="V216" s="150"/>
      <c r="W216" s="150"/>
      <c r="X216" s="150"/>
      <c r="Y216" s="150"/>
      <c r="Z216" s="150"/>
      <c r="AA216" s="150"/>
      <c r="AC216" s="1211"/>
      <c r="AD216" s="1211"/>
      <c r="AE216" s="1211"/>
      <c r="AF216" s="1211"/>
      <c r="AG216" s="1211"/>
      <c r="AH216" s="1211"/>
      <c r="AI216" s="1211"/>
      <c r="AJ216" s="1211"/>
      <c r="AK216" s="1211"/>
      <c r="AL216" s="1211"/>
      <c r="AM216" s="1211"/>
    </row>
    <row r="217" spans="2:39" s="244" customFormat="1">
      <c r="B217" s="220"/>
      <c r="D217" s="1289"/>
      <c r="E217" s="1211"/>
      <c r="F217" s="1290"/>
      <c r="G217" s="1291"/>
      <c r="H217" s="1291"/>
      <c r="I217" s="1291"/>
      <c r="J217" s="1291"/>
      <c r="K217" s="1291"/>
      <c r="L217" s="1677"/>
      <c r="M217" s="1244"/>
      <c r="N217" s="1290"/>
      <c r="O217" s="150"/>
      <c r="P217" s="150"/>
      <c r="Q217" s="1287"/>
      <c r="R217" s="1287"/>
      <c r="S217" s="149"/>
      <c r="T217" s="149"/>
      <c r="U217" s="150"/>
      <c r="V217" s="150"/>
      <c r="W217" s="150"/>
      <c r="X217" s="150"/>
      <c r="Y217" s="150"/>
      <c r="Z217" s="150"/>
      <c r="AA217" s="150"/>
      <c r="AC217" s="1211"/>
      <c r="AD217" s="1211"/>
      <c r="AE217" s="1211"/>
      <c r="AF217" s="1211"/>
      <c r="AG217" s="1211"/>
      <c r="AH217" s="1211"/>
      <c r="AI217" s="1211"/>
      <c r="AJ217" s="1211"/>
      <c r="AK217" s="1211"/>
      <c r="AL217" s="1211"/>
      <c r="AM217" s="1211"/>
    </row>
    <row r="218" spans="2:39" s="244" customFormat="1">
      <c r="B218" s="220"/>
      <c r="D218" s="1289"/>
      <c r="E218" s="1211"/>
      <c r="F218" s="1290"/>
      <c r="G218" s="1291"/>
      <c r="H218" s="1291"/>
      <c r="I218" s="1291"/>
      <c r="J218" s="1291"/>
      <c r="K218" s="1291"/>
      <c r="L218" s="1677"/>
      <c r="M218" s="1244"/>
      <c r="N218" s="1290"/>
      <c r="O218" s="150"/>
      <c r="P218" s="150"/>
      <c r="Q218" s="1287"/>
      <c r="R218" s="1287"/>
      <c r="S218" s="149"/>
      <c r="T218" s="149"/>
      <c r="U218" s="150"/>
      <c r="V218" s="150"/>
      <c r="W218" s="150"/>
      <c r="X218" s="150"/>
      <c r="Y218" s="150"/>
      <c r="Z218" s="150"/>
      <c r="AA218" s="150"/>
      <c r="AC218" s="1211"/>
      <c r="AD218" s="1211"/>
      <c r="AE218" s="1211"/>
      <c r="AF218" s="1211"/>
      <c r="AG218" s="1211"/>
      <c r="AH218" s="1211"/>
      <c r="AI218" s="1211"/>
      <c r="AJ218" s="1211"/>
      <c r="AK218" s="1211"/>
      <c r="AL218" s="1211"/>
      <c r="AM218" s="1211"/>
    </row>
    <row r="219" spans="2:39" s="244" customFormat="1">
      <c r="B219" s="220"/>
      <c r="D219" s="1289"/>
      <c r="E219" s="1211"/>
      <c r="F219" s="1290"/>
      <c r="G219" s="1291"/>
      <c r="H219" s="1291"/>
      <c r="I219" s="1291"/>
      <c r="J219" s="1291"/>
      <c r="K219" s="1291"/>
      <c r="L219" s="1677"/>
      <c r="M219" s="1244"/>
      <c r="N219" s="1290"/>
      <c r="O219" s="150"/>
      <c r="P219" s="150"/>
      <c r="Q219" s="1287"/>
      <c r="R219" s="1287"/>
      <c r="S219" s="149"/>
      <c r="T219" s="149"/>
      <c r="U219" s="150"/>
      <c r="V219" s="150"/>
      <c r="W219" s="150"/>
      <c r="X219" s="150"/>
      <c r="Y219" s="150"/>
      <c r="Z219" s="150"/>
      <c r="AA219" s="150"/>
      <c r="AC219" s="1211"/>
      <c r="AD219" s="1211"/>
      <c r="AE219" s="1211"/>
      <c r="AF219" s="1211"/>
      <c r="AG219" s="1211"/>
      <c r="AH219" s="1211"/>
      <c r="AI219" s="1211"/>
      <c r="AJ219" s="1211"/>
      <c r="AK219" s="1211"/>
      <c r="AL219" s="1211"/>
      <c r="AM219" s="1211"/>
    </row>
    <row r="220" spans="2:39" s="244" customFormat="1">
      <c r="B220" s="220"/>
      <c r="D220" s="1289"/>
      <c r="E220" s="1211"/>
      <c r="F220" s="1290"/>
      <c r="G220" s="1291"/>
      <c r="H220" s="1291"/>
      <c r="I220" s="1291"/>
      <c r="J220" s="1291"/>
      <c r="K220" s="1291"/>
      <c r="L220" s="1677"/>
      <c r="M220" s="1244"/>
      <c r="N220" s="1290"/>
      <c r="O220" s="150"/>
      <c r="P220" s="150"/>
      <c r="Q220" s="1287"/>
      <c r="R220" s="1287"/>
      <c r="S220" s="149"/>
      <c r="T220" s="149"/>
      <c r="U220" s="150"/>
      <c r="V220" s="150"/>
      <c r="W220" s="150"/>
      <c r="X220" s="150"/>
      <c r="Y220" s="150"/>
      <c r="Z220" s="150"/>
      <c r="AA220" s="150"/>
      <c r="AC220" s="1211"/>
      <c r="AD220" s="1211"/>
      <c r="AE220" s="1211"/>
      <c r="AF220" s="1211"/>
      <c r="AG220" s="1211"/>
      <c r="AH220" s="1211"/>
      <c r="AI220" s="1211"/>
      <c r="AJ220" s="1211"/>
      <c r="AK220" s="1211"/>
      <c r="AL220" s="1211"/>
      <c r="AM220" s="1211"/>
    </row>
    <row r="221" spans="2:39" s="244" customFormat="1">
      <c r="B221" s="220"/>
      <c r="D221" s="1289"/>
      <c r="E221" s="1211"/>
      <c r="F221" s="1290"/>
      <c r="G221" s="1291"/>
      <c r="H221" s="1291"/>
      <c r="I221" s="1291"/>
      <c r="J221" s="1291"/>
      <c r="K221" s="1291"/>
      <c r="L221" s="1677"/>
      <c r="M221" s="1244"/>
      <c r="N221" s="1290"/>
      <c r="O221" s="150"/>
      <c r="P221" s="150"/>
      <c r="Q221" s="1287"/>
      <c r="R221" s="1287"/>
      <c r="S221" s="149"/>
      <c r="T221" s="149"/>
      <c r="U221" s="150"/>
      <c r="V221" s="150"/>
      <c r="W221" s="150"/>
      <c r="X221" s="150"/>
      <c r="Y221" s="150"/>
      <c r="Z221" s="150"/>
      <c r="AA221" s="150"/>
      <c r="AC221" s="1211"/>
      <c r="AD221" s="1211"/>
      <c r="AE221" s="1211"/>
      <c r="AF221" s="1211"/>
      <c r="AG221" s="1211"/>
      <c r="AH221" s="1211"/>
      <c r="AI221" s="1211"/>
      <c r="AJ221" s="1211"/>
      <c r="AK221" s="1211"/>
      <c r="AL221" s="1211"/>
      <c r="AM221" s="1211"/>
    </row>
    <row r="222" spans="2:39" s="244" customFormat="1">
      <c r="B222" s="220"/>
      <c r="D222" s="1289"/>
      <c r="E222" s="1211"/>
      <c r="F222" s="1290"/>
      <c r="G222" s="1291"/>
      <c r="H222" s="1291"/>
      <c r="I222" s="1291"/>
      <c r="J222" s="1291"/>
      <c r="K222" s="1291"/>
      <c r="L222" s="1677"/>
      <c r="M222" s="1244"/>
      <c r="N222" s="1290"/>
      <c r="O222" s="150"/>
      <c r="P222" s="150"/>
      <c r="Q222" s="1287"/>
      <c r="R222" s="1287"/>
      <c r="S222" s="149"/>
      <c r="T222" s="149"/>
      <c r="U222" s="150"/>
      <c r="V222" s="150"/>
      <c r="W222" s="150"/>
      <c r="X222" s="150"/>
      <c r="Y222" s="150"/>
      <c r="Z222" s="150"/>
      <c r="AA222" s="150"/>
      <c r="AC222" s="1211"/>
      <c r="AD222" s="1211"/>
      <c r="AE222" s="1211"/>
      <c r="AF222" s="1211"/>
      <c r="AG222" s="1211"/>
      <c r="AH222" s="1211"/>
      <c r="AI222" s="1211"/>
      <c r="AJ222" s="1211"/>
      <c r="AK222" s="1211"/>
      <c r="AL222" s="1211"/>
      <c r="AM222" s="1211"/>
    </row>
    <row r="223" spans="2:39" s="244" customFormat="1">
      <c r="B223" s="220"/>
      <c r="D223" s="1289"/>
      <c r="E223" s="1211"/>
      <c r="F223" s="1290"/>
      <c r="G223" s="1291"/>
      <c r="H223" s="1291"/>
      <c r="I223" s="1291"/>
      <c r="J223" s="1291"/>
      <c r="K223" s="1291"/>
      <c r="L223" s="1677"/>
      <c r="M223" s="1244"/>
      <c r="N223" s="1290"/>
      <c r="O223" s="150"/>
      <c r="P223" s="150"/>
      <c r="Q223" s="1287"/>
      <c r="R223" s="1287"/>
      <c r="S223" s="149"/>
      <c r="T223" s="149"/>
      <c r="U223" s="150"/>
      <c r="V223" s="150"/>
      <c r="W223" s="150"/>
      <c r="X223" s="150"/>
      <c r="Y223" s="150"/>
      <c r="Z223" s="150"/>
      <c r="AA223" s="150"/>
      <c r="AC223" s="1211"/>
      <c r="AD223" s="1211"/>
      <c r="AE223" s="1211"/>
      <c r="AF223" s="1211"/>
      <c r="AG223" s="1211"/>
      <c r="AH223" s="1211"/>
      <c r="AI223" s="1211"/>
      <c r="AJ223" s="1211"/>
      <c r="AK223" s="1211"/>
      <c r="AL223" s="1211"/>
      <c r="AM223" s="1211"/>
    </row>
    <row r="224" spans="2:39" s="244" customFormat="1">
      <c r="B224" s="220"/>
      <c r="D224" s="1289"/>
      <c r="E224" s="1211"/>
      <c r="F224" s="1290"/>
      <c r="G224" s="1291"/>
      <c r="H224" s="1291"/>
      <c r="I224" s="1291"/>
      <c r="J224" s="1291"/>
      <c r="K224" s="1291"/>
      <c r="L224" s="1677"/>
      <c r="M224" s="1244"/>
      <c r="N224" s="1290"/>
      <c r="O224" s="150"/>
      <c r="P224" s="150"/>
      <c r="Q224" s="1287"/>
      <c r="R224" s="1287"/>
      <c r="S224" s="149"/>
      <c r="T224" s="149"/>
      <c r="U224" s="150"/>
      <c r="V224" s="150"/>
      <c r="W224" s="150"/>
      <c r="X224" s="150"/>
      <c r="Y224" s="150"/>
      <c r="Z224" s="150"/>
      <c r="AA224" s="150"/>
      <c r="AC224" s="1211"/>
      <c r="AD224" s="1211"/>
      <c r="AE224" s="1211"/>
      <c r="AF224" s="1211"/>
      <c r="AG224" s="1211"/>
      <c r="AH224" s="1211"/>
      <c r="AI224" s="1211"/>
      <c r="AJ224" s="1211"/>
      <c r="AK224" s="1211"/>
      <c r="AL224" s="1211"/>
      <c r="AM224" s="1211"/>
    </row>
    <row r="225" spans="1:40" s="244" customFormat="1">
      <c r="B225" s="220"/>
      <c r="D225" s="1289"/>
      <c r="E225" s="1211"/>
      <c r="F225" s="1290"/>
      <c r="G225" s="1291"/>
      <c r="H225" s="1291"/>
      <c r="I225" s="1291"/>
      <c r="J225" s="1291"/>
      <c r="K225" s="1291"/>
      <c r="L225" s="1677"/>
      <c r="M225" s="1244"/>
      <c r="N225" s="1290"/>
      <c r="O225" s="150"/>
      <c r="P225" s="150"/>
      <c r="Q225" s="1287"/>
      <c r="R225" s="1287"/>
      <c r="S225" s="149"/>
      <c r="T225" s="149"/>
      <c r="U225" s="150"/>
      <c r="V225" s="150"/>
      <c r="W225" s="150"/>
      <c r="X225" s="150"/>
      <c r="Y225" s="150"/>
      <c r="Z225" s="150"/>
      <c r="AA225" s="150"/>
      <c r="AC225" s="1211"/>
      <c r="AD225" s="1211"/>
      <c r="AE225" s="1211"/>
      <c r="AF225" s="1211"/>
      <c r="AG225" s="1211"/>
      <c r="AH225" s="1211"/>
      <c r="AI225" s="1211"/>
      <c r="AJ225" s="1211"/>
      <c r="AK225" s="1211"/>
      <c r="AL225" s="1211"/>
      <c r="AM225" s="1211"/>
    </row>
    <row r="226" spans="1:40" s="244" customFormat="1">
      <c r="B226" s="220"/>
      <c r="D226" s="1289"/>
      <c r="E226" s="1211"/>
      <c r="F226" s="1290"/>
      <c r="G226" s="1291"/>
      <c r="H226" s="1291"/>
      <c r="I226" s="1291"/>
      <c r="J226" s="1291"/>
      <c r="K226" s="1291"/>
      <c r="L226" s="1677"/>
      <c r="M226" s="1244"/>
      <c r="N226" s="1290"/>
      <c r="O226" s="150"/>
      <c r="P226" s="150"/>
      <c r="Q226" s="1287"/>
      <c r="R226" s="1287"/>
      <c r="S226" s="149"/>
      <c r="T226" s="149"/>
      <c r="U226" s="150"/>
      <c r="V226" s="150"/>
      <c r="W226" s="150"/>
      <c r="X226" s="150"/>
      <c r="Y226" s="150"/>
      <c r="Z226" s="150"/>
      <c r="AA226" s="150"/>
      <c r="AC226" s="1211"/>
      <c r="AD226" s="1211"/>
      <c r="AE226" s="1211"/>
      <c r="AF226" s="1211"/>
      <c r="AG226" s="1211"/>
      <c r="AH226" s="1211"/>
      <c r="AI226" s="1211"/>
      <c r="AJ226" s="1211"/>
      <c r="AK226" s="1211"/>
      <c r="AL226" s="1211"/>
      <c r="AM226" s="1211"/>
    </row>
    <row r="227" spans="1:40" s="244" customFormat="1">
      <c r="B227" s="220"/>
      <c r="D227" s="1289"/>
      <c r="E227" s="1211"/>
      <c r="F227" s="1290"/>
      <c r="G227" s="1291"/>
      <c r="H227" s="1291"/>
      <c r="I227" s="1291"/>
      <c r="J227" s="1291"/>
      <c r="K227" s="1291"/>
      <c r="L227" s="1677"/>
      <c r="M227" s="1244"/>
      <c r="N227" s="1290"/>
      <c r="O227" s="150"/>
      <c r="P227" s="150"/>
      <c r="Q227" s="1287"/>
      <c r="R227" s="1287"/>
      <c r="S227" s="149"/>
      <c r="T227" s="149"/>
      <c r="U227" s="150"/>
      <c r="V227" s="150"/>
      <c r="W227" s="150"/>
      <c r="X227" s="150"/>
      <c r="Y227" s="150"/>
      <c r="Z227" s="150"/>
      <c r="AA227" s="150"/>
      <c r="AC227" s="1211"/>
      <c r="AD227" s="1211"/>
      <c r="AE227" s="1211"/>
      <c r="AF227" s="1211"/>
      <c r="AG227" s="1211"/>
      <c r="AH227" s="1211"/>
      <c r="AI227" s="1211"/>
      <c r="AJ227" s="1211"/>
      <c r="AK227" s="1211"/>
      <c r="AL227" s="1211"/>
      <c r="AM227" s="1211"/>
    </row>
    <row r="228" spans="1:40" s="244" customFormat="1">
      <c r="B228" s="220"/>
      <c r="D228" s="1289"/>
      <c r="E228" s="1211"/>
      <c r="F228" s="1290"/>
      <c r="G228" s="1291"/>
      <c r="H228" s="1291"/>
      <c r="I228" s="1291"/>
      <c r="J228" s="1291"/>
      <c r="K228" s="1291"/>
      <c r="L228" s="1677"/>
      <c r="M228" s="1244"/>
      <c r="N228" s="1290"/>
      <c r="O228" s="150"/>
      <c r="P228" s="150"/>
      <c r="Q228" s="1287"/>
      <c r="R228" s="1287"/>
      <c r="S228" s="149"/>
      <c r="T228" s="149"/>
      <c r="U228" s="150"/>
      <c r="V228" s="150"/>
      <c r="W228" s="150"/>
      <c r="X228" s="150"/>
      <c r="Y228" s="150"/>
      <c r="Z228" s="150"/>
      <c r="AA228" s="150"/>
      <c r="AC228" s="1211"/>
      <c r="AD228" s="1211"/>
      <c r="AE228" s="1211"/>
      <c r="AF228" s="1211"/>
      <c r="AG228" s="1211"/>
      <c r="AH228" s="1211"/>
      <c r="AI228" s="1211"/>
      <c r="AJ228" s="1211"/>
      <c r="AK228" s="1211"/>
      <c r="AL228" s="1211"/>
      <c r="AM228" s="1211"/>
    </row>
    <row r="229" spans="1:40" s="244" customFormat="1">
      <c r="B229" s="220"/>
      <c r="D229" s="1289"/>
      <c r="E229" s="1211"/>
      <c r="F229" s="1290"/>
      <c r="G229" s="1291"/>
      <c r="H229" s="1291"/>
      <c r="I229" s="1291"/>
      <c r="J229" s="1291"/>
      <c r="K229" s="1291"/>
      <c r="L229" s="1677"/>
      <c r="M229" s="1244"/>
      <c r="N229" s="1290"/>
      <c r="O229" s="150"/>
      <c r="P229" s="150"/>
      <c r="Q229" s="1287"/>
      <c r="R229" s="1287"/>
      <c r="S229" s="149"/>
      <c r="T229" s="149"/>
      <c r="U229" s="150"/>
      <c r="V229" s="150"/>
      <c r="W229" s="150"/>
      <c r="X229" s="150"/>
      <c r="Y229" s="150"/>
      <c r="Z229" s="150"/>
      <c r="AA229" s="150"/>
      <c r="AC229" s="1211"/>
      <c r="AD229" s="1211"/>
      <c r="AE229" s="1211"/>
      <c r="AF229" s="1211"/>
      <c r="AG229" s="1211"/>
      <c r="AH229" s="1211"/>
      <c r="AI229" s="1211"/>
      <c r="AJ229" s="1211"/>
      <c r="AK229" s="1211"/>
      <c r="AL229" s="1211"/>
      <c r="AM229" s="1211"/>
    </row>
    <row r="230" spans="1:40" s="244" customFormat="1">
      <c r="B230" s="220"/>
      <c r="D230" s="1289"/>
      <c r="E230" s="1211"/>
      <c r="F230" s="1290"/>
      <c r="G230" s="1291"/>
      <c r="H230" s="1291"/>
      <c r="I230" s="1291"/>
      <c r="J230" s="1291"/>
      <c r="K230" s="1291"/>
      <c r="L230" s="1677"/>
      <c r="M230" s="1244"/>
      <c r="N230" s="1290"/>
      <c r="O230" s="150"/>
      <c r="P230" s="150"/>
      <c r="Q230" s="1287"/>
      <c r="R230" s="1287"/>
      <c r="S230" s="149"/>
      <c r="T230" s="149"/>
      <c r="U230" s="150"/>
      <c r="V230" s="150"/>
      <c r="W230" s="150"/>
      <c r="X230" s="150"/>
      <c r="Y230" s="150"/>
      <c r="Z230" s="150"/>
      <c r="AA230" s="150"/>
      <c r="AC230" s="1211"/>
      <c r="AD230" s="1211"/>
      <c r="AE230" s="1211"/>
      <c r="AF230" s="1211"/>
      <c r="AG230" s="1211"/>
      <c r="AH230" s="1211"/>
      <c r="AI230" s="1211"/>
      <c r="AJ230" s="1211"/>
      <c r="AK230" s="1211"/>
      <c r="AL230" s="1211"/>
      <c r="AM230" s="1211"/>
    </row>
    <row r="231" spans="1:40" s="244" customFormat="1">
      <c r="B231" s="220"/>
      <c r="D231" s="1289"/>
      <c r="E231" s="1211"/>
      <c r="F231" s="1290"/>
      <c r="G231" s="1291"/>
      <c r="H231" s="1291"/>
      <c r="I231" s="1291"/>
      <c r="J231" s="1291"/>
      <c r="K231" s="1291"/>
      <c r="L231" s="1677"/>
      <c r="M231" s="1244"/>
      <c r="N231" s="1290"/>
      <c r="O231" s="150"/>
      <c r="P231" s="150"/>
      <c r="Q231" s="1287"/>
      <c r="R231" s="1287"/>
      <c r="S231" s="149"/>
      <c r="T231" s="149"/>
      <c r="U231" s="150"/>
      <c r="V231" s="150"/>
      <c r="W231" s="150"/>
      <c r="X231" s="150"/>
      <c r="Y231" s="150"/>
      <c r="Z231" s="150"/>
      <c r="AA231" s="150"/>
      <c r="AC231" s="1211"/>
      <c r="AD231" s="1211"/>
      <c r="AE231" s="1211"/>
      <c r="AF231" s="1211"/>
      <c r="AG231" s="1211"/>
      <c r="AH231" s="1211"/>
      <c r="AI231" s="1211"/>
      <c r="AJ231" s="1211"/>
      <c r="AK231" s="1211"/>
      <c r="AL231" s="1211"/>
      <c r="AM231" s="1211"/>
    </row>
    <row r="232" spans="1:40">
      <c r="A232" s="245"/>
      <c r="O232" s="1215"/>
      <c r="P232" s="1215"/>
      <c r="Q232" s="1293"/>
      <c r="R232" s="1293"/>
      <c r="S232" s="251"/>
      <c r="T232" s="251"/>
      <c r="U232" s="1132"/>
      <c r="V232" s="1132"/>
      <c r="W232" s="1132"/>
      <c r="X232" s="1132"/>
      <c r="Y232" s="1132"/>
      <c r="Z232" s="1132"/>
      <c r="AA232" s="1132"/>
      <c r="AN232" s="245"/>
    </row>
    <row r="233" spans="1:40">
      <c r="A233" s="245"/>
      <c r="O233" s="1215"/>
      <c r="P233" s="1215"/>
      <c r="Q233" s="1293"/>
      <c r="R233" s="1293"/>
      <c r="S233" s="251"/>
      <c r="T233" s="251"/>
      <c r="U233" s="1132"/>
      <c r="V233" s="1132"/>
      <c r="W233" s="1132"/>
      <c r="X233" s="1132"/>
      <c r="Y233" s="1132"/>
      <c r="Z233" s="1132"/>
      <c r="AA233" s="1132"/>
      <c r="AN233" s="245"/>
    </row>
    <row r="234" spans="1:40">
      <c r="A234" s="245"/>
      <c r="O234" s="1215"/>
      <c r="P234" s="1215"/>
      <c r="Q234" s="1293"/>
      <c r="R234" s="1293"/>
      <c r="S234" s="251"/>
      <c r="T234" s="251"/>
      <c r="U234" s="1132"/>
      <c r="V234" s="1132"/>
      <c r="W234" s="1132"/>
      <c r="X234" s="1132"/>
      <c r="Y234" s="1132"/>
      <c r="Z234" s="1132"/>
      <c r="AA234" s="1132"/>
      <c r="AN234" s="245"/>
    </row>
    <row r="235" spans="1:40">
      <c r="A235" s="245"/>
      <c r="O235" s="1215"/>
      <c r="P235" s="1215"/>
      <c r="Q235" s="1293"/>
      <c r="R235" s="1293"/>
      <c r="S235" s="251"/>
      <c r="T235" s="251"/>
      <c r="U235" s="1132"/>
      <c r="V235" s="1132"/>
      <c r="W235" s="1132"/>
      <c r="X235" s="1132"/>
      <c r="Y235" s="1132"/>
      <c r="Z235" s="1132"/>
      <c r="AA235" s="1132"/>
      <c r="AN235" s="245"/>
    </row>
    <row r="236" spans="1:40">
      <c r="A236" s="245"/>
      <c r="O236" s="1215"/>
      <c r="P236" s="1215"/>
      <c r="Q236" s="1293"/>
      <c r="R236" s="1293"/>
      <c r="S236" s="251"/>
      <c r="T236" s="251"/>
      <c r="U236" s="1132"/>
      <c r="V236" s="1132"/>
      <c r="W236" s="1132"/>
      <c r="X236" s="1132"/>
      <c r="Y236" s="1132"/>
      <c r="Z236" s="1132"/>
      <c r="AA236" s="1132"/>
      <c r="AN236" s="245"/>
    </row>
    <row r="237" spans="1:40">
      <c r="A237" s="245"/>
      <c r="O237" s="1215"/>
      <c r="P237" s="1215"/>
      <c r="Q237" s="1293"/>
      <c r="R237" s="1293"/>
      <c r="S237" s="251"/>
      <c r="T237" s="251"/>
      <c r="U237" s="1132"/>
      <c r="V237" s="1132"/>
      <c r="W237" s="1132"/>
      <c r="X237" s="1132"/>
      <c r="Y237" s="1132"/>
      <c r="Z237" s="1132"/>
      <c r="AA237" s="1132"/>
      <c r="AN237" s="245"/>
    </row>
    <row r="238" spans="1:40">
      <c r="A238" s="245"/>
      <c r="B238" s="245"/>
      <c r="D238" s="245"/>
      <c r="F238" s="1281"/>
      <c r="G238" s="1281"/>
      <c r="H238" s="245"/>
      <c r="I238" s="1281"/>
      <c r="J238" s="1281"/>
      <c r="K238" s="1281"/>
      <c r="L238" s="2420"/>
      <c r="M238" s="1281"/>
      <c r="N238" s="1281"/>
      <c r="O238" s="1215"/>
      <c r="P238" s="1215"/>
      <c r="Q238" s="1293"/>
      <c r="R238" s="1293"/>
      <c r="S238" s="251"/>
      <c r="T238" s="251"/>
      <c r="U238" s="1132"/>
      <c r="V238" s="1132"/>
      <c r="W238" s="1132"/>
      <c r="X238" s="1132"/>
      <c r="Y238" s="1132"/>
      <c r="Z238" s="1132"/>
      <c r="AA238" s="1132"/>
      <c r="AB238" s="245"/>
      <c r="AC238" s="245"/>
      <c r="AD238" s="245"/>
      <c r="AE238" s="245"/>
      <c r="AF238" s="245"/>
      <c r="AG238" s="245"/>
      <c r="AH238" s="245"/>
      <c r="AI238" s="245"/>
      <c r="AJ238" s="245"/>
      <c r="AK238" s="245"/>
      <c r="AL238" s="245"/>
      <c r="AM238" s="245"/>
      <c r="AN238" s="245"/>
    </row>
    <row r="239" spans="1:40">
      <c r="A239" s="245"/>
      <c r="B239" s="245"/>
      <c r="D239" s="245"/>
      <c r="F239" s="1281"/>
      <c r="G239" s="1281"/>
      <c r="H239" s="245"/>
      <c r="I239" s="1281"/>
      <c r="J239" s="1281"/>
      <c r="K239" s="1281"/>
      <c r="L239" s="2420"/>
      <c r="M239" s="1281"/>
      <c r="N239" s="1281"/>
      <c r="O239" s="1215"/>
      <c r="P239" s="1215"/>
      <c r="Q239" s="1293"/>
      <c r="R239" s="1293"/>
      <c r="S239" s="251"/>
      <c r="T239" s="251"/>
      <c r="U239" s="1132"/>
      <c r="V239" s="1132"/>
      <c r="W239" s="1132"/>
      <c r="X239" s="1132"/>
      <c r="Y239" s="1132"/>
      <c r="Z239" s="1132"/>
      <c r="AA239" s="1132"/>
      <c r="AB239" s="245"/>
      <c r="AC239" s="245"/>
      <c r="AD239" s="245"/>
      <c r="AE239" s="245"/>
      <c r="AF239" s="245"/>
      <c r="AG239" s="245"/>
      <c r="AH239" s="245"/>
      <c r="AI239" s="245"/>
      <c r="AJ239" s="245"/>
      <c r="AK239" s="245"/>
      <c r="AL239" s="245"/>
      <c r="AM239" s="245"/>
      <c r="AN239" s="245"/>
    </row>
    <row r="240" spans="1:40">
      <c r="A240" s="245"/>
      <c r="B240" s="245"/>
      <c r="D240" s="245"/>
      <c r="F240" s="1281"/>
      <c r="G240" s="1281"/>
      <c r="H240" s="245"/>
      <c r="I240" s="1281"/>
      <c r="J240" s="1281"/>
      <c r="K240" s="1281"/>
      <c r="L240" s="2420"/>
      <c r="M240" s="1281"/>
      <c r="N240" s="1281"/>
      <c r="O240" s="1215"/>
      <c r="P240" s="1215"/>
      <c r="Q240" s="1293"/>
      <c r="R240" s="1293"/>
      <c r="S240" s="251"/>
      <c r="T240" s="251"/>
      <c r="U240" s="1132"/>
      <c r="V240" s="1132"/>
      <c r="W240" s="1132"/>
      <c r="X240" s="1132"/>
      <c r="Y240" s="1132"/>
      <c r="Z240" s="1132"/>
      <c r="AA240" s="1132"/>
      <c r="AB240" s="245"/>
      <c r="AC240" s="245"/>
      <c r="AD240" s="245"/>
      <c r="AE240" s="245"/>
      <c r="AF240" s="245"/>
      <c r="AG240" s="245"/>
      <c r="AH240" s="245"/>
      <c r="AI240" s="245"/>
      <c r="AJ240" s="245"/>
      <c r="AK240" s="245"/>
      <c r="AL240" s="245"/>
      <c r="AM240" s="245"/>
      <c r="AN240" s="245"/>
    </row>
    <row r="241" spans="1:40">
      <c r="A241" s="245"/>
      <c r="B241" s="245"/>
      <c r="D241" s="245"/>
      <c r="F241" s="1281"/>
      <c r="G241" s="1281"/>
      <c r="H241" s="245"/>
      <c r="I241" s="1281"/>
      <c r="J241" s="1281"/>
      <c r="K241" s="1281"/>
      <c r="L241" s="2420"/>
      <c r="M241" s="1281"/>
      <c r="N241" s="1281"/>
      <c r="O241" s="1215"/>
      <c r="P241" s="1215"/>
      <c r="Q241" s="1293"/>
      <c r="R241" s="1293"/>
      <c r="S241" s="251"/>
      <c r="T241" s="251"/>
      <c r="U241" s="1132"/>
      <c r="V241" s="1132"/>
      <c r="W241" s="1132"/>
      <c r="X241" s="1132"/>
      <c r="Y241" s="1132"/>
      <c r="Z241" s="1132"/>
      <c r="AA241" s="1132"/>
      <c r="AB241" s="245"/>
      <c r="AC241" s="245"/>
      <c r="AD241" s="245"/>
      <c r="AE241" s="245"/>
      <c r="AF241" s="245"/>
      <c r="AG241" s="245"/>
      <c r="AH241" s="245"/>
      <c r="AI241" s="245"/>
      <c r="AJ241" s="245"/>
      <c r="AK241" s="245"/>
      <c r="AL241" s="245"/>
      <c r="AM241" s="245"/>
      <c r="AN241" s="245"/>
    </row>
    <row r="242" spans="1:40">
      <c r="A242" s="245"/>
      <c r="B242" s="245"/>
      <c r="D242" s="245"/>
      <c r="F242" s="1281"/>
      <c r="G242" s="1281"/>
      <c r="H242" s="245"/>
      <c r="I242" s="1281"/>
      <c r="J242" s="1281"/>
      <c r="K242" s="1281"/>
      <c r="L242" s="2420"/>
      <c r="M242" s="1281"/>
      <c r="N242" s="1281"/>
      <c r="O242" s="1215"/>
      <c r="P242" s="1215"/>
      <c r="Q242" s="1293"/>
      <c r="R242" s="1293"/>
      <c r="S242" s="251"/>
      <c r="T242" s="251"/>
      <c r="U242" s="1132"/>
      <c r="V242" s="1132"/>
      <c r="W242" s="1132"/>
      <c r="X242" s="1132"/>
      <c r="Y242" s="1132"/>
      <c r="Z242" s="1132"/>
      <c r="AA242" s="1132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</row>
    <row r="243" spans="1:40">
      <c r="A243" s="245"/>
      <c r="B243" s="245"/>
      <c r="D243" s="245"/>
      <c r="F243" s="1281"/>
      <c r="G243" s="1281"/>
      <c r="H243" s="245"/>
      <c r="I243" s="1281"/>
      <c r="J243" s="1281"/>
      <c r="K243" s="1281"/>
      <c r="L243" s="2420"/>
      <c r="M243" s="1281"/>
      <c r="N243" s="1281"/>
      <c r="O243" s="1215"/>
      <c r="P243" s="1215"/>
      <c r="Q243" s="1293"/>
      <c r="R243" s="1293"/>
      <c r="S243" s="251"/>
      <c r="T243" s="251"/>
      <c r="U243" s="1132"/>
      <c r="V243" s="1132"/>
      <c r="W243" s="1132"/>
      <c r="X243" s="1132"/>
      <c r="Y243" s="1132"/>
      <c r="Z243" s="1132"/>
      <c r="AA243" s="1132"/>
      <c r="AB243" s="245"/>
      <c r="AC243" s="245"/>
      <c r="AD243" s="245"/>
      <c r="AE243" s="245"/>
      <c r="AF243" s="245"/>
      <c r="AG243" s="245"/>
      <c r="AH243" s="245"/>
      <c r="AI243" s="245"/>
      <c r="AJ243" s="245"/>
      <c r="AK243" s="245"/>
      <c r="AL243" s="245"/>
      <c r="AM243" s="245"/>
      <c r="AN243" s="245"/>
    </row>
    <row r="244" spans="1:40">
      <c r="A244" s="245"/>
      <c r="B244" s="245"/>
      <c r="D244" s="245"/>
      <c r="F244" s="1281"/>
      <c r="G244" s="1281"/>
      <c r="H244" s="245"/>
      <c r="I244" s="1281"/>
      <c r="J244" s="1281"/>
      <c r="K244" s="1281"/>
      <c r="L244" s="2420"/>
      <c r="M244" s="1281"/>
      <c r="N244" s="1281"/>
      <c r="O244" s="1215"/>
      <c r="P244" s="1215"/>
      <c r="Q244" s="1293"/>
      <c r="R244" s="1293"/>
      <c r="S244" s="251"/>
      <c r="T244" s="251"/>
      <c r="U244" s="1132"/>
      <c r="V244" s="1132"/>
      <c r="W244" s="1132"/>
      <c r="X244" s="1132"/>
      <c r="Y244" s="1132"/>
      <c r="Z244" s="1132"/>
      <c r="AA244" s="1132"/>
      <c r="AB244" s="245"/>
      <c r="AC244" s="245"/>
      <c r="AD244" s="245"/>
      <c r="AE244" s="245"/>
      <c r="AF244" s="245"/>
      <c r="AG244" s="245"/>
      <c r="AH244" s="245"/>
      <c r="AI244" s="245"/>
      <c r="AJ244" s="245"/>
      <c r="AK244" s="245"/>
      <c r="AL244" s="245"/>
      <c r="AM244" s="245"/>
      <c r="AN244" s="245"/>
    </row>
  </sheetData>
  <mergeCells count="3">
    <mergeCell ref="Q79:R79"/>
    <mergeCell ref="K1:K2"/>
    <mergeCell ref="Q70:R71"/>
  </mergeCells>
  <phoneticPr fontId="21" type="noConversion"/>
  <conditionalFormatting sqref="AB27">
    <cfRule type="cellIs" dxfId="749" priority="9" stopIfTrue="1" operator="lessThan">
      <formula>0</formula>
    </cfRule>
  </conditionalFormatting>
  <conditionalFormatting sqref="AB42">
    <cfRule type="cellIs" dxfId="748" priority="8" stopIfTrue="1" operator="lessThan">
      <formula>0</formula>
    </cfRule>
  </conditionalFormatting>
  <conditionalFormatting sqref="AB59">
    <cfRule type="cellIs" dxfId="747" priority="7" stopIfTrue="1" operator="lessThan">
      <formula>0</formula>
    </cfRule>
  </conditionalFormatting>
  <conditionalFormatting sqref="AB64">
    <cfRule type="cellIs" dxfId="746" priority="6" stopIfTrue="1" operator="lessThan">
      <formula>0</formula>
    </cfRule>
  </conditionalFormatting>
  <conditionalFormatting sqref="AB20">
    <cfRule type="cellIs" dxfId="745" priority="2" stopIfTrue="1" operator="lessThan">
      <formula>0</formula>
    </cfRule>
  </conditionalFormatting>
  <conditionalFormatting sqref="U74:AA74">
    <cfRule type="cellIs" dxfId="744" priority="1" stopIfTrue="1" operator="lessThan">
      <formula>0</formula>
    </cfRule>
  </conditionalFormatting>
  <printOptions horizontalCentered="1" verticalCentered="1"/>
  <pageMargins left="0" right="0" top="0.39370078740157483" bottom="0.39370078740157483" header="0" footer="0"/>
  <pageSetup paperSize="9" fitToHeight="2" orientation="landscape" horizontalDpi="0" verticalDpi="0"/>
  <headerFooter>
    <oddHeader>&amp;L&amp;14&amp;K000000&amp;A&amp;F&amp;C&amp;K000000&amp;D&amp;R&amp;K000000&amp;P de&amp;N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64AA7-1C44-044A-A7D4-2177FC29C21F}">
  <sheetPr>
    <pageSetUpPr fitToPage="1"/>
  </sheetPr>
  <dimension ref="A1:AO228"/>
  <sheetViews>
    <sheetView zoomScale="150" zoomScaleNormal="150" workbookViewId="0">
      <selection activeCell="N95" sqref="N95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6640625" style="204" customWidth="1"/>
    <col min="4" max="4" width="1.1640625" style="902" customWidth="1"/>
    <col min="5" max="5" width="3.6640625" style="204" customWidth="1"/>
    <col min="6" max="6" width="3.33203125" style="207" customWidth="1"/>
    <col min="7" max="7" width="5.6640625" style="208" customWidth="1"/>
    <col min="8" max="10" width="7.33203125" style="208" customWidth="1"/>
    <col min="11" max="11" width="33.6640625" style="208" customWidth="1"/>
    <col min="12" max="12" width="8.6640625" style="988" customWidth="1"/>
    <col min="13" max="13" width="1.33203125" style="449" customWidth="1"/>
    <col min="14" max="14" width="8" style="207" customWidth="1"/>
    <col min="15" max="15" width="1" style="208" customWidth="1"/>
    <col min="16" max="16" width="8.5" style="208" customWidth="1"/>
    <col min="17" max="17" width="8.33203125" style="209" customWidth="1"/>
    <col min="18" max="18" width="7.6640625" style="209" customWidth="1"/>
    <col min="19" max="19" width="1.33203125" style="210" customWidth="1"/>
    <col min="20" max="20" width="0.33203125" style="210" customWidth="1"/>
    <col min="21" max="21" width="6.5" style="211" customWidth="1"/>
    <col min="22" max="22" width="6" style="211" customWidth="1"/>
    <col min="23" max="23" width="6.66406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18" customHeight="1" thickBot="1">
      <c r="A1" s="203" t="s">
        <v>344</v>
      </c>
      <c r="B1" s="204"/>
      <c r="C1" s="205"/>
      <c r="D1" s="901"/>
      <c r="E1" s="206"/>
      <c r="K1" s="1141">
        <v>45909</v>
      </c>
      <c r="U1" s="218" t="s">
        <v>345</v>
      </c>
      <c r="AI1" s="213"/>
      <c r="AJ1" s="213"/>
      <c r="AK1" s="213"/>
      <c r="AL1" s="213"/>
      <c r="AM1" s="213"/>
    </row>
    <row r="2" spans="1:40" s="223" customFormat="1" ht="67" customHeight="1" thickTop="1" thickBot="1">
      <c r="A2" s="351" t="s">
        <v>346</v>
      </c>
      <c r="B2" s="352" t="s">
        <v>347</v>
      </c>
      <c r="C2" s="353" t="s">
        <v>348</v>
      </c>
      <c r="D2" s="903"/>
      <c r="E2" s="353" t="s">
        <v>349</v>
      </c>
      <c r="F2" s="354" t="s">
        <v>350</v>
      </c>
      <c r="G2" s="350" t="s">
        <v>351</v>
      </c>
      <c r="H2" s="350" t="s">
        <v>624</v>
      </c>
      <c r="I2" s="350" t="s">
        <v>352</v>
      </c>
      <c r="J2" s="354" t="s">
        <v>353</v>
      </c>
      <c r="K2" s="350" t="s">
        <v>354</v>
      </c>
      <c r="L2" s="990" t="s">
        <v>711</v>
      </c>
      <c r="M2" s="450" t="s">
        <v>355</v>
      </c>
      <c r="N2" s="350" t="s">
        <v>445</v>
      </c>
      <c r="O2" s="353" t="s">
        <v>446</v>
      </c>
      <c r="P2" s="353" t="s">
        <v>447</v>
      </c>
      <c r="Q2" s="355" t="s">
        <v>448</v>
      </c>
      <c r="R2" s="356" t="s">
        <v>371</v>
      </c>
      <c r="S2" s="219" t="s">
        <v>449</v>
      </c>
      <c r="T2" s="219" t="s">
        <v>450</v>
      </c>
      <c r="U2" s="326" t="s">
        <v>451</v>
      </c>
      <c r="V2" s="329" t="s">
        <v>452</v>
      </c>
      <c r="W2" s="327" t="s">
        <v>453</v>
      </c>
      <c r="X2" s="330" t="s">
        <v>454</v>
      </c>
      <c r="Y2" s="328" t="s">
        <v>455</v>
      </c>
      <c r="Z2" s="332" t="s">
        <v>456</v>
      </c>
      <c r="AA2" s="331" t="s">
        <v>457</v>
      </c>
      <c r="AB2" s="220"/>
      <c r="AC2" s="221"/>
      <c r="AD2" s="222"/>
      <c r="AE2" s="222"/>
      <c r="AF2" s="222"/>
      <c r="AG2" s="222"/>
      <c r="AH2" s="222"/>
      <c r="AI2" s="220"/>
      <c r="AJ2" s="220"/>
      <c r="AK2" s="220"/>
      <c r="AL2" s="220"/>
      <c r="AM2" s="220"/>
      <c r="AN2" s="220"/>
    </row>
    <row r="3" spans="1:40" s="228" customFormat="1" ht="10.5" customHeight="1" thickBot="1">
      <c r="A3" s="357"/>
      <c r="B3" s="358"/>
      <c r="C3" s="359"/>
      <c r="D3" s="904"/>
      <c r="E3" s="359"/>
      <c r="F3" s="360"/>
      <c r="G3" s="361"/>
      <c r="H3" s="361"/>
      <c r="I3" s="274">
        <v>2.7239243311571939E-4</v>
      </c>
      <c r="J3" s="360"/>
      <c r="K3" s="361"/>
      <c r="L3" s="991"/>
      <c r="M3" s="524"/>
      <c r="N3" s="361"/>
      <c r="O3" s="359"/>
      <c r="P3" s="359"/>
      <c r="Q3" s="359"/>
      <c r="R3" s="362"/>
      <c r="S3" s="224"/>
      <c r="T3" s="224"/>
      <c r="U3" s="111">
        <f>Test!$D$29</f>
        <v>9.1523857526881758E-4</v>
      </c>
      <c r="V3" s="111">
        <f>Test!$D$31</f>
        <v>8.7635030864197572E-4</v>
      </c>
      <c r="W3" s="111">
        <f>Test!$D$33</f>
        <v>8.4888763197586746E-4</v>
      </c>
      <c r="X3" s="111">
        <f>Test!$D$35</f>
        <v>8.0990657955066516E-4</v>
      </c>
      <c r="Y3" s="111">
        <f>Test!$D$37</f>
        <v>7.5735749690210676E-4</v>
      </c>
      <c r="Z3" s="111">
        <f>Test!$D$39</f>
        <v>7.2916666666666692E-4</v>
      </c>
      <c r="AA3" s="112">
        <f>Test!$D$41</f>
        <v>7.0729166666666694E-4</v>
      </c>
      <c r="AB3" s="225"/>
      <c r="AC3" s="226"/>
      <c r="AD3" s="227"/>
      <c r="AE3" s="227"/>
      <c r="AF3" s="227"/>
      <c r="AG3" s="227"/>
      <c r="AH3" s="227"/>
      <c r="AI3" s="225"/>
      <c r="AJ3" s="225"/>
      <c r="AK3" s="225"/>
      <c r="AL3" s="225"/>
      <c r="AM3" s="225"/>
      <c r="AN3" s="225"/>
    </row>
    <row r="4" spans="1:40" s="228" customFormat="1" ht="4.5" customHeight="1" thickTop="1" thickBot="1">
      <c r="A4" s="803"/>
      <c r="B4" s="803"/>
      <c r="C4" s="623"/>
      <c r="D4" s="938"/>
      <c r="E4" s="623"/>
      <c r="F4" s="624"/>
      <c r="G4" s="625"/>
      <c r="H4" s="625"/>
      <c r="I4" s="625"/>
      <c r="J4" s="624"/>
      <c r="K4" s="625"/>
      <c r="L4" s="992"/>
      <c r="M4" s="626"/>
      <c r="N4" s="625"/>
      <c r="O4" s="623"/>
      <c r="P4" s="623"/>
      <c r="Q4" s="623"/>
      <c r="R4" s="804"/>
      <c r="S4" s="802"/>
      <c r="T4" s="802"/>
      <c r="U4" s="111">
        <f>U3/4</f>
        <v>2.2880964381720439E-4</v>
      </c>
      <c r="V4" s="111">
        <f t="shared" ref="V4:AA4" si="0">V3/4</f>
        <v>2.1908757716049393E-4</v>
      </c>
      <c r="W4" s="111">
        <f t="shared" si="0"/>
        <v>2.1222190799396687E-4</v>
      </c>
      <c r="X4" s="111">
        <f t="shared" si="0"/>
        <v>2.0247664488766629E-4</v>
      </c>
      <c r="Y4" s="111">
        <f t="shared" si="0"/>
        <v>1.8933937422552669E-4</v>
      </c>
      <c r="Z4" s="111">
        <f t="shared" si="0"/>
        <v>1.8229166666666673E-4</v>
      </c>
      <c r="AA4" s="111">
        <f t="shared" si="0"/>
        <v>1.7682291666666674E-4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0" s="228" customFormat="1" ht="14" customHeight="1" thickBot="1">
      <c r="A5" s="1116"/>
      <c r="B5" s="1117" t="s">
        <v>459</v>
      </c>
      <c r="C5" s="274">
        <f>IF(D5=1,U$4,IF(D5=2,V$4,IF(D5=3,W$4,IF(D5=4,X$4,IF(D5=5,Y$4,IF(D5=6,Z$4,IF(D5=7,AA$4,0)))))))</f>
        <v>2.2880964381720439E-4</v>
      </c>
      <c r="D5" s="4505">
        <v>1</v>
      </c>
      <c r="E5" s="4505">
        <v>1</v>
      </c>
      <c r="F5" s="4505">
        <v>1</v>
      </c>
      <c r="G5" s="4505">
        <v>300</v>
      </c>
      <c r="H5" s="5364"/>
      <c r="I5" s="7781">
        <v>0</v>
      </c>
      <c r="J5" s="7781">
        <v>1.3888888888888889E-3</v>
      </c>
      <c r="K5" s="7788" t="s">
        <v>2557</v>
      </c>
      <c r="L5" s="1135">
        <v>0.34722222222222227</v>
      </c>
      <c r="M5" s="7782">
        <v>1</v>
      </c>
      <c r="N5" s="7781">
        <f t="shared" ref="N5" si="1">P5*E5*F5+I5*E5*F5+J5*E5</f>
        <v>4.1346046146953416E-3</v>
      </c>
      <c r="O5" s="7783">
        <f t="shared" ref="O5" si="2">C5*(G5/25)</f>
        <v>2.7457157258064528E-3</v>
      </c>
      <c r="P5" s="7781">
        <f t="shared" ref="P5" si="3">O5*M5</f>
        <v>2.7457157258064528E-3</v>
      </c>
      <c r="Q5" s="7784">
        <f t="shared" ref="Q5" si="4">IF(D5=1,125,IF(D5=2,140,IF(D5=3,164,IF(D5=4,170,IF(D5=5,173,IF(D5=6,177,IF(R5=7,200,0)))))))</f>
        <v>125</v>
      </c>
      <c r="R5" s="7785">
        <f t="shared" ref="R5" si="5">E5*F5*G5</f>
        <v>300</v>
      </c>
      <c r="S5" s="229">
        <f>E5*F5*G5/1000</f>
        <v>0.3</v>
      </c>
      <c r="T5" s="230">
        <f>E5*F5*O5*4</f>
        <v>1.0982862903225811E-2</v>
      </c>
      <c r="U5" s="374">
        <f t="shared" ref="U5" si="6">IF(C5*4&gt;=$U$3,S5,0)</f>
        <v>0.3</v>
      </c>
      <c r="V5" s="375">
        <f t="shared" ref="V5" si="7">IF(AND(C5*4&gt;=$V$3,C5*4&lt;$U$3),S5,0)</f>
        <v>0</v>
      </c>
      <c r="W5" s="376">
        <f t="shared" ref="W5" si="8">IF(AND(C5*4&gt;=$W$3,C5*4&lt;$V$3),S5,0)</f>
        <v>0</v>
      </c>
      <c r="X5" s="377">
        <f t="shared" ref="X5" si="9">IF(AND(C5*4&gt;=$X$3,C5*4&lt;$W$3),S5,0)</f>
        <v>0</v>
      </c>
      <c r="Y5" s="378">
        <f t="shared" ref="Y5" si="10">IF(AND(C5*4&gt;=$Y$3,C5*4&lt;$X$3),S5,0)</f>
        <v>0</v>
      </c>
      <c r="Z5" s="379">
        <f t="shared" ref="Z5" si="11">IF(AND(C5*4&gt;=$Z$3,C5*4&lt;$Y$3),S5,0)</f>
        <v>0</v>
      </c>
      <c r="AA5" s="380">
        <f t="shared" ref="AA5" si="12">IF(AND(C5*4&gt;=$AA$3,C5*4&lt;$Z$3),S5,0)</f>
        <v>0</v>
      </c>
      <c r="AB5" s="484">
        <v>756.90090090090087</v>
      </c>
      <c r="AC5" s="484">
        <v>1040.7387387387387</v>
      </c>
      <c r="AD5" s="484">
        <v>1040.7387387387387</v>
      </c>
      <c r="AE5" s="484">
        <v>1135.3513513513515</v>
      </c>
      <c r="AF5" s="484">
        <v>709.59459459459458</v>
      </c>
      <c r="AG5" s="484">
        <v>567.67567567567573</v>
      </c>
      <c r="AH5" s="484">
        <v>1</v>
      </c>
      <c r="AI5" s="225"/>
      <c r="AJ5" s="225"/>
      <c r="AK5" s="225"/>
      <c r="AL5" s="225"/>
      <c r="AM5" s="225"/>
      <c r="AN5" s="225"/>
    </row>
    <row r="6" spans="1:40" s="228" customFormat="1" ht="14" customHeight="1" thickBot="1">
      <c r="A6" s="1116"/>
      <c r="B6" s="1117" t="s">
        <v>215</v>
      </c>
      <c r="C6" s="274">
        <f t="shared" ref="C6:C15" si="13">IF(D6=1,U$4,IF(D6=2,V$4,IF(D6=3,W$4,IF(D6=4,X$4,IF(D6=5,Y$4,IF(D6=6,Z$4,IF(D6=7,AA$4,0)))))))</f>
        <v>2.1222190799396687E-4</v>
      </c>
      <c r="D6" s="7775">
        <v>3</v>
      </c>
      <c r="E6" s="7775">
        <v>1</v>
      </c>
      <c r="F6" s="7775">
        <v>4</v>
      </c>
      <c r="G6" s="7775">
        <v>25</v>
      </c>
      <c r="H6" s="7776"/>
      <c r="I6" s="7777">
        <v>2.3148148148148146E-4</v>
      </c>
      <c r="J6" s="7777">
        <v>1.3888888888888889E-3</v>
      </c>
      <c r="K6" s="7786" t="s">
        <v>2558</v>
      </c>
      <c r="L6" s="7777">
        <f>L5+N5</f>
        <v>0.3513568268369176</v>
      </c>
      <c r="M6" s="7778">
        <v>1</v>
      </c>
      <c r="N6" s="7777">
        <f t="shared" ref="N6" si="14">P6*E6*F6+I6*E6*F6+J6*E6</f>
        <v>3.1637024467906826E-3</v>
      </c>
      <c r="O6" s="7779">
        <f t="shared" ref="O6" si="15">C6*(G6/25)</f>
        <v>2.1222190799396687E-4</v>
      </c>
      <c r="P6" s="7777">
        <f t="shared" ref="P6" si="16">O6*M6</f>
        <v>2.1222190799396687E-4</v>
      </c>
      <c r="Q6" s="7780">
        <f t="shared" ref="Q6" si="17">IF(D6=1,125,IF(D6=2,140,IF(D6=3,164,IF(D6=4,170,IF(D6=5,173,IF(D6=6,177,IF(R6=7,200,0)))))))</f>
        <v>164</v>
      </c>
      <c r="R6" s="7787">
        <f t="shared" ref="R6" si="18">E6*F6*G6</f>
        <v>100</v>
      </c>
      <c r="S6" s="229">
        <f t="shared" ref="S6:S38" si="19">E6*F6*G6/1000</f>
        <v>0.1</v>
      </c>
      <c r="T6" s="230">
        <f t="shared" ref="T6:T38" si="20">E6*F6*O6*4</f>
        <v>3.3955505279034699E-3</v>
      </c>
      <c r="U6" s="374">
        <f t="shared" ref="U6:U38" si="21">IF(C6*4&gt;=$U$3,S6,0)</f>
        <v>0</v>
      </c>
      <c r="V6" s="375">
        <f t="shared" ref="V6:V38" si="22">IF(AND(C6*4&gt;=$V$3,C6*4&lt;$U$3),S6,0)</f>
        <v>0</v>
      </c>
      <c r="W6" s="376">
        <f t="shared" ref="W6:W38" si="23">IF(AND(C6*4&gt;=$W$3,C6*4&lt;$V$3),S6,0)</f>
        <v>0.1</v>
      </c>
      <c r="X6" s="377">
        <f t="shared" ref="X6:X38" si="24">IF(AND(C6*4&gt;=$X$3,C6*4&lt;$W$3),S6,0)</f>
        <v>0</v>
      </c>
      <c r="Y6" s="378">
        <f t="shared" ref="Y6:Y38" si="25">IF(AND(C6*4&gt;=$Y$3,C6*4&lt;$X$3),S6,0)</f>
        <v>0</v>
      </c>
      <c r="Z6" s="379">
        <f t="shared" ref="Z6:Z38" si="26">IF(AND(C6*4&gt;=$Z$3,C6*4&lt;$Y$3),S6,0)</f>
        <v>0</v>
      </c>
      <c r="AA6" s="380">
        <f t="shared" ref="AA6:AA38" si="27">IF(AND(C6*4&gt;=$AA$3,C6*4&lt;$Z$3),S6,0)</f>
        <v>0</v>
      </c>
      <c r="AB6" s="484"/>
      <c r="AC6" s="484"/>
      <c r="AD6" s="484"/>
      <c r="AE6" s="484"/>
      <c r="AF6" s="484"/>
      <c r="AG6" s="484"/>
      <c r="AH6" s="484"/>
      <c r="AI6" s="225"/>
      <c r="AJ6" s="225"/>
      <c r="AK6" s="225"/>
      <c r="AL6" s="225"/>
      <c r="AM6" s="225"/>
      <c r="AN6" s="225"/>
    </row>
    <row r="7" spans="1:40" s="228" customFormat="1" ht="15" customHeight="1" thickBot="1">
      <c r="A7" s="1116" t="s">
        <v>214</v>
      </c>
      <c r="B7" s="1117" t="s">
        <v>215</v>
      </c>
      <c r="C7" s="274">
        <f t="shared" si="13"/>
        <v>1.8933937422552669E-4</v>
      </c>
      <c r="D7" s="7756">
        <v>5</v>
      </c>
      <c r="E7" s="7756">
        <v>1</v>
      </c>
      <c r="F7" s="7756">
        <v>4</v>
      </c>
      <c r="G7" s="7756">
        <v>50</v>
      </c>
      <c r="H7" s="7757"/>
      <c r="I7" s="7758">
        <v>8.1018518518518516E-4</v>
      </c>
      <c r="J7" s="7758">
        <v>1.3888888888888889E-3</v>
      </c>
      <c r="K7" s="2004" t="s">
        <v>2232</v>
      </c>
      <c r="L7" s="7758">
        <f>L6+N6</f>
        <v>0.35452052928370831</v>
      </c>
      <c r="M7" s="7759">
        <v>1</v>
      </c>
      <c r="N7" s="7758">
        <f t="shared" ref="N7" si="28">P7*E7*F7+I7*E7*F7+J7*E7</f>
        <v>6.1443446234338431E-3</v>
      </c>
      <c r="O7" s="7758">
        <f t="shared" ref="O7" si="29">C7*(G7/25)</f>
        <v>3.7867874845105338E-4</v>
      </c>
      <c r="P7" s="7758">
        <f t="shared" ref="P7" si="30">O7*M7</f>
        <v>3.7867874845105338E-4</v>
      </c>
      <c r="Q7" s="7760">
        <f t="shared" ref="Q7:Q38" si="31">IF(D7=1,125,IF(D7=2,140,IF(D7=3,164,IF(D7=4,170,IF(D7=5,173,IF(D7=6,177,IF(R7=7,200,0)))))))</f>
        <v>173</v>
      </c>
      <c r="R7" s="7761">
        <f t="shared" ref="R7" si="32">E7*F7*G7</f>
        <v>200</v>
      </c>
      <c r="S7" s="229">
        <f t="shared" si="19"/>
        <v>0.2</v>
      </c>
      <c r="T7" s="230">
        <f t="shared" si="20"/>
        <v>6.0588599752168541E-3</v>
      </c>
      <c r="U7" s="374">
        <f t="shared" si="21"/>
        <v>0</v>
      </c>
      <c r="V7" s="375">
        <f t="shared" si="22"/>
        <v>0</v>
      </c>
      <c r="W7" s="376">
        <f t="shared" si="23"/>
        <v>0</v>
      </c>
      <c r="X7" s="377">
        <f t="shared" si="24"/>
        <v>0</v>
      </c>
      <c r="Y7" s="378">
        <f t="shared" si="25"/>
        <v>0.2</v>
      </c>
      <c r="Z7" s="379">
        <f t="shared" si="26"/>
        <v>0</v>
      </c>
      <c r="AA7" s="380">
        <f t="shared" si="27"/>
        <v>0</v>
      </c>
      <c r="AB7" s="535">
        <v>908.25225225225222</v>
      </c>
      <c r="AC7" s="535">
        <v>1248.8468468468468</v>
      </c>
      <c r="AD7" s="535">
        <v>1001.356363636363</v>
      </c>
      <c r="AE7" s="535">
        <v>1362.3783783783786</v>
      </c>
      <c r="AF7" s="535">
        <v>851.48648648648657</v>
      </c>
      <c r="AG7" s="535">
        <v>681.18918918918928</v>
      </c>
      <c r="AH7" s="535">
        <v>1</v>
      </c>
      <c r="AI7" s="225"/>
      <c r="AJ7" s="225"/>
      <c r="AK7" s="225"/>
      <c r="AL7" s="225"/>
      <c r="AM7" s="225"/>
      <c r="AN7" s="225"/>
    </row>
    <row r="8" spans="1:40" s="228" customFormat="1" ht="15" customHeight="1" thickBot="1">
      <c r="A8" s="1116"/>
      <c r="B8" s="1117" t="s">
        <v>215</v>
      </c>
      <c r="C8" s="274">
        <f t="shared" si="13"/>
        <v>1.7682291666666674E-4</v>
      </c>
      <c r="D8" s="7762">
        <v>7</v>
      </c>
      <c r="E8" s="7763">
        <v>6</v>
      </c>
      <c r="F8" s="7763">
        <v>1</v>
      </c>
      <c r="G8" s="7763">
        <v>15</v>
      </c>
      <c r="H8" s="7764"/>
      <c r="I8" s="7764">
        <v>3.4722222222222224E-4</v>
      </c>
      <c r="J8" s="7764">
        <v>1.3888888888888889E-3</v>
      </c>
      <c r="K8" s="7765" t="s">
        <v>1933</v>
      </c>
      <c r="L8" s="7766">
        <f t="shared" ref="L8" si="33">L7+N7</f>
        <v>0.36066487390714214</v>
      </c>
      <c r="M8" s="7767">
        <v>1</v>
      </c>
      <c r="N8" s="7766">
        <f>P8*E8*F8+I8*E8*F8+J8*E8</f>
        <v>1.1053229166666668E-2</v>
      </c>
      <c r="O8" s="7766">
        <f>C8*(G8/25)</f>
        <v>1.0609375000000004E-4</v>
      </c>
      <c r="P8" s="7766">
        <f>O8*M8</f>
        <v>1.0609375000000004E-4</v>
      </c>
      <c r="Q8" s="7768">
        <f t="shared" si="31"/>
        <v>0</v>
      </c>
      <c r="R8" s="7768">
        <f>E8*F8*G8</f>
        <v>90</v>
      </c>
      <c r="S8" s="229">
        <f t="shared" si="19"/>
        <v>0.09</v>
      </c>
      <c r="T8" s="230">
        <f t="shared" si="20"/>
        <v>2.5462500000000008E-3</v>
      </c>
      <c r="U8" s="374">
        <f t="shared" si="21"/>
        <v>0</v>
      </c>
      <c r="V8" s="375">
        <f t="shared" si="22"/>
        <v>0</v>
      </c>
      <c r="W8" s="376">
        <f t="shared" si="23"/>
        <v>0</v>
      </c>
      <c r="X8" s="377">
        <f t="shared" si="24"/>
        <v>0</v>
      </c>
      <c r="Y8" s="378">
        <f t="shared" si="25"/>
        <v>0</v>
      </c>
      <c r="Z8" s="379">
        <f t="shared" si="26"/>
        <v>0</v>
      </c>
      <c r="AA8" s="380">
        <f t="shared" si="27"/>
        <v>0.09</v>
      </c>
      <c r="AB8" s="535"/>
      <c r="AC8" s="535"/>
      <c r="AD8" s="535"/>
      <c r="AE8" s="535"/>
      <c r="AF8" s="535"/>
      <c r="AG8" s="535"/>
      <c r="AH8" s="535"/>
      <c r="AI8" s="225"/>
      <c r="AJ8" s="225"/>
      <c r="AK8" s="225"/>
      <c r="AL8" s="225"/>
      <c r="AM8" s="225"/>
      <c r="AN8" s="225"/>
    </row>
    <row r="9" spans="1:40" s="228" customFormat="1" ht="15" customHeight="1" thickBot="1">
      <c r="A9" s="1116" t="s">
        <v>459</v>
      </c>
      <c r="B9" s="1117" t="s">
        <v>215</v>
      </c>
      <c r="C9" s="274">
        <f t="shared" si="13"/>
        <v>1.7682291666666674E-4</v>
      </c>
      <c r="D9" s="7769">
        <v>7</v>
      </c>
      <c r="E9" s="7769">
        <v>2</v>
      </c>
      <c r="F9" s="7769">
        <v>1</v>
      </c>
      <c r="G9" s="7769">
        <v>100</v>
      </c>
      <c r="H9" s="7770"/>
      <c r="I9" s="7770">
        <v>0</v>
      </c>
      <c r="J9" s="7770">
        <v>1.3888888888888889E-3</v>
      </c>
      <c r="K9" s="7771" t="s">
        <v>1928</v>
      </c>
      <c r="L9" s="7772">
        <f>L8+N8</f>
        <v>0.37171810307380881</v>
      </c>
      <c r="M9" s="7773">
        <v>1</v>
      </c>
      <c r="N9" s="7772">
        <f>P9*E9*F9+I9*E9*F9+J9*E9</f>
        <v>4.192361111111112E-3</v>
      </c>
      <c r="O9" s="6373">
        <f>C9*(G9/25)</f>
        <v>7.0729166666666694E-4</v>
      </c>
      <c r="P9" s="7772">
        <f>O9*M9</f>
        <v>7.0729166666666694E-4</v>
      </c>
      <c r="Q9" s="7774">
        <f t="shared" si="31"/>
        <v>0</v>
      </c>
      <c r="R9" s="7773">
        <f>E9*F9*G9</f>
        <v>200</v>
      </c>
      <c r="S9" s="229">
        <f t="shared" si="19"/>
        <v>0.2</v>
      </c>
      <c r="T9" s="230">
        <f t="shared" si="20"/>
        <v>5.6583333333333355E-3</v>
      </c>
      <c r="U9" s="374">
        <f t="shared" si="21"/>
        <v>0</v>
      </c>
      <c r="V9" s="375">
        <f t="shared" si="22"/>
        <v>0</v>
      </c>
      <c r="W9" s="376">
        <f t="shared" si="23"/>
        <v>0</v>
      </c>
      <c r="X9" s="377">
        <f t="shared" si="24"/>
        <v>0</v>
      </c>
      <c r="Y9" s="378">
        <f t="shared" si="25"/>
        <v>0</v>
      </c>
      <c r="Z9" s="379">
        <f t="shared" si="26"/>
        <v>0</v>
      </c>
      <c r="AA9" s="380">
        <f t="shared" si="27"/>
        <v>0.2</v>
      </c>
      <c r="AB9" s="500">
        <v>529.87387387387378</v>
      </c>
      <c r="AC9" s="500">
        <v>229.70224406224384</v>
      </c>
      <c r="AD9" s="500">
        <v>-247.49048321048383</v>
      </c>
      <c r="AE9" s="500">
        <v>794.81081081081072</v>
      </c>
      <c r="AF9" s="500">
        <v>496.75675675675672</v>
      </c>
      <c r="AG9" s="500">
        <v>397.40540540540536</v>
      </c>
      <c r="AH9" s="500">
        <v>1</v>
      </c>
      <c r="AI9" s="225"/>
      <c r="AJ9" s="225"/>
      <c r="AK9" s="225"/>
      <c r="AL9" s="225"/>
      <c r="AM9" s="225"/>
      <c r="AN9" s="225"/>
    </row>
    <row r="10" spans="1:40" s="228" customFormat="1" ht="15" customHeight="1" thickBot="1">
      <c r="A10" s="1116" t="s">
        <v>460</v>
      </c>
      <c r="B10" s="1117" t="s">
        <v>215</v>
      </c>
      <c r="C10" s="274">
        <f t="shared" si="13"/>
        <v>1.7682291666666674E-4</v>
      </c>
      <c r="D10" s="438">
        <v>7</v>
      </c>
      <c r="E10" s="438">
        <v>1</v>
      </c>
      <c r="F10" s="438">
        <v>3</v>
      </c>
      <c r="G10" s="438">
        <v>75</v>
      </c>
      <c r="H10" s="1301"/>
      <c r="I10" s="7764">
        <v>3.4722222222222224E-4</v>
      </c>
      <c r="J10" s="2425">
        <v>0</v>
      </c>
      <c r="K10" s="438" t="s">
        <v>2559</v>
      </c>
      <c r="L10" s="4489">
        <f>L9+N9</f>
        <v>0.37591046418491991</v>
      </c>
      <c r="M10" s="4490">
        <v>1</v>
      </c>
      <c r="N10" s="4491">
        <f>P10*E10*F10+I10*E10*F10+J10*E10</f>
        <v>2.6330729166666672E-3</v>
      </c>
      <c r="O10" s="1191">
        <f>C10*(G10/25)</f>
        <v>5.3046875000000023E-4</v>
      </c>
      <c r="P10" s="1192">
        <f>O10*M10</f>
        <v>5.3046875000000023E-4</v>
      </c>
      <c r="Q10" s="788">
        <f t="shared" ref="Q10" si="34">IF(D10=1,125,IF(D10=2,140,IF(D10=3,164,IF(D10=4,170,IF(D10=5,173,IF(D10=6,177,IF(R10=7,200,0)))))))</f>
        <v>0</v>
      </c>
      <c r="R10" s="2402">
        <f>E10*F10*G10</f>
        <v>225</v>
      </c>
      <c r="S10" s="229">
        <f t="shared" si="19"/>
        <v>0.22500000000000001</v>
      </c>
      <c r="T10" s="230">
        <f t="shared" si="20"/>
        <v>6.3656250000000032E-3</v>
      </c>
      <c r="U10" s="374">
        <f t="shared" si="21"/>
        <v>0</v>
      </c>
      <c r="V10" s="375">
        <f t="shared" si="22"/>
        <v>0</v>
      </c>
      <c r="W10" s="376">
        <f t="shared" si="23"/>
        <v>0</v>
      </c>
      <c r="X10" s="377">
        <f t="shared" si="24"/>
        <v>0</v>
      </c>
      <c r="Y10" s="378">
        <f t="shared" si="25"/>
        <v>0</v>
      </c>
      <c r="Z10" s="379">
        <f t="shared" si="26"/>
        <v>0</v>
      </c>
      <c r="AA10" s="380">
        <f t="shared" si="27"/>
        <v>0.22500000000000001</v>
      </c>
      <c r="AB10" s="501">
        <v>0</v>
      </c>
      <c r="AC10" s="501">
        <v>4296.0545454545454</v>
      </c>
      <c r="AD10" s="501">
        <v>5728.0727272727281</v>
      </c>
      <c r="AE10" s="501">
        <v>0</v>
      </c>
      <c r="AF10" s="501">
        <v>2748.034889434889</v>
      </c>
      <c r="AG10" s="501">
        <v>1548.0196560196562</v>
      </c>
      <c r="AH10" s="501">
        <v>1</v>
      </c>
      <c r="AI10" s="225"/>
      <c r="AJ10" s="225"/>
      <c r="AK10" s="225"/>
      <c r="AL10" s="225"/>
      <c r="AM10" s="225"/>
      <c r="AN10" s="225"/>
    </row>
    <row r="11" spans="1:40" s="228" customFormat="1" ht="12" customHeight="1" thickBot="1">
      <c r="A11" s="1116" t="s">
        <v>458</v>
      </c>
      <c r="B11" s="1117" t="s">
        <v>215</v>
      </c>
      <c r="C11" s="274">
        <f t="shared" si="13"/>
        <v>0</v>
      </c>
      <c r="D11" s="1194"/>
      <c r="E11" s="1194"/>
      <c r="F11" s="1194"/>
      <c r="G11" s="1194"/>
      <c r="H11" s="274"/>
      <c r="I11" s="274"/>
      <c r="J11" s="274"/>
      <c r="K11" s="312"/>
      <c r="L11" s="1137">
        <f>L10+N10</f>
        <v>0.37854353710158656</v>
      </c>
      <c r="M11" s="4513"/>
      <c r="N11" s="1138">
        <f>SUM(N5:N9)</f>
        <v>2.8688241962697647E-2</v>
      </c>
      <c r="O11" s="1138"/>
      <c r="P11" s="1138"/>
      <c r="Q11" s="1139">
        <f t="shared" si="31"/>
        <v>0</v>
      </c>
      <c r="R11" s="4506">
        <f>SUM(R5:R10)</f>
        <v>1115</v>
      </c>
      <c r="S11" s="229">
        <f t="shared" si="19"/>
        <v>0</v>
      </c>
      <c r="T11" s="230">
        <f t="shared" si="20"/>
        <v>0</v>
      </c>
      <c r="U11" s="374">
        <f t="shared" si="21"/>
        <v>0</v>
      </c>
      <c r="V11" s="375">
        <f t="shared" si="22"/>
        <v>0</v>
      </c>
      <c r="W11" s="376">
        <f t="shared" si="23"/>
        <v>0</v>
      </c>
      <c r="X11" s="377">
        <f t="shared" si="24"/>
        <v>0</v>
      </c>
      <c r="Y11" s="378">
        <f t="shared" si="25"/>
        <v>0</v>
      </c>
      <c r="Z11" s="379">
        <f t="shared" si="26"/>
        <v>0</v>
      </c>
      <c r="AA11" s="380">
        <f t="shared" si="27"/>
        <v>0</v>
      </c>
      <c r="AB11" s="502">
        <v>0</v>
      </c>
      <c r="AC11" s="502">
        <v>0</v>
      </c>
      <c r="AD11" s="502">
        <v>0</v>
      </c>
      <c r="AE11" s="502">
        <v>7</v>
      </c>
      <c r="AF11" s="502">
        <v>0</v>
      </c>
      <c r="AG11" s="502">
        <v>0</v>
      </c>
      <c r="AH11" s="502">
        <v>0</v>
      </c>
      <c r="AI11" s="225"/>
      <c r="AJ11" s="225"/>
      <c r="AK11" s="225"/>
      <c r="AL11" s="225"/>
      <c r="AM11" s="225"/>
      <c r="AN11" s="225"/>
    </row>
    <row r="12" spans="1:40" s="228" customFormat="1" ht="14" customHeight="1">
      <c r="A12" s="851" t="s">
        <v>215</v>
      </c>
      <c r="B12" s="1124" t="s">
        <v>215</v>
      </c>
      <c r="C12" s="274">
        <f t="shared" si="13"/>
        <v>2.2880964381720439E-4</v>
      </c>
      <c r="D12" s="547">
        <v>1</v>
      </c>
      <c r="E12" s="1194">
        <v>1</v>
      </c>
      <c r="F12" s="1194">
        <v>1</v>
      </c>
      <c r="G12" s="1194">
        <v>500</v>
      </c>
      <c r="H12" s="274"/>
      <c r="I12" s="1135">
        <v>0</v>
      </c>
      <c r="J12" s="1135">
        <v>1.3888888888888889E-3</v>
      </c>
      <c r="K12" s="312" t="s">
        <v>2233</v>
      </c>
      <c r="L12" s="1135">
        <v>0.34027777777777773</v>
      </c>
      <c r="M12" s="4508">
        <v>1</v>
      </c>
      <c r="N12" s="1135">
        <f t="shared" ref="N12:N15" si="35">P12*E12*F12+I12*E12*F12+J12*E12</f>
        <v>5.9650817652329774E-3</v>
      </c>
      <c r="O12" s="1196">
        <f t="shared" ref="O12:O14" si="36">C12*(G12/25)</f>
        <v>4.5761928763440882E-3</v>
      </c>
      <c r="P12" s="1135">
        <f t="shared" ref="P12:P14" si="37">O12*M12</f>
        <v>4.5761928763440882E-3</v>
      </c>
      <c r="Q12" s="548">
        <f t="shared" ref="Q12:Q17" si="38">IF(D12=1,125,IF(D12=2,140,IF(D12=3,164,IF(D12=4,170,IF(D12=5,173,IF(D12=6,177,IF(R12=7,200,0)))))))</f>
        <v>125</v>
      </c>
      <c r="R12" s="4509">
        <f t="shared" ref="R12:R14" si="39">E12*F12*G12</f>
        <v>500</v>
      </c>
      <c r="S12" s="229">
        <f t="shared" si="19"/>
        <v>0.5</v>
      </c>
      <c r="T12" s="230">
        <f t="shared" si="20"/>
        <v>1.8304771505376353E-2</v>
      </c>
      <c r="U12" s="374">
        <f t="shared" si="21"/>
        <v>0.5</v>
      </c>
      <c r="V12" s="375">
        <f t="shared" si="22"/>
        <v>0</v>
      </c>
      <c r="W12" s="376">
        <f t="shared" si="23"/>
        <v>0</v>
      </c>
      <c r="X12" s="377">
        <f t="shared" si="24"/>
        <v>0</v>
      </c>
      <c r="Y12" s="378">
        <f t="shared" si="25"/>
        <v>0</v>
      </c>
      <c r="Z12" s="379">
        <f t="shared" si="26"/>
        <v>0</v>
      </c>
      <c r="AA12" s="380">
        <f t="shared" si="27"/>
        <v>0</v>
      </c>
      <c r="AB12" s="7741" t="s">
        <v>2552</v>
      </c>
      <c r="AC12" s="7742"/>
      <c r="AD12" s="7742"/>
      <c r="AE12" s="7742"/>
      <c r="AF12" s="7742"/>
      <c r="AG12" s="7742"/>
      <c r="AH12" s="7742"/>
      <c r="AI12" s="7743"/>
      <c r="AJ12" s="7744"/>
      <c r="AK12" s="225"/>
      <c r="AL12" s="225"/>
      <c r="AM12" s="225"/>
      <c r="AN12" s="225"/>
    </row>
    <row r="13" spans="1:40" s="228" customFormat="1" ht="14" customHeight="1">
      <c r="A13" s="851" t="s">
        <v>138</v>
      </c>
      <c r="B13" s="1124" t="s">
        <v>215</v>
      </c>
      <c r="C13" s="274">
        <f t="shared" si="13"/>
        <v>2.1908757716049393E-4</v>
      </c>
      <c r="D13" s="889">
        <v>2</v>
      </c>
      <c r="E13" s="1173">
        <v>1</v>
      </c>
      <c r="F13" s="1173">
        <v>6</v>
      </c>
      <c r="G13" s="1173">
        <v>25</v>
      </c>
      <c r="H13" s="299"/>
      <c r="I13" s="1143">
        <v>3.4722222222222224E-4</v>
      </c>
      <c r="J13" s="1143">
        <v>1.3888888888888889E-3</v>
      </c>
      <c r="K13" s="1123" t="s">
        <v>1930</v>
      </c>
      <c r="L13" s="1143">
        <f t="shared" ref="L13:L14" si="40">L12+N12</f>
        <v>0.34624285954301071</v>
      </c>
      <c r="M13" s="4514">
        <v>1</v>
      </c>
      <c r="N13" s="1143">
        <f t="shared" si="35"/>
        <v>4.7867476851851855E-3</v>
      </c>
      <c r="O13" s="1143">
        <f t="shared" si="36"/>
        <v>2.1908757716049393E-4</v>
      </c>
      <c r="P13" s="1143">
        <f t="shared" si="37"/>
        <v>2.1908757716049393E-4</v>
      </c>
      <c r="Q13" s="550">
        <f t="shared" si="38"/>
        <v>140</v>
      </c>
      <c r="R13" s="4515">
        <f t="shared" si="39"/>
        <v>150</v>
      </c>
      <c r="S13" s="229">
        <f t="shared" si="19"/>
        <v>0.15</v>
      </c>
      <c r="T13" s="230">
        <f t="shared" si="20"/>
        <v>5.2581018518518541E-3</v>
      </c>
      <c r="U13" s="374">
        <f t="shared" si="21"/>
        <v>0</v>
      </c>
      <c r="V13" s="375">
        <f t="shared" si="22"/>
        <v>0.15</v>
      </c>
      <c r="W13" s="376">
        <f t="shared" si="23"/>
        <v>0</v>
      </c>
      <c r="X13" s="377">
        <f t="shared" si="24"/>
        <v>0</v>
      </c>
      <c r="Y13" s="378">
        <f t="shared" si="25"/>
        <v>0</v>
      </c>
      <c r="Z13" s="379">
        <f t="shared" si="26"/>
        <v>0</v>
      </c>
      <c r="AA13" s="380">
        <f t="shared" si="27"/>
        <v>0</v>
      </c>
      <c r="AB13" s="7745" t="s">
        <v>2553</v>
      </c>
      <c r="AC13" s="7742"/>
      <c r="AD13" s="7742"/>
      <c r="AE13" s="7742"/>
      <c r="AF13" s="7742"/>
      <c r="AG13" s="7742"/>
      <c r="AH13" s="7742"/>
      <c r="AI13" s="7743"/>
      <c r="AJ13" s="7746"/>
      <c r="AK13" s="225"/>
      <c r="AL13" s="225"/>
      <c r="AM13" s="225"/>
      <c r="AN13" s="225"/>
    </row>
    <row r="14" spans="1:40" s="228" customFormat="1" ht="14" customHeight="1">
      <c r="A14" s="851" t="s">
        <v>462</v>
      </c>
      <c r="B14" s="1124" t="s">
        <v>215</v>
      </c>
      <c r="C14" s="274">
        <f t="shared" si="13"/>
        <v>2.0247664488766629E-4</v>
      </c>
      <c r="D14" s="7789">
        <v>4</v>
      </c>
      <c r="E14" s="6828">
        <v>2</v>
      </c>
      <c r="F14" s="6828">
        <v>3</v>
      </c>
      <c r="G14" s="6828">
        <v>50</v>
      </c>
      <c r="H14" s="6825"/>
      <c r="I14" s="7790">
        <v>2.8935185185185189E-4</v>
      </c>
      <c r="J14" s="7790">
        <v>1.3888888888888889E-3</v>
      </c>
      <c r="K14" s="7791" t="s">
        <v>2560</v>
      </c>
      <c r="L14" s="7790">
        <f t="shared" si="40"/>
        <v>0.35102960722819587</v>
      </c>
      <c r="M14" s="7792">
        <v>1</v>
      </c>
      <c r="N14" s="7790">
        <f t="shared" si="35"/>
        <v>6.9436086275408843E-3</v>
      </c>
      <c r="O14" s="7790">
        <f t="shared" si="36"/>
        <v>4.0495328977533258E-4</v>
      </c>
      <c r="P14" s="7790">
        <f t="shared" si="37"/>
        <v>4.0495328977533258E-4</v>
      </c>
      <c r="Q14" s="6827">
        <f t="shared" si="38"/>
        <v>170</v>
      </c>
      <c r="R14" s="7793">
        <f t="shared" si="39"/>
        <v>300</v>
      </c>
      <c r="S14" s="229">
        <f t="shared" si="19"/>
        <v>0.3</v>
      </c>
      <c r="T14" s="230">
        <f t="shared" si="20"/>
        <v>9.7188789546079814E-3</v>
      </c>
      <c r="U14" s="374">
        <f t="shared" si="21"/>
        <v>0</v>
      </c>
      <c r="V14" s="375">
        <f t="shared" si="22"/>
        <v>0</v>
      </c>
      <c r="W14" s="376">
        <f t="shared" si="23"/>
        <v>0</v>
      </c>
      <c r="X14" s="377">
        <f t="shared" si="24"/>
        <v>0.3</v>
      </c>
      <c r="Y14" s="378">
        <f t="shared" si="25"/>
        <v>0</v>
      </c>
      <c r="Z14" s="379">
        <f t="shared" si="26"/>
        <v>0</v>
      </c>
      <c r="AA14" s="380">
        <f t="shared" si="27"/>
        <v>0</v>
      </c>
      <c r="AB14" s="7747" t="s">
        <v>2555</v>
      </c>
      <c r="AC14" s="7748"/>
      <c r="AD14" s="7748"/>
      <c r="AE14" s="7748"/>
      <c r="AF14" s="7748"/>
      <c r="AG14" s="7748"/>
      <c r="AH14" s="7748"/>
      <c r="AI14" s="7749"/>
      <c r="AJ14" s="7750"/>
      <c r="AK14" s="225"/>
      <c r="AL14" s="225"/>
      <c r="AM14" s="225"/>
      <c r="AN14" s="225"/>
    </row>
    <row r="15" spans="1:40" s="228" customFormat="1" ht="14" customHeight="1">
      <c r="A15" s="851" t="s">
        <v>461</v>
      </c>
      <c r="B15" s="1124" t="s">
        <v>215</v>
      </c>
      <c r="C15" s="274">
        <f t="shared" si="13"/>
        <v>1.8933937422552669E-4</v>
      </c>
      <c r="D15" s="7756">
        <v>5</v>
      </c>
      <c r="E15" s="7756">
        <v>8</v>
      </c>
      <c r="F15" s="7756">
        <v>2</v>
      </c>
      <c r="G15" s="7756">
        <v>20</v>
      </c>
      <c r="H15" s="7757"/>
      <c r="I15" s="7758">
        <v>1.7361111111111112E-4</v>
      </c>
      <c r="J15" s="7758">
        <v>1.3888888888888889E-3</v>
      </c>
      <c r="K15" s="7794" t="s">
        <v>2561</v>
      </c>
      <c r="L15" s="7758">
        <f t="shared" ref="L15" si="41">L14+N14</f>
        <v>0.35797321585573677</v>
      </c>
      <c r="M15" s="7759">
        <v>1</v>
      </c>
      <c r="N15" s="7758">
        <f t="shared" si="35"/>
        <v>1.631243287897563E-2</v>
      </c>
      <c r="O15" s="7758">
        <f t="shared" ref="O15" si="42">C15*(G15/25)</f>
        <v>1.5147149938042137E-4</v>
      </c>
      <c r="P15" s="7758">
        <f t="shared" ref="P15" si="43">O15*M15</f>
        <v>1.5147149938042137E-4</v>
      </c>
      <c r="Q15" s="7760">
        <f t="shared" ref="Q15" si="44">IF(D15=1,125,IF(D15=2,140,IF(D15=3,164,IF(D15=4,170,IF(D15=5,173,IF(D15=6,177,IF(R15=7,200,0)))))))</f>
        <v>173</v>
      </c>
      <c r="R15" s="7761">
        <f t="shared" ref="R15" si="45">E15*F15*G15</f>
        <v>320</v>
      </c>
      <c r="S15" s="229">
        <f t="shared" si="19"/>
        <v>0.32</v>
      </c>
      <c r="T15" s="230">
        <f t="shared" si="20"/>
        <v>9.6941759603469679E-3</v>
      </c>
      <c r="U15" s="374">
        <f t="shared" si="21"/>
        <v>0</v>
      </c>
      <c r="V15" s="375">
        <f t="shared" si="22"/>
        <v>0</v>
      </c>
      <c r="W15" s="376">
        <f t="shared" si="23"/>
        <v>0</v>
      </c>
      <c r="X15" s="377">
        <f t="shared" si="24"/>
        <v>0</v>
      </c>
      <c r="Y15" s="378">
        <f t="shared" si="25"/>
        <v>0.32</v>
      </c>
      <c r="Z15" s="379">
        <f t="shared" si="26"/>
        <v>0</v>
      </c>
      <c r="AA15" s="380">
        <f t="shared" si="27"/>
        <v>0</v>
      </c>
      <c r="AB15" s="7751" t="s">
        <v>2554</v>
      </c>
      <c r="AC15" s="7748"/>
      <c r="AD15" s="7748"/>
      <c r="AE15" s="7748"/>
      <c r="AF15" s="7748"/>
      <c r="AG15" s="7748"/>
      <c r="AH15" s="7748"/>
      <c r="AI15" s="7749"/>
      <c r="AJ15" s="7750"/>
      <c r="AK15" s="225"/>
      <c r="AL15" s="225"/>
      <c r="AM15" s="225"/>
      <c r="AN15" s="225"/>
    </row>
    <row r="16" spans="1:40" s="228" customFormat="1" ht="14" customHeight="1">
      <c r="A16" s="851" t="s">
        <v>458</v>
      </c>
      <c r="B16" s="1124" t="s">
        <v>215</v>
      </c>
      <c r="C16" s="274">
        <f t="shared" ref="C16" si="46">IF(D16=1,U$4,IF(D16=2,V$4,IF(D16=3,W$4,IF(D16=4,X$4,IF(D16=5,Y$4,IF(D16=6,Z$4,IF(D16=7,AA$4,0)))))))</f>
        <v>1.7682291666666674E-4</v>
      </c>
      <c r="D16" s="438">
        <v>7</v>
      </c>
      <c r="E16" s="438">
        <v>1</v>
      </c>
      <c r="F16" s="438">
        <v>3</v>
      </c>
      <c r="G16" s="438">
        <v>75</v>
      </c>
      <c r="H16" s="1301"/>
      <c r="I16" s="7764">
        <v>3.4722222222222224E-4</v>
      </c>
      <c r="J16" s="2425">
        <v>0</v>
      </c>
      <c r="K16" s="438" t="s">
        <v>2562</v>
      </c>
      <c r="L16" s="4489">
        <f t="shared" ref="L16" si="47">L15+N15</f>
        <v>0.37428564873471237</v>
      </c>
      <c r="M16" s="4490">
        <v>1</v>
      </c>
      <c r="N16" s="4491">
        <f t="shared" ref="N16" si="48">P16*E16*F16+I16*E16*F16+J16*E16</f>
        <v>2.6330729166666672E-3</v>
      </c>
      <c r="O16" s="1191">
        <f t="shared" ref="O16" si="49">C16*(G16/25)</f>
        <v>5.3046875000000023E-4</v>
      </c>
      <c r="P16" s="1192">
        <f t="shared" ref="P16" si="50">O16*M16</f>
        <v>5.3046875000000023E-4</v>
      </c>
      <c r="Q16" s="788">
        <f t="shared" ref="Q16" si="51">IF(D16=1,125,IF(D16=2,140,IF(D16=3,164,IF(D16=4,170,IF(D16=5,173,IF(D16=6,177,IF(R16=7,200,0)))))))</f>
        <v>0</v>
      </c>
      <c r="R16" s="2402">
        <f t="shared" ref="R16" si="52">E16*F16*G16</f>
        <v>225</v>
      </c>
      <c r="S16" s="229">
        <f t="shared" si="19"/>
        <v>0.22500000000000001</v>
      </c>
      <c r="T16" s="230">
        <f t="shared" si="20"/>
        <v>6.3656250000000032E-3</v>
      </c>
      <c r="U16" s="374">
        <f t="shared" si="21"/>
        <v>0</v>
      </c>
      <c r="V16" s="375">
        <f t="shared" si="22"/>
        <v>0</v>
      </c>
      <c r="W16" s="376">
        <f t="shared" si="23"/>
        <v>0</v>
      </c>
      <c r="X16" s="377">
        <f t="shared" si="24"/>
        <v>0</v>
      </c>
      <c r="Y16" s="378">
        <f t="shared" si="25"/>
        <v>0</v>
      </c>
      <c r="Z16" s="379">
        <f t="shared" si="26"/>
        <v>0</v>
      </c>
      <c r="AA16" s="380">
        <f t="shared" si="27"/>
        <v>0.22500000000000001</v>
      </c>
      <c r="AB16" s="7751"/>
      <c r="AC16" s="7748"/>
      <c r="AD16" s="7748"/>
      <c r="AE16" s="7748"/>
      <c r="AF16" s="7748"/>
      <c r="AG16" s="7748"/>
      <c r="AH16" s="7748"/>
      <c r="AI16" s="7749"/>
      <c r="AJ16" s="7750"/>
      <c r="AK16" s="225"/>
      <c r="AL16" s="225"/>
      <c r="AM16" s="225"/>
      <c r="AN16" s="225"/>
    </row>
    <row r="17" spans="1:40" s="228" customFormat="1" ht="13" customHeight="1">
      <c r="A17" s="851" t="s">
        <v>2563</v>
      </c>
      <c r="B17" s="1889"/>
      <c r="C17" s="274">
        <f t="shared" ref="C17:C38" si="53">IF(D17=1,U$4,IF(D17=2,V$4,IF(D17=3,W$4,IF(D17=4,X$4,IF(D17=5,Y$4,IF(D17=6,Z$4,IF(D17=7,AA$4,0)))))))</f>
        <v>0</v>
      </c>
      <c r="D17" s="899"/>
      <c r="E17" s="336"/>
      <c r="F17" s="336"/>
      <c r="G17" s="336"/>
      <c r="H17" s="336"/>
      <c r="I17" s="336"/>
      <c r="J17" s="336"/>
      <c r="K17" s="336"/>
      <c r="L17" s="1137">
        <f>L15+N15</f>
        <v>0.37428564873471237</v>
      </c>
      <c r="M17" s="4513"/>
      <c r="N17" s="1138"/>
      <c r="O17" s="1138"/>
      <c r="P17" s="1138"/>
      <c r="Q17" s="1139">
        <f t="shared" si="38"/>
        <v>0</v>
      </c>
      <c r="R17" s="4506">
        <f>SUM(R12:R15)</f>
        <v>1270</v>
      </c>
      <c r="S17" s="229">
        <f t="shared" si="19"/>
        <v>0</v>
      </c>
      <c r="T17" s="230">
        <f t="shared" si="20"/>
        <v>0</v>
      </c>
      <c r="U17" s="374">
        <f t="shared" si="21"/>
        <v>0</v>
      </c>
      <c r="V17" s="375">
        <f t="shared" si="22"/>
        <v>0</v>
      </c>
      <c r="W17" s="376">
        <f t="shared" si="23"/>
        <v>0</v>
      </c>
      <c r="X17" s="377">
        <f t="shared" si="24"/>
        <v>0</v>
      </c>
      <c r="Y17" s="378">
        <f t="shared" si="25"/>
        <v>0</v>
      </c>
      <c r="Z17" s="379">
        <f t="shared" si="26"/>
        <v>0</v>
      </c>
      <c r="AA17" s="380">
        <f t="shared" si="27"/>
        <v>0</v>
      </c>
      <c r="AB17" s="7752" t="s">
        <v>2556</v>
      </c>
      <c r="AC17" s="7753"/>
      <c r="AD17" s="7753"/>
      <c r="AE17" s="7753"/>
      <c r="AF17" s="7753"/>
      <c r="AG17" s="7753"/>
      <c r="AH17" s="7753"/>
      <c r="AI17" s="7754"/>
      <c r="AJ17" s="7755"/>
      <c r="AK17" s="225"/>
      <c r="AL17" s="225"/>
      <c r="AM17" s="225"/>
      <c r="AN17" s="225"/>
    </row>
    <row r="18" spans="1:40" ht="12.75" customHeight="1">
      <c r="A18" s="398" t="s">
        <v>140</v>
      </c>
      <c r="B18" s="398" t="s">
        <v>461</v>
      </c>
      <c r="C18" s="274">
        <f t="shared" si="53"/>
        <v>2.2880964381720439E-4</v>
      </c>
      <c r="D18" s="547">
        <v>1</v>
      </c>
      <c r="E18" s="1194">
        <v>1</v>
      </c>
      <c r="F18" s="1194">
        <v>1</v>
      </c>
      <c r="G18" s="1194">
        <v>400</v>
      </c>
      <c r="H18" s="274"/>
      <c r="I18" s="274">
        <v>0</v>
      </c>
      <c r="J18" s="274">
        <v>1.1574074074074073E-4</v>
      </c>
      <c r="K18" s="312" t="s">
        <v>1488</v>
      </c>
      <c r="L18" s="1135">
        <v>0.34722222222222227</v>
      </c>
      <c r="M18" s="4508">
        <v>1</v>
      </c>
      <c r="N18" s="1135">
        <f>P18*E18*F18+I18*E18*F18+J18*E18</f>
        <v>3.7766950418160112E-3</v>
      </c>
      <c r="O18" s="1196">
        <f>C18*(G18/25)</f>
        <v>3.6609543010752703E-3</v>
      </c>
      <c r="P18" s="1135">
        <f>O18*M18</f>
        <v>3.6609543010752703E-3</v>
      </c>
      <c r="Q18" s="548">
        <f t="shared" si="31"/>
        <v>125</v>
      </c>
      <c r="R18" s="4509">
        <f>E18*F18*G18</f>
        <v>400</v>
      </c>
      <c r="S18" s="229">
        <f t="shared" si="19"/>
        <v>0.4</v>
      </c>
      <c r="T18" s="230">
        <f t="shared" si="20"/>
        <v>1.4643817204301081E-2</v>
      </c>
      <c r="U18" s="374">
        <f t="shared" si="21"/>
        <v>0.4</v>
      </c>
      <c r="V18" s="375">
        <f t="shared" si="22"/>
        <v>0</v>
      </c>
      <c r="W18" s="376">
        <f t="shared" si="23"/>
        <v>0</v>
      </c>
      <c r="X18" s="377">
        <f t="shared" si="24"/>
        <v>0</v>
      </c>
      <c r="Y18" s="378">
        <f t="shared" si="25"/>
        <v>0</v>
      </c>
      <c r="Z18" s="379">
        <f t="shared" si="26"/>
        <v>0</v>
      </c>
      <c r="AA18" s="380">
        <f t="shared" si="27"/>
        <v>0</v>
      </c>
      <c r="AB18"/>
      <c r="AC18" s="231"/>
      <c r="AD18" s="231"/>
      <c r="AE18" s="231"/>
      <c r="AF18" s="231"/>
      <c r="AG18" s="231"/>
      <c r="AH18" s="231"/>
      <c r="AI18" s="213"/>
      <c r="AJ18" s="213"/>
      <c r="AK18" s="213"/>
      <c r="AL18" s="213"/>
      <c r="AM18" s="213"/>
    </row>
    <row r="19" spans="1:40" ht="12.75" customHeight="1">
      <c r="A19" s="398" t="s">
        <v>674</v>
      </c>
      <c r="B19" s="398" t="s">
        <v>461</v>
      </c>
      <c r="C19" s="274">
        <f t="shared" si="53"/>
        <v>2.1908757716049393E-4</v>
      </c>
      <c r="D19" s="1442">
        <v>2</v>
      </c>
      <c r="E19" s="1173">
        <v>1</v>
      </c>
      <c r="F19" s="1173">
        <v>1</v>
      </c>
      <c r="G19" s="1173">
        <v>200</v>
      </c>
      <c r="H19" s="299"/>
      <c r="I19" s="299">
        <v>1.7361111111111112E-4</v>
      </c>
      <c r="J19" s="299">
        <v>2.8935185185185189E-4</v>
      </c>
      <c r="K19" s="1123" t="s">
        <v>172</v>
      </c>
      <c r="L19" s="1143">
        <f>L18+N18</f>
        <v>0.35099891726403826</v>
      </c>
      <c r="M19" s="4514">
        <v>1</v>
      </c>
      <c r="N19" s="3368">
        <f>P19*E19*F19+I19*F19*E19+J19*E19</f>
        <v>2.2156635802469144E-3</v>
      </c>
      <c r="O19" s="1175">
        <f t="shared" ref="O19:O21" si="54">C19*(G19/25)</f>
        <v>1.7527006172839514E-3</v>
      </c>
      <c r="P19" s="1175">
        <f t="shared" ref="P19:P21" si="55">O19*M19</f>
        <v>1.7527006172839514E-3</v>
      </c>
      <c r="Q19" s="550">
        <v>144</v>
      </c>
      <c r="R19" s="4515">
        <f t="shared" ref="R19:R21" si="56">E19*F19*G19</f>
        <v>200</v>
      </c>
      <c r="S19" s="229">
        <f t="shared" si="19"/>
        <v>0.2</v>
      </c>
      <c r="T19" s="230">
        <f t="shared" si="20"/>
        <v>7.0108024691358057E-3</v>
      </c>
      <c r="U19" s="374">
        <f t="shared" si="21"/>
        <v>0</v>
      </c>
      <c r="V19" s="375">
        <f t="shared" si="22"/>
        <v>0.2</v>
      </c>
      <c r="W19" s="376">
        <f t="shared" si="23"/>
        <v>0</v>
      </c>
      <c r="X19" s="377">
        <f t="shared" si="24"/>
        <v>0</v>
      </c>
      <c r="Y19" s="378">
        <f t="shared" si="25"/>
        <v>0</v>
      </c>
      <c r="Z19" s="379">
        <f t="shared" si="26"/>
        <v>0</v>
      </c>
      <c r="AA19" s="380">
        <f t="shared" si="27"/>
        <v>0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</row>
    <row r="20" spans="1:40" ht="16" customHeight="1">
      <c r="A20" s="398" t="s">
        <v>214</v>
      </c>
      <c r="B20" s="398" t="s">
        <v>461</v>
      </c>
      <c r="C20" s="274">
        <f t="shared" si="53"/>
        <v>2.0247664488766629E-4</v>
      </c>
      <c r="D20" s="7769">
        <v>4</v>
      </c>
      <c r="E20" s="7769">
        <v>2</v>
      </c>
      <c r="F20" s="7769">
        <v>6</v>
      </c>
      <c r="G20" s="7769">
        <v>100</v>
      </c>
      <c r="H20" s="7770"/>
      <c r="I20" s="7770">
        <v>2.8935185185185189E-4</v>
      </c>
      <c r="J20" s="7770">
        <v>1.3888888888888889E-3</v>
      </c>
      <c r="K20" s="7771" t="s">
        <v>2564</v>
      </c>
      <c r="L20" s="7772">
        <f>L19+N19</f>
        <v>0.3532145808442852</v>
      </c>
      <c r="M20" s="7773">
        <v>1</v>
      </c>
      <c r="N20" s="7772">
        <f>P20*E20*F20+I20*E20*F20+J20*E20</f>
        <v>1.5968878954607982E-2</v>
      </c>
      <c r="O20" s="6373">
        <f>C20*(G20/25)</f>
        <v>8.0990657955066516E-4</v>
      </c>
      <c r="P20" s="7772">
        <f>O20*M20</f>
        <v>8.0990657955066516E-4</v>
      </c>
      <c r="Q20" s="7774">
        <f t="shared" ref="Q20" si="57">IF(D20=1,125,IF(D20=2,140,IF(D20=3,164,IF(D20=4,170,IF(D20=5,173,IF(D20=6,177,IF(R20=7,200,0)))))))</f>
        <v>170</v>
      </c>
      <c r="R20" s="7773">
        <f>E20*F20*G20</f>
        <v>1200</v>
      </c>
      <c r="S20" s="229">
        <f t="shared" si="19"/>
        <v>1.2</v>
      </c>
      <c r="T20" s="230">
        <f t="shared" si="20"/>
        <v>3.8875515818431926E-2</v>
      </c>
      <c r="U20" s="374">
        <f t="shared" si="21"/>
        <v>0</v>
      </c>
      <c r="V20" s="375">
        <f t="shared" si="22"/>
        <v>0</v>
      </c>
      <c r="W20" s="376">
        <f t="shared" si="23"/>
        <v>0</v>
      </c>
      <c r="X20" s="377">
        <f t="shared" si="24"/>
        <v>1.2</v>
      </c>
      <c r="Y20" s="378">
        <f t="shared" si="25"/>
        <v>0</v>
      </c>
      <c r="Z20" s="379">
        <f t="shared" si="26"/>
        <v>0</v>
      </c>
      <c r="AA20" s="380">
        <f t="shared" si="27"/>
        <v>0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</row>
    <row r="21" spans="1:40" ht="12.75" customHeight="1">
      <c r="A21" s="398" t="s">
        <v>458</v>
      </c>
      <c r="B21" s="398" t="s">
        <v>461</v>
      </c>
      <c r="C21" s="274">
        <f t="shared" si="53"/>
        <v>1.7682291666666674E-4</v>
      </c>
      <c r="D21" s="7762">
        <v>7</v>
      </c>
      <c r="E21" s="7763">
        <v>1</v>
      </c>
      <c r="F21" s="7763">
        <v>10</v>
      </c>
      <c r="G21" s="7763">
        <v>25</v>
      </c>
      <c r="H21" s="7764"/>
      <c r="I21" s="7764">
        <v>2.8935185185185189E-4</v>
      </c>
      <c r="J21" s="7764">
        <v>1.0416666666666667E-3</v>
      </c>
      <c r="K21" s="7765" t="s">
        <v>2565</v>
      </c>
      <c r="L21" s="7766">
        <f t="shared" ref="L21:L22" si="58">L20+N20</f>
        <v>0.36918345979889317</v>
      </c>
      <c r="M21" s="7767">
        <v>1</v>
      </c>
      <c r="N21" s="7766">
        <f t="shared" ref="N21" si="59">P21*E21*F21+I21*F21*E21+J21*E21</f>
        <v>5.7034143518518527E-3</v>
      </c>
      <c r="O21" s="7766">
        <f t="shared" si="54"/>
        <v>1.7682291666666674E-4</v>
      </c>
      <c r="P21" s="7766">
        <f t="shared" si="55"/>
        <v>1.7682291666666674E-4</v>
      </c>
      <c r="Q21" s="7768">
        <v>145</v>
      </c>
      <c r="R21" s="7768">
        <f t="shared" si="56"/>
        <v>250</v>
      </c>
      <c r="S21" s="229">
        <f t="shared" si="19"/>
        <v>0.25</v>
      </c>
      <c r="T21" s="230">
        <f t="shared" si="20"/>
        <v>7.0729166666666692E-3</v>
      </c>
      <c r="U21" s="374">
        <f t="shared" si="21"/>
        <v>0</v>
      </c>
      <c r="V21" s="375">
        <f t="shared" si="22"/>
        <v>0</v>
      </c>
      <c r="W21" s="376">
        <f t="shared" si="23"/>
        <v>0</v>
      </c>
      <c r="X21" s="377">
        <f t="shared" si="24"/>
        <v>0</v>
      </c>
      <c r="Y21" s="378">
        <f t="shared" si="25"/>
        <v>0</v>
      </c>
      <c r="Z21" s="379">
        <f t="shared" si="26"/>
        <v>0</v>
      </c>
      <c r="AA21" s="380">
        <f t="shared" si="27"/>
        <v>0.25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</row>
    <row r="22" spans="1:40" ht="12.75" customHeight="1">
      <c r="A22" s="398" t="s">
        <v>219</v>
      </c>
      <c r="B22" s="398" t="s">
        <v>461</v>
      </c>
      <c r="C22" s="274">
        <f t="shared" si="53"/>
        <v>2.0247664488766629E-4</v>
      </c>
      <c r="D22" s="895">
        <v>4</v>
      </c>
      <c r="E22" s="1167">
        <v>2</v>
      </c>
      <c r="F22" s="1167">
        <v>4</v>
      </c>
      <c r="G22" s="1167">
        <v>25</v>
      </c>
      <c r="H22" s="1052"/>
      <c r="I22" s="1052">
        <v>1.1574074074074073E-4</v>
      </c>
      <c r="J22" s="1052">
        <v>2.0833333333333333E-3</v>
      </c>
      <c r="K22" s="1065" t="s">
        <v>2566</v>
      </c>
      <c r="L22" s="1136">
        <f t="shared" si="58"/>
        <v>0.37488687415074501</v>
      </c>
      <c r="M22" s="4510">
        <v>1</v>
      </c>
      <c r="N22" s="1136">
        <f>P22*E22*F22+I22*E22*F22+J22*E22</f>
        <v>6.9715758571501354E-3</v>
      </c>
      <c r="O22" s="1136">
        <f>C22*(G22/25)*1.16</f>
        <v>2.3487290806969288E-4</v>
      </c>
      <c r="P22" s="1136">
        <f>O22*M22</f>
        <v>2.3487290806969288E-4</v>
      </c>
      <c r="Q22" s="4518">
        <f t="shared" si="31"/>
        <v>170</v>
      </c>
      <c r="R22" s="4518">
        <f>E22*F22*G22</f>
        <v>200</v>
      </c>
      <c r="S22" s="229">
        <f t="shared" si="19"/>
        <v>0.2</v>
      </c>
      <c r="T22" s="230">
        <f t="shared" si="20"/>
        <v>7.5159330582301722E-3</v>
      </c>
      <c r="U22" s="374">
        <f t="shared" si="21"/>
        <v>0</v>
      </c>
      <c r="V22" s="375">
        <f t="shared" si="22"/>
        <v>0</v>
      </c>
      <c r="W22" s="376">
        <f t="shared" si="23"/>
        <v>0</v>
      </c>
      <c r="X22" s="377">
        <f t="shared" si="24"/>
        <v>0.2</v>
      </c>
      <c r="Y22" s="378">
        <f t="shared" si="25"/>
        <v>0</v>
      </c>
      <c r="Z22" s="379">
        <f t="shared" si="26"/>
        <v>0</v>
      </c>
      <c r="AA22" s="380">
        <f t="shared" si="27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</row>
    <row r="23" spans="1:40" ht="14" customHeight="1" thickBot="1">
      <c r="A23" s="398"/>
      <c r="B23" s="398" t="s">
        <v>461</v>
      </c>
      <c r="C23" s="274">
        <f t="shared" si="53"/>
        <v>1.8229166666666673E-4</v>
      </c>
      <c r="D23" s="895">
        <v>6</v>
      </c>
      <c r="E23" s="1167">
        <v>2</v>
      </c>
      <c r="F23" s="1167">
        <v>4</v>
      </c>
      <c r="G23" s="1167">
        <v>25</v>
      </c>
      <c r="H23" s="1052"/>
      <c r="I23" s="1052">
        <v>3.4722222222222224E-4</v>
      </c>
      <c r="J23" s="1052"/>
      <c r="K23" s="1065" t="s">
        <v>1933</v>
      </c>
      <c r="L23" s="1136">
        <f>L22+N22</f>
        <v>0.38185845000789514</v>
      </c>
      <c r="M23" s="4510">
        <v>1</v>
      </c>
      <c r="N23" s="1136">
        <f>P23*E23*F23+I23*E23*F23+J23*E23</f>
        <v>4.2361111111111115E-3</v>
      </c>
      <c r="O23" s="1136">
        <f>C23*(G23/25)</f>
        <v>1.8229166666666673E-4</v>
      </c>
      <c r="P23" s="1136">
        <f>O23*M23</f>
        <v>1.8229166666666673E-4</v>
      </c>
      <c r="Q23" s="4518">
        <f t="shared" si="31"/>
        <v>177</v>
      </c>
      <c r="R23" s="4518">
        <f>E23*F23*G23</f>
        <v>200</v>
      </c>
      <c r="S23" s="229">
        <f t="shared" si="19"/>
        <v>0.2</v>
      </c>
      <c r="T23" s="230">
        <f t="shared" si="20"/>
        <v>5.8333333333333353E-3</v>
      </c>
      <c r="U23" s="374">
        <f t="shared" si="21"/>
        <v>0</v>
      </c>
      <c r="V23" s="375">
        <f t="shared" si="22"/>
        <v>0</v>
      </c>
      <c r="W23" s="376">
        <f t="shared" si="23"/>
        <v>0</v>
      </c>
      <c r="X23" s="377">
        <f t="shared" si="24"/>
        <v>0</v>
      </c>
      <c r="Y23" s="378">
        <f t="shared" si="25"/>
        <v>0</v>
      </c>
      <c r="Z23" s="379">
        <f t="shared" si="26"/>
        <v>0.2</v>
      </c>
      <c r="AA23" s="380">
        <f t="shared" si="27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</row>
    <row r="24" spans="1:40" ht="12.75" customHeight="1">
      <c r="A24" s="398"/>
      <c r="B24" s="402"/>
      <c r="C24" s="274">
        <f t="shared" si="53"/>
        <v>0</v>
      </c>
      <c r="D24" s="899"/>
      <c r="E24" s="336"/>
      <c r="F24" s="336"/>
      <c r="G24" s="336"/>
      <c r="H24" s="336"/>
      <c r="I24" s="336"/>
      <c r="J24" s="336"/>
      <c r="K24" s="336"/>
      <c r="L24" s="2421">
        <f>L23+N23</f>
        <v>0.38609456111900625</v>
      </c>
      <c r="M24" s="4519"/>
      <c r="N24" s="2421">
        <f>SUM(N18:N23)</f>
        <v>3.8872338896784008E-2</v>
      </c>
      <c r="O24" s="2421"/>
      <c r="P24" s="2421"/>
      <c r="Q24" s="2422">
        <f t="shared" si="31"/>
        <v>0</v>
      </c>
      <c r="R24" s="4507">
        <f>SUM(R18:R23)</f>
        <v>2450</v>
      </c>
      <c r="S24" s="229">
        <f t="shared" si="19"/>
        <v>0</v>
      </c>
      <c r="T24" s="230">
        <f t="shared" si="20"/>
        <v>0</v>
      </c>
      <c r="U24" s="374">
        <f t="shared" si="21"/>
        <v>0</v>
      </c>
      <c r="V24" s="375">
        <f t="shared" si="22"/>
        <v>0</v>
      </c>
      <c r="W24" s="376">
        <f t="shared" si="23"/>
        <v>0</v>
      </c>
      <c r="X24" s="377">
        <f t="shared" si="24"/>
        <v>0</v>
      </c>
      <c r="Y24" s="378">
        <f t="shared" si="25"/>
        <v>0</v>
      </c>
      <c r="Z24" s="379">
        <f t="shared" si="26"/>
        <v>0</v>
      </c>
      <c r="AA24" s="380">
        <f t="shared" si="27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</row>
    <row r="25" spans="1:40" ht="12.75" customHeight="1">
      <c r="A25" s="397" t="s">
        <v>217</v>
      </c>
      <c r="B25" s="1124" t="s">
        <v>210</v>
      </c>
      <c r="C25" s="274">
        <f t="shared" si="53"/>
        <v>2.2880964381720439E-4</v>
      </c>
      <c r="D25" s="547">
        <v>1</v>
      </c>
      <c r="E25" s="1194">
        <v>1</v>
      </c>
      <c r="F25" s="1194">
        <v>1</v>
      </c>
      <c r="G25" s="1194">
        <v>800</v>
      </c>
      <c r="H25" s="274"/>
      <c r="I25" s="1135">
        <v>0</v>
      </c>
      <c r="J25" s="1135">
        <v>1.3888888888888889E-3</v>
      </c>
      <c r="K25" s="312" t="s">
        <v>1490</v>
      </c>
      <c r="L25" s="1135">
        <v>0.34027777777777773</v>
      </c>
      <c r="M25" s="4508">
        <v>1</v>
      </c>
      <c r="N25" s="1135">
        <f>P25*E25*F25+I25*E25*F25+J25*E25</f>
        <v>8.7107974910394289E-3</v>
      </c>
      <c r="O25" s="1196">
        <f>C25*(G25/25)</f>
        <v>7.3219086021505406E-3</v>
      </c>
      <c r="P25" s="1135">
        <f>O25*M25</f>
        <v>7.3219086021505406E-3</v>
      </c>
      <c r="Q25" s="548">
        <f>IF(D25=1,125,IF(D25=2,140,IF(D25=3,164,IF(D25=4,170,IF(D25=5,173,IF(D25=6,177,IF(R25=7,200,0)))))))</f>
        <v>125</v>
      </c>
      <c r="R25" s="4509">
        <f>E25*F25*G25</f>
        <v>800</v>
      </c>
      <c r="S25" s="229">
        <f t="shared" si="19"/>
        <v>0.8</v>
      </c>
      <c r="T25" s="230">
        <f t="shared" si="20"/>
        <v>2.9287634408602162E-2</v>
      </c>
      <c r="U25" s="374">
        <f t="shared" si="21"/>
        <v>0.8</v>
      </c>
      <c r="V25" s="375">
        <f t="shared" si="22"/>
        <v>0</v>
      </c>
      <c r="W25" s="376">
        <f t="shared" si="23"/>
        <v>0</v>
      </c>
      <c r="X25" s="377">
        <f t="shared" si="24"/>
        <v>0</v>
      </c>
      <c r="Y25" s="378">
        <f t="shared" si="25"/>
        <v>0</v>
      </c>
      <c r="Z25" s="379">
        <f t="shared" si="26"/>
        <v>0</v>
      </c>
      <c r="AA25" s="380">
        <f t="shared" si="27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</row>
    <row r="26" spans="1:40" ht="12.75" customHeight="1">
      <c r="A26" s="397" t="s">
        <v>459</v>
      </c>
      <c r="B26" s="1124" t="s">
        <v>210</v>
      </c>
      <c r="C26" s="274">
        <f t="shared" si="53"/>
        <v>2.1908757716049393E-4</v>
      </c>
      <c r="D26" s="889">
        <v>2</v>
      </c>
      <c r="E26" s="1173">
        <v>2</v>
      </c>
      <c r="F26" s="1173">
        <v>1</v>
      </c>
      <c r="G26" s="1173">
        <v>400</v>
      </c>
      <c r="H26" s="299"/>
      <c r="I26" s="1143">
        <v>5.7870370370370366E-5</v>
      </c>
      <c r="J26" s="1143">
        <v>1.3888888888888889E-3</v>
      </c>
      <c r="K26" s="1123" t="s">
        <v>1931</v>
      </c>
      <c r="L26" s="1143">
        <f>L25+N25</f>
        <v>0.34898857526881716</v>
      </c>
      <c r="M26" s="4514">
        <v>1</v>
      </c>
      <c r="N26" s="1143">
        <f>P26*E26*F26+I26*E26*F26+J26*E26</f>
        <v>9.9043209876543241E-3</v>
      </c>
      <c r="O26" s="1143">
        <f>C26*(G26/25)</f>
        <v>3.5054012345679029E-3</v>
      </c>
      <c r="P26" s="1143">
        <f>O26*M26</f>
        <v>3.5054012345679029E-3</v>
      </c>
      <c r="Q26" s="550">
        <f t="shared" ref="Q26:Q27" si="60">IF(D26=1,125,IF(D26=2,140,IF(D26=3,164,IF(D26=4,170,IF(D26=5,173,IF(D26=6,177,IF(R26=7,200,0)))))))</f>
        <v>140</v>
      </c>
      <c r="R26" s="4515">
        <f>E26*F26*G26</f>
        <v>800</v>
      </c>
      <c r="S26" s="229">
        <f t="shared" si="19"/>
        <v>0.8</v>
      </c>
      <c r="T26" s="230">
        <f t="shared" si="20"/>
        <v>2.8043209876543223E-2</v>
      </c>
      <c r="U26" s="374">
        <f t="shared" si="21"/>
        <v>0</v>
      </c>
      <c r="V26" s="375">
        <f t="shared" si="22"/>
        <v>0.8</v>
      </c>
      <c r="W26" s="376">
        <f t="shared" si="23"/>
        <v>0</v>
      </c>
      <c r="X26" s="377">
        <f t="shared" si="24"/>
        <v>0</v>
      </c>
      <c r="Y26" s="378">
        <f t="shared" si="25"/>
        <v>0</v>
      </c>
      <c r="Z26" s="379">
        <f t="shared" si="26"/>
        <v>0</v>
      </c>
      <c r="AA26" s="380">
        <f t="shared" si="27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</row>
    <row r="27" spans="1:40" ht="12.75" customHeight="1">
      <c r="A27" s="397" t="s">
        <v>458</v>
      </c>
      <c r="B27" s="1124" t="s">
        <v>210</v>
      </c>
      <c r="C27" s="274">
        <f t="shared" si="53"/>
        <v>2.2880964381720439E-4</v>
      </c>
      <c r="D27" s="547">
        <v>1</v>
      </c>
      <c r="E27" s="1194">
        <v>1</v>
      </c>
      <c r="F27" s="1194">
        <v>20</v>
      </c>
      <c r="G27" s="1194">
        <v>50</v>
      </c>
      <c r="H27" s="274"/>
      <c r="I27" s="274">
        <v>1.1574074074074073E-4</v>
      </c>
      <c r="J27" s="274">
        <v>1.3888888888888889E-3</v>
      </c>
      <c r="K27" s="312" t="s">
        <v>754</v>
      </c>
      <c r="L27" s="1135">
        <f>L26+N26</f>
        <v>0.35889289625647147</v>
      </c>
      <c r="M27" s="4508">
        <v>1</v>
      </c>
      <c r="N27" s="1135">
        <f t="shared" ref="N27" si="61">P27*E27*F27+I27*E27*F27+J27*E27</f>
        <v>1.285608945639188E-2</v>
      </c>
      <c r="O27" s="1196">
        <f t="shared" ref="O27" si="62">C27*(G27/25)</f>
        <v>4.5761928763440879E-4</v>
      </c>
      <c r="P27" s="1135">
        <f t="shared" ref="P27" si="63">O27*M27</f>
        <v>4.5761928763440879E-4</v>
      </c>
      <c r="Q27" s="548">
        <f t="shared" si="60"/>
        <v>125</v>
      </c>
      <c r="R27" s="4509">
        <f t="shared" ref="R27" si="64">E27*F27*G27</f>
        <v>1000</v>
      </c>
      <c r="S27" s="229">
        <f t="shared" si="19"/>
        <v>1</v>
      </c>
      <c r="T27" s="230">
        <f t="shared" si="20"/>
        <v>3.6609543010752706E-2</v>
      </c>
      <c r="U27" s="374">
        <f t="shared" si="21"/>
        <v>1</v>
      </c>
      <c r="V27" s="375">
        <f t="shared" si="22"/>
        <v>0</v>
      </c>
      <c r="W27" s="376">
        <f t="shared" si="23"/>
        <v>0</v>
      </c>
      <c r="X27" s="377">
        <f t="shared" si="24"/>
        <v>0</v>
      </c>
      <c r="Y27" s="378">
        <f t="shared" si="25"/>
        <v>0</v>
      </c>
      <c r="Z27" s="379">
        <f t="shared" si="26"/>
        <v>0</v>
      </c>
      <c r="AA27" s="380">
        <f t="shared" si="27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40" ht="14" customHeight="1">
      <c r="A28" s="397" t="s">
        <v>219</v>
      </c>
      <c r="B28" s="403" t="s">
        <v>461</v>
      </c>
      <c r="C28" s="274">
        <f t="shared" si="53"/>
        <v>1.8229166666666673E-4</v>
      </c>
      <c r="D28" s="4558">
        <v>6</v>
      </c>
      <c r="E28" s="4561">
        <v>2</v>
      </c>
      <c r="F28" s="4561">
        <v>6</v>
      </c>
      <c r="G28" s="4561">
        <v>25</v>
      </c>
      <c r="H28" s="6300"/>
      <c r="I28" s="6300">
        <v>4.6296296296296293E-4</v>
      </c>
      <c r="J28" s="6300">
        <v>1.3888888888888889E-3</v>
      </c>
      <c r="K28" s="4561" t="s">
        <v>2567</v>
      </c>
      <c r="L28" s="6301">
        <f>L27+N27</f>
        <v>0.37174898571286336</v>
      </c>
      <c r="M28" s="6302">
        <v>1</v>
      </c>
      <c r="N28" s="6301">
        <f t="shared" ref="N28" si="65">P28*E28*F28+I28*E28*F28+J28*E28</f>
        <v>1.0520833333333333E-2</v>
      </c>
      <c r="O28" s="6301">
        <f t="shared" ref="O28" si="66">C28*(G28/25)</f>
        <v>1.8229166666666673E-4</v>
      </c>
      <c r="P28" s="6301">
        <f t="shared" ref="P28" si="67">O28*M28</f>
        <v>1.8229166666666673E-4</v>
      </c>
      <c r="Q28" s="6303" t="s">
        <v>1281</v>
      </c>
      <c r="R28" s="6303">
        <f t="shared" ref="R28" si="68">E28*F28*G28</f>
        <v>300</v>
      </c>
      <c r="S28" s="229">
        <f t="shared" si="19"/>
        <v>0.3</v>
      </c>
      <c r="T28" s="230">
        <f t="shared" si="20"/>
        <v>8.7500000000000026E-3</v>
      </c>
      <c r="U28" s="374">
        <f t="shared" si="21"/>
        <v>0</v>
      </c>
      <c r="V28" s="375">
        <f t="shared" si="22"/>
        <v>0</v>
      </c>
      <c r="W28" s="376">
        <f t="shared" si="23"/>
        <v>0</v>
      </c>
      <c r="X28" s="377">
        <f t="shared" si="24"/>
        <v>0</v>
      </c>
      <c r="Y28" s="378">
        <f t="shared" si="25"/>
        <v>0</v>
      </c>
      <c r="Z28" s="379">
        <f t="shared" si="26"/>
        <v>0.3</v>
      </c>
      <c r="AA28" s="380">
        <f t="shared" si="27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40" ht="12.75" customHeight="1" thickBot="1">
      <c r="A29" s="400"/>
      <c r="B29" s="526"/>
      <c r="C29" s="274">
        <f t="shared" si="53"/>
        <v>0</v>
      </c>
      <c r="D29" s="899"/>
      <c r="E29" s="336"/>
      <c r="F29" s="336"/>
      <c r="G29" s="336"/>
      <c r="H29" s="336"/>
      <c r="I29" s="336"/>
      <c r="J29" s="336"/>
      <c r="K29" s="336"/>
      <c r="L29" s="1137">
        <f>L28+N28</f>
        <v>0.38226981904619667</v>
      </c>
      <c r="M29" s="4513"/>
      <c r="N29" s="1138">
        <f>SUM(N28:N28)</f>
        <v>1.0520833333333333E-2</v>
      </c>
      <c r="O29" s="1138"/>
      <c r="P29" s="1138"/>
      <c r="Q29" s="1139">
        <f t="shared" si="31"/>
        <v>0</v>
      </c>
      <c r="R29" s="4506">
        <f>SUM(R25:R28)</f>
        <v>2900</v>
      </c>
      <c r="S29" s="229">
        <f t="shared" si="19"/>
        <v>0</v>
      </c>
      <c r="T29" s="230">
        <f t="shared" si="20"/>
        <v>0</v>
      </c>
      <c r="U29" s="374">
        <f t="shared" si="21"/>
        <v>0</v>
      </c>
      <c r="V29" s="375">
        <f t="shared" si="22"/>
        <v>0</v>
      </c>
      <c r="W29" s="376">
        <f t="shared" si="23"/>
        <v>0</v>
      </c>
      <c r="X29" s="377">
        <f t="shared" si="24"/>
        <v>0</v>
      </c>
      <c r="Y29" s="378">
        <f t="shared" si="25"/>
        <v>0</v>
      </c>
      <c r="Z29" s="379">
        <f t="shared" si="26"/>
        <v>0</v>
      </c>
      <c r="AA29" s="380">
        <f t="shared" si="27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</row>
    <row r="30" spans="1:40" ht="12.75" customHeight="1" thickBot="1">
      <c r="A30" s="398"/>
      <c r="B30" s="1117" t="s">
        <v>215</v>
      </c>
      <c r="C30" s="274">
        <f t="shared" si="53"/>
        <v>2.2880964381720439E-4</v>
      </c>
      <c r="D30" s="547">
        <v>1</v>
      </c>
      <c r="E30" s="1194">
        <v>1</v>
      </c>
      <c r="F30" s="1194">
        <v>1</v>
      </c>
      <c r="G30" s="1194">
        <v>300</v>
      </c>
      <c r="H30" s="274"/>
      <c r="I30" s="274">
        <v>0</v>
      </c>
      <c r="J30" s="274">
        <v>1.1574074074074073E-4</v>
      </c>
      <c r="K30" s="312" t="s">
        <v>2568</v>
      </c>
      <c r="L30" s="1135">
        <v>0.34027777777777773</v>
      </c>
      <c r="M30" s="4508">
        <v>1.1000000000000001</v>
      </c>
      <c r="N30" s="2130">
        <f>P30*E30*F30+I30*E30*F30+J30*E30</f>
        <v>3.1360280391278393E-3</v>
      </c>
      <c r="O30" s="1196">
        <f>C30*(G30/25)</f>
        <v>2.7457157258064528E-3</v>
      </c>
      <c r="P30" s="1196">
        <f>O30*M30</f>
        <v>3.0202872983870984E-3</v>
      </c>
      <c r="Q30" s="548">
        <f t="shared" si="31"/>
        <v>125</v>
      </c>
      <c r="R30" s="4509">
        <f>E30*F30*G30</f>
        <v>300</v>
      </c>
      <c r="S30" s="229">
        <f t="shared" si="19"/>
        <v>0.3</v>
      </c>
      <c r="T30" s="230">
        <f t="shared" si="20"/>
        <v>1.0982862903225811E-2</v>
      </c>
      <c r="U30" s="374">
        <f t="shared" si="21"/>
        <v>0.3</v>
      </c>
      <c r="V30" s="375">
        <f t="shared" si="22"/>
        <v>0</v>
      </c>
      <c r="W30" s="376">
        <f t="shared" si="23"/>
        <v>0</v>
      </c>
      <c r="X30" s="377">
        <f t="shared" si="24"/>
        <v>0</v>
      </c>
      <c r="Y30" s="378">
        <f t="shared" si="25"/>
        <v>0</v>
      </c>
      <c r="Z30" s="379">
        <f t="shared" si="26"/>
        <v>0</v>
      </c>
      <c r="AA30" s="380">
        <f t="shared" si="27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</row>
    <row r="31" spans="1:40" ht="14" customHeight="1" thickBot="1">
      <c r="A31" s="398"/>
      <c r="B31" s="402" t="s">
        <v>215</v>
      </c>
      <c r="C31" s="274">
        <f t="shared" si="53"/>
        <v>2.1908757716049393E-4</v>
      </c>
      <c r="D31" s="1442">
        <v>2</v>
      </c>
      <c r="E31" s="1173">
        <v>1</v>
      </c>
      <c r="F31" s="1173">
        <v>1</v>
      </c>
      <c r="G31" s="1173">
        <v>200</v>
      </c>
      <c r="H31" s="299"/>
      <c r="I31" s="299">
        <v>1.7361111111111112E-4</v>
      </c>
      <c r="J31" s="299">
        <v>2.8935185185185189E-4</v>
      </c>
      <c r="K31" s="1123" t="s">
        <v>172</v>
      </c>
      <c r="L31" s="1143">
        <f>L30+N30</f>
        <v>0.34341380581690556</v>
      </c>
      <c r="M31" s="4514">
        <v>1</v>
      </c>
      <c r="N31" s="3368">
        <f>P31*E31*F31+I31*F31*E31+J31*E31</f>
        <v>2.2156635802469144E-3</v>
      </c>
      <c r="O31" s="1175">
        <f t="shared" ref="O31" si="69">C31*(G31/25)</f>
        <v>1.7527006172839514E-3</v>
      </c>
      <c r="P31" s="1175">
        <f t="shared" ref="P31" si="70">O31*M31</f>
        <v>1.7527006172839514E-3</v>
      </c>
      <c r="Q31" s="550">
        <v>144</v>
      </c>
      <c r="R31" s="4515">
        <f t="shared" ref="R31" si="71">E31*F31*G31</f>
        <v>200</v>
      </c>
      <c r="S31" s="229">
        <f t="shared" si="19"/>
        <v>0.2</v>
      </c>
      <c r="T31" s="230">
        <f t="shared" si="20"/>
        <v>7.0108024691358057E-3</v>
      </c>
      <c r="U31" s="374">
        <f t="shared" si="21"/>
        <v>0</v>
      </c>
      <c r="V31" s="375">
        <f t="shared" si="22"/>
        <v>0.2</v>
      </c>
      <c r="W31" s="376">
        <f t="shared" si="23"/>
        <v>0</v>
      </c>
      <c r="X31" s="377">
        <f t="shared" si="24"/>
        <v>0</v>
      </c>
      <c r="Y31" s="378">
        <f t="shared" si="25"/>
        <v>0</v>
      </c>
      <c r="Z31" s="379">
        <f t="shared" si="26"/>
        <v>0</v>
      </c>
      <c r="AA31" s="380">
        <f t="shared" si="27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</row>
    <row r="32" spans="1:40" ht="15" customHeight="1" thickBot="1">
      <c r="A32" s="398" t="s">
        <v>218</v>
      </c>
      <c r="B32" s="402" t="s">
        <v>215</v>
      </c>
      <c r="C32" s="274">
        <f t="shared" si="53"/>
        <v>2.0247664488766629E-4</v>
      </c>
      <c r="D32" s="7756">
        <v>4</v>
      </c>
      <c r="E32" s="7756">
        <v>3</v>
      </c>
      <c r="F32" s="7756">
        <v>6</v>
      </c>
      <c r="G32" s="7756">
        <v>15</v>
      </c>
      <c r="H32" s="7795"/>
      <c r="I32" s="7795">
        <v>2.8935185185185189E-4</v>
      </c>
      <c r="J32" s="7795">
        <v>1.3888888888888889E-3</v>
      </c>
      <c r="K32" s="2004" t="s">
        <v>932</v>
      </c>
      <c r="L32" s="7796">
        <f>L31+N31</f>
        <v>0.3456294693971525</v>
      </c>
      <c r="M32" s="7797">
        <v>1</v>
      </c>
      <c r="N32" s="7796">
        <f t="shared" ref="N32:N37" si="72">P32*E32*F32+I32*E32*F32+J32*E32</f>
        <v>1.1561747764786797E-2</v>
      </c>
      <c r="O32" s="7798">
        <f>C32*(G32/25)</f>
        <v>1.2148598693259977E-4</v>
      </c>
      <c r="P32" s="7796">
        <f t="shared" ref="P32:P37" si="73">O32*M32</f>
        <v>1.2148598693259977E-4</v>
      </c>
      <c r="Q32" s="2008">
        <f t="shared" ref="Q32:Q33" si="74">IF(D32=1,125,IF(D32=2,140,IF(D32=3,164,IF(D32=4,170,IF(D32=5,173,IF(D32=6,177,IF(R32=7,200,0)))))))</f>
        <v>170</v>
      </c>
      <c r="R32" s="7797">
        <f t="shared" ref="R32:R37" si="75">E32*F32*G32</f>
        <v>270</v>
      </c>
      <c r="S32" s="229">
        <f t="shared" si="19"/>
        <v>0.27</v>
      </c>
      <c r="T32" s="230">
        <f t="shared" si="20"/>
        <v>8.7469910591471828E-3</v>
      </c>
      <c r="U32" s="374">
        <f t="shared" si="21"/>
        <v>0</v>
      </c>
      <c r="V32" s="375">
        <f t="shared" si="22"/>
        <v>0</v>
      </c>
      <c r="W32" s="376">
        <f t="shared" si="23"/>
        <v>0</v>
      </c>
      <c r="X32" s="377">
        <f t="shared" si="24"/>
        <v>0.27</v>
      </c>
      <c r="Y32" s="378">
        <f t="shared" si="25"/>
        <v>0</v>
      </c>
      <c r="Z32" s="379">
        <f t="shared" si="26"/>
        <v>0</v>
      </c>
      <c r="AA32" s="380">
        <f t="shared" si="27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</row>
    <row r="33" spans="1:39" ht="12" customHeight="1" thickBot="1">
      <c r="A33" s="398" t="s">
        <v>139</v>
      </c>
      <c r="B33" s="1117" t="s">
        <v>215</v>
      </c>
      <c r="C33" s="274">
        <f t="shared" si="53"/>
        <v>2.0247664488766629E-4</v>
      </c>
      <c r="D33" s="1167">
        <v>4</v>
      </c>
      <c r="E33" s="1167">
        <v>1</v>
      </c>
      <c r="F33" s="1167">
        <v>8</v>
      </c>
      <c r="G33" s="1167">
        <v>20</v>
      </c>
      <c r="H33" s="1052"/>
      <c r="I33" s="1052">
        <v>1.1574074074074073E-4</v>
      </c>
      <c r="J33" s="1052">
        <v>1.3888888888888889E-3</v>
      </c>
      <c r="K33" s="1136" t="s">
        <v>1863</v>
      </c>
      <c r="L33" s="1136">
        <f>L32+N32</f>
        <v>0.3571912171619393</v>
      </c>
      <c r="M33" s="4510">
        <v>1</v>
      </c>
      <c r="N33" s="1136">
        <f t="shared" si="72"/>
        <v>3.6106653420958793E-3</v>
      </c>
      <c r="O33" s="1136">
        <f>C33*(G33/25)</f>
        <v>1.6198131591013305E-4</v>
      </c>
      <c r="P33" s="1136">
        <f t="shared" si="73"/>
        <v>1.6198131591013305E-4</v>
      </c>
      <c r="Q33" s="4518">
        <f t="shared" si="74"/>
        <v>170</v>
      </c>
      <c r="R33" s="4518">
        <f t="shared" si="75"/>
        <v>160</v>
      </c>
      <c r="S33" s="229">
        <f t="shared" si="19"/>
        <v>0.16</v>
      </c>
      <c r="T33" s="230">
        <f t="shared" si="20"/>
        <v>5.1834021091242575E-3</v>
      </c>
      <c r="U33" s="374">
        <f t="shared" si="21"/>
        <v>0</v>
      </c>
      <c r="V33" s="375">
        <f t="shared" si="22"/>
        <v>0</v>
      </c>
      <c r="W33" s="376">
        <f t="shared" si="23"/>
        <v>0</v>
      </c>
      <c r="X33" s="377">
        <f t="shared" si="24"/>
        <v>0.16</v>
      </c>
      <c r="Y33" s="378">
        <f t="shared" si="25"/>
        <v>0</v>
      </c>
      <c r="Z33" s="379">
        <f t="shared" si="26"/>
        <v>0</v>
      </c>
      <c r="AA33" s="380">
        <f t="shared" si="27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</row>
    <row r="34" spans="1:39" ht="12.75" customHeight="1" thickBot="1">
      <c r="A34" s="398" t="s">
        <v>458</v>
      </c>
      <c r="B34" s="1117"/>
      <c r="C34" s="274">
        <f t="shared" si="53"/>
        <v>2.0247664488766629E-4</v>
      </c>
      <c r="D34" s="1161">
        <v>4</v>
      </c>
      <c r="E34" s="1161">
        <v>3</v>
      </c>
      <c r="F34" s="1161">
        <v>6</v>
      </c>
      <c r="G34" s="1161">
        <v>15</v>
      </c>
      <c r="H34" s="1163"/>
      <c r="I34" s="1163">
        <v>2.8935185185185189E-4</v>
      </c>
      <c r="J34" s="1163">
        <v>1.3888888888888889E-3</v>
      </c>
      <c r="K34" s="1074" t="s">
        <v>932</v>
      </c>
      <c r="L34" s="4517">
        <f t="shared" ref="L34:L38" si="76">L33+N33</f>
        <v>0.36080188250403517</v>
      </c>
      <c r="M34" s="1492">
        <v>1</v>
      </c>
      <c r="N34" s="4517">
        <f t="shared" si="72"/>
        <v>1.1561747764786797E-2</v>
      </c>
      <c r="O34" s="1165">
        <f>C34*(G34/25)</f>
        <v>1.2148598693259977E-4</v>
      </c>
      <c r="P34" s="4517">
        <f t="shared" si="73"/>
        <v>1.2148598693259977E-4</v>
      </c>
      <c r="Q34" s="333">
        <f t="shared" ref="Q34:Q37" si="77">IF(D34=1,125,IF(D34=2,140,IF(D34=3,164,IF(D34=4,170,IF(D34=5,173,IF(D34=6,177,IF(R34=7,200,0)))))))</f>
        <v>170</v>
      </c>
      <c r="R34" s="1492">
        <f t="shared" si="75"/>
        <v>270</v>
      </c>
      <c r="S34" s="229">
        <f t="shared" si="19"/>
        <v>0.27</v>
      </c>
      <c r="T34" s="230">
        <f t="shared" si="20"/>
        <v>8.7469910591471828E-3</v>
      </c>
      <c r="U34" s="374">
        <f t="shared" si="21"/>
        <v>0</v>
      </c>
      <c r="V34" s="375">
        <f t="shared" si="22"/>
        <v>0</v>
      </c>
      <c r="W34" s="376">
        <f t="shared" si="23"/>
        <v>0</v>
      </c>
      <c r="X34" s="377">
        <f t="shared" si="24"/>
        <v>0.27</v>
      </c>
      <c r="Y34" s="378">
        <f t="shared" si="25"/>
        <v>0</v>
      </c>
      <c r="Z34" s="379">
        <f t="shared" si="26"/>
        <v>0</v>
      </c>
      <c r="AA34" s="380">
        <f t="shared" si="27"/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</row>
    <row r="35" spans="1:39" ht="12" customHeight="1" thickBot="1">
      <c r="A35" s="398" t="s">
        <v>460</v>
      </c>
      <c r="B35" s="1117" t="s">
        <v>461</v>
      </c>
      <c r="C35" s="274">
        <f t="shared" si="53"/>
        <v>2.0247664488766629E-4</v>
      </c>
      <c r="D35" s="892">
        <v>4</v>
      </c>
      <c r="E35" s="7763">
        <v>1</v>
      </c>
      <c r="F35" s="7763">
        <v>8</v>
      </c>
      <c r="G35" s="7763">
        <v>20</v>
      </c>
      <c r="H35" s="7764"/>
      <c r="I35" s="7764">
        <v>1.1574074074074073E-4</v>
      </c>
      <c r="J35" s="7764">
        <v>1.3888888888888889E-3</v>
      </c>
      <c r="K35" s="7799" t="s">
        <v>1863</v>
      </c>
      <c r="L35" s="7766">
        <f t="shared" si="76"/>
        <v>0.37236363026882197</v>
      </c>
      <c r="M35" s="7767">
        <v>1</v>
      </c>
      <c r="N35" s="7766">
        <f t="shared" si="72"/>
        <v>3.818001426460849E-3</v>
      </c>
      <c r="O35" s="7766">
        <f>C35*(G35/25)*1.16</f>
        <v>1.8789832645575431E-4</v>
      </c>
      <c r="P35" s="7766">
        <f t="shared" si="73"/>
        <v>1.8789832645575431E-4</v>
      </c>
      <c r="Q35" s="7768">
        <f t="shared" si="77"/>
        <v>170</v>
      </c>
      <c r="R35" s="7768">
        <f t="shared" si="75"/>
        <v>160</v>
      </c>
      <c r="S35" s="229">
        <f t="shared" si="19"/>
        <v>0.16</v>
      </c>
      <c r="T35" s="230">
        <f t="shared" si="20"/>
        <v>6.012746446584138E-3</v>
      </c>
      <c r="U35" s="374">
        <f t="shared" si="21"/>
        <v>0</v>
      </c>
      <c r="V35" s="375">
        <f t="shared" si="22"/>
        <v>0</v>
      </c>
      <c r="W35" s="376">
        <f t="shared" si="23"/>
        <v>0</v>
      </c>
      <c r="X35" s="377">
        <f t="shared" si="24"/>
        <v>0.16</v>
      </c>
      <c r="Y35" s="378">
        <f t="shared" si="25"/>
        <v>0</v>
      </c>
      <c r="Z35" s="379">
        <f t="shared" si="26"/>
        <v>0</v>
      </c>
      <c r="AA35" s="380">
        <f t="shared" si="27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</row>
    <row r="36" spans="1:39" ht="15" customHeight="1" thickBot="1">
      <c r="A36" s="398" t="s">
        <v>458</v>
      </c>
      <c r="B36" s="1117" t="s">
        <v>461</v>
      </c>
      <c r="C36" s="274">
        <f t="shared" si="53"/>
        <v>2.0247664488766629E-4</v>
      </c>
      <c r="D36" s="1161">
        <v>4</v>
      </c>
      <c r="E36" s="1177">
        <v>3</v>
      </c>
      <c r="F36" s="1177">
        <v>6</v>
      </c>
      <c r="G36" s="1177">
        <v>15</v>
      </c>
      <c r="H36" s="1178"/>
      <c r="I36" s="1134">
        <v>2.8935185185185189E-4</v>
      </c>
      <c r="J36" s="1134">
        <v>1.3888888888888889E-3</v>
      </c>
      <c r="K36" s="316" t="s">
        <v>932</v>
      </c>
      <c r="L36" s="1134">
        <f t="shared" si="76"/>
        <v>0.37618163169528279</v>
      </c>
      <c r="M36" s="4511">
        <v>1</v>
      </c>
      <c r="N36" s="1134">
        <f t="shared" si="72"/>
        <v>1.1561747764786797E-2</v>
      </c>
      <c r="O36" s="1134">
        <f>C36*(G36/25)</f>
        <v>1.2148598693259977E-4</v>
      </c>
      <c r="P36" s="1134">
        <f t="shared" si="73"/>
        <v>1.2148598693259977E-4</v>
      </c>
      <c r="Q36" s="334">
        <f t="shared" si="77"/>
        <v>170</v>
      </c>
      <c r="R36" s="4512">
        <f t="shared" si="75"/>
        <v>270</v>
      </c>
      <c r="S36" s="229">
        <f t="shared" si="19"/>
        <v>0.27</v>
      </c>
      <c r="T36" s="230">
        <f t="shared" si="20"/>
        <v>8.7469910591471828E-3</v>
      </c>
      <c r="U36" s="374">
        <f t="shared" si="21"/>
        <v>0</v>
      </c>
      <c r="V36" s="375">
        <f t="shared" si="22"/>
        <v>0</v>
      </c>
      <c r="W36" s="376">
        <f t="shared" si="23"/>
        <v>0</v>
      </c>
      <c r="X36" s="377">
        <f t="shared" si="24"/>
        <v>0.27</v>
      </c>
      <c r="Y36" s="378">
        <f t="shared" si="25"/>
        <v>0</v>
      </c>
      <c r="Z36" s="379">
        <f t="shared" si="26"/>
        <v>0</v>
      </c>
      <c r="AA36" s="380">
        <f t="shared" si="27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</row>
    <row r="37" spans="1:39" ht="14" customHeight="1">
      <c r="A37" s="398" t="s">
        <v>219</v>
      </c>
      <c r="B37" s="1117" t="s">
        <v>461</v>
      </c>
      <c r="C37" s="274">
        <f t="shared" si="53"/>
        <v>2.0247664488766629E-4</v>
      </c>
      <c r="D37" s="892">
        <v>4</v>
      </c>
      <c r="E37" s="4561">
        <v>1</v>
      </c>
      <c r="F37" s="4561">
        <v>8</v>
      </c>
      <c r="G37" s="4561">
        <v>20</v>
      </c>
      <c r="H37" s="6300"/>
      <c r="I37" s="6300">
        <v>1.1574074074074073E-4</v>
      </c>
      <c r="J37" s="6300">
        <v>0</v>
      </c>
      <c r="K37" s="6303" t="s">
        <v>1863</v>
      </c>
      <c r="L37" s="6301">
        <f t="shared" si="76"/>
        <v>0.38774337946006959</v>
      </c>
      <c r="M37" s="6302">
        <v>1</v>
      </c>
      <c r="N37" s="6301">
        <f t="shared" si="72"/>
        <v>2.4291125375719602E-3</v>
      </c>
      <c r="O37" s="6301">
        <f>C37*(G37/25)*1.16</f>
        <v>1.8789832645575431E-4</v>
      </c>
      <c r="P37" s="6301">
        <f t="shared" si="73"/>
        <v>1.8789832645575431E-4</v>
      </c>
      <c r="Q37" s="6303">
        <f t="shared" si="77"/>
        <v>170</v>
      </c>
      <c r="R37" s="6303">
        <f t="shared" si="75"/>
        <v>160</v>
      </c>
      <c r="S37" s="229">
        <f t="shared" si="19"/>
        <v>0.16</v>
      </c>
      <c r="T37" s="230">
        <f t="shared" si="20"/>
        <v>6.012746446584138E-3</v>
      </c>
      <c r="U37" s="374">
        <f t="shared" si="21"/>
        <v>0</v>
      </c>
      <c r="V37" s="375">
        <f t="shared" si="22"/>
        <v>0</v>
      </c>
      <c r="W37" s="376">
        <f t="shared" si="23"/>
        <v>0</v>
      </c>
      <c r="X37" s="377">
        <f t="shared" si="24"/>
        <v>0.16</v>
      </c>
      <c r="Y37" s="378">
        <f t="shared" si="25"/>
        <v>0</v>
      </c>
      <c r="Z37" s="379">
        <f t="shared" si="26"/>
        <v>0</v>
      </c>
      <c r="AA37" s="380">
        <f t="shared" si="27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</row>
    <row r="38" spans="1:39" ht="12.75" customHeight="1">
      <c r="A38" s="395"/>
      <c r="B38" s="395"/>
      <c r="C38" s="274">
        <f t="shared" si="53"/>
        <v>0</v>
      </c>
      <c r="D38" s="899"/>
      <c r="E38" s="336"/>
      <c r="F38" s="336"/>
      <c r="G38" s="336"/>
      <c r="H38" s="336"/>
      <c r="I38" s="336"/>
      <c r="J38" s="336"/>
      <c r="K38" s="336"/>
      <c r="L38" s="1137">
        <f t="shared" si="76"/>
        <v>0.39017249199764154</v>
      </c>
      <c r="M38" s="4513">
        <v>1</v>
      </c>
      <c r="N38" s="1138">
        <f>SUM(N36:N37)</f>
        <v>1.3990860302358757E-2</v>
      </c>
      <c r="O38" s="1138"/>
      <c r="P38" s="1138"/>
      <c r="Q38" s="1139">
        <f t="shared" si="31"/>
        <v>0</v>
      </c>
      <c r="R38" s="4506">
        <f>SUM(R35:R37)</f>
        <v>590</v>
      </c>
      <c r="S38" s="229">
        <f t="shared" si="19"/>
        <v>0</v>
      </c>
      <c r="T38" s="230">
        <f t="shared" si="20"/>
        <v>0</v>
      </c>
      <c r="U38" s="374">
        <f t="shared" si="21"/>
        <v>0</v>
      </c>
      <c r="V38" s="375">
        <f t="shared" si="22"/>
        <v>0</v>
      </c>
      <c r="W38" s="376">
        <f t="shared" si="23"/>
        <v>0</v>
      </c>
      <c r="X38" s="377">
        <f t="shared" si="24"/>
        <v>0</v>
      </c>
      <c r="Y38" s="378">
        <f t="shared" si="25"/>
        <v>0</v>
      </c>
      <c r="Z38" s="379">
        <f t="shared" si="26"/>
        <v>0</v>
      </c>
      <c r="AA38" s="380">
        <f t="shared" si="27"/>
        <v>0</v>
      </c>
      <c r="AC38" s="231">
        <v>0</v>
      </c>
      <c r="AD38" s="231">
        <v>0</v>
      </c>
      <c r="AE38" s="231">
        <v>0</v>
      </c>
      <c r="AF38" s="231">
        <v>0</v>
      </c>
      <c r="AG38" s="231">
        <v>0</v>
      </c>
      <c r="AH38" s="231">
        <v>0</v>
      </c>
      <c r="AI38" s="213"/>
      <c r="AJ38" s="213"/>
      <c r="AK38" s="213"/>
      <c r="AL38" s="213"/>
      <c r="AM38" s="213"/>
    </row>
    <row r="39" spans="1:39">
      <c r="A39" s="144"/>
      <c r="B39" s="144"/>
      <c r="C39" s="144"/>
      <c r="D39" s="906"/>
      <c r="E39" s="144"/>
      <c r="F39" s="144"/>
      <c r="G39" s="144"/>
      <c r="H39" s="144"/>
      <c r="I39" s="144"/>
      <c r="J39" s="144"/>
      <c r="K39" s="144"/>
      <c r="L39" s="998"/>
      <c r="M39" s="144"/>
      <c r="N39" s="144"/>
      <c r="O39" s="144"/>
      <c r="P39" s="144"/>
      <c r="Q39" s="144"/>
      <c r="R39" s="7800">
        <f>SUM(V39:AA39)</f>
        <v>6.4500000000000011</v>
      </c>
      <c r="S39" s="144"/>
      <c r="T39" s="144"/>
      <c r="U39" s="6199">
        <f>SUM(U5:U38)</f>
        <v>3.3</v>
      </c>
      <c r="V39" s="6199">
        <f t="shared" ref="V39:AA39" si="78">SUM(V5:V38)</f>
        <v>1.3499999999999999</v>
      </c>
      <c r="W39" s="6199">
        <f t="shared" si="78"/>
        <v>0.1</v>
      </c>
      <c r="X39" s="6199">
        <f t="shared" si="78"/>
        <v>2.99</v>
      </c>
      <c r="Y39" s="6199">
        <f t="shared" si="78"/>
        <v>0.52</v>
      </c>
      <c r="Z39" s="6199">
        <f t="shared" si="78"/>
        <v>0.5</v>
      </c>
      <c r="AA39" s="6199">
        <f t="shared" si="78"/>
        <v>0.99</v>
      </c>
      <c r="AB39" s="144"/>
      <c r="AC39" s="231"/>
      <c r="AD39" s="231"/>
      <c r="AE39" s="231"/>
      <c r="AF39" s="231"/>
      <c r="AG39" s="231"/>
      <c r="AH39" s="231"/>
      <c r="AI39" s="213"/>
    </row>
    <row r="40" spans="1:39">
      <c r="A40" s="144"/>
      <c r="B40" s="144"/>
      <c r="C40" s="144"/>
      <c r="D40" s="906"/>
      <c r="E40" s="144"/>
      <c r="F40" s="144"/>
      <c r="G40" s="144"/>
      <c r="H40" s="144"/>
      <c r="I40" s="144"/>
      <c r="J40" s="144"/>
      <c r="K40" s="4144" t="s">
        <v>1582</v>
      </c>
      <c r="L40" s="998"/>
      <c r="M40" s="144"/>
      <c r="N40" s="144"/>
      <c r="O40" s="144"/>
      <c r="P40" s="144"/>
      <c r="Q40" s="144"/>
      <c r="R40" s="144"/>
      <c r="S40" s="144"/>
      <c r="T40" s="144"/>
      <c r="U40" s="566">
        <f>IF(U39&gt;0,U39,#REF!)</f>
        <v>3.3</v>
      </c>
      <c r="V40" s="566">
        <f>IF(V39&gt;0,V39,#REF!)</f>
        <v>1.3499999999999999</v>
      </c>
      <c r="W40" s="566">
        <f>IF(W39&gt;0,W39,#REF!)</f>
        <v>0.1</v>
      </c>
      <c r="X40" s="566">
        <f>IF(X39&gt;0,X39,#REF!)</f>
        <v>2.99</v>
      </c>
      <c r="Y40" s="566">
        <f>IF(Y39&gt;0,Y39,#REF!)</f>
        <v>0.52</v>
      </c>
      <c r="Z40" s="566">
        <f>IF(Z39&gt;0,Z39,#REF!)</f>
        <v>0.5</v>
      </c>
      <c r="AA40" s="566">
        <f>IF(AA39&gt;0,AA39,#REF!)</f>
        <v>0.99</v>
      </c>
      <c r="AB40" s="144"/>
      <c r="AC40" s="231"/>
      <c r="AD40" s="231"/>
      <c r="AE40" s="231"/>
      <c r="AF40" s="231"/>
      <c r="AG40" s="231"/>
      <c r="AH40" s="231"/>
      <c r="AI40" s="213"/>
    </row>
    <row r="41" spans="1:39">
      <c r="A41" s="144"/>
      <c r="B41" s="144"/>
      <c r="C41" s="144"/>
      <c r="D41" s="906"/>
      <c r="E41" s="144"/>
      <c r="F41" s="144"/>
      <c r="G41" s="144"/>
      <c r="H41" s="144"/>
      <c r="I41" s="144"/>
      <c r="J41" s="144"/>
      <c r="K41" s="144"/>
      <c r="L41" s="998"/>
      <c r="M41" s="144"/>
      <c r="N41" s="144"/>
      <c r="O41" s="144"/>
      <c r="P41" s="144"/>
      <c r="Q41" s="144"/>
      <c r="R41" s="144"/>
      <c r="S41" s="144"/>
      <c r="T41" s="144"/>
      <c r="U41" s="566">
        <f t="shared" ref="U41:AA55" si="79">IF(U40&gt;0,U40,U39)</f>
        <v>3.3</v>
      </c>
      <c r="V41" s="566">
        <f t="shared" si="79"/>
        <v>1.3499999999999999</v>
      </c>
      <c r="W41" s="566">
        <f t="shared" si="79"/>
        <v>0.1</v>
      </c>
      <c r="X41" s="566">
        <f t="shared" si="79"/>
        <v>2.99</v>
      </c>
      <c r="Y41" s="566">
        <f t="shared" si="79"/>
        <v>0.52</v>
      </c>
      <c r="Z41" s="566">
        <f t="shared" si="79"/>
        <v>0.5</v>
      </c>
      <c r="AA41" s="566">
        <f t="shared" si="79"/>
        <v>0.99</v>
      </c>
      <c r="AB41" s="144"/>
      <c r="AC41" s="231">
        <v>0</v>
      </c>
      <c r="AD41" s="231">
        <v>0</v>
      </c>
      <c r="AE41" s="231">
        <v>0</v>
      </c>
      <c r="AF41" s="231">
        <v>0</v>
      </c>
      <c r="AG41" s="231">
        <v>0</v>
      </c>
      <c r="AH41" s="231">
        <v>0</v>
      </c>
      <c r="AI41" s="213"/>
    </row>
    <row r="42" spans="1:39">
      <c r="A42" s="144"/>
      <c r="B42" s="144"/>
      <c r="C42" s="144"/>
      <c r="D42" s="906"/>
      <c r="E42" s="144"/>
      <c r="F42" s="144"/>
      <c r="G42" s="144"/>
      <c r="H42" s="144"/>
      <c r="I42" s="144"/>
      <c r="J42" s="144"/>
      <c r="K42" s="144"/>
      <c r="L42" s="998"/>
      <c r="M42" s="144"/>
      <c r="N42" s="144"/>
      <c r="O42" s="144"/>
      <c r="P42" s="144"/>
      <c r="Q42" s="144"/>
      <c r="R42" s="144"/>
      <c r="S42" s="144"/>
      <c r="T42" s="144"/>
      <c r="U42" s="566">
        <f t="shared" si="79"/>
        <v>3.3</v>
      </c>
      <c r="V42" s="566">
        <f t="shared" si="79"/>
        <v>1.3499999999999999</v>
      </c>
      <c r="W42" s="566">
        <f t="shared" si="79"/>
        <v>0.1</v>
      </c>
      <c r="X42" s="566">
        <f t="shared" si="79"/>
        <v>2.99</v>
      </c>
      <c r="Y42" s="566">
        <f t="shared" si="79"/>
        <v>0.52</v>
      </c>
      <c r="Z42" s="566">
        <f t="shared" si="79"/>
        <v>0.5</v>
      </c>
      <c r="AA42" s="566">
        <f t="shared" si="79"/>
        <v>0.99</v>
      </c>
      <c r="AB42" s="144"/>
      <c r="AC42" s="231">
        <v>0</v>
      </c>
      <c r="AD42" s="231">
        <v>0</v>
      </c>
      <c r="AE42" s="231">
        <v>0</v>
      </c>
      <c r="AF42" s="231">
        <v>0</v>
      </c>
      <c r="AG42" s="231">
        <v>0</v>
      </c>
      <c r="AH42" s="231">
        <v>0</v>
      </c>
      <c r="AI42" s="213"/>
    </row>
    <row r="43" spans="1:39">
      <c r="A43" s="144"/>
      <c r="B43" s="144"/>
      <c r="C43" s="144"/>
      <c r="D43" s="906"/>
      <c r="E43" s="144"/>
      <c r="F43" s="144"/>
      <c r="G43" s="144"/>
      <c r="H43" s="144"/>
      <c r="I43" s="144"/>
      <c r="J43" s="144"/>
      <c r="K43" s="144"/>
      <c r="L43" s="998"/>
      <c r="M43" s="144"/>
      <c r="N43" s="144"/>
      <c r="O43" s="144"/>
      <c r="P43" s="144"/>
      <c r="Q43" s="144"/>
      <c r="R43" s="144"/>
      <c r="S43" s="144"/>
      <c r="T43" s="144"/>
      <c r="U43" s="566">
        <f t="shared" si="79"/>
        <v>3.3</v>
      </c>
      <c r="V43" s="566">
        <f t="shared" si="79"/>
        <v>1.3499999999999999</v>
      </c>
      <c r="W43" s="566">
        <f t="shared" si="79"/>
        <v>0.1</v>
      </c>
      <c r="X43" s="566">
        <f t="shared" si="79"/>
        <v>2.99</v>
      </c>
      <c r="Y43" s="566">
        <f t="shared" si="79"/>
        <v>0.52</v>
      </c>
      <c r="Z43" s="566">
        <f t="shared" si="79"/>
        <v>0.5</v>
      </c>
      <c r="AA43" s="566">
        <f t="shared" si="79"/>
        <v>0.99</v>
      </c>
      <c r="AB43" s="144"/>
      <c r="AC43" s="231">
        <v>0</v>
      </c>
      <c r="AD43" s="231">
        <v>0</v>
      </c>
      <c r="AE43" s="231">
        <v>0</v>
      </c>
      <c r="AF43" s="231">
        <v>0</v>
      </c>
      <c r="AG43" s="231">
        <v>0</v>
      </c>
      <c r="AH43" s="231">
        <v>0</v>
      </c>
      <c r="AI43" s="213"/>
    </row>
    <row r="44" spans="1:39">
      <c r="A44" s="144"/>
      <c r="B44" s="144"/>
      <c r="C44" s="144"/>
      <c r="D44" s="906"/>
      <c r="E44" s="144"/>
      <c r="F44" s="144"/>
      <c r="G44" s="144"/>
      <c r="H44" s="144"/>
      <c r="I44" s="144"/>
      <c r="J44" s="144"/>
      <c r="K44" s="144"/>
      <c r="L44" s="998"/>
      <c r="M44" s="144"/>
      <c r="N44" s="144"/>
      <c r="O44" s="144"/>
      <c r="P44" s="144"/>
      <c r="Q44" s="144"/>
      <c r="R44" s="144"/>
      <c r="S44" s="144"/>
      <c r="T44" s="144"/>
      <c r="U44" s="566">
        <f t="shared" si="79"/>
        <v>3.3</v>
      </c>
      <c r="V44" s="566">
        <f t="shared" si="79"/>
        <v>1.3499999999999999</v>
      </c>
      <c r="W44" s="566">
        <f t="shared" si="79"/>
        <v>0.1</v>
      </c>
      <c r="X44" s="566">
        <f t="shared" si="79"/>
        <v>2.99</v>
      </c>
      <c r="Y44" s="566">
        <f t="shared" si="79"/>
        <v>0.52</v>
      </c>
      <c r="Z44" s="566">
        <f t="shared" si="79"/>
        <v>0.5</v>
      </c>
      <c r="AA44" s="566">
        <f t="shared" si="79"/>
        <v>0.99</v>
      </c>
      <c r="AB44" s="144"/>
      <c r="AC44" s="231">
        <v>0</v>
      </c>
      <c r="AD44" s="231">
        <v>0</v>
      </c>
      <c r="AE44" s="231">
        <v>0</v>
      </c>
      <c r="AF44" s="231">
        <v>0</v>
      </c>
      <c r="AG44" s="231">
        <v>0</v>
      </c>
      <c r="AH44" s="231">
        <v>0</v>
      </c>
      <c r="AI44" s="213"/>
    </row>
    <row r="45" spans="1:39">
      <c r="A45" s="144"/>
      <c r="B45" s="144"/>
      <c r="C45" s="144"/>
      <c r="D45" s="906"/>
      <c r="E45" s="144"/>
      <c r="F45" s="144"/>
      <c r="G45" s="144"/>
      <c r="H45" s="144"/>
      <c r="I45" s="144"/>
      <c r="J45" s="144"/>
      <c r="K45" s="144"/>
      <c r="L45" s="998"/>
      <c r="M45" s="144"/>
      <c r="N45" s="144"/>
      <c r="O45" s="144"/>
      <c r="P45" s="144"/>
      <c r="Q45" s="144"/>
      <c r="R45" s="144"/>
      <c r="S45" s="144"/>
      <c r="T45" s="144"/>
      <c r="U45" s="566">
        <f t="shared" si="79"/>
        <v>3.3</v>
      </c>
      <c r="V45" s="566">
        <f t="shared" si="79"/>
        <v>1.3499999999999999</v>
      </c>
      <c r="W45" s="566">
        <f t="shared" si="79"/>
        <v>0.1</v>
      </c>
      <c r="X45" s="566">
        <f t="shared" si="79"/>
        <v>2.99</v>
      </c>
      <c r="Y45" s="566">
        <f t="shared" si="79"/>
        <v>0.52</v>
      </c>
      <c r="Z45" s="566">
        <f t="shared" si="79"/>
        <v>0.5</v>
      </c>
      <c r="AA45" s="566">
        <f t="shared" si="79"/>
        <v>0.99</v>
      </c>
      <c r="AB45" s="144"/>
      <c r="AC45" s="231"/>
      <c r="AD45" s="231"/>
      <c r="AE45" s="231"/>
      <c r="AF45" s="231"/>
      <c r="AG45" s="231"/>
      <c r="AH45" s="231"/>
      <c r="AI45" s="213"/>
    </row>
    <row r="46" spans="1:39">
      <c r="A46" s="144"/>
      <c r="B46" s="144"/>
      <c r="C46" s="144"/>
      <c r="D46" s="906"/>
      <c r="E46" s="144"/>
      <c r="F46" s="144"/>
      <c r="G46" s="144"/>
      <c r="H46" s="144"/>
      <c r="I46" s="144"/>
      <c r="J46" s="144"/>
      <c r="K46" s="144"/>
      <c r="L46" s="998"/>
      <c r="M46" s="144"/>
      <c r="N46" s="144"/>
      <c r="O46" s="144"/>
      <c r="P46" s="144"/>
      <c r="Q46" s="144"/>
      <c r="R46" s="144"/>
      <c r="S46" s="144"/>
      <c r="T46" s="144"/>
      <c r="U46" s="566">
        <f t="shared" si="79"/>
        <v>3.3</v>
      </c>
      <c r="V46" s="566">
        <f t="shared" si="79"/>
        <v>1.3499999999999999</v>
      </c>
      <c r="W46" s="566">
        <f t="shared" si="79"/>
        <v>0.1</v>
      </c>
      <c r="X46" s="566">
        <f t="shared" si="79"/>
        <v>2.99</v>
      </c>
      <c r="Y46" s="566">
        <f t="shared" si="79"/>
        <v>0.52</v>
      </c>
      <c r="Z46" s="566">
        <f t="shared" si="79"/>
        <v>0.5</v>
      </c>
      <c r="AA46" s="566">
        <f t="shared" si="79"/>
        <v>0.99</v>
      </c>
      <c r="AB46" s="144"/>
      <c r="AC46" s="231"/>
      <c r="AD46" s="231"/>
      <c r="AE46" s="231"/>
      <c r="AF46" s="231"/>
      <c r="AG46" s="231"/>
      <c r="AH46" s="231"/>
      <c r="AI46" s="213"/>
    </row>
    <row r="47" spans="1:39">
      <c r="A47" s="144"/>
      <c r="B47" s="144"/>
      <c r="C47" s="144"/>
      <c r="D47" s="906"/>
      <c r="E47" s="144"/>
      <c r="F47" s="144"/>
      <c r="G47" s="144"/>
      <c r="H47" s="144"/>
      <c r="I47" s="144"/>
      <c r="J47" s="144"/>
      <c r="K47" s="144"/>
      <c r="L47" s="998"/>
      <c r="M47" s="144"/>
      <c r="N47" s="144"/>
      <c r="O47" s="144"/>
      <c r="P47" s="144"/>
      <c r="Q47" s="144"/>
      <c r="R47" s="144"/>
      <c r="S47" s="144"/>
      <c r="T47" s="144"/>
      <c r="U47" s="566">
        <f t="shared" si="79"/>
        <v>3.3</v>
      </c>
      <c r="V47" s="566">
        <f t="shared" si="79"/>
        <v>1.3499999999999999</v>
      </c>
      <c r="W47" s="566">
        <f t="shared" si="79"/>
        <v>0.1</v>
      </c>
      <c r="X47" s="566">
        <f t="shared" si="79"/>
        <v>2.99</v>
      </c>
      <c r="Y47" s="566">
        <f t="shared" si="79"/>
        <v>0.52</v>
      </c>
      <c r="Z47" s="566">
        <f t="shared" si="79"/>
        <v>0.5</v>
      </c>
      <c r="AA47" s="566">
        <f t="shared" si="79"/>
        <v>0.99</v>
      </c>
      <c r="AB47" s="144"/>
      <c r="AC47" s="231">
        <v>0</v>
      </c>
      <c r="AD47" s="231">
        <v>0</v>
      </c>
      <c r="AE47" s="231">
        <v>0</v>
      </c>
      <c r="AF47" s="231">
        <v>0</v>
      </c>
      <c r="AG47" s="231">
        <v>0</v>
      </c>
      <c r="AH47" s="231">
        <v>0</v>
      </c>
      <c r="AI47" s="213"/>
    </row>
    <row r="48" spans="1:39">
      <c r="A48" s="144"/>
      <c r="B48" s="144"/>
      <c r="C48" s="144"/>
      <c r="D48" s="906"/>
      <c r="E48" s="144"/>
      <c r="F48" s="144"/>
      <c r="G48" s="144"/>
      <c r="H48" s="144"/>
      <c r="I48" s="144"/>
      <c r="J48" s="144"/>
      <c r="K48" s="144" t="s">
        <v>1544</v>
      </c>
      <c r="L48" s="998"/>
      <c r="M48" s="144"/>
      <c r="N48" s="144"/>
      <c r="O48" s="144"/>
      <c r="P48" s="144"/>
      <c r="Q48" s="144"/>
      <c r="R48" s="144"/>
      <c r="S48" s="144"/>
      <c r="T48" s="144"/>
      <c r="U48" s="566">
        <f t="shared" si="79"/>
        <v>3.3</v>
      </c>
      <c r="V48" s="566">
        <f t="shared" si="79"/>
        <v>1.3499999999999999</v>
      </c>
      <c r="W48" s="566">
        <f t="shared" si="79"/>
        <v>0.1</v>
      </c>
      <c r="X48" s="566">
        <f t="shared" si="79"/>
        <v>2.99</v>
      </c>
      <c r="Y48" s="566">
        <f t="shared" si="79"/>
        <v>0.52</v>
      </c>
      <c r="Z48" s="566">
        <f t="shared" si="79"/>
        <v>0.5</v>
      </c>
      <c r="AA48" s="566">
        <f t="shared" si="79"/>
        <v>0.99</v>
      </c>
      <c r="AB48" s="144"/>
      <c r="AC48" s="231">
        <v>0</v>
      </c>
      <c r="AD48" s="231">
        <v>0</v>
      </c>
      <c r="AE48" s="231">
        <v>0</v>
      </c>
      <c r="AF48" s="231">
        <v>0</v>
      </c>
      <c r="AG48" s="231">
        <v>0</v>
      </c>
      <c r="AH48" s="231">
        <v>0</v>
      </c>
      <c r="AI48" s="213"/>
    </row>
    <row r="49" spans="1:35">
      <c r="A49" s="144"/>
      <c r="B49" s="144"/>
      <c r="C49" s="144"/>
      <c r="D49" s="906"/>
      <c r="E49" s="144"/>
      <c r="F49" s="144"/>
      <c r="G49" s="144"/>
      <c r="H49" s="144"/>
      <c r="I49" s="144"/>
      <c r="J49" s="144"/>
      <c r="K49" s="144"/>
      <c r="L49" s="998"/>
      <c r="M49" s="144"/>
      <c r="N49" s="144"/>
      <c r="O49" s="144"/>
      <c r="P49" s="144"/>
      <c r="Q49" s="144"/>
      <c r="R49" s="144"/>
      <c r="S49" s="144"/>
      <c r="T49" s="144"/>
      <c r="U49" s="566">
        <f t="shared" si="79"/>
        <v>3.3</v>
      </c>
      <c r="V49" s="566">
        <f t="shared" si="79"/>
        <v>1.3499999999999999</v>
      </c>
      <c r="W49" s="566">
        <f t="shared" si="79"/>
        <v>0.1</v>
      </c>
      <c r="X49" s="566">
        <f t="shared" si="79"/>
        <v>2.99</v>
      </c>
      <c r="Y49" s="566">
        <f t="shared" si="79"/>
        <v>0.52</v>
      </c>
      <c r="Z49" s="566">
        <f t="shared" si="79"/>
        <v>0.5</v>
      </c>
      <c r="AA49" s="566">
        <f t="shared" si="79"/>
        <v>0.99</v>
      </c>
      <c r="AB49" s="144"/>
      <c r="AC49" s="231">
        <v>0</v>
      </c>
      <c r="AD49" s="231">
        <v>0</v>
      </c>
      <c r="AE49" s="231">
        <v>0</v>
      </c>
      <c r="AF49" s="231">
        <v>0</v>
      </c>
      <c r="AG49" s="231">
        <v>0</v>
      </c>
      <c r="AH49" s="231">
        <v>0</v>
      </c>
      <c r="AI49" s="213"/>
    </row>
    <row r="50" spans="1:35">
      <c r="A50" s="144"/>
      <c r="B50" s="144"/>
      <c r="C50" s="144"/>
      <c r="D50" s="906"/>
      <c r="E50" s="144"/>
      <c r="F50" s="144"/>
      <c r="G50" s="144"/>
      <c r="H50" s="144"/>
      <c r="I50" s="144"/>
      <c r="J50" s="144"/>
      <c r="K50" s="144"/>
      <c r="L50" s="998"/>
      <c r="M50" s="144"/>
      <c r="N50" s="144"/>
      <c r="O50" s="144"/>
      <c r="P50" s="144"/>
      <c r="Q50" s="144"/>
      <c r="R50" s="144"/>
      <c r="S50" s="144"/>
      <c r="T50" s="144"/>
      <c r="U50" s="566">
        <f t="shared" si="79"/>
        <v>3.3</v>
      </c>
      <c r="V50" s="566">
        <f t="shared" si="79"/>
        <v>1.3499999999999999</v>
      </c>
      <c r="W50" s="566">
        <f t="shared" si="79"/>
        <v>0.1</v>
      </c>
      <c r="X50" s="566">
        <f t="shared" si="79"/>
        <v>2.99</v>
      </c>
      <c r="Y50" s="566">
        <f t="shared" si="79"/>
        <v>0.52</v>
      </c>
      <c r="Z50" s="566">
        <f t="shared" si="79"/>
        <v>0.5</v>
      </c>
      <c r="AA50" s="566">
        <f t="shared" si="79"/>
        <v>0.99</v>
      </c>
      <c r="AB50" s="144"/>
      <c r="AC50" s="231"/>
      <c r="AD50" s="231"/>
      <c r="AE50" s="231"/>
      <c r="AF50" s="231"/>
      <c r="AG50" s="231"/>
      <c r="AH50" s="231"/>
      <c r="AI50" s="213"/>
    </row>
    <row r="51" spans="1:35">
      <c r="A51" s="144"/>
      <c r="B51" s="144"/>
      <c r="C51" s="144"/>
      <c r="D51" s="906"/>
      <c r="E51" s="144"/>
      <c r="F51" s="144"/>
      <c r="G51" s="144"/>
      <c r="H51" s="144"/>
      <c r="I51" s="144"/>
      <c r="J51" s="144"/>
      <c r="K51" s="144"/>
      <c r="L51" s="998"/>
      <c r="M51" s="144"/>
      <c r="N51" s="144"/>
      <c r="O51" s="144"/>
      <c r="P51" s="144"/>
      <c r="Q51" s="144"/>
      <c r="R51" s="144"/>
      <c r="S51" s="144"/>
      <c r="T51" s="144"/>
      <c r="U51" s="566">
        <f t="shared" si="79"/>
        <v>3.3</v>
      </c>
      <c r="V51" s="566">
        <f t="shared" si="79"/>
        <v>1.3499999999999999</v>
      </c>
      <c r="W51" s="566">
        <f t="shared" si="79"/>
        <v>0.1</v>
      </c>
      <c r="X51" s="566">
        <f t="shared" si="79"/>
        <v>2.99</v>
      </c>
      <c r="Y51" s="566">
        <f t="shared" si="79"/>
        <v>0.52</v>
      </c>
      <c r="Z51" s="566">
        <f t="shared" si="79"/>
        <v>0.5</v>
      </c>
      <c r="AA51" s="566">
        <f t="shared" si="79"/>
        <v>0.99</v>
      </c>
      <c r="AB51" s="144"/>
      <c r="AC51" s="231"/>
      <c r="AD51" s="231"/>
      <c r="AE51" s="231"/>
      <c r="AF51" s="231"/>
      <c r="AG51" s="231"/>
      <c r="AH51" s="231"/>
      <c r="AI51" s="213"/>
    </row>
    <row r="52" spans="1:35">
      <c r="A52" s="144"/>
      <c r="B52" s="144"/>
      <c r="C52" s="144"/>
      <c r="D52" s="906"/>
      <c r="E52" s="144"/>
      <c r="F52" s="144"/>
      <c r="G52" s="144"/>
      <c r="H52" s="144"/>
      <c r="I52" s="144"/>
      <c r="J52" s="144"/>
      <c r="K52" s="144"/>
      <c r="L52" s="998"/>
      <c r="M52" s="144"/>
      <c r="N52" s="144"/>
      <c r="O52" s="144"/>
      <c r="P52" s="144"/>
      <c r="Q52" s="144"/>
      <c r="R52" s="144"/>
      <c r="S52" s="144"/>
      <c r="T52" s="144"/>
      <c r="U52" s="566">
        <f t="shared" si="79"/>
        <v>3.3</v>
      </c>
      <c r="V52" s="566">
        <f t="shared" si="79"/>
        <v>1.3499999999999999</v>
      </c>
      <c r="W52" s="566">
        <f t="shared" si="79"/>
        <v>0.1</v>
      </c>
      <c r="X52" s="566">
        <f t="shared" si="79"/>
        <v>2.99</v>
      </c>
      <c r="Y52" s="566">
        <f t="shared" si="79"/>
        <v>0.52</v>
      </c>
      <c r="Z52" s="566">
        <f t="shared" si="79"/>
        <v>0.5</v>
      </c>
      <c r="AA52" s="566">
        <f t="shared" si="79"/>
        <v>0.99</v>
      </c>
      <c r="AB52" s="144"/>
      <c r="AC52" s="231">
        <v>0</v>
      </c>
      <c r="AD52" s="231">
        <v>0</v>
      </c>
      <c r="AE52" s="231">
        <v>0</v>
      </c>
      <c r="AF52" s="231">
        <v>0</v>
      </c>
      <c r="AG52" s="231">
        <v>0</v>
      </c>
      <c r="AH52" s="231">
        <v>0</v>
      </c>
      <c r="AI52" s="213"/>
    </row>
    <row r="53" spans="1:35">
      <c r="A53" s="144"/>
      <c r="B53" s="144"/>
      <c r="C53" s="144"/>
      <c r="D53" s="906"/>
      <c r="E53" s="144"/>
      <c r="F53" s="144"/>
      <c r="G53" s="144"/>
      <c r="H53" s="144"/>
      <c r="I53" s="144"/>
      <c r="J53" s="144"/>
      <c r="K53" s="144"/>
      <c r="L53" s="998"/>
      <c r="M53" s="144"/>
      <c r="N53" s="144"/>
      <c r="O53" s="144"/>
      <c r="P53" s="144"/>
      <c r="Q53" s="144"/>
      <c r="R53" s="144"/>
      <c r="S53" s="144"/>
      <c r="T53" s="144"/>
      <c r="U53" s="566">
        <f t="shared" si="79"/>
        <v>3.3</v>
      </c>
      <c r="V53" s="566">
        <f t="shared" si="79"/>
        <v>1.3499999999999999</v>
      </c>
      <c r="W53" s="566">
        <f t="shared" si="79"/>
        <v>0.1</v>
      </c>
      <c r="X53" s="566">
        <f t="shared" si="79"/>
        <v>2.99</v>
      </c>
      <c r="Y53" s="566">
        <f t="shared" si="79"/>
        <v>0.52</v>
      </c>
      <c r="Z53" s="566">
        <f t="shared" si="79"/>
        <v>0.5</v>
      </c>
      <c r="AA53" s="566">
        <f t="shared" si="79"/>
        <v>0.99</v>
      </c>
      <c r="AB53" s="144"/>
      <c r="AC53" s="231">
        <v>0</v>
      </c>
      <c r="AD53" s="231">
        <v>0</v>
      </c>
      <c r="AE53" s="231">
        <v>0</v>
      </c>
      <c r="AF53" s="231">
        <v>0</v>
      </c>
      <c r="AG53" s="231">
        <v>0</v>
      </c>
      <c r="AH53" s="231">
        <v>0</v>
      </c>
      <c r="AI53" s="213"/>
    </row>
    <row r="54" spans="1:35">
      <c r="A54" s="144"/>
      <c r="B54" s="144"/>
      <c r="C54" s="144"/>
      <c r="D54" s="906"/>
      <c r="E54" s="144"/>
      <c r="F54" s="144"/>
      <c r="G54" s="144"/>
      <c r="H54" s="144"/>
      <c r="I54" s="144"/>
      <c r="J54" s="144"/>
      <c r="K54" s="144"/>
      <c r="L54" s="998"/>
      <c r="M54" s="144"/>
      <c r="N54" s="144"/>
      <c r="O54" s="144"/>
      <c r="P54" s="144"/>
      <c r="Q54" s="144"/>
      <c r="R54" s="144"/>
      <c r="S54" s="144"/>
      <c r="T54" s="144"/>
      <c r="U54" s="566">
        <f t="shared" si="79"/>
        <v>3.3</v>
      </c>
      <c r="V54" s="566">
        <f t="shared" si="79"/>
        <v>1.3499999999999999</v>
      </c>
      <c r="W54" s="566">
        <f t="shared" si="79"/>
        <v>0.1</v>
      </c>
      <c r="X54" s="566">
        <f t="shared" si="79"/>
        <v>2.99</v>
      </c>
      <c r="Y54" s="566">
        <f t="shared" si="79"/>
        <v>0.52</v>
      </c>
      <c r="Z54" s="566">
        <f t="shared" si="79"/>
        <v>0.5</v>
      </c>
      <c r="AA54" s="566">
        <f t="shared" si="79"/>
        <v>0.99</v>
      </c>
      <c r="AB54" s="144"/>
      <c r="AC54" s="231">
        <v>0</v>
      </c>
      <c r="AD54" s="231">
        <v>0</v>
      </c>
      <c r="AE54" s="231">
        <v>0</v>
      </c>
      <c r="AF54" s="231">
        <v>0</v>
      </c>
      <c r="AG54" s="231">
        <v>0</v>
      </c>
      <c r="AH54" s="231">
        <v>0</v>
      </c>
      <c r="AI54" s="213"/>
    </row>
    <row r="55" spans="1:35">
      <c r="A55" s="144"/>
      <c r="B55" s="144"/>
      <c r="C55" s="144"/>
      <c r="D55" s="906"/>
      <c r="E55" s="144"/>
      <c r="F55" s="144"/>
      <c r="G55" s="144"/>
      <c r="H55" s="144"/>
      <c r="I55" s="144"/>
      <c r="J55" s="144"/>
      <c r="K55" s="144"/>
      <c r="L55" s="998"/>
      <c r="M55" s="144"/>
      <c r="N55" s="144"/>
      <c r="O55" s="144"/>
      <c r="P55" s="144"/>
      <c r="Q55" s="144"/>
      <c r="R55" s="144"/>
      <c r="S55" s="144"/>
      <c r="T55" s="144"/>
      <c r="U55" s="566">
        <f t="shared" si="79"/>
        <v>3.3</v>
      </c>
      <c r="V55" s="566">
        <f t="shared" si="79"/>
        <v>1.3499999999999999</v>
      </c>
      <c r="W55" s="566">
        <f t="shared" si="79"/>
        <v>0.1</v>
      </c>
      <c r="X55" s="566">
        <f t="shared" si="79"/>
        <v>2.99</v>
      </c>
      <c r="Y55" s="566">
        <f t="shared" si="79"/>
        <v>0.52</v>
      </c>
      <c r="Z55" s="566">
        <f t="shared" si="79"/>
        <v>0.5</v>
      </c>
      <c r="AA55" s="566">
        <f t="shared" si="79"/>
        <v>0.99</v>
      </c>
      <c r="AB55" s="144"/>
      <c r="AC55" s="231"/>
      <c r="AD55" s="231"/>
      <c r="AE55" s="231"/>
      <c r="AF55" s="231"/>
      <c r="AG55" s="231"/>
      <c r="AH55" s="231"/>
      <c r="AI55" s="213"/>
    </row>
    <row r="56" spans="1:35">
      <c r="A56" s="144"/>
      <c r="B56" s="144"/>
      <c r="C56" s="144"/>
      <c r="D56" s="906"/>
      <c r="E56" s="144"/>
      <c r="F56" s="144"/>
      <c r="G56" s="144"/>
      <c r="H56" s="144"/>
      <c r="I56" s="144"/>
      <c r="J56" s="144"/>
      <c r="K56" s="144"/>
      <c r="L56" s="998"/>
      <c r="M56" s="144"/>
      <c r="N56" s="144"/>
      <c r="O56" s="144"/>
      <c r="P56" s="144"/>
      <c r="Q56" s="144"/>
      <c r="R56" s="144"/>
      <c r="S56" s="144"/>
      <c r="T56" s="144"/>
      <c r="U56" s="566">
        <f t="shared" ref="U56:AA71" si="80">IF(U55&gt;0,U55,U54)</f>
        <v>3.3</v>
      </c>
      <c r="V56" s="566">
        <f t="shared" si="80"/>
        <v>1.3499999999999999</v>
      </c>
      <c r="W56" s="566">
        <f t="shared" si="80"/>
        <v>0.1</v>
      </c>
      <c r="X56" s="566">
        <f t="shared" si="80"/>
        <v>2.99</v>
      </c>
      <c r="Y56" s="566">
        <f t="shared" si="80"/>
        <v>0.52</v>
      </c>
      <c r="Z56" s="566">
        <f t="shared" si="80"/>
        <v>0.5</v>
      </c>
      <c r="AA56" s="566">
        <f t="shared" si="80"/>
        <v>0.99</v>
      </c>
      <c r="AB56" s="144"/>
      <c r="AC56" s="231"/>
      <c r="AD56" s="231"/>
      <c r="AE56" s="231"/>
      <c r="AF56" s="231"/>
      <c r="AG56" s="231"/>
      <c r="AH56" s="231"/>
      <c r="AI56" s="213"/>
    </row>
    <row r="57" spans="1:35">
      <c r="A57" s="144"/>
      <c r="B57" s="144"/>
      <c r="C57" s="144"/>
      <c r="D57" s="906"/>
      <c r="E57" s="144"/>
      <c r="F57" s="144"/>
      <c r="G57" s="144"/>
      <c r="H57" s="144"/>
      <c r="I57" s="144"/>
      <c r="J57" s="144"/>
      <c r="K57" s="144"/>
      <c r="L57" s="998"/>
      <c r="M57" s="144"/>
      <c r="N57" s="144"/>
      <c r="O57" s="144"/>
      <c r="P57" s="144"/>
      <c r="Q57" s="144"/>
      <c r="R57" s="144"/>
      <c r="S57" s="144"/>
      <c r="T57" s="144"/>
      <c r="U57" s="566">
        <f t="shared" si="80"/>
        <v>3.3</v>
      </c>
      <c r="V57" s="566">
        <f t="shared" si="80"/>
        <v>1.3499999999999999</v>
      </c>
      <c r="W57" s="566">
        <f t="shared" si="80"/>
        <v>0.1</v>
      </c>
      <c r="X57" s="566">
        <f t="shared" si="80"/>
        <v>2.99</v>
      </c>
      <c r="Y57" s="566">
        <f t="shared" si="80"/>
        <v>0.52</v>
      </c>
      <c r="Z57" s="566">
        <f t="shared" si="80"/>
        <v>0.5</v>
      </c>
      <c r="AA57" s="566">
        <f t="shared" si="80"/>
        <v>0.99</v>
      </c>
      <c r="AB57" s="144"/>
      <c r="AC57" s="231">
        <v>0</v>
      </c>
      <c r="AD57" s="231">
        <v>0</v>
      </c>
      <c r="AE57" s="231">
        <v>0</v>
      </c>
      <c r="AF57" s="231">
        <v>0</v>
      </c>
      <c r="AG57" s="231">
        <v>0</v>
      </c>
      <c r="AH57" s="231">
        <v>0</v>
      </c>
      <c r="AI57" s="213"/>
    </row>
    <row r="58" spans="1:35">
      <c r="A58" s="144"/>
      <c r="B58" s="144"/>
      <c r="C58" s="144"/>
      <c r="D58" s="906"/>
      <c r="E58" s="144"/>
      <c r="F58" s="144"/>
      <c r="G58" s="144"/>
      <c r="H58" s="144"/>
      <c r="I58" s="144"/>
      <c r="J58" s="144"/>
      <c r="K58" s="144"/>
      <c r="L58" s="998"/>
      <c r="M58" s="144"/>
      <c r="N58" s="144"/>
      <c r="O58" s="144"/>
      <c r="P58" s="144"/>
      <c r="Q58" s="144"/>
      <c r="R58" s="144"/>
      <c r="S58" s="144"/>
      <c r="T58" s="144"/>
      <c r="U58" s="566">
        <f t="shared" si="80"/>
        <v>3.3</v>
      </c>
      <c r="V58" s="566">
        <f t="shared" si="80"/>
        <v>1.3499999999999999</v>
      </c>
      <c r="W58" s="566">
        <f t="shared" si="80"/>
        <v>0.1</v>
      </c>
      <c r="X58" s="566">
        <f t="shared" si="80"/>
        <v>2.99</v>
      </c>
      <c r="Y58" s="566">
        <f t="shared" si="80"/>
        <v>0.52</v>
      </c>
      <c r="Z58" s="566">
        <f t="shared" si="80"/>
        <v>0.5</v>
      </c>
      <c r="AA58" s="566">
        <f t="shared" si="80"/>
        <v>0.99</v>
      </c>
      <c r="AB58" s="144"/>
      <c r="AC58" s="231">
        <v>0</v>
      </c>
      <c r="AD58" s="231">
        <v>0</v>
      </c>
      <c r="AE58" s="231">
        <v>0</v>
      </c>
      <c r="AF58" s="231">
        <v>0</v>
      </c>
      <c r="AG58" s="231">
        <v>0</v>
      </c>
      <c r="AH58" s="231">
        <v>0</v>
      </c>
      <c r="AI58" s="213"/>
    </row>
    <row r="59" spans="1:35">
      <c r="A59" s="144"/>
      <c r="B59" s="144"/>
      <c r="C59" s="144"/>
      <c r="D59" s="906"/>
      <c r="E59" s="144"/>
      <c r="F59" s="144"/>
      <c r="G59" s="144"/>
      <c r="H59" s="144"/>
      <c r="I59" s="144"/>
      <c r="J59" s="144"/>
      <c r="K59" s="144"/>
      <c r="L59" s="998"/>
      <c r="M59" s="144"/>
      <c r="N59" s="144"/>
      <c r="O59" s="144"/>
      <c r="P59" s="144"/>
      <c r="Q59" s="144"/>
      <c r="R59" s="144"/>
      <c r="S59" s="144"/>
      <c r="T59" s="144"/>
      <c r="U59" s="566">
        <f t="shared" si="80"/>
        <v>3.3</v>
      </c>
      <c r="V59" s="566">
        <f t="shared" si="80"/>
        <v>1.3499999999999999</v>
      </c>
      <c r="W59" s="566">
        <f t="shared" si="80"/>
        <v>0.1</v>
      </c>
      <c r="X59" s="566">
        <f t="shared" si="80"/>
        <v>2.99</v>
      </c>
      <c r="Y59" s="566">
        <f t="shared" si="80"/>
        <v>0.52</v>
      </c>
      <c r="Z59" s="566">
        <f t="shared" si="80"/>
        <v>0.5</v>
      </c>
      <c r="AA59" s="566">
        <f t="shared" si="80"/>
        <v>0.99</v>
      </c>
      <c r="AB59" s="144"/>
      <c r="AC59" s="231"/>
      <c r="AD59" s="231"/>
      <c r="AE59" s="231"/>
      <c r="AF59" s="231"/>
      <c r="AG59" s="231"/>
      <c r="AH59" s="231"/>
      <c r="AI59" s="213"/>
    </row>
    <row r="60" spans="1:35">
      <c r="A60" s="144"/>
      <c r="B60" s="144"/>
      <c r="C60" s="144"/>
      <c r="D60" s="906"/>
      <c r="E60" s="144"/>
      <c r="F60" s="144"/>
      <c r="G60" s="144"/>
      <c r="H60" s="144"/>
      <c r="I60" s="144"/>
      <c r="J60" s="144"/>
      <c r="K60" s="144"/>
      <c r="L60" s="998"/>
      <c r="M60" s="144"/>
      <c r="N60" s="144"/>
      <c r="O60" s="144"/>
      <c r="P60" s="144"/>
      <c r="Q60" s="144"/>
      <c r="R60" s="144"/>
      <c r="S60" s="144"/>
      <c r="T60" s="144"/>
      <c r="U60" s="566">
        <f t="shared" si="80"/>
        <v>3.3</v>
      </c>
      <c r="V60" s="566">
        <f t="shared" si="80"/>
        <v>1.3499999999999999</v>
      </c>
      <c r="W60" s="566">
        <f t="shared" si="80"/>
        <v>0.1</v>
      </c>
      <c r="X60" s="566">
        <f t="shared" si="80"/>
        <v>2.99</v>
      </c>
      <c r="Y60" s="566">
        <f t="shared" si="80"/>
        <v>0.52</v>
      </c>
      <c r="Z60" s="566">
        <f t="shared" si="80"/>
        <v>0.5</v>
      </c>
      <c r="AA60" s="566">
        <f t="shared" si="80"/>
        <v>0.99</v>
      </c>
      <c r="AB60" s="144"/>
      <c r="AC60" s="231"/>
      <c r="AD60" s="231"/>
      <c r="AE60" s="231"/>
      <c r="AF60" s="231"/>
      <c r="AG60" s="231"/>
      <c r="AH60" s="231"/>
      <c r="AI60" s="213"/>
    </row>
    <row r="61" spans="1:35">
      <c r="A61" s="144"/>
      <c r="B61" s="144"/>
      <c r="C61" s="144"/>
      <c r="D61" s="906"/>
      <c r="E61" s="144"/>
      <c r="F61" s="144"/>
      <c r="G61" s="144"/>
      <c r="H61" s="144"/>
      <c r="I61" s="144"/>
      <c r="J61" s="144"/>
      <c r="K61" s="144"/>
      <c r="L61" s="998"/>
      <c r="M61" s="144"/>
      <c r="N61" s="144"/>
      <c r="O61" s="144"/>
      <c r="P61" s="144"/>
      <c r="Q61" s="144"/>
      <c r="R61" s="144"/>
      <c r="S61" s="144"/>
      <c r="T61" s="144"/>
      <c r="U61" s="566">
        <f t="shared" si="80"/>
        <v>3.3</v>
      </c>
      <c r="V61" s="566">
        <f t="shared" si="80"/>
        <v>1.3499999999999999</v>
      </c>
      <c r="W61" s="566">
        <f t="shared" si="80"/>
        <v>0.1</v>
      </c>
      <c r="X61" s="566">
        <f t="shared" si="80"/>
        <v>2.99</v>
      </c>
      <c r="Y61" s="566">
        <f t="shared" si="80"/>
        <v>0.52</v>
      </c>
      <c r="Z61" s="566">
        <f t="shared" si="80"/>
        <v>0.5</v>
      </c>
      <c r="AA61" s="566">
        <f t="shared" si="80"/>
        <v>0.99</v>
      </c>
      <c r="AB61" s="144"/>
      <c r="AC61" s="231">
        <v>0</v>
      </c>
      <c r="AD61" s="231">
        <v>0</v>
      </c>
      <c r="AE61" s="231">
        <v>0</v>
      </c>
      <c r="AF61" s="231">
        <v>0</v>
      </c>
      <c r="AG61" s="231">
        <v>0</v>
      </c>
      <c r="AH61" s="231">
        <v>0</v>
      </c>
      <c r="AI61" s="213"/>
    </row>
    <row r="62" spans="1:35">
      <c r="A62" s="144"/>
      <c r="B62" s="144"/>
      <c r="C62" s="144"/>
      <c r="D62" s="906"/>
      <c r="E62" s="144"/>
      <c r="F62" s="144"/>
      <c r="G62" s="144"/>
      <c r="H62" s="144"/>
      <c r="I62" s="144"/>
      <c r="J62" s="144"/>
      <c r="K62" s="144"/>
      <c r="L62" s="998"/>
      <c r="M62" s="144"/>
      <c r="N62" s="144"/>
      <c r="O62" s="144"/>
      <c r="P62" s="144"/>
      <c r="Q62" s="144"/>
      <c r="R62" s="144"/>
      <c r="S62" s="144"/>
      <c r="T62" s="144"/>
      <c r="U62" s="566">
        <f t="shared" si="80"/>
        <v>3.3</v>
      </c>
      <c r="V62" s="566">
        <f t="shared" si="80"/>
        <v>1.3499999999999999</v>
      </c>
      <c r="W62" s="566">
        <f t="shared" si="80"/>
        <v>0.1</v>
      </c>
      <c r="X62" s="566">
        <f t="shared" si="80"/>
        <v>2.99</v>
      </c>
      <c r="Y62" s="566">
        <f t="shared" si="80"/>
        <v>0.52</v>
      </c>
      <c r="Z62" s="566">
        <f t="shared" si="80"/>
        <v>0.5</v>
      </c>
      <c r="AA62" s="566">
        <f t="shared" si="80"/>
        <v>0.99</v>
      </c>
      <c r="AB62" s="144"/>
      <c r="AC62" s="231">
        <v>0</v>
      </c>
      <c r="AD62" s="231">
        <v>0</v>
      </c>
      <c r="AE62" s="231">
        <v>0</v>
      </c>
      <c r="AF62" s="231">
        <v>0</v>
      </c>
      <c r="AG62" s="231">
        <v>0</v>
      </c>
      <c r="AH62" s="231">
        <v>0</v>
      </c>
      <c r="AI62" s="213"/>
    </row>
    <row r="63" spans="1:35">
      <c r="A63" s="144"/>
      <c r="B63" s="144"/>
      <c r="C63" s="144"/>
      <c r="D63" s="906"/>
      <c r="E63" s="144"/>
      <c r="F63" s="144"/>
      <c r="G63" s="144"/>
      <c r="H63" s="144"/>
      <c r="I63" s="144"/>
      <c r="J63" s="144"/>
      <c r="K63" s="144"/>
      <c r="L63" s="998"/>
      <c r="M63" s="144"/>
      <c r="N63" s="144"/>
      <c r="O63" s="144"/>
      <c r="P63" s="144"/>
      <c r="Q63" s="144"/>
      <c r="R63" s="144"/>
      <c r="S63" s="144"/>
      <c r="T63" s="144"/>
      <c r="U63" s="566">
        <f t="shared" si="80"/>
        <v>3.3</v>
      </c>
      <c r="V63" s="566">
        <f t="shared" si="80"/>
        <v>1.3499999999999999</v>
      </c>
      <c r="W63" s="566">
        <f t="shared" si="80"/>
        <v>0.1</v>
      </c>
      <c r="X63" s="566">
        <f t="shared" si="80"/>
        <v>2.99</v>
      </c>
      <c r="Y63" s="566">
        <f t="shared" si="80"/>
        <v>0.52</v>
      </c>
      <c r="Z63" s="566">
        <f t="shared" si="80"/>
        <v>0.5</v>
      </c>
      <c r="AA63" s="566">
        <f t="shared" si="80"/>
        <v>0.99</v>
      </c>
      <c r="AB63" s="144"/>
      <c r="AC63" s="231">
        <v>0</v>
      </c>
      <c r="AD63" s="231">
        <v>0</v>
      </c>
      <c r="AE63" s="231">
        <v>0</v>
      </c>
      <c r="AF63" s="231">
        <v>0</v>
      </c>
      <c r="AG63" s="231">
        <v>0</v>
      </c>
      <c r="AH63" s="231">
        <v>0</v>
      </c>
      <c r="AI63" s="213"/>
    </row>
    <row r="64" spans="1:35">
      <c r="A64" s="144"/>
      <c r="B64" s="144"/>
      <c r="C64" s="144"/>
      <c r="D64" s="906"/>
      <c r="E64" s="144"/>
      <c r="F64" s="144"/>
      <c r="G64" s="144"/>
      <c r="H64" s="144"/>
      <c r="I64" s="144"/>
      <c r="J64" s="144"/>
      <c r="K64" s="144"/>
      <c r="L64" s="998"/>
      <c r="M64" s="144"/>
      <c r="N64" s="144"/>
      <c r="O64" s="144"/>
      <c r="P64" s="144"/>
      <c r="Q64" s="144"/>
      <c r="R64" s="144"/>
      <c r="S64" s="144"/>
      <c r="T64" s="144"/>
      <c r="U64" s="566">
        <f t="shared" si="80"/>
        <v>3.3</v>
      </c>
      <c r="V64" s="566">
        <f t="shared" si="80"/>
        <v>1.3499999999999999</v>
      </c>
      <c r="W64" s="566">
        <f t="shared" si="80"/>
        <v>0.1</v>
      </c>
      <c r="X64" s="566">
        <f t="shared" si="80"/>
        <v>2.99</v>
      </c>
      <c r="Y64" s="566">
        <f t="shared" si="80"/>
        <v>0.52</v>
      </c>
      <c r="Z64" s="566">
        <f t="shared" si="80"/>
        <v>0.5</v>
      </c>
      <c r="AA64" s="566">
        <f t="shared" si="80"/>
        <v>0.99</v>
      </c>
      <c r="AB64" s="144"/>
      <c r="AC64" s="231">
        <v>0</v>
      </c>
      <c r="AD64" s="231">
        <v>0</v>
      </c>
      <c r="AE64" s="231">
        <v>0</v>
      </c>
      <c r="AF64" s="231">
        <v>0</v>
      </c>
      <c r="AG64" s="231">
        <v>0</v>
      </c>
      <c r="AH64" s="231">
        <v>0</v>
      </c>
      <c r="AI64" s="213"/>
    </row>
    <row r="65" spans="1:35">
      <c r="A65" s="144"/>
      <c r="B65" s="144"/>
      <c r="C65" s="144"/>
      <c r="D65" s="906"/>
      <c r="E65" s="144"/>
      <c r="F65" s="144"/>
      <c r="G65" s="144"/>
      <c r="H65" s="144"/>
      <c r="I65" s="144"/>
      <c r="J65" s="144"/>
      <c r="K65" s="144"/>
      <c r="L65" s="998"/>
      <c r="M65" s="144"/>
      <c r="N65" s="144"/>
      <c r="O65" s="144"/>
      <c r="P65" s="144"/>
      <c r="Q65" s="144"/>
      <c r="R65" s="144"/>
      <c r="S65" s="144"/>
      <c r="T65" s="144"/>
      <c r="U65" s="566">
        <f t="shared" si="80"/>
        <v>3.3</v>
      </c>
      <c r="V65" s="566">
        <f t="shared" si="80"/>
        <v>1.3499999999999999</v>
      </c>
      <c r="W65" s="566">
        <f t="shared" si="80"/>
        <v>0.1</v>
      </c>
      <c r="X65" s="566">
        <f t="shared" si="80"/>
        <v>2.99</v>
      </c>
      <c r="Y65" s="566">
        <f t="shared" si="80"/>
        <v>0.52</v>
      </c>
      <c r="Z65" s="566">
        <f t="shared" si="80"/>
        <v>0.5</v>
      </c>
      <c r="AA65" s="566">
        <f t="shared" si="80"/>
        <v>0.99</v>
      </c>
      <c r="AB65" s="144"/>
      <c r="AC65" s="231"/>
      <c r="AD65" s="231"/>
      <c r="AE65" s="231"/>
      <c r="AF65" s="231"/>
      <c r="AG65" s="231"/>
      <c r="AH65" s="231"/>
      <c r="AI65" s="213"/>
    </row>
    <row r="66" spans="1:35">
      <c r="A66" s="144"/>
      <c r="B66" s="144"/>
      <c r="C66" s="144"/>
      <c r="D66" s="906"/>
      <c r="E66" s="144"/>
      <c r="F66" s="144"/>
      <c r="G66" s="144"/>
      <c r="H66" s="144"/>
      <c r="I66" s="144"/>
      <c r="J66" s="144"/>
      <c r="K66" s="144"/>
      <c r="L66" s="998"/>
      <c r="M66" s="144"/>
      <c r="N66" s="144"/>
      <c r="O66" s="144"/>
      <c r="P66" s="144"/>
      <c r="Q66" s="144"/>
      <c r="R66" s="144"/>
      <c r="S66" s="144"/>
      <c r="T66" s="144"/>
      <c r="U66" s="566">
        <f t="shared" si="80"/>
        <v>3.3</v>
      </c>
      <c r="V66" s="566">
        <f t="shared" si="80"/>
        <v>1.3499999999999999</v>
      </c>
      <c r="W66" s="566">
        <f t="shared" si="80"/>
        <v>0.1</v>
      </c>
      <c r="X66" s="566">
        <f t="shared" si="80"/>
        <v>2.99</v>
      </c>
      <c r="Y66" s="566">
        <f t="shared" si="80"/>
        <v>0.52</v>
      </c>
      <c r="Z66" s="566">
        <f t="shared" si="80"/>
        <v>0.5</v>
      </c>
      <c r="AA66" s="566">
        <f t="shared" si="80"/>
        <v>0.99</v>
      </c>
      <c r="AB66" s="144"/>
      <c r="AC66" s="231">
        <v>0</v>
      </c>
      <c r="AD66" s="231">
        <v>0</v>
      </c>
      <c r="AE66" s="231">
        <v>0</v>
      </c>
      <c r="AF66" s="231">
        <v>0</v>
      </c>
      <c r="AG66" s="231">
        <v>0</v>
      </c>
      <c r="AH66" s="231">
        <v>0</v>
      </c>
      <c r="AI66" s="213"/>
    </row>
    <row r="67" spans="1:35">
      <c r="A67" s="144"/>
      <c r="B67" s="144"/>
      <c r="C67" s="144"/>
      <c r="D67" s="906"/>
      <c r="E67" s="144"/>
      <c r="F67" s="144"/>
      <c r="G67" s="144"/>
      <c r="H67" s="144"/>
      <c r="I67" s="144"/>
      <c r="J67" s="144"/>
      <c r="K67" s="144"/>
      <c r="L67" s="998"/>
      <c r="M67" s="144"/>
      <c r="N67" s="144"/>
      <c r="O67" s="144"/>
      <c r="P67" s="144"/>
      <c r="Q67" s="144"/>
      <c r="R67" s="144"/>
      <c r="S67" s="144"/>
      <c r="T67" s="144"/>
      <c r="U67" s="566">
        <f t="shared" si="80"/>
        <v>3.3</v>
      </c>
      <c r="V67" s="566">
        <f t="shared" si="80"/>
        <v>1.3499999999999999</v>
      </c>
      <c r="W67" s="566">
        <f t="shared" si="80"/>
        <v>0.1</v>
      </c>
      <c r="X67" s="566">
        <f t="shared" si="80"/>
        <v>2.99</v>
      </c>
      <c r="Y67" s="566">
        <f t="shared" si="80"/>
        <v>0.52</v>
      </c>
      <c r="Z67" s="566">
        <f t="shared" si="80"/>
        <v>0.5</v>
      </c>
      <c r="AA67" s="566">
        <f t="shared" si="80"/>
        <v>0.99</v>
      </c>
      <c r="AB67" s="144"/>
      <c r="AC67" s="231">
        <v>0</v>
      </c>
      <c r="AD67" s="231">
        <v>0</v>
      </c>
      <c r="AE67" s="231">
        <v>0</v>
      </c>
      <c r="AF67" s="231">
        <v>0</v>
      </c>
      <c r="AG67" s="231">
        <v>0</v>
      </c>
      <c r="AH67" s="231">
        <v>0</v>
      </c>
      <c r="AI67" s="213"/>
    </row>
    <row r="68" spans="1:35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998"/>
      <c r="M68" s="144"/>
      <c r="N68" s="144"/>
      <c r="O68" s="144"/>
      <c r="P68" s="144"/>
      <c r="Q68" s="144"/>
      <c r="R68" s="144"/>
      <c r="S68" s="144"/>
      <c r="T68" s="144"/>
      <c r="U68" s="566">
        <f t="shared" si="80"/>
        <v>3.3</v>
      </c>
      <c r="V68" s="566">
        <f t="shared" si="80"/>
        <v>1.3499999999999999</v>
      </c>
      <c r="W68" s="566">
        <f t="shared" si="80"/>
        <v>0.1</v>
      </c>
      <c r="X68" s="566">
        <f t="shared" si="80"/>
        <v>2.99</v>
      </c>
      <c r="Y68" s="566">
        <f t="shared" si="80"/>
        <v>0.52</v>
      </c>
      <c r="Z68" s="566">
        <f t="shared" si="80"/>
        <v>0.5</v>
      </c>
      <c r="AA68" s="566">
        <f t="shared" si="80"/>
        <v>0.99</v>
      </c>
      <c r="AB68" s="144"/>
      <c r="AC68" s="231"/>
      <c r="AD68" s="231"/>
      <c r="AE68" s="231"/>
      <c r="AF68" s="231"/>
      <c r="AG68" s="231"/>
      <c r="AH68" s="231"/>
      <c r="AI68" s="213"/>
    </row>
    <row r="69" spans="1:35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998"/>
      <c r="M69" s="144"/>
      <c r="N69" s="144"/>
      <c r="O69" s="144"/>
      <c r="P69" s="144"/>
      <c r="Q69" s="144"/>
      <c r="R69" s="144"/>
      <c r="S69" s="144"/>
      <c r="T69" s="144"/>
      <c r="U69" s="566">
        <f t="shared" si="80"/>
        <v>3.3</v>
      </c>
      <c r="V69" s="566">
        <f t="shared" si="80"/>
        <v>1.3499999999999999</v>
      </c>
      <c r="W69" s="566">
        <f t="shared" si="80"/>
        <v>0.1</v>
      </c>
      <c r="X69" s="566">
        <f t="shared" si="80"/>
        <v>2.99</v>
      </c>
      <c r="Y69" s="566">
        <f t="shared" si="80"/>
        <v>0.52</v>
      </c>
      <c r="Z69" s="566">
        <f t="shared" si="80"/>
        <v>0.5</v>
      </c>
      <c r="AA69" s="566">
        <f t="shared" si="80"/>
        <v>0.99</v>
      </c>
      <c r="AB69" s="144"/>
      <c r="AC69" s="231"/>
      <c r="AD69" s="231"/>
      <c r="AE69" s="231"/>
      <c r="AF69" s="231"/>
      <c r="AG69" s="231"/>
      <c r="AH69" s="231"/>
      <c r="AI69" s="213"/>
    </row>
    <row r="70" spans="1:35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998"/>
      <c r="M70" s="144"/>
      <c r="N70" s="144"/>
      <c r="O70" s="144"/>
      <c r="P70" s="144"/>
      <c r="Q70" s="144"/>
      <c r="R70" s="144"/>
      <c r="S70" s="144"/>
      <c r="T70" s="144"/>
      <c r="U70" s="566">
        <f t="shared" si="80"/>
        <v>3.3</v>
      </c>
      <c r="V70" s="566">
        <f t="shared" si="80"/>
        <v>1.3499999999999999</v>
      </c>
      <c r="W70" s="566">
        <f t="shared" si="80"/>
        <v>0.1</v>
      </c>
      <c r="X70" s="566">
        <f t="shared" si="80"/>
        <v>2.99</v>
      </c>
      <c r="Y70" s="566">
        <f t="shared" si="80"/>
        <v>0.52</v>
      </c>
      <c r="Z70" s="566">
        <f t="shared" si="80"/>
        <v>0.5</v>
      </c>
      <c r="AA70" s="566">
        <f t="shared" si="80"/>
        <v>0.99</v>
      </c>
      <c r="AB70" s="144"/>
      <c r="AC70" s="231">
        <v>0</v>
      </c>
      <c r="AD70" s="231">
        <v>0</v>
      </c>
      <c r="AE70" s="231">
        <v>0</v>
      </c>
      <c r="AF70" s="231">
        <v>0</v>
      </c>
      <c r="AG70" s="231">
        <v>0</v>
      </c>
      <c r="AH70" s="231">
        <v>0</v>
      </c>
      <c r="AI70" s="213"/>
    </row>
    <row r="71" spans="1:35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998"/>
      <c r="M71" s="144"/>
      <c r="N71" s="144"/>
      <c r="O71" s="144"/>
      <c r="P71" s="144"/>
      <c r="Q71" s="144"/>
      <c r="R71" s="144"/>
      <c r="S71" s="144"/>
      <c r="T71" s="144"/>
      <c r="U71" s="566">
        <f t="shared" si="80"/>
        <v>3.3</v>
      </c>
      <c r="V71" s="566">
        <f t="shared" si="80"/>
        <v>1.3499999999999999</v>
      </c>
      <c r="W71" s="566">
        <f t="shared" si="80"/>
        <v>0.1</v>
      </c>
      <c r="X71" s="566">
        <f t="shared" si="80"/>
        <v>2.99</v>
      </c>
      <c r="Y71" s="566">
        <f t="shared" si="80"/>
        <v>0.52</v>
      </c>
      <c r="Z71" s="566">
        <f t="shared" si="80"/>
        <v>0.5</v>
      </c>
      <c r="AA71" s="566">
        <f t="shared" si="80"/>
        <v>0.99</v>
      </c>
      <c r="AB71" s="144"/>
      <c r="AC71" s="231">
        <v>0</v>
      </c>
      <c r="AD71" s="231">
        <v>0</v>
      </c>
      <c r="AE71" s="231">
        <v>0</v>
      </c>
      <c r="AF71" s="231">
        <v>0</v>
      </c>
      <c r="AG71" s="231">
        <v>0</v>
      </c>
      <c r="AH71" s="231">
        <v>0</v>
      </c>
      <c r="AI71" s="213"/>
    </row>
    <row r="72" spans="1:35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998"/>
      <c r="M72" s="144"/>
      <c r="N72" s="144"/>
      <c r="O72" s="144"/>
      <c r="P72" s="144"/>
      <c r="Q72" s="144"/>
      <c r="R72" s="144"/>
      <c r="S72" s="144"/>
      <c r="T72" s="144"/>
      <c r="U72" s="566">
        <f t="shared" ref="U72:AA83" si="81">IF(U71&gt;0,U71,U70)</f>
        <v>3.3</v>
      </c>
      <c r="V72" s="566">
        <f t="shared" si="81"/>
        <v>1.3499999999999999</v>
      </c>
      <c r="W72" s="566">
        <f t="shared" si="81"/>
        <v>0.1</v>
      </c>
      <c r="X72" s="566">
        <f t="shared" si="81"/>
        <v>2.99</v>
      </c>
      <c r="Y72" s="566">
        <f t="shared" si="81"/>
        <v>0.52</v>
      </c>
      <c r="Z72" s="566">
        <f t="shared" si="81"/>
        <v>0.5</v>
      </c>
      <c r="AA72" s="566">
        <f t="shared" si="81"/>
        <v>0.99</v>
      </c>
      <c r="AB72" s="144"/>
      <c r="AC72" s="231">
        <v>0</v>
      </c>
      <c r="AD72" s="231">
        <v>0</v>
      </c>
      <c r="AE72" s="231">
        <v>0</v>
      </c>
      <c r="AF72" s="231">
        <v>0</v>
      </c>
      <c r="AG72" s="231">
        <v>0</v>
      </c>
      <c r="AH72" s="231">
        <v>0</v>
      </c>
      <c r="AI72" s="213"/>
    </row>
    <row r="73" spans="1:35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998"/>
      <c r="M73" s="144"/>
      <c r="N73" s="144"/>
      <c r="O73" s="144"/>
      <c r="P73" s="144"/>
      <c r="Q73" s="144"/>
      <c r="R73" s="144"/>
      <c r="S73" s="144"/>
      <c r="T73" s="144"/>
      <c r="U73" s="566">
        <f t="shared" si="81"/>
        <v>3.3</v>
      </c>
      <c r="V73" s="566">
        <f t="shared" si="81"/>
        <v>1.3499999999999999</v>
      </c>
      <c r="W73" s="566">
        <f t="shared" si="81"/>
        <v>0.1</v>
      </c>
      <c r="X73" s="566">
        <f t="shared" si="81"/>
        <v>2.99</v>
      </c>
      <c r="Y73" s="566">
        <f t="shared" si="81"/>
        <v>0.52</v>
      </c>
      <c r="Z73" s="566">
        <f t="shared" si="81"/>
        <v>0.5</v>
      </c>
      <c r="AA73" s="566">
        <f t="shared" si="81"/>
        <v>0.99</v>
      </c>
      <c r="AB73" s="144"/>
      <c r="AC73" s="231"/>
      <c r="AD73" s="231"/>
      <c r="AE73" s="231"/>
      <c r="AF73" s="231"/>
      <c r="AG73" s="231"/>
      <c r="AH73" s="231"/>
      <c r="AI73" s="213"/>
    </row>
    <row r="74" spans="1:35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998"/>
      <c r="M74" s="144"/>
      <c r="N74" s="144"/>
      <c r="O74" s="144"/>
      <c r="P74" s="144"/>
      <c r="Q74" s="144"/>
      <c r="R74" s="144"/>
      <c r="S74" s="144"/>
      <c r="T74" s="144"/>
      <c r="U74" s="566">
        <f t="shared" si="81"/>
        <v>3.3</v>
      </c>
      <c r="V74" s="566">
        <f t="shared" si="81"/>
        <v>1.3499999999999999</v>
      </c>
      <c r="W74" s="566">
        <f t="shared" si="81"/>
        <v>0.1</v>
      </c>
      <c r="X74" s="566">
        <f t="shared" si="81"/>
        <v>2.99</v>
      </c>
      <c r="Y74" s="566">
        <f t="shared" si="81"/>
        <v>0.52</v>
      </c>
      <c r="Z74" s="566">
        <f t="shared" si="81"/>
        <v>0.5</v>
      </c>
      <c r="AA74" s="566">
        <f t="shared" si="81"/>
        <v>0.99</v>
      </c>
      <c r="AB74" s="144"/>
      <c r="AC74" s="231"/>
      <c r="AD74" s="231"/>
      <c r="AE74" s="231"/>
      <c r="AF74" s="231"/>
      <c r="AG74" s="231"/>
      <c r="AH74" s="231"/>
      <c r="AI74" s="213"/>
    </row>
    <row r="75" spans="1:35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998"/>
      <c r="M75" s="144"/>
      <c r="N75" s="144"/>
      <c r="O75" s="144"/>
      <c r="P75" s="144"/>
      <c r="Q75" s="144"/>
      <c r="R75" s="144"/>
      <c r="S75" s="144"/>
      <c r="T75" s="144"/>
      <c r="U75" s="566">
        <f t="shared" si="81"/>
        <v>3.3</v>
      </c>
      <c r="V75" s="566">
        <f t="shared" si="81"/>
        <v>1.3499999999999999</v>
      </c>
      <c r="W75" s="566">
        <f t="shared" si="81"/>
        <v>0.1</v>
      </c>
      <c r="X75" s="566">
        <f t="shared" si="81"/>
        <v>2.99</v>
      </c>
      <c r="Y75" s="566">
        <f t="shared" si="81"/>
        <v>0.52</v>
      </c>
      <c r="Z75" s="566">
        <f t="shared" si="81"/>
        <v>0.5</v>
      </c>
      <c r="AA75" s="566">
        <f t="shared" si="81"/>
        <v>0.99</v>
      </c>
      <c r="AB75" s="144"/>
      <c r="AC75" s="231">
        <v>0</v>
      </c>
      <c r="AD75" s="231">
        <v>0</v>
      </c>
      <c r="AE75" s="231">
        <v>0</v>
      </c>
      <c r="AF75" s="231">
        <v>0</v>
      </c>
      <c r="AG75" s="231">
        <v>0</v>
      </c>
      <c r="AH75" s="231">
        <v>0</v>
      </c>
      <c r="AI75" s="213"/>
    </row>
    <row r="76" spans="1:35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998"/>
      <c r="M76" s="144"/>
      <c r="N76" s="144"/>
      <c r="O76" s="144"/>
      <c r="P76" s="144"/>
      <c r="Q76" s="144"/>
      <c r="R76" s="144"/>
      <c r="S76" s="144"/>
      <c r="T76" s="144"/>
      <c r="U76" s="566">
        <f t="shared" si="81"/>
        <v>3.3</v>
      </c>
      <c r="V76" s="566">
        <f t="shared" si="81"/>
        <v>1.3499999999999999</v>
      </c>
      <c r="W76" s="566">
        <f t="shared" si="81"/>
        <v>0.1</v>
      </c>
      <c r="X76" s="566">
        <f t="shared" si="81"/>
        <v>2.99</v>
      </c>
      <c r="Y76" s="566">
        <f t="shared" si="81"/>
        <v>0.52</v>
      </c>
      <c r="Z76" s="566">
        <f t="shared" si="81"/>
        <v>0.5</v>
      </c>
      <c r="AA76" s="566">
        <f t="shared" si="81"/>
        <v>0.99</v>
      </c>
      <c r="AB76" s="144"/>
      <c r="AC76" s="231">
        <v>0</v>
      </c>
      <c r="AD76" s="231">
        <v>0</v>
      </c>
      <c r="AE76" s="231">
        <v>0</v>
      </c>
      <c r="AF76" s="231">
        <v>0</v>
      </c>
      <c r="AG76" s="231">
        <v>0</v>
      </c>
      <c r="AH76" s="231">
        <v>0</v>
      </c>
      <c r="AI76" s="213"/>
    </row>
    <row r="77" spans="1:35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998"/>
      <c r="M77" s="144"/>
      <c r="N77" s="144"/>
      <c r="O77" s="144"/>
      <c r="P77" s="144"/>
      <c r="Q77" s="144"/>
      <c r="R77" s="144"/>
      <c r="S77" s="144"/>
      <c r="T77" s="144"/>
      <c r="U77" s="566">
        <f t="shared" si="81"/>
        <v>3.3</v>
      </c>
      <c r="V77" s="566">
        <f t="shared" si="81"/>
        <v>1.3499999999999999</v>
      </c>
      <c r="W77" s="566">
        <f t="shared" si="81"/>
        <v>0.1</v>
      </c>
      <c r="X77" s="566">
        <f t="shared" si="81"/>
        <v>2.99</v>
      </c>
      <c r="Y77" s="566">
        <f t="shared" si="81"/>
        <v>0.52</v>
      </c>
      <c r="Z77" s="566">
        <f t="shared" si="81"/>
        <v>0.5</v>
      </c>
      <c r="AA77" s="566">
        <f t="shared" si="81"/>
        <v>0.99</v>
      </c>
      <c r="AB77" s="144"/>
      <c r="AC77" s="231">
        <v>0</v>
      </c>
      <c r="AD77" s="231">
        <v>0</v>
      </c>
      <c r="AE77" s="231">
        <v>0</v>
      </c>
      <c r="AF77" s="231">
        <v>0</v>
      </c>
      <c r="AG77" s="231">
        <v>0</v>
      </c>
      <c r="AH77" s="231">
        <v>0</v>
      </c>
      <c r="AI77" s="213"/>
    </row>
    <row r="78" spans="1:35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998"/>
      <c r="M78" s="144"/>
      <c r="N78" s="144"/>
      <c r="O78" s="144"/>
      <c r="P78" s="144"/>
      <c r="Q78" s="144"/>
      <c r="R78" s="144"/>
      <c r="S78" s="144"/>
      <c r="T78" s="144"/>
      <c r="U78" s="566">
        <f t="shared" si="81"/>
        <v>3.3</v>
      </c>
      <c r="V78" s="566">
        <f t="shared" si="81"/>
        <v>1.3499999999999999</v>
      </c>
      <c r="W78" s="566">
        <f t="shared" si="81"/>
        <v>0.1</v>
      </c>
      <c r="X78" s="566">
        <f t="shared" si="81"/>
        <v>2.99</v>
      </c>
      <c r="Y78" s="566">
        <f t="shared" si="81"/>
        <v>0.52</v>
      </c>
      <c r="Z78" s="566">
        <f t="shared" si="81"/>
        <v>0.5</v>
      </c>
      <c r="AA78" s="566">
        <f t="shared" si="81"/>
        <v>0.99</v>
      </c>
      <c r="AB78" s="144"/>
      <c r="AC78" s="231"/>
      <c r="AD78" s="231"/>
      <c r="AE78" s="231"/>
      <c r="AF78" s="231"/>
      <c r="AG78" s="231"/>
      <c r="AH78" s="231"/>
      <c r="AI78" s="213"/>
    </row>
    <row r="79" spans="1:35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998"/>
      <c r="M79" s="144"/>
      <c r="N79" s="144"/>
      <c r="O79" s="144"/>
      <c r="P79" s="144"/>
      <c r="Q79" s="144"/>
      <c r="R79" s="144"/>
      <c r="S79" s="144"/>
      <c r="T79" s="144"/>
      <c r="U79" s="566">
        <f t="shared" si="81"/>
        <v>3.3</v>
      </c>
      <c r="V79" s="566">
        <f t="shared" si="81"/>
        <v>1.3499999999999999</v>
      </c>
      <c r="W79" s="566">
        <f t="shared" si="81"/>
        <v>0.1</v>
      </c>
      <c r="X79" s="566">
        <f t="shared" si="81"/>
        <v>2.99</v>
      </c>
      <c r="Y79" s="566">
        <f t="shared" si="81"/>
        <v>0.52</v>
      </c>
      <c r="Z79" s="566">
        <f t="shared" si="81"/>
        <v>0.5</v>
      </c>
      <c r="AA79" s="566">
        <f t="shared" si="81"/>
        <v>0.99</v>
      </c>
      <c r="AB79" s="144"/>
      <c r="AC79" s="231"/>
      <c r="AD79" s="231"/>
      <c r="AE79" s="231"/>
      <c r="AF79" s="231"/>
      <c r="AG79" s="231"/>
      <c r="AH79" s="231"/>
      <c r="AI79" s="213"/>
    </row>
    <row r="80" spans="1:35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998"/>
      <c r="M80" s="144"/>
      <c r="N80" s="144"/>
      <c r="O80" s="144"/>
      <c r="P80" s="144"/>
      <c r="Q80" s="144"/>
      <c r="R80" s="144"/>
      <c r="S80" s="144"/>
      <c r="T80" s="144"/>
      <c r="U80" s="566">
        <f t="shared" si="81"/>
        <v>3.3</v>
      </c>
      <c r="V80" s="566">
        <f t="shared" si="81"/>
        <v>1.3499999999999999</v>
      </c>
      <c r="W80" s="566">
        <f t="shared" si="81"/>
        <v>0.1</v>
      </c>
      <c r="X80" s="566">
        <f t="shared" si="81"/>
        <v>2.99</v>
      </c>
      <c r="Y80" s="566">
        <f t="shared" si="81"/>
        <v>0.52</v>
      </c>
      <c r="Z80" s="566">
        <f t="shared" si="81"/>
        <v>0.5</v>
      </c>
      <c r="AA80" s="566">
        <f t="shared" si="81"/>
        <v>0.99</v>
      </c>
      <c r="AB80" s="144"/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13"/>
    </row>
    <row r="81" spans="1:35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998"/>
      <c r="M81" s="144"/>
      <c r="N81" s="144"/>
      <c r="O81" s="144"/>
      <c r="P81" s="144"/>
      <c r="Q81" s="144"/>
      <c r="R81" s="144"/>
      <c r="S81" s="144"/>
      <c r="T81" s="144"/>
      <c r="U81" s="566">
        <f t="shared" si="81"/>
        <v>3.3</v>
      </c>
      <c r="V81" s="566">
        <f t="shared" si="81"/>
        <v>1.3499999999999999</v>
      </c>
      <c r="W81" s="566">
        <f t="shared" si="81"/>
        <v>0.1</v>
      </c>
      <c r="X81" s="566">
        <f t="shared" si="81"/>
        <v>2.99</v>
      </c>
      <c r="Y81" s="566">
        <f t="shared" si="81"/>
        <v>0.52</v>
      </c>
      <c r="Z81" s="566">
        <f t="shared" si="81"/>
        <v>0.5</v>
      </c>
      <c r="AA81" s="566">
        <f t="shared" si="81"/>
        <v>0.99</v>
      </c>
      <c r="AB81" s="144"/>
      <c r="AC81" s="231">
        <v>0</v>
      </c>
      <c r="AD81" s="231">
        <v>0</v>
      </c>
      <c r="AE81" s="231">
        <v>0</v>
      </c>
      <c r="AF81" s="231">
        <v>0</v>
      </c>
      <c r="AG81" s="231">
        <v>0</v>
      </c>
      <c r="AH81" s="231">
        <v>0</v>
      </c>
      <c r="AI81" s="213"/>
    </row>
    <row r="82" spans="1:35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998"/>
      <c r="M82" s="144"/>
      <c r="N82" s="144"/>
      <c r="O82" s="144"/>
      <c r="P82" s="144"/>
      <c r="Q82" s="144"/>
      <c r="R82" s="144"/>
      <c r="S82" s="144"/>
      <c r="T82" s="144"/>
      <c r="U82" s="566">
        <f t="shared" si="81"/>
        <v>3.3</v>
      </c>
      <c r="V82" s="566">
        <f t="shared" si="81"/>
        <v>1.3499999999999999</v>
      </c>
      <c r="W82" s="566">
        <f t="shared" si="81"/>
        <v>0.1</v>
      </c>
      <c r="X82" s="566">
        <f t="shared" si="81"/>
        <v>2.99</v>
      </c>
      <c r="Y82" s="566">
        <f t="shared" si="81"/>
        <v>0.52</v>
      </c>
      <c r="Z82" s="566">
        <f t="shared" si="81"/>
        <v>0.5</v>
      </c>
      <c r="AA82" s="566">
        <f t="shared" si="81"/>
        <v>0.99</v>
      </c>
      <c r="AB82" s="144"/>
      <c r="AC82" s="231">
        <v>0</v>
      </c>
      <c r="AD82" s="231">
        <v>0</v>
      </c>
      <c r="AE82" s="231">
        <v>0</v>
      </c>
      <c r="AF82" s="231">
        <v>0</v>
      </c>
      <c r="AG82" s="231">
        <v>0</v>
      </c>
      <c r="AH82" s="231">
        <v>0</v>
      </c>
      <c r="AI82" s="213"/>
    </row>
    <row r="83" spans="1:35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998"/>
      <c r="M83" s="144"/>
      <c r="N83" s="144"/>
      <c r="O83" s="144"/>
      <c r="P83" s="144"/>
      <c r="Q83" s="144"/>
      <c r="R83" s="144"/>
      <c r="S83" s="144"/>
      <c r="T83" s="144"/>
      <c r="U83" s="567">
        <f>IF(U82&gt;0,U82,U81)</f>
        <v>3.3</v>
      </c>
      <c r="V83" s="567">
        <f t="shared" si="81"/>
        <v>1.3499999999999999</v>
      </c>
      <c r="W83" s="567">
        <f t="shared" si="81"/>
        <v>0.1</v>
      </c>
      <c r="X83" s="567">
        <f t="shared" si="81"/>
        <v>2.99</v>
      </c>
      <c r="Y83" s="567">
        <f t="shared" si="81"/>
        <v>0.52</v>
      </c>
      <c r="Z83" s="567">
        <f t="shared" si="81"/>
        <v>0.5</v>
      </c>
      <c r="AA83" s="567">
        <f t="shared" si="81"/>
        <v>0.99</v>
      </c>
      <c r="AB83" s="144"/>
      <c r="AC83" s="231"/>
      <c r="AD83" s="231"/>
      <c r="AE83" s="231"/>
      <c r="AF83" s="231"/>
      <c r="AG83" s="231"/>
      <c r="AH83" s="231"/>
      <c r="AI83" s="213"/>
    </row>
    <row r="84" spans="1:35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998"/>
      <c r="M84" s="144"/>
      <c r="N84" s="144"/>
      <c r="O84" s="144"/>
      <c r="P84" s="144"/>
      <c r="Q84" s="144"/>
      <c r="R84" s="144"/>
      <c r="S84" s="144"/>
      <c r="T84" s="144"/>
      <c r="U84" s="222"/>
      <c r="V84" s="222"/>
      <c r="W84" s="222"/>
      <c r="X84" s="222"/>
      <c r="Y84" s="222"/>
      <c r="Z84" s="222"/>
      <c r="AA84" s="222"/>
      <c r="AB84" s="144"/>
      <c r="AC84" s="231"/>
      <c r="AD84" s="231"/>
      <c r="AE84" s="231"/>
      <c r="AF84" s="231"/>
      <c r="AG84" s="231"/>
      <c r="AH84" s="231"/>
      <c r="AI84" s="213"/>
    </row>
    <row r="85" spans="1:35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998"/>
      <c r="M85" s="144"/>
      <c r="N85" s="144"/>
      <c r="O85" s="144"/>
      <c r="P85" s="144"/>
      <c r="Q85" s="144"/>
      <c r="R85" s="144"/>
      <c r="S85" s="144"/>
      <c r="T85" s="144"/>
      <c r="U85" s="222"/>
      <c r="V85" s="222"/>
      <c r="W85" s="222"/>
      <c r="X85" s="222"/>
      <c r="Y85" s="222"/>
      <c r="Z85" s="222"/>
      <c r="AA85" s="222"/>
      <c r="AB85" s="144"/>
      <c r="AC85" s="231">
        <v>0</v>
      </c>
      <c r="AD85" s="231">
        <v>0</v>
      </c>
      <c r="AE85" s="231">
        <v>0</v>
      </c>
      <c r="AF85" s="231">
        <v>0</v>
      </c>
      <c r="AG85" s="231">
        <v>0</v>
      </c>
      <c r="AH85" s="231">
        <v>0</v>
      </c>
      <c r="AI85" s="213"/>
    </row>
    <row r="86" spans="1:35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998"/>
      <c r="M86" s="144"/>
      <c r="N86" s="144"/>
      <c r="O86" s="144"/>
      <c r="P86" s="144"/>
      <c r="Q86" s="144"/>
      <c r="R86" s="144"/>
      <c r="S86" s="144"/>
      <c r="T86" s="144"/>
      <c r="U86" s="222"/>
      <c r="V86" s="222"/>
      <c r="W86" s="222"/>
      <c r="X86" s="222"/>
      <c r="Y86" s="222"/>
      <c r="Z86" s="222"/>
      <c r="AA86" s="222"/>
      <c r="AB86" s="144"/>
      <c r="AC86" s="231"/>
      <c r="AD86" s="231"/>
      <c r="AE86" s="231"/>
      <c r="AF86" s="231"/>
      <c r="AG86" s="231"/>
      <c r="AH86" s="231"/>
    </row>
    <row r="87" spans="1:35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998"/>
      <c r="M87" s="144"/>
      <c r="N87" s="144"/>
      <c r="O87" s="144"/>
      <c r="P87" s="144"/>
      <c r="Q87" s="144"/>
      <c r="R87" s="144"/>
      <c r="S87" s="144"/>
      <c r="T87" s="144"/>
      <c r="U87" s="222"/>
      <c r="V87" s="222"/>
      <c r="W87" s="222"/>
      <c r="X87" s="222"/>
      <c r="Y87" s="222"/>
      <c r="Z87" s="222"/>
      <c r="AA87" s="222"/>
      <c r="AB87" s="144"/>
    </row>
    <row r="88" spans="1:35" ht="15" customHeight="1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998"/>
      <c r="M88" s="144"/>
      <c r="N88" s="144"/>
      <c r="O88" s="144"/>
      <c r="P88" s="144"/>
      <c r="Q88" s="144"/>
      <c r="R88" s="144"/>
      <c r="S88" s="144"/>
      <c r="T88" s="144"/>
      <c r="U88" s="222"/>
      <c r="V88" s="222"/>
      <c r="W88" s="222"/>
      <c r="X88" s="222"/>
      <c r="Y88" s="222"/>
      <c r="Z88" s="222"/>
      <c r="AA88" s="222"/>
      <c r="AB88" s="144"/>
    </row>
    <row r="89" spans="1:35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998"/>
      <c r="M89" s="144"/>
      <c r="N89" s="144"/>
      <c r="O89" s="144"/>
      <c r="P89" s="144"/>
      <c r="Q89" s="144"/>
      <c r="R89" s="144"/>
      <c r="S89" s="144"/>
      <c r="T89" s="144"/>
      <c r="U89" s="222"/>
      <c r="V89" s="222"/>
      <c r="W89" s="222"/>
      <c r="X89" s="222"/>
      <c r="Y89" s="222"/>
      <c r="Z89" s="222"/>
      <c r="AA89" s="222"/>
      <c r="AB89" s="144"/>
    </row>
    <row r="90" spans="1:35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998"/>
      <c r="M90" s="144"/>
      <c r="N90" s="144"/>
      <c r="O90" s="144"/>
      <c r="P90" s="144"/>
      <c r="Q90" s="144"/>
      <c r="R90" s="144"/>
      <c r="S90" s="144"/>
      <c r="T90" s="144"/>
      <c r="U90" s="222"/>
      <c r="V90" s="222"/>
      <c r="W90" s="222"/>
      <c r="X90" s="222"/>
      <c r="Y90" s="222"/>
      <c r="Z90" s="222"/>
      <c r="AA90" s="222"/>
      <c r="AB90" s="144"/>
    </row>
    <row r="91" spans="1:35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998"/>
      <c r="M91" s="144"/>
      <c r="N91" s="144"/>
      <c r="O91" s="144"/>
      <c r="P91" s="144"/>
      <c r="Q91" s="144"/>
      <c r="R91" s="144"/>
      <c r="S91" s="144"/>
      <c r="T91" s="144"/>
      <c r="U91" s="222"/>
      <c r="V91" s="222"/>
      <c r="W91" s="222"/>
      <c r="X91" s="222"/>
      <c r="Y91" s="222"/>
      <c r="Z91" s="222"/>
      <c r="AA91" s="222"/>
      <c r="AB91" s="144"/>
    </row>
    <row r="92" spans="1:35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998"/>
      <c r="M92" s="144"/>
      <c r="N92" s="144"/>
      <c r="O92" s="144"/>
      <c r="P92" s="144"/>
      <c r="Q92" s="144"/>
      <c r="R92" s="144"/>
      <c r="S92" s="144"/>
      <c r="T92" s="144"/>
      <c r="U92" s="222"/>
      <c r="V92" s="222"/>
      <c r="W92" s="222"/>
      <c r="X92" s="222"/>
      <c r="Y92" s="222"/>
      <c r="Z92" s="222"/>
      <c r="AA92" s="222"/>
      <c r="AB92" s="144"/>
    </row>
    <row r="93" spans="1:35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998"/>
      <c r="M93" s="144"/>
      <c r="N93" s="144"/>
      <c r="O93" s="144"/>
      <c r="P93" s="144"/>
      <c r="Q93" s="144"/>
      <c r="R93" s="144"/>
      <c r="S93" s="144"/>
      <c r="T93" s="144"/>
      <c r="U93" s="222"/>
      <c r="V93" s="222"/>
      <c r="W93" s="222"/>
      <c r="X93" s="222"/>
      <c r="Y93" s="222"/>
      <c r="Z93" s="222"/>
      <c r="AA93" s="222"/>
      <c r="AB93" s="144"/>
    </row>
    <row r="94" spans="1:35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998"/>
      <c r="M94" s="144"/>
      <c r="N94" s="144"/>
      <c r="O94" s="144"/>
      <c r="P94" s="144"/>
      <c r="Q94" s="144"/>
      <c r="R94" s="144"/>
      <c r="S94" s="144"/>
      <c r="T94" s="144"/>
      <c r="U94" s="222"/>
      <c r="V94" s="222"/>
      <c r="W94" s="222"/>
      <c r="X94" s="222"/>
      <c r="Y94" s="222"/>
      <c r="Z94" s="222"/>
      <c r="AA94" s="222"/>
      <c r="AB94" s="144"/>
    </row>
    <row r="95" spans="1:35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998"/>
      <c r="M95" s="144"/>
      <c r="N95" s="144"/>
      <c r="O95" s="144"/>
      <c r="P95" s="144"/>
      <c r="Q95" s="144"/>
      <c r="R95" s="144"/>
      <c r="S95" s="144"/>
      <c r="T95" s="144"/>
      <c r="U95" s="222"/>
      <c r="V95" s="222"/>
      <c r="W95" s="222"/>
      <c r="X95" s="222"/>
      <c r="Y95" s="222"/>
      <c r="Z95" s="222"/>
      <c r="AA95" s="222"/>
      <c r="AB95" s="144"/>
    </row>
    <row r="96" spans="1:35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998"/>
      <c r="M96" s="144"/>
      <c r="N96" s="144"/>
      <c r="O96" s="144"/>
      <c r="P96" s="144"/>
      <c r="Q96" s="144"/>
      <c r="R96" s="144"/>
      <c r="S96" s="144"/>
      <c r="T96" s="144"/>
      <c r="U96" s="222"/>
      <c r="V96" s="222"/>
      <c r="W96" s="222"/>
      <c r="X96" s="222"/>
      <c r="Y96" s="222"/>
      <c r="Z96" s="222"/>
      <c r="AA96" s="222"/>
      <c r="AB96" s="144"/>
    </row>
    <row r="97" spans="1:39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998"/>
      <c r="M97" s="144"/>
      <c r="N97" s="144"/>
      <c r="O97" s="144"/>
      <c r="P97" s="144"/>
      <c r="Q97" s="144"/>
      <c r="R97" s="144"/>
      <c r="S97" s="144"/>
      <c r="T97" s="144"/>
      <c r="U97" s="222"/>
      <c r="V97" s="222"/>
      <c r="W97" s="222"/>
      <c r="X97" s="222"/>
      <c r="Y97" s="222"/>
      <c r="Z97" s="222"/>
      <c r="AA97" s="222"/>
      <c r="AB97" s="144"/>
    </row>
    <row r="98" spans="1:39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998"/>
      <c r="M98" s="144"/>
      <c r="N98" s="144"/>
      <c r="O98" s="144"/>
      <c r="P98" s="144"/>
      <c r="Q98" s="144"/>
      <c r="R98" s="144"/>
      <c r="S98" s="144"/>
      <c r="T98" s="144"/>
      <c r="U98" s="222"/>
      <c r="V98" s="222"/>
      <c r="W98" s="222"/>
      <c r="X98" s="222"/>
      <c r="Y98" s="222"/>
      <c r="Z98" s="222"/>
      <c r="AA98" s="222"/>
      <c r="AB98" s="144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</row>
    <row r="99" spans="1:39" s="247" customFormat="1" ht="11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998"/>
      <c r="M99" s="144"/>
      <c r="N99" s="144"/>
      <c r="O99" s="144"/>
      <c r="P99" s="144"/>
      <c r="Q99" s="144"/>
      <c r="R99" s="144"/>
      <c r="S99" s="144"/>
      <c r="T99" s="144"/>
      <c r="U99" s="222"/>
      <c r="V99" s="222"/>
      <c r="W99" s="222"/>
      <c r="X99" s="222"/>
      <c r="Y99" s="222"/>
      <c r="Z99" s="222"/>
      <c r="AA99" s="222"/>
      <c r="AB99" s="14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</row>
    <row r="100" spans="1:39" s="247" customFormat="1" ht="11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998"/>
      <c r="M100" s="144"/>
      <c r="N100" s="144"/>
      <c r="O100" s="144"/>
      <c r="P100" s="144"/>
      <c r="Q100" s="144"/>
      <c r="R100" s="144"/>
      <c r="S100" s="144"/>
      <c r="T100" s="144"/>
      <c r="U100" s="222"/>
      <c r="V100" s="222"/>
      <c r="W100" s="222"/>
      <c r="X100" s="222"/>
      <c r="Y100" s="222"/>
      <c r="Z100" s="222"/>
      <c r="AA100" s="222"/>
      <c r="AB100" s="14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</row>
    <row r="101" spans="1:39" s="247" customFormat="1" ht="11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998"/>
      <c r="M101" s="144"/>
      <c r="N101" s="144"/>
      <c r="O101" s="144"/>
      <c r="P101" s="144"/>
      <c r="Q101" s="144"/>
      <c r="R101" s="144"/>
      <c r="S101" s="144"/>
      <c r="T101" s="144"/>
      <c r="U101" s="222"/>
      <c r="V101" s="222"/>
      <c r="W101" s="222"/>
      <c r="X101" s="222"/>
      <c r="Y101" s="222"/>
      <c r="Z101" s="222"/>
      <c r="AA101" s="222"/>
      <c r="AB101" s="14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</row>
    <row r="102" spans="1:39" s="247" customFormat="1" ht="11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998"/>
      <c r="M102" s="144"/>
      <c r="N102" s="144"/>
      <c r="O102" s="144"/>
      <c r="P102" s="144"/>
      <c r="Q102" s="144"/>
      <c r="R102" s="144"/>
      <c r="S102" s="144"/>
      <c r="T102" s="144"/>
      <c r="U102" s="222"/>
      <c r="V102" s="222"/>
      <c r="W102" s="222"/>
      <c r="X102" s="222"/>
      <c r="Y102" s="222"/>
      <c r="Z102" s="222"/>
      <c r="AA102" s="222"/>
      <c r="AB102" s="14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1:39" s="247" customFormat="1" ht="11">
      <c r="B103" s="144"/>
      <c r="C103" s="143"/>
      <c r="D103" s="907"/>
      <c r="E103" s="143"/>
      <c r="F103" s="145"/>
      <c r="G103" s="146"/>
      <c r="H103" s="146"/>
      <c r="I103" s="146"/>
      <c r="J103" s="146"/>
      <c r="K103" s="146"/>
      <c r="L103" s="999"/>
      <c r="M103" s="458"/>
      <c r="N103" s="145"/>
      <c r="O103" s="146"/>
      <c r="P103" s="146"/>
      <c r="Q103" s="147"/>
      <c r="R103" s="147"/>
      <c r="S103" s="142"/>
      <c r="T103" s="142"/>
      <c r="U103" s="222"/>
      <c r="V103" s="222"/>
      <c r="W103" s="222"/>
      <c r="X103" s="222"/>
      <c r="Y103" s="222"/>
      <c r="Z103" s="222"/>
      <c r="AA103" s="222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1:39" s="247" customFormat="1" ht="11">
      <c r="B104" s="144"/>
      <c r="C104" s="143"/>
      <c r="D104" s="907"/>
      <c r="E104" s="143"/>
      <c r="F104" s="145"/>
      <c r="G104" s="146"/>
      <c r="H104" s="146"/>
      <c r="I104" s="146"/>
      <c r="J104" s="146"/>
      <c r="K104" s="146"/>
      <c r="L104" s="999"/>
      <c r="M104" s="458"/>
      <c r="N104" s="145"/>
      <c r="O104" s="146"/>
      <c r="P104" s="146"/>
      <c r="Q104" s="147"/>
      <c r="R104" s="147"/>
      <c r="S104" s="142"/>
      <c r="T104" s="142"/>
      <c r="U104" s="222"/>
      <c r="V104" s="222"/>
      <c r="W104" s="222"/>
      <c r="X104" s="222"/>
      <c r="Y104" s="222"/>
      <c r="Z104" s="222"/>
      <c r="AA104" s="222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1:39" s="247" customFormat="1" ht="11">
      <c r="B105" s="144"/>
      <c r="C105" s="143"/>
      <c r="D105" s="907"/>
      <c r="E105" s="143"/>
      <c r="F105" s="145"/>
      <c r="G105" s="146"/>
      <c r="H105" s="146"/>
      <c r="I105" s="146"/>
      <c r="J105" s="146"/>
      <c r="K105" s="146"/>
      <c r="L105" s="999"/>
      <c r="M105" s="458"/>
      <c r="N105" s="145"/>
      <c r="O105" s="146"/>
      <c r="P105" s="146"/>
      <c r="Q105" s="147"/>
      <c r="R105" s="147"/>
      <c r="S105" s="142"/>
      <c r="T105" s="142"/>
      <c r="U105" s="222"/>
      <c r="V105" s="222"/>
      <c r="W105" s="222"/>
      <c r="X105" s="222"/>
      <c r="Y105" s="222"/>
      <c r="Z105" s="222"/>
      <c r="AA105" s="222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1:39" s="247" customFormat="1" ht="11">
      <c r="B106" s="144"/>
      <c r="C106" s="143"/>
      <c r="D106" s="907"/>
      <c r="E106" s="143"/>
      <c r="F106" s="145"/>
      <c r="G106" s="146"/>
      <c r="H106" s="146"/>
      <c r="I106" s="146"/>
      <c r="J106" s="146"/>
      <c r="K106" s="146"/>
      <c r="L106" s="999"/>
      <c r="M106" s="458"/>
      <c r="N106" s="145"/>
      <c r="O106" s="146"/>
      <c r="P106" s="146"/>
      <c r="Q106" s="147"/>
      <c r="R106" s="147"/>
      <c r="S106" s="142"/>
      <c r="T106" s="142"/>
      <c r="U106" s="222"/>
      <c r="V106" s="222"/>
      <c r="W106" s="222"/>
      <c r="X106" s="222"/>
      <c r="Y106" s="222"/>
      <c r="Z106" s="222"/>
      <c r="AA106" s="222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1:39" s="247" customFormat="1" ht="11">
      <c r="B107" s="144"/>
      <c r="C107" s="143"/>
      <c r="D107" s="907"/>
      <c r="E107" s="143"/>
      <c r="F107" s="145"/>
      <c r="G107" s="146"/>
      <c r="H107" s="146"/>
      <c r="I107" s="146"/>
      <c r="J107" s="146"/>
      <c r="K107" s="146"/>
      <c r="L107" s="999"/>
      <c r="M107" s="458"/>
      <c r="N107" s="145"/>
      <c r="O107" s="146"/>
      <c r="P107" s="146"/>
      <c r="Q107" s="147"/>
      <c r="R107" s="147"/>
      <c r="S107" s="142"/>
      <c r="T107" s="142"/>
      <c r="U107" s="146"/>
      <c r="V107" s="146"/>
      <c r="W107" s="146"/>
      <c r="X107" s="146"/>
      <c r="Y107" s="146"/>
      <c r="Z107" s="146"/>
      <c r="AA107" s="146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1:39" s="247" customFormat="1" ht="11">
      <c r="B108" s="144"/>
      <c r="C108" s="143"/>
      <c r="D108" s="907"/>
      <c r="E108" s="143"/>
      <c r="F108" s="145"/>
      <c r="G108" s="146"/>
      <c r="H108" s="146"/>
      <c r="I108" s="146"/>
      <c r="J108" s="146"/>
      <c r="K108" s="146"/>
      <c r="L108" s="999"/>
      <c r="M108" s="458"/>
      <c r="N108" s="145"/>
      <c r="O108" s="146"/>
      <c r="P108" s="146"/>
      <c r="Q108" s="147"/>
      <c r="R108" s="147"/>
      <c r="S108" s="142"/>
      <c r="T108" s="142"/>
      <c r="U108" s="146"/>
      <c r="V108" s="146"/>
      <c r="W108" s="146"/>
      <c r="X108" s="146"/>
      <c r="Y108" s="146"/>
      <c r="Z108" s="146"/>
      <c r="AA108" s="146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1:39" s="247" customFormat="1" ht="11">
      <c r="B109" s="144"/>
      <c r="C109" s="143"/>
      <c r="D109" s="907"/>
      <c r="E109" s="143"/>
      <c r="F109" s="145"/>
      <c r="G109" s="146"/>
      <c r="H109" s="146"/>
      <c r="I109" s="146"/>
      <c r="J109" s="146"/>
      <c r="K109" s="146"/>
      <c r="L109" s="999"/>
      <c r="M109" s="458"/>
      <c r="N109" s="145"/>
      <c r="O109" s="146"/>
      <c r="P109" s="146"/>
      <c r="Q109" s="147"/>
      <c r="R109" s="147"/>
      <c r="S109" s="142"/>
      <c r="T109" s="142"/>
      <c r="U109" s="146"/>
      <c r="V109" s="146"/>
      <c r="W109" s="146"/>
      <c r="X109" s="146"/>
      <c r="Y109" s="146"/>
      <c r="Z109" s="146"/>
      <c r="AA109" s="146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1:39" s="247" customFormat="1" ht="11">
      <c r="B110" s="144"/>
      <c r="C110" s="143"/>
      <c r="D110" s="907"/>
      <c r="E110" s="143"/>
      <c r="F110" s="145"/>
      <c r="G110" s="146"/>
      <c r="H110" s="146"/>
      <c r="I110" s="146"/>
      <c r="J110" s="146"/>
      <c r="K110" s="146"/>
      <c r="L110" s="999"/>
      <c r="M110" s="458"/>
      <c r="N110" s="145"/>
      <c r="O110" s="146"/>
      <c r="P110" s="146"/>
      <c r="Q110" s="147"/>
      <c r="R110" s="147"/>
      <c r="S110" s="142"/>
      <c r="T110" s="142"/>
      <c r="U110" s="146"/>
      <c r="V110" s="146"/>
      <c r="W110" s="146"/>
      <c r="X110" s="146"/>
      <c r="Y110" s="146"/>
      <c r="Z110" s="146"/>
      <c r="AA110" s="146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1:39" s="247" customFormat="1" ht="11">
      <c r="B111" s="144"/>
      <c r="C111" s="143"/>
      <c r="D111" s="907"/>
      <c r="E111" s="143"/>
      <c r="F111" s="145"/>
      <c r="G111" s="146"/>
      <c r="H111" s="146"/>
      <c r="I111" s="146"/>
      <c r="J111" s="146"/>
      <c r="K111" s="146"/>
      <c r="L111" s="999"/>
      <c r="M111" s="458"/>
      <c r="N111" s="145"/>
      <c r="O111" s="146"/>
      <c r="P111" s="146"/>
      <c r="Q111" s="147"/>
      <c r="R111" s="147"/>
      <c r="S111" s="142"/>
      <c r="T111" s="142"/>
      <c r="U111" s="146"/>
      <c r="V111" s="146"/>
      <c r="W111" s="146"/>
      <c r="X111" s="146"/>
      <c r="Y111" s="146"/>
      <c r="Z111" s="146"/>
      <c r="AA111" s="146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1:39" s="247" customFormat="1" ht="11">
      <c r="B112" s="144"/>
      <c r="C112" s="143"/>
      <c r="D112" s="907"/>
      <c r="E112" s="143"/>
      <c r="F112" s="145"/>
      <c r="G112" s="146"/>
      <c r="H112" s="146"/>
      <c r="I112" s="146"/>
      <c r="J112" s="146"/>
      <c r="K112" s="146"/>
      <c r="L112" s="999"/>
      <c r="M112" s="458"/>
      <c r="N112" s="145"/>
      <c r="O112" s="146"/>
      <c r="P112" s="146"/>
      <c r="Q112" s="147"/>
      <c r="R112" s="147"/>
      <c r="S112" s="142"/>
      <c r="T112" s="142"/>
      <c r="U112" s="146"/>
      <c r="V112" s="146"/>
      <c r="W112" s="146"/>
      <c r="X112" s="146"/>
      <c r="Y112" s="146"/>
      <c r="Z112" s="146"/>
      <c r="AA112" s="146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2:39" s="247" customFormat="1" ht="11">
      <c r="B113" s="144"/>
      <c r="C113" s="143"/>
      <c r="D113" s="907"/>
      <c r="E113" s="143"/>
      <c r="F113" s="145"/>
      <c r="G113" s="146"/>
      <c r="H113" s="146"/>
      <c r="I113" s="146"/>
      <c r="J113" s="146"/>
      <c r="K113" s="146"/>
      <c r="L113" s="999"/>
      <c r="M113" s="458"/>
      <c r="N113" s="145"/>
      <c r="O113" s="146"/>
      <c r="P113" s="146"/>
      <c r="Q113" s="147"/>
      <c r="R113" s="147"/>
      <c r="S113" s="142"/>
      <c r="T113" s="142"/>
      <c r="U113" s="146"/>
      <c r="V113" s="146"/>
      <c r="W113" s="146"/>
      <c r="X113" s="146"/>
      <c r="Y113" s="146"/>
      <c r="Z113" s="146"/>
      <c r="AA113" s="146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</row>
    <row r="114" spans="2:39" s="247" customFormat="1" ht="11">
      <c r="B114" s="144"/>
      <c r="C114" s="143"/>
      <c r="D114" s="907"/>
      <c r="E114" s="143"/>
      <c r="F114" s="145"/>
      <c r="G114" s="146"/>
      <c r="H114" s="146"/>
      <c r="I114" s="146"/>
      <c r="J114" s="146"/>
      <c r="K114" s="146"/>
      <c r="L114" s="999"/>
      <c r="M114" s="458"/>
      <c r="N114" s="145"/>
      <c r="O114" s="146"/>
      <c r="P114" s="146"/>
      <c r="Q114" s="147"/>
      <c r="R114" s="147"/>
      <c r="S114" s="142"/>
      <c r="T114" s="142"/>
      <c r="U114" s="146"/>
      <c r="V114" s="146"/>
      <c r="W114" s="146"/>
      <c r="X114" s="146"/>
      <c r="Y114" s="146"/>
      <c r="Z114" s="146"/>
      <c r="AA114" s="146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2:39" s="247" customFormat="1" ht="11">
      <c r="B115" s="144"/>
      <c r="C115" s="143"/>
      <c r="D115" s="907"/>
      <c r="E115" s="143"/>
      <c r="F115" s="145"/>
      <c r="G115" s="146"/>
      <c r="H115" s="146"/>
      <c r="I115" s="146"/>
      <c r="J115" s="146"/>
      <c r="K115" s="146"/>
      <c r="L115" s="999"/>
      <c r="M115" s="458"/>
      <c r="N115" s="145"/>
      <c r="O115" s="146"/>
      <c r="P115" s="146"/>
      <c r="Q115" s="147"/>
      <c r="R115" s="147"/>
      <c r="S115" s="142"/>
      <c r="T115" s="142"/>
      <c r="U115" s="146"/>
      <c r="V115" s="146"/>
      <c r="W115" s="146"/>
      <c r="X115" s="146"/>
      <c r="Y115" s="146"/>
      <c r="Z115" s="146"/>
      <c r="AA115" s="146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2:39" s="247" customFormat="1" ht="11">
      <c r="B116" s="144"/>
      <c r="C116" s="143"/>
      <c r="D116" s="907"/>
      <c r="E116" s="143"/>
      <c r="F116" s="145"/>
      <c r="G116" s="146"/>
      <c r="H116" s="146"/>
      <c r="I116" s="146"/>
      <c r="J116" s="146"/>
      <c r="K116" s="146"/>
      <c r="L116" s="999"/>
      <c r="M116" s="458"/>
      <c r="N116" s="145"/>
      <c r="O116" s="146"/>
      <c r="P116" s="146"/>
      <c r="Q116" s="147"/>
      <c r="R116" s="147"/>
      <c r="S116" s="142"/>
      <c r="T116" s="142"/>
      <c r="U116" s="146"/>
      <c r="V116" s="146"/>
      <c r="W116" s="146"/>
      <c r="X116" s="146"/>
      <c r="Y116" s="146"/>
      <c r="Z116" s="146"/>
      <c r="AA116" s="146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2:39" s="247" customFormat="1" ht="11">
      <c r="B117" s="144"/>
      <c r="C117" s="143"/>
      <c r="D117" s="907"/>
      <c r="E117" s="143"/>
      <c r="F117" s="145"/>
      <c r="G117" s="146"/>
      <c r="H117" s="146"/>
      <c r="I117" s="146"/>
      <c r="J117" s="146"/>
      <c r="K117" s="146"/>
      <c r="L117" s="999"/>
      <c r="M117" s="458"/>
      <c r="N117" s="145"/>
      <c r="O117" s="146"/>
      <c r="P117" s="146"/>
      <c r="Q117" s="147"/>
      <c r="R117" s="147"/>
      <c r="S117" s="142"/>
      <c r="T117" s="142"/>
      <c r="U117" s="146"/>
      <c r="V117" s="146"/>
      <c r="W117" s="146"/>
      <c r="X117" s="146"/>
      <c r="Y117" s="146"/>
      <c r="Z117" s="146"/>
      <c r="AA117" s="146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2:39" s="247" customFormat="1" ht="11">
      <c r="B118" s="144"/>
      <c r="C118" s="143"/>
      <c r="D118" s="907"/>
      <c r="E118" s="143"/>
      <c r="F118" s="145"/>
      <c r="G118" s="146"/>
      <c r="H118" s="146"/>
      <c r="I118" s="146"/>
      <c r="J118" s="146"/>
      <c r="K118" s="146"/>
      <c r="L118" s="999"/>
      <c r="M118" s="458"/>
      <c r="N118" s="145"/>
      <c r="O118" s="146"/>
      <c r="P118" s="146"/>
      <c r="Q118" s="147"/>
      <c r="R118" s="147"/>
      <c r="S118" s="142"/>
      <c r="T118" s="142"/>
      <c r="U118" s="146"/>
      <c r="V118" s="146"/>
      <c r="W118" s="146"/>
      <c r="X118" s="146"/>
      <c r="Y118" s="146"/>
      <c r="Z118" s="146"/>
      <c r="AA118" s="146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2:39" s="247" customFormat="1" ht="11">
      <c r="B119" s="144"/>
      <c r="C119" s="143"/>
      <c r="D119" s="907"/>
      <c r="E119" s="143"/>
      <c r="F119" s="145"/>
      <c r="G119" s="146"/>
      <c r="H119" s="146"/>
      <c r="I119" s="146"/>
      <c r="J119" s="146"/>
      <c r="K119" s="146"/>
      <c r="L119" s="999"/>
      <c r="M119" s="458"/>
      <c r="N119" s="145"/>
      <c r="O119" s="146"/>
      <c r="P119" s="146"/>
      <c r="Q119" s="147"/>
      <c r="R119" s="147"/>
      <c r="S119" s="142"/>
      <c r="T119" s="142"/>
      <c r="U119" s="146"/>
      <c r="V119" s="146"/>
      <c r="W119" s="146"/>
      <c r="X119" s="146"/>
      <c r="Y119" s="146"/>
      <c r="Z119" s="146"/>
      <c r="AA119" s="146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2:39" s="247" customFormat="1" ht="11">
      <c r="B120" s="144"/>
      <c r="C120" s="143"/>
      <c r="D120" s="907"/>
      <c r="E120" s="143"/>
      <c r="F120" s="145"/>
      <c r="G120" s="146"/>
      <c r="H120" s="146"/>
      <c r="I120" s="146"/>
      <c r="J120" s="146"/>
      <c r="K120" s="146"/>
      <c r="L120" s="999"/>
      <c r="M120" s="458"/>
      <c r="N120" s="145"/>
      <c r="O120" s="146"/>
      <c r="P120" s="146"/>
      <c r="Q120" s="147"/>
      <c r="R120" s="147"/>
      <c r="S120" s="142"/>
      <c r="T120" s="142"/>
      <c r="U120" s="146"/>
      <c r="V120" s="146"/>
      <c r="W120" s="146"/>
      <c r="X120" s="146"/>
      <c r="Y120" s="146"/>
      <c r="Z120" s="146"/>
      <c r="AA120" s="146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2:39" s="247" customFormat="1" ht="11">
      <c r="B121" s="144"/>
      <c r="C121" s="143"/>
      <c r="D121" s="907"/>
      <c r="E121" s="143"/>
      <c r="F121" s="145"/>
      <c r="G121" s="146"/>
      <c r="H121" s="146"/>
      <c r="I121" s="146"/>
      <c r="J121" s="146"/>
      <c r="K121" s="146"/>
      <c r="L121" s="999"/>
      <c r="M121" s="458"/>
      <c r="N121" s="145"/>
      <c r="O121" s="146"/>
      <c r="P121" s="146"/>
      <c r="Q121" s="147"/>
      <c r="R121" s="147"/>
      <c r="S121" s="142"/>
      <c r="T121" s="142"/>
      <c r="U121" s="146"/>
      <c r="V121" s="146"/>
      <c r="W121" s="146"/>
      <c r="X121" s="146"/>
      <c r="Y121" s="146"/>
      <c r="Z121" s="146"/>
      <c r="AA121" s="146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2:39" s="247" customFormat="1" ht="11">
      <c r="B122" s="144"/>
      <c r="C122" s="143"/>
      <c r="D122" s="907"/>
      <c r="E122" s="143"/>
      <c r="F122" s="145"/>
      <c r="G122" s="146"/>
      <c r="H122" s="146"/>
      <c r="I122" s="146"/>
      <c r="J122" s="146"/>
      <c r="K122" s="146"/>
      <c r="L122" s="999"/>
      <c r="M122" s="458"/>
      <c r="N122" s="145"/>
      <c r="O122" s="146"/>
      <c r="P122" s="146"/>
      <c r="Q122" s="147"/>
      <c r="R122" s="147"/>
      <c r="S122" s="142"/>
      <c r="T122" s="142"/>
      <c r="U122" s="146"/>
      <c r="V122" s="146"/>
      <c r="W122" s="146"/>
      <c r="X122" s="146"/>
      <c r="Y122" s="146"/>
      <c r="Z122" s="146"/>
      <c r="AA122" s="146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2:39" s="247" customFormat="1" ht="11">
      <c r="B123" s="144"/>
      <c r="C123" s="143"/>
      <c r="D123" s="907"/>
      <c r="E123" s="143"/>
      <c r="F123" s="145"/>
      <c r="G123" s="146"/>
      <c r="H123" s="146"/>
      <c r="I123" s="146"/>
      <c r="J123" s="146"/>
      <c r="K123" s="146"/>
      <c r="L123" s="999"/>
      <c r="M123" s="458"/>
      <c r="N123" s="145"/>
      <c r="O123" s="146"/>
      <c r="P123" s="146"/>
      <c r="Q123" s="147"/>
      <c r="R123" s="147"/>
      <c r="S123" s="142"/>
      <c r="T123" s="142"/>
      <c r="U123" s="146"/>
      <c r="V123" s="146"/>
      <c r="W123" s="146"/>
      <c r="X123" s="146"/>
      <c r="Y123" s="146"/>
      <c r="Z123" s="146"/>
      <c r="AA123" s="146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</row>
    <row r="124" spans="2:39" s="247" customFormat="1" ht="11">
      <c r="B124" s="144"/>
      <c r="C124" s="143"/>
      <c r="D124" s="907"/>
      <c r="E124" s="143"/>
      <c r="F124" s="145"/>
      <c r="G124" s="146"/>
      <c r="H124" s="146"/>
      <c r="I124" s="146"/>
      <c r="J124" s="146"/>
      <c r="K124" s="146"/>
      <c r="L124" s="999"/>
      <c r="M124" s="458"/>
      <c r="N124" s="145"/>
      <c r="O124" s="146"/>
      <c r="P124" s="146"/>
      <c r="Q124" s="147"/>
      <c r="R124" s="147"/>
      <c r="S124" s="142"/>
      <c r="T124" s="142"/>
      <c r="U124" s="146"/>
      <c r="V124" s="146"/>
      <c r="W124" s="146"/>
      <c r="X124" s="146"/>
      <c r="Y124" s="146"/>
      <c r="Z124" s="146"/>
      <c r="AA124" s="146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</row>
    <row r="125" spans="2:39" s="247" customFormat="1" ht="11">
      <c r="B125" s="144"/>
      <c r="C125" s="143"/>
      <c r="D125" s="907"/>
      <c r="E125" s="143"/>
      <c r="F125" s="145"/>
      <c r="G125" s="146"/>
      <c r="H125" s="146"/>
      <c r="I125" s="146"/>
      <c r="J125" s="146"/>
      <c r="K125" s="146"/>
      <c r="L125" s="999"/>
      <c r="M125" s="458"/>
      <c r="N125" s="145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2:39" s="247" customFormat="1" ht="11">
      <c r="B126" s="144"/>
      <c r="C126" s="143"/>
      <c r="D126" s="907"/>
      <c r="E126" s="143"/>
      <c r="F126" s="145"/>
      <c r="G126" s="146"/>
      <c r="H126" s="146"/>
      <c r="I126" s="146"/>
      <c r="J126" s="146"/>
      <c r="K126" s="146"/>
      <c r="L126" s="999"/>
      <c r="M126" s="458"/>
      <c r="N126" s="145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2:39" s="247" customFormat="1" ht="11">
      <c r="B127" s="144"/>
      <c r="C127" s="143"/>
      <c r="D127" s="907"/>
      <c r="E127" s="143"/>
      <c r="F127" s="145"/>
      <c r="G127" s="146"/>
      <c r="H127" s="146"/>
      <c r="I127" s="146"/>
      <c r="J127" s="146"/>
      <c r="K127" s="146"/>
      <c r="L127" s="999"/>
      <c r="M127" s="458"/>
      <c r="N127" s="145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2:39" s="247" customFormat="1" ht="11">
      <c r="B128" s="144"/>
      <c r="C128" s="143"/>
      <c r="D128" s="907"/>
      <c r="E128" s="143"/>
      <c r="F128" s="145"/>
      <c r="G128" s="146"/>
      <c r="H128" s="146"/>
      <c r="I128" s="146"/>
      <c r="J128" s="146"/>
      <c r="K128" s="146"/>
      <c r="L128" s="999"/>
      <c r="M128" s="458"/>
      <c r="N128" s="145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B128" s="247">
        <f>SUBTOTAL(9,AB86:AB127)</f>
        <v>0</v>
      </c>
      <c r="AC128" s="214">
        <f>SUBTOTAL(9,AC86:AC127)</f>
        <v>0</v>
      </c>
      <c r="AD128" s="214">
        <f>SUBTOTAL(9,AD86:AD127)</f>
        <v>0</v>
      </c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41" s="247" customFormat="1" ht="11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999"/>
      <c r="M129" s="458"/>
      <c r="N129" s="145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B129" s="247">
        <v>0</v>
      </c>
      <c r="AC129" s="214">
        <v>0</v>
      </c>
      <c r="AD129" s="214">
        <v>0</v>
      </c>
      <c r="AE129" s="214"/>
      <c r="AF129" s="214"/>
      <c r="AG129" s="214"/>
      <c r="AH129" s="214"/>
      <c r="AI129" s="214"/>
      <c r="AJ129" s="214"/>
      <c r="AK129" s="214"/>
      <c r="AL129" s="214"/>
      <c r="AM129" s="214"/>
    </row>
    <row r="130" spans="2:41" s="247" customFormat="1" ht="11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999"/>
      <c r="M130" s="458"/>
      <c r="N130" s="145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B130" s="247">
        <v>0</v>
      </c>
      <c r="AC130" s="214">
        <v>0</v>
      </c>
      <c r="AD130" s="214">
        <v>0</v>
      </c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41" s="247" customFormat="1" ht="11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999"/>
      <c r="M131" s="458"/>
      <c r="N131" s="145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B131" s="247">
        <v>0</v>
      </c>
      <c r="AC131" s="214">
        <v>0</v>
      </c>
      <c r="AD131" s="214">
        <v>0</v>
      </c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41" s="247" customFormat="1" ht="11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999"/>
      <c r="M132" s="458"/>
      <c r="N132" s="145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B132" s="247">
        <v>0</v>
      </c>
      <c r="AC132" s="214">
        <v>0</v>
      </c>
      <c r="AD132" s="214">
        <v>0</v>
      </c>
      <c r="AE132" s="214"/>
      <c r="AF132" s="214"/>
      <c r="AG132" s="214"/>
      <c r="AH132" s="214"/>
      <c r="AI132" s="214"/>
      <c r="AJ132" s="214"/>
      <c r="AK132" s="214"/>
      <c r="AL132" s="214"/>
      <c r="AM132" s="214"/>
    </row>
    <row r="133" spans="2:41" s="247" customFormat="1" ht="11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999"/>
      <c r="M133" s="458"/>
      <c r="N133" s="145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B133" s="247">
        <v>0</v>
      </c>
      <c r="AC133" s="214">
        <v>0</v>
      </c>
      <c r="AD133" s="214">
        <v>0</v>
      </c>
      <c r="AE133" s="214"/>
      <c r="AF133" s="214"/>
      <c r="AG133" s="214"/>
      <c r="AH133" s="214"/>
      <c r="AI133" s="214"/>
      <c r="AJ133" s="214"/>
      <c r="AK133" s="214"/>
      <c r="AL133" s="214"/>
      <c r="AM133" s="214"/>
    </row>
    <row r="134" spans="2:41" s="247" customFormat="1" ht="1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999"/>
      <c r="M134" s="458"/>
      <c r="N134" s="145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B134" s="247">
        <v>0</v>
      </c>
      <c r="AC134" s="214">
        <v>0</v>
      </c>
      <c r="AD134" s="214">
        <v>0</v>
      </c>
      <c r="AE134" s="214"/>
      <c r="AF134" s="214"/>
      <c r="AG134" s="214"/>
      <c r="AH134" s="214"/>
      <c r="AI134" s="214"/>
      <c r="AJ134" s="214"/>
      <c r="AK134" s="214"/>
      <c r="AL134" s="214"/>
      <c r="AM134" s="214"/>
    </row>
    <row r="135" spans="2:41" s="247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999"/>
      <c r="M135" s="458"/>
      <c r="N135" s="145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B135" s="247">
        <v>0</v>
      </c>
      <c r="AC135" s="214">
        <v>0</v>
      </c>
      <c r="AD135" s="214">
        <v>0</v>
      </c>
      <c r="AE135" s="214"/>
      <c r="AF135" s="214"/>
      <c r="AG135" s="214"/>
      <c r="AH135" s="214"/>
      <c r="AI135" s="214"/>
      <c r="AJ135" s="214"/>
      <c r="AK135" s="214"/>
      <c r="AL135" s="214"/>
      <c r="AM135" s="214"/>
    </row>
    <row r="136" spans="2:41" s="247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999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B136" s="247">
        <v>0</v>
      </c>
      <c r="AC136" s="214">
        <v>0</v>
      </c>
      <c r="AD136" s="214">
        <v>0</v>
      </c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2:41" s="247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999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B137" s="247">
        <v>0</v>
      </c>
      <c r="AC137" s="214">
        <v>0</v>
      </c>
      <c r="AD137" s="214">
        <v>0</v>
      </c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2:41" s="247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999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B138" s="247">
        <v>0</v>
      </c>
      <c r="AC138" s="214">
        <v>0</v>
      </c>
      <c r="AD138" s="214">
        <v>0</v>
      </c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2:41" s="247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999"/>
      <c r="M139" s="458"/>
      <c r="N139" s="145"/>
      <c r="O139" s="146"/>
      <c r="P139" s="146"/>
      <c r="Q139" s="147"/>
      <c r="R139" s="147"/>
      <c r="S139" s="142"/>
      <c r="T139" s="142"/>
      <c r="U139" s="146">
        <f>SUBTOTAL(9,U97:U138)</f>
        <v>0</v>
      </c>
      <c r="V139" s="146">
        <f t="shared" ref="V139:AA139" si="82">SUBTOTAL(9,V97:V138)</f>
        <v>0</v>
      </c>
      <c r="W139" s="146">
        <f t="shared" si="82"/>
        <v>0</v>
      </c>
      <c r="X139" s="146">
        <f t="shared" si="82"/>
        <v>0</v>
      </c>
      <c r="Y139" s="146">
        <f t="shared" si="82"/>
        <v>0</v>
      </c>
      <c r="Z139" s="146">
        <f t="shared" si="82"/>
        <v>0</v>
      </c>
      <c r="AA139" s="146">
        <f t="shared" si="82"/>
        <v>0</v>
      </c>
      <c r="AB139" s="247">
        <v>0</v>
      </c>
      <c r="AC139" s="214">
        <v>0</v>
      </c>
      <c r="AD139" s="214">
        <v>0</v>
      </c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2:41" s="213" customFormat="1" ht="14" thickBot="1">
      <c r="B140" s="139"/>
      <c r="C140" s="138"/>
      <c r="D140" s="908"/>
      <c r="E140" s="138"/>
      <c r="F140" s="140"/>
      <c r="G140" s="141"/>
      <c r="H140" s="141"/>
      <c r="I140" s="141"/>
      <c r="J140" s="141"/>
      <c r="K140" s="141"/>
      <c r="L140" s="1000"/>
      <c r="M140" s="458"/>
      <c r="N140" s="140"/>
      <c r="O140" s="141"/>
      <c r="P140" s="141"/>
      <c r="Q140" s="148"/>
      <c r="R140" s="148"/>
      <c r="S140" s="149"/>
      <c r="T140" s="149"/>
      <c r="U140" s="150"/>
      <c r="V140" s="150"/>
      <c r="W140" s="150"/>
      <c r="X140" s="150"/>
      <c r="Y140" s="150"/>
      <c r="Z140" s="150"/>
      <c r="AA140" s="150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2:41" s="213" customFormat="1" ht="15" thickTop="1" thickBot="1">
      <c r="B141" s="139"/>
      <c r="C141" s="138"/>
      <c r="D141" s="908"/>
      <c r="E141" s="138"/>
      <c r="F141" s="140"/>
      <c r="G141" s="141"/>
      <c r="H141" s="141"/>
      <c r="I141" s="141"/>
      <c r="J141" s="141"/>
      <c r="K141" s="141"/>
      <c r="L141" s="1000"/>
      <c r="M141" s="458"/>
      <c r="N141" s="140"/>
      <c r="O141" s="141"/>
      <c r="P141" s="141"/>
      <c r="Q141" s="148"/>
      <c r="R141" s="148"/>
      <c r="S141" s="148"/>
      <c r="T141" s="149"/>
      <c r="U141" s="151"/>
      <c r="V141" s="152"/>
      <c r="W141" s="153"/>
      <c r="X141" s="153"/>
      <c r="Y141" s="153"/>
      <c r="Z141" s="153"/>
      <c r="AA141" s="154"/>
      <c r="AB141" s="246"/>
      <c r="AC141" s="246"/>
      <c r="AE141" s="214"/>
      <c r="AF141" s="214"/>
      <c r="AG141" s="214"/>
      <c r="AH141" s="214"/>
      <c r="AI141" s="214"/>
      <c r="AJ141" s="214"/>
      <c r="AK141" s="214"/>
      <c r="AL141" s="214"/>
      <c r="AM141" s="214"/>
      <c r="AN141" s="214"/>
      <c r="AO141" s="214"/>
    </row>
    <row r="142" spans="2:41" s="247" customFormat="1" ht="12" thickTop="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999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2:41" s="247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999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2:41" s="247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999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39" s="247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999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39" s="247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999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39" s="247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999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39" s="247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999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39" s="247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999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39" s="247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999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39" s="247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999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39" s="247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999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39" s="247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999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39" s="247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999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39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999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39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999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39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999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39" s="247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999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39" s="247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999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39" s="247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999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39" s="247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999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39" s="247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999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39" s="247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999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39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999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39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999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39" s="247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999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39" s="247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999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39" s="247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999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39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999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39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999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39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999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39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999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39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999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39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999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39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999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39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999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41" s="247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999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41" s="247" customFormat="1" ht="11">
      <c r="B178" s="248"/>
      <c r="D178" s="909"/>
      <c r="F178" s="249"/>
      <c r="G178" s="250"/>
      <c r="H178" s="250"/>
      <c r="I178" s="250"/>
      <c r="J178" s="250"/>
      <c r="K178" s="250"/>
      <c r="L178" s="1001"/>
      <c r="M178" s="459"/>
      <c r="N178" s="249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41" s="247" customFormat="1" ht="11">
      <c r="B179" s="248"/>
      <c r="D179" s="909"/>
      <c r="F179" s="249"/>
      <c r="G179" s="250"/>
      <c r="H179" s="250"/>
      <c r="I179" s="250"/>
      <c r="J179" s="250"/>
      <c r="K179" s="250"/>
      <c r="L179" s="1001"/>
      <c r="M179" s="459"/>
      <c r="N179" s="249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41" s="247" customFormat="1" ht="11">
      <c r="B180" s="248"/>
      <c r="D180" s="909"/>
      <c r="F180" s="249"/>
      <c r="G180" s="250"/>
      <c r="H180" s="250"/>
      <c r="I180" s="250"/>
      <c r="J180" s="250"/>
      <c r="K180" s="250"/>
      <c r="L180" s="1001"/>
      <c r="M180" s="459"/>
      <c r="N180" s="249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41" s="247" customFormat="1" ht="11">
      <c r="B181" s="248"/>
      <c r="D181" s="909"/>
      <c r="F181" s="249"/>
      <c r="G181" s="250"/>
      <c r="H181" s="250"/>
      <c r="I181" s="250"/>
      <c r="J181" s="250"/>
      <c r="K181" s="250"/>
      <c r="L181" s="1001"/>
      <c r="M181" s="459"/>
      <c r="N181" s="249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41" s="247" customFormat="1" ht="11">
      <c r="B182" s="248"/>
      <c r="D182" s="909"/>
      <c r="F182" s="249"/>
      <c r="G182" s="250"/>
      <c r="H182" s="250"/>
      <c r="I182" s="250"/>
      <c r="J182" s="250"/>
      <c r="K182" s="250"/>
      <c r="L182" s="1001"/>
      <c r="M182" s="459"/>
      <c r="N182" s="249"/>
      <c r="O182" s="146"/>
      <c r="P182" s="146"/>
      <c r="Q182" s="147"/>
      <c r="R182" s="147"/>
      <c r="S182" s="142"/>
      <c r="T182" s="142"/>
      <c r="U182" s="146">
        <f>SUBTOTAL(9,U140:U181)</f>
        <v>0</v>
      </c>
      <c r="V182" s="146">
        <f t="shared" ref="V182:AA182" si="83">SUBTOTAL(9,V140:V181)</f>
        <v>0</v>
      </c>
      <c r="W182" s="146">
        <f t="shared" si="83"/>
        <v>0</v>
      </c>
      <c r="X182" s="146">
        <f t="shared" si="83"/>
        <v>0</v>
      </c>
      <c r="Y182" s="146">
        <f t="shared" si="83"/>
        <v>0</v>
      </c>
      <c r="Z182" s="146">
        <f t="shared" si="83"/>
        <v>0</v>
      </c>
      <c r="AA182" s="146">
        <f t="shared" si="83"/>
        <v>0</v>
      </c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41" s="213" customFormat="1" ht="14" thickBot="1">
      <c r="B183" s="225"/>
      <c r="D183" s="910"/>
      <c r="F183" s="242"/>
      <c r="G183" s="243"/>
      <c r="H183" s="243"/>
      <c r="I183" s="243"/>
      <c r="J183" s="243"/>
      <c r="K183" s="243"/>
      <c r="L183" s="1002"/>
      <c r="M183" s="459"/>
      <c r="N183" s="242"/>
      <c r="O183" s="141"/>
      <c r="P183" s="141"/>
      <c r="Q183" s="148"/>
      <c r="R183" s="148"/>
      <c r="S183" s="149"/>
      <c r="T183" s="149"/>
      <c r="U183" s="150"/>
      <c r="V183" s="150"/>
      <c r="W183" s="150"/>
      <c r="X183" s="150"/>
      <c r="Y183" s="150"/>
      <c r="Z183" s="150"/>
      <c r="AA183" s="150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41" s="213" customFormat="1" ht="15" thickTop="1" thickBot="1">
      <c r="B184" s="225"/>
      <c r="D184" s="910"/>
      <c r="F184" s="242"/>
      <c r="G184" s="243"/>
      <c r="H184" s="243"/>
      <c r="I184" s="243"/>
      <c r="J184" s="243"/>
      <c r="K184" s="243"/>
      <c r="L184" s="1002"/>
      <c r="M184" s="459"/>
      <c r="N184" s="242"/>
      <c r="O184" s="141"/>
      <c r="P184" s="141"/>
      <c r="Q184" s="148"/>
      <c r="R184" s="148"/>
      <c r="S184" s="148"/>
      <c r="T184" s="148"/>
      <c r="U184" s="151">
        <f>SUBTOTAL(9,U142:U183)</f>
        <v>0</v>
      </c>
      <c r="V184" s="152">
        <f t="shared" ref="V184:AA184" si="84">SUBTOTAL(9,V142:V183)</f>
        <v>0</v>
      </c>
      <c r="W184" s="153">
        <f t="shared" si="84"/>
        <v>0</v>
      </c>
      <c r="X184" s="153">
        <f t="shared" si="84"/>
        <v>0</v>
      </c>
      <c r="Y184" s="153">
        <f t="shared" si="84"/>
        <v>0</v>
      </c>
      <c r="Z184" s="153">
        <f t="shared" si="84"/>
        <v>0</v>
      </c>
      <c r="AA184" s="154">
        <f t="shared" si="84"/>
        <v>0</v>
      </c>
      <c r="AB184" s="246"/>
      <c r="AC184" s="246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</row>
    <row r="185" spans="2:41" s="213" customFormat="1" ht="14" thickTop="1">
      <c r="B185" s="225"/>
      <c r="D185" s="910"/>
      <c r="F185" s="242"/>
      <c r="G185" s="243"/>
      <c r="H185" s="243"/>
      <c r="I185" s="243"/>
      <c r="J185" s="243"/>
      <c r="K185" s="243"/>
      <c r="L185" s="1002"/>
      <c r="M185" s="459"/>
      <c r="N185" s="242"/>
      <c r="O185" s="141"/>
      <c r="P185" s="141"/>
      <c r="Q185" s="148"/>
      <c r="R185" s="148"/>
      <c r="S185" s="149"/>
      <c r="T185" s="149"/>
      <c r="U185" s="150"/>
      <c r="V185" s="150"/>
      <c r="W185" s="150"/>
      <c r="X185" s="150"/>
      <c r="Y185" s="150"/>
      <c r="Z185" s="150"/>
      <c r="AA185" s="150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41" s="213" customFormat="1">
      <c r="B186" s="225"/>
      <c r="D186" s="910"/>
      <c r="F186" s="242"/>
      <c r="G186" s="243"/>
      <c r="H186" s="243"/>
      <c r="I186" s="243"/>
      <c r="J186" s="243"/>
      <c r="K186" s="243"/>
      <c r="L186" s="1002"/>
      <c r="M186" s="459"/>
      <c r="N186" s="242"/>
      <c r="O186" s="141"/>
      <c r="P186" s="141"/>
      <c r="Q186" s="148"/>
      <c r="R186" s="148"/>
      <c r="S186" s="149"/>
      <c r="T186" s="149"/>
      <c r="U186" s="150"/>
      <c r="V186" s="150"/>
      <c r="W186" s="150"/>
      <c r="X186" s="150"/>
      <c r="Y186" s="150"/>
      <c r="Z186" s="150"/>
      <c r="AA186" s="150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41" s="213" customFormat="1">
      <c r="B187" s="225"/>
      <c r="D187" s="910"/>
      <c r="F187" s="242"/>
      <c r="G187" s="243"/>
      <c r="H187" s="243"/>
      <c r="I187" s="243"/>
      <c r="J187" s="243"/>
      <c r="K187" s="243"/>
      <c r="L187" s="1002"/>
      <c r="M187" s="459"/>
      <c r="N187" s="242"/>
      <c r="O187" s="141"/>
      <c r="P187" s="141"/>
      <c r="Q187" s="148"/>
      <c r="R187" s="148"/>
      <c r="S187" s="149"/>
      <c r="T187" s="149"/>
      <c r="U187" s="150"/>
      <c r="V187" s="150"/>
      <c r="W187" s="150"/>
      <c r="X187" s="150"/>
      <c r="Y187" s="150"/>
      <c r="Z187" s="150"/>
      <c r="AA187" s="150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41" s="213" customFormat="1">
      <c r="B188" s="225"/>
      <c r="D188" s="910"/>
      <c r="F188" s="242"/>
      <c r="G188" s="243"/>
      <c r="H188" s="243"/>
      <c r="I188" s="243"/>
      <c r="J188" s="243"/>
      <c r="K188" s="243"/>
      <c r="L188" s="1002"/>
      <c r="M188" s="459"/>
      <c r="N188" s="242"/>
      <c r="O188" s="141"/>
      <c r="P188" s="141"/>
      <c r="Q188" s="148"/>
      <c r="R188" s="148"/>
      <c r="S188" s="149"/>
      <c r="T188" s="149"/>
      <c r="U188" s="150"/>
      <c r="V188" s="150"/>
      <c r="W188" s="150"/>
      <c r="X188" s="150"/>
      <c r="Y188" s="150"/>
      <c r="Z188" s="150"/>
      <c r="AA188" s="150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41" s="213" customFormat="1">
      <c r="B189" s="225"/>
      <c r="D189" s="910"/>
      <c r="F189" s="242"/>
      <c r="G189" s="243"/>
      <c r="H189" s="243"/>
      <c r="I189" s="243"/>
      <c r="J189" s="243"/>
      <c r="K189" s="243"/>
      <c r="L189" s="1002"/>
      <c r="M189" s="459"/>
      <c r="N189" s="242"/>
      <c r="O189" s="141"/>
      <c r="P189" s="141"/>
      <c r="Q189" s="148"/>
      <c r="R189" s="148"/>
      <c r="S189" s="149"/>
      <c r="T189" s="149"/>
      <c r="U189" s="150"/>
      <c r="V189" s="150"/>
      <c r="W189" s="150"/>
      <c r="X189" s="150"/>
      <c r="Y189" s="150"/>
      <c r="Z189" s="150"/>
      <c r="AA189" s="150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41" s="213" customFormat="1">
      <c r="B190" s="225"/>
      <c r="D190" s="910"/>
      <c r="F190" s="242"/>
      <c r="G190" s="243"/>
      <c r="H190" s="243"/>
      <c r="I190" s="243"/>
      <c r="J190" s="243"/>
      <c r="K190" s="243"/>
      <c r="L190" s="1002"/>
      <c r="M190" s="459"/>
      <c r="N190" s="242"/>
      <c r="O190" s="141"/>
      <c r="P190" s="141"/>
      <c r="Q190" s="148"/>
      <c r="R190" s="148"/>
      <c r="S190" s="149"/>
      <c r="T190" s="149"/>
      <c r="U190" s="150"/>
      <c r="V190" s="150"/>
      <c r="W190" s="150"/>
      <c r="X190" s="150"/>
      <c r="Y190" s="150"/>
      <c r="Z190" s="150"/>
      <c r="AA190" s="150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41" s="213" customFormat="1">
      <c r="B191" s="225"/>
      <c r="D191" s="910"/>
      <c r="F191" s="242"/>
      <c r="G191" s="243"/>
      <c r="H191" s="243"/>
      <c r="I191" s="243"/>
      <c r="J191" s="243"/>
      <c r="K191" s="243"/>
      <c r="L191" s="1002"/>
      <c r="M191" s="459"/>
      <c r="N191" s="242"/>
      <c r="O191" s="141"/>
      <c r="P191" s="141"/>
      <c r="Q191" s="148"/>
      <c r="R191" s="148"/>
      <c r="S191" s="149"/>
      <c r="T191" s="149"/>
      <c r="U191" s="150"/>
      <c r="V191" s="150"/>
      <c r="W191" s="150"/>
      <c r="X191" s="150"/>
      <c r="Y191" s="150"/>
      <c r="Z191" s="150"/>
      <c r="AA191" s="150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41" s="213" customFormat="1">
      <c r="B192" s="225"/>
      <c r="D192" s="910"/>
      <c r="F192" s="242"/>
      <c r="G192" s="243"/>
      <c r="H192" s="243"/>
      <c r="I192" s="243"/>
      <c r="J192" s="243"/>
      <c r="K192" s="243"/>
      <c r="L192" s="1002"/>
      <c r="M192" s="459"/>
      <c r="N192" s="242"/>
      <c r="O192" s="141"/>
      <c r="P192" s="141"/>
      <c r="Q192" s="148"/>
      <c r="R192" s="148"/>
      <c r="S192" s="149"/>
      <c r="T192" s="149"/>
      <c r="U192" s="150"/>
      <c r="V192" s="150"/>
      <c r="W192" s="150"/>
      <c r="X192" s="150"/>
      <c r="Y192" s="150"/>
      <c r="Z192" s="150"/>
      <c r="AA192" s="150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39" s="213" customFormat="1">
      <c r="B193" s="225"/>
      <c r="D193" s="910"/>
      <c r="F193" s="242"/>
      <c r="G193" s="243"/>
      <c r="H193" s="243"/>
      <c r="I193" s="243"/>
      <c r="J193" s="243"/>
      <c r="K193" s="243"/>
      <c r="L193" s="1002"/>
      <c r="M193" s="459"/>
      <c r="N193" s="242"/>
      <c r="O193" s="141"/>
      <c r="P193" s="141"/>
      <c r="Q193" s="148"/>
      <c r="R193" s="148"/>
      <c r="S193" s="149"/>
      <c r="T193" s="149"/>
      <c r="U193" s="150"/>
      <c r="V193" s="150"/>
      <c r="W193" s="150"/>
      <c r="X193" s="150"/>
      <c r="Y193" s="150"/>
      <c r="Z193" s="150"/>
      <c r="AA193" s="150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39" s="213" customFormat="1">
      <c r="B194" s="225"/>
      <c r="D194" s="910"/>
      <c r="F194" s="242"/>
      <c r="G194" s="243"/>
      <c r="H194" s="243"/>
      <c r="I194" s="243"/>
      <c r="J194" s="243"/>
      <c r="K194" s="243"/>
      <c r="L194" s="1002"/>
      <c r="M194" s="459"/>
      <c r="N194" s="242"/>
      <c r="O194" s="141"/>
      <c r="P194" s="141"/>
      <c r="Q194" s="148"/>
      <c r="R194" s="148"/>
      <c r="S194" s="149"/>
      <c r="T194" s="149"/>
      <c r="U194" s="150"/>
      <c r="V194" s="150"/>
      <c r="W194" s="150"/>
      <c r="X194" s="150"/>
      <c r="Y194" s="150"/>
      <c r="Z194" s="150"/>
      <c r="AA194" s="150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39" s="213" customFormat="1">
      <c r="B195" s="225"/>
      <c r="D195" s="910"/>
      <c r="F195" s="242"/>
      <c r="G195" s="243"/>
      <c r="H195" s="243"/>
      <c r="I195" s="243"/>
      <c r="J195" s="243"/>
      <c r="K195" s="243"/>
      <c r="L195" s="1002"/>
      <c r="M195" s="459"/>
      <c r="N195" s="242"/>
      <c r="O195" s="141"/>
      <c r="P195" s="141"/>
      <c r="Q195" s="148"/>
      <c r="R195" s="148"/>
      <c r="S195" s="149"/>
      <c r="T195" s="149"/>
      <c r="U195" s="150"/>
      <c r="V195" s="150"/>
      <c r="W195" s="150"/>
      <c r="X195" s="150"/>
      <c r="Y195" s="150"/>
      <c r="Z195" s="150"/>
      <c r="AA195" s="150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39" s="213" customFormat="1">
      <c r="B196" s="225"/>
      <c r="D196" s="910"/>
      <c r="F196" s="242"/>
      <c r="G196" s="243"/>
      <c r="H196" s="243"/>
      <c r="I196" s="243"/>
      <c r="J196" s="243"/>
      <c r="K196" s="243"/>
      <c r="L196" s="1002"/>
      <c r="M196" s="459"/>
      <c r="N196" s="242"/>
      <c r="O196" s="141"/>
      <c r="P196" s="141"/>
      <c r="Q196" s="148"/>
      <c r="R196" s="148"/>
      <c r="S196" s="149"/>
      <c r="T196" s="149"/>
      <c r="U196" s="150"/>
      <c r="V196" s="150"/>
      <c r="W196" s="150"/>
      <c r="X196" s="150"/>
      <c r="Y196" s="150"/>
      <c r="Z196" s="150"/>
      <c r="AA196" s="150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39" s="213" customFormat="1">
      <c r="B197" s="225"/>
      <c r="D197" s="910"/>
      <c r="F197" s="242"/>
      <c r="G197" s="243"/>
      <c r="H197" s="243"/>
      <c r="I197" s="243"/>
      <c r="J197" s="243"/>
      <c r="K197" s="243"/>
      <c r="L197" s="1002"/>
      <c r="M197" s="459"/>
      <c r="N197" s="242"/>
      <c r="O197" s="141"/>
      <c r="P197" s="141"/>
      <c r="Q197" s="148"/>
      <c r="R197" s="148"/>
      <c r="S197" s="149"/>
      <c r="T197" s="149"/>
      <c r="U197" s="150"/>
      <c r="V197" s="150"/>
      <c r="W197" s="150"/>
      <c r="X197" s="150"/>
      <c r="Y197" s="150"/>
      <c r="Z197" s="150"/>
      <c r="AA197" s="150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39" s="213" customFormat="1">
      <c r="B198" s="225"/>
      <c r="D198" s="910"/>
      <c r="F198" s="242"/>
      <c r="G198" s="243"/>
      <c r="H198" s="243"/>
      <c r="I198" s="243"/>
      <c r="J198" s="243"/>
      <c r="K198" s="243"/>
      <c r="L198" s="1002"/>
      <c r="M198" s="459"/>
      <c r="N198" s="242"/>
      <c r="O198" s="141"/>
      <c r="P198" s="141"/>
      <c r="Q198" s="148"/>
      <c r="R198" s="148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39" s="213" customFormat="1">
      <c r="B199" s="225"/>
      <c r="D199" s="910"/>
      <c r="F199" s="242"/>
      <c r="G199" s="243"/>
      <c r="H199" s="243"/>
      <c r="I199" s="243"/>
      <c r="J199" s="243"/>
      <c r="K199" s="243"/>
      <c r="L199" s="1002"/>
      <c r="M199" s="459"/>
      <c r="N199" s="242"/>
      <c r="O199" s="141"/>
      <c r="P199" s="141"/>
      <c r="Q199" s="148"/>
      <c r="R199" s="148"/>
      <c r="S199" s="149"/>
      <c r="T199" s="149"/>
      <c r="U199" s="150"/>
      <c r="V199" s="150"/>
      <c r="W199" s="150"/>
      <c r="X199" s="150"/>
      <c r="Y199" s="150"/>
      <c r="Z199" s="150"/>
      <c r="AA199" s="150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39" s="213" customFormat="1">
      <c r="B200" s="225"/>
      <c r="D200" s="910"/>
      <c r="F200" s="242"/>
      <c r="G200" s="243"/>
      <c r="H200" s="243"/>
      <c r="I200" s="243"/>
      <c r="J200" s="243"/>
      <c r="K200" s="243"/>
      <c r="L200" s="1002"/>
      <c r="M200" s="459"/>
      <c r="N200" s="242"/>
      <c r="O200" s="141"/>
      <c r="P200" s="141"/>
      <c r="Q200" s="148"/>
      <c r="R200" s="148"/>
      <c r="S200" s="149"/>
      <c r="T200" s="149"/>
      <c r="U200" s="150"/>
      <c r="V200" s="150"/>
      <c r="W200" s="150"/>
      <c r="X200" s="150"/>
      <c r="Y200" s="150"/>
      <c r="Z200" s="150"/>
      <c r="AA200" s="150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39" s="213" customFormat="1">
      <c r="B201" s="225"/>
      <c r="D201" s="910"/>
      <c r="F201" s="242"/>
      <c r="G201" s="243"/>
      <c r="H201" s="243"/>
      <c r="I201" s="243"/>
      <c r="J201" s="243"/>
      <c r="K201" s="243"/>
      <c r="L201" s="1002"/>
      <c r="M201" s="459"/>
      <c r="N201" s="242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39" s="213" customFormat="1">
      <c r="B202" s="225"/>
      <c r="D202" s="910"/>
      <c r="F202" s="242"/>
      <c r="G202" s="243"/>
      <c r="H202" s="243"/>
      <c r="I202" s="243"/>
      <c r="J202" s="243"/>
      <c r="K202" s="243"/>
      <c r="L202" s="1002"/>
      <c r="M202" s="459"/>
      <c r="N202" s="242"/>
      <c r="O202" s="141"/>
      <c r="P202" s="141"/>
      <c r="Q202" s="148"/>
      <c r="R202" s="148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39" s="213" customFormat="1">
      <c r="B203" s="225"/>
      <c r="D203" s="910"/>
      <c r="F203" s="242"/>
      <c r="G203" s="243"/>
      <c r="H203" s="243"/>
      <c r="I203" s="243"/>
      <c r="J203" s="243"/>
      <c r="K203" s="243"/>
      <c r="L203" s="1002"/>
      <c r="M203" s="459"/>
      <c r="N203" s="242"/>
      <c r="O203" s="141"/>
      <c r="P203" s="141"/>
      <c r="Q203" s="148"/>
      <c r="R203" s="148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39" s="213" customFormat="1">
      <c r="B204" s="225"/>
      <c r="D204" s="910"/>
      <c r="F204" s="242"/>
      <c r="G204" s="243"/>
      <c r="H204" s="243"/>
      <c r="I204" s="243"/>
      <c r="J204" s="243"/>
      <c r="K204" s="243"/>
      <c r="L204" s="1002"/>
      <c r="M204" s="459"/>
      <c r="N204" s="242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39" s="213" customFormat="1">
      <c r="B205" s="225"/>
      <c r="D205" s="910"/>
      <c r="F205" s="242"/>
      <c r="G205" s="243"/>
      <c r="H205" s="243"/>
      <c r="I205" s="243"/>
      <c r="J205" s="243"/>
      <c r="K205" s="243"/>
      <c r="L205" s="1002"/>
      <c r="M205" s="459"/>
      <c r="N205" s="242"/>
      <c r="O205" s="141"/>
      <c r="P205" s="141"/>
      <c r="Q205" s="148"/>
      <c r="R205" s="148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39" s="213" customFormat="1">
      <c r="B206" s="225"/>
      <c r="D206" s="910"/>
      <c r="F206" s="242"/>
      <c r="G206" s="243"/>
      <c r="H206" s="243"/>
      <c r="I206" s="243"/>
      <c r="J206" s="243"/>
      <c r="K206" s="243"/>
      <c r="L206" s="1002"/>
      <c r="M206" s="459"/>
      <c r="N206" s="242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39" s="213" customFormat="1">
      <c r="B207" s="225"/>
      <c r="D207" s="910"/>
      <c r="F207" s="242"/>
      <c r="G207" s="243"/>
      <c r="H207" s="243"/>
      <c r="I207" s="243"/>
      <c r="J207" s="243"/>
      <c r="K207" s="243"/>
      <c r="L207" s="1002"/>
      <c r="M207" s="459"/>
      <c r="N207" s="242"/>
      <c r="O207" s="141"/>
      <c r="P207" s="141"/>
      <c r="Q207" s="148"/>
      <c r="R207" s="148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39" s="213" customFormat="1">
      <c r="B208" s="225"/>
      <c r="D208" s="910"/>
      <c r="F208" s="242"/>
      <c r="G208" s="243"/>
      <c r="H208" s="243"/>
      <c r="I208" s="243"/>
      <c r="J208" s="243"/>
      <c r="K208" s="243"/>
      <c r="L208" s="1002"/>
      <c r="M208" s="459"/>
      <c r="N208" s="242"/>
      <c r="O208" s="141"/>
      <c r="P208" s="141"/>
      <c r="Q208" s="148"/>
      <c r="R208" s="148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39" s="213" customFormat="1">
      <c r="B209" s="225"/>
      <c r="D209" s="910"/>
      <c r="F209" s="242"/>
      <c r="G209" s="243"/>
      <c r="H209" s="243"/>
      <c r="I209" s="243"/>
      <c r="J209" s="243"/>
      <c r="K209" s="243"/>
      <c r="L209" s="1002"/>
      <c r="M209" s="459"/>
      <c r="N209" s="242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39" s="213" customFormat="1">
      <c r="B210" s="225"/>
      <c r="D210" s="910"/>
      <c r="F210" s="242"/>
      <c r="G210" s="243"/>
      <c r="H210" s="243"/>
      <c r="I210" s="243"/>
      <c r="J210" s="243"/>
      <c r="K210" s="243"/>
      <c r="L210" s="1002"/>
      <c r="M210" s="459"/>
      <c r="N210" s="242"/>
      <c r="O210" s="141"/>
      <c r="P210" s="141"/>
      <c r="Q210" s="148"/>
      <c r="R210" s="148"/>
      <c r="S210" s="149"/>
      <c r="T210" s="149"/>
      <c r="U210" s="150"/>
      <c r="V210" s="150"/>
      <c r="W210" s="150"/>
      <c r="X210" s="150"/>
      <c r="Y210" s="150"/>
      <c r="Z210" s="150"/>
      <c r="AA210" s="150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39" s="213" customFormat="1">
      <c r="B211" s="225"/>
      <c r="D211" s="910"/>
      <c r="F211" s="242"/>
      <c r="G211" s="243"/>
      <c r="H211" s="243"/>
      <c r="I211" s="243"/>
      <c r="J211" s="243"/>
      <c r="K211" s="243"/>
      <c r="L211" s="1002"/>
      <c r="M211" s="459"/>
      <c r="N211" s="242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39" s="213" customFormat="1">
      <c r="B212" s="225"/>
      <c r="D212" s="910"/>
      <c r="F212" s="242"/>
      <c r="G212" s="243"/>
      <c r="H212" s="243"/>
      <c r="I212" s="243"/>
      <c r="J212" s="243"/>
      <c r="K212" s="243"/>
      <c r="L212" s="1002"/>
      <c r="M212" s="459"/>
      <c r="N212" s="242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39" s="213" customFormat="1">
      <c r="B213" s="225"/>
      <c r="D213" s="910"/>
      <c r="F213" s="242"/>
      <c r="G213" s="243"/>
      <c r="H213" s="243"/>
      <c r="I213" s="243"/>
      <c r="J213" s="243"/>
      <c r="K213" s="243"/>
      <c r="L213" s="1002"/>
      <c r="M213" s="459"/>
      <c r="N213" s="242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39" s="213" customFormat="1">
      <c r="B214" s="225"/>
      <c r="D214" s="910"/>
      <c r="F214" s="242"/>
      <c r="G214" s="243"/>
      <c r="H214" s="243"/>
      <c r="I214" s="243"/>
      <c r="J214" s="243"/>
      <c r="K214" s="243"/>
      <c r="L214" s="1002"/>
      <c r="M214" s="459"/>
      <c r="N214" s="242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39" s="213" customFormat="1">
      <c r="B215" s="225"/>
      <c r="D215" s="910"/>
      <c r="F215" s="242"/>
      <c r="G215" s="243"/>
      <c r="H215" s="243"/>
      <c r="I215" s="243"/>
      <c r="J215" s="243"/>
      <c r="K215" s="243"/>
      <c r="L215" s="1002"/>
      <c r="M215" s="459"/>
      <c r="N215" s="242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39">
      <c r="O216" s="155"/>
      <c r="P216" s="155"/>
      <c r="Q216" s="156"/>
      <c r="R216" s="156"/>
      <c r="S216" s="251"/>
      <c r="T216" s="251"/>
      <c r="U216" s="252"/>
      <c r="V216" s="252"/>
      <c r="W216" s="252"/>
      <c r="X216" s="252"/>
      <c r="Y216" s="252"/>
      <c r="Z216" s="252"/>
      <c r="AA216" s="252"/>
    </row>
    <row r="217" spans="2:39">
      <c r="O217" s="155"/>
      <c r="P217" s="155"/>
      <c r="Q217" s="156"/>
      <c r="R217" s="156"/>
      <c r="S217" s="251"/>
      <c r="T217" s="251"/>
      <c r="U217" s="252"/>
      <c r="V217" s="252"/>
      <c r="W217" s="252"/>
      <c r="X217" s="252"/>
      <c r="Y217" s="252"/>
      <c r="Z217" s="252"/>
      <c r="AA217" s="252"/>
    </row>
    <row r="218" spans="2:39">
      <c r="O218" s="155"/>
      <c r="P218" s="155"/>
      <c r="Q218" s="156"/>
      <c r="R218" s="156"/>
      <c r="S218" s="251"/>
      <c r="T218" s="251"/>
      <c r="U218" s="252"/>
      <c r="V218" s="252"/>
      <c r="W218" s="252"/>
      <c r="X218" s="252"/>
      <c r="Y218" s="252"/>
      <c r="Z218" s="252"/>
      <c r="AA218" s="252"/>
    </row>
    <row r="219" spans="2:39">
      <c r="O219" s="155"/>
      <c r="P219" s="155"/>
      <c r="Q219" s="156"/>
      <c r="R219" s="156"/>
      <c r="S219" s="251"/>
      <c r="T219" s="251"/>
      <c r="U219" s="252"/>
      <c r="V219" s="252"/>
      <c r="W219" s="252"/>
      <c r="X219" s="252"/>
      <c r="Y219" s="252"/>
      <c r="Z219" s="252"/>
      <c r="AA219" s="252"/>
    </row>
    <row r="220" spans="2:39">
      <c r="O220" s="155"/>
      <c r="P220" s="155"/>
      <c r="Q220" s="156"/>
      <c r="R220" s="156"/>
      <c r="S220" s="251"/>
      <c r="T220" s="251"/>
      <c r="U220" s="252"/>
      <c r="V220" s="252"/>
      <c r="W220" s="252"/>
      <c r="X220" s="252"/>
      <c r="Y220" s="252"/>
      <c r="Z220" s="252"/>
      <c r="AA220" s="252"/>
    </row>
    <row r="221" spans="2:39">
      <c r="O221" s="155"/>
      <c r="P221" s="155"/>
      <c r="Q221" s="156"/>
      <c r="R221" s="156"/>
      <c r="S221" s="251"/>
      <c r="T221" s="251"/>
      <c r="U221" s="252"/>
      <c r="V221" s="252"/>
      <c r="W221" s="252"/>
      <c r="X221" s="252"/>
      <c r="Y221" s="252"/>
      <c r="Z221" s="252"/>
      <c r="AA221" s="252"/>
    </row>
    <row r="222" spans="2:39">
      <c r="O222" s="155"/>
      <c r="P222" s="155"/>
      <c r="Q222" s="156"/>
      <c r="R222" s="156"/>
      <c r="S222" s="251"/>
      <c r="T222" s="251"/>
      <c r="U222" s="252"/>
      <c r="V222" s="252"/>
      <c r="W222" s="252"/>
      <c r="X222" s="252"/>
      <c r="Y222" s="252"/>
      <c r="Z222" s="252"/>
      <c r="AA222" s="252"/>
    </row>
    <row r="223" spans="2:39">
      <c r="O223" s="155"/>
      <c r="P223" s="155"/>
      <c r="Q223" s="156"/>
      <c r="R223" s="156"/>
      <c r="S223" s="251"/>
      <c r="T223" s="251"/>
      <c r="U223" s="252"/>
      <c r="V223" s="252"/>
      <c r="W223" s="252"/>
      <c r="X223" s="252"/>
      <c r="Y223" s="252"/>
      <c r="Z223" s="252"/>
      <c r="AA223" s="252"/>
    </row>
    <row r="224" spans="2:39">
      <c r="O224" s="155"/>
      <c r="P224" s="155"/>
      <c r="Q224" s="156"/>
      <c r="R224" s="156"/>
      <c r="S224" s="251"/>
      <c r="T224" s="251"/>
      <c r="U224" s="252"/>
      <c r="V224" s="252"/>
      <c r="W224" s="252"/>
      <c r="X224" s="252"/>
      <c r="Y224" s="252"/>
      <c r="Z224" s="252"/>
      <c r="AA224" s="252"/>
    </row>
    <row r="225" spans="15:27">
      <c r="O225" s="155"/>
      <c r="P225" s="155"/>
      <c r="Q225" s="156"/>
      <c r="R225" s="156"/>
      <c r="S225" s="251"/>
      <c r="T225" s="251"/>
      <c r="U225" s="252"/>
      <c r="V225" s="252"/>
      <c r="W225" s="252"/>
      <c r="X225" s="252"/>
      <c r="Y225" s="252"/>
      <c r="Z225" s="252"/>
      <c r="AA225" s="252"/>
    </row>
    <row r="226" spans="15:27">
      <c r="O226" s="155"/>
      <c r="P226" s="155"/>
      <c r="Q226" s="156"/>
      <c r="R226" s="156"/>
      <c r="S226" s="251"/>
      <c r="T226" s="251"/>
      <c r="U226" s="252"/>
      <c r="V226" s="252"/>
      <c r="W226" s="252"/>
      <c r="X226" s="252"/>
      <c r="Y226" s="252"/>
      <c r="Z226" s="252"/>
      <c r="AA226" s="252"/>
    </row>
    <row r="227" spans="15:27">
      <c r="O227" s="155"/>
      <c r="P227" s="155"/>
      <c r="Q227" s="156"/>
      <c r="R227" s="156"/>
      <c r="S227" s="251"/>
      <c r="T227" s="251"/>
      <c r="U227" s="252"/>
      <c r="V227" s="252"/>
      <c r="W227" s="252"/>
      <c r="X227" s="252"/>
      <c r="Y227" s="252"/>
      <c r="Z227" s="252"/>
      <c r="AA227" s="252"/>
    </row>
    <row r="228" spans="15:27">
      <c r="O228" s="155"/>
      <c r="P228" s="155"/>
      <c r="Q228" s="156"/>
      <c r="R228" s="156"/>
      <c r="S228" s="251"/>
      <c r="T228" s="251"/>
      <c r="U228" s="252"/>
      <c r="V228" s="252"/>
      <c r="W228" s="252"/>
      <c r="X228" s="252"/>
      <c r="Y228" s="252"/>
      <c r="Z228" s="252"/>
      <c r="AA228" s="252"/>
    </row>
  </sheetData>
  <conditionalFormatting sqref="AB9:AH9">
    <cfRule type="cellIs" dxfId="743" priority="1" stopIfTrue="1" operator="lessThan">
      <formula>0</formula>
    </cfRule>
  </conditionalFormatting>
  <printOptions horizontalCentered="1" verticalCentered="1"/>
  <pageMargins left="0" right="0" top="0" bottom="0" header="0" footer="0"/>
  <pageSetup paperSize="9" orientation="landscape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DC09A-E3ED-764C-8473-3F95B6B8DA51}">
  <sheetPr>
    <pageSetUpPr fitToPage="1"/>
  </sheetPr>
  <dimension ref="A1"/>
  <sheetViews>
    <sheetView topLeftCell="A2" workbookViewId="0">
      <selection activeCell="K47" sqref="K47"/>
    </sheetView>
  </sheetViews>
  <sheetFormatPr baseColWidth="10" defaultRowHeight="13"/>
  <cols>
    <col min="1" max="1" width="10.5" customWidth="1"/>
  </cols>
  <sheetData/>
  <printOptions horizontalCentered="1" verticalCentered="1"/>
  <pageMargins left="0" right="0" top="0" bottom="0" header="0" footer="0"/>
  <pageSetup paperSize="9" scale="83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0"/>
  <dimension ref="A1:AO231"/>
  <sheetViews>
    <sheetView zoomScale="150" zoomScaleNormal="150" zoomScalePageLayoutView="158" workbookViewId="0">
      <selection activeCell="N26" sqref="N26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6640625" style="204" customWidth="1"/>
    <col min="4" max="4" width="1.1640625" style="902" customWidth="1"/>
    <col min="5" max="5" width="2.5" style="204" customWidth="1"/>
    <col min="6" max="6" width="2.5" style="207" customWidth="1"/>
    <col min="7" max="7" width="4.5" style="208" customWidth="1"/>
    <col min="8" max="8" width="7.33203125" style="208" customWidth="1"/>
    <col min="9" max="9" width="6.6640625" style="208" customWidth="1"/>
    <col min="10" max="10" width="6.33203125" style="208" customWidth="1"/>
    <col min="11" max="11" width="33.6640625" style="208" customWidth="1"/>
    <col min="12" max="12" width="7.83203125" style="988" customWidth="1"/>
    <col min="13" max="13" width="1.33203125" style="449" customWidth="1"/>
    <col min="14" max="14" width="8" style="207" customWidth="1"/>
    <col min="15" max="15" width="1" style="208" customWidth="1"/>
    <col min="16" max="16" width="8.5" style="208" customWidth="1"/>
    <col min="17" max="17" width="8.33203125" style="209" customWidth="1"/>
    <col min="18" max="18" width="7.6640625" style="209" customWidth="1"/>
    <col min="19" max="19" width="1.33203125" style="210" customWidth="1"/>
    <col min="20" max="20" width="0.33203125" style="210" customWidth="1"/>
    <col min="21" max="21" width="6.5" style="211" customWidth="1"/>
    <col min="22" max="22" width="6" style="211" customWidth="1"/>
    <col min="23" max="23" width="6.66406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18" customHeight="1" thickBot="1">
      <c r="A1" s="203" t="s">
        <v>344</v>
      </c>
      <c r="B1" s="204"/>
      <c r="C1" s="205"/>
      <c r="D1" s="901"/>
      <c r="E1" s="206"/>
      <c r="K1" s="1141">
        <v>45915</v>
      </c>
      <c r="U1" s="218" t="s">
        <v>345</v>
      </c>
      <c r="AI1" s="213"/>
      <c r="AJ1" s="213"/>
      <c r="AK1" s="213"/>
      <c r="AL1" s="213"/>
      <c r="AM1" s="213"/>
    </row>
    <row r="2" spans="1:40" s="223" customFormat="1" ht="67" customHeight="1" thickTop="1" thickBot="1">
      <c r="A2" s="351" t="s">
        <v>346</v>
      </c>
      <c r="B2" s="352" t="s">
        <v>347</v>
      </c>
      <c r="C2" s="353" t="s">
        <v>348</v>
      </c>
      <c r="D2" s="903"/>
      <c r="E2" s="353" t="s">
        <v>349</v>
      </c>
      <c r="F2" s="354" t="s">
        <v>350</v>
      </c>
      <c r="G2" s="350" t="s">
        <v>351</v>
      </c>
      <c r="H2" s="350" t="s">
        <v>624</v>
      </c>
      <c r="I2" s="350" t="s">
        <v>352</v>
      </c>
      <c r="J2" s="354" t="s">
        <v>353</v>
      </c>
      <c r="K2" s="350" t="s">
        <v>354</v>
      </c>
      <c r="L2" s="990" t="s">
        <v>711</v>
      </c>
      <c r="M2" s="450" t="s">
        <v>355</v>
      </c>
      <c r="N2" s="350" t="s">
        <v>445</v>
      </c>
      <c r="O2" s="353" t="s">
        <v>446</v>
      </c>
      <c r="P2" s="353" t="s">
        <v>447</v>
      </c>
      <c r="Q2" s="355" t="s">
        <v>448</v>
      </c>
      <c r="R2" s="356" t="s">
        <v>371</v>
      </c>
      <c r="S2" s="219" t="s">
        <v>449</v>
      </c>
      <c r="T2" s="219" t="s">
        <v>450</v>
      </c>
      <c r="U2" s="326" t="s">
        <v>451</v>
      </c>
      <c r="V2" s="329" t="s">
        <v>452</v>
      </c>
      <c r="W2" s="327" t="s">
        <v>453</v>
      </c>
      <c r="X2" s="330" t="s">
        <v>454</v>
      </c>
      <c r="Y2" s="328" t="s">
        <v>455</v>
      </c>
      <c r="Z2" s="332" t="s">
        <v>456</v>
      </c>
      <c r="AA2" s="331" t="s">
        <v>457</v>
      </c>
      <c r="AB2" s="220"/>
      <c r="AC2" s="221"/>
      <c r="AD2" s="222"/>
      <c r="AE2" s="222"/>
      <c r="AF2" s="222"/>
      <c r="AG2" s="222"/>
      <c r="AH2" s="222"/>
      <c r="AI2" s="220"/>
      <c r="AJ2" s="220"/>
      <c r="AK2" s="220"/>
      <c r="AL2" s="220"/>
      <c r="AM2" s="220"/>
      <c r="AN2" s="220"/>
    </row>
    <row r="3" spans="1:40" s="228" customFormat="1" ht="10.5" customHeight="1" thickBot="1">
      <c r="A3" s="357"/>
      <c r="B3" s="358"/>
      <c r="C3" s="359"/>
      <c r="D3" s="904"/>
      <c r="E3" s="359"/>
      <c r="F3" s="360"/>
      <c r="G3" s="361"/>
      <c r="H3" s="361"/>
      <c r="I3" s="274">
        <v>2.7239243311571939E-4</v>
      </c>
      <c r="J3" s="360"/>
      <c r="K3" s="361"/>
      <c r="L3" s="991"/>
      <c r="M3" s="524"/>
      <c r="N3" s="361"/>
      <c r="O3" s="359"/>
      <c r="P3" s="359"/>
      <c r="Q3" s="359"/>
      <c r="R3" s="362"/>
      <c r="S3" s="224"/>
      <c r="T3" s="224"/>
      <c r="U3" s="111">
        <f>Test!$D$29</f>
        <v>9.1523857526881758E-4</v>
      </c>
      <c r="V3" s="111">
        <f>Test!$D$31</f>
        <v>8.7635030864197572E-4</v>
      </c>
      <c r="W3" s="111">
        <f>Test!$D$33</f>
        <v>8.4888763197586746E-4</v>
      </c>
      <c r="X3" s="111">
        <f>Test!$D$35</f>
        <v>8.0990657955066516E-4</v>
      </c>
      <c r="Y3" s="111">
        <f>Test!$D$37</f>
        <v>7.5735749690210676E-4</v>
      </c>
      <c r="Z3" s="111">
        <f>Test!$D$39</f>
        <v>7.2916666666666692E-4</v>
      </c>
      <c r="AA3" s="112">
        <f>Test!$D$41</f>
        <v>7.0729166666666694E-4</v>
      </c>
      <c r="AB3" s="225"/>
      <c r="AC3" s="226"/>
      <c r="AD3" s="227"/>
      <c r="AE3" s="227"/>
      <c r="AF3" s="227"/>
      <c r="AG3" s="227"/>
      <c r="AH3" s="227"/>
      <c r="AI3" s="225"/>
      <c r="AJ3" s="225"/>
      <c r="AK3" s="225"/>
      <c r="AL3" s="225"/>
      <c r="AM3" s="225"/>
      <c r="AN3" s="225"/>
    </row>
    <row r="4" spans="1:40" s="228" customFormat="1" ht="4.5" customHeight="1" thickTop="1" thickBot="1">
      <c r="A4" s="803"/>
      <c r="B4" s="803"/>
      <c r="C4" s="623"/>
      <c r="D4" s="938"/>
      <c r="E4" s="623"/>
      <c r="F4" s="624"/>
      <c r="G4" s="625"/>
      <c r="H4" s="625"/>
      <c r="I4" s="625"/>
      <c r="J4" s="624"/>
      <c r="K4" s="625"/>
      <c r="L4" s="992"/>
      <c r="M4" s="626"/>
      <c r="N4" s="625"/>
      <c r="O4" s="623"/>
      <c r="P4" s="623"/>
      <c r="Q4" s="623"/>
      <c r="R4" s="804"/>
      <c r="S4" s="802"/>
      <c r="T4" s="802"/>
      <c r="U4" s="111">
        <f>U3/4</f>
        <v>2.2880964381720439E-4</v>
      </c>
      <c r="V4" s="111">
        <f t="shared" ref="V4:AA4" si="0">V3/4</f>
        <v>2.1908757716049393E-4</v>
      </c>
      <c r="W4" s="111">
        <f t="shared" si="0"/>
        <v>2.1222190799396687E-4</v>
      </c>
      <c r="X4" s="111">
        <f t="shared" si="0"/>
        <v>2.0247664488766629E-4</v>
      </c>
      <c r="Y4" s="111">
        <f t="shared" si="0"/>
        <v>1.8933937422552669E-4</v>
      </c>
      <c r="Z4" s="111">
        <f t="shared" si="0"/>
        <v>1.8229166666666673E-4</v>
      </c>
      <c r="AA4" s="111">
        <f t="shared" si="0"/>
        <v>1.7682291666666674E-4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0" s="228" customFormat="1" ht="12" customHeight="1" thickBot="1">
      <c r="A5" s="1116"/>
      <c r="B5" s="1117" t="s">
        <v>461</v>
      </c>
      <c r="C5" s="274">
        <f>IF(D5=1,U$4,IF(D5=2,V$4,IF(D5=3,W$4,IF(D5=4,X$4,IF(D5=5,Y$4,IF(D5=6,Z$4,IF(D5=7,AA$4,0)))))))</f>
        <v>2.2880964381720439E-4</v>
      </c>
      <c r="D5" s="1194">
        <v>1</v>
      </c>
      <c r="E5" s="1194">
        <v>1</v>
      </c>
      <c r="F5" s="1194">
        <v>1</v>
      </c>
      <c r="G5" s="1194">
        <v>400</v>
      </c>
      <c r="H5" s="274"/>
      <c r="I5" s="1135">
        <v>0</v>
      </c>
      <c r="J5" s="1135">
        <v>1.3888888888888889E-3</v>
      </c>
      <c r="K5" s="312" t="s">
        <v>1489</v>
      </c>
      <c r="L5" s="1135">
        <v>0.79861111111111116</v>
      </c>
      <c r="M5" s="4508">
        <v>1</v>
      </c>
      <c r="N5" s="1135">
        <f>P5*E5*F5+I5*E5*F5+J5*E5</f>
        <v>5.049843189964159E-3</v>
      </c>
      <c r="O5" s="1196">
        <f>C5*(G5/25)</f>
        <v>3.6609543010752703E-3</v>
      </c>
      <c r="P5" s="1135">
        <f>O5*M5</f>
        <v>3.6609543010752703E-3</v>
      </c>
      <c r="Q5" s="548">
        <f>IF(D5=1,125,IF(D5=2,140,IF(D5=3,164,IF(D5=4,170,IF(D5=5,173,IF(D5=6,177,IF(R5=7,200,0)))))))</f>
        <v>125</v>
      </c>
      <c r="R5" s="4509">
        <f>E5*F5*G5</f>
        <v>400</v>
      </c>
      <c r="S5" s="229">
        <f>E5*F5*G5/1000</f>
        <v>0.4</v>
      </c>
      <c r="T5" s="230">
        <f>E5*F5*O5*4</f>
        <v>1.4643817204301081E-2</v>
      </c>
      <c r="U5" s="374">
        <f t="shared" ref="U5" si="1">IF(C5*4&gt;=$U$3,S5,0)</f>
        <v>0.4</v>
      </c>
      <c r="V5" s="375">
        <f t="shared" ref="V5" si="2">IF(AND(C5*4&gt;=$V$3,C5*4&lt;$U$3),S5,0)</f>
        <v>0</v>
      </c>
      <c r="W5" s="376">
        <f t="shared" ref="W5" si="3">IF(AND(C5*4&gt;=$W$3,C5*4&lt;$V$3),S5,0)</f>
        <v>0</v>
      </c>
      <c r="X5" s="377">
        <f t="shared" ref="X5" si="4">IF(AND(C5*4&gt;=$X$3,C5*4&lt;$W$3),S5,0)</f>
        <v>0</v>
      </c>
      <c r="Y5" s="378">
        <f t="shared" ref="Y5" si="5">IF(AND(C5*4&gt;=$Y$3,C5*4&lt;$X$3),S5,0)</f>
        <v>0</v>
      </c>
      <c r="Z5" s="379">
        <f t="shared" ref="Z5" si="6">IF(AND(C5*4&gt;=$Z$3,C5*4&lt;$Y$3),S5,0)</f>
        <v>0</v>
      </c>
      <c r="AA5" s="380">
        <f t="shared" ref="AA5" si="7">IF(AND(C5*4&gt;=$AA$3,C5*4&lt;$Z$3),S5,0)</f>
        <v>0</v>
      </c>
      <c r="AB5" s="484">
        <v>756.90090090090087</v>
      </c>
      <c r="AC5" s="484">
        <v>1040.7387387387387</v>
      </c>
      <c r="AD5" s="484">
        <v>1040.7387387387387</v>
      </c>
      <c r="AE5" s="484">
        <v>1135.3513513513515</v>
      </c>
      <c r="AF5" s="484">
        <v>709.59459459459458</v>
      </c>
      <c r="AG5" s="484">
        <v>567.67567567567573</v>
      </c>
      <c r="AH5" s="484">
        <v>1</v>
      </c>
      <c r="AI5" s="225"/>
      <c r="AJ5" s="225"/>
      <c r="AK5" s="225"/>
      <c r="AL5" s="225"/>
      <c r="AM5" s="225"/>
      <c r="AN5" s="225"/>
    </row>
    <row r="6" spans="1:40" s="228" customFormat="1" ht="15" customHeight="1" thickBot="1">
      <c r="A6" s="1116" t="s">
        <v>214</v>
      </c>
      <c r="B6" s="1117" t="s">
        <v>461</v>
      </c>
      <c r="C6" s="274">
        <f t="shared" ref="C6:C39" si="8">IF(D6=1,U$4,IF(D6=2,V$4,IF(D6=3,W$4,IF(D6=4,X$4,IF(D6=5,Y$4,IF(D6=6,Z$4,IF(D6=7,AA$4,0)))))))</f>
        <v>2.1908757716049393E-4</v>
      </c>
      <c r="D6" s="1173">
        <v>2</v>
      </c>
      <c r="E6" s="1173">
        <v>1</v>
      </c>
      <c r="F6" s="1173">
        <v>1</v>
      </c>
      <c r="G6" s="1173">
        <v>400</v>
      </c>
      <c r="H6" s="299"/>
      <c r="I6" s="1143">
        <v>5.7870370370370366E-5</v>
      </c>
      <c r="J6" s="1143">
        <v>1.3888888888888889E-3</v>
      </c>
      <c r="K6" s="1123" t="s">
        <v>2572</v>
      </c>
      <c r="L6" s="1143">
        <f t="shared" ref="L6:L7" si="9">L5+N5</f>
        <v>0.80366095430107531</v>
      </c>
      <c r="M6" s="4514">
        <v>1</v>
      </c>
      <c r="N6" s="1143">
        <f t="shared" ref="N6" si="10">P6*E6*F6+I6*E6*F6+J6*E6</f>
        <v>4.952160493827162E-3</v>
      </c>
      <c r="O6" s="1143">
        <f t="shared" ref="O6" si="11">C6*(G6/25)</f>
        <v>3.5054012345679029E-3</v>
      </c>
      <c r="P6" s="1143">
        <f t="shared" ref="P6" si="12">O6*M6</f>
        <v>3.5054012345679029E-3</v>
      </c>
      <c r="Q6" s="550">
        <f t="shared" ref="Q6:Q7" si="13">IF(D6=1,125,IF(D6=2,140,IF(D6=3,164,IF(D6=4,170,IF(D6=5,173,IF(D6=6,177,IF(R6=7,200,0)))))))</f>
        <v>140</v>
      </c>
      <c r="R6" s="4515">
        <f t="shared" ref="R6" si="14">E6*F6*G6</f>
        <v>400</v>
      </c>
      <c r="S6" s="229">
        <f t="shared" ref="S6:S39" si="15">E6*F6*G6/1000</f>
        <v>0.4</v>
      </c>
      <c r="T6" s="230">
        <f t="shared" ref="T6:T39" si="16">E6*F6*O6*4</f>
        <v>1.4021604938271611E-2</v>
      </c>
      <c r="U6" s="374">
        <f t="shared" ref="U6:U39" si="17">IF(C6*4&gt;=$U$3,S6,0)</f>
        <v>0</v>
      </c>
      <c r="V6" s="375">
        <f t="shared" ref="V6:V39" si="18">IF(AND(C6*4&gt;=$V$3,C6*4&lt;$U$3),S6,0)</f>
        <v>0.4</v>
      </c>
      <c r="W6" s="376">
        <f t="shared" ref="W6:W39" si="19">IF(AND(C6*4&gt;=$W$3,C6*4&lt;$V$3),S6,0)</f>
        <v>0</v>
      </c>
      <c r="X6" s="377">
        <f t="shared" ref="X6:X39" si="20">IF(AND(C6*4&gt;=$X$3,C6*4&lt;$W$3),S6,0)</f>
        <v>0</v>
      </c>
      <c r="Y6" s="378">
        <f t="shared" ref="Y6:Y39" si="21">IF(AND(C6*4&gt;=$Y$3,C6*4&lt;$X$3),S6,0)</f>
        <v>0</v>
      </c>
      <c r="Z6" s="379">
        <f t="shared" ref="Z6:Z39" si="22">IF(AND(C6*4&gt;=$Z$3,C6*4&lt;$Y$3),S6,0)</f>
        <v>0</v>
      </c>
      <c r="AA6" s="380">
        <f t="shared" ref="AA6:AA39" si="23">IF(AND(C6*4&gt;=$AA$3,C6*4&lt;$Z$3),S6,0)</f>
        <v>0</v>
      </c>
      <c r="AB6" s="535">
        <v>908.25225225225222</v>
      </c>
      <c r="AC6" s="535">
        <v>1248.8468468468468</v>
      </c>
      <c r="AD6" s="535">
        <v>1001.356363636363</v>
      </c>
      <c r="AE6" s="535">
        <v>1362.3783783783786</v>
      </c>
      <c r="AF6" s="535">
        <v>851.48648648648657</v>
      </c>
      <c r="AG6" s="535">
        <v>681.18918918918928</v>
      </c>
      <c r="AH6" s="535">
        <v>1</v>
      </c>
      <c r="AI6" s="225"/>
      <c r="AJ6" s="225"/>
      <c r="AK6" s="225"/>
      <c r="AL6" s="225"/>
      <c r="AM6" s="225"/>
      <c r="AN6" s="225"/>
    </row>
    <row r="7" spans="1:40" s="228" customFormat="1" ht="15" customHeight="1" thickBot="1">
      <c r="A7" s="1116"/>
      <c r="B7" s="1117" t="s">
        <v>461</v>
      </c>
      <c r="C7" s="274">
        <f t="shared" ref="C7" si="24">IF(D7=1,U$4,IF(D7=2,V$4,IF(D7=3,W$4,IF(D7=4,X$4,IF(D7=5,Y$4,IF(D7=6,Z$4,IF(D7=7,AA$4,0)))))))</f>
        <v>1.8229166666666673E-4</v>
      </c>
      <c r="D7" s="895">
        <v>6</v>
      </c>
      <c r="E7" s="1167">
        <v>3</v>
      </c>
      <c r="F7" s="1167">
        <v>3</v>
      </c>
      <c r="G7" s="1167">
        <v>50</v>
      </c>
      <c r="H7" s="1052"/>
      <c r="I7" s="1052">
        <v>3.4722222222222224E-4</v>
      </c>
      <c r="J7" s="1052">
        <v>1.3888888888888889E-3</v>
      </c>
      <c r="K7" s="1065" t="s">
        <v>2569</v>
      </c>
      <c r="L7" s="1136">
        <f t="shared" si="9"/>
        <v>0.8086131147949025</v>
      </c>
      <c r="M7" s="4510">
        <v>1</v>
      </c>
      <c r="N7" s="1136">
        <f>P7*E7*F7+I7*E7*F7+J7*E7</f>
        <v>1.0572916666666668E-2</v>
      </c>
      <c r="O7" s="1136">
        <f>C7*(G7/25)</f>
        <v>3.6458333333333346E-4</v>
      </c>
      <c r="P7" s="1136">
        <f>O7*M7</f>
        <v>3.6458333333333346E-4</v>
      </c>
      <c r="Q7" s="4518">
        <f t="shared" si="13"/>
        <v>177</v>
      </c>
      <c r="R7" s="4518">
        <f>E7*F7*G7</f>
        <v>450</v>
      </c>
      <c r="S7" s="229">
        <f t="shared" si="15"/>
        <v>0.45</v>
      </c>
      <c r="T7" s="230">
        <f t="shared" si="16"/>
        <v>1.3125000000000005E-2</v>
      </c>
      <c r="U7" s="374">
        <f t="shared" si="17"/>
        <v>0</v>
      </c>
      <c r="V7" s="375">
        <f t="shared" si="18"/>
        <v>0</v>
      </c>
      <c r="W7" s="376">
        <f t="shared" si="19"/>
        <v>0</v>
      </c>
      <c r="X7" s="377">
        <f t="shared" si="20"/>
        <v>0</v>
      </c>
      <c r="Y7" s="378">
        <f t="shared" si="21"/>
        <v>0</v>
      </c>
      <c r="Z7" s="379">
        <f t="shared" si="22"/>
        <v>0.45</v>
      </c>
      <c r="AA7" s="380">
        <f t="shared" si="23"/>
        <v>0</v>
      </c>
      <c r="AB7" s="535"/>
      <c r="AC7" s="535"/>
      <c r="AD7" s="535"/>
      <c r="AE7" s="535"/>
      <c r="AF7" s="535"/>
      <c r="AG7" s="535"/>
      <c r="AH7" s="535"/>
      <c r="AI7" s="225"/>
      <c r="AJ7" s="225"/>
      <c r="AK7" s="225"/>
      <c r="AL7" s="225"/>
      <c r="AM7" s="225"/>
      <c r="AN7" s="225"/>
    </row>
    <row r="8" spans="1:40" s="228" customFormat="1" ht="15" customHeight="1" thickBot="1">
      <c r="A8" s="1116" t="s">
        <v>459</v>
      </c>
      <c r="B8" s="1117" t="s">
        <v>461</v>
      </c>
      <c r="C8" s="274">
        <f t="shared" si="8"/>
        <v>2.0247664488766629E-4</v>
      </c>
      <c r="D8" s="438">
        <v>4</v>
      </c>
      <c r="E8" s="438">
        <v>1</v>
      </c>
      <c r="F8" s="438">
        <v>4</v>
      </c>
      <c r="G8" s="438">
        <v>25</v>
      </c>
      <c r="H8" s="1301"/>
      <c r="I8" s="1301">
        <v>2.8935185185185189E-4</v>
      </c>
      <c r="J8" s="2425">
        <v>1.3888888888888889E-3</v>
      </c>
      <c r="K8" s="438" t="s">
        <v>2570</v>
      </c>
      <c r="L8" s="4489">
        <f>L7+N7</f>
        <v>0.81918603146156921</v>
      </c>
      <c r="M8" s="4490">
        <v>1</v>
      </c>
      <c r="N8" s="4491">
        <f>P8*E8*F8+I8*E8*F8+J8*E8</f>
        <v>3.3562028758469618E-3</v>
      </c>
      <c r="O8" s="1191">
        <f>C8*(G8/25)</f>
        <v>2.0247664488766629E-4</v>
      </c>
      <c r="P8" s="1192">
        <f>O8*M8</f>
        <v>2.0247664488766629E-4</v>
      </c>
      <c r="Q8" s="788">
        <f t="shared" ref="Q8:Q38" si="25">IF(D8=1,125,IF(D8=2,140,IF(D8=3,164,IF(D8=4,170,IF(D8=5,173,IF(D8=6,177,IF(R8=7,200,0)))))))</f>
        <v>170</v>
      </c>
      <c r="R8" s="2402">
        <f>E8*F8*G8</f>
        <v>100</v>
      </c>
      <c r="S8" s="229">
        <f t="shared" si="15"/>
        <v>0.1</v>
      </c>
      <c r="T8" s="230">
        <f t="shared" si="16"/>
        <v>3.2396263182026606E-3</v>
      </c>
      <c r="U8" s="374">
        <f t="shared" si="17"/>
        <v>0</v>
      </c>
      <c r="V8" s="375">
        <f t="shared" si="18"/>
        <v>0</v>
      </c>
      <c r="W8" s="376">
        <f t="shared" si="19"/>
        <v>0</v>
      </c>
      <c r="X8" s="377">
        <f t="shared" si="20"/>
        <v>0.1</v>
      </c>
      <c r="Y8" s="378">
        <f t="shared" si="21"/>
        <v>0</v>
      </c>
      <c r="Z8" s="379">
        <f t="shared" si="22"/>
        <v>0</v>
      </c>
      <c r="AA8" s="380">
        <f t="shared" si="23"/>
        <v>0</v>
      </c>
      <c r="AB8" s="500">
        <v>529.87387387387378</v>
      </c>
      <c r="AC8" s="500">
        <v>229.70224406224384</v>
      </c>
      <c r="AD8" s="500">
        <v>-247.49048321048383</v>
      </c>
      <c r="AE8" s="500">
        <v>794.81081081081072</v>
      </c>
      <c r="AF8" s="500">
        <v>496.75675675675672</v>
      </c>
      <c r="AG8" s="500">
        <v>397.40540540540536</v>
      </c>
      <c r="AH8" s="500">
        <v>1</v>
      </c>
      <c r="AI8" s="225"/>
      <c r="AJ8" s="225"/>
      <c r="AK8" s="225"/>
      <c r="AL8" s="225"/>
      <c r="AM8" s="225"/>
      <c r="AN8" s="225"/>
    </row>
    <row r="9" spans="1:40" s="228" customFormat="1" ht="15" customHeight="1" thickBot="1">
      <c r="A9" s="1116" t="s">
        <v>460</v>
      </c>
      <c r="B9" s="1117" t="s">
        <v>461</v>
      </c>
      <c r="C9" s="274">
        <f t="shared" si="8"/>
        <v>1.7682291666666674E-4</v>
      </c>
      <c r="D9" s="438">
        <v>7</v>
      </c>
      <c r="E9" s="438">
        <v>2</v>
      </c>
      <c r="F9" s="438">
        <v>4</v>
      </c>
      <c r="G9" s="438">
        <v>20</v>
      </c>
      <c r="H9" s="1301"/>
      <c r="I9" s="1301">
        <v>6.9444444444444447E-4</v>
      </c>
      <c r="J9" s="2425">
        <v>1.3888888888888889E-3</v>
      </c>
      <c r="K9" s="438" t="s">
        <v>2571</v>
      </c>
      <c r="L9" s="4489">
        <f>L8+N8</f>
        <v>0.82254223433741613</v>
      </c>
      <c r="M9" s="4490">
        <v>1</v>
      </c>
      <c r="N9" s="4491">
        <f>P9*E9*F9+I9*E9*F9+J9*E9</f>
        <v>9.4650000000000012E-3</v>
      </c>
      <c r="O9" s="1191">
        <f>C9*(G9/25)</f>
        <v>1.4145833333333339E-4</v>
      </c>
      <c r="P9" s="1192">
        <f>O9*M9</f>
        <v>1.4145833333333339E-4</v>
      </c>
      <c r="Q9" s="788">
        <f t="shared" si="25"/>
        <v>0</v>
      </c>
      <c r="R9" s="2402">
        <f>E9*F9*G9</f>
        <v>160</v>
      </c>
      <c r="S9" s="229">
        <f t="shared" si="15"/>
        <v>0.16</v>
      </c>
      <c r="T9" s="230">
        <f t="shared" si="16"/>
        <v>4.5266666666666684E-3</v>
      </c>
      <c r="U9" s="374">
        <f t="shared" si="17"/>
        <v>0</v>
      </c>
      <c r="V9" s="375">
        <f t="shared" si="18"/>
        <v>0</v>
      </c>
      <c r="W9" s="376">
        <f t="shared" si="19"/>
        <v>0</v>
      </c>
      <c r="X9" s="377">
        <f t="shared" si="20"/>
        <v>0</v>
      </c>
      <c r="Y9" s="378">
        <f t="shared" si="21"/>
        <v>0</v>
      </c>
      <c r="Z9" s="379">
        <f t="shared" si="22"/>
        <v>0</v>
      </c>
      <c r="AA9" s="380">
        <f t="shared" si="23"/>
        <v>0.16</v>
      </c>
      <c r="AB9" s="501">
        <v>0</v>
      </c>
      <c r="AC9" s="501">
        <v>4296.0545454545454</v>
      </c>
      <c r="AD9" s="501">
        <v>5728.0727272727281</v>
      </c>
      <c r="AE9" s="501">
        <v>0</v>
      </c>
      <c r="AF9" s="501">
        <v>2748.034889434889</v>
      </c>
      <c r="AG9" s="501">
        <v>1548.0196560196562</v>
      </c>
      <c r="AH9" s="501">
        <v>1</v>
      </c>
      <c r="AI9" s="225"/>
      <c r="AJ9" s="225"/>
      <c r="AK9" s="225"/>
      <c r="AL9" s="225"/>
      <c r="AM9" s="225"/>
      <c r="AN9" s="225"/>
    </row>
    <row r="10" spans="1:40" s="228" customFormat="1" ht="12" customHeight="1" thickBot="1">
      <c r="A10" s="1116" t="s">
        <v>458</v>
      </c>
      <c r="B10" s="1117" t="s">
        <v>461</v>
      </c>
      <c r="C10" s="274">
        <f t="shared" si="8"/>
        <v>2.1222190799396687E-4</v>
      </c>
      <c r="D10" s="6293">
        <v>3</v>
      </c>
      <c r="E10" s="6297">
        <v>4</v>
      </c>
      <c r="F10" s="6295">
        <v>2</v>
      </c>
      <c r="G10" s="1161">
        <v>50</v>
      </c>
      <c r="H10" s="1163"/>
      <c r="I10" s="1163">
        <v>1.7361111111111112E-4</v>
      </c>
      <c r="J10" s="1163">
        <v>1.7361111111111112E-4</v>
      </c>
      <c r="K10" s="1074" t="s">
        <v>1039</v>
      </c>
      <c r="L10" s="1147">
        <f>L9+N9</f>
        <v>0.83200723433741608</v>
      </c>
      <c r="M10" s="4516">
        <v>1</v>
      </c>
      <c r="N10" s="1147">
        <f t="shared" ref="N10:N11" si="26">P10*E10*F10+I10*E10*F10+J10*E10</f>
        <v>5.4788838612368036E-3</v>
      </c>
      <c r="O10" s="1147">
        <f t="shared" ref="O10:O11" si="27">C10*(G10/25)</f>
        <v>4.2444381598793373E-4</v>
      </c>
      <c r="P10" s="1147">
        <f t="shared" ref="P10:P11" si="28">O10*M10</f>
        <v>4.2444381598793373E-4</v>
      </c>
      <c r="Q10" s="333">
        <f t="shared" ref="Q10:Q11" si="29">IF(D10=1,125,IF(D10=2,140,IF(D10=3,164,IF(D10=4,170,IF(D10=5,173,IF(D10=6,177,IF(R10=7,200,0)))))))</f>
        <v>164</v>
      </c>
      <c r="R10" s="1492">
        <f t="shared" ref="R10:R11" si="30">E10*F10*G10</f>
        <v>400</v>
      </c>
      <c r="S10" s="229">
        <f t="shared" si="15"/>
        <v>0.4</v>
      </c>
      <c r="T10" s="230">
        <f t="shared" si="16"/>
        <v>1.3582202111613879E-2</v>
      </c>
      <c r="U10" s="374">
        <f t="shared" si="17"/>
        <v>0</v>
      </c>
      <c r="V10" s="375">
        <f t="shared" si="18"/>
        <v>0</v>
      </c>
      <c r="W10" s="376">
        <f t="shared" si="19"/>
        <v>0.4</v>
      </c>
      <c r="X10" s="377">
        <f t="shared" si="20"/>
        <v>0</v>
      </c>
      <c r="Y10" s="378">
        <f t="shared" si="21"/>
        <v>0</v>
      </c>
      <c r="Z10" s="379">
        <f t="shared" si="22"/>
        <v>0</v>
      </c>
      <c r="AA10" s="380">
        <f t="shared" si="23"/>
        <v>0</v>
      </c>
      <c r="AB10" s="6299">
        <f t="shared" ref="AB10:AH10" si="31">SUM(AB5:AB9)</f>
        <v>2195.0270270270271</v>
      </c>
      <c r="AC10" s="6299">
        <f t="shared" si="31"/>
        <v>6815.3423751023747</v>
      </c>
      <c r="AD10" s="6299">
        <f t="shared" si="31"/>
        <v>7522.6773464373455</v>
      </c>
      <c r="AE10" s="6299">
        <f t="shared" si="31"/>
        <v>3292.5405405405409</v>
      </c>
      <c r="AF10" s="6299">
        <f t="shared" si="31"/>
        <v>4805.8727272727265</v>
      </c>
      <c r="AG10" s="6299">
        <f t="shared" si="31"/>
        <v>3194.2899262899264</v>
      </c>
      <c r="AH10" s="6299">
        <f t="shared" si="31"/>
        <v>4</v>
      </c>
      <c r="AI10" s="225"/>
      <c r="AJ10" s="225"/>
      <c r="AK10" s="225"/>
      <c r="AL10" s="225"/>
      <c r="AM10" s="225"/>
      <c r="AN10" s="225"/>
    </row>
    <row r="11" spans="1:40" s="228" customFormat="1" ht="14" customHeight="1" thickBot="1">
      <c r="A11" s="1116" t="s">
        <v>219</v>
      </c>
      <c r="B11" s="1117" t="s">
        <v>461</v>
      </c>
      <c r="C11" s="274">
        <f t="shared" si="8"/>
        <v>1.8229166666666673E-4</v>
      </c>
      <c r="D11" s="6294">
        <v>6</v>
      </c>
      <c r="E11" s="6298">
        <v>4</v>
      </c>
      <c r="F11" s="6296">
        <v>4</v>
      </c>
      <c r="G11" s="1167">
        <v>25</v>
      </c>
      <c r="H11" s="1052"/>
      <c r="I11" s="1052">
        <v>3.4722222222222224E-4</v>
      </c>
      <c r="J11" s="1052">
        <v>0</v>
      </c>
      <c r="K11" s="1065" t="s">
        <v>959</v>
      </c>
      <c r="L11" s="1136">
        <f t="shared" ref="L11" si="32">L10+N10</f>
        <v>0.83748611819865293</v>
      </c>
      <c r="M11" s="4510">
        <v>1</v>
      </c>
      <c r="N11" s="1136">
        <f t="shared" si="26"/>
        <v>8.472222222222223E-3</v>
      </c>
      <c r="O11" s="1136">
        <f t="shared" si="27"/>
        <v>1.8229166666666673E-4</v>
      </c>
      <c r="P11" s="1136">
        <f t="shared" si="28"/>
        <v>1.8229166666666673E-4</v>
      </c>
      <c r="Q11" s="1495">
        <f t="shared" si="29"/>
        <v>177</v>
      </c>
      <c r="R11" s="1495">
        <f t="shared" si="30"/>
        <v>400</v>
      </c>
      <c r="S11" s="229">
        <f t="shared" si="15"/>
        <v>0.4</v>
      </c>
      <c r="T11" s="230">
        <f t="shared" si="16"/>
        <v>1.1666666666666671E-2</v>
      </c>
      <c r="U11" s="374">
        <f t="shared" si="17"/>
        <v>0</v>
      </c>
      <c r="V11" s="375">
        <f t="shared" si="18"/>
        <v>0</v>
      </c>
      <c r="W11" s="376">
        <f t="shared" si="19"/>
        <v>0</v>
      </c>
      <c r="X11" s="377">
        <f t="shared" si="20"/>
        <v>0</v>
      </c>
      <c r="Y11" s="378">
        <f t="shared" si="21"/>
        <v>0</v>
      </c>
      <c r="Z11" s="379">
        <f t="shared" si="22"/>
        <v>0.4</v>
      </c>
      <c r="AA11" s="380">
        <f t="shared" si="23"/>
        <v>0</v>
      </c>
      <c r="AB11" s="225"/>
      <c r="AC11" s="231"/>
      <c r="AD11" s="231"/>
      <c r="AE11" s="231"/>
      <c r="AF11" s="231"/>
      <c r="AG11" s="231"/>
      <c r="AH11" s="231"/>
      <c r="AI11" s="225"/>
      <c r="AJ11" s="225"/>
      <c r="AK11" s="225"/>
      <c r="AL11" s="225"/>
      <c r="AM11" s="225"/>
      <c r="AN11" s="225"/>
    </row>
    <row r="12" spans="1:40" s="228" customFormat="1" ht="14" customHeight="1">
      <c r="A12" s="1116"/>
      <c r="B12" s="1117" t="s">
        <v>461</v>
      </c>
      <c r="C12" s="274">
        <f t="shared" si="8"/>
        <v>0</v>
      </c>
      <c r="D12" s="899"/>
      <c r="E12" s="336"/>
      <c r="F12" s="336"/>
      <c r="G12" s="336"/>
      <c r="H12" s="336"/>
      <c r="I12" s="336"/>
      <c r="J12" s="336"/>
      <c r="K12" s="336"/>
      <c r="L12" s="1137">
        <f t="shared" ref="L12" si="33">L11+N11</f>
        <v>0.84595834042087514</v>
      </c>
      <c r="M12" s="4513"/>
      <c r="N12" s="1138">
        <f>SUM(N10:N11)</f>
        <v>1.3951106083459026E-2</v>
      </c>
      <c r="O12" s="1138"/>
      <c r="P12" s="1138"/>
      <c r="Q12" s="1139"/>
      <c r="R12" s="4506">
        <f>SUM(R10:R11)</f>
        <v>800</v>
      </c>
      <c r="S12" s="229">
        <f t="shared" si="15"/>
        <v>0</v>
      </c>
      <c r="T12" s="230">
        <f t="shared" si="16"/>
        <v>0</v>
      </c>
      <c r="U12" s="374">
        <f t="shared" si="17"/>
        <v>0</v>
      </c>
      <c r="V12" s="375">
        <f t="shared" si="18"/>
        <v>0</v>
      </c>
      <c r="W12" s="376">
        <f t="shared" si="19"/>
        <v>0</v>
      </c>
      <c r="X12" s="377">
        <f t="shared" si="20"/>
        <v>0</v>
      </c>
      <c r="Y12" s="378">
        <f t="shared" si="21"/>
        <v>0</v>
      </c>
      <c r="Z12" s="379">
        <f t="shared" si="22"/>
        <v>0</v>
      </c>
      <c r="AA12" s="380">
        <f t="shared" si="23"/>
        <v>0</v>
      </c>
      <c r="AB12" s="225"/>
      <c r="AC12" s="231"/>
      <c r="AD12" s="231"/>
      <c r="AE12" s="231"/>
      <c r="AF12" s="231"/>
      <c r="AG12" s="231"/>
      <c r="AH12" s="231"/>
      <c r="AI12" s="225"/>
      <c r="AJ12" s="225"/>
      <c r="AK12" s="225"/>
      <c r="AL12" s="225"/>
      <c r="AM12" s="225"/>
      <c r="AN12" s="225"/>
    </row>
    <row r="13" spans="1:40" s="228" customFormat="1" ht="14" customHeight="1">
      <c r="A13" s="851" t="s">
        <v>215</v>
      </c>
      <c r="B13" s="1124" t="s">
        <v>215</v>
      </c>
      <c r="C13" s="274">
        <f t="shared" si="8"/>
        <v>2.2880964381720439E-4</v>
      </c>
      <c r="D13" s="547">
        <v>1</v>
      </c>
      <c r="E13" s="1194">
        <v>1</v>
      </c>
      <c r="F13" s="1194">
        <v>1</v>
      </c>
      <c r="G13" s="1194">
        <v>500</v>
      </c>
      <c r="H13" s="274"/>
      <c r="I13" s="1135">
        <v>0</v>
      </c>
      <c r="J13" s="1135">
        <v>1.3888888888888889E-3</v>
      </c>
      <c r="K13" s="312" t="s">
        <v>2233</v>
      </c>
      <c r="L13" s="1135">
        <v>0.79861111111111116</v>
      </c>
      <c r="M13" s="4508">
        <v>1</v>
      </c>
      <c r="N13" s="1135">
        <f t="shared" ref="N13:N16" si="34">P13*E13*F13+I13*E13*F13+J13*E13</f>
        <v>5.9650817652329774E-3</v>
      </c>
      <c r="O13" s="1196">
        <f t="shared" ref="O13:O17" si="35">C13*(G13/25)</f>
        <v>4.5761928763440882E-3</v>
      </c>
      <c r="P13" s="1135">
        <f t="shared" ref="P13:P17" si="36">O13*M13</f>
        <v>4.5761928763440882E-3</v>
      </c>
      <c r="Q13" s="548">
        <f t="shared" ref="Q13:Q16" si="37">IF(D13=1,125,IF(D13=2,140,IF(D13=3,164,IF(D13=4,170,IF(D13=5,173,IF(D13=6,177,IF(R13=7,200,0)))))))</f>
        <v>125</v>
      </c>
      <c r="R13" s="4509">
        <f t="shared" ref="R13:R17" si="38">E13*F13*G13</f>
        <v>500</v>
      </c>
      <c r="S13" s="229">
        <f t="shared" si="15"/>
        <v>0.5</v>
      </c>
      <c r="T13" s="230">
        <f t="shared" si="16"/>
        <v>1.8304771505376353E-2</v>
      </c>
      <c r="U13" s="374">
        <f t="shared" si="17"/>
        <v>0.5</v>
      </c>
      <c r="V13" s="375">
        <f t="shared" si="18"/>
        <v>0</v>
      </c>
      <c r="W13" s="376">
        <f t="shared" si="19"/>
        <v>0</v>
      </c>
      <c r="X13" s="377">
        <f t="shared" si="20"/>
        <v>0</v>
      </c>
      <c r="Y13" s="378">
        <f t="shared" si="21"/>
        <v>0</v>
      </c>
      <c r="Z13" s="379">
        <f t="shared" si="22"/>
        <v>0</v>
      </c>
      <c r="AA13" s="380">
        <f t="shared" si="23"/>
        <v>0</v>
      </c>
      <c r="AB13" s="225"/>
      <c r="AC13" s="231"/>
      <c r="AD13" s="231"/>
      <c r="AE13" s="231"/>
      <c r="AF13" s="231"/>
      <c r="AG13" s="231"/>
      <c r="AH13" s="231"/>
      <c r="AI13" s="225"/>
      <c r="AJ13" s="225"/>
      <c r="AK13" s="225"/>
      <c r="AL13" s="225"/>
      <c r="AM13" s="225"/>
      <c r="AN13" s="225"/>
    </row>
    <row r="14" spans="1:40" s="228" customFormat="1" ht="14" customHeight="1">
      <c r="A14" s="851" t="s">
        <v>138</v>
      </c>
      <c r="B14" s="1124" t="s">
        <v>215</v>
      </c>
      <c r="C14" s="274">
        <f t="shared" si="8"/>
        <v>2.1908757716049393E-4</v>
      </c>
      <c r="D14" s="889">
        <v>2</v>
      </c>
      <c r="E14" s="1173">
        <v>1</v>
      </c>
      <c r="F14" s="1173">
        <v>10</v>
      </c>
      <c r="G14" s="1173">
        <v>50</v>
      </c>
      <c r="H14" s="299"/>
      <c r="I14" s="1143">
        <v>3.4722222222222224E-4</v>
      </c>
      <c r="J14" s="1143">
        <v>1.3888888888888889E-3</v>
      </c>
      <c r="K14" s="1123" t="s">
        <v>1930</v>
      </c>
      <c r="L14" s="1143">
        <f t="shared" ref="L14:L20" si="39">L13+N13</f>
        <v>0.80457619287634419</v>
      </c>
      <c r="M14" s="4514">
        <v>1</v>
      </c>
      <c r="N14" s="1143">
        <f t="shared" si="34"/>
        <v>9.2428626543209907E-3</v>
      </c>
      <c r="O14" s="1143">
        <f t="shared" si="35"/>
        <v>4.3817515432098786E-4</v>
      </c>
      <c r="P14" s="1143">
        <f t="shared" si="36"/>
        <v>4.3817515432098786E-4</v>
      </c>
      <c r="Q14" s="550">
        <f t="shared" si="37"/>
        <v>140</v>
      </c>
      <c r="R14" s="4515">
        <f t="shared" si="38"/>
        <v>500</v>
      </c>
      <c r="S14" s="229">
        <f t="shared" si="15"/>
        <v>0.5</v>
      </c>
      <c r="T14" s="230">
        <f t="shared" si="16"/>
        <v>1.7527006172839515E-2</v>
      </c>
      <c r="U14" s="374">
        <f t="shared" si="17"/>
        <v>0</v>
      </c>
      <c r="V14" s="375">
        <f t="shared" si="18"/>
        <v>0.5</v>
      </c>
      <c r="W14" s="376">
        <f t="shared" si="19"/>
        <v>0</v>
      </c>
      <c r="X14" s="377">
        <f t="shared" si="20"/>
        <v>0</v>
      </c>
      <c r="Y14" s="378">
        <f t="shared" si="21"/>
        <v>0</v>
      </c>
      <c r="Z14" s="379">
        <f t="shared" si="22"/>
        <v>0</v>
      </c>
      <c r="AA14" s="380">
        <f t="shared" si="23"/>
        <v>0</v>
      </c>
      <c r="AB14" s="225"/>
      <c r="AC14" s="231"/>
      <c r="AD14" s="231"/>
      <c r="AE14" s="231"/>
      <c r="AF14" s="231"/>
      <c r="AG14" s="231"/>
      <c r="AH14" s="231"/>
      <c r="AI14" s="225"/>
      <c r="AJ14" s="225"/>
      <c r="AK14" s="225"/>
      <c r="AL14" s="225"/>
      <c r="AM14" s="225"/>
      <c r="AN14" s="225"/>
    </row>
    <row r="15" spans="1:40" s="228" customFormat="1" ht="14" customHeight="1">
      <c r="A15" s="851" t="s">
        <v>462</v>
      </c>
      <c r="B15" s="1124" t="s">
        <v>215</v>
      </c>
      <c r="C15" s="274">
        <f t="shared" si="8"/>
        <v>2.0247664488766629E-4</v>
      </c>
      <c r="D15" s="892">
        <v>4</v>
      </c>
      <c r="E15" s="1177">
        <v>2</v>
      </c>
      <c r="F15" s="1177">
        <v>1</v>
      </c>
      <c r="G15" s="1177">
        <v>100</v>
      </c>
      <c r="H15" s="1178"/>
      <c r="I15" s="1134">
        <v>2.8935185185185189E-4</v>
      </c>
      <c r="J15" s="1134">
        <v>1.3888888888888889E-3</v>
      </c>
      <c r="K15" s="316" t="s">
        <v>1929</v>
      </c>
      <c r="L15" s="1134">
        <f t="shared" si="39"/>
        <v>0.81381905553066514</v>
      </c>
      <c r="M15" s="4511">
        <v>1</v>
      </c>
      <c r="N15" s="1134">
        <f t="shared" si="34"/>
        <v>4.9762946405828117E-3</v>
      </c>
      <c r="O15" s="1134">
        <f t="shared" si="35"/>
        <v>8.0990657955066516E-4</v>
      </c>
      <c r="P15" s="1134">
        <f t="shared" si="36"/>
        <v>8.0990657955066516E-4</v>
      </c>
      <c r="Q15" s="334">
        <f t="shared" si="37"/>
        <v>170</v>
      </c>
      <c r="R15" s="4512">
        <f t="shared" si="38"/>
        <v>200</v>
      </c>
      <c r="S15" s="229">
        <f t="shared" si="15"/>
        <v>0.2</v>
      </c>
      <c r="T15" s="230">
        <f t="shared" si="16"/>
        <v>6.4792526364053213E-3</v>
      </c>
      <c r="U15" s="374">
        <f t="shared" si="17"/>
        <v>0</v>
      </c>
      <c r="V15" s="375">
        <f t="shared" si="18"/>
        <v>0</v>
      </c>
      <c r="W15" s="376">
        <f t="shared" si="19"/>
        <v>0</v>
      </c>
      <c r="X15" s="377">
        <f t="shared" si="20"/>
        <v>0.2</v>
      </c>
      <c r="Y15" s="378">
        <f t="shared" si="21"/>
        <v>0</v>
      </c>
      <c r="Z15" s="379">
        <f t="shared" si="22"/>
        <v>0</v>
      </c>
      <c r="AA15" s="380">
        <f t="shared" si="23"/>
        <v>0</v>
      </c>
      <c r="AB15" s="225"/>
      <c r="AC15" s="231"/>
      <c r="AD15" s="231"/>
      <c r="AE15" s="231"/>
      <c r="AF15" s="231"/>
      <c r="AG15" s="231"/>
      <c r="AH15" s="231"/>
      <c r="AI15" s="225"/>
      <c r="AJ15" s="225"/>
      <c r="AK15" s="225"/>
      <c r="AL15" s="225"/>
      <c r="AM15" s="225"/>
      <c r="AN15" s="225"/>
    </row>
    <row r="16" spans="1:40" s="228" customFormat="1" ht="14" customHeight="1">
      <c r="A16" s="851" t="s">
        <v>461</v>
      </c>
      <c r="B16" s="1124" t="s">
        <v>215</v>
      </c>
      <c r="C16" s="274">
        <f t="shared" si="8"/>
        <v>1.7682291666666674E-4</v>
      </c>
      <c r="D16" s="897">
        <v>7</v>
      </c>
      <c r="E16" s="438">
        <v>2</v>
      </c>
      <c r="F16" s="438">
        <v>4</v>
      </c>
      <c r="G16" s="438">
        <v>25</v>
      </c>
      <c r="H16" s="1301"/>
      <c r="I16" s="1301">
        <v>6.9444444444444447E-4</v>
      </c>
      <c r="J16" s="2425">
        <v>1.3888888888888889E-3</v>
      </c>
      <c r="K16" s="438" t="s">
        <v>1487</v>
      </c>
      <c r="L16" s="4489">
        <f t="shared" si="39"/>
        <v>0.81879535017124794</v>
      </c>
      <c r="M16" s="4490">
        <v>1</v>
      </c>
      <c r="N16" s="4491">
        <f t="shared" si="34"/>
        <v>9.7479166666666669E-3</v>
      </c>
      <c r="O16" s="1191">
        <f t="shared" si="35"/>
        <v>1.7682291666666674E-4</v>
      </c>
      <c r="P16" s="1192">
        <f t="shared" si="36"/>
        <v>1.7682291666666674E-4</v>
      </c>
      <c r="Q16" s="788">
        <f t="shared" si="37"/>
        <v>0</v>
      </c>
      <c r="R16" s="2402">
        <f t="shared" si="38"/>
        <v>200</v>
      </c>
      <c r="S16" s="229">
        <f t="shared" si="15"/>
        <v>0.2</v>
      </c>
      <c r="T16" s="230">
        <f t="shared" si="16"/>
        <v>5.6583333333333355E-3</v>
      </c>
      <c r="U16" s="374">
        <f t="shared" si="17"/>
        <v>0</v>
      </c>
      <c r="V16" s="375">
        <f t="shared" si="18"/>
        <v>0</v>
      </c>
      <c r="W16" s="376">
        <f t="shared" si="19"/>
        <v>0</v>
      </c>
      <c r="X16" s="377">
        <f t="shared" si="20"/>
        <v>0</v>
      </c>
      <c r="Y16" s="378">
        <f t="shared" si="21"/>
        <v>0</v>
      </c>
      <c r="Z16" s="379">
        <f t="shared" si="22"/>
        <v>0</v>
      </c>
      <c r="AA16" s="380">
        <f t="shared" si="23"/>
        <v>0.2</v>
      </c>
      <c r="AB16" s="225"/>
      <c r="AC16" s="231"/>
      <c r="AD16" s="231"/>
      <c r="AE16" s="231"/>
      <c r="AF16" s="231"/>
      <c r="AG16" s="231"/>
      <c r="AH16" s="231"/>
      <c r="AI16" s="225"/>
      <c r="AJ16" s="225"/>
      <c r="AK16" s="225"/>
      <c r="AL16" s="225"/>
      <c r="AM16" s="225"/>
      <c r="AN16" s="225"/>
    </row>
    <row r="17" spans="1:40" s="228" customFormat="1" ht="13" customHeight="1">
      <c r="A17" s="851" t="s">
        <v>458</v>
      </c>
      <c r="B17" s="1889" t="s">
        <v>461</v>
      </c>
      <c r="C17" s="274">
        <f t="shared" ref="C17:C19" si="40">IF(D17=1,U$4,IF(D17=2,V$4,IF(D17=3,W$4,IF(D17=4,X$4,IF(D17=5,Y$4,IF(D17=6,Z$4,IF(D17=7,AA$4,0)))))))</f>
        <v>1.7682291666666674E-4</v>
      </c>
      <c r="D17" s="1442">
        <v>7</v>
      </c>
      <c r="E17" s="1201">
        <v>1</v>
      </c>
      <c r="F17" s="3354">
        <v>3</v>
      </c>
      <c r="G17" s="3354">
        <v>50</v>
      </c>
      <c r="H17" s="3355" t="s">
        <v>2576</v>
      </c>
      <c r="I17" s="3355">
        <v>2.8935185185185189E-4</v>
      </c>
      <c r="J17" s="1051">
        <v>1.0416666666666667E-3</v>
      </c>
      <c r="K17" s="442" t="s">
        <v>2573</v>
      </c>
      <c r="L17" s="2392">
        <f t="shared" si="39"/>
        <v>0.82854326683791457</v>
      </c>
      <c r="M17" s="1493">
        <v>1</v>
      </c>
      <c r="N17" s="1499">
        <f t="shared" ref="N17" si="41">P17*E17*F17+I17*F17*E17+J17*E17</f>
        <v>2.9706597222222226E-3</v>
      </c>
      <c r="O17" s="1191">
        <f t="shared" si="35"/>
        <v>3.5364583333333347E-4</v>
      </c>
      <c r="P17" s="1499">
        <f t="shared" si="36"/>
        <v>3.5364583333333347E-4</v>
      </c>
      <c r="Q17" s="790">
        <v>145</v>
      </c>
      <c r="R17" s="2402">
        <f t="shared" si="38"/>
        <v>150</v>
      </c>
      <c r="S17" s="229">
        <f t="shared" si="15"/>
        <v>0.15</v>
      </c>
      <c r="T17" s="230">
        <f t="shared" si="16"/>
        <v>4.2437500000000019E-3</v>
      </c>
      <c r="U17" s="374">
        <f t="shared" si="17"/>
        <v>0</v>
      </c>
      <c r="V17" s="375">
        <f t="shared" si="18"/>
        <v>0</v>
      </c>
      <c r="W17" s="376">
        <f t="shared" si="19"/>
        <v>0</v>
      </c>
      <c r="X17" s="377">
        <f t="shared" si="20"/>
        <v>0</v>
      </c>
      <c r="Y17" s="378">
        <f t="shared" si="21"/>
        <v>0</v>
      </c>
      <c r="Z17" s="379">
        <f t="shared" si="22"/>
        <v>0</v>
      </c>
      <c r="AA17" s="380">
        <f t="shared" si="23"/>
        <v>0.15</v>
      </c>
      <c r="AB17" s="225"/>
      <c r="AC17" s="231"/>
      <c r="AD17" s="231"/>
      <c r="AE17" s="231"/>
      <c r="AF17" s="231"/>
      <c r="AG17" s="231"/>
      <c r="AH17" s="231"/>
      <c r="AI17" s="225"/>
      <c r="AJ17" s="225"/>
      <c r="AK17" s="225"/>
      <c r="AL17" s="225"/>
      <c r="AM17" s="225"/>
      <c r="AN17" s="225"/>
    </row>
    <row r="18" spans="1:40" s="228" customFormat="1" ht="12.75" customHeight="1">
      <c r="A18" s="851" t="s">
        <v>219</v>
      </c>
      <c r="B18" s="1889" t="s">
        <v>461</v>
      </c>
      <c r="C18" s="274">
        <f t="shared" si="40"/>
        <v>2.0247664488766629E-4</v>
      </c>
      <c r="D18" s="892">
        <v>4</v>
      </c>
      <c r="E18" s="1177">
        <v>1</v>
      </c>
      <c r="F18" s="1177">
        <v>8</v>
      </c>
      <c r="G18" s="1177">
        <v>15</v>
      </c>
      <c r="H18" s="1178" t="s">
        <v>2575</v>
      </c>
      <c r="I18" s="1134">
        <v>1.1574074074074073E-4</v>
      </c>
      <c r="J18" s="1134">
        <v>1.3888888888888889E-3</v>
      </c>
      <c r="K18" s="316" t="s">
        <v>2574</v>
      </c>
      <c r="L18" s="1134">
        <f t="shared" si="39"/>
        <v>0.83151392656013678</v>
      </c>
      <c r="M18" s="4511">
        <v>1</v>
      </c>
      <c r="N18" s="1134">
        <f>P18*E18*F18+I18*E18*F18+J18*E18</f>
        <v>3.4422047735493408E-3</v>
      </c>
      <c r="O18" s="1134">
        <f>C18*(G18/25)*1.16</f>
        <v>1.4092374484181571E-4</v>
      </c>
      <c r="P18" s="1134">
        <f>O18*M18</f>
        <v>1.4092374484181571E-4</v>
      </c>
      <c r="Q18" s="334">
        <f t="shared" ref="Q18:Q19" si="42">IF(D18=1,125,IF(D18=2,140,IF(D18=3,164,IF(D18=4,170,IF(D18=5,173,IF(D18=6,177,IF(R18=7,200,0)))))))</f>
        <v>170</v>
      </c>
      <c r="R18" s="4512">
        <f>E18*F18*G18</f>
        <v>120</v>
      </c>
      <c r="S18" s="229">
        <f t="shared" si="15"/>
        <v>0.12</v>
      </c>
      <c r="T18" s="230">
        <f t="shared" si="16"/>
        <v>4.5095598349381028E-3</v>
      </c>
      <c r="U18" s="374">
        <f t="shared" si="17"/>
        <v>0</v>
      </c>
      <c r="V18" s="375">
        <f t="shared" si="18"/>
        <v>0</v>
      </c>
      <c r="W18" s="376">
        <f t="shared" si="19"/>
        <v>0</v>
      </c>
      <c r="X18" s="377">
        <f t="shared" si="20"/>
        <v>0.12</v>
      </c>
      <c r="Y18" s="378">
        <f t="shared" si="21"/>
        <v>0</v>
      </c>
      <c r="Z18" s="379">
        <f t="shared" si="22"/>
        <v>0</v>
      </c>
      <c r="AA18" s="380">
        <f t="shared" si="23"/>
        <v>0</v>
      </c>
      <c r="AB18" s="225"/>
      <c r="AC18" s="231"/>
      <c r="AD18" s="231"/>
      <c r="AE18" s="231"/>
      <c r="AF18" s="231"/>
      <c r="AG18" s="231"/>
      <c r="AH18" s="231"/>
      <c r="AI18" s="225"/>
      <c r="AJ18" s="225"/>
      <c r="AK18" s="225"/>
      <c r="AL18" s="225"/>
      <c r="AM18" s="225"/>
      <c r="AN18" s="225"/>
    </row>
    <row r="19" spans="1:40" s="228" customFormat="1" ht="12.75" customHeight="1">
      <c r="A19" s="851"/>
      <c r="B19" s="1889"/>
      <c r="C19" s="274">
        <f t="shared" si="40"/>
        <v>1.8229166666666673E-4</v>
      </c>
      <c r="D19" s="895">
        <v>6</v>
      </c>
      <c r="E19" s="1167">
        <v>4</v>
      </c>
      <c r="F19" s="1167">
        <v>4</v>
      </c>
      <c r="G19" s="1167">
        <v>25</v>
      </c>
      <c r="H19" s="1052" t="s">
        <v>2577</v>
      </c>
      <c r="I19" s="1052">
        <v>3.4722222222222224E-4</v>
      </c>
      <c r="J19" s="1052">
        <v>1.3888888888888889E-3</v>
      </c>
      <c r="K19" s="1065" t="s">
        <v>1933</v>
      </c>
      <c r="L19" s="1136">
        <f t="shared" si="39"/>
        <v>0.83495613133368618</v>
      </c>
      <c r="M19" s="4510">
        <v>1</v>
      </c>
      <c r="N19" s="1136">
        <f>P19*E19*F19+I19*E19*F19+J19*E19</f>
        <v>1.4027777777777778E-2</v>
      </c>
      <c r="O19" s="1136">
        <f>C19*(G19/25)</f>
        <v>1.8229166666666673E-4</v>
      </c>
      <c r="P19" s="1136">
        <f>O19*M19</f>
        <v>1.8229166666666673E-4</v>
      </c>
      <c r="Q19" s="4518">
        <f t="shared" si="42"/>
        <v>177</v>
      </c>
      <c r="R19" s="4518">
        <f>E19*F19*G19</f>
        <v>400</v>
      </c>
      <c r="S19" s="229">
        <f t="shared" si="15"/>
        <v>0.4</v>
      </c>
      <c r="T19" s="230">
        <f t="shared" si="16"/>
        <v>1.1666666666666671E-2</v>
      </c>
      <c r="U19" s="374">
        <f t="shared" si="17"/>
        <v>0</v>
      </c>
      <c r="V19" s="375">
        <f t="shared" si="18"/>
        <v>0</v>
      </c>
      <c r="W19" s="376">
        <f t="shared" si="19"/>
        <v>0</v>
      </c>
      <c r="X19" s="377">
        <f t="shared" si="20"/>
        <v>0</v>
      </c>
      <c r="Y19" s="378">
        <f t="shared" si="21"/>
        <v>0</v>
      </c>
      <c r="Z19" s="379">
        <f t="shared" si="22"/>
        <v>0.4</v>
      </c>
      <c r="AA19" s="380">
        <f t="shared" si="23"/>
        <v>0</v>
      </c>
      <c r="AB19" s="225"/>
      <c r="AC19" s="231"/>
      <c r="AD19" s="231"/>
      <c r="AE19" s="231"/>
      <c r="AF19" s="231"/>
      <c r="AG19" s="231"/>
      <c r="AH19" s="231"/>
      <c r="AI19" s="225"/>
      <c r="AJ19" s="225"/>
      <c r="AK19" s="225"/>
      <c r="AL19" s="225"/>
      <c r="AM19" s="225"/>
      <c r="AN19" s="225"/>
    </row>
    <row r="20" spans="1:40" s="228" customFormat="1" ht="12.75" customHeight="1">
      <c r="A20" s="851"/>
      <c r="B20" s="1890"/>
      <c r="C20" s="274">
        <f t="shared" si="8"/>
        <v>0</v>
      </c>
      <c r="D20" s="905"/>
      <c r="E20" s="336"/>
      <c r="F20" s="336"/>
      <c r="G20" s="336"/>
      <c r="H20" s="336"/>
      <c r="I20" s="336"/>
      <c r="J20" s="336"/>
      <c r="K20" s="336"/>
      <c r="L20" s="1137">
        <f t="shared" si="39"/>
        <v>0.84898390911146393</v>
      </c>
      <c r="M20" s="4513">
        <v>1</v>
      </c>
      <c r="N20" s="1138"/>
      <c r="O20" s="1138"/>
      <c r="P20" s="1138"/>
      <c r="Q20" s="1139">
        <f t="shared" si="25"/>
        <v>0</v>
      </c>
      <c r="R20" s="4506">
        <f>SUM(R13:R19)</f>
        <v>2070</v>
      </c>
      <c r="S20" s="229">
        <f t="shared" si="15"/>
        <v>0</v>
      </c>
      <c r="T20" s="230">
        <f t="shared" si="16"/>
        <v>0</v>
      </c>
      <c r="U20" s="374">
        <f t="shared" si="17"/>
        <v>0</v>
      </c>
      <c r="V20" s="375">
        <f t="shared" si="18"/>
        <v>0</v>
      </c>
      <c r="W20" s="376">
        <f t="shared" si="19"/>
        <v>0</v>
      </c>
      <c r="X20" s="377">
        <f t="shared" si="20"/>
        <v>0</v>
      </c>
      <c r="Y20" s="378">
        <f t="shared" si="21"/>
        <v>0</v>
      </c>
      <c r="Z20" s="379">
        <f t="shared" si="22"/>
        <v>0</v>
      </c>
      <c r="AA20" s="380">
        <f t="shared" si="23"/>
        <v>0</v>
      </c>
      <c r="AB20" s="225"/>
      <c r="AC20" s="231"/>
      <c r="AD20" s="231"/>
      <c r="AE20" s="231"/>
      <c r="AF20" s="231"/>
      <c r="AG20" s="231"/>
      <c r="AH20" s="231"/>
      <c r="AI20" s="225"/>
      <c r="AJ20" s="225"/>
      <c r="AK20" s="225"/>
      <c r="AL20" s="225"/>
      <c r="AM20" s="225"/>
      <c r="AN20" s="225"/>
    </row>
    <row r="21" spans="1:40" ht="12.75" customHeight="1">
      <c r="A21" s="398" t="s">
        <v>140</v>
      </c>
      <c r="B21" s="398" t="s">
        <v>461</v>
      </c>
      <c r="C21" s="274">
        <f t="shared" si="8"/>
        <v>2.2880964381720439E-4</v>
      </c>
      <c r="D21" s="547">
        <v>1</v>
      </c>
      <c r="E21" s="1194">
        <v>1</v>
      </c>
      <c r="F21" s="1194">
        <v>1</v>
      </c>
      <c r="G21" s="1194">
        <v>400</v>
      </c>
      <c r="H21" s="274"/>
      <c r="I21" s="274">
        <v>0</v>
      </c>
      <c r="J21" s="274">
        <v>1.1574074074074073E-4</v>
      </c>
      <c r="K21" s="312" t="s">
        <v>1488</v>
      </c>
      <c r="L21" s="1135">
        <v>0.79861111111111116</v>
      </c>
      <c r="M21" s="4508">
        <v>1</v>
      </c>
      <c r="N21" s="1135">
        <f>P21*E21*F21+I21*E21*F21+J21*E21</f>
        <v>3.7766950418160112E-3</v>
      </c>
      <c r="O21" s="1196">
        <f>C21*(G21/25)</f>
        <v>3.6609543010752703E-3</v>
      </c>
      <c r="P21" s="1135">
        <f>O21*M21</f>
        <v>3.6609543010752703E-3</v>
      </c>
      <c r="Q21" s="548">
        <f t="shared" si="25"/>
        <v>125</v>
      </c>
      <c r="R21" s="4509">
        <f>E21*F21*G21</f>
        <v>400</v>
      </c>
      <c r="S21" s="229">
        <f t="shared" si="15"/>
        <v>0.4</v>
      </c>
      <c r="T21" s="230">
        <f t="shared" si="16"/>
        <v>1.4643817204301081E-2</v>
      </c>
      <c r="U21" s="374">
        <f t="shared" si="17"/>
        <v>0.4</v>
      </c>
      <c r="V21" s="375">
        <f t="shared" si="18"/>
        <v>0</v>
      </c>
      <c r="W21" s="376">
        <f t="shared" si="19"/>
        <v>0</v>
      </c>
      <c r="X21" s="377">
        <f t="shared" si="20"/>
        <v>0</v>
      </c>
      <c r="Y21" s="378">
        <f t="shared" si="21"/>
        <v>0</v>
      </c>
      <c r="Z21" s="379">
        <f t="shared" si="22"/>
        <v>0</v>
      </c>
      <c r="AA21" s="380">
        <f t="shared" si="23"/>
        <v>0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</row>
    <row r="22" spans="1:40" ht="12.75" customHeight="1">
      <c r="A22" s="398" t="s">
        <v>674</v>
      </c>
      <c r="B22" s="398" t="s">
        <v>461</v>
      </c>
      <c r="C22" s="274">
        <f t="shared" si="8"/>
        <v>2.1908757716049393E-4</v>
      </c>
      <c r="D22" s="1442">
        <v>2</v>
      </c>
      <c r="E22" s="1173">
        <v>1</v>
      </c>
      <c r="F22" s="1173">
        <v>1</v>
      </c>
      <c r="G22" s="1173">
        <v>200</v>
      </c>
      <c r="H22" s="299"/>
      <c r="I22" s="299">
        <v>1.7361111111111112E-4</v>
      </c>
      <c r="J22" s="299">
        <v>2.8935185185185189E-4</v>
      </c>
      <c r="K22" s="1123" t="s">
        <v>172</v>
      </c>
      <c r="L22" s="1143">
        <f>L21+N21</f>
        <v>0.80238780615292715</v>
      </c>
      <c r="M22" s="4514">
        <v>1</v>
      </c>
      <c r="N22" s="3368">
        <f>P22*E22*F22+I22*F22*E22+J22*E22</f>
        <v>2.2156635802469144E-3</v>
      </c>
      <c r="O22" s="1175">
        <f t="shared" ref="O22:O24" si="43">C22*(G22/25)</f>
        <v>1.7527006172839514E-3</v>
      </c>
      <c r="P22" s="1175">
        <f t="shared" ref="P22:P24" si="44">O22*M22</f>
        <v>1.7527006172839514E-3</v>
      </c>
      <c r="Q22" s="550">
        <v>144</v>
      </c>
      <c r="R22" s="4515">
        <f t="shared" ref="R22:R24" si="45">E22*F22*G22</f>
        <v>200</v>
      </c>
      <c r="S22" s="229">
        <f t="shared" si="15"/>
        <v>0.2</v>
      </c>
      <c r="T22" s="230">
        <f t="shared" si="16"/>
        <v>7.0108024691358057E-3</v>
      </c>
      <c r="U22" s="374">
        <f t="shared" si="17"/>
        <v>0</v>
      </c>
      <c r="V22" s="375">
        <f t="shared" si="18"/>
        <v>0.2</v>
      </c>
      <c r="W22" s="376">
        <f t="shared" si="19"/>
        <v>0</v>
      </c>
      <c r="X22" s="377">
        <f t="shared" si="20"/>
        <v>0</v>
      </c>
      <c r="Y22" s="378">
        <f t="shared" si="21"/>
        <v>0</v>
      </c>
      <c r="Z22" s="379">
        <f t="shared" si="22"/>
        <v>0</v>
      </c>
      <c r="AA22" s="380">
        <f t="shared" si="23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</row>
    <row r="23" spans="1:40" ht="12.75" customHeight="1">
      <c r="A23" s="398" t="s">
        <v>214</v>
      </c>
      <c r="B23" s="398" t="s">
        <v>461</v>
      </c>
      <c r="C23" s="274">
        <f t="shared" ref="C23" si="46">IF(D23=1,U$4,IF(D23=2,V$4,IF(D23=3,W$4,IF(D23=4,X$4,IF(D23=5,Y$4,IF(D23=6,Z$4,IF(D23=7,AA$4,0)))))))</f>
        <v>2.0247664488766629E-4</v>
      </c>
      <c r="D23" s="892">
        <v>4</v>
      </c>
      <c r="E23" s="1177">
        <v>1</v>
      </c>
      <c r="F23" s="1177">
        <v>1</v>
      </c>
      <c r="G23" s="1177">
        <v>75</v>
      </c>
      <c r="H23" s="3355" t="s">
        <v>2576</v>
      </c>
      <c r="I23" s="1134">
        <v>2.8935185185185189E-4</v>
      </c>
      <c r="J23" s="1134">
        <v>1.3888888888888889E-3</v>
      </c>
      <c r="K23" s="316" t="s">
        <v>2578</v>
      </c>
      <c r="L23" s="1134">
        <f>L22+N22</f>
        <v>0.80460346973317409</v>
      </c>
      <c r="M23" s="4511">
        <v>1</v>
      </c>
      <c r="N23" s="1134">
        <f>P23*E23*F23+I23*E23*F23+J23*E23</f>
        <v>2.2856706754037399E-3</v>
      </c>
      <c r="O23" s="1134">
        <f>C23*(G23/25)</f>
        <v>6.0742993466299884E-4</v>
      </c>
      <c r="P23" s="1134">
        <f>O23*M23</f>
        <v>6.0742993466299884E-4</v>
      </c>
      <c r="Q23" s="334">
        <f t="shared" ref="Q23" si="47">IF(D23=1,125,IF(D23=2,140,IF(D23=3,164,IF(D23=4,170,IF(D23=5,173,IF(D23=6,177,IF(R23=7,200,0)))))))</f>
        <v>170</v>
      </c>
      <c r="R23" s="4512">
        <f>E23*F23*G23</f>
        <v>75</v>
      </c>
      <c r="S23" s="229">
        <f t="shared" si="15"/>
        <v>7.4999999999999997E-2</v>
      </c>
      <c r="T23" s="230">
        <f t="shared" si="16"/>
        <v>2.4297197386519954E-3</v>
      </c>
      <c r="U23" s="374">
        <f t="shared" si="17"/>
        <v>0</v>
      </c>
      <c r="V23" s="375">
        <f t="shared" si="18"/>
        <v>0</v>
      </c>
      <c r="W23" s="376">
        <f t="shared" si="19"/>
        <v>0</v>
      </c>
      <c r="X23" s="377">
        <f t="shared" si="20"/>
        <v>7.4999999999999997E-2</v>
      </c>
      <c r="Y23" s="378">
        <f t="shared" si="21"/>
        <v>0</v>
      </c>
      <c r="Z23" s="379">
        <f t="shared" si="22"/>
        <v>0</v>
      </c>
      <c r="AA23" s="380">
        <f t="shared" si="23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</row>
    <row r="24" spans="1:40" ht="12.75" customHeight="1">
      <c r="A24" s="398" t="s">
        <v>458</v>
      </c>
      <c r="B24" s="398" t="s">
        <v>461</v>
      </c>
      <c r="C24" s="274">
        <f t="shared" si="8"/>
        <v>1.7682291666666674E-4</v>
      </c>
      <c r="D24" s="1442">
        <v>7</v>
      </c>
      <c r="E24" s="1201">
        <v>1</v>
      </c>
      <c r="F24" s="3354">
        <v>4</v>
      </c>
      <c r="G24" s="3354">
        <v>25</v>
      </c>
      <c r="H24" s="3355" t="s">
        <v>2576</v>
      </c>
      <c r="I24" s="3355">
        <v>2.8935185185185189E-4</v>
      </c>
      <c r="J24" s="1051">
        <v>1.0416666666666667E-3</v>
      </c>
      <c r="K24" s="442" t="s">
        <v>2578</v>
      </c>
      <c r="L24" s="2392">
        <f t="shared" ref="L24:L25" si="48">L23+N23</f>
        <v>0.80688914040857784</v>
      </c>
      <c r="M24" s="1493">
        <v>1</v>
      </c>
      <c r="N24" s="1499">
        <f t="shared" ref="N24" si="49">P24*E24*F24+I24*F24*E24+J24*E24</f>
        <v>2.9063657407407415E-3</v>
      </c>
      <c r="O24" s="1191">
        <f t="shared" si="43"/>
        <v>1.7682291666666674E-4</v>
      </c>
      <c r="P24" s="1499">
        <f t="shared" si="44"/>
        <v>1.7682291666666674E-4</v>
      </c>
      <c r="Q24" s="790">
        <v>145</v>
      </c>
      <c r="R24" s="2402">
        <f t="shared" si="45"/>
        <v>100</v>
      </c>
      <c r="S24" s="229">
        <f t="shared" si="15"/>
        <v>0.1</v>
      </c>
      <c r="T24" s="230">
        <f t="shared" si="16"/>
        <v>2.8291666666666678E-3</v>
      </c>
      <c r="U24" s="374">
        <f t="shared" si="17"/>
        <v>0</v>
      </c>
      <c r="V24" s="375">
        <f t="shared" si="18"/>
        <v>0</v>
      </c>
      <c r="W24" s="376">
        <f t="shared" si="19"/>
        <v>0</v>
      </c>
      <c r="X24" s="377">
        <f t="shared" si="20"/>
        <v>0</v>
      </c>
      <c r="Y24" s="378">
        <f t="shared" si="21"/>
        <v>0</v>
      </c>
      <c r="Z24" s="379">
        <f t="shared" si="22"/>
        <v>0</v>
      </c>
      <c r="AA24" s="380">
        <f t="shared" si="23"/>
        <v>0.1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</row>
    <row r="25" spans="1:40" ht="12.75" customHeight="1">
      <c r="A25" s="398" t="s">
        <v>219</v>
      </c>
      <c r="B25" s="398" t="s">
        <v>461</v>
      </c>
      <c r="C25" s="274">
        <f t="shared" si="8"/>
        <v>2.0247664488766629E-4</v>
      </c>
      <c r="D25" s="892">
        <v>4</v>
      </c>
      <c r="E25" s="1177">
        <v>1</v>
      </c>
      <c r="F25" s="1177">
        <v>2</v>
      </c>
      <c r="G25" s="1177">
        <v>50</v>
      </c>
      <c r="H25" s="1178" t="s">
        <v>2575</v>
      </c>
      <c r="I25" s="1134">
        <v>1.1574074074074073E-4</v>
      </c>
      <c r="J25" s="1134">
        <v>1.3888888888888889E-3</v>
      </c>
      <c r="K25" s="316" t="s">
        <v>2578</v>
      </c>
      <c r="L25" s="1134">
        <f t="shared" si="48"/>
        <v>0.80979550614931861</v>
      </c>
      <c r="M25" s="4511">
        <v>1</v>
      </c>
      <c r="N25" s="1134">
        <f>P25*E25*F25+I25*E25*F25+J25*E25</f>
        <v>2.5598620026491417E-3</v>
      </c>
      <c r="O25" s="1134">
        <f>C25*(G25/25)*1.16</f>
        <v>4.6974581613938576E-4</v>
      </c>
      <c r="P25" s="1134">
        <f>O25*M25</f>
        <v>4.6974581613938576E-4</v>
      </c>
      <c r="Q25" s="334">
        <f t="shared" si="25"/>
        <v>170</v>
      </c>
      <c r="R25" s="4512">
        <f>E25*F25*G25</f>
        <v>100</v>
      </c>
      <c r="S25" s="229">
        <f t="shared" si="15"/>
        <v>0.1</v>
      </c>
      <c r="T25" s="230">
        <f t="shared" si="16"/>
        <v>3.7579665291150861E-3</v>
      </c>
      <c r="U25" s="374">
        <f t="shared" si="17"/>
        <v>0</v>
      </c>
      <c r="V25" s="375">
        <f t="shared" si="18"/>
        <v>0</v>
      </c>
      <c r="W25" s="376">
        <f t="shared" si="19"/>
        <v>0</v>
      </c>
      <c r="X25" s="377">
        <f t="shared" si="20"/>
        <v>0.1</v>
      </c>
      <c r="Y25" s="378">
        <f t="shared" si="21"/>
        <v>0</v>
      </c>
      <c r="Z25" s="379">
        <f t="shared" si="22"/>
        <v>0</v>
      </c>
      <c r="AA25" s="380">
        <f t="shared" si="23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</row>
    <row r="26" spans="1:40" ht="14" customHeight="1" thickBot="1">
      <c r="A26" s="398"/>
      <c r="B26" s="398" t="s">
        <v>461</v>
      </c>
      <c r="C26" s="274">
        <f t="shared" si="8"/>
        <v>1.8229166666666673E-4</v>
      </c>
      <c r="D26" s="895">
        <v>6</v>
      </c>
      <c r="E26" s="1167">
        <v>4</v>
      </c>
      <c r="F26" s="1167">
        <v>8</v>
      </c>
      <c r="G26" s="1167">
        <v>25</v>
      </c>
      <c r="H26" s="1052" t="s">
        <v>2579</v>
      </c>
      <c r="I26" s="1052">
        <v>3.4722222222222224E-4</v>
      </c>
      <c r="J26" s="1052">
        <v>1.3888888888888889E-3</v>
      </c>
      <c r="K26" s="1065" t="s">
        <v>1933</v>
      </c>
      <c r="L26" s="1136">
        <f>L25+N25</f>
        <v>0.81235536815196774</v>
      </c>
      <c r="M26" s="4510">
        <v>1</v>
      </c>
      <c r="N26" s="1136">
        <f>P26*E26*F26+I26*E26*F26+J26*E26</f>
        <v>2.2500000000000003E-2</v>
      </c>
      <c r="O26" s="1136">
        <f>C26*(G26/25)</f>
        <v>1.8229166666666673E-4</v>
      </c>
      <c r="P26" s="1136">
        <f>O26*M26</f>
        <v>1.8229166666666673E-4</v>
      </c>
      <c r="Q26" s="4518">
        <f t="shared" si="25"/>
        <v>177</v>
      </c>
      <c r="R26" s="4518">
        <f>E26*F26*G26</f>
        <v>800</v>
      </c>
      <c r="S26" s="229">
        <f t="shared" si="15"/>
        <v>0.8</v>
      </c>
      <c r="T26" s="230">
        <f t="shared" si="16"/>
        <v>2.3333333333333341E-2</v>
      </c>
      <c r="U26" s="374">
        <f t="shared" si="17"/>
        <v>0</v>
      </c>
      <c r="V26" s="375">
        <f t="shared" si="18"/>
        <v>0</v>
      </c>
      <c r="W26" s="376">
        <f t="shared" si="19"/>
        <v>0</v>
      </c>
      <c r="X26" s="377">
        <f t="shared" si="20"/>
        <v>0</v>
      </c>
      <c r="Y26" s="378">
        <f t="shared" si="21"/>
        <v>0</v>
      </c>
      <c r="Z26" s="379">
        <f t="shared" si="22"/>
        <v>0.8</v>
      </c>
      <c r="AA26" s="380">
        <f t="shared" si="23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</row>
    <row r="27" spans="1:40" ht="12.75" customHeight="1">
      <c r="A27" s="398"/>
      <c r="B27" s="402"/>
      <c r="C27" s="274">
        <f t="shared" si="8"/>
        <v>0</v>
      </c>
      <c r="D27" s="899"/>
      <c r="E27" s="336"/>
      <c r="F27" s="336"/>
      <c r="G27" s="336"/>
      <c r="H27" s="336"/>
      <c r="I27" s="336"/>
      <c r="J27" s="336"/>
      <c r="K27" s="336"/>
      <c r="L27" s="2421">
        <f>L26+N26</f>
        <v>0.8348553681519677</v>
      </c>
      <c r="M27" s="4519"/>
      <c r="N27" s="2421">
        <f>SUM(N21:N26)</f>
        <v>3.6244257040856549E-2</v>
      </c>
      <c r="O27" s="2421"/>
      <c r="P27" s="2421"/>
      <c r="Q27" s="2422">
        <f t="shared" si="25"/>
        <v>0</v>
      </c>
      <c r="R27" s="4507">
        <f>SUM(R21:R26)</f>
        <v>1675</v>
      </c>
      <c r="S27" s="229">
        <f t="shared" si="15"/>
        <v>0</v>
      </c>
      <c r="T27" s="230">
        <f t="shared" si="16"/>
        <v>0</v>
      </c>
      <c r="U27" s="374">
        <f t="shared" si="17"/>
        <v>0</v>
      </c>
      <c r="V27" s="375">
        <f t="shared" si="18"/>
        <v>0</v>
      </c>
      <c r="W27" s="376">
        <f t="shared" si="19"/>
        <v>0</v>
      </c>
      <c r="X27" s="377">
        <f t="shared" si="20"/>
        <v>0</v>
      </c>
      <c r="Y27" s="378">
        <f t="shared" si="21"/>
        <v>0</v>
      </c>
      <c r="Z27" s="379">
        <f t="shared" si="22"/>
        <v>0</v>
      </c>
      <c r="AA27" s="380">
        <f t="shared" si="23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40" ht="12.75" customHeight="1">
      <c r="A28" s="397" t="s">
        <v>217</v>
      </c>
      <c r="B28" s="1124" t="s">
        <v>210</v>
      </c>
      <c r="C28" s="274">
        <f t="shared" ref="C28:C30" si="50">IF(D28=1,U$4,IF(D28=2,V$4,IF(D28=3,W$4,IF(D28=4,X$4,IF(D28=5,Y$4,IF(D28=6,Z$4,IF(D28=7,AA$4,0)))))))</f>
        <v>2.2880964381720439E-4</v>
      </c>
      <c r="D28" s="547">
        <v>1</v>
      </c>
      <c r="E28" s="1194">
        <v>1</v>
      </c>
      <c r="F28" s="1194">
        <v>1</v>
      </c>
      <c r="G28" s="1194">
        <v>800</v>
      </c>
      <c r="H28" s="274"/>
      <c r="I28" s="1135">
        <v>0</v>
      </c>
      <c r="J28" s="1135">
        <v>1.3888888888888889E-3</v>
      </c>
      <c r="K28" s="312" t="s">
        <v>1490</v>
      </c>
      <c r="L28" s="1135">
        <v>0.79513888888888884</v>
      </c>
      <c r="M28" s="4508">
        <v>1</v>
      </c>
      <c r="N28" s="1135">
        <f>P28*E28*F28+I28*E28*F28+J28*E28</f>
        <v>8.7107974910394289E-3</v>
      </c>
      <c r="O28" s="1196">
        <f>C28*(G28/25)</f>
        <v>7.3219086021505406E-3</v>
      </c>
      <c r="P28" s="1135">
        <f>O28*M28</f>
        <v>7.3219086021505406E-3</v>
      </c>
      <c r="Q28" s="548">
        <f>IF(D28=1,125,IF(D28=2,140,IF(D28=3,164,IF(D28=4,170,IF(D28=5,173,IF(D28=6,177,IF(R28=7,200,0)))))))</f>
        <v>125</v>
      </c>
      <c r="R28" s="4509">
        <f>E28*F28*G28</f>
        <v>800</v>
      </c>
      <c r="S28" s="229">
        <f t="shared" si="15"/>
        <v>0.8</v>
      </c>
      <c r="T28" s="230">
        <f t="shared" si="16"/>
        <v>2.9287634408602162E-2</v>
      </c>
      <c r="U28" s="374">
        <f t="shared" si="17"/>
        <v>0.8</v>
      </c>
      <c r="V28" s="375">
        <f t="shared" si="18"/>
        <v>0</v>
      </c>
      <c r="W28" s="376">
        <f t="shared" si="19"/>
        <v>0</v>
      </c>
      <c r="X28" s="377">
        <f t="shared" si="20"/>
        <v>0</v>
      </c>
      <c r="Y28" s="378">
        <f t="shared" si="21"/>
        <v>0</v>
      </c>
      <c r="Z28" s="379">
        <f t="shared" si="22"/>
        <v>0</v>
      </c>
      <c r="AA28" s="380">
        <f t="shared" si="23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40" ht="12.75" customHeight="1">
      <c r="A29" s="397" t="s">
        <v>459</v>
      </c>
      <c r="B29" s="1124" t="s">
        <v>210</v>
      </c>
      <c r="C29" s="274">
        <f t="shared" si="50"/>
        <v>2.1908757716049393E-4</v>
      </c>
      <c r="D29" s="889">
        <v>2</v>
      </c>
      <c r="E29" s="1173">
        <v>2</v>
      </c>
      <c r="F29" s="1173">
        <v>1</v>
      </c>
      <c r="G29" s="1173">
        <v>400</v>
      </c>
      <c r="H29" s="299" t="s">
        <v>2580</v>
      </c>
      <c r="I29" s="1143">
        <v>5.7870370370370366E-5</v>
      </c>
      <c r="J29" s="1143">
        <v>1.3888888888888889E-3</v>
      </c>
      <c r="K29" s="1123" t="s">
        <v>1931</v>
      </c>
      <c r="L29" s="1143">
        <f>L28+N28</f>
        <v>0.80384968637992826</v>
      </c>
      <c r="M29" s="4514">
        <v>1</v>
      </c>
      <c r="N29" s="1143">
        <f>P29*E29*F29+I29*E29*F29+J29*E29</f>
        <v>9.9043209876543241E-3</v>
      </c>
      <c r="O29" s="1143">
        <f>C29*(G29/25)</f>
        <v>3.5054012345679029E-3</v>
      </c>
      <c r="P29" s="1143">
        <f>O29*M29</f>
        <v>3.5054012345679029E-3</v>
      </c>
      <c r="Q29" s="550">
        <f t="shared" ref="Q29:Q30" si="51">IF(D29=1,125,IF(D29=2,140,IF(D29=3,164,IF(D29=4,170,IF(D29=5,173,IF(D29=6,177,IF(R29=7,200,0)))))))</f>
        <v>140</v>
      </c>
      <c r="R29" s="4515">
        <f>E29*F29*G29</f>
        <v>800</v>
      </c>
      <c r="S29" s="229">
        <f t="shared" si="15"/>
        <v>0.8</v>
      </c>
      <c r="T29" s="230">
        <f t="shared" si="16"/>
        <v>2.8043209876543223E-2</v>
      </c>
      <c r="U29" s="374">
        <f t="shared" si="17"/>
        <v>0</v>
      </c>
      <c r="V29" s="375">
        <f t="shared" si="18"/>
        <v>0.8</v>
      </c>
      <c r="W29" s="376">
        <f t="shared" si="19"/>
        <v>0</v>
      </c>
      <c r="X29" s="377">
        <f t="shared" si="20"/>
        <v>0</v>
      </c>
      <c r="Y29" s="378">
        <f t="shared" si="21"/>
        <v>0</v>
      </c>
      <c r="Z29" s="379">
        <f t="shared" si="22"/>
        <v>0</v>
      </c>
      <c r="AA29" s="380">
        <f t="shared" si="23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</row>
    <row r="30" spans="1:40" ht="12.75" customHeight="1">
      <c r="A30" s="397" t="s">
        <v>458</v>
      </c>
      <c r="B30" s="1124" t="s">
        <v>210</v>
      </c>
      <c r="C30" s="274">
        <f t="shared" si="50"/>
        <v>2.0247664488766629E-4</v>
      </c>
      <c r="D30" s="892">
        <v>4</v>
      </c>
      <c r="E30" s="7801">
        <v>1</v>
      </c>
      <c r="F30" s="7801">
        <v>12</v>
      </c>
      <c r="G30" s="7801">
        <v>100</v>
      </c>
      <c r="H30" s="6825"/>
      <c r="I30" s="7790">
        <v>2.8935185185185189E-4</v>
      </c>
      <c r="J30" s="7790">
        <v>1.3888888888888889E-3</v>
      </c>
      <c r="K30" s="7791" t="s">
        <v>1932</v>
      </c>
      <c r="L30" s="7802">
        <f>L29+N29</f>
        <v>0.81375400736758263</v>
      </c>
      <c r="M30" s="7803">
        <v>1</v>
      </c>
      <c r="N30" s="7802">
        <f>P30*E30*F30+I30*E30*F30+J30*E30</f>
        <v>1.4579990065719093E-2</v>
      </c>
      <c r="O30" s="7802">
        <f>C30*(G30/25)</f>
        <v>8.0990657955066516E-4</v>
      </c>
      <c r="P30" s="7802">
        <f>O30*M30</f>
        <v>8.0990657955066516E-4</v>
      </c>
      <c r="Q30" s="7804">
        <f t="shared" si="51"/>
        <v>170</v>
      </c>
      <c r="R30" s="7805">
        <f>E30*F30*G30</f>
        <v>1200</v>
      </c>
      <c r="S30" s="229">
        <f t="shared" si="15"/>
        <v>1.2</v>
      </c>
      <c r="T30" s="230">
        <f t="shared" si="16"/>
        <v>3.8875515818431926E-2</v>
      </c>
      <c r="U30" s="374">
        <f t="shared" si="17"/>
        <v>0</v>
      </c>
      <c r="V30" s="375">
        <f t="shared" si="18"/>
        <v>0</v>
      </c>
      <c r="W30" s="376">
        <f t="shared" si="19"/>
        <v>0</v>
      </c>
      <c r="X30" s="377">
        <f t="shared" si="20"/>
        <v>1.2</v>
      </c>
      <c r="Y30" s="378">
        <f t="shared" si="21"/>
        <v>0</v>
      </c>
      <c r="Z30" s="379">
        <f t="shared" si="22"/>
        <v>0</v>
      </c>
      <c r="AA30" s="380">
        <f t="shared" si="23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</row>
    <row r="31" spans="1:40" ht="14" customHeight="1">
      <c r="A31" s="397" t="s">
        <v>219</v>
      </c>
      <c r="B31" s="403" t="s">
        <v>461</v>
      </c>
      <c r="C31" s="274">
        <f t="shared" si="8"/>
        <v>1.8229166666666673E-4</v>
      </c>
      <c r="D31" s="4558">
        <v>6</v>
      </c>
      <c r="E31" s="4561">
        <v>1</v>
      </c>
      <c r="F31" s="4561">
        <v>4</v>
      </c>
      <c r="G31" s="4561">
        <v>75</v>
      </c>
      <c r="H31" s="6300"/>
      <c r="I31" s="6300">
        <v>4.6296296296296293E-4</v>
      </c>
      <c r="J31" s="6300">
        <v>0</v>
      </c>
      <c r="K31" s="4561" t="s">
        <v>2234</v>
      </c>
      <c r="L31" s="6301">
        <f t="shared" ref="L31:L32" si="52">L30+N30</f>
        <v>0.82833399743330172</v>
      </c>
      <c r="M31" s="6302">
        <v>1</v>
      </c>
      <c r="N31" s="6301">
        <f t="shared" ref="N31" si="53">P31*E31*F31+I31*E31*F31+J31*E31</f>
        <v>4.0393518518518521E-3</v>
      </c>
      <c r="O31" s="6301">
        <f t="shared" ref="O31" si="54">C31*(G31/25)</f>
        <v>5.4687500000000016E-4</v>
      </c>
      <c r="P31" s="6301">
        <f t="shared" ref="P31" si="55">O31*M31</f>
        <v>5.4687500000000016E-4</v>
      </c>
      <c r="Q31" s="6303" t="s">
        <v>1281</v>
      </c>
      <c r="R31" s="6303">
        <f t="shared" ref="R31" si="56">E31*F31*G31</f>
        <v>300</v>
      </c>
      <c r="S31" s="229">
        <f t="shared" si="15"/>
        <v>0.3</v>
      </c>
      <c r="T31" s="230">
        <f t="shared" si="16"/>
        <v>8.7500000000000026E-3</v>
      </c>
      <c r="U31" s="374">
        <f t="shared" si="17"/>
        <v>0</v>
      </c>
      <c r="V31" s="375">
        <f t="shared" si="18"/>
        <v>0</v>
      </c>
      <c r="W31" s="376">
        <f t="shared" si="19"/>
        <v>0</v>
      </c>
      <c r="X31" s="377">
        <f t="shared" si="20"/>
        <v>0</v>
      </c>
      <c r="Y31" s="378">
        <f t="shared" si="21"/>
        <v>0</v>
      </c>
      <c r="Z31" s="379">
        <f t="shared" si="22"/>
        <v>0.3</v>
      </c>
      <c r="AA31" s="380">
        <f t="shared" si="23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</row>
    <row r="32" spans="1:40" ht="12.75" customHeight="1" thickBot="1">
      <c r="A32" s="400"/>
      <c r="B32" s="526"/>
      <c r="C32" s="274">
        <f t="shared" si="8"/>
        <v>0</v>
      </c>
      <c r="D32" s="899"/>
      <c r="E32" s="336"/>
      <c r="F32" s="336"/>
      <c r="G32" s="336"/>
      <c r="H32" s="336"/>
      <c r="I32" s="336"/>
      <c r="J32" s="336"/>
      <c r="K32" s="336"/>
      <c r="L32" s="1137">
        <f t="shared" si="52"/>
        <v>0.83237334928515361</v>
      </c>
      <c r="M32" s="4513"/>
      <c r="N32" s="1138">
        <f>SUM(N31:N31)</f>
        <v>4.0393518518518521E-3</v>
      </c>
      <c r="O32" s="1138"/>
      <c r="P32" s="1138"/>
      <c r="Q32" s="1139">
        <f t="shared" si="25"/>
        <v>0</v>
      </c>
      <c r="R32" s="4506">
        <f>SUM(R28:R31)</f>
        <v>3100</v>
      </c>
      <c r="S32" s="229">
        <f t="shared" si="15"/>
        <v>0</v>
      </c>
      <c r="T32" s="230">
        <f t="shared" si="16"/>
        <v>0</v>
      </c>
      <c r="U32" s="374">
        <f t="shared" si="17"/>
        <v>0</v>
      </c>
      <c r="V32" s="375">
        <f t="shared" si="18"/>
        <v>0</v>
      </c>
      <c r="W32" s="376">
        <f t="shared" si="19"/>
        <v>0</v>
      </c>
      <c r="X32" s="377">
        <f t="shared" si="20"/>
        <v>0</v>
      </c>
      <c r="Y32" s="378">
        <f t="shared" si="21"/>
        <v>0</v>
      </c>
      <c r="Z32" s="379">
        <f t="shared" si="22"/>
        <v>0</v>
      </c>
      <c r="AA32" s="380">
        <f t="shared" si="23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</row>
    <row r="33" spans="1:39" ht="12.75" customHeight="1" thickBot="1">
      <c r="A33" s="398"/>
      <c r="B33" s="1117" t="s">
        <v>215</v>
      </c>
      <c r="C33" s="274">
        <f t="shared" si="8"/>
        <v>2.2880964381720439E-4</v>
      </c>
      <c r="D33" s="547">
        <v>1</v>
      </c>
      <c r="E33" s="1194">
        <v>1</v>
      </c>
      <c r="F33" s="1194">
        <v>1</v>
      </c>
      <c r="G33" s="1194">
        <v>300</v>
      </c>
      <c r="H33" s="274"/>
      <c r="I33" s="274">
        <v>0</v>
      </c>
      <c r="J33" s="274">
        <v>1.1574074074074073E-4</v>
      </c>
      <c r="K33" s="312" t="s">
        <v>372</v>
      </c>
      <c r="L33" s="1135">
        <v>0.79861111111111116</v>
      </c>
      <c r="M33" s="4508">
        <v>1.1000000000000001</v>
      </c>
      <c r="N33" s="2130">
        <f>P33*E33*F33+I33*E33*F33+J33*E33</f>
        <v>3.1360280391278393E-3</v>
      </c>
      <c r="O33" s="1196">
        <f>C33*(G33/25)</f>
        <v>2.7457157258064528E-3</v>
      </c>
      <c r="P33" s="1196">
        <f>O33*M33</f>
        <v>3.0202872983870984E-3</v>
      </c>
      <c r="Q33" s="548">
        <f t="shared" si="25"/>
        <v>125</v>
      </c>
      <c r="R33" s="4509">
        <f>E33*F33*G33</f>
        <v>300</v>
      </c>
      <c r="S33" s="229">
        <f t="shared" si="15"/>
        <v>0.3</v>
      </c>
      <c r="T33" s="230">
        <f t="shared" si="16"/>
        <v>1.0982862903225811E-2</v>
      </c>
      <c r="U33" s="374">
        <f t="shared" si="17"/>
        <v>0.3</v>
      </c>
      <c r="V33" s="375">
        <f t="shared" si="18"/>
        <v>0</v>
      </c>
      <c r="W33" s="376">
        <f t="shared" si="19"/>
        <v>0</v>
      </c>
      <c r="X33" s="377">
        <f t="shared" si="20"/>
        <v>0</v>
      </c>
      <c r="Y33" s="378">
        <f t="shared" si="21"/>
        <v>0</v>
      </c>
      <c r="Z33" s="379">
        <f t="shared" si="22"/>
        <v>0</v>
      </c>
      <c r="AA33" s="380">
        <f t="shared" si="23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</row>
    <row r="34" spans="1:39" ht="14" customHeight="1" thickBot="1">
      <c r="A34" s="398"/>
      <c r="B34" s="402" t="s">
        <v>215</v>
      </c>
      <c r="C34" s="274">
        <f t="shared" ref="C34:C36" si="57">IF(D34=1,U$4,IF(D34=2,V$4,IF(D34=3,W$4,IF(D34=4,X$4,IF(D34=5,Y$4,IF(D34=6,Z$4,IF(D34=7,AA$4,0)))))))</f>
        <v>2.1908757716049393E-4</v>
      </c>
      <c r="D34" s="1442">
        <v>2</v>
      </c>
      <c r="E34" s="1173">
        <v>1</v>
      </c>
      <c r="F34" s="1173">
        <v>1</v>
      </c>
      <c r="G34" s="1173">
        <v>200</v>
      </c>
      <c r="H34" s="299"/>
      <c r="I34" s="299">
        <v>1.7361111111111112E-4</v>
      </c>
      <c r="J34" s="299">
        <v>2.8935185185185189E-4</v>
      </c>
      <c r="K34" s="1123" t="s">
        <v>172</v>
      </c>
      <c r="L34" s="1143">
        <f>L33+N33</f>
        <v>0.80174713915023899</v>
      </c>
      <c r="M34" s="4514">
        <v>1</v>
      </c>
      <c r="N34" s="3368">
        <f>P34*E34*F34+I34*F34*E34+J34*E34</f>
        <v>2.2156635802469144E-3</v>
      </c>
      <c r="O34" s="1175">
        <f t="shared" ref="O34" si="58">C34*(G34/25)</f>
        <v>1.7527006172839514E-3</v>
      </c>
      <c r="P34" s="1175">
        <f t="shared" ref="P34" si="59">O34*M34</f>
        <v>1.7527006172839514E-3</v>
      </c>
      <c r="Q34" s="550">
        <v>144</v>
      </c>
      <c r="R34" s="4515">
        <f t="shared" ref="R34" si="60">E34*F34*G34</f>
        <v>200</v>
      </c>
      <c r="S34" s="229">
        <f t="shared" si="15"/>
        <v>0.2</v>
      </c>
      <c r="T34" s="230">
        <f t="shared" si="16"/>
        <v>7.0108024691358057E-3</v>
      </c>
      <c r="U34" s="374">
        <f t="shared" si="17"/>
        <v>0</v>
      </c>
      <c r="V34" s="375">
        <f t="shared" si="18"/>
        <v>0.2</v>
      </c>
      <c r="W34" s="376">
        <f t="shared" si="19"/>
        <v>0</v>
      </c>
      <c r="X34" s="377">
        <f t="shared" si="20"/>
        <v>0</v>
      </c>
      <c r="Y34" s="378">
        <f t="shared" si="21"/>
        <v>0</v>
      </c>
      <c r="Z34" s="379">
        <f t="shared" si="22"/>
        <v>0</v>
      </c>
      <c r="AA34" s="380">
        <f t="shared" si="23"/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</row>
    <row r="35" spans="1:39" ht="15" customHeight="1" thickBot="1">
      <c r="A35" s="398" t="s">
        <v>218</v>
      </c>
      <c r="B35" s="402" t="s">
        <v>215</v>
      </c>
      <c r="C35" s="274">
        <f t="shared" si="57"/>
        <v>2.0247664488766629E-4</v>
      </c>
      <c r="D35" s="1161">
        <v>4</v>
      </c>
      <c r="E35" s="1161">
        <v>3</v>
      </c>
      <c r="F35" s="1161">
        <v>1</v>
      </c>
      <c r="G35" s="1161">
        <v>100</v>
      </c>
      <c r="H35" s="1163"/>
      <c r="I35" s="1163">
        <v>2.8935185185185189E-4</v>
      </c>
      <c r="J35" s="1163">
        <v>1.3888888888888889E-3</v>
      </c>
      <c r="K35" s="1074" t="s">
        <v>1928</v>
      </c>
      <c r="L35" s="4517">
        <f>L34+N34</f>
        <v>0.80396280273048593</v>
      </c>
      <c r="M35" s="1492">
        <v>1</v>
      </c>
      <c r="N35" s="4517">
        <f>P35*E35*F35+I35*E35*F35+J35*E35</f>
        <v>7.4644419608742175E-3</v>
      </c>
      <c r="O35" s="1165">
        <f>C35*(G35/25)</f>
        <v>8.0990657955066516E-4</v>
      </c>
      <c r="P35" s="4517">
        <f>O35*M35</f>
        <v>8.0990657955066516E-4</v>
      </c>
      <c r="Q35" s="333">
        <f t="shared" ref="Q35:Q36" si="61">IF(D35=1,125,IF(D35=2,140,IF(D35=3,164,IF(D35=4,170,IF(D35=5,173,IF(D35=6,177,IF(R35=7,200,0)))))))</f>
        <v>170</v>
      </c>
      <c r="R35" s="1492">
        <f>E35*F35*G35</f>
        <v>300</v>
      </c>
      <c r="S35" s="229">
        <f t="shared" si="15"/>
        <v>0.3</v>
      </c>
      <c r="T35" s="230">
        <f t="shared" si="16"/>
        <v>9.7188789546079814E-3</v>
      </c>
      <c r="U35" s="374">
        <f t="shared" si="17"/>
        <v>0</v>
      </c>
      <c r="V35" s="375">
        <f t="shared" si="18"/>
        <v>0</v>
      </c>
      <c r="W35" s="376">
        <f t="shared" si="19"/>
        <v>0</v>
      </c>
      <c r="X35" s="377">
        <f t="shared" si="20"/>
        <v>0.3</v>
      </c>
      <c r="Y35" s="378">
        <f t="shared" si="21"/>
        <v>0</v>
      </c>
      <c r="Z35" s="379">
        <f t="shared" si="22"/>
        <v>0</v>
      </c>
      <c r="AA35" s="380">
        <f t="shared" si="23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</row>
    <row r="36" spans="1:39" ht="12" customHeight="1" thickBot="1">
      <c r="A36" s="398" t="s">
        <v>139</v>
      </c>
      <c r="B36" s="1117" t="s">
        <v>215</v>
      </c>
      <c r="C36" s="274">
        <f t="shared" si="57"/>
        <v>2.0247664488766629E-4</v>
      </c>
      <c r="D36" s="892">
        <v>4</v>
      </c>
      <c r="E36" s="1177">
        <v>1</v>
      </c>
      <c r="F36" s="1177">
        <v>2</v>
      </c>
      <c r="G36" s="1177">
        <v>200</v>
      </c>
      <c r="H36" s="1178"/>
      <c r="I36" s="1134">
        <v>1.1574074074074073E-4</v>
      </c>
      <c r="J36" s="1134">
        <v>1.3888888888888889E-3</v>
      </c>
      <c r="K36" s="316" t="s">
        <v>2235</v>
      </c>
      <c r="L36" s="1134">
        <f t="shared" ref="L36:L38" si="62">L35+N35</f>
        <v>0.81142724469136018</v>
      </c>
      <c r="M36" s="4511">
        <v>1</v>
      </c>
      <c r="N36" s="1134">
        <f>P36*E36*F36+I36*E36*F36+J36*E36</f>
        <v>5.3783368994854567E-3</v>
      </c>
      <c r="O36" s="1134">
        <f>C36*(G36/25)*1.16</f>
        <v>1.8789832645575431E-3</v>
      </c>
      <c r="P36" s="1134">
        <f>O36*M36</f>
        <v>1.8789832645575431E-3</v>
      </c>
      <c r="Q36" s="334">
        <f t="shared" si="61"/>
        <v>170</v>
      </c>
      <c r="R36" s="4512">
        <f>E36*F36*G36</f>
        <v>400</v>
      </c>
      <c r="S36" s="229">
        <f t="shared" si="15"/>
        <v>0.4</v>
      </c>
      <c r="T36" s="230">
        <f t="shared" si="16"/>
        <v>1.5031866116460344E-2</v>
      </c>
      <c r="U36" s="374">
        <f t="shared" si="17"/>
        <v>0</v>
      </c>
      <c r="V36" s="375">
        <f t="shared" si="18"/>
        <v>0</v>
      </c>
      <c r="W36" s="376">
        <f t="shared" si="19"/>
        <v>0</v>
      </c>
      <c r="X36" s="377">
        <f t="shared" si="20"/>
        <v>0.4</v>
      </c>
      <c r="Y36" s="378">
        <f t="shared" si="21"/>
        <v>0</v>
      </c>
      <c r="Z36" s="379">
        <f t="shared" si="22"/>
        <v>0</v>
      </c>
      <c r="AA36" s="380">
        <f t="shared" si="23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</row>
    <row r="37" spans="1:39" ht="12.75" customHeight="1">
      <c r="A37" s="398"/>
      <c r="B37" s="402" t="s">
        <v>461</v>
      </c>
      <c r="C37" s="274">
        <f t="shared" si="8"/>
        <v>1.8229166666666673E-4</v>
      </c>
      <c r="D37" s="895">
        <v>6</v>
      </c>
      <c r="E37" s="1065">
        <v>4</v>
      </c>
      <c r="F37" s="1065">
        <v>1</v>
      </c>
      <c r="G37" s="1065">
        <v>100</v>
      </c>
      <c r="H37" s="2118"/>
      <c r="I37" s="2118">
        <v>1.3888888888888889E-3</v>
      </c>
      <c r="J37" s="2118">
        <v>0</v>
      </c>
      <c r="K37" s="1065" t="s">
        <v>2581</v>
      </c>
      <c r="L37" s="1136">
        <f t="shared" si="62"/>
        <v>0.8168055815908456</v>
      </c>
      <c r="M37" s="4510">
        <v>1</v>
      </c>
      <c r="N37" s="1136">
        <f>P37*E37*F37+I37*E37*F37+J37*E37</f>
        <v>8.472222222222223E-3</v>
      </c>
      <c r="O37" s="1136">
        <f>C37*(G37/25)</f>
        <v>7.2916666666666692E-4</v>
      </c>
      <c r="P37" s="1136">
        <f>O37*M37</f>
        <v>7.2916666666666692E-4</v>
      </c>
      <c r="Q37" s="1495" t="s">
        <v>1281</v>
      </c>
      <c r="R37" s="1495">
        <f>E37*F37*G37</f>
        <v>400</v>
      </c>
      <c r="S37" s="229">
        <f t="shared" si="15"/>
        <v>0.4</v>
      </c>
      <c r="T37" s="230">
        <f t="shared" si="16"/>
        <v>1.1666666666666671E-2</v>
      </c>
      <c r="U37" s="374">
        <f t="shared" si="17"/>
        <v>0</v>
      </c>
      <c r="V37" s="375">
        <f t="shared" si="18"/>
        <v>0</v>
      </c>
      <c r="W37" s="376">
        <f t="shared" si="19"/>
        <v>0</v>
      </c>
      <c r="X37" s="377">
        <f t="shared" si="20"/>
        <v>0</v>
      </c>
      <c r="Y37" s="378">
        <f t="shared" si="21"/>
        <v>0</v>
      </c>
      <c r="Z37" s="379">
        <f t="shared" si="22"/>
        <v>0.4</v>
      </c>
      <c r="AA37" s="380">
        <f t="shared" si="23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</row>
    <row r="38" spans="1:39" ht="12.75" customHeight="1">
      <c r="A38" s="395"/>
      <c r="B38" s="395"/>
      <c r="C38" s="274">
        <f t="shared" si="8"/>
        <v>0</v>
      </c>
      <c r="D38" s="899"/>
      <c r="E38" s="336"/>
      <c r="F38" s="336"/>
      <c r="G38" s="336"/>
      <c r="H38" s="336"/>
      <c r="I38" s="336"/>
      <c r="J38" s="336"/>
      <c r="K38" s="336"/>
      <c r="L38" s="1137">
        <f t="shared" si="62"/>
        <v>0.82527780381306781</v>
      </c>
      <c r="M38" s="4513">
        <v>1</v>
      </c>
      <c r="N38" s="1138">
        <f>SUM(N37:N37)</f>
        <v>8.472222222222223E-3</v>
      </c>
      <c r="O38" s="1138"/>
      <c r="P38" s="1138"/>
      <c r="Q38" s="1139">
        <f t="shared" si="25"/>
        <v>0</v>
      </c>
      <c r="R38" s="4506">
        <f>SUM(R33:R37)</f>
        <v>1600</v>
      </c>
      <c r="S38" s="229">
        <f t="shared" si="15"/>
        <v>0</v>
      </c>
      <c r="T38" s="230">
        <f t="shared" si="16"/>
        <v>0</v>
      </c>
      <c r="U38" s="374">
        <f t="shared" si="17"/>
        <v>0</v>
      </c>
      <c r="V38" s="375">
        <f t="shared" si="18"/>
        <v>0</v>
      </c>
      <c r="W38" s="376">
        <f t="shared" si="19"/>
        <v>0</v>
      </c>
      <c r="X38" s="377">
        <f t="shared" si="20"/>
        <v>0</v>
      </c>
      <c r="Y38" s="378">
        <f t="shared" si="21"/>
        <v>0</v>
      </c>
      <c r="Z38" s="379">
        <f t="shared" si="22"/>
        <v>0</v>
      </c>
      <c r="AA38" s="380">
        <f t="shared" si="23"/>
        <v>0</v>
      </c>
      <c r="AC38" s="231">
        <v>0</v>
      </c>
      <c r="AD38" s="231">
        <v>0</v>
      </c>
      <c r="AE38" s="231">
        <v>0</v>
      </c>
      <c r="AF38" s="231">
        <v>0</v>
      </c>
      <c r="AG38" s="231">
        <v>0</v>
      </c>
      <c r="AH38" s="231">
        <v>0</v>
      </c>
      <c r="AI38" s="213"/>
      <c r="AJ38" s="213"/>
      <c r="AK38" s="213"/>
      <c r="AL38" s="213"/>
      <c r="AM38" s="213"/>
    </row>
    <row r="39" spans="1:39" ht="12.75" customHeight="1" thickBot="1">
      <c r="A39" s="1026" t="s">
        <v>219</v>
      </c>
      <c r="B39" s="395"/>
      <c r="C39" s="274">
        <f t="shared" si="8"/>
        <v>2.2880964381720439E-4</v>
      </c>
      <c r="D39" s="547">
        <v>1</v>
      </c>
      <c r="E39" s="1194">
        <v>1</v>
      </c>
      <c r="F39" s="1194">
        <v>1</v>
      </c>
      <c r="G39" s="1194">
        <v>1200</v>
      </c>
      <c r="H39" s="274"/>
      <c r="I39" s="274">
        <v>0</v>
      </c>
      <c r="J39" s="274">
        <v>1.1574074074074073E-4</v>
      </c>
      <c r="K39" s="312" t="s">
        <v>2582</v>
      </c>
      <c r="L39" s="3173"/>
      <c r="M39" s="4508">
        <v>1</v>
      </c>
      <c r="N39" s="2130">
        <f>P39*E39*F39+I39*E39*F39+J39*E39</f>
        <v>1.1098603643966552E-2</v>
      </c>
      <c r="O39" s="1196">
        <f>C39*(G39/25)</f>
        <v>1.0982862903225811E-2</v>
      </c>
      <c r="P39" s="1196">
        <f>O39*M39</f>
        <v>1.0982862903225811E-2</v>
      </c>
      <c r="Q39" s="548">
        <f t="shared" ref="Q39" si="63">IF(D39=1,125,IF(D39=2,140,IF(D39=3,164,IF(D39=4,170,IF(D39=5,173,IF(D39=6,177,IF(R39=7,200,0)))))))</f>
        <v>125</v>
      </c>
      <c r="R39" s="4509">
        <f>E39*F39*G39</f>
        <v>1200</v>
      </c>
      <c r="S39" s="229">
        <f t="shared" si="15"/>
        <v>1.2</v>
      </c>
      <c r="T39" s="230">
        <f t="shared" si="16"/>
        <v>4.3931451612903245E-2</v>
      </c>
      <c r="U39" s="374">
        <f t="shared" si="17"/>
        <v>1.2</v>
      </c>
      <c r="V39" s="375">
        <f t="shared" si="18"/>
        <v>0</v>
      </c>
      <c r="W39" s="376">
        <f t="shared" si="19"/>
        <v>0</v>
      </c>
      <c r="X39" s="377">
        <f t="shared" si="20"/>
        <v>0</v>
      </c>
      <c r="Y39" s="378">
        <f t="shared" si="21"/>
        <v>0</v>
      </c>
      <c r="Z39" s="379">
        <f t="shared" si="22"/>
        <v>0</v>
      </c>
      <c r="AA39" s="380">
        <f t="shared" si="23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</row>
    <row r="40" spans="1:39" ht="13" customHeight="1" thickTop="1" thickBot="1">
      <c r="A40" s="812"/>
      <c r="B40" s="1341"/>
      <c r="C40" s="274"/>
      <c r="D40" s="4444"/>
      <c r="E40" s="4521"/>
      <c r="F40" s="4522"/>
      <c r="G40" s="4523"/>
      <c r="H40" s="4524"/>
      <c r="I40" s="4525"/>
      <c r="J40" s="4526"/>
      <c r="K40" s="4527" t="s">
        <v>2583</v>
      </c>
      <c r="L40" s="4378"/>
      <c r="M40" s="4520"/>
      <c r="N40" s="2379"/>
      <c r="O40" s="2379"/>
      <c r="P40" s="2379"/>
      <c r="Q40" s="7871"/>
      <c r="R40" s="7872"/>
      <c r="S40" s="238"/>
      <c r="T40" s="239"/>
      <c r="U40" s="240">
        <f t="shared" ref="U40:AA40" si="64">SUM(U5:U39)</f>
        <v>3.5999999999999996</v>
      </c>
      <c r="V40" s="240">
        <f t="shared" si="64"/>
        <v>2.1</v>
      </c>
      <c r="W40" s="240">
        <f t="shared" si="64"/>
        <v>0.4</v>
      </c>
      <c r="X40" s="240">
        <f t="shared" si="64"/>
        <v>2.4949999999999997</v>
      </c>
      <c r="Y40" s="240">
        <f t="shared" si="64"/>
        <v>0</v>
      </c>
      <c r="Z40" s="240">
        <f t="shared" si="64"/>
        <v>2.7499999999999996</v>
      </c>
      <c r="AA40" s="240">
        <f t="shared" si="64"/>
        <v>0.61</v>
      </c>
      <c r="AB40" s="565">
        <f>SUM(U40:AA40)</f>
        <v>11.954999999999998</v>
      </c>
      <c r="AC40" s="231">
        <v>0</v>
      </c>
      <c r="AD40" s="231">
        <v>0</v>
      </c>
      <c r="AE40" s="222"/>
      <c r="AF40" s="222"/>
      <c r="AG40" s="222"/>
      <c r="AH40" s="222"/>
      <c r="AI40" s="222"/>
    </row>
    <row r="41" spans="1:39" ht="14" thickBot="1">
      <c r="A41" s="144"/>
      <c r="B41" s="144"/>
      <c r="C41" s="144"/>
      <c r="D41" s="4444"/>
      <c r="E41" s="4528"/>
      <c r="F41" s="4529"/>
      <c r="G41" s="4530"/>
      <c r="H41" s="4530"/>
      <c r="I41" s="4530"/>
      <c r="J41" s="4530"/>
      <c r="K41" s="4530"/>
      <c r="L41" s="4378"/>
      <c r="M41" s="144"/>
      <c r="N41" s="144"/>
      <c r="O41" s="144"/>
      <c r="P41" s="144"/>
      <c r="Q41" s="144"/>
      <c r="R41" s="144"/>
      <c r="S41" s="144"/>
      <c r="T41" s="144"/>
      <c r="U41" s="566" t="e">
        <f>IF(#REF!&gt;0,#REF!,#REF!)</f>
        <v>#REF!</v>
      </c>
      <c r="V41" s="566" t="e">
        <f>IF(#REF!&gt;0,#REF!,#REF!)</f>
        <v>#REF!</v>
      </c>
      <c r="W41" s="566" t="e">
        <f>IF(#REF!&gt;0,#REF!,#REF!)</f>
        <v>#REF!</v>
      </c>
      <c r="X41" s="566" t="e">
        <f>IF(#REF!&gt;0,#REF!,#REF!)</f>
        <v>#REF!</v>
      </c>
      <c r="Y41" s="566" t="e">
        <f>IF(#REF!&gt;0,#REF!,#REF!)</f>
        <v>#REF!</v>
      </c>
      <c r="Z41" s="566" t="e">
        <f>IF(#REF!&gt;0,#REF!,#REF!)</f>
        <v>#REF!</v>
      </c>
      <c r="AA41" s="566" t="e">
        <f>IF(#REF!&gt;0,#REF!,#REF!)</f>
        <v>#REF!</v>
      </c>
      <c r="AB41" s="144"/>
      <c r="AC41" s="231">
        <v>0</v>
      </c>
      <c r="AD41" s="231">
        <v>0</v>
      </c>
      <c r="AE41" s="231">
        <v>0</v>
      </c>
      <c r="AF41" s="231">
        <v>0</v>
      </c>
      <c r="AG41" s="231">
        <v>0</v>
      </c>
      <c r="AH41" s="231">
        <v>0</v>
      </c>
      <c r="AI41" s="213"/>
    </row>
    <row r="42" spans="1:39">
      <c r="A42" s="144"/>
      <c r="B42" s="144"/>
      <c r="C42" s="144"/>
      <c r="D42" s="906"/>
      <c r="E42" s="144"/>
      <c r="F42" s="144"/>
      <c r="G42" s="144"/>
      <c r="H42" s="144"/>
      <c r="I42" s="144"/>
      <c r="J42" s="144"/>
      <c r="K42" s="144"/>
      <c r="L42" s="998"/>
      <c r="M42" s="144"/>
      <c r="N42" s="144"/>
      <c r="O42" s="144"/>
      <c r="P42" s="144"/>
      <c r="Q42" s="144"/>
      <c r="R42" s="144"/>
      <c r="S42" s="144"/>
      <c r="T42" s="144"/>
      <c r="U42" s="566" t="e">
        <f>IF(U41&gt;0,U41,#REF!)</f>
        <v>#REF!</v>
      </c>
      <c r="V42" s="566" t="e">
        <f>IF(V41&gt;0,V41,#REF!)</f>
        <v>#REF!</v>
      </c>
      <c r="W42" s="566" t="e">
        <f>IF(W41&gt;0,W41,#REF!)</f>
        <v>#REF!</v>
      </c>
      <c r="X42" s="566" t="e">
        <f>IF(X41&gt;0,X41,#REF!)</f>
        <v>#REF!</v>
      </c>
      <c r="Y42" s="566" t="e">
        <f>IF(Y41&gt;0,Y41,#REF!)</f>
        <v>#REF!</v>
      </c>
      <c r="Z42" s="566" t="e">
        <f>IF(Z41&gt;0,Z41,#REF!)</f>
        <v>#REF!</v>
      </c>
      <c r="AA42" s="566" t="e">
        <f>IF(AA41&gt;0,AA41,#REF!)</f>
        <v>#REF!</v>
      </c>
      <c r="AB42" s="144"/>
      <c r="AC42" s="231"/>
      <c r="AD42" s="231"/>
      <c r="AE42" s="231"/>
      <c r="AF42" s="231"/>
      <c r="AG42" s="231"/>
      <c r="AH42" s="231"/>
      <c r="AI42" s="213"/>
    </row>
    <row r="43" spans="1:39">
      <c r="A43" s="144"/>
      <c r="B43" s="144"/>
      <c r="C43" s="144"/>
      <c r="D43" s="906"/>
      <c r="E43" s="144"/>
      <c r="F43" s="144"/>
      <c r="G43" s="144"/>
      <c r="H43" s="144"/>
      <c r="I43" s="144"/>
      <c r="J43" s="144"/>
      <c r="K43" s="4144"/>
      <c r="L43" s="998"/>
      <c r="M43" s="144"/>
      <c r="N43" s="144"/>
      <c r="O43" s="144"/>
      <c r="P43" s="144"/>
      <c r="Q43" s="144"/>
      <c r="R43" s="144"/>
      <c r="S43" s="144"/>
      <c r="T43" s="144"/>
      <c r="U43" s="566" t="e">
        <f t="shared" ref="U43:AA58" si="65">IF(U42&gt;0,U42,U41)</f>
        <v>#REF!</v>
      </c>
      <c r="V43" s="566" t="e">
        <f t="shared" si="65"/>
        <v>#REF!</v>
      </c>
      <c r="W43" s="566" t="e">
        <f t="shared" si="65"/>
        <v>#REF!</v>
      </c>
      <c r="X43" s="566" t="e">
        <f t="shared" si="65"/>
        <v>#REF!</v>
      </c>
      <c r="Y43" s="566" t="e">
        <f t="shared" si="65"/>
        <v>#REF!</v>
      </c>
      <c r="Z43" s="566" t="e">
        <f t="shared" si="65"/>
        <v>#REF!</v>
      </c>
      <c r="AA43" s="566" t="e">
        <f t="shared" si="65"/>
        <v>#REF!</v>
      </c>
      <c r="AB43" s="144"/>
      <c r="AC43" s="231"/>
      <c r="AD43" s="231"/>
      <c r="AE43" s="231"/>
      <c r="AF43" s="231"/>
      <c r="AG43" s="231"/>
      <c r="AH43" s="231"/>
      <c r="AI43" s="213"/>
    </row>
    <row r="44" spans="1:39">
      <c r="A44" s="144"/>
      <c r="B44" s="144"/>
      <c r="C44" s="144"/>
      <c r="D44" s="906"/>
      <c r="E44" s="144"/>
      <c r="F44" s="144"/>
      <c r="G44" s="144"/>
      <c r="H44" s="144"/>
      <c r="I44" s="144"/>
      <c r="J44" s="144"/>
      <c r="K44" s="144"/>
      <c r="L44" s="998"/>
      <c r="M44" s="144"/>
      <c r="N44" s="144"/>
      <c r="O44" s="144"/>
      <c r="P44" s="144"/>
      <c r="Q44" s="144"/>
      <c r="R44" s="144"/>
      <c r="S44" s="144"/>
      <c r="T44" s="144"/>
      <c r="U44" s="566" t="e">
        <f t="shared" si="65"/>
        <v>#REF!</v>
      </c>
      <c r="V44" s="566" t="e">
        <f t="shared" si="65"/>
        <v>#REF!</v>
      </c>
      <c r="W44" s="566" t="e">
        <f t="shared" si="65"/>
        <v>#REF!</v>
      </c>
      <c r="X44" s="566" t="e">
        <f t="shared" si="65"/>
        <v>#REF!</v>
      </c>
      <c r="Y44" s="566" t="e">
        <f t="shared" si="65"/>
        <v>#REF!</v>
      </c>
      <c r="Z44" s="566" t="e">
        <f t="shared" si="65"/>
        <v>#REF!</v>
      </c>
      <c r="AA44" s="566" t="e">
        <f t="shared" si="65"/>
        <v>#REF!</v>
      </c>
      <c r="AB44" s="144"/>
      <c r="AC44" s="231">
        <v>0</v>
      </c>
      <c r="AD44" s="231">
        <v>0</v>
      </c>
      <c r="AE44" s="231">
        <v>0</v>
      </c>
      <c r="AF44" s="231">
        <v>0</v>
      </c>
      <c r="AG44" s="231">
        <v>0</v>
      </c>
      <c r="AH44" s="231">
        <v>0</v>
      </c>
      <c r="AI44" s="213"/>
    </row>
    <row r="45" spans="1:39">
      <c r="A45" s="144"/>
      <c r="B45" s="144"/>
      <c r="C45" s="144"/>
      <c r="D45" s="906"/>
      <c r="E45" s="144"/>
      <c r="F45" s="144"/>
      <c r="G45" s="144"/>
      <c r="H45" s="144"/>
      <c r="I45" s="144"/>
      <c r="J45" s="144"/>
      <c r="K45" s="144"/>
      <c r="L45" s="998"/>
      <c r="M45" s="144"/>
      <c r="N45" s="144"/>
      <c r="O45" s="144"/>
      <c r="P45" s="144"/>
      <c r="Q45" s="144"/>
      <c r="R45" s="144"/>
      <c r="S45" s="144"/>
      <c r="T45" s="144"/>
      <c r="U45" s="566" t="e">
        <f t="shared" si="65"/>
        <v>#REF!</v>
      </c>
      <c r="V45" s="566" t="e">
        <f t="shared" si="65"/>
        <v>#REF!</v>
      </c>
      <c r="W45" s="566" t="e">
        <f t="shared" si="65"/>
        <v>#REF!</v>
      </c>
      <c r="X45" s="566" t="e">
        <f t="shared" si="65"/>
        <v>#REF!</v>
      </c>
      <c r="Y45" s="566" t="e">
        <f t="shared" si="65"/>
        <v>#REF!</v>
      </c>
      <c r="Z45" s="566" t="e">
        <f t="shared" si="65"/>
        <v>#REF!</v>
      </c>
      <c r="AA45" s="566" t="e">
        <f t="shared" si="65"/>
        <v>#REF!</v>
      </c>
      <c r="AB45" s="144"/>
      <c r="AC45" s="231">
        <v>0</v>
      </c>
      <c r="AD45" s="231">
        <v>0</v>
      </c>
      <c r="AE45" s="231">
        <v>0</v>
      </c>
      <c r="AF45" s="231">
        <v>0</v>
      </c>
      <c r="AG45" s="231">
        <v>0</v>
      </c>
      <c r="AH45" s="231">
        <v>0</v>
      </c>
      <c r="AI45" s="213"/>
    </row>
    <row r="46" spans="1:39">
      <c r="A46" s="144"/>
      <c r="B46" s="144"/>
      <c r="C46" s="144"/>
      <c r="D46" s="906"/>
      <c r="E46" s="144"/>
      <c r="F46" s="144"/>
      <c r="G46" s="144"/>
      <c r="H46" s="144"/>
      <c r="I46" s="144"/>
      <c r="J46" s="144"/>
      <c r="K46" s="144"/>
      <c r="L46" s="998"/>
      <c r="M46" s="144"/>
      <c r="N46" s="144"/>
      <c r="O46" s="144"/>
      <c r="P46" s="144"/>
      <c r="Q46" s="144"/>
      <c r="R46" s="144"/>
      <c r="S46" s="144"/>
      <c r="T46" s="144"/>
      <c r="U46" s="566" t="e">
        <f t="shared" si="65"/>
        <v>#REF!</v>
      </c>
      <c r="V46" s="566" t="e">
        <f t="shared" si="65"/>
        <v>#REF!</v>
      </c>
      <c r="W46" s="566" t="e">
        <f t="shared" si="65"/>
        <v>#REF!</v>
      </c>
      <c r="X46" s="566" t="e">
        <f t="shared" si="65"/>
        <v>#REF!</v>
      </c>
      <c r="Y46" s="566" t="e">
        <f t="shared" si="65"/>
        <v>#REF!</v>
      </c>
      <c r="Z46" s="566" t="e">
        <f t="shared" si="65"/>
        <v>#REF!</v>
      </c>
      <c r="AA46" s="566" t="e">
        <f t="shared" si="65"/>
        <v>#REF!</v>
      </c>
      <c r="AB46" s="144"/>
      <c r="AC46" s="231">
        <v>0</v>
      </c>
      <c r="AD46" s="231">
        <v>0</v>
      </c>
      <c r="AE46" s="231">
        <v>0</v>
      </c>
      <c r="AF46" s="231">
        <v>0</v>
      </c>
      <c r="AG46" s="231">
        <v>0</v>
      </c>
      <c r="AH46" s="231">
        <v>0</v>
      </c>
      <c r="AI46" s="213"/>
    </row>
    <row r="47" spans="1:39">
      <c r="A47" s="144"/>
      <c r="B47" s="144"/>
      <c r="C47" s="144"/>
      <c r="D47" s="906"/>
      <c r="E47" s="144"/>
      <c r="F47" s="144"/>
      <c r="G47" s="144"/>
      <c r="H47" s="144"/>
      <c r="I47" s="144"/>
      <c r="J47" s="144"/>
      <c r="K47" s="144"/>
      <c r="L47" s="998"/>
      <c r="M47" s="144"/>
      <c r="N47" s="144"/>
      <c r="O47" s="144"/>
      <c r="P47" s="144"/>
      <c r="Q47" s="144"/>
      <c r="R47" s="144"/>
      <c r="S47" s="144"/>
      <c r="T47" s="144"/>
      <c r="U47" s="566" t="e">
        <f t="shared" si="65"/>
        <v>#REF!</v>
      </c>
      <c r="V47" s="566" t="e">
        <f t="shared" si="65"/>
        <v>#REF!</v>
      </c>
      <c r="W47" s="566" t="e">
        <f t="shared" si="65"/>
        <v>#REF!</v>
      </c>
      <c r="X47" s="566" t="e">
        <f t="shared" si="65"/>
        <v>#REF!</v>
      </c>
      <c r="Y47" s="566" t="e">
        <f t="shared" si="65"/>
        <v>#REF!</v>
      </c>
      <c r="Z47" s="566" t="e">
        <f t="shared" si="65"/>
        <v>#REF!</v>
      </c>
      <c r="AA47" s="566" t="e">
        <f t="shared" si="65"/>
        <v>#REF!</v>
      </c>
      <c r="AB47" s="144"/>
      <c r="AC47" s="231">
        <v>0</v>
      </c>
      <c r="AD47" s="231">
        <v>0</v>
      </c>
      <c r="AE47" s="231">
        <v>0</v>
      </c>
      <c r="AF47" s="231">
        <v>0</v>
      </c>
      <c r="AG47" s="231">
        <v>0</v>
      </c>
      <c r="AH47" s="231">
        <v>0</v>
      </c>
      <c r="AI47" s="213"/>
    </row>
    <row r="48" spans="1:39">
      <c r="A48" s="144"/>
      <c r="B48" s="144"/>
      <c r="C48" s="144"/>
      <c r="D48" s="906"/>
      <c r="E48" s="144"/>
      <c r="F48" s="144"/>
      <c r="G48" s="144"/>
      <c r="H48" s="144"/>
      <c r="I48" s="144"/>
      <c r="J48" s="144"/>
      <c r="K48" s="144"/>
      <c r="L48" s="998"/>
      <c r="M48" s="144"/>
      <c r="N48" s="144"/>
      <c r="O48" s="144"/>
      <c r="P48" s="144"/>
      <c r="Q48" s="144"/>
      <c r="R48" s="144"/>
      <c r="S48" s="144"/>
      <c r="T48" s="144"/>
      <c r="U48" s="566" t="e">
        <f t="shared" si="65"/>
        <v>#REF!</v>
      </c>
      <c r="V48" s="566" t="e">
        <f t="shared" si="65"/>
        <v>#REF!</v>
      </c>
      <c r="W48" s="566" t="e">
        <f t="shared" si="65"/>
        <v>#REF!</v>
      </c>
      <c r="X48" s="566" t="e">
        <f t="shared" si="65"/>
        <v>#REF!</v>
      </c>
      <c r="Y48" s="566" t="e">
        <f t="shared" si="65"/>
        <v>#REF!</v>
      </c>
      <c r="Z48" s="566" t="e">
        <f t="shared" si="65"/>
        <v>#REF!</v>
      </c>
      <c r="AA48" s="566" t="e">
        <f t="shared" si="65"/>
        <v>#REF!</v>
      </c>
      <c r="AB48" s="144"/>
      <c r="AC48" s="231"/>
      <c r="AD48" s="231"/>
      <c r="AE48" s="231"/>
      <c r="AF48" s="231"/>
      <c r="AG48" s="231"/>
      <c r="AH48" s="231"/>
      <c r="AI48" s="213"/>
    </row>
    <row r="49" spans="1:35">
      <c r="A49" s="144"/>
      <c r="B49" s="144"/>
      <c r="C49" s="144"/>
      <c r="D49" s="906"/>
      <c r="E49" s="144"/>
      <c r="F49" s="144"/>
      <c r="G49" s="144"/>
      <c r="H49" s="144"/>
      <c r="I49" s="144"/>
      <c r="J49" s="144"/>
      <c r="K49" s="144"/>
      <c r="L49" s="998"/>
      <c r="M49" s="144"/>
      <c r="N49" s="144"/>
      <c r="O49" s="144"/>
      <c r="P49" s="144"/>
      <c r="Q49" s="144"/>
      <c r="R49" s="144"/>
      <c r="S49" s="144"/>
      <c r="T49" s="144"/>
      <c r="U49" s="566" t="e">
        <f t="shared" si="65"/>
        <v>#REF!</v>
      </c>
      <c r="V49" s="566" t="e">
        <f t="shared" si="65"/>
        <v>#REF!</v>
      </c>
      <c r="W49" s="566" t="e">
        <f t="shared" si="65"/>
        <v>#REF!</v>
      </c>
      <c r="X49" s="566" t="e">
        <f t="shared" si="65"/>
        <v>#REF!</v>
      </c>
      <c r="Y49" s="566" t="e">
        <f t="shared" si="65"/>
        <v>#REF!</v>
      </c>
      <c r="Z49" s="566" t="e">
        <f t="shared" si="65"/>
        <v>#REF!</v>
      </c>
      <c r="AA49" s="566" t="e">
        <f t="shared" si="65"/>
        <v>#REF!</v>
      </c>
      <c r="AB49" s="144"/>
      <c r="AC49" s="231"/>
      <c r="AD49" s="231"/>
      <c r="AE49" s="231"/>
      <c r="AF49" s="231"/>
      <c r="AG49" s="231"/>
      <c r="AH49" s="231"/>
      <c r="AI49" s="213"/>
    </row>
    <row r="50" spans="1:35">
      <c r="A50" s="144"/>
      <c r="B50" s="144"/>
      <c r="C50" s="144"/>
      <c r="D50" s="906"/>
      <c r="E50" s="144"/>
      <c r="F50" s="144"/>
      <c r="G50" s="144"/>
      <c r="H50" s="144"/>
      <c r="I50" s="144"/>
      <c r="J50" s="144"/>
      <c r="K50" s="144"/>
      <c r="L50" s="998"/>
      <c r="M50" s="144"/>
      <c r="N50" s="144"/>
      <c r="O50" s="144"/>
      <c r="P50" s="144"/>
      <c r="Q50" s="144"/>
      <c r="R50" s="144"/>
      <c r="S50" s="144"/>
      <c r="T50" s="144"/>
      <c r="U50" s="566" t="e">
        <f t="shared" si="65"/>
        <v>#REF!</v>
      </c>
      <c r="V50" s="566" t="e">
        <f t="shared" si="65"/>
        <v>#REF!</v>
      </c>
      <c r="W50" s="566" t="e">
        <f t="shared" si="65"/>
        <v>#REF!</v>
      </c>
      <c r="X50" s="566" t="e">
        <f t="shared" si="65"/>
        <v>#REF!</v>
      </c>
      <c r="Y50" s="566" t="e">
        <f t="shared" si="65"/>
        <v>#REF!</v>
      </c>
      <c r="Z50" s="566" t="e">
        <f t="shared" si="65"/>
        <v>#REF!</v>
      </c>
      <c r="AA50" s="566" t="e">
        <f t="shared" si="65"/>
        <v>#REF!</v>
      </c>
      <c r="AB50" s="144"/>
      <c r="AC50" s="231">
        <v>0</v>
      </c>
      <c r="AD50" s="231">
        <v>0</v>
      </c>
      <c r="AE50" s="231">
        <v>0</v>
      </c>
      <c r="AF50" s="231">
        <v>0</v>
      </c>
      <c r="AG50" s="231">
        <v>0</v>
      </c>
      <c r="AH50" s="231">
        <v>0</v>
      </c>
      <c r="AI50" s="213"/>
    </row>
    <row r="51" spans="1:35">
      <c r="A51" s="144"/>
      <c r="B51" s="144"/>
      <c r="C51" s="144"/>
      <c r="D51" s="906"/>
      <c r="E51" s="144"/>
      <c r="F51" s="144"/>
      <c r="G51" s="144"/>
      <c r="H51" s="144"/>
      <c r="I51" s="144"/>
      <c r="J51" s="144"/>
      <c r="K51" s="144" t="s">
        <v>1544</v>
      </c>
      <c r="L51" s="998"/>
      <c r="M51" s="144"/>
      <c r="N51" s="144"/>
      <c r="O51" s="144"/>
      <c r="P51" s="144"/>
      <c r="Q51" s="144"/>
      <c r="R51" s="144"/>
      <c r="S51" s="144"/>
      <c r="T51" s="144"/>
      <c r="U51" s="566" t="e">
        <f t="shared" si="65"/>
        <v>#REF!</v>
      </c>
      <c r="V51" s="566" t="e">
        <f t="shared" si="65"/>
        <v>#REF!</v>
      </c>
      <c r="W51" s="566" t="e">
        <f t="shared" si="65"/>
        <v>#REF!</v>
      </c>
      <c r="X51" s="566" t="e">
        <f t="shared" si="65"/>
        <v>#REF!</v>
      </c>
      <c r="Y51" s="566" t="e">
        <f t="shared" si="65"/>
        <v>#REF!</v>
      </c>
      <c r="Z51" s="566" t="e">
        <f t="shared" si="65"/>
        <v>#REF!</v>
      </c>
      <c r="AA51" s="566" t="e">
        <f t="shared" si="65"/>
        <v>#REF!</v>
      </c>
      <c r="AB51" s="144"/>
      <c r="AC51" s="231">
        <v>0</v>
      </c>
      <c r="AD51" s="231">
        <v>0</v>
      </c>
      <c r="AE51" s="231">
        <v>0</v>
      </c>
      <c r="AF51" s="231">
        <v>0</v>
      </c>
      <c r="AG51" s="231">
        <v>0</v>
      </c>
      <c r="AH51" s="231">
        <v>0</v>
      </c>
      <c r="AI51" s="213"/>
    </row>
    <row r="52" spans="1:35">
      <c r="A52" s="144"/>
      <c r="B52" s="144"/>
      <c r="C52" s="144"/>
      <c r="D52" s="906"/>
      <c r="E52" s="144"/>
      <c r="F52" s="144"/>
      <c r="G52" s="144"/>
      <c r="H52" s="144"/>
      <c r="I52" s="144"/>
      <c r="J52" s="144"/>
      <c r="K52" s="144"/>
      <c r="L52" s="998"/>
      <c r="M52" s="144"/>
      <c r="N52" s="144"/>
      <c r="O52" s="144"/>
      <c r="P52" s="144"/>
      <c r="Q52" s="144"/>
      <c r="R52" s="144"/>
      <c r="S52" s="144"/>
      <c r="T52" s="144"/>
      <c r="U52" s="566" t="e">
        <f t="shared" si="65"/>
        <v>#REF!</v>
      </c>
      <c r="V52" s="566" t="e">
        <f t="shared" si="65"/>
        <v>#REF!</v>
      </c>
      <c r="W52" s="566" t="e">
        <f t="shared" si="65"/>
        <v>#REF!</v>
      </c>
      <c r="X52" s="566" t="e">
        <f t="shared" si="65"/>
        <v>#REF!</v>
      </c>
      <c r="Y52" s="566" t="e">
        <f t="shared" si="65"/>
        <v>#REF!</v>
      </c>
      <c r="Z52" s="566" t="e">
        <f t="shared" si="65"/>
        <v>#REF!</v>
      </c>
      <c r="AA52" s="566" t="e">
        <f t="shared" si="65"/>
        <v>#REF!</v>
      </c>
      <c r="AB52" s="144"/>
      <c r="AC52" s="231">
        <v>0</v>
      </c>
      <c r="AD52" s="231">
        <v>0</v>
      </c>
      <c r="AE52" s="231">
        <v>0</v>
      </c>
      <c r="AF52" s="231">
        <v>0</v>
      </c>
      <c r="AG52" s="231">
        <v>0</v>
      </c>
      <c r="AH52" s="231">
        <v>0</v>
      </c>
      <c r="AI52" s="213"/>
    </row>
    <row r="53" spans="1:35">
      <c r="A53" s="144"/>
      <c r="B53" s="144"/>
      <c r="C53" s="144"/>
      <c r="D53" s="906"/>
      <c r="E53" s="144"/>
      <c r="F53" s="144"/>
      <c r="G53" s="144"/>
      <c r="H53" s="144"/>
      <c r="I53" s="144"/>
      <c r="J53" s="144"/>
      <c r="K53" s="144"/>
      <c r="L53" s="998"/>
      <c r="M53" s="144"/>
      <c r="N53" s="144"/>
      <c r="O53" s="144"/>
      <c r="P53" s="144"/>
      <c r="Q53" s="144"/>
      <c r="R53" s="144"/>
      <c r="S53" s="144"/>
      <c r="T53" s="144"/>
      <c r="U53" s="566" t="e">
        <f t="shared" si="65"/>
        <v>#REF!</v>
      </c>
      <c r="V53" s="566" t="e">
        <f t="shared" si="65"/>
        <v>#REF!</v>
      </c>
      <c r="W53" s="566" t="e">
        <f t="shared" si="65"/>
        <v>#REF!</v>
      </c>
      <c r="X53" s="566" t="e">
        <f t="shared" si="65"/>
        <v>#REF!</v>
      </c>
      <c r="Y53" s="566" t="e">
        <f t="shared" si="65"/>
        <v>#REF!</v>
      </c>
      <c r="Z53" s="566" t="e">
        <f t="shared" si="65"/>
        <v>#REF!</v>
      </c>
      <c r="AA53" s="566" t="e">
        <f t="shared" si="65"/>
        <v>#REF!</v>
      </c>
      <c r="AB53" s="144"/>
      <c r="AC53" s="231"/>
      <c r="AD53" s="231"/>
      <c r="AE53" s="231"/>
      <c r="AF53" s="231"/>
      <c r="AG53" s="231"/>
      <c r="AH53" s="231"/>
      <c r="AI53" s="213"/>
    </row>
    <row r="54" spans="1:35">
      <c r="A54" s="144"/>
      <c r="B54" s="144"/>
      <c r="C54" s="144"/>
      <c r="D54" s="906"/>
      <c r="E54" s="144"/>
      <c r="F54" s="144"/>
      <c r="G54" s="144"/>
      <c r="H54" s="144"/>
      <c r="I54" s="144"/>
      <c r="J54" s="144"/>
      <c r="K54" s="144"/>
      <c r="L54" s="998"/>
      <c r="M54" s="144"/>
      <c r="N54" s="144"/>
      <c r="O54" s="144"/>
      <c r="P54" s="144"/>
      <c r="Q54" s="144"/>
      <c r="R54" s="144"/>
      <c r="S54" s="144"/>
      <c r="T54" s="144"/>
      <c r="U54" s="566" t="e">
        <f t="shared" si="65"/>
        <v>#REF!</v>
      </c>
      <c r="V54" s="566" t="e">
        <f t="shared" si="65"/>
        <v>#REF!</v>
      </c>
      <c r="W54" s="566" t="e">
        <f t="shared" si="65"/>
        <v>#REF!</v>
      </c>
      <c r="X54" s="566" t="e">
        <f t="shared" si="65"/>
        <v>#REF!</v>
      </c>
      <c r="Y54" s="566" t="e">
        <f t="shared" si="65"/>
        <v>#REF!</v>
      </c>
      <c r="Z54" s="566" t="e">
        <f t="shared" si="65"/>
        <v>#REF!</v>
      </c>
      <c r="AA54" s="566" t="e">
        <f t="shared" si="65"/>
        <v>#REF!</v>
      </c>
      <c r="AB54" s="144"/>
      <c r="AC54" s="231"/>
      <c r="AD54" s="231"/>
      <c r="AE54" s="231"/>
      <c r="AF54" s="231"/>
      <c r="AG54" s="231"/>
      <c r="AH54" s="231"/>
      <c r="AI54" s="213"/>
    </row>
    <row r="55" spans="1:35">
      <c r="A55" s="144"/>
      <c r="B55" s="144"/>
      <c r="C55" s="144"/>
      <c r="D55" s="906"/>
      <c r="E55" s="144"/>
      <c r="F55" s="144"/>
      <c r="G55" s="144"/>
      <c r="H55" s="144"/>
      <c r="I55" s="144"/>
      <c r="J55" s="144"/>
      <c r="K55" s="144"/>
      <c r="L55" s="998"/>
      <c r="M55" s="144"/>
      <c r="N55" s="144"/>
      <c r="O55" s="144"/>
      <c r="P55" s="144"/>
      <c r="Q55" s="144"/>
      <c r="R55" s="144"/>
      <c r="S55" s="144"/>
      <c r="T55" s="144"/>
      <c r="U55" s="566" t="e">
        <f t="shared" si="65"/>
        <v>#REF!</v>
      </c>
      <c r="V55" s="566" t="e">
        <f t="shared" si="65"/>
        <v>#REF!</v>
      </c>
      <c r="W55" s="566" t="e">
        <f t="shared" si="65"/>
        <v>#REF!</v>
      </c>
      <c r="X55" s="566" t="e">
        <f t="shared" si="65"/>
        <v>#REF!</v>
      </c>
      <c r="Y55" s="566" t="e">
        <f t="shared" si="65"/>
        <v>#REF!</v>
      </c>
      <c r="Z55" s="566" t="e">
        <f t="shared" si="65"/>
        <v>#REF!</v>
      </c>
      <c r="AA55" s="566" t="e">
        <f t="shared" si="65"/>
        <v>#REF!</v>
      </c>
      <c r="AB55" s="144"/>
      <c r="AC55" s="231">
        <v>0</v>
      </c>
      <c r="AD55" s="231">
        <v>0</v>
      </c>
      <c r="AE55" s="231">
        <v>0</v>
      </c>
      <c r="AF55" s="231">
        <v>0</v>
      </c>
      <c r="AG55" s="231">
        <v>0</v>
      </c>
      <c r="AH55" s="231">
        <v>0</v>
      </c>
      <c r="AI55" s="213"/>
    </row>
    <row r="56" spans="1:35">
      <c r="A56" s="144"/>
      <c r="B56" s="144"/>
      <c r="C56" s="144"/>
      <c r="D56" s="906"/>
      <c r="E56" s="144"/>
      <c r="F56" s="144"/>
      <c r="G56" s="144"/>
      <c r="H56" s="144"/>
      <c r="I56" s="144"/>
      <c r="J56" s="144"/>
      <c r="K56" s="144"/>
      <c r="L56" s="998"/>
      <c r="M56" s="144"/>
      <c r="N56" s="144"/>
      <c r="O56" s="144"/>
      <c r="P56" s="144"/>
      <c r="Q56" s="144"/>
      <c r="R56" s="144"/>
      <c r="S56" s="144"/>
      <c r="T56" s="144"/>
      <c r="U56" s="566" t="e">
        <f t="shared" si="65"/>
        <v>#REF!</v>
      </c>
      <c r="V56" s="566" t="e">
        <f t="shared" si="65"/>
        <v>#REF!</v>
      </c>
      <c r="W56" s="566" t="e">
        <f t="shared" si="65"/>
        <v>#REF!</v>
      </c>
      <c r="X56" s="566" t="e">
        <f t="shared" si="65"/>
        <v>#REF!</v>
      </c>
      <c r="Y56" s="566" t="e">
        <f t="shared" si="65"/>
        <v>#REF!</v>
      </c>
      <c r="Z56" s="566" t="e">
        <f t="shared" si="65"/>
        <v>#REF!</v>
      </c>
      <c r="AA56" s="566" t="e">
        <f t="shared" si="65"/>
        <v>#REF!</v>
      </c>
      <c r="AB56" s="144"/>
      <c r="AC56" s="231">
        <v>0</v>
      </c>
      <c r="AD56" s="231">
        <v>0</v>
      </c>
      <c r="AE56" s="231">
        <v>0</v>
      </c>
      <c r="AF56" s="231">
        <v>0</v>
      </c>
      <c r="AG56" s="231">
        <v>0</v>
      </c>
      <c r="AH56" s="231">
        <v>0</v>
      </c>
      <c r="AI56" s="213"/>
    </row>
    <row r="57" spans="1:35">
      <c r="A57" s="144"/>
      <c r="B57" s="144"/>
      <c r="C57" s="144"/>
      <c r="D57" s="906"/>
      <c r="E57" s="144"/>
      <c r="F57" s="144"/>
      <c r="G57" s="144"/>
      <c r="H57" s="144"/>
      <c r="I57" s="144"/>
      <c r="J57" s="144"/>
      <c r="K57" s="144"/>
      <c r="L57" s="998"/>
      <c r="M57" s="144"/>
      <c r="N57" s="144"/>
      <c r="O57" s="144"/>
      <c r="P57" s="144"/>
      <c r="Q57" s="144"/>
      <c r="R57" s="144"/>
      <c r="S57" s="144"/>
      <c r="T57" s="144"/>
      <c r="U57" s="566" t="e">
        <f t="shared" si="65"/>
        <v>#REF!</v>
      </c>
      <c r="V57" s="566" t="e">
        <f t="shared" si="65"/>
        <v>#REF!</v>
      </c>
      <c r="W57" s="566" t="e">
        <f t="shared" si="65"/>
        <v>#REF!</v>
      </c>
      <c r="X57" s="566" t="e">
        <f t="shared" si="65"/>
        <v>#REF!</v>
      </c>
      <c r="Y57" s="566" t="e">
        <f t="shared" si="65"/>
        <v>#REF!</v>
      </c>
      <c r="Z57" s="566" t="e">
        <f t="shared" si="65"/>
        <v>#REF!</v>
      </c>
      <c r="AA57" s="566" t="e">
        <f t="shared" si="65"/>
        <v>#REF!</v>
      </c>
      <c r="AB57" s="144"/>
      <c r="AC57" s="231">
        <v>0</v>
      </c>
      <c r="AD57" s="231">
        <v>0</v>
      </c>
      <c r="AE57" s="231">
        <v>0</v>
      </c>
      <c r="AF57" s="231">
        <v>0</v>
      </c>
      <c r="AG57" s="231">
        <v>0</v>
      </c>
      <c r="AH57" s="231">
        <v>0</v>
      </c>
      <c r="AI57" s="213"/>
    </row>
    <row r="58" spans="1:35">
      <c r="A58" s="144"/>
      <c r="B58" s="144"/>
      <c r="C58" s="144"/>
      <c r="D58" s="906"/>
      <c r="E58" s="144"/>
      <c r="F58" s="144"/>
      <c r="G58" s="144"/>
      <c r="H58" s="144"/>
      <c r="I58" s="144"/>
      <c r="J58" s="144"/>
      <c r="K58" s="144"/>
      <c r="L58" s="998"/>
      <c r="M58" s="144"/>
      <c r="N58" s="144"/>
      <c r="O58" s="144"/>
      <c r="P58" s="144"/>
      <c r="Q58" s="144"/>
      <c r="R58" s="144"/>
      <c r="S58" s="144"/>
      <c r="T58" s="144"/>
      <c r="U58" s="566" t="e">
        <f t="shared" si="65"/>
        <v>#REF!</v>
      </c>
      <c r="V58" s="566" t="e">
        <f t="shared" si="65"/>
        <v>#REF!</v>
      </c>
      <c r="W58" s="566" t="e">
        <f t="shared" si="65"/>
        <v>#REF!</v>
      </c>
      <c r="X58" s="566" t="e">
        <f t="shared" si="65"/>
        <v>#REF!</v>
      </c>
      <c r="Y58" s="566" t="e">
        <f t="shared" si="65"/>
        <v>#REF!</v>
      </c>
      <c r="Z58" s="566" t="e">
        <f t="shared" si="65"/>
        <v>#REF!</v>
      </c>
      <c r="AA58" s="566" t="e">
        <f t="shared" si="65"/>
        <v>#REF!</v>
      </c>
      <c r="AB58" s="144"/>
      <c r="AC58" s="231"/>
      <c r="AD58" s="231"/>
      <c r="AE58" s="231"/>
      <c r="AF58" s="231"/>
      <c r="AG58" s="231"/>
      <c r="AH58" s="231"/>
      <c r="AI58" s="213"/>
    </row>
    <row r="59" spans="1:35">
      <c r="A59" s="144"/>
      <c r="B59" s="144"/>
      <c r="C59" s="144"/>
      <c r="D59" s="906"/>
      <c r="E59" s="144"/>
      <c r="F59" s="144"/>
      <c r="G59" s="144"/>
      <c r="H59" s="144"/>
      <c r="I59" s="144"/>
      <c r="J59" s="144"/>
      <c r="K59" s="144"/>
      <c r="L59" s="998"/>
      <c r="M59" s="144"/>
      <c r="N59" s="144"/>
      <c r="O59" s="144"/>
      <c r="P59" s="144"/>
      <c r="Q59" s="144"/>
      <c r="R59" s="144"/>
      <c r="S59" s="144"/>
      <c r="T59" s="144"/>
      <c r="U59" s="566" t="e">
        <f t="shared" ref="U59:AA74" si="66">IF(U58&gt;0,U58,U57)</f>
        <v>#REF!</v>
      </c>
      <c r="V59" s="566" t="e">
        <f t="shared" si="66"/>
        <v>#REF!</v>
      </c>
      <c r="W59" s="566" t="e">
        <f t="shared" si="66"/>
        <v>#REF!</v>
      </c>
      <c r="X59" s="566" t="e">
        <f t="shared" si="66"/>
        <v>#REF!</v>
      </c>
      <c r="Y59" s="566" t="e">
        <f t="shared" si="66"/>
        <v>#REF!</v>
      </c>
      <c r="Z59" s="566" t="e">
        <f t="shared" si="66"/>
        <v>#REF!</v>
      </c>
      <c r="AA59" s="566" t="e">
        <f t="shared" si="66"/>
        <v>#REF!</v>
      </c>
      <c r="AB59" s="144"/>
      <c r="AC59" s="231"/>
      <c r="AD59" s="231"/>
      <c r="AE59" s="231"/>
      <c r="AF59" s="231"/>
      <c r="AG59" s="231"/>
      <c r="AH59" s="231"/>
      <c r="AI59" s="213"/>
    </row>
    <row r="60" spans="1:35">
      <c r="A60" s="144"/>
      <c r="B60" s="144"/>
      <c r="C60" s="144"/>
      <c r="D60" s="906"/>
      <c r="E60" s="144"/>
      <c r="F60" s="144"/>
      <c r="G60" s="144"/>
      <c r="H60" s="144"/>
      <c r="I60" s="144"/>
      <c r="J60" s="144"/>
      <c r="K60" s="144"/>
      <c r="L60" s="998"/>
      <c r="M60" s="144"/>
      <c r="N60" s="144"/>
      <c r="O60" s="144"/>
      <c r="P60" s="144"/>
      <c r="Q60" s="144"/>
      <c r="R60" s="144"/>
      <c r="S60" s="144"/>
      <c r="T60" s="144"/>
      <c r="U60" s="566" t="e">
        <f t="shared" si="66"/>
        <v>#REF!</v>
      </c>
      <c r="V60" s="566" t="e">
        <f t="shared" si="66"/>
        <v>#REF!</v>
      </c>
      <c r="W60" s="566" t="e">
        <f t="shared" si="66"/>
        <v>#REF!</v>
      </c>
      <c r="X60" s="566" t="e">
        <f t="shared" si="66"/>
        <v>#REF!</v>
      </c>
      <c r="Y60" s="566" t="e">
        <f t="shared" si="66"/>
        <v>#REF!</v>
      </c>
      <c r="Z60" s="566" t="e">
        <f t="shared" si="66"/>
        <v>#REF!</v>
      </c>
      <c r="AA60" s="566" t="e">
        <f t="shared" si="66"/>
        <v>#REF!</v>
      </c>
      <c r="AB60" s="144"/>
      <c r="AC60" s="231">
        <v>0</v>
      </c>
      <c r="AD60" s="231">
        <v>0</v>
      </c>
      <c r="AE60" s="231">
        <v>0</v>
      </c>
      <c r="AF60" s="231">
        <v>0</v>
      </c>
      <c r="AG60" s="231">
        <v>0</v>
      </c>
      <c r="AH60" s="231">
        <v>0</v>
      </c>
      <c r="AI60" s="213"/>
    </row>
    <row r="61" spans="1:35">
      <c r="A61" s="144"/>
      <c r="B61" s="144"/>
      <c r="C61" s="144"/>
      <c r="D61" s="906"/>
      <c r="E61" s="144"/>
      <c r="F61" s="144"/>
      <c r="G61" s="144"/>
      <c r="H61" s="144"/>
      <c r="I61" s="144"/>
      <c r="J61" s="144"/>
      <c r="K61" s="144"/>
      <c r="L61" s="998"/>
      <c r="M61" s="144"/>
      <c r="N61" s="144"/>
      <c r="O61" s="144"/>
      <c r="P61" s="144"/>
      <c r="Q61" s="144"/>
      <c r="R61" s="144"/>
      <c r="S61" s="144"/>
      <c r="T61" s="144"/>
      <c r="U61" s="566" t="e">
        <f t="shared" si="66"/>
        <v>#REF!</v>
      </c>
      <c r="V61" s="566" t="e">
        <f t="shared" si="66"/>
        <v>#REF!</v>
      </c>
      <c r="W61" s="566" t="e">
        <f t="shared" si="66"/>
        <v>#REF!</v>
      </c>
      <c r="X61" s="566" t="e">
        <f t="shared" si="66"/>
        <v>#REF!</v>
      </c>
      <c r="Y61" s="566" t="e">
        <f t="shared" si="66"/>
        <v>#REF!</v>
      </c>
      <c r="Z61" s="566" t="e">
        <f t="shared" si="66"/>
        <v>#REF!</v>
      </c>
      <c r="AA61" s="566" t="e">
        <f t="shared" si="66"/>
        <v>#REF!</v>
      </c>
      <c r="AB61" s="144"/>
      <c r="AC61" s="231">
        <v>0</v>
      </c>
      <c r="AD61" s="231">
        <v>0</v>
      </c>
      <c r="AE61" s="231">
        <v>0</v>
      </c>
      <c r="AF61" s="231">
        <v>0</v>
      </c>
      <c r="AG61" s="231">
        <v>0</v>
      </c>
      <c r="AH61" s="231">
        <v>0</v>
      </c>
      <c r="AI61" s="213"/>
    </row>
    <row r="62" spans="1:35">
      <c r="A62" s="144"/>
      <c r="B62" s="144"/>
      <c r="C62" s="144"/>
      <c r="D62" s="906"/>
      <c r="E62" s="144"/>
      <c r="F62" s="144"/>
      <c r="G62" s="144"/>
      <c r="H62" s="144"/>
      <c r="I62" s="144"/>
      <c r="J62" s="144"/>
      <c r="K62" s="144"/>
      <c r="L62" s="998"/>
      <c r="M62" s="144"/>
      <c r="N62" s="144"/>
      <c r="O62" s="144"/>
      <c r="P62" s="144"/>
      <c r="Q62" s="144"/>
      <c r="R62" s="144"/>
      <c r="S62" s="144"/>
      <c r="T62" s="144"/>
      <c r="U62" s="566" t="e">
        <f t="shared" si="66"/>
        <v>#REF!</v>
      </c>
      <c r="V62" s="566" t="e">
        <f t="shared" si="66"/>
        <v>#REF!</v>
      </c>
      <c r="W62" s="566" t="e">
        <f t="shared" si="66"/>
        <v>#REF!</v>
      </c>
      <c r="X62" s="566" t="e">
        <f t="shared" si="66"/>
        <v>#REF!</v>
      </c>
      <c r="Y62" s="566" t="e">
        <f t="shared" si="66"/>
        <v>#REF!</v>
      </c>
      <c r="Z62" s="566" t="e">
        <f t="shared" si="66"/>
        <v>#REF!</v>
      </c>
      <c r="AA62" s="566" t="e">
        <f t="shared" si="66"/>
        <v>#REF!</v>
      </c>
      <c r="AB62" s="144"/>
      <c r="AC62" s="231"/>
      <c r="AD62" s="231"/>
      <c r="AE62" s="231"/>
      <c r="AF62" s="231"/>
      <c r="AG62" s="231"/>
      <c r="AH62" s="231"/>
      <c r="AI62" s="213"/>
    </row>
    <row r="63" spans="1:35">
      <c r="A63" s="144"/>
      <c r="B63" s="144"/>
      <c r="C63" s="144"/>
      <c r="D63" s="906"/>
      <c r="E63" s="144"/>
      <c r="F63" s="144"/>
      <c r="G63" s="144"/>
      <c r="H63" s="144"/>
      <c r="I63" s="144"/>
      <c r="J63" s="144"/>
      <c r="K63" s="144"/>
      <c r="L63" s="998"/>
      <c r="M63" s="144"/>
      <c r="N63" s="144"/>
      <c r="O63" s="144"/>
      <c r="P63" s="144"/>
      <c r="Q63" s="144"/>
      <c r="R63" s="144"/>
      <c r="S63" s="144"/>
      <c r="T63" s="144"/>
      <c r="U63" s="566" t="e">
        <f t="shared" si="66"/>
        <v>#REF!</v>
      </c>
      <c r="V63" s="566" t="e">
        <f t="shared" si="66"/>
        <v>#REF!</v>
      </c>
      <c r="W63" s="566" t="e">
        <f t="shared" si="66"/>
        <v>#REF!</v>
      </c>
      <c r="X63" s="566" t="e">
        <f t="shared" si="66"/>
        <v>#REF!</v>
      </c>
      <c r="Y63" s="566" t="e">
        <f t="shared" si="66"/>
        <v>#REF!</v>
      </c>
      <c r="Z63" s="566" t="e">
        <f t="shared" si="66"/>
        <v>#REF!</v>
      </c>
      <c r="AA63" s="566" t="e">
        <f t="shared" si="66"/>
        <v>#REF!</v>
      </c>
      <c r="AB63" s="144"/>
      <c r="AC63" s="231"/>
      <c r="AD63" s="231"/>
      <c r="AE63" s="231"/>
      <c r="AF63" s="231"/>
      <c r="AG63" s="231"/>
      <c r="AH63" s="231"/>
      <c r="AI63" s="213"/>
    </row>
    <row r="64" spans="1:35">
      <c r="A64" s="144"/>
      <c r="B64" s="144"/>
      <c r="C64" s="144"/>
      <c r="D64" s="906"/>
      <c r="E64" s="144"/>
      <c r="F64" s="144"/>
      <c r="G64" s="144"/>
      <c r="H64" s="144"/>
      <c r="I64" s="144"/>
      <c r="J64" s="144"/>
      <c r="K64" s="144"/>
      <c r="L64" s="998"/>
      <c r="M64" s="144"/>
      <c r="N64" s="144"/>
      <c r="O64" s="144"/>
      <c r="P64" s="144"/>
      <c r="Q64" s="144"/>
      <c r="R64" s="144"/>
      <c r="S64" s="144"/>
      <c r="T64" s="144"/>
      <c r="U64" s="566" t="e">
        <f t="shared" si="66"/>
        <v>#REF!</v>
      </c>
      <c r="V64" s="566" t="e">
        <f t="shared" si="66"/>
        <v>#REF!</v>
      </c>
      <c r="W64" s="566" t="e">
        <f t="shared" si="66"/>
        <v>#REF!</v>
      </c>
      <c r="X64" s="566" t="e">
        <f t="shared" si="66"/>
        <v>#REF!</v>
      </c>
      <c r="Y64" s="566" t="e">
        <f t="shared" si="66"/>
        <v>#REF!</v>
      </c>
      <c r="Z64" s="566" t="e">
        <f t="shared" si="66"/>
        <v>#REF!</v>
      </c>
      <c r="AA64" s="566" t="e">
        <f t="shared" si="66"/>
        <v>#REF!</v>
      </c>
      <c r="AB64" s="144"/>
      <c r="AC64" s="231">
        <v>0</v>
      </c>
      <c r="AD64" s="231">
        <v>0</v>
      </c>
      <c r="AE64" s="231">
        <v>0</v>
      </c>
      <c r="AF64" s="231">
        <v>0</v>
      </c>
      <c r="AG64" s="231">
        <v>0</v>
      </c>
      <c r="AH64" s="231">
        <v>0</v>
      </c>
      <c r="AI64" s="213"/>
    </row>
    <row r="65" spans="1:35">
      <c r="A65" s="144"/>
      <c r="B65" s="144"/>
      <c r="C65" s="144"/>
      <c r="D65" s="906"/>
      <c r="E65" s="144"/>
      <c r="F65" s="144"/>
      <c r="G65" s="144"/>
      <c r="H65" s="144"/>
      <c r="I65" s="144"/>
      <c r="J65" s="144"/>
      <c r="K65" s="144"/>
      <c r="L65" s="998"/>
      <c r="M65" s="144"/>
      <c r="N65" s="144"/>
      <c r="O65" s="144"/>
      <c r="P65" s="144"/>
      <c r="Q65" s="144"/>
      <c r="R65" s="144"/>
      <c r="S65" s="144"/>
      <c r="T65" s="144"/>
      <c r="U65" s="566" t="e">
        <f t="shared" si="66"/>
        <v>#REF!</v>
      </c>
      <c r="V65" s="566" t="e">
        <f t="shared" si="66"/>
        <v>#REF!</v>
      </c>
      <c r="W65" s="566" t="e">
        <f t="shared" si="66"/>
        <v>#REF!</v>
      </c>
      <c r="X65" s="566" t="e">
        <f t="shared" si="66"/>
        <v>#REF!</v>
      </c>
      <c r="Y65" s="566" t="e">
        <f t="shared" si="66"/>
        <v>#REF!</v>
      </c>
      <c r="Z65" s="566" t="e">
        <f t="shared" si="66"/>
        <v>#REF!</v>
      </c>
      <c r="AA65" s="566" t="e">
        <f t="shared" si="66"/>
        <v>#REF!</v>
      </c>
      <c r="AB65" s="144"/>
      <c r="AC65" s="231">
        <v>0</v>
      </c>
      <c r="AD65" s="231">
        <v>0</v>
      </c>
      <c r="AE65" s="231">
        <v>0</v>
      </c>
      <c r="AF65" s="231">
        <v>0</v>
      </c>
      <c r="AG65" s="231">
        <v>0</v>
      </c>
      <c r="AH65" s="231">
        <v>0</v>
      </c>
      <c r="AI65" s="213"/>
    </row>
    <row r="66" spans="1:35">
      <c r="A66" s="144"/>
      <c r="B66" s="144"/>
      <c r="C66" s="144"/>
      <c r="D66" s="906"/>
      <c r="E66" s="144"/>
      <c r="F66" s="144"/>
      <c r="G66" s="144"/>
      <c r="H66" s="144"/>
      <c r="I66" s="144"/>
      <c r="J66" s="144"/>
      <c r="K66" s="144"/>
      <c r="L66" s="998"/>
      <c r="M66" s="144"/>
      <c r="N66" s="144"/>
      <c r="O66" s="144"/>
      <c r="P66" s="144"/>
      <c r="Q66" s="144"/>
      <c r="R66" s="144"/>
      <c r="S66" s="144"/>
      <c r="T66" s="144"/>
      <c r="U66" s="566" t="e">
        <f t="shared" si="66"/>
        <v>#REF!</v>
      </c>
      <c r="V66" s="566" t="e">
        <f t="shared" si="66"/>
        <v>#REF!</v>
      </c>
      <c r="W66" s="566" t="e">
        <f t="shared" si="66"/>
        <v>#REF!</v>
      </c>
      <c r="X66" s="566" t="e">
        <f t="shared" si="66"/>
        <v>#REF!</v>
      </c>
      <c r="Y66" s="566" t="e">
        <f t="shared" si="66"/>
        <v>#REF!</v>
      </c>
      <c r="Z66" s="566" t="e">
        <f t="shared" si="66"/>
        <v>#REF!</v>
      </c>
      <c r="AA66" s="566" t="e">
        <f t="shared" si="66"/>
        <v>#REF!</v>
      </c>
      <c r="AB66" s="144"/>
      <c r="AC66" s="231">
        <v>0</v>
      </c>
      <c r="AD66" s="231">
        <v>0</v>
      </c>
      <c r="AE66" s="231">
        <v>0</v>
      </c>
      <c r="AF66" s="231">
        <v>0</v>
      </c>
      <c r="AG66" s="231">
        <v>0</v>
      </c>
      <c r="AH66" s="231">
        <v>0</v>
      </c>
      <c r="AI66" s="213"/>
    </row>
    <row r="67" spans="1:35">
      <c r="A67" s="144"/>
      <c r="B67" s="144"/>
      <c r="C67" s="144"/>
      <c r="D67" s="906"/>
      <c r="E67" s="144"/>
      <c r="F67" s="144"/>
      <c r="G67" s="144"/>
      <c r="H67" s="144"/>
      <c r="I67" s="144"/>
      <c r="J67" s="144"/>
      <c r="K67" s="144"/>
      <c r="L67" s="998"/>
      <c r="M67" s="144"/>
      <c r="N67" s="144"/>
      <c r="O67" s="144"/>
      <c r="P67" s="144"/>
      <c r="Q67" s="144"/>
      <c r="R67" s="144"/>
      <c r="S67" s="144"/>
      <c r="T67" s="144"/>
      <c r="U67" s="566" t="e">
        <f t="shared" si="66"/>
        <v>#REF!</v>
      </c>
      <c r="V67" s="566" t="e">
        <f t="shared" si="66"/>
        <v>#REF!</v>
      </c>
      <c r="W67" s="566" t="e">
        <f t="shared" si="66"/>
        <v>#REF!</v>
      </c>
      <c r="X67" s="566" t="e">
        <f t="shared" si="66"/>
        <v>#REF!</v>
      </c>
      <c r="Y67" s="566" t="e">
        <f t="shared" si="66"/>
        <v>#REF!</v>
      </c>
      <c r="Z67" s="566" t="e">
        <f t="shared" si="66"/>
        <v>#REF!</v>
      </c>
      <c r="AA67" s="566" t="e">
        <f t="shared" si="66"/>
        <v>#REF!</v>
      </c>
      <c r="AB67" s="144"/>
      <c r="AC67" s="231">
        <v>0</v>
      </c>
      <c r="AD67" s="231">
        <v>0</v>
      </c>
      <c r="AE67" s="231">
        <v>0</v>
      </c>
      <c r="AF67" s="231">
        <v>0</v>
      </c>
      <c r="AG67" s="231">
        <v>0</v>
      </c>
      <c r="AH67" s="231">
        <v>0</v>
      </c>
      <c r="AI67" s="213"/>
    </row>
    <row r="68" spans="1:35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998"/>
      <c r="M68" s="144"/>
      <c r="N68" s="144"/>
      <c r="O68" s="144"/>
      <c r="P68" s="144"/>
      <c r="Q68" s="144"/>
      <c r="R68" s="144"/>
      <c r="S68" s="144"/>
      <c r="T68" s="144"/>
      <c r="U68" s="566" t="e">
        <f t="shared" si="66"/>
        <v>#REF!</v>
      </c>
      <c r="V68" s="566" t="e">
        <f t="shared" si="66"/>
        <v>#REF!</v>
      </c>
      <c r="W68" s="566" t="e">
        <f t="shared" si="66"/>
        <v>#REF!</v>
      </c>
      <c r="X68" s="566" t="e">
        <f t="shared" si="66"/>
        <v>#REF!</v>
      </c>
      <c r="Y68" s="566" t="e">
        <f t="shared" si="66"/>
        <v>#REF!</v>
      </c>
      <c r="Z68" s="566" t="e">
        <f t="shared" si="66"/>
        <v>#REF!</v>
      </c>
      <c r="AA68" s="566" t="e">
        <f t="shared" si="66"/>
        <v>#REF!</v>
      </c>
      <c r="AB68" s="144"/>
      <c r="AC68" s="231"/>
      <c r="AD68" s="231"/>
      <c r="AE68" s="231"/>
      <c r="AF68" s="231"/>
      <c r="AG68" s="231"/>
      <c r="AH68" s="231"/>
      <c r="AI68" s="213"/>
    </row>
    <row r="69" spans="1:35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998"/>
      <c r="M69" s="144"/>
      <c r="N69" s="144"/>
      <c r="O69" s="144"/>
      <c r="P69" s="144"/>
      <c r="Q69" s="144"/>
      <c r="R69" s="144"/>
      <c r="S69" s="144"/>
      <c r="T69" s="144"/>
      <c r="U69" s="566" t="e">
        <f t="shared" si="66"/>
        <v>#REF!</v>
      </c>
      <c r="V69" s="566" t="e">
        <f t="shared" si="66"/>
        <v>#REF!</v>
      </c>
      <c r="W69" s="566" t="e">
        <f t="shared" si="66"/>
        <v>#REF!</v>
      </c>
      <c r="X69" s="566" t="e">
        <f t="shared" si="66"/>
        <v>#REF!</v>
      </c>
      <c r="Y69" s="566" t="e">
        <f t="shared" si="66"/>
        <v>#REF!</v>
      </c>
      <c r="Z69" s="566" t="e">
        <f t="shared" si="66"/>
        <v>#REF!</v>
      </c>
      <c r="AA69" s="566" t="e">
        <f t="shared" si="66"/>
        <v>#REF!</v>
      </c>
      <c r="AB69" s="144"/>
      <c r="AC69" s="231">
        <v>0</v>
      </c>
      <c r="AD69" s="231">
        <v>0</v>
      </c>
      <c r="AE69" s="231">
        <v>0</v>
      </c>
      <c r="AF69" s="231">
        <v>0</v>
      </c>
      <c r="AG69" s="231">
        <v>0</v>
      </c>
      <c r="AH69" s="231">
        <v>0</v>
      </c>
      <c r="AI69" s="213"/>
    </row>
    <row r="70" spans="1:35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998"/>
      <c r="M70" s="144"/>
      <c r="N70" s="144"/>
      <c r="O70" s="144"/>
      <c r="P70" s="144"/>
      <c r="Q70" s="144"/>
      <c r="R70" s="144"/>
      <c r="S70" s="144"/>
      <c r="T70" s="144"/>
      <c r="U70" s="566" t="e">
        <f t="shared" si="66"/>
        <v>#REF!</v>
      </c>
      <c r="V70" s="566" t="e">
        <f t="shared" si="66"/>
        <v>#REF!</v>
      </c>
      <c r="W70" s="566" t="e">
        <f t="shared" si="66"/>
        <v>#REF!</v>
      </c>
      <c r="X70" s="566" t="e">
        <f t="shared" si="66"/>
        <v>#REF!</v>
      </c>
      <c r="Y70" s="566" t="e">
        <f t="shared" si="66"/>
        <v>#REF!</v>
      </c>
      <c r="Z70" s="566" t="e">
        <f t="shared" si="66"/>
        <v>#REF!</v>
      </c>
      <c r="AA70" s="566" t="e">
        <f t="shared" si="66"/>
        <v>#REF!</v>
      </c>
      <c r="AB70" s="144"/>
      <c r="AC70" s="231">
        <v>0</v>
      </c>
      <c r="AD70" s="231">
        <v>0</v>
      </c>
      <c r="AE70" s="231">
        <v>0</v>
      </c>
      <c r="AF70" s="231">
        <v>0</v>
      </c>
      <c r="AG70" s="231">
        <v>0</v>
      </c>
      <c r="AH70" s="231">
        <v>0</v>
      </c>
      <c r="AI70" s="213"/>
    </row>
    <row r="71" spans="1:35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998"/>
      <c r="M71" s="144"/>
      <c r="N71" s="144"/>
      <c r="O71" s="144"/>
      <c r="P71" s="144"/>
      <c r="Q71" s="144"/>
      <c r="R71" s="144"/>
      <c r="S71" s="144"/>
      <c r="T71" s="144"/>
      <c r="U71" s="566" t="e">
        <f t="shared" si="66"/>
        <v>#REF!</v>
      </c>
      <c r="V71" s="566" t="e">
        <f t="shared" si="66"/>
        <v>#REF!</v>
      </c>
      <c r="W71" s="566" t="e">
        <f t="shared" si="66"/>
        <v>#REF!</v>
      </c>
      <c r="X71" s="566" t="e">
        <f t="shared" si="66"/>
        <v>#REF!</v>
      </c>
      <c r="Y71" s="566" t="e">
        <f t="shared" si="66"/>
        <v>#REF!</v>
      </c>
      <c r="Z71" s="566" t="e">
        <f t="shared" si="66"/>
        <v>#REF!</v>
      </c>
      <c r="AA71" s="566" t="e">
        <f t="shared" si="66"/>
        <v>#REF!</v>
      </c>
      <c r="AB71" s="144"/>
      <c r="AC71" s="231"/>
      <c r="AD71" s="231"/>
      <c r="AE71" s="231"/>
      <c r="AF71" s="231"/>
      <c r="AG71" s="231"/>
      <c r="AH71" s="231"/>
      <c r="AI71" s="213"/>
    </row>
    <row r="72" spans="1:35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998"/>
      <c r="M72" s="144"/>
      <c r="N72" s="144"/>
      <c r="O72" s="144"/>
      <c r="P72" s="144"/>
      <c r="Q72" s="144"/>
      <c r="R72" s="144"/>
      <c r="S72" s="144"/>
      <c r="T72" s="144"/>
      <c r="U72" s="566" t="e">
        <f t="shared" si="66"/>
        <v>#REF!</v>
      </c>
      <c r="V72" s="566" t="e">
        <f t="shared" si="66"/>
        <v>#REF!</v>
      </c>
      <c r="W72" s="566" t="e">
        <f t="shared" si="66"/>
        <v>#REF!</v>
      </c>
      <c r="X72" s="566" t="e">
        <f t="shared" si="66"/>
        <v>#REF!</v>
      </c>
      <c r="Y72" s="566" t="e">
        <f t="shared" si="66"/>
        <v>#REF!</v>
      </c>
      <c r="Z72" s="566" t="e">
        <f t="shared" si="66"/>
        <v>#REF!</v>
      </c>
      <c r="AA72" s="566" t="e">
        <f t="shared" si="66"/>
        <v>#REF!</v>
      </c>
      <c r="AB72" s="144"/>
      <c r="AC72" s="231"/>
      <c r="AD72" s="231"/>
      <c r="AE72" s="231"/>
      <c r="AF72" s="231"/>
      <c r="AG72" s="231"/>
      <c r="AH72" s="231"/>
      <c r="AI72" s="213"/>
    </row>
    <row r="73" spans="1:35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998"/>
      <c r="M73" s="144"/>
      <c r="N73" s="144"/>
      <c r="O73" s="144"/>
      <c r="P73" s="144"/>
      <c r="Q73" s="144"/>
      <c r="R73" s="144"/>
      <c r="S73" s="144"/>
      <c r="T73" s="144"/>
      <c r="U73" s="566" t="e">
        <f t="shared" si="66"/>
        <v>#REF!</v>
      </c>
      <c r="V73" s="566" t="e">
        <f t="shared" si="66"/>
        <v>#REF!</v>
      </c>
      <c r="W73" s="566" t="e">
        <f t="shared" si="66"/>
        <v>#REF!</v>
      </c>
      <c r="X73" s="566" t="e">
        <f t="shared" si="66"/>
        <v>#REF!</v>
      </c>
      <c r="Y73" s="566" t="e">
        <f t="shared" si="66"/>
        <v>#REF!</v>
      </c>
      <c r="Z73" s="566" t="e">
        <f t="shared" si="66"/>
        <v>#REF!</v>
      </c>
      <c r="AA73" s="566" t="e">
        <f t="shared" si="66"/>
        <v>#REF!</v>
      </c>
      <c r="AB73" s="144"/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13"/>
    </row>
    <row r="74" spans="1:35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998"/>
      <c r="M74" s="144"/>
      <c r="N74" s="144"/>
      <c r="O74" s="144"/>
      <c r="P74" s="144"/>
      <c r="Q74" s="144"/>
      <c r="R74" s="144"/>
      <c r="S74" s="144"/>
      <c r="T74" s="144"/>
      <c r="U74" s="566" t="e">
        <f t="shared" si="66"/>
        <v>#REF!</v>
      </c>
      <c r="V74" s="566" t="e">
        <f t="shared" si="66"/>
        <v>#REF!</v>
      </c>
      <c r="W74" s="566" t="e">
        <f t="shared" si="66"/>
        <v>#REF!</v>
      </c>
      <c r="X74" s="566" t="e">
        <f t="shared" si="66"/>
        <v>#REF!</v>
      </c>
      <c r="Y74" s="566" t="e">
        <f t="shared" si="66"/>
        <v>#REF!</v>
      </c>
      <c r="Z74" s="566" t="e">
        <f t="shared" si="66"/>
        <v>#REF!</v>
      </c>
      <c r="AA74" s="566" t="e">
        <f t="shared" si="66"/>
        <v>#REF!</v>
      </c>
      <c r="AB74" s="144"/>
      <c r="AC74" s="231">
        <v>0</v>
      </c>
      <c r="AD74" s="231">
        <v>0</v>
      </c>
      <c r="AE74" s="231">
        <v>0</v>
      </c>
      <c r="AF74" s="231">
        <v>0</v>
      </c>
      <c r="AG74" s="231">
        <v>0</v>
      </c>
      <c r="AH74" s="231">
        <v>0</v>
      </c>
      <c r="AI74" s="213"/>
    </row>
    <row r="75" spans="1:35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998"/>
      <c r="M75" s="144"/>
      <c r="N75" s="144"/>
      <c r="O75" s="144"/>
      <c r="P75" s="144"/>
      <c r="Q75" s="144"/>
      <c r="R75" s="144"/>
      <c r="S75" s="144"/>
      <c r="T75" s="144"/>
      <c r="U75" s="566" t="e">
        <f t="shared" ref="U75:AA86" si="67">IF(U74&gt;0,U74,U73)</f>
        <v>#REF!</v>
      </c>
      <c r="V75" s="566" t="e">
        <f t="shared" si="67"/>
        <v>#REF!</v>
      </c>
      <c r="W75" s="566" t="e">
        <f t="shared" si="67"/>
        <v>#REF!</v>
      </c>
      <c r="X75" s="566" t="e">
        <f t="shared" si="67"/>
        <v>#REF!</v>
      </c>
      <c r="Y75" s="566" t="e">
        <f t="shared" si="67"/>
        <v>#REF!</v>
      </c>
      <c r="Z75" s="566" t="e">
        <f t="shared" si="67"/>
        <v>#REF!</v>
      </c>
      <c r="AA75" s="566" t="e">
        <f t="shared" si="67"/>
        <v>#REF!</v>
      </c>
      <c r="AB75" s="144"/>
      <c r="AC75" s="231">
        <v>0</v>
      </c>
      <c r="AD75" s="231">
        <v>0</v>
      </c>
      <c r="AE75" s="231">
        <v>0</v>
      </c>
      <c r="AF75" s="231">
        <v>0</v>
      </c>
      <c r="AG75" s="231">
        <v>0</v>
      </c>
      <c r="AH75" s="231">
        <v>0</v>
      </c>
      <c r="AI75" s="213"/>
    </row>
    <row r="76" spans="1:35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998"/>
      <c r="M76" s="144"/>
      <c r="N76" s="144"/>
      <c r="O76" s="144"/>
      <c r="P76" s="144"/>
      <c r="Q76" s="144"/>
      <c r="R76" s="144"/>
      <c r="S76" s="144"/>
      <c r="T76" s="144"/>
      <c r="U76" s="566" t="e">
        <f t="shared" si="67"/>
        <v>#REF!</v>
      </c>
      <c r="V76" s="566" t="e">
        <f t="shared" si="67"/>
        <v>#REF!</v>
      </c>
      <c r="W76" s="566" t="e">
        <f t="shared" si="67"/>
        <v>#REF!</v>
      </c>
      <c r="X76" s="566" t="e">
        <f t="shared" si="67"/>
        <v>#REF!</v>
      </c>
      <c r="Y76" s="566" t="e">
        <f t="shared" si="67"/>
        <v>#REF!</v>
      </c>
      <c r="Z76" s="566" t="e">
        <f t="shared" si="67"/>
        <v>#REF!</v>
      </c>
      <c r="AA76" s="566" t="e">
        <f t="shared" si="67"/>
        <v>#REF!</v>
      </c>
      <c r="AB76" s="144"/>
      <c r="AC76" s="231"/>
      <c r="AD76" s="231"/>
      <c r="AE76" s="231"/>
      <c r="AF76" s="231"/>
      <c r="AG76" s="231"/>
      <c r="AH76" s="231"/>
      <c r="AI76" s="213"/>
    </row>
    <row r="77" spans="1:35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998"/>
      <c r="M77" s="144"/>
      <c r="N77" s="144"/>
      <c r="O77" s="144"/>
      <c r="P77" s="144"/>
      <c r="Q77" s="144"/>
      <c r="R77" s="144"/>
      <c r="S77" s="144"/>
      <c r="T77" s="144"/>
      <c r="U77" s="566" t="e">
        <f t="shared" si="67"/>
        <v>#REF!</v>
      </c>
      <c r="V77" s="566" t="e">
        <f t="shared" si="67"/>
        <v>#REF!</v>
      </c>
      <c r="W77" s="566" t="e">
        <f t="shared" si="67"/>
        <v>#REF!</v>
      </c>
      <c r="X77" s="566" t="e">
        <f t="shared" si="67"/>
        <v>#REF!</v>
      </c>
      <c r="Y77" s="566" t="e">
        <f t="shared" si="67"/>
        <v>#REF!</v>
      </c>
      <c r="Z77" s="566" t="e">
        <f t="shared" si="67"/>
        <v>#REF!</v>
      </c>
      <c r="AA77" s="566" t="e">
        <f t="shared" si="67"/>
        <v>#REF!</v>
      </c>
      <c r="AB77" s="144"/>
      <c r="AC77" s="231"/>
      <c r="AD77" s="231"/>
      <c r="AE77" s="231"/>
      <c r="AF77" s="231"/>
      <c r="AG77" s="231"/>
      <c r="AH77" s="231"/>
      <c r="AI77" s="213"/>
    </row>
    <row r="78" spans="1:35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998"/>
      <c r="M78" s="144"/>
      <c r="N78" s="144"/>
      <c r="O78" s="144"/>
      <c r="P78" s="144"/>
      <c r="Q78" s="144"/>
      <c r="R78" s="144"/>
      <c r="S78" s="144"/>
      <c r="T78" s="144"/>
      <c r="U78" s="566" t="e">
        <f t="shared" si="67"/>
        <v>#REF!</v>
      </c>
      <c r="V78" s="566" t="e">
        <f t="shared" si="67"/>
        <v>#REF!</v>
      </c>
      <c r="W78" s="566" t="e">
        <f t="shared" si="67"/>
        <v>#REF!</v>
      </c>
      <c r="X78" s="566" t="e">
        <f t="shared" si="67"/>
        <v>#REF!</v>
      </c>
      <c r="Y78" s="566" t="e">
        <f t="shared" si="67"/>
        <v>#REF!</v>
      </c>
      <c r="Z78" s="566" t="e">
        <f t="shared" si="67"/>
        <v>#REF!</v>
      </c>
      <c r="AA78" s="566" t="e">
        <f t="shared" si="67"/>
        <v>#REF!</v>
      </c>
      <c r="AB78" s="144"/>
      <c r="AC78" s="231">
        <v>0</v>
      </c>
      <c r="AD78" s="231">
        <v>0</v>
      </c>
      <c r="AE78" s="231">
        <v>0</v>
      </c>
      <c r="AF78" s="231">
        <v>0</v>
      </c>
      <c r="AG78" s="231">
        <v>0</v>
      </c>
      <c r="AH78" s="231">
        <v>0</v>
      </c>
      <c r="AI78" s="213"/>
    </row>
    <row r="79" spans="1:35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998"/>
      <c r="M79" s="144"/>
      <c r="N79" s="144"/>
      <c r="O79" s="144"/>
      <c r="P79" s="144"/>
      <c r="Q79" s="144"/>
      <c r="R79" s="144"/>
      <c r="S79" s="144"/>
      <c r="T79" s="144"/>
      <c r="U79" s="566" t="e">
        <f t="shared" si="67"/>
        <v>#REF!</v>
      </c>
      <c r="V79" s="566" t="e">
        <f t="shared" si="67"/>
        <v>#REF!</v>
      </c>
      <c r="W79" s="566" t="e">
        <f t="shared" si="67"/>
        <v>#REF!</v>
      </c>
      <c r="X79" s="566" t="e">
        <f t="shared" si="67"/>
        <v>#REF!</v>
      </c>
      <c r="Y79" s="566" t="e">
        <f t="shared" si="67"/>
        <v>#REF!</v>
      </c>
      <c r="Z79" s="566" t="e">
        <f t="shared" si="67"/>
        <v>#REF!</v>
      </c>
      <c r="AA79" s="566" t="e">
        <f t="shared" si="67"/>
        <v>#REF!</v>
      </c>
      <c r="AB79" s="144"/>
      <c r="AC79" s="231">
        <v>0</v>
      </c>
      <c r="AD79" s="231">
        <v>0</v>
      </c>
      <c r="AE79" s="231">
        <v>0</v>
      </c>
      <c r="AF79" s="231">
        <v>0</v>
      </c>
      <c r="AG79" s="231">
        <v>0</v>
      </c>
      <c r="AH79" s="231">
        <v>0</v>
      </c>
      <c r="AI79" s="213"/>
    </row>
    <row r="80" spans="1:35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998"/>
      <c r="M80" s="144"/>
      <c r="N80" s="144"/>
      <c r="O80" s="144"/>
      <c r="P80" s="144"/>
      <c r="Q80" s="144"/>
      <c r="R80" s="144"/>
      <c r="S80" s="144"/>
      <c r="T80" s="144"/>
      <c r="U80" s="566" t="e">
        <f t="shared" si="67"/>
        <v>#REF!</v>
      </c>
      <c r="V80" s="566" t="e">
        <f t="shared" si="67"/>
        <v>#REF!</v>
      </c>
      <c r="W80" s="566" t="e">
        <f t="shared" si="67"/>
        <v>#REF!</v>
      </c>
      <c r="X80" s="566" t="e">
        <f t="shared" si="67"/>
        <v>#REF!</v>
      </c>
      <c r="Y80" s="566" t="e">
        <f t="shared" si="67"/>
        <v>#REF!</v>
      </c>
      <c r="Z80" s="566" t="e">
        <f t="shared" si="67"/>
        <v>#REF!</v>
      </c>
      <c r="AA80" s="566" t="e">
        <f t="shared" si="67"/>
        <v>#REF!</v>
      </c>
      <c r="AB80" s="144"/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13"/>
    </row>
    <row r="81" spans="1:35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998"/>
      <c r="M81" s="144"/>
      <c r="N81" s="144"/>
      <c r="O81" s="144"/>
      <c r="P81" s="144"/>
      <c r="Q81" s="144"/>
      <c r="R81" s="144"/>
      <c r="S81" s="144"/>
      <c r="T81" s="144"/>
      <c r="U81" s="566" t="e">
        <f t="shared" si="67"/>
        <v>#REF!</v>
      </c>
      <c r="V81" s="566" t="e">
        <f t="shared" si="67"/>
        <v>#REF!</v>
      </c>
      <c r="W81" s="566" t="e">
        <f t="shared" si="67"/>
        <v>#REF!</v>
      </c>
      <c r="X81" s="566" t="e">
        <f t="shared" si="67"/>
        <v>#REF!</v>
      </c>
      <c r="Y81" s="566" t="e">
        <f t="shared" si="67"/>
        <v>#REF!</v>
      </c>
      <c r="Z81" s="566" t="e">
        <f t="shared" si="67"/>
        <v>#REF!</v>
      </c>
      <c r="AA81" s="566" t="e">
        <f t="shared" si="67"/>
        <v>#REF!</v>
      </c>
      <c r="AB81" s="144"/>
      <c r="AC81" s="231"/>
      <c r="AD81" s="231"/>
      <c r="AE81" s="231"/>
      <c r="AF81" s="231"/>
      <c r="AG81" s="231"/>
      <c r="AH81" s="231"/>
      <c r="AI81" s="213"/>
    </row>
    <row r="82" spans="1:35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998"/>
      <c r="M82" s="144"/>
      <c r="N82" s="144"/>
      <c r="O82" s="144"/>
      <c r="P82" s="144"/>
      <c r="Q82" s="144"/>
      <c r="R82" s="144"/>
      <c r="S82" s="144"/>
      <c r="T82" s="144"/>
      <c r="U82" s="566" t="e">
        <f t="shared" si="67"/>
        <v>#REF!</v>
      </c>
      <c r="V82" s="566" t="e">
        <f t="shared" si="67"/>
        <v>#REF!</v>
      </c>
      <c r="W82" s="566" t="e">
        <f t="shared" si="67"/>
        <v>#REF!</v>
      </c>
      <c r="X82" s="566" t="e">
        <f t="shared" si="67"/>
        <v>#REF!</v>
      </c>
      <c r="Y82" s="566" t="e">
        <f t="shared" si="67"/>
        <v>#REF!</v>
      </c>
      <c r="Z82" s="566" t="e">
        <f t="shared" si="67"/>
        <v>#REF!</v>
      </c>
      <c r="AA82" s="566" t="e">
        <f t="shared" si="67"/>
        <v>#REF!</v>
      </c>
      <c r="AB82" s="144"/>
      <c r="AC82" s="231"/>
      <c r="AD82" s="231"/>
      <c r="AE82" s="231"/>
      <c r="AF82" s="231"/>
      <c r="AG82" s="231"/>
      <c r="AH82" s="231"/>
      <c r="AI82" s="213"/>
    </row>
    <row r="83" spans="1:35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998"/>
      <c r="M83" s="144"/>
      <c r="N83" s="144"/>
      <c r="O83" s="144"/>
      <c r="P83" s="144"/>
      <c r="Q83" s="144"/>
      <c r="R83" s="144"/>
      <c r="S83" s="144"/>
      <c r="T83" s="144"/>
      <c r="U83" s="566" t="e">
        <f t="shared" si="67"/>
        <v>#REF!</v>
      </c>
      <c r="V83" s="566" t="e">
        <f t="shared" si="67"/>
        <v>#REF!</v>
      </c>
      <c r="W83" s="566" t="e">
        <f t="shared" si="67"/>
        <v>#REF!</v>
      </c>
      <c r="X83" s="566" t="e">
        <f t="shared" si="67"/>
        <v>#REF!</v>
      </c>
      <c r="Y83" s="566" t="e">
        <f t="shared" si="67"/>
        <v>#REF!</v>
      </c>
      <c r="Z83" s="566" t="e">
        <f t="shared" si="67"/>
        <v>#REF!</v>
      </c>
      <c r="AA83" s="566" t="e">
        <f t="shared" si="67"/>
        <v>#REF!</v>
      </c>
      <c r="AB83" s="144"/>
      <c r="AC83" s="231">
        <v>0</v>
      </c>
      <c r="AD83" s="231">
        <v>0</v>
      </c>
      <c r="AE83" s="231">
        <v>0</v>
      </c>
      <c r="AF83" s="231">
        <v>0</v>
      </c>
      <c r="AG83" s="231">
        <v>0</v>
      </c>
      <c r="AH83" s="231">
        <v>0</v>
      </c>
      <c r="AI83" s="213"/>
    </row>
    <row r="84" spans="1:35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998"/>
      <c r="M84" s="144"/>
      <c r="N84" s="144"/>
      <c r="O84" s="144"/>
      <c r="P84" s="144"/>
      <c r="Q84" s="144"/>
      <c r="R84" s="144"/>
      <c r="S84" s="144"/>
      <c r="T84" s="144"/>
      <c r="U84" s="566" t="e">
        <f t="shared" si="67"/>
        <v>#REF!</v>
      </c>
      <c r="V84" s="566" t="e">
        <f t="shared" si="67"/>
        <v>#REF!</v>
      </c>
      <c r="W84" s="566" t="e">
        <f t="shared" si="67"/>
        <v>#REF!</v>
      </c>
      <c r="X84" s="566" t="e">
        <f t="shared" si="67"/>
        <v>#REF!</v>
      </c>
      <c r="Y84" s="566" t="e">
        <f t="shared" si="67"/>
        <v>#REF!</v>
      </c>
      <c r="Z84" s="566" t="e">
        <f t="shared" si="67"/>
        <v>#REF!</v>
      </c>
      <c r="AA84" s="566" t="e">
        <f t="shared" si="67"/>
        <v>#REF!</v>
      </c>
      <c r="AB84" s="144"/>
      <c r="AC84" s="231">
        <v>0</v>
      </c>
      <c r="AD84" s="231">
        <v>0</v>
      </c>
      <c r="AE84" s="231">
        <v>0</v>
      </c>
      <c r="AF84" s="231">
        <v>0</v>
      </c>
      <c r="AG84" s="231">
        <v>0</v>
      </c>
      <c r="AH84" s="231">
        <v>0</v>
      </c>
      <c r="AI84" s="213"/>
    </row>
    <row r="85" spans="1:35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998"/>
      <c r="M85" s="144"/>
      <c r="N85" s="144"/>
      <c r="O85" s="144"/>
      <c r="P85" s="144"/>
      <c r="Q85" s="144"/>
      <c r="R85" s="144"/>
      <c r="S85" s="144"/>
      <c r="T85" s="144"/>
      <c r="U85" s="566" t="e">
        <f t="shared" si="67"/>
        <v>#REF!</v>
      </c>
      <c r="V85" s="566" t="e">
        <f t="shared" si="67"/>
        <v>#REF!</v>
      </c>
      <c r="W85" s="566" t="e">
        <f t="shared" si="67"/>
        <v>#REF!</v>
      </c>
      <c r="X85" s="566" t="e">
        <f t="shared" si="67"/>
        <v>#REF!</v>
      </c>
      <c r="Y85" s="566" t="e">
        <f t="shared" si="67"/>
        <v>#REF!</v>
      </c>
      <c r="Z85" s="566" t="e">
        <f t="shared" si="67"/>
        <v>#REF!</v>
      </c>
      <c r="AA85" s="566" t="e">
        <f t="shared" si="67"/>
        <v>#REF!</v>
      </c>
      <c r="AB85" s="144"/>
      <c r="AC85" s="231">
        <v>0</v>
      </c>
      <c r="AD85" s="231">
        <v>0</v>
      </c>
      <c r="AE85" s="231">
        <v>0</v>
      </c>
      <c r="AF85" s="231">
        <v>0</v>
      </c>
      <c r="AG85" s="231">
        <v>0</v>
      </c>
      <c r="AH85" s="231">
        <v>0</v>
      </c>
      <c r="AI85" s="213"/>
    </row>
    <row r="86" spans="1:35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998"/>
      <c r="M86" s="144"/>
      <c r="N86" s="144"/>
      <c r="O86" s="144"/>
      <c r="P86" s="144"/>
      <c r="Q86" s="144"/>
      <c r="R86" s="144"/>
      <c r="S86" s="144"/>
      <c r="T86" s="144"/>
      <c r="U86" s="567" t="e">
        <f>IF(U85&gt;0,U85,U84)</f>
        <v>#REF!</v>
      </c>
      <c r="V86" s="567" t="e">
        <f t="shared" si="67"/>
        <v>#REF!</v>
      </c>
      <c r="W86" s="567" t="e">
        <f t="shared" si="67"/>
        <v>#REF!</v>
      </c>
      <c r="X86" s="567" t="e">
        <f t="shared" si="67"/>
        <v>#REF!</v>
      </c>
      <c r="Y86" s="567" t="e">
        <f t="shared" si="67"/>
        <v>#REF!</v>
      </c>
      <c r="Z86" s="567" t="e">
        <f t="shared" si="67"/>
        <v>#REF!</v>
      </c>
      <c r="AA86" s="567" t="e">
        <f t="shared" si="67"/>
        <v>#REF!</v>
      </c>
      <c r="AB86" s="144"/>
      <c r="AC86" s="231"/>
      <c r="AD86" s="231"/>
      <c r="AE86" s="231"/>
      <c r="AF86" s="231"/>
      <c r="AG86" s="231"/>
      <c r="AH86" s="231"/>
      <c r="AI86" s="213"/>
    </row>
    <row r="87" spans="1:35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998"/>
      <c r="M87" s="144"/>
      <c r="N87" s="144"/>
      <c r="O87" s="144"/>
      <c r="P87" s="144"/>
      <c r="Q87" s="144"/>
      <c r="R87" s="144"/>
      <c r="S87" s="144"/>
      <c r="T87" s="144"/>
      <c r="U87" s="222"/>
      <c r="V87" s="222"/>
      <c r="W87" s="222"/>
      <c r="X87" s="222"/>
      <c r="Y87" s="222"/>
      <c r="Z87" s="222"/>
      <c r="AA87" s="222"/>
      <c r="AB87" s="144"/>
      <c r="AC87" s="231"/>
      <c r="AD87" s="231"/>
      <c r="AE87" s="231"/>
      <c r="AF87" s="231"/>
      <c r="AG87" s="231"/>
      <c r="AH87" s="231"/>
      <c r="AI87" s="213"/>
    </row>
    <row r="88" spans="1:35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998"/>
      <c r="M88" s="144"/>
      <c r="N88" s="144"/>
      <c r="O88" s="144"/>
      <c r="P88" s="144"/>
      <c r="Q88" s="144"/>
      <c r="R88" s="144"/>
      <c r="S88" s="144"/>
      <c r="T88" s="144"/>
      <c r="U88" s="222"/>
      <c r="V88" s="222"/>
      <c r="W88" s="222"/>
      <c r="X88" s="222"/>
      <c r="Y88" s="222"/>
      <c r="Z88" s="222"/>
      <c r="AA88" s="222"/>
      <c r="AB88" s="144"/>
      <c r="AC88" s="231">
        <v>0</v>
      </c>
      <c r="AD88" s="231">
        <v>0</v>
      </c>
      <c r="AE88" s="231">
        <v>0</v>
      </c>
      <c r="AF88" s="231">
        <v>0</v>
      </c>
      <c r="AG88" s="231">
        <v>0</v>
      </c>
      <c r="AH88" s="231">
        <v>0</v>
      </c>
      <c r="AI88" s="213"/>
    </row>
    <row r="89" spans="1:35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998"/>
      <c r="M89" s="144"/>
      <c r="N89" s="144"/>
      <c r="O89" s="144"/>
      <c r="P89" s="144"/>
      <c r="Q89" s="144"/>
      <c r="R89" s="144"/>
      <c r="S89" s="144"/>
      <c r="T89" s="144"/>
      <c r="U89" s="222"/>
      <c r="V89" s="222"/>
      <c r="W89" s="222"/>
      <c r="X89" s="222"/>
      <c r="Y89" s="222"/>
      <c r="Z89" s="222"/>
      <c r="AA89" s="222"/>
      <c r="AB89" s="144"/>
      <c r="AC89" s="231"/>
      <c r="AD89" s="231"/>
      <c r="AE89" s="231"/>
      <c r="AF89" s="231"/>
      <c r="AG89" s="231"/>
      <c r="AH89" s="231"/>
    </row>
    <row r="90" spans="1:35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998"/>
      <c r="M90" s="144"/>
      <c r="N90" s="144"/>
      <c r="O90" s="144"/>
      <c r="P90" s="144"/>
      <c r="Q90" s="144"/>
      <c r="R90" s="144"/>
      <c r="S90" s="144"/>
      <c r="T90" s="144"/>
      <c r="U90" s="222"/>
      <c r="V90" s="222"/>
      <c r="W90" s="222"/>
      <c r="X90" s="222"/>
      <c r="Y90" s="222"/>
      <c r="Z90" s="222"/>
      <c r="AA90" s="222"/>
      <c r="AB90" s="144"/>
    </row>
    <row r="91" spans="1:35" ht="15" customHeight="1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998"/>
      <c r="M91" s="144"/>
      <c r="N91" s="144"/>
      <c r="O91" s="144"/>
      <c r="P91" s="144"/>
      <c r="Q91" s="144"/>
      <c r="R91" s="144"/>
      <c r="S91" s="144"/>
      <c r="T91" s="144"/>
      <c r="U91" s="222"/>
      <c r="V91" s="222"/>
      <c r="W91" s="222"/>
      <c r="X91" s="222"/>
      <c r="Y91" s="222"/>
      <c r="Z91" s="222"/>
      <c r="AA91" s="222"/>
      <c r="AB91" s="144"/>
    </row>
    <row r="92" spans="1:35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998"/>
      <c r="M92" s="144"/>
      <c r="N92" s="144"/>
      <c r="O92" s="144"/>
      <c r="P92" s="144"/>
      <c r="Q92" s="144"/>
      <c r="R92" s="144"/>
      <c r="S92" s="144"/>
      <c r="T92" s="144"/>
      <c r="U92" s="222"/>
      <c r="V92" s="222"/>
      <c r="W92" s="222"/>
      <c r="X92" s="222"/>
      <c r="Y92" s="222"/>
      <c r="Z92" s="222"/>
      <c r="AA92" s="222"/>
      <c r="AB92" s="144"/>
    </row>
    <row r="93" spans="1:35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998"/>
      <c r="M93" s="144"/>
      <c r="N93" s="144"/>
      <c r="O93" s="144"/>
      <c r="P93" s="144"/>
      <c r="Q93" s="144"/>
      <c r="R93" s="144"/>
      <c r="S93" s="144"/>
      <c r="T93" s="144"/>
      <c r="U93" s="222"/>
      <c r="V93" s="222"/>
      <c r="W93" s="222"/>
      <c r="X93" s="222"/>
      <c r="Y93" s="222"/>
      <c r="Z93" s="222"/>
      <c r="AA93" s="222"/>
      <c r="AB93" s="144"/>
    </row>
    <row r="94" spans="1:35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998"/>
      <c r="M94" s="144"/>
      <c r="N94" s="144"/>
      <c r="O94" s="144"/>
      <c r="P94" s="144"/>
      <c r="Q94" s="144"/>
      <c r="R94" s="144"/>
      <c r="S94" s="144"/>
      <c r="T94" s="144"/>
      <c r="U94" s="222"/>
      <c r="V94" s="222"/>
      <c r="W94" s="222"/>
      <c r="X94" s="222"/>
      <c r="Y94" s="222"/>
      <c r="Z94" s="222"/>
      <c r="AA94" s="222"/>
      <c r="AB94" s="144"/>
    </row>
    <row r="95" spans="1:35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998"/>
      <c r="M95" s="144"/>
      <c r="N95" s="144"/>
      <c r="O95" s="144"/>
      <c r="P95" s="144"/>
      <c r="Q95" s="144"/>
      <c r="R95" s="144"/>
      <c r="S95" s="144"/>
      <c r="T95" s="144"/>
      <c r="U95" s="222"/>
      <c r="V95" s="222"/>
      <c r="W95" s="222"/>
      <c r="X95" s="222"/>
      <c r="Y95" s="222"/>
      <c r="Z95" s="222"/>
      <c r="AA95" s="222"/>
      <c r="AB95" s="144"/>
    </row>
    <row r="96" spans="1:35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998"/>
      <c r="M96" s="144"/>
      <c r="N96" s="144"/>
      <c r="O96" s="144"/>
      <c r="P96" s="144"/>
      <c r="Q96" s="144"/>
      <c r="R96" s="144"/>
      <c r="S96" s="144"/>
      <c r="T96" s="144"/>
      <c r="U96" s="222"/>
      <c r="V96" s="222"/>
      <c r="W96" s="222"/>
      <c r="X96" s="222"/>
      <c r="Y96" s="222"/>
      <c r="Z96" s="222"/>
      <c r="AA96" s="222"/>
      <c r="AB96" s="144"/>
    </row>
    <row r="97" spans="1:39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998"/>
      <c r="M97" s="144"/>
      <c r="N97" s="144"/>
      <c r="O97" s="144"/>
      <c r="P97" s="144"/>
      <c r="Q97" s="144"/>
      <c r="R97" s="144"/>
      <c r="S97" s="144"/>
      <c r="T97" s="144"/>
      <c r="U97" s="222"/>
      <c r="V97" s="222"/>
      <c r="W97" s="222"/>
      <c r="X97" s="222"/>
      <c r="Y97" s="222"/>
      <c r="Z97" s="222"/>
      <c r="AA97" s="222"/>
      <c r="AB97" s="144"/>
    </row>
    <row r="98" spans="1:39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998"/>
      <c r="M98" s="144"/>
      <c r="N98" s="144"/>
      <c r="O98" s="144"/>
      <c r="P98" s="144"/>
      <c r="Q98" s="144"/>
      <c r="R98" s="144"/>
      <c r="S98" s="144"/>
      <c r="T98" s="144"/>
      <c r="U98" s="222"/>
      <c r="V98" s="222"/>
      <c r="W98" s="222"/>
      <c r="X98" s="222"/>
      <c r="Y98" s="222"/>
      <c r="Z98" s="222"/>
      <c r="AA98" s="222"/>
      <c r="AB98" s="144"/>
    </row>
    <row r="99" spans="1:39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998"/>
      <c r="M99" s="144"/>
      <c r="N99" s="144"/>
      <c r="O99" s="144"/>
      <c r="P99" s="144"/>
      <c r="Q99" s="144"/>
      <c r="R99" s="144"/>
      <c r="S99" s="144"/>
      <c r="T99" s="144"/>
      <c r="U99" s="222"/>
      <c r="V99" s="222"/>
      <c r="W99" s="222"/>
      <c r="X99" s="222"/>
      <c r="Y99" s="222"/>
      <c r="Z99" s="222"/>
      <c r="AA99" s="222"/>
      <c r="AB99" s="144"/>
    </row>
    <row r="100" spans="1:39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998"/>
      <c r="M100" s="144"/>
      <c r="N100" s="144"/>
      <c r="O100" s="144"/>
      <c r="P100" s="144"/>
      <c r="Q100" s="144"/>
      <c r="R100" s="144"/>
      <c r="S100" s="144"/>
      <c r="T100" s="144"/>
      <c r="U100" s="222"/>
      <c r="V100" s="222"/>
      <c r="W100" s="222"/>
      <c r="X100" s="222"/>
      <c r="Y100" s="222"/>
      <c r="Z100" s="222"/>
      <c r="AA100" s="222"/>
      <c r="AB100" s="144"/>
    </row>
    <row r="101" spans="1:39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998"/>
      <c r="M101" s="144"/>
      <c r="N101" s="144"/>
      <c r="O101" s="144"/>
      <c r="P101" s="144"/>
      <c r="Q101" s="144"/>
      <c r="R101" s="144"/>
      <c r="S101" s="144"/>
      <c r="T101" s="144"/>
      <c r="U101" s="222"/>
      <c r="V101" s="222"/>
      <c r="W101" s="222"/>
      <c r="X101" s="222"/>
      <c r="Y101" s="222"/>
      <c r="Z101" s="222"/>
      <c r="AA101" s="222"/>
      <c r="AB101" s="144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</row>
    <row r="102" spans="1:39" s="247" customFormat="1" ht="11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998"/>
      <c r="M102" s="144"/>
      <c r="N102" s="144"/>
      <c r="O102" s="144"/>
      <c r="P102" s="144"/>
      <c r="Q102" s="144"/>
      <c r="R102" s="144"/>
      <c r="S102" s="144"/>
      <c r="T102" s="144"/>
      <c r="U102" s="222"/>
      <c r="V102" s="222"/>
      <c r="W102" s="222"/>
      <c r="X102" s="222"/>
      <c r="Y102" s="222"/>
      <c r="Z102" s="222"/>
      <c r="AA102" s="222"/>
      <c r="AB102" s="14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1:39" s="247" customFormat="1" ht="11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998"/>
      <c r="M103" s="144"/>
      <c r="N103" s="144"/>
      <c r="O103" s="144"/>
      <c r="P103" s="144"/>
      <c r="Q103" s="144"/>
      <c r="R103" s="144"/>
      <c r="S103" s="144"/>
      <c r="T103" s="144"/>
      <c r="U103" s="222"/>
      <c r="V103" s="222"/>
      <c r="W103" s="222"/>
      <c r="X103" s="222"/>
      <c r="Y103" s="222"/>
      <c r="Z103" s="222"/>
      <c r="AA103" s="222"/>
      <c r="AB103" s="14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1:39" s="247" customFormat="1" ht="11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998"/>
      <c r="M104" s="144"/>
      <c r="N104" s="144"/>
      <c r="O104" s="144"/>
      <c r="P104" s="144"/>
      <c r="Q104" s="144"/>
      <c r="R104" s="144"/>
      <c r="S104" s="144"/>
      <c r="T104" s="144"/>
      <c r="U104" s="222"/>
      <c r="V104" s="222"/>
      <c r="W104" s="222"/>
      <c r="X104" s="222"/>
      <c r="Y104" s="222"/>
      <c r="Z104" s="222"/>
      <c r="AA104" s="222"/>
      <c r="AB104" s="14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1:39" s="247" customFormat="1" ht="11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998"/>
      <c r="M105" s="144"/>
      <c r="N105" s="144"/>
      <c r="O105" s="144"/>
      <c r="P105" s="144"/>
      <c r="Q105" s="144"/>
      <c r="R105" s="144"/>
      <c r="S105" s="144"/>
      <c r="T105" s="144"/>
      <c r="U105" s="222"/>
      <c r="V105" s="222"/>
      <c r="W105" s="222"/>
      <c r="X105" s="222"/>
      <c r="Y105" s="222"/>
      <c r="Z105" s="222"/>
      <c r="AA105" s="222"/>
      <c r="AB105" s="14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1:39" s="247" customFormat="1" ht="11">
      <c r="B106" s="144"/>
      <c r="C106" s="143"/>
      <c r="D106" s="907"/>
      <c r="E106" s="143"/>
      <c r="F106" s="145"/>
      <c r="G106" s="146"/>
      <c r="H106" s="146"/>
      <c r="I106" s="146"/>
      <c r="J106" s="146"/>
      <c r="K106" s="146"/>
      <c r="L106" s="999"/>
      <c r="M106" s="458"/>
      <c r="N106" s="145"/>
      <c r="O106" s="146"/>
      <c r="P106" s="146"/>
      <c r="Q106" s="147"/>
      <c r="R106" s="147"/>
      <c r="S106" s="142"/>
      <c r="T106" s="142"/>
      <c r="U106" s="222"/>
      <c r="V106" s="222"/>
      <c r="W106" s="222"/>
      <c r="X106" s="222"/>
      <c r="Y106" s="222"/>
      <c r="Z106" s="222"/>
      <c r="AA106" s="222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1:39" s="247" customFormat="1" ht="11">
      <c r="B107" s="144"/>
      <c r="C107" s="143"/>
      <c r="D107" s="907"/>
      <c r="E107" s="143"/>
      <c r="F107" s="145"/>
      <c r="G107" s="146"/>
      <c r="H107" s="146"/>
      <c r="I107" s="146"/>
      <c r="J107" s="146"/>
      <c r="K107" s="146"/>
      <c r="L107" s="999"/>
      <c r="M107" s="458"/>
      <c r="N107" s="145"/>
      <c r="O107" s="146"/>
      <c r="P107" s="146"/>
      <c r="Q107" s="147"/>
      <c r="R107" s="147"/>
      <c r="S107" s="142"/>
      <c r="T107" s="142"/>
      <c r="U107" s="222"/>
      <c r="V107" s="222"/>
      <c r="W107" s="222"/>
      <c r="X107" s="222"/>
      <c r="Y107" s="222"/>
      <c r="Z107" s="222"/>
      <c r="AA107" s="222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1:39" s="247" customFormat="1" ht="11">
      <c r="B108" s="144"/>
      <c r="C108" s="143"/>
      <c r="D108" s="907"/>
      <c r="E108" s="143"/>
      <c r="F108" s="145"/>
      <c r="G108" s="146"/>
      <c r="H108" s="146"/>
      <c r="I108" s="146"/>
      <c r="J108" s="146"/>
      <c r="K108" s="146"/>
      <c r="L108" s="999"/>
      <c r="M108" s="458"/>
      <c r="N108" s="145"/>
      <c r="O108" s="146"/>
      <c r="P108" s="146"/>
      <c r="Q108" s="147"/>
      <c r="R108" s="147"/>
      <c r="S108" s="142"/>
      <c r="T108" s="142"/>
      <c r="U108" s="222"/>
      <c r="V108" s="222"/>
      <c r="W108" s="222"/>
      <c r="X108" s="222"/>
      <c r="Y108" s="222"/>
      <c r="Z108" s="222"/>
      <c r="AA108" s="222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1:39" s="247" customFormat="1" ht="11">
      <c r="B109" s="144"/>
      <c r="C109" s="143"/>
      <c r="D109" s="907"/>
      <c r="E109" s="143"/>
      <c r="F109" s="145"/>
      <c r="G109" s="146"/>
      <c r="H109" s="146"/>
      <c r="I109" s="146"/>
      <c r="J109" s="146"/>
      <c r="K109" s="146"/>
      <c r="L109" s="999"/>
      <c r="M109" s="458"/>
      <c r="N109" s="145"/>
      <c r="O109" s="146"/>
      <c r="P109" s="146"/>
      <c r="Q109" s="147"/>
      <c r="R109" s="147"/>
      <c r="S109" s="142"/>
      <c r="T109" s="142"/>
      <c r="U109" s="222"/>
      <c r="V109" s="222"/>
      <c r="W109" s="222"/>
      <c r="X109" s="222"/>
      <c r="Y109" s="222"/>
      <c r="Z109" s="222"/>
      <c r="AA109" s="222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1:39" s="247" customFormat="1" ht="11">
      <c r="B110" s="144"/>
      <c r="C110" s="143"/>
      <c r="D110" s="907"/>
      <c r="E110" s="143"/>
      <c r="F110" s="145"/>
      <c r="G110" s="146"/>
      <c r="H110" s="146"/>
      <c r="I110" s="146"/>
      <c r="J110" s="146"/>
      <c r="K110" s="146"/>
      <c r="L110" s="999"/>
      <c r="M110" s="458"/>
      <c r="N110" s="145"/>
      <c r="O110" s="146"/>
      <c r="P110" s="146"/>
      <c r="Q110" s="147"/>
      <c r="R110" s="147"/>
      <c r="S110" s="142"/>
      <c r="T110" s="142"/>
      <c r="U110" s="146"/>
      <c r="V110" s="146"/>
      <c r="W110" s="146"/>
      <c r="X110" s="146"/>
      <c r="Y110" s="146"/>
      <c r="Z110" s="146"/>
      <c r="AA110" s="146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1:39" s="247" customFormat="1" ht="11">
      <c r="B111" s="144"/>
      <c r="C111" s="143"/>
      <c r="D111" s="907"/>
      <c r="E111" s="143"/>
      <c r="F111" s="145"/>
      <c r="G111" s="146"/>
      <c r="H111" s="146"/>
      <c r="I111" s="146"/>
      <c r="J111" s="146"/>
      <c r="K111" s="146"/>
      <c r="L111" s="999"/>
      <c r="M111" s="458"/>
      <c r="N111" s="145"/>
      <c r="O111" s="146"/>
      <c r="P111" s="146"/>
      <c r="Q111" s="147"/>
      <c r="R111" s="147"/>
      <c r="S111" s="142"/>
      <c r="T111" s="142"/>
      <c r="U111" s="146"/>
      <c r="V111" s="146"/>
      <c r="W111" s="146"/>
      <c r="X111" s="146"/>
      <c r="Y111" s="146"/>
      <c r="Z111" s="146"/>
      <c r="AA111" s="146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1:39" s="247" customFormat="1" ht="11">
      <c r="B112" s="144"/>
      <c r="C112" s="143"/>
      <c r="D112" s="907"/>
      <c r="E112" s="143"/>
      <c r="F112" s="145"/>
      <c r="G112" s="146"/>
      <c r="H112" s="146"/>
      <c r="I112" s="146"/>
      <c r="J112" s="146"/>
      <c r="K112" s="146"/>
      <c r="L112" s="999"/>
      <c r="M112" s="458"/>
      <c r="N112" s="145"/>
      <c r="O112" s="146"/>
      <c r="P112" s="146"/>
      <c r="Q112" s="147"/>
      <c r="R112" s="147"/>
      <c r="S112" s="142"/>
      <c r="T112" s="142"/>
      <c r="U112" s="146"/>
      <c r="V112" s="146"/>
      <c r="W112" s="146"/>
      <c r="X112" s="146"/>
      <c r="Y112" s="146"/>
      <c r="Z112" s="146"/>
      <c r="AA112" s="146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2:39" s="247" customFormat="1" ht="11">
      <c r="B113" s="144"/>
      <c r="C113" s="143"/>
      <c r="D113" s="907"/>
      <c r="E113" s="143"/>
      <c r="F113" s="145"/>
      <c r="G113" s="146"/>
      <c r="H113" s="146"/>
      <c r="I113" s="146"/>
      <c r="J113" s="146"/>
      <c r="K113" s="146"/>
      <c r="L113" s="999"/>
      <c r="M113" s="458"/>
      <c r="N113" s="145"/>
      <c r="O113" s="146"/>
      <c r="P113" s="146"/>
      <c r="Q113" s="147"/>
      <c r="R113" s="147"/>
      <c r="S113" s="142"/>
      <c r="T113" s="142"/>
      <c r="U113" s="146"/>
      <c r="V113" s="146"/>
      <c r="W113" s="146"/>
      <c r="X113" s="146"/>
      <c r="Y113" s="146"/>
      <c r="Z113" s="146"/>
      <c r="AA113" s="146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</row>
    <row r="114" spans="2:39" s="247" customFormat="1" ht="11">
      <c r="B114" s="144"/>
      <c r="C114" s="143"/>
      <c r="D114" s="907"/>
      <c r="E114" s="143"/>
      <c r="F114" s="145"/>
      <c r="G114" s="146"/>
      <c r="H114" s="146"/>
      <c r="I114" s="146"/>
      <c r="J114" s="146"/>
      <c r="K114" s="146"/>
      <c r="L114" s="999"/>
      <c r="M114" s="458"/>
      <c r="N114" s="145"/>
      <c r="O114" s="146"/>
      <c r="P114" s="146"/>
      <c r="Q114" s="147"/>
      <c r="R114" s="147"/>
      <c r="S114" s="142"/>
      <c r="T114" s="142"/>
      <c r="U114" s="146"/>
      <c r="V114" s="146"/>
      <c r="W114" s="146"/>
      <c r="X114" s="146"/>
      <c r="Y114" s="146"/>
      <c r="Z114" s="146"/>
      <c r="AA114" s="146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2:39" s="247" customFormat="1" ht="11">
      <c r="B115" s="144"/>
      <c r="C115" s="143"/>
      <c r="D115" s="907"/>
      <c r="E115" s="143"/>
      <c r="F115" s="145"/>
      <c r="G115" s="146"/>
      <c r="H115" s="146"/>
      <c r="I115" s="146"/>
      <c r="J115" s="146"/>
      <c r="K115" s="146"/>
      <c r="L115" s="999"/>
      <c r="M115" s="458"/>
      <c r="N115" s="145"/>
      <c r="O115" s="146"/>
      <c r="P115" s="146"/>
      <c r="Q115" s="147"/>
      <c r="R115" s="147"/>
      <c r="S115" s="142"/>
      <c r="T115" s="142"/>
      <c r="U115" s="146"/>
      <c r="V115" s="146"/>
      <c r="W115" s="146"/>
      <c r="X115" s="146"/>
      <c r="Y115" s="146"/>
      <c r="Z115" s="146"/>
      <c r="AA115" s="146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2:39" s="247" customFormat="1" ht="11">
      <c r="B116" s="144"/>
      <c r="C116" s="143"/>
      <c r="D116" s="907"/>
      <c r="E116" s="143"/>
      <c r="F116" s="145"/>
      <c r="G116" s="146"/>
      <c r="H116" s="146"/>
      <c r="I116" s="146"/>
      <c r="J116" s="146"/>
      <c r="K116" s="146"/>
      <c r="L116" s="999"/>
      <c r="M116" s="458"/>
      <c r="N116" s="145"/>
      <c r="O116" s="146"/>
      <c r="P116" s="146"/>
      <c r="Q116" s="147"/>
      <c r="R116" s="147"/>
      <c r="S116" s="142"/>
      <c r="T116" s="142"/>
      <c r="U116" s="146"/>
      <c r="V116" s="146"/>
      <c r="W116" s="146"/>
      <c r="X116" s="146"/>
      <c r="Y116" s="146"/>
      <c r="Z116" s="146"/>
      <c r="AA116" s="146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2:39" s="247" customFormat="1" ht="11">
      <c r="B117" s="144"/>
      <c r="C117" s="143"/>
      <c r="D117" s="907"/>
      <c r="E117" s="143"/>
      <c r="F117" s="145"/>
      <c r="G117" s="146"/>
      <c r="H117" s="146"/>
      <c r="I117" s="146"/>
      <c r="J117" s="146"/>
      <c r="K117" s="146"/>
      <c r="L117" s="999"/>
      <c r="M117" s="458"/>
      <c r="N117" s="145"/>
      <c r="O117" s="146"/>
      <c r="P117" s="146"/>
      <c r="Q117" s="147"/>
      <c r="R117" s="147"/>
      <c r="S117" s="142"/>
      <c r="T117" s="142"/>
      <c r="U117" s="146"/>
      <c r="V117" s="146"/>
      <c r="W117" s="146"/>
      <c r="X117" s="146"/>
      <c r="Y117" s="146"/>
      <c r="Z117" s="146"/>
      <c r="AA117" s="146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2:39" s="247" customFormat="1" ht="11">
      <c r="B118" s="144"/>
      <c r="C118" s="143"/>
      <c r="D118" s="907"/>
      <c r="E118" s="143"/>
      <c r="F118" s="145"/>
      <c r="G118" s="146"/>
      <c r="H118" s="146"/>
      <c r="I118" s="146"/>
      <c r="J118" s="146"/>
      <c r="K118" s="146"/>
      <c r="L118" s="999"/>
      <c r="M118" s="458"/>
      <c r="N118" s="145"/>
      <c r="O118" s="146"/>
      <c r="P118" s="146"/>
      <c r="Q118" s="147"/>
      <c r="R118" s="147"/>
      <c r="S118" s="142"/>
      <c r="T118" s="142"/>
      <c r="U118" s="146"/>
      <c r="V118" s="146"/>
      <c r="W118" s="146"/>
      <c r="X118" s="146"/>
      <c r="Y118" s="146"/>
      <c r="Z118" s="146"/>
      <c r="AA118" s="146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2:39" s="247" customFormat="1" ht="11">
      <c r="B119" s="144"/>
      <c r="C119" s="143"/>
      <c r="D119" s="907"/>
      <c r="E119" s="143"/>
      <c r="F119" s="145"/>
      <c r="G119" s="146"/>
      <c r="H119" s="146"/>
      <c r="I119" s="146"/>
      <c r="J119" s="146"/>
      <c r="K119" s="146"/>
      <c r="L119" s="999"/>
      <c r="M119" s="458"/>
      <c r="N119" s="145"/>
      <c r="O119" s="146"/>
      <c r="P119" s="146"/>
      <c r="Q119" s="147"/>
      <c r="R119" s="147"/>
      <c r="S119" s="142"/>
      <c r="T119" s="142"/>
      <c r="U119" s="146"/>
      <c r="V119" s="146"/>
      <c r="W119" s="146"/>
      <c r="X119" s="146"/>
      <c r="Y119" s="146"/>
      <c r="Z119" s="146"/>
      <c r="AA119" s="146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2:39" s="247" customFormat="1" ht="11">
      <c r="B120" s="144"/>
      <c r="C120" s="143"/>
      <c r="D120" s="907"/>
      <c r="E120" s="143"/>
      <c r="F120" s="145"/>
      <c r="G120" s="146"/>
      <c r="H120" s="146"/>
      <c r="I120" s="146"/>
      <c r="J120" s="146"/>
      <c r="K120" s="146"/>
      <c r="L120" s="999"/>
      <c r="M120" s="458"/>
      <c r="N120" s="145"/>
      <c r="O120" s="146"/>
      <c r="P120" s="146"/>
      <c r="Q120" s="147"/>
      <c r="R120" s="147"/>
      <c r="S120" s="142"/>
      <c r="T120" s="142"/>
      <c r="U120" s="146"/>
      <c r="V120" s="146"/>
      <c r="W120" s="146"/>
      <c r="X120" s="146"/>
      <c r="Y120" s="146"/>
      <c r="Z120" s="146"/>
      <c r="AA120" s="146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2:39" s="247" customFormat="1" ht="11">
      <c r="B121" s="144"/>
      <c r="C121" s="143"/>
      <c r="D121" s="907"/>
      <c r="E121" s="143"/>
      <c r="F121" s="145"/>
      <c r="G121" s="146"/>
      <c r="H121" s="146"/>
      <c r="I121" s="146"/>
      <c r="J121" s="146"/>
      <c r="K121" s="146"/>
      <c r="L121" s="999"/>
      <c r="M121" s="458"/>
      <c r="N121" s="145"/>
      <c r="O121" s="146"/>
      <c r="P121" s="146"/>
      <c r="Q121" s="147"/>
      <c r="R121" s="147"/>
      <c r="S121" s="142"/>
      <c r="T121" s="142"/>
      <c r="U121" s="146"/>
      <c r="V121" s="146"/>
      <c r="W121" s="146"/>
      <c r="X121" s="146"/>
      <c r="Y121" s="146"/>
      <c r="Z121" s="146"/>
      <c r="AA121" s="146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2:39" s="247" customFormat="1" ht="11">
      <c r="B122" s="144"/>
      <c r="C122" s="143"/>
      <c r="D122" s="907"/>
      <c r="E122" s="143"/>
      <c r="F122" s="145"/>
      <c r="G122" s="146"/>
      <c r="H122" s="146"/>
      <c r="I122" s="146"/>
      <c r="J122" s="146"/>
      <c r="K122" s="146"/>
      <c r="L122" s="999"/>
      <c r="M122" s="458"/>
      <c r="N122" s="145"/>
      <c r="O122" s="146"/>
      <c r="P122" s="146"/>
      <c r="Q122" s="147"/>
      <c r="R122" s="147"/>
      <c r="S122" s="142"/>
      <c r="T122" s="142"/>
      <c r="U122" s="146"/>
      <c r="V122" s="146"/>
      <c r="W122" s="146"/>
      <c r="X122" s="146"/>
      <c r="Y122" s="146"/>
      <c r="Z122" s="146"/>
      <c r="AA122" s="146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2:39" s="247" customFormat="1" ht="11">
      <c r="B123" s="144"/>
      <c r="C123" s="143"/>
      <c r="D123" s="907"/>
      <c r="E123" s="143"/>
      <c r="F123" s="145"/>
      <c r="G123" s="146"/>
      <c r="H123" s="146"/>
      <c r="I123" s="146"/>
      <c r="J123" s="146"/>
      <c r="K123" s="146"/>
      <c r="L123" s="999"/>
      <c r="M123" s="458"/>
      <c r="N123" s="145"/>
      <c r="O123" s="146"/>
      <c r="P123" s="146"/>
      <c r="Q123" s="147"/>
      <c r="R123" s="147"/>
      <c r="S123" s="142"/>
      <c r="T123" s="142"/>
      <c r="U123" s="146"/>
      <c r="V123" s="146"/>
      <c r="W123" s="146"/>
      <c r="X123" s="146"/>
      <c r="Y123" s="146"/>
      <c r="Z123" s="146"/>
      <c r="AA123" s="146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</row>
    <row r="124" spans="2:39" s="247" customFormat="1" ht="11">
      <c r="B124" s="144"/>
      <c r="C124" s="143"/>
      <c r="D124" s="907"/>
      <c r="E124" s="143"/>
      <c r="F124" s="145"/>
      <c r="G124" s="146"/>
      <c r="H124" s="146"/>
      <c r="I124" s="146"/>
      <c r="J124" s="146"/>
      <c r="K124" s="146"/>
      <c r="L124" s="999"/>
      <c r="M124" s="458"/>
      <c r="N124" s="145"/>
      <c r="O124" s="146"/>
      <c r="P124" s="146"/>
      <c r="Q124" s="147"/>
      <c r="R124" s="147"/>
      <c r="S124" s="142"/>
      <c r="T124" s="142"/>
      <c r="U124" s="146"/>
      <c r="V124" s="146"/>
      <c r="W124" s="146"/>
      <c r="X124" s="146"/>
      <c r="Y124" s="146"/>
      <c r="Z124" s="146"/>
      <c r="AA124" s="146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</row>
    <row r="125" spans="2:39" s="247" customFormat="1" ht="11">
      <c r="B125" s="144"/>
      <c r="C125" s="143"/>
      <c r="D125" s="907"/>
      <c r="E125" s="143"/>
      <c r="F125" s="145"/>
      <c r="G125" s="146"/>
      <c r="H125" s="146"/>
      <c r="I125" s="146"/>
      <c r="J125" s="146"/>
      <c r="K125" s="146"/>
      <c r="L125" s="999"/>
      <c r="M125" s="458"/>
      <c r="N125" s="145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2:39" s="247" customFormat="1" ht="11">
      <c r="B126" s="144"/>
      <c r="C126" s="143"/>
      <c r="D126" s="907"/>
      <c r="E126" s="143"/>
      <c r="F126" s="145"/>
      <c r="G126" s="146"/>
      <c r="H126" s="146"/>
      <c r="I126" s="146"/>
      <c r="J126" s="146"/>
      <c r="K126" s="146"/>
      <c r="L126" s="999"/>
      <c r="M126" s="458"/>
      <c r="N126" s="145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2:39" s="247" customFormat="1" ht="11">
      <c r="B127" s="144"/>
      <c r="C127" s="143"/>
      <c r="D127" s="907"/>
      <c r="E127" s="143"/>
      <c r="F127" s="145"/>
      <c r="G127" s="146"/>
      <c r="H127" s="146"/>
      <c r="I127" s="146"/>
      <c r="J127" s="146"/>
      <c r="K127" s="146"/>
      <c r="L127" s="999"/>
      <c r="M127" s="458"/>
      <c r="N127" s="145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2:39" s="247" customFormat="1" ht="11">
      <c r="B128" s="144"/>
      <c r="C128" s="143"/>
      <c r="D128" s="907"/>
      <c r="E128" s="143"/>
      <c r="F128" s="145"/>
      <c r="G128" s="146"/>
      <c r="H128" s="146"/>
      <c r="I128" s="146"/>
      <c r="J128" s="146"/>
      <c r="K128" s="146"/>
      <c r="L128" s="999"/>
      <c r="M128" s="458"/>
      <c r="N128" s="145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41" s="247" customFormat="1" ht="11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999"/>
      <c r="M129" s="458"/>
      <c r="N129" s="145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</row>
    <row r="130" spans="2:41" s="247" customFormat="1" ht="11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999"/>
      <c r="M130" s="458"/>
      <c r="N130" s="145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41" s="247" customFormat="1" ht="11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999"/>
      <c r="M131" s="458"/>
      <c r="N131" s="145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B131" s="247">
        <f>SUBTOTAL(9,AB89:AB130)</f>
        <v>0</v>
      </c>
      <c r="AC131" s="214">
        <f>SUBTOTAL(9,AC89:AC130)</f>
        <v>0</v>
      </c>
      <c r="AD131" s="214">
        <f>SUBTOTAL(9,AD89:AD130)</f>
        <v>0</v>
      </c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41" s="247" customFormat="1" ht="11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999"/>
      <c r="M132" s="458"/>
      <c r="N132" s="145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B132" s="247">
        <v>0</v>
      </c>
      <c r="AC132" s="214">
        <v>0</v>
      </c>
      <c r="AD132" s="214">
        <v>0</v>
      </c>
      <c r="AE132" s="214"/>
      <c r="AF132" s="214"/>
      <c r="AG132" s="214"/>
      <c r="AH132" s="214"/>
      <c r="AI132" s="214"/>
      <c r="AJ132" s="214"/>
      <c r="AK132" s="214"/>
      <c r="AL132" s="214"/>
      <c r="AM132" s="214"/>
    </row>
    <row r="133" spans="2:41" s="247" customFormat="1" ht="11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999"/>
      <c r="M133" s="458"/>
      <c r="N133" s="145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B133" s="247">
        <v>0</v>
      </c>
      <c r="AC133" s="214">
        <v>0</v>
      </c>
      <c r="AD133" s="214">
        <v>0</v>
      </c>
      <c r="AE133" s="214"/>
      <c r="AF133" s="214"/>
      <c r="AG133" s="214"/>
      <c r="AH133" s="214"/>
      <c r="AI133" s="214"/>
      <c r="AJ133" s="214"/>
      <c r="AK133" s="214"/>
      <c r="AL133" s="214"/>
      <c r="AM133" s="214"/>
    </row>
    <row r="134" spans="2:41" s="247" customFormat="1" ht="1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999"/>
      <c r="M134" s="458"/>
      <c r="N134" s="145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B134" s="247">
        <v>0</v>
      </c>
      <c r="AC134" s="214">
        <v>0</v>
      </c>
      <c r="AD134" s="214">
        <v>0</v>
      </c>
      <c r="AE134" s="214"/>
      <c r="AF134" s="214"/>
      <c r="AG134" s="214"/>
      <c r="AH134" s="214"/>
      <c r="AI134" s="214"/>
      <c r="AJ134" s="214"/>
      <c r="AK134" s="214"/>
      <c r="AL134" s="214"/>
      <c r="AM134" s="214"/>
    </row>
    <row r="135" spans="2:41" s="247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999"/>
      <c r="M135" s="458"/>
      <c r="N135" s="145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B135" s="247">
        <v>0</v>
      </c>
      <c r="AC135" s="214">
        <v>0</v>
      </c>
      <c r="AD135" s="214">
        <v>0</v>
      </c>
      <c r="AE135" s="214"/>
      <c r="AF135" s="214"/>
      <c r="AG135" s="214"/>
      <c r="AH135" s="214"/>
      <c r="AI135" s="214"/>
      <c r="AJ135" s="214"/>
      <c r="AK135" s="214"/>
      <c r="AL135" s="214"/>
      <c r="AM135" s="214"/>
    </row>
    <row r="136" spans="2:41" s="247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999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B136" s="247">
        <v>0</v>
      </c>
      <c r="AC136" s="214">
        <v>0</v>
      </c>
      <c r="AD136" s="214">
        <v>0</v>
      </c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2:41" s="247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999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B137" s="247">
        <v>0</v>
      </c>
      <c r="AC137" s="214">
        <v>0</v>
      </c>
      <c r="AD137" s="214">
        <v>0</v>
      </c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2:41" s="247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999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B138" s="247">
        <v>0</v>
      </c>
      <c r="AC138" s="214">
        <v>0</v>
      </c>
      <c r="AD138" s="214">
        <v>0</v>
      </c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2:41" s="247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999"/>
      <c r="M139" s="458"/>
      <c r="N139" s="145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B139" s="247">
        <v>0</v>
      </c>
      <c r="AC139" s="214">
        <v>0</v>
      </c>
      <c r="AD139" s="214">
        <v>0</v>
      </c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2:41" s="247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999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B140" s="247">
        <v>0</v>
      </c>
      <c r="AC140" s="214">
        <v>0</v>
      </c>
      <c r="AD140" s="214">
        <v>0</v>
      </c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2:41" s="247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999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B141" s="247">
        <v>0</v>
      </c>
      <c r="AC141" s="214">
        <v>0</v>
      </c>
      <c r="AD141" s="214">
        <v>0</v>
      </c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2:41" s="247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999"/>
      <c r="M142" s="458"/>
      <c r="N142" s="145"/>
      <c r="O142" s="146"/>
      <c r="P142" s="146"/>
      <c r="Q142" s="147"/>
      <c r="R142" s="147"/>
      <c r="S142" s="142"/>
      <c r="T142" s="142"/>
      <c r="U142" s="146">
        <f>SUBTOTAL(9,U100:U141)</f>
        <v>0</v>
      </c>
      <c r="V142" s="146">
        <f t="shared" ref="V142:AA142" si="68">SUBTOTAL(9,V100:V141)</f>
        <v>0</v>
      </c>
      <c r="W142" s="146">
        <f t="shared" si="68"/>
        <v>0</v>
      </c>
      <c r="X142" s="146">
        <f t="shared" si="68"/>
        <v>0</v>
      </c>
      <c r="Y142" s="146">
        <f t="shared" si="68"/>
        <v>0</v>
      </c>
      <c r="Z142" s="146">
        <f t="shared" si="68"/>
        <v>0</v>
      </c>
      <c r="AA142" s="146">
        <f t="shared" si="68"/>
        <v>0</v>
      </c>
      <c r="AB142" s="247">
        <v>0</v>
      </c>
      <c r="AC142" s="214">
        <v>0</v>
      </c>
      <c r="AD142" s="214">
        <v>0</v>
      </c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2:41" s="213" customFormat="1" ht="14" thickBot="1">
      <c r="B143" s="139"/>
      <c r="C143" s="138"/>
      <c r="D143" s="908"/>
      <c r="E143" s="138"/>
      <c r="F143" s="140"/>
      <c r="G143" s="141"/>
      <c r="H143" s="141"/>
      <c r="I143" s="141"/>
      <c r="J143" s="141"/>
      <c r="K143" s="141"/>
      <c r="L143" s="1000"/>
      <c r="M143" s="458"/>
      <c r="N143" s="140"/>
      <c r="O143" s="141"/>
      <c r="P143" s="141"/>
      <c r="Q143" s="148"/>
      <c r="R143" s="148"/>
      <c r="S143" s="149"/>
      <c r="T143" s="149"/>
      <c r="U143" s="150"/>
      <c r="V143" s="150"/>
      <c r="W143" s="150"/>
      <c r="X143" s="150"/>
      <c r="Y143" s="150"/>
      <c r="Z143" s="150"/>
      <c r="AA143" s="150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2:41" s="213" customFormat="1" ht="15" thickTop="1" thickBot="1">
      <c r="B144" s="139"/>
      <c r="C144" s="138"/>
      <c r="D144" s="908"/>
      <c r="E144" s="138"/>
      <c r="F144" s="140"/>
      <c r="G144" s="141"/>
      <c r="H144" s="141"/>
      <c r="I144" s="141"/>
      <c r="J144" s="141"/>
      <c r="K144" s="141"/>
      <c r="L144" s="1000"/>
      <c r="M144" s="458"/>
      <c r="N144" s="140"/>
      <c r="O144" s="141"/>
      <c r="P144" s="141"/>
      <c r="Q144" s="148"/>
      <c r="R144" s="148"/>
      <c r="S144" s="148"/>
      <c r="T144" s="149"/>
      <c r="U144" s="151"/>
      <c r="V144" s="152"/>
      <c r="W144" s="153"/>
      <c r="X144" s="153"/>
      <c r="Y144" s="153"/>
      <c r="Z144" s="153"/>
      <c r="AA144" s="154"/>
      <c r="AB144" s="246"/>
      <c r="AC144" s="246"/>
      <c r="AE144" s="214"/>
      <c r="AF144" s="214"/>
      <c r="AG144" s="214"/>
      <c r="AH144" s="214"/>
      <c r="AI144" s="214"/>
      <c r="AJ144" s="214"/>
      <c r="AK144" s="214"/>
      <c r="AL144" s="214"/>
      <c r="AM144" s="214"/>
      <c r="AN144" s="214"/>
      <c r="AO144" s="214"/>
    </row>
    <row r="145" spans="2:39" s="247" customFormat="1" ht="12" thickTop="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999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39" s="247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999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39" s="247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999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39" s="247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999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39" s="247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999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39" s="247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999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39" s="247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999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39" s="247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999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39" s="247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999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39" s="247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999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39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999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39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999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39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999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39" s="247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999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39" s="247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999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39" s="247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999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39" s="247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999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39" s="247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999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39" s="247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999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39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999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39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999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39" s="247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999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39" s="247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999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39" s="247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999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39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999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39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999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39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999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39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999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39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999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39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999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39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999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39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999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41" s="247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999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41" s="247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999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41" s="247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999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41" s="247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999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41" s="247" customFormat="1" ht="11">
      <c r="B181" s="248"/>
      <c r="D181" s="909"/>
      <c r="F181" s="249"/>
      <c r="G181" s="250"/>
      <c r="H181" s="250"/>
      <c r="I181" s="250"/>
      <c r="J181" s="250"/>
      <c r="K181" s="250"/>
      <c r="L181" s="1001"/>
      <c r="M181" s="459"/>
      <c r="N181" s="249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41" s="247" customFormat="1" ht="11">
      <c r="B182" s="248"/>
      <c r="D182" s="909"/>
      <c r="F182" s="249"/>
      <c r="G182" s="250"/>
      <c r="H182" s="250"/>
      <c r="I182" s="250"/>
      <c r="J182" s="250"/>
      <c r="K182" s="250"/>
      <c r="L182" s="1001"/>
      <c r="M182" s="459"/>
      <c r="N182" s="249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41" s="247" customFormat="1" ht="11">
      <c r="B183" s="248"/>
      <c r="D183" s="909"/>
      <c r="F183" s="249"/>
      <c r="G183" s="250"/>
      <c r="H183" s="250"/>
      <c r="I183" s="250"/>
      <c r="J183" s="250"/>
      <c r="K183" s="250"/>
      <c r="L183" s="1001"/>
      <c r="M183" s="459"/>
      <c r="N183" s="249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41" s="247" customFormat="1" ht="11">
      <c r="B184" s="248"/>
      <c r="D184" s="909"/>
      <c r="F184" s="249"/>
      <c r="G184" s="250"/>
      <c r="H184" s="250"/>
      <c r="I184" s="250"/>
      <c r="J184" s="250"/>
      <c r="K184" s="250"/>
      <c r="L184" s="1001"/>
      <c r="M184" s="459"/>
      <c r="N184" s="249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41" s="247" customFormat="1" ht="11">
      <c r="B185" s="248"/>
      <c r="D185" s="909"/>
      <c r="F185" s="249"/>
      <c r="G185" s="250"/>
      <c r="H185" s="250"/>
      <c r="I185" s="250"/>
      <c r="J185" s="250"/>
      <c r="K185" s="250"/>
      <c r="L185" s="1001"/>
      <c r="M185" s="459"/>
      <c r="N185" s="249"/>
      <c r="O185" s="146"/>
      <c r="P185" s="146"/>
      <c r="Q185" s="147"/>
      <c r="R185" s="147"/>
      <c r="S185" s="142"/>
      <c r="T185" s="142"/>
      <c r="U185" s="146">
        <f>SUBTOTAL(9,U143:U184)</f>
        <v>0</v>
      </c>
      <c r="V185" s="146">
        <f t="shared" ref="V185:AA185" si="69">SUBTOTAL(9,V143:V184)</f>
        <v>0</v>
      </c>
      <c r="W185" s="146">
        <f t="shared" si="69"/>
        <v>0</v>
      </c>
      <c r="X185" s="146">
        <f t="shared" si="69"/>
        <v>0</v>
      </c>
      <c r="Y185" s="146">
        <f t="shared" si="69"/>
        <v>0</v>
      </c>
      <c r="Z185" s="146">
        <f t="shared" si="69"/>
        <v>0</v>
      </c>
      <c r="AA185" s="146">
        <f t="shared" si="69"/>
        <v>0</v>
      </c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41" s="213" customFormat="1" ht="14" thickBot="1">
      <c r="B186" s="225"/>
      <c r="D186" s="910"/>
      <c r="F186" s="242"/>
      <c r="G186" s="243"/>
      <c r="H186" s="243"/>
      <c r="I186" s="243"/>
      <c r="J186" s="243"/>
      <c r="K186" s="243"/>
      <c r="L186" s="1002"/>
      <c r="M186" s="459"/>
      <c r="N186" s="242"/>
      <c r="O186" s="141"/>
      <c r="P186" s="141"/>
      <c r="Q186" s="148"/>
      <c r="R186" s="148"/>
      <c r="S186" s="149"/>
      <c r="T186" s="149"/>
      <c r="U186" s="150"/>
      <c r="V186" s="150"/>
      <c r="W186" s="150"/>
      <c r="X186" s="150"/>
      <c r="Y186" s="150"/>
      <c r="Z186" s="150"/>
      <c r="AA186" s="150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41" s="213" customFormat="1" ht="15" thickTop="1" thickBot="1">
      <c r="B187" s="225"/>
      <c r="D187" s="910"/>
      <c r="F187" s="242"/>
      <c r="G187" s="243"/>
      <c r="H187" s="243"/>
      <c r="I187" s="243"/>
      <c r="J187" s="243"/>
      <c r="K187" s="243"/>
      <c r="L187" s="1002"/>
      <c r="M187" s="459"/>
      <c r="N187" s="242"/>
      <c r="O187" s="141"/>
      <c r="P187" s="141"/>
      <c r="Q187" s="148"/>
      <c r="R187" s="148"/>
      <c r="S187" s="148"/>
      <c r="T187" s="148"/>
      <c r="U187" s="151">
        <f>SUBTOTAL(9,U145:U186)</f>
        <v>0</v>
      </c>
      <c r="V187" s="152">
        <f t="shared" ref="V187:AA187" si="70">SUBTOTAL(9,V145:V186)</f>
        <v>0</v>
      </c>
      <c r="W187" s="153">
        <f t="shared" si="70"/>
        <v>0</v>
      </c>
      <c r="X187" s="153">
        <f t="shared" si="70"/>
        <v>0</v>
      </c>
      <c r="Y187" s="153">
        <f t="shared" si="70"/>
        <v>0</v>
      </c>
      <c r="Z187" s="153">
        <f t="shared" si="70"/>
        <v>0</v>
      </c>
      <c r="AA187" s="154">
        <f t="shared" si="70"/>
        <v>0</v>
      </c>
      <c r="AB187" s="246"/>
      <c r="AC187" s="246"/>
      <c r="AE187" s="214"/>
      <c r="AF187" s="214"/>
      <c r="AG187" s="214"/>
      <c r="AH187" s="214"/>
      <c r="AI187" s="214"/>
      <c r="AJ187" s="214"/>
      <c r="AK187" s="214"/>
      <c r="AL187" s="214"/>
      <c r="AM187" s="214"/>
      <c r="AN187" s="214"/>
      <c r="AO187" s="214"/>
    </row>
    <row r="188" spans="2:41" s="213" customFormat="1" ht="14" thickTop="1">
      <c r="B188" s="225"/>
      <c r="D188" s="910"/>
      <c r="F188" s="242"/>
      <c r="G188" s="243"/>
      <c r="H188" s="243"/>
      <c r="I188" s="243"/>
      <c r="J188" s="243"/>
      <c r="K188" s="243"/>
      <c r="L188" s="1002"/>
      <c r="M188" s="459"/>
      <c r="N188" s="242"/>
      <c r="O188" s="141"/>
      <c r="P188" s="141"/>
      <c r="Q188" s="148"/>
      <c r="R188" s="148"/>
      <c r="S188" s="149"/>
      <c r="T188" s="149"/>
      <c r="U188" s="150"/>
      <c r="V188" s="150"/>
      <c r="W188" s="150"/>
      <c r="X188" s="150"/>
      <c r="Y188" s="150"/>
      <c r="Z188" s="150"/>
      <c r="AA188" s="150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41" s="213" customFormat="1">
      <c r="B189" s="225"/>
      <c r="D189" s="910"/>
      <c r="F189" s="242"/>
      <c r="G189" s="243"/>
      <c r="H189" s="243"/>
      <c r="I189" s="243"/>
      <c r="J189" s="243"/>
      <c r="K189" s="243"/>
      <c r="L189" s="1002"/>
      <c r="M189" s="459"/>
      <c r="N189" s="242"/>
      <c r="O189" s="141"/>
      <c r="P189" s="141"/>
      <c r="Q189" s="148"/>
      <c r="R189" s="148"/>
      <c r="S189" s="149"/>
      <c r="T189" s="149"/>
      <c r="U189" s="150"/>
      <c r="V189" s="150"/>
      <c r="W189" s="150"/>
      <c r="X189" s="150"/>
      <c r="Y189" s="150"/>
      <c r="Z189" s="150"/>
      <c r="AA189" s="150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41" s="213" customFormat="1">
      <c r="B190" s="225"/>
      <c r="D190" s="910"/>
      <c r="F190" s="242"/>
      <c r="G190" s="243"/>
      <c r="H190" s="243"/>
      <c r="I190" s="243"/>
      <c r="J190" s="243"/>
      <c r="K190" s="243"/>
      <c r="L190" s="1002"/>
      <c r="M190" s="459"/>
      <c r="N190" s="242"/>
      <c r="O190" s="141"/>
      <c r="P190" s="141"/>
      <c r="Q190" s="148"/>
      <c r="R190" s="148"/>
      <c r="S190" s="149"/>
      <c r="T190" s="149"/>
      <c r="U190" s="150"/>
      <c r="V190" s="150"/>
      <c r="W190" s="150"/>
      <c r="X190" s="150"/>
      <c r="Y190" s="150"/>
      <c r="Z190" s="150"/>
      <c r="AA190" s="150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41" s="213" customFormat="1">
      <c r="B191" s="225"/>
      <c r="D191" s="910"/>
      <c r="F191" s="242"/>
      <c r="G191" s="243"/>
      <c r="H191" s="243"/>
      <c r="I191" s="243"/>
      <c r="J191" s="243"/>
      <c r="K191" s="243"/>
      <c r="L191" s="1002"/>
      <c r="M191" s="459"/>
      <c r="N191" s="242"/>
      <c r="O191" s="141"/>
      <c r="P191" s="141"/>
      <c r="Q191" s="148"/>
      <c r="R191" s="148"/>
      <c r="S191" s="149"/>
      <c r="T191" s="149"/>
      <c r="U191" s="150"/>
      <c r="V191" s="150"/>
      <c r="W191" s="150"/>
      <c r="X191" s="150"/>
      <c r="Y191" s="150"/>
      <c r="Z191" s="150"/>
      <c r="AA191" s="150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41" s="213" customFormat="1">
      <c r="B192" s="225"/>
      <c r="D192" s="910"/>
      <c r="F192" s="242"/>
      <c r="G192" s="243"/>
      <c r="H192" s="243"/>
      <c r="I192" s="243"/>
      <c r="J192" s="243"/>
      <c r="K192" s="243"/>
      <c r="L192" s="1002"/>
      <c r="M192" s="459"/>
      <c r="N192" s="242"/>
      <c r="O192" s="141"/>
      <c r="P192" s="141"/>
      <c r="Q192" s="148"/>
      <c r="R192" s="148"/>
      <c r="S192" s="149"/>
      <c r="T192" s="149"/>
      <c r="U192" s="150"/>
      <c r="V192" s="150"/>
      <c r="W192" s="150"/>
      <c r="X192" s="150"/>
      <c r="Y192" s="150"/>
      <c r="Z192" s="150"/>
      <c r="AA192" s="150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39" s="213" customFormat="1">
      <c r="B193" s="225"/>
      <c r="D193" s="910"/>
      <c r="F193" s="242"/>
      <c r="G193" s="243"/>
      <c r="H193" s="243"/>
      <c r="I193" s="243"/>
      <c r="J193" s="243"/>
      <c r="K193" s="243"/>
      <c r="L193" s="1002"/>
      <c r="M193" s="459"/>
      <c r="N193" s="242"/>
      <c r="O193" s="141"/>
      <c r="P193" s="141"/>
      <c r="Q193" s="148"/>
      <c r="R193" s="148"/>
      <c r="S193" s="149"/>
      <c r="T193" s="149"/>
      <c r="U193" s="150"/>
      <c r="V193" s="150"/>
      <c r="W193" s="150"/>
      <c r="X193" s="150"/>
      <c r="Y193" s="150"/>
      <c r="Z193" s="150"/>
      <c r="AA193" s="150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39" s="213" customFormat="1">
      <c r="B194" s="225"/>
      <c r="D194" s="910"/>
      <c r="F194" s="242"/>
      <c r="G194" s="243"/>
      <c r="H194" s="243"/>
      <c r="I194" s="243"/>
      <c r="J194" s="243"/>
      <c r="K194" s="243"/>
      <c r="L194" s="1002"/>
      <c r="M194" s="459"/>
      <c r="N194" s="242"/>
      <c r="O194" s="141"/>
      <c r="P194" s="141"/>
      <c r="Q194" s="148"/>
      <c r="R194" s="148"/>
      <c r="S194" s="149"/>
      <c r="T194" s="149"/>
      <c r="U194" s="150"/>
      <c r="V194" s="150"/>
      <c r="W194" s="150"/>
      <c r="X194" s="150"/>
      <c r="Y194" s="150"/>
      <c r="Z194" s="150"/>
      <c r="AA194" s="150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39" s="213" customFormat="1">
      <c r="B195" s="225"/>
      <c r="D195" s="910"/>
      <c r="F195" s="242"/>
      <c r="G195" s="243"/>
      <c r="H195" s="243"/>
      <c r="I195" s="243"/>
      <c r="J195" s="243"/>
      <c r="K195" s="243"/>
      <c r="L195" s="1002"/>
      <c r="M195" s="459"/>
      <c r="N195" s="242"/>
      <c r="O195" s="141"/>
      <c r="P195" s="141"/>
      <c r="Q195" s="148"/>
      <c r="R195" s="148"/>
      <c r="S195" s="149"/>
      <c r="T195" s="149"/>
      <c r="U195" s="150"/>
      <c r="V195" s="150"/>
      <c r="W195" s="150"/>
      <c r="X195" s="150"/>
      <c r="Y195" s="150"/>
      <c r="Z195" s="150"/>
      <c r="AA195" s="150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39" s="213" customFormat="1">
      <c r="B196" s="225"/>
      <c r="D196" s="910"/>
      <c r="F196" s="242"/>
      <c r="G196" s="243"/>
      <c r="H196" s="243"/>
      <c r="I196" s="243"/>
      <c r="J196" s="243"/>
      <c r="K196" s="243"/>
      <c r="L196" s="1002"/>
      <c r="M196" s="459"/>
      <c r="N196" s="242"/>
      <c r="O196" s="141"/>
      <c r="P196" s="141"/>
      <c r="Q196" s="148"/>
      <c r="R196" s="148"/>
      <c r="S196" s="149"/>
      <c r="T196" s="149"/>
      <c r="U196" s="150"/>
      <c r="V196" s="150"/>
      <c r="W196" s="150"/>
      <c r="X196" s="150"/>
      <c r="Y196" s="150"/>
      <c r="Z196" s="150"/>
      <c r="AA196" s="150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39" s="213" customFormat="1">
      <c r="B197" s="225"/>
      <c r="D197" s="910"/>
      <c r="F197" s="242"/>
      <c r="G197" s="243"/>
      <c r="H197" s="243"/>
      <c r="I197" s="243"/>
      <c r="J197" s="243"/>
      <c r="K197" s="243"/>
      <c r="L197" s="1002"/>
      <c r="M197" s="459"/>
      <c r="N197" s="242"/>
      <c r="O197" s="141"/>
      <c r="P197" s="141"/>
      <c r="Q197" s="148"/>
      <c r="R197" s="148"/>
      <c r="S197" s="149"/>
      <c r="T197" s="149"/>
      <c r="U197" s="150"/>
      <c r="V197" s="150"/>
      <c r="W197" s="150"/>
      <c r="X197" s="150"/>
      <c r="Y197" s="150"/>
      <c r="Z197" s="150"/>
      <c r="AA197" s="150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39" s="213" customFormat="1">
      <c r="B198" s="225"/>
      <c r="D198" s="910"/>
      <c r="F198" s="242"/>
      <c r="G198" s="243"/>
      <c r="H198" s="243"/>
      <c r="I198" s="243"/>
      <c r="J198" s="243"/>
      <c r="K198" s="243"/>
      <c r="L198" s="1002"/>
      <c r="M198" s="459"/>
      <c r="N198" s="242"/>
      <c r="O198" s="141"/>
      <c r="P198" s="141"/>
      <c r="Q198" s="148"/>
      <c r="R198" s="148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39" s="213" customFormat="1">
      <c r="B199" s="225"/>
      <c r="D199" s="910"/>
      <c r="F199" s="242"/>
      <c r="G199" s="243"/>
      <c r="H199" s="243"/>
      <c r="I199" s="243"/>
      <c r="J199" s="243"/>
      <c r="K199" s="243"/>
      <c r="L199" s="1002"/>
      <c r="M199" s="459"/>
      <c r="N199" s="242"/>
      <c r="O199" s="141"/>
      <c r="P199" s="141"/>
      <c r="Q199" s="148"/>
      <c r="R199" s="148"/>
      <c r="S199" s="149"/>
      <c r="T199" s="149"/>
      <c r="U199" s="150"/>
      <c r="V199" s="150"/>
      <c r="W199" s="150"/>
      <c r="X199" s="150"/>
      <c r="Y199" s="150"/>
      <c r="Z199" s="150"/>
      <c r="AA199" s="150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39" s="213" customFormat="1">
      <c r="B200" s="225"/>
      <c r="D200" s="910"/>
      <c r="F200" s="242"/>
      <c r="G200" s="243"/>
      <c r="H200" s="243"/>
      <c r="I200" s="243"/>
      <c r="J200" s="243"/>
      <c r="K200" s="243"/>
      <c r="L200" s="1002"/>
      <c r="M200" s="459"/>
      <c r="N200" s="242"/>
      <c r="O200" s="141"/>
      <c r="P200" s="141"/>
      <c r="Q200" s="148"/>
      <c r="R200" s="148"/>
      <c r="S200" s="149"/>
      <c r="T200" s="149"/>
      <c r="U200" s="150"/>
      <c r="V200" s="150"/>
      <c r="W200" s="150"/>
      <c r="X200" s="150"/>
      <c r="Y200" s="150"/>
      <c r="Z200" s="150"/>
      <c r="AA200" s="150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39" s="213" customFormat="1">
      <c r="B201" s="225"/>
      <c r="D201" s="910"/>
      <c r="F201" s="242"/>
      <c r="G201" s="243"/>
      <c r="H201" s="243"/>
      <c r="I201" s="243"/>
      <c r="J201" s="243"/>
      <c r="K201" s="243"/>
      <c r="L201" s="1002"/>
      <c r="M201" s="459"/>
      <c r="N201" s="242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39" s="213" customFormat="1">
      <c r="B202" s="225"/>
      <c r="D202" s="910"/>
      <c r="F202" s="242"/>
      <c r="G202" s="243"/>
      <c r="H202" s="243"/>
      <c r="I202" s="243"/>
      <c r="J202" s="243"/>
      <c r="K202" s="243"/>
      <c r="L202" s="1002"/>
      <c r="M202" s="459"/>
      <c r="N202" s="242"/>
      <c r="O202" s="141"/>
      <c r="P202" s="141"/>
      <c r="Q202" s="148"/>
      <c r="R202" s="148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39" s="213" customFormat="1">
      <c r="B203" s="225"/>
      <c r="D203" s="910"/>
      <c r="F203" s="242"/>
      <c r="G203" s="243"/>
      <c r="H203" s="243"/>
      <c r="I203" s="243"/>
      <c r="J203" s="243"/>
      <c r="K203" s="243"/>
      <c r="L203" s="1002"/>
      <c r="M203" s="459"/>
      <c r="N203" s="242"/>
      <c r="O203" s="141"/>
      <c r="P203" s="141"/>
      <c r="Q203" s="148"/>
      <c r="R203" s="148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39" s="213" customFormat="1">
      <c r="B204" s="225"/>
      <c r="D204" s="910"/>
      <c r="F204" s="242"/>
      <c r="G204" s="243"/>
      <c r="H204" s="243"/>
      <c r="I204" s="243"/>
      <c r="J204" s="243"/>
      <c r="K204" s="243"/>
      <c r="L204" s="1002"/>
      <c r="M204" s="459"/>
      <c r="N204" s="242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39" s="213" customFormat="1">
      <c r="B205" s="225"/>
      <c r="D205" s="910"/>
      <c r="F205" s="242"/>
      <c r="G205" s="243"/>
      <c r="H205" s="243"/>
      <c r="I205" s="243"/>
      <c r="J205" s="243"/>
      <c r="K205" s="243"/>
      <c r="L205" s="1002"/>
      <c r="M205" s="459"/>
      <c r="N205" s="242"/>
      <c r="O205" s="141"/>
      <c r="P205" s="141"/>
      <c r="Q205" s="148"/>
      <c r="R205" s="148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39" s="213" customFormat="1">
      <c r="B206" s="225"/>
      <c r="D206" s="910"/>
      <c r="F206" s="242"/>
      <c r="G206" s="243"/>
      <c r="H206" s="243"/>
      <c r="I206" s="243"/>
      <c r="J206" s="243"/>
      <c r="K206" s="243"/>
      <c r="L206" s="1002"/>
      <c r="M206" s="459"/>
      <c r="N206" s="242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39" s="213" customFormat="1">
      <c r="B207" s="225"/>
      <c r="D207" s="910"/>
      <c r="F207" s="242"/>
      <c r="G207" s="243"/>
      <c r="H207" s="243"/>
      <c r="I207" s="243"/>
      <c r="J207" s="243"/>
      <c r="K207" s="243"/>
      <c r="L207" s="1002"/>
      <c r="M207" s="459"/>
      <c r="N207" s="242"/>
      <c r="O207" s="141"/>
      <c r="P207" s="141"/>
      <c r="Q207" s="148"/>
      <c r="R207" s="148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39" s="213" customFormat="1">
      <c r="B208" s="225"/>
      <c r="D208" s="910"/>
      <c r="F208" s="242"/>
      <c r="G208" s="243"/>
      <c r="H208" s="243"/>
      <c r="I208" s="243"/>
      <c r="J208" s="243"/>
      <c r="K208" s="243"/>
      <c r="L208" s="1002"/>
      <c r="M208" s="459"/>
      <c r="N208" s="242"/>
      <c r="O208" s="141"/>
      <c r="P208" s="141"/>
      <c r="Q208" s="148"/>
      <c r="R208" s="148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39" s="213" customFormat="1">
      <c r="B209" s="225"/>
      <c r="D209" s="910"/>
      <c r="F209" s="242"/>
      <c r="G209" s="243"/>
      <c r="H209" s="243"/>
      <c r="I209" s="243"/>
      <c r="J209" s="243"/>
      <c r="K209" s="243"/>
      <c r="L209" s="1002"/>
      <c r="M209" s="459"/>
      <c r="N209" s="242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39" s="213" customFormat="1">
      <c r="B210" s="225"/>
      <c r="D210" s="910"/>
      <c r="F210" s="242"/>
      <c r="G210" s="243"/>
      <c r="H210" s="243"/>
      <c r="I210" s="243"/>
      <c r="J210" s="243"/>
      <c r="K210" s="243"/>
      <c r="L210" s="1002"/>
      <c r="M210" s="459"/>
      <c r="N210" s="242"/>
      <c r="O210" s="141"/>
      <c r="P210" s="141"/>
      <c r="Q210" s="148"/>
      <c r="R210" s="148"/>
      <c r="S210" s="149"/>
      <c r="T210" s="149"/>
      <c r="U210" s="150"/>
      <c r="V210" s="150"/>
      <c r="W210" s="150"/>
      <c r="X210" s="150"/>
      <c r="Y210" s="150"/>
      <c r="Z210" s="150"/>
      <c r="AA210" s="150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39" s="213" customFormat="1">
      <c r="B211" s="225"/>
      <c r="D211" s="910"/>
      <c r="F211" s="242"/>
      <c r="G211" s="243"/>
      <c r="H211" s="243"/>
      <c r="I211" s="243"/>
      <c r="J211" s="243"/>
      <c r="K211" s="243"/>
      <c r="L211" s="1002"/>
      <c r="M211" s="459"/>
      <c r="N211" s="242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39" s="213" customFormat="1">
      <c r="B212" s="225"/>
      <c r="D212" s="910"/>
      <c r="F212" s="242"/>
      <c r="G212" s="243"/>
      <c r="H212" s="243"/>
      <c r="I212" s="243"/>
      <c r="J212" s="243"/>
      <c r="K212" s="243"/>
      <c r="L212" s="1002"/>
      <c r="M212" s="459"/>
      <c r="N212" s="242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39" s="213" customFormat="1">
      <c r="B213" s="225"/>
      <c r="D213" s="910"/>
      <c r="F213" s="242"/>
      <c r="G213" s="243"/>
      <c r="H213" s="243"/>
      <c r="I213" s="243"/>
      <c r="J213" s="243"/>
      <c r="K213" s="243"/>
      <c r="L213" s="1002"/>
      <c r="M213" s="459"/>
      <c r="N213" s="242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39" s="213" customFormat="1">
      <c r="B214" s="225"/>
      <c r="D214" s="910"/>
      <c r="F214" s="242"/>
      <c r="G214" s="243"/>
      <c r="H214" s="243"/>
      <c r="I214" s="243"/>
      <c r="J214" s="243"/>
      <c r="K214" s="243"/>
      <c r="L214" s="1002"/>
      <c r="M214" s="459"/>
      <c r="N214" s="242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39" s="213" customFormat="1">
      <c r="B215" s="225"/>
      <c r="D215" s="910"/>
      <c r="F215" s="242"/>
      <c r="G215" s="243"/>
      <c r="H215" s="243"/>
      <c r="I215" s="243"/>
      <c r="J215" s="243"/>
      <c r="K215" s="243"/>
      <c r="L215" s="1002"/>
      <c r="M215" s="459"/>
      <c r="N215" s="242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39" s="213" customFormat="1">
      <c r="B216" s="225"/>
      <c r="D216" s="910"/>
      <c r="F216" s="242"/>
      <c r="G216" s="243"/>
      <c r="H216" s="243"/>
      <c r="I216" s="243"/>
      <c r="J216" s="243"/>
      <c r="K216" s="243"/>
      <c r="L216" s="1002"/>
      <c r="M216" s="459"/>
      <c r="N216" s="242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39" s="213" customFormat="1">
      <c r="B217" s="225"/>
      <c r="D217" s="910"/>
      <c r="F217" s="242"/>
      <c r="G217" s="243"/>
      <c r="H217" s="243"/>
      <c r="I217" s="243"/>
      <c r="J217" s="243"/>
      <c r="K217" s="243"/>
      <c r="L217" s="1002"/>
      <c r="M217" s="459"/>
      <c r="N217" s="242"/>
      <c r="O217" s="141"/>
      <c r="P217" s="141"/>
      <c r="Q217" s="148"/>
      <c r="R217" s="148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39" s="213" customFormat="1">
      <c r="B218" s="225"/>
      <c r="D218" s="910"/>
      <c r="F218" s="242"/>
      <c r="G218" s="243"/>
      <c r="H218" s="243"/>
      <c r="I218" s="243"/>
      <c r="J218" s="243"/>
      <c r="K218" s="243"/>
      <c r="L218" s="1002"/>
      <c r="M218" s="459"/>
      <c r="N218" s="242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39">
      <c r="O219" s="155"/>
      <c r="P219" s="155"/>
      <c r="Q219" s="156"/>
      <c r="R219" s="156"/>
      <c r="S219" s="251"/>
      <c r="T219" s="251"/>
      <c r="U219" s="252"/>
      <c r="V219" s="252"/>
      <c r="W219" s="252"/>
      <c r="X219" s="252"/>
      <c r="Y219" s="252"/>
      <c r="Z219" s="252"/>
      <c r="AA219" s="252"/>
    </row>
    <row r="220" spans="2:39">
      <c r="O220" s="155"/>
      <c r="P220" s="155"/>
      <c r="Q220" s="156"/>
      <c r="R220" s="156"/>
      <c r="S220" s="251"/>
      <c r="T220" s="251"/>
      <c r="U220" s="252"/>
      <c r="V220" s="252"/>
      <c r="W220" s="252"/>
      <c r="X220" s="252"/>
      <c r="Y220" s="252"/>
      <c r="Z220" s="252"/>
      <c r="AA220" s="252"/>
    </row>
    <row r="221" spans="2:39">
      <c r="O221" s="155"/>
      <c r="P221" s="155"/>
      <c r="Q221" s="156"/>
      <c r="R221" s="156"/>
      <c r="S221" s="251"/>
      <c r="T221" s="251"/>
      <c r="U221" s="252"/>
      <c r="V221" s="252"/>
      <c r="W221" s="252"/>
      <c r="X221" s="252"/>
      <c r="Y221" s="252"/>
      <c r="Z221" s="252"/>
      <c r="AA221" s="252"/>
    </row>
    <row r="222" spans="2:39">
      <c r="O222" s="155"/>
      <c r="P222" s="155"/>
      <c r="Q222" s="156"/>
      <c r="R222" s="156"/>
      <c r="S222" s="251"/>
      <c r="T222" s="251"/>
      <c r="U222" s="252"/>
      <c r="V222" s="252"/>
      <c r="W222" s="252"/>
      <c r="X222" s="252"/>
      <c r="Y222" s="252"/>
      <c r="Z222" s="252"/>
      <c r="AA222" s="252"/>
    </row>
    <row r="223" spans="2:39">
      <c r="O223" s="155"/>
      <c r="P223" s="155"/>
      <c r="Q223" s="156"/>
      <c r="R223" s="156"/>
      <c r="S223" s="251"/>
      <c r="T223" s="251"/>
      <c r="U223" s="252"/>
      <c r="V223" s="252"/>
      <c r="W223" s="252"/>
      <c r="X223" s="252"/>
      <c r="Y223" s="252"/>
      <c r="Z223" s="252"/>
      <c r="AA223" s="252"/>
    </row>
    <row r="224" spans="2:39">
      <c r="O224" s="155"/>
      <c r="P224" s="155"/>
      <c r="Q224" s="156"/>
      <c r="R224" s="156"/>
      <c r="S224" s="251"/>
      <c r="T224" s="251"/>
      <c r="U224" s="252"/>
      <c r="V224" s="252"/>
      <c r="W224" s="252"/>
      <c r="X224" s="252"/>
      <c r="Y224" s="252"/>
      <c r="Z224" s="252"/>
      <c r="AA224" s="252"/>
    </row>
    <row r="225" spans="15:27">
      <c r="O225" s="155"/>
      <c r="P225" s="155"/>
      <c r="Q225" s="156"/>
      <c r="R225" s="156"/>
      <c r="S225" s="251"/>
      <c r="T225" s="251"/>
      <c r="U225" s="252"/>
      <c r="V225" s="252"/>
      <c r="W225" s="252"/>
      <c r="X225" s="252"/>
      <c r="Y225" s="252"/>
      <c r="Z225" s="252"/>
      <c r="AA225" s="252"/>
    </row>
    <row r="226" spans="15:27">
      <c r="O226" s="155"/>
      <c r="P226" s="155"/>
      <c r="Q226" s="156"/>
      <c r="R226" s="156"/>
      <c r="S226" s="251"/>
      <c r="T226" s="251"/>
      <c r="U226" s="252"/>
      <c r="V226" s="252"/>
      <c r="W226" s="252"/>
      <c r="X226" s="252"/>
      <c r="Y226" s="252"/>
      <c r="Z226" s="252"/>
      <c r="AA226" s="252"/>
    </row>
    <row r="227" spans="15:27">
      <c r="O227" s="155"/>
      <c r="P227" s="155"/>
      <c r="Q227" s="156"/>
      <c r="R227" s="156"/>
      <c r="S227" s="251"/>
      <c r="T227" s="251"/>
      <c r="U227" s="252"/>
      <c r="V227" s="252"/>
      <c r="W227" s="252"/>
      <c r="X227" s="252"/>
      <c r="Y227" s="252"/>
      <c r="Z227" s="252"/>
      <c r="AA227" s="252"/>
    </row>
    <row r="228" spans="15:27">
      <c r="O228" s="155"/>
      <c r="P228" s="155"/>
      <c r="Q228" s="156"/>
      <c r="R228" s="156"/>
      <c r="S228" s="251"/>
      <c r="T228" s="251"/>
      <c r="U228" s="252"/>
      <c r="V228" s="252"/>
      <c r="W228" s="252"/>
      <c r="X228" s="252"/>
      <c r="Y228" s="252"/>
      <c r="Z228" s="252"/>
      <c r="AA228" s="252"/>
    </row>
    <row r="229" spans="15:27">
      <c r="O229" s="155"/>
      <c r="P229" s="155"/>
      <c r="Q229" s="156"/>
      <c r="R229" s="156"/>
      <c r="S229" s="251"/>
      <c r="T229" s="251"/>
      <c r="U229" s="252"/>
      <c r="V229" s="252"/>
      <c r="W229" s="252"/>
      <c r="X229" s="252"/>
      <c r="Y229" s="252"/>
      <c r="Z229" s="252"/>
      <c r="AA229" s="252"/>
    </row>
    <row r="230" spans="15:27">
      <c r="O230" s="155"/>
      <c r="P230" s="155"/>
      <c r="Q230" s="156"/>
      <c r="R230" s="156"/>
      <c r="S230" s="251"/>
      <c r="T230" s="251"/>
      <c r="U230" s="252"/>
      <c r="V230" s="252"/>
      <c r="W230" s="252"/>
      <c r="X230" s="252"/>
      <c r="Y230" s="252"/>
      <c r="Z230" s="252"/>
      <c r="AA230" s="252"/>
    </row>
    <row r="231" spans="15:27">
      <c r="O231" s="155"/>
      <c r="P231" s="155"/>
      <c r="Q231" s="156"/>
      <c r="R231" s="156"/>
      <c r="S231" s="251"/>
      <c r="T231" s="251"/>
      <c r="U231" s="252"/>
      <c r="V231" s="252"/>
      <c r="W231" s="252"/>
      <c r="X231" s="252"/>
      <c r="Y231" s="252"/>
      <c r="Z231" s="252"/>
      <c r="AA231" s="252"/>
    </row>
  </sheetData>
  <mergeCells count="1">
    <mergeCell ref="Q40:R40"/>
  </mergeCells>
  <phoneticPr fontId="21" type="noConversion"/>
  <conditionalFormatting sqref="AB8:AH8">
    <cfRule type="cellIs" dxfId="742" priority="1" stopIfTrue="1" operator="lessThan">
      <formula>0</formula>
    </cfRule>
  </conditionalFormatting>
  <printOptions horizontalCentered="1" verticalCentered="1"/>
  <pageMargins left="0" right="0" top="0.98425196850393704" bottom="0.78740157480314965" header="0.98425196850393704" footer="0"/>
  <pageSetup paperSize="9" scale="117" orientation="landscape" horizontalDpi="0" verticalDpi="0"/>
  <headerFooter>
    <oddHeader>&amp;L&amp;K000000              &amp;A&amp;F&amp;C&amp;K000000&amp;D&amp;R&amp;K000000&amp;P de &amp;N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5"/>
  <dimension ref="A1:AO267"/>
  <sheetViews>
    <sheetView topLeftCell="A16" zoomScale="155" zoomScaleNormal="150" zoomScalePageLayoutView="194" workbookViewId="0">
      <selection activeCell="E37" sqref="E37:H41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6640625" style="204" customWidth="1"/>
    <col min="4" max="4" width="1" style="902" customWidth="1"/>
    <col min="5" max="5" width="3.83203125" style="204" customWidth="1"/>
    <col min="6" max="6" width="3.33203125" style="207" customWidth="1"/>
    <col min="7" max="7" width="5.6640625" style="208" customWidth="1"/>
    <col min="8" max="10" width="7.33203125" style="208" customWidth="1"/>
    <col min="11" max="11" width="33.6640625" style="208" customWidth="1"/>
    <col min="12" max="12" width="9.1640625" style="988" customWidth="1"/>
    <col min="13" max="13" width="1.33203125" style="449" customWidth="1"/>
    <col min="14" max="14" width="9.1640625" style="207" customWidth="1"/>
    <col min="15" max="15" width="1" style="208" customWidth="1"/>
    <col min="16" max="16" width="8.5" style="208" customWidth="1"/>
    <col min="17" max="17" width="7.33203125" style="1099" customWidth="1"/>
    <col min="18" max="18" width="7.6640625" style="1099" customWidth="1"/>
    <col min="19" max="20" width="0.33203125" style="210" customWidth="1"/>
    <col min="21" max="21" width="6" style="1098" customWidth="1"/>
    <col min="22" max="22" width="5.6640625" style="1098" customWidth="1"/>
    <col min="23" max="23" width="6.33203125" style="1098" customWidth="1"/>
    <col min="24" max="24" width="5.33203125" style="1098" customWidth="1"/>
    <col min="25" max="25" width="6" style="1098" customWidth="1"/>
    <col min="26" max="27" width="5.33203125" style="1098" customWidth="1"/>
    <col min="28" max="28" width="6.332031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26" customHeight="1">
      <c r="A1" s="203" t="s">
        <v>344</v>
      </c>
      <c r="B1" s="204"/>
      <c r="C1" s="1126"/>
      <c r="D1" s="1127"/>
      <c r="E1" s="1128"/>
      <c r="V1" s="212"/>
      <c r="AI1" s="213"/>
      <c r="AJ1" s="213"/>
      <c r="AK1" s="213"/>
      <c r="AL1" s="213"/>
      <c r="AM1" s="213"/>
    </row>
    <row r="2" spans="1:40" ht="12" customHeight="1" thickBot="1">
      <c r="F2" s="527"/>
      <c r="G2" s="155"/>
      <c r="H2" s="155"/>
      <c r="I2" s="155"/>
      <c r="J2" s="217"/>
      <c r="K2" s="583">
        <v>45922</v>
      </c>
      <c r="L2" s="7838"/>
      <c r="U2" s="218" t="s">
        <v>345</v>
      </c>
      <c r="AI2" s="213"/>
      <c r="AJ2" s="213"/>
      <c r="AK2" s="213"/>
      <c r="AL2" s="213"/>
      <c r="AM2" s="213"/>
    </row>
    <row r="3" spans="1:40" s="223" customFormat="1" ht="69" customHeight="1" thickTop="1" thickBot="1">
      <c r="A3" s="351" t="s">
        <v>346</v>
      </c>
      <c r="B3" s="352" t="s">
        <v>347</v>
      </c>
      <c r="C3" s="353" t="s">
        <v>348</v>
      </c>
      <c r="D3" s="903"/>
      <c r="E3" s="353" t="s">
        <v>349</v>
      </c>
      <c r="F3" s="35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990" t="s">
        <v>711</v>
      </c>
      <c r="M3" s="1100" t="s">
        <v>355</v>
      </c>
      <c r="N3" s="350" t="s">
        <v>445</v>
      </c>
      <c r="O3" s="353" t="s">
        <v>446</v>
      </c>
      <c r="P3" s="353" t="s">
        <v>447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1109" customFormat="1" ht="10.5" customHeight="1" thickBot="1">
      <c r="A4" s="1101"/>
      <c r="B4" s="1102"/>
      <c r="C4" s="1103"/>
      <c r="D4" s="1104"/>
      <c r="E4" s="1103"/>
      <c r="F4" s="360"/>
      <c r="G4" s="361"/>
      <c r="H4" s="361"/>
      <c r="I4" s="274"/>
      <c r="J4" s="360"/>
      <c r="K4" s="361"/>
      <c r="L4" s="7839"/>
      <c r="M4" s="1105"/>
      <c r="N4" s="361"/>
      <c r="O4" s="1103"/>
      <c r="P4" s="1103"/>
      <c r="Q4" s="1103"/>
      <c r="R4" s="1106"/>
      <c r="S4" s="1107"/>
      <c r="T4" s="1107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82" t="s">
        <v>214</v>
      </c>
      <c r="AC4" s="82" t="s">
        <v>215</v>
      </c>
      <c r="AD4" s="82" t="s">
        <v>216</v>
      </c>
      <c r="AE4" s="82" t="s">
        <v>217</v>
      </c>
      <c r="AF4" s="82" t="s">
        <v>218</v>
      </c>
      <c r="AG4" s="82" t="s">
        <v>219</v>
      </c>
      <c r="AH4" s="82" t="s">
        <v>220</v>
      </c>
      <c r="AI4" s="225"/>
      <c r="AJ4" s="225"/>
      <c r="AK4" s="225"/>
      <c r="AL4" s="225"/>
      <c r="AM4" s="225"/>
      <c r="AN4" s="225"/>
    </row>
    <row r="5" spans="1:40" s="1109" customFormat="1" ht="4.5" customHeight="1" thickTop="1" thickBot="1">
      <c r="A5" s="1110"/>
      <c r="B5" s="1110"/>
      <c r="C5" s="1111"/>
      <c r="D5" s="1112"/>
      <c r="E5" s="1111"/>
      <c r="F5" s="624"/>
      <c r="G5" s="625"/>
      <c r="H5" s="625"/>
      <c r="I5" s="625"/>
      <c r="J5" s="624"/>
      <c r="K5" s="625"/>
      <c r="L5" s="7840"/>
      <c r="M5" s="1113"/>
      <c r="N5" s="625"/>
      <c r="O5" s="1111"/>
      <c r="P5" s="1111"/>
      <c r="Q5" s="1111"/>
      <c r="R5" s="1114"/>
      <c r="S5" s="1115"/>
      <c r="T5" s="1115"/>
      <c r="U5" s="1108">
        <f>U4/4</f>
        <v>2.2880964381720439E-4</v>
      </c>
      <c r="V5" s="1108">
        <f t="shared" ref="V5:AA5" si="0">V4/4</f>
        <v>2.1908757716049393E-4</v>
      </c>
      <c r="W5" s="1108">
        <f t="shared" si="0"/>
        <v>2.1222190799396687E-4</v>
      </c>
      <c r="X5" s="1108">
        <f t="shared" si="0"/>
        <v>2.0247664488766629E-4</v>
      </c>
      <c r="Y5" s="1108">
        <f t="shared" si="0"/>
        <v>1.8933937422552669E-4</v>
      </c>
      <c r="Z5" s="1168">
        <f t="shared" si="0"/>
        <v>1.8229166666666673E-4</v>
      </c>
      <c r="AA5" s="1108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s="1109" customFormat="1" ht="14" customHeight="1" thickBot="1">
      <c r="A6" s="398" t="s">
        <v>214</v>
      </c>
      <c r="B6" s="7806" t="s">
        <v>215</v>
      </c>
      <c r="C6" s="274">
        <f t="shared" ref="C6:C66" si="1">IF(D6=1,U$5,IF(D6=2,V$5,IF(D6=3,W$5,IF(D6=4,X$5,IF(D6=5,Y$5,IF(D6=6,Z$5,IF(D6=7,AA$5,0)))))))</f>
        <v>2.1908757716049393E-4</v>
      </c>
      <c r="D6" s="889">
        <v>2</v>
      </c>
      <c r="E6" s="1173">
        <v>1</v>
      </c>
      <c r="F6" s="1173">
        <v>1</v>
      </c>
      <c r="G6" s="1173">
        <v>800</v>
      </c>
      <c r="H6" s="299"/>
      <c r="I6" s="299">
        <v>0</v>
      </c>
      <c r="J6" s="299">
        <v>1.3888888888888889E-3</v>
      </c>
      <c r="K6" s="1123" t="s">
        <v>2237</v>
      </c>
      <c r="L6" s="6847">
        <v>0.79861111111111116</v>
      </c>
      <c r="M6" s="1174">
        <v>1</v>
      </c>
      <c r="N6" s="299">
        <f t="shared" ref="N6" si="2">P6*E6*F6+I6*E6*F6+J6*E6</f>
        <v>8.399691358024694E-3</v>
      </c>
      <c r="O6" s="1175">
        <f t="shared" ref="O6:O7" si="3">C6*(G6/25)</f>
        <v>7.0108024691358057E-3</v>
      </c>
      <c r="P6" s="1175">
        <f t="shared" ref="P6:P7" si="4">O6*M6</f>
        <v>7.0108024691358057E-3</v>
      </c>
      <c r="Q6" s="550">
        <f t="shared" ref="Q6" si="5">IF(D6=1,125,IF(D6=2,140,IF(D6=3,164,IF(D6=4,170,IF(D6=5,173,IF(D6=6,177,IF(R6=7,200,0)))))))</f>
        <v>140</v>
      </c>
      <c r="R6" s="1176">
        <f t="shared" ref="R6:R7" si="6">E6*F6*G6</f>
        <v>800</v>
      </c>
      <c r="S6" s="1118">
        <f t="shared" ref="S6" si="7">E6*F6*G6/1000</f>
        <v>0.8</v>
      </c>
      <c r="T6" s="1119">
        <f t="shared" ref="T6" si="8">E6*F6*O6*4</f>
        <v>2.8043209876543223E-2</v>
      </c>
      <c r="U6" s="374">
        <f t="shared" ref="U6" si="9">IF(C6*4&gt;=$U$4,S6,0)</f>
        <v>0</v>
      </c>
      <c r="V6" s="1120">
        <f t="shared" ref="V6" si="10">IF(AND(C6*4&gt;=$V$4,C6*4&lt;$U$4),S6,0)</f>
        <v>0.8</v>
      </c>
      <c r="W6" s="376">
        <f t="shared" ref="W6" si="11">IF(AND(C6*4&gt;=$W$4,C6*4&lt;$V$4),S6,0)</f>
        <v>0</v>
      </c>
      <c r="X6" s="377">
        <f t="shared" ref="X6" si="12">IF(AND(C6*4&gt;=$X$4,C6*4&lt;$W$4),S6,0)</f>
        <v>0</v>
      </c>
      <c r="Y6" s="378">
        <f t="shared" ref="Y6" si="13">IF(AND(C6*4&gt;=$Y$4,C6*4&lt;$X$4),S6,0)</f>
        <v>0</v>
      </c>
      <c r="Z6" s="1121">
        <f t="shared" ref="Z6" si="14">IF(AND(C6*4&gt;=$Z$4,C6*4&lt;$Y$4),S6,0)</f>
        <v>0</v>
      </c>
      <c r="AA6" s="1122">
        <f t="shared" ref="AA6" si="15">IF(AND(C6*4&gt;=$AA$4,C6*4&lt;$Z$4),S6,0)</f>
        <v>0</v>
      </c>
      <c r="AB6" s="484">
        <v>1729.8738738738739</v>
      </c>
      <c r="AC6" s="484">
        <v>2378.5765765765764</v>
      </c>
      <c r="AD6" s="484">
        <v>2378.5765765765764</v>
      </c>
      <c r="AE6" s="484">
        <v>2594.8108108108108</v>
      </c>
      <c r="AF6" s="484">
        <v>1621.7567567567569</v>
      </c>
      <c r="AG6" s="484">
        <v>1297.4054054054054</v>
      </c>
      <c r="AH6" s="484">
        <v>1</v>
      </c>
      <c r="AI6" s="225"/>
      <c r="AJ6" s="225"/>
      <c r="AK6" s="225"/>
      <c r="AL6" s="225"/>
      <c r="AM6" s="225"/>
      <c r="AN6" s="225"/>
    </row>
    <row r="7" spans="1:40" s="1109" customFormat="1" ht="13" customHeight="1" thickBot="1">
      <c r="A7" s="398" t="s">
        <v>459</v>
      </c>
      <c r="B7" s="7807" t="s">
        <v>137</v>
      </c>
      <c r="C7" s="274">
        <f t="shared" si="1"/>
        <v>1.7682291666666674E-4</v>
      </c>
      <c r="D7" s="1062">
        <v>7</v>
      </c>
      <c r="E7" s="1045">
        <v>1</v>
      </c>
      <c r="F7" s="1045">
        <v>12</v>
      </c>
      <c r="G7" s="1045">
        <v>25</v>
      </c>
      <c r="H7" s="1041"/>
      <c r="I7" s="1041">
        <v>5.2083333333333333E-4</v>
      </c>
      <c r="J7" s="1046">
        <v>5.2083333333333333E-4</v>
      </c>
      <c r="K7" s="438" t="s">
        <v>1045</v>
      </c>
      <c r="L7" s="7841">
        <f>L6+N6</f>
        <v>0.80701080246913581</v>
      </c>
      <c r="M7" s="1055">
        <v>1.1000000000000001</v>
      </c>
      <c r="N7" s="1046">
        <f t="shared" ref="N7" si="16">P7*E7*F7+I7*F7*E7+J7*E7</f>
        <v>9.1048958333333346E-3</v>
      </c>
      <c r="O7" s="439">
        <f t="shared" si="3"/>
        <v>1.7682291666666674E-4</v>
      </c>
      <c r="P7" s="587">
        <f t="shared" si="4"/>
        <v>1.9450520833333342E-4</v>
      </c>
      <c r="Q7" s="440"/>
      <c r="R7" s="1045">
        <f t="shared" si="6"/>
        <v>300</v>
      </c>
      <c r="S7" s="1118">
        <f t="shared" ref="S7:S66" si="17">E7*F7*G7/1000</f>
        <v>0.3</v>
      </c>
      <c r="T7" s="1119">
        <f t="shared" ref="T7:T66" si="18">E7*F7*O7*4</f>
        <v>8.4875000000000037E-3</v>
      </c>
      <c r="U7" s="374">
        <f t="shared" ref="U7:U66" si="19">IF(C7*4&gt;=$U$4,S7,0)</f>
        <v>0</v>
      </c>
      <c r="V7" s="1120">
        <f t="shared" ref="V7:V66" si="20">IF(AND(C7*4&gt;=$V$4,C7*4&lt;$U$4),S7,0)</f>
        <v>0</v>
      </c>
      <c r="W7" s="376">
        <f t="shared" ref="W7:W66" si="21">IF(AND(C7*4&gt;=$W$4,C7*4&lt;$V$4),S7,0)</f>
        <v>0</v>
      </c>
      <c r="X7" s="377">
        <f t="shared" ref="X7:X66" si="22">IF(AND(C7*4&gt;=$X$4,C7*4&lt;$W$4),S7,0)</f>
        <v>0</v>
      </c>
      <c r="Y7" s="378">
        <f t="shared" ref="Y7:Y66" si="23">IF(AND(C7*4&gt;=$Y$4,C7*4&lt;$X$4),S7,0)</f>
        <v>0</v>
      </c>
      <c r="Z7" s="1121">
        <f t="shared" ref="Z7:Z66" si="24">IF(AND(C7*4&gt;=$Z$4,C7*4&lt;$Y$4),S7,0)</f>
        <v>0</v>
      </c>
      <c r="AA7" s="1122">
        <f t="shared" ref="AA7:AA66" si="25">IF(AND(C7*4&gt;=$AA$4,C7*4&lt;$Z$4),S7,0)</f>
        <v>0.3</v>
      </c>
      <c r="AB7" s="535">
        <v>1383.9279279279278</v>
      </c>
      <c r="AC7" s="535">
        <v>1902.900900900901</v>
      </c>
      <c r="AD7" s="535">
        <v>1902.900900900901</v>
      </c>
      <c r="AE7" s="535">
        <v>2075.8918918918921</v>
      </c>
      <c r="AF7" s="535">
        <v>1297.4324324324325</v>
      </c>
      <c r="AG7" s="535">
        <v>1037.9459459459461</v>
      </c>
      <c r="AH7" s="535">
        <v>1</v>
      </c>
      <c r="AI7" s="225"/>
      <c r="AJ7" s="225"/>
      <c r="AK7" s="225"/>
      <c r="AL7" s="225"/>
      <c r="AM7" s="225"/>
      <c r="AN7" s="225"/>
    </row>
    <row r="8" spans="1:40" s="1109" customFormat="1" ht="12" customHeight="1" thickBot="1">
      <c r="A8" s="398" t="s">
        <v>460</v>
      </c>
      <c r="B8" s="7807" t="s">
        <v>2585</v>
      </c>
      <c r="C8" s="274">
        <f t="shared" si="1"/>
        <v>2.1908757716049393E-4</v>
      </c>
      <c r="D8" s="889">
        <v>2</v>
      </c>
      <c r="E8" s="1173">
        <v>1</v>
      </c>
      <c r="F8" s="1173">
        <v>1</v>
      </c>
      <c r="G8" s="1173">
        <v>100</v>
      </c>
      <c r="H8" s="299"/>
      <c r="I8" s="299">
        <v>0</v>
      </c>
      <c r="J8" s="299">
        <v>1.3888888888888889E-3</v>
      </c>
      <c r="K8" s="1123" t="s">
        <v>1043</v>
      </c>
      <c r="L8" s="7842">
        <f t="shared" ref="L8" si="26">L7+N7</f>
        <v>0.81611569830246911</v>
      </c>
      <c r="M8" s="1174">
        <v>1.1499999999999999</v>
      </c>
      <c r="N8" s="299">
        <f>P8*E8*F8+I8*E8*F8+J8*E8</f>
        <v>2.3966917438271607E-3</v>
      </c>
      <c r="O8" s="1175">
        <f>C8*(G8/25)</f>
        <v>8.7635030864197572E-4</v>
      </c>
      <c r="P8" s="1175">
        <f>O8*M8</f>
        <v>1.007802854938272E-3</v>
      </c>
      <c r="Q8" s="550">
        <f t="shared" ref="Q8" si="27">IF(D8=1,125,IF(D8=2,140,IF(D8=3,164,IF(D8=4,170,IF(D8=5,173,IF(D8=6,177,IF(R8=7,200,0)))))))</f>
        <v>140</v>
      </c>
      <c r="R8" s="1176">
        <f>E8*F8*G8</f>
        <v>100</v>
      </c>
      <c r="S8" s="1118">
        <f t="shared" si="17"/>
        <v>0.1</v>
      </c>
      <c r="T8" s="1119">
        <f t="shared" si="18"/>
        <v>3.5054012345679029E-3</v>
      </c>
      <c r="U8" s="374">
        <f t="shared" si="19"/>
        <v>0</v>
      </c>
      <c r="V8" s="1120">
        <f t="shared" si="20"/>
        <v>0.1</v>
      </c>
      <c r="W8" s="376">
        <f t="shared" si="21"/>
        <v>0</v>
      </c>
      <c r="X8" s="377">
        <f t="shared" si="22"/>
        <v>0</v>
      </c>
      <c r="Y8" s="378">
        <f t="shared" si="23"/>
        <v>0</v>
      </c>
      <c r="Z8" s="1121">
        <f t="shared" si="24"/>
        <v>0</v>
      </c>
      <c r="AA8" s="1122">
        <f t="shared" si="25"/>
        <v>0</v>
      </c>
      <c r="AB8" s="500">
        <v>302.84684684684686</v>
      </c>
      <c r="AC8" s="500">
        <v>416.41441441441441</v>
      </c>
      <c r="AD8" s="500">
        <v>416.41441441441441</v>
      </c>
      <c r="AE8" s="500">
        <v>0</v>
      </c>
      <c r="AF8" s="500">
        <v>283.91891891891896</v>
      </c>
      <c r="AG8" s="500">
        <v>227.13513513513516</v>
      </c>
      <c r="AH8" s="500">
        <v>1</v>
      </c>
      <c r="AI8" s="225"/>
      <c r="AJ8" s="225"/>
      <c r="AK8" s="225"/>
      <c r="AL8" s="225"/>
      <c r="AM8" s="225"/>
      <c r="AN8" s="225"/>
    </row>
    <row r="9" spans="1:40" s="1109" customFormat="1" ht="12" customHeight="1" thickBot="1">
      <c r="A9" s="398" t="s">
        <v>458</v>
      </c>
      <c r="B9" s="7807" t="s">
        <v>2586</v>
      </c>
      <c r="C9" s="274">
        <f t="shared" si="1"/>
        <v>1.7682291666666674E-4</v>
      </c>
      <c r="D9" s="1062">
        <v>7</v>
      </c>
      <c r="E9" s="1045">
        <v>1</v>
      </c>
      <c r="F9" s="1045">
        <v>20</v>
      </c>
      <c r="G9" s="1045">
        <v>25</v>
      </c>
      <c r="H9" s="1041"/>
      <c r="I9" s="1041">
        <v>5.7870370370370378E-4</v>
      </c>
      <c r="J9" s="1046">
        <v>5.2083333333333333E-4</v>
      </c>
      <c r="K9" s="438" t="s">
        <v>1046</v>
      </c>
      <c r="L9" s="7841">
        <f>L8+N8</f>
        <v>0.81851239004629628</v>
      </c>
      <c r="M9" s="1055">
        <v>1.1000000000000001</v>
      </c>
      <c r="N9" s="1046">
        <f t="shared" ref="N9" si="28">P9*E9*F9+I9*F9*E9+J9*E9</f>
        <v>1.5985011574074077E-2</v>
      </c>
      <c r="O9" s="439">
        <f t="shared" ref="O9" si="29">C9*(G9/25)</f>
        <v>1.7682291666666674E-4</v>
      </c>
      <c r="P9" s="587">
        <f t="shared" ref="P9" si="30">O9*M9</f>
        <v>1.9450520833333342E-4</v>
      </c>
      <c r="Q9" s="440"/>
      <c r="R9" s="1045">
        <f t="shared" ref="R9" si="31">E9*F9*G9</f>
        <v>500</v>
      </c>
      <c r="S9" s="1118">
        <f t="shared" si="17"/>
        <v>0.5</v>
      </c>
      <c r="T9" s="1119">
        <f t="shared" si="18"/>
        <v>1.4145833333333338E-2</v>
      </c>
      <c r="U9" s="374">
        <f t="shared" si="19"/>
        <v>0</v>
      </c>
      <c r="V9" s="1120">
        <f t="shared" si="20"/>
        <v>0</v>
      </c>
      <c r="W9" s="376">
        <f t="shared" si="21"/>
        <v>0</v>
      </c>
      <c r="X9" s="377">
        <f t="shared" si="22"/>
        <v>0</v>
      </c>
      <c r="Y9" s="378">
        <f t="shared" si="23"/>
        <v>0</v>
      </c>
      <c r="Z9" s="1121">
        <f t="shared" si="24"/>
        <v>0</v>
      </c>
      <c r="AA9" s="1122">
        <f t="shared" si="25"/>
        <v>0.5</v>
      </c>
      <c r="AB9" s="501">
        <v>0</v>
      </c>
      <c r="AC9" s="501">
        <v>1752.2189189189189</v>
      </c>
      <c r="AD9" s="501">
        <v>2336.2918918918922</v>
      </c>
      <c r="AE9" s="501">
        <v>0</v>
      </c>
      <c r="AF9" s="501">
        <v>1751.2189189189189</v>
      </c>
      <c r="AG9" s="501">
        <v>1</v>
      </c>
      <c r="AH9" s="501">
        <v>1</v>
      </c>
      <c r="AI9" s="225"/>
      <c r="AJ9" s="225"/>
      <c r="AK9" s="225"/>
      <c r="AL9" s="225"/>
      <c r="AM9" s="225"/>
      <c r="AN9" s="225"/>
    </row>
    <row r="10" spans="1:40" s="1109" customFormat="1" ht="12" customHeight="1" thickBot="1">
      <c r="A10" s="398" t="s">
        <v>219</v>
      </c>
      <c r="B10" s="7807" t="s">
        <v>2587</v>
      </c>
      <c r="C10" s="274">
        <f t="shared" si="1"/>
        <v>2.1908757716049393E-4</v>
      </c>
      <c r="D10" s="889">
        <v>2</v>
      </c>
      <c r="E10" s="1173">
        <v>1</v>
      </c>
      <c r="F10" s="1173">
        <v>1</v>
      </c>
      <c r="G10" s="1173">
        <v>100</v>
      </c>
      <c r="H10" s="299"/>
      <c r="I10" s="299">
        <v>0</v>
      </c>
      <c r="J10" s="299">
        <v>1.3888888888888889E-3</v>
      </c>
      <c r="K10" s="1123" t="s">
        <v>1043</v>
      </c>
      <c r="L10" s="7842">
        <f t="shared" ref="L10:L11" si="32">L9+N9</f>
        <v>0.83449740162037034</v>
      </c>
      <c r="M10" s="1174">
        <v>1.1499999999999999</v>
      </c>
      <c r="N10" s="299">
        <f>P10*E10*F10+I10*E10*F10+J10*E10</f>
        <v>2.3966917438271607E-3</v>
      </c>
      <c r="O10" s="1175">
        <f>C10*(G10/25)</f>
        <v>8.7635030864197572E-4</v>
      </c>
      <c r="P10" s="1175">
        <f>O10*M10</f>
        <v>1.007802854938272E-3</v>
      </c>
      <c r="Q10" s="550">
        <f t="shared" ref="Q10" si="33">IF(D10=1,125,IF(D10=2,140,IF(D10=3,164,IF(D10=4,170,IF(D10=5,173,IF(D10=6,177,IF(R10=7,200,0)))))))</f>
        <v>140</v>
      </c>
      <c r="R10" s="1176">
        <f>E10*F10*G10</f>
        <v>100</v>
      </c>
      <c r="S10" s="1118">
        <f t="shared" si="17"/>
        <v>0.1</v>
      </c>
      <c r="T10" s="1119">
        <f t="shared" si="18"/>
        <v>3.5054012345679029E-3</v>
      </c>
      <c r="U10" s="374">
        <f t="shared" si="19"/>
        <v>0</v>
      </c>
      <c r="V10" s="1120">
        <f t="shared" si="20"/>
        <v>0.1</v>
      </c>
      <c r="W10" s="376">
        <f t="shared" si="21"/>
        <v>0</v>
      </c>
      <c r="X10" s="377">
        <f t="shared" si="22"/>
        <v>0</v>
      </c>
      <c r="Y10" s="378">
        <f t="shared" si="23"/>
        <v>0</v>
      </c>
      <c r="Z10" s="1121">
        <f t="shared" si="24"/>
        <v>0</v>
      </c>
      <c r="AA10" s="1122">
        <f t="shared" si="25"/>
        <v>0</v>
      </c>
      <c r="AB10" s="502">
        <v>0</v>
      </c>
      <c r="AC10" s="502">
        <v>0</v>
      </c>
      <c r="AD10" s="502">
        <v>0</v>
      </c>
      <c r="AE10" s="502">
        <v>7</v>
      </c>
      <c r="AF10" s="502">
        <v>0</v>
      </c>
      <c r="AG10" s="502">
        <v>0</v>
      </c>
      <c r="AH10" s="502">
        <v>0</v>
      </c>
      <c r="AI10" s="225"/>
      <c r="AJ10" s="225"/>
      <c r="AK10" s="225"/>
      <c r="AL10" s="225"/>
      <c r="AM10" s="225"/>
      <c r="AN10" s="225"/>
    </row>
    <row r="11" spans="1:40" s="1109" customFormat="1" ht="12" customHeight="1" thickBot="1">
      <c r="A11" s="398"/>
      <c r="B11" s="7807" t="s">
        <v>2588</v>
      </c>
      <c r="C11" s="274">
        <f t="shared" si="1"/>
        <v>1.7682291666666674E-4</v>
      </c>
      <c r="D11" s="1062">
        <v>7</v>
      </c>
      <c r="E11" s="1045">
        <v>1</v>
      </c>
      <c r="F11" s="1045">
        <v>12</v>
      </c>
      <c r="G11" s="1045">
        <v>25</v>
      </c>
      <c r="H11" s="1041"/>
      <c r="I11" s="1041">
        <v>5.7870370370370378E-4</v>
      </c>
      <c r="J11" s="1046">
        <v>5.2083333333333333E-4</v>
      </c>
      <c r="K11" s="438" t="s">
        <v>2584</v>
      </c>
      <c r="L11" s="7841">
        <f t="shared" si="32"/>
        <v>0.83689409336419751</v>
      </c>
      <c r="M11" s="1055">
        <v>1.2</v>
      </c>
      <c r="N11" s="1046">
        <f t="shared" ref="N11" si="34">P11*E11*F11+I11*F11*E11+J11*E11</f>
        <v>1.0011527777777781E-2</v>
      </c>
      <c r="O11" s="439">
        <f t="shared" ref="O11" si="35">C11*(G11/25)</f>
        <v>1.7682291666666674E-4</v>
      </c>
      <c r="P11" s="587">
        <f t="shared" ref="P11" si="36">O11*M11</f>
        <v>2.1218750000000008E-4</v>
      </c>
      <c r="Q11" s="440"/>
      <c r="R11" s="1045">
        <f t="shared" ref="R11" si="37">E11*F11*G11</f>
        <v>300</v>
      </c>
      <c r="S11" s="1118">
        <f t="shared" si="17"/>
        <v>0.3</v>
      </c>
      <c r="T11" s="1119">
        <f t="shared" si="18"/>
        <v>8.4875000000000037E-3</v>
      </c>
      <c r="U11" s="374">
        <f t="shared" si="19"/>
        <v>0</v>
      </c>
      <c r="V11" s="1120">
        <f t="shared" si="20"/>
        <v>0</v>
      </c>
      <c r="W11" s="376">
        <f t="shared" si="21"/>
        <v>0</v>
      </c>
      <c r="X11" s="377">
        <f t="shared" si="22"/>
        <v>0</v>
      </c>
      <c r="Y11" s="378">
        <f t="shared" si="23"/>
        <v>0</v>
      </c>
      <c r="Z11" s="1121">
        <f t="shared" si="24"/>
        <v>0</v>
      </c>
      <c r="AA11" s="1122">
        <f t="shared" si="25"/>
        <v>0.3</v>
      </c>
      <c r="AB11" s="503">
        <v>1309.4909090909096</v>
      </c>
      <c r="AC11" s="503">
        <v>654.74545454545478</v>
      </c>
      <c r="AD11" s="503">
        <v>0</v>
      </c>
      <c r="AE11" s="503">
        <v>3273.7272727272739</v>
      </c>
      <c r="AF11" s="503">
        <v>0</v>
      </c>
      <c r="AG11" s="503">
        <v>1309.4909090909096</v>
      </c>
      <c r="AH11" s="503">
        <v>0</v>
      </c>
      <c r="AI11" s="225"/>
      <c r="AJ11" s="225"/>
      <c r="AK11" s="225"/>
      <c r="AL11" s="225"/>
      <c r="AM11" s="225"/>
      <c r="AN11" s="225"/>
    </row>
    <row r="12" spans="1:40" s="1109" customFormat="1" ht="12.75" customHeight="1" thickBot="1">
      <c r="A12" s="398"/>
      <c r="B12" s="647"/>
      <c r="C12" s="274">
        <f t="shared" si="1"/>
        <v>0</v>
      </c>
      <c r="D12" s="899"/>
      <c r="E12" s="336"/>
      <c r="F12" s="336"/>
      <c r="G12" s="336"/>
      <c r="H12" s="336"/>
      <c r="I12" s="336"/>
      <c r="J12" s="336"/>
      <c r="K12" s="336"/>
      <c r="L12" s="1152">
        <f>L11+N11</f>
        <v>0.84690562114197532</v>
      </c>
      <c r="M12" s="1153"/>
      <c r="N12" s="1154"/>
      <c r="O12" s="1154"/>
      <c r="P12" s="1154"/>
      <c r="Q12" s="1155">
        <f t="shared" ref="Q12" si="38">IF(D12=1,125,IF(D12=2,140,IF(D12=3,164,IF(D12=4,170,IF(D12=5,173,IF(D12=6,177,IF(R12=7,200,0)))))))</f>
        <v>0</v>
      </c>
      <c r="R12" s="1156">
        <f>SUM(R6:R11)</f>
        <v>2100</v>
      </c>
      <c r="S12" s="1118">
        <f t="shared" si="17"/>
        <v>0</v>
      </c>
      <c r="T12" s="1119">
        <f t="shared" si="18"/>
        <v>0</v>
      </c>
      <c r="U12" s="374">
        <f t="shared" si="19"/>
        <v>0</v>
      </c>
      <c r="V12" s="1120">
        <f t="shared" si="20"/>
        <v>0</v>
      </c>
      <c r="W12" s="376">
        <f t="shared" si="21"/>
        <v>0</v>
      </c>
      <c r="X12" s="377">
        <f t="shared" si="22"/>
        <v>0</v>
      </c>
      <c r="Y12" s="378">
        <f t="shared" si="23"/>
        <v>0</v>
      </c>
      <c r="Z12" s="1121">
        <f t="shared" si="24"/>
        <v>0</v>
      </c>
      <c r="AA12" s="1122">
        <f t="shared" si="25"/>
        <v>0</v>
      </c>
      <c r="AB12" s="504">
        <v>129.87387387387386</v>
      </c>
      <c r="AC12" s="504">
        <v>178.57657657657657</v>
      </c>
      <c r="AD12" s="504">
        <v>178.57657657657657</v>
      </c>
      <c r="AE12" s="504">
        <v>194.81081081081084</v>
      </c>
      <c r="AF12" s="504">
        <v>121.75675675675676</v>
      </c>
      <c r="AG12" s="504">
        <v>97.405405405405418</v>
      </c>
      <c r="AH12" s="504">
        <v>1</v>
      </c>
      <c r="AI12" s="225"/>
      <c r="AJ12" s="225"/>
      <c r="AK12" s="225"/>
      <c r="AL12" s="225"/>
      <c r="AM12" s="225"/>
      <c r="AN12" s="225"/>
    </row>
    <row r="13" spans="1:40" s="1109" customFormat="1" ht="12.75" customHeight="1" thickBot="1">
      <c r="A13" s="398" t="s">
        <v>214</v>
      </c>
      <c r="B13" s="1117" t="s">
        <v>461</v>
      </c>
      <c r="C13" s="274">
        <f t="shared" si="1"/>
        <v>2.1908757716049393E-4</v>
      </c>
      <c r="D13" s="889">
        <v>2</v>
      </c>
      <c r="E13" s="1173">
        <v>1</v>
      </c>
      <c r="F13" s="1173">
        <v>1</v>
      </c>
      <c r="G13" s="1173">
        <v>400</v>
      </c>
      <c r="H13" s="299"/>
      <c r="I13" s="299">
        <v>0</v>
      </c>
      <c r="J13" s="299">
        <v>1.3888888888888889E-3</v>
      </c>
      <c r="K13" s="1123" t="s">
        <v>397</v>
      </c>
      <c r="L13" s="6847">
        <v>0.79861111111111116</v>
      </c>
      <c r="M13" s="1174">
        <v>1</v>
      </c>
      <c r="N13" s="299">
        <f>P13*E13*F13+I13*E13*F13+J13*E13</f>
        <v>4.8942901234567916E-3</v>
      </c>
      <c r="O13" s="1175">
        <f>C13*(G13/25)</f>
        <v>3.5054012345679029E-3</v>
      </c>
      <c r="P13" s="1175">
        <f>O13*M13</f>
        <v>3.5054012345679029E-3</v>
      </c>
      <c r="Q13" s="550">
        <f t="shared" ref="Q13:Q63" si="39">IF(D13=1,125,IF(D13=2,140,IF(D13=3,164,IF(D13=4,170,IF(D13=5,173,IF(D13=6,177,IF(R13=7,200,0)))))))</f>
        <v>140</v>
      </c>
      <c r="R13" s="1176">
        <f>E13*F13*G13</f>
        <v>400</v>
      </c>
      <c r="S13" s="1118">
        <f t="shared" si="17"/>
        <v>0.4</v>
      </c>
      <c r="T13" s="1119">
        <f t="shared" si="18"/>
        <v>1.4021604938271611E-2</v>
      </c>
      <c r="U13" s="374">
        <f t="shared" si="19"/>
        <v>0</v>
      </c>
      <c r="V13" s="1120">
        <f t="shared" si="20"/>
        <v>0.4</v>
      </c>
      <c r="W13" s="376">
        <f t="shared" si="21"/>
        <v>0</v>
      </c>
      <c r="X13" s="377">
        <f t="shared" si="22"/>
        <v>0</v>
      </c>
      <c r="Y13" s="378">
        <f t="shared" si="23"/>
        <v>0</v>
      </c>
      <c r="Z13" s="1121">
        <f t="shared" si="24"/>
        <v>0</v>
      </c>
      <c r="AA13" s="1122">
        <f t="shared" si="25"/>
        <v>0</v>
      </c>
      <c r="AB13" s="225"/>
      <c r="AC13" s="231"/>
      <c r="AD13" s="231"/>
      <c r="AE13" s="231"/>
      <c r="AF13" s="231"/>
      <c r="AG13" s="231"/>
      <c r="AH13" s="231"/>
      <c r="AI13" s="225"/>
      <c r="AJ13" s="225"/>
      <c r="AK13" s="225"/>
      <c r="AL13" s="225"/>
      <c r="AM13" s="225"/>
      <c r="AN13" s="225"/>
    </row>
    <row r="14" spans="1:40" s="1109" customFormat="1" ht="12.75" customHeight="1" thickBot="1">
      <c r="A14" s="398" t="s">
        <v>459</v>
      </c>
      <c r="B14" s="1117" t="s">
        <v>461</v>
      </c>
      <c r="C14" s="274">
        <f t="shared" si="1"/>
        <v>2.1222190799396687E-4</v>
      </c>
      <c r="D14" s="891">
        <v>3</v>
      </c>
      <c r="E14" s="1161">
        <v>1</v>
      </c>
      <c r="F14" s="1161">
        <v>1</v>
      </c>
      <c r="G14" s="1161">
        <v>400</v>
      </c>
      <c r="H14" s="1162"/>
      <c r="I14" s="1163">
        <v>3.4722222222222224E-4</v>
      </c>
      <c r="J14" s="1162">
        <v>1.3888888888888889E-3</v>
      </c>
      <c r="K14" s="1074" t="s">
        <v>1491</v>
      </c>
      <c r="L14" s="1147">
        <f t="shared" ref="L14:L65" si="40">L13+N13</f>
        <v>0.80350540123456793</v>
      </c>
      <c r="M14" s="1164">
        <v>1</v>
      </c>
      <c r="N14" s="1163">
        <f>P14*E14*F14+I14*E14*F14+J14*E14</f>
        <v>5.1316616390145809E-3</v>
      </c>
      <c r="O14" s="1165">
        <f>C14*(G14/25)</f>
        <v>3.3955505279034699E-3</v>
      </c>
      <c r="P14" s="1165">
        <f>O14*M14</f>
        <v>3.3955505279034699E-3</v>
      </c>
      <c r="Q14" s="333">
        <f t="shared" si="39"/>
        <v>164</v>
      </c>
      <c r="R14" s="1166">
        <f>E14*F14*G14</f>
        <v>400</v>
      </c>
      <c r="S14" s="1118">
        <f t="shared" si="17"/>
        <v>0.4</v>
      </c>
      <c r="T14" s="1119">
        <f t="shared" si="18"/>
        <v>1.3582202111613879E-2</v>
      </c>
      <c r="U14" s="374">
        <f t="shared" si="19"/>
        <v>0</v>
      </c>
      <c r="V14" s="1120">
        <f t="shared" si="20"/>
        <v>0</v>
      </c>
      <c r="W14" s="376">
        <f t="shared" si="21"/>
        <v>0.4</v>
      </c>
      <c r="X14" s="377">
        <f t="shared" si="22"/>
        <v>0</v>
      </c>
      <c r="Y14" s="378">
        <f t="shared" si="23"/>
        <v>0</v>
      </c>
      <c r="Z14" s="1121">
        <f t="shared" si="24"/>
        <v>0</v>
      </c>
      <c r="AA14" s="1122">
        <f t="shared" si="25"/>
        <v>0</v>
      </c>
      <c r="AB14" s="225"/>
      <c r="AC14" s="231"/>
      <c r="AD14" s="231"/>
      <c r="AE14" s="231"/>
      <c r="AF14" s="231"/>
      <c r="AG14" s="231"/>
      <c r="AH14" s="231"/>
      <c r="AI14" s="225"/>
      <c r="AJ14" s="225"/>
      <c r="AK14" s="225"/>
      <c r="AL14" s="225"/>
      <c r="AM14" s="225"/>
      <c r="AN14" s="225"/>
    </row>
    <row r="15" spans="1:40" s="1109" customFormat="1" ht="12.75" customHeight="1" thickBot="1">
      <c r="A15" s="398" t="s">
        <v>460</v>
      </c>
      <c r="B15" s="1117" t="s">
        <v>461</v>
      </c>
      <c r="C15" s="274">
        <f t="shared" si="1"/>
        <v>1.8229166666666673E-4</v>
      </c>
      <c r="D15" s="1144">
        <v>6</v>
      </c>
      <c r="E15" s="1167">
        <v>1</v>
      </c>
      <c r="F15" s="1167">
        <v>12</v>
      </c>
      <c r="G15" s="1167">
        <v>50</v>
      </c>
      <c r="H15" s="1052" t="s">
        <v>884</v>
      </c>
      <c r="I15" s="1052">
        <v>6.9444444444444447E-4</v>
      </c>
      <c r="J15" s="1052">
        <v>0</v>
      </c>
      <c r="K15" s="1065" t="s">
        <v>554</v>
      </c>
      <c r="L15" s="7843">
        <f t="shared" si="40"/>
        <v>0.8086370628735825</v>
      </c>
      <c r="M15" s="1168">
        <v>0.9</v>
      </c>
      <c r="N15" s="1052">
        <f t="shared" ref="N15:N18" si="41">P15*E15*F15+I15*E15*F15+J15*E15</f>
        <v>1.2349583333333334E-2</v>
      </c>
      <c r="O15" s="1169">
        <f>C15*(G15/25)*1.02</f>
        <v>3.7187500000000014E-4</v>
      </c>
      <c r="P15" s="1170">
        <f t="shared" ref="P15:P18" si="42">O15*M15</f>
        <v>3.3468750000000013E-4</v>
      </c>
      <c r="Q15" s="1171">
        <f t="shared" si="39"/>
        <v>177</v>
      </c>
      <c r="R15" s="1172">
        <f t="shared" ref="R15:R18" si="43">E15*F15*G15</f>
        <v>600</v>
      </c>
      <c r="S15" s="1118">
        <f t="shared" si="17"/>
        <v>0.6</v>
      </c>
      <c r="T15" s="1119">
        <f t="shared" si="18"/>
        <v>1.7850000000000005E-2</v>
      </c>
      <c r="U15" s="374">
        <f t="shared" si="19"/>
        <v>0</v>
      </c>
      <c r="V15" s="1120">
        <f t="shared" si="20"/>
        <v>0</v>
      </c>
      <c r="W15" s="376">
        <f t="shared" si="21"/>
        <v>0</v>
      </c>
      <c r="X15" s="377">
        <f t="shared" si="22"/>
        <v>0</v>
      </c>
      <c r="Y15" s="378">
        <f t="shared" si="23"/>
        <v>0</v>
      </c>
      <c r="Z15" s="1121">
        <f t="shared" si="24"/>
        <v>0.6</v>
      </c>
      <c r="AA15" s="1122">
        <f t="shared" si="25"/>
        <v>0</v>
      </c>
      <c r="AB15" s="225"/>
      <c r="AC15" s="231"/>
      <c r="AD15" s="231"/>
      <c r="AE15" s="231"/>
      <c r="AF15" s="231"/>
      <c r="AG15" s="231"/>
      <c r="AH15" s="231"/>
      <c r="AI15" s="225"/>
      <c r="AJ15" s="225"/>
      <c r="AK15" s="225"/>
      <c r="AL15" s="225"/>
      <c r="AM15" s="225"/>
      <c r="AN15" s="225"/>
    </row>
    <row r="16" spans="1:40" s="1109" customFormat="1" ht="12.75" customHeight="1" thickBot="1">
      <c r="A16" s="398" t="s">
        <v>458</v>
      </c>
      <c r="B16" s="1117" t="s">
        <v>461</v>
      </c>
      <c r="C16" s="274">
        <f t="shared" si="1"/>
        <v>2.1908757716049393E-4</v>
      </c>
      <c r="D16" s="889">
        <v>2</v>
      </c>
      <c r="E16" s="1173">
        <v>1</v>
      </c>
      <c r="F16" s="1173">
        <v>1</v>
      </c>
      <c r="G16" s="1173">
        <v>100</v>
      </c>
      <c r="H16" s="299"/>
      <c r="I16" s="299">
        <v>0</v>
      </c>
      <c r="J16" s="299">
        <v>1.3888888888888889E-3</v>
      </c>
      <c r="K16" s="1123" t="s">
        <v>778</v>
      </c>
      <c r="L16" s="7842">
        <f t="shared" si="40"/>
        <v>0.82098664620691586</v>
      </c>
      <c r="M16" s="1174">
        <v>1</v>
      </c>
      <c r="N16" s="299">
        <f t="shared" si="41"/>
        <v>2.2652391975308645E-3</v>
      </c>
      <c r="O16" s="1175">
        <f>C16*(G16/25)</f>
        <v>8.7635030864197572E-4</v>
      </c>
      <c r="P16" s="1175">
        <f t="shared" si="42"/>
        <v>8.7635030864197572E-4</v>
      </c>
      <c r="Q16" s="550">
        <f t="shared" si="39"/>
        <v>140</v>
      </c>
      <c r="R16" s="1176">
        <f t="shared" si="43"/>
        <v>100</v>
      </c>
      <c r="S16" s="1118">
        <f t="shared" si="17"/>
        <v>0.1</v>
      </c>
      <c r="T16" s="1119">
        <f t="shared" si="18"/>
        <v>3.5054012345679029E-3</v>
      </c>
      <c r="U16" s="374">
        <f t="shared" si="19"/>
        <v>0</v>
      </c>
      <c r="V16" s="1120">
        <f t="shared" si="20"/>
        <v>0.1</v>
      </c>
      <c r="W16" s="376">
        <f t="shared" si="21"/>
        <v>0</v>
      </c>
      <c r="X16" s="377">
        <f t="shared" si="22"/>
        <v>0</v>
      </c>
      <c r="Y16" s="378">
        <f t="shared" si="23"/>
        <v>0</v>
      </c>
      <c r="Z16" s="1121">
        <f t="shared" si="24"/>
        <v>0</v>
      </c>
      <c r="AA16" s="1122">
        <f t="shared" si="25"/>
        <v>0</v>
      </c>
      <c r="AB16" s="225"/>
      <c r="AC16" s="231"/>
      <c r="AD16" s="231"/>
      <c r="AE16" s="231"/>
      <c r="AF16" s="231"/>
      <c r="AG16" s="231"/>
      <c r="AH16" s="231"/>
      <c r="AI16" s="225"/>
      <c r="AJ16" s="225"/>
      <c r="AK16" s="225"/>
      <c r="AL16" s="225"/>
      <c r="AM16" s="225"/>
      <c r="AN16" s="225"/>
    </row>
    <row r="17" spans="1:40" s="1109" customFormat="1" ht="12.75" customHeight="1" thickBot="1">
      <c r="A17" s="398" t="s">
        <v>219</v>
      </c>
      <c r="B17" s="1117" t="s">
        <v>461</v>
      </c>
      <c r="C17" s="274">
        <f t="shared" si="1"/>
        <v>1.8229166666666673E-4</v>
      </c>
      <c r="D17" s="1144">
        <v>6</v>
      </c>
      <c r="E17" s="1167">
        <v>1</v>
      </c>
      <c r="F17" s="1167">
        <v>10</v>
      </c>
      <c r="G17" s="1167">
        <v>75</v>
      </c>
      <c r="H17" s="1052"/>
      <c r="I17" s="1052">
        <v>1.0416666666666667E-3</v>
      </c>
      <c r="J17" s="1052">
        <v>0</v>
      </c>
      <c r="K17" s="1065" t="s">
        <v>907</v>
      </c>
      <c r="L17" s="7843">
        <f t="shared" si="40"/>
        <v>0.82325188540444671</v>
      </c>
      <c r="M17" s="1168">
        <v>1</v>
      </c>
      <c r="N17" s="1052">
        <f t="shared" si="41"/>
        <v>1.6049479166666668E-2</v>
      </c>
      <c r="O17" s="1169">
        <f>C17*(G17/25)*1.03</f>
        <v>5.632812500000002E-4</v>
      </c>
      <c r="P17" s="1170">
        <f t="shared" si="42"/>
        <v>5.632812500000002E-4</v>
      </c>
      <c r="Q17" s="1171">
        <f t="shared" si="39"/>
        <v>177</v>
      </c>
      <c r="R17" s="1172">
        <f t="shared" si="43"/>
        <v>750</v>
      </c>
      <c r="S17" s="1118">
        <f t="shared" si="17"/>
        <v>0.75</v>
      </c>
      <c r="T17" s="1119">
        <f t="shared" si="18"/>
        <v>2.253125000000001E-2</v>
      </c>
      <c r="U17" s="374">
        <f t="shared" si="19"/>
        <v>0</v>
      </c>
      <c r="V17" s="1120">
        <f t="shared" si="20"/>
        <v>0</v>
      </c>
      <c r="W17" s="376">
        <f t="shared" si="21"/>
        <v>0</v>
      </c>
      <c r="X17" s="377">
        <f t="shared" si="22"/>
        <v>0</v>
      </c>
      <c r="Y17" s="378">
        <f t="shared" si="23"/>
        <v>0</v>
      </c>
      <c r="Z17" s="1121">
        <f t="shared" si="24"/>
        <v>0.75</v>
      </c>
      <c r="AA17" s="1122">
        <f t="shared" si="25"/>
        <v>0</v>
      </c>
      <c r="AB17" s="225"/>
      <c r="AC17" s="231"/>
      <c r="AD17" s="231"/>
      <c r="AE17" s="231"/>
      <c r="AF17" s="231"/>
      <c r="AG17" s="231"/>
      <c r="AH17" s="231"/>
      <c r="AI17" s="225"/>
      <c r="AJ17" s="225"/>
      <c r="AK17" s="225"/>
      <c r="AL17" s="225"/>
      <c r="AM17" s="225"/>
      <c r="AN17" s="225"/>
    </row>
    <row r="18" spans="1:40" s="1109" customFormat="1" ht="12.75" customHeight="1" thickBot="1">
      <c r="A18" s="398"/>
      <c r="B18" s="1117" t="s">
        <v>461</v>
      </c>
      <c r="C18" s="274">
        <f t="shared" si="1"/>
        <v>2.1908757716049393E-4</v>
      </c>
      <c r="D18" s="890">
        <v>2</v>
      </c>
      <c r="E18" s="1173">
        <v>1</v>
      </c>
      <c r="F18" s="1173">
        <v>1</v>
      </c>
      <c r="G18" s="1173">
        <v>100</v>
      </c>
      <c r="H18" s="299"/>
      <c r="I18" s="299">
        <v>6.9444444444444447E-4</v>
      </c>
      <c r="J18" s="299">
        <v>3.4722222222222224E-4</v>
      </c>
      <c r="K18" s="1123" t="s">
        <v>908</v>
      </c>
      <c r="L18" s="7842">
        <f t="shared" si="40"/>
        <v>0.83930136457111337</v>
      </c>
      <c r="M18" s="1174">
        <v>1</v>
      </c>
      <c r="N18" s="299">
        <f t="shared" si="41"/>
        <v>1.9180169753086425E-3</v>
      </c>
      <c r="O18" s="1175">
        <f>C18*(G18/25)</f>
        <v>8.7635030864197572E-4</v>
      </c>
      <c r="P18" s="1175">
        <f t="shared" si="42"/>
        <v>8.7635030864197572E-4</v>
      </c>
      <c r="Q18" s="550">
        <f t="shared" si="39"/>
        <v>140</v>
      </c>
      <c r="R18" s="1176">
        <f t="shared" si="43"/>
        <v>100</v>
      </c>
      <c r="S18" s="1118">
        <f t="shared" si="17"/>
        <v>0.1</v>
      </c>
      <c r="T18" s="1119">
        <f t="shared" si="18"/>
        <v>3.5054012345679029E-3</v>
      </c>
      <c r="U18" s="374">
        <f t="shared" si="19"/>
        <v>0</v>
      </c>
      <c r="V18" s="1120">
        <f t="shared" si="20"/>
        <v>0.1</v>
      </c>
      <c r="W18" s="376">
        <f t="shared" si="21"/>
        <v>0</v>
      </c>
      <c r="X18" s="377">
        <f t="shared" si="22"/>
        <v>0</v>
      </c>
      <c r="Y18" s="378">
        <f t="shared" si="23"/>
        <v>0</v>
      </c>
      <c r="Z18" s="1121">
        <f t="shared" si="24"/>
        <v>0</v>
      </c>
      <c r="AA18" s="1122">
        <f t="shared" si="25"/>
        <v>0</v>
      </c>
      <c r="AB18" s="225"/>
      <c r="AC18" s="231"/>
      <c r="AD18" s="231"/>
      <c r="AE18" s="231"/>
      <c r="AF18" s="231"/>
      <c r="AG18" s="231"/>
      <c r="AH18" s="231"/>
      <c r="AI18" s="225"/>
      <c r="AJ18" s="225"/>
      <c r="AK18" s="225"/>
      <c r="AL18" s="225"/>
      <c r="AM18" s="225"/>
      <c r="AN18" s="225"/>
    </row>
    <row r="19" spans="1:40" s="1109" customFormat="1" ht="12.75" customHeight="1" thickBot="1">
      <c r="A19" s="1037"/>
      <c r="B19" s="1183"/>
      <c r="C19" s="274">
        <f t="shared" si="1"/>
        <v>0</v>
      </c>
      <c r="D19" s="959"/>
      <c r="E19" s="642"/>
      <c r="F19" s="642"/>
      <c r="G19" s="642"/>
      <c r="H19" s="642"/>
      <c r="I19" s="642"/>
      <c r="J19" s="642"/>
      <c r="K19" s="642"/>
      <c r="L19" s="1014">
        <f t="shared" si="40"/>
        <v>0.84121938154642206</v>
      </c>
      <c r="M19" s="1184"/>
      <c r="N19" s="1185"/>
      <c r="O19" s="642"/>
      <c r="P19" s="642"/>
      <c r="Q19" s="642">
        <f t="shared" si="39"/>
        <v>0</v>
      </c>
      <c r="R19" s="1186">
        <f>SUM(R13:R18)</f>
        <v>2350</v>
      </c>
      <c r="S19" s="1118">
        <f t="shared" si="17"/>
        <v>0</v>
      </c>
      <c r="T19" s="1119">
        <f t="shared" si="18"/>
        <v>0</v>
      </c>
      <c r="U19" s="374">
        <f t="shared" si="19"/>
        <v>0</v>
      </c>
      <c r="V19" s="1120">
        <f t="shared" si="20"/>
        <v>0</v>
      </c>
      <c r="W19" s="376">
        <f t="shared" si="21"/>
        <v>0</v>
      </c>
      <c r="X19" s="377">
        <f t="shared" si="22"/>
        <v>0</v>
      </c>
      <c r="Y19" s="378">
        <f t="shared" si="23"/>
        <v>0</v>
      </c>
      <c r="Z19" s="1121">
        <f t="shared" si="24"/>
        <v>0</v>
      </c>
      <c r="AA19" s="1122">
        <f t="shared" si="25"/>
        <v>0</v>
      </c>
      <c r="AB19" s="225"/>
      <c r="AC19" s="231">
        <v>0</v>
      </c>
      <c r="AD19" s="231">
        <v>0</v>
      </c>
      <c r="AE19" s="231">
        <v>0</v>
      </c>
      <c r="AF19" s="231">
        <v>0</v>
      </c>
      <c r="AG19" s="231">
        <v>0</v>
      </c>
      <c r="AH19" s="231">
        <v>0</v>
      </c>
      <c r="AI19" s="225"/>
      <c r="AJ19" s="225"/>
      <c r="AK19" s="225"/>
      <c r="AL19" s="225"/>
      <c r="AM19" s="225"/>
      <c r="AN19" s="225"/>
    </row>
    <row r="20" spans="1:40" s="1109" customFormat="1" ht="12.75" customHeight="1">
      <c r="A20" s="397" t="s">
        <v>215</v>
      </c>
      <c r="B20" s="7806" t="s">
        <v>215</v>
      </c>
      <c r="C20" s="274">
        <f t="shared" si="1"/>
        <v>2.2880964381720439E-4</v>
      </c>
      <c r="D20" s="547">
        <v>1</v>
      </c>
      <c r="E20" s="275">
        <v>1</v>
      </c>
      <c r="F20" s="275">
        <v>1</v>
      </c>
      <c r="G20" s="275">
        <v>300</v>
      </c>
      <c r="H20" s="276"/>
      <c r="I20" s="276">
        <v>1.7361111111111112E-4</v>
      </c>
      <c r="J20" s="276">
        <v>1.3888888888888889E-3</v>
      </c>
      <c r="K20" s="312" t="s">
        <v>762</v>
      </c>
      <c r="L20" s="3173">
        <v>0.79861111111111116</v>
      </c>
      <c r="M20" s="451">
        <v>0.9</v>
      </c>
      <c r="N20" s="276">
        <f>P20*E20*F20+I20*E20*F20+J20*E20</f>
        <v>4.0336441532258073E-3</v>
      </c>
      <c r="O20" s="296">
        <f t="shared" ref="O20:O25" si="44">C20*(G20/25)</f>
        <v>2.7457157258064528E-3</v>
      </c>
      <c r="P20" s="296">
        <f t="shared" ref="P20:P25" si="45">O20*M20</f>
        <v>2.4711441532258077E-3</v>
      </c>
      <c r="Q20" s="548">
        <v>129</v>
      </c>
      <c r="R20" s="275">
        <f t="shared" ref="R20:R25" si="46">E20*F20*G20</f>
        <v>300</v>
      </c>
      <c r="S20" s="1118">
        <f t="shared" si="17"/>
        <v>0.3</v>
      </c>
      <c r="T20" s="1119">
        <f t="shared" si="18"/>
        <v>1.0982862903225811E-2</v>
      </c>
      <c r="U20" s="374">
        <f t="shared" si="19"/>
        <v>0.3</v>
      </c>
      <c r="V20" s="1120">
        <f t="shared" si="20"/>
        <v>0</v>
      </c>
      <c r="W20" s="376">
        <f t="shared" si="21"/>
        <v>0</v>
      </c>
      <c r="X20" s="377">
        <f t="shared" si="22"/>
        <v>0</v>
      </c>
      <c r="Y20" s="378">
        <f t="shared" si="23"/>
        <v>0</v>
      </c>
      <c r="Z20" s="1121">
        <f t="shared" si="24"/>
        <v>0</v>
      </c>
      <c r="AA20" s="1122">
        <f t="shared" si="25"/>
        <v>0</v>
      </c>
      <c r="AB20" s="225"/>
      <c r="AC20" s="231"/>
      <c r="AD20" s="231"/>
      <c r="AE20" s="231"/>
      <c r="AF20" s="231"/>
      <c r="AG20" s="231"/>
      <c r="AH20" s="231"/>
      <c r="AI20" s="225"/>
      <c r="AJ20" s="225"/>
      <c r="AK20" s="225"/>
      <c r="AL20" s="225"/>
      <c r="AM20" s="225"/>
      <c r="AN20" s="225"/>
    </row>
    <row r="21" spans="1:40" s="1109" customFormat="1" ht="12.75" customHeight="1">
      <c r="A21" s="397" t="s">
        <v>138</v>
      </c>
      <c r="B21" s="7807" t="s">
        <v>137</v>
      </c>
      <c r="C21" s="274">
        <f t="shared" si="1"/>
        <v>2.1908757716049393E-4</v>
      </c>
      <c r="D21" s="890">
        <v>2</v>
      </c>
      <c r="E21" s="300">
        <v>1</v>
      </c>
      <c r="F21" s="300">
        <v>1</v>
      </c>
      <c r="G21" s="300">
        <v>800</v>
      </c>
      <c r="H21" s="301">
        <v>3.8194444444444443E-3</v>
      </c>
      <c r="I21" s="301"/>
      <c r="J21" s="301">
        <v>1.3888888888888889E-3</v>
      </c>
      <c r="K21" s="1123" t="s">
        <v>2237</v>
      </c>
      <c r="L21" s="1133">
        <f t="shared" ref="L21:L26" si="47">L20+N20</f>
        <v>0.80264475526433698</v>
      </c>
      <c r="M21" s="455">
        <v>1</v>
      </c>
      <c r="N21" s="301">
        <f>H21*F21*E21</f>
        <v>3.8194444444444443E-3</v>
      </c>
      <c r="O21" s="302">
        <f t="shared" si="44"/>
        <v>7.0108024691358057E-3</v>
      </c>
      <c r="P21" s="302">
        <f t="shared" si="45"/>
        <v>7.0108024691358057E-3</v>
      </c>
      <c r="Q21" s="550">
        <v>146</v>
      </c>
      <c r="R21" s="369">
        <f t="shared" si="46"/>
        <v>800</v>
      </c>
      <c r="S21" s="1118">
        <f t="shared" si="17"/>
        <v>0.8</v>
      </c>
      <c r="T21" s="1119">
        <f t="shared" si="18"/>
        <v>2.8043209876543223E-2</v>
      </c>
      <c r="U21" s="374">
        <f t="shared" si="19"/>
        <v>0</v>
      </c>
      <c r="V21" s="1120">
        <f t="shared" si="20"/>
        <v>0.8</v>
      </c>
      <c r="W21" s="376">
        <f t="shared" si="21"/>
        <v>0</v>
      </c>
      <c r="X21" s="377">
        <f t="shared" si="22"/>
        <v>0</v>
      </c>
      <c r="Y21" s="378">
        <f t="shared" si="23"/>
        <v>0</v>
      </c>
      <c r="Z21" s="1121">
        <f t="shared" si="24"/>
        <v>0</v>
      </c>
      <c r="AA21" s="1122">
        <f t="shared" si="25"/>
        <v>0</v>
      </c>
      <c r="AB21" s="225"/>
      <c r="AC21" s="231"/>
      <c r="AD21" s="231"/>
      <c r="AE21" s="231"/>
      <c r="AF21" s="231"/>
      <c r="AG21" s="231"/>
      <c r="AH21" s="231"/>
      <c r="AI21" s="225"/>
      <c r="AJ21" s="225"/>
      <c r="AK21" s="225"/>
      <c r="AL21" s="225"/>
      <c r="AM21" s="225"/>
      <c r="AN21" s="225"/>
    </row>
    <row r="22" spans="1:40" s="1109" customFormat="1" ht="12.75" customHeight="1">
      <c r="A22" s="397" t="s">
        <v>462</v>
      </c>
      <c r="B22" s="7807" t="s">
        <v>2585</v>
      </c>
      <c r="C22" s="274">
        <f t="shared" si="1"/>
        <v>2.1222190799396687E-4</v>
      </c>
      <c r="D22" s="891">
        <v>3</v>
      </c>
      <c r="E22" s="280">
        <v>1</v>
      </c>
      <c r="F22" s="280">
        <v>8</v>
      </c>
      <c r="G22" s="280">
        <v>50</v>
      </c>
      <c r="H22" s="281"/>
      <c r="I22" s="281">
        <v>2.8935185185185189E-4</v>
      </c>
      <c r="J22" s="281">
        <v>2.0833333333333333E-3</v>
      </c>
      <c r="K22" s="1073" t="s">
        <v>2590</v>
      </c>
      <c r="L22" s="1140">
        <f t="shared" si="47"/>
        <v>0.80646419970878147</v>
      </c>
      <c r="M22" s="453">
        <v>1</v>
      </c>
      <c r="N22" s="281">
        <f>P22*E22*F22+I22*E22*F22+J22*E22</f>
        <v>7.7936986760516174E-3</v>
      </c>
      <c r="O22" s="298">
        <f t="shared" si="44"/>
        <v>4.2444381598793373E-4</v>
      </c>
      <c r="P22" s="298">
        <f t="shared" si="45"/>
        <v>4.2444381598793373E-4</v>
      </c>
      <c r="Q22" s="333">
        <v>164</v>
      </c>
      <c r="R22" s="280">
        <f t="shared" si="46"/>
        <v>400</v>
      </c>
      <c r="S22" s="1118">
        <f t="shared" si="17"/>
        <v>0.4</v>
      </c>
      <c r="T22" s="1119">
        <f t="shared" si="18"/>
        <v>1.3582202111613879E-2</v>
      </c>
      <c r="U22" s="374">
        <f t="shared" si="19"/>
        <v>0</v>
      </c>
      <c r="V22" s="1120">
        <f t="shared" si="20"/>
        <v>0</v>
      </c>
      <c r="W22" s="376">
        <f t="shared" si="21"/>
        <v>0.4</v>
      </c>
      <c r="X22" s="377">
        <f t="shared" si="22"/>
        <v>0</v>
      </c>
      <c r="Y22" s="378">
        <f t="shared" si="23"/>
        <v>0</v>
      </c>
      <c r="Z22" s="1121">
        <f t="shared" si="24"/>
        <v>0</v>
      </c>
      <c r="AA22" s="1122">
        <f t="shared" si="25"/>
        <v>0</v>
      </c>
      <c r="AB22" s="225"/>
      <c r="AC22" s="231"/>
      <c r="AD22" s="231"/>
      <c r="AE22" s="231"/>
      <c r="AF22" s="231"/>
      <c r="AG22" s="231"/>
      <c r="AH22" s="231"/>
      <c r="AI22" s="225"/>
      <c r="AJ22" s="225"/>
      <c r="AK22" s="225"/>
      <c r="AL22" s="225"/>
      <c r="AM22" s="225"/>
      <c r="AN22" s="225"/>
    </row>
    <row r="23" spans="1:40" s="1109" customFormat="1" ht="12.75" customHeight="1">
      <c r="A23" s="397" t="s">
        <v>461</v>
      </c>
      <c r="B23" s="7807" t="s">
        <v>2586</v>
      </c>
      <c r="C23" s="274">
        <f t="shared" si="1"/>
        <v>2.0247664488766629E-4</v>
      </c>
      <c r="D23" s="892">
        <v>4</v>
      </c>
      <c r="E23" s="1177">
        <v>1</v>
      </c>
      <c r="F23" s="1177">
        <v>6</v>
      </c>
      <c r="G23" s="1177">
        <v>100</v>
      </c>
      <c r="H23" s="1178"/>
      <c r="I23" s="1178">
        <v>3.4722222222222222E-5</v>
      </c>
      <c r="J23" s="1178">
        <v>2.0833333333333333E-3</v>
      </c>
      <c r="K23" s="316" t="s">
        <v>2589</v>
      </c>
      <c r="L23" s="3175">
        <f t="shared" si="47"/>
        <v>0.81425789838483309</v>
      </c>
      <c r="M23" s="1180">
        <v>1</v>
      </c>
      <c r="N23" s="1178">
        <f>P23*E23*F23+I23*E23*F23+J23*E23</f>
        <v>7.1511061439706574E-3</v>
      </c>
      <c r="O23" s="1181">
        <f t="shared" si="44"/>
        <v>8.0990657955066516E-4</v>
      </c>
      <c r="P23" s="1181">
        <f t="shared" si="45"/>
        <v>8.0990657955066516E-4</v>
      </c>
      <c r="Q23" s="334" t="s">
        <v>278</v>
      </c>
      <c r="R23" s="1182">
        <f t="shared" si="46"/>
        <v>600</v>
      </c>
      <c r="S23" s="1118">
        <f t="shared" si="17"/>
        <v>0.6</v>
      </c>
      <c r="T23" s="1119">
        <f t="shared" si="18"/>
        <v>1.9437757909215963E-2</v>
      </c>
      <c r="U23" s="374">
        <f t="shared" si="19"/>
        <v>0</v>
      </c>
      <c r="V23" s="1120">
        <f t="shared" si="20"/>
        <v>0</v>
      </c>
      <c r="W23" s="376">
        <f t="shared" si="21"/>
        <v>0</v>
      </c>
      <c r="X23" s="377">
        <f t="shared" si="22"/>
        <v>0.6</v>
      </c>
      <c r="Y23" s="378">
        <f t="shared" si="23"/>
        <v>0</v>
      </c>
      <c r="Z23" s="1121">
        <f t="shared" si="24"/>
        <v>0</v>
      </c>
      <c r="AA23" s="1122">
        <f t="shared" si="25"/>
        <v>0</v>
      </c>
      <c r="AB23" s="225"/>
      <c r="AC23" s="231"/>
      <c r="AD23" s="231"/>
      <c r="AE23" s="231"/>
      <c r="AF23" s="231"/>
      <c r="AG23" s="231"/>
      <c r="AH23" s="231"/>
      <c r="AI23" s="225"/>
      <c r="AJ23" s="225"/>
      <c r="AK23" s="225"/>
      <c r="AL23" s="225"/>
      <c r="AM23" s="225"/>
      <c r="AN23" s="225"/>
    </row>
    <row r="24" spans="1:40" s="1109" customFormat="1" ht="12.75" customHeight="1">
      <c r="A24" s="397" t="s">
        <v>458</v>
      </c>
      <c r="B24" s="7807" t="s">
        <v>2587</v>
      </c>
      <c r="C24" s="274">
        <f t="shared" si="1"/>
        <v>2.1908757716049393E-4</v>
      </c>
      <c r="D24" s="890">
        <v>2</v>
      </c>
      <c r="E24" s="300">
        <v>1</v>
      </c>
      <c r="F24" s="300">
        <v>4</v>
      </c>
      <c r="G24" s="300">
        <v>25</v>
      </c>
      <c r="H24" s="301" t="s">
        <v>1935</v>
      </c>
      <c r="I24" s="301">
        <v>1.3888888888888889E-4</v>
      </c>
      <c r="J24" s="301">
        <v>1.3888888888888889E-3</v>
      </c>
      <c r="K24" s="1123" t="s">
        <v>1934</v>
      </c>
      <c r="L24" s="1133">
        <f t="shared" si="47"/>
        <v>0.82140900452880372</v>
      </c>
      <c r="M24" s="455">
        <v>1</v>
      </c>
      <c r="N24" s="301">
        <f>P24*E24*F24+I24*E24*F24+J24*E24</f>
        <v>2.8207947530864202E-3</v>
      </c>
      <c r="O24" s="302">
        <f t="shared" si="44"/>
        <v>2.1908757716049393E-4</v>
      </c>
      <c r="P24" s="302">
        <f t="shared" si="45"/>
        <v>2.1908757716049393E-4</v>
      </c>
      <c r="Q24" s="550">
        <v>146</v>
      </c>
      <c r="R24" s="369">
        <f t="shared" si="46"/>
        <v>100</v>
      </c>
      <c r="S24" s="1118">
        <f t="shared" si="17"/>
        <v>0.1</v>
      </c>
      <c r="T24" s="1119">
        <f t="shared" si="18"/>
        <v>3.5054012345679029E-3</v>
      </c>
      <c r="U24" s="374">
        <f t="shared" si="19"/>
        <v>0</v>
      </c>
      <c r="V24" s="1120">
        <f t="shared" si="20"/>
        <v>0.1</v>
      </c>
      <c r="W24" s="376">
        <f t="shared" si="21"/>
        <v>0</v>
      </c>
      <c r="X24" s="377">
        <f t="shared" si="22"/>
        <v>0</v>
      </c>
      <c r="Y24" s="378">
        <f t="shared" si="23"/>
        <v>0</v>
      </c>
      <c r="Z24" s="1121">
        <f t="shared" si="24"/>
        <v>0</v>
      </c>
      <c r="AA24" s="1122">
        <f t="shared" si="25"/>
        <v>0</v>
      </c>
      <c r="AB24" s="225"/>
      <c r="AC24" s="231"/>
      <c r="AD24" s="231"/>
      <c r="AE24" s="231"/>
      <c r="AF24" s="231"/>
      <c r="AG24" s="231"/>
      <c r="AH24" s="231"/>
      <c r="AI24" s="225"/>
      <c r="AJ24" s="225"/>
      <c r="AK24" s="225"/>
      <c r="AL24" s="225"/>
      <c r="AM24" s="225"/>
      <c r="AN24" s="225"/>
    </row>
    <row r="25" spans="1:40" s="1109" customFormat="1" ht="12.75" customHeight="1">
      <c r="A25" s="397" t="s">
        <v>219</v>
      </c>
      <c r="B25" s="7807" t="s">
        <v>2588</v>
      </c>
      <c r="C25" s="274">
        <f t="shared" si="1"/>
        <v>1.7682291666666674E-4</v>
      </c>
      <c r="D25" s="1054">
        <v>7</v>
      </c>
      <c r="E25" s="1043">
        <v>1</v>
      </c>
      <c r="F25" s="1043">
        <v>8</v>
      </c>
      <c r="G25" s="1043">
        <v>20</v>
      </c>
      <c r="H25" s="1044"/>
      <c r="I25" s="1044">
        <v>3.4722222222222224E-4</v>
      </c>
      <c r="J25" s="1044">
        <v>0</v>
      </c>
      <c r="K25" s="1323" t="s">
        <v>1492</v>
      </c>
      <c r="L25" s="7841">
        <f t="shared" si="47"/>
        <v>0.82422979928189011</v>
      </c>
      <c r="M25" s="1063">
        <v>1</v>
      </c>
      <c r="N25" s="1044">
        <f>P25*E25*F25+I25*E25*F25+J25*E25</f>
        <v>3.9094444444444446E-3</v>
      </c>
      <c r="O25" s="439">
        <f t="shared" si="44"/>
        <v>1.4145833333333339E-4</v>
      </c>
      <c r="P25" s="587">
        <f t="shared" si="45"/>
        <v>1.4145833333333339E-4</v>
      </c>
      <c r="Q25" s="446" t="s">
        <v>316</v>
      </c>
      <c r="R25" s="1045">
        <f t="shared" si="46"/>
        <v>160</v>
      </c>
      <c r="S25" s="1118">
        <f t="shared" si="17"/>
        <v>0.16</v>
      </c>
      <c r="T25" s="1119">
        <f t="shared" si="18"/>
        <v>4.5266666666666684E-3</v>
      </c>
      <c r="U25" s="374">
        <f t="shared" si="19"/>
        <v>0</v>
      </c>
      <c r="V25" s="1120">
        <f t="shared" si="20"/>
        <v>0</v>
      </c>
      <c r="W25" s="376">
        <f t="shared" si="21"/>
        <v>0</v>
      </c>
      <c r="X25" s="377">
        <f t="shared" si="22"/>
        <v>0</v>
      </c>
      <c r="Y25" s="378">
        <f t="shared" si="23"/>
        <v>0</v>
      </c>
      <c r="Z25" s="1121">
        <f t="shared" si="24"/>
        <v>0</v>
      </c>
      <c r="AA25" s="1122">
        <f t="shared" si="25"/>
        <v>0.16</v>
      </c>
      <c r="AB25" s="225"/>
      <c r="AC25" s="231"/>
      <c r="AD25" s="231"/>
      <c r="AE25" s="231"/>
      <c r="AF25" s="231"/>
      <c r="AG25" s="231"/>
      <c r="AH25" s="231"/>
      <c r="AI25" s="225"/>
      <c r="AJ25" s="225"/>
      <c r="AK25" s="225"/>
      <c r="AL25" s="225"/>
      <c r="AM25" s="225"/>
      <c r="AN25" s="225"/>
    </row>
    <row r="26" spans="1:40" s="1109" customFormat="1" ht="12.75" customHeight="1" thickBot="1">
      <c r="A26" s="397"/>
      <c r="B26" s="403"/>
      <c r="C26" s="274">
        <f t="shared" si="1"/>
        <v>0</v>
      </c>
      <c r="D26" s="959"/>
      <c r="E26" s="642"/>
      <c r="F26" s="642"/>
      <c r="G26" s="642"/>
      <c r="H26" s="642"/>
      <c r="I26" s="642"/>
      <c r="J26" s="642"/>
      <c r="K26" s="642"/>
      <c r="L26" s="1003">
        <f t="shared" si="47"/>
        <v>0.82813924372633452</v>
      </c>
      <c r="M26" s="643"/>
      <c r="N26" s="644"/>
      <c r="O26" s="642"/>
      <c r="P26" s="642"/>
      <c r="Q26" s="642"/>
      <c r="R26" s="645">
        <f>SUM(R20:R25)</f>
        <v>2360</v>
      </c>
      <c r="S26" s="1118">
        <f t="shared" si="17"/>
        <v>0</v>
      </c>
      <c r="T26" s="1119">
        <f t="shared" si="18"/>
        <v>0</v>
      </c>
      <c r="U26" s="374">
        <f t="shared" si="19"/>
        <v>0</v>
      </c>
      <c r="V26" s="1120">
        <f t="shared" si="20"/>
        <v>0</v>
      </c>
      <c r="W26" s="376">
        <f t="shared" si="21"/>
        <v>0</v>
      </c>
      <c r="X26" s="377">
        <f t="shared" si="22"/>
        <v>0</v>
      </c>
      <c r="Y26" s="378">
        <f t="shared" si="23"/>
        <v>0</v>
      </c>
      <c r="Z26" s="1121">
        <f t="shared" si="24"/>
        <v>0</v>
      </c>
      <c r="AA26" s="1122">
        <f t="shared" si="25"/>
        <v>0</v>
      </c>
      <c r="AB26" s="225"/>
      <c r="AC26" s="231"/>
      <c r="AD26" s="231"/>
      <c r="AE26" s="231"/>
      <c r="AF26" s="231"/>
      <c r="AG26" s="231"/>
      <c r="AH26" s="231"/>
      <c r="AI26" s="225"/>
      <c r="AJ26" s="225"/>
      <c r="AK26" s="225"/>
      <c r="AL26" s="225"/>
      <c r="AM26" s="225"/>
      <c r="AN26" s="225"/>
    </row>
    <row r="27" spans="1:40" ht="12.75" customHeight="1">
      <c r="A27" s="1025" t="s">
        <v>215</v>
      </c>
      <c r="B27" s="1151" t="s">
        <v>461</v>
      </c>
      <c r="C27" s="274">
        <f t="shared" si="1"/>
        <v>2.2880964381720439E-4</v>
      </c>
      <c r="D27" s="920">
        <v>1</v>
      </c>
      <c r="E27" s="1157">
        <v>1</v>
      </c>
      <c r="F27" s="1157">
        <v>2</v>
      </c>
      <c r="G27" s="1157">
        <v>400</v>
      </c>
      <c r="H27" s="629"/>
      <c r="I27" s="629">
        <v>2.3148148148148146E-4</v>
      </c>
      <c r="J27" s="299">
        <v>1.3888888888888889E-3</v>
      </c>
      <c r="K27" s="632" t="s">
        <v>881</v>
      </c>
      <c r="L27" s="7847">
        <v>0.79861111111111116</v>
      </c>
      <c r="M27" s="1158">
        <v>1</v>
      </c>
      <c r="N27" s="629">
        <f t="shared" ref="N27:N32" si="48">P27*E27*F27+I27*E27*F27+J27*E27</f>
        <v>9.1737604540023925E-3</v>
      </c>
      <c r="O27" s="1159">
        <f>C27*(G27/25)</f>
        <v>3.6609543010752703E-3</v>
      </c>
      <c r="P27" s="1159">
        <f t="shared" ref="P27:P32" si="49">O27*M27</f>
        <v>3.6609543010752703E-3</v>
      </c>
      <c r="Q27" s="635">
        <f t="shared" si="39"/>
        <v>125</v>
      </c>
      <c r="R27" s="1160">
        <f t="shared" ref="R27:R32" si="50">E27*F27*G27</f>
        <v>800</v>
      </c>
      <c r="S27" s="1118">
        <f t="shared" si="17"/>
        <v>0.8</v>
      </c>
      <c r="T27" s="1119">
        <f t="shared" si="18"/>
        <v>2.9287634408602162E-2</v>
      </c>
      <c r="U27" s="374">
        <f t="shared" si="19"/>
        <v>0.8</v>
      </c>
      <c r="V27" s="1120">
        <f t="shared" si="20"/>
        <v>0</v>
      </c>
      <c r="W27" s="376">
        <f t="shared" si="21"/>
        <v>0</v>
      </c>
      <c r="X27" s="377">
        <f t="shared" si="22"/>
        <v>0</v>
      </c>
      <c r="Y27" s="378">
        <f t="shared" si="23"/>
        <v>0</v>
      </c>
      <c r="Z27" s="1121">
        <f t="shared" si="24"/>
        <v>0</v>
      </c>
      <c r="AA27" s="1122">
        <f t="shared" si="25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40" ht="12.75" customHeight="1">
      <c r="A28" s="851" t="s">
        <v>138</v>
      </c>
      <c r="B28" s="1124" t="s">
        <v>461</v>
      </c>
      <c r="C28" s="274">
        <f t="shared" si="1"/>
        <v>2.1908757716049393E-4</v>
      </c>
      <c r="D28" s="889">
        <v>2</v>
      </c>
      <c r="E28" s="1173">
        <v>1</v>
      </c>
      <c r="F28" s="1173">
        <v>1</v>
      </c>
      <c r="G28" s="1173">
        <v>600</v>
      </c>
      <c r="H28" s="299"/>
      <c r="I28" s="299">
        <v>0</v>
      </c>
      <c r="J28" s="299">
        <v>1.3888888888888889E-3</v>
      </c>
      <c r="K28" s="1123" t="s">
        <v>909</v>
      </c>
      <c r="L28" s="1143">
        <f t="shared" si="40"/>
        <v>0.80778487156511358</v>
      </c>
      <c r="M28" s="1174">
        <v>1.2</v>
      </c>
      <c r="N28" s="299">
        <f t="shared" si="48"/>
        <v>7.6986111111111135E-3</v>
      </c>
      <c r="O28" s="1175">
        <f>C28*(G28/25)</f>
        <v>5.2581018518518541E-3</v>
      </c>
      <c r="P28" s="1175">
        <f t="shared" si="49"/>
        <v>6.3097222222222244E-3</v>
      </c>
      <c r="Q28" s="550">
        <f t="shared" si="39"/>
        <v>140</v>
      </c>
      <c r="R28" s="1176">
        <f t="shared" si="50"/>
        <v>600</v>
      </c>
      <c r="S28" s="1118">
        <f t="shared" si="17"/>
        <v>0.6</v>
      </c>
      <c r="T28" s="1119">
        <f t="shared" si="18"/>
        <v>2.1032407407407416E-2</v>
      </c>
      <c r="U28" s="374">
        <f t="shared" si="19"/>
        <v>0</v>
      </c>
      <c r="V28" s="1120">
        <f t="shared" si="20"/>
        <v>0.6</v>
      </c>
      <c r="W28" s="376">
        <f t="shared" si="21"/>
        <v>0</v>
      </c>
      <c r="X28" s="377">
        <f t="shared" si="22"/>
        <v>0</v>
      </c>
      <c r="Y28" s="378">
        <f t="shared" si="23"/>
        <v>0</v>
      </c>
      <c r="Z28" s="1121">
        <f t="shared" si="24"/>
        <v>0</v>
      </c>
      <c r="AA28" s="1122">
        <f t="shared" si="25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  <c r="AN28" s="204"/>
    </row>
    <row r="29" spans="1:40" ht="12.75" customHeight="1">
      <c r="A29" s="851" t="s">
        <v>462</v>
      </c>
      <c r="B29" s="1124" t="s">
        <v>461</v>
      </c>
      <c r="C29" s="274">
        <f t="shared" si="1"/>
        <v>2.0247664488766629E-4</v>
      </c>
      <c r="D29" s="892">
        <v>4</v>
      </c>
      <c r="E29" s="1177">
        <v>1</v>
      </c>
      <c r="F29" s="1177">
        <v>10</v>
      </c>
      <c r="G29" s="1177">
        <v>50</v>
      </c>
      <c r="H29" s="1178"/>
      <c r="I29" s="1178">
        <v>3.4722222222222224E-4</v>
      </c>
      <c r="J29" s="1178">
        <v>1.3888888888888889E-3</v>
      </c>
      <c r="K29" s="316" t="s">
        <v>885</v>
      </c>
      <c r="L29" s="3175">
        <f t="shared" si="40"/>
        <v>0.81548348267622472</v>
      </c>
      <c r="M29" s="1180">
        <v>1</v>
      </c>
      <c r="N29" s="1178">
        <f t="shared" si="48"/>
        <v>8.9106440088644375E-3</v>
      </c>
      <c r="O29" s="1181">
        <f>C29*(G29/25)</f>
        <v>4.0495328977533258E-4</v>
      </c>
      <c r="P29" s="1181">
        <f t="shared" si="49"/>
        <v>4.0495328977533258E-4</v>
      </c>
      <c r="Q29" s="334">
        <f t="shared" si="39"/>
        <v>170</v>
      </c>
      <c r="R29" s="1182">
        <f t="shared" si="50"/>
        <v>500</v>
      </c>
      <c r="S29" s="1118">
        <f t="shared" si="17"/>
        <v>0.5</v>
      </c>
      <c r="T29" s="1119">
        <f t="shared" si="18"/>
        <v>1.6198131591013302E-2</v>
      </c>
      <c r="U29" s="374">
        <f t="shared" si="19"/>
        <v>0</v>
      </c>
      <c r="V29" s="1120">
        <f t="shared" si="20"/>
        <v>0</v>
      </c>
      <c r="W29" s="376">
        <f t="shared" si="21"/>
        <v>0</v>
      </c>
      <c r="X29" s="377">
        <f t="shared" si="22"/>
        <v>0.5</v>
      </c>
      <c r="Y29" s="378">
        <f t="shared" si="23"/>
        <v>0</v>
      </c>
      <c r="Z29" s="1121">
        <f t="shared" si="24"/>
        <v>0</v>
      </c>
      <c r="AA29" s="1122">
        <f t="shared" si="25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  <c r="AN29" s="204"/>
    </row>
    <row r="30" spans="1:40" ht="11" customHeight="1">
      <c r="A30" s="851" t="s">
        <v>461</v>
      </c>
      <c r="B30" s="1124" t="s">
        <v>461</v>
      </c>
      <c r="C30" s="274">
        <f t="shared" si="1"/>
        <v>1.8229166666666673E-4</v>
      </c>
      <c r="D30" s="1144">
        <v>6</v>
      </c>
      <c r="E30" s="1167">
        <v>1</v>
      </c>
      <c r="F30" s="1167">
        <v>8</v>
      </c>
      <c r="G30" s="1167">
        <v>75</v>
      </c>
      <c r="H30" s="1052"/>
      <c r="I30" s="1052">
        <v>1.0416666666666667E-3</v>
      </c>
      <c r="J30" s="1052">
        <v>0</v>
      </c>
      <c r="K30" s="1065" t="s">
        <v>1936</v>
      </c>
      <c r="L30" s="7843">
        <f t="shared" si="40"/>
        <v>0.82439412668508916</v>
      </c>
      <c r="M30" s="1168">
        <v>1.2</v>
      </c>
      <c r="N30" s="1052">
        <f t="shared" si="48"/>
        <v>1.3740833333333334E-2</v>
      </c>
      <c r="O30" s="1169">
        <f>C30*(G30/25)*1.03</f>
        <v>5.632812500000002E-4</v>
      </c>
      <c r="P30" s="1170">
        <f t="shared" si="49"/>
        <v>6.7593750000000021E-4</v>
      </c>
      <c r="Q30" s="1171">
        <f t="shared" si="39"/>
        <v>177</v>
      </c>
      <c r="R30" s="1172">
        <f t="shared" si="50"/>
        <v>600</v>
      </c>
      <c r="S30" s="1118">
        <f t="shared" si="17"/>
        <v>0.6</v>
      </c>
      <c r="T30" s="1119">
        <f t="shared" si="18"/>
        <v>1.8025000000000006E-2</v>
      </c>
      <c r="U30" s="374">
        <f t="shared" si="19"/>
        <v>0</v>
      </c>
      <c r="V30" s="1120">
        <f t="shared" si="20"/>
        <v>0</v>
      </c>
      <c r="W30" s="376">
        <f t="shared" si="21"/>
        <v>0</v>
      </c>
      <c r="X30" s="377">
        <f t="shared" si="22"/>
        <v>0</v>
      </c>
      <c r="Y30" s="378">
        <f t="shared" si="23"/>
        <v>0</v>
      </c>
      <c r="Z30" s="1121">
        <f t="shared" si="24"/>
        <v>0.6</v>
      </c>
      <c r="AA30" s="1122">
        <f t="shared" si="25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  <c r="AN30" s="204"/>
    </row>
    <row r="31" spans="1:40" ht="12.75" customHeight="1">
      <c r="A31" s="851" t="s">
        <v>458</v>
      </c>
      <c r="B31" s="1124" t="s">
        <v>461</v>
      </c>
      <c r="C31" s="274">
        <f t="shared" si="1"/>
        <v>2.1222190799396687E-4</v>
      </c>
      <c r="D31" s="891">
        <v>3</v>
      </c>
      <c r="E31" s="1161">
        <v>1</v>
      </c>
      <c r="F31" s="1161">
        <v>1</v>
      </c>
      <c r="G31" s="1161">
        <v>200</v>
      </c>
      <c r="H31" s="1163"/>
      <c r="I31" s="1163">
        <v>0</v>
      </c>
      <c r="J31" s="1163">
        <v>1.3888888888888889E-3</v>
      </c>
      <c r="K31" s="1074" t="s">
        <v>886</v>
      </c>
      <c r="L31" s="1147">
        <f t="shared" si="40"/>
        <v>0.83813496001842247</v>
      </c>
      <c r="M31" s="1164">
        <v>1.05</v>
      </c>
      <c r="N31" s="1163">
        <f t="shared" si="48"/>
        <v>3.1715529160382108E-3</v>
      </c>
      <c r="O31" s="1165">
        <f>C31*(G31/25)</f>
        <v>1.6977752639517349E-3</v>
      </c>
      <c r="P31" s="1165">
        <f t="shared" si="49"/>
        <v>1.7826640271493218E-3</v>
      </c>
      <c r="Q31" s="333">
        <f t="shared" si="39"/>
        <v>164</v>
      </c>
      <c r="R31" s="1166">
        <f t="shared" si="50"/>
        <v>200</v>
      </c>
      <c r="S31" s="1118">
        <f t="shared" si="17"/>
        <v>0.2</v>
      </c>
      <c r="T31" s="1119">
        <f t="shared" si="18"/>
        <v>6.7911010558069397E-3</v>
      </c>
      <c r="U31" s="374">
        <f t="shared" si="19"/>
        <v>0</v>
      </c>
      <c r="V31" s="1120">
        <f t="shared" si="20"/>
        <v>0</v>
      </c>
      <c r="W31" s="376">
        <f t="shared" si="21"/>
        <v>0.2</v>
      </c>
      <c r="X31" s="377">
        <f t="shared" si="22"/>
        <v>0</v>
      </c>
      <c r="Y31" s="378">
        <f t="shared" si="23"/>
        <v>0</v>
      </c>
      <c r="Z31" s="1121">
        <f t="shared" si="24"/>
        <v>0</v>
      </c>
      <c r="AA31" s="1122">
        <f t="shared" si="25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  <c r="AN31" s="204"/>
    </row>
    <row r="32" spans="1:40" ht="12.75" customHeight="1" thickBot="1">
      <c r="A32" s="851" t="s">
        <v>219</v>
      </c>
      <c r="B32" s="1124" t="s">
        <v>461</v>
      </c>
      <c r="C32" s="274">
        <f t="shared" si="1"/>
        <v>2.0247664488766629E-4</v>
      </c>
      <c r="D32" s="892">
        <v>4</v>
      </c>
      <c r="E32" s="1177">
        <v>1</v>
      </c>
      <c r="F32" s="1177">
        <v>12</v>
      </c>
      <c r="G32" s="1177">
        <v>50</v>
      </c>
      <c r="H32" s="1178"/>
      <c r="I32" s="1178">
        <v>6.9444444444444447E-4</v>
      </c>
      <c r="J32" s="1178">
        <v>1.3888888888888889E-3</v>
      </c>
      <c r="K32" s="316" t="s">
        <v>554</v>
      </c>
      <c r="L32" s="7844">
        <f t="shared" si="40"/>
        <v>0.84130651293446068</v>
      </c>
      <c r="M32" s="1180">
        <v>1</v>
      </c>
      <c r="N32" s="1178">
        <f t="shared" si="48"/>
        <v>1.4581661699526212E-2</v>
      </c>
      <c r="O32" s="1181">
        <f>C32*(G32/25)</f>
        <v>4.0495328977533258E-4</v>
      </c>
      <c r="P32" s="1181">
        <f t="shared" si="49"/>
        <v>4.0495328977533258E-4</v>
      </c>
      <c r="Q32" s="334">
        <f t="shared" si="39"/>
        <v>170</v>
      </c>
      <c r="R32" s="1182">
        <f t="shared" si="50"/>
        <v>600</v>
      </c>
      <c r="S32" s="1118">
        <f t="shared" si="17"/>
        <v>0.6</v>
      </c>
      <c r="T32" s="1119">
        <f t="shared" si="18"/>
        <v>1.9437757909215963E-2</v>
      </c>
      <c r="U32" s="374">
        <f t="shared" si="19"/>
        <v>0</v>
      </c>
      <c r="V32" s="1120">
        <f t="shared" si="20"/>
        <v>0</v>
      </c>
      <c r="W32" s="376">
        <f t="shared" si="21"/>
        <v>0</v>
      </c>
      <c r="X32" s="377">
        <f t="shared" si="22"/>
        <v>0.6</v>
      </c>
      <c r="Y32" s="378">
        <f t="shared" si="23"/>
        <v>0</v>
      </c>
      <c r="Z32" s="1121">
        <f t="shared" si="24"/>
        <v>0</v>
      </c>
      <c r="AA32" s="1122">
        <f t="shared" si="25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  <c r="AN32" s="204"/>
    </row>
    <row r="33" spans="1:40" ht="12.75" customHeight="1" thickBot="1">
      <c r="A33" s="4913"/>
      <c r="B33" s="7808"/>
      <c r="C33" s="274">
        <f t="shared" si="1"/>
        <v>0</v>
      </c>
      <c r="D33" s="899"/>
      <c r="E33" s="336"/>
      <c r="F33" s="336"/>
      <c r="G33" s="336"/>
      <c r="H33" s="336"/>
      <c r="I33" s="336"/>
      <c r="J33" s="336"/>
      <c r="K33" s="336"/>
      <c r="L33" s="1003">
        <f t="shared" si="40"/>
        <v>0.85588817463398692</v>
      </c>
      <c r="M33" s="1198"/>
      <c r="N33" s="1356"/>
      <c r="O33" s="336"/>
      <c r="P33" s="336"/>
      <c r="Q33" s="336"/>
      <c r="R33" s="1199">
        <f>SUM(R27:R32)</f>
        <v>3300</v>
      </c>
      <c r="S33" s="1118">
        <f t="shared" si="17"/>
        <v>0</v>
      </c>
      <c r="T33" s="1119">
        <f t="shared" si="18"/>
        <v>0</v>
      </c>
      <c r="U33" s="374">
        <f t="shared" si="19"/>
        <v>0</v>
      </c>
      <c r="V33" s="1120">
        <f t="shared" si="20"/>
        <v>0</v>
      </c>
      <c r="W33" s="376">
        <f t="shared" si="21"/>
        <v>0</v>
      </c>
      <c r="X33" s="377">
        <f t="shared" si="22"/>
        <v>0</v>
      </c>
      <c r="Y33" s="378">
        <f t="shared" si="23"/>
        <v>0</v>
      </c>
      <c r="Z33" s="1121">
        <f t="shared" si="24"/>
        <v>0</v>
      </c>
      <c r="AA33" s="1122">
        <f t="shared" si="25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  <c r="AN33" s="204"/>
    </row>
    <row r="34" spans="1:40" ht="12.75" customHeight="1">
      <c r="A34" s="398" t="s">
        <v>215</v>
      </c>
      <c r="B34" s="7806" t="s">
        <v>215</v>
      </c>
      <c r="C34" s="274">
        <f t="shared" ref="C34:C39" si="51">IF(D34=1,U$5,IF(D34=2,V$5,IF(D34=3,W$5,IF(D34=4,X$5,IF(D34=5,Y$5,IF(D34=6,Z$5,IF(D34=7,AA$5,0)))))))</f>
        <v>2.1908757716049393E-4</v>
      </c>
      <c r="D34" s="890">
        <v>2</v>
      </c>
      <c r="E34" s="1173">
        <v>1</v>
      </c>
      <c r="F34" s="1173">
        <v>1</v>
      </c>
      <c r="G34" s="1173">
        <v>400</v>
      </c>
      <c r="H34" s="299"/>
      <c r="I34" s="299">
        <v>0</v>
      </c>
      <c r="J34" s="299">
        <v>1.3888888888888889E-3</v>
      </c>
      <c r="K34" s="1123" t="s">
        <v>776</v>
      </c>
      <c r="L34" s="6847">
        <v>0.79861111111111116</v>
      </c>
      <c r="M34" s="1174">
        <v>1</v>
      </c>
      <c r="N34" s="299">
        <f>P34*E34*F34+I34*E34*F34+J34*E34</f>
        <v>4.8942901234567916E-3</v>
      </c>
      <c r="O34" s="1175">
        <f>C34*(G34/25)</f>
        <v>3.5054012345679029E-3</v>
      </c>
      <c r="P34" s="1175">
        <f>O34*M34</f>
        <v>3.5054012345679029E-3</v>
      </c>
      <c r="Q34" s="550">
        <v>125</v>
      </c>
      <c r="R34" s="1176">
        <f>E34*F34*G34</f>
        <v>400</v>
      </c>
      <c r="S34" s="1118"/>
      <c r="T34" s="1119"/>
      <c r="U34" s="374">
        <f t="shared" ref="U34:U39" si="52">IF(C34*4&gt;=$U$4,S34,0)</f>
        <v>0</v>
      </c>
      <c r="V34" s="1120">
        <f t="shared" ref="V34:V39" si="53">IF(AND(C34*4&gt;=$V$4,C34*4&lt;$U$4),S34,0)</f>
        <v>0</v>
      </c>
      <c r="W34" s="376">
        <f t="shared" ref="W34:W39" si="54">IF(AND(C34*4&gt;=$W$4,C34*4&lt;$V$4),S34,0)</f>
        <v>0</v>
      </c>
      <c r="X34" s="377">
        <f t="shared" ref="X34:X39" si="55">IF(AND(C34*4&gt;=$X$4,C34*4&lt;$W$4),S34,0)</f>
        <v>0</v>
      </c>
      <c r="Y34" s="378">
        <f t="shared" ref="Y34:Y39" si="56">IF(AND(C34*4&gt;=$Y$4,C34*4&lt;$X$4),S34,0)</f>
        <v>0</v>
      </c>
      <c r="Z34" s="1121">
        <f t="shared" ref="Z34:Z39" si="57">IF(AND(C34*4&gt;=$Z$4,C34*4&lt;$Y$4),S34,0)</f>
        <v>0</v>
      </c>
      <c r="AA34" s="1122">
        <f t="shared" ref="AA34:AA39" si="58">IF(AND(C34*4&gt;=$AA$4,C34*4&lt;$Z$4),S34,0)</f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  <c r="AN34" s="204"/>
    </row>
    <row r="35" spans="1:40" ht="12.75" customHeight="1">
      <c r="A35" s="398" t="s">
        <v>139</v>
      </c>
      <c r="B35" s="7807" t="s">
        <v>137</v>
      </c>
      <c r="C35" s="274">
        <f t="shared" si="51"/>
        <v>1.8229166666666673E-4</v>
      </c>
      <c r="D35" s="4558">
        <v>6</v>
      </c>
      <c r="E35" s="4561">
        <v>2</v>
      </c>
      <c r="F35" s="4561">
        <v>6</v>
      </c>
      <c r="G35" s="4561">
        <v>75</v>
      </c>
      <c r="H35" s="6300" t="s">
        <v>2593</v>
      </c>
      <c r="I35" s="6300">
        <v>4.6296296296296293E-4</v>
      </c>
      <c r="J35" s="6300">
        <v>0</v>
      </c>
      <c r="K35" s="4561" t="s">
        <v>2234</v>
      </c>
      <c r="L35" s="6301">
        <f>L34+N34</f>
        <v>0.80350540123456793</v>
      </c>
      <c r="M35" s="6302">
        <v>1</v>
      </c>
      <c r="N35" s="6301">
        <f t="shared" ref="N35" si="59">P35*E35*F35+I35*E35*F35+J35*E35</f>
        <v>1.2118055555555557E-2</v>
      </c>
      <c r="O35" s="6301">
        <f t="shared" ref="O35" si="60">C35*(G35/25)</f>
        <v>5.4687500000000016E-4</v>
      </c>
      <c r="P35" s="6301">
        <f t="shared" ref="P35" si="61">O35*M35</f>
        <v>5.4687500000000016E-4</v>
      </c>
      <c r="Q35" s="6303" t="s">
        <v>1281</v>
      </c>
      <c r="R35" s="6303">
        <f t="shared" ref="R35" si="62">E35*F35*G35</f>
        <v>900</v>
      </c>
      <c r="S35" s="1118"/>
      <c r="T35" s="1119"/>
      <c r="U35" s="374">
        <f t="shared" si="52"/>
        <v>0</v>
      </c>
      <c r="V35" s="1120">
        <f t="shared" si="53"/>
        <v>0</v>
      </c>
      <c r="W35" s="376">
        <f t="shared" si="54"/>
        <v>0</v>
      </c>
      <c r="X35" s="377">
        <f t="shared" si="55"/>
        <v>0</v>
      </c>
      <c r="Y35" s="378">
        <f t="shared" si="56"/>
        <v>0</v>
      </c>
      <c r="Z35" s="1121">
        <f t="shared" si="57"/>
        <v>0</v>
      </c>
      <c r="AA35" s="1122">
        <f t="shared" si="58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  <c r="AN35" s="204"/>
    </row>
    <row r="36" spans="1:40" ht="12.75" customHeight="1">
      <c r="A36" s="398" t="s">
        <v>458</v>
      </c>
      <c r="B36" s="7807" t="s">
        <v>2585</v>
      </c>
      <c r="C36" s="274">
        <f t="shared" si="51"/>
        <v>2.1908757716049393E-4</v>
      </c>
      <c r="D36" s="890">
        <v>2</v>
      </c>
      <c r="E36" s="1173">
        <v>1</v>
      </c>
      <c r="F36" s="1173">
        <v>2</v>
      </c>
      <c r="G36" s="1173">
        <v>100</v>
      </c>
      <c r="H36" s="299"/>
      <c r="I36" s="299">
        <v>1.1574074074074073E-4</v>
      </c>
      <c r="J36" s="299">
        <v>1.3888888888888889E-3</v>
      </c>
      <c r="K36" s="1123" t="s">
        <v>2240</v>
      </c>
      <c r="L36" s="1143">
        <f t="shared" ref="L36:L39" si="63">L35+N35</f>
        <v>0.81562345679012349</v>
      </c>
      <c r="M36" s="1174">
        <v>1.1000000000000001</v>
      </c>
      <c r="N36" s="299">
        <f>P36*E36*F36+I36*E36*F36+J36*E36</f>
        <v>3.5483410493827175E-3</v>
      </c>
      <c r="O36" s="1175">
        <f>C36*(G36/25)</f>
        <v>8.7635030864197572E-4</v>
      </c>
      <c r="P36" s="1175">
        <f>O36*M36</f>
        <v>9.6398533950617339E-4</v>
      </c>
      <c r="Q36" s="550">
        <f t="shared" ref="Q36" si="64">IF(D36=1,125,IF(D36=2,140,IF(D36=3,164,IF(D36=4,170,IF(D36=5,173,IF(D36=6,177,IF(R36=7,200,0)))))))</f>
        <v>140</v>
      </c>
      <c r="R36" s="1176">
        <f>E36*F36*G36</f>
        <v>200</v>
      </c>
      <c r="S36" s="1118"/>
      <c r="T36" s="1119"/>
      <c r="U36" s="374">
        <f t="shared" si="52"/>
        <v>0</v>
      </c>
      <c r="V36" s="1120">
        <f t="shared" si="53"/>
        <v>0</v>
      </c>
      <c r="W36" s="376">
        <f t="shared" si="54"/>
        <v>0</v>
      </c>
      <c r="X36" s="377">
        <f t="shared" si="55"/>
        <v>0</v>
      </c>
      <c r="Y36" s="378">
        <f t="shared" si="56"/>
        <v>0</v>
      </c>
      <c r="Z36" s="1121">
        <f t="shared" si="57"/>
        <v>0</v>
      </c>
      <c r="AA36" s="1122">
        <f t="shared" si="58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  <c r="AN36" s="204"/>
    </row>
    <row r="37" spans="1:40" ht="12.75" customHeight="1">
      <c r="A37" s="398" t="s">
        <v>462</v>
      </c>
      <c r="B37" s="7807" t="s">
        <v>2586</v>
      </c>
      <c r="C37" s="274">
        <f t="shared" si="51"/>
        <v>1.8229166666666673E-4</v>
      </c>
      <c r="D37" s="4558">
        <v>6</v>
      </c>
      <c r="E37" s="4561">
        <v>2</v>
      </c>
      <c r="F37" s="4561">
        <v>8</v>
      </c>
      <c r="G37" s="4561">
        <v>50</v>
      </c>
      <c r="H37" s="6300" t="s">
        <v>2593</v>
      </c>
      <c r="I37" s="6300">
        <v>4.6296296296296293E-4</v>
      </c>
      <c r="J37" s="6300">
        <v>0</v>
      </c>
      <c r="K37" s="4561" t="s">
        <v>2592</v>
      </c>
      <c r="L37" s="6301">
        <f t="shared" si="63"/>
        <v>0.81917179783950622</v>
      </c>
      <c r="M37" s="6302">
        <v>1</v>
      </c>
      <c r="N37" s="6301">
        <f t="shared" ref="N37" si="65">P37*E37*F37+I37*E37*F37+J37*E37</f>
        <v>1.3240740740740742E-2</v>
      </c>
      <c r="O37" s="6301">
        <f t="shared" ref="O37" si="66">C37*(G37/25)</f>
        <v>3.6458333333333346E-4</v>
      </c>
      <c r="P37" s="6301">
        <f t="shared" ref="P37" si="67">O37*M37</f>
        <v>3.6458333333333346E-4</v>
      </c>
      <c r="Q37" s="6303" t="s">
        <v>1281</v>
      </c>
      <c r="R37" s="6303">
        <f t="shared" ref="R37" si="68">E37*F37*G37</f>
        <v>800</v>
      </c>
      <c r="S37" s="1118"/>
      <c r="T37" s="1119"/>
      <c r="U37" s="374">
        <f t="shared" si="52"/>
        <v>0</v>
      </c>
      <c r="V37" s="1120">
        <f t="shared" si="53"/>
        <v>0</v>
      </c>
      <c r="W37" s="376">
        <f t="shared" si="54"/>
        <v>0</v>
      </c>
      <c r="X37" s="377">
        <f t="shared" si="55"/>
        <v>0</v>
      </c>
      <c r="Y37" s="378">
        <f t="shared" si="56"/>
        <v>0</v>
      </c>
      <c r="Z37" s="1121">
        <f t="shared" si="57"/>
        <v>0</v>
      </c>
      <c r="AA37" s="1122">
        <f t="shared" si="58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  <c r="AN37" s="204"/>
    </row>
    <row r="38" spans="1:40" ht="12.75" customHeight="1">
      <c r="A38" s="398" t="s">
        <v>140</v>
      </c>
      <c r="B38" s="7807" t="s">
        <v>2587</v>
      </c>
      <c r="C38" s="274">
        <f t="shared" si="51"/>
        <v>1.7682291666666674E-4</v>
      </c>
      <c r="D38" s="1237">
        <v>7</v>
      </c>
      <c r="E38" s="1187">
        <v>2</v>
      </c>
      <c r="F38" s="1187">
        <v>4</v>
      </c>
      <c r="G38" s="1187">
        <v>15</v>
      </c>
      <c r="H38" s="1051"/>
      <c r="I38" s="1051">
        <v>4.6296296296296293E-4</v>
      </c>
      <c r="J38" s="1188">
        <v>6.9444444444444447E-4</v>
      </c>
      <c r="K38" s="2402" t="s">
        <v>2594</v>
      </c>
      <c r="L38" s="2709">
        <f t="shared" si="63"/>
        <v>0.832412538580247</v>
      </c>
      <c r="M38" s="1190">
        <v>1</v>
      </c>
      <c r="N38" s="1188">
        <f>P38*E38*F38+I38*E38*F38+J38*E38</f>
        <v>5.8140300925925929E-3</v>
      </c>
      <c r="O38" s="1191">
        <f>C38*(G38/25)*0.85</f>
        <v>9.0179687500000036E-5</v>
      </c>
      <c r="P38" s="1192">
        <f>O38*M38</f>
        <v>9.0179687500000036E-5</v>
      </c>
      <c r="Q38" s="788">
        <v>200</v>
      </c>
      <c r="R38" s="1187">
        <f>E38*F38*G38</f>
        <v>120</v>
      </c>
      <c r="S38" s="1118"/>
      <c r="T38" s="1119"/>
      <c r="U38" s="374">
        <f t="shared" si="52"/>
        <v>0</v>
      </c>
      <c r="V38" s="1120">
        <f t="shared" si="53"/>
        <v>0</v>
      </c>
      <c r="W38" s="376">
        <f t="shared" si="54"/>
        <v>0</v>
      </c>
      <c r="X38" s="377">
        <f t="shared" si="55"/>
        <v>0</v>
      </c>
      <c r="Y38" s="378">
        <f t="shared" si="56"/>
        <v>0</v>
      </c>
      <c r="Z38" s="1121">
        <f t="shared" si="57"/>
        <v>0</v>
      </c>
      <c r="AA38" s="1122">
        <f t="shared" si="58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  <c r="AN38" s="204"/>
    </row>
    <row r="39" spans="1:40" ht="12.75" customHeight="1">
      <c r="A39" s="4913"/>
      <c r="B39" s="4913"/>
      <c r="C39" s="274">
        <f t="shared" si="51"/>
        <v>0</v>
      </c>
      <c r="D39" s="899"/>
      <c r="E39" s="336"/>
      <c r="F39" s="336"/>
      <c r="G39" s="336"/>
      <c r="H39" s="336"/>
      <c r="I39" s="336"/>
      <c r="J39" s="336"/>
      <c r="K39" s="336"/>
      <c r="L39" s="1003">
        <f t="shared" si="63"/>
        <v>0.83822656867283962</v>
      </c>
      <c r="M39" s="1198"/>
      <c r="N39" s="1356"/>
      <c r="O39" s="336"/>
      <c r="P39" s="336"/>
      <c r="Q39" s="336"/>
      <c r="R39" s="1199">
        <f>SUM(R34:R38)</f>
        <v>2420</v>
      </c>
      <c r="S39" s="1118">
        <f t="shared" si="17"/>
        <v>0</v>
      </c>
      <c r="T39" s="1119">
        <f t="shared" si="18"/>
        <v>0</v>
      </c>
      <c r="U39" s="374">
        <f t="shared" si="52"/>
        <v>0</v>
      </c>
      <c r="V39" s="1120">
        <f t="shared" si="53"/>
        <v>0</v>
      </c>
      <c r="W39" s="376">
        <f t="shared" si="54"/>
        <v>0</v>
      </c>
      <c r="X39" s="377">
        <f t="shared" si="55"/>
        <v>0</v>
      </c>
      <c r="Y39" s="378">
        <f t="shared" si="56"/>
        <v>0</v>
      </c>
      <c r="Z39" s="1121">
        <f t="shared" si="57"/>
        <v>0</v>
      </c>
      <c r="AA39" s="1122">
        <f t="shared" si="58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  <c r="AN39" s="204"/>
    </row>
    <row r="40" spans="1:40" ht="12.75" customHeight="1">
      <c r="A40" s="398" t="s">
        <v>215</v>
      </c>
      <c r="B40" s="398" t="s">
        <v>461</v>
      </c>
      <c r="C40" s="274">
        <f t="shared" si="1"/>
        <v>2.1222190799396687E-4</v>
      </c>
      <c r="D40" s="7809">
        <v>3</v>
      </c>
      <c r="E40" s="7810">
        <v>1</v>
      </c>
      <c r="F40" s="7810">
        <v>1</v>
      </c>
      <c r="G40" s="7420">
        <v>800</v>
      </c>
      <c r="H40" s="7811"/>
      <c r="I40" s="7811">
        <v>0</v>
      </c>
      <c r="J40" s="4689">
        <v>1.3888888888888889E-3</v>
      </c>
      <c r="K40" s="7812" t="s">
        <v>2595</v>
      </c>
      <c r="L40" s="7845">
        <f>L39+N39</f>
        <v>0.83822656867283962</v>
      </c>
      <c r="M40" s="7418">
        <v>1.2</v>
      </c>
      <c r="N40" s="7811">
        <f>P40*E40*F40+I40*E40*F40+J40*E40</f>
        <v>9.5382101558572161E-3</v>
      </c>
      <c r="O40" s="7813">
        <f>C40*(G40/25)</f>
        <v>6.7911010558069397E-3</v>
      </c>
      <c r="P40" s="2429">
        <f>O40*M40</f>
        <v>8.149321266968327E-3</v>
      </c>
      <c r="Q40" s="7814">
        <f t="shared" ref="Q40" si="69">IF(D40=1,125,IF(D40=2,140,IF(D40=3,164,IF(D40=4,170,IF(D40=5,173,IF(D40=6,177,IF(R40=7,200,0)))))))</f>
        <v>164</v>
      </c>
      <c r="R40" s="7810">
        <f>E40*F40*G40</f>
        <v>800</v>
      </c>
      <c r="S40" s="1118">
        <f t="shared" si="17"/>
        <v>0.8</v>
      </c>
      <c r="T40" s="1119">
        <f t="shared" si="18"/>
        <v>2.7164404223227759E-2</v>
      </c>
      <c r="U40" s="374">
        <f t="shared" si="19"/>
        <v>0</v>
      </c>
      <c r="V40" s="1120">
        <f t="shared" si="20"/>
        <v>0</v>
      </c>
      <c r="W40" s="376">
        <f t="shared" si="21"/>
        <v>0.8</v>
      </c>
      <c r="X40" s="377">
        <f t="shared" si="22"/>
        <v>0</v>
      </c>
      <c r="Y40" s="378">
        <f t="shared" si="23"/>
        <v>0</v>
      </c>
      <c r="Z40" s="1121">
        <f t="shared" si="24"/>
        <v>0</v>
      </c>
      <c r="AA40" s="1122">
        <f t="shared" si="25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  <c r="AN40" s="204"/>
    </row>
    <row r="41" spans="1:40" ht="12.75" customHeight="1">
      <c r="A41" s="398" t="s">
        <v>139</v>
      </c>
      <c r="B41" s="398" t="s">
        <v>461</v>
      </c>
      <c r="C41" s="274">
        <f t="shared" si="1"/>
        <v>1.7682291666666674E-4</v>
      </c>
      <c r="D41" s="897">
        <v>7</v>
      </c>
      <c r="E41" s="1187">
        <v>2</v>
      </c>
      <c r="F41" s="1187">
        <v>8</v>
      </c>
      <c r="G41" s="1187">
        <v>25</v>
      </c>
      <c r="H41" s="1051"/>
      <c r="I41" s="1051">
        <v>3.4722222222222224E-4</v>
      </c>
      <c r="J41" s="1188">
        <v>1.3888888888888889E-3</v>
      </c>
      <c r="K41" s="1898" t="s">
        <v>1937</v>
      </c>
      <c r="L41" s="7846">
        <f t="shared" ref="L41:L42" si="70">L40+N40</f>
        <v>0.84776477882869683</v>
      </c>
      <c r="M41" s="1900">
        <v>1</v>
      </c>
      <c r="N41" s="1901">
        <f>P41*E41*F41+I41*E41*F41+J41*E41</f>
        <v>1.1162500000000002E-2</v>
      </c>
      <c r="O41" s="1902">
        <f>C41*(G41/25)</f>
        <v>1.7682291666666674E-4</v>
      </c>
      <c r="P41" s="1902">
        <f>O41*M41</f>
        <v>1.7682291666666674E-4</v>
      </c>
      <c r="Q41" s="1899"/>
      <c r="R41" s="1193">
        <f>E41*F41*G41</f>
        <v>400</v>
      </c>
      <c r="S41" s="1118">
        <f t="shared" si="17"/>
        <v>0.4</v>
      </c>
      <c r="T41" s="1119">
        <f t="shared" si="18"/>
        <v>1.1316666666666671E-2</v>
      </c>
      <c r="U41" s="374">
        <f t="shared" si="19"/>
        <v>0</v>
      </c>
      <c r="V41" s="1120">
        <f t="shared" si="20"/>
        <v>0</v>
      </c>
      <c r="W41" s="376">
        <f t="shared" si="21"/>
        <v>0</v>
      </c>
      <c r="X41" s="377">
        <f t="shared" si="22"/>
        <v>0</v>
      </c>
      <c r="Y41" s="378">
        <f t="shared" si="23"/>
        <v>0</v>
      </c>
      <c r="Z41" s="1121">
        <f t="shared" si="24"/>
        <v>0</v>
      </c>
      <c r="AA41" s="1122">
        <f t="shared" si="25"/>
        <v>0.4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  <c r="AN41" s="204"/>
    </row>
    <row r="42" spans="1:40" ht="12.75" customHeight="1">
      <c r="A42" s="398" t="s">
        <v>458</v>
      </c>
      <c r="B42" s="398" t="s">
        <v>461</v>
      </c>
      <c r="C42" s="274">
        <f t="shared" si="1"/>
        <v>1.7682291666666674E-4</v>
      </c>
      <c r="D42" s="897">
        <v>7</v>
      </c>
      <c r="E42" s="1187">
        <v>2</v>
      </c>
      <c r="F42" s="1187">
        <v>5</v>
      </c>
      <c r="G42" s="1187">
        <v>15</v>
      </c>
      <c r="H42" s="1051"/>
      <c r="I42" s="1051">
        <v>3.4722222222222224E-4</v>
      </c>
      <c r="J42" s="1188">
        <v>1.3888888888888889E-3</v>
      </c>
      <c r="K42" s="1898" t="s">
        <v>1937</v>
      </c>
      <c r="L42" s="7846">
        <f t="shared" si="70"/>
        <v>0.85892727882869679</v>
      </c>
      <c r="M42" s="1900">
        <v>1</v>
      </c>
      <c r="N42" s="1901">
        <f>P42*E42*F42+I42*E42*F42+J42*E42</f>
        <v>7.3109375000000015E-3</v>
      </c>
      <c r="O42" s="1902">
        <f>C42*(G42/25)</f>
        <v>1.0609375000000004E-4</v>
      </c>
      <c r="P42" s="1902">
        <f>O42*M42</f>
        <v>1.0609375000000004E-4</v>
      </c>
      <c r="Q42" s="1899"/>
      <c r="R42" s="1193">
        <f>E42*F42*G42</f>
        <v>150</v>
      </c>
      <c r="S42" s="1118">
        <f t="shared" si="17"/>
        <v>0.15</v>
      </c>
      <c r="T42" s="1119">
        <f t="shared" si="18"/>
        <v>4.2437500000000019E-3</v>
      </c>
      <c r="U42" s="374">
        <f t="shared" si="19"/>
        <v>0</v>
      </c>
      <c r="V42" s="1120">
        <f t="shared" si="20"/>
        <v>0</v>
      </c>
      <c r="W42" s="376">
        <f t="shared" si="21"/>
        <v>0</v>
      </c>
      <c r="X42" s="377">
        <f t="shared" si="22"/>
        <v>0</v>
      </c>
      <c r="Y42" s="378">
        <f t="shared" si="23"/>
        <v>0</v>
      </c>
      <c r="Z42" s="1121">
        <f t="shared" si="24"/>
        <v>0</v>
      </c>
      <c r="AA42" s="1122">
        <f t="shared" si="25"/>
        <v>0.15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  <c r="AN42" s="204"/>
    </row>
    <row r="43" spans="1:40">
      <c r="A43" s="398" t="s">
        <v>462</v>
      </c>
      <c r="B43" s="398" t="s">
        <v>461</v>
      </c>
      <c r="C43" s="274">
        <f t="shared" si="1"/>
        <v>1.7682291666666674E-4</v>
      </c>
      <c r="D43" s="1144">
        <v>7</v>
      </c>
      <c r="E43" s="1167">
        <v>1</v>
      </c>
      <c r="F43" s="1167">
        <v>12</v>
      </c>
      <c r="G43" s="1167">
        <v>25</v>
      </c>
      <c r="H43" s="1052"/>
      <c r="I43" s="1052">
        <v>2.3148148148148146E-4</v>
      </c>
      <c r="J43" s="1052">
        <v>5.2083333333333333E-4</v>
      </c>
      <c r="K43" s="1065" t="s">
        <v>1493</v>
      </c>
      <c r="L43" s="7843">
        <f>L42+N42</f>
        <v>0.8662382163286968</v>
      </c>
      <c r="M43" s="1168">
        <v>0.95</v>
      </c>
      <c r="N43" s="1052">
        <f t="shared" ref="N43:N45" si="71">P43*E43*F43+I43*F43*E43+J43*E43</f>
        <v>5.3143923611111109E-3</v>
      </c>
      <c r="O43" s="1169">
        <f t="shared" ref="O43:O45" si="72">C43*(G43/25)</f>
        <v>1.7682291666666674E-4</v>
      </c>
      <c r="P43" s="1170">
        <f t="shared" ref="P43:P45" si="73">O43*M43</f>
        <v>1.6798177083333338E-4</v>
      </c>
      <c r="Q43" s="1171"/>
      <c r="R43" s="1172">
        <f t="shared" ref="R43:R45" si="74">E43*F43*G43</f>
        <v>300</v>
      </c>
      <c r="S43" s="1118">
        <f t="shared" si="17"/>
        <v>0.3</v>
      </c>
      <c r="T43" s="1119">
        <f t="shared" si="18"/>
        <v>8.4875000000000037E-3</v>
      </c>
      <c r="U43" s="374">
        <f t="shared" si="19"/>
        <v>0</v>
      </c>
      <c r="V43" s="1120">
        <f t="shared" si="20"/>
        <v>0</v>
      </c>
      <c r="W43" s="376">
        <f t="shared" si="21"/>
        <v>0</v>
      </c>
      <c r="X43" s="377">
        <f t="shared" si="22"/>
        <v>0</v>
      </c>
      <c r="Y43" s="378">
        <f t="shared" si="23"/>
        <v>0</v>
      </c>
      <c r="Z43" s="1121">
        <f t="shared" si="24"/>
        <v>0</v>
      </c>
      <c r="AA43" s="1122">
        <f t="shared" si="25"/>
        <v>0.3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  <c r="AN43" s="204"/>
    </row>
    <row r="44" spans="1:40">
      <c r="A44" s="398" t="s">
        <v>140</v>
      </c>
      <c r="B44" s="398" t="s">
        <v>461</v>
      </c>
      <c r="C44" s="274">
        <f t="shared" si="1"/>
        <v>1.7682291666666674E-4</v>
      </c>
      <c r="D44" s="1144">
        <v>7</v>
      </c>
      <c r="E44" s="1167">
        <v>1</v>
      </c>
      <c r="F44" s="1167">
        <v>8</v>
      </c>
      <c r="G44" s="1167">
        <v>25</v>
      </c>
      <c r="H44" s="1052"/>
      <c r="I44" s="1052">
        <v>2.8935185185185189E-4</v>
      </c>
      <c r="J44" s="1052">
        <v>5.2083333333333333E-4</v>
      </c>
      <c r="K44" s="1065" t="s">
        <v>2591</v>
      </c>
      <c r="L44" s="7843">
        <f t="shared" si="40"/>
        <v>0.87155260868980788</v>
      </c>
      <c r="M44" s="1168">
        <v>0.95</v>
      </c>
      <c r="N44" s="1052">
        <f t="shared" si="71"/>
        <v>4.1795023148148156E-3</v>
      </c>
      <c r="O44" s="1169">
        <f t="shared" si="72"/>
        <v>1.7682291666666674E-4</v>
      </c>
      <c r="P44" s="1170">
        <f t="shared" si="73"/>
        <v>1.6798177083333338E-4</v>
      </c>
      <c r="Q44" s="1171"/>
      <c r="R44" s="1172">
        <f t="shared" si="74"/>
        <v>200</v>
      </c>
      <c r="S44" s="1118">
        <f t="shared" si="17"/>
        <v>0.2</v>
      </c>
      <c r="T44" s="1119">
        <f t="shared" si="18"/>
        <v>5.6583333333333355E-3</v>
      </c>
      <c r="U44" s="374">
        <f t="shared" si="19"/>
        <v>0</v>
      </c>
      <c r="V44" s="1120">
        <f t="shared" si="20"/>
        <v>0</v>
      </c>
      <c r="W44" s="376">
        <f t="shared" si="21"/>
        <v>0</v>
      </c>
      <c r="X44" s="377">
        <f t="shared" si="22"/>
        <v>0</v>
      </c>
      <c r="Y44" s="378">
        <f t="shared" si="23"/>
        <v>0</v>
      </c>
      <c r="Z44" s="1121">
        <f t="shared" si="24"/>
        <v>0</v>
      </c>
      <c r="AA44" s="1122">
        <f t="shared" si="25"/>
        <v>0.2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  <c r="AN44" s="204"/>
    </row>
    <row r="45" spans="1:40" ht="14" thickBot="1">
      <c r="A45" s="398" t="s">
        <v>674</v>
      </c>
      <c r="B45" s="398" t="s">
        <v>461</v>
      </c>
      <c r="C45" s="274">
        <f t="shared" si="1"/>
        <v>1.7682291666666674E-4</v>
      </c>
      <c r="D45" s="1144">
        <v>7</v>
      </c>
      <c r="E45" s="1167">
        <v>1</v>
      </c>
      <c r="F45" s="1167">
        <v>8</v>
      </c>
      <c r="G45" s="1167">
        <v>25</v>
      </c>
      <c r="H45" s="1052"/>
      <c r="I45" s="1052">
        <v>5.7870370370370378E-4</v>
      </c>
      <c r="J45" s="1052">
        <v>5.2083333333333333E-4</v>
      </c>
      <c r="K45" s="1065" t="s">
        <v>1044</v>
      </c>
      <c r="L45" s="7843">
        <f t="shared" si="40"/>
        <v>0.87573211100462267</v>
      </c>
      <c r="M45" s="1168">
        <v>1.2</v>
      </c>
      <c r="N45" s="1052">
        <f t="shared" si="71"/>
        <v>6.8479629629629637E-3</v>
      </c>
      <c r="O45" s="1169">
        <f t="shared" si="72"/>
        <v>1.7682291666666674E-4</v>
      </c>
      <c r="P45" s="1170">
        <f t="shared" si="73"/>
        <v>2.1218750000000008E-4</v>
      </c>
      <c r="Q45" s="1171"/>
      <c r="R45" s="1172">
        <f t="shared" si="74"/>
        <v>200</v>
      </c>
      <c r="S45" s="1118">
        <f t="shared" si="17"/>
        <v>0.2</v>
      </c>
      <c r="T45" s="1119">
        <f t="shared" si="18"/>
        <v>5.6583333333333355E-3</v>
      </c>
      <c r="U45" s="374">
        <f t="shared" si="19"/>
        <v>0</v>
      </c>
      <c r="V45" s="1120">
        <f t="shared" si="20"/>
        <v>0</v>
      </c>
      <c r="W45" s="376">
        <f t="shared" si="21"/>
        <v>0</v>
      </c>
      <c r="X45" s="377">
        <f t="shared" si="22"/>
        <v>0</v>
      </c>
      <c r="Y45" s="378">
        <f t="shared" si="23"/>
        <v>0</v>
      </c>
      <c r="Z45" s="1121">
        <f t="shared" si="24"/>
        <v>0</v>
      </c>
      <c r="AA45" s="1122">
        <f t="shared" si="25"/>
        <v>0.2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  <c r="AN45" s="204"/>
    </row>
    <row r="46" spans="1:40" ht="14" thickBot="1">
      <c r="A46" s="398"/>
      <c r="B46" s="1117"/>
      <c r="C46" s="274">
        <f t="shared" si="1"/>
        <v>0</v>
      </c>
      <c r="D46" s="1359"/>
      <c r="E46" s="1360"/>
      <c r="F46" s="1360"/>
      <c r="G46" s="1360"/>
      <c r="H46" s="1361"/>
      <c r="I46" s="1361"/>
      <c r="J46" s="1361"/>
      <c r="K46" s="336"/>
      <c r="L46" s="1893">
        <f t="shared" si="40"/>
        <v>0.88258007396758564</v>
      </c>
      <c r="M46" s="1894"/>
      <c r="N46" s="1895"/>
      <c r="O46" s="1896"/>
      <c r="P46" s="1896"/>
      <c r="Q46" s="1896"/>
      <c r="R46" s="1897">
        <f>SUM(R40:R45)</f>
        <v>2050</v>
      </c>
      <c r="S46" s="1118">
        <f t="shared" si="17"/>
        <v>0</v>
      </c>
      <c r="T46" s="1119">
        <f t="shared" si="18"/>
        <v>0</v>
      </c>
      <c r="U46" s="374">
        <f t="shared" si="19"/>
        <v>0</v>
      </c>
      <c r="V46" s="1120">
        <f t="shared" si="20"/>
        <v>0</v>
      </c>
      <c r="W46" s="376">
        <f t="shared" si="21"/>
        <v>0</v>
      </c>
      <c r="X46" s="377">
        <f t="shared" si="22"/>
        <v>0</v>
      </c>
      <c r="Y46" s="378">
        <f t="shared" si="23"/>
        <v>0</v>
      </c>
      <c r="Z46" s="1121">
        <f t="shared" si="24"/>
        <v>0</v>
      </c>
      <c r="AA46" s="1122">
        <f t="shared" si="25"/>
        <v>0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  <c r="AN46" s="204"/>
    </row>
    <row r="47" spans="1:40">
      <c r="A47" s="1025"/>
      <c r="B47" s="7806" t="s">
        <v>215</v>
      </c>
      <c r="C47" s="274">
        <f t="shared" si="1"/>
        <v>2.1908757716049393E-4</v>
      </c>
      <c r="D47" s="890">
        <v>2</v>
      </c>
      <c r="E47" s="1173">
        <v>1</v>
      </c>
      <c r="F47" s="1173">
        <v>1</v>
      </c>
      <c r="G47" s="1173">
        <v>400</v>
      </c>
      <c r="H47" s="299"/>
      <c r="I47" s="299">
        <v>0</v>
      </c>
      <c r="J47" s="299">
        <v>1.3888888888888889E-3</v>
      </c>
      <c r="K47" s="1123" t="s">
        <v>776</v>
      </c>
      <c r="L47" s="6847">
        <v>0.79861111111111116</v>
      </c>
      <c r="M47" s="1174">
        <v>1</v>
      </c>
      <c r="N47" s="299">
        <f>P47*E47*F47+I47*E47*F47+J47*E47</f>
        <v>4.8942901234567916E-3</v>
      </c>
      <c r="O47" s="1175">
        <f>C47*(G47/25)</f>
        <v>3.5054012345679029E-3</v>
      </c>
      <c r="P47" s="1175">
        <f>O47*M47</f>
        <v>3.5054012345679029E-3</v>
      </c>
      <c r="Q47" s="550">
        <v>125</v>
      </c>
      <c r="R47" s="1176">
        <f>E47*F47*G47</f>
        <v>400</v>
      </c>
      <c r="S47" s="1118">
        <f t="shared" si="17"/>
        <v>0.4</v>
      </c>
      <c r="T47" s="1119">
        <f t="shared" si="18"/>
        <v>1.4021604938271611E-2</v>
      </c>
      <c r="U47" s="374">
        <f t="shared" si="19"/>
        <v>0</v>
      </c>
      <c r="V47" s="1120">
        <f t="shared" si="20"/>
        <v>0.4</v>
      </c>
      <c r="W47" s="376">
        <f t="shared" si="21"/>
        <v>0</v>
      </c>
      <c r="X47" s="377">
        <f t="shared" si="22"/>
        <v>0</v>
      </c>
      <c r="Y47" s="378">
        <f t="shared" si="23"/>
        <v>0</v>
      </c>
      <c r="Z47" s="1121">
        <f t="shared" si="24"/>
        <v>0</v>
      </c>
      <c r="AA47" s="1122">
        <f t="shared" si="25"/>
        <v>0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  <c r="AN47" s="204"/>
    </row>
    <row r="48" spans="1:40">
      <c r="A48" s="851" t="s">
        <v>217</v>
      </c>
      <c r="B48" s="7807" t="s">
        <v>137</v>
      </c>
      <c r="C48" s="274">
        <f t="shared" si="1"/>
        <v>1.8229166666666673E-4</v>
      </c>
      <c r="D48" s="4558">
        <v>6</v>
      </c>
      <c r="E48" s="4561">
        <v>2</v>
      </c>
      <c r="F48" s="4561">
        <v>6</v>
      </c>
      <c r="G48" s="4561">
        <v>75</v>
      </c>
      <c r="H48" s="6300"/>
      <c r="I48" s="6300">
        <v>4.6296296296296293E-4</v>
      </c>
      <c r="J48" s="6300">
        <v>0</v>
      </c>
      <c r="K48" s="4561" t="s">
        <v>2234</v>
      </c>
      <c r="L48" s="6301">
        <f>L47+N47</f>
        <v>0.80350540123456793</v>
      </c>
      <c r="M48" s="6302">
        <v>1</v>
      </c>
      <c r="N48" s="6301">
        <f t="shared" ref="N48" si="75">P48*E48*F48+I48*E48*F48+J48*E48</f>
        <v>1.2118055555555557E-2</v>
      </c>
      <c r="O48" s="6301">
        <f t="shared" ref="O48" si="76">C48*(G48/25)</f>
        <v>5.4687500000000016E-4</v>
      </c>
      <c r="P48" s="6301">
        <f t="shared" ref="P48" si="77">O48*M48</f>
        <v>5.4687500000000016E-4</v>
      </c>
      <c r="Q48" s="6303" t="s">
        <v>1281</v>
      </c>
      <c r="R48" s="6303">
        <f t="shared" ref="R48" si="78">E48*F48*G48</f>
        <v>900</v>
      </c>
      <c r="S48" s="1118">
        <f t="shared" si="17"/>
        <v>0.9</v>
      </c>
      <c r="T48" s="1119">
        <f t="shared" si="18"/>
        <v>2.6250000000000009E-2</v>
      </c>
      <c r="U48" s="374">
        <f t="shared" si="19"/>
        <v>0</v>
      </c>
      <c r="V48" s="1120">
        <f t="shared" si="20"/>
        <v>0</v>
      </c>
      <c r="W48" s="376">
        <f t="shared" si="21"/>
        <v>0</v>
      </c>
      <c r="X48" s="377">
        <f t="shared" si="22"/>
        <v>0</v>
      </c>
      <c r="Y48" s="378">
        <f t="shared" si="23"/>
        <v>0</v>
      </c>
      <c r="Z48" s="1121">
        <f t="shared" si="24"/>
        <v>0.9</v>
      </c>
      <c r="AA48" s="1122">
        <f t="shared" si="25"/>
        <v>0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  <c r="AN48" s="204"/>
    </row>
    <row r="49" spans="1:40">
      <c r="A49" s="851" t="s">
        <v>459</v>
      </c>
      <c r="B49" s="7807" t="s">
        <v>2585</v>
      </c>
      <c r="C49" s="274">
        <f t="shared" si="1"/>
        <v>2.1908757716049393E-4</v>
      </c>
      <c r="D49" s="890">
        <v>2</v>
      </c>
      <c r="E49" s="1173">
        <v>1</v>
      </c>
      <c r="F49" s="1173">
        <v>2</v>
      </c>
      <c r="G49" s="1173">
        <v>100</v>
      </c>
      <c r="H49" s="299"/>
      <c r="I49" s="299">
        <v>1.1574074074074073E-4</v>
      </c>
      <c r="J49" s="299">
        <v>1.3888888888888889E-3</v>
      </c>
      <c r="K49" s="1123" t="s">
        <v>2240</v>
      </c>
      <c r="L49" s="1143">
        <f t="shared" ref="L49:L52" si="79">L48+N48</f>
        <v>0.81562345679012349</v>
      </c>
      <c r="M49" s="1174">
        <v>1.1000000000000001</v>
      </c>
      <c r="N49" s="299">
        <f>P49*E49*F49+I49*E49*F49+J49*E49</f>
        <v>3.5483410493827175E-3</v>
      </c>
      <c r="O49" s="1175">
        <f>C49*(G49/25)</f>
        <v>8.7635030864197572E-4</v>
      </c>
      <c r="P49" s="1175">
        <f>O49*M49</f>
        <v>9.6398533950617339E-4</v>
      </c>
      <c r="Q49" s="550">
        <f t="shared" ref="Q49" si="80">IF(D49=1,125,IF(D49=2,140,IF(D49=3,164,IF(D49=4,170,IF(D49=5,173,IF(D49=6,177,IF(R49=7,200,0)))))))</f>
        <v>140</v>
      </c>
      <c r="R49" s="1176">
        <f>E49*F49*G49</f>
        <v>200</v>
      </c>
      <c r="S49" s="1118">
        <f t="shared" si="17"/>
        <v>0.2</v>
      </c>
      <c r="T49" s="1119">
        <f t="shared" si="18"/>
        <v>7.0108024691358057E-3</v>
      </c>
      <c r="U49" s="374">
        <f t="shared" si="19"/>
        <v>0</v>
      </c>
      <c r="V49" s="1120">
        <f t="shared" si="20"/>
        <v>0.2</v>
      </c>
      <c r="W49" s="376">
        <f t="shared" si="21"/>
        <v>0</v>
      </c>
      <c r="X49" s="377">
        <f t="shared" si="22"/>
        <v>0</v>
      </c>
      <c r="Y49" s="378">
        <f t="shared" si="23"/>
        <v>0</v>
      </c>
      <c r="Z49" s="1121">
        <f t="shared" si="24"/>
        <v>0</v>
      </c>
      <c r="AA49" s="1122">
        <f t="shared" si="25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  <c r="AN49" s="204"/>
    </row>
    <row r="50" spans="1:40">
      <c r="A50" s="851" t="s">
        <v>458</v>
      </c>
      <c r="B50" s="7807" t="s">
        <v>2586</v>
      </c>
      <c r="C50" s="274">
        <f t="shared" si="1"/>
        <v>1.8229166666666673E-4</v>
      </c>
      <c r="D50" s="4558">
        <v>6</v>
      </c>
      <c r="E50" s="4561">
        <v>2</v>
      </c>
      <c r="F50" s="4561">
        <v>8</v>
      </c>
      <c r="G50" s="4561">
        <v>50</v>
      </c>
      <c r="H50" s="6300"/>
      <c r="I50" s="6300">
        <v>4.6296296296296293E-4</v>
      </c>
      <c r="J50" s="6300">
        <v>0</v>
      </c>
      <c r="K50" s="4561" t="s">
        <v>2236</v>
      </c>
      <c r="L50" s="6301">
        <f t="shared" si="79"/>
        <v>0.81917179783950622</v>
      </c>
      <c r="M50" s="6302">
        <v>1</v>
      </c>
      <c r="N50" s="6301">
        <f t="shared" ref="N50" si="81">P50*E50*F50+I50*E50*F50+J50*E50</f>
        <v>1.3240740740740742E-2</v>
      </c>
      <c r="O50" s="6301">
        <f t="shared" ref="O50" si="82">C50*(G50/25)</f>
        <v>3.6458333333333346E-4</v>
      </c>
      <c r="P50" s="6301">
        <f t="shared" ref="P50" si="83">O50*M50</f>
        <v>3.6458333333333346E-4</v>
      </c>
      <c r="Q50" s="6303" t="s">
        <v>1281</v>
      </c>
      <c r="R50" s="6303">
        <f t="shared" ref="R50" si="84">E50*F50*G50</f>
        <v>800</v>
      </c>
      <c r="S50" s="1118">
        <f t="shared" si="17"/>
        <v>0.8</v>
      </c>
      <c r="T50" s="1119">
        <f t="shared" si="18"/>
        <v>2.3333333333333341E-2</v>
      </c>
      <c r="U50" s="374">
        <f t="shared" si="19"/>
        <v>0</v>
      </c>
      <c r="V50" s="1120">
        <f t="shared" si="20"/>
        <v>0</v>
      </c>
      <c r="W50" s="376">
        <f t="shared" si="21"/>
        <v>0</v>
      </c>
      <c r="X50" s="377">
        <f t="shared" si="22"/>
        <v>0</v>
      </c>
      <c r="Y50" s="378">
        <f t="shared" si="23"/>
        <v>0</v>
      </c>
      <c r="Z50" s="1121">
        <f t="shared" si="24"/>
        <v>0.8</v>
      </c>
      <c r="AA50" s="1122">
        <f t="shared" si="25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  <c r="AN50" s="204"/>
    </row>
    <row r="51" spans="1:40">
      <c r="A51" s="851" t="s">
        <v>218</v>
      </c>
      <c r="B51" s="7807" t="s">
        <v>2587</v>
      </c>
      <c r="C51" s="274">
        <f t="shared" si="1"/>
        <v>1.7682291666666674E-4</v>
      </c>
      <c r="D51" s="1237">
        <v>7</v>
      </c>
      <c r="E51" s="1187">
        <v>2</v>
      </c>
      <c r="F51" s="1187">
        <v>8</v>
      </c>
      <c r="G51" s="1187">
        <v>25</v>
      </c>
      <c r="H51" s="1051" t="s">
        <v>2375</v>
      </c>
      <c r="I51" s="1051">
        <v>4.6296296296296293E-4</v>
      </c>
      <c r="J51" s="1188">
        <v>6.9444444444444447E-4</v>
      </c>
      <c r="K51" s="2402" t="s">
        <v>2374</v>
      </c>
      <c r="L51" s="2709">
        <f t="shared" si="79"/>
        <v>0.832412538580247</v>
      </c>
      <c r="M51" s="1190">
        <v>1</v>
      </c>
      <c r="N51" s="1188">
        <f>P51*E51*F51+I51*E51*F51+J51*E51</f>
        <v>1.1201087962962963E-2</v>
      </c>
      <c r="O51" s="1191">
        <f>C51*(G51/25)*0.85</f>
        <v>1.5029947916666672E-4</v>
      </c>
      <c r="P51" s="1192">
        <f>O51*M51</f>
        <v>1.5029947916666672E-4</v>
      </c>
      <c r="Q51" s="788">
        <v>200</v>
      </c>
      <c r="R51" s="1187">
        <f>E51*F51*G51</f>
        <v>400</v>
      </c>
      <c r="S51" s="1118">
        <f t="shared" si="17"/>
        <v>0.4</v>
      </c>
      <c r="T51" s="1119">
        <f t="shared" si="18"/>
        <v>9.61916666666667E-3</v>
      </c>
      <c r="U51" s="374">
        <f t="shared" si="19"/>
        <v>0</v>
      </c>
      <c r="V51" s="1120">
        <f t="shared" si="20"/>
        <v>0</v>
      </c>
      <c r="W51" s="376">
        <f t="shared" si="21"/>
        <v>0</v>
      </c>
      <c r="X51" s="377">
        <f t="shared" si="22"/>
        <v>0</v>
      </c>
      <c r="Y51" s="378">
        <f t="shared" si="23"/>
        <v>0</v>
      </c>
      <c r="Z51" s="1121">
        <f t="shared" si="24"/>
        <v>0</v>
      </c>
      <c r="AA51" s="1122">
        <f t="shared" si="25"/>
        <v>0.4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  <c r="AN51" s="204"/>
    </row>
    <row r="52" spans="1:40" ht="14" thickBot="1">
      <c r="A52" s="851"/>
      <c r="B52" s="851"/>
      <c r="C52" s="274">
        <f t="shared" si="1"/>
        <v>0</v>
      </c>
      <c r="D52" s="1359"/>
      <c r="E52" s="1360"/>
      <c r="F52" s="1360"/>
      <c r="G52" s="1360"/>
      <c r="H52" s="1361"/>
      <c r="I52" s="1361"/>
      <c r="J52" s="1361"/>
      <c r="K52" s="336"/>
      <c r="L52" s="1893">
        <f t="shared" si="79"/>
        <v>0.84361362654320993</v>
      </c>
      <c r="M52" s="1894"/>
      <c r="N52" s="1895"/>
      <c r="O52" s="1896"/>
      <c r="P52" s="1896"/>
      <c r="Q52" s="1896"/>
      <c r="R52" s="1897">
        <f>SUM(R47:R51)</f>
        <v>2700</v>
      </c>
      <c r="S52" s="1118">
        <f t="shared" si="17"/>
        <v>0</v>
      </c>
      <c r="T52" s="1119">
        <f t="shared" si="18"/>
        <v>0</v>
      </c>
      <c r="U52" s="374">
        <f t="shared" si="19"/>
        <v>0</v>
      </c>
      <c r="V52" s="1120">
        <f t="shared" si="20"/>
        <v>0</v>
      </c>
      <c r="W52" s="376">
        <f t="shared" si="21"/>
        <v>0</v>
      </c>
      <c r="X52" s="377">
        <f t="shared" si="22"/>
        <v>0</v>
      </c>
      <c r="Y52" s="378">
        <f t="shared" si="23"/>
        <v>0</v>
      </c>
      <c r="Z52" s="1121">
        <f t="shared" si="24"/>
        <v>0</v>
      </c>
      <c r="AA52" s="1122">
        <f t="shared" si="25"/>
        <v>0</v>
      </c>
      <c r="AC52" s="231"/>
      <c r="AD52" s="231"/>
      <c r="AE52" s="231"/>
      <c r="AF52" s="231"/>
      <c r="AG52" s="231"/>
      <c r="AH52" s="231"/>
      <c r="AI52" s="213"/>
      <c r="AJ52" s="213"/>
      <c r="AK52" s="213"/>
      <c r="AL52" s="213"/>
      <c r="AM52" s="213"/>
      <c r="AN52" s="204"/>
    </row>
    <row r="53" spans="1:40" ht="12.75" customHeight="1">
      <c r="A53" s="851"/>
      <c r="B53" s="851" t="s">
        <v>461</v>
      </c>
      <c r="C53" s="274">
        <f t="shared" si="1"/>
        <v>2.2880964381720439E-4</v>
      </c>
      <c r="D53" s="920">
        <v>1</v>
      </c>
      <c r="E53" s="1157">
        <v>1</v>
      </c>
      <c r="F53" s="1157">
        <v>2</v>
      </c>
      <c r="G53" s="1157">
        <v>400</v>
      </c>
      <c r="H53" s="629"/>
      <c r="I53" s="629">
        <v>2.3148148148148146E-4</v>
      </c>
      <c r="J53" s="299">
        <v>1.3888888888888889E-3</v>
      </c>
      <c r="K53" s="632" t="s">
        <v>1494</v>
      </c>
      <c r="L53" s="7847">
        <v>0.79861111111111116</v>
      </c>
      <c r="M53" s="1158">
        <v>1</v>
      </c>
      <c r="N53" s="629">
        <f t="shared" ref="N53:N59" si="85">P53*E53*F53+I53*E53*F53+J53*E53</f>
        <v>9.1737604540023925E-3</v>
      </c>
      <c r="O53" s="1159">
        <f>C53*(G53/25)</f>
        <v>3.6609543010752703E-3</v>
      </c>
      <c r="P53" s="1159">
        <f t="shared" ref="P53:P59" si="86">O53*M53</f>
        <v>3.6609543010752703E-3</v>
      </c>
      <c r="Q53" s="635">
        <f t="shared" si="39"/>
        <v>125</v>
      </c>
      <c r="R53" s="1160">
        <f t="shared" ref="R53:R59" si="87">E53*F53*G53</f>
        <v>800</v>
      </c>
      <c r="S53" s="1118">
        <f t="shared" si="17"/>
        <v>0.8</v>
      </c>
      <c r="T53" s="1119">
        <f t="shared" si="18"/>
        <v>2.9287634408602162E-2</v>
      </c>
      <c r="U53" s="374">
        <f t="shared" si="19"/>
        <v>0.8</v>
      </c>
      <c r="V53" s="1120">
        <f t="shared" si="20"/>
        <v>0</v>
      </c>
      <c r="W53" s="376">
        <f t="shared" si="21"/>
        <v>0</v>
      </c>
      <c r="X53" s="377">
        <f t="shared" si="22"/>
        <v>0</v>
      </c>
      <c r="Y53" s="378">
        <f t="shared" si="23"/>
        <v>0</v>
      </c>
      <c r="Z53" s="1121">
        <f t="shared" si="24"/>
        <v>0</v>
      </c>
      <c r="AA53" s="1122">
        <f t="shared" si="25"/>
        <v>0</v>
      </c>
      <c r="AC53" s="231"/>
      <c r="AD53" s="231"/>
      <c r="AE53" s="231"/>
      <c r="AF53" s="231"/>
      <c r="AG53" s="231"/>
      <c r="AH53" s="231"/>
      <c r="AI53" s="213"/>
      <c r="AJ53" s="213"/>
      <c r="AK53" s="213"/>
      <c r="AL53" s="213"/>
      <c r="AM53" s="213"/>
      <c r="AN53" s="204"/>
    </row>
    <row r="54" spans="1:40" ht="12.75" customHeight="1">
      <c r="A54" s="851" t="s">
        <v>217</v>
      </c>
      <c r="B54" s="851" t="s">
        <v>461</v>
      </c>
      <c r="C54" s="274">
        <f t="shared" si="1"/>
        <v>1.8229166666666673E-4</v>
      </c>
      <c r="D54" s="7815">
        <v>6</v>
      </c>
      <c r="E54" s="7816">
        <v>1</v>
      </c>
      <c r="F54" s="7816">
        <v>12</v>
      </c>
      <c r="G54" s="7816">
        <v>80</v>
      </c>
      <c r="H54" s="7817"/>
      <c r="I54" s="7817">
        <v>1.0416666666666667E-3</v>
      </c>
      <c r="J54" s="7817">
        <v>1.3888888888888889E-3</v>
      </c>
      <c r="K54" s="7818" t="s">
        <v>2596</v>
      </c>
      <c r="L54" s="7848">
        <f t="shared" ref="L54" si="88">L53+N53</f>
        <v>0.80778487156511358</v>
      </c>
      <c r="M54" s="7819">
        <v>1</v>
      </c>
      <c r="N54" s="7817">
        <f t="shared" si="85"/>
        <v>2.1098888888888893E-2</v>
      </c>
      <c r="O54" s="7820">
        <f>C54*(G54/25)*1.03</f>
        <v>6.0083333333333364E-4</v>
      </c>
      <c r="P54" s="7821">
        <f t="shared" si="86"/>
        <v>6.0083333333333364E-4</v>
      </c>
      <c r="Q54" s="7822">
        <f t="shared" si="39"/>
        <v>177</v>
      </c>
      <c r="R54" s="7823">
        <f t="shared" si="87"/>
        <v>960</v>
      </c>
      <c r="S54" s="1118">
        <f t="shared" si="17"/>
        <v>0.96</v>
      </c>
      <c r="T54" s="1119">
        <f t="shared" si="18"/>
        <v>2.8840000000000015E-2</v>
      </c>
      <c r="U54" s="374">
        <f t="shared" si="19"/>
        <v>0</v>
      </c>
      <c r="V54" s="1120">
        <f t="shared" si="20"/>
        <v>0</v>
      </c>
      <c r="W54" s="376">
        <f t="shared" si="21"/>
        <v>0</v>
      </c>
      <c r="X54" s="377">
        <f t="shared" si="22"/>
        <v>0</v>
      </c>
      <c r="Y54" s="378">
        <f t="shared" si="23"/>
        <v>0</v>
      </c>
      <c r="Z54" s="1121">
        <f t="shared" si="24"/>
        <v>0.96</v>
      </c>
      <c r="AA54" s="1122">
        <f t="shared" si="25"/>
        <v>0</v>
      </c>
      <c r="AC54" s="231"/>
      <c r="AD54" s="231"/>
      <c r="AE54" s="231"/>
      <c r="AF54" s="231"/>
      <c r="AG54" s="231"/>
      <c r="AH54" s="231"/>
      <c r="AI54" s="213"/>
      <c r="AJ54" s="213"/>
      <c r="AK54" s="213"/>
      <c r="AL54" s="213"/>
      <c r="AM54" s="213"/>
      <c r="AN54" s="204"/>
    </row>
    <row r="55" spans="1:40" ht="12.75" customHeight="1">
      <c r="A55" s="851" t="s">
        <v>459</v>
      </c>
      <c r="B55" s="851" t="s">
        <v>461</v>
      </c>
      <c r="C55" s="274">
        <f t="shared" si="1"/>
        <v>2.1908757716049393E-4</v>
      </c>
      <c r="D55" s="890">
        <v>2</v>
      </c>
      <c r="E55" s="1173">
        <v>1</v>
      </c>
      <c r="F55" s="1173">
        <v>1</v>
      </c>
      <c r="G55" s="1173">
        <v>200</v>
      </c>
      <c r="H55" s="299"/>
      <c r="I55" s="299">
        <v>1.7361111111111112E-4</v>
      </c>
      <c r="J55" s="299">
        <v>6.9444444444444447E-4</v>
      </c>
      <c r="K55" s="1123" t="s">
        <v>1332</v>
      </c>
      <c r="L55" s="1143">
        <f>L53+N53</f>
        <v>0.80778487156511358</v>
      </c>
      <c r="M55" s="1174">
        <v>1</v>
      </c>
      <c r="N55" s="299">
        <f t="shared" si="85"/>
        <v>2.6207561728395072E-3</v>
      </c>
      <c r="O55" s="1175">
        <f>C55*(G55/25)</f>
        <v>1.7527006172839514E-3</v>
      </c>
      <c r="P55" s="1175">
        <f t="shared" si="86"/>
        <v>1.7527006172839514E-3</v>
      </c>
      <c r="Q55" s="550">
        <f t="shared" si="39"/>
        <v>140</v>
      </c>
      <c r="R55" s="1176">
        <f t="shared" si="87"/>
        <v>200</v>
      </c>
      <c r="S55" s="1118">
        <f t="shared" si="17"/>
        <v>0.2</v>
      </c>
      <c r="T55" s="1119">
        <f t="shared" si="18"/>
        <v>7.0108024691358057E-3</v>
      </c>
      <c r="U55" s="374">
        <f t="shared" si="19"/>
        <v>0</v>
      </c>
      <c r="V55" s="1120">
        <f t="shared" si="20"/>
        <v>0.2</v>
      </c>
      <c r="W55" s="376">
        <f t="shared" si="21"/>
        <v>0</v>
      </c>
      <c r="X55" s="377">
        <f t="shared" si="22"/>
        <v>0</v>
      </c>
      <c r="Y55" s="378">
        <f t="shared" si="23"/>
        <v>0</v>
      </c>
      <c r="Z55" s="1121">
        <f t="shared" si="24"/>
        <v>0</v>
      </c>
      <c r="AA55" s="1122">
        <f t="shared" si="25"/>
        <v>0</v>
      </c>
      <c r="AC55" s="231"/>
      <c r="AD55" s="231"/>
      <c r="AE55" s="231"/>
      <c r="AF55" s="231"/>
      <c r="AG55" s="231"/>
      <c r="AH55" s="231"/>
      <c r="AI55" s="213"/>
      <c r="AJ55" s="213"/>
      <c r="AK55" s="213"/>
      <c r="AL55" s="213"/>
      <c r="AM55" s="213"/>
      <c r="AN55" s="204"/>
    </row>
    <row r="56" spans="1:40" ht="12.75" customHeight="1">
      <c r="A56" s="851" t="s">
        <v>458</v>
      </c>
      <c r="B56" s="851" t="s">
        <v>461</v>
      </c>
      <c r="C56" s="274">
        <f t="shared" si="1"/>
        <v>1.8229166666666673E-4</v>
      </c>
      <c r="D56" s="6902">
        <v>6</v>
      </c>
      <c r="E56" s="7824">
        <v>1</v>
      </c>
      <c r="F56" s="7824">
        <v>16</v>
      </c>
      <c r="G56" s="7824">
        <v>75</v>
      </c>
      <c r="H56" s="6901"/>
      <c r="I56" s="6901">
        <v>1.0416666666666667E-3</v>
      </c>
      <c r="J56" s="6901">
        <v>1.3888888888888889E-3</v>
      </c>
      <c r="K56" s="7825" t="s">
        <v>2596</v>
      </c>
      <c r="L56" s="7849">
        <f t="shared" ref="L56:L57" si="89">L55+N55</f>
        <v>0.8104056277379531</v>
      </c>
      <c r="M56" s="6907">
        <v>1</v>
      </c>
      <c r="N56" s="6901">
        <f t="shared" si="85"/>
        <v>2.7068055555555557E-2</v>
      </c>
      <c r="O56" s="6908">
        <f>C56*(G56/25)*1.03</f>
        <v>5.632812500000002E-4</v>
      </c>
      <c r="P56" s="7826">
        <f t="shared" si="86"/>
        <v>5.632812500000002E-4</v>
      </c>
      <c r="Q56" s="7827">
        <f t="shared" ref="Q56:Q57" si="90">IF(D56=1,125,IF(D56=2,140,IF(D56=3,164,IF(D56=4,170,IF(D56=5,173,IF(D56=6,177,IF(R56=7,200,0)))))))</f>
        <v>177</v>
      </c>
      <c r="R56" s="7828">
        <f t="shared" si="87"/>
        <v>1200</v>
      </c>
      <c r="S56" s="1118">
        <f t="shared" si="17"/>
        <v>1.2</v>
      </c>
      <c r="T56" s="1119">
        <f t="shared" si="18"/>
        <v>3.6050000000000013E-2</v>
      </c>
      <c r="U56" s="374">
        <f t="shared" si="19"/>
        <v>0</v>
      </c>
      <c r="V56" s="1120">
        <f t="shared" si="20"/>
        <v>0</v>
      </c>
      <c r="W56" s="376">
        <f t="shared" si="21"/>
        <v>0</v>
      </c>
      <c r="X56" s="377">
        <f t="shared" si="22"/>
        <v>0</v>
      </c>
      <c r="Y56" s="378">
        <f t="shared" si="23"/>
        <v>0</v>
      </c>
      <c r="Z56" s="1121">
        <f t="shared" si="24"/>
        <v>1.2</v>
      </c>
      <c r="AA56" s="1122">
        <f t="shared" si="25"/>
        <v>0</v>
      </c>
      <c r="AC56" s="231"/>
      <c r="AD56" s="231"/>
      <c r="AE56" s="231"/>
      <c r="AF56" s="231"/>
      <c r="AG56" s="231"/>
      <c r="AH56" s="231"/>
      <c r="AI56" s="213"/>
      <c r="AJ56" s="213"/>
      <c r="AK56" s="213"/>
      <c r="AL56" s="213"/>
      <c r="AM56" s="213"/>
      <c r="AN56" s="204"/>
    </row>
    <row r="57" spans="1:40" ht="12.75" customHeight="1">
      <c r="A57" s="851" t="s">
        <v>218</v>
      </c>
      <c r="B57" s="851" t="s">
        <v>461</v>
      </c>
      <c r="C57" s="274">
        <f t="shared" si="1"/>
        <v>2.1908757716049393E-4</v>
      </c>
      <c r="D57" s="890">
        <v>2</v>
      </c>
      <c r="E57" s="1173">
        <v>1</v>
      </c>
      <c r="F57" s="1173">
        <v>1</v>
      </c>
      <c r="G57" s="1173">
        <v>200</v>
      </c>
      <c r="H57" s="299"/>
      <c r="I57" s="299">
        <v>1.7361111111111112E-4</v>
      </c>
      <c r="J57" s="299">
        <v>6.9444444444444447E-4</v>
      </c>
      <c r="K57" s="1123" t="s">
        <v>778</v>
      </c>
      <c r="L57" s="1143">
        <f t="shared" si="89"/>
        <v>0.83747368329350869</v>
      </c>
      <c r="M57" s="1174">
        <v>1</v>
      </c>
      <c r="N57" s="299">
        <f t="shared" si="85"/>
        <v>2.6207561728395072E-3</v>
      </c>
      <c r="O57" s="1175">
        <f>C57*(G57/25)</f>
        <v>1.7527006172839514E-3</v>
      </c>
      <c r="P57" s="1175">
        <f t="shared" si="86"/>
        <v>1.7527006172839514E-3</v>
      </c>
      <c r="Q57" s="550">
        <f t="shared" si="90"/>
        <v>140</v>
      </c>
      <c r="R57" s="1176">
        <f t="shared" si="87"/>
        <v>200</v>
      </c>
      <c r="S57" s="1118">
        <f t="shared" si="17"/>
        <v>0.2</v>
      </c>
      <c r="T57" s="1119">
        <f t="shared" si="18"/>
        <v>7.0108024691358057E-3</v>
      </c>
      <c r="U57" s="374">
        <f t="shared" si="19"/>
        <v>0</v>
      </c>
      <c r="V57" s="1120">
        <f t="shared" si="20"/>
        <v>0.2</v>
      </c>
      <c r="W57" s="376">
        <f t="shared" si="21"/>
        <v>0</v>
      </c>
      <c r="X57" s="377">
        <f t="shared" si="22"/>
        <v>0</v>
      </c>
      <c r="Y57" s="378">
        <f t="shared" si="23"/>
        <v>0</v>
      </c>
      <c r="Z57" s="1121">
        <f t="shared" si="24"/>
        <v>0</v>
      </c>
      <c r="AA57" s="1122">
        <f t="shared" si="25"/>
        <v>0</v>
      </c>
      <c r="AC57" s="231"/>
      <c r="AD57" s="231"/>
      <c r="AE57" s="231"/>
      <c r="AF57" s="231"/>
      <c r="AG57" s="231"/>
      <c r="AH57" s="231"/>
      <c r="AI57" s="213"/>
      <c r="AJ57" s="213"/>
      <c r="AK57" s="213"/>
      <c r="AL57" s="213"/>
      <c r="AM57" s="213"/>
      <c r="AN57" s="204"/>
    </row>
    <row r="58" spans="1:40" ht="12.75" customHeight="1">
      <c r="A58" s="851" t="s">
        <v>458</v>
      </c>
      <c r="B58" s="851" t="s">
        <v>461</v>
      </c>
      <c r="C58" s="274">
        <f t="shared" si="1"/>
        <v>1.8229166666666673E-4</v>
      </c>
      <c r="D58" s="7829">
        <v>6</v>
      </c>
      <c r="E58" s="7830">
        <v>1</v>
      </c>
      <c r="F58" s="7830">
        <v>10</v>
      </c>
      <c r="G58" s="7830">
        <v>50</v>
      </c>
      <c r="H58" s="7831"/>
      <c r="I58" s="7831">
        <v>1.0416666666666667E-3</v>
      </c>
      <c r="J58" s="7831">
        <v>1.3888888888888889E-3</v>
      </c>
      <c r="K58" s="7832" t="s">
        <v>284</v>
      </c>
      <c r="L58" s="7850">
        <f>L56+N56</f>
        <v>0.83747368329350869</v>
      </c>
      <c r="M58" s="7833">
        <v>1</v>
      </c>
      <c r="N58" s="7831">
        <f t="shared" si="85"/>
        <v>1.556076388888889E-2</v>
      </c>
      <c r="O58" s="7834">
        <f>C58*(G58/25)*1.03</f>
        <v>3.7552083333333345E-4</v>
      </c>
      <c r="P58" s="7835">
        <f t="shared" si="86"/>
        <v>3.7552083333333345E-4</v>
      </c>
      <c r="Q58" s="7836">
        <f t="shared" si="39"/>
        <v>177</v>
      </c>
      <c r="R58" s="7837">
        <f t="shared" si="87"/>
        <v>500</v>
      </c>
      <c r="S58" s="1118">
        <f t="shared" si="17"/>
        <v>0.5</v>
      </c>
      <c r="T58" s="1119">
        <f t="shared" si="18"/>
        <v>1.5020833333333337E-2</v>
      </c>
      <c r="U58" s="374">
        <f t="shared" si="19"/>
        <v>0</v>
      </c>
      <c r="V58" s="1120">
        <f t="shared" si="20"/>
        <v>0</v>
      </c>
      <c r="W58" s="376">
        <f t="shared" si="21"/>
        <v>0</v>
      </c>
      <c r="X58" s="377">
        <f t="shared" si="22"/>
        <v>0</v>
      </c>
      <c r="Y58" s="378">
        <f t="shared" si="23"/>
        <v>0</v>
      </c>
      <c r="Z58" s="1121">
        <f t="shared" si="24"/>
        <v>0.5</v>
      </c>
      <c r="AA58" s="1122">
        <f t="shared" si="25"/>
        <v>0</v>
      </c>
      <c r="AC58" s="231"/>
      <c r="AD58" s="231"/>
      <c r="AE58" s="231"/>
      <c r="AF58" s="231"/>
      <c r="AG58" s="231"/>
      <c r="AH58" s="231"/>
      <c r="AI58" s="213"/>
      <c r="AJ58" s="213"/>
      <c r="AK58" s="213"/>
      <c r="AL58" s="213"/>
      <c r="AM58" s="213"/>
      <c r="AN58" s="204"/>
    </row>
    <row r="59" spans="1:40" ht="12.75" customHeight="1">
      <c r="A59" s="851" t="s">
        <v>219</v>
      </c>
      <c r="B59" s="851" t="s">
        <v>461</v>
      </c>
      <c r="C59" s="274">
        <f t="shared" si="1"/>
        <v>1.7682291666666674E-4</v>
      </c>
      <c r="D59" s="897">
        <v>7</v>
      </c>
      <c r="E59" s="1187">
        <v>2</v>
      </c>
      <c r="F59" s="1187">
        <v>5</v>
      </c>
      <c r="G59" s="1187">
        <v>15</v>
      </c>
      <c r="H59" s="1051"/>
      <c r="I59" s="1051">
        <v>4.6296296296296293E-4</v>
      </c>
      <c r="J59" s="1188"/>
      <c r="K59" s="1898" t="s">
        <v>1938</v>
      </c>
      <c r="L59" s="2709">
        <f t="shared" si="40"/>
        <v>0.85303444718239763</v>
      </c>
      <c r="M59" s="1190">
        <v>1</v>
      </c>
      <c r="N59" s="1188">
        <f t="shared" si="85"/>
        <v>5.6905671296296296E-3</v>
      </c>
      <c r="O59" s="1191">
        <f>C59*(G59/25)</f>
        <v>1.0609375000000004E-4</v>
      </c>
      <c r="P59" s="1192">
        <f t="shared" si="86"/>
        <v>1.0609375000000004E-4</v>
      </c>
      <c r="Q59" s="788"/>
      <c r="R59" s="1193">
        <f t="shared" si="87"/>
        <v>150</v>
      </c>
      <c r="S59" s="1118">
        <f t="shared" si="17"/>
        <v>0.15</v>
      </c>
      <c r="T59" s="1119">
        <f t="shared" si="18"/>
        <v>4.2437500000000019E-3</v>
      </c>
      <c r="U59" s="374">
        <f t="shared" si="19"/>
        <v>0</v>
      </c>
      <c r="V59" s="1120">
        <f t="shared" si="20"/>
        <v>0</v>
      </c>
      <c r="W59" s="376">
        <f t="shared" si="21"/>
        <v>0</v>
      </c>
      <c r="X59" s="377">
        <f t="shared" si="22"/>
        <v>0</v>
      </c>
      <c r="Y59" s="378">
        <f t="shared" si="23"/>
        <v>0</v>
      </c>
      <c r="Z59" s="1121">
        <f t="shared" si="24"/>
        <v>0</v>
      </c>
      <c r="AA59" s="1122">
        <f t="shared" si="25"/>
        <v>0.15</v>
      </c>
      <c r="AC59" s="231"/>
      <c r="AD59" s="231"/>
      <c r="AE59" s="231"/>
      <c r="AF59" s="231"/>
      <c r="AG59" s="231"/>
      <c r="AH59" s="231"/>
      <c r="AI59" s="213"/>
      <c r="AJ59" s="213"/>
      <c r="AK59" s="213"/>
      <c r="AL59" s="213"/>
      <c r="AM59" s="213"/>
      <c r="AN59" s="204"/>
    </row>
    <row r="60" spans="1:40" ht="12.75" customHeight="1" thickBot="1">
      <c r="A60" s="460"/>
      <c r="B60" s="1125"/>
      <c r="C60" s="274">
        <f t="shared" si="1"/>
        <v>0</v>
      </c>
      <c r="D60" s="959"/>
      <c r="E60" s="642"/>
      <c r="F60" s="642"/>
      <c r="G60" s="642"/>
      <c r="H60" s="642"/>
      <c r="I60" s="642"/>
      <c r="J60" s="642"/>
      <c r="K60" s="642"/>
      <c r="L60" s="1014">
        <f t="shared" si="40"/>
        <v>0.8587250143120273</v>
      </c>
      <c r="M60" s="1184"/>
      <c r="N60" s="1185"/>
      <c r="O60" s="642"/>
      <c r="P60" s="642"/>
      <c r="Q60" s="642"/>
      <c r="R60" s="1186">
        <f>SUM(R53:R59)</f>
        <v>4010</v>
      </c>
      <c r="S60" s="1118">
        <f t="shared" si="17"/>
        <v>0</v>
      </c>
      <c r="T60" s="1119">
        <f t="shared" si="18"/>
        <v>0</v>
      </c>
      <c r="U60" s="374">
        <f t="shared" si="19"/>
        <v>0</v>
      </c>
      <c r="V60" s="1120">
        <f t="shared" si="20"/>
        <v>0</v>
      </c>
      <c r="W60" s="376">
        <f t="shared" si="21"/>
        <v>0</v>
      </c>
      <c r="X60" s="377">
        <f t="shared" si="22"/>
        <v>0</v>
      </c>
      <c r="Y60" s="378">
        <f t="shared" si="23"/>
        <v>0</v>
      </c>
      <c r="Z60" s="1121">
        <f t="shared" si="24"/>
        <v>0</v>
      </c>
      <c r="AA60" s="1122">
        <f t="shared" si="25"/>
        <v>0</v>
      </c>
      <c r="AC60" s="231"/>
      <c r="AD60" s="231"/>
      <c r="AE60" s="231"/>
      <c r="AF60" s="231"/>
      <c r="AG60" s="231"/>
      <c r="AH60" s="231"/>
      <c r="AI60" s="213"/>
      <c r="AJ60" s="213"/>
      <c r="AK60" s="213"/>
      <c r="AL60" s="213"/>
      <c r="AM60" s="213"/>
      <c r="AN60" s="204"/>
    </row>
    <row r="61" spans="1:40" ht="12.75" customHeight="1">
      <c r="A61" s="1025" t="s">
        <v>2358</v>
      </c>
      <c r="B61" s="1151" t="s">
        <v>2448</v>
      </c>
      <c r="C61" s="274">
        <f t="shared" si="1"/>
        <v>2.2880964381720439E-4</v>
      </c>
      <c r="D61" s="920">
        <v>1</v>
      </c>
      <c r="E61" s="1157">
        <v>1</v>
      </c>
      <c r="F61" s="1157">
        <v>7</v>
      </c>
      <c r="G61" s="1157">
        <v>50</v>
      </c>
      <c r="H61" s="629"/>
      <c r="I61" s="629">
        <v>2.3148148148148146E-4</v>
      </c>
      <c r="J61" s="299">
        <v>1.3888888888888889E-3</v>
      </c>
      <c r="K61" s="632" t="s">
        <v>2598</v>
      </c>
      <c r="L61" s="7847">
        <v>0.79166666666666663</v>
      </c>
      <c r="M61" s="1158">
        <v>1</v>
      </c>
      <c r="N61" s="629">
        <f>P61*E61*F61+I61*E61*F61+J61*E61</f>
        <v>6.2125942727001213E-3</v>
      </c>
      <c r="O61" s="1159">
        <f>C61*(G61/25)</f>
        <v>4.5761928763440879E-4</v>
      </c>
      <c r="P61" s="1159">
        <f>O61*M61</f>
        <v>4.5761928763440879E-4</v>
      </c>
      <c r="Q61" s="635">
        <f t="shared" si="39"/>
        <v>125</v>
      </c>
      <c r="R61" s="1160">
        <f>E61*F61*G61</f>
        <v>350</v>
      </c>
      <c r="S61" s="1118">
        <f t="shared" si="17"/>
        <v>0.35</v>
      </c>
      <c r="T61" s="1119">
        <f t="shared" si="18"/>
        <v>1.2813340053763446E-2</v>
      </c>
      <c r="U61" s="374">
        <f t="shared" si="19"/>
        <v>0.35</v>
      </c>
      <c r="V61" s="1120">
        <f t="shared" si="20"/>
        <v>0</v>
      </c>
      <c r="W61" s="376">
        <f t="shared" si="21"/>
        <v>0</v>
      </c>
      <c r="X61" s="377">
        <f t="shared" si="22"/>
        <v>0</v>
      </c>
      <c r="Y61" s="378">
        <f t="shared" si="23"/>
        <v>0</v>
      </c>
      <c r="Z61" s="1121">
        <f t="shared" si="24"/>
        <v>0</v>
      </c>
      <c r="AA61" s="1122">
        <f t="shared" si="25"/>
        <v>0</v>
      </c>
      <c r="AC61" s="231"/>
      <c r="AD61" s="231"/>
      <c r="AE61" s="231"/>
      <c r="AF61" s="231"/>
      <c r="AG61" s="231"/>
      <c r="AH61" s="231"/>
      <c r="AI61" s="213"/>
      <c r="AJ61" s="213"/>
      <c r="AK61" s="213"/>
      <c r="AL61" s="213"/>
      <c r="AM61" s="213"/>
    </row>
    <row r="62" spans="1:40" ht="12" customHeight="1" thickBot="1">
      <c r="A62" s="851" t="s">
        <v>2585</v>
      </c>
      <c r="B62" s="1124" t="s">
        <v>37</v>
      </c>
      <c r="C62" s="274">
        <f t="shared" si="1"/>
        <v>2.0247664488766629E-4</v>
      </c>
      <c r="D62" s="1197">
        <v>4</v>
      </c>
      <c r="E62" s="1177">
        <v>1</v>
      </c>
      <c r="F62" s="1177">
        <v>7</v>
      </c>
      <c r="G62" s="1177">
        <v>50</v>
      </c>
      <c r="H62" s="1178"/>
      <c r="I62" s="1178">
        <v>3.4722222222222224E-4</v>
      </c>
      <c r="J62" s="1178">
        <v>1.3888888888888889E-3</v>
      </c>
      <c r="K62" s="4512" t="s">
        <v>2598</v>
      </c>
      <c r="L62" s="7844">
        <f t="shared" si="40"/>
        <v>0.79787926093936679</v>
      </c>
      <c r="M62" s="1180">
        <v>1</v>
      </c>
      <c r="N62" s="1178">
        <f>P62*E62*F62+I62*E62*F62+J62*E62</f>
        <v>6.6541174728717723E-3</v>
      </c>
      <c r="O62" s="1181">
        <f>C62*(G62/25)</f>
        <v>4.0495328977533258E-4</v>
      </c>
      <c r="P62" s="1181">
        <f>O62*M62</f>
        <v>4.0495328977533258E-4</v>
      </c>
      <c r="Q62" s="334">
        <f t="shared" si="39"/>
        <v>170</v>
      </c>
      <c r="R62" s="1177">
        <f>E62*F62*G62</f>
        <v>350</v>
      </c>
      <c r="S62" s="1118">
        <f t="shared" si="17"/>
        <v>0.35</v>
      </c>
      <c r="T62" s="1119">
        <f t="shared" si="18"/>
        <v>1.1338692113709312E-2</v>
      </c>
      <c r="U62" s="374">
        <f t="shared" si="19"/>
        <v>0</v>
      </c>
      <c r="V62" s="1120">
        <f t="shared" si="20"/>
        <v>0</v>
      </c>
      <c r="W62" s="376">
        <f t="shared" si="21"/>
        <v>0</v>
      </c>
      <c r="X62" s="377">
        <f t="shared" si="22"/>
        <v>0.35</v>
      </c>
      <c r="Y62" s="378">
        <f t="shared" si="23"/>
        <v>0</v>
      </c>
      <c r="Z62" s="1121">
        <f t="shared" si="24"/>
        <v>0</v>
      </c>
      <c r="AA62" s="1122">
        <f t="shared" si="25"/>
        <v>0</v>
      </c>
      <c r="AC62" s="231"/>
      <c r="AD62" s="231"/>
      <c r="AE62" s="231"/>
      <c r="AF62" s="231"/>
      <c r="AG62" s="231"/>
      <c r="AH62" s="231"/>
      <c r="AI62" s="213"/>
      <c r="AJ62" s="213"/>
      <c r="AK62" s="213"/>
      <c r="AL62" s="213"/>
      <c r="AM62" s="213"/>
    </row>
    <row r="63" spans="1:40" ht="12.75" customHeight="1">
      <c r="A63" s="1025" t="s">
        <v>2587</v>
      </c>
      <c r="B63" s="1151" t="s">
        <v>2586</v>
      </c>
      <c r="C63" s="274">
        <f t="shared" si="1"/>
        <v>1.8229166666666673E-4</v>
      </c>
      <c r="D63" s="1144">
        <v>6</v>
      </c>
      <c r="E63" s="1167">
        <v>1</v>
      </c>
      <c r="F63" s="1167">
        <v>7</v>
      </c>
      <c r="G63" s="1167">
        <v>50</v>
      </c>
      <c r="H63" s="1052"/>
      <c r="I63" s="1052">
        <v>2.3148148148148146E-4</v>
      </c>
      <c r="J63" s="1052">
        <v>1.3888888888888889E-3</v>
      </c>
      <c r="K63" s="7851" t="s">
        <v>2598</v>
      </c>
      <c r="L63" s="7843">
        <f t="shared" si="40"/>
        <v>0.8045333784122386</v>
      </c>
      <c r="M63" s="1168">
        <v>1</v>
      </c>
      <c r="N63" s="1052">
        <f>P63*E63*F63+I63*E63*F63+J63*E63</f>
        <v>5.5613425925925934E-3</v>
      </c>
      <c r="O63" s="1169">
        <f>C63*(G63/25)</f>
        <v>3.6458333333333346E-4</v>
      </c>
      <c r="P63" s="1170">
        <f>O63*M63</f>
        <v>3.6458333333333346E-4</v>
      </c>
      <c r="Q63" s="1171">
        <f t="shared" si="39"/>
        <v>177</v>
      </c>
      <c r="R63" s="1172">
        <f>E63*F63*G63</f>
        <v>350</v>
      </c>
      <c r="S63" s="1118">
        <f t="shared" si="17"/>
        <v>0.35</v>
      </c>
      <c r="T63" s="1119">
        <f t="shared" si="18"/>
        <v>1.0208333333333337E-2</v>
      </c>
      <c r="U63" s="374">
        <f t="shared" si="19"/>
        <v>0</v>
      </c>
      <c r="V63" s="1120">
        <f t="shared" si="20"/>
        <v>0</v>
      </c>
      <c r="W63" s="376">
        <f t="shared" si="21"/>
        <v>0</v>
      </c>
      <c r="X63" s="377">
        <f t="shared" si="22"/>
        <v>0</v>
      </c>
      <c r="Y63" s="378">
        <f t="shared" si="23"/>
        <v>0</v>
      </c>
      <c r="Z63" s="1121">
        <f t="shared" si="24"/>
        <v>0.35</v>
      </c>
      <c r="AA63" s="1122">
        <f t="shared" si="25"/>
        <v>0</v>
      </c>
      <c r="AC63" s="231"/>
      <c r="AD63" s="231"/>
      <c r="AE63" s="231"/>
      <c r="AF63" s="231"/>
      <c r="AG63" s="231"/>
      <c r="AH63" s="231"/>
      <c r="AI63" s="213"/>
      <c r="AJ63" s="213"/>
      <c r="AK63" s="213"/>
      <c r="AL63" s="213"/>
      <c r="AM63" s="213"/>
    </row>
    <row r="64" spans="1:40" ht="10" customHeight="1">
      <c r="A64" s="851" t="s">
        <v>2588</v>
      </c>
      <c r="B64" s="1124" t="s">
        <v>37</v>
      </c>
      <c r="C64" s="274">
        <f t="shared" si="1"/>
        <v>1.7682291666666674E-4</v>
      </c>
      <c r="D64" s="897">
        <v>7</v>
      </c>
      <c r="E64" s="1187">
        <v>4</v>
      </c>
      <c r="F64" s="1187">
        <v>4</v>
      </c>
      <c r="G64" s="1187">
        <v>25</v>
      </c>
      <c r="H64" s="1051"/>
      <c r="I64" s="1051">
        <v>1.736111111111111E-3</v>
      </c>
      <c r="J64" s="1188">
        <v>3.472222222222222E-3</v>
      </c>
      <c r="K64" s="438" t="s">
        <v>2599</v>
      </c>
      <c r="L64" s="2709">
        <f t="shared" si="40"/>
        <v>0.81009472100483115</v>
      </c>
      <c r="M64" s="1190">
        <v>0.9</v>
      </c>
      <c r="N64" s="1188">
        <f>P64*E64*F64+I64*E64*F64+J64*E64</f>
        <v>4.4212916666666664E-2</v>
      </c>
      <c r="O64" s="1191">
        <f>C64*(G64/25)</f>
        <v>1.7682291666666674E-4</v>
      </c>
      <c r="P64" s="1192">
        <f>O64*M64</f>
        <v>1.5914062500000008E-4</v>
      </c>
      <c r="Q64" s="788"/>
      <c r="R64" s="1193">
        <f>E64*F64*G64</f>
        <v>400</v>
      </c>
      <c r="S64" s="1118">
        <f t="shared" si="17"/>
        <v>0.4</v>
      </c>
      <c r="T64" s="1119">
        <f t="shared" si="18"/>
        <v>1.1316666666666671E-2</v>
      </c>
      <c r="U64" s="374">
        <f t="shared" si="19"/>
        <v>0</v>
      </c>
      <c r="V64" s="1120">
        <f t="shared" si="20"/>
        <v>0</v>
      </c>
      <c r="W64" s="376">
        <f t="shared" si="21"/>
        <v>0</v>
      </c>
      <c r="X64" s="377">
        <f t="shared" si="22"/>
        <v>0</v>
      </c>
      <c r="Y64" s="378">
        <f t="shared" si="23"/>
        <v>0</v>
      </c>
      <c r="Z64" s="1121">
        <f t="shared" si="24"/>
        <v>0</v>
      </c>
      <c r="AA64" s="1122">
        <f t="shared" si="25"/>
        <v>0.4</v>
      </c>
      <c r="AC64" s="231"/>
      <c r="AD64" s="231"/>
      <c r="AE64" s="231"/>
      <c r="AF64" s="231"/>
      <c r="AG64" s="231"/>
      <c r="AH64" s="231"/>
      <c r="AI64" s="213"/>
      <c r="AJ64" s="213"/>
      <c r="AK64" s="213"/>
      <c r="AL64" s="213"/>
      <c r="AM64" s="213"/>
    </row>
    <row r="65" spans="1:40" ht="13" customHeight="1">
      <c r="A65" s="851" t="s">
        <v>2597</v>
      </c>
      <c r="B65" s="1124" t="s">
        <v>2563</v>
      </c>
      <c r="C65" s="274">
        <f t="shared" si="1"/>
        <v>1.7682291666666674E-4</v>
      </c>
      <c r="D65" s="897">
        <v>7</v>
      </c>
      <c r="E65" s="1187">
        <v>4</v>
      </c>
      <c r="F65" s="1187">
        <v>4</v>
      </c>
      <c r="G65" s="1187">
        <v>15</v>
      </c>
      <c r="H65" s="1051"/>
      <c r="I65" s="1051">
        <v>6.9444444444444447E-4</v>
      </c>
      <c r="J65" s="1188">
        <v>0</v>
      </c>
      <c r="K65" s="2402" t="s">
        <v>2599</v>
      </c>
      <c r="L65" s="2709">
        <f t="shared" si="40"/>
        <v>0.85430763767149787</v>
      </c>
      <c r="M65" s="1190">
        <v>0.9</v>
      </c>
      <c r="N65" s="1188">
        <f>P65*E65*F65+I65*E65*F65+J65*E65</f>
        <v>1.2638861111111113E-2</v>
      </c>
      <c r="O65" s="1191">
        <f>C65*(G65/25)</f>
        <v>1.0609375000000004E-4</v>
      </c>
      <c r="P65" s="1192">
        <f>O65*M65</f>
        <v>9.5484375000000042E-5</v>
      </c>
      <c r="Q65" s="788"/>
      <c r="R65" s="1193">
        <f>E65*F65*G65</f>
        <v>240</v>
      </c>
      <c r="S65" s="1118">
        <f t="shared" si="17"/>
        <v>0.24</v>
      </c>
      <c r="T65" s="1119">
        <f t="shared" si="18"/>
        <v>6.7900000000000026E-3</v>
      </c>
      <c r="U65" s="374">
        <f t="shared" si="19"/>
        <v>0</v>
      </c>
      <c r="V65" s="1120">
        <f t="shared" si="20"/>
        <v>0</v>
      </c>
      <c r="W65" s="376">
        <f t="shared" si="21"/>
        <v>0</v>
      </c>
      <c r="X65" s="377">
        <f t="shared" si="22"/>
        <v>0</v>
      </c>
      <c r="Y65" s="378">
        <f t="shared" si="23"/>
        <v>0</v>
      </c>
      <c r="Z65" s="1121">
        <f t="shared" si="24"/>
        <v>0</v>
      </c>
      <c r="AA65" s="1122">
        <f t="shared" si="25"/>
        <v>0.24</v>
      </c>
      <c r="AC65" s="231"/>
      <c r="AD65" s="231"/>
      <c r="AE65" s="231"/>
      <c r="AF65" s="231"/>
      <c r="AG65" s="231"/>
      <c r="AH65" s="231"/>
      <c r="AI65" s="213"/>
      <c r="AJ65" s="213"/>
      <c r="AK65" s="213"/>
      <c r="AL65" s="213"/>
      <c r="AM65" s="213"/>
    </row>
    <row r="66" spans="1:40" ht="13" customHeight="1" thickBot="1">
      <c r="A66" s="1037"/>
      <c r="B66" s="1125"/>
      <c r="C66" s="274">
        <f t="shared" si="1"/>
        <v>0</v>
      </c>
      <c r="D66" s="959"/>
      <c r="E66" s="642"/>
      <c r="F66" s="642"/>
      <c r="G66" s="642"/>
      <c r="H66" s="642"/>
      <c r="I66" s="642"/>
      <c r="J66" s="642"/>
      <c r="K66" s="642"/>
      <c r="L66" s="1014">
        <f t="shared" ref="L66" si="91">L65+N65</f>
        <v>0.86694649878260899</v>
      </c>
      <c r="M66" s="1184"/>
      <c r="N66" s="1185"/>
      <c r="O66" s="642"/>
      <c r="P66" s="642"/>
      <c r="Q66" s="642"/>
      <c r="R66" s="1186">
        <f>SUM(R61:R65)</f>
        <v>1690</v>
      </c>
      <c r="S66" s="1118">
        <f t="shared" si="17"/>
        <v>0</v>
      </c>
      <c r="T66" s="1119">
        <f t="shared" si="18"/>
        <v>0</v>
      </c>
      <c r="U66" s="374">
        <f t="shared" si="19"/>
        <v>0</v>
      </c>
      <c r="V66" s="1120">
        <f t="shared" si="20"/>
        <v>0</v>
      </c>
      <c r="W66" s="376">
        <f t="shared" si="21"/>
        <v>0</v>
      </c>
      <c r="X66" s="377">
        <f t="shared" si="22"/>
        <v>0</v>
      </c>
      <c r="Y66" s="378">
        <f t="shared" si="23"/>
        <v>0</v>
      </c>
      <c r="Z66" s="1121">
        <f t="shared" si="24"/>
        <v>0</v>
      </c>
      <c r="AA66" s="1122">
        <f t="shared" si="25"/>
        <v>0</v>
      </c>
      <c r="AC66" s="231"/>
      <c r="AD66" s="231"/>
      <c r="AE66" s="231"/>
      <c r="AF66" s="231"/>
      <c r="AG66" s="231"/>
      <c r="AH66" s="231"/>
      <c r="AI66" s="213"/>
      <c r="AJ66" s="213"/>
      <c r="AK66" s="213"/>
      <c r="AL66" s="213"/>
      <c r="AM66" s="213"/>
    </row>
    <row r="67" spans="1:40" ht="12.75" customHeight="1" thickTop="1" thickBot="1">
      <c r="A67" s="4534" t="s">
        <v>219</v>
      </c>
      <c r="B67" s="204"/>
      <c r="C67" s="1126"/>
      <c r="D67" s="4444"/>
      <c r="E67" s="4521">
        <f>U67*100000/$Q$67</f>
        <v>10.943579766536965</v>
      </c>
      <c r="F67" s="4522">
        <f t="shared" ref="F67:K67" si="92">V67*100000/$Q$67</f>
        <v>19.94163424124514</v>
      </c>
      <c r="G67" s="4523">
        <f t="shared" si="92"/>
        <v>8.7548638132295729</v>
      </c>
      <c r="H67" s="4524">
        <f t="shared" si="92"/>
        <v>9.97081712062257</v>
      </c>
      <c r="I67" s="4525">
        <f t="shared" si="92"/>
        <v>0</v>
      </c>
      <c r="J67" s="4526">
        <f t="shared" si="92"/>
        <v>32.393882741569385</v>
      </c>
      <c r="K67" s="4527">
        <f t="shared" si="92"/>
        <v>17.996108949416342</v>
      </c>
      <c r="L67" s="6958" t="s">
        <v>1922</v>
      </c>
      <c r="M67" s="4520"/>
      <c r="N67" s="2379"/>
      <c r="O67" s="2379"/>
      <c r="P67" s="2379"/>
      <c r="Q67" s="7871">
        <f>R60+R66+R52+R46+R33+R26+R19+R12</f>
        <v>20560</v>
      </c>
      <c r="R67" s="7872"/>
      <c r="S67" s="238"/>
      <c r="T67" s="1129"/>
      <c r="U67" s="240">
        <f>SUM(U6:U66)</f>
        <v>2.25</v>
      </c>
      <c r="V67" s="240">
        <f>SUM(V6:V66)</f>
        <v>4.1000000000000005</v>
      </c>
      <c r="W67" s="240">
        <f>SUM(W6:W66)</f>
        <v>1.8</v>
      </c>
      <c r="X67" s="240">
        <f>SUM(X6:X66)</f>
        <v>2.0500000000000003</v>
      </c>
      <c r="Y67" s="240">
        <f>SUM(Y6:Y66)</f>
        <v>0</v>
      </c>
      <c r="Z67" s="240">
        <f>SUM(Z5:Z66)</f>
        <v>6.6601822916666666</v>
      </c>
      <c r="AA67" s="240">
        <f>SUM(AA6:AA66)</f>
        <v>3.7</v>
      </c>
      <c r="AB67" s="565">
        <f>SUM(U67:AA67)</f>
        <v>20.560182291666667</v>
      </c>
      <c r="AC67" s="231">
        <v>0</v>
      </c>
      <c r="AD67" s="231">
        <v>0</v>
      </c>
      <c r="AE67" s="222"/>
      <c r="AF67" s="222"/>
      <c r="AG67" s="222"/>
      <c r="AH67" s="222"/>
      <c r="AI67" s="222"/>
    </row>
    <row r="68" spans="1:40" ht="13" customHeight="1" thickBot="1">
      <c r="A68" s="144" t="s">
        <v>138</v>
      </c>
      <c r="B68" s="144"/>
      <c r="C68" s="144"/>
      <c r="D68" s="4444"/>
      <c r="E68" s="4521">
        <f>E67*15/100</f>
        <v>1.6415369649805447</v>
      </c>
      <c r="F68" s="4522">
        <f t="shared" ref="F68:J68" si="93">F67*15/100</f>
        <v>2.9912451361867709</v>
      </c>
      <c r="G68" s="4523">
        <f t="shared" si="93"/>
        <v>1.3132295719844358</v>
      </c>
      <c r="H68" s="4524">
        <f t="shared" si="93"/>
        <v>1.4956225680933855</v>
      </c>
      <c r="I68" s="4525">
        <f t="shared" si="93"/>
        <v>0</v>
      </c>
      <c r="J68" s="4526">
        <f t="shared" si="93"/>
        <v>4.8590824112354083</v>
      </c>
      <c r="K68" s="4527">
        <f>K67*15/100</f>
        <v>2.6994163424124515</v>
      </c>
      <c r="L68" s="6958" t="s">
        <v>1252</v>
      </c>
      <c r="M68" s="144"/>
      <c r="N68" s="144"/>
      <c r="O68" s="144"/>
      <c r="P68" s="144"/>
      <c r="Q68" s="144"/>
      <c r="R68" s="144"/>
      <c r="S68" s="144"/>
      <c r="T68" s="144"/>
      <c r="U68" s="566">
        <f>IF(U67&gt;0,U67,#REF!)</f>
        <v>2.25</v>
      </c>
      <c r="V68" s="566">
        <f>IF(V67&gt;0,V67,#REF!)</f>
        <v>4.1000000000000005</v>
      </c>
      <c r="W68" s="566">
        <f>IF(W67&gt;0,W67,#REF!)</f>
        <v>1.8</v>
      </c>
      <c r="X68" s="566">
        <f>IF(X67&gt;0,X67,#REF!)</f>
        <v>2.0500000000000003</v>
      </c>
      <c r="Y68" s="566" t="e">
        <f>IF(Y67&gt;0,Y67,#REF!)</f>
        <v>#REF!</v>
      </c>
      <c r="Z68" s="566">
        <f>IF(Z67&gt;0,Z67,#REF!)</f>
        <v>6.6601822916666666</v>
      </c>
      <c r="AA68" s="566">
        <f>IF(AA67&gt;0,AA67,#REF!)</f>
        <v>3.7</v>
      </c>
      <c r="AB68" s="144"/>
      <c r="AC68" s="213"/>
      <c r="AD68" s="213"/>
      <c r="AE68" s="222"/>
      <c r="AF68" s="222"/>
      <c r="AG68" s="222"/>
      <c r="AH68" s="222"/>
      <c r="AI68" s="222"/>
      <c r="AJ68" s="213"/>
      <c r="AK68" s="213"/>
      <c r="AL68" s="213"/>
      <c r="AM68" s="213"/>
    </row>
    <row r="69" spans="1:40" ht="12.75" customHeight="1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999"/>
      <c r="M69" s="144"/>
      <c r="N69" s="144"/>
      <c r="O69" s="144"/>
      <c r="P69" s="144"/>
      <c r="Q69" s="144"/>
      <c r="R69" s="144"/>
      <c r="S69" s="144"/>
      <c r="T69" s="144"/>
      <c r="U69" s="566" t="e">
        <f>IF(#REF!&gt;0,#REF!,U68)</f>
        <v>#REF!</v>
      </c>
      <c r="V69" s="566" t="e">
        <f>IF(#REF!&gt;0,#REF!,V68)</f>
        <v>#REF!</v>
      </c>
      <c r="W69" s="566" t="e">
        <f>IF(#REF!&gt;0,#REF!,W68)</f>
        <v>#REF!</v>
      </c>
      <c r="X69" s="566" t="e">
        <f>IF(#REF!&gt;0,#REF!,X68)</f>
        <v>#REF!</v>
      </c>
      <c r="Y69" s="566" t="e">
        <f>IF(#REF!&gt;0,#REF!,Y68)</f>
        <v>#REF!</v>
      </c>
      <c r="Z69" s="566" t="e">
        <f>IF(#REF!&gt;0,#REF!,Z68)</f>
        <v>#REF!</v>
      </c>
      <c r="AA69" s="566" t="e">
        <f>IF(#REF!&gt;0,#REF!,AA68)</f>
        <v>#REF!</v>
      </c>
      <c r="AB69" s="144"/>
      <c r="AE69" s="222"/>
      <c r="AF69" s="222"/>
      <c r="AG69" s="222"/>
      <c r="AH69" s="222"/>
      <c r="AI69" s="222"/>
      <c r="AJ69" s="204"/>
      <c r="AK69" s="204"/>
      <c r="AL69" s="204"/>
      <c r="AM69" s="204"/>
      <c r="AN69" s="204"/>
    </row>
    <row r="70" spans="1:40" ht="12.75" customHeight="1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999"/>
      <c r="M70" s="144"/>
      <c r="N70" s="144"/>
      <c r="O70" s="144"/>
      <c r="P70" s="144"/>
      <c r="Q70" s="144"/>
      <c r="R70" s="144"/>
      <c r="S70" s="144"/>
      <c r="T70" s="144"/>
      <c r="U70" s="566" t="e">
        <f>IF(U69&gt;0,U69,#REF!)</f>
        <v>#REF!</v>
      </c>
      <c r="V70" s="566" t="e">
        <f>IF(V69&gt;0,V69,#REF!)</f>
        <v>#REF!</v>
      </c>
      <c r="W70" s="566" t="e">
        <f>IF(W69&gt;0,W69,#REF!)</f>
        <v>#REF!</v>
      </c>
      <c r="X70" s="566" t="e">
        <f>IF(X69&gt;0,X69,#REF!)</f>
        <v>#REF!</v>
      </c>
      <c r="Y70" s="566" t="e">
        <f>IF(Y69&gt;0,Y69,#REF!)</f>
        <v>#REF!</v>
      </c>
      <c r="Z70" s="566" t="e">
        <f>IF(Z69&gt;0,Z69,#REF!)</f>
        <v>#REF!</v>
      </c>
      <c r="AA70" s="566" t="e">
        <f>IF(AA69&gt;0,AA69,#REF!)</f>
        <v>#REF!</v>
      </c>
      <c r="AB70" s="144"/>
      <c r="AJ70" s="204"/>
      <c r="AK70" s="204"/>
      <c r="AL70" s="204"/>
      <c r="AM70" s="204"/>
      <c r="AN70" s="204"/>
    </row>
    <row r="71" spans="1:40" ht="12.75" customHeight="1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999"/>
      <c r="M71" s="144"/>
      <c r="N71" s="144"/>
      <c r="O71" s="144"/>
      <c r="P71" s="144"/>
      <c r="Q71" s="144"/>
      <c r="R71" s="144"/>
      <c r="S71" s="144"/>
      <c r="T71" s="144"/>
      <c r="U71" s="566" t="e">
        <f t="shared" ref="U71:AA83" si="94">IF(U70&gt;0,U70,U69)</f>
        <v>#REF!</v>
      </c>
      <c r="V71" s="566" t="e">
        <f t="shared" si="94"/>
        <v>#REF!</v>
      </c>
      <c r="W71" s="566" t="e">
        <f t="shared" si="94"/>
        <v>#REF!</v>
      </c>
      <c r="X71" s="566" t="e">
        <f t="shared" si="94"/>
        <v>#REF!</v>
      </c>
      <c r="Y71" s="566" t="e">
        <f t="shared" si="94"/>
        <v>#REF!</v>
      </c>
      <c r="Z71" s="566" t="e">
        <f t="shared" si="94"/>
        <v>#REF!</v>
      </c>
      <c r="AA71" s="566" t="e">
        <f t="shared" si="94"/>
        <v>#REF!</v>
      </c>
      <c r="AB71" s="144"/>
      <c r="AC71" s="221"/>
      <c r="AD71" s="222"/>
      <c r="AE71" s="222"/>
      <c r="AF71" s="222"/>
      <c r="AG71" s="222"/>
      <c r="AH71" s="222"/>
      <c r="AI71" s="220"/>
      <c r="AJ71" s="204"/>
      <c r="AK71" s="204"/>
      <c r="AL71" s="204"/>
      <c r="AM71" s="204"/>
      <c r="AN71" s="204"/>
    </row>
    <row r="72" spans="1:40" ht="12.75" customHeight="1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999"/>
      <c r="M72" s="144"/>
      <c r="N72" s="144"/>
      <c r="O72" s="144"/>
      <c r="P72" s="144"/>
      <c r="Q72" s="144"/>
      <c r="R72" s="144"/>
      <c r="S72" s="144"/>
      <c r="T72" s="144"/>
      <c r="U72" s="566" t="e">
        <f t="shared" si="94"/>
        <v>#REF!</v>
      </c>
      <c r="V72" s="566" t="e">
        <f t="shared" si="94"/>
        <v>#REF!</v>
      </c>
      <c r="W72" s="566" t="e">
        <f t="shared" si="94"/>
        <v>#REF!</v>
      </c>
      <c r="X72" s="566" t="e">
        <f t="shared" si="94"/>
        <v>#REF!</v>
      </c>
      <c r="Y72" s="566" t="e">
        <f t="shared" si="94"/>
        <v>#REF!</v>
      </c>
      <c r="Z72" s="566" t="e">
        <f t="shared" si="94"/>
        <v>#REF!</v>
      </c>
      <c r="AA72" s="566" t="e">
        <f t="shared" si="94"/>
        <v>#REF!</v>
      </c>
      <c r="AB72" s="144"/>
      <c r="AC72" s="231" t="s">
        <v>193</v>
      </c>
      <c r="AD72" s="227"/>
      <c r="AE72" s="227"/>
      <c r="AF72" s="227"/>
      <c r="AG72" s="227"/>
      <c r="AH72" s="227"/>
      <c r="AI72" s="225"/>
      <c r="AJ72" s="204"/>
      <c r="AK72" s="204"/>
      <c r="AL72" s="204"/>
      <c r="AM72" s="204"/>
      <c r="AN72" s="204"/>
    </row>
    <row r="73" spans="1:40" ht="12.75" customHeight="1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999"/>
      <c r="M73" s="144"/>
      <c r="N73" s="144"/>
      <c r="O73" s="144"/>
      <c r="P73" s="144"/>
      <c r="Q73" s="144"/>
      <c r="R73" s="144"/>
      <c r="S73" s="144"/>
      <c r="T73" s="144"/>
      <c r="U73" s="566" t="e">
        <f t="shared" si="94"/>
        <v>#REF!</v>
      </c>
      <c r="V73" s="566" t="e">
        <f t="shared" si="94"/>
        <v>#REF!</v>
      </c>
      <c r="W73" s="566" t="e">
        <f t="shared" si="94"/>
        <v>#REF!</v>
      </c>
      <c r="X73" s="566" t="e">
        <f t="shared" si="94"/>
        <v>#REF!</v>
      </c>
      <c r="Y73" s="566" t="e">
        <f t="shared" si="94"/>
        <v>#REF!</v>
      </c>
      <c r="Z73" s="566" t="e">
        <f t="shared" si="94"/>
        <v>#REF!</v>
      </c>
      <c r="AA73" s="566" t="e">
        <f t="shared" si="94"/>
        <v>#REF!</v>
      </c>
      <c r="AB73" s="144"/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25"/>
      <c r="AJ73" s="204"/>
      <c r="AK73" s="204"/>
      <c r="AL73" s="204"/>
      <c r="AM73" s="204"/>
      <c r="AN73" s="204"/>
    </row>
    <row r="74" spans="1:40" ht="12.75" customHeight="1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999"/>
      <c r="M74" s="144"/>
      <c r="N74" s="144"/>
      <c r="O74" s="144"/>
      <c r="P74" s="144"/>
      <c r="Q74" s="144"/>
      <c r="R74" s="144"/>
      <c r="S74" s="144"/>
      <c r="T74" s="144"/>
      <c r="U74" s="566" t="e">
        <f t="shared" si="94"/>
        <v>#REF!</v>
      </c>
      <c r="V74" s="566" t="e">
        <f t="shared" si="94"/>
        <v>#REF!</v>
      </c>
      <c r="W74" s="566" t="e">
        <f t="shared" si="94"/>
        <v>#REF!</v>
      </c>
      <c r="X74" s="566" t="e">
        <f t="shared" si="94"/>
        <v>#REF!</v>
      </c>
      <c r="Y74" s="566" t="e">
        <f t="shared" si="94"/>
        <v>#REF!</v>
      </c>
      <c r="Z74" s="566" t="e">
        <f t="shared" si="94"/>
        <v>#REF!</v>
      </c>
      <c r="AA74" s="566" t="e">
        <f t="shared" si="94"/>
        <v>#REF!</v>
      </c>
      <c r="AB74" s="144"/>
      <c r="AC74" s="231"/>
      <c r="AD74" s="231"/>
      <c r="AE74" s="231"/>
      <c r="AF74" s="231"/>
      <c r="AG74" s="231"/>
      <c r="AH74" s="231"/>
      <c r="AI74" s="225"/>
      <c r="AJ74" s="204"/>
      <c r="AK74" s="204"/>
      <c r="AL74" s="204"/>
      <c r="AM74" s="204"/>
      <c r="AN74" s="204"/>
    </row>
    <row r="75" spans="1:40" ht="12.75" customHeight="1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999"/>
      <c r="M75" s="144"/>
      <c r="N75" s="144"/>
      <c r="O75" s="144"/>
      <c r="P75" s="144"/>
      <c r="Q75" s="144"/>
      <c r="R75" s="144"/>
      <c r="S75" s="144"/>
      <c r="T75" s="144"/>
      <c r="U75" s="566" t="e">
        <f t="shared" si="94"/>
        <v>#REF!</v>
      </c>
      <c r="V75" s="566" t="e">
        <f t="shared" si="94"/>
        <v>#REF!</v>
      </c>
      <c r="W75" s="566" t="e">
        <f t="shared" si="94"/>
        <v>#REF!</v>
      </c>
      <c r="X75" s="566" t="e">
        <f t="shared" si="94"/>
        <v>#REF!</v>
      </c>
      <c r="Y75" s="566" t="e">
        <f t="shared" si="94"/>
        <v>#REF!</v>
      </c>
      <c r="Z75" s="566" t="e">
        <f t="shared" si="94"/>
        <v>#REF!</v>
      </c>
      <c r="AA75" s="566" t="e">
        <f t="shared" si="94"/>
        <v>#REF!</v>
      </c>
      <c r="AB75" s="144"/>
      <c r="AC75" s="231"/>
      <c r="AD75" s="231"/>
      <c r="AE75" s="231"/>
      <c r="AF75" s="231"/>
      <c r="AG75" s="231"/>
      <c r="AH75" s="231"/>
      <c r="AI75" s="225"/>
      <c r="AJ75" s="204"/>
      <c r="AK75" s="204"/>
      <c r="AL75" s="204"/>
      <c r="AM75" s="204"/>
      <c r="AN75" s="204"/>
    </row>
    <row r="76" spans="1:40" ht="12.75" customHeight="1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999"/>
      <c r="M76" s="144"/>
      <c r="N76" s="144"/>
      <c r="O76" s="144"/>
      <c r="P76" s="144"/>
      <c r="Q76" s="144"/>
      <c r="R76" s="144"/>
      <c r="S76" s="144"/>
      <c r="T76" s="144"/>
      <c r="U76" s="566" t="e">
        <f t="shared" si="94"/>
        <v>#REF!</v>
      </c>
      <c r="V76" s="566" t="e">
        <f t="shared" si="94"/>
        <v>#REF!</v>
      </c>
      <c r="W76" s="566" t="e">
        <f t="shared" si="94"/>
        <v>#REF!</v>
      </c>
      <c r="X76" s="566" t="e">
        <f t="shared" si="94"/>
        <v>#REF!</v>
      </c>
      <c r="Y76" s="566" t="e">
        <f t="shared" si="94"/>
        <v>#REF!</v>
      </c>
      <c r="Z76" s="566" t="e">
        <f t="shared" si="94"/>
        <v>#REF!</v>
      </c>
      <c r="AA76" s="566" t="e">
        <f t="shared" si="94"/>
        <v>#REF!</v>
      </c>
      <c r="AB76" s="144"/>
      <c r="AC76" s="231">
        <v>0</v>
      </c>
      <c r="AD76" s="231">
        <v>0</v>
      </c>
      <c r="AE76" s="231">
        <v>0</v>
      </c>
      <c r="AF76" s="231">
        <v>0</v>
      </c>
      <c r="AG76" s="231">
        <v>0</v>
      </c>
      <c r="AH76" s="231">
        <v>0</v>
      </c>
      <c r="AI76" s="225"/>
      <c r="AJ76" s="204"/>
      <c r="AK76" s="204"/>
      <c r="AL76" s="204"/>
      <c r="AM76" s="204"/>
      <c r="AN76" s="204"/>
    </row>
    <row r="77" spans="1:40" ht="16.5" customHeight="1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999"/>
      <c r="M77" s="144"/>
      <c r="N77" s="144"/>
      <c r="O77" s="144"/>
      <c r="P77" s="144"/>
      <c r="Q77" s="144"/>
      <c r="R77" s="144"/>
      <c r="S77" s="144"/>
      <c r="T77" s="144"/>
      <c r="U77" s="566" t="e">
        <f t="shared" si="94"/>
        <v>#REF!</v>
      </c>
      <c r="V77" s="566" t="e">
        <f t="shared" si="94"/>
        <v>#REF!</v>
      </c>
      <c r="W77" s="566" t="e">
        <f t="shared" si="94"/>
        <v>#REF!</v>
      </c>
      <c r="X77" s="566" t="e">
        <f t="shared" si="94"/>
        <v>#REF!</v>
      </c>
      <c r="Y77" s="566" t="e">
        <f t="shared" si="94"/>
        <v>#REF!</v>
      </c>
      <c r="Z77" s="566" t="e">
        <f t="shared" si="94"/>
        <v>#REF!</v>
      </c>
      <c r="AA77" s="566" t="e">
        <f t="shared" si="94"/>
        <v>#REF!</v>
      </c>
      <c r="AB77" s="144"/>
      <c r="AC77" s="231">
        <v>0</v>
      </c>
      <c r="AD77" s="231">
        <v>0</v>
      </c>
      <c r="AE77" s="231">
        <v>0</v>
      </c>
      <c r="AF77" s="231">
        <v>0</v>
      </c>
      <c r="AG77" s="231">
        <v>0</v>
      </c>
      <c r="AH77" s="231">
        <v>0</v>
      </c>
      <c r="AI77" s="213"/>
      <c r="AJ77" s="204"/>
      <c r="AK77" s="204"/>
      <c r="AL77" s="204"/>
      <c r="AM77" s="204"/>
      <c r="AN77" s="204"/>
    </row>
    <row r="78" spans="1:40" ht="20.25" customHeight="1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999"/>
      <c r="M78" s="144"/>
      <c r="N78" s="144"/>
      <c r="O78" s="144"/>
      <c r="P78" s="144"/>
      <c r="Q78" s="144"/>
      <c r="R78" s="144"/>
      <c r="S78" s="144"/>
      <c r="T78" s="144"/>
      <c r="U78" s="566" t="e">
        <f t="shared" si="94"/>
        <v>#REF!</v>
      </c>
      <c r="V78" s="566" t="e">
        <f t="shared" si="94"/>
        <v>#REF!</v>
      </c>
      <c r="W78" s="566" t="e">
        <f t="shared" si="94"/>
        <v>#REF!</v>
      </c>
      <c r="X78" s="566" t="e">
        <f t="shared" si="94"/>
        <v>#REF!</v>
      </c>
      <c r="Y78" s="566" t="e">
        <f t="shared" si="94"/>
        <v>#REF!</v>
      </c>
      <c r="Z78" s="566" t="e">
        <f t="shared" si="94"/>
        <v>#REF!</v>
      </c>
      <c r="AA78" s="566" t="e">
        <f t="shared" si="94"/>
        <v>#REF!</v>
      </c>
      <c r="AB78" s="144"/>
      <c r="AC78" s="231"/>
      <c r="AD78" s="231"/>
      <c r="AE78" s="231"/>
      <c r="AF78" s="231"/>
      <c r="AG78" s="231"/>
      <c r="AH78" s="231"/>
      <c r="AI78" s="213"/>
      <c r="AJ78" s="204"/>
      <c r="AK78" s="204"/>
      <c r="AL78" s="204"/>
      <c r="AM78" s="204"/>
      <c r="AN78" s="204"/>
    </row>
    <row r="79" spans="1:40" ht="19.5" customHeight="1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999"/>
      <c r="M79" s="144"/>
      <c r="N79" s="144"/>
      <c r="O79" s="144"/>
      <c r="P79" s="144"/>
      <c r="Q79" s="144"/>
      <c r="R79" s="144"/>
      <c r="S79" s="144"/>
      <c r="T79" s="144"/>
      <c r="U79" s="566" t="e">
        <f t="shared" si="94"/>
        <v>#REF!</v>
      </c>
      <c r="V79" s="566" t="e">
        <f t="shared" si="94"/>
        <v>#REF!</v>
      </c>
      <c r="W79" s="566" t="e">
        <f t="shared" si="94"/>
        <v>#REF!</v>
      </c>
      <c r="X79" s="566" t="e">
        <f t="shared" si="94"/>
        <v>#REF!</v>
      </c>
      <c r="Y79" s="566" t="e">
        <f t="shared" si="94"/>
        <v>#REF!</v>
      </c>
      <c r="Z79" s="566" t="e">
        <f t="shared" si="94"/>
        <v>#REF!</v>
      </c>
      <c r="AA79" s="566" t="e">
        <f t="shared" si="94"/>
        <v>#REF!</v>
      </c>
      <c r="AB79" s="144"/>
      <c r="AC79" s="231"/>
      <c r="AD79" s="231"/>
      <c r="AE79" s="231"/>
      <c r="AF79" s="231"/>
      <c r="AG79" s="231"/>
      <c r="AH79" s="231"/>
      <c r="AI79" s="213"/>
      <c r="AJ79" s="204"/>
      <c r="AK79" s="204"/>
      <c r="AL79" s="204"/>
      <c r="AM79" s="204"/>
      <c r="AN79" s="204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999"/>
      <c r="M80" s="144"/>
      <c r="N80" s="144"/>
      <c r="O80" s="144"/>
      <c r="P80" s="144"/>
      <c r="Q80" s="144"/>
      <c r="R80" s="144"/>
      <c r="S80" s="144"/>
      <c r="T80" s="144"/>
      <c r="U80" s="566" t="e">
        <f t="shared" si="94"/>
        <v>#REF!</v>
      </c>
      <c r="V80" s="566" t="e">
        <f t="shared" si="94"/>
        <v>#REF!</v>
      </c>
      <c r="W80" s="566" t="e">
        <f t="shared" si="94"/>
        <v>#REF!</v>
      </c>
      <c r="X80" s="566" t="e">
        <f t="shared" si="94"/>
        <v>#REF!</v>
      </c>
      <c r="Y80" s="566" t="e">
        <f t="shared" si="94"/>
        <v>#REF!</v>
      </c>
      <c r="Z80" s="566" t="e">
        <f t="shared" si="94"/>
        <v>#REF!</v>
      </c>
      <c r="AA80" s="566" t="e">
        <f t="shared" si="94"/>
        <v>#REF!</v>
      </c>
      <c r="AB80" s="144"/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13"/>
      <c r="AJ80" s="204"/>
      <c r="AK80" s="204"/>
      <c r="AL80" s="204"/>
      <c r="AM80" s="204"/>
      <c r="AN80" s="204"/>
    </row>
    <row r="81" spans="1:40" ht="15.75" customHeight="1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999"/>
      <c r="M81" s="144"/>
      <c r="N81" s="144"/>
      <c r="O81" s="144"/>
      <c r="P81" s="144"/>
      <c r="Q81" s="144"/>
      <c r="R81" s="144"/>
      <c r="S81" s="144"/>
      <c r="T81" s="144"/>
      <c r="U81" s="566" t="e">
        <f t="shared" si="94"/>
        <v>#REF!</v>
      </c>
      <c r="V81" s="566" t="e">
        <f t="shared" si="94"/>
        <v>#REF!</v>
      </c>
      <c r="W81" s="566" t="e">
        <f t="shared" si="94"/>
        <v>#REF!</v>
      </c>
      <c r="X81" s="566" t="e">
        <f t="shared" si="94"/>
        <v>#REF!</v>
      </c>
      <c r="Y81" s="566" t="e">
        <f t="shared" si="94"/>
        <v>#REF!</v>
      </c>
      <c r="Z81" s="566" t="e">
        <f t="shared" si="94"/>
        <v>#REF!</v>
      </c>
      <c r="AA81" s="566" t="e">
        <f t="shared" si="94"/>
        <v>#REF!</v>
      </c>
      <c r="AB81" s="144"/>
      <c r="AC81" s="231">
        <v>0</v>
      </c>
      <c r="AD81" s="231">
        <v>0</v>
      </c>
      <c r="AE81" s="231">
        <v>0</v>
      </c>
      <c r="AF81" s="231">
        <v>0</v>
      </c>
      <c r="AG81" s="231">
        <v>0</v>
      </c>
      <c r="AH81" s="231">
        <v>0</v>
      </c>
      <c r="AI81" s="213"/>
      <c r="AJ81" s="204"/>
      <c r="AK81" s="204"/>
      <c r="AL81" s="204"/>
      <c r="AM81" s="204"/>
      <c r="AN81" s="204"/>
    </row>
    <row r="82" spans="1:40" ht="72" customHeight="1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999"/>
      <c r="M82" s="144"/>
      <c r="N82" s="144"/>
      <c r="O82" s="144"/>
      <c r="P82" s="144"/>
      <c r="Q82" s="144"/>
      <c r="R82" s="144"/>
      <c r="S82" s="144"/>
      <c r="T82" s="144"/>
      <c r="U82" s="566" t="e">
        <f t="shared" si="94"/>
        <v>#REF!</v>
      </c>
      <c r="V82" s="566" t="e">
        <f t="shared" si="94"/>
        <v>#REF!</v>
      </c>
      <c r="W82" s="566" t="e">
        <f t="shared" si="94"/>
        <v>#REF!</v>
      </c>
      <c r="X82" s="566" t="e">
        <f t="shared" si="94"/>
        <v>#REF!</v>
      </c>
      <c r="Y82" s="566" t="e">
        <f t="shared" si="94"/>
        <v>#REF!</v>
      </c>
      <c r="Z82" s="566" t="e">
        <f t="shared" si="94"/>
        <v>#REF!</v>
      </c>
      <c r="AA82" s="566" t="e">
        <f t="shared" si="94"/>
        <v>#REF!</v>
      </c>
      <c r="AB82" s="144"/>
      <c r="AC82" s="231">
        <v>0</v>
      </c>
      <c r="AD82" s="231">
        <v>0</v>
      </c>
      <c r="AE82" s="231">
        <v>0</v>
      </c>
      <c r="AF82" s="231">
        <v>0</v>
      </c>
      <c r="AG82" s="231">
        <v>0</v>
      </c>
      <c r="AH82" s="231">
        <v>0</v>
      </c>
      <c r="AI82" s="213"/>
      <c r="AJ82" s="204"/>
      <c r="AK82" s="204"/>
      <c r="AL82" s="204"/>
      <c r="AM82" s="204"/>
      <c r="AN82" s="204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999"/>
      <c r="M83" s="144"/>
      <c r="N83" s="144"/>
      <c r="O83" s="144"/>
      <c r="P83" s="144"/>
      <c r="Q83" s="144"/>
      <c r="R83" s="144"/>
      <c r="S83" s="144"/>
      <c r="T83" s="144"/>
      <c r="U83" s="566" t="e">
        <f t="shared" si="94"/>
        <v>#REF!</v>
      </c>
      <c r="V83" s="566" t="e">
        <f t="shared" si="94"/>
        <v>#REF!</v>
      </c>
      <c r="W83" s="566" t="e">
        <f t="shared" si="94"/>
        <v>#REF!</v>
      </c>
      <c r="X83" s="566" t="e">
        <f t="shared" si="94"/>
        <v>#REF!</v>
      </c>
      <c r="Y83" s="566" t="e">
        <f t="shared" si="94"/>
        <v>#REF!</v>
      </c>
      <c r="Z83" s="566" t="e">
        <f t="shared" si="94"/>
        <v>#REF!</v>
      </c>
      <c r="AA83" s="566" t="e">
        <f t="shared" si="94"/>
        <v>#REF!</v>
      </c>
      <c r="AB83" s="144"/>
      <c r="AC83" s="231">
        <v>0</v>
      </c>
      <c r="AD83" s="231">
        <v>0</v>
      </c>
      <c r="AE83" s="231">
        <v>0</v>
      </c>
      <c r="AF83" s="231">
        <v>0</v>
      </c>
      <c r="AG83" s="231">
        <v>0</v>
      </c>
      <c r="AH83" s="231">
        <v>0</v>
      </c>
      <c r="AI83" s="213"/>
      <c r="AJ83" s="204"/>
      <c r="AK83" s="204"/>
      <c r="AL83" s="204"/>
      <c r="AM83" s="204"/>
      <c r="AN83" s="204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999"/>
      <c r="M84" s="144"/>
      <c r="N84" s="144"/>
      <c r="O84" s="144"/>
      <c r="P84" s="144"/>
      <c r="Q84" s="144"/>
      <c r="R84" s="144"/>
      <c r="S84" s="144"/>
      <c r="T84" s="144"/>
      <c r="U84" s="566" t="e">
        <f t="shared" ref="U84:AA99" si="95">IF(U83&gt;0,U83,U82)</f>
        <v>#REF!</v>
      </c>
      <c r="V84" s="566" t="e">
        <f t="shared" si="95"/>
        <v>#REF!</v>
      </c>
      <c r="W84" s="566" t="e">
        <f t="shared" si="95"/>
        <v>#REF!</v>
      </c>
      <c r="X84" s="566" t="e">
        <f t="shared" si="95"/>
        <v>#REF!</v>
      </c>
      <c r="Y84" s="566" t="e">
        <f t="shared" si="95"/>
        <v>#REF!</v>
      </c>
      <c r="Z84" s="566" t="e">
        <f t="shared" si="95"/>
        <v>#REF!</v>
      </c>
      <c r="AA84" s="566" t="e">
        <f t="shared" si="95"/>
        <v>#REF!</v>
      </c>
      <c r="AB84" s="144"/>
      <c r="AC84" s="231"/>
      <c r="AD84" s="231"/>
      <c r="AE84" s="231"/>
      <c r="AF84" s="231"/>
      <c r="AG84" s="231"/>
      <c r="AH84" s="231"/>
      <c r="AI84" s="213"/>
      <c r="AJ84" s="204"/>
      <c r="AK84" s="204"/>
      <c r="AL84" s="204"/>
      <c r="AM84" s="204"/>
      <c r="AN84" s="204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999"/>
      <c r="M85" s="144"/>
      <c r="N85" s="144"/>
      <c r="O85" s="144"/>
      <c r="P85" s="144"/>
      <c r="Q85" s="144"/>
      <c r="R85" s="144"/>
      <c r="S85" s="144"/>
      <c r="T85" s="144"/>
      <c r="U85" s="566" t="e">
        <f t="shared" si="95"/>
        <v>#REF!</v>
      </c>
      <c r="V85" s="566" t="e">
        <f t="shared" si="95"/>
        <v>#REF!</v>
      </c>
      <c r="W85" s="566" t="e">
        <f t="shared" si="95"/>
        <v>#REF!</v>
      </c>
      <c r="X85" s="566" t="e">
        <f t="shared" si="95"/>
        <v>#REF!</v>
      </c>
      <c r="Y85" s="566" t="e">
        <f t="shared" si="95"/>
        <v>#REF!</v>
      </c>
      <c r="Z85" s="566" t="e">
        <f t="shared" si="95"/>
        <v>#REF!</v>
      </c>
      <c r="AA85" s="566" t="e">
        <f t="shared" si="95"/>
        <v>#REF!</v>
      </c>
      <c r="AB85" s="144"/>
      <c r="AC85" s="231"/>
      <c r="AD85" s="231"/>
      <c r="AE85" s="231"/>
      <c r="AF85" s="231"/>
      <c r="AG85" s="231"/>
      <c r="AH85" s="231"/>
      <c r="AI85" s="213"/>
      <c r="AJ85" s="204"/>
      <c r="AK85" s="204"/>
      <c r="AL85" s="204"/>
      <c r="AM85" s="204"/>
      <c r="AN85" s="204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999"/>
      <c r="M86" s="144"/>
      <c r="N86" s="144"/>
      <c r="O86" s="144"/>
      <c r="P86" s="144"/>
      <c r="Q86" s="144"/>
      <c r="R86" s="144"/>
      <c r="S86" s="144"/>
      <c r="T86" s="144"/>
      <c r="U86" s="566" t="e">
        <f t="shared" si="95"/>
        <v>#REF!</v>
      </c>
      <c r="V86" s="566" t="e">
        <f t="shared" si="95"/>
        <v>#REF!</v>
      </c>
      <c r="W86" s="566" t="e">
        <f t="shared" si="95"/>
        <v>#REF!</v>
      </c>
      <c r="X86" s="566" t="e">
        <f t="shared" si="95"/>
        <v>#REF!</v>
      </c>
      <c r="Y86" s="566" t="e">
        <f t="shared" si="95"/>
        <v>#REF!</v>
      </c>
      <c r="Z86" s="566" t="e">
        <f t="shared" si="95"/>
        <v>#REF!</v>
      </c>
      <c r="AA86" s="566" t="e">
        <f t="shared" si="95"/>
        <v>#REF!</v>
      </c>
      <c r="AB86" s="144"/>
      <c r="AC86" s="231">
        <v>0</v>
      </c>
      <c r="AD86" s="231">
        <v>0</v>
      </c>
      <c r="AE86" s="231">
        <v>0</v>
      </c>
      <c r="AF86" s="231">
        <v>0</v>
      </c>
      <c r="AG86" s="231">
        <v>0</v>
      </c>
      <c r="AH86" s="231">
        <v>0</v>
      </c>
      <c r="AI86" s="213"/>
      <c r="AJ86" s="204"/>
      <c r="AK86" s="204"/>
      <c r="AL86" s="204"/>
      <c r="AM86" s="204"/>
      <c r="AN86" s="204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999"/>
      <c r="M87" s="144"/>
      <c r="N87" s="144"/>
      <c r="O87" s="144"/>
      <c r="P87" s="144"/>
      <c r="Q87" s="144"/>
      <c r="R87" s="144"/>
      <c r="S87" s="144"/>
      <c r="T87" s="144"/>
      <c r="U87" s="566" t="e">
        <f t="shared" si="95"/>
        <v>#REF!</v>
      </c>
      <c r="V87" s="566" t="e">
        <f t="shared" si="95"/>
        <v>#REF!</v>
      </c>
      <c r="W87" s="566" t="e">
        <f t="shared" si="95"/>
        <v>#REF!</v>
      </c>
      <c r="X87" s="566" t="e">
        <f t="shared" si="95"/>
        <v>#REF!</v>
      </c>
      <c r="Y87" s="566" t="e">
        <f t="shared" si="95"/>
        <v>#REF!</v>
      </c>
      <c r="Z87" s="566" t="e">
        <f t="shared" si="95"/>
        <v>#REF!</v>
      </c>
      <c r="AA87" s="566" t="e">
        <f t="shared" si="95"/>
        <v>#REF!</v>
      </c>
      <c r="AB87" s="144"/>
      <c r="AC87" s="231">
        <v>0</v>
      </c>
      <c r="AD87" s="231">
        <v>0</v>
      </c>
      <c r="AE87" s="231">
        <v>0</v>
      </c>
      <c r="AF87" s="231">
        <v>0</v>
      </c>
      <c r="AG87" s="231">
        <v>0</v>
      </c>
      <c r="AH87" s="231">
        <v>0</v>
      </c>
      <c r="AI87" s="213"/>
      <c r="AJ87" s="204"/>
      <c r="AK87" s="204"/>
      <c r="AL87" s="204"/>
      <c r="AM87" s="204"/>
      <c r="AN87" s="204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999"/>
      <c r="M88" s="144"/>
      <c r="N88" s="144"/>
      <c r="O88" s="144"/>
      <c r="P88" s="144"/>
      <c r="Q88" s="144"/>
      <c r="R88" s="144"/>
      <c r="S88" s="144"/>
      <c r="T88" s="144"/>
      <c r="U88" s="566" t="e">
        <f t="shared" si="95"/>
        <v>#REF!</v>
      </c>
      <c r="V88" s="566" t="e">
        <f t="shared" si="95"/>
        <v>#REF!</v>
      </c>
      <c r="W88" s="566" t="e">
        <f t="shared" si="95"/>
        <v>#REF!</v>
      </c>
      <c r="X88" s="566" t="e">
        <f t="shared" si="95"/>
        <v>#REF!</v>
      </c>
      <c r="Y88" s="566" t="e">
        <f t="shared" si="95"/>
        <v>#REF!</v>
      </c>
      <c r="Z88" s="566" t="e">
        <f t="shared" si="95"/>
        <v>#REF!</v>
      </c>
      <c r="AA88" s="566" t="e">
        <f t="shared" si="95"/>
        <v>#REF!</v>
      </c>
      <c r="AB88" s="144"/>
      <c r="AC88" s="231">
        <v>0</v>
      </c>
      <c r="AD88" s="231">
        <v>0</v>
      </c>
      <c r="AE88" s="231">
        <v>0</v>
      </c>
      <c r="AF88" s="231">
        <v>0</v>
      </c>
      <c r="AG88" s="231">
        <v>0</v>
      </c>
      <c r="AH88" s="231">
        <v>0</v>
      </c>
      <c r="AI88" s="213"/>
      <c r="AJ88" s="204"/>
      <c r="AK88" s="204"/>
      <c r="AL88" s="204"/>
      <c r="AM88" s="204"/>
      <c r="AN88" s="204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999"/>
      <c r="M89" s="144"/>
      <c r="N89" s="144"/>
      <c r="O89" s="144"/>
      <c r="P89" s="144"/>
      <c r="Q89" s="144"/>
      <c r="R89" s="144"/>
      <c r="S89" s="144"/>
      <c r="T89" s="144"/>
      <c r="U89" s="566" t="e">
        <f t="shared" si="95"/>
        <v>#REF!</v>
      </c>
      <c r="V89" s="566" t="e">
        <f t="shared" si="95"/>
        <v>#REF!</v>
      </c>
      <c r="W89" s="566" t="e">
        <f t="shared" si="95"/>
        <v>#REF!</v>
      </c>
      <c r="X89" s="566" t="e">
        <f t="shared" si="95"/>
        <v>#REF!</v>
      </c>
      <c r="Y89" s="566" t="e">
        <f t="shared" si="95"/>
        <v>#REF!</v>
      </c>
      <c r="Z89" s="566" t="e">
        <f t="shared" si="95"/>
        <v>#REF!</v>
      </c>
      <c r="AA89" s="566" t="e">
        <f t="shared" si="95"/>
        <v>#REF!</v>
      </c>
      <c r="AB89" s="144"/>
      <c r="AC89" s="231"/>
      <c r="AD89" s="231"/>
      <c r="AE89" s="231"/>
      <c r="AF89" s="231"/>
      <c r="AG89" s="231"/>
      <c r="AH89" s="231"/>
      <c r="AI89" s="213"/>
      <c r="AJ89" s="204"/>
      <c r="AK89" s="204"/>
      <c r="AL89" s="204"/>
      <c r="AM89" s="204"/>
      <c r="AN89" s="204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999"/>
      <c r="M90" s="144"/>
      <c r="N90" s="144"/>
      <c r="O90" s="144"/>
      <c r="P90" s="144"/>
      <c r="Q90" s="144"/>
      <c r="R90" s="144"/>
      <c r="S90" s="144"/>
      <c r="T90" s="144"/>
      <c r="U90" s="566" t="e">
        <f t="shared" si="95"/>
        <v>#REF!</v>
      </c>
      <c r="V90" s="566" t="e">
        <f t="shared" si="95"/>
        <v>#REF!</v>
      </c>
      <c r="W90" s="566" t="e">
        <f t="shared" si="95"/>
        <v>#REF!</v>
      </c>
      <c r="X90" s="566" t="e">
        <f t="shared" si="95"/>
        <v>#REF!</v>
      </c>
      <c r="Y90" s="566" t="e">
        <f t="shared" si="95"/>
        <v>#REF!</v>
      </c>
      <c r="Z90" s="566" t="e">
        <f t="shared" si="95"/>
        <v>#REF!</v>
      </c>
      <c r="AA90" s="566" t="e">
        <f t="shared" si="95"/>
        <v>#REF!</v>
      </c>
      <c r="AB90" s="144"/>
      <c r="AC90" s="231"/>
      <c r="AD90" s="231"/>
      <c r="AE90" s="231"/>
      <c r="AF90" s="231"/>
      <c r="AG90" s="231"/>
      <c r="AH90" s="231"/>
      <c r="AI90" s="213"/>
      <c r="AJ90" s="204"/>
      <c r="AK90" s="204"/>
      <c r="AL90" s="204"/>
      <c r="AM90" s="204"/>
      <c r="AN90" s="204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999"/>
      <c r="M91" s="144"/>
      <c r="N91" s="144"/>
      <c r="O91" s="144"/>
      <c r="P91" s="144"/>
      <c r="Q91" s="144"/>
      <c r="R91" s="144"/>
      <c r="S91" s="144"/>
      <c r="T91" s="144"/>
      <c r="U91" s="566" t="e">
        <f t="shared" si="95"/>
        <v>#REF!</v>
      </c>
      <c r="V91" s="566" t="e">
        <f t="shared" si="95"/>
        <v>#REF!</v>
      </c>
      <c r="W91" s="566" t="e">
        <f t="shared" si="95"/>
        <v>#REF!</v>
      </c>
      <c r="X91" s="566" t="e">
        <f t="shared" si="95"/>
        <v>#REF!</v>
      </c>
      <c r="Y91" s="566" t="e">
        <f t="shared" si="95"/>
        <v>#REF!</v>
      </c>
      <c r="Z91" s="566" t="e">
        <f t="shared" si="95"/>
        <v>#REF!</v>
      </c>
      <c r="AA91" s="566" t="e">
        <f t="shared" si="95"/>
        <v>#REF!</v>
      </c>
      <c r="AB91" s="144"/>
      <c r="AC91" s="231">
        <v>0</v>
      </c>
      <c r="AD91" s="231">
        <v>0</v>
      </c>
      <c r="AE91" s="231">
        <v>0</v>
      </c>
      <c r="AF91" s="231">
        <v>0</v>
      </c>
      <c r="AG91" s="231">
        <v>0</v>
      </c>
      <c r="AH91" s="231">
        <v>0</v>
      </c>
      <c r="AI91" s="213"/>
      <c r="AJ91" s="204"/>
      <c r="AK91" s="204"/>
      <c r="AL91" s="204"/>
      <c r="AM91" s="204"/>
      <c r="AN91" s="204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999"/>
      <c r="M92" s="144"/>
      <c r="N92" s="144"/>
      <c r="O92" s="144"/>
      <c r="P92" s="144"/>
      <c r="Q92" s="144"/>
      <c r="R92" s="144"/>
      <c r="S92" s="144"/>
      <c r="T92" s="144"/>
      <c r="U92" s="566" t="e">
        <f t="shared" si="95"/>
        <v>#REF!</v>
      </c>
      <c r="V92" s="566" t="e">
        <f t="shared" si="95"/>
        <v>#REF!</v>
      </c>
      <c r="W92" s="566" t="e">
        <f t="shared" si="95"/>
        <v>#REF!</v>
      </c>
      <c r="X92" s="566" t="e">
        <f t="shared" si="95"/>
        <v>#REF!</v>
      </c>
      <c r="Y92" s="566" t="e">
        <f t="shared" si="95"/>
        <v>#REF!</v>
      </c>
      <c r="Z92" s="566" t="e">
        <f t="shared" si="95"/>
        <v>#REF!</v>
      </c>
      <c r="AA92" s="566" t="e">
        <f t="shared" si="95"/>
        <v>#REF!</v>
      </c>
      <c r="AB92" s="144"/>
      <c r="AC92" s="231">
        <v>0</v>
      </c>
      <c r="AD92" s="231">
        <v>0</v>
      </c>
      <c r="AE92" s="231">
        <v>0</v>
      </c>
      <c r="AF92" s="231">
        <v>0</v>
      </c>
      <c r="AG92" s="231">
        <v>0</v>
      </c>
      <c r="AH92" s="231">
        <v>0</v>
      </c>
      <c r="AI92" s="213"/>
      <c r="AJ92" s="204"/>
      <c r="AK92" s="204"/>
      <c r="AL92" s="204"/>
      <c r="AM92" s="204"/>
      <c r="AN92" s="204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999"/>
      <c r="M93" s="144"/>
      <c r="N93" s="144"/>
      <c r="O93" s="144"/>
      <c r="P93" s="144"/>
      <c r="Q93" s="144"/>
      <c r="R93" s="144"/>
      <c r="S93" s="144"/>
      <c r="T93" s="144"/>
      <c r="U93" s="566" t="e">
        <f t="shared" si="95"/>
        <v>#REF!</v>
      </c>
      <c r="V93" s="566" t="e">
        <f t="shared" si="95"/>
        <v>#REF!</v>
      </c>
      <c r="W93" s="566" t="e">
        <f t="shared" si="95"/>
        <v>#REF!</v>
      </c>
      <c r="X93" s="566" t="e">
        <f t="shared" si="95"/>
        <v>#REF!</v>
      </c>
      <c r="Y93" s="566" t="e">
        <f t="shared" si="95"/>
        <v>#REF!</v>
      </c>
      <c r="Z93" s="566" t="e">
        <f t="shared" si="95"/>
        <v>#REF!</v>
      </c>
      <c r="AA93" s="566" t="e">
        <f t="shared" si="95"/>
        <v>#REF!</v>
      </c>
      <c r="AB93" s="144"/>
      <c r="AC93" s="231">
        <v>0</v>
      </c>
      <c r="AD93" s="231">
        <v>0</v>
      </c>
      <c r="AE93" s="231">
        <v>0</v>
      </c>
      <c r="AF93" s="231">
        <v>0</v>
      </c>
      <c r="AG93" s="231">
        <v>0</v>
      </c>
      <c r="AH93" s="231">
        <v>0</v>
      </c>
      <c r="AI93" s="213"/>
      <c r="AJ93" s="204"/>
      <c r="AK93" s="204"/>
      <c r="AL93" s="204"/>
      <c r="AM93" s="204"/>
      <c r="AN93" s="204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999"/>
      <c r="M94" s="144"/>
      <c r="N94" s="144"/>
      <c r="O94" s="144"/>
      <c r="P94" s="144"/>
      <c r="Q94" s="144"/>
      <c r="R94" s="144"/>
      <c r="S94" s="144"/>
      <c r="T94" s="144"/>
      <c r="U94" s="566" t="e">
        <f t="shared" si="95"/>
        <v>#REF!</v>
      </c>
      <c r="V94" s="566" t="e">
        <f t="shared" si="95"/>
        <v>#REF!</v>
      </c>
      <c r="W94" s="566" t="e">
        <f t="shared" si="95"/>
        <v>#REF!</v>
      </c>
      <c r="X94" s="566" t="e">
        <f t="shared" si="95"/>
        <v>#REF!</v>
      </c>
      <c r="Y94" s="566" t="e">
        <f t="shared" si="95"/>
        <v>#REF!</v>
      </c>
      <c r="Z94" s="566" t="e">
        <f t="shared" si="95"/>
        <v>#REF!</v>
      </c>
      <c r="AA94" s="566" t="e">
        <f t="shared" si="95"/>
        <v>#REF!</v>
      </c>
      <c r="AB94" s="144"/>
      <c r="AC94" s="231"/>
      <c r="AD94" s="231"/>
      <c r="AE94" s="231"/>
      <c r="AF94" s="231"/>
      <c r="AG94" s="231"/>
      <c r="AH94" s="231"/>
      <c r="AI94" s="213"/>
      <c r="AJ94" s="204"/>
      <c r="AK94" s="204"/>
      <c r="AL94" s="204"/>
      <c r="AM94" s="204"/>
      <c r="AN94" s="204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999"/>
      <c r="M95" s="144"/>
      <c r="N95" s="144"/>
      <c r="O95" s="144"/>
      <c r="P95" s="144"/>
      <c r="Q95" s="144"/>
      <c r="R95" s="144"/>
      <c r="S95" s="144"/>
      <c r="T95" s="144"/>
      <c r="U95" s="566" t="e">
        <f t="shared" si="95"/>
        <v>#REF!</v>
      </c>
      <c r="V95" s="566" t="e">
        <f t="shared" si="95"/>
        <v>#REF!</v>
      </c>
      <c r="W95" s="566" t="e">
        <f t="shared" si="95"/>
        <v>#REF!</v>
      </c>
      <c r="X95" s="566" t="e">
        <f t="shared" si="95"/>
        <v>#REF!</v>
      </c>
      <c r="Y95" s="566" t="e">
        <f t="shared" si="95"/>
        <v>#REF!</v>
      </c>
      <c r="Z95" s="566" t="e">
        <f t="shared" si="95"/>
        <v>#REF!</v>
      </c>
      <c r="AA95" s="566" t="e">
        <f t="shared" si="95"/>
        <v>#REF!</v>
      </c>
      <c r="AB95" s="144"/>
      <c r="AC95" s="231"/>
      <c r="AD95" s="231"/>
      <c r="AE95" s="231"/>
      <c r="AF95" s="231"/>
      <c r="AG95" s="231"/>
      <c r="AH95" s="231"/>
      <c r="AI95" s="213"/>
      <c r="AJ95" s="204"/>
      <c r="AK95" s="204"/>
      <c r="AL95" s="204"/>
      <c r="AM95" s="204"/>
      <c r="AN95" s="204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999"/>
      <c r="M96" s="144"/>
      <c r="N96" s="144"/>
      <c r="O96" s="144"/>
      <c r="P96" s="144"/>
      <c r="Q96" s="144"/>
      <c r="R96" s="144"/>
      <c r="S96" s="144"/>
      <c r="T96" s="144"/>
      <c r="U96" s="566" t="e">
        <f t="shared" si="95"/>
        <v>#REF!</v>
      </c>
      <c r="V96" s="566" t="e">
        <f t="shared" si="95"/>
        <v>#REF!</v>
      </c>
      <c r="W96" s="566" t="e">
        <f t="shared" si="95"/>
        <v>#REF!</v>
      </c>
      <c r="X96" s="566" t="e">
        <f t="shared" si="95"/>
        <v>#REF!</v>
      </c>
      <c r="Y96" s="566" t="e">
        <f t="shared" si="95"/>
        <v>#REF!</v>
      </c>
      <c r="Z96" s="566" t="e">
        <f t="shared" si="95"/>
        <v>#REF!</v>
      </c>
      <c r="AA96" s="566" t="e">
        <f t="shared" si="95"/>
        <v>#REF!</v>
      </c>
      <c r="AB96" s="144"/>
      <c r="AC96" s="231">
        <v>0</v>
      </c>
      <c r="AD96" s="231">
        <v>0</v>
      </c>
      <c r="AE96" s="231">
        <v>0</v>
      </c>
      <c r="AF96" s="231">
        <v>0</v>
      </c>
      <c r="AG96" s="231">
        <v>0</v>
      </c>
      <c r="AH96" s="231">
        <v>0</v>
      </c>
      <c r="AI96" s="213"/>
      <c r="AJ96" s="204"/>
      <c r="AK96" s="204"/>
      <c r="AL96" s="204"/>
      <c r="AM96" s="204"/>
      <c r="AN96" s="204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999"/>
      <c r="M97" s="144"/>
      <c r="N97" s="144"/>
      <c r="O97" s="144"/>
      <c r="P97" s="144"/>
      <c r="Q97" s="144"/>
      <c r="R97" s="144"/>
      <c r="S97" s="144"/>
      <c r="T97" s="144"/>
      <c r="U97" s="566" t="e">
        <f t="shared" si="95"/>
        <v>#REF!</v>
      </c>
      <c r="V97" s="566" t="e">
        <f t="shared" si="95"/>
        <v>#REF!</v>
      </c>
      <c r="W97" s="566" t="e">
        <f t="shared" si="95"/>
        <v>#REF!</v>
      </c>
      <c r="X97" s="566" t="e">
        <f t="shared" si="95"/>
        <v>#REF!</v>
      </c>
      <c r="Y97" s="566" t="e">
        <f t="shared" si="95"/>
        <v>#REF!</v>
      </c>
      <c r="Z97" s="566" t="e">
        <f t="shared" si="95"/>
        <v>#REF!</v>
      </c>
      <c r="AA97" s="566" t="e">
        <f t="shared" si="95"/>
        <v>#REF!</v>
      </c>
      <c r="AB97" s="144"/>
      <c r="AC97" s="231">
        <v>0</v>
      </c>
      <c r="AD97" s="231">
        <v>0</v>
      </c>
      <c r="AE97" s="231">
        <v>0</v>
      </c>
      <c r="AF97" s="231">
        <v>0</v>
      </c>
      <c r="AG97" s="231">
        <v>0</v>
      </c>
      <c r="AH97" s="231">
        <v>0</v>
      </c>
      <c r="AI97" s="213"/>
      <c r="AJ97" s="204"/>
      <c r="AK97" s="204"/>
      <c r="AL97" s="204"/>
      <c r="AM97" s="204"/>
      <c r="AN97" s="204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999"/>
      <c r="M98" s="144"/>
      <c r="N98" s="144"/>
      <c r="O98" s="144"/>
      <c r="P98" s="144"/>
      <c r="Q98" s="144"/>
      <c r="R98" s="144"/>
      <c r="S98" s="144"/>
      <c r="T98" s="144"/>
      <c r="U98" s="566" t="e">
        <f t="shared" si="95"/>
        <v>#REF!</v>
      </c>
      <c r="V98" s="566" t="e">
        <f t="shared" si="95"/>
        <v>#REF!</v>
      </c>
      <c r="W98" s="566" t="e">
        <f t="shared" si="95"/>
        <v>#REF!</v>
      </c>
      <c r="X98" s="566" t="e">
        <f t="shared" si="95"/>
        <v>#REF!</v>
      </c>
      <c r="Y98" s="566" t="e">
        <f t="shared" si="95"/>
        <v>#REF!</v>
      </c>
      <c r="Z98" s="566" t="e">
        <f t="shared" si="95"/>
        <v>#REF!</v>
      </c>
      <c r="AA98" s="566" t="e">
        <f t="shared" si="95"/>
        <v>#REF!</v>
      </c>
      <c r="AB98" s="144"/>
      <c r="AC98" s="231"/>
      <c r="AD98" s="231"/>
      <c r="AE98" s="231"/>
      <c r="AF98" s="231"/>
      <c r="AG98" s="231"/>
      <c r="AH98" s="231"/>
      <c r="AI98" s="213"/>
      <c r="AJ98" s="204"/>
      <c r="AK98" s="204"/>
      <c r="AL98" s="204"/>
      <c r="AM98" s="204"/>
      <c r="AN98" s="204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999"/>
      <c r="M99" s="144"/>
      <c r="N99" s="144"/>
      <c r="O99" s="144"/>
      <c r="P99" s="144"/>
      <c r="Q99" s="144"/>
      <c r="R99" s="144"/>
      <c r="S99" s="144"/>
      <c r="T99" s="144"/>
      <c r="U99" s="566" t="e">
        <f t="shared" si="95"/>
        <v>#REF!</v>
      </c>
      <c r="V99" s="566" t="e">
        <f t="shared" si="95"/>
        <v>#REF!</v>
      </c>
      <c r="W99" s="566" t="e">
        <f t="shared" si="95"/>
        <v>#REF!</v>
      </c>
      <c r="X99" s="566" t="e">
        <f t="shared" si="95"/>
        <v>#REF!</v>
      </c>
      <c r="Y99" s="566" t="e">
        <f t="shared" si="95"/>
        <v>#REF!</v>
      </c>
      <c r="Z99" s="566" t="e">
        <f t="shared" si="95"/>
        <v>#REF!</v>
      </c>
      <c r="AA99" s="566" t="e">
        <f t="shared" si="95"/>
        <v>#REF!</v>
      </c>
      <c r="AB99" s="144"/>
      <c r="AC99" s="231"/>
      <c r="AD99" s="231"/>
      <c r="AE99" s="231"/>
      <c r="AF99" s="231"/>
      <c r="AG99" s="231"/>
      <c r="AH99" s="231"/>
      <c r="AI99" s="213"/>
      <c r="AJ99" s="204"/>
      <c r="AK99" s="204"/>
      <c r="AL99" s="204"/>
      <c r="AM99" s="204"/>
      <c r="AN99" s="204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999"/>
      <c r="M100" s="144"/>
      <c r="N100" s="144"/>
      <c r="O100" s="144"/>
      <c r="P100" s="144"/>
      <c r="Q100" s="144"/>
      <c r="R100" s="144"/>
      <c r="S100" s="144"/>
      <c r="T100" s="144"/>
      <c r="U100" s="566" t="e">
        <f t="shared" ref="U100:AA115" si="96">IF(U99&gt;0,U99,U98)</f>
        <v>#REF!</v>
      </c>
      <c r="V100" s="566" t="e">
        <f t="shared" si="96"/>
        <v>#REF!</v>
      </c>
      <c r="W100" s="566" t="e">
        <f t="shared" si="96"/>
        <v>#REF!</v>
      </c>
      <c r="X100" s="566" t="e">
        <f t="shared" si="96"/>
        <v>#REF!</v>
      </c>
      <c r="Y100" s="566" t="e">
        <f t="shared" si="96"/>
        <v>#REF!</v>
      </c>
      <c r="Z100" s="566" t="e">
        <f t="shared" si="96"/>
        <v>#REF!</v>
      </c>
      <c r="AA100" s="566" t="e">
        <f t="shared" si="96"/>
        <v>#REF!</v>
      </c>
      <c r="AB100" s="144"/>
      <c r="AC100" s="231">
        <v>0</v>
      </c>
      <c r="AD100" s="231">
        <v>0</v>
      </c>
      <c r="AE100" s="231">
        <v>0</v>
      </c>
      <c r="AF100" s="231">
        <v>0</v>
      </c>
      <c r="AG100" s="231">
        <v>0</v>
      </c>
      <c r="AH100" s="231">
        <v>0</v>
      </c>
      <c r="AI100" s="213"/>
      <c r="AJ100" s="204"/>
      <c r="AK100" s="204"/>
      <c r="AL100" s="204"/>
      <c r="AM100" s="204"/>
      <c r="AN100" s="204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999"/>
      <c r="M101" s="144"/>
      <c r="N101" s="144"/>
      <c r="O101" s="144"/>
      <c r="P101" s="144"/>
      <c r="Q101" s="144"/>
      <c r="R101" s="144"/>
      <c r="S101" s="144"/>
      <c r="T101" s="144"/>
      <c r="U101" s="566" t="e">
        <f t="shared" si="96"/>
        <v>#REF!</v>
      </c>
      <c r="V101" s="566" t="e">
        <f t="shared" si="96"/>
        <v>#REF!</v>
      </c>
      <c r="W101" s="566" t="e">
        <f t="shared" si="96"/>
        <v>#REF!</v>
      </c>
      <c r="X101" s="566" t="e">
        <f t="shared" si="96"/>
        <v>#REF!</v>
      </c>
      <c r="Y101" s="566" t="e">
        <f t="shared" si="96"/>
        <v>#REF!</v>
      </c>
      <c r="Z101" s="566" t="e">
        <f t="shared" si="96"/>
        <v>#REF!</v>
      </c>
      <c r="AA101" s="566" t="e">
        <f t="shared" si="96"/>
        <v>#REF!</v>
      </c>
      <c r="AB101" s="144"/>
      <c r="AC101" s="231">
        <v>0</v>
      </c>
      <c r="AD101" s="231">
        <v>0</v>
      </c>
      <c r="AE101" s="231">
        <v>0</v>
      </c>
      <c r="AF101" s="231">
        <v>0</v>
      </c>
      <c r="AG101" s="231">
        <v>0</v>
      </c>
      <c r="AH101" s="231">
        <v>0</v>
      </c>
      <c r="AI101" s="213"/>
      <c r="AJ101" s="204"/>
      <c r="AK101" s="204"/>
      <c r="AL101" s="204"/>
      <c r="AM101" s="204"/>
      <c r="AN101" s="204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999"/>
      <c r="M102" s="144"/>
      <c r="N102" s="144"/>
      <c r="O102" s="144"/>
      <c r="P102" s="144"/>
      <c r="Q102" s="144"/>
      <c r="R102" s="144"/>
      <c r="S102" s="144"/>
      <c r="T102" s="144"/>
      <c r="U102" s="566" t="e">
        <f t="shared" si="96"/>
        <v>#REF!</v>
      </c>
      <c r="V102" s="566" t="e">
        <f t="shared" si="96"/>
        <v>#REF!</v>
      </c>
      <c r="W102" s="566" t="e">
        <f t="shared" si="96"/>
        <v>#REF!</v>
      </c>
      <c r="X102" s="566" t="e">
        <f t="shared" si="96"/>
        <v>#REF!</v>
      </c>
      <c r="Y102" s="566" t="e">
        <f t="shared" si="96"/>
        <v>#REF!</v>
      </c>
      <c r="Z102" s="566" t="e">
        <f t="shared" si="96"/>
        <v>#REF!</v>
      </c>
      <c r="AA102" s="566" t="e">
        <f t="shared" si="96"/>
        <v>#REF!</v>
      </c>
      <c r="AB102" s="144"/>
      <c r="AC102" s="231">
        <v>0</v>
      </c>
      <c r="AD102" s="231">
        <v>0</v>
      </c>
      <c r="AE102" s="231">
        <v>0</v>
      </c>
      <c r="AF102" s="231">
        <v>0</v>
      </c>
      <c r="AG102" s="231">
        <v>0</v>
      </c>
      <c r="AH102" s="231">
        <v>0</v>
      </c>
      <c r="AI102" s="213"/>
      <c r="AJ102" s="204"/>
      <c r="AK102" s="204"/>
      <c r="AL102" s="204"/>
      <c r="AM102" s="204"/>
      <c r="AN102" s="204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999"/>
      <c r="M103" s="144"/>
      <c r="N103" s="144"/>
      <c r="O103" s="144"/>
      <c r="P103" s="144"/>
      <c r="Q103" s="144"/>
      <c r="R103" s="144"/>
      <c r="S103" s="144"/>
      <c r="T103" s="144"/>
      <c r="U103" s="566" t="e">
        <f t="shared" si="96"/>
        <v>#REF!</v>
      </c>
      <c r="V103" s="566" t="e">
        <f t="shared" si="96"/>
        <v>#REF!</v>
      </c>
      <c r="W103" s="566" t="e">
        <f t="shared" si="96"/>
        <v>#REF!</v>
      </c>
      <c r="X103" s="566" t="e">
        <f t="shared" si="96"/>
        <v>#REF!</v>
      </c>
      <c r="Y103" s="566" t="e">
        <f t="shared" si="96"/>
        <v>#REF!</v>
      </c>
      <c r="Z103" s="566" t="e">
        <f t="shared" si="96"/>
        <v>#REF!</v>
      </c>
      <c r="AA103" s="566" t="e">
        <f t="shared" si="96"/>
        <v>#REF!</v>
      </c>
      <c r="AB103" s="144"/>
      <c r="AC103" s="231">
        <v>0</v>
      </c>
      <c r="AD103" s="231">
        <v>0</v>
      </c>
      <c r="AE103" s="231">
        <v>0</v>
      </c>
      <c r="AF103" s="231">
        <v>0</v>
      </c>
      <c r="AG103" s="231">
        <v>0</v>
      </c>
      <c r="AH103" s="231">
        <v>0</v>
      </c>
      <c r="AI103" s="213"/>
      <c r="AJ103" s="204"/>
      <c r="AK103" s="204"/>
      <c r="AL103" s="204"/>
      <c r="AM103" s="204"/>
      <c r="AN103" s="204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999"/>
      <c r="M104" s="144"/>
      <c r="N104" s="144"/>
      <c r="O104" s="144"/>
      <c r="P104" s="144"/>
      <c r="Q104" s="144"/>
      <c r="R104" s="144"/>
      <c r="S104" s="144"/>
      <c r="T104" s="144"/>
      <c r="U104" s="566" t="e">
        <f t="shared" si="96"/>
        <v>#REF!</v>
      </c>
      <c r="V104" s="566" t="e">
        <f t="shared" si="96"/>
        <v>#REF!</v>
      </c>
      <c r="W104" s="566" t="e">
        <f t="shared" si="96"/>
        <v>#REF!</v>
      </c>
      <c r="X104" s="566" t="e">
        <f t="shared" si="96"/>
        <v>#REF!</v>
      </c>
      <c r="Y104" s="566" t="e">
        <f t="shared" si="96"/>
        <v>#REF!</v>
      </c>
      <c r="Z104" s="566" t="e">
        <f t="shared" si="96"/>
        <v>#REF!</v>
      </c>
      <c r="AA104" s="566" t="e">
        <f t="shared" si="96"/>
        <v>#REF!</v>
      </c>
      <c r="AB104" s="144"/>
      <c r="AC104" s="231"/>
      <c r="AD104" s="231"/>
      <c r="AE104" s="231"/>
      <c r="AF104" s="231"/>
      <c r="AG104" s="231"/>
      <c r="AH104" s="231"/>
      <c r="AI104" s="213"/>
      <c r="AJ104" s="204"/>
      <c r="AK104" s="204"/>
      <c r="AL104" s="204"/>
      <c r="AM104" s="204"/>
      <c r="AN104" s="204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999"/>
      <c r="M105" s="144"/>
      <c r="N105" s="144"/>
      <c r="O105" s="144"/>
      <c r="P105" s="144"/>
      <c r="Q105" s="144"/>
      <c r="R105" s="144"/>
      <c r="S105" s="144"/>
      <c r="T105" s="144"/>
      <c r="U105" s="566" t="e">
        <f t="shared" si="96"/>
        <v>#REF!</v>
      </c>
      <c r="V105" s="566" t="e">
        <f t="shared" si="96"/>
        <v>#REF!</v>
      </c>
      <c r="W105" s="566" t="e">
        <f t="shared" si="96"/>
        <v>#REF!</v>
      </c>
      <c r="X105" s="566" t="e">
        <f t="shared" si="96"/>
        <v>#REF!</v>
      </c>
      <c r="Y105" s="566" t="e">
        <f t="shared" si="96"/>
        <v>#REF!</v>
      </c>
      <c r="Z105" s="566" t="e">
        <f t="shared" si="96"/>
        <v>#REF!</v>
      </c>
      <c r="AA105" s="566" t="e">
        <f t="shared" si="96"/>
        <v>#REF!</v>
      </c>
      <c r="AB105" s="144"/>
      <c r="AC105" s="231">
        <v>0</v>
      </c>
      <c r="AD105" s="231">
        <v>0</v>
      </c>
      <c r="AE105" s="231">
        <v>0</v>
      </c>
      <c r="AF105" s="231">
        <v>0</v>
      </c>
      <c r="AG105" s="231">
        <v>0</v>
      </c>
      <c r="AH105" s="231">
        <v>0</v>
      </c>
      <c r="AI105" s="213"/>
      <c r="AJ105" s="204"/>
      <c r="AK105" s="204"/>
      <c r="AL105" s="204"/>
      <c r="AM105" s="204"/>
      <c r="AN105" s="204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999"/>
      <c r="M106" s="144"/>
      <c r="N106" s="144"/>
      <c r="O106" s="144"/>
      <c r="P106" s="144"/>
      <c r="Q106" s="144"/>
      <c r="R106" s="144"/>
      <c r="S106" s="144"/>
      <c r="T106" s="144"/>
      <c r="U106" s="566" t="e">
        <f t="shared" si="96"/>
        <v>#REF!</v>
      </c>
      <c r="V106" s="566" t="e">
        <f t="shared" si="96"/>
        <v>#REF!</v>
      </c>
      <c r="W106" s="566" t="e">
        <f t="shared" si="96"/>
        <v>#REF!</v>
      </c>
      <c r="X106" s="566" t="e">
        <f t="shared" si="96"/>
        <v>#REF!</v>
      </c>
      <c r="Y106" s="566" t="e">
        <f t="shared" si="96"/>
        <v>#REF!</v>
      </c>
      <c r="Z106" s="566" t="e">
        <f t="shared" si="96"/>
        <v>#REF!</v>
      </c>
      <c r="AA106" s="566" t="e">
        <f t="shared" si="96"/>
        <v>#REF!</v>
      </c>
      <c r="AB106" s="144"/>
      <c r="AC106" s="231">
        <v>0</v>
      </c>
      <c r="AD106" s="231">
        <v>0</v>
      </c>
      <c r="AE106" s="231">
        <v>0</v>
      </c>
      <c r="AF106" s="231">
        <v>0</v>
      </c>
      <c r="AG106" s="231">
        <v>0</v>
      </c>
      <c r="AH106" s="231">
        <v>0</v>
      </c>
      <c r="AI106" s="213"/>
      <c r="AJ106" s="204"/>
      <c r="AK106" s="204"/>
      <c r="AL106" s="204"/>
      <c r="AM106" s="204"/>
      <c r="AN106" s="204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999"/>
      <c r="M107" s="144"/>
      <c r="N107" s="144"/>
      <c r="O107" s="144"/>
      <c r="P107" s="144"/>
      <c r="Q107" s="144"/>
      <c r="R107" s="144"/>
      <c r="S107" s="144"/>
      <c r="T107" s="144"/>
      <c r="U107" s="566" t="e">
        <f t="shared" si="96"/>
        <v>#REF!</v>
      </c>
      <c r="V107" s="566" t="e">
        <f t="shared" si="96"/>
        <v>#REF!</v>
      </c>
      <c r="W107" s="566" t="e">
        <f t="shared" si="96"/>
        <v>#REF!</v>
      </c>
      <c r="X107" s="566" t="e">
        <f t="shared" si="96"/>
        <v>#REF!</v>
      </c>
      <c r="Y107" s="566" t="e">
        <f t="shared" si="96"/>
        <v>#REF!</v>
      </c>
      <c r="Z107" s="566" t="e">
        <f t="shared" si="96"/>
        <v>#REF!</v>
      </c>
      <c r="AA107" s="566" t="e">
        <f t="shared" si="96"/>
        <v>#REF!</v>
      </c>
      <c r="AB107" s="144"/>
      <c r="AC107" s="231"/>
      <c r="AD107" s="231"/>
      <c r="AE107" s="231"/>
      <c r="AF107" s="231"/>
      <c r="AG107" s="231"/>
      <c r="AH107" s="231"/>
      <c r="AI107" s="213"/>
      <c r="AJ107" s="204"/>
      <c r="AK107" s="204"/>
      <c r="AL107" s="204"/>
      <c r="AM107" s="204"/>
      <c r="AN107" s="204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999"/>
      <c r="M108" s="144"/>
      <c r="N108" s="144"/>
      <c r="O108" s="144"/>
      <c r="P108" s="144"/>
      <c r="Q108" s="144"/>
      <c r="R108" s="144"/>
      <c r="S108" s="144"/>
      <c r="T108" s="144"/>
      <c r="U108" s="566" t="e">
        <f t="shared" si="96"/>
        <v>#REF!</v>
      </c>
      <c r="V108" s="566" t="e">
        <f t="shared" si="96"/>
        <v>#REF!</v>
      </c>
      <c r="W108" s="566" t="e">
        <f t="shared" si="96"/>
        <v>#REF!</v>
      </c>
      <c r="X108" s="566" t="e">
        <f t="shared" si="96"/>
        <v>#REF!</v>
      </c>
      <c r="Y108" s="566" t="e">
        <f t="shared" si="96"/>
        <v>#REF!</v>
      </c>
      <c r="Z108" s="566" t="e">
        <f t="shared" si="96"/>
        <v>#REF!</v>
      </c>
      <c r="AA108" s="566" t="e">
        <f t="shared" si="96"/>
        <v>#REF!</v>
      </c>
      <c r="AB108" s="144"/>
      <c r="AC108" s="231"/>
      <c r="AD108" s="231"/>
      <c r="AE108" s="231"/>
      <c r="AF108" s="231"/>
      <c r="AG108" s="231"/>
      <c r="AH108" s="231"/>
      <c r="AI108" s="213"/>
      <c r="AJ108" s="204"/>
      <c r="AK108" s="204"/>
      <c r="AL108" s="204"/>
      <c r="AM108" s="204"/>
      <c r="AN108" s="204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999"/>
      <c r="M109" s="144"/>
      <c r="N109" s="144"/>
      <c r="O109" s="144"/>
      <c r="P109" s="144"/>
      <c r="Q109" s="144"/>
      <c r="R109" s="144"/>
      <c r="S109" s="144"/>
      <c r="T109" s="144"/>
      <c r="U109" s="566" t="e">
        <f t="shared" si="96"/>
        <v>#REF!</v>
      </c>
      <c r="V109" s="566" t="e">
        <f t="shared" si="96"/>
        <v>#REF!</v>
      </c>
      <c r="W109" s="566" t="e">
        <f t="shared" si="96"/>
        <v>#REF!</v>
      </c>
      <c r="X109" s="566" t="e">
        <f t="shared" si="96"/>
        <v>#REF!</v>
      </c>
      <c r="Y109" s="566" t="e">
        <f t="shared" si="96"/>
        <v>#REF!</v>
      </c>
      <c r="Z109" s="566" t="e">
        <f t="shared" si="96"/>
        <v>#REF!</v>
      </c>
      <c r="AA109" s="566" t="e">
        <f t="shared" si="96"/>
        <v>#REF!</v>
      </c>
      <c r="AB109" s="144"/>
      <c r="AC109" s="231">
        <v>0</v>
      </c>
      <c r="AD109" s="231">
        <v>0</v>
      </c>
      <c r="AE109" s="231">
        <v>0</v>
      </c>
      <c r="AF109" s="231">
        <v>0</v>
      </c>
      <c r="AG109" s="231">
        <v>0</v>
      </c>
      <c r="AH109" s="231">
        <v>0</v>
      </c>
      <c r="AI109" s="213"/>
      <c r="AJ109" s="204"/>
      <c r="AK109" s="204"/>
      <c r="AL109" s="204"/>
      <c r="AM109" s="204"/>
      <c r="AN109" s="204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999"/>
      <c r="M110" s="144"/>
      <c r="N110" s="144"/>
      <c r="O110" s="144"/>
      <c r="P110" s="144"/>
      <c r="Q110" s="144"/>
      <c r="R110" s="144"/>
      <c r="S110" s="144"/>
      <c r="T110" s="144"/>
      <c r="U110" s="566" t="e">
        <f t="shared" si="96"/>
        <v>#REF!</v>
      </c>
      <c r="V110" s="566" t="e">
        <f t="shared" si="96"/>
        <v>#REF!</v>
      </c>
      <c r="W110" s="566" t="e">
        <f t="shared" si="96"/>
        <v>#REF!</v>
      </c>
      <c r="X110" s="566" t="e">
        <f t="shared" si="96"/>
        <v>#REF!</v>
      </c>
      <c r="Y110" s="566" t="e">
        <f t="shared" si="96"/>
        <v>#REF!</v>
      </c>
      <c r="Z110" s="566" t="e">
        <f t="shared" si="96"/>
        <v>#REF!</v>
      </c>
      <c r="AA110" s="566" t="e">
        <f t="shared" si="96"/>
        <v>#REF!</v>
      </c>
      <c r="AB110" s="144"/>
      <c r="AC110" s="231">
        <v>0</v>
      </c>
      <c r="AD110" s="231">
        <v>0</v>
      </c>
      <c r="AE110" s="231">
        <v>0</v>
      </c>
      <c r="AF110" s="231">
        <v>0</v>
      </c>
      <c r="AG110" s="231">
        <v>0</v>
      </c>
      <c r="AH110" s="231">
        <v>0</v>
      </c>
      <c r="AI110" s="213"/>
      <c r="AJ110" s="204"/>
      <c r="AK110" s="204"/>
      <c r="AL110" s="204"/>
      <c r="AM110" s="204"/>
      <c r="AN110" s="204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999"/>
      <c r="M111" s="144"/>
      <c r="N111" s="144"/>
      <c r="O111" s="144"/>
      <c r="P111" s="144"/>
      <c r="Q111" s="144"/>
      <c r="R111" s="144"/>
      <c r="S111" s="144"/>
      <c r="T111" s="144"/>
      <c r="U111" s="566" t="e">
        <f t="shared" si="96"/>
        <v>#REF!</v>
      </c>
      <c r="V111" s="566" t="e">
        <f t="shared" si="96"/>
        <v>#REF!</v>
      </c>
      <c r="W111" s="566" t="e">
        <f t="shared" si="96"/>
        <v>#REF!</v>
      </c>
      <c r="X111" s="566" t="e">
        <f t="shared" si="96"/>
        <v>#REF!</v>
      </c>
      <c r="Y111" s="566" t="e">
        <f t="shared" si="96"/>
        <v>#REF!</v>
      </c>
      <c r="Z111" s="566" t="e">
        <f t="shared" si="96"/>
        <v>#REF!</v>
      </c>
      <c r="AA111" s="566" t="e">
        <f t="shared" si="96"/>
        <v>#REF!</v>
      </c>
      <c r="AB111" s="144"/>
      <c r="AC111" s="231">
        <v>0</v>
      </c>
      <c r="AD111" s="231">
        <v>0</v>
      </c>
      <c r="AE111" s="231">
        <v>0</v>
      </c>
      <c r="AF111" s="231">
        <v>0</v>
      </c>
      <c r="AG111" s="231">
        <v>0</v>
      </c>
      <c r="AH111" s="231">
        <v>0</v>
      </c>
      <c r="AI111" s="213"/>
      <c r="AJ111" s="204"/>
      <c r="AK111" s="204"/>
      <c r="AL111" s="204"/>
      <c r="AM111" s="204"/>
      <c r="AN111" s="204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999"/>
      <c r="M112" s="144"/>
      <c r="N112" s="144"/>
      <c r="O112" s="144"/>
      <c r="P112" s="144"/>
      <c r="Q112" s="144"/>
      <c r="R112" s="144"/>
      <c r="S112" s="144"/>
      <c r="T112" s="144"/>
      <c r="U112" s="566" t="e">
        <f t="shared" si="96"/>
        <v>#REF!</v>
      </c>
      <c r="V112" s="566" t="e">
        <f t="shared" si="96"/>
        <v>#REF!</v>
      </c>
      <c r="W112" s="566" t="e">
        <f t="shared" si="96"/>
        <v>#REF!</v>
      </c>
      <c r="X112" s="566" t="e">
        <f t="shared" si="96"/>
        <v>#REF!</v>
      </c>
      <c r="Y112" s="566" t="e">
        <f t="shared" si="96"/>
        <v>#REF!</v>
      </c>
      <c r="Z112" s="566" t="e">
        <f t="shared" si="96"/>
        <v>#REF!</v>
      </c>
      <c r="AA112" s="566" t="e">
        <f t="shared" si="96"/>
        <v>#REF!</v>
      </c>
      <c r="AB112" s="144"/>
      <c r="AC112" s="231"/>
      <c r="AD112" s="231"/>
      <c r="AE112" s="231"/>
      <c r="AF112" s="231"/>
      <c r="AG112" s="231"/>
      <c r="AH112" s="231"/>
      <c r="AI112" s="213"/>
      <c r="AJ112" s="204"/>
      <c r="AK112" s="204"/>
      <c r="AL112" s="204"/>
      <c r="AM112" s="204"/>
      <c r="AN112" s="204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999"/>
      <c r="M113" s="144"/>
      <c r="N113" s="144"/>
      <c r="O113" s="144"/>
      <c r="P113" s="144"/>
      <c r="Q113" s="144"/>
      <c r="R113" s="144"/>
      <c r="S113" s="144"/>
      <c r="T113" s="144"/>
      <c r="U113" s="566" t="e">
        <f t="shared" si="96"/>
        <v>#REF!</v>
      </c>
      <c r="V113" s="566" t="e">
        <f t="shared" si="96"/>
        <v>#REF!</v>
      </c>
      <c r="W113" s="566" t="e">
        <f t="shared" si="96"/>
        <v>#REF!</v>
      </c>
      <c r="X113" s="566" t="e">
        <f t="shared" si="96"/>
        <v>#REF!</v>
      </c>
      <c r="Y113" s="566" t="e">
        <f t="shared" si="96"/>
        <v>#REF!</v>
      </c>
      <c r="Z113" s="566" t="e">
        <f t="shared" si="96"/>
        <v>#REF!</v>
      </c>
      <c r="AA113" s="566" t="e">
        <f t="shared" si="96"/>
        <v>#REF!</v>
      </c>
      <c r="AB113" s="144"/>
      <c r="AC113" s="231"/>
      <c r="AD113" s="231"/>
      <c r="AE113" s="231"/>
      <c r="AF113" s="231"/>
      <c r="AG113" s="231"/>
      <c r="AH113" s="231"/>
      <c r="AI113" s="213"/>
      <c r="AJ113" s="204"/>
      <c r="AK113" s="204"/>
      <c r="AL113" s="204"/>
      <c r="AM113" s="204"/>
      <c r="AN113" s="204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999"/>
      <c r="M114" s="144"/>
      <c r="N114" s="144"/>
      <c r="O114" s="144"/>
      <c r="P114" s="144"/>
      <c r="Q114" s="144"/>
      <c r="R114" s="144"/>
      <c r="S114" s="144"/>
      <c r="T114" s="144"/>
      <c r="U114" s="566" t="e">
        <f t="shared" si="96"/>
        <v>#REF!</v>
      </c>
      <c r="V114" s="566" t="e">
        <f t="shared" si="96"/>
        <v>#REF!</v>
      </c>
      <c r="W114" s="566" t="e">
        <f t="shared" si="96"/>
        <v>#REF!</v>
      </c>
      <c r="X114" s="566" t="e">
        <f t="shared" si="96"/>
        <v>#REF!</v>
      </c>
      <c r="Y114" s="566" t="e">
        <f t="shared" si="96"/>
        <v>#REF!</v>
      </c>
      <c r="Z114" s="566" t="e">
        <f t="shared" si="96"/>
        <v>#REF!</v>
      </c>
      <c r="AA114" s="566" t="e">
        <f t="shared" si="96"/>
        <v>#REF!</v>
      </c>
      <c r="AB114" s="144"/>
      <c r="AC114" s="231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13"/>
      <c r="AJ114" s="204"/>
      <c r="AK114" s="204"/>
      <c r="AL114" s="204"/>
      <c r="AM114" s="204"/>
      <c r="AN114" s="204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999"/>
      <c r="M115" s="144"/>
      <c r="N115" s="144"/>
      <c r="O115" s="144"/>
      <c r="P115" s="144"/>
      <c r="Q115" s="144"/>
      <c r="R115" s="144"/>
      <c r="S115" s="144"/>
      <c r="T115" s="144"/>
      <c r="U115" s="566" t="e">
        <f t="shared" si="96"/>
        <v>#REF!</v>
      </c>
      <c r="V115" s="566" t="e">
        <f t="shared" si="96"/>
        <v>#REF!</v>
      </c>
      <c r="W115" s="566" t="e">
        <f t="shared" si="96"/>
        <v>#REF!</v>
      </c>
      <c r="X115" s="566" t="e">
        <f t="shared" si="96"/>
        <v>#REF!</v>
      </c>
      <c r="Y115" s="566" t="e">
        <f t="shared" si="96"/>
        <v>#REF!</v>
      </c>
      <c r="Z115" s="566" t="e">
        <f t="shared" si="96"/>
        <v>#REF!</v>
      </c>
      <c r="AA115" s="566" t="e">
        <f t="shared" si="96"/>
        <v>#REF!</v>
      </c>
      <c r="AB115" s="144"/>
      <c r="AC115" s="231">
        <v>0</v>
      </c>
      <c r="AD115" s="231">
        <v>0</v>
      </c>
      <c r="AE115" s="231">
        <v>0</v>
      </c>
      <c r="AF115" s="231">
        <v>0</v>
      </c>
      <c r="AG115" s="231">
        <v>0</v>
      </c>
      <c r="AH115" s="231">
        <v>0</v>
      </c>
      <c r="AI115" s="213"/>
      <c r="AJ115" s="204"/>
      <c r="AK115" s="204"/>
      <c r="AL115" s="204"/>
      <c r="AM115" s="204"/>
      <c r="AN115" s="204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999"/>
      <c r="M116" s="144"/>
      <c r="N116" s="144"/>
      <c r="O116" s="144"/>
      <c r="P116" s="144"/>
      <c r="Q116" s="144"/>
      <c r="R116" s="144"/>
      <c r="S116" s="144"/>
      <c r="T116" s="144"/>
      <c r="U116" s="566" t="e">
        <f t="shared" ref="U116:AA122" si="97">IF(U115&gt;0,U115,U114)</f>
        <v>#REF!</v>
      </c>
      <c r="V116" s="566" t="e">
        <f t="shared" si="97"/>
        <v>#REF!</v>
      </c>
      <c r="W116" s="566" t="e">
        <f t="shared" si="97"/>
        <v>#REF!</v>
      </c>
      <c r="X116" s="566" t="e">
        <f t="shared" si="97"/>
        <v>#REF!</v>
      </c>
      <c r="Y116" s="566" t="e">
        <f t="shared" si="97"/>
        <v>#REF!</v>
      </c>
      <c r="Z116" s="566" t="e">
        <f t="shared" si="97"/>
        <v>#REF!</v>
      </c>
      <c r="AA116" s="566" t="e">
        <f t="shared" si="97"/>
        <v>#REF!</v>
      </c>
      <c r="AB116" s="144"/>
      <c r="AC116" s="231">
        <v>0</v>
      </c>
      <c r="AD116" s="231">
        <v>0</v>
      </c>
      <c r="AE116" s="231">
        <v>0</v>
      </c>
      <c r="AF116" s="231">
        <v>0</v>
      </c>
      <c r="AG116" s="231">
        <v>0</v>
      </c>
      <c r="AH116" s="231">
        <v>0</v>
      </c>
      <c r="AI116" s="213"/>
      <c r="AJ116" s="204"/>
      <c r="AK116" s="204"/>
      <c r="AL116" s="204"/>
      <c r="AM116" s="204"/>
      <c r="AN116" s="204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999"/>
      <c r="M117" s="144"/>
      <c r="N117" s="144"/>
      <c r="O117" s="144"/>
      <c r="P117" s="144"/>
      <c r="Q117" s="144"/>
      <c r="R117" s="144"/>
      <c r="S117" s="144"/>
      <c r="T117" s="144"/>
      <c r="U117" s="566" t="e">
        <f t="shared" si="97"/>
        <v>#REF!</v>
      </c>
      <c r="V117" s="566" t="e">
        <f t="shared" si="97"/>
        <v>#REF!</v>
      </c>
      <c r="W117" s="566" t="e">
        <f t="shared" si="97"/>
        <v>#REF!</v>
      </c>
      <c r="X117" s="566" t="e">
        <f t="shared" si="97"/>
        <v>#REF!</v>
      </c>
      <c r="Y117" s="566" t="e">
        <f t="shared" si="97"/>
        <v>#REF!</v>
      </c>
      <c r="Z117" s="566" t="e">
        <f t="shared" si="97"/>
        <v>#REF!</v>
      </c>
      <c r="AA117" s="566" t="e">
        <f t="shared" si="97"/>
        <v>#REF!</v>
      </c>
      <c r="AB117" s="144"/>
      <c r="AC117" s="231"/>
      <c r="AD117" s="231"/>
      <c r="AE117" s="231"/>
      <c r="AF117" s="231"/>
      <c r="AG117" s="231"/>
      <c r="AH117" s="231"/>
      <c r="AI117" s="213"/>
      <c r="AJ117" s="204"/>
      <c r="AK117" s="204"/>
      <c r="AL117" s="204"/>
      <c r="AM117" s="204"/>
      <c r="AN117" s="204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999"/>
      <c r="M118" s="144"/>
      <c r="N118" s="144"/>
      <c r="O118" s="144"/>
      <c r="P118" s="144"/>
      <c r="Q118" s="144"/>
      <c r="R118" s="144"/>
      <c r="S118" s="144"/>
      <c r="T118" s="144"/>
      <c r="U118" s="566" t="e">
        <f t="shared" si="97"/>
        <v>#REF!</v>
      </c>
      <c r="V118" s="566" t="e">
        <f t="shared" si="97"/>
        <v>#REF!</v>
      </c>
      <c r="W118" s="566" t="e">
        <f t="shared" si="97"/>
        <v>#REF!</v>
      </c>
      <c r="X118" s="566" t="e">
        <f t="shared" si="97"/>
        <v>#REF!</v>
      </c>
      <c r="Y118" s="566" t="e">
        <f t="shared" si="97"/>
        <v>#REF!</v>
      </c>
      <c r="Z118" s="566" t="e">
        <f t="shared" si="97"/>
        <v>#REF!</v>
      </c>
      <c r="AA118" s="566" t="e">
        <f t="shared" si="97"/>
        <v>#REF!</v>
      </c>
      <c r="AB118" s="144"/>
      <c r="AC118" s="231"/>
      <c r="AD118" s="231"/>
      <c r="AE118" s="231"/>
      <c r="AF118" s="231"/>
      <c r="AG118" s="231"/>
      <c r="AH118" s="231"/>
      <c r="AI118" s="213"/>
      <c r="AJ118" s="204"/>
      <c r="AK118" s="204"/>
      <c r="AL118" s="204"/>
      <c r="AM118" s="204"/>
      <c r="AN118" s="204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999"/>
      <c r="M119" s="144"/>
      <c r="N119" s="144"/>
      <c r="O119" s="144"/>
      <c r="P119" s="144"/>
      <c r="Q119" s="144"/>
      <c r="R119" s="144"/>
      <c r="S119" s="144"/>
      <c r="T119" s="144"/>
      <c r="U119" s="566" t="e">
        <f t="shared" si="97"/>
        <v>#REF!</v>
      </c>
      <c r="V119" s="566" t="e">
        <f t="shared" si="97"/>
        <v>#REF!</v>
      </c>
      <c r="W119" s="566" t="e">
        <f t="shared" si="97"/>
        <v>#REF!</v>
      </c>
      <c r="X119" s="566" t="e">
        <f t="shared" si="97"/>
        <v>#REF!</v>
      </c>
      <c r="Y119" s="566" t="e">
        <f t="shared" si="97"/>
        <v>#REF!</v>
      </c>
      <c r="Z119" s="566" t="e">
        <f t="shared" si="97"/>
        <v>#REF!</v>
      </c>
      <c r="AA119" s="566" t="e">
        <f t="shared" si="97"/>
        <v>#REF!</v>
      </c>
      <c r="AB119" s="144"/>
      <c r="AC119" s="231">
        <v>0</v>
      </c>
      <c r="AD119" s="231">
        <v>0</v>
      </c>
      <c r="AE119" s="231">
        <v>0</v>
      </c>
      <c r="AF119" s="231">
        <v>0</v>
      </c>
      <c r="AG119" s="231">
        <v>0</v>
      </c>
      <c r="AH119" s="231">
        <v>0</v>
      </c>
      <c r="AI119" s="213"/>
      <c r="AJ119" s="204"/>
      <c r="AK119" s="204"/>
      <c r="AL119" s="204"/>
      <c r="AM119" s="204"/>
      <c r="AN119" s="204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999"/>
      <c r="M120" s="144"/>
      <c r="N120" s="144"/>
      <c r="O120" s="144"/>
      <c r="P120" s="144"/>
      <c r="Q120" s="144"/>
      <c r="R120" s="144"/>
      <c r="S120" s="144"/>
      <c r="T120" s="144"/>
      <c r="U120" s="566" t="e">
        <f t="shared" si="97"/>
        <v>#REF!</v>
      </c>
      <c r="V120" s="566" t="e">
        <f t="shared" si="97"/>
        <v>#REF!</v>
      </c>
      <c r="W120" s="566" t="e">
        <f t="shared" si="97"/>
        <v>#REF!</v>
      </c>
      <c r="X120" s="566" t="e">
        <f t="shared" si="97"/>
        <v>#REF!</v>
      </c>
      <c r="Y120" s="566" t="e">
        <f t="shared" si="97"/>
        <v>#REF!</v>
      </c>
      <c r="Z120" s="566" t="e">
        <f t="shared" si="97"/>
        <v>#REF!</v>
      </c>
      <c r="AA120" s="566" t="e">
        <f t="shared" si="97"/>
        <v>#REF!</v>
      </c>
      <c r="AB120" s="144"/>
      <c r="AC120" s="231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13"/>
      <c r="AJ120" s="204"/>
      <c r="AK120" s="204"/>
      <c r="AL120" s="204"/>
      <c r="AM120" s="204"/>
      <c r="AN120" s="204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999"/>
      <c r="M121" s="144"/>
      <c r="N121" s="144"/>
      <c r="O121" s="144"/>
      <c r="P121" s="144"/>
      <c r="Q121" s="144"/>
      <c r="R121" s="144"/>
      <c r="S121" s="144"/>
      <c r="T121" s="144"/>
      <c r="U121" s="566" t="e">
        <f t="shared" si="97"/>
        <v>#REF!</v>
      </c>
      <c r="V121" s="566" t="e">
        <f t="shared" si="97"/>
        <v>#REF!</v>
      </c>
      <c r="W121" s="566" t="e">
        <f t="shared" si="97"/>
        <v>#REF!</v>
      </c>
      <c r="X121" s="566" t="e">
        <f t="shared" si="97"/>
        <v>#REF!</v>
      </c>
      <c r="Y121" s="566" t="e">
        <f t="shared" si="97"/>
        <v>#REF!</v>
      </c>
      <c r="Z121" s="566" t="e">
        <f t="shared" si="97"/>
        <v>#REF!</v>
      </c>
      <c r="AA121" s="566" t="e">
        <f t="shared" si="97"/>
        <v>#REF!</v>
      </c>
      <c r="AB121" s="144"/>
      <c r="AC121" s="231">
        <v>0</v>
      </c>
      <c r="AD121" s="231">
        <v>0</v>
      </c>
      <c r="AE121" s="231">
        <v>0</v>
      </c>
      <c r="AF121" s="231">
        <v>0</v>
      </c>
      <c r="AG121" s="231">
        <v>0</v>
      </c>
      <c r="AH121" s="231">
        <v>0</v>
      </c>
      <c r="AI121" s="213"/>
      <c r="AJ121" s="204"/>
      <c r="AK121" s="204"/>
      <c r="AL121" s="204"/>
      <c r="AM121" s="204"/>
      <c r="AN121" s="204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999"/>
      <c r="M122" s="144"/>
      <c r="N122" s="144"/>
      <c r="O122" s="144"/>
      <c r="P122" s="144"/>
      <c r="Q122" s="144"/>
      <c r="R122" s="144"/>
      <c r="S122" s="144"/>
      <c r="T122" s="144"/>
      <c r="U122" s="1130" t="e">
        <f>IF(U121&gt;0,U121,U120)</f>
        <v>#REF!</v>
      </c>
      <c r="V122" s="1130" t="e">
        <f t="shared" si="97"/>
        <v>#REF!</v>
      </c>
      <c r="W122" s="1130" t="e">
        <f t="shared" si="97"/>
        <v>#REF!</v>
      </c>
      <c r="X122" s="1130" t="e">
        <f t="shared" si="97"/>
        <v>#REF!</v>
      </c>
      <c r="Y122" s="1130" t="e">
        <f t="shared" si="97"/>
        <v>#REF!</v>
      </c>
      <c r="Z122" s="1130" t="e">
        <f t="shared" si="97"/>
        <v>#REF!</v>
      </c>
      <c r="AA122" s="1130" t="e">
        <f t="shared" si="97"/>
        <v>#REF!</v>
      </c>
      <c r="AB122" s="144"/>
      <c r="AC122" s="231"/>
      <c r="AD122" s="231"/>
      <c r="AE122" s="231"/>
      <c r="AF122" s="231"/>
      <c r="AG122" s="231"/>
      <c r="AH122" s="231"/>
      <c r="AI122" s="213"/>
      <c r="AJ122" s="204"/>
      <c r="AK122" s="204"/>
      <c r="AL122" s="204"/>
      <c r="AM122" s="204"/>
      <c r="AN122" s="204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999"/>
      <c r="M123" s="144"/>
      <c r="N123" s="144"/>
      <c r="O123" s="144"/>
      <c r="P123" s="144"/>
      <c r="Q123" s="144"/>
      <c r="R123" s="144"/>
      <c r="S123" s="144"/>
      <c r="T123" s="144"/>
      <c r="U123" s="222"/>
      <c r="V123" s="222"/>
      <c r="W123" s="222"/>
      <c r="X123" s="222"/>
      <c r="Y123" s="222"/>
      <c r="Z123" s="222"/>
      <c r="AA123" s="222"/>
      <c r="AB123" s="144"/>
      <c r="AC123" s="231"/>
      <c r="AD123" s="231"/>
      <c r="AE123" s="231"/>
      <c r="AF123" s="231"/>
      <c r="AG123" s="231"/>
      <c r="AH123" s="231"/>
      <c r="AI123" s="213"/>
      <c r="AJ123" s="204"/>
      <c r="AK123" s="204"/>
      <c r="AL123" s="204"/>
      <c r="AM123" s="204"/>
      <c r="AN123" s="204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999"/>
      <c r="M124" s="144"/>
      <c r="N124" s="144"/>
      <c r="O124" s="144"/>
      <c r="P124" s="144"/>
      <c r="Q124" s="144"/>
      <c r="R124" s="144"/>
      <c r="S124" s="144"/>
      <c r="T124" s="144"/>
      <c r="U124" s="222"/>
      <c r="V124" s="222"/>
      <c r="W124" s="222"/>
      <c r="X124" s="222"/>
      <c r="Y124" s="222"/>
      <c r="Z124" s="222"/>
      <c r="AA124" s="222"/>
      <c r="AB124" s="144"/>
      <c r="AC124" s="231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13"/>
      <c r="AJ124" s="204"/>
      <c r="AK124" s="204"/>
      <c r="AL124" s="204"/>
      <c r="AM124" s="204"/>
      <c r="AN124" s="204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999"/>
      <c r="M125" s="144"/>
      <c r="N125" s="144"/>
      <c r="O125" s="144"/>
      <c r="P125" s="144"/>
      <c r="Q125" s="144"/>
      <c r="R125" s="144"/>
      <c r="S125" s="144"/>
      <c r="T125" s="144"/>
      <c r="U125" s="222"/>
      <c r="V125" s="222"/>
      <c r="W125" s="222"/>
      <c r="X125" s="222"/>
      <c r="Y125" s="222"/>
      <c r="Z125" s="222"/>
      <c r="AA125" s="222"/>
      <c r="AB125" s="144"/>
      <c r="AC125" s="231"/>
      <c r="AD125" s="231"/>
      <c r="AE125" s="231"/>
      <c r="AF125" s="231"/>
      <c r="AG125" s="231"/>
      <c r="AH125" s="231"/>
      <c r="AJ125" s="204"/>
      <c r="AK125" s="204"/>
      <c r="AL125" s="204"/>
      <c r="AM125" s="204"/>
      <c r="AN125" s="204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999"/>
      <c r="M126" s="144"/>
      <c r="N126" s="144"/>
      <c r="O126" s="144"/>
      <c r="P126" s="144"/>
      <c r="Q126" s="144"/>
      <c r="R126" s="144"/>
      <c r="S126" s="144"/>
      <c r="T126" s="144"/>
      <c r="U126" s="222"/>
      <c r="V126" s="222"/>
      <c r="W126" s="222"/>
      <c r="X126" s="222"/>
      <c r="Y126" s="222"/>
      <c r="Z126" s="222"/>
      <c r="AA126" s="222"/>
      <c r="AB126" s="144"/>
      <c r="AJ126" s="204"/>
      <c r="AK126" s="204"/>
      <c r="AL126" s="204"/>
      <c r="AM126" s="204"/>
      <c r="AN126" s="204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999"/>
      <c r="M127" s="144"/>
      <c r="N127" s="144"/>
      <c r="O127" s="144"/>
      <c r="P127" s="144"/>
      <c r="Q127" s="144"/>
      <c r="R127" s="144"/>
      <c r="S127" s="144"/>
      <c r="T127" s="144"/>
      <c r="U127" s="222"/>
      <c r="V127" s="222"/>
      <c r="W127" s="222"/>
      <c r="X127" s="222"/>
      <c r="Y127" s="222"/>
      <c r="Z127" s="222"/>
      <c r="AA127" s="222"/>
      <c r="AB127" s="144"/>
      <c r="AJ127" s="204"/>
      <c r="AK127" s="204"/>
      <c r="AL127" s="204"/>
      <c r="AM127" s="204"/>
      <c r="AN127" s="204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999"/>
      <c r="M128" s="144"/>
      <c r="N128" s="144"/>
      <c r="O128" s="144"/>
      <c r="P128" s="144"/>
      <c r="Q128" s="144"/>
      <c r="R128" s="144"/>
      <c r="S128" s="144"/>
      <c r="T128" s="144"/>
      <c r="U128" s="222"/>
      <c r="V128" s="222"/>
      <c r="W128" s="222"/>
      <c r="X128" s="222"/>
      <c r="Y128" s="222"/>
      <c r="Z128" s="222"/>
      <c r="AA128" s="222"/>
      <c r="AB128" s="144"/>
      <c r="AJ128" s="204"/>
      <c r="AK128" s="204"/>
      <c r="AL128" s="204"/>
      <c r="AM128" s="204"/>
      <c r="AN128" s="204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999"/>
      <c r="M129" s="144"/>
      <c r="N129" s="144"/>
      <c r="O129" s="144"/>
      <c r="P129" s="144"/>
      <c r="Q129" s="144"/>
      <c r="R129" s="144"/>
      <c r="S129" s="144"/>
      <c r="T129" s="144"/>
      <c r="U129" s="222"/>
      <c r="V129" s="222"/>
      <c r="W129" s="222"/>
      <c r="X129" s="222"/>
      <c r="Y129" s="222"/>
      <c r="Z129" s="222"/>
      <c r="AA129" s="222"/>
      <c r="AB129" s="144"/>
      <c r="AJ129" s="204"/>
      <c r="AK129" s="204"/>
      <c r="AL129" s="204"/>
      <c r="AM129" s="204"/>
      <c r="AN129" s="204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999"/>
      <c r="M130" s="144"/>
      <c r="N130" s="144"/>
      <c r="O130" s="144"/>
      <c r="P130" s="144"/>
      <c r="Q130" s="144"/>
      <c r="R130" s="144"/>
      <c r="S130" s="144"/>
      <c r="T130" s="144"/>
      <c r="U130" s="222"/>
      <c r="V130" s="222"/>
      <c r="W130" s="222"/>
      <c r="X130" s="222"/>
      <c r="Y130" s="222"/>
      <c r="Z130" s="222"/>
      <c r="AA130" s="222"/>
      <c r="AB130" s="144"/>
      <c r="AJ130" s="204"/>
      <c r="AK130" s="204"/>
      <c r="AL130" s="204"/>
      <c r="AM130" s="204"/>
      <c r="AN130" s="204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999"/>
      <c r="M131" s="144"/>
      <c r="N131" s="144"/>
      <c r="O131" s="144"/>
      <c r="P131" s="144"/>
      <c r="Q131" s="144"/>
      <c r="R131" s="144"/>
      <c r="S131" s="144"/>
      <c r="T131" s="144"/>
      <c r="U131" s="222"/>
      <c r="V131" s="222"/>
      <c r="W131" s="222"/>
      <c r="X131" s="222"/>
      <c r="Y131" s="222"/>
      <c r="Z131" s="222"/>
      <c r="AA131" s="222"/>
      <c r="AB131" s="144"/>
      <c r="AJ131" s="204"/>
      <c r="AK131" s="204"/>
      <c r="AL131" s="204"/>
      <c r="AM131" s="204"/>
      <c r="AN131" s="204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999"/>
      <c r="M132" s="144"/>
      <c r="N132" s="144"/>
      <c r="O132" s="144"/>
      <c r="P132" s="144"/>
      <c r="Q132" s="144"/>
      <c r="R132" s="144"/>
      <c r="S132" s="144"/>
      <c r="T132" s="144"/>
      <c r="U132" s="222"/>
      <c r="V132" s="222"/>
      <c r="W132" s="222"/>
      <c r="X132" s="222"/>
      <c r="Y132" s="222"/>
      <c r="Z132" s="222"/>
      <c r="AA132" s="222"/>
      <c r="AB132" s="144"/>
      <c r="AJ132" s="204"/>
      <c r="AK132" s="204"/>
      <c r="AL132" s="204"/>
      <c r="AM132" s="204"/>
      <c r="AN132" s="204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999"/>
      <c r="M133" s="144"/>
      <c r="N133" s="144"/>
      <c r="O133" s="144"/>
      <c r="P133" s="144"/>
      <c r="Q133" s="144"/>
      <c r="R133" s="144"/>
      <c r="S133" s="144"/>
      <c r="T133" s="144"/>
      <c r="U133" s="222"/>
      <c r="V133" s="222"/>
      <c r="W133" s="222"/>
      <c r="X133" s="222"/>
      <c r="Y133" s="222"/>
      <c r="Z133" s="222"/>
      <c r="AA133" s="222"/>
      <c r="AB133" s="144"/>
      <c r="AN133" s="204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999"/>
      <c r="M134" s="144"/>
      <c r="N134" s="144"/>
      <c r="O134" s="144"/>
      <c r="P134" s="144"/>
      <c r="Q134" s="144"/>
      <c r="R134" s="144"/>
      <c r="S134" s="144"/>
      <c r="T134" s="144"/>
      <c r="U134" s="222"/>
      <c r="V134" s="222"/>
      <c r="W134" s="222"/>
      <c r="X134" s="222"/>
      <c r="Y134" s="222"/>
      <c r="Z134" s="222"/>
      <c r="AA134" s="222"/>
      <c r="AB134" s="144"/>
      <c r="AN134" s="204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999"/>
      <c r="M135" s="144"/>
      <c r="N135" s="144"/>
      <c r="O135" s="144"/>
      <c r="P135" s="144"/>
      <c r="Q135" s="144"/>
      <c r="R135" s="144"/>
      <c r="S135" s="144"/>
      <c r="T135" s="144"/>
      <c r="U135" s="222"/>
      <c r="V135" s="222"/>
      <c r="W135" s="222"/>
      <c r="X135" s="222"/>
      <c r="Y135" s="222"/>
      <c r="Z135" s="222"/>
      <c r="AA135" s="222"/>
      <c r="AB135" s="144"/>
      <c r="AN135" s="204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999"/>
      <c r="M136" s="144"/>
      <c r="N136" s="144"/>
      <c r="O136" s="144"/>
      <c r="P136" s="144"/>
      <c r="Q136" s="144"/>
      <c r="R136" s="144"/>
      <c r="S136" s="144"/>
      <c r="T136" s="144"/>
      <c r="U136" s="222"/>
      <c r="V136" s="222"/>
      <c r="W136" s="222"/>
      <c r="X136" s="222"/>
      <c r="Y136" s="222"/>
      <c r="Z136" s="222"/>
      <c r="AA136" s="222"/>
      <c r="AB136" s="144"/>
      <c r="AN136" s="204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999"/>
      <c r="M137" s="144"/>
      <c r="N137" s="144"/>
      <c r="O137" s="144"/>
      <c r="P137" s="144"/>
      <c r="Q137" s="144"/>
      <c r="R137" s="144"/>
      <c r="S137" s="144"/>
      <c r="T137" s="144"/>
      <c r="U137" s="222"/>
      <c r="V137" s="222"/>
      <c r="W137" s="222"/>
      <c r="X137" s="222"/>
      <c r="Y137" s="222"/>
      <c r="Z137" s="222"/>
      <c r="AA137" s="222"/>
      <c r="AB137" s="144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  <c r="AN137" s="204"/>
    </row>
    <row r="138" spans="1:40" s="247" customFormat="1" ht="15" customHeight="1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999"/>
      <c r="M138" s="144"/>
      <c r="N138" s="144"/>
      <c r="O138" s="144"/>
      <c r="P138" s="144"/>
      <c r="Q138" s="144"/>
      <c r="R138" s="144"/>
      <c r="S138" s="144"/>
      <c r="T138" s="144"/>
      <c r="U138" s="222"/>
      <c r="V138" s="222"/>
      <c r="W138" s="222"/>
      <c r="X138" s="222"/>
      <c r="Y138" s="222"/>
      <c r="Z138" s="222"/>
      <c r="AA138" s="222"/>
      <c r="AB138" s="144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1:40" s="247" customFormat="1" ht="11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999"/>
      <c r="M139" s="144"/>
      <c r="N139" s="144"/>
      <c r="O139" s="144"/>
      <c r="P139" s="144"/>
      <c r="Q139" s="144"/>
      <c r="R139" s="144"/>
      <c r="S139" s="144"/>
      <c r="T139" s="144"/>
      <c r="U139" s="222"/>
      <c r="V139" s="222"/>
      <c r="W139" s="222"/>
      <c r="X139" s="222"/>
      <c r="Y139" s="222"/>
      <c r="Z139" s="222"/>
      <c r="AA139" s="222"/>
      <c r="AB139" s="144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1:40" s="247" customFormat="1" ht="11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999"/>
      <c r="M140" s="144"/>
      <c r="N140" s="144"/>
      <c r="O140" s="144"/>
      <c r="P140" s="144"/>
      <c r="Q140" s="144"/>
      <c r="R140" s="144"/>
      <c r="S140" s="144"/>
      <c r="T140" s="144"/>
      <c r="U140" s="222"/>
      <c r="V140" s="222"/>
      <c r="W140" s="222"/>
      <c r="X140" s="222"/>
      <c r="Y140" s="222"/>
      <c r="Z140" s="222"/>
      <c r="AA140" s="222"/>
      <c r="AB140" s="144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1:40" s="247" customFormat="1" ht="11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999"/>
      <c r="M141" s="144"/>
      <c r="N141" s="144"/>
      <c r="O141" s="144"/>
      <c r="P141" s="144"/>
      <c r="Q141" s="144"/>
      <c r="R141" s="144"/>
      <c r="S141" s="144"/>
      <c r="T141" s="144"/>
      <c r="U141" s="222"/>
      <c r="V141" s="222"/>
      <c r="W141" s="222"/>
      <c r="X141" s="222"/>
      <c r="Y141" s="222"/>
      <c r="Z141" s="222"/>
      <c r="AA141" s="222"/>
      <c r="AB141" s="144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1:40" s="247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999"/>
      <c r="M142" s="458"/>
      <c r="N142" s="145"/>
      <c r="O142" s="146"/>
      <c r="P142" s="146"/>
      <c r="Q142" s="147"/>
      <c r="R142" s="147"/>
      <c r="S142" s="142"/>
      <c r="T142" s="142"/>
      <c r="U142" s="222"/>
      <c r="V142" s="222"/>
      <c r="W142" s="222"/>
      <c r="X142" s="222"/>
      <c r="Y142" s="222"/>
      <c r="Z142" s="222"/>
      <c r="AA142" s="222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1:40" s="247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999"/>
      <c r="M143" s="458"/>
      <c r="N143" s="145"/>
      <c r="O143" s="146"/>
      <c r="P143" s="146"/>
      <c r="Q143" s="147"/>
      <c r="R143" s="147"/>
      <c r="S143" s="142"/>
      <c r="T143" s="142"/>
      <c r="U143" s="222"/>
      <c r="V143" s="222"/>
      <c r="W143" s="222"/>
      <c r="X143" s="222"/>
      <c r="Y143" s="222"/>
      <c r="Z143" s="222"/>
      <c r="AA143" s="222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1:40" s="247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999"/>
      <c r="M144" s="458"/>
      <c r="N144" s="145"/>
      <c r="O144" s="146"/>
      <c r="P144" s="146"/>
      <c r="Q144" s="147"/>
      <c r="R144" s="147"/>
      <c r="S144" s="142"/>
      <c r="T144" s="142"/>
      <c r="U144" s="222"/>
      <c r="V144" s="222"/>
      <c r="W144" s="222"/>
      <c r="X144" s="222"/>
      <c r="Y144" s="222"/>
      <c r="Z144" s="222"/>
      <c r="AA144" s="222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39" s="247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999"/>
      <c r="M145" s="458"/>
      <c r="N145" s="145"/>
      <c r="O145" s="146"/>
      <c r="P145" s="146"/>
      <c r="Q145" s="147"/>
      <c r="R145" s="147"/>
      <c r="S145" s="142"/>
      <c r="T145" s="142"/>
      <c r="U145" s="222"/>
      <c r="V145" s="222"/>
      <c r="W145" s="222"/>
      <c r="X145" s="222"/>
      <c r="Y145" s="222"/>
      <c r="Z145" s="222"/>
      <c r="AA145" s="222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39" s="247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999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39" s="247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999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39" s="247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999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39" s="247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999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39" s="247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999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39" s="247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999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39" s="247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999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39" s="247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999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39" s="247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999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39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999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39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999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39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999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39" s="247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999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39" s="247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999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39" s="247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999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39" s="247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999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39" s="247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999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39" s="247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999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39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999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39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999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39" s="247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999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39" s="247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999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B167" s="247">
        <f>SUBTOTAL(9,AB125:AB166)</f>
        <v>0</v>
      </c>
      <c r="AC167" s="214">
        <f>SUBTOTAL(9,AC125:AC166)</f>
        <v>0</v>
      </c>
      <c r="AD167" s="214">
        <f>SUBTOTAL(9,AD125:AD166)</f>
        <v>0</v>
      </c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39" s="247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999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B168" s="247">
        <v>0</v>
      </c>
      <c r="AC168" s="214">
        <v>0</v>
      </c>
      <c r="AD168" s="214">
        <v>0</v>
      </c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39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999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B169" s="247">
        <v>0</v>
      </c>
      <c r="AC169" s="214">
        <v>0</v>
      </c>
      <c r="AD169" s="214">
        <v>0</v>
      </c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39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999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B170" s="247">
        <v>0</v>
      </c>
      <c r="AC170" s="214">
        <v>0</v>
      </c>
      <c r="AD170" s="214">
        <v>0</v>
      </c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39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999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B171" s="247">
        <v>0</v>
      </c>
      <c r="AC171" s="214">
        <v>0</v>
      </c>
      <c r="AD171" s="214">
        <v>0</v>
      </c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39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999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B172" s="247">
        <v>0</v>
      </c>
      <c r="AC172" s="214">
        <v>0</v>
      </c>
      <c r="AD172" s="214">
        <v>0</v>
      </c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39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999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247">
        <v>0</v>
      </c>
      <c r="AC173" s="214">
        <v>0</v>
      </c>
      <c r="AD173" s="214">
        <v>0</v>
      </c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39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999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247">
        <v>0</v>
      </c>
      <c r="AC174" s="214">
        <v>0</v>
      </c>
      <c r="AD174" s="214">
        <v>0</v>
      </c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39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999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247">
        <v>0</v>
      </c>
      <c r="AC175" s="214">
        <v>0</v>
      </c>
      <c r="AD175" s="214">
        <v>0</v>
      </c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39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999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B176" s="247">
        <v>0</v>
      </c>
      <c r="AC176" s="214">
        <v>0</v>
      </c>
      <c r="AD176" s="214">
        <v>0</v>
      </c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41" s="247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999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B177" s="247">
        <v>0</v>
      </c>
      <c r="AC177" s="214">
        <v>0</v>
      </c>
      <c r="AD177" s="214">
        <v>0</v>
      </c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41" s="247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999"/>
      <c r="M178" s="458"/>
      <c r="N178" s="145"/>
      <c r="O178" s="146"/>
      <c r="P178" s="146"/>
      <c r="Q178" s="147"/>
      <c r="R178" s="147"/>
      <c r="S178" s="142"/>
      <c r="T178" s="142"/>
      <c r="U178" s="146">
        <f>SUBTOTAL(9,U136:U177)</f>
        <v>0</v>
      </c>
      <c r="V178" s="146">
        <f t="shared" ref="V178:AA178" si="98">SUBTOTAL(9,V136:V177)</f>
        <v>0</v>
      </c>
      <c r="W178" s="146">
        <f t="shared" si="98"/>
        <v>0</v>
      </c>
      <c r="X178" s="146">
        <f t="shared" si="98"/>
        <v>0</v>
      </c>
      <c r="Y178" s="146">
        <f t="shared" si="98"/>
        <v>0</v>
      </c>
      <c r="Z178" s="146">
        <f t="shared" si="98"/>
        <v>0</v>
      </c>
      <c r="AA178" s="146">
        <f t="shared" si="98"/>
        <v>0</v>
      </c>
      <c r="AB178" s="247">
        <v>0</v>
      </c>
      <c r="AC178" s="214">
        <v>0</v>
      </c>
      <c r="AD178" s="214">
        <v>0</v>
      </c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41" s="213" customFormat="1" ht="14" thickBot="1">
      <c r="B179" s="139"/>
      <c r="C179" s="138"/>
      <c r="D179" s="908"/>
      <c r="E179" s="138"/>
      <c r="F179" s="140"/>
      <c r="G179" s="141"/>
      <c r="H179" s="141"/>
      <c r="I179" s="141"/>
      <c r="J179" s="141"/>
      <c r="K179" s="141"/>
      <c r="L179" s="1000"/>
      <c r="M179" s="458"/>
      <c r="N179" s="140"/>
      <c r="O179" s="141"/>
      <c r="P179" s="141"/>
      <c r="Q179" s="148"/>
      <c r="R179" s="148"/>
      <c r="S179" s="149"/>
      <c r="T179" s="149"/>
      <c r="U179" s="150"/>
      <c r="V179" s="150"/>
      <c r="W179" s="150"/>
      <c r="X179" s="150"/>
      <c r="Y179" s="150"/>
      <c r="Z179" s="150"/>
      <c r="AA179" s="150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41" s="213" customFormat="1" ht="15" thickTop="1" thickBot="1">
      <c r="B180" s="139"/>
      <c r="C180" s="138"/>
      <c r="D180" s="908"/>
      <c r="E180" s="138"/>
      <c r="F180" s="140"/>
      <c r="G180" s="141"/>
      <c r="H180" s="141"/>
      <c r="I180" s="141"/>
      <c r="J180" s="141"/>
      <c r="K180" s="141"/>
      <c r="L180" s="1000"/>
      <c r="M180" s="458"/>
      <c r="N180" s="140"/>
      <c r="O180" s="141"/>
      <c r="P180" s="141"/>
      <c r="Q180" s="148"/>
      <c r="R180" s="148"/>
      <c r="S180" s="148"/>
      <c r="T180" s="149"/>
      <c r="U180" s="151"/>
      <c r="V180" s="152"/>
      <c r="W180" s="153"/>
      <c r="X180" s="153"/>
      <c r="Y180" s="153"/>
      <c r="Z180" s="153"/>
      <c r="AA180" s="154"/>
      <c r="AB180" s="246"/>
      <c r="AC180" s="246"/>
      <c r="AE180" s="214"/>
      <c r="AF180" s="214"/>
      <c r="AG180" s="214"/>
      <c r="AH180" s="214"/>
      <c r="AI180" s="214"/>
      <c r="AJ180" s="214"/>
      <c r="AK180" s="214"/>
      <c r="AL180" s="214"/>
      <c r="AM180" s="214"/>
      <c r="AN180" s="214"/>
      <c r="AO180" s="214"/>
    </row>
    <row r="181" spans="2:41" s="247" customFormat="1" ht="12" thickTop="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999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41" s="247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999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41" s="247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999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41" s="247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999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41" s="247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999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41" s="247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999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41" s="247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999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41" s="247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999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41" s="247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999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41" s="247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999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41" s="247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999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41" s="247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999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39" s="247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999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39" s="247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999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39" s="247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999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39" s="247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999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39" s="247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999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39" s="247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999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39" s="247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999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39" s="247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999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39" s="247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999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39" s="247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999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39" s="247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999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39" s="247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999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39" s="247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999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39" s="247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999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39" s="247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999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39" s="247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999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41" s="247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999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41" s="247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999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41" s="247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999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41" s="247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999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41" s="247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999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41" s="247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999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41" s="247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999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41" s="247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999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41" s="247" customFormat="1" ht="11">
      <c r="B217" s="248"/>
      <c r="D217" s="909"/>
      <c r="F217" s="249"/>
      <c r="G217" s="250"/>
      <c r="H217" s="250"/>
      <c r="I217" s="250"/>
      <c r="J217" s="250"/>
      <c r="K217" s="250"/>
      <c r="L217" s="1001"/>
      <c r="M217" s="459"/>
      <c r="N217" s="249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41" s="247" customFormat="1" ht="11">
      <c r="B218" s="248"/>
      <c r="D218" s="909"/>
      <c r="F218" s="249"/>
      <c r="G218" s="250"/>
      <c r="H218" s="250"/>
      <c r="I218" s="250"/>
      <c r="J218" s="250"/>
      <c r="K218" s="250"/>
      <c r="L218" s="1001"/>
      <c r="M218" s="459"/>
      <c r="N218" s="249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41" s="247" customFormat="1" ht="11">
      <c r="B219" s="248"/>
      <c r="D219" s="909"/>
      <c r="F219" s="249"/>
      <c r="G219" s="250"/>
      <c r="H219" s="250"/>
      <c r="I219" s="250"/>
      <c r="J219" s="250"/>
      <c r="K219" s="250"/>
      <c r="L219" s="1001"/>
      <c r="M219" s="459"/>
      <c r="N219" s="249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41" s="247" customFormat="1" ht="11">
      <c r="B220" s="248"/>
      <c r="D220" s="909"/>
      <c r="F220" s="249"/>
      <c r="G220" s="250"/>
      <c r="H220" s="250"/>
      <c r="I220" s="250"/>
      <c r="J220" s="250"/>
      <c r="K220" s="250"/>
      <c r="L220" s="1001"/>
      <c r="M220" s="459"/>
      <c r="N220" s="249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41" s="247" customFormat="1" ht="11">
      <c r="B221" s="248"/>
      <c r="D221" s="909"/>
      <c r="F221" s="249"/>
      <c r="G221" s="250"/>
      <c r="H221" s="250"/>
      <c r="I221" s="250"/>
      <c r="J221" s="250"/>
      <c r="K221" s="250"/>
      <c r="L221" s="1001"/>
      <c r="M221" s="459"/>
      <c r="N221" s="249"/>
      <c r="O221" s="146"/>
      <c r="P221" s="146"/>
      <c r="Q221" s="147"/>
      <c r="R221" s="147"/>
      <c r="S221" s="142"/>
      <c r="T221" s="142"/>
      <c r="U221" s="146">
        <f>SUBTOTAL(9,U179:U220)</f>
        <v>0</v>
      </c>
      <c r="V221" s="146">
        <f t="shared" ref="V221:AA221" si="99">SUBTOTAL(9,V179:V220)</f>
        <v>0</v>
      </c>
      <c r="W221" s="146">
        <f t="shared" si="99"/>
        <v>0</v>
      </c>
      <c r="X221" s="146">
        <f t="shared" si="99"/>
        <v>0</v>
      </c>
      <c r="Y221" s="146">
        <f t="shared" si="99"/>
        <v>0</v>
      </c>
      <c r="Z221" s="146">
        <f t="shared" si="99"/>
        <v>0</v>
      </c>
      <c r="AA221" s="146">
        <f t="shared" si="99"/>
        <v>0</v>
      </c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</row>
    <row r="222" spans="2:41" s="213" customFormat="1" ht="14" thickBot="1">
      <c r="B222" s="225"/>
      <c r="D222" s="910"/>
      <c r="F222" s="242"/>
      <c r="G222" s="243"/>
      <c r="H222" s="243"/>
      <c r="I222" s="243"/>
      <c r="J222" s="243"/>
      <c r="K222" s="243"/>
      <c r="L222" s="1002"/>
      <c r="M222" s="459"/>
      <c r="N222" s="242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41" s="213" customFormat="1" ht="15" thickTop="1" thickBot="1">
      <c r="B223" s="225"/>
      <c r="D223" s="910"/>
      <c r="F223" s="242"/>
      <c r="G223" s="243"/>
      <c r="H223" s="243"/>
      <c r="I223" s="243"/>
      <c r="J223" s="243"/>
      <c r="K223" s="243"/>
      <c r="L223" s="1002"/>
      <c r="M223" s="459"/>
      <c r="N223" s="242"/>
      <c r="O223" s="141"/>
      <c r="P223" s="141"/>
      <c r="Q223" s="148"/>
      <c r="R223" s="148"/>
      <c r="S223" s="148"/>
      <c r="T223" s="148"/>
      <c r="U223" s="151">
        <f>SUBTOTAL(9,U181:U222)</f>
        <v>0</v>
      </c>
      <c r="V223" s="152">
        <f t="shared" ref="V223:AA223" si="100">SUBTOTAL(9,V181:V222)</f>
        <v>0</v>
      </c>
      <c r="W223" s="153">
        <f t="shared" si="100"/>
        <v>0</v>
      </c>
      <c r="X223" s="153">
        <f t="shared" si="100"/>
        <v>0</v>
      </c>
      <c r="Y223" s="153">
        <f t="shared" si="100"/>
        <v>0</v>
      </c>
      <c r="Z223" s="153">
        <f t="shared" si="100"/>
        <v>0</v>
      </c>
      <c r="AA223" s="154">
        <f t="shared" si="100"/>
        <v>0</v>
      </c>
      <c r="AB223" s="246"/>
      <c r="AC223" s="246"/>
      <c r="AE223" s="214"/>
      <c r="AF223" s="214"/>
      <c r="AG223" s="214"/>
      <c r="AH223" s="214"/>
      <c r="AI223" s="214"/>
      <c r="AJ223" s="214"/>
      <c r="AK223" s="214"/>
      <c r="AL223" s="214"/>
      <c r="AM223" s="214"/>
      <c r="AN223" s="214"/>
      <c r="AO223" s="214"/>
    </row>
    <row r="224" spans="2:41" s="213" customFormat="1" ht="14" thickTop="1">
      <c r="B224" s="225"/>
      <c r="D224" s="910"/>
      <c r="F224" s="242"/>
      <c r="G224" s="243"/>
      <c r="H224" s="243"/>
      <c r="I224" s="243"/>
      <c r="J224" s="243"/>
      <c r="K224" s="243"/>
      <c r="L224" s="1002"/>
      <c r="M224" s="459"/>
      <c r="N224" s="242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2:39" s="213" customFormat="1">
      <c r="B225" s="225"/>
      <c r="D225" s="910"/>
      <c r="F225" s="242"/>
      <c r="G225" s="243"/>
      <c r="H225" s="243"/>
      <c r="I225" s="243"/>
      <c r="J225" s="243"/>
      <c r="K225" s="243"/>
      <c r="L225" s="1002"/>
      <c r="M225" s="459"/>
      <c r="N225" s="242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</row>
    <row r="226" spans="2:39" s="213" customFormat="1">
      <c r="B226" s="225"/>
      <c r="D226" s="910"/>
      <c r="F226" s="242"/>
      <c r="G226" s="243"/>
      <c r="H226" s="243"/>
      <c r="I226" s="243"/>
      <c r="J226" s="243"/>
      <c r="K226" s="243"/>
      <c r="L226" s="1002"/>
      <c r="M226" s="459"/>
      <c r="N226" s="242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2:39" s="213" customFormat="1">
      <c r="B227" s="225"/>
      <c r="D227" s="910"/>
      <c r="F227" s="242"/>
      <c r="G227" s="243"/>
      <c r="H227" s="243"/>
      <c r="I227" s="243"/>
      <c r="J227" s="243"/>
      <c r="K227" s="243"/>
      <c r="L227" s="1002"/>
      <c r="M227" s="459"/>
      <c r="N227" s="242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2:39" s="213" customFormat="1">
      <c r="B228" s="225"/>
      <c r="D228" s="910"/>
      <c r="F228" s="242"/>
      <c r="G228" s="243"/>
      <c r="H228" s="243"/>
      <c r="I228" s="243"/>
      <c r="J228" s="243"/>
      <c r="K228" s="243"/>
      <c r="L228" s="1002"/>
      <c r="M228" s="459"/>
      <c r="N228" s="242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2:39" s="213" customFormat="1">
      <c r="B229" s="225"/>
      <c r="D229" s="910"/>
      <c r="F229" s="242"/>
      <c r="G229" s="243"/>
      <c r="H229" s="243"/>
      <c r="I229" s="243"/>
      <c r="J229" s="243"/>
      <c r="K229" s="243"/>
      <c r="L229" s="1002"/>
      <c r="M229" s="459"/>
      <c r="N229" s="242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2:39" s="213" customFormat="1">
      <c r="B230" s="225"/>
      <c r="D230" s="910"/>
      <c r="F230" s="242"/>
      <c r="G230" s="243"/>
      <c r="H230" s="243"/>
      <c r="I230" s="243"/>
      <c r="J230" s="243"/>
      <c r="K230" s="243"/>
      <c r="L230" s="1002"/>
      <c r="M230" s="459"/>
      <c r="N230" s="242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</row>
    <row r="231" spans="2:39" s="213" customFormat="1">
      <c r="B231" s="225"/>
      <c r="D231" s="910"/>
      <c r="F231" s="242"/>
      <c r="G231" s="243"/>
      <c r="H231" s="243"/>
      <c r="I231" s="243"/>
      <c r="J231" s="243"/>
      <c r="K231" s="243"/>
      <c r="L231" s="1002"/>
      <c r="M231" s="459"/>
      <c r="N231" s="242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2:39" s="213" customFormat="1">
      <c r="B232" s="225"/>
      <c r="D232" s="910"/>
      <c r="F232" s="242"/>
      <c r="G232" s="243"/>
      <c r="H232" s="243"/>
      <c r="I232" s="243"/>
      <c r="J232" s="243"/>
      <c r="K232" s="243"/>
      <c r="L232" s="1002"/>
      <c r="M232" s="459"/>
      <c r="N232" s="242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2:39" s="213" customFormat="1">
      <c r="B233" s="225"/>
      <c r="D233" s="910"/>
      <c r="F233" s="242"/>
      <c r="G233" s="243"/>
      <c r="H233" s="243"/>
      <c r="I233" s="243"/>
      <c r="J233" s="243"/>
      <c r="K233" s="243"/>
      <c r="L233" s="1002"/>
      <c r="M233" s="459"/>
      <c r="N233" s="242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2:39" s="213" customFormat="1">
      <c r="B234" s="225"/>
      <c r="D234" s="910"/>
      <c r="F234" s="242"/>
      <c r="G234" s="243"/>
      <c r="H234" s="243"/>
      <c r="I234" s="243"/>
      <c r="J234" s="243"/>
      <c r="K234" s="243"/>
      <c r="L234" s="1002"/>
      <c r="M234" s="459"/>
      <c r="N234" s="242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14"/>
      <c r="AD234" s="214"/>
      <c r="AE234" s="214"/>
      <c r="AF234" s="214"/>
      <c r="AG234" s="214"/>
      <c r="AH234" s="214"/>
      <c r="AI234" s="214"/>
      <c r="AJ234" s="214"/>
      <c r="AK234" s="214"/>
      <c r="AL234" s="214"/>
      <c r="AM234" s="214"/>
    </row>
    <row r="235" spans="2:39" s="213" customFormat="1">
      <c r="B235" s="225"/>
      <c r="D235" s="910"/>
      <c r="F235" s="242"/>
      <c r="G235" s="243"/>
      <c r="H235" s="243"/>
      <c r="I235" s="243"/>
      <c r="J235" s="243"/>
      <c r="K235" s="243"/>
      <c r="L235" s="1002"/>
      <c r="M235" s="459"/>
      <c r="N235" s="242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</row>
    <row r="236" spans="2:39" s="213" customFormat="1">
      <c r="B236" s="225"/>
      <c r="D236" s="910"/>
      <c r="F236" s="242"/>
      <c r="G236" s="243"/>
      <c r="H236" s="243"/>
      <c r="I236" s="243"/>
      <c r="J236" s="243"/>
      <c r="K236" s="243"/>
      <c r="L236" s="1002"/>
      <c r="M236" s="459"/>
      <c r="N236" s="242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14"/>
      <c r="AD236" s="214"/>
      <c r="AE236" s="214"/>
      <c r="AF236" s="214"/>
      <c r="AG236" s="214"/>
      <c r="AH236" s="214"/>
      <c r="AI236" s="214"/>
      <c r="AJ236" s="214"/>
      <c r="AK236" s="214"/>
      <c r="AL236" s="214"/>
      <c r="AM236" s="214"/>
    </row>
    <row r="237" spans="2:39" s="213" customFormat="1">
      <c r="B237" s="225"/>
      <c r="D237" s="910"/>
      <c r="F237" s="242"/>
      <c r="G237" s="243"/>
      <c r="H237" s="243"/>
      <c r="I237" s="243"/>
      <c r="J237" s="243"/>
      <c r="K237" s="243"/>
      <c r="L237" s="1002"/>
      <c r="M237" s="459"/>
      <c r="N237" s="242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14"/>
      <c r="AD237" s="214"/>
      <c r="AE237" s="214"/>
      <c r="AF237" s="214"/>
      <c r="AG237" s="214"/>
      <c r="AH237" s="214"/>
      <c r="AI237" s="214"/>
      <c r="AJ237" s="214"/>
      <c r="AK237" s="214"/>
      <c r="AL237" s="214"/>
      <c r="AM237" s="214"/>
    </row>
    <row r="238" spans="2:39" s="213" customFormat="1">
      <c r="B238" s="225"/>
      <c r="D238" s="910"/>
      <c r="F238" s="242"/>
      <c r="G238" s="243"/>
      <c r="H238" s="243"/>
      <c r="I238" s="243"/>
      <c r="J238" s="243"/>
      <c r="K238" s="243"/>
      <c r="L238" s="1002"/>
      <c r="M238" s="459"/>
      <c r="N238" s="242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14"/>
      <c r="AD238" s="214"/>
      <c r="AE238" s="214"/>
      <c r="AF238" s="214"/>
      <c r="AG238" s="214"/>
      <c r="AH238" s="214"/>
      <c r="AI238" s="214"/>
      <c r="AJ238" s="214"/>
      <c r="AK238" s="214"/>
      <c r="AL238" s="214"/>
      <c r="AM238" s="214"/>
    </row>
    <row r="239" spans="2:39" s="213" customFormat="1">
      <c r="B239" s="225"/>
      <c r="D239" s="910"/>
      <c r="F239" s="242"/>
      <c r="G239" s="243"/>
      <c r="H239" s="243"/>
      <c r="I239" s="243"/>
      <c r="J239" s="243"/>
      <c r="K239" s="243"/>
      <c r="L239" s="1002"/>
      <c r="M239" s="459"/>
      <c r="N239" s="242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14"/>
      <c r="AD239" s="214"/>
      <c r="AE239" s="214"/>
      <c r="AF239" s="214"/>
      <c r="AG239" s="214"/>
      <c r="AH239" s="214"/>
      <c r="AI239" s="214"/>
      <c r="AJ239" s="214"/>
      <c r="AK239" s="214"/>
      <c r="AL239" s="214"/>
      <c r="AM239" s="214"/>
    </row>
    <row r="240" spans="2:39" s="213" customFormat="1">
      <c r="B240" s="225"/>
      <c r="D240" s="910"/>
      <c r="F240" s="242"/>
      <c r="G240" s="243"/>
      <c r="H240" s="243"/>
      <c r="I240" s="243"/>
      <c r="J240" s="243"/>
      <c r="K240" s="243"/>
      <c r="L240" s="1002"/>
      <c r="M240" s="459"/>
      <c r="N240" s="242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14"/>
      <c r="AD240" s="214"/>
      <c r="AE240" s="214"/>
      <c r="AF240" s="214"/>
      <c r="AG240" s="214"/>
      <c r="AH240" s="214"/>
      <c r="AI240" s="214"/>
      <c r="AJ240" s="214"/>
      <c r="AK240" s="214"/>
      <c r="AL240" s="214"/>
      <c r="AM240" s="214"/>
    </row>
    <row r="241" spans="1:40" s="213" customFormat="1">
      <c r="B241" s="225"/>
      <c r="D241" s="910"/>
      <c r="F241" s="242"/>
      <c r="G241" s="243"/>
      <c r="H241" s="243"/>
      <c r="I241" s="243"/>
      <c r="J241" s="243"/>
      <c r="K241" s="243"/>
      <c r="L241" s="1002"/>
      <c r="M241" s="459"/>
      <c r="N241" s="242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14"/>
      <c r="AD241" s="214"/>
      <c r="AE241" s="214"/>
      <c r="AF241" s="214"/>
      <c r="AG241" s="214"/>
      <c r="AH241" s="214"/>
      <c r="AI241" s="214"/>
      <c r="AJ241" s="214"/>
      <c r="AK241" s="214"/>
      <c r="AL241" s="214"/>
      <c r="AM241" s="214"/>
    </row>
    <row r="242" spans="1:40" s="213" customFormat="1">
      <c r="B242" s="225"/>
      <c r="D242" s="910"/>
      <c r="F242" s="242"/>
      <c r="G242" s="243"/>
      <c r="H242" s="243"/>
      <c r="I242" s="243"/>
      <c r="J242" s="243"/>
      <c r="K242" s="243"/>
      <c r="L242" s="1002"/>
      <c r="M242" s="459"/>
      <c r="N242" s="242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14"/>
      <c r="AD242" s="214"/>
      <c r="AE242" s="214"/>
      <c r="AF242" s="214"/>
      <c r="AG242" s="214"/>
      <c r="AH242" s="214"/>
      <c r="AI242" s="214"/>
      <c r="AJ242" s="214"/>
      <c r="AK242" s="214"/>
      <c r="AL242" s="214"/>
      <c r="AM242" s="214"/>
    </row>
    <row r="243" spans="1:40" s="213" customFormat="1">
      <c r="B243" s="225"/>
      <c r="D243" s="910"/>
      <c r="F243" s="242"/>
      <c r="G243" s="243"/>
      <c r="H243" s="243"/>
      <c r="I243" s="243"/>
      <c r="J243" s="243"/>
      <c r="K243" s="243"/>
      <c r="L243" s="1002"/>
      <c r="M243" s="459"/>
      <c r="N243" s="242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14"/>
      <c r="AD243" s="214"/>
      <c r="AE243" s="214"/>
      <c r="AF243" s="214"/>
      <c r="AG243" s="214"/>
      <c r="AH243" s="214"/>
      <c r="AI243" s="214"/>
      <c r="AJ243" s="214"/>
      <c r="AK243" s="214"/>
      <c r="AL243" s="214"/>
      <c r="AM243" s="214"/>
    </row>
    <row r="244" spans="1:40" s="213" customFormat="1">
      <c r="B244" s="225"/>
      <c r="D244" s="910"/>
      <c r="F244" s="242"/>
      <c r="G244" s="243"/>
      <c r="H244" s="243"/>
      <c r="I244" s="243"/>
      <c r="J244" s="243"/>
      <c r="K244" s="243"/>
      <c r="L244" s="1002"/>
      <c r="M244" s="459"/>
      <c r="N244" s="242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14"/>
      <c r="AD244" s="214"/>
      <c r="AE244" s="214"/>
      <c r="AF244" s="214"/>
      <c r="AG244" s="214"/>
      <c r="AH244" s="214"/>
      <c r="AI244" s="214"/>
      <c r="AJ244" s="214"/>
      <c r="AK244" s="214"/>
      <c r="AL244" s="214"/>
      <c r="AM244" s="214"/>
    </row>
    <row r="245" spans="1:40" s="213" customFormat="1">
      <c r="B245" s="225"/>
      <c r="D245" s="910"/>
      <c r="F245" s="242"/>
      <c r="G245" s="243"/>
      <c r="H245" s="243"/>
      <c r="I245" s="243"/>
      <c r="J245" s="243"/>
      <c r="K245" s="243"/>
      <c r="L245" s="1002"/>
      <c r="M245" s="459"/>
      <c r="N245" s="242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14"/>
      <c r="AD245" s="214"/>
      <c r="AE245" s="214"/>
      <c r="AF245" s="214"/>
      <c r="AG245" s="214"/>
      <c r="AH245" s="214"/>
      <c r="AI245" s="214"/>
      <c r="AJ245" s="214"/>
      <c r="AK245" s="214"/>
      <c r="AL245" s="214"/>
      <c r="AM245" s="214"/>
    </row>
    <row r="246" spans="1:40" s="213" customFormat="1">
      <c r="B246" s="225"/>
      <c r="D246" s="910"/>
      <c r="F246" s="242"/>
      <c r="G246" s="243"/>
      <c r="H246" s="243"/>
      <c r="I246" s="243"/>
      <c r="J246" s="243"/>
      <c r="K246" s="243"/>
      <c r="L246" s="1002"/>
      <c r="M246" s="459"/>
      <c r="N246" s="242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14"/>
      <c r="AD246" s="214"/>
      <c r="AE246" s="214"/>
      <c r="AF246" s="214"/>
      <c r="AG246" s="214"/>
      <c r="AH246" s="214"/>
      <c r="AI246" s="214"/>
      <c r="AJ246" s="214"/>
      <c r="AK246" s="214"/>
      <c r="AL246" s="214"/>
      <c r="AM246" s="214"/>
    </row>
    <row r="247" spans="1:40" s="213" customFormat="1">
      <c r="B247" s="225"/>
      <c r="D247" s="910"/>
      <c r="F247" s="242"/>
      <c r="G247" s="243"/>
      <c r="H247" s="243"/>
      <c r="I247" s="243"/>
      <c r="J247" s="243"/>
      <c r="K247" s="243"/>
      <c r="L247" s="1002"/>
      <c r="M247" s="459"/>
      <c r="N247" s="242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14"/>
      <c r="AD247" s="214"/>
      <c r="AE247" s="214"/>
      <c r="AF247" s="214"/>
      <c r="AG247" s="214"/>
      <c r="AH247" s="214"/>
      <c r="AI247" s="214"/>
      <c r="AJ247" s="214"/>
      <c r="AK247" s="214"/>
      <c r="AL247" s="214"/>
      <c r="AM247" s="214"/>
    </row>
    <row r="248" spans="1:40" s="213" customFormat="1">
      <c r="B248" s="225"/>
      <c r="D248" s="910"/>
      <c r="F248" s="242"/>
      <c r="G248" s="243"/>
      <c r="H248" s="243"/>
      <c r="I248" s="243"/>
      <c r="J248" s="243"/>
      <c r="K248" s="243"/>
      <c r="L248" s="1002"/>
      <c r="M248" s="459"/>
      <c r="N248" s="242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14"/>
      <c r="AD248" s="214"/>
      <c r="AE248" s="214"/>
      <c r="AF248" s="214"/>
      <c r="AG248" s="214"/>
      <c r="AH248" s="214"/>
      <c r="AI248" s="214"/>
      <c r="AJ248" s="214"/>
      <c r="AK248" s="214"/>
      <c r="AL248" s="214"/>
      <c r="AM248" s="214"/>
    </row>
    <row r="249" spans="1:40" s="213" customFormat="1">
      <c r="B249" s="225"/>
      <c r="D249" s="910"/>
      <c r="F249" s="242"/>
      <c r="G249" s="243"/>
      <c r="H249" s="243"/>
      <c r="I249" s="243"/>
      <c r="J249" s="243"/>
      <c r="K249" s="243"/>
      <c r="L249" s="1002"/>
      <c r="M249" s="459"/>
      <c r="N249" s="242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14"/>
      <c r="AD249" s="214"/>
      <c r="AE249" s="214"/>
      <c r="AF249" s="214"/>
      <c r="AG249" s="214"/>
      <c r="AH249" s="214"/>
      <c r="AI249" s="214"/>
      <c r="AJ249" s="214"/>
      <c r="AK249" s="214"/>
      <c r="AL249" s="214"/>
      <c r="AM249" s="214"/>
    </row>
    <row r="250" spans="1:40" s="213" customFormat="1">
      <c r="B250" s="225"/>
      <c r="D250" s="910"/>
      <c r="F250" s="242"/>
      <c r="G250" s="243"/>
      <c r="H250" s="243"/>
      <c r="I250" s="243"/>
      <c r="J250" s="243"/>
      <c r="K250" s="243"/>
      <c r="L250" s="1002"/>
      <c r="M250" s="459"/>
      <c r="N250" s="242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14"/>
      <c r="AD250" s="214"/>
      <c r="AE250" s="214"/>
      <c r="AF250" s="214"/>
      <c r="AG250" s="214"/>
      <c r="AH250" s="214"/>
      <c r="AI250" s="214"/>
      <c r="AJ250" s="214"/>
      <c r="AK250" s="214"/>
      <c r="AL250" s="214"/>
      <c r="AM250" s="214"/>
    </row>
    <row r="251" spans="1:40" s="213" customFormat="1">
      <c r="B251" s="225"/>
      <c r="D251" s="910"/>
      <c r="F251" s="242"/>
      <c r="G251" s="243"/>
      <c r="H251" s="243"/>
      <c r="I251" s="243"/>
      <c r="J251" s="243"/>
      <c r="K251" s="243"/>
      <c r="L251" s="1002"/>
      <c r="M251" s="459"/>
      <c r="N251" s="242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14"/>
      <c r="AD251" s="214"/>
      <c r="AE251" s="214"/>
      <c r="AF251" s="214"/>
      <c r="AG251" s="214"/>
      <c r="AH251" s="214"/>
      <c r="AI251" s="214"/>
      <c r="AJ251" s="214"/>
      <c r="AK251" s="214"/>
      <c r="AL251" s="214"/>
      <c r="AM251" s="214"/>
    </row>
    <row r="252" spans="1:40" s="213" customFormat="1">
      <c r="B252" s="225"/>
      <c r="D252" s="910"/>
      <c r="F252" s="242"/>
      <c r="G252" s="243"/>
      <c r="H252" s="243"/>
      <c r="I252" s="243"/>
      <c r="J252" s="243"/>
      <c r="K252" s="243"/>
      <c r="L252" s="1002"/>
      <c r="M252" s="459"/>
      <c r="N252" s="242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14"/>
      <c r="AD252" s="214"/>
      <c r="AE252" s="214"/>
      <c r="AF252" s="214"/>
      <c r="AG252" s="214"/>
      <c r="AH252" s="214"/>
      <c r="AI252" s="214"/>
      <c r="AJ252" s="214"/>
      <c r="AK252" s="214"/>
      <c r="AL252" s="214"/>
      <c r="AM252" s="214"/>
    </row>
    <row r="253" spans="1:40" s="213" customFormat="1">
      <c r="B253" s="225"/>
      <c r="D253" s="910"/>
      <c r="F253" s="242"/>
      <c r="G253" s="243"/>
      <c r="H253" s="243"/>
      <c r="I253" s="243"/>
      <c r="J253" s="243"/>
      <c r="K253" s="243"/>
      <c r="L253" s="1002"/>
      <c r="M253" s="459"/>
      <c r="N253" s="242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14"/>
      <c r="AD253" s="214"/>
      <c r="AE253" s="214"/>
      <c r="AF253" s="214"/>
      <c r="AG253" s="214"/>
      <c r="AH253" s="214"/>
      <c r="AI253" s="214"/>
      <c r="AJ253" s="214"/>
      <c r="AK253" s="214"/>
      <c r="AL253" s="214"/>
      <c r="AM253" s="214"/>
    </row>
    <row r="254" spans="1:40" s="213" customFormat="1">
      <c r="B254" s="225"/>
      <c r="D254" s="910"/>
      <c r="F254" s="242"/>
      <c r="G254" s="243"/>
      <c r="H254" s="243"/>
      <c r="I254" s="243"/>
      <c r="J254" s="243"/>
      <c r="K254" s="243"/>
      <c r="L254" s="1002"/>
      <c r="M254" s="459"/>
      <c r="N254" s="242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14"/>
      <c r="AD254" s="214"/>
      <c r="AE254" s="214"/>
      <c r="AF254" s="214"/>
      <c r="AG254" s="214"/>
      <c r="AH254" s="214"/>
      <c r="AI254" s="214"/>
      <c r="AJ254" s="214"/>
      <c r="AK254" s="214"/>
      <c r="AL254" s="214"/>
      <c r="AM254" s="214"/>
    </row>
    <row r="255" spans="1:40">
      <c r="A255" s="204"/>
      <c r="O255" s="155"/>
      <c r="P255" s="155"/>
      <c r="Q255" s="1131"/>
      <c r="R255" s="1131"/>
      <c r="S255" s="251"/>
      <c r="T255" s="251"/>
      <c r="U255" s="1132"/>
      <c r="V255" s="1132"/>
      <c r="W255" s="1132"/>
      <c r="X255" s="1132"/>
      <c r="Y255" s="1132"/>
      <c r="Z255" s="1132"/>
      <c r="AA255" s="1132"/>
      <c r="AN255" s="204"/>
    </row>
    <row r="256" spans="1:40">
      <c r="A256" s="204"/>
      <c r="O256" s="155"/>
      <c r="P256" s="155"/>
      <c r="Q256" s="1131"/>
      <c r="R256" s="1131"/>
      <c r="S256" s="251"/>
      <c r="T256" s="251"/>
      <c r="U256" s="1132"/>
      <c r="V256" s="1132"/>
      <c r="W256" s="1132"/>
      <c r="X256" s="1132"/>
      <c r="Y256" s="1132"/>
      <c r="Z256" s="1132"/>
      <c r="AA256" s="1132"/>
      <c r="AN256" s="204"/>
    </row>
    <row r="257" spans="1:40">
      <c r="A257" s="204"/>
      <c r="O257" s="155"/>
      <c r="P257" s="155"/>
      <c r="Q257" s="1131"/>
      <c r="R257" s="1131"/>
      <c r="S257" s="251"/>
      <c r="T257" s="251"/>
      <c r="U257" s="1132"/>
      <c r="V257" s="1132"/>
      <c r="W257" s="1132"/>
      <c r="X257" s="1132"/>
      <c r="Y257" s="1132"/>
      <c r="Z257" s="1132"/>
      <c r="AA257" s="1132"/>
      <c r="AN257" s="204"/>
    </row>
    <row r="258" spans="1:40">
      <c r="A258" s="204"/>
      <c r="O258" s="155"/>
      <c r="P258" s="155"/>
      <c r="Q258" s="1131"/>
      <c r="R258" s="1131"/>
      <c r="S258" s="251"/>
      <c r="T258" s="251"/>
      <c r="U258" s="1132"/>
      <c r="V258" s="1132"/>
      <c r="W258" s="1132"/>
      <c r="X258" s="1132"/>
      <c r="Y258" s="1132"/>
      <c r="Z258" s="1132"/>
      <c r="AA258" s="1132"/>
      <c r="AN258" s="204"/>
    </row>
    <row r="259" spans="1:40">
      <c r="A259" s="204"/>
      <c r="O259" s="155"/>
      <c r="P259" s="155"/>
      <c r="Q259" s="1131"/>
      <c r="R259" s="1131"/>
      <c r="S259" s="251"/>
      <c r="T259" s="251"/>
      <c r="U259" s="1132"/>
      <c r="V259" s="1132"/>
      <c r="W259" s="1132"/>
      <c r="X259" s="1132"/>
      <c r="Y259" s="1132"/>
      <c r="Z259" s="1132"/>
      <c r="AA259" s="1132"/>
      <c r="AN259" s="204"/>
    </row>
    <row r="260" spans="1:40">
      <c r="A260" s="204"/>
      <c r="O260" s="155"/>
      <c r="P260" s="155"/>
      <c r="Q260" s="1131"/>
      <c r="R260" s="1131"/>
      <c r="S260" s="251"/>
      <c r="T260" s="251"/>
      <c r="U260" s="1132"/>
      <c r="V260" s="1132"/>
      <c r="W260" s="1132"/>
      <c r="X260" s="1132"/>
      <c r="Y260" s="1132"/>
      <c r="Z260" s="1132"/>
      <c r="AA260" s="1132"/>
      <c r="AN260" s="204"/>
    </row>
    <row r="261" spans="1:40">
      <c r="A261" s="204"/>
      <c r="B261" s="204"/>
      <c r="D261" s="204"/>
      <c r="F261" s="204"/>
      <c r="G261" s="204"/>
      <c r="H261" s="204"/>
      <c r="I261" s="204"/>
      <c r="J261" s="204"/>
      <c r="K261" s="204"/>
      <c r="L261" s="1959"/>
      <c r="M261" s="204"/>
      <c r="N261" s="204"/>
      <c r="O261" s="155"/>
      <c r="P261" s="155"/>
      <c r="Q261" s="1131"/>
      <c r="R261" s="1131"/>
      <c r="S261" s="251"/>
      <c r="T261" s="251"/>
      <c r="U261" s="1132"/>
      <c r="V261" s="1132"/>
      <c r="W261" s="1132"/>
      <c r="X261" s="1132"/>
      <c r="Y261" s="1132"/>
      <c r="Z261" s="1132"/>
      <c r="AA261" s="1132"/>
      <c r="AB261" s="204"/>
      <c r="AC261" s="204"/>
      <c r="AD261" s="204"/>
      <c r="AE261" s="204"/>
      <c r="AF261" s="204"/>
      <c r="AG261" s="204"/>
      <c r="AH261" s="204"/>
      <c r="AI261" s="204"/>
      <c r="AJ261" s="204"/>
      <c r="AK261" s="204"/>
      <c r="AL261" s="204"/>
      <c r="AM261" s="204"/>
      <c r="AN261" s="204"/>
    </row>
    <row r="262" spans="1:40">
      <c r="A262" s="204"/>
      <c r="B262" s="204"/>
      <c r="D262" s="204"/>
      <c r="F262" s="204"/>
      <c r="G262" s="204"/>
      <c r="H262" s="204"/>
      <c r="I262" s="204"/>
      <c r="J262" s="204"/>
      <c r="K262" s="204"/>
      <c r="L262" s="1959"/>
      <c r="M262" s="204"/>
      <c r="N262" s="204"/>
      <c r="O262" s="155"/>
      <c r="P262" s="155"/>
      <c r="Q262" s="1131"/>
      <c r="R262" s="1131"/>
      <c r="S262" s="251"/>
      <c r="T262" s="251"/>
      <c r="U262" s="1132"/>
      <c r="V262" s="1132"/>
      <c r="W262" s="1132"/>
      <c r="X262" s="1132"/>
      <c r="Y262" s="1132"/>
      <c r="Z262" s="1132"/>
      <c r="AA262" s="1132"/>
      <c r="AB262" s="204"/>
      <c r="AC262" s="204"/>
      <c r="AD262" s="204"/>
      <c r="AE262" s="204"/>
      <c r="AF262" s="204"/>
      <c r="AG262" s="204"/>
      <c r="AH262" s="204"/>
      <c r="AI262" s="204"/>
      <c r="AJ262" s="204"/>
      <c r="AK262" s="204"/>
      <c r="AL262" s="204"/>
      <c r="AM262" s="204"/>
      <c r="AN262" s="204"/>
    </row>
    <row r="263" spans="1:40">
      <c r="A263" s="204"/>
      <c r="B263" s="204"/>
      <c r="D263" s="204"/>
      <c r="F263" s="204"/>
      <c r="G263" s="204"/>
      <c r="H263" s="204"/>
      <c r="I263" s="204"/>
      <c r="J263" s="204"/>
      <c r="K263" s="204"/>
      <c r="L263" s="1959"/>
      <c r="M263" s="204"/>
      <c r="N263" s="204"/>
      <c r="O263" s="155"/>
      <c r="P263" s="155"/>
      <c r="Q263" s="1131"/>
      <c r="R263" s="1131"/>
      <c r="S263" s="251"/>
      <c r="T263" s="251"/>
      <c r="U263" s="1132"/>
      <c r="V263" s="1132"/>
      <c r="W263" s="1132"/>
      <c r="X263" s="1132"/>
      <c r="Y263" s="1132"/>
      <c r="Z263" s="1132"/>
      <c r="AA263" s="1132"/>
      <c r="AB263" s="204"/>
      <c r="AC263" s="204"/>
      <c r="AD263" s="204"/>
      <c r="AE263" s="204"/>
      <c r="AF263" s="204"/>
      <c r="AG263" s="204"/>
      <c r="AH263" s="204"/>
      <c r="AI263" s="204"/>
      <c r="AJ263" s="204"/>
      <c r="AK263" s="204"/>
      <c r="AL263" s="204"/>
      <c r="AM263" s="204"/>
      <c r="AN263" s="204"/>
    </row>
    <row r="264" spans="1:40">
      <c r="A264" s="204"/>
      <c r="B264" s="204"/>
      <c r="D264" s="204"/>
      <c r="F264" s="204"/>
      <c r="G264" s="204"/>
      <c r="H264" s="204"/>
      <c r="I264" s="204"/>
      <c r="J264" s="204"/>
      <c r="K264" s="204"/>
      <c r="L264" s="1959"/>
      <c r="M264" s="204"/>
      <c r="N264" s="204"/>
      <c r="O264" s="155"/>
      <c r="P264" s="155"/>
      <c r="Q264" s="1131"/>
      <c r="R264" s="1131"/>
      <c r="S264" s="251"/>
      <c r="T264" s="251"/>
      <c r="U264" s="1132"/>
      <c r="V264" s="1132"/>
      <c r="W264" s="1132"/>
      <c r="X264" s="1132"/>
      <c r="Y264" s="1132"/>
      <c r="Z264" s="1132"/>
      <c r="AA264" s="1132"/>
      <c r="AB264" s="204"/>
      <c r="AC264" s="204"/>
      <c r="AD264" s="204"/>
      <c r="AE264" s="204"/>
      <c r="AF264" s="204"/>
      <c r="AG264" s="204"/>
      <c r="AH264" s="204"/>
      <c r="AI264" s="204"/>
      <c r="AJ264" s="204"/>
      <c r="AK264" s="204"/>
      <c r="AL264" s="204"/>
      <c r="AM264" s="204"/>
      <c r="AN264" s="204"/>
    </row>
    <row r="265" spans="1:40">
      <c r="A265" s="204"/>
      <c r="B265" s="204"/>
      <c r="D265" s="204"/>
      <c r="F265" s="204"/>
      <c r="G265" s="204"/>
      <c r="H265" s="204"/>
      <c r="I265" s="204"/>
      <c r="J265" s="204"/>
      <c r="K265" s="204"/>
      <c r="L265" s="1959"/>
      <c r="M265" s="204"/>
      <c r="N265" s="204"/>
      <c r="O265" s="155"/>
      <c r="P265" s="155"/>
      <c r="Q265" s="1131"/>
      <c r="R265" s="1131"/>
      <c r="S265" s="251"/>
      <c r="T265" s="251"/>
      <c r="U265" s="1132"/>
      <c r="V265" s="1132"/>
      <c r="W265" s="1132"/>
      <c r="X265" s="1132"/>
      <c r="Y265" s="1132"/>
      <c r="Z265" s="1132"/>
      <c r="AA265" s="1132"/>
      <c r="AB265" s="204"/>
      <c r="AC265" s="204"/>
      <c r="AD265" s="204"/>
      <c r="AE265" s="204"/>
      <c r="AF265" s="204"/>
      <c r="AG265" s="204"/>
      <c r="AH265" s="204"/>
      <c r="AI265" s="204"/>
      <c r="AJ265" s="204"/>
      <c r="AK265" s="204"/>
      <c r="AL265" s="204"/>
      <c r="AM265" s="204"/>
      <c r="AN265" s="204"/>
    </row>
    <row r="266" spans="1:40">
      <c r="A266" s="204"/>
      <c r="B266" s="204"/>
      <c r="D266" s="204"/>
      <c r="F266" s="204"/>
      <c r="G266" s="204"/>
      <c r="H266" s="204"/>
      <c r="I266" s="204"/>
      <c r="J266" s="204"/>
      <c r="K266" s="204"/>
      <c r="L266" s="1959"/>
      <c r="M266" s="204"/>
      <c r="N266" s="204"/>
      <c r="O266" s="155"/>
      <c r="P266" s="155"/>
      <c r="Q266" s="1131"/>
      <c r="R266" s="1131"/>
      <c r="S266" s="251"/>
      <c r="T266" s="251"/>
      <c r="U266" s="1132"/>
      <c r="V266" s="1132"/>
      <c r="W266" s="1132"/>
      <c r="X266" s="1132"/>
      <c r="Y266" s="1132"/>
      <c r="Z266" s="1132"/>
      <c r="AA266" s="1132"/>
      <c r="AB266" s="204"/>
      <c r="AC266" s="204"/>
      <c r="AD266" s="204"/>
      <c r="AE266" s="204"/>
      <c r="AF266" s="204"/>
      <c r="AG266" s="204"/>
      <c r="AH266" s="204"/>
      <c r="AI266" s="204"/>
      <c r="AJ266" s="204"/>
      <c r="AK266" s="204"/>
      <c r="AL266" s="204"/>
      <c r="AM266" s="204"/>
      <c r="AN266" s="204"/>
    </row>
    <row r="267" spans="1:40">
      <c r="A267" s="204"/>
      <c r="B267" s="204"/>
      <c r="D267" s="204"/>
      <c r="F267" s="204"/>
      <c r="G267" s="204"/>
      <c r="H267" s="204"/>
      <c r="I267" s="204"/>
      <c r="J267" s="204"/>
      <c r="K267" s="204"/>
      <c r="L267" s="1959"/>
      <c r="M267" s="204"/>
      <c r="N267" s="204"/>
      <c r="O267" s="155"/>
      <c r="P267" s="155"/>
      <c r="Q267" s="1131"/>
      <c r="R267" s="1131"/>
      <c r="S267" s="251"/>
      <c r="T267" s="251"/>
      <c r="U267" s="1132"/>
      <c r="V267" s="1132"/>
      <c r="W267" s="1132"/>
      <c r="X267" s="1132"/>
      <c r="Y267" s="1132"/>
      <c r="Z267" s="1132"/>
      <c r="AA267" s="1132"/>
      <c r="AB267" s="204"/>
      <c r="AC267" s="204"/>
      <c r="AD267" s="204"/>
      <c r="AE267" s="204"/>
      <c r="AF267" s="204"/>
      <c r="AG267" s="204"/>
      <c r="AH267" s="204"/>
      <c r="AI267" s="204"/>
      <c r="AJ267" s="204"/>
      <c r="AK267" s="204"/>
      <c r="AL267" s="204"/>
      <c r="AM267" s="204"/>
      <c r="AN267" s="204"/>
    </row>
  </sheetData>
  <mergeCells count="1">
    <mergeCell ref="Q67:R67"/>
  </mergeCells>
  <phoneticPr fontId="21" type="noConversion"/>
  <conditionalFormatting sqref="D61:I61 D27:I27 K27 K61">
    <cfRule type="cellIs" dxfId="741" priority="12" stopIfTrue="1" operator="equal">
      <formula>1</formula>
    </cfRule>
  </conditionalFormatting>
  <conditionalFormatting sqref="D12:K12">
    <cfRule type="cellIs" dxfId="740" priority="9" stopIfTrue="1" operator="equal">
      <formula>1</formula>
    </cfRule>
  </conditionalFormatting>
  <conditionalFormatting sqref="D21 G21:J21">
    <cfRule type="cellIs" dxfId="739" priority="6" stopIfTrue="1" operator="equal">
      <formula>1</formula>
    </cfRule>
  </conditionalFormatting>
  <conditionalFormatting sqref="G22:K22">
    <cfRule type="cellIs" dxfId="738" priority="5" stopIfTrue="1" operator="equal">
      <formula>1</formula>
    </cfRule>
  </conditionalFormatting>
  <conditionalFormatting sqref="AB8:AH8">
    <cfRule type="cellIs" dxfId="737" priority="2" stopIfTrue="1" operator="lessThan">
      <formula>0</formula>
    </cfRule>
  </conditionalFormatting>
  <printOptions horizontalCentered="1" verticalCentered="1"/>
  <pageMargins left="0" right="0" top="0.59055118110236227" bottom="0.59055118110236227" header="0.19685039370078741" footer="0"/>
  <pageSetup paperSize="9" scale="110" orientation="landscape" horizontalDpi="0" verticalDpi="0"/>
  <headerFooter>
    <oddHeader>&amp;L&amp;A&amp;F&amp;R&amp;D</oddHeader>
    <oddFooter>Página &amp;P de 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106A9-077F-6543-9476-04D0081DB1A9}">
  <dimension ref="A1:AO233"/>
  <sheetViews>
    <sheetView tabSelected="1" topLeftCell="A12" zoomScale="150" zoomScaleNormal="150" workbookViewId="0">
      <selection activeCell="AE30" sqref="AE30"/>
    </sheetView>
  </sheetViews>
  <sheetFormatPr baseColWidth="10" defaultColWidth="11.5" defaultRowHeight="11"/>
  <cols>
    <col min="1" max="1" width="2.83203125" style="1020" customWidth="1"/>
    <col min="2" max="2" width="2.83203125" style="1212" customWidth="1"/>
    <col min="3" max="3" width="1.1640625" style="245" customWidth="1"/>
    <col min="4" max="4" width="1" style="1213" customWidth="1"/>
    <col min="5" max="5" width="3.5" style="245" customWidth="1"/>
    <col min="6" max="6" width="3.33203125" style="1205" customWidth="1"/>
    <col min="7" max="7" width="5.6640625" style="1206" customWidth="1"/>
    <col min="8" max="8" width="7" style="1206" customWidth="1"/>
    <col min="9" max="10" width="7.33203125" style="1206" customWidth="1"/>
    <col min="11" max="11" width="31.33203125" style="1206" customWidth="1"/>
    <col min="12" max="12" width="7.1640625" style="1207" customWidth="1"/>
    <col min="13" max="13" width="1.33203125" style="1208" customWidth="1"/>
    <col min="14" max="14" width="9.1640625" style="1205" customWidth="1"/>
    <col min="15" max="15" width="1" style="1206" customWidth="1"/>
    <col min="16" max="16" width="8.5" style="1206" customWidth="1"/>
    <col min="17" max="17" width="9" style="1209" customWidth="1"/>
    <col min="18" max="18" width="5.83203125" style="1209" customWidth="1"/>
    <col min="19" max="19" width="1.33203125" style="210" customWidth="1"/>
    <col min="20" max="20" width="0.33203125" style="210" customWidth="1"/>
    <col min="21" max="21" width="6" style="1098" customWidth="1"/>
    <col min="22" max="22" width="5.6640625" style="1098" customWidth="1"/>
    <col min="23" max="23" width="6.33203125" style="1098" customWidth="1"/>
    <col min="24" max="24" width="5.33203125" style="1098" customWidth="1"/>
    <col min="25" max="25" width="6" style="1098" customWidth="1"/>
    <col min="26" max="27" width="5.33203125" style="1098" customWidth="1"/>
    <col min="28" max="28" width="7.6640625" style="244" customWidth="1"/>
    <col min="29" max="33" width="4.5" style="1211" customWidth="1"/>
    <col min="34" max="34" width="6.5" style="1211" customWidth="1"/>
    <col min="35" max="39" width="5.33203125" style="1211" customWidth="1"/>
    <col min="40" max="40" width="11.5" style="244"/>
    <col min="41" max="16384" width="11.5" style="245"/>
  </cols>
  <sheetData>
    <row r="1" spans="1:39" ht="16" customHeight="1">
      <c r="A1" s="8123" t="s">
        <v>2614</v>
      </c>
      <c r="B1" s="8123"/>
      <c r="C1" s="8123"/>
      <c r="D1" s="8123"/>
      <c r="E1" s="8123"/>
      <c r="F1" s="8123"/>
      <c r="G1" s="8123"/>
      <c r="H1" s="8123"/>
      <c r="I1" s="8123"/>
      <c r="J1" s="8123"/>
      <c r="K1" s="8123"/>
      <c r="L1" s="8123"/>
      <c r="M1" s="8123"/>
      <c r="N1" s="8123"/>
      <c r="O1" s="8123"/>
      <c r="P1" s="8123"/>
      <c r="Q1" s="8123"/>
      <c r="R1" s="8123"/>
      <c r="S1" s="1211"/>
      <c r="T1" s="1211"/>
      <c r="U1" s="1211"/>
      <c r="V1" s="1211"/>
      <c r="W1" s="1211"/>
      <c r="X1" s="1211"/>
      <c r="Y1" s="1211"/>
      <c r="Z1" s="1211"/>
      <c r="AA1" s="1211"/>
      <c r="AB1" s="1211"/>
    </row>
    <row r="2" spans="1:39" ht="13">
      <c r="A2"/>
      <c r="B2" s="1229"/>
      <c r="C2" s="1230"/>
      <c r="D2" s="1230"/>
      <c r="E2" s="1230"/>
      <c r="F2" s="1230"/>
      <c r="G2" s="1230"/>
      <c r="H2" s="220"/>
      <c r="I2" s="8125" t="s">
        <v>2600</v>
      </c>
      <c r="J2" s="8125"/>
      <c r="K2" s="8125"/>
      <c r="L2" s="8125"/>
      <c r="T2" s="1211"/>
      <c r="U2" s="1211"/>
      <c r="V2" s="1211"/>
      <c r="W2" s="1211"/>
      <c r="X2" s="1211"/>
      <c r="Y2" s="1211"/>
      <c r="Z2" s="1211"/>
      <c r="AA2" s="1211"/>
      <c r="AB2" s="1211"/>
    </row>
    <row r="3" spans="1:39" ht="11" customHeight="1">
      <c r="A3" s="245"/>
      <c r="B3" s="245"/>
      <c r="D3" s="245"/>
      <c r="F3" s="245"/>
      <c r="G3" s="245"/>
      <c r="H3" s="245"/>
      <c r="I3" s="8125"/>
      <c r="J3" s="8125"/>
      <c r="K3" s="8125"/>
      <c r="L3" s="8125"/>
      <c r="M3" s="8124"/>
      <c r="N3" s="8124"/>
      <c r="O3" s="8124"/>
      <c r="P3" s="8124"/>
      <c r="Q3" s="8124"/>
      <c r="R3" s="8124"/>
      <c r="S3" s="8124"/>
      <c r="T3" s="8124"/>
      <c r="U3" s="1211"/>
      <c r="V3" s="1211"/>
      <c r="W3" s="1211"/>
      <c r="X3" s="1211"/>
    </row>
    <row r="4" spans="1:39" ht="23" customHeight="1">
      <c r="A4" s="245"/>
      <c r="B4" s="245"/>
      <c r="C4" s="8126" t="s">
        <v>2615</v>
      </c>
      <c r="D4" s="8127"/>
      <c r="E4" s="8128"/>
      <c r="F4" s="8128"/>
      <c r="G4" s="8128"/>
      <c r="H4" s="8129"/>
      <c r="I4" s="8129"/>
      <c r="J4" s="8129"/>
      <c r="K4" s="8130"/>
      <c r="L4" s="8135" t="s">
        <v>2601</v>
      </c>
      <c r="M4" s="8135"/>
      <c r="N4" s="8135"/>
      <c r="O4" s="8135"/>
      <c r="P4" s="8135"/>
      <c r="Q4" s="8135"/>
      <c r="R4" s="8135"/>
      <c r="S4" s="220"/>
      <c r="T4" s="220"/>
      <c r="U4" s="220"/>
      <c r="V4" s="1206"/>
      <c r="W4" s="1211"/>
      <c r="X4" s="1211"/>
    </row>
    <row r="5" spans="1:39" ht="13" customHeight="1">
      <c r="A5" s="245"/>
      <c r="B5" s="245"/>
      <c r="C5" s="8131" t="s">
        <v>2616</v>
      </c>
      <c r="D5" s="8132"/>
      <c r="E5" s="8133"/>
      <c r="F5" s="8134"/>
      <c r="G5" s="8133"/>
      <c r="H5" s="8130"/>
      <c r="I5" s="8130"/>
      <c r="J5" s="8129"/>
      <c r="K5" s="8130"/>
      <c r="L5" s="8136" t="s">
        <v>2606</v>
      </c>
      <c r="M5" s="8137"/>
      <c r="N5" s="8137"/>
      <c r="O5" s="8137"/>
      <c r="P5" s="8137"/>
      <c r="Q5" s="8137"/>
      <c r="R5" s="8135"/>
      <c r="S5" s="220"/>
      <c r="T5" s="220"/>
      <c r="U5" s="220"/>
      <c r="V5" s="1206"/>
      <c r="W5" s="1211"/>
      <c r="X5" s="1211"/>
    </row>
    <row r="6" spans="1:39" ht="13">
      <c r="A6" s="245"/>
      <c r="B6" s="245"/>
      <c r="C6" s="8126" t="s">
        <v>2602</v>
      </c>
      <c r="D6" s="8127"/>
      <c r="E6" s="8128"/>
      <c r="F6" s="8128"/>
      <c r="G6" s="8128"/>
      <c r="H6" s="8129"/>
      <c r="I6" s="8129"/>
      <c r="J6" s="8129"/>
      <c r="K6" s="8130"/>
      <c r="L6" s="8138" t="s">
        <v>2607</v>
      </c>
      <c r="M6" s="8137"/>
      <c r="N6" s="8137"/>
      <c r="O6" s="8137"/>
      <c r="P6" s="8137"/>
      <c r="Q6" s="8137"/>
      <c r="R6" s="8137"/>
      <c r="S6" s="220"/>
      <c r="T6" s="220"/>
      <c r="U6" s="220"/>
      <c r="V6" s="1206"/>
      <c r="W6" s="1211"/>
      <c r="X6" s="1211"/>
    </row>
    <row r="7" spans="1:39" ht="13">
      <c r="A7" s="245"/>
      <c r="B7" s="245"/>
      <c r="C7" s="8131" t="s">
        <v>2617</v>
      </c>
      <c r="D7" s="2186"/>
      <c r="E7" s="2186"/>
      <c r="F7" s="2186"/>
      <c r="G7" s="2186"/>
      <c r="H7" s="2186"/>
      <c r="I7" s="2186"/>
      <c r="J7" s="2186"/>
      <c r="K7" s="8130"/>
      <c r="L7" s="8136" t="s">
        <v>2621</v>
      </c>
      <c r="M7" s="8137"/>
      <c r="N7" s="8137"/>
      <c r="O7" s="8137"/>
      <c r="P7" s="8137"/>
      <c r="Q7" s="8137"/>
      <c r="R7" s="8137"/>
      <c r="S7" s="220"/>
      <c r="T7" s="220"/>
      <c r="U7" s="220"/>
      <c r="V7" s="1206"/>
      <c r="W7" s="1211"/>
      <c r="X7" s="1211"/>
    </row>
    <row r="8" spans="1:39" ht="13">
      <c r="A8" s="245"/>
      <c r="B8" s="245"/>
      <c r="C8" s="8126" t="s">
        <v>2603</v>
      </c>
      <c r="D8" s="2186"/>
      <c r="E8" s="2186"/>
      <c r="F8" s="2186"/>
      <c r="G8" s="2186"/>
      <c r="H8" s="2186"/>
      <c r="I8" s="2186"/>
      <c r="J8" s="2186"/>
      <c r="K8" s="8130"/>
      <c r="L8" s="8136" t="s">
        <v>2608</v>
      </c>
      <c r="M8" s="8137"/>
      <c r="N8" s="8137"/>
      <c r="O8" s="8137"/>
      <c r="P8" s="8137"/>
      <c r="Q8" s="8137"/>
      <c r="R8" s="8137"/>
      <c r="S8" s="220"/>
      <c r="T8" s="220"/>
      <c r="U8" s="220"/>
      <c r="V8" s="1206"/>
    </row>
    <row r="9" spans="1:39" ht="13">
      <c r="A9" s="245"/>
      <c r="B9" s="245"/>
      <c r="C9" s="8131" t="s">
        <v>2618</v>
      </c>
      <c r="D9" s="2186"/>
      <c r="E9" s="2186"/>
      <c r="F9" s="2186"/>
      <c r="G9" s="2186"/>
      <c r="H9" s="2186"/>
      <c r="I9" s="2186"/>
      <c r="J9" s="2186"/>
      <c r="K9" s="8130"/>
      <c r="L9" s="8138" t="s">
        <v>2609</v>
      </c>
      <c r="M9" s="8137"/>
      <c r="N9" s="8137"/>
      <c r="O9" s="8137"/>
      <c r="P9" s="8137"/>
      <c r="Q9" s="8137"/>
      <c r="R9" s="8137"/>
      <c r="S9" s="244"/>
      <c r="T9" s="244"/>
      <c r="U9" s="244"/>
      <c r="V9" s="1206"/>
    </row>
    <row r="10" spans="1:39" ht="13">
      <c r="A10" s="245"/>
      <c r="B10" s="245"/>
      <c r="C10" s="8126" t="s">
        <v>2604</v>
      </c>
      <c r="D10" s="8126"/>
      <c r="E10" s="2186"/>
      <c r="F10" s="2186"/>
      <c r="G10" s="2186"/>
      <c r="H10" s="2186"/>
      <c r="I10" s="2186"/>
      <c r="J10" s="2186"/>
      <c r="K10" s="8130"/>
      <c r="L10" s="8136" t="s">
        <v>2610</v>
      </c>
      <c r="M10" s="8137"/>
      <c r="N10" s="8137"/>
      <c r="O10" s="8137"/>
      <c r="P10" s="8137"/>
      <c r="Q10" s="8137"/>
      <c r="R10" s="8137"/>
      <c r="S10" s="244"/>
      <c r="T10" s="244"/>
      <c r="U10" s="244"/>
      <c r="V10" s="1206"/>
    </row>
    <row r="11" spans="1:39" ht="13">
      <c r="A11" s="245"/>
      <c r="B11" s="245"/>
      <c r="C11" s="8131" t="s">
        <v>2619</v>
      </c>
      <c r="D11" s="8131"/>
      <c r="E11" s="2186"/>
      <c r="F11" s="2186"/>
      <c r="G11" s="2186"/>
      <c r="H11" s="2186"/>
      <c r="I11" s="2186"/>
      <c r="J11" s="2186"/>
      <c r="K11" s="8130"/>
      <c r="L11" s="8138" t="s">
        <v>2611</v>
      </c>
      <c r="M11" s="8137"/>
      <c r="N11" s="8137"/>
      <c r="O11" s="8137"/>
      <c r="P11" s="8137"/>
      <c r="Q11" s="8137"/>
      <c r="R11" s="8137"/>
      <c r="S11" s="244"/>
      <c r="T11" s="244"/>
      <c r="U11" s="244"/>
      <c r="V11" s="1206"/>
    </row>
    <row r="12" spans="1:39" ht="13">
      <c r="A12" s="245"/>
      <c r="B12" s="245"/>
      <c r="C12" s="8126" t="s">
        <v>2605</v>
      </c>
      <c r="D12" s="2186"/>
      <c r="E12" s="2186"/>
      <c r="F12" s="2186"/>
      <c r="G12" s="2186"/>
      <c r="H12" s="2186"/>
      <c r="I12" s="2186"/>
      <c r="J12" s="2186"/>
      <c r="K12" s="8130"/>
      <c r="L12" s="8136" t="s">
        <v>2612</v>
      </c>
      <c r="M12" s="8137"/>
      <c r="N12" s="8137"/>
      <c r="O12" s="8137"/>
      <c r="P12" s="8137"/>
      <c r="Q12" s="8137"/>
      <c r="R12" s="8137"/>
      <c r="S12" s="244"/>
      <c r="T12" s="244"/>
      <c r="U12" s="244"/>
      <c r="V12" s="1206"/>
    </row>
    <row r="13" spans="1:39" ht="13">
      <c r="A13" s="245"/>
      <c r="B13" s="245"/>
      <c r="C13" s="8131" t="s">
        <v>2620</v>
      </c>
      <c r="D13" s="2186"/>
      <c r="E13" s="2186"/>
      <c r="F13" s="2186"/>
      <c r="G13" s="2186"/>
      <c r="H13" s="2186"/>
      <c r="I13" s="2186"/>
      <c r="J13" s="2186"/>
      <c r="K13" s="8130"/>
      <c r="L13" s="8138" t="s">
        <v>2613</v>
      </c>
      <c r="M13" s="8137"/>
      <c r="N13" s="8137"/>
      <c r="O13" s="8137"/>
      <c r="P13" s="8137"/>
      <c r="Q13" s="8137"/>
      <c r="R13" s="8137"/>
      <c r="S13" s="244"/>
      <c r="T13" s="244"/>
      <c r="U13" s="244"/>
      <c r="V13" s="1206"/>
    </row>
    <row r="14" spans="1:39" ht="13">
      <c r="A14"/>
      <c r="B14"/>
      <c r="C14" s="2186"/>
      <c r="D14" s="2186"/>
      <c r="E14" s="2186"/>
      <c r="F14" s="2186"/>
      <c r="G14" s="2186"/>
      <c r="H14" s="2186"/>
      <c r="I14" s="2186"/>
      <c r="J14" s="2186"/>
      <c r="K14" s="8130"/>
      <c r="L14" s="8138"/>
      <c r="M14" s="8139"/>
      <c r="N14" s="8140"/>
      <c r="O14" s="8141"/>
      <c r="P14" s="8141"/>
      <c r="Q14" s="8142"/>
      <c r="R14" s="8137"/>
      <c r="S14" s="244"/>
      <c r="T14" s="244"/>
      <c r="U14" s="244"/>
      <c r="V14" s="1206"/>
    </row>
    <row r="15" spans="1:39" ht="11" customHeight="1">
      <c r="A15" s="1204" t="s">
        <v>344</v>
      </c>
      <c r="B15" s="245"/>
      <c r="C15" s="1126"/>
      <c r="D15" s="1127"/>
      <c r="E15" s="1128"/>
      <c r="V15" s="1210"/>
      <c r="AB15" s="245"/>
      <c r="AI15" s="244"/>
      <c r="AJ15" s="244"/>
      <c r="AK15" s="244"/>
      <c r="AL15" s="244"/>
      <c r="AM15" s="244"/>
    </row>
    <row r="16" spans="1:39" ht="11" customHeight="1">
      <c r="A16" s="1204"/>
      <c r="B16" s="245"/>
      <c r="C16" s="1126"/>
      <c r="D16" s="1127"/>
      <c r="E16" s="1128"/>
      <c r="V16" s="1210"/>
      <c r="AB16" s="245"/>
      <c r="AI16" s="244"/>
      <c r="AJ16" s="244"/>
      <c r="AK16" s="244"/>
      <c r="AL16" s="244"/>
      <c r="AM16" s="244"/>
    </row>
    <row r="17" spans="1:40" ht="11.5" customHeight="1" thickBot="1">
      <c r="F17" s="1214"/>
      <c r="G17" s="1215"/>
      <c r="H17" s="1215"/>
      <c r="I17" s="1215"/>
      <c r="J17" s="1216"/>
      <c r="K17" s="1217">
        <v>45201</v>
      </c>
      <c r="L17" s="1218"/>
      <c r="U17" s="1219" t="s">
        <v>345</v>
      </c>
      <c r="AI17" s="244"/>
      <c r="AJ17" s="244"/>
      <c r="AK17" s="244"/>
      <c r="AL17" s="244"/>
      <c r="AM17" s="244"/>
    </row>
    <row r="18" spans="1:40" s="223" customFormat="1" ht="70.75" customHeight="1" thickTop="1" thickBot="1">
      <c r="A18" s="351" t="s">
        <v>346</v>
      </c>
      <c r="B18" s="352" t="s">
        <v>347</v>
      </c>
      <c r="C18" s="353" t="s">
        <v>348</v>
      </c>
      <c r="D18" s="903"/>
      <c r="E18" s="353" t="s">
        <v>349</v>
      </c>
      <c r="F18" s="354" t="s">
        <v>350</v>
      </c>
      <c r="G18" s="350" t="s">
        <v>351</v>
      </c>
      <c r="H18" s="350" t="s">
        <v>624</v>
      </c>
      <c r="I18" s="350" t="s">
        <v>352</v>
      </c>
      <c r="J18" s="354" t="s">
        <v>353</v>
      </c>
      <c r="K18" s="350" t="s">
        <v>354</v>
      </c>
      <c r="L18" s="990" t="s">
        <v>711</v>
      </c>
      <c r="M18" s="1220" t="s">
        <v>355</v>
      </c>
      <c r="N18" s="350" t="s">
        <v>445</v>
      </c>
      <c r="O18" s="353" t="s">
        <v>446</v>
      </c>
      <c r="P18" s="353" t="s">
        <v>447</v>
      </c>
      <c r="Q18" s="355" t="s">
        <v>448</v>
      </c>
      <c r="R18" s="356" t="s">
        <v>371</v>
      </c>
      <c r="S18" s="219" t="s">
        <v>449</v>
      </c>
      <c r="T18" s="219" t="s">
        <v>450</v>
      </c>
      <c r="U18" s="326" t="s">
        <v>451</v>
      </c>
      <c r="V18" s="329" t="s">
        <v>452</v>
      </c>
      <c r="W18" s="327" t="s">
        <v>453</v>
      </c>
      <c r="X18" s="330" t="s">
        <v>454</v>
      </c>
      <c r="Y18" s="328" t="s">
        <v>455</v>
      </c>
      <c r="Z18" s="332" t="s">
        <v>456</v>
      </c>
      <c r="AA18" s="331" t="s">
        <v>457</v>
      </c>
      <c r="AB18" s="220"/>
      <c r="AC18" s="1221"/>
      <c r="AD18" s="1211"/>
      <c r="AE18" s="1211"/>
      <c r="AF18" s="1211"/>
      <c r="AG18" s="1211"/>
      <c r="AH18" s="1211"/>
      <c r="AI18" s="220"/>
      <c r="AJ18" s="220"/>
      <c r="AK18" s="220"/>
      <c r="AL18" s="220"/>
      <c r="AM18" s="220"/>
      <c r="AN18" s="220"/>
    </row>
    <row r="19" spans="1:40" s="223" customFormat="1" ht="3.5" customHeight="1" thickBot="1">
      <c r="A19" s="1222"/>
      <c r="B19" s="1223"/>
      <c r="C19" s="1224"/>
      <c r="D19" s="1225"/>
      <c r="E19" s="1224"/>
      <c r="F19" s="360"/>
      <c r="G19" s="361"/>
      <c r="H19" s="361"/>
      <c r="I19" s="274"/>
      <c r="J19" s="360"/>
      <c r="K19" s="361"/>
      <c r="L19" s="991"/>
      <c r="M19" s="1226"/>
      <c r="N19" s="361"/>
      <c r="O19" s="1224"/>
      <c r="P19" s="1224"/>
      <c r="Q19" s="1224"/>
      <c r="R19" s="1227"/>
      <c r="S19" s="1228"/>
      <c r="T19" s="1228"/>
      <c r="U19" s="111">
        <f>Test!$D$29</f>
        <v>9.1523857526881758E-4</v>
      </c>
      <c r="V19" s="111">
        <f>Test!$D$31</f>
        <v>8.7635030864197572E-4</v>
      </c>
      <c r="W19" s="111">
        <f>Test!$D$33</f>
        <v>8.4888763197586746E-4</v>
      </c>
      <c r="X19" s="111">
        <f>Test!$D$35</f>
        <v>8.0990657955066516E-4</v>
      </c>
      <c r="Y19" s="111">
        <f>Test!$D$37</f>
        <v>7.5735749690210676E-4</v>
      </c>
      <c r="Z19" s="111">
        <f>Test!$D$39</f>
        <v>7.2916666666666692E-4</v>
      </c>
      <c r="AA19" s="112">
        <f>Test!$D$41</f>
        <v>7.0729166666666694E-4</v>
      </c>
      <c r="AB19" s="220"/>
      <c r="AC19" s="1229"/>
      <c r="AD19" s="1230"/>
      <c r="AE19" s="1230"/>
      <c r="AF19" s="1230"/>
      <c r="AG19" s="1230"/>
      <c r="AH19" s="1230"/>
      <c r="AI19" s="220"/>
      <c r="AJ19" s="220"/>
      <c r="AK19" s="220"/>
      <c r="AL19" s="220"/>
      <c r="AM19" s="220"/>
      <c r="AN19" s="220"/>
    </row>
    <row r="20" spans="1:40" s="223" customFormat="1" ht="4.5" customHeight="1" thickTop="1" thickBot="1">
      <c r="A20" s="852"/>
      <c r="B20" s="852"/>
      <c r="C20" s="913"/>
      <c r="D20" s="914"/>
      <c r="E20" s="913"/>
      <c r="F20" s="624"/>
      <c r="G20" s="625"/>
      <c r="H20" s="625"/>
      <c r="I20" s="625"/>
      <c r="J20" s="624"/>
      <c r="K20" s="625"/>
      <c r="L20" s="992"/>
      <c r="M20" s="1231"/>
      <c r="N20" s="625"/>
      <c r="O20" s="913"/>
      <c r="P20" s="913"/>
      <c r="Q20" s="913"/>
      <c r="R20" s="984"/>
      <c r="S20" s="1232"/>
      <c r="T20" s="1232"/>
      <c r="U20" s="1108">
        <f>U19/4</f>
        <v>2.2880964381720439E-4</v>
      </c>
      <c r="V20" s="1108">
        <f t="shared" ref="V20:AA20" si="0">V19/4</f>
        <v>2.1908757716049393E-4</v>
      </c>
      <c r="W20" s="1108">
        <f t="shared" si="0"/>
        <v>2.1222190799396687E-4</v>
      </c>
      <c r="X20" s="1108">
        <f t="shared" si="0"/>
        <v>2.0247664488766629E-4</v>
      </c>
      <c r="Y20" s="1108">
        <f t="shared" si="0"/>
        <v>1.8933937422552669E-4</v>
      </c>
      <c r="Z20" s="1108">
        <f t="shared" si="0"/>
        <v>1.8229166666666673E-4</v>
      </c>
      <c r="AA20" s="1108">
        <f t="shared" si="0"/>
        <v>1.7682291666666674E-4</v>
      </c>
      <c r="AB20" s="220"/>
      <c r="AC20" s="1229"/>
      <c r="AD20" s="1230"/>
      <c r="AE20" s="1230"/>
      <c r="AF20" s="1230"/>
      <c r="AG20" s="1230"/>
      <c r="AH20" s="1230"/>
      <c r="AI20" s="220"/>
      <c r="AJ20" s="220"/>
      <c r="AK20" s="220"/>
      <c r="AL20" s="220"/>
      <c r="AM20" s="220"/>
      <c r="AN20" s="220"/>
    </row>
    <row r="21" spans="1:40" s="223" customFormat="1" ht="13.5" customHeight="1" thickBot="1">
      <c r="A21" s="1233" t="s">
        <v>214</v>
      </c>
      <c r="B21" s="1234" t="s">
        <v>215</v>
      </c>
      <c r="C21" s="1353">
        <f t="shared" ref="C21:C27" si="1">IF(D21=1,U$20,IF(D21=2,V$20,IF(D21=3,W$20,IF(D21=4,X$20,IF(D21=5,Y$20,IF(D21=6,Z$20,IF(D21=7,AA$20,0)))))))</f>
        <v>2.2880964381720439E-4</v>
      </c>
      <c r="D21" s="547">
        <v>1</v>
      </c>
      <c r="E21" s="1194">
        <v>1</v>
      </c>
      <c r="F21" s="1194">
        <v>1</v>
      </c>
      <c r="G21" s="1194">
        <v>400</v>
      </c>
      <c r="H21" s="274"/>
      <c r="I21" s="274">
        <v>0</v>
      </c>
      <c r="J21" s="274">
        <v>1.7361111111111112E-4</v>
      </c>
      <c r="K21" s="312" t="s">
        <v>2622</v>
      </c>
      <c r="L21" s="1235">
        <v>0.2986111111111111</v>
      </c>
      <c r="M21" s="1195">
        <v>1.1000000000000001</v>
      </c>
      <c r="N21" s="274">
        <f t="shared" ref="N21:N27" si="2">P21*E21*F21+I21*E21*F21+J21*E21</f>
        <v>4.2006608422939093E-3</v>
      </c>
      <c r="O21" s="1196">
        <f>C21*(G21/25)</f>
        <v>3.6609543010752703E-3</v>
      </c>
      <c r="P21" s="1196">
        <f t="shared" ref="P21:P27" si="3">O21*M21</f>
        <v>4.0270497311827979E-3</v>
      </c>
      <c r="Q21" s="548">
        <v>125</v>
      </c>
      <c r="R21" s="1194">
        <f t="shared" ref="R21:R27" si="4">E21*F21*G21</f>
        <v>400</v>
      </c>
      <c r="S21" s="1118">
        <f t="shared" ref="S21:S50" si="5">E21*F21*G21/1000</f>
        <v>0.4</v>
      </c>
      <c r="T21" s="1119">
        <f t="shared" ref="T21:T50" si="6">E21*F21*O21*4</f>
        <v>1.4643817204301081E-2</v>
      </c>
      <c r="U21" s="374">
        <f t="shared" ref="U21:U50" si="7">IF(C21*4&gt;=$U$19,S21,0)</f>
        <v>0.4</v>
      </c>
      <c r="V21" s="1120">
        <f t="shared" ref="V21:V50" si="8">IF(AND(C21*4&gt;=$V$19,C21*4&lt;$U$19),S21,0)</f>
        <v>0</v>
      </c>
      <c r="W21" s="376">
        <f t="shared" ref="W21:W50" si="9">IF(AND(C21*4&gt;=$W$19,C21*4&lt;$V$19),S21,0)</f>
        <v>0</v>
      </c>
      <c r="X21" s="377">
        <f t="shared" ref="X21:X50" si="10">IF(AND(C21*4&gt;=$X$19,C21*4&lt;$W$19),S21,0)</f>
        <v>0</v>
      </c>
      <c r="Y21" s="378">
        <f t="shared" ref="Y21:Y50" si="11">IF(AND(C21*4&gt;=$Y$19,C21*4&lt;$X$19),S21,0)</f>
        <v>0</v>
      </c>
      <c r="Z21" s="1121">
        <f t="shared" ref="Z21:Z50" si="12">IF(AND(C21*4&gt;=$Z$19,C21*4&lt;$Y$19),S21,0)</f>
        <v>0</v>
      </c>
      <c r="AA21" s="1122">
        <f t="shared" ref="AA21:AA50" si="13">IF(AND(C21*4&gt;=$AA$19,C21*4&lt;$Z$19),S21,0)</f>
        <v>0</v>
      </c>
      <c r="AL21" s="220"/>
      <c r="AM21" s="220"/>
      <c r="AN21" s="220"/>
    </row>
    <row r="22" spans="1:40" s="223" customFormat="1" ht="13.5" customHeight="1" thickBot="1">
      <c r="A22" s="1233" t="s">
        <v>459</v>
      </c>
      <c r="B22" s="1234" t="s">
        <v>215</v>
      </c>
      <c r="C22" s="1353">
        <f t="shared" si="1"/>
        <v>2.0247664488766629E-4</v>
      </c>
      <c r="D22" s="1197">
        <v>4</v>
      </c>
      <c r="E22" s="1177">
        <v>1</v>
      </c>
      <c r="F22" s="1177">
        <v>1</v>
      </c>
      <c r="G22" s="1177">
        <v>200</v>
      </c>
      <c r="H22" s="1178"/>
      <c r="I22" s="1178">
        <v>0</v>
      </c>
      <c r="J22" s="1178">
        <v>1.7361111111111112E-4</v>
      </c>
      <c r="K22" s="316" t="s">
        <v>2623</v>
      </c>
      <c r="L22" s="996">
        <f t="shared" ref="L22:L28" si="14">L21+N21</f>
        <v>0.30281177195340503</v>
      </c>
      <c r="M22" s="1180">
        <v>1.07</v>
      </c>
      <c r="N22" s="1178">
        <f t="shared" si="2"/>
        <v>1.9068111913495348E-3</v>
      </c>
      <c r="O22" s="1181">
        <f>C22*(G22/25)</f>
        <v>1.6198131591013303E-3</v>
      </c>
      <c r="P22" s="1181">
        <f t="shared" si="3"/>
        <v>1.7332000802384236E-3</v>
      </c>
      <c r="Q22" s="334">
        <v>170</v>
      </c>
      <c r="R22" s="1177">
        <f t="shared" si="4"/>
        <v>200</v>
      </c>
      <c r="S22" s="1118">
        <f t="shared" si="5"/>
        <v>0.2</v>
      </c>
      <c r="T22" s="1119">
        <f t="shared" si="6"/>
        <v>6.4792526364053213E-3</v>
      </c>
      <c r="U22" s="374">
        <f t="shared" si="7"/>
        <v>0</v>
      </c>
      <c r="V22" s="1120">
        <f t="shared" si="8"/>
        <v>0</v>
      </c>
      <c r="W22" s="376">
        <f t="shared" si="9"/>
        <v>0</v>
      </c>
      <c r="X22" s="377">
        <f t="shared" si="10"/>
        <v>0.2</v>
      </c>
      <c r="Y22" s="378">
        <f t="shared" si="11"/>
        <v>0</v>
      </c>
      <c r="Z22" s="1121">
        <f t="shared" si="12"/>
        <v>0</v>
      </c>
      <c r="AA22" s="1122">
        <f t="shared" si="13"/>
        <v>0</v>
      </c>
      <c r="AL22" s="220"/>
      <c r="AM22" s="220"/>
      <c r="AN22" s="220"/>
    </row>
    <row r="23" spans="1:40" s="223" customFormat="1" ht="13.5" customHeight="1" thickBot="1">
      <c r="A23" s="1233" t="s">
        <v>460</v>
      </c>
      <c r="B23" s="1234" t="s">
        <v>215</v>
      </c>
      <c r="C23" s="274">
        <f t="shared" si="1"/>
        <v>1.7682291666666674E-4</v>
      </c>
      <c r="D23" s="1237">
        <v>7</v>
      </c>
      <c r="E23" s="1257">
        <v>2</v>
      </c>
      <c r="F23" s="1187">
        <v>3</v>
      </c>
      <c r="G23" s="1187">
        <v>25</v>
      </c>
      <c r="H23" s="1051"/>
      <c r="I23" s="1051">
        <v>4.6296296296296293E-4</v>
      </c>
      <c r="J23" s="1188">
        <v>6.9444444444444447E-4</v>
      </c>
      <c r="K23" s="438" t="s">
        <v>2624</v>
      </c>
      <c r="L23" s="1189">
        <f t="shared" ref="L23" si="15">L22+N22</f>
        <v>0.30471858314475458</v>
      </c>
      <c r="M23" s="1190">
        <v>0.9</v>
      </c>
      <c r="N23" s="1188">
        <f t="shared" ref="N23:N24" si="16">P23*E23*F23+I23*E23*F23+J23*E23</f>
        <v>5.1215104166666666E-3</v>
      </c>
      <c r="O23" s="1191">
        <f>C23*(G23/25)</f>
        <v>1.7682291666666674E-4</v>
      </c>
      <c r="P23" s="1192">
        <f t="shared" ref="P23:P24" si="17">O23*M23</f>
        <v>1.5914062500000008E-4</v>
      </c>
      <c r="Q23" s="788">
        <v>200</v>
      </c>
      <c r="R23" s="1187">
        <f t="shared" ref="R23:R24" si="18">E23*F23*G23</f>
        <v>150</v>
      </c>
      <c r="S23" s="1118">
        <f t="shared" si="5"/>
        <v>0.15</v>
      </c>
      <c r="T23" s="1119">
        <f t="shared" si="6"/>
        <v>4.2437500000000019E-3</v>
      </c>
      <c r="U23" s="374">
        <f t="shared" si="7"/>
        <v>0</v>
      </c>
      <c r="V23" s="1120">
        <f t="shared" si="8"/>
        <v>0</v>
      </c>
      <c r="W23" s="376">
        <f t="shared" si="9"/>
        <v>0</v>
      </c>
      <c r="X23" s="377">
        <f t="shared" si="10"/>
        <v>0</v>
      </c>
      <c r="Y23" s="378">
        <f t="shared" si="11"/>
        <v>0</v>
      </c>
      <c r="Z23" s="1121">
        <f t="shared" si="12"/>
        <v>0</v>
      </c>
      <c r="AA23" s="1122">
        <f t="shared" si="13"/>
        <v>0.15</v>
      </c>
      <c r="AL23" s="220"/>
      <c r="AM23" s="220"/>
      <c r="AN23" s="220"/>
    </row>
    <row r="24" spans="1:40" s="223" customFormat="1" ht="13.5" customHeight="1" thickBot="1">
      <c r="A24" s="1233" t="s">
        <v>458</v>
      </c>
      <c r="B24" s="1234" t="s">
        <v>215</v>
      </c>
      <c r="C24" s="274">
        <f t="shared" si="1"/>
        <v>1.8229166666666673E-4</v>
      </c>
      <c r="D24" s="1237">
        <v>6</v>
      </c>
      <c r="E24" s="1257">
        <v>1</v>
      </c>
      <c r="F24" s="1187">
        <v>4</v>
      </c>
      <c r="G24" s="1187">
        <v>15</v>
      </c>
      <c r="H24" s="1051"/>
      <c r="I24" s="1051">
        <v>4.6296296296296293E-4</v>
      </c>
      <c r="J24" s="1188">
        <v>0</v>
      </c>
      <c r="K24" s="438" t="s">
        <v>2625</v>
      </c>
      <c r="L24" s="1189">
        <f>L23+N23</f>
        <v>0.30984009356142123</v>
      </c>
      <c r="M24" s="1190">
        <v>1</v>
      </c>
      <c r="N24" s="1188">
        <f t="shared" si="16"/>
        <v>2.2893518518518519E-3</v>
      </c>
      <c r="O24" s="1191">
        <f t="shared" ref="O24" si="19">C24*(G24/25)</f>
        <v>1.0937500000000003E-4</v>
      </c>
      <c r="P24" s="1192">
        <f t="shared" si="17"/>
        <v>1.0937500000000003E-4</v>
      </c>
      <c r="Q24" s="788" t="s">
        <v>1281</v>
      </c>
      <c r="R24" s="1187">
        <f t="shared" si="18"/>
        <v>60</v>
      </c>
      <c r="S24" s="1118">
        <f t="shared" si="5"/>
        <v>0.06</v>
      </c>
      <c r="T24" s="1119">
        <f t="shared" si="6"/>
        <v>1.7500000000000005E-3</v>
      </c>
      <c r="U24" s="374">
        <f t="shared" si="7"/>
        <v>0</v>
      </c>
      <c r="V24" s="1120">
        <f t="shared" si="8"/>
        <v>0</v>
      </c>
      <c r="W24" s="376">
        <f t="shared" si="9"/>
        <v>0</v>
      </c>
      <c r="X24" s="377">
        <f t="shared" si="10"/>
        <v>0</v>
      </c>
      <c r="Y24" s="378">
        <f t="shared" si="11"/>
        <v>0</v>
      </c>
      <c r="Z24" s="1121">
        <f t="shared" si="12"/>
        <v>0.06</v>
      </c>
      <c r="AA24" s="1122">
        <f t="shared" si="13"/>
        <v>0</v>
      </c>
      <c r="AL24" s="220"/>
      <c r="AM24" s="220"/>
      <c r="AN24" s="220"/>
    </row>
    <row r="25" spans="1:40" s="223" customFormat="1" ht="13.5" customHeight="1" thickBot="1">
      <c r="A25" s="1233" t="s">
        <v>219</v>
      </c>
      <c r="B25" s="1234" t="s">
        <v>215</v>
      </c>
      <c r="C25" s="274">
        <f t="shared" si="1"/>
        <v>1.8229166666666673E-4</v>
      </c>
      <c r="D25" s="4558">
        <v>6</v>
      </c>
      <c r="E25" s="4561">
        <v>1</v>
      </c>
      <c r="F25" s="4561">
        <v>3</v>
      </c>
      <c r="G25" s="4561">
        <v>50</v>
      </c>
      <c r="H25" s="6300" t="s">
        <v>2627</v>
      </c>
      <c r="I25" s="6300">
        <v>3.4722222222222224E-4</v>
      </c>
      <c r="J25" s="6300">
        <v>6.9444444444444447E-4</v>
      </c>
      <c r="K25" s="4561" t="s">
        <v>2626</v>
      </c>
      <c r="L25" s="6301">
        <f t="shared" si="14"/>
        <v>0.31212944541327309</v>
      </c>
      <c r="M25" s="6302">
        <v>1</v>
      </c>
      <c r="N25" s="6301">
        <f t="shared" si="2"/>
        <v>2.8517361111111113E-3</v>
      </c>
      <c r="O25" s="6301">
        <f>C25*(G25/25)*1.02</f>
        <v>3.7187500000000014E-4</v>
      </c>
      <c r="P25" s="6301">
        <f t="shared" si="3"/>
        <v>3.7187500000000014E-4</v>
      </c>
      <c r="Q25" s="6303">
        <v>177</v>
      </c>
      <c r="R25" s="6303">
        <f t="shared" si="4"/>
        <v>150</v>
      </c>
      <c r="S25" s="1118">
        <f t="shared" si="5"/>
        <v>0.15</v>
      </c>
      <c r="T25" s="1119">
        <f t="shared" si="6"/>
        <v>4.4625000000000012E-3</v>
      </c>
      <c r="U25" s="374">
        <f t="shared" si="7"/>
        <v>0</v>
      </c>
      <c r="V25" s="1120">
        <f t="shared" si="8"/>
        <v>0</v>
      </c>
      <c r="W25" s="376">
        <f t="shared" si="9"/>
        <v>0</v>
      </c>
      <c r="X25" s="377">
        <f t="shared" si="10"/>
        <v>0</v>
      </c>
      <c r="Y25" s="378">
        <f t="shared" si="11"/>
        <v>0</v>
      </c>
      <c r="Z25" s="1121">
        <f t="shared" si="12"/>
        <v>0.15</v>
      </c>
      <c r="AA25" s="1122">
        <f t="shared" si="13"/>
        <v>0</v>
      </c>
      <c r="AL25" s="220"/>
      <c r="AM25" s="220"/>
      <c r="AN25" s="220"/>
    </row>
    <row r="26" spans="1:40" s="223" customFormat="1" ht="13.5" customHeight="1" thickBot="1">
      <c r="A26" s="1233"/>
      <c r="B26" s="1234" t="s">
        <v>215</v>
      </c>
      <c r="C26" s="274">
        <f t="shared" si="1"/>
        <v>2.1222190799396687E-4</v>
      </c>
      <c r="D26" s="1248">
        <v>3</v>
      </c>
      <c r="E26" s="1161">
        <v>3</v>
      </c>
      <c r="F26" s="1161">
        <v>3</v>
      </c>
      <c r="G26" s="1161">
        <v>25</v>
      </c>
      <c r="H26" s="1163"/>
      <c r="I26" s="1163">
        <v>5.7870370370370366E-5</v>
      </c>
      <c r="J26" s="1163">
        <v>2.0833333333333333E-3</v>
      </c>
      <c r="K26" s="1074" t="s">
        <v>2628</v>
      </c>
      <c r="L26" s="1148">
        <f t="shared" si="14"/>
        <v>0.3149811815243842</v>
      </c>
      <c r="M26" s="1164">
        <v>1.1000000000000001</v>
      </c>
      <c r="N26" s="1163">
        <f t="shared" si="2"/>
        <v>8.9348601291478133E-3</v>
      </c>
      <c r="O26" s="1165">
        <f>C26*(G26/25)*1.03</f>
        <v>2.1858856523378588E-4</v>
      </c>
      <c r="P26" s="1165">
        <f t="shared" si="3"/>
        <v>2.4044742175716448E-4</v>
      </c>
      <c r="Q26" s="333">
        <v>173</v>
      </c>
      <c r="R26" s="1161">
        <f t="shared" si="4"/>
        <v>225</v>
      </c>
      <c r="S26" s="1118">
        <f t="shared" si="5"/>
        <v>0.22500000000000001</v>
      </c>
      <c r="T26" s="1119">
        <f t="shared" si="6"/>
        <v>7.8691883484162915E-3</v>
      </c>
      <c r="U26" s="374">
        <f t="shared" si="7"/>
        <v>0</v>
      </c>
      <c r="V26" s="1120">
        <f t="shared" si="8"/>
        <v>0</v>
      </c>
      <c r="W26" s="376">
        <f t="shared" si="9"/>
        <v>0.22500000000000001</v>
      </c>
      <c r="X26" s="377">
        <f t="shared" si="10"/>
        <v>0</v>
      </c>
      <c r="Y26" s="378">
        <f t="shared" si="11"/>
        <v>0</v>
      </c>
      <c r="Z26" s="1121">
        <f t="shared" si="12"/>
        <v>0</v>
      </c>
      <c r="AA26" s="1122">
        <f t="shared" si="13"/>
        <v>0</v>
      </c>
      <c r="AL26" s="220"/>
      <c r="AM26" s="220"/>
      <c r="AN26" s="220"/>
    </row>
    <row r="27" spans="1:40" s="223" customFormat="1" ht="13.5" customHeight="1" thickBot="1">
      <c r="A27" s="1233"/>
      <c r="B27" s="1234" t="s">
        <v>215</v>
      </c>
      <c r="C27" s="274">
        <f t="shared" si="1"/>
        <v>1.7682291666666674E-4</v>
      </c>
      <c r="D27" s="1237">
        <v>7</v>
      </c>
      <c r="E27" s="1257">
        <v>1</v>
      </c>
      <c r="F27" s="1187">
        <v>5</v>
      </c>
      <c r="G27" s="1187">
        <v>10</v>
      </c>
      <c r="H27" s="1051" t="s">
        <v>2378</v>
      </c>
      <c r="I27" s="1051">
        <v>4.6296296296296293E-4</v>
      </c>
      <c r="J27" s="1188">
        <v>6.9444444444444447E-4</v>
      </c>
      <c r="K27" s="438" t="s">
        <v>2629</v>
      </c>
      <c r="L27" s="1189">
        <f t="shared" si="14"/>
        <v>0.32391604165353199</v>
      </c>
      <c r="M27" s="1190">
        <v>0.9</v>
      </c>
      <c r="N27" s="1188">
        <f t="shared" si="2"/>
        <v>3.3275405092592593E-3</v>
      </c>
      <c r="O27" s="1191">
        <f>C27*(G27/25)</f>
        <v>7.0729166666666694E-5</v>
      </c>
      <c r="P27" s="1192">
        <f t="shared" si="3"/>
        <v>6.3656250000000033E-5</v>
      </c>
      <c r="Q27" s="788">
        <v>200</v>
      </c>
      <c r="R27" s="1187">
        <f t="shared" si="4"/>
        <v>50</v>
      </c>
      <c r="S27" s="1118">
        <f t="shared" si="5"/>
        <v>0.05</v>
      </c>
      <c r="T27" s="1119">
        <f t="shared" si="6"/>
        <v>1.4145833333333339E-3</v>
      </c>
      <c r="U27" s="374">
        <f t="shared" si="7"/>
        <v>0</v>
      </c>
      <c r="V27" s="1120">
        <f t="shared" si="8"/>
        <v>0</v>
      </c>
      <c r="W27" s="376">
        <f t="shared" si="9"/>
        <v>0</v>
      </c>
      <c r="X27" s="377">
        <f t="shared" si="10"/>
        <v>0</v>
      </c>
      <c r="Y27" s="378">
        <f t="shared" si="11"/>
        <v>0</v>
      </c>
      <c r="Z27" s="1121">
        <f t="shared" si="12"/>
        <v>0</v>
      </c>
      <c r="AA27" s="1122">
        <f t="shared" si="13"/>
        <v>0.05</v>
      </c>
      <c r="AL27" s="220"/>
      <c r="AM27" s="220"/>
      <c r="AN27" s="220"/>
    </row>
    <row r="28" spans="1:40" s="223" customFormat="1" ht="13.5" customHeight="1" thickBot="1">
      <c r="A28" s="1233"/>
      <c r="B28" s="1234"/>
      <c r="C28" s="1258"/>
      <c r="D28" s="1259"/>
      <c r="E28" s="336"/>
      <c r="F28" s="336"/>
      <c r="G28" s="336"/>
      <c r="H28" s="336"/>
      <c r="I28" s="336"/>
      <c r="J28" s="336"/>
      <c r="K28" s="336"/>
      <c r="L28" s="1003">
        <f t="shared" si="14"/>
        <v>0.32724358216279126</v>
      </c>
      <c r="M28" s="1198"/>
      <c r="N28" s="1008">
        <f>SUM(N21:N27)</f>
        <v>2.8632471051680146E-2</v>
      </c>
      <c r="O28" s="336"/>
      <c r="P28" s="336"/>
      <c r="Q28" s="336"/>
      <c r="R28" s="1238">
        <f>SUM(R21:R27)</f>
        <v>1235</v>
      </c>
      <c r="S28" s="1118">
        <f t="shared" si="5"/>
        <v>0</v>
      </c>
      <c r="T28" s="1119">
        <f t="shared" si="6"/>
        <v>0</v>
      </c>
      <c r="U28" s="374">
        <f t="shared" si="7"/>
        <v>0</v>
      </c>
      <c r="V28" s="1120">
        <f t="shared" si="8"/>
        <v>0</v>
      </c>
      <c r="W28" s="376">
        <f t="shared" si="9"/>
        <v>0</v>
      </c>
      <c r="X28" s="377">
        <f t="shared" si="10"/>
        <v>0</v>
      </c>
      <c r="Y28" s="378">
        <f t="shared" si="11"/>
        <v>0</v>
      </c>
      <c r="Z28" s="1121">
        <f t="shared" si="12"/>
        <v>0</v>
      </c>
      <c r="AA28" s="1122">
        <f t="shared" si="13"/>
        <v>0</v>
      </c>
      <c r="AL28" s="220"/>
      <c r="AM28" s="220"/>
      <c r="AN28" s="220"/>
    </row>
    <row r="29" spans="1:40">
      <c r="A29" s="1260" t="s">
        <v>215</v>
      </c>
      <c r="B29" s="1262" t="s">
        <v>461</v>
      </c>
      <c r="C29" s="274">
        <f t="shared" ref="C29:C32" si="20">IF(D29=1,U$20,IF(D29=2,V$20,IF(D29=3,W$20,IF(D29=4,X$20,IF(D29=5,Y$20,IF(D29=6,Z$20,IF(D29=7,AA$20,0)))))))</f>
        <v>2.2880964381720439E-4</v>
      </c>
      <c r="D29" s="547">
        <v>1</v>
      </c>
      <c r="E29" s="1194">
        <v>1</v>
      </c>
      <c r="F29" s="1194">
        <v>7</v>
      </c>
      <c r="G29" s="1194">
        <v>150</v>
      </c>
      <c r="H29" s="274"/>
      <c r="I29" s="299">
        <v>1.1574074074074073E-4</v>
      </c>
      <c r="J29" s="299">
        <v>1.3888888888888889E-3</v>
      </c>
      <c r="K29" s="1123" t="s">
        <v>2630</v>
      </c>
      <c r="L29" s="1148">
        <v>0.79861111111111116</v>
      </c>
      <c r="M29" s="1164">
        <v>1</v>
      </c>
      <c r="N29" s="1163">
        <f t="shared" ref="N29:N32" si="21">P29*E29*F29+I29*E29*F29+J29*E29</f>
        <v>1.1809079114396659E-2</v>
      </c>
      <c r="O29" s="1165">
        <f>C29*(G29/25)</f>
        <v>1.3728578629032264E-3</v>
      </c>
      <c r="P29" s="1165">
        <f t="shared" ref="P29:P32" si="22">O29*M29</f>
        <v>1.3728578629032264E-3</v>
      </c>
      <c r="Q29" s="333">
        <v>125</v>
      </c>
      <c r="R29" s="1161">
        <f t="shared" ref="R29:R32" si="23">E29*F29*G29</f>
        <v>1050</v>
      </c>
      <c r="S29" s="1118">
        <f t="shared" si="5"/>
        <v>1.05</v>
      </c>
      <c r="T29" s="1119">
        <f t="shared" si="6"/>
        <v>3.8440020161290341E-2</v>
      </c>
      <c r="U29" s="374">
        <f t="shared" si="7"/>
        <v>1.05</v>
      </c>
      <c r="V29" s="1120">
        <f t="shared" si="8"/>
        <v>0</v>
      </c>
      <c r="W29" s="376">
        <f t="shared" si="9"/>
        <v>0</v>
      </c>
      <c r="X29" s="377">
        <f t="shared" si="10"/>
        <v>0</v>
      </c>
      <c r="Y29" s="378">
        <f t="shared" si="11"/>
        <v>0</v>
      </c>
      <c r="Z29" s="1121">
        <f t="shared" si="12"/>
        <v>0</v>
      </c>
      <c r="AA29" s="1122">
        <f t="shared" si="13"/>
        <v>0</v>
      </c>
      <c r="AB29" s="245"/>
      <c r="AC29" s="245"/>
      <c r="AD29" s="245"/>
      <c r="AE29" s="245"/>
      <c r="AF29" s="245"/>
      <c r="AG29" s="245"/>
      <c r="AH29" s="245"/>
      <c r="AI29" s="245"/>
      <c r="AJ29" s="245"/>
      <c r="AK29" s="245"/>
      <c r="AL29" s="244"/>
      <c r="AM29" s="244"/>
      <c r="AN29" s="245"/>
    </row>
    <row r="30" spans="1:40">
      <c r="A30" s="1261" t="s">
        <v>138</v>
      </c>
      <c r="B30" s="1262" t="s">
        <v>461</v>
      </c>
      <c r="C30" s="274">
        <f t="shared" si="20"/>
        <v>2.1908757716049393E-4</v>
      </c>
      <c r="D30" s="889">
        <v>2</v>
      </c>
      <c r="E30" s="1173">
        <v>1</v>
      </c>
      <c r="F30" s="1173">
        <v>1</v>
      </c>
      <c r="G30" s="1173">
        <v>175</v>
      </c>
      <c r="H30" s="299"/>
      <c r="I30" s="299">
        <v>2.3148148148148146E-4</v>
      </c>
      <c r="J30" s="299">
        <v>1.3888888888888889E-3</v>
      </c>
      <c r="K30" s="1123" t="s">
        <v>2631</v>
      </c>
      <c r="L30" s="1149">
        <f t="shared" ref="L30:L33" si="24">L29+N29</f>
        <v>0.81042019022550782</v>
      </c>
      <c r="M30" s="1174">
        <v>1</v>
      </c>
      <c r="N30" s="299">
        <f t="shared" si="21"/>
        <v>8.7713888888888928E-3</v>
      </c>
      <c r="O30" s="1175">
        <f>C30*32*1.02</f>
        <v>7.1510185185185218E-3</v>
      </c>
      <c r="P30" s="1175">
        <f t="shared" si="22"/>
        <v>7.1510185185185218E-3</v>
      </c>
      <c r="Q30" s="550">
        <v>140</v>
      </c>
      <c r="R30" s="1176">
        <f t="shared" si="23"/>
        <v>175</v>
      </c>
      <c r="S30" s="1118">
        <f t="shared" si="5"/>
        <v>0.17499999999999999</v>
      </c>
      <c r="T30" s="1119">
        <f t="shared" si="6"/>
        <v>2.8604074074074087E-2</v>
      </c>
      <c r="U30" s="374">
        <f t="shared" si="7"/>
        <v>0</v>
      </c>
      <c r="V30" s="1120">
        <f t="shared" si="8"/>
        <v>0.17499999999999999</v>
      </c>
      <c r="W30" s="376">
        <f t="shared" si="9"/>
        <v>0</v>
      </c>
      <c r="X30" s="377">
        <f t="shared" si="10"/>
        <v>0</v>
      </c>
      <c r="Y30" s="378">
        <f t="shared" si="11"/>
        <v>0</v>
      </c>
      <c r="Z30" s="1121">
        <f t="shared" si="12"/>
        <v>0</v>
      </c>
      <c r="AA30" s="1122">
        <f t="shared" si="13"/>
        <v>0</v>
      </c>
      <c r="AB30" s="245"/>
      <c r="AC30" s="245"/>
      <c r="AD30" s="245"/>
      <c r="AE30" s="245"/>
      <c r="AF30" s="245"/>
      <c r="AG30" s="245"/>
      <c r="AH30" s="245"/>
      <c r="AI30" s="245"/>
      <c r="AJ30" s="245"/>
      <c r="AK30" s="245"/>
      <c r="AL30" s="244"/>
      <c r="AM30" s="244"/>
      <c r="AN30" s="245"/>
    </row>
    <row r="31" spans="1:40" ht="12.75" customHeight="1">
      <c r="A31" s="1261" t="s">
        <v>462</v>
      </c>
      <c r="B31" s="1262" t="s">
        <v>461</v>
      </c>
      <c r="C31" s="274">
        <f t="shared" si="20"/>
        <v>2.0247664488766629E-4</v>
      </c>
      <c r="D31" s="1197">
        <v>4</v>
      </c>
      <c r="E31" s="1177">
        <v>1</v>
      </c>
      <c r="F31" s="1177">
        <v>6</v>
      </c>
      <c r="G31" s="1177">
        <v>50</v>
      </c>
      <c r="H31" s="1178"/>
      <c r="I31" s="1178">
        <v>3.4722222222222224E-4</v>
      </c>
      <c r="J31" s="1178">
        <v>1.3888888888888889E-3</v>
      </c>
      <c r="K31" s="316" t="s">
        <v>2632</v>
      </c>
      <c r="L31" s="996">
        <f t="shared" si="24"/>
        <v>0.81919157911439666</v>
      </c>
      <c r="M31" s="1180">
        <v>1</v>
      </c>
      <c r="N31" s="1178">
        <f t="shared" si="21"/>
        <v>5.9019419608742178E-3</v>
      </c>
      <c r="O31" s="1181">
        <f>C31*(G31/25)</f>
        <v>4.0495328977533258E-4</v>
      </c>
      <c r="P31" s="1181">
        <f t="shared" si="22"/>
        <v>4.0495328977533258E-4</v>
      </c>
      <c r="Q31" s="334">
        <v>170</v>
      </c>
      <c r="R31" s="1177">
        <f t="shared" si="23"/>
        <v>300</v>
      </c>
      <c r="S31" s="1118">
        <f t="shared" si="5"/>
        <v>0.3</v>
      </c>
      <c r="T31" s="1119">
        <f t="shared" si="6"/>
        <v>9.7188789546079814E-3</v>
      </c>
      <c r="U31" s="374">
        <f t="shared" si="7"/>
        <v>0</v>
      </c>
      <c r="V31" s="1120">
        <f t="shared" si="8"/>
        <v>0</v>
      </c>
      <c r="W31" s="376">
        <f t="shared" si="9"/>
        <v>0</v>
      </c>
      <c r="X31" s="377">
        <f t="shared" si="10"/>
        <v>0.3</v>
      </c>
      <c r="Y31" s="378">
        <f t="shared" si="11"/>
        <v>0</v>
      </c>
      <c r="Z31" s="1121">
        <f t="shared" si="12"/>
        <v>0</v>
      </c>
      <c r="AA31" s="1122">
        <f t="shared" si="13"/>
        <v>0</v>
      </c>
      <c r="AB31" s="245"/>
      <c r="AC31" s="245"/>
      <c r="AD31" s="245"/>
      <c r="AE31" s="245"/>
      <c r="AF31" s="245"/>
      <c r="AG31" s="245"/>
      <c r="AH31" s="245"/>
      <c r="AI31" s="245"/>
      <c r="AJ31" s="245"/>
      <c r="AK31" s="245"/>
      <c r="AL31" s="244"/>
      <c r="AM31" s="244"/>
      <c r="AN31" s="245"/>
    </row>
    <row r="32" spans="1:40" ht="12.75" customHeight="1">
      <c r="A32" s="1261" t="s">
        <v>461</v>
      </c>
      <c r="B32" s="1262" t="s">
        <v>461</v>
      </c>
      <c r="C32" s="274">
        <f t="shared" si="20"/>
        <v>2.1222190799396687E-4</v>
      </c>
      <c r="D32" s="1236">
        <v>3</v>
      </c>
      <c r="E32" s="1161">
        <v>1</v>
      </c>
      <c r="F32" s="1161">
        <v>1</v>
      </c>
      <c r="G32" s="1161">
        <v>200</v>
      </c>
      <c r="H32" s="1163"/>
      <c r="I32" s="1163">
        <v>0</v>
      </c>
      <c r="J32" s="1163">
        <v>1.3888888888888889E-3</v>
      </c>
      <c r="K32" s="1074" t="s">
        <v>2633</v>
      </c>
      <c r="L32" s="1148">
        <f t="shared" si="24"/>
        <v>0.8250935210752709</v>
      </c>
      <c r="M32" s="1164">
        <v>1</v>
      </c>
      <c r="N32" s="1163">
        <f t="shared" si="21"/>
        <v>3.0866641528406241E-3</v>
      </c>
      <c r="O32" s="1165">
        <f>C32*(G32/25)</f>
        <v>1.6977752639517349E-3</v>
      </c>
      <c r="P32" s="1165">
        <f t="shared" si="22"/>
        <v>1.6977752639517349E-3</v>
      </c>
      <c r="Q32" s="333">
        <v>164</v>
      </c>
      <c r="R32" s="1161">
        <f t="shared" si="23"/>
        <v>200</v>
      </c>
      <c r="S32" s="1118">
        <f t="shared" si="5"/>
        <v>0.2</v>
      </c>
      <c r="T32" s="1119">
        <f t="shared" si="6"/>
        <v>6.7911010558069397E-3</v>
      </c>
      <c r="U32" s="374">
        <f t="shared" si="7"/>
        <v>0</v>
      </c>
      <c r="V32" s="1120">
        <f t="shared" si="8"/>
        <v>0</v>
      </c>
      <c r="W32" s="376">
        <f t="shared" si="9"/>
        <v>0.2</v>
      </c>
      <c r="X32" s="377">
        <f t="shared" si="10"/>
        <v>0</v>
      </c>
      <c r="Y32" s="378">
        <f t="shared" si="11"/>
        <v>0</v>
      </c>
      <c r="Z32" s="1121">
        <f t="shared" si="12"/>
        <v>0</v>
      </c>
      <c r="AA32" s="1122">
        <f t="shared" si="13"/>
        <v>0</v>
      </c>
      <c r="AB32" s="245"/>
      <c r="AC32" s="245"/>
      <c r="AD32" s="245"/>
      <c r="AE32" s="245"/>
      <c r="AF32" s="245"/>
      <c r="AG32" s="245"/>
      <c r="AH32" s="245"/>
      <c r="AI32" s="245"/>
      <c r="AJ32" s="245"/>
      <c r="AK32" s="245"/>
      <c r="AL32" s="244"/>
      <c r="AM32" s="244"/>
      <c r="AN32" s="245"/>
    </row>
    <row r="33" spans="1:40" ht="12.75" customHeight="1" thickBot="1">
      <c r="A33" s="1261"/>
      <c r="B33" s="1269"/>
      <c r="C33" s="1258"/>
      <c r="D33" s="1259"/>
      <c r="E33" s="336"/>
      <c r="F33" s="336"/>
      <c r="G33" s="336"/>
      <c r="H33" s="336"/>
      <c r="I33" s="336"/>
      <c r="J33" s="336"/>
      <c r="K33" s="336"/>
      <c r="L33" s="1003">
        <f t="shared" si="24"/>
        <v>0.82818018522811154</v>
      </c>
      <c r="M33" s="1198"/>
      <c r="N33" s="1008">
        <f>SUM(N29:N32)</f>
        <v>2.9569074117000393E-2</v>
      </c>
      <c r="O33" s="336"/>
      <c r="P33" s="336"/>
      <c r="Q33" s="336"/>
      <c r="R33" s="1238">
        <f>SUM(R29:R32)</f>
        <v>1725</v>
      </c>
      <c r="S33" s="1118">
        <f t="shared" si="5"/>
        <v>0</v>
      </c>
      <c r="T33" s="1119">
        <f t="shared" si="6"/>
        <v>0</v>
      </c>
      <c r="U33" s="374">
        <f t="shared" si="7"/>
        <v>0</v>
      </c>
      <c r="V33" s="1120">
        <f t="shared" si="8"/>
        <v>0</v>
      </c>
      <c r="W33" s="376">
        <f t="shared" si="9"/>
        <v>0</v>
      </c>
      <c r="X33" s="377">
        <f t="shared" si="10"/>
        <v>0</v>
      </c>
      <c r="Y33" s="378">
        <f t="shared" si="11"/>
        <v>0</v>
      </c>
      <c r="Z33" s="1121">
        <f t="shared" si="12"/>
        <v>0</v>
      </c>
      <c r="AA33" s="1122">
        <f t="shared" si="13"/>
        <v>0</v>
      </c>
      <c r="AC33" s="1244"/>
      <c r="AD33" s="1244"/>
      <c r="AE33" s="1244"/>
      <c r="AF33" s="1244"/>
      <c r="AG33" s="1244"/>
      <c r="AH33" s="1244"/>
      <c r="AI33" s="244"/>
      <c r="AJ33" s="244"/>
      <c r="AK33" s="244"/>
      <c r="AL33" s="244"/>
      <c r="AM33" s="244"/>
      <c r="AN33" s="245"/>
    </row>
    <row r="34" spans="1:40" ht="12.75" customHeight="1">
      <c r="A34" s="1270" t="s">
        <v>140</v>
      </c>
      <c r="B34" s="1234" t="s">
        <v>461</v>
      </c>
      <c r="C34" s="8143">
        <f>IF(D34=1,U$20,IF(D34=2,V$20,IF(D34=3,W$20,IF(D34=4,X$20,IF(D34=5,Y$20,IF(D34=6,Z$20,IF(D34=7,AA$20,0)))))))</f>
        <v>2.1908757716049393E-4</v>
      </c>
      <c r="D34" s="8144">
        <v>2</v>
      </c>
      <c r="E34" s="8145">
        <v>1</v>
      </c>
      <c r="F34" s="8145">
        <v>1</v>
      </c>
      <c r="G34" s="8145">
        <v>400</v>
      </c>
      <c r="H34" s="8143"/>
      <c r="I34" s="8143">
        <v>1.1574074074074073E-4</v>
      </c>
      <c r="J34" s="8143">
        <v>1.3888888888888889E-3</v>
      </c>
      <c r="K34" s="8156" t="s">
        <v>2634</v>
      </c>
      <c r="L34" s="8146">
        <v>0.79861111111111116</v>
      </c>
      <c r="M34" s="8147">
        <v>1.1000000000000001</v>
      </c>
      <c r="N34" s="8143">
        <f>P34*E34*F34+I34*E34*F34+J34*E34</f>
        <v>5.3605709876543232E-3</v>
      </c>
      <c r="O34" s="8148">
        <f>C34*(G34/25)</f>
        <v>3.5054012345679029E-3</v>
      </c>
      <c r="P34" s="8148">
        <f>O34*M34</f>
        <v>3.8559413580246935E-3</v>
      </c>
      <c r="Q34" s="8149">
        <f t="shared" ref="Q34:Q38" si="25">IF(D34=1,125,IF(D34=2,140,IF(D34=3,164,IF(D34=4,170,IF(D34=5,173,IF(D34=6,177,IF(R34=7,200,0)))))))</f>
        <v>140</v>
      </c>
      <c r="R34" s="8150">
        <f>E34*F34*G34</f>
        <v>400</v>
      </c>
      <c r="S34" s="1118">
        <f t="shared" si="5"/>
        <v>0.4</v>
      </c>
      <c r="T34" s="1119">
        <f t="shared" si="6"/>
        <v>1.4021604938271611E-2</v>
      </c>
      <c r="U34" s="374">
        <f t="shared" si="7"/>
        <v>0</v>
      </c>
      <c r="V34" s="1120">
        <f t="shared" si="8"/>
        <v>0.4</v>
      </c>
      <c r="W34" s="376">
        <f t="shared" si="9"/>
        <v>0</v>
      </c>
      <c r="X34" s="377">
        <f t="shared" si="10"/>
        <v>0</v>
      </c>
      <c r="Y34" s="378">
        <f t="shared" si="11"/>
        <v>0</v>
      </c>
      <c r="Z34" s="1121">
        <f t="shared" si="12"/>
        <v>0</v>
      </c>
      <c r="AA34" s="1122">
        <f t="shared" si="13"/>
        <v>0</v>
      </c>
      <c r="AC34" s="1244"/>
      <c r="AD34" s="1244"/>
      <c r="AE34" s="1244"/>
      <c r="AF34" s="1244"/>
      <c r="AG34" s="1244"/>
      <c r="AH34" s="1244"/>
      <c r="AI34" s="244"/>
      <c r="AJ34" s="244"/>
      <c r="AK34" s="244"/>
      <c r="AL34" s="244"/>
      <c r="AM34" s="244"/>
      <c r="AN34" s="245"/>
    </row>
    <row r="35" spans="1:40" ht="12.75" customHeight="1" thickBot="1">
      <c r="A35" s="1270" t="s">
        <v>674</v>
      </c>
      <c r="B35" s="1270" t="s">
        <v>461</v>
      </c>
      <c r="C35" s="8143">
        <f>IF(D35=1,U$20,IF(D35=2,V$20,IF(D35=3,W$20,IF(D35=4,X$20,IF(D35=5,Y$20,IF(D35=6,Z$20,IF(D35=7,AA$20,0)))))))</f>
        <v>2.0247664488766629E-4</v>
      </c>
      <c r="D35" s="2687">
        <v>4</v>
      </c>
      <c r="E35" s="8151">
        <v>1</v>
      </c>
      <c r="F35" s="8151">
        <v>1</v>
      </c>
      <c r="G35" s="8151">
        <v>200</v>
      </c>
      <c r="H35" s="8152"/>
      <c r="I35" s="8152">
        <v>0</v>
      </c>
      <c r="J35" s="8152">
        <v>6.9444444444444447E-4</v>
      </c>
      <c r="K35" s="4532" t="s">
        <v>2635</v>
      </c>
      <c r="L35" s="8153">
        <f>L34+N34</f>
        <v>0.80397168209876546</v>
      </c>
      <c r="M35" s="8154">
        <v>1.3</v>
      </c>
      <c r="N35" s="8152">
        <f>P35*E35*F35+I35*E35*F35+J35*E35</f>
        <v>2.8844318355494432E-3</v>
      </c>
      <c r="O35" s="8148">
        <f>C35*(G35/25)*1.04</f>
        <v>1.6846056854653835E-3</v>
      </c>
      <c r="P35" s="8148">
        <f>O35*M35</f>
        <v>2.1899873911049987E-3</v>
      </c>
      <c r="Q35" s="8155">
        <f t="shared" si="25"/>
        <v>170</v>
      </c>
      <c r="R35" s="8151">
        <f>E35*F35*G35</f>
        <v>200</v>
      </c>
      <c r="S35" s="1118">
        <f t="shared" si="5"/>
        <v>0.2</v>
      </c>
      <c r="T35" s="1119">
        <f t="shared" si="6"/>
        <v>6.738422741861534E-3</v>
      </c>
      <c r="U35" s="374">
        <f t="shared" si="7"/>
        <v>0</v>
      </c>
      <c r="V35" s="1120">
        <f t="shared" si="8"/>
        <v>0</v>
      </c>
      <c r="W35" s="376">
        <f t="shared" si="9"/>
        <v>0</v>
      </c>
      <c r="X35" s="377">
        <f t="shared" si="10"/>
        <v>0.2</v>
      </c>
      <c r="Y35" s="378">
        <f t="shared" si="11"/>
        <v>0</v>
      </c>
      <c r="Z35" s="1121">
        <f t="shared" si="12"/>
        <v>0</v>
      </c>
      <c r="AA35" s="1122">
        <f t="shared" si="13"/>
        <v>0</v>
      </c>
      <c r="AC35" s="1244"/>
      <c r="AD35" s="1244"/>
      <c r="AE35" s="1244"/>
      <c r="AF35" s="1244"/>
      <c r="AG35" s="1244"/>
      <c r="AH35" s="1244"/>
      <c r="AI35" s="244"/>
      <c r="AJ35" s="244"/>
      <c r="AK35" s="244"/>
      <c r="AL35" s="244"/>
      <c r="AM35" s="244"/>
      <c r="AN35" s="245"/>
    </row>
    <row r="36" spans="1:40" ht="12.75" customHeight="1" thickBot="1">
      <c r="A36" s="1270" t="s">
        <v>214</v>
      </c>
      <c r="B36" s="1234" t="s">
        <v>461</v>
      </c>
      <c r="C36" s="1248">
        <f>IF(D36=1,U$20,IF(D36=2,V$20,IF(D36=3,W$20,IF(D36=4,X$20,IF(D36=5,Y$20,IF(D36=6,Z$20,IF(D36=7,AA$20,0)))))))</f>
        <v>2.0247664488766629E-4</v>
      </c>
      <c r="D36" s="1161">
        <v>4</v>
      </c>
      <c r="E36" s="1161">
        <v>1</v>
      </c>
      <c r="F36" s="1161">
        <v>4</v>
      </c>
      <c r="G36" s="1161">
        <v>100</v>
      </c>
      <c r="H36" s="1163"/>
      <c r="I36" s="1163">
        <v>2.3148148148148146E-4</v>
      </c>
      <c r="J36" s="1163">
        <v>6.9444444444444447E-4</v>
      </c>
      <c r="K36" s="438" t="s">
        <v>2636</v>
      </c>
      <c r="L36" s="1148">
        <f>L35+N35</f>
        <v>0.80685611393431489</v>
      </c>
      <c r="M36" s="1164">
        <v>0.9</v>
      </c>
      <c r="N36" s="1163">
        <f>P36*E36*F36+I36*E36*F36+J36*E36</f>
        <v>4.5651906936165889E-3</v>
      </c>
      <c r="O36" s="1165">
        <f>C36*(G36/25)*1.01</f>
        <v>8.180056453461718E-4</v>
      </c>
      <c r="P36" s="1165">
        <f>O36*M36</f>
        <v>7.3620508081155469E-4</v>
      </c>
      <c r="Q36" s="333">
        <f t="shared" si="25"/>
        <v>170</v>
      </c>
      <c r="R36" s="1161">
        <f>E36*F36*G36</f>
        <v>400</v>
      </c>
      <c r="S36" s="1118">
        <f t="shared" si="5"/>
        <v>0.4</v>
      </c>
      <c r="T36" s="1119">
        <f t="shared" si="6"/>
        <v>1.3088090325538749E-2</v>
      </c>
      <c r="U36" s="374">
        <f t="shared" si="7"/>
        <v>0</v>
      </c>
      <c r="V36" s="1120">
        <f t="shared" si="8"/>
        <v>0</v>
      </c>
      <c r="W36" s="376">
        <f t="shared" si="9"/>
        <v>0</v>
      </c>
      <c r="X36" s="377">
        <f t="shared" si="10"/>
        <v>0.4</v>
      </c>
      <c r="Y36" s="378">
        <f t="shared" si="11"/>
        <v>0</v>
      </c>
      <c r="Z36" s="1121">
        <f t="shared" si="12"/>
        <v>0</v>
      </c>
      <c r="AA36" s="1122">
        <f t="shared" si="13"/>
        <v>0</v>
      </c>
      <c r="AC36" s="1244"/>
      <c r="AD36" s="1244"/>
      <c r="AE36" s="1244"/>
      <c r="AF36" s="1244"/>
      <c r="AG36" s="1244"/>
      <c r="AH36" s="1244"/>
      <c r="AI36" s="244"/>
      <c r="AJ36" s="244"/>
      <c r="AK36" s="244"/>
      <c r="AL36" s="244"/>
      <c r="AM36" s="244"/>
      <c r="AN36" s="245"/>
    </row>
    <row r="37" spans="1:40" ht="12.75" customHeight="1" thickBot="1">
      <c r="A37" s="1270" t="s">
        <v>458</v>
      </c>
      <c r="B37" s="1234" t="s">
        <v>461</v>
      </c>
      <c r="C37" s="8143">
        <f>IF(D37=1,U$20,IF(D37=2,V$20,IF(D37=3,W$20,IF(D37=4,X$20,IF(D37=5,Y$20,IF(D37=6,Z$20,IF(D37=7,AA$20,0)))))))</f>
        <v>2.0247664488766629E-4</v>
      </c>
      <c r="D37" s="1237">
        <v>4</v>
      </c>
      <c r="E37" s="1257">
        <v>1</v>
      </c>
      <c r="F37" s="1187">
        <v>6</v>
      </c>
      <c r="G37" s="1187">
        <v>25</v>
      </c>
      <c r="H37" s="1051"/>
      <c r="I37" s="1051">
        <v>1.1574074074074073E-4</v>
      </c>
      <c r="J37" s="1188">
        <v>0</v>
      </c>
      <c r="K37" s="438" t="s">
        <v>2637</v>
      </c>
      <c r="L37" s="1189">
        <f>L36+N36</f>
        <v>0.81142130462793149</v>
      </c>
      <c r="M37" s="1190">
        <v>1.2</v>
      </c>
      <c r="N37" s="1188">
        <f>P37*E37*F37+I37*E37*F37+J37*E37</f>
        <v>2.1960112429313776E-3</v>
      </c>
      <c r="O37" s="1191">
        <f>C37*(G37/25)*1.03</f>
        <v>2.0855094423429628E-4</v>
      </c>
      <c r="P37" s="1192">
        <f>O37*M37</f>
        <v>2.5026113308115552E-4</v>
      </c>
      <c r="Q37" s="788">
        <f t="shared" si="25"/>
        <v>170</v>
      </c>
      <c r="R37" s="1187">
        <f>E37*F37*G37</f>
        <v>150</v>
      </c>
      <c r="S37" s="1118">
        <f t="shared" si="5"/>
        <v>0.15</v>
      </c>
      <c r="T37" s="1119">
        <f t="shared" si="6"/>
        <v>5.0052226616231106E-3</v>
      </c>
      <c r="U37" s="374">
        <f t="shared" si="7"/>
        <v>0</v>
      </c>
      <c r="V37" s="1120">
        <f t="shared" si="8"/>
        <v>0</v>
      </c>
      <c r="W37" s="376">
        <f t="shared" si="9"/>
        <v>0</v>
      </c>
      <c r="X37" s="377">
        <f t="shared" si="10"/>
        <v>0.15</v>
      </c>
      <c r="Y37" s="378">
        <f t="shared" si="11"/>
        <v>0</v>
      </c>
      <c r="Z37" s="1121">
        <f t="shared" si="12"/>
        <v>0</v>
      </c>
      <c r="AA37" s="1122">
        <f t="shared" si="13"/>
        <v>0</v>
      </c>
      <c r="AC37" s="1244"/>
      <c r="AD37" s="1244"/>
      <c r="AE37" s="1244"/>
      <c r="AF37" s="1244"/>
      <c r="AG37" s="1244"/>
      <c r="AH37" s="1244"/>
      <c r="AI37" s="244"/>
      <c r="AJ37" s="244"/>
      <c r="AK37" s="244"/>
      <c r="AL37" s="244"/>
      <c r="AM37" s="244"/>
      <c r="AN37" s="245"/>
    </row>
    <row r="38" spans="1:40" ht="12.75" customHeight="1" thickBot="1">
      <c r="A38" s="1270" t="s">
        <v>219</v>
      </c>
      <c r="B38" s="1234" t="s">
        <v>461</v>
      </c>
      <c r="C38" s="8143">
        <f>IF(D38=1,U$20,IF(D38=2,V$20,IF(D38=3,W$20,IF(D38=4,X$20,IF(D38=5,Y$20,IF(D38=6,Z$20,IF(D38=7,AA$20,0)))))))</f>
        <v>1.7682291666666674E-4</v>
      </c>
      <c r="D38" s="1237">
        <v>7</v>
      </c>
      <c r="E38" s="1257">
        <v>1</v>
      </c>
      <c r="F38" s="1187">
        <v>5</v>
      </c>
      <c r="G38" s="1187">
        <v>25</v>
      </c>
      <c r="H38" s="1051"/>
      <c r="I38" s="1051">
        <v>1.0416666666666667E-3</v>
      </c>
      <c r="J38" s="1188">
        <v>0</v>
      </c>
      <c r="K38" s="438" t="s">
        <v>1942</v>
      </c>
      <c r="L38" s="1189">
        <f>L37+N37</f>
        <v>0.81361731587086283</v>
      </c>
      <c r="M38" s="1190">
        <v>0.9</v>
      </c>
      <c r="N38" s="1188">
        <f>P38*E38*F38+I38*E38*F38+J38*E38</f>
        <v>6.0040364583333339E-3</v>
      </c>
      <c r="O38" s="1191">
        <f>C38*(G38/25)</f>
        <v>1.7682291666666674E-4</v>
      </c>
      <c r="P38" s="1192">
        <f>O38*M38</f>
        <v>1.5914062500000008E-4</v>
      </c>
      <c r="Q38" s="788">
        <f t="shared" si="25"/>
        <v>0</v>
      </c>
      <c r="R38" s="1187">
        <f>E38*F38*G38</f>
        <v>125</v>
      </c>
      <c r="S38" s="1118">
        <f t="shared" si="5"/>
        <v>0.125</v>
      </c>
      <c r="T38" s="1119">
        <f t="shared" si="6"/>
        <v>3.5364583333333346E-3</v>
      </c>
      <c r="U38" s="374">
        <f t="shared" si="7"/>
        <v>0</v>
      </c>
      <c r="V38" s="1120">
        <f t="shared" si="8"/>
        <v>0</v>
      </c>
      <c r="W38" s="376">
        <f t="shared" si="9"/>
        <v>0</v>
      </c>
      <c r="X38" s="377">
        <f t="shared" si="10"/>
        <v>0</v>
      </c>
      <c r="Y38" s="378">
        <f t="shared" si="11"/>
        <v>0</v>
      </c>
      <c r="Z38" s="1121">
        <f t="shared" si="12"/>
        <v>0</v>
      </c>
      <c r="AA38" s="1122">
        <f t="shared" si="13"/>
        <v>0.125</v>
      </c>
      <c r="AC38" s="1244"/>
      <c r="AD38" s="1244"/>
      <c r="AE38" s="1244"/>
      <c r="AF38" s="1244"/>
      <c r="AG38" s="1244"/>
      <c r="AH38" s="1244"/>
      <c r="AI38" s="244"/>
      <c r="AJ38" s="244"/>
      <c r="AK38" s="244"/>
      <c r="AL38" s="244"/>
      <c r="AM38" s="244"/>
      <c r="AN38" s="245"/>
    </row>
    <row r="39" spans="1:40" ht="14" customHeight="1">
      <c r="A39" s="1270"/>
      <c r="B39" s="1234"/>
      <c r="C39" s="1258"/>
      <c r="D39" s="1259"/>
      <c r="E39" s="336"/>
      <c r="F39" s="336"/>
      <c r="G39" s="336"/>
      <c r="H39" s="336"/>
      <c r="I39" s="336"/>
      <c r="J39" s="336"/>
      <c r="K39" s="336"/>
      <c r="L39" s="993">
        <f>L38+N38</f>
        <v>0.8196213523291962</v>
      </c>
      <c r="M39" s="1198"/>
      <c r="N39" s="1008">
        <f>SUM(N34:N38)</f>
        <v>2.1010241218085066E-2</v>
      </c>
      <c r="O39" s="336"/>
      <c r="P39" s="336"/>
      <c r="Q39" s="336"/>
      <c r="R39" s="1238">
        <f>SUM(R34:R38)</f>
        <v>1275</v>
      </c>
      <c r="S39" s="1118">
        <f t="shared" si="5"/>
        <v>0</v>
      </c>
      <c r="T39" s="1119">
        <f t="shared" si="6"/>
        <v>0</v>
      </c>
      <c r="U39" s="374">
        <f t="shared" si="7"/>
        <v>0</v>
      </c>
      <c r="V39" s="1120">
        <f t="shared" si="8"/>
        <v>0</v>
      </c>
      <c r="W39" s="376">
        <f t="shared" si="9"/>
        <v>0</v>
      </c>
      <c r="X39" s="377">
        <f t="shared" si="10"/>
        <v>0</v>
      </c>
      <c r="Y39" s="378">
        <f t="shared" si="11"/>
        <v>0</v>
      </c>
      <c r="Z39" s="1121">
        <f t="shared" si="12"/>
        <v>0</v>
      </c>
      <c r="AA39" s="1122">
        <f t="shared" si="13"/>
        <v>0</v>
      </c>
      <c r="AC39" s="1244"/>
      <c r="AD39" s="1244"/>
      <c r="AE39" s="1244"/>
      <c r="AF39" s="1244"/>
      <c r="AG39" s="1244"/>
      <c r="AH39" s="1244"/>
      <c r="AI39" s="244"/>
      <c r="AJ39" s="244"/>
      <c r="AK39" s="244"/>
      <c r="AL39" s="244"/>
      <c r="AM39" s="244"/>
      <c r="AN39" s="245"/>
    </row>
    <row r="40" spans="1:40" ht="12.75" customHeight="1">
      <c r="A40" s="1261" t="s">
        <v>217</v>
      </c>
      <c r="B40" s="1262" t="s">
        <v>461</v>
      </c>
      <c r="C40" s="8143">
        <f>IF(D40=1,U$20,IF(D40=2,V$20,IF(D40=3,W$20,IF(D40=4,X$20,IF(D40=5,Y$20,IF(D40=6,Z$20,IF(D40=7,AA$20,0)))))))</f>
        <v>2.1908757716049393E-4</v>
      </c>
      <c r="D40" s="8144">
        <v>2</v>
      </c>
      <c r="E40" s="8145">
        <v>1</v>
      </c>
      <c r="F40" s="8145">
        <v>1</v>
      </c>
      <c r="G40" s="8145">
        <v>400</v>
      </c>
      <c r="H40" s="8143"/>
      <c r="I40" s="8143">
        <v>1.1574074074074073E-4</v>
      </c>
      <c r="J40" s="8143">
        <v>1.3888888888888889E-3</v>
      </c>
      <c r="K40" s="4532" t="s">
        <v>2635</v>
      </c>
      <c r="L40" s="8146">
        <v>0.79861111111111116</v>
      </c>
      <c r="M40" s="8147">
        <v>1.1000000000000001</v>
      </c>
      <c r="N40" s="8143">
        <f>P40*E40*F40+I40*E40*F40+J40*E40</f>
        <v>5.3605709876543232E-3</v>
      </c>
      <c r="O40" s="8148">
        <f>C40*(G40/25)</f>
        <v>3.5054012345679029E-3</v>
      </c>
      <c r="P40" s="8148">
        <f>O40*M40</f>
        <v>3.8559413580246935E-3</v>
      </c>
      <c r="Q40" s="8149">
        <f t="shared" ref="Q40" si="26">IF(D40=1,125,IF(D40=2,140,IF(D40=3,164,IF(D40=4,170,IF(D40=5,173,IF(D40=6,177,IF(R40=7,200,0)))))))</f>
        <v>140</v>
      </c>
      <c r="R40" s="8150">
        <f>E40*F40*G40</f>
        <v>400</v>
      </c>
      <c r="S40" s="1118">
        <f t="shared" si="5"/>
        <v>0.4</v>
      </c>
      <c r="T40" s="1119">
        <f t="shared" si="6"/>
        <v>1.4021604938271611E-2</v>
      </c>
      <c r="U40" s="374">
        <f t="shared" si="7"/>
        <v>0</v>
      </c>
      <c r="V40" s="1120">
        <f t="shared" si="8"/>
        <v>0.4</v>
      </c>
      <c r="W40" s="376">
        <f t="shared" si="9"/>
        <v>0</v>
      </c>
      <c r="X40" s="377">
        <f t="shared" si="10"/>
        <v>0</v>
      </c>
      <c r="Y40" s="378">
        <f t="shared" si="11"/>
        <v>0</v>
      </c>
      <c r="Z40" s="1121">
        <f t="shared" si="12"/>
        <v>0</v>
      </c>
      <c r="AA40" s="1122">
        <f t="shared" si="13"/>
        <v>0</v>
      </c>
      <c r="AC40" s="1244"/>
      <c r="AD40" s="1244"/>
      <c r="AE40" s="1244"/>
      <c r="AF40" s="1244"/>
      <c r="AG40" s="1244"/>
      <c r="AH40" s="1244"/>
      <c r="AI40" s="244"/>
      <c r="AJ40" s="244"/>
      <c r="AK40" s="244"/>
      <c r="AL40" s="244"/>
      <c r="AM40" s="244"/>
      <c r="AN40" s="245"/>
    </row>
    <row r="41" spans="1:40" ht="13.25" customHeight="1">
      <c r="A41" s="1261" t="s">
        <v>459</v>
      </c>
      <c r="B41" s="1262" t="s">
        <v>461</v>
      </c>
      <c r="C41" s="274">
        <f>IF(D41=1,U$20,IF(D41=2,V$20,IF(D41=3,W$20,IF(D41=4,X$20,IF(D41=5,Y$20,IF(D41=6,Z$20,IF(D41=7,AA$20,0)))))))</f>
        <v>1.8229166666666673E-4</v>
      </c>
      <c r="D41" s="4558">
        <v>6</v>
      </c>
      <c r="E41" s="4561">
        <v>2</v>
      </c>
      <c r="F41" s="4561">
        <v>4</v>
      </c>
      <c r="G41" s="4561">
        <v>25</v>
      </c>
      <c r="H41" s="6300"/>
      <c r="I41" s="6300">
        <v>4.6296296296296293E-4</v>
      </c>
      <c r="J41" s="6300">
        <v>0</v>
      </c>
      <c r="K41" s="4561" t="s">
        <v>2638</v>
      </c>
      <c r="L41" s="6301">
        <f>L40+N40</f>
        <v>0.80397168209876546</v>
      </c>
      <c r="M41" s="6302">
        <v>1</v>
      </c>
      <c r="N41" s="6301">
        <f t="shared" ref="N41" si="27">P41*E41*F41+I41*E41*F41+J41*E41</f>
        <v>5.162037037037037E-3</v>
      </c>
      <c r="O41" s="6301">
        <f t="shared" ref="O41" si="28">C41*(G41/25)</f>
        <v>1.8229166666666673E-4</v>
      </c>
      <c r="P41" s="6301">
        <f t="shared" ref="P41" si="29">O41*M41</f>
        <v>1.8229166666666673E-4</v>
      </c>
      <c r="Q41" s="6303" t="s">
        <v>1281</v>
      </c>
      <c r="R41" s="6303">
        <f t="shared" ref="R41" si="30">E41*F41*G41</f>
        <v>200</v>
      </c>
      <c r="S41" s="1118">
        <f t="shared" si="5"/>
        <v>0.2</v>
      </c>
      <c r="T41" s="1119">
        <f t="shared" si="6"/>
        <v>5.8333333333333353E-3</v>
      </c>
      <c r="U41" s="374">
        <f t="shared" si="7"/>
        <v>0</v>
      </c>
      <c r="V41" s="1120">
        <f t="shared" si="8"/>
        <v>0</v>
      </c>
      <c r="W41" s="376">
        <f t="shared" si="9"/>
        <v>0</v>
      </c>
      <c r="X41" s="377">
        <f t="shared" si="10"/>
        <v>0</v>
      </c>
      <c r="Y41" s="378">
        <f t="shared" si="11"/>
        <v>0</v>
      </c>
      <c r="Z41" s="1121">
        <f t="shared" si="12"/>
        <v>0.2</v>
      </c>
      <c r="AA41" s="1122">
        <f t="shared" si="13"/>
        <v>0</v>
      </c>
      <c r="AC41" s="1244"/>
      <c r="AD41" s="1244"/>
      <c r="AE41" s="1244"/>
      <c r="AF41" s="1244"/>
      <c r="AG41" s="1244"/>
      <c r="AH41" s="1244"/>
      <c r="AI41" s="244"/>
      <c r="AJ41" s="244"/>
      <c r="AK41" s="244"/>
      <c r="AL41" s="244"/>
      <c r="AM41" s="244"/>
      <c r="AN41" s="245"/>
    </row>
    <row r="42" spans="1:40" ht="14" customHeight="1">
      <c r="A42" s="1261" t="s">
        <v>218</v>
      </c>
      <c r="B42" s="1262" t="s">
        <v>461</v>
      </c>
      <c r="C42" s="274">
        <f>IF(D42=1,U$20,IF(D42=2,V$20,IF(D42=3,W$20,IF(D42=4,X$20,IF(D42=5,Y$20,IF(D42=6,Z$20,IF(D42=7,AA$20,0)))))))</f>
        <v>2.1908757716049393E-4</v>
      </c>
      <c r="D42" s="890">
        <v>2</v>
      </c>
      <c r="E42" s="1173">
        <v>1</v>
      </c>
      <c r="F42" s="1173">
        <v>2</v>
      </c>
      <c r="G42" s="1173">
        <v>100</v>
      </c>
      <c r="H42" s="299"/>
      <c r="I42" s="299">
        <v>1.1574074074074073E-4</v>
      </c>
      <c r="J42" s="299">
        <v>1.3888888888888889E-3</v>
      </c>
      <c r="K42" s="1123" t="s">
        <v>2240</v>
      </c>
      <c r="L42" s="1149">
        <v>0.79861111111111116</v>
      </c>
      <c r="M42" s="1174">
        <v>1.1000000000000001</v>
      </c>
      <c r="N42" s="299">
        <f>P42*E42*F42+I42*E42*F42+J42*E42</f>
        <v>3.5483410493827175E-3</v>
      </c>
      <c r="O42" s="1175">
        <f>C42*(G42/25)</f>
        <v>8.7635030864197572E-4</v>
      </c>
      <c r="P42" s="1175">
        <f>O42*M42</f>
        <v>9.6398533950617339E-4</v>
      </c>
      <c r="Q42" s="550">
        <f t="shared" ref="Q42" si="31">IF(D42=1,125,IF(D42=2,140,IF(D42=3,164,IF(D42=4,170,IF(D42=5,173,IF(D42=6,177,IF(R42=7,200,0)))))))</f>
        <v>140</v>
      </c>
      <c r="R42" s="1176">
        <f>E42*F42*G42</f>
        <v>200</v>
      </c>
      <c r="S42" s="1118">
        <f t="shared" si="5"/>
        <v>0.2</v>
      </c>
      <c r="T42" s="1119">
        <f t="shared" si="6"/>
        <v>7.0108024691358057E-3</v>
      </c>
      <c r="U42" s="374">
        <f t="shared" si="7"/>
        <v>0</v>
      </c>
      <c r="V42" s="1120">
        <f t="shared" si="8"/>
        <v>0.2</v>
      </c>
      <c r="W42" s="376">
        <f t="shared" si="9"/>
        <v>0</v>
      </c>
      <c r="X42" s="377">
        <f t="shared" si="10"/>
        <v>0</v>
      </c>
      <c r="Y42" s="378">
        <f t="shared" si="11"/>
        <v>0</v>
      </c>
      <c r="Z42" s="1121">
        <f t="shared" si="12"/>
        <v>0</v>
      </c>
      <c r="AA42" s="1122">
        <f t="shared" si="13"/>
        <v>0</v>
      </c>
      <c r="AC42" s="1244"/>
      <c r="AD42" s="1244"/>
      <c r="AE42" s="1244"/>
      <c r="AF42" s="1244"/>
      <c r="AG42" s="1244"/>
      <c r="AH42" s="1244"/>
      <c r="AI42" s="244"/>
      <c r="AJ42" s="244"/>
      <c r="AK42" s="244"/>
      <c r="AL42" s="244"/>
      <c r="AM42" s="244"/>
      <c r="AN42" s="245"/>
    </row>
    <row r="43" spans="1:40" ht="13.25" customHeight="1">
      <c r="A43" s="1261" t="s">
        <v>458</v>
      </c>
      <c r="B43" s="1262" t="s">
        <v>461</v>
      </c>
      <c r="C43" s="274">
        <f>IF(D43=1,U$20,IF(D43=2,V$20,IF(D43=3,W$20,IF(D43=4,X$20,IF(D43=5,Y$20,IF(D43=6,Z$20,IF(D43=7,AA$20,0)))))))</f>
        <v>1.8229166666666673E-4</v>
      </c>
      <c r="D43" s="4558">
        <v>6</v>
      </c>
      <c r="E43" s="4561">
        <v>2</v>
      </c>
      <c r="F43" s="4561">
        <v>4</v>
      </c>
      <c r="G43" s="4561">
        <v>25</v>
      </c>
      <c r="H43" s="6300"/>
      <c r="I43" s="6300">
        <v>4.6296296296296293E-4</v>
      </c>
      <c r="J43" s="6300">
        <v>0</v>
      </c>
      <c r="K43" s="4561" t="s">
        <v>2639</v>
      </c>
      <c r="L43" s="6301">
        <f>L42+N42</f>
        <v>0.80215945216049389</v>
      </c>
      <c r="M43" s="6302">
        <v>1.1000000000000001</v>
      </c>
      <c r="N43" s="6301">
        <f t="shared" ref="N43" si="32">P43*E43*F43+I43*E43*F43+J43*E43</f>
        <v>5.3078703703703708E-3</v>
      </c>
      <c r="O43" s="6301">
        <f t="shared" ref="O43" si="33">C43*(G43/25)</f>
        <v>1.8229166666666673E-4</v>
      </c>
      <c r="P43" s="6301">
        <f t="shared" ref="P43" si="34">O43*M43</f>
        <v>2.0052083333333342E-4</v>
      </c>
      <c r="Q43" s="6303" t="s">
        <v>1281</v>
      </c>
      <c r="R43" s="6303">
        <f t="shared" ref="R43" si="35">E43*F43*G43</f>
        <v>200</v>
      </c>
      <c r="S43" s="1118">
        <f t="shared" si="5"/>
        <v>0.2</v>
      </c>
      <c r="T43" s="1119">
        <f t="shared" si="6"/>
        <v>5.8333333333333353E-3</v>
      </c>
      <c r="U43" s="374">
        <f t="shared" si="7"/>
        <v>0</v>
      </c>
      <c r="V43" s="1120">
        <f t="shared" si="8"/>
        <v>0</v>
      </c>
      <c r="W43" s="376">
        <f t="shared" si="9"/>
        <v>0</v>
      </c>
      <c r="X43" s="377">
        <f t="shared" si="10"/>
        <v>0</v>
      </c>
      <c r="Y43" s="378">
        <f t="shared" si="11"/>
        <v>0</v>
      </c>
      <c r="Z43" s="1121">
        <f t="shared" si="12"/>
        <v>0.2</v>
      </c>
      <c r="AA43" s="1122">
        <f t="shared" si="13"/>
        <v>0</v>
      </c>
      <c r="AC43" s="1244"/>
      <c r="AD43" s="1244"/>
      <c r="AE43" s="1244"/>
      <c r="AF43" s="1244"/>
      <c r="AG43" s="1244"/>
      <c r="AH43" s="1244"/>
      <c r="AI43" s="244"/>
      <c r="AJ43" s="244"/>
      <c r="AK43" s="244"/>
      <c r="AL43" s="244"/>
      <c r="AM43" s="244"/>
      <c r="AN43" s="245"/>
    </row>
    <row r="44" spans="1:40" ht="13.25" customHeight="1">
      <c r="A44" s="1261" t="s">
        <v>219</v>
      </c>
      <c r="B44" s="1262" t="s">
        <v>461</v>
      </c>
      <c r="C44" s="274">
        <f>IF(D44=1,U$20,IF(D44=2,V$20,IF(D44=3,W$20,IF(D44=4,X$20,IF(D44=5,Y$20,IF(D44=6,Z$20,IF(D44=7,AA$20,0)))))))</f>
        <v>1.7682291666666674E-4</v>
      </c>
      <c r="D44" s="1237">
        <v>7</v>
      </c>
      <c r="E44" s="1187">
        <v>1</v>
      </c>
      <c r="F44" s="1187">
        <v>6</v>
      </c>
      <c r="G44" s="1187">
        <v>20</v>
      </c>
      <c r="H44" s="1051"/>
      <c r="I44" s="1051">
        <v>4.6296296296296293E-4</v>
      </c>
      <c r="J44" s="1188">
        <v>6.9444444444444447E-4</v>
      </c>
      <c r="K44" s="2402" t="s">
        <v>2381</v>
      </c>
      <c r="L44" s="1189">
        <f>L43+N43</f>
        <v>0.80746732253086428</v>
      </c>
      <c r="M44" s="1190">
        <v>1</v>
      </c>
      <c r="N44" s="1188">
        <f>P44*E44*F44+I44*E44*F44+J44*E44</f>
        <v>4.1936597222222219E-3</v>
      </c>
      <c r="O44" s="1191">
        <f>C44*(G44/25)*0.85</f>
        <v>1.2023958333333338E-4</v>
      </c>
      <c r="P44" s="1192">
        <f>O44*M44</f>
        <v>1.2023958333333338E-4</v>
      </c>
      <c r="Q44" s="788">
        <v>200</v>
      </c>
      <c r="R44" s="1187">
        <f>E44*F44*G44</f>
        <v>120</v>
      </c>
      <c r="S44" s="1118">
        <f t="shared" si="5"/>
        <v>0.12</v>
      </c>
      <c r="T44" s="1119">
        <f t="shared" si="6"/>
        <v>2.8857500000000012E-3</v>
      </c>
      <c r="U44" s="374">
        <f t="shared" si="7"/>
        <v>0</v>
      </c>
      <c r="V44" s="1120">
        <f t="shared" si="8"/>
        <v>0</v>
      </c>
      <c r="W44" s="376">
        <f t="shared" si="9"/>
        <v>0</v>
      </c>
      <c r="X44" s="377">
        <f t="shared" si="10"/>
        <v>0</v>
      </c>
      <c r="Y44" s="378">
        <f t="shared" si="11"/>
        <v>0</v>
      </c>
      <c r="Z44" s="1121">
        <f t="shared" si="12"/>
        <v>0</v>
      </c>
      <c r="AA44" s="1122">
        <f t="shared" si="13"/>
        <v>0.12</v>
      </c>
      <c r="AC44" s="1244"/>
      <c r="AD44" s="1244"/>
      <c r="AE44" s="1244"/>
      <c r="AF44" s="1244"/>
      <c r="AG44" s="1244"/>
      <c r="AH44" s="1244"/>
      <c r="AI44" s="244"/>
      <c r="AJ44" s="244"/>
      <c r="AK44" s="244"/>
      <c r="AL44" s="244"/>
      <c r="AM44" s="244"/>
      <c r="AN44" s="245"/>
    </row>
    <row r="45" spans="1:40" ht="14" customHeight="1" thickBot="1">
      <c r="A45" s="1271"/>
      <c r="B45" s="1272"/>
      <c r="C45" s="1258"/>
      <c r="D45" s="1259"/>
      <c r="E45" s="336"/>
      <c r="F45" s="336"/>
      <c r="G45" s="336"/>
      <c r="H45" s="336"/>
      <c r="I45" s="336"/>
      <c r="J45" s="2424"/>
      <c r="K45" s="1903"/>
      <c r="L45" s="1003">
        <f>L44+N44</f>
        <v>0.81166098225308647</v>
      </c>
      <c r="M45" s="1198"/>
      <c r="N45" s="1008">
        <f>SUM(N40:N44)</f>
        <v>2.3572479166666667E-2</v>
      </c>
      <c r="O45" s="336"/>
      <c r="P45" s="1238"/>
      <c r="Q45" s="1238"/>
      <c r="R45" s="1238">
        <f>SUM(R40:R44)</f>
        <v>1120</v>
      </c>
      <c r="S45" s="1118">
        <f t="shared" si="5"/>
        <v>0</v>
      </c>
      <c r="T45" s="1119">
        <f t="shared" si="6"/>
        <v>0</v>
      </c>
      <c r="U45" s="374">
        <f t="shared" si="7"/>
        <v>0</v>
      </c>
      <c r="V45" s="1120">
        <f t="shared" si="8"/>
        <v>0</v>
      </c>
      <c r="W45" s="376">
        <f t="shared" si="9"/>
        <v>0</v>
      </c>
      <c r="X45" s="377">
        <f t="shared" si="10"/>
        <v>0</v>
      </c>
      <c r="Y45" s="378">
        <f t="shared" si="11"/>
        <v>0</v>
      </c>
      <c r="Z45" s="1121">
        <f t="shared" si="12"/>
        <v>0</v>
      </c>
      <c r="AA45" s="1122">
        <f t="shared" si="13"/>
        <v>0</v>
      </c>
      <c r="AC45" s="1244"/>
      <c r="AD45" s="1244"/>
      <c r="AE45" s="1244"/>
      <c r="AF45" s="1244"/>
      <c r="AG45" s="1244"/>
      <c r="AH45" s="1244"/>
      <c r="AI45" s="244"/>
      <c r="AJ45" s="244"/>
      <c r="AK45" s="244"/>
      <c r="AL45" s="244"/>
      <c r="AM45" s="244"/>
      <c r="AN45" s="245"/>
    </row>
    <row r="46" spans="1:40" ht="12.75" customHeight="1" thickBot="1">
      <c r="A46" s="1270" t="s">
        <v>458</v>
      </c>
      <c r="B46" s="1234" t="s">
        <v>459</v>
      </c>
      <c r="C46" s="274">
        <f t="shared" ref="C46:C50" si="36">IF(D46=1,U$20,IF(D46=2,V$20,IF(D46=3,W$20,IF(D46=4,X$20,IF(D46=5,Y$20,IF(D46=6,Z$20,IF(D46=7,AA$20,0)))))))</f>
        <v>2.2880964381720439E-4</v>
      </c>
      <c r="D46" s="547">
        <v>1</v>
      </c>
      <c r="E46" s="1194">
        <v>1</v>
      </c>
      <c r="F46" s="1194">
        <v>1</v>
      </c>
      <c r="G46" s="1194">
        <v>400</v>
      </c>
      <c r="H46" s="274"/>
      <c r="I46" s="274">
        <v>0</v>
      </c>
      <c r="J46" s="274">
        <v>0</v>
      </c>
      <c r="K46" s="312" t="s">
        <v>776</v>
      </c>
      <c r="L46" s="993">
        <v>0.79861111111111116</v>
      </c>
      <c r="M46" s="1195">
        <v>1</v>
      </c>
      <c r="N46" s="274">
        <f t="shared" ref="N46:N50" si="37">P46*E46*F46+I46*E46*F46+J46*E46</f>
        <v>3.6609543010752703E-3</v>
      </c>
      <c r="O46" s="1196">
        <f t="shared" ref="O46:O50" si="38">C46*(G46/25)</f>
        <v>3.6609543010752703E-3</v>
      </c>
      <c r="P46" s="1196">
        <f t="shared" ref="P46:P50" si="39">O46*M46</f>
        <v>3.6609543010752703E-3</v>
      </c>
      <c r="Q46" s="548">
        <v>125</v>
      </c>
      <c r="R46" s="1194">
        <f t="shared" ref="R46:R50" si="40">E46*F46*G46</f>
        <v>400</v>
      </c>
      <c r="S46" s="1118">
        <f t="shared" si="5"/>
        <v>0.4</v>
      </c>
      <c r="T46" s="1119">
        <f t="shared" si="6"/>
        <v>1.4643817204301081E-2</v>
      </c>
      <c r="U46" s="374">
        <f t="shared" si="7"/>
        <v>0.4</v>
      </c>
      <c r="V46" s="1120">
        <f t="shared" si="8"/>
        <v>0</v>
      </c>
      <c r="W46" s="376">
        <f t="shared" si="9"/>
        <v>0</v>
      </c>
      <c r="X46" s="377">
        <f t="shared" si="10"/>
        <v>0</v>
      </c>
      <c r="Y46" s="378">
        <f t="shared" si="11"/>
        <v>0</v>
      </c>
      <c r="Z46" s="1121">
        <f t="shared" si="12"/>
        <v>0</v>
      </c>
      <c r="AA46" s="1122">
        <f t="shared" si="13"/>
        <v>0</v>
      </c>
      <c r="AC46" s="1244"/>
      <c r="AD46" s="1244"/>
      <c r="AE46" s="1244"/>
      <c r="AF46" s="1244"/>
      <c r="AG46" s="1244"/>
      <c r="AH46" s="1244"/>
      <c r="AI46" s="244"/>
      <c r="AJ46" s="244"/>
      <c r="AK46" s="244"/>
      <c r="AL46" s="244"/>
      <c r="AM46" s="244"/>
      <c r="AN46" s="245"/>
    </row>
    <row r="47" spans="1:40" ht="13.25" customHeight="1" thickBot="1">
      <c r="A47" s="1270" t="s">
        <v>462</v>
      </c>
      <c r="B47" s="1234" t="s">
        <v>459</v>
      </c>
      <c r="C47" s="274">
        <f t="shared" si="36"/>
        <v>2.0247664488766629E-4</v>
      </c>
      <c r="D47" s="1197">
        <v>4</v>
      </c>
      <c r="E47" s="1177">
        <v>1</v>
      </c>
      <c r="F47" s="1177">
        <v>4</v>
      </c>
      <c r="G47" s="1177">
        <v>50</v>
      </c>
      <c r="H47" s="1178">
        <v>6.9444444444444447E-4</v>
      </c>
      <c r="I47" s="1178">
        <v>0</v>
      </c>
      <c r="J47" s="1178">
        <v>0</v>
      </c>
      <c r="K47" s="316" t="s">
        <v>25</v>
      </c>
      <c r="L47" s="996">
        <f t="shared" ref="L47:L51" si="41">L46+N46</f>
        <v>0.80227206541218643</v>
      </c>
      <c r="M47" s="1180">
        <v>1</v>
      </c>
      <c r="N47" s="1178">
        <f>H47*F47*E47</f>
        <v>2.7777777777777779E-3</v>
      </c>
      <c r="O47" s="1181">
        <f t="shared" si="38"/>
        <v>4.0495328977533258E-4</v>
      </c>
      <c r="P47" s="1181">
        <f t="shared" si="39"/>
        <v>4.0495328977533258E-4</v>
      </c>
      <c r="Q47" s="334">
        <v>170</v>
      </c>
      <c r="R47" s="1177">
        <f t="shared" si="40"/>
        <v>200</v>
      </c>
      <c r="S47" s="1118">
        <f t="shared" si="5"/>
        <v>0.2</v>
      </c>
      <c r="T47" s="1119">
        <f t="shared" si="6"/>
        <v>6.4792526364053213E-3</v>
      </c>
      <c r="U47" s="374">
        <f t="shared" si="7"/>
        <v>0</v>
      </c>
      <c r="V47" s="1120">
        <f t="shared" si="8"/>
        <v>0</v>
      </c>
      <c r="W47" s="376">
        <f t="shared" si="9"/>
        <v>0</v>
      </c>
      <c r="X47" s="377">
        <f t="shared" si="10"/>
        <v>0.2</v>
      </c>
      <c r="Y47" s="378">
        <f t="shared" si="11"/>
        <v>0</v>
      </c>
      <c r="Z47" s="1121">
        <f t="shared" si="12"/>
        <v>0</v>
      </c>
      <c r="AA47" s="1122">
        <f t="shared" si="13"/>
        <v>0</v>
      </c>
      <c r="AC47" s="1244"/>
      <c r="AD47" s="1244"/>
      <c r="AE47" s="1244"/>
      <c r="AF47" s="1244"/>
      <c r="AG47" s="1244"/>
      <c r="AH47" s="1244"/>
      <c r="AI47" s="244"/>
      <c r="AJ47" s="244"/>
      <c r="AK47" s="244"/>
      <c r="AL47" s="244"/>
      <c r="AM47" s="244"/>
      <c r="AN47" s="245"/>
    </row>
    <row r="48" spans="1:40" ht="12.75" customHeight="1" thickBot="1">
      <c r="A48" s="1270" t="s">
        <v>460</v>
      </c>
      <c r="B48" s="1234" t="s">
        <v>459</v>
      </c>
      <c r="C48" s="274">
        <f t="shared" si="36"/>
        <v>2.1908757716049393E-4</v>
      </c>
      <c r="D48" s="4558">
        <v>2</v>
      </c>
      <c r="E48" s="4561">
        <v>1</v>
      </c>
      <c r="F48" s="4561">
        <v>3</v>
      </c>
      <c r="G48" s="4561">
        <v>75</v>
      </c>
      <c r="H48" s="6300"/>
      <c r="I48" s="6300">
        <v>1.7361111111111112E-4</v>
      </c>
      <c r="J48" s="6300">
        <v>1.3888888888888889E-3</v>
      </c>
      <c r="K48" s="4561" t="s">
        <v>2640</v>
      </c>
      <c r="L48" s="6301">
        <f t="shared" si="41"/>
        <v>0.8050498431899642</v>
      </c>
      <c r="M48" s="6302">
        <v>1</v>
      </c>
      <c r="N48" s="6301">
        <f t="shared" si="37"/>
        <v>3.8815104166666677E-3</v>
      </c>
      <c r="O48" s="6301">
        <f t="shared" si="38"/>
        <v>6.5726273148148176E-4</v>
      </c>
      <c r="P48" s="6301">
        <f t="shared" si="39"/>
        <v>6.5726273148148176E-4</v>
      </c>
      <c r="Q48" s="6303">
        <v>140</v>
      </c>
      <c r="R48" s="6303">
        <f t="shared" si="40"/>
        <v>225</v>
      </c>
      <c r="S48" s="1118">
        <f t="shared" si="5"/>
        <v>0.22500000000000001</v>
      </c>
      <c r="T48" s="1119">
        <f t="shared" si="6"/>
        <v>7.8871527777777811E-3</v>
      </c>
      <c r="U48" s="374">
        <f t="shared" si="7"/>
        <v>0</v>
      </c>
      <c r="V48" s="1120">
        <f t="shared" si="8"/>
        <v>0.22500000000000001</v>
      </c>
      <c r="W48" s="376">
        <f t="shared" si="9"/>
        <v>0</v>
      </c>
      <c r="X48" s="377">
        <f t="shared" si="10"/>
        <v>0</v>
      </c>
      <c r="Y48" s="378">
        <f t="shared" si="11"/>
        <v>0</v>
      </c>
      <c r="Z48" s="1121">
        <f t="shared" si="12"/>
        <v>0</v>
      </c>
      <c r="AA48" s="1122">
        <f t="shared" si="13"/>
        <v>0</v>
      </c>
      <c r="AC48" s="1244"/>
      <c r="AD48" s="1244"/>
      <c r="AE48" s="1244"/>
      <c r="AF48" s="1244"/>
      <c r="AG48" s="1244"/>
      <c r="AH48" s="1244"/>
      <c r="AI48" s="244"/>
      <c r="AJ48" s="244"/>
      <c r="AK48" s="244"/>
      <c r="AL48" s="244"/>
      <c r="AM48" s="244"/>
      <c r="AN48" s="245"/>
    </row>
    <row r="49" spans="1:40" ht="12.75" customHeight="1" thickBot="1">
      <c r="A49" s="1270" t="s">
        <v>458</v>
      </c>
      <c r="B49" s="1234" t="s">
        <v>459</v>
      </c>
      <c r="C49" s="274">
        <f t="shared" si="36"/>
        <v>1.8229166666666673E-4</v>
      </c>
      <c r="D49" s="1203">
        <v>6</v>
      </c>
      <c r="E49" s="1167">
        <v>1</v>
      </c>
      <c r="F49" s="1167">
        <v>4</v>
      </c>
      <c r="G49" s="1167">
        <v>25</v>
      </c>
      <c r="H49" s="1052"/>
      <c r="I49" s="1052">
        <v>6.9444444444444447E-4</v>
      </c>
      <c r="J49" s="1052">
        <v>0</v>
      </c>
      <c r="K49" s="1065" t="s">
        <v>2641</v>
      </c>
      <c r="L49" s="1247">
        <f t="shared" si="41"/>
        <v>0.80893135360663082</v>
      </c>
      <c r="M49" s="1168">
        <v>1</v>
      </c>
      <c r="N49" s="1052">
        <f t="shared" si="37"/>
        <v>3.5215277777777779E-3</v>
      </c>
      <c r="O49" s="1169">
        <f>C49*(G49/25)*1.02</f>
        <v>1.8593750000000007E-4</v>
      </c>
      <c r="P49" s="1170">
        <f t="shared" si="39"/>
        <v>1.8593750000000007E-4</v>
      </c>
      <c r="Q49" s="1171">
        <v>177</v>
      </c>
      <c r="R49" s="1172">
        <f t="shared" si="40"/>
        <v>100</v>
      </c>
      <c r="S49" s="1118">
        <f t="shared" si="5"/>
        <v>0.1</v>
      </c>
      <c r="T49" s="1119">
        <f t="shared" si="6"/>
        <v>2.9750000000000011E-3</v>
      </c>
      <c r="U49" s="374">
        <f t="shared" si="7"/>
        <v>0</v>
      </c>
      <c r="V49" s="1120">
        <f t="shared" si="8"/>
        <v>0</v>
      </c>
      <c r="W49" s="376">
        <f t="shared" si="9"/>
        <v>0</v>
      </c>
      <c r="X49" s="377">
        <f t="shared" si="10"/>
        <v>0</v>
      </c>
      <c r="Y49" s="378">
        <f t="shared" si="11"/>
        <v>0</v>
      </c>
      <c r="Z49" s="1121">
        <f t="shared" si="12"/>
        <v>0.1</v>
      </c>
      <c r="AA49" s="1122">
        <f t="shared" si="13"/>
        <v>0</v>
      </c>
      <c r="AC49" s="1244"/>
      <c r="AD49" s="1244"/>
      <c r="AE49" s="1244"/>
      <c r="AF49" s="1244"/>
      <c r="AG49" s="1244"/>
      <c r="AH49" s="1244"/>
      <c r="AI49" s="244"/>
      <c r="AJ49" s="244"/>
      <c r="AK49" s="244"/>
      <c r="AL49" s="244"/>
      <c r="AM49" s="244"/>
      <c r="AN49" s="245"/>
    </row>
    <row r="50" spans="1:40" ht="12.75" customHeight="1" thickBot="1">
      <c r="A50" s="1270"/>
      <c r="B50" s="1234" t="s">
        <v>459</v>
      </c>
      <c r="C50" s="274">
        <f t="shared" si="36"/>
        <v>1.7682291666666674E-4</v>
      </c>
      <c r="D50" s="1237">
        <v>7</v>
      </c>
      <c r="E50" s="1201">
        <v>2</v>
      </c>
      <c r="F50" s="1201">
        <v>3</v>
      </c>
      <c r="G50" s="1201">
        <v>20</v>
      </c>
      <c r="H50" s="1051"/>
      <c r="I50" s="1051">
        <v>6.9444444444444447E-4</v>
      </c>
      <c r="J50" s="1051">
        <v>2.0833333333333333E-3</v>
      </c>
      <c r="K50" s="2402" t="s">
        <v>900</v>
      </c>
      <c r="L50" s="1189">
        <f t="shared" si="41"/>
        <v>0.81245288138440863</v>
      </c>
      <c r="M50" s="1202">
        <v>1</v>
      </c>
      <c r="N50" s="1051">
        <f t="shared" si="37"/>
        <v>9.1820833333333338E-3</v>
      </c>
      <c r="O50" s="1191">
        <f t="shared" si="38"/>
        <v>1.4145833333333339E-4</v>
      </c>
      <c r="P50" s="1192">
        <f t="shared" si="39"/>
        <v>1.4145833333333339E-4</v>
      </c>
      <c r="Q50" s="788">
        <v>200</v>
      </c>
      <c r="R50" s="1187">
        <f t="shared" si="40"/>
        <v>120</v>
      </c>
      <c r="S50" s="1118">
        <f t="shared" si="5"/>
        <v>0.12</v>
      </c>
      <c r="T50" s="1119">
        <f t="shared" si="6"/>
        <v>3.3950000000000013E-3</v>
      </c>
      <c r="U50" s="374">
        <f t="shared" si="7"/>
        <v>0</v>
      </c>
      <c r="V50" s="1120">
        <f t="shared" si="8"/>
        <v>0</v>
      </c>
      <c r="W50" s="376">
        <f t="shared" si="9"/>
        <v>0</v>
      </c>
      <c r="X50" s="377">
        <f t="shared" si="10"/>
        <v>0</v>
      </c>
      <c r="Y50" s="378">
        <f t="shared" si="11"/>
        <v>0</v>
      </c>
      <c r="Z50" s="1121">
        <f t="shared" si="12"/>
        <v>0</v>
      </c>
      <c r="AA50" s="1122">
        <f t="shared" si="13"/>
        <v>0.12</v>
      </c>
      <c r="AC50" s="1244"/>
      <c r="AD50" s="1244"/>
      <c r="AE50" s="1244"/>
      <c r="AF50" s="1244"/>
      <c r="AG50" s="1244"/>
      <c r="AH50" s="1244"/>
      <c r="AI50" s="244"/>
      <c r="AJ50" s="244"/>
      <c r="AK50" s="244"/>
      <c r="AL50" s="244"/>
      <c r="AM50" s="244"/>
      <c r="AN50" s="245"/>
    </row>
    <row r="51" spans="1:40" ht="12.75" customHeight="1" thickTop="1" thickBot="1">
      <c r="A51" s="1270"/>
      <c r="B51" s="1269"/>
      <c r="C51" s="1258"/>
      <c r="D51" s="1259"/>
      <c r="E51" s="336"/>
      <c r="F51" s="336"/>
      <c r="G51" s="336"/>
      <c r="H51" s="336"/>
      <c r="I51" s="336"/>
      <c r="J51" s="336"/>
      <c r="K51" s="1903"/>
      <c r="L51" s="1003">
        <f t="shared" si="41"/>
        <v>0.821634964717742</v>
      </c>
      <c r="M51" s="1198"/>
      <c r="N51" s="1008">
        <f>SUM(N46:N50)</f>
        <v>2.3023853606630826E-2</v>
      </c>
      <c r="O51" s="336"/>
      <c r="P51" s="336"/>
      <c r="Q51" s="336"/>
      <c r="R51" s="1238">
        <f>SUM(R46:R50)</f>
        <v>1045</v>
      </c>
      <c r="S51" s="1274"/>
      <c r="T51" s="1275"/>
      <c r="U51" s="1276">
        <f>SUM(U11:U50)</f>
        <v>1.8511440482190862</v>
      </c>
      <c r="V51" s="1276">
        <f>SUM(V11:V50)</f>
        <v>1.4010954378858027</v>
      </c>
      <c r="W51" s="1276">
        <f>SUM(W11:W50)</f>
        <v>0.42606110953996984</v>
      </c>
      <c r="X51" s="1276">
        <f>SUM(X11:X50)</f>
        <v>1.4510123832244382</v>
      </c>
      <c r="Y51" s="1276">
        <f>SUM(Y11:Y50)</f>
        <v>9.4669687112763348E-4</v>
      </c>
      <c r="Z51" s="1276">
        <f>SUM(Z11:Z50)</f>
        <v>0.71091145833333325</v>
      </c>
      <c r="AA51" s="1276">
        <f>SUM(AA11:AA50)</f>
        <v>0.56588411458333332</v>
      </c>
      <c r="AC51" s="1244">
        <v>0</v>
      </c>
      <c r="AD51" s="1244">
        <v>0</v>
      </c>
      <c r="AE51" s="1244">
        <v>0</v>
      </c>
      <c r="AF51" s="1244">
        <v>0</v>
      </c>
      <c r="AG51" s="1244">
        <v>0</v>
      </c>
      <c r="AH51" s="1244">
        <v>0</v>
      </c>
      <c r="AI51" s="244"/>
      <c r="AJ51" s="244"/>
      <c r="AK51" s="244"/>
      <c r="AL51" s="244"/>
      <c r="AM51" s="244"/>
      <c r="AN51" s="245"/>
    </row>
    <row r="52" spans="1:40" ht="12" thickTop="1">
      <c r="A52" s="1278"/>
      <c r="B52" s="1278"/>
      <c r="C52" s="1278"/>
      <c r="D52" s="1279"/>
      <c r="E52" s="1278"/>
      <c r="F52" s="1278"/>
      <c r="G52" s="1278"/>
      <c r="H52" s="1278"/>
      <c r="I52" s="1278"/>
      <c r="J52" s="1278"/>
      <c r="K52" s="1278"/>
      <c r="L52" s="1280"/>
      <c r="M52" s="1278"/>
      <c r="N52" s="1278"/>
      <c r="O52" s="1278"/>
      <c r="P52" s="1278"/>
      <c r="Q52" s="1278"/>
      <c r="R52" s="1278"/>
      <c r="S52" s="1278"/>
      <c r="T52" s="1278"/>
      <c r="U52" s="1211" t="e">
        <f>IF(#REF!&gt;0,#REF!,#REF!)</f>
        <v>#REF!</v>
      </c>
      <c r="V52" s="1211" t="e">
        <f>IF(#REF!&gt;0,#REF!,#REF!)</f>
        <v>#REF!</v>
      </c>
      <c r="W52" s="1211" t="e">
        <f>IF(#REF!&gt;0,#REF!,#REF!)</f>
        <v>#REF!</v>
      </c>
      <c r="X52" s="1211" t="e">
        <f>IF(#REF!&gt;0,#REF!,#REF!)</f>
        <v>#REF!</v>
      </c>
      <c r="Y52" s="1211" t="e">
        <f>IF(#REF!&gt;0,#REF!,#REF!)</f>
        <v>#REF!</v>
      </c>
      <c r="Z52" s="1211" t="e">
        <f>IF(#REF!&gt;0,#REF!,#REF!)</f>
        <v>#REF!</v>
      </c>
      <c r="AA52" s="1211" t="e">
        <f>IF(#REF!&gt;0,#REF!,#REF!)</f>
        <v>#REF!</v>
      </c>
      <c r="AB52" s="1278"/>
      <c r="AC52" s="1244">
        <v>0</v>
      </c>
      <c r="AD52" s="1244">
        <v>0</v>
      </c>
      <c r="AE52" s="1244">
        <v>0</v>
      </c>
      <c r="AF52" s="1244">
        <v>0</v>
      </c>
      <c r="AG52" s="1244">
        <v>0</v>
      </c>
      <c r="AH52" s="1244">
        <v>0</v>
      </c>
      <c r="AI52" s="244"/>
      <c r="AJ52" s="245"/>
      <c r="AK52" s="245"/>
      <c r="AL52" s="245"/>
      <c r="AM52" s="245"/>
      <c r="AN52" s="245"/>
    </row>
    <row r="53" spans="1:40">
      <c r="A53" s="1278"/>
      <c r="B53" s="1278"/>
      <c r="C53" s="1278"/>
      <c r="D53" s="1279"/>
      <c r="E53" s="1278"/>
      <c r="F53" s="1278"/>
      <c r="G53" s="1278"/>
      <c r="H53" s="1278"/>
      <c r="I53" s="1278"/>
      <c r="J53" s="1278"/>
      <c r="K53" s="1278"/>
      <c r="L53" s="1280"/>
      <c r="M53" s="1278"/>
      <c r="N53" s="1278"/>
      <c r="O53" s="1278"/>
      <c r="P53" s="1278"/>
      <c r="Q53" s="1278"/>
      <c r="R53" s="1278"/>
      <c r="S53" s="1278"/>
      <c r="T53" s="1278"/>
      <c r="U53" s="1211" t="e">
        <f>IF(U52&gt;0,U52,#REF!)</f>
        <v>#REF!</v>
      </c>
      <c r="V53" s="1211" t="e">
        <f>IF(V52&gt;0,V52,#REF!)</f>
        <v>#REF!</v>
      </c>
      <c r="W53" s="1211" t="e">
        <f>IF(W52&gt;0,W52,#REF!)</f>
        <v>#REF!</v>
      </c>
      <c r="X53" s="1211" t="e">
        <f>IF(X52&gt;0,X52,#REF!)</f>
        <v>#REF!</v>
      </c>
      <c r="Y53" s="1211" t="e">
        <f>IF(Y52&gt;0,Y52,#REF!)</f>
        <v>#REF!</v>
      </c>
      <c r="Z53" s="1211" t="e">
        <f>IF(Z52&gt;0,Z52,#REF!)</f>
        <v>#REF!</v>
      </c>
      <c r="AA53" s="1211" t="e">
        <f>IF(AA52&gt;0,AA52,#REF!)</f>
        <v>#REF!</v>
      </c>
      <c r="AB53" s="1278"/>
      <c r="AC53" s="1244">
        <v>0</v>
      </c>
      <c r="AD53" s="1244">
        <v>0</v>
      </c>
      <c r="AE53" s="1244">
        <v>0</v>
      </c>
      <c r="AF53" s="1244">
        <v>0</v>
      </c>
      <c r="AG53" s="1244">
        <v>0</v>
      </c>
      <c r="AH53" s="1244">
        <v>0</v>
      </c>
      <c r="AI53" s="244"/>
      <c r="AJ53" s="245"/>
      <c r="AK53" s="245"/>
      <c r="AL53" s="245"/>
      <c r="AM53" s="245"/>
      <c r="AN53" s="245"/>
    </row>
    <row r="54" spans="1:40">
      <c r="A54" s="1278"/>
      <c r="B54" s="1278"/>
      <c r="C54" s="1278"/>
      <c r="D54" s="1279"/>
      <c r="E54" s="1278"/>
      <c r="F54" s="1278"/>
      <c r="G54" s="1278"/>
      <c r="H54" s="1278"/>
      <c r="I54" s="1278"/>
      <c r="J54" s="1278"/>
      <c r="K54" s="1278"/>
      <c r="L54" s="1280"/>
      <c r="M54" s="1278"/>
      <c r="N54" s="1278"/>
      <c r="O54" s="1278"/>
      <c r="P54" s="1278"/>
      <c r="Q54" s="1278"/>
      <c r="R54" s="1278"/>
      <c r="S54" s="1278"/>
      <c r="T54" s="1278"/>
      <c r="U54" s="1211" t="e">
        <f t="shared" ref="U54:AA60" si="42">IF(U53&gt;0,U53,U52)</f>
        <v>#REF!</v>
      </c>
      <c r="V54" s="1211" t="e">
        <f t="shared" si="42"/>
        <v>#REF!</v>
      </c>
      <c r="W54" s="1211" t="e">
        <f t="shared" si="42"/>
        <v>#REF!</v>
      </c>
      <c r="X54" s="1211" t="e">
        <f t="shared" si="42"/>
        <v>#REF!</v>
      </c>
      <c r="Y54" s="1211" t="e">
        <f t="shared" si="42"/>
        <v>#REF!</v>
      </c>
      <c r="Z54" s="1211" t="e">
        <f t="shared" si="42"/>
        <v>#REF!</v>
      </c>
      <c r="AA54" s="1211" t="e">
        <f t="shared" si="42"/>
        <v>#REF!</v>
      </c>
      <c r="AB54" s="1278"/>
      <c r="AC54" s="1244">
        <v>0</v>
      </c>
      <c r="AD54" s="1244">
        <v>0</v>
      </c>
      <c r="AE54" s="1244">
        <v>0</v>
      </c>
      <c r="AF54" s="1244">
        <v>0</v>
      </c>
      <c r="AG54" s="1244">
        <v>0</v>
      </c>
      <c r="AH54" s="1244">
        <v>0</v>
      </c>
      <c r="AI54" s="244"/>
      <c r="AJ54" s="245"/>
      <c r="AK54" s="245"/>
      <c r="AL54" s="245"/>
      <c r="AM54" s="245"/>
      <c r="AN54" s="245"/>
    </row>
    <row r="55" spans="1:40">
      <c r="A55" s="1278"/>
      <c r="B55" s="1278"/>
      <c r="C55" s="1278"/>
      <c r="D55" s="1279"/>
      <c r="E55" s="1278"/>
      <c r="F55" s="1278"/>
      <c r="G55" s="1278"/>
      <c r="H55" s="1278"/>
      <c r="I55" s="1278"/>
      <c r="J55" s="1278"/>
      <c r="K55" s="1278"/>
      <c r="L55" s="1280"/>
      <c r="M55" s="1278"/>
      <c r="N55" s="1278"/>
      <c r="O55" s="1278"/>
      <c r="P55" s="1278"/>
      <c r="Q55" s="1278"/>
      <c r="R55" s="1278"/>
      <c r="S55" s="1278"/>
      <c r="T55" s="1278"/>
      <c r="U55" s="1211" t="e">
        <f t="shared" si="42"/>
        <v>#REF!</v>
      </c>
      <c r="V55" s="1211" t="e">
        <f t="shared" si="42"/>
        <v>#REF!</v>
      </c>
      <c r="W55" s="1211" t="e">
        <f t="shared" si="42"/>
        <v>#REF!</v>
      </c>
      <c r="X55" s="1211" t="e">
        <f t="shared" si="42"/>
        <v>#REF!</v>
      </c>
      <c r="Y55" s="1211" t="e">
        <f t="shared" si="42"/>
        <v>#REF!</v>
      </c>
      <c r="Z55" s="1211" t="e">
        <f t="shared" si="42"/>
        <v>#REF!</v>
      </c>
      <c r="AA55" s="1211" t="e">
        <f t="shared" si="42"/>
        <v>#REF!</v>
      </c>
      <c r="AB55" s="1278"/>
      <c r="AC55" s="1244"/>
      <c r="AD55" s="1244"/>
      <c r="AE55" s="1244"/>
      <c r="AF55" s="1244"/>
      <c r="AG55" s="1244"/>
      <c r="AH55" s="1244"/>
      <c r="AI55" s="244"/>
      <c r="AJ55" s="245"/>
      <c r="AK55" s="245"/>
      <c r="AL55" s="245"/>
      <c r="AM55" s="245"/>
      <c r="AN55" s="245"/>
    </row>
    <row r="56" spans="1:40">
      <c r="A56" s="1278"/>
      <c r="B56" s="1278"/>
      <c r="C56" s="1278"/>
      <c r="D56" s="1279"/>
      <c r="E56" s="1278"/>
      <c r="F56" s="1278"/>
      <c r="G56" s="1278"/>
      <c r="H56" s="1278"/>
      <c r="I56" s="1278"/>
      <c r="J56" s="1278"/>
      <c r="K56" s="1278"/>
      <c r="L56" s="1280"/>
      <c r="M56" s="1278"/>
      <c r="N56" s="1278"/>
      <c r="O56" s="1278"/>
      <c r="P56" s="1278"/>
      <c r="Q56" s="1278"/>
      <c r="R56" s="1278"/>
      <c r="S56" s="1278"/>
      <c r="T56" s="1278"/>
      <c r="U56" s="1211" t="e">
        <f t="shared" si="42"/>
        <v>#REF!</v>
      </c>
      <c r="V56" s="1211" t="e">
        <f t="shared" si="42"/>
        <v>#REF!</v>
      </c>
      <c r="W56" s="1211" t="e">
        <f t="shared" si="42"/>
        <v>#REF!</v>
      </c>
      <c r="X56" s="1211" t="e">
        <f t="shared" si="42"/>
        <v>#REF!</v>
      </c>
      <c r="Y56" s="1211" t="e">
        <f t="shared" si="42"/>
        <v>#REF!</v>
      </c>
      <c r="Z56" s="1211" t="e">
        <f t="shared" si="42"/>
        <v>#REF!</v>
      </c>
      <c r="AA56" s="1211" t="e">
        <f t="shared" si="42"/>
        <v>#REF!</v>
      </c>
      <c r="AB56" s="1278"/>
      <c r="AC56" s="1244"/>
      <c r="AD56" s="1244"/>
      <c r="AE56" s="1244"/>
      <c r="AF56" s="1244"/>
      <c r="AG56" s="1244"/>
      <c r="AH56" s="1244"/>
      <c r="AI56" s="244"/>
      <c r="AJ56" s="245"/>
      <c r="AK56" s="245"/>
      <c r="AL56" s="245"/>
      <c r="AM56" s="245"/>
      <c r="AN56" s="245"/>
    </row>
    <row r="57" spans="1:40">
      <c r="A57" s="1278"/>
      <c r="B57" s="1278"/>
      <c r="C57" s="1278"/>
      <c r="D57" s="1279"/>
      <c r="E57" s="1278"/>
      <c r="F57" s="1278"/>
      <c r="G57" s="1278"/>
      <c r="H57" s="1278"/>
      <c r="I57" s="1278"/>
      <c r="J57" s="1278"/>
      <c r="K57" s="1278"/>
      <c r="L57" s="1280"/>
      <c r="M57" s="1278"/>
      <c r="N57" s="1278"/>
      <c r="O57" s="1278"/>
      <c r="P57" s="1278"/>
      <c r="Q57" s="1278"/>
      <c r="R57" s="1278"/>
      <c r="S57" s="1278"/>
      <c r="T57" s="1278"/>
      <c r="U57" s="1211" t="e">
        <f t="shared" si="42"/>
        <v>#REF!</v>
      </c>
      <c r="V57" s="1211" t="e">
        <f t="shared" si="42"/>
        <v>#REF!</v>
      </c>
      <c r="W57" s="1211" t="e">
        <f t="shared" si="42"/>
        <v>#REF!</v>
      </c>
      <c r="X57" s="1211" t="e">
        <f t="shared" si="42"/>
        <v>#REF!</v>
      </c>
      <c r="Y57" s="1211" t="e">
        <f t="shared" si="42"/>
        <v>#REF!</v>
      </c>
      <c r="Z57" s="1211" t="e">
        <f t="shared" si="42"/>
        <v>#REF!</v>
      </c>
      <c r="AA57" s="1211" t="e">
        <f t="shared" si="42"/>
        <v>#REF!</v>
      </c>
      <c r="AB57" s="1278"/>
      <c r="AC57" s="1244">
        <v>0</v>
      </c>
      <c r="AD57" s="1244">
        <v>0</v>
      </c>
      <c r="AE57" s="1244">
        <v>0</v>
      </c>
      <c r="AF57" s="1244">
        <v>0</v>
      </c>
      <c r="AG57" s="1244">
        <v>0</v>
      </c>
      <c r="AH57" s="1244">
        <v>0</v>
      </c>
      <c r="AI57" s="244"/>
      <c r="AJ57" s="245"/>
      <c r="AK57" s="245"/>
      <c r="AL57" s="245"/>
      <c r="AM57" s="245"/>
      <c r="AN57" s="245"/>
    </row>
    <row r="58" spans="1:40">
      <c r="A58" s="1278"/>
      <c r="B58" s="1278"/>
      <c r="C58" s="1278"/>
      <c r="D58" s="1279"/>
      <c r="E58" s="1278"/>
      <c r="F58" s="1278"/>
      <c r="G58" s="1278"/>
      <c r="H58" s="1278"/>
      <c r="I58" s="1278"/>
      <c r="J58" s="1278"/>
      <c r="K58" s="1278"/>
      <c r="L58" s="1280"/>
      <c r="M58" s="1278"/>
      <c r="N58" s="1278"/>
      <c r="O58" s="1278"/>
      <c r="P58" s="1278"/>
      <c r="Q58" s="1278"/>
      <c r="R58" s="1278"/>
      <c r="S58" s="1278"/>
      <c r="T58" s="1278"/>
      <c r="U58" s="1211" t="e">
        <f t="shared" si="42"/>
        <v>#REF!</v>
      </c>
      <c r="V58" s="1211" t="e">
        <f t="shared" si="42"/>
        <v>#REF!</v>
      </c>
      <c r="W58" s="1211" t="e">
        <f t="shared" si="42"/>
        <v>#REF!</v>
      </c>
      <c r="X58" s="1211" t="e">
        <f t="shared" si="42"/>
        <v>#REF!</v>
      </c>
      <c r="Y58" s="1211" t="e">
        <f t="shared" si="42"/>
        <v>#REF!</v>
      </c>
      <c r="Z58" s="1211" t="e">
        <f t="shared" si="42"/>
        <v>#REF!</v>
      </c>
      <c r="AA58" s="1211" t="e">
        <f t="shared" si="42"/>
        <v>#REF!</v>
      </c>
      <c r="AB58" s="1278"/>
      <c r="AC58" s="1244">
        <v>0</v>
      </c>
      <c r="AD58" s="1244">
        <v>0</v>
      </c>
      <c r="AE58" s="1244">
        <v>0</v>
      </c>
      <c r="AF58" s="1244">
        <v>0</v>
      </c>
      <c r="AG58" s="1244">
        <v>0</v>
      </c>
      <c r="AH58" s="1244">
        <v>0</v>
      </c>
      <c r="AI58" s="244"/>
      <c r="AJ58" s="245"/>
      <c r="AK58" s="245"/>
      <c r="AL58" s="245"/>
      <c r="AM58" s="245"/>
      <c r="AN58" s="245"/>
    </row>
    <row r="59" spans="1:40">
      <c r="A59" s="1278"/>
      <c r="B59" s="1278"/>
      <c r="C59" s="1278"/>
      <c r="D59" s="1279"/>
      <c r="E59" s="1278"/>
      <c r="F59" s="1278"/>
      <c r="G59" s="1278"/>
      <c r="H59" s="1278"/>
      <c r="I59" s="1278"/>
      <c r="J59" s="1278"/>
      <c r="K59" s="1278"/>
      <c r="L59" s="1280"/>
      <c r="M59" s="1278"/>
      <c r="N59" s="1278"/>
      <c r="O59" s="1278"/>
      <c r="P59" s="1278"/>
      <c r="Q59" s="1278"/>
      <c r="R59" s="1278"/>
      <c r="S59" s="1278"/>
      <c r="T59" s="1278"/>
      <c r="U59" s="1211" t="e">
        <f t="shared" si="42"/>
        <v>#REF!</v>
      </c>
      <c r="V59" s="1211" t="e">
        <f t="shared" si="42"/>
        <v>#REF!</v>
      </c>
      <c r="W59" s="1211" t="e">
        <f t="shared" si="42"/>
        <v>#REF!</v>
      </c>
      <c r="X59" s="1211" t="e">
        <f t="shared" si="42"/>
        <v>#REF!</v>
      </c>
      <c r="Y59" s="1211" t="e">
        <f t="shared" si="42"/>
        <v>#REF!</v>
      </c>
      <c r="Z59" s="1211" t="e">
        <f t="shared" si="42"/>
        <v>#REF!</v>
      </c>
      <c r="AA59" s="1211" t="e">
        <f t="shared" si="42"/>
        <v>#REF!</v>
      </c>
      <c r="AB59" s="1278"/>
      <c r="AC59" s="1244"/>
      <c r="AD59" s="1244"/>
      <c r="AE59" s="1244"/>
      <c r="AF59" s="1244"/>
      <c r="AG59" s="1244"/>
      <c r="AH59" s="1244"/>
      <c r="AI59" s="244"/>
      <c r="AJ59" s="245"/>
      <c r="AK59" s="245"/>
      <c r="AL59" s="245"/>
      <c r="AM59" s="245"/>
      <c r="AN59" s="245"/>
    </row>
    <row r="60" spans="1:40">
      <c r="A60" s="1278"/>
      <c r="B60" s="1278"/>
      <c r="C60" s="1278"/>
      <c r="D60" s="1279"/>
      <c r="E60" s="1278"/>
      <c r="F60" s="1278"/>
      <c r="G60" s="1278"/>
      <c r="H60" s="1278"/>
      <c r="I60" s="1278"/>
      <c r="J60" s="1278"/>
      <c r="K60" s="1278"/>
      <c r="L60" s="1280"/>
      <c r="M60" s="1278"/>
      <c r="N60" s="1278"/>
      <c r="O60" s="1278"/>
      <c r="P60" s="1278"/>
      <c r="Q60" s="1278"/>
      <c r="R60" s="1278"/>
      <c r="S60" s="1278"/>
      <c r="T60" s="1278"/>
      <c r="U60" s="1211" t="e">
        <f t="shared" si="42"/>
        <v>#REF!</v>
      </c>
      <c r="V60" s="1211" t="e">
        <f t="shared" si="42"/>
        <v>#REF!</v>
      </c>
      <c r="W60" s="1211" t="e">
        <f t="shared" si="42"/>
        <v>#REF!</v>
      </c>
      <c r="X60" s="1211" t="e">
        <f t="shared" si="42"/>
        <v>#REF!</v>
      </c>
      <c r="Y60" s="1211" t="e">
        <f t="shared" si="42"/>
        <v>#REF!</v>
      </c>
      <c r="Z60" s="1211" t="e">
        <f t="shared" si="42"/>
        <v>#REF!</v>
      </c>
      <c r="AA60" s="1211" t="e">
        <f t="shared" si="42"/>
        <v>#REF!</v>
      </c>
      <c r="AB60" s="1278"/>
      <c r="AC60" s="1244"/>
      <c r="AD60" s="1244"/>
      <c r="AE60" s="1244"/>
      <c r="AF60" s="1244"/>
      <c r="AG60" s="1244"/>
      <c r="AH60" s="1244"/>
      <c r="AI60" s="244"/>
      <c r="AJ60" s="245"/>
      <c r="AK60" s="245"/>
      <c r="AL60" s="245"/>
      <c r="AM60" s="245"/>
      <c r="AN60" s="245"/>
    </row>
    <row r="61" spans="1:40">
      <c r="A61" s="1278"/>
      <c r="B61" s="1278"/>
      <c r="C61" s="1278"/>
      <c r="D61" s="1279"/>
      <c r="E61" s="1278"/>
      <c r="F61" s="1278"/>
      <c r="G61" s="1278"/>
      <c r="H61" s="1278"/>
      <c r="I61" s="1278"/>
      <c r="J61" s="1278"/>
      <c r="K61" s="1278"/>
      <c r="L61" s="1280"/>
      <c r="M61" s="1278"/>
      <c r="N61" s="1278"/>
      <c r="O61" s="1278"/>
      <c r="P61" s="1278"/>
      <c r="Q61" s="1278"/>
      <c r="R61" s="1278"/>
      <c r="S61" s="1278"/>
      <c r="T61" s="1278"/>
      <c r="U61" s="1211" t="e">
        <f t="shared" ref="U61:AA76" si="43">IF(U60&gt;0,U60,U59)</f>
        <v>#REF!</v>
      </c>
      <c r="V61" s="1211" t="e">
        <f t="shared" si="43"/>
        <v>#REF!</v>
      </c>
      <c r="W61" s="1211" t="e">
        <f t="shared" si="43"/>
        <v>#REF!</v>
      </c>
      <c r="X61" s="1211" t="e">
        <f t="shared" si="43"/>
        <v>#REF!</v>
      </c>
      <c r="Y61" s="1211" t="e">
        <f t="shared" si="43"/>
        <v>#REF!</v>
      </c>
      <c r="Z61" s="1211" t="e">
        <f t="shared" si="43"/>
        <v>#REF!</v>
      </c>
      <c r="AA61" s="1211" t="e">
        <f t="shared" si="43"/>
        <v>#REF!</v>
      </c>
      <c r="AB61" s="1278"/>
      <c r="AC61" s="1244">
        <v>0</v>
      </c>
      <c r="AD61" s="1244">
        <v>0</v>
      </c>
      <c r="AE61" s="1244">
        <v>0</v>
      </c>
      <c r="AF61" s="1244">
        <v>0</v>
      </c>
      <c r="AG61" s="1244">
        <v>0</v>
      </c>
      <c r="AH61" s="1244">
        <v>0</v>
      </c>
      <c r="AI61" s="244"/>
      <c r="AJ61" s="245"/>
      <c r="AK61" s="245"/>
      <c r="AL61" s="245"/>
      <c r="AM61" s="245"/>
      <c r="AN61" s="245"/>
    </row>
    <row r="62" spans="1:40">
      <c r="A62" s="1278"/>
      <c r="B62" s="1278"/>
      <c r="C62" s="1278"/>
      <c r="D62" s="1279"/>
      <c r="E62" s="1278"/>
      <c r="F62" s="1278"/>
      <c r="G62" s="1278"/>
      <c r="H62" s="1278"/>
      <c r="I62" s="1278"/>
      <c r="J62" s="1278"/>
      <c r="K62" s="1278"/>
      <c r="L62" s="1280"/>
      <c r="M62" s="1278"/>
      <c r="N62" s="1278"/>
      <c r="O62" s="1278"/>
      <c r="P62" s="1278"/>
      <c r="Q62" s="1278"/>
      <c r="R62" s="1278"/>
      <c r="S62" s="1278"/>
      <c r="T62" s="1278"/>
      <c r="U62" s="1211" t="e">
        <f t="shared" si="43"/>
        <v>#REF!</v>
      </c>
      <c r="V62" s="1211" t="e">
        <f t="shared" si="43"/>
        <v>#REF!</v>
      </c>
      <c r="W62" s="1211" t="e">
        <f t="shared" si="43"/>
        <v>#REF!</v>
      </c>
      <c r="X62" s="1211" t="e">
        <f t="shared" si="43"/>
        <v>#REF!</v>
      </c>
      <c r="Y62" s="1211" t="e">
        <f t="shared" si="43"/>
        <v>#REF!</v>
      </c>
      <c r="Z62" s="1211" t="e">
        <f t="shared" si="43"/>
        <v>#REF!</v>
      </c>
      <c r="AA62" s="1211" t="e">
        <f t="shared" si="43"/>
        <v>#REF!</v>
      </c>
      <c r="AB62" s="1278"/>
      <c r="AC62" s="1244">
        <v>0</v>
      </c>
      <c r="AD62" s="1244">
        <v>0</v>
      </c>
      <c r="AE62" s="1244">
        <v>0</v>
      </c>
      <c r="AF62" s="1244">
        <v>0</v>
      </c>
      <c r="AG62" s="1244">
        <v>0</v>
      </c>
      <c r="AH62" s="1244">
        <v>0</v>
      </c>
      <c r="AI62" s="244"/>
      <c r="AJ62" s="245"/>
      <c r="AK62" s="245"/>
      <c r="AL62" s="245"/>
      <c r="AM62" s="245"/>
      <c r="AN62" s="245"/>
    </row>
    <row r="63" spans="1:40">
      <c r="A63" s="1278"/>
      <c r="B63" s="1278"/>
      <c r="C63" s="1278"/>
      <c r="D63" s="1279"/>
      <c r="E63" s="1278"/>
      <c r="F63" s="1278"/>
      <c r="G63" s="1278"/>
      <c r="H63" s="1278"/>
      <c r="I63" s="1278"/>
      <c r="J63" s="1278"/>
      <c r="K63" s="1278"/>
      <c r="L63" s="1280"/>
      <c r="M63" s="1278"/>
      <c r="N63" s="1278"/>
      <c r="O63" s="1278"/>
      <c r="P63" s="1278"/>
      <c r="Q63" s="1278"/>
      <c r="R63" s="1278"/>
      <c r="S63" s="1278"/>
      <c r="T63" s="1278"/>
      <c r="U63" s="1211" t="e">
        <f t="shared" si="43"/>
        <v>#REF!</v>
      </c>
      <c r="V63" s="1211" t="e">
        <f t="shared" si="43"/>
        <v>#REF!</v>
      </c>
      <c r="W63" s="1211" t="e">
        <f t="shared" si="43"/>
        <v>#REF!</v>
      </c>
      <c r="X63" s="1211" t="e">
        <f t="shared" si="43"/>
        <v>#REF!</v>
      </c>
      <c r="Y63" s="1211" t="e">
        <f t="shared" si="43"/>
        <v>#REF!</v>
      </c>
      <c r="Z63" s="1211" t="e">
        <f t="shared" si="43"/>
        <v>#REF!</v>
      </c>
      <c r="AA63" s="1211" t="e">
        <f t="shared" si="43"/>
        <v>#REF!</v>
      </c>
      <c r="AB63" s="1278"/>
      <c r="AC63" s="1244">
        <v>0</v>
      </c>
      <c r="AD63" s="1244">
        <v>0</v>
      </c>
      <c r="AE63" s="1244">
        <v>0</v>
      </c>
      <c r="AF63" s="1244">
        <v>0</v>
      </c>
      <c r="AG63" s="1244">
        <v>0</v>
      </c>
      <c r="AH63" s="1244">
        <v>0</v>
      </c>
      <c r="AI63" s="244"/>
      <c r="AJ63" s="245"/>
      <c r="AK63" s="245"/>
      <c r="AL63" s="245"/>
      <c r="AM63" s="245"/>
      <c r="AN63" s="245"/>
    </row>
    <row r="64" spans="1:40">
      <c r="A64" s="1278"/>
      <c r="B64" s="1278"/>
      <c r="C64" s="1278"/>
      <c r="D64" s="1279"/>
      <c r="E64" s="1278"/>
      <c r="F64" s="1278"/>
      <c r="G64" s="1278"/>
      <c r="H64" s="1278"/>
      <c r="I64" s="1278"/>
      <c r="J64" s="1278"/>
      <c r="K64" s="1278"/>
      <c r="L64" s="1280"/>
      <c r="M64" s="1278"/>
      <c r="N64" s="1278"/>
      <c r="O64" s="1278"/>
      <c r="P64" s="1278"/>
      <c r="Q64" s="1278"/>
      <c r="R64" s="1278"/>
      <c r="S64" s="1278"/>
      <c r="T64" s="1278"/>
      <c r="U64" s="1211" t="e">
        <f t="shared" si="43"/>
        <v>#REF!</v>
      </c>
      <c r="V64" s="1211" t="e">
        <f t="shared" si="43"/>
        <v>#REF!</v>
      </c>
      <c r="W64" s="1211" t="e">
        <f t="shared" si="43"/>
        <v>#REF!</v>
      </c>
      <c r="X64" s="1211" t="e">
        <f t="shared" si="43"/>
        <v>#REF!</v>
      </c>
      <c r="Y64" s="1211" t="e">
        <f t="shared" si="43"/>
        <v>#REF!</v>
      </c>
      <c r="Z64" s="1211" t="e">
        <f t="shared" si="43"/>
        <v>#REF!</v>
      </c>
      <c r="AA64" s="1211" t="e">
        <f t="shared" si="43"/>
        <v>#REF!</v>
      </c>
      <c r="AB64" s="1278"/>
      <c r="AC64" s="1244">
        <v>0</v>
      </c>
      <c r="AD64" s="1244">
        <v>0</v>
      </c>
      <c r="AE64" s="1244">
        <v>0</v>
      </c>
      <c r="AF64" s="1244">
        <v>0</v>
      </c>
      <c r="AG64" s="1244">
        <v>0</v>
      </c>
      <c r="AH64" s="1244">
        <v>0</v>
      </c>
      <c r="AI64" s="244"/>
      <c r="AJ64" s="245"/>
      <c r="AK64" s="245"/>
      <c r="AL64" s="245"/>
      <c r="AM64" s="245"/>
      <c r="AN64" s="245"/>
    </row>
    <row r="65" spans="1:40">
      <c r="A65" s="1278"/>
      <c r="B65" s="1278"/>
      <c r="C65" s="1278"/>
      <c r="D65" s="1279"/>
      <c r="E65" s="1278"/>
      <c r="F65" s="1278"/>
      <c r="G65" s="1278"/>
      <c r="H65" s="1278"/>
      <c r="I65" s="1278"/>
      <c r="J65" s="1278"/>
      <c r="K65" s="1278"/>
      <c r="L65" s="1280"/>
      <c r="M65" s="1278"/>
      <c r="N65" s="1278"/>
      <c r="O65" s="1278"/>
      <c r="P65" s="1278"/>
      <c r="Q65" s="1278"/>
      <c r="R65" s="1278"/>
      <c r="S65" s="1278"/>
      <c r="T65" s="1278"/>
      <c r="U65" s="1211" t="e">
        <f t="shared" si="43"/>
        <v>#REF!</v>
      </c>
      <c r="V65" s="1211" t="e">
        <f t="shared" si="43"/>
        <v>#REF!</v>
      </c>
      <c r="W65" s="1211" t="e">
        <f t="shared" si="43"/>
        <v>#REF!</v>
      </c>
      <c r="X65" s="1211" t="e">
        <f t="shared" si="43"/>
        <v>#REF!</v>
      </c>
      <c r="Y65" s="1211" t="e">
        <f t="shared" si="43"/>
        <v>#REF!</v>
      </c>
      <c r="Z65" s="1211" t="e">
        <f t="shared" si="43"/>
        <v>#REF!</v>
      </c>
      <c r="AA65" s="1211" t="e">
        <f t="shared" si="43"/>
        <v>#REF!</v>
      </c>
      <c r="AB65" s="1278"/>
      <c r="AC65" s="1244"/>
      <c r="AD65" s="1244"/>
      <c r="AE65" s="1244"/>
      <c r="AF65" s="1244"/>
      <c r="AG65" s="1244"/>
      <c r="AH65" s="1244"/>
      <c r="AI65" s="244"/>
      <c r="AJ65" s="245"/>
      <c r="AK65" s="245"/>
      <c r="AL65" s="245"/>
      <c r="AM65" s="245"/>
      <c r="AN65" s="245"/>
    </row>
    <row r="66" spans="1:40">
      <c r="A66" s="1278"/>
      <c r="B66" s="1278"/>
      <c r="C66" s="1278"/>
      <c r="D66" s="1279"/>
      <c r="E66" s="1278"/>
      <c r="F66" s="1278"/>
      <c r="G66" s="1278"/>
      <c r="H66" s="1278"/>
      <c r="I66" s="1278"/>
      <c r="J66" s="1278"/>
      <c r="K66" s="1278"/>
      <c r="L66" s="1280"/>
      <c r="M66" s="1278"/>
      <c r="N66" s="1278"/>
      <c r="O66" s="1278"/>
      <c r="P66" s="1278"/>
      <c r="Q66" s="1278"/>
      <c r="R66" s="1278"/>
      <c r="S66" s="1278"/>
      <c r="T66" s="1278"/>
      <c r="U66" s="1211" t="e">
        <f t="shared" si="43"/>
        <v>#REF!</v>
      </c>
      <c r="V66" s="1211" t="e">
        <f t="shared" si="43"/>
        <v>#REF!</v>
      </c>
      <c r="W66" s="1211" t="e">
        <f t="shared" si="43"/>
        <v>#REF!</v>
      </c>
      <c r="X66" s="1211" t="e">
        <f t="shared" si="43"/>
        <v>#REF!</v>
      </c>
      <c r="Y66" s="1211" t="e">
        <f t="shared" si="43"/>
        <v>#REF!</v>
      </c>
      <c r="Z66" s="1211" t="e">
        <f t="shared" si="43"/>
        <v>#REF!</v>
      </c>
      <c r="AA66" s="1211" t="e">
        <f t="shared" si="43"/>
        <v>#REF!</v>
      </c>
      <c r="AB66" s="1278"/>
      <c r="AC66" s="1244">
        <v>0</v>
      </c>
      <c r="AD66" s="1244">
        <v>0</v>
      </c>
      <c r="AE66" s="1244">
        <v>0</v>
      </c>
      <c r="AF66" s="1244">
        <v>0</v>
      </c>
      <c r="AG66" s="1244">
        <v>0</v>
      </c>
      <c r="AH66" s="1244">
        <v>0</v>
      </c>
      <c r="AI66" s="244"/>
      <c r="AJ66" s="245"/>
      <c r="AK66" s="245"/>
      <c r="AL66" s="245"/>
      <c r="AM66" s="245"/>
      <c r="AN66" s="245"/>
    </row>
    <row r="67" spans="1:40">
      <c r="A67" s="1278"/>
      <c r="B67" s="1278"/>
      <c r="C67" s="1278"/>
      <c r="D67" s="1279"/>
      <c r="E67" s="1278"/>
      <c r="F67" s="1278"/>
      <c r="G67" s="1278"/>
      <c r="H67" s="1278"/>
      <c r="I67" s="1278"/>
      <c r="J67" s="1278"/>
      <c r="K67" s="1278"/>
      <c r="L67" s="1280"/>
      <c r="M67" s="1278"/>
      <c r="N67" s="1278"/>
      <c r="O67" s="1278"/>
      <c r="P67" s="1278"/>
      <c r="Q67" s="1278"/>
      <c r="R67" s="1278"/>
      <c r="S67" s="1278"/>
      <c r="T67" s="1278"/>
      <c r="U67" s="1211" t="e">
        <f t="shared" si="43"/>
        <v>#REF!</v>
      </c>
      <c r="V67" s="1211" t="e">
        <f t="shared" si="43"/>
        <v>#REF!</v>
      </c>
      <c r="W67" s="1211" t="e">
        <f t="shared" si="43"/>
        <v>#REF!</v>
      </c>
      <c r="X67" s="1211" t="e">
        <f t="shared" si="43"/>
        <v>#REF!</v>
      </c>
      <c r="Y67" s="1211" t="e">
        <f t="shared" si="43"/>
        <v>#REF!</v>
      </c>
      <c r="Z67" s="1211" t="e">
        <f t="shared" si="43"/>
        <v>#REF!</v>
      </c>
      <c r="AA67" s="1211" t="e">
        <f t="shared" si="43"/>
        <v>#REF!</v>
      </c>
      <c r="AB67" s="1278"/>
      <c r="AC67" s="1244">
        <v>0</v>
      </c>
      <c r="AD67" s="1244">
        <v>0</v>
      </c>
      <c r="AE67" s="1244">
        <v>0</v>
      </c>
      <c r="AF67" s="1244">
        <v>0</v>
      </c>
      <c r="AG67" s="1244">
        <v>0</v>
      </c>
      <c r="AH67" s="1244">
        <v>0</v>
      </c>
      <c r="AI67" s="244"/>
      <c r="AJ67" s="245"/>
      <c r="AK67" s="245"/>
      <c r="AL67" s="245"/>
      <c r="AM67" s="245"/>
      <c r="AN67" s="245"/>
    </row>
    <row r="68" spans="1:40">
      <c r="A68" s="1278"/>
      <c r="B68" s="1278"/>
      <c r="C68" s="1278"/>
      <c r="D68" s="1279"/>
      <c r="E68" s="1278"/>
      <c r="F68" s="1278"/>
      <c r="G68" s="1278"/>
      <c r="H68" s="1278"/>
      <c r="I68" s="1278"/>
      <c r="J68" s="1278"/>
      <c r="K68" s="1278"/>
      <c r="L68" s="1280"/>
      <c r="M68" s="1278"/>
      <c r="N68" s="1278"/>
      <c r="O68" s="1278"/>
      <c r="P68" s="1278"/>
      <c r="Q68" s="1278"/>
      <c r="R68" s="1278"/>
      <c r="S68" s="1278"/>
      <c r="T68" s="1278"/>
      <c r="U68" s="1211" t="e">
        <f t="shared" si="43"/>
        <v>#REF!</v>
      </c>
      <c r="V68" s="1211" t="e">
        <f t="shared" si="43"/>
        <v>#REF!</v>
      </c>
      <c r="W68" s="1211" t="e">
        <f t="shared" si="43"/>
        <v>#REF!</v>
      </c>
      <c r="X68" s="1211" t="e">
        <f t="shared" si="43"/>
        <v>#REF!</v>
      </c>
      <c r="Y68" s="1211" t="e">
        <f t="shared" si="43"/>
        <v>#REF!</v>
      </c>
      <c r="Z68" s="1211" t="e">
        <f t="shared" si="43"/>
        <v>#REF!</v>
      </c>
      <c r="AA68" s="1211" t="e">
        <f t="shared" si="43"/>
        <v>#REF!</v>
      </c>
      <c r="AB68" s="1278"/>
      <c r="AC68" s="1244"/>
      <c r="AD68" s="1244"/>
      <c r="AE68" s="1244"/>
      <c r="AF68" s="1244"/>
      <c r="AG68" s="1244"/>
      <c r="AH68" s="1244"/>
      <c r="AI68" s="244"/>
      <c r="AJ68" s="245"/>
      <c r="AK68" s="245"/>
      <c r="AL68" s="245"/>
      <c r="AM68" s="245"/>
      <c r="AN68" s="245"/>
    </row>
    <row r="69" spans="1:40">
      <c r="A69" s="1278"/>
      <c r="B69" s="1278"/>
      <c r="C69" s="1278"/>
      <c r="D69" s="1279"/>
      <c r="E69" s="1278"/>
      <c r="F69" s="1278"/>
      <c r="G69" s="1278"/>
      <c r="H69" s="1278"/>
      <c r="I69" s="1278"/>
      <c r="J69" s="1278"/>
      <c r="K69" s="1278"/>
      <c r="L69" s="1280"/>
      <c r="M69" s="1278"/>
      <c r="N69" s="1278"/>
      <c r="O69" s="1278"/>
      <c r="P69" s="1278"/>
      <c r="Q69" s="1278"/>
      <c r="R69" s="1278"/>
      <c r="S69" s="1278"/>
      <c r="T69" s="1278"/>
      <c r="U69" s="1211" t="e">
        <f t="shared" si="43"/>
        <v>#REF!</v>
      </c>
      <c r="V69" s="1211" t="e">
        <f t="shared" si="43"/>
        <v>#REF!</v>
      </c>
      <c r="W69" s="1211" t="e">
        <f t="shared" si="43"/>
        <v>#REF!</v>
      </c>
      <c r="X69" s="1211" t="e">
        <f t="shared" si="43"/>
        <v>#REF!</v>
      </c>
      <c r="Y69" s="1211" t="e">
        <f t="shared" si="43"/>
        <v>#REF!</v>
      </c>
      <c r="Z69" s="1211" t="e">
        <f t="shared" si="43"/>
        <v>#REF!</v>
      </c>
      <c r="AA69" s="1211" t="e">
        <f t="shared" si="43"/>
        <v>#REF!</v>
      </c>
      <c r="AB69" s="1278"/>
      <c r="AC69" s="1244"/>
      <c r="AD69" s="1244"/>
      <c r="AE69" s="1244"/>
      <c r="AF69" s="1244"/>
      <c r="AG69" s="1244"/>
      <c r="AH69" s="1244"/>
      <c r="AI69" s="244"/>
      <c r="AJ69" s="245"/>
      <c r="AK69" s="245"/>
      <c r="AL69" s="245"/>
      <c r="AM69" s="245"/>
      <c r="AN69" s="245"/>
    </row>
    <row r="70" spans="1:40">
      <c r="A70" s="1278"/>
      <c r="B70" s="1278"/>
      <c r="C70" s="1278"/>
      <c r="D70" s="1279"/>
      <c r="E70" s="1278"/>
      <c r="F70" s="1278"/>
      <c r="G70" s="1278"/>
      <c r="H70" s="1278"/>
      <c r="I70" s="1278"/>
      <c r="J70" s="1278"/>
      <c r="K70" s="1278"/>
      <c r="L70" s="1280"/>
      <c r="M70" s="1278"/>
      <c r="N70" s="1278"/>
      <c r="O70" s="1278"/>
      <c r="P70" s="1278"/>
      <c r="Q70" s="1278"/>
      <c r="R70" s="1278"/>
      <c r="S70" s="1278"/>
      <c r="T70" s="1278"/>
      <c r="U70" s="1211" t="e">
        <f t="shared" si="43"/>
        <v>#REF!</v>
      </c>
      <c r="V70" s="1211" t="e">
        <f t="shared" si="43"/>
        <v>#REF!</v>
      </c>
      <c r="W70" s="1211" t="e">
        <f t="shared" si="43"/>
        <v>#REF!</v>
      </c>
      <c r="X70" s="1211" t="e">
        <f t="shared" si="43"/>
        <v>#REF!</v>
      </c>
      <c r="Y70" s="1211" t="e">
        <f t="shared" si="43"/>
        <v>#REF!</v>
      </c>
      <c r="Z70" s="1211" t="e">
        <f t="shared" si="43"/>
        <v>#REF!</v>
      </c>
      <c r="AA70" s="1211" t="e">
        <f t="shared" si="43"/>
        <v>#REF!</v>
      </c>
      <c r="AB70" s="1278"/>
      <c r="AC70" s="1244">
        <v>0</v>
      </c>
      <c r="AD70" s="1244">
        <v>0</v>
      </c>
      <c r="AE70" s="1244">
        <v>0</v>
      </c>
      <c r="AF70" s="1244">
        <v>0</v>
      </c>
      <c r="AG70" s="1244">
        <v>0</v>
      </c>
      <c r="AH70" s="1244">
        <v>0</v>
      </c>
      <c r="AI70" s="244"/>
      <c r="AJ70" s="245"/>
      <c r="AK70" s="245"/>
      <c r="AL70" s="245"/>
      <c r="AM70" s="245"/>
      <c r="AN70" s="245"/>
    </row>
    <row r="71" spans="1:40">
      <c r="A71" s="1278"/>
      <c r="B71" s="1278"/>
      <c r="C71" s="1278"/>
      <c r="D71" s="1279"/>
      <c r="E71" s="1278"/>
      <c r="F71" s="1278"/>
      <c r="G71" s="1278"/>
      <c r="H71" s="1278"/>
      <c r="I71" s="1278"/>
      <c r="J71" s="1278"/>
      <c r="K71" s="1278"/>
      <c r="L71" s="1280"/>
      <c r="M71" s="1278"/>
      <c r="N71" s="1278"/>
      <c r="O71" s="1278"/>
      <c r="P71" s="1278"/>
      <c r="Q71" s="1278"/>
      <c r="R71" s="1278"/>
      <c r="S71" s="1278"/>
      <c r="T71" s="1278"/>
      <c r="U71" s="1211" t="e">
        <f t="shared" si="43"/>
        <v>#REF!</v>
      </c>
      <c r="V71" s="1211" t="e">
        <f t="shared" si="43"/>
        <v>#REF!</v>
      </c>
      <c r="W71" s="1211" t="e">
        <f t="shared" si="43"/>
        <v>#REF!</v>
      </c>
      <c r="X71" s="1211" t="e">
        <f t="shared" si="43"/>
        <v>#REF!</v>
      </c>
      <c r="Y71" s="1211" t="e">
        <f t="shared" si="43"/>
        <v>#REF!</v>
      </c>
      <c r="Z71" s="1211" t="e">
        <f t="shared" si="43"/>
        <v>#REF!</v>
      </c>
      <c r="AA71" s="1211" t="e">
        <f t="shared" si="43"/>
        <v>#REF!</v>
      </c>
      <c r="AB71" s="1278"/>
      <c r="AC71" s="1244">
        <v>0</v>
      </c>
      <c r="AD71" s="1244">
        <v>0</v>
      </c>
      <c r="AE71" s="1244">
        <v>0</v>
      </c>
      <c r="AF71" s="1244">
        <v>0</v>
      </c>
      <c r="AG71" s="1244">
        <v>0</v>
      </c>
      <c r="AH71" s="1244">
        <v>0</v>
      </c>
      <c r="AI71" s="244"/>
      <c r="AJ71" s="245"/>
      <c r="AK71" s="245"/>
      <c r="AL71" s="245"/>
      <c r="AM71" s="245"/>
      <c r="AN71" s="245"/>
    </row>
    <row r="72" spans="1:40">
      <c r="A72" s="1278"/>
      <c r="B72" s="1278"/>
      <c r="C72" s="1278"/>
      <c r="D72" s="1279"/>
      <c r="E72" s="1278"/>
      <c r="F72" s="1278"/>
      <c r="G72" s="1278"/>
      <c r="H72" s="1278"/>
      <c r="I72" s="1278"/>
      <c r="J72" s="1278"/>
      <c r="K72" s="1278"/>
      <c r="L72" s="1280"/>
      <c r="M72" s="1278"/>
      <c r="N72" s="1278"/>
      <c r="O72" s="1278"/>
      <c r="P72" s="1278"/>
      <c r="Q72" s="1278"/>
      <c r="R72" s="1278"/>
      <c r="S72" s="1278"/>
      <c r="T72" s="1278"/>
      <c r="U72" s="1211" t="e">
        <f t="shared" si="43"/>
        <v>#REF!</v>
      </c>
      <c r="V72" s="1211" t="e">
        <f t="shared" si="43"/>
        <v>#REF!</v>
      </c>
      <c r="W72" s="1211" t="e">
        <f t="shared" si="43"/>
        <v>#REF!</v>
      </c>
      <c r="X72" s="1211" t="e">
        <f t="shared" si="43"/>
        <v>#REF!</v>
      </c>
      <c r="Y72" s="1211" t="e">
        <f t="shared" si="43"/>
        <v>#REF!</v>
      </c>
      <c r="Z72" s="1211" t="e">
        <f t="shared" si="43"/>
        <v>#REF!</v>
      </c>
      <c r="AA72" s="1211" t="e">
        <f t="shared" si="43"/>
        <v>#REF!</v>
      </c>
      <c r="AB72" s="1278"/>
      <c r="AC72" s="1244">
        <v>0</v>
      </c>
      <c r="AD72" s="1244">
        <v>0</v>
      </c>
      <c r="AE72" s="1244">
        <v>0</v>
      </c>
      <c r="AF72" s="1244">
        <v>0</v>
      </c>
      <c r="AG72" s="1244">
        <v>0</v>
      </c>
      <c r="AH72" s="1244">
        <v>0</v>
      </c>
      <c r="AI72" s="244"/>
      <c r="AJ72" s="245"/>
      <c r="AK72" s="245"/>
      <c r="AL72" s="245"/>
      <c r="AM72" s="245"/>
      <c r="AN72" s="245"/>
    </row>
    <row r="73" spans="1:40">
      <c r="A73" s="1278"/>
      <c r="B73" s="1278"/>
      <c r="C73" s="1278"/>
      <c r="D73" s="1279"/>
      <c r="E73" s="1278"/>
      <c r="F73" s="1278"/>
      <c r="G73" s="1278"/>
      <c r="H73" s="1278"/>
      <c r="I73" s="1278"/>
      <c r="J73" s="1278"/>
      <c r="K73" s="1278"/>
      <c r="L73" s="1280"/>
      <c r="M73" s="1278"/>
      <c r="N73" s="1278"/>
      <c r="O73" s="1278"/>
      <c r="P73" s="1278"/>
      <c r="Q73" s="1278"/>
      <c r="R73" s="1278"/>
      <c r="S73" s="1278"/>
      <c r="T73" s="1278"/>
      <c r="U73" s="1211" t="e">
        <f t="shared" si="43"/>
        <v>#REF!</v>
      </c>
      <c r="V73" s="1211" t="e">
        <f t="shared" si="43"/>
        <v>#REF!</v>
      </c>
      <c r="W73" s="1211" t="e">
        <f t="shared" si="43"/>
        <v>#REF!</v>
      </c>
      <c r="X73" s="1211" t="e">
        <f t="shared" si="43"/>
        <v>#REF!</v>
      </c>
      <c r="Y73" s="1211" t="e">
        <f t="shared" si="43"/>
        <v>#REF!</v>
      </c>
      <c r="Z73" s="1211" t="e">
        <f t="shared" si="43"/>
        <v>#REF!</v>
      </c>
      <c r="AA73" s="1211" t="e">
        <f t="shared" si="43"/>
        <v>#REF!</v>
      </c>
      <c r="AB73" s="1278"/>
      <c r="AC73" s="1244"/>
      <c r="AD73" s="1244"/>
      <c r="AE73" s="1244"/>
      <c r="AF73" s="1244"/>
      <c r="AG73" s="1244"/>
      <c r="AH73" s="1244"/>
      <c r="AI73" s="244"/>
      <c r="AJ73" s="245"/>
      <c r="AK73" s="245"/>
      <c r="AL73" s="245"/>
      <c r="AM73" s="245"/>
      <c r="AN73" s="245"/>
    </row>
    <row r="74" spans="1:40">
      <c r="A74" s="1278"/>
      <c r="B74" s="1278"/>
      <c r="C74" s="1278"/>
      <c r="D74" s="1279"/>
      <c r="E74" s="1278"/>
      <c r="F74" s="1278"/>
      <c r="G74" s="1278"/>
      <c r="H74" s="1278"/>
      <c r="I74" s="1278"/>
      <c r="J74" s="1278"/>
      <c r="K74" s="1278"/>
      <c r="L74" s="1280"/>
      <c r="M74" s="1278"/>
      <c r="N74" s="1278"/>
      <c r="O74" s="1278"/>
      <c r="P74" s="1278"/>
      <c r="Q74" s="1278"/>
      <c r="R74" s="1278"/>
      <c r="S74" s="1278"/>
      <c r="T74" s="1278"/>
      <c r="U74" s="1211" t="e">
        <f t="shared" si="43"/>
        <v>#REF!</v>
      </c>
      <c r="V74" s="1211" t="e">
        <f t="shared" si="43"/>
        <v>#REF!</v>
      </c>
      <c r="W74" s="1211" t="e">
        <f t="shared" si="43"/>
        <v>#REF!</v>
      </c>
      <c r="X74" s="1211" t="e">
        <f t="shared" si="43"/>
        <v>#REF!</v>
      </c>
      <c r="Y74" s="1211" t="e">
        <f t="shared" si="43"/>
        <v>#REF!</v>
      </c>
      <c r="Z74" s="1211" t="e">
        <f t="shared" si="43"/>
        <v>#REF!</v>
      </c>
      <c r="AA74" s="1211" t="e">
        <f t="shared" si="43"/>
        <v>#REF!</v>
      </c>
      <c r="AB74" s="1278"/>
      <c r="AC74" s="1244"/>
      <c r="AD74" s="1244"/>
      <c r="AE74" s="1244"/>
      <c r="AF74" s="1244"/>
      <c r="AG74" s="1244"/>
      <c r="AH74" s="1244"/>
      <c r="AI74" s="244"/>
      <c r="AJ74" s="245"/>
      <c r="AK74" s="245"/>
      <c r="AL74" s="245"/>
      <c r="AM74" s="245"/>
      <c r="AN74" s="245"/>
    </row>
    <row r="75" spans="1:40">
      <c r="A75" s="1278"/>
      <c r="B75" s="1278"/>
      <c r="C75" s="1278"/>
      <c r="D75" s="1279"/>
      <c r="E75" s="1278"/>
      <c r="F75" s="1278"/>
      <c r="G75" s="1278"/>
      <c r="H75" s="1278"/>
      <c r="I75" s="1278"/>
      <c r="J75" s="1278"/>
      <c r="K75" s="1278"/>
      <c r="L75" s="1280"/>
      <c r="M75" s="1278"/>
      <c r="N75" s="1278"/>
      <c r="O75" s="1278"/>
      <c r="P75" s="1278"/>
      <c r="Q75" s="1278"/>
      <c r="R75" s="1278"/>
      <c r="S75" s="1278"/>
      <c r="T75" s="1278"/>
      <c r="U75" s="1211" t="e">
        <f t="shared" si="43"/>
        <v>#REF!</v>
      </c>
      <c r="V75" s="1211" t="e">
        <f t="shared" si="43"/>
        <v>#REF!</v>
      </c>
      <c r="W75" s="1211" t="e">
        <f t="shared" si="43"/>
        <v>#REF!</v>
      </c>
      <c r="X75" s="1211" t="e">
        <f t="shared" si="43"/>
        <v>#REF!</v>
      </c>
      <c r="Y75" s="1211" t="e">
        <f t="shared" si="43"/>
        <v>#REF!</v>
      </c>
      <c r="Z75" s="1211" t="e">
        <f t="shared" si="43"/>
        <v>#REF!</v>
      </c>
      <c r="AA75" s="1211" t="e">
        <f t="shared" si="43"/>
        <v>#REF!</v>
      </c>
      <c r="AB75" s="1278"/>
      <c r="AC75" s="1244">
        <v>0</v>
      </c>
      <c r="AD75" s="1244">
        <v>0</v>
      </c>
      <c r="AE75" s="1244">
        <v>0</v>
      </c>
      <c r="AF75" s="1244">
        <v>0</v>
      </c>
      <c r="AG75" s="1244">
        <v>0</v>
      </c>
      <c r="AH75" s="1244">
        <v>0</v>
      </c>
      <c r="AI75" s="244"/>
      <c r="AJ75" s="245"/>
      <c r="AK75" s="245"/>
      <c r="AL75" s="245"/>
      <c r="AM75" s="245"/>
      <c r="AN75" s="245"/>
    </row>
    <row r="76" spans="1:40">
      <c r="A76" s="1278"/>
      <c r="B76" s="1278"/>
      <c r="C76" s="1278"/>
      <c r="D76" s="1279"/>
      <c r="E76" s="1278"/>
      <c r="F76" s="1278"/>
      <c r="G76" s="1278"/>
      <c r="H76" s="1278"/>
      <c r="I76" s="1278"/>
      <c r="J76" s="1278"/>
      <c r="K76" s="1278"/>
      <c r="L76" s="1280"/>
      <c r="M76" s="1278"/>
      <c r="N76" s="1278"/>
      <c r="O76" s="1278"/>
      <c r="P76" s="1278"/>
      <c r="Q76" s="1278"/>
      <c r="R76" s="1278"/>
      <c r="S76" s="1278"/>
      <c r="T76" s="1278"/>
      <c r="U76" s="1211" t="e">
        <f t="shared" si="43"/>
        <v>#REF!</v>
      </c>
      <c r="V76" s="1211" t="e">
        <f t="shared" si="43"/>
        <v>#REF!</v>
      </c>
      <c r="W76" s="1211" t="e">
        <f t="shared" si="43"/>
        <v>#REF!</v>
      </c>
      <c r="X76" s="1211" t="e">
        <f t="shared" si="43"/>
        <v>#REF!</v>
      </c>
      <c r="Y76" s="1211" t="e">
        <f t="shared" si="43"/>
        <v>#REF!</v>
      </c>
      <c r="Z76" s="1211" t="e">
        <f t="shared" si="43"/>
        <v>#REF!</v>
      </c>
      <c r="AA76" s="1211" t="e">
        <f t="shared" si="43"/>
        <v>#REF!</v>
      </c>
      <c r="AB76" s="1278"/>
      <c r="AC76" s="1244">
        <v>0</v>
      </c>
      <c r="AD76" s="1244">
        <v>0</v>
      </c>
      <c r="AE76" s="1244">
        <v>0</v>
      </c>
      <c r="AF76" s="1244">
        <v>0</v>
      </c>
      <c r="AG76" s="1244">
        <v>0</v>
      </c>
      <c r="AH76" s="1244">
        <v>0</v>
      </c>
      <c r="AI76" s="244"/>
      <c r="AJ76" s="245"/>
      <c r="AK76" s="245"/>
      <c r="AL76" s="245"/>
      <c r="AM76" s="245"/>
      <c r="AN76" s="245"/>
    </row>
    <row r="77" spans="1:40">
      <c r="A77" s="1278"/>
      <c r="B77" s="1278"/>
      <c r="C77" s="1278"/>
      <c r="D77" s="1279"/>
      <c r="E77" s="1278"/>
      <c r="F77" s="1278"/>
      <c r="G77" s="1278"/>
      <c r="H77" s="1278"/>
      <c r="I77" s="1278"/>
      <c r="J77" s="1278"/>
      <c r="K77" s="1278"/>
      <c r="L77" s="1280"/>
      <c r="M77" s="1278"/>
      <c r="N77" s="1278"/>
      <c r="O77" s="1278"/>
      <c r="P77" s="1278"/>
      <c r="Q77" s="1278"/>
      <c r="R77" s="1278"/>
      <c r="S77" s="1278"/>
      <c r="T77" s="1278"/>
      <c r="U77" s="1211" t="e">
        <f t="shared" ref="U77:AA83" si="44">IF(U76&gt;0,U76,U75)</f>
        <v>#REF!</v>
      </c>
      <c r="V77" s="1211" t="e">
        <f t="shared" si="44"/>
        <v>#REF!</v>
      </c>
      <c r="W77" s="1211" t="e">
        <f t="shared" si="44"/>
        <v>#REF!</v>
      </c>
      <c r="X77" s="1211" t="e">
        <f t="shared" si="44"/>
        <v>#REF!</v>
      </c>
      <c r="Y77" s="1211" t="e">
        <f t="shared" si="44"/>
        <v>#REF!</v>
      </c>
      <c r="Z77" s="1211" t="e">
        <f t="shared" si="44"/>
        <v>#REF!</v>
      </c>
      <c r="AA77" s="1211" t="e">
        <f t="shared" si="44"/>
        <v>#REF!</v>
      </c>
      <c r="AB77" s="1278"/>
      <c r="AC77" s="1244">
        <v>0</v>
      </c>
      <c r="AD77" s="1244">
        <v>0</v>
      </c>
      <c r="AE77" s="1244">
        <v>0</v>
      </c>
      <c r="AF77" s="1244">
        <v>0</v>
      </c>
      <c r="AG77" s="1244">
        <v>0</v>
      </c>
      <c r="AH77" s="1244">
        <v>0</v>
      </c>
      <c r="AI77" s="244"/>
      <c r="AJ77" s="245"/>
      <c r="AK77" s="245"/>
      <c r="AL77" s="245"/>
      <c r="AM77" s="245"/>
      <c r="AN77" s="245"/>
    </row>
    <row r="78" spans="1:40">
      <c r="A78" s="1278"/>
      <c r="B78" s="1278"/>
      <c r="C78" s="1278"/>
      <c r="D78" s="1279"/>
      <c r="E78" s="1278"/>
      <c r="F78" s="1278"/>
      <c r="G78" s="1278"/>
      <c r="H78" s="1278"/>
      <c r="I78" s="1278"/>
      <c r="J78" s="1278"/>
      <c r="K78" s="1278"/>
      <c r="L78" s="1280"/>
      <c r="M78" s="1278"/>
      <c r="N78" s="1278"/>
      <c r="O78" s="1278"/>
      <c r="P78" s="1278"/>
      <c r="Q78" s="1278"/>
      <c r="R78" s="1278"/>
      <c r="S78" s="1278"/>
      <c r="T78" s="1278"/>
      <c r="U78" s="1211" t="e">
        <f t="shared" si="44"/>
        <v>#REF!</v>
      </c>
      <c r="V78" s="1211" t="e">
        <f t="shared" si="44"/>
        <v>#REF!</v>
      </c>
      <c r="W78" s="1211" t="e">
        <f t="shared" si="44"/>
        <v>#REF!</v>
      </c>
      <c r="X78" s="1211" t="e">
        <f t="shared" si="44"/>
        <v>#REF!</v>
      </c>
      <c r="Y78" s="1211" t="e">
        <f t="shared" si="44"/>
        <v>#REF!</v>
      </c>
      <c r="Z78" s="1211" t="e">
        <f t="shared" si="44"/>
        <v>#REF!</v>
      </c>
      <c r="AA78" s="1211" t="e">
        <f t="shared" si="44"/>
        <v>#REF!</v>
      </c>
      <c r="AB78" s="1278"/>
      <c r="AC78" s="1244"/>
      <c r="AD78" s="1244"/>
      <c r="AE78" s="1244"/>
      <c r="AF78" s="1244"/>
      <c r="AG78" s="1244"/>
      <c r="AH78" s="1244"/>
      <c r="AI78" s="244"/>
      <c r="AJ78" s="245"/>
      <c r="AK78" s="245"/>
      <c r="AL78" s="245"/>
      <c r="AM78" s="245"/>
      <c r="AN78" s="245"/>
    </row>
    <row r="79" spans="1:40">
      <c r="A79" s="1278"/>
      <c r="B79" s="1278"/>
      <c r="C79" s="1278"/>
      <c r="D79" s="1279"/>
      <c r="E79" s="1278"/>
      <c r="F79" s="1278"/>
      <c r="G79" s="1278"/>
      <c r="H79" s="1278"/>
      <c r="I79" s="1278"/>
      <c r="J79" s="1278"/>
      <c r="K79" s="1278"/>
      <c r="L79" s="1280"/>
      <c r="M79" s="1278"/>
      <c r="N79" s="1278"/>
      <c r="O79" s="1278"/>
      <c r="P79" s="1278"/>
      <c r="Q79" s="1278"/>
      <c r="R79" s="1278"/>
      <c r="S79" s="1278"/>
      <c r="T79" s="1278"/>
      <c r="U79" s="1211" t="e">
        <f t="shared" si="44"/>
        <v>#REF!</v>
      </c>
      <c r="V79" s="1211" t="e">
        <f t="shared" si="44"/>
        <v>#REF!</v>
      </c>
      <c r="W79" s="1211" t="e">
        <f t="shared" si="44"/>
        <v>#REF!</v>
      </c>
      <c r="X79" s="1211" t="e">
        <f t="shared" si="44"/>
        <v>#REF!</v>
      </c>
      <c r="Y79" s="1211" t="e">
        <f t="shared" si="44"/>
        <v>#REF!</v>
      </c>
      <c r="Z79" s="1211" t="e">
        <f t="shared" si="44"/>
        <v>#REF!</v>
      </c>
      <c r="AA79" s="1211" t="e">
        <f t="shared" si="44"/>
        <v>#REF!</v>
      </c>
      <c r="AB79" s="1278"/>
      <c r="AC79" s="1244"/>
      <c r="AD79" s="1244"/>
      <c r="AE79" s="1244"/>
      <c r="AF79" s="1244"/>
      <c r="AG79" s="1244"/>
      <c r="AH79" s="1244"/>
      <c r="AI79" s="244"/>
      <c r="AJ79" s="245"/>
      <c r="AK79" s="245"/>
      <c r="AL79" s="245"/>
      <c r="AM79" s="245"/>
      <c r="AN79" s="245"/>
    </row>
    <row r="80" spans="1:40">
      <c r="A80" s="1278"/>
      <c r="B80" s="1278"/>
      <c r="C80" s="1278"/>
      <c r="D80" s="1279"/>
      <c r="E80" s="1278"/>
      <c r="F80" s="1278"/>
      <c r="G80" s="1278"/>
      <c r="H80" s="1278"/>
      <c r="I80" s="1278"/>
      <c r="J80" s="1278"/>
      <c r="K80" s="1278"/>
      <c r="L80" s="1280"/>
      <c r="M80" s="1278"/>
      <c r="N80" s="1278"/>
      <c r="O80" s="1278"/>
      <c r="P80" s="1278"/>
      <c r="Q80" s="1278"/>
      <c r="R80" s="1278"/>
      <c r="S80" s="1278"/>
      <c r="T80" s="1278"/>
      <c r="U80" s="1211" t="e">
        <f t="shared" si="44"/>
        <v>#REF!</v>
      </c>
      <c r="V80" s="1211" t="e">
        <f t="shared" si="44"/>
        <v>#REF!</v>
      </c>
      <c r="W80" s="1211" t="e">
        <f t="shared" si="44"/>
        <v>#REF!</v>
      </c>
      <c r="X80" s="1211" t="e">
        <f t="shared" si="44"/>
        <v>#REF!</v>
      </c>
      <c r="Y80" s="1211" t="e">
        <f t="shared" si="44"/>
        <v>#REF!</v>
      </c>
      <c r="Z80" s="1211" t="e">
        <f t="shared" si="44"/>
        <v>#REF!</v>
      </c>
      <c r="AA80" s="1211" t="e">
        <f t="shared" si="44"/>
        <v>#REF!</v>
      </c>
      <c r="AB80" s="1278"/>
      <c r="AC80" s="1244">
        <v>0</v>
      </c>
      <c r="AD80" s="1244">
        <v>0</v>
      </c>
      <c r="AE80" s="1244">
        <v>0</v>
      </c>
      <c r="AF80" s="1244">
        <v>0</v>
      </c>
      <c r="AG80" s="1244">
        <v>0</v>
      </c>
      <c r="AH80" s="1244">
        <v>0</v>
      </c>
      <c r="AI80" s="244"/>
      <c r="AJ80" s="245"/>
      <c r="AK80" s="245"/>
      <c r="AL80" s="245"/>
      <c r="AM80" s="245"/>
      <c r="AN80" s="245"/>
    </row>
    <row r="81" spans="1:40">
      <c r="A81" s="1278"/>
      <c r="B81" s="1278"/>
      <c r="C81" s="1278"/>
      <c r="D81" s="1279"/>
      <c r="E81" s="1278"/>
      <c r="F81" s="1278"/>
      <c r="G81" s="1278"/>
      <c r="H81" s="1278"/>
      <c r="I81" s="1278"/>
      <c r="J81" s="1278"/>
      <c r="K81" s="1278"/>
      <c r="L81" s="1280"/>
      <c r="M81" s="1278"/>
      <c r="N81" s="1278"/>
      <c r="O81" s="1278"/>
      <c r="P81" s="1278"/>
      <c r="Q81" s="1278"/>
      <c r="R81" s="1278"/>
      <c r="S81" s="1278"/>
      <c r="T81" s="1278"/>
      <c r="U81" s="1211" t="e">
        <f t="shared" si="44"/>
        <v>#REF!</v>
      </c>
      <c r="V81" s="1211" t="e">
        <f t="shared" si="44"/>
        <v>#REF!</v>
      </c>
      <c r="W81" s="1211" t="e">
        <f t="shared" si="44"/>
        <v>#REF!</v>
      </c>
      <c r="X81" s="1211" t="e">
        <f t="shared" si="44"/>
        <v>#REF!</v>
      </c>
      <c r="Y81" s="1211" t="e">
        <f t="shared" si="44"/>
        <v>#REF!</v>
      </c>
      <c r="Z81" s="1211" t="e">
        <f t="shared" si="44"/>
        <v>#REF!</v>
      </c>
      <c r="AA81" s="1211" t="e">
        <f t="shared" si="44"/>
        <v>#REF!</v>
      </c>
      <c r="AB81" s="1278"/>
      <c r="AC81" s="1244">
        <v>0</v>
      </c>
      <c r="AD81" s="1244">
        <v>0</v>
      </c>
      <c r="AE81" s="1244">
        <v>0</v>
      </c>
      <c r="AF81" s="1244">
        <v>0</v>
      </c>
      <c r="AG81" s="1244">
        <v>0</v>
      </c>
      <c r="AH81" s="1244">
        <v>0</v>
      </c>
      <c r="AI81" s="244"/>
      <c r="AJ81" s="245"/>
      <c r="AK81" s="245"/>
      <c r="AL81" s="245"/>
      <c r="AM81" s="245"/>
      <c r="AN81" s="245"/>
    </row>
    <row r="82" spans="1:40">
      <c r="A82" s="1278"/>
      <c r="B82" s="1278"/>
      <c r="C82" s="1278"/>
      <c r="D82" s="1279"/>
      <c r="E82" s="1278"/>
      <c r="F82" s="1278"/>
      <c r="G82" s="1278"/>
      <c r="H82" s="1278"/>
      <c r="I82" s="1278"/>
      <c r="J82" s="1278"/>
      <c r="K82" s="1278"/>
      <c r="L82" s="1280"/>
      <c r="M82" s="1278"/>
      <c r="N82" s="1278"/>
      <c r="O82" s="1278"/>
      <c r="P82" s="1278"/>
      <c r="Q82" s="1278"/>
      <c r="R82" s="1278"/>
      <c r="S82" s="1278"/>
      <c r="T82" s="1278"/>
      <c r="U82" s="1211" t="e">
        <f t="shared" si="44"/>
        <v>#REF!</v>
      </c>
      <c r="V82" s="1211" t="e">
        <f t="shared" si="44"/>
        <v>#REF!</v>
      </c>
      <c r="W82" s="1211" t="e">
        <f t="shared" si="44"/>
        <v>#REF!</v>
      </c>
      <c r="X82" s="1211" t="e">
        <f t="shared" si="44"/>
        <v>#REF!</v>
      </c>
      <c r="Y82" s="1211" t="e">
        <f t="shared" si="44"/>
        <v>#REF!</v>
      </c>
      <c r="Z82" s="1211" t="e">
        <f t="shared" si="44"/>
        <v>#REF!</v>
      </c>
      <c r="AA82" s="1211" t="e">
        <f t="shared" si="44"/>
        <v>#REF!</v>
      </c>
      <c r="AB82" s="1278"/>
      <c r="AC82" s="1244">
        <v>0</v>
      </c>
      <c r="AD82" s="1244">
        <v>0</v>
      </c>
      <c r="AE82" s="1244">
        <v>0</v>
      </c>
      <c r="AF82" s="1244">
        <v>0</v>
      </c>
      <c r="AG82" s="1244">
        <v>0</v>
      </c>
      <c r="AH82" s="1244">
        <v>0</v>
      </c>
      <c r="AI82" s="244"/>
      <c r="AJ82" s="245"/>
      <c r="AK82" s="245"/>
      <c r="AL82" s="245"/>
      <c r="AM82" s="245"/>
      <c r="AN82" s="245"/>
    </row>
    <row r="83" spans="1:40">
      <c r="A83" s="1278"/>
      <c r="B83" s="1278"/>
      <c r="C83" s="1278"/>
      <c r="D83" s="1279"/>
      <c r="E83" s="1278"/>
      <c r="F83" s="1278"/>
      <c r="G83" s="1278"/>
      <c r="H83" s="1278"/>
      <c r="I83" s="1278"/>
      <c r="J83" s="1278"/>
      <c r="K83" s="1278"/>
      <c r="L83" s="1280"/>
      <c r="M83" s="1278"/>
      <c r="N83" s="1278"/>
      <c r="O83" s="1278"/>
      <c r="P83" s="1278"/>
      <c r="Q83" s="1278"/>
      <c r="R83" s="1278"/>
      <c r="S83" s="1278"/>
      <c r="T83" s="1278"/>
      <c r="U83" s="1281" t="e">
        <f>IF(U82&gt;0,U82,U81)</f>
        <v>#REF!</v>
      </c>
      <c r="V83" s="1281" t="e">
        <f t="shared" si="44"/>
        <v>#REF!</v>
      </c>
      <c r="W83" s="1281" t="e">
        <f t="shared" si="44"/>
        <v>#REF!</v>
      </c>
      <c r="X83" s="1281" t="e">
        <f t="shared" si="44"/>
        <v>#REF!</v>
      </c>
      <c r="Y83" s="1281" t="e">
        <f t="shared" si="44"/>
        <v>#REF!</v>
      </c>
      <c r="Z83" s="1281" t="e">
        <f t="shared" si="44"/>
        <v>#REF!</v>
      </c>
      <c r="AA83" s="1281" t="e">
        <f t="shared" si="44"/>
        <v>#REF!</v>
      </c>
      <c r="AB83" s="1278"/>
      <c r="AC83" s="1244"/>
      <c r="AD83" s="1244"/>
      <c r="AE83" s="1244"/>
      <c r="AF83" s="1244"/>
      <c r="AG83" s="1244"/>
      <c r="AH83" s="1244"/>
      <c r="AI83" s="244"/>
      <c r="AJ83" s="245"/>
      <c r="AK83" s="245"/>
      <c r="AL83" s="245"/>
      <c r="AM83" s="245"/>
      <c r="AN83" s="245"/>
    </row>
    <row r="84" spans="1:40">
      <c r="A84" s="1278"/>
      <c r="B84" s="1278"/>
      <c r="C84" s="1278"/>
      <c r="D84" s="1279"/>
      <c r="E84" s="1278"/>
      <c r="F84" s="1278"/>
      <c r="G84" s="1278"/>
      <c r="H84" s="1278"/>
      <c r="I84" s="1278"/>
      <c r="J84" s="1278"/>
      <c r="K84" s="1278"/>
      <c r="L84" s="1280"/>
      <c r="M84" s="1278"/>
      <c r="N84" s="1278"/>
      <c r="O84" s="1278"/>
      <c r="P84" s="1278"/>
      <c r="Q84" s="1278"/>
      <c r="R84" s="1278"/>
      <c r="S84" s="1278"/>
      <c r="T84" s="1278"/>
      <c r="U84" s="1211"/>
      <c r="V84" s="1211"/>
      <c r="W84" s="1211"/>
      <c r="X84" s="1211"/>
      <c r="Y84" s="1211"/>
      <c r="Z84" s="1211"/>
      <c r="AA84" s="1211"/>
      <c r="AB84" s="1278"/>
      <c r="AC84" s="1244"/>
      <c r="AD84" s="1244"/>
      <c r="AE84" s="1244"/>
      <c r="AF84" s="1244"/>
      <c r="AG84" s="1244"/>
      <c r="AH84" s="1244"/>
      <c r="AI84" s="244"/>
      <c r="AJ84" s="245"/>
      <c r="AK84" s="245"/>
      <c r="AL84" s="245"/>
      <c r="AM84" s="245"/>
      <c r="AN84" s="245"/>
    </row>
    <row r="85" spans="1:40">
      <c r="A85" s="1278"/>
      <c r="B85" s="1278"/>
      <c r="C85" s="1278"/>
      <c r="D85" s="1279"/>
      <c r="E85" s="1278"/>
      <c r="F85" s="1278"/>
      <c r="G85" s="1278"/>
      <c r="H85" s="1278"/>
      <c r="I85" s="1278"/>
      <c r="J85" s="1278"/>
      <c r="K85" s="1278"/>
      <c r="L85" s="1280"/>
      <c r="M85" s="1278"/>
      <c r="N85" s="1278"/>
      <c r="O85" s="1278"/>
      <c r="P85" s="1278"/>
      <c r="Q85" s="1278"/>
      <c r="R85" s="1278"/>
      <c r="S85" s="1278"/>
      <c r="T85" s="1278"/>
      <c r="U85" s="1211"/>
      <c r="V85" s="1211"/>
      <c r="W85" s="1211"/>
      <c r="X85" s="1211"/>
      <c r="Y85" s="1211"/>
      <c r="Z85" s="1211"/>
      <c r="AA85" s="1211"/>
      <c r="AB85" s="1278"/>
      <c r="AC85" s="1244">
        <v>0</v>
      </c>
      <c r="AD85" s="1244">
        <v>0</v>
      </c>
      <c r="AE85" s="1244">
        <v>0</v>
      </c>
      <c r="AF85" s="1244">
        <v>0</v>
      </c>
      <c r="AG85" s="1244">
        <v>0</v>
      </c>
      <c r="AH85" s="1244">
        <v>0</v>
      </c>
      <c r="AI85" s="244"/>
      <c r="AJ85" s="245"/>
      <c r="AK85" s="245"/>
      <c r="AL85" s="245"/>
      <c r="AM85" s="245"/>
      <c r="AN85" s="245"/>
    </row>
    <row r="86" spans="1:40">
      <c r="A86" s="1278"/>
      <c r="B86" s="1278"/>
      <c r="C86" s="1278"/>
      <c r="D86" s="1279"/>
      <c r="E86" s="1278"/>
      <c r="F86" s="1278"/>
      <c r="G86" s="1278"/>
      <c r="H86" s="1278"/>
      <c r="I86" s="1278"/>
      <c r="J86" s="1278"/>
      <c r="K86" s="1278"/>
      <c r="L86" s="1280"/>
      <c r="M86" s="1278"/>
      <c r="N86" s="1278"/>
      <c r="O86" s="1278"/>
      <c r="P86" s="1278"/>
      <c r="Q86" s="1278"/>
      <c r="R86" s="1278"/>
      <c r="S86" s="1278"/>
      <c r="T86" s="1278"/>
      <c r="U86" s="1211"/>
      <c r="V86" s="1211"/>
      <c r="W86" s="1211"/>
      <c r="X86" s="1211"/>
      <c r="Y86" s="1211"/>
      <c r="Z86" s="1211"/>
      <c r="AA86" s="1211"/>
      <c r="AB86" s="1278"/>
      <c r="AC86" s="1244"/>
      <c r="AD86" s="1244"/>
      <c r="AE86" s="1244"/>
      <c r="AF86" s="1244"/>
      <c r="AG86" s="1244"/>
      <c r="AH86" s="1244"/>
      <c r="AJ86" s="245"/>
      <c r="AK86" s="245"/>
      <c r="AL86" s="245"/>
      <c r="AM86" s="245"/>
      <c r="AN86" s="245"/>
    </row>
    <row r="87" spans="1:40">
      <c r="A87" s="1278"/>
      <c r="B87" s="1278"/>
      <c r="C87" s="1278"/>
      <c r="D87" s="1279"/>
      <c r="E87" s="1278"/>
      <c r="F87" s="1278"/>
      <c r="G87" s="1278"/>
      <c r="H87" s="1278"/>
      <c r="I87" s="1278"/>
      <c r="J87" s="1278"/>
      <c r="K87" s="1278"/>
      <c r="L87" s="1280"/>
      <c r="M87" s="1278"/>
      <c r="N87" s="1278"/>
      <c r="O87" s="1278"/>
      <c r="P87" s="1278"/>
      <c r="Q87" s="1278"/>
      <c r="R87" s="1278"/>
      <c r="S87" s="1278"/>
      <c r="T87" s="1278"/>
      <c r="U87" s="1211"/>
      <c r="V87" s="1211"/>
      <c r="W87" s="1211"/>
      <c r="X87" s="1211"/>
      <c r="Y87" s="1211"/>
      <c r="Z87" s="1211"/>
      <c r="AA87" s="1211"/>
      <c r="AB87" s="1278"/>
      <c r="AJ87" s="245"/>
      <c r="AK87" s="245"/>
      <c r="AL87" s="245"/>
      <c r="AM87" s="245"/>
      <c r="AN87" s="245"/>
    </row>
    <row r="88" spans="1:40" ht="15" customHeight="1">
      <c r="A88" s="1278"/>
      <c r="B88" s="1278"/>
      <c r="C88" s="1278"/>
      <c r="D88" s="1279"/>
      <c r="E88" s="1278"/>
      <c r="F88" s="1278"/>
      <c r="G88" s="1278"/>
      <c r="H88" s="1278"/>
      <c r="I88" s="1278"/>
      <c r="J88" s="1278"/>
      <c r="K88" s="1278"/>
      <c r="L88" s="1280"/>
      <c r="M88" s="1278"/>
      <c r="N88" s="1278"/>
      <c r="O88" s="1278"/>
      <c r="P88" s="1278"/>
      <c r="Q88" s="1278"/>
      <c r="R88" s="1278"/>
      <c r="S88" s="1278"/>
      <c r="T88" s="1278"/>
      <c r="U88" s="1211"/>
      <c r="V88" s="1211"/>
      <c r="W88" s="1211"/>
      <c r="X88" s="1211"/>
      <c r="Y88" s="1211"/>
      <c r="Z88" s="1211"/>
      <c r="AA88" s="1211"/>
      <c r="AB88" s="1278"/>
      <c r="AJ88" s="245"/>
      <c r="AK88" s="245"/>
      <c r="AL88" s="245"/>
      <c r="AM88" s="245"/>
      <c r="AN88" s="245"/>
    </row>
    <row r="89" spans="1:40">
      <c r="A89" s="1278"/>
      <c r="B89" s="1278"/>
      <c r="C89" s="1278"/>
      <c r="D89" s="1279"/>
      <c r="E89" s="1278"/>
      <c r="F89" s="1278"/>
      <c r="G89" s="1278"/>
      <c r="H89" s="1278"/>
      <c r="I89" s="1278"/>
      <c r="J89" s="1278"/>
      <c r="K89" s="1278"/>
      <c r="L89" s="1280"/>
      <c r="M89" s="1278"/>
      <c r="N89" s="1278"/>
      <c r="O89" s="1278"/>
      <c r="P89" s="1278"/>
      <c r="Q89" s="1278"/>
      <c r="R89" s="1278"/>
      <c r="S89" s="1278"/>
      <c r="T89" s="1278"/>
      <c r="U89" s="1211"/>
      <c r="V89" s="1211"/>
      <c r="W89" s="1211"/>
      <c r="X89" s="1211"/>
      <c r="Y89" s="1211"/>
      <c r="Z89" s="1211"/>
      <c r="AA89" s="1211"/>
      <c r="AB89" s="1278"/>
      <c r="AJ89" s="245"/>
      <c r="AK89" s="245"/>
      <c r="AL89" s="245"/>
      <c r="AM89" s="245"/>
      <c r="AN89" s="245"/>
    </row>
    <row r="90" spans="1:40">
      <c r="A90" s="1278"/>
      <c r="B90" s="1278"/>
      <c r="C90" s="1278"/>
      <c r="D90" s="1279"/>
      <c r="E90" s="1278"/>
      <c r="F90" s="1278"/>
      <c r="G90" s="1278"/>
      <c r="H90" s="1278"/>
      <c r="I90" s="1278"/>
      <c r="J90" s="1278"/>
      <c r="K90" s="1278"/>
      <c r="L90" s="1280"/>
      <c r="M90" s="1278"/>
      <c r="N90" s="1278"/>
      <c r="O90" s="1278"/>
      <c r="P90" s="1278"/>
      <c r="Q90" s="1278"/>
      <c r="R90" s="1278"/>
      <c r="S90" s="1278"/>
      <c r="T90" s="1278"/>
      <c r="U90" s="1211"/>
      <c r="V90" s="1211"/>
      <c r="W90" s="1211"/>
      <c r="X90" s="1211"/>
      <c r="Y90" s="1211"/>
      <c r="Z90" s="1211"/>
      <c r="AA90" s="1211"/>
      <c r="AB90" s="1278"/>
      <c r="AJ90" s="245"/>
      <c r="AK90" s="245"/>
      <c r="AL90" s="245"/>
      <c r="AM90" s="245"/>
      <c r="AN90" s="245"/>
    </row>
    <row r="91" spans="1:40">
      <c r="A91" s="1278"/>
      <c r="B91" s="1278"/>
      <c r="C91" s="1278"/>
      <c r="D91" s="1279"/>
      <c r="E91" s="1278"/>
      <c r="F91" s="1278"/>
      <c r="G91" s="1278"/>
      <c r="H91" s="1278"/>
      <c r="I91" s="1278"/>
      <c r="J91" s="1278"/>
      <c r="K91" s="1278"/>
      <c r="L91" s="1280"/>
      <c r="M91" s="1278"/>
      <c r="N91" s="1278"/>
      <c r="O91" s="1278"/>
      <c r="P91" s="1278"/>
      <c r="Q91" s="1278"/>
      <c r="R91" s="1278"/>
      <c r="S91" s="1278"/>
      <c r="T91" s="1278"/>
      <c r="U91" s="1211"/>
      <c r="V91" s="1211"/>
      <c r="W91" s="1211"/>
      <c r="X91" s="1211"/>
      <c r="Y91" s="1211"/>
      <c r="Z91" s="1211"/>
      <c r="AA91" s="1211"/>
      <c r="AB91" s="1278"/>
      <c r="AJ91" s="245"/>
      <c r="AK91" s="245"/>
      <c r="AL91" s="245"/>
      <c r="AM91" s="245"/>
      <c r="AN91" s="245"/>
    </row>
    <row r="92" spans="1:40">
      <c r="A92" s="1278"/>
      <c r="B92" s="1278"/>
      <c r="C92" s="1278"/>
      <c r="D92" s="1279"/>
      <c r="E92" s="1278"/>
      <c r="F92" s="1278"/>
      <c r="G92" s="1278"/>
      <c r="H92" s="1278"/>
      <c r="I92" s="1278"/>
      <c r="J92" s="1278"/>
      <c r="K92" s="1278"/>
      <c r="L92" s="1280"/>
      <c r="M92" s="1278"/>
      <c r="N92" s="1278"/>
      <c r="O92" s="1278"/>
      <c r="P92" s="1278"/>
      <c r="Q92" s="1278"/>
      <c r="R92" s="1278"/>
      <c r="S92" s="1278"/>
      <c r="T92" s="1278"/>
      <c r="U92" s="1211"/>
      <c r="V92" s="1211"/>
      <c r="W92" s="1211"/>
      <c r="X92" s="1211"/>
      <c r="Y92" s="1211"/>
      <c r="Z92" s="1211"/>
      <c r="AA92" s="1211"/>
      <c r="AB92" s="1278"/>
      <c r="AJ92" s="245"/>
      <c r="AK92" s="245"/>
      <c r="AL92" s="245"/>
      <c r="AM92" s="245"/>
      <c r="AN92" s="245"/>
    </row>
    <row r="93" spans="1:40">
      <c r="A93" s="1278"/>
      <c r="B93" s="1278"/>
      <c r="C93" s="1278"/>
      <c r="D93" s="1279"/>
      <c r="E93" s="1278"/>
      <c r="F93" s="1278"/>
      <c r="G93" s="1278"/>
      <c r="H93" s="1278"/>
      <c r="I93" s="1278"/>
      <c r="J93" s="1278"/>
      <c r="K93" s="1278"/>
      <c r="L93" s="1280"/>
      <c r="M93" s="1278"/>
      <c r="N93" s="1278"/>
      <c r="O93" s="1278"/>
      <c r="P93" s="1278"/>
      <c r="Q93" s="1278"/>
      <c r="R93" s="1278"/>
      <c r="S93" s="1278"/>
      <c r="T93" s="1278"/>
      <c r="U93" s="1211"/>
      <c r="V93" s="1211"/>
      <c r="W93" s="1211"/>
      <c r="X93" s="1211"/>
      <c r="Y93" s="1211"/>
      <c r="Z93" s="1211"/>
      <c r="AA93" s="1211"/>
      <c r="AB93" s="1278"/>
      <c r="AJ93" s="245"/>
      <c r="AK93" s="245"/>
      <c r="AL93" s="245"/>
      <c r="AM93" s="245"/>
      <c r="AN93" s="245"/>
    </row>
    <row r="94" spans="1:40">
      <c r="A94" s="1278"/>
      <c r="B94" s="1278"/>
      <c r="C94" s="1278"/>
      <c r="D94" s="1279"/>
      <c r="E94" s="1278"/>
      <c r="F94" s="1278"/>
      <c r="G94" s="1278"/>
      <c r="H94" s="1278"/>
      <c r="I94" s="1278"/>
      <c r="J94" s="1278"/>
      <c r="K94" s="1278"/>
      <c r="L94" s="1280"/>
      <c r="M94" s="1278"/>
      <c r="N94" s="1278"/>
      <c r="O94" s="1278"/>
      <c r="P94" s="1278"/>
      <c r="Q94" s="1278"/>
      <c r="R94" s="1278"/>
      <c r="S94" s="1278"/>
      <c r="T94" s="1278"/>
      <c r="U94" s="1211"/>
      <c r="V94" s="1211"/>
      <c r="W94" s="1211"/>
      <c r="X94" s="1211"/>
      <c r="Y94" s="1211"/>
      <c r="Z94" s="1211"/>
      <c r="AA94" s="1211"/>
      <c r="AB94" s="1278"/>
      <c r="AJ94" s="245"/>
      <c r="AK94" s="245"/>
      <c r="AL94" s="245"/>
      <c r="AM94" s="245"/>
      <c r="AN94" s="245"/>
    </row>
    <row r="95" spans="1:40">
      <c r="A95" s="1278"/>
      <c r="B95" s="1278"/>
      <c r="C95" s="1278"/>
      <c r="D95" s="1279"/>
      <c r="E95" s="1278"/>
      <c r="F95" s="1278"/>
      <c r="G95" s="1278"/>
      <c r="H95" s="1278"/>
      <c r="I95" s="1278"/>
      <c r="J95" s="1278"/>
      <c r="K95" s="1278"/>
      <c r="L95" s="1280"/>
      <c r="M95" s="1278"/>
      <c r="N95" s="1278"/>
      <c r="O95" s="1278"/>
      <c r="P95" s="1278"/>
      <c r="Q95" s="1278"/>
      <c r="R95" s="1278"/>
      <c r="S95" s="1278"/>
      <c r="T95" s="1278"/>
      <c r="U95" s="1211"/>
      <c r="V95" s="1211"/>
      <c r="W95" s="1211"/>
      <c r="X95" s="1211"/>
      <c r="Y95" s="1211"/>
      <c r="Z95" s="1211"/>
      <c r="AA95" s="1211"/>
      <c r="AB95" s="1278"/>
      <c r="AJ95" s="245"/>
      <c r="AK95" s="245"/>
      <c r="AL95" s="245"/>
      <c r="AM95" s="245"/>
      <c r="AN95" s="245"/>
    </row>
    <row r="96" spans="1:40">
      <c r="A96" s="1278"/>
      <c r="B96" s="1278"/>
      <c r="C96" s="1278"/>
      <c r="D96" s="1279"/>
      <c r="E96" s="1278"/>
      <c r="F96" s="1278"/>
      <c r="G96" s="1278"/>
      <c r="H96" s="1278"/>
      <c r="I96" s="1278"/>
      <c r="J96" s="1278"/>
      <c r="K96" s="1278"/>
      <c r="L96" s="1280"/>
      <c r="M96" s="1278"/>
      <c r="N96" s="1278"/>
      <c r="O96" s="1278"/>
      <c r="P96" s="1278"/>
      <c r="Q96" s="1278"/>
      <c r="R96" s="1278"/>
      <c r="S96" s="1278"/>
      <c r="T96" s="1278"/>
      <c r="U96" s="1211"/>
      <c r="V96" s="1211"/>
      <c r="W96" s="1211"/>
      <c r="X96" s="1211"/>
      <c r="Y96" s="1211"/>
      <c r="Z96" s="1211"/>
      <c r="AA96" s="1211"/>
      <c r="AB96" s="1278"/>
      <c r="AN96" s="245"/>
    </row>
    <row r="97" spans="1:40">
      <c r="A97" s="1278"/>
      <c r="B97" s="1278"/>
      <c r="C97" s="1278"/>
      <c r="D97" s="1279"/>
      <c r="E97" s="1278"/>
      <c r="F97" s="1278"/>
      <c r="G97" s="1278"/>
      <c r="H97" s="1278"/>
      <c r="I97" s="1278"/>
      <c r="J97" s="1278"/>
      <c r="K97" s="1278"/>
      <c r="L97" s="1280"/>
      <c r="M97" s="1278"/>
      <c r="N97" s="1278"/>
      <c r="O97" s="1278"/>
      <c r="P97" s="1278"/>
      <c r="Q97" s="1278"/>
      <c r="R97" s="1278"/>
      <c r="S97" s="1278"/>
      <c r="T97" s="1278"/>
      <c r="U97" s="1211"/>
      <c r="V97" s="1211"/>
      <c r="W97" s="1211"/>
      <c r="X97" s="1211"/>
      <c r="Y97" s="1211"/>
      <c r="Z97" s="1211"/>
      <c r="AA97" s="1211"/>
      <c r="AB97" s="1278"/>
      <c r="AN97" s="245"/>
    </row>
    <row r="98" spans="1:40">
      <c r="A98" s="1278"/>
      <c r="B98" s="1278"/>
      <c r="C98" s="1278"/>
      <c r="D98" s="1279"/>
      <c r="E98" s="1278"/>
      <c r="F98" s="1278"/>
      <c r="G98" s="1278"/>
      <c r="H98" s="1278"/>
      <c r="I98" s="1278"/>
      <c r="J98" s="1278"/>
      <c r="K98" s="1278"/>
      <c r="L98" s="1280"/>
      <c r="M98" s="1278"/>
      <c r="N98" s="1278"/>
      <c r="O98" s="1278"/>
      <c r="P98" s="1278"/>
      <c r="Q98" s="1278"/>
      <c r="R98" s="1278"/>
      <c r="S98" s="1278"/>
      <c r="T98" s="1278"/>
      <c r="U98" s="1211"/>
      <c r="V98" s="1211"/>
      <c r="W98" s="1211"/>
      <c r="X98" s="1211"/>
      <c r="Y98" s="1211"/>
      <c r="Z98" s="1211"/>
      <c r="AA98" s="1211"/>
      <c r="AB98" s="1278"/>
      <c r="AC98" s="244"/>
      <c r="AD98" s="244"/>
      <c r="AE98" s="244"/>
      <c r="AF98" s="244"/>
      <c r="AG98" s="244"/>
      <c r="AH98" s="244"/>
      <c r="AI98" s="244"/>
      <c r="AJ98" s="244"/>
      <c r="AK98" s="244"/>
      <c r="AL98" s="244"/>
      <c r="AM98" s="244"/>
      <c r="AN98" s="245"/>
    </row>
    <row r="99" spans="1:40" s="244" customFormat="1">
      <c r="A99" s="1278"/>
      <c r="B99" s="1278"/>
      <c r="C99" s="1278"/>
      <c r="D99" s="1279"/>
      <c r="E99" s="1278"/>
      <c r="F99" s="1278"/>
      <c r="G99" s="1278"/>
      <c r="H99" s="1278"/>
      <c r="I99" s="1278"/>
      <c r="J99" s="1278"/>
      <c r="K99" s="1278"/>
      <c r="L99" s="1280"/>
      <c r="M99" s="1278"/>
      <c r="N99" s="1278"/>
      <c r="O99" s="1278"/>
      <c r="P99" s="1278"/>
      <c r="Q99" s="1278"/>
      <c r="R99" s="1278"/>
      <c r="S99" s="1278"/>
      <c r="T99" s="1278"/>
      <c r="U99" s="1211"/>
      <c r="V99" s="1211"/>
      <c r="W99" s="1211"/>
      <c r="X99" s="1211"/>
      <c r="Y99" s="1211"/>
      <c r="Z99" s="1211"/>
      <c r="AA99" s="1211"/>
      <c r="AB99" s="1278"/>
      <c r="AC99" s="1211"/>
      <c r="AD99" s="1211"/>
      <c r="AE99" s="1211"/>
      <c r="AF99" s="1211"/>
      <c r="AG99" s="1211"/>
      <c r="AH99" s="1211"/>
      <c r="AI99" s="1211"/>
      <c r="AJ99" s="1211"/>
      <c r="AK99" s="1211"/>
      <c r="AL99" s="1211"/>
      <c r="AM99" s="1211"/>
    </row>
    <row r="100" spans="1:40" s="244" customFormat="1">
      <c r="A100" s="1278"/>
      <c r="B100" s="1278"/>
      <c r="C100" s="1278"/>
      <c r="D100" s="1279"/>
      <c r="E100" s="1278"/>
      <c r="F100" s="1278"/>
      <c r="G100" s="1278"/>
      <c r="H100" s="1278"/>
      <c r="I100" s="1278"/>
      <c r="J100" s="1278"/>
      <c r="K100" s="1278"/>
      <c r="L100" s="1280"/>
      <c r="M100" s="1278"/>
      <c r="N100" s="1278"/>
      <c r="O100" s="1278"/>
      <c r="P100" s="1278"/>
      <c r="Q100" s="1278"/>
      <c r="R100" s="1278"/>
      <c r="S100" s="1278"/>
      <c r="T100" s="1278"/>
      <c r="U100" s="1211"/>
      <c r="V100" s="1211"/>
      <c r="W100" s="1211"/>
      <c r="X100" s="1211"/>
      <c r="Y100" s="1211"/>
      <c r="Z100" s="1211"/>
      <c r="AA100" s="1211"/>
      <c r="AB100" s="1278"/>
      <c r="AC100" s="1211"/>
      <c r="AD100" s="1211"/>
      <c r="AE100" s="1211"/>
      <c r="AF100" s="1211"/>
      <c r="AG100" s="1211"/>
      <c r="AH100" s="1211"/>
      <c r="AI100" s="1211"/>
      <c r="AJ100" s="1211"/>
      <c r="AK100" s="1211"/>
      <c r="AL100" s="1211"/>
      <c r="AM100" s="1211"/>
    </row>
    <row r="101" spans="1:40" s="244" customFormat="1">
      <c r="A101" s="1278"/>
      <c r="B101" s="1278"/>
      <c r="C101" s="1278"/>
      <c r="D101" s="1279"/>
      <c r="E101" s="1278"/>
      <c r="F101" s="1278"/>
      <c r="G101" s="1278"/>
      <c r="H101" s="1278"/>
      <c r="I101" s="1278"/>
      <c r="J101" s="1278"/>
      <c r="K101" s="1278"/>
      <c r="L101" s="1280"/>
      <c r="M101" s="1278"/>
      <c r="N101" s="1278"/>
      <c r="O101" s="1278"/>
      <c r="P101" s="1278"/>
      <c r="Q101" s="1278"/>
      <c r="R101" s="1278"/>
      <c r="S101" s="1278"/>
      <c r="T101" s="1278"/>
      <c r="U101" s="1211"/>
      <c r="V101" s="1211"/>
      <c r="W101" s="1211"/>
      <c r="X101" s="1211"/>
      <c r="Y101" s="1211"/>
      <c r="Z101" s="1211"/>
      <c r="AA101" s="1211"/>
      <c r="AB101" s="1278"/>
      <c r="AC101" s="1211"/>
      <c r="AD101" s="1211"/>
      <c r="AE101" s="1211"/>
      <c r="AF101" s="1211"/>
      <c r="AG101" s="1211"/>
      <c r="AH101" s="1211"/>
      <c r="AI101" s="1211"/>
      <c r="AJ101" s="1211"/>
      <c r="AK101" s="1211"/>
      <c r="AL101" s="1211"/>
      <c r="AM101" s="1211"/>
    </row>
    <row r="102" spans="1:40" s="244" customFormat="1">
      <c r="A102" s="1278"/>
      <c r="B102" s="1278"/>
      <c r="C102" s="1282"/>
      <c r="D102" s="1283"/>
      <c r="E102" s="1282"/>
      <c r="F102" s="1284"/>
      <c r="G102" s="150"/>
      <c r="H102" s="150"/>
      <c r="I102" s="150"/>
      <c r="J102" s="150"/>
      <c r="K102" s="150"/>
      <c r="L102" s="1285"/>
      <c r="M102" s="1286"/>
      <c r="N102" s="1284"/>
      <c r="O102" s="150"/>
      <c r="P102" s="150"/>
      <c r="Q102" s="1287"/>
      <c r="R102" s="1287"/>
      <c r="S102" s="1278"/>
      <c r="T102" s="1278"/>
      <c r="U102" s="1211"/>
      <c r="V102" s="1211"/>
      <c r="W102" s="1211"/>
      <c r="X102" s="1211"/>
      <c r="Y102" s="1211"/>
      <c r="Z102" s="1211"/>
      <c r="AA102" s="1211"/>
      <c r="AB102" s="1278"/>
      <c r="AC102" s="1211"/>
      <c r="AD102" s="1211"/>
      <c r="AE102" s="1211"/>
      <c r="AF102" s="1211"/>
      <c r="AG102" s="1211"/>
      <c r="AH102" s="1211"/>
      <c r="AI102" s="1211"/>
      <c r="AJ102" s="1211"/>
      <c r="AK102" s="1211"/>
      <c r="AL102" s="1211"/>
      <c r="AM102" s="1211"/>
    </row>
    <row r="103" spans="1:40" s="244" customFormat="1">
      <c r="B103" s="1278"/>
      <c r="C103" s="1282"/>
      <c r="D103" s="1283"/>
      <c r="E103" s="1282"/>
      <c r="F103" s="1284"/>
      <c r="G103" s="150"/>
      <c r="H103" s="150"/>
      <c r="I103" s="150"/>
      <c r="J103" s="150"/>
      <c r="K103" s="150"/>
      <c r="L103" s="1285"/>
      <c r="M103" s="1286"/>
      <c r="N103" s="1284"/>
      <c r="O103" s="150"/>
      <c r="P103" s="150"/>
      <c r="Q103" s="1287"/>
      <c r="R103" s="1287"/>
      <c r="S103" s="149"/>
      <c r="T103" s="149"/>
      <c r="U103" s="1211"/>
      <c r="V103" s="1211"/>
      <c r="W103" s="1211"/>
      <c r="X103" s="1211"/>
      <c r="Y103" s="1211"/>
      <c r="Z103" s="1211"/>
      <c r="AA103" s="1211"/>
      <c r="AC103" s="1211"/>
      <c r="AD103" s="1211"/>
      <c r="AE103" s="1211"/>
      <c r="AF103" s="1211"/>
      <c r="AG103" s="1211"/>
      <c r="AH103" s="1211"/>
      <c r="AI103" s="1211"/>
      <c r="AJ103" s="1211"/>
      <c r="AK103" s="1211"/>
      <c r="AL103" s="1211"/>
      <c r="AM103" s="1211"/>
    </row>
    <row r="104" spans="1:40" s="244" customFormat="1">
      <c r="B104" s="1278"/>
      <c r="C104" s="1282"/>
      <c r="D104" s="1283"/>
      <c r="E104" s="1282"/>
      <c r="F104" s="1284"/>
      <c r="G104" s="150"/>
      <c r="H104" s="150"/>
      <c r="I104" s="150"/>
      <c r="J104" s="150"/>
      <c r="K104" s="150"/>
      <c r="L104" s="1285"/>
      <c r="M104" s="1286"/>
      <c r="N104" s="1284"/>
      <c r="O104" s="150"/>
      <c r="P104" s="150"/>
      <c r="Q104" s="1287"/>
      <c r="R104" s="1287"/>
      <c r="S104" s="149"/>
      <c r="T104" s="149"/>
      <c r="U104" s="1211"/>
      <c r="V104" s="1211"/>
      <c r="W104" s="1211"/>
      <c r="X104" s="1211"/>
      <c r="Y104" s="1211"/>
      <c r="Z104" s="1211"/>
      <c r="AA104" s="1211"/>
      <c r="AC104" s="1211"/>
      <c r="AD104" s="1211"/>
      <c r="AE104" s="1211"/>
      <c r="AF104" s="1211"/>
      <c r="AG104" s="1211"/>
      <c r="AH104" s="1211"/>
      <c r="AI104" s="1211"/>
      <c r="AJ104" s="1211"/>
      <c r="AK104" s="1211"/>
      <c r="AL104" s="1211"/>
      <c r="AM104" s="1211"/>
    </row>
    <row r="105" spans="1:40" s="244" customFormat="1">
      <c r="B105" s="1278"/>
      <c r="C105" s="1282"/>
      <c r="D105" s="1283"/>
      <c r="E105" s="1282"/>
      <c r="F105" s="1284"/>
      <c r="G105" s="150"/>
      <c r="H105" s="150"/>
      <c r="I105" s="150"/>
      <c r="J105" s="150"/>
      <c r="K105" s="150"/>
      <c r="L105" s="1285"/>
      <c r="M105" s="1286"/>
      <c r="N105" s="1284"/>
      <c r="O105" s="150"/>
      <c r="P105" s="150"/>
      <c r="Q105" s="1287"/>
      <c r="R105" s="1287"/>
      <c r="S105" s="149"/>
      <c r="T105" s="149"/>
      <c r="U105" s="1211"/>
      <c r="V105" s="1211"/>
      <c r="W105" s="1211"/>
      <c r="X105" s="1211"/>
      <c r="Y105" s="1211"/>
      <c r="Z105" s="1211"/>
      <c r="AA105" s="1211"/>
      <c r="AC105" s="1211"/>
      <c r="AD105" s="1211"/>
      <c r="AE105" s="1211"/>
      <c r="AF105" s="1211"/>
      <c r="AG105" s="1211"/>
      <c r="AH105" s="1211"/>
      <c r="AI105" s="1211"/>
      <c r="AJ105" s="1211"/>
      <c r="AK105" s="1211"/>
      <c r="AL105" s="1211"/>
      <c r="AM105" s="1211"/>
    </row>
    <row r="106" spans="1:40" s="244" customFormat="1">
      <c r="B106" s="1278"/>
      <c r="C106" s="1282"/>
      <c r="D106" s="1283"/>
      <c r="E106" s="1282"/>
      <c r="F106" s="1284"/>
      <c r="G106" s="150"/>
      <c r="H106" s="150"/>
      <c r="I106" s="150"/>
      <c r="J106" s="150"/>
      <c r="K106" s="150"/>
      <c r="L106" s="1285"/>
      <c r="M106" s="1286"/>
      <c r="N106" s="1284"/>
      <c r="O106" s="150"/>
      <c r="P106" s="150"/>
      <c r="Q106" s="1287"/>
      <c r="R106" s="1287"/>
      <c r="S106" s="149"/>
      <c r="T106" s="149"/>
      <c r="U106" s="1211"/>
      <c r="V106" s="1211"/>
      <c r="W106" s="1211"/>
      <c r="X106" s="1211"/>
      <c r="Y106" s="1211"/>
      <c r="Z106" s="1211"/>
      <c r="AA106" s="1211"/>
      <c r="AC106" s="1211"/>
      <c r="AD106" s="1211"/>
      <c r="AE106" s="1211"/>
      <c r="AF106" s="1211"/>
      <c r="AG106" s="1211"/>
      <c r="AH106" s="1211"/>
      <c r="AI106" s="1211"/>
      <c r="AJ106" s="1211"/>
      <c r="AK106" s="1211"/>
      <c r="AL106" s="1211"/>
      <c r="AM106" s="1211"/>
    </row>
    <row r="107" spans="1:40" s="244" customFormat="1">
      <c r="B107" s="1278"/>
      <c r="C107" s="1282"/>
      <c r="D107" s="1283"/>
      <c r="E107" s="1282"/>
      <c r="F107" s="1284"/>
      <c r="G107" s="150"/>
      <c r="H107" s="150"/>
      <c r="I107" s="150"/>
      <c r="J107" s="150"/>
      <c r="K107" s="150"/>
      <c r="L107" s="1285"/>
      <c r="M107" s="1286"/>
      <c r="N107" s="1284"/>
      <c r="O107" s="150"/>
      <c r="P107" s="150"/>
      <c r="Q107" s="1287"/>
      <c r="R107" s="1287"/>
      <c r="S107" s="149"/>
      <c r="T107" s="149"/>
      <c r="U107" s="150"/>
      <c r="V107" s="150"/>
      <c r="W107" s="150"/>
      <c r="X107" s="150"/>
      <c r="Y107" s="150"/>
      <c r="Z107" s="150"/>
      <c r="AA107" s="150"/>
      <c r="AC107" s="1211"/>
      <c r="AD107" s="1211"/>
      <c r="AE107" s="1211"/>
      <c r="AF107" s="1211"/>
      <c r="AG107" s="1211"/>
      <c r="AH107" s="1211"/>
      <c r="AI107" s="1211"/>
      <c r="AJ107" s="1211"/>
      <c r="AK107" s="1211"/>
      <c r="AL107" s="1211"/>
      <c r="AM107" s="1211"/>
    </row>
    <row r="108" spans="1:40" s="244" customFormat="1">
      <c r="B108" s="1278"/>
      <c r="C108" s="1282"/>
      <c r="D108" s="1283"/>
      <c r="E108" s="1282"/>
      <c r="F108" s="1284"/>
      <c r="G108" s="150"/>
      <c r="H108" s="150"/>
      <c r="I108" s="150"/>
      <c r="J108" s="150"/>
      <c r="K108" s="150"/>
      <c r="L108" s="1285"/>
      <c r="M108" s="1286"/>
      <c r="N108" s="1284"/>
      <c r="O108" s="150"/>
      <c r="P108" s="150"/>
      <c r="Q108" s="1287"/>
      <c r="R108" s="1287"/>
      <c r="S108" s="149"/>
      <c r="T108" s="149"/>
      <c r="U108" s="150"/>
      <c r="V108" s="150"/>
      <c r="W108" s="150"/>
      <c r="X108" s="150"/>
      <c r="Y108" s="150"/>
      <c r="Z108" s="150"/>
      <c r="AA108" s="150"/>
      <c r="AC108" s="1211"/>
      <c r="AD108" s="1211"/>
      <c r="AE108" s="1211"/>
      <c r="AF108" s="1211"/>
      <c r="AG108" s="1211"/>
      <c r="AH108" s="1211"/>
      <c r="AI108" s="1211"/>
      <c r="AJ108" s="1211"/>
      <c r="AK108" s="1211"/>
      <c r="AL108" s="1211"/>
      <c r="AM108" s="1211"/>
    </row>
    <row r="109" spans="1:40" s="244" customFormat="1">
      <c r="B109" s="1278"/>
      <c r="C109" s="1282"/>
      <c r="D109" s="1283"/>
      <c r="E109" s="1282"/>
      <c r="F109" s="1284"/>
      <c r="G109" s="150"/>
      <c r="H109" s="150"/>
      <c r="I109" s="150"/>
      <c r="J109" s="150"/>
      <c r="K109" s="150"/>
      <c r="L109" s="1285"/>
      <c r="M109" s="1286"/>
      <c r="N109" s="1284"/>
      <c r="O109" s="150"/>
      <c r="P109" s="150"/>
      <c r="Q109" s="1287"/>
      <c r="R109" s="1287"/>
      <c r="S109" s="149"/>
      <c r="T109" s="149"/>
      <c r="U109" s="150"/>
      <c r="V109" s="150"/>
      <c r="W109" s="150"/>
      <c r="X109" s="150"/>
      <c r="Y109" s="150"/>
      <c r="Z109" s="150"/>
      <c r="AA109" s="150"/>
      <c r="AC109" s="1211"/>
      <c r="AD109" s="1211"/>
      <c r="AE109" s="1211"/>
      <c r="AF109" s="1211"/>
      <c r="AG109" s="1211"/>
      <c r="AH109" s="1211"/>
      <c r="AI109" s="1211"/>
      <c r="AJ109" s="1211"/>
      <c r="AK109" s="1211"/>
      <c r="AL109" s="1211"/>
      <c r="AM109" s="1211"/>
    </row>
    <row r="110" spans="1:40" s="244" customFormat="1">
      <c r="B110" s="1278"/>
      <c r="C110" s="1282"/>
      <c r="D110" s="1283"/>
      <c r="E110" s="1282"/>
      <c r="F110" s="1284"/>
      <c r="G110" s="150"/>
      <c r="H110" s="150"/>
      <c r="I110" s="150"/>
      <c r="J110" s="150"/>
      <c r="K110" s="150"/>
      <c r="L110" s="1285"/>
      <c r="M110" s="1286"/>
      <c r="N110" s="1284"/>
      <c r="O110" s="150"/>
      <c r="P110" s="150"/>
      <c r="Q110" s="1287"/>
      <c r="R110" s="1287"/>
      <c r="S110" s="149"/>
      <c r="T110" s="149"/>
      <c r="U110" s="150"/>
      <c r="V110" s="150"/>
      <c r="W110" s="150"/>
      <c r="X110" s="150"/>
      <c r="Y110" s="150"/>
      <c r="Z110" s="150"/>
      <c r="AA110" s="150"/>
      <c r="AC110" s="1211"/>
      <c r="AD110" s="1211"/>
      <c r="AE110" s="1211"/>
      <c r="AF110" s="1211"/>
      <c r="AG110" s="1211"/>
      <c r="AH110" s="1211"/>
      <c r="AI110" s="1211"/>
      <c r="AJ110" s="1211"/>
      <c r="AK110" s="1211"/>
      <c r="AL110" s="1211"/>
      <c r="AM110" s="1211"/>
    </row>
    <row r="111" spans="1:40" s="244" customFormat="1">
      <c r="B111" s="1278"/>
      <c r="C111" s="1282"/>
      <c r="D111" s="1283"/>
      <c r="E111" s="1282"/>
      <c r="F111" s="1284"/>
      <c r="G111" s="150"/>
      <c r="H111" s="150"/>
      <c r="I111" s="150"/>
      <c r="J111" s="150"/>
      <c r="K111" s="150"/>
      <c r="L111" s="1285"/>
      <c r="M111" s="1286"/>
      <c r="N111" s="1284"/>
      <c r="O111" s="150"/>
      <c r="P111" s="150"/>
      <c r="Q111" s="1287"/>
      <c r="R111" s="1287"/>
      <c r="S111" s="149"/>
      <c r="T111" s="149"/>
      <c r="U111" s="150"/>
      <c r="V111" s="150"/>
      <c r="W111" s="150"/>
      <c r="X111" s="150"/>
      <c r="Y111" s="150"/>
      <c r="Z111" s="150"/>
      <c r="AA111" s="150"/>
      <c r="AC111" s="1211"/>
      <c r="AD111" s="1211"/>
      <c r="AE111" s="1211"/>
      <c r="AF111" s="1211"/>
      <c r="AG111" s="1211"/>
      <c r="AH111" s="1211"/>
      <c r="AI111" s="1211"/>
      <c r="AJ111" s="1211"/>
      <c r="AK111" s="1211"/>
      <c r="AL111" s="1211"/>
      <c r="AM111" s="1211"/>
    </row>
    <row r="112" spans="1:40" s="244" customFormat="1">
      <c r="B112" s="1278"/>
      <c r="C112" s="1282"/>
      <c r="D112" s="1283"/>
      <c r="E112" s="1282"/>
      <c r="F112" s="1284"/>
      <c r="G112" s="150"/>
      <c r="H112" s="150"/>
      <c r="I112" s="150"/>
      <c r="J112" s="150"/>
      <c r="K112" s="150"/>
      <c r="L112" s="1285"/>
      <c r="M112" s="1286"/>
      <c r="N112" s="1284"/>
      <c r="O112" s="150"/>
      <c r="P112" s="150"/>
      <c r="Q112" s="1287"/>
      <c r="R112" s="1287"/>
      <c r="S112" s="149"/>
      <c r="T112" s="149"/>
      <c r="U112" s="150"/>
      <c r="V112" s="150"/>
      <c r="W112" s="150"/>
      <c r="X112" s="150"/>
      <c r="Y112" s="150"/>
      <c r="Z112" s="150"/>
      <c r="AA112" s="150"/>
      <c r="AC112" s="1211"/>
      <c r="AD112" s="1211"/>
      <c r="AE112" s="1211"/>
      <c r="AF112" s="1211"/>
      <c r="AG112" s="1211"/>
      <c r="AH112" s="1211"/>
      <c r="AI112" s="1211"/>
      <c r="AJ112" s="1211"/>
      <c r="AK112" s="1211"/>
      <c r="AL112" s="1211"/>
      <c r="AM112" s="1211"/>
    </row>
    <row r="113" spans="2:39" s="244" customFormat="1">
      <c r="B113" s="1278"/>
      <c r="C113" s="1282"/>
      <c r="D113" s="1283"/>
      <c r="E113" s="1282"/>
      <c r="F113" s="1284"/>
      <c r="G113" s="150"/>
      <c r="H113" s="150"/>
      <c r="I113" s="150"/>
      <c r="J113" s="150"/>
      <c r="K113" s="150"/>
      <c r="L113" s="1285"/>
      <c r="M113" s="1286"/>
      <c r="N113" s="1284"/>
      <c r="O113" s="150"/>
      <c r="P113" s="150"/>
      <c r="Q113" s="1287"/>
      <c r="R113" s="1287"/>
      <c r="S113" s="149"/>
      <c r="T113" s="149"/>
      <c r="U113" s="150"/>
      <c r="V113" s="150"/>
      <c r="W113" s="150"/>
      <c r="X113" s="150"/>
      <c r="Y113" s="150"/>
      <c r="Z113" s="150"/>
      <c r="AA113" s="150"/>
      <c r="AC113" s="1211"/>
      <c r="AD113" s="1211"/>
      <c r="AE113" s="1211"/>
      <c r="AF113" s="1211"/>
      <c r="AG113" s="1211"/>
      <c r="AH113" s="1211"/>
      <c r="AI113" s="1211"/>
      <c r="AJ113" s="1211"/>
      <c r="AK113" s="1211"/>
      <c r="AL113" s="1211"/>
      <c r="AM113" s="1211"/>
    </row>
    <row r="114" spans="2:39" s="244" customFormat="1">
      <c r="B114" s="1278"/>
      <c r="C114" s="1282"/>
      <c r="D114" s="1283"/>
      <c r="E114" s="1282"/>
      <c r="F114" s="1284"/>
      <c r="G114" s="150"/>
      <c r="H114" s="150"/>
      <c r="I114" s="150"/>
      <c r="J114" s="150"/>
      <c r="K114" s="150"/>
      <c r="L114" s="1285"/>
      <c r="M114" s="1286"/>
      <c r="N114" s="1284"/>
      <c r="O114" s="150"/>
      <c r="P114" s="150"/>
      <c r="Q114" s="1287"/>
      <c r="R114" s="1287"/>
      <c r="S114" s="149"/>
      <c r="T114" s="149"/>
      <c r="U114" s="150"/>
      <c r="V114" s="150"/>
      <c r="W114" s="150"/>
      <c r="X114" s="150"/>
      <c r="Y114" s="150"/>
      <c r="Z114" s="150"/>
      <c r="AA114" s="150"/>
      <c r="AC114" s="1211"/>
      <c r="AD114" s="1211"/>
      <c r="AE114" s="1211"/>
      <c r="AF114" s="1211"/>
      <c r="AG114" s="1211"/>
      <c r="AH114" s="1211"/>
      <c r="AI114" s="1211"/>
      <c r="AJ114" s="1211"/>
      <c r="AK114" s="1211"/>
      <c r="AL114" s="1211"/>
      <c r="AM114" s="1211"/>
    </row>
    <row r="115" spans="2:39" s="244" customFormat="1">
      <c r="B115" s="1278"/>
      <c r="C115" s="1282"/>
      <c r="D115" s="1283"/>
      <c r="E115" s="1282"/>
      <c r="F115" s="1284"/>
      <c r="G115" s="150"/>
      <c r="H115" s="150"/>
      <c r="I115" s="150"/>
      <c r="J115" s="150"/>
      <c r="K115" s="150"/>
      <c r="L115" s="1285"/>
      <c r="M115" s="1286"/>
      <c r="N115" s="1284"/>
      <c r="O115" s="150"/>
      <c r="P115" s="150"/>
      <c r="Q115" s="1287"/>
      <c r="R115" s="1287"/>
      <c r="S115" s="149"/>
      <c r="T115" s="149"/>
      <c r="U115" s="150"/>
      <c r="V115" s="150"/>
      <c r="W115" s="150"/>
      <c r="X115" s="150"/>
      <c r="Y115" s="150"/>
      <c r="Z115" s="150"/>
      <c r="AA115" s="150"/>
      <c r="AC115" s="1211"/>
      <c r="AD115" s="1211"/>
      <c r="AE115" s="1211"/>
      <c r="AF115" s="1211"/>
      <c r="AG115" s="1211"/>
      <c r="AH115" s="1211"/>
      <c r="AI115" s="1211"/>
      <c r="AJ115" s="1211"/>
      <c r="AK115" s="1211"/>
      <c r="AL115" s="1211"/>
      <c r="AM115" s="1211"/>
    </row>
    <row r="116" spans="2:39" s="244" customFormat="1">
      <c r="B116" s="1278"/>
      <c r="C116" s="1282"/>
      <c r="D116" s="1283"/>
      <c r="E116" s="1282"/>
      <c r="F116" s="1284"/>
      <c r="G116" s="150"/>
      <c r="H116" s="150"/>
      <c r="I116" s="150"/>
      <c r="J116" s="150"/>
      <c r="K116" s="150"/>
      <c r="L116" s="1285"/>
      <c r="M116" s="1286"/>
      <c r="N116" s="1284"/>
      <c r="O116" s="150"/>
      <c r="P116" s="150"/>
      <c r="Q116" s="1287"/>
      <c r="R116" s="1287"/>
      <c r="S116" s="149"/>
      <c r="T116" s="149"/>
      <c r="U116" s="150"/>
      <c r="V116" s="150"/>
      <c r="W116" s="150"/>
      <c r="X116" s="150"/>
      <c r="Y116" s="150"/>
      <c r="Z116" s="150"/>
      <c r="AA116" s="150"/>
      <c r="AC116" s="1211"/>
      <c r="AD116" s="1211"/>
      <c r="AE116" s="1211"/>
      <c r="AF116" s="1211"/>
      <c r="AG116" s="1211"/>
      <c r="AH116" s="1211"/>
      <c r="AI116" s="1211"/>
      <c r="AJ116" s="1211"/>
      <c r="AK116" s="1211"/>
      <c r="AL116" s="1211"/>
      <c r="AM116" s="1211"/>
    </row>
    <row r="117" spans="2:39" s="244" customFormat="1">
      <c r="B117" s="1278"/>
      <c r="C117" s="1282"/>
      <c r="D117" s="1283"/>
      <c r="E117" s="1282"/>
      <c r="F117" s="1284"/>
      <c r="G117" s="150"/>
      <c r="H117" s="150"/>
      <c r="I117" s="150"/>
      <c r="J117" s="150"/>
      <c r="K117" s="150"/>
      <c r="L117" s="1285"/>
      <c r="M117" s="1286"/>
      <c r="N117" s="1284"/>
      <c r="O117" s="150"/>
      <c r="P117" s="150"/>
      <c r="Q117" s="1287"/>
      <c r="R117" s="1287"/>
      <c r="S117" s="149"/>
      <c r="T117" s="149"/>
      <c r="U117" s="150"/>
      <c r="V117" s="150"/>
      <c r="W117" s="150"/>
      <c r="X117" s="150"/>
      <c r="Y117" s="150"/>
      <c r="Z117" s="150"/>
      <c r="AA117" s="150"/>
      <c r="AC117" s="1211"/>
      <c r="AD117" s="1211"/>
      <c r="AE117" s="1211"/>
      <c r="AF117" s="1211"/>
      <c r="AG117" s="1211"/>
      <c r="AH117" s="1211"/>
      <c r="AI117" s="1211"/>
      <c r="AJ117" s="1211"/>
      <c r="AK117" s="1211"/>
      <c r="AL117" s="1211"/>
      <c r="AM117" s="1211"/>
    </row>
    <row r="118" spans="2:39" s="244" customFormat="1">
      <c r="B118" s="1278"/>
      <c r="C118" s="1282"/>
      <c r="D118" s="1283"/>
      <c r="E118" s="1282"/>
      <c r="F118" s="1284"/>
      <c r="G118" s="150"/>
      <c r="H118" s="150"/>
      <c r="I118" s="150"/>
      <c r="J118" s="150"/>
      <c r="K118" s="150"/>
      <c r="L118" s="1285"/>
      <c r="M118" s="1286"/>
      <c r="N118" s="1284"/>
      <c r="O118" s="150"/>
      <c r="P118" s="150"/>
      <c r="Q118" s="1287"/>
      <c r="R118" s="1287"/>
      <c r="S118" s="149"/>
      <c r="T118" s="149"/>
      <c r="U118" s="150"/>
      <c r="V118" s="150"/>
      <c r="W118" s="150"/>
      <c r="X118" s="150"/>
      <c r="Y118" s="150"/>
      <c r="Z118" s="150"/>
      <c r="AA118" s="150"/>
      <c r="AC118" s="1211"/>
      <c r="AD118" s="1211"/>
      <c r="AE118" s="1211"/>
      <c r="AF118" s="1211"/>
      <c r="AG118" s="1211"/>
      <c r="AH118" s="1211"/>
      <c r="AI118" s="1211"/>
      <c r="AJ118" s="1211"/>
      <c r="AK118" s="1211"/>
      <c r="AL118" s="1211"/>
      <c r="AM118" s="1211"/>
    </row>
    <row r="119" spans="2:39" s="244" customFormat="1">
      <c r="B119" s="1278"/>
      <c r="C119" s="1282"/>
      <c r="D119" s="1283"/>
      <c r="E119" s="1282"/>
      <c r="F119" s="1284"/>
      <c r="G119" s="150"/>
      <c r="H119" s="150"/>
      <c r="I119" s="150"/>
      <c r="J119" s="150"/>
      <c r="K119" s="150"/>
      <c r="L119" s="1285"/>
      <c r="M119" s="1286"/>
      <c r="N119" s="1284"/>
      <c r="O119" s="150"/>
      <c r="P119" s="150"/>
      <c r="Q119" s="1287"/>
      <c r="R119" s="1287"/>
      <c r="S119" s="149"/>
      <c r="T119" s="149"/>
      <c r="U119" s="150"/>
      <c r="V119" s="150"/>
      <c r="W119" s="150"/>
      <c r="X119" s="150"/>
      <c r="Y119" s="150"/>
      <c r="Z119" s="150"/>
      <c r="AA119" s="150"/>
      <c r="AC119" s="1211"/>
      <c r="AD119" s="1211"/>
      <c r="AE119" s="1211"/>
      <c r="AF119" s="1211"/>
      <c r="AG119" s="1211"/>
      <c r="AH119" s="1211"/>
      <c r="AI119" s="1211"/>
      <c r="AJ119" s="1211"/>
      <c r="AK119" s="1211"/>
      <c r="AL119" s="1211"/>
      <c r="AM119" s="1211"/>
    </row>
    <row r="120" spans="2:39" s="244" customFormat="1">
      <c r="B120" s="1278"/>
      <c r="C120" s="1282"/>
      <c r="D120" s="1283"/>
      <c r="E120" s="1282"/>
      <c r="F120" s="1284"/>
      <c r="G120" s="150"/>
      <c r="H120" s="150"/>
      <c r="I120" s="150"/>
      <c r="J120" s="150"/>
      <c r="K120" s="150"/>
      <c r="L120" s="1285"/>
      <c r="M120" s="1286"/>
      <c r="N120" s="1284"/>
      <c r="O120" s="150"/>
      <c r="P120" s="150"/>
      <c r="Q120" s="1287"/>
      <c r="R120" s="1287"/>
      <c r="S120" s="149"/>
      <c r="T120" s="149"/>
      <c r="U120" s="150"/>
      <c r="V120" s="150"/>
      <c r="W120" s="150"/>
      <c r="X120" s="150"/>
      <c r="Y120" s="150"/>
      <c r="Z120" s="150"/>
      <c r="AA120" s="150"/>
      <c r="AC120" s="1211"/>
      <c r="AD120" s="1211"/>
      <c r="AE120" s="1211"/>
      <c r="AF120" s="1211"/>
      <c r="AG120" s="1211"/>
      <c r="AH120" s="1211"/>
      <c r="AI120" s="1211"/>
      <c r="AJ120" s="1211"/>
      <c r="AK120" s="1211"/>
      <c r="AL120" s="1211"/>
      <c r="AM120" s="1211"/>
    </row>
    <row r="121" spans="2:39" s="244" customFormat="1">
      <c r="B121" s="1278"/>
      <c r="C121" s="1282"/>
      <c r="D121" s="1283"/>
      <c r="E121" s="1282"/>
      <c r="F121" s="1284"/>
      <c r="G121" s="150"/>
      <c r="H121" s="150"/>
      <c r="I121" s="150"/>
      <c r="J121" s="150"/>
      <c r="K121" s="150"/>
      <c r="L121" s="1285"/>
      <c r="M121" s="1286"/>
      <c r="N121" s="1284"/>
      <c r="O121" s="150"/>
      <c r="P121" s="150"/>
      <c r="Q121" s="1287"/>
      <c r="R121" s="1287"/>
      <c r="S121" s="149"/>
      <c r="T121" s="149"/>
      <c r="U121" s="150"/>
      <c r="V121" s="150"/>
      <c r="W121" s="150"/>
      <c r="X121" s="150"/>
      <c r="Y121" s="150"/>
      <c r="Z121" s="150"/>
      <c r="AA121" s="150"/>
      <c r="AC121" s="1211"/>
      <c r="AD121" s="1211"/>
      <c r="AE121" s="1211"/>
      <c r="AF121" s="1211"/>
      <c r="AG121" s="1211"/>
      <c r="AH121" s="1211"/>
      <c r="AI121" s="1211"/>
      <c r="AJ121" s="1211"/>
      <c r="AK121" s="1211"/>
      <c r="AL121" s="1211"/>
      <c r="AM121" s="1211"/>
    </row>
    <row r="122" spans="2:39" s="244" customFormat="1">
      <c r="B122" s="1278"/>
      <c r="C122" s="1282"/>
      <c r="D122" s="1283"/>
      <c r="E122" s="1282"/>
      <c r="F122" s="1284"/>
      <c r="G122" s="150"/>
      <c r="H122" s="150"/>
      <c r="I122" s="150"/>
      <c r="J122" s="150"/>
      <c r="K122" s="150"/>
      <c r="L122" s="1285"/>
      <c r="M122" s="1286"/>
      <c r="N122" s="1284"/>
      <c r="O122" s="150"/>
      <c r="P122" s="150"/>
      <c r="Q122" s="1287"/>
      <c r="R122" s="1287"/>
      <c r="S122" s="149"/>
      <c r="T122" s="149"/>
      <c r="U122" s="150"/>
      <c r="V122" s="150"/>
      <c r="W122" s="150"/>
      <c r="X122" s="150"/>
      <c r="Y122" s="150"/>
      <c r="Z122" s="150"/>
      <c r="AA122" s="150"/>
      <c r="AC122" s="1211"/>
      <c r="AD122" s="1211"/>
      <c r="AE122" s="1211"/>
      <c r="AF122" s="1211"/>
      <c r="AG122" s="1211"/>
      <c r="AH122" s="1211"/>
      <c r="AI122" s="1211"/>
      <c r="AJ122" s="1211"/>
      <c r="AK122" s="1211"/>
      <c r="AL122" s="1211"/>
      <c r="AM122" s="1211"/>
    </row>
    <row r="123" spans="2:39" s="244" customFormat="1">
      <c r="B123" s="1278"/>
      <c r="C123" s="1282"/>
      <c r="D123" s="1283"/>
      <c r="E123" s="1282"/>
      <c r="F123" s="1284"/>
      <c r="G123" s="150"/>
      <c r="H123" s="150"/>
      <c r="I123" s="150"/>
      <c r="J123" s="150"/>
      <c r="K123" s="150"/>
      <c r="L123" s="1285"/>
      <c r="M123" s="1286"/>
      <c r="N123" s="1284"/>
      <c r="O123" s="150"/>
      <c r="P123" s="150"/>
      <c r="Q123" s="1287"/>
      <c r="R123" s="1287"/>
      <c r="S123" s="149"/>
      <c r="T123" s="149"/>
      <c r="U123" s="150"/>
      <c r="V123" s="150"/>
      <c r="W123" s="150"/>
      <c r="X123" s="150"/>
      <c r="Y123" s="150"/>
      <c r="Z123" s="150"/>
      <c r="AA123" s="150"/>
      <c r="AC123" s="1211"/>
      <c r="AD123" s="1211"/>
      <c r="AE123" s="1211"/>
      <c r="AF123" s="1211"/>
      <c r="AG123" s="1211"/>
      <c r="AH123" s="1211"/>
      <c r="AI123" s="1211"/>
      <c r="AJ123" s="1211"/>
      <c r="AK123" s="1211"/>
      <c r="AL123" s="1211"/>
      <c r="AM123" s="1211"/>
    </row>
    <row r="124" spans="2:39" s="244" customFormat="1">
      <c r="B124" s="1278"/>
      <c r="C124" s="1282"/>
      <c r="D124" s="1283"/>
      <c r="E124" s="1282"/>
      <c r="F124" s="1284"/>
      <c r="G124" s="150"/>
      <c r="H124" s="150"/>
      <c r="I124" s="150"/>
      <c r="J124" s="150"/>
      <c r="K124" s="150"/>
      <c r="L124" s="1285"/>
      <c r="M124" s="1286"/>
      <c r="N124" s="1284"/>
      <c r="O124" s="150"/>
      <c r="P124" s="150"/>
      <c r="Q124" s="1287"/>
      <c r="R124" s="1287"/>
      <c r="S124" s="149"/>
      <c r="T124" s="149"/>
      <c r="U124" s="150"/>
      <c r="V124" s="150"/>
      <c r="W124" s="150"/>
      <c r="X124" s="150"/>
      <c r="Y124" s="150"/>
      <c r="Z124" s="150"/>
      <c r="AA124" s="150"/>
      <c r="AC124" s="1211"/>
      <c r="AD124" s="1211"/>
      <c r="AE124" s="1211"/>
      <c r="AF124" s="1211"/>
      <c r="AG124" s="1211"/>
      <c r="AH124" s="1211"/>
      <c r="AI124" s="1211"/>
      <c r="AJ124" s="1211"/>
      <c r="AK124" s="1211"/>
      <c r="AL124" s="1211"/>
      <c r="AM124" s="1211"/>
    </row>
    <row r="125" spans="2:39" s="244" customFormat="1">
      <c r="B125" s="1278"/>
      <c r="C125" s="1282"/>
      <c r="D125" s="1283"/>
      <c r="E125" s="1282"/>
      <c r="F125" s="1284"/>
      <c r="G125" s="150"/>
      <c r="H125" s="150"/>
      <c r="I125" s="150"/>
      <c r="J125" s="150"/>
      <c r="K125" s="150"/>
      <c r="L125" s="1285"/>
      <c r="M125" s="1286"/>
      <c r="N125" s="1284"/>
      <c r="O125" s="150"/>
      <c r="P125" s="150"/>
      <c r="Q125" s="1287"/>
      <c r="R125" s="1287"/>
      <c r="S125" s="149"/>
      <c r="T125" s="149"/>
      <c r="U125" s="150"/>
      <c r="V125" s="150"/>
      <c r="W125" s="150"/>
      <c r="X125" s="150"/>
      <c r="Y125" s="150"/>
      <c r="Z125" s="150"/>
      <c r="AA125" s="150"/>
      <c r="AC125" s="1211"/>
      <c r="AD125" s="1211"/>
      <c r="AE125" s="1211"/>
      <c r="AF125" s="1211"/>
      <c r="AG125" s="1211"/>
      <c r="AH125" s="1211"/>
      <c r="AI125" s="1211"/>
      <c r="AJ125" s="1211"/>
      <c r="AK125" s="1211"/>
      <c r="AL125" s="1211"/>
      <c r="AM125" s="1211"/>
    </row>
    <row r="126" spans="2:39" s="244" customFormat="1">
      <c r="B126" s="1278"/>
      <c r="C126" s="1282"/>
      <c r="D126" s="1283"/>
      <c r="E126" s="1282"/>
      <c r="F126" s="1284"/>
      <c r="G126" s="150"/>
      <c r="H126" s="150"/>
      <c r="I126" s="150"/>
      <c r="J126" s="150"/>
      <c r="K126" s="150"/>
      <c r="L126" s="1285"/>
      <c r="M126" s="1286"/>
      <c r="N126" s="1284"/>
      <c r="O126" s="150"/>
      <c r="P126" s="150"/>
      <c r="Q126" s="1287"/>
      <c r="R126" s="1287"/>
      <c r="S126" s="149"/>
      <c r="T126" s="149"/>
      <c r="U126" s="150"/>
      <c r="V126" s="150"/>
      <c r="W126" s="150"/>
      <c r="X126" s="150"/>
      <c r="Y126" s="150"/>
      <c r="Z126" s="150"/>
      <c r="AA126" s="150"/>
      <c r="AC126" s="1211"/>
      <c r="AD126" s="1211"/>
      <c r="AE126" s="1211"/>
      <c r="AF126" s="1211"/>
      <c r="AG126" s="1211"/>
      <c r="AH126" s="1211"/>
      <c r="AI126" s="1211"/>
      <c r="AJ126" s="1211"/>
      <c r="AK126" s="1211"/>
      <c r="AL126" s="1211"/>
      <c r="AM126" s="1211"/>
    </row>
    <row r="127" spans="2:39" s="244" customFormat="1">
      <c r="B127" s="1278"/>
      <c r="C127" s="1282"/>
      <c r="D127" s="1283"/>
      <c r="E127" s="1282"/>
      <c r="F127" s="1284"/>
      <c r="G127" s="150"/>
      <c r="H127" s="150"/>
      <c r="I127" s="150"/>
      <c r="J127" s="150"/>
      <c r="K127" s="150"/>
      <c r="L127" s="1285"/>
      <c r="M127" s="1286"/>
      <c r="N127" s="1284"/>
      <c r="O127" s="150"/>
      <c r="P127" s="150"/>
      <c r="Q127" s="1287"/>
      <c r="R127" s="1287"/>
      <c r="S127" s="149"/>
      <c r="T127" s="149"/>
      <c r="U127" s="150"/>
      <c r="V127" s="150"/>
      <c r="W127" s="150"/>
      <c r="X127" s="150"/>
      <c r="Y127" s="150"/>
      <c r="Z127" s="150"/>
      <c r="AA127" s="150"/>
      <c r="AC127" s="1211"/>
      <c r="AD127" s="1211"/>
      <c r="AE127" s="1211"/>
      <c r="AF127" s="1211"/>
      <c r="AG127" s="1211"/>
      <c r="AH127" s="1211"/>
      <c r="AI127" s="1211"/>
      <c r="AJ127" s="1211"/>
      <c r="AK127" s="1211"/>
      <c r="AL127" s="1211"/>
      <c r="AM127" s="1211"/>
    </row>
    <row r="128" spans="2:39" s="244" customFormat="1">
      <c r="B128" s="1278"/>
      <c r="C128" s="1282"/>
      <c r="D128" s="1283"/>
      <c r="E128" s="1282"/>
      <c r="F128" s="1284"/>
      <c r="G128" s="150"/>
      <c r="H128" s="150"/>
      <c r="I128" s="150"/>
      <c r="J128" s="150"/>
      <c r="K128" s="150"/>
      <c r="L128" s="1285"/>
      <c r="M128" s="1286"/>
      <c r="N128" s="1284"/>
      <c r="O128" s="150"/>
      <c r="P128" s="150"/>
      <c r="Q128" s="1287"/>
      <c r="R128" s="1287"/>
      <c r="S128" s="149"/>
      <c r="T128" s="149"/>
      <c r="U128" s="150"/>
      <c r="V128" s="150"/>
      <c r="W128" s="150"/>
      <c r="X128" s="150"/>
      <c r="Y128" s="150"/>
      <c r="Z128" s="150"/>
      <c r="AA128" s="150"/>
      <c r="AB128" s="244">
        <f>SUBTOTAL(9,AB86:AB127)</f>
        <v>0</v>
      </c>
      <c r="AC128" s="1211">
        <f>SUBTOTAL(9,AC86:AC127)</f>
        <v>0</v>
      </c>
      <c r="AD128" s="1211">
        <f>SUBTOTAL(9,AD86:AD127)</f>
        <v>0</v>
      </c>
      <c r="AE128" s="1211"/>
      <c r="AF128" s="1211"/>
      <c r="AG128" s="1211"/>
      <c r="AH128" s="1211"/>
      <c r="AI128" s="1211"/>
      <c r="AJ128" s="1211"/>
      <c r="AK128" s="1211"/>
      <c r="AL128" s="1211"/>
      <c r="AM128" s="1211"/>
    </row>
    <row r="129" spans="2:41" s="244" customFormat="1">
      <c r="B129" s="1278"/>
      <c r="C129" s="1282"/>
      <c r="D129" s="1283"/>
      <c r="E129" s="1282"/>
      <c r="F129" s="1284"/>
      <c r="G129" s="150"/>
      <c r="H129" s="150"/>
      <c r="I129" s="150"/>
      <c r="J129" s="150"/>
      <c r="K129" s="150"/>
      <c r="L129" s="1285"/>
      <c r="M129" s="1286"/>
      <c r="N129" s="1284"/>
      <c r="O129" s="150"/>
      <c r="P129" s="150"/>
      <c r="Q129" s="1287"/>
      <c r="R129" s="1287"/>
      <c r="S129" s="149"/>
      <c r="T129" s="149"/>
      <c r="U129" s="150"/>
      <c r="V129" s="150"/>
      <c r="W129" s="150"/>
      <c r="X129" s="150"/>
      <c r="Y129" s="150"/>
      <c r="Z129" s="150"/>
      <c r="AA129" s="150"/>
      <c r="AB129" s="244">
        <v>0</v>
      </c>
      <c r="AC129" s="1211">
        <v>0</v>
      </c>
      <c r="AD129" s="1211">
        <v>0</v>
      </c>
      <c r="AE129" s="1211"/>
      <c r="AF129" s="1211"/>
      <c r="AG129" s="1211"/>
      <c r="AH129" s="1211"/>
      <c r="AI129" s="1211"/>
      <c r="AJ129" s="1211"/>
      <c r="AK129" s="1211"/>
      <c r="AL129" s="1211"/>
      <c r="AM129" s="1211"/>
    </row>
    <row r="130" spans="2:41" s="244" customFormat="1">
      <c r="B130" s="1278"/>
      <c r="C130" s="1282"/>
      <c r="D130" s="1283"/>
      <c r="E130" s="1282"/>
      <c r="F130" s="1284"/>
      <c r="G130" s="150"/>
      <c r="H130" s="150"/>
      <c r="I130" s="150"/>
      <c r="J130" s="150"/>
      <c r="K130" s="150"/>
      <c r="L130" s="1285"/>
      <c r="M130" s="1286"/>
      <c r="N130" s="1284"/>
      <c r="O130" s="150"/>
      <c r="P130" s="150"/>
      <c r="Q130" s="1287"/>
      <c r="R130" s="1287"/>
      <c r="S130" s="149"/>
      <c r="T130" s="149"/>
      <c r="U130" s="150"/>
      <c r="V130" s="150"/>
      <c r="W130" s="150"/>
      <c r="X130" s="150"/>
      <c r="Y130" s="150"/>
      <c r="Z130" s="150"/>
      <c r="AA130" s="150"/>
      <c r="AB130" s="244">
        <v>0</v>
      </c>
      <c r="AC130" s="1211">
        <v>0</v>
      </c>
      <c r="AD130" s="1211">
        <v>0</v>
      </c>
      <c r="AE130" s="1211"/>
      <c r="AF130" s="1211"/>
      <c r="AG130" s="1211"/>
      <c r="AH130" s="1211"/>
      <c r="AI130" s="1211"/>
      <c r="AJ130" s="1211"/>
      <c r="AK130" s="1211"/>
      <c r="AL130" s="1211"/>
      <c r="AM130" s="1211"/>
    </row>
    <row r="131" spans="2:41" s="244" customFormat="1">
      <c r="B131" s="1278"/>
      <c r="C131" s="1282"/>
      <c r="D131" s="1283"/>
      <c r="E131" s="1282"/>
      <c r="F131" s="1284"/>
      <c r="G131" s="150"/>
      <c r="H131" s="150"/>
      <c r="I131" s="150"/>
      <c r="J131" s="150"/>
      <c r="K131" s="150"/>
      <c r="L131" s="1285"/>
      <c r="M131" s="1286"/>
      <c r="N131" s="1284"/>
      <c r="O131" s="150"/>
      <c r="P131" s="150"/>
      <c r="Q131" s="1287"/>
      <c r="R131" s="1287"/>
      <c r="S131" s="149"/>
      <c r="T131" s="149"/>
      <c r="U131" s="150"/>
      <c r="V131" s="150"/>
      <c r="W131" s="150"/>
      <c r="X131" s="150"/>
      <c r="Y131" s="150"/>
      <c r="Z131" s="150"/>
      <c r="AA131" s="150"/>
      <c r="AB131" s="244">
        <v>0</v>
      </c>
      <c r="AC131" s="1211">
        <v>0</v>
      </c>
      <c r="AD131" s="1211">
        <v>0</v>
      </c>
      <c r="AE131" s="1211"/>
      <c r="AF131" s="1211"/>
      <c r="AG131" s="1211"/>
      <c r="AH131" s="1211"/>
      <c r="AI131" s="1211"/>
      <c r="AJ131" s="1211"/>
      <c r="AK131" s="1211"/>
      <c r="AL131" s="1211"/>
      <c r="AM131" s="1211"/>
    </row>
    <row r="132" spans="2:41" s="244" customFormat="1">
      <c r="B132" s="1278"/>
      <c r="C132" s="1282"/>
      <c r="D132" s="1283"/>
      <c r="E132" s="1282"/>
      <c r="F132" s="1284"/>
      <c r="G132" s="150"/>
      <c r="H132" s="150"/>
      <c r="I132" s="150"/>
      <c r="J132" s="150"/>
      <c r="K132" s="150"/>
      <c r="L132" s="1285"/>
      <c r="M132" s="1286"/>
      <c r="N132" s="1284"/>
      <c r="O132" s="150"/>
      <c r="P132" s="150"/>
      <c r="Q132" s="1287"/>
      <c r="R132" s="1287"/>
      <c r="S132" s="149"/>
      <c r="T132" s="149"/>
      <c r="U132" s="150"/>
      <c r="V132" s="150"/>
      <c r="W132" s="150"/>
      <c r="X132" s="150"/>
      <c r="Y132" s="150"/>
      <c r="Z132" s="150"/>
      <c r="AA132" s="150"/>
      <c r="AB132" s="244">
        <v>0</v>
      </c>
      <c r="AC132" s="1211">
        <v>0</v>
      </c>
      <c r="AD132" s="1211">
        <v>0</v>
      </c>
      <c r="AE132" s="1211"/>
      <c r="AF132" s="1211"/>
      <c r="AG132" s="1211"/>
      <c r="AH132" s="1211"/>
      <c r="AI132" s="1211"/>
      <c r="AJ132" s="1211"/>
      <c r="AK132" s="1211"/>
      <c r="AL132" s="1211"/>
      <c r="AM132" s="1211"/>
    </row>
    <row r="133" spans="2:41" s="244" customFormat="1">
      <c r="B133" s="1278"/>
      <c r="C133" s="1282"/>
      <c r="D133" s="1283"/>
      <c r="E133" s="1282"/>
      <c r="F133" s="1284"/>
      <c r="G133" s="150"/>
      <c r="H133" s="150"/>
      <c r="I133" s="150"/>
      <c r="J133" s="150"/>
      <c r="K133" s="150"/>
      <c r="L133" s="1285"/>
      <c r="M133" s="1286"/>
      <c r="N133" s="1284"/>
      <c r="O133" s="150"/>
      <c r="P133" s="150"/>
      <c r="Q133" s="1287"/>
      <c r="R133" s="1287"/>
      <c r="S133" s="149"/>
      <c r="T133" s="149"/>
      <c r="U133" s="150"/>
      <c r="V133" s="150"/>
      <c r="W133" s="150"/>
      <c r="X133" s="150"/>
      <c r="Y133" s="150"/>
      <c r="Z133" s="150"/>
      <c r="AA133" s="150"/>
      <c r="AB133" s="244">
        <v>0</v>
      </c>
      <c r="AC133" s="1211">
        <v>0</v>
      </c>
      <c r="AD133" s="1211">
        <v>0</v>
      </c>
      <c r="AE133" s="1211"/>
      <c r="AF133" s="1211"/>
      <c r="AG133" s="1211"/>
      <c r="AH133" s="1211"/>
      <c r="AI133" s="1211"/>
      <c r="AJ133" s="1211"/>
      <c r="AK133" s="1211"/>
      <c r="AL133" s="1211"/>
      <c r="AM133" s="1211"/>
    </row>
    <row r="134" spans="2:41" s="244" customFormat="1">
      <c r="B134" s="1278"/>
      <c r="C134" s="1282"/>
      <c r="D134" s="1283"/>
      <c r="E134" s="1282"/>
      <c r="F134" s="1284"/>
      <c r="G134" s="150"/>
      <c r="H134" s="150"/>
      <c r="I134" s="150"/>
      <c r="J134" s="150"/>
      <c r="K134" s="150"/>
      <c r="L134" s="1285"/>
      <c r="M134" s="1286"/>
      <c r="N134" s="1284"/>
      <c r="O134" s="150"/>
      <c r="P134" s="150"/>
      <c r="Q134" s="1287"/>
      <c r="R134" s="1287"/>
      <c r="S134" s="149"/>
      <c r="T134" s="149"/>
      <c r="U134" s="150"/>
      <c r="V134" s="150"/>
      <c r="W134" s="150"/>
      <c r="X134" s="150"/>
      <c r="Y134" s="150"/>
      <c r="Z134" s="150"/>
      <c r="AA134" s="150"/>
      <c r="AB134" s="244">
        <v>0</v>
      </c>
      <c r="AC134" s="1211">
        <v>0</v>
      </c>
      <c r="AD134" s="1211">
        <v>0</v>
      </c>
      <c r="AE134" s="1211"/>
      <c r="AF134" s="1211"/>
      <c r="AG134" s="1211"/>
      <c r="AH134" s="1211"/>
      <c r="AI134" s="1211"/>
      <c r="AJ134" s="1211"/>
      <c r="AK134" s="1211"/>
      <c r="AL134" s="1211"/>
      <c r="AM134" s="1211"/>
    </row>
    <row r="135" spans="2:41" s="244" customFormat="1">
      <c r="B135" s="1278"/>
      <c r="C135" s="1282"/>
      <c r="D135" s="1283"/>
      <c r="E135" s="1282"/>
      <c r="F135" s="1284"/>
      <c r="G135" s="150"/>
      <c r="H135" s="150"/>
      <c r="I135" s="150"/>
      <c r="J135" s="150"/>
      <c r="K135" s="150"/>
      <c r="L135" s="1285"/>
      <c r="M135" s="1286"/>
      <c r="N135" s="1284"/>
      <c r="O135" s="150"/>
      <c r="P135" s="150"/>
      <c r="Q135" s="1287"/>
      <c r="R135" s="1287"/>
      <c r="S135" s="149"/>
      <c r="T135" s="149"/>
      <c r="U135" s="150"/>
      <c r="V135" s="150"/>
      <c r="W135" s="150"/>
      <c r="X135" s="150"/>
      <c r="Y135" s="150"/>
      <c r="Z135" s="150"/>
      <c r="AA135" s="150"/>
      <c r="AB135" s="244">
        <v>0</v>
      </c>
      <c r="AC135" s="1211">
        <v>0</v>
      </c>
      <c r="AD135" s="1211">
        <v>0</v>
      </c>
      <c r="AE135" s="1211"/>
      <c r="AF135" s="1211"/>
      <c r="AG135" s="1211"/>
      <c r="AH135" s="1211"/>
      <c r="AI135" s="1211"/>
      <c r="AJ135" s="1211"/>
      <c r="AK135" s="1211"/>
      <c r="AL135" s="1211"/>
      <c r="AM135" s="1211"/>
    </row>
    <row r="136" spans="2:41" s="244" customFormat="1">
      <c r="B136" s="1278"/>
      <c r="C136" s="1282"/>
      <c r="D136" s="1283"/>
      <c r="E136" s="1282"/>
      <c r="F136" s="1284"/>
      <c r="G136" s="150"/>
      <c r="H136" s="150"/>
      <c r="I136" s="150"/>
      <c r="J136" s="150"/>
      <c r="K136" s="150"/>
      <c r="L136" s="1285"/>
      <c r="M136" s="1286"/>
      <c r="N136" s="1284"/>
      <c r="O136" s="150"/>
      <c r="P136" s="150"/>
      <c r="Q136" s="1287"/>
      <c r="R136" s="1287"/>
      <c r="S136" s="149"/>
      <c r="T136" s="149"/>
      <c r="U136" s="150"/>
      <c r="V136" s="150"/>
      <c r="W136" s="150"/>
      <c r="X136" s="150"/>
      <c r="Y136" s="150"/>
      <c r="Z136" s="150"/>
      <c r="AA136" s="150"/>
      <c r="AB136" s="244">
        <v>0</v>
      </c>
      <c r="AC136" s="1211">
        <v>0</v>
      </c>
      <c r="AD136" s="1211">
        <v>0</v>
      </c>
      <c r="AE136" s="1211"/>
      <c r="AF136" s="1211"/>
      <c r="AG136" s="1211"/>
      <c r="AH136" s="1211"/>
      <c r="AI136" s="1211"/>
      <c r="AJ136" s="1211"/>
      <c r="AK136" s="1211"/>
      <c r="AL136" s="1211"/>
      <c r="AM136" s="1211"/>
    </row>
    <row r="137" spans="2:41" s="244" customFormat="1">
      <c r="B137" s="1278"/>
      <c r="C137" s="1282"/>
      <c r="D137" s="1283"/>
      <c r="E137" s="1282"/>
      <c r="F137" s="1284"/>
      <c r="G137" s="150"/>
      <c r="H137" s="150"/>
      <c r="I137" s="150"/>
      <c r="J137" s="150"/>
      <c r="K137" s="150"/>
      <c r="L137" s="1285"/>
      <c r="M137" s="1286"/>
      <c r="N137" s="1284"/>
      <c r="O137" s="150"/>
      <c r="P137" s="150"/>
      <c r="Q137" s="1287"/>
      <c r="R137" s="1287"/>
      <c r="S137" s="149"/>
      <c r="T137" s="149"/>
      <c r="U137" s="150"/>
      <c r="V137" s="150"/>
      <c r="W137" s="150"/>
      <c r="X137" s="150"/>
      <c r="Y137" s="150"/>
      <c r="Z137" s="150"/>
      <c r="AA137" s="150"/>
      <c r="AB137" s="244">
        <v>0</v>
      </c>
      <c r="AC137" s="1211">
        <v>0</v>
      </c>
      <c r="AD137" s="1211">
        <v>0</v>
      </c>
      <c r="AE137" s="1211"/>
      <c r="AF137" s="1211"/>
      <c r="AG137" s="1211"/>
      <c r="AH137" s="1211"/>
      <c r="AI137" s="1211"/>
      <c r="AJ137" s="1211"/>
      <c r="AK137" s="1211"/>
      <c r="AL137" s="1211"/>
      <c r="AM137" s="1211"/>
    </row>
    <row r="138" spans="2:41" s="244" customFormat="1">
      <c r="B138" s="1278"/>
      <c r="C138" s="1282"/>
      <c r="D138" s="1283"/>
      <c r="E138" s="1282"/>
      <c r="F138" s="1284"/>
      <c r="G138" s="150"/>
      <c r="H138" s="150"/>
      <c r="I138" s="150"/>
      <c r="J138" s="150"/>
      <c r="K138" s="150"/>
      <c r="L138" s="1285"/>
      <c r="M138" s="1286"/>
      <c r="N138" s="1284"/>
      <c r="O138" s="150"/>
      <c r="P138" s="150"/>
      <c r="Q138" s="1287"/>
      <c r="R138" s="1287"/>
      <c r="S138" s="149"/>
      <c r="T138" s="149"/>
      <c r="U138" s="150"/>
      <c r="V138" s="150"/>
      <c r="W138" s="150"/>
      <c r="X138" s="150"/>
      <c r="Y138" s="150"/>
      <c r="Z138" s="150"/>
      <c r="AA138" s="150"/>
      <c r="AB138" s="244">
        <v>0</v>
      </c>
      <c r="AC138" s="1211">
        <v>0</v>
      </c>
      <c r="AD138" s="1211">
        <v>0</v>
      </c>
      <c r="AE138" s="1211"/>
      <c r="AF138" s="1211"/>
      <c r="AG138" s="1211"/>
      <c r="AH138" s="1211"/>
      <c r="AI138" s="1211"/>
      <c r="AJ138" s="1211"/>
      <c r="AK138" s="1211"/>
      <c r="AL138" s="1211"/>
      <c r="AM138" s="1211"/>
    </row>
    <row r="139" spans="2:41" s="244" customFormat="1">
      <c r="B139" s="1278"/>
      <c r="C139" s="1282"/>
      <c r="D139" s="1283"/>
      <c r="E139" s="1282"/>
      <c r="F139" s="1284"/>
      <c r="G139" s="150"/>
      <c r="H139" s="150"/>
      <c r="I139" s="150"/>
      <c r="J139" s="150"/>
      <c r="K139" s="150"/>
      <c r="L139" s="1285"/>
      <c r="M139" s="1286"/>
      <c r="N139" s="1284"/>
      <c r="O139" s="150"/>
      <c r="P139" s="150"/>
      <c r="Q139" s="1287"/>
      <c r="R139" s="1287"/>
      <c r="S139" s="149"/>
      <c r="T139" s="149"/>
      <c r="U139" s="150">
        <f>SUBTOTAL(9,U97:U138)</f>
        <v>0</v>
      </c>
      <c r="V139" s="150">
        <f t="shared" ref="V139:AA139" si="45">SUBTOTAL(9,V97:V138)</f>
        <v>0</v>
      </c>
      <c r="W139" s="150">
        <f t="shared" si="45"/>
        <v>0</v>
      </c>
      <c r="X139" s="150">
        <f t="shared" si="45"/>
        <v>0</v>
      </c>
      <c r="Y139" s="150">
        <f t="shared" si="45"/>
        <v>0</v>
      </c>
      <c r="Z139" s="150">
        <f t="shared" si="45"/>
        <v>0</v>
      </c>
      <c r="AA139" s="150">
        <f t="shared" si="45"/>
        <v>0</v>
      </c>
      <c r="AB139" s="244">
        <v>0</v>
      </c>
      <c r="AC139" s="1211">
        <v>0</v>
      </c>
      <c r="AD139" s="1211">
        <v>0</v>
      </c>
      <c r="AE139" s="1211"/>
      <c r="AF139" s="1211"/>
      <c r="AG139" s="1211"/>
      <c r="AH139" s="1211"/>
      <c r="AI139" s="1211"/>
      <c r="AJ139" s="1211"/>
      <c r="AK139" s="1211"/>
      <c r="AL139" s="1211"/>
      <c r="AM139" s="1211"/>
    </row>
    <row r="140" spans="2:41" s="244" customFormat="1" ht="12" thickBot="1">
      <c r="B140" s="1278"/>
      <c r="C140" s="1282"/>
      <c r="D140" s="1283"/>
      <c r="E140" s="1282"/>
      <c r="F140" s="1284"/>
      <c r="G140" s="150"/>
      <c r="H140" s="150"/>
      <c r="I140" s="150"/>
      <c r="J140" s="150"/>
      <c r="K140" s="150"/>
      <c r="L140" s="1285"/>
      <c r="M140" s="1286"/>
      <c r="N140" s="1284"/>
      <c r="O140" s="150"/>
      <c r="P140" s="150"/>
      <c r="Q140" s="1287"/>
      <c r="R140" s="1287"/>
      <c r="S140" s="149"/>
      <c r="T140" s="149"/>
      <c r="U140" s="150"/>
      <c r="V140" s="150"/>
      <c r="W140" s="150"/>
      <c r="X140" s="150"/>
      <c r="Y140" s="150"/>
      <c r="Z140" s="150"/>
      <c r="AA140" s="150"/>
      <c r="AC140" s="1211"/>
      <c r="AD140" s="1211"/>
      <c r="AE140" s="1211"/>
      <c r="AF140" s="1211"/>
      <c r="AG140" s="1211"/>
      <c r="AH140" s="1211"/>
      <c r="AI140" s="1211"/>
      <c r="AJ140" s="1211"/>
      <c r="AK140" s="1211"/>
      <c r="AL140" s="1211"/>
      <c r="AM140" s="1211"/>
    </row>
    <row r="141" spans="2:41" s="244" customFormat="1" ht="13" thickTop="1" thickBot="1">
      <c r="B141" s="1278"/>
      <c r="C141" s="1282"/>
      <c r="D141" s="1283"/>
      <c r="E141" s="1282"/>
      <c r="F141" s="1284"/>
      <c r="G141" s="150"/>
      <c r="H141" s="150"/>
      <c r="I141" s="150"/>
      <c r="J141" s="150"/>
      <c r="K141" s="150"/>
      <c r="L141" s="1285"/>
      <c r="M141" s="1286"/>
      <c r="N141" s="1284"/>
      <c r="O141" s="150"/>
      <c r="P141" s="150"/>
      <c r="Q141" s="1287"/>
      <c r="R141" s="1287"/>
      <c r="S141" s="1287"/>
      <c r="T141" s="149"/>
      <c r="U141" s="151"/>
      <c r="V141" s="152"/>
      <c r="W141" s="153"/>
      <c r="X141" s="153"/>
      <c r="Y141" s="153"/>
      <c r="Z141" s="153"/>
      <c r="AA141" s="154"/>
      <c r="AB141" s="1288"/>
      <c r="AC141" s="1288"/>
      <c r="AE141" s="1211"/>
      <c r="AF141" s="1211"/>
      <c r="AG141" s="1211"/>
      <c r="AH141" s="1211"/>
      <c r="AI141" s="1211"/>
      <c r="AJ141" s="1211"/>
      <c r="AK141" s="1211"/>
      <c r="AL141" s="1211"/>
      <c r="AM141" s="1211"/>
      <c r="AN141" s="1211"/>
      <c r="AO141" s="1211"/>
    </row>
    <row r="142" spans="2:41" s="244" customFormat="1" ht="12" thickTop="1">
      <c r="B142" s="1278"/>
      <c r="C142" s="1282"/>
      <c r="D142" s="1283"/>
      <c r="E142" s="1282"/>
      <c r="F142" s="1284"/>
      <c r="G142" s="150"/>
      <c r="H142" s="150"/>
      <c r="I142" s="150"/>
      <c r="J142" s="150"/>
      <c r="K142" s="150"/>
      <c r="L142" s="1285"/>
      <c r="M142" s="1286"/>
      <c r="N142" s="1284"/>
      <c r="O142" s="150"/>
      <c r="P142" s="150"/>
      <c r="Q142" s="1287"/>
      <c r="R142" s="1287"/>
      <c r="S142" s="149"/>
      <c r="T142" s="149"/>
      <c r="U142" s="150"/>
      <c r="V142" s="150"/>
      <c r="W142" s="150"/>
      <c r="X142" s="150"/>
      <c r="Y142" s="150"/>
      <c r="Z142" s="150"/>
      <c r="AA142" s="150"/>
      <c r="AC142" s="1211"/>
      <c r="AD142" s="1211"/>
      <c r="AE142" s="1211"/>
      <c r="AF142" s="1211"/>
      <c r="AG142" s="1211"/>
      <c r="AH142" s="1211"/>
      <c r="AI142" s="1211"/>
      <c r="AJ142" s="1211"/>
      <c r="AK142" s="1211"/>
      <c r="AL142" s="1211"/>
      <c r="AM142" s="1211"/>
    </row>
    <row r="143" spans="2:41" s="244" customFormat="1">
      <c r="B143" s="1278"/>
      <c r="C143" s="1282"/>
      <c r="D143" s="1283"/>
      <c r="E143" s="1282"/>
      <c r="F143" s="1284"/>
      <c r="G143" s="150"/>
      <c r="H143" s="150"/>
      <c r="I143" s="150"/>
      <c r="J143" s="150"/>
      <c r="K143" s="150"/>
      <c r="L143" s="1285"/>
      <c r="M143" s="1286"/>
      <c r="N143" s="1284"/>
      <c r="O143" s="150"/>
      <c r="P143" s="150"/>
      <c r="Q143" s="1287"/>
      <c r="R143" s="1287"/>
      <c r="S143" s="149"/>
      <c r="T143" s="149"/>
      <c r="U143" s="150"/>
      <c r="V143" s="150"/>
      <c r="W143" s="150"/>
      <c r="X143" s="150"/>
      <c r="Y143" s="150"/>
      <c r="Z143" s="150"/>
      <c r="AA143" s="150"/>
      <c r="AC143" s="1211"/>
      <c r="AD143" s="1211"/>
      <c r="AE143" s="1211"/>
      <c r="AF143" s="1211"/>
      <c r="AG143" s="1211"/>
      <c r="AH143" s="1211"/>
      <c r="AI143" s="1211"/>
      <c r="AJ143" s="1211"/>
      <c r="AK143" s="1211"/>
      <c r="AL143" s="1211"/>
      <c r="AM143" s="1211"/>
    </row>
    <row r="144" spans="2:41" s="244" customFormat="1">
      <c r="B144" s="1278"/>
      <c r="C144" s="1282"/>
      <c r="D144" s="1283"/>
      <c r="E144" s="1282"/>
      <c r="F144" s="1284"/>
      <c r="G144" s="150"/>
      <c r="H144" s="150"/>
      <c r="I144" s="150"/>
      <c r="J144" s="150"/>
      <c r="K144" s="150"/>
      <c r="L144" s="1285"/>
      <c r="M144" s="1286"/>
      <c r="N144" s="1284"/>
      <c r="O144" s="150"/>
      <c r="P144" s="150"/>
      <c r="Q144" s="1287"/>
      <c r="R144" s="1287"/>
      <c r="S144" s="149"/>
      <c r="T144" s="149"/>
      <c r="U144" s="150"/>
      <c r="V144" s="150"/>
      <c r="W144" s="150"/>
      <c r="X144" s="150"/>
      <c r="Y144" s="150"/>
      <c r="Z144" s="150"/>
      <c r="AA144" s="150"/>
      <c r="AC144" s="1211"/>
      <c r="AD144" s="1211"/>
      <c r="AE144" s="1211"/>
      <c r="AF144" s="1211"/>
      <c r="AG144" s="1211"/>
      <c r="AH144" s="1211"/>
      <c r="AI144" s="1211"/>
      <c r="AJ144" s="1211"/>
      <c r="AK144" s="1211"/>
      <c r="AL144" s="1211"/>
      <c r="AM144" s="1211"/>
    </row>
    <row r="145" spans="2:39" s="244" customFormat="1">
      <c r="B145" s="1278"/>
      <c r="C145" s="1282"/>
      <c r="D145" s="1283"/>
      <c r="E145" s="1282"/>
      <c r="F145" s="1284"/>
      <c r="G145" s="150"/>
      <c r="H145" s="150"/>
      <c r="I145" s="150"/>
      <c r="J145" s="150"/>
      <c r="K145" s="150"/>
      <c r="L145" s="1285"/>
      <c r="M145" s="1286"/>
      <c r="N145" s="1284"/>
      <c r="O145" s="150"/>
      <c r="P145" s="150"/>
      <c r="Q145" s="1287"/>
      <c r="R145" s="1287"/>
      <c r="S145" s="149"/>
      <c r="T145" s="149"/>
      <c r="U145" s="150"/>
      <c r="V145" s="150"/>
      <c r="W145" s="150"/>
      <c r="X145" s="150"/>
      <c r="Y145" s="150"/>
      <c r="Z145" s="150"/>
      <c r="AA145" s="150"/>
      <c r="AC145" s="1211"/>
      <c r="AD145" s="1211"/>
      <c r="AE145" s="1211"/>
      <c r="AF145" s="1211"/>
      <c r="AG145" s="1211"/>
      <c r="AH145" s="1211"/>
      <c r="AI145" s="1211"/>
      <c r="AJ145" s="1211"/>
      <c r="AK145" s="1211"/>
      <c r="AL145" s="1211"/>
      <c r="AM145" s="1211"/>
    </row>
    <row r="146" spans="2:39" s="244" customFormat="1">
      <c r="B146" s="1278"/>
      <c r="C146" s="1282"/>
      <c r="D146" s="1283"/>
      <c r="E146" s="1282"/>
      <c r="F146" s="1284"/>
      <c r="G146" s="150"/>
      <c r="H146" s="150"/>
      <c r="I146" s="150"/>
      <c r="J146" s="150"/>
      <c r="K146" s="150"/>
      <c r="L146" s="1285"/>
      <c r="M146" s="1286"/>
      <c r="N146" s="1284"/>
      <c r="O146" s="150"/>
      <c r="P146" s="150"/>
      <c r="Q146" s="1287"/>
      <c r="R146" s="1287"/>
      <c r="S146" s="149"/>
      <c r="T146" s="149"/>
      <c r="U146" s="150"/>
      <c r="V146" s="150"/>
      <c r="W146" s="150"/>
      <c r="X146" s="150"/>
      <c r="Y146" s="150"/>
      <c r="Z146" s="150"/>
      <c r="AA146" s="150"/>
      <c r="AC146" s="1211"/>
      <c r="AD146" s="1211"/>
      <c r="AE146" s="1211"/>
      <c r="AF146" s="1211"/>
      <c r="AG146" s="1211"/>
      <c r="AH146" s="1211"/>
      <c r="AI146" s="1211"/>
      <c r="AJ146" s="1211"/>
      <c r="AK146" s="1211"/>
      <c r="AL146" s="1211"/>
      <c r="AM146" s="1211"/>
    </row>
    <row r="147" spans="2:39" s="244" customFormat="1">
      <c r="B147" s="1278"/>
      <c r="C147" s="1282"/>
      <c r="D147" s="1283"/>
      <c r="E147" s="1282"/>
      <c r="F147" s="1284"/>
      <c r="G147" s="150"/>
      <c r="H147" s="150"/>
      <c r="I147" s="150"/>
      <c r="J147" s="150"/>
      <c r="K147" s="150"/>
      <c r="L147" s="1285"/>
      <c r="M147" s="1286"/>
      <c r="N147" s="1284"/>
      <c r="O147" s="150"/>
      <c r="P147" s="150"/>
      <c r="Q147" s="1287"/>
      <c r="R147" s="1287"/>
      <c r="S147" s="149"/>
      <c r="T147" s="149"/>
      <c r="U147" s="150"/>
      <c r="V147" s="150"/>
      <c r="W147" s="150"/>
      <c r="X147" s="150"/>
      <c r="Y147" s="150"/>
      <c r="Z147" s="150"/>
      <c r="AA147" s="150"/>
      <c r="AC147" s="1211"/>
      <c r="AD147" s="1211"/>
      <c r="AE147" s="1211"/>
      <c r="AF147" s="1211"/>
      <c r="AG147" s="1211"/>
      <c r="AH147" s="1211"/>
      <c r="AI147" s="1211"/>
      <c r="AJ147" s="1211"/>
      <c r="AK147" s="1211"/>
      <c r="AL147" s="1211"/>
      <c r="AM147" s="1211"/>
    </row>
    <row r="148" spans="2:39" s="244" customFormat="1">
      <c r="B148" s="1278"/>
      <c r="C148" s="1282"/>
      <c r="D148" s="1283"/>
      <c r="E148" s="1282"/>
      <c r="F148" s="1284"/>
      <c r="G148" s="150"/>
      <c r="H148" s="150"/>
      <c r="I148" s="150"/>
      <c r="J148" s="150"/>
      <c r="K148" s="150"/>
      <c r="L148" s="1285"/>
      <c r="M148" s="1286"/>
      <c r="N148" s="1284"/>
      <c r="O148" s="150"/>
      <c r="P148" s="150"/>
      <c r="Q148" s="1287"/>
      <c r="R148" s="1287"/>
      <c r="S148" s="149"/>
      <c r="T148" s="149"/>
      <c r="U148" s="150"/>
      <c r="V148" s="150"/>
      <c r="W148" s="150"/>
      <c r="X148" s="150"/>
      <c r="Y148" s="150"/>
      <c r="Z148" s="150"/>
      <c r="AA148" s="150"/>
      <c r="AC148" s="1211"/>
      <c r="AD148" s="1211"/>
      <c r="AE148" s="1211"/>
      <c r="AF148" s="1211"/>
      <c r="AG148" s="1211"/>
      <c r="AH148" s="1211"/>
      <c r="AI148" s="1211"/>
      <c r="AJ148" s="1211"/>
      <c r="AK148" s="1211"/>
      <c r="AL148" s="1211"/>
      <c r="AM148" s="1211"/>
    </row>
    <row r="149" spans="2:39" s="244" customFormat="1">
      <c r="B149" s="1278"/>
      <c r="C149" s="1282"/>
      <c r="D149" s="1283"/>
      <c r="E149" s="1282"/>
      <c r="F149" s="1284"/>
      <c r="G149" s="150"/>
      <c r="H149" s="150"/>
      <c r="I149" s="150"/>
      <c r="J149" s="150"/>
      <c r="K149" s="150"/>
      <c r="L149" s="1285"/>
      <c r="M149" s="1286"/>
      <c r="N149" s="1284"/>
      <c r="O149" s="150"/>
      <c r="P149" s="150"/>
      <c r="Q149" s="1287"/>
      <c r="R149" s="1287"/>
      <c r="S149" s="149"/>
      <c r="T149" s="149"/>
      <c r="U149" s="150"/>
      <c r="V149" s="150"/>
      <c r="W149" s="150"/>
      <c r="X149" s="150"/>
      <c r="Y149" s="150"/>
      <c r="Z149" s="150"/>
      <c r="AA149" s="150"/>
      <c r="AC149" s="1211"/>
      <c r="AD149" s="1211"/>
      <c r="AE149" s="1211"/>
      <c r="AF149" s="1211"/>
      <c r="AG149" s="1211"/>
      <c r="AH149" s="1211"/>
      <c r="AI149" s="1211"/>
      <c r="AJ149" s="1211"/>
      <c r="AK149" s="1211"/>
      <c r="AL149" s="1211"/>
      <c r="AM149" s="1211"/>
    </row>
    <row r="150" spans="2:39" s="244" customFormat="1">
      <c r="B150" s="1278"/>
      <c r="C150" s="1282"/>
      <c r="D150" s="1283"/>
      <c r="E150" s="1282"/>
      <c r="F150" s="1284"/>
      <c r="G150" s="150"/>
      <c r="H150" s="150"/>
      <c r="I150" s="150"/>
      <c r="J150" s="150"/>
      <c r="K150" s="150"/>
      <c r="L150" s="1285"/>
      <c r="M150" s="1286"/>
      <c r="N150" s="1284"/>
      <c r="O150" s="150"/>
      <c r="P150" s="150"/>
      <c r="Q150" s="1287"/>
      <c r="R150" s="1287"/>
      <c r="S150" s="149"/>
      <c r="T150" s="149"/>
      <c r="U150" s="150"/>
      <c r="V150" s="150"/>
      <c r="W150" s="150"/>
      <c r="X150" s="150"/>
      <c r="Y150" s="150"/>
      <c r="Z150" s="150"/>
      <c r="AA150" s="150"/>
      <c r="AC150" s="1211"/>
      <c r="AD150" s="1211"/>
      <c r="AE150" s="1211"/>
      <c r="AF150" s="1211"/>
      <c r="AG150" s="1211"/>
      <c r="AH150" s="1211"/>
      <c r="AI150" s="1211"/>
      <c r="AJ150" s="1211"/>
      <c r="AK150" s="1211"/>
      <c r="AL150" s="1211"/>
      <c r="AM150" s="1211"/>
    </row>
    <row r="151" spans="2:39" s="244" customFormat="1">
      <c r="B151" s="1278"/>
      <c r="C151" s="1282"/>
      <c r="D151" s="1283"/>
      <c r="E151" s="1282"/>
      <c r="F151" s="1284"/>
      <c r="G151" s="150"/>
      <c r="H151" s="150"/>
      <c r="I151" s="150"/>
      <c r="J151" s="150"/>
      <c r="K151" s="150"/>
      <c r="L151" s="1285"/>
      <c r="M151" s="1286"/>
      <c r="N151" s="1284"/>
      <c r="O151" s="150"/>
      <c r="P151" s="150"/>
      <c r="Q151" s="1287"/>
      <c r="R151" s="1287"/>
      <c r="S151" s="149"/>
      <c r="T151" s="149"/>
      <c r="U151" s="150"/>
      <c r="V151" s="150"/>
      <c r="W151" s="150"/>
      <c r="X151" s="150"/>
      <c r="Y151" s="150"/>
      <c r="Z151" s="150"/>
      <c r="AA151" s="150"/>
      <c r="AC151" s="1211"/>
      <c r="AD151" s="1211"/>
      <c r="AE151" s="1211"/>
      <c r="AF151" s="1211"/>
      <c r="AG151" s="1211"/>
      <c r="AH151" s="1211"/>
      <c r="AI151" s="1211"/>
      <c r="AJ151" s="1211"/>
      <c r="AK151" s="1211"/>
      <c r="AL151" s="1211"/>
      <c r="AM151" s="1211"/>
    </row>
    <row r="152" spans="2:39" s="244" customFormat="1">
      <c r="B152" s="1278"/>
      <c r="C152" s="1282"/>
      <c r="D152" s="1283"/>
      <c r="E152" s="1282"/>
      <c r="F152" s="1284"/>
      <c r="G152" s="150"/>
      <c r="H152" s="150"/>
      <c r="I152" s="150"/>
      <c r="J152" s="150"/>
      <c r="K152" s="150"/>
      <c r="L152" s="1285"/>
      <c r="M152" s="1286"/>
      <c r="N152" s="1284"/>
      <c r="O152" s="150"/>
      <c r="P152" s="150"/>
      <c r="Q152" s="1287"/>
      <c r="R152" s="1287"/>
      <c r="S152" s="149"/>
      <c r="T152" s="149"/>
      <c r="U152" s="150"/>
      <c r="V152" s="150"/>
      <c r="W152" s="150"/>
      <c r="X152" s="150"/>
      <c r="Y152" s="150"/>
      <c r="Z152" s="150"/>
      <c r="AA152" s="150"/>
      <c r="AC152" s="1211"/>
      <c r="AD152" s="1211"/>
      <c r="AE152" s="1211"/>
      <c r="AF152" s="1211"/>
      <c r="AG152" s="1211"/>
      <c r="AH152" s="1211"/>
      <c r="AI152" s="1211"/>
      <c r="AJ152" s="1211"/>
      <c r="AK152" s="1211"/>
      <c r="AL152" s="1211"/>
      <c r="AM152" s="1211"/>
    </row>
    <row r="153" spans="2:39" s="244" customFormat="1">
      <c r="B153" s="1278"/>
      <c r="C153" s="1282"/>
      <c r="D153" s="1283"/>
      <c r="E153" s="1282"/>
      <c r="F153" s="1284"/>
      <c r="G153" s="150"/>
      <c r="H153" s="150"/>
      <c r="I153" s="150"/>
      <c r="J153" s="150"/>
      <c r="K153" s="150"/>
      <c r="L153" s="1285"/>
      <c r="M153" s="1286"/>
      <c r="N153" s="1284"/>
      <c r="O153" s="150"/>
      <c r="P153" s="150"/>
      <c r="Q153" s="1287"/>
      <c r="R153" s="1287"/>
      <c r="S153" s="149"/>
      <c r="T153" s="149"/>
      <c r="U153" s="150"/>
      <c r="V153" s="150"/>
      <c r="W153" s="150"/>
      <c r="X153" s="150"/>
      <c r="Y153" s="150"/>
      <c r="Z153" s="150"/>
      <c r="AA153" s="150"/>
      <c r="AC153" s="1211"/>
      <c r="AD153" s="1211"/>
      <c r="AE153" s="1211"/>
      <c r="AF153" s="1211"/>
      <c r="AG153" s="1211"/>
      <c r="AH153" s="1211"/>
      <c r="AI153" s="1211"/>
      <c r="AJ153" s="1211"/>
      <c r="AK153" s="1211"/>
      <c r="AL153" s="1211"/>
      <c r="AM153" s="1211"/>
    </row>
    <row r="154" spans="2:39" s="244" customFormat="1">
      <c r="B154" s="1278"/>
      <c r="C154" s="1282"/>
      <c r="D154" s="1283"/>
      <c r="E154" s="1282"/>
      <c r="F154" s="1284"/>
      <c r="G154" s="150"/>
      <c r="H154" s="150"/>
      <c r="I154" s="150"/>
      <c r="J154" s="150"/>
      <c r="K154" s="150"/>
      <c r="L154" s="1285"/>
      <c r="M154" s="1286"/>
      <c r="N154" s="1284"/>
      <c r="O154" s="150"/>
      <c r="P154" s="150"/>
      <c r="Q154" s="1287"/>
      <c r="R154" s="1287"/>
      <c r="S154" s="149"/>
      <c r="T154" s="149"/>
      <c r="U154" s="150"/>
      <c r="V154" s="150"/>
      <c r="W154" s="150"/>
      <c r="X154" s="150"/>
      <c r="Y154" s="150"/>
      <c r="Z154" s="150"/>
      <c r="AA154" s="150"/>
      <c r="AC154" s="1211"/>
      <c r="AD154" s="1211"/>
      <c r="AE154" s="1211"/>
      <c r="AF154" s="1211"/>
      <c r="AG154" s="1211"/>
      <c r="AH154" s="1211"/>
      <c r="AI154" s="1211"/>
      <c r="AJ154" s="1211"/>
      <c r="AK154" s="1211"/>
      <c r="AL154" s="1211"/>
      <c r="AM154" s="1211"/>
    </row>
    <row r="155" spans="2:39" s="244" customFormat="1">
      <c r="B155" s="1278"/>
      <c r="C155" s="1282"/>
      <c r="D155" s="1283"/>
      <c r="E155" s="1282"/>
      <c r="F155" s="1284"/>
      <c r="G155" s="150"/>
      <c r="H155" s="150"/>
      <c r="I155" s="150"/>
      <c r="J155" s="150"/>
      <c r="K155" s="150"/>
      <c r="L155" s="1285"/>
      <c r="M155" s="1286"/>
      <c r="N155" s="1284"/>
      <c r="O155" s="150"/>
      <c r="P155" s="150"/>
      <c r="Q155" s="1287"/>
      <c r="R155" s="1287"/>
      <c r="S155" s="149"/>
      <c r="T155" s="149"/>
      <c r="U155" s="150"/>
      <c r="V155" s="150"/>
      <c r="W155" s="150"/>
      <c r="X155" s="150"/>
      <c r="Y155" s="150"/>
      <c r="Z155" s="150"/>
      <c r="AA155" s="150"/>
      <c r="AC155" s="1211"/>
      <c r="AD155" s="1211"/>
      <c r="AE155" s="1211"/>
      <c r="AF155" s="1211"/>
      <c r="AG155" s="1211"/>
      <c r="AH155" s="1211"/>
      <c r="AI155" s="1211"/>
      <c r="AJ155" s="1211"/>
      <c r="AK155" s="1211"/>
      <c r="AL155" s="1211"/>
      <c r="AM155" s="1211"/>
    </row>
    <row r="156" spans="2:39" s="244" customFormat="1">
      <c r="B156" s="1278"/>
      <c r="C156" s="1282"/>
      <c r="D156" s="1283"/>
      <c r="E156" s="1282"/>
      <c r="F156" s="1284"/>
      <c r="G156" s="150"/>
      <c r="H156" s="150"/>
      <c r="I156" s="150"/>
      <c r="J156" s="150"/>
      <c r="K156" s="150"/>
      <c r="L156" s="1285"/>
      <c r="M156" s="1286"/>
      <c r="N156" s="1284"/>
      <c r="O156" s="150"/>
      <c r="P156" s="150"/>
      <c r="Q156" s="1287"/>
      <c r="R156" s="1287"/>
      <c r="S156" s="149"/>
      <c r="T156" s="149"/>
      <c r="U156" s="150"/>
      <c r="V156" s="150"/>
      <c r="W156" s="150"/>
      <c r="X156" s="150"/>
      <c r="Y156" s="150"/>
      <c r="Z156" s="150"/>
      <c r="AA156" s="150"/>
      <c r="AC156" s="1211"/>
      <c r="AD156" s="1211"/>
      <c r="AE156" s="1211"/>
      <c r="AF156" s="1211"/>
      <c r="AG156" s="1211"/>
      <c r="AH156" s="1211"/>
      <c r="AI156" s="1211"/>
      <c r="AJ156" s="1211"/>
      <c r="AK156" s="1211"/>
      <c r="AL156" s="1211"/>
      <c r="AM156" s="1211"/>
    </row>
    <row r="157" spans="2:39" s="244" customFormat="1">
      <c r="B157" s="1278"/>
      <c r="C157" s="1282"/>
      <c r="D157" s="1283"/>
      <c r="E157" s="1282"/>
      <c r="F157" s="1284"/>
      <c r="G157" s="150"/>
      <c r="H157" s="150"/>
      <c r="I157" s="150"/>
      <c r="J157" s="150"/>
      <c r="K157" s="150"/>
      <c r="L157" s="1285"/>
      <c r="M157" s="1286"/>
      <c r="N157" s="1284"/>
      <c r="O157" s="150"/>
      <c r="P157" s="150"/>
      <c r="Q157" s="1287"/>
      <c r="R157" s="1287"/>
      <c r="S157" s="149"/>
      <c r="T157" s="149"/>
      <c r="U157" s="150"/>
      <c r="V157" s="150"/>
      <c r="W157" s="150"/>
      <c r="X157" s="150"/>
      <c r="Y157" s="150"/>
      <c r="Z157" s="150"/>
      <c r="AA157" s="150"/>
      <c r="AC157" s="1211"/>
      <c r="AD157" s="1211"/>
      <c r="AE157" s="1211"/>
      <c r="AF157" s="1211"/>
      <c r="AG157" s="1211"/>
      <c r="AH157" s="1211"/>
      <c r="AI157" s="1211"/>
      <c r="AJ157" s="1211"/>
      <c r="AK157" s="1211"/>
      <c r="AL157" s="1211"/>
      <c r="AM157" s="1211"/>
    </row>
    <row r="158" spans="2:39" s="244" customFormat="1">
      <c r="B158" s="1278"/>
      <c r="C158" s="1282"/>
      <c r="D158" s="1283"/>
      <c r="E158" s="1282"/>
      <c r="F158" s="1284"/>
      <c r="G158" s="150"/>
      <c r="H158" s="150"/>
      <c r="I158" s="150"/>
      <c r="J158" s="150"/>
      <c r="K158" s="150"/>
      <c r="L158" s="1285"/>
      <c r="M158" s="1286"/>
      <c r="N158" s="1284"/>
      <c r="O158" s="150"/>
      <c r="P158" s="150"/>
      <c r="Q158" s="1287"/>
      <c r="R158" s="1287"/>
      <c r="S158" s="149"/>
      <c r="T158" s="149"/>
      <c r="U158" s="150"/>
      <c r="V158" s="150"/>
      <c r="W158" s="150"/>
      <c r="X158" s="150"/>
      <c r="Y158" s="150"/>
      <c r="Z158" s="150"/>
      <c r="AA158" s="150"/>
      <c r="AC158" s="1211"/>
      <c r="AD158" s="1211"/>
      <c r="AE158" s="1211"/>
      <c r="AF158" s="1211"/>
      <c r="AG158" s="1211"/>
      <c r="AH158" s="1211"/>
      <c r="AI158" s="1211"/>
      <c r="AJ158" s="1211"/>
      <c r="AK158" s="1211"/>
      <c r="AL158" s="1211"/>
      <c r="AM158" s="1211"/>
    </row>
    <row r="159" spans="2:39" s="244" customFormat="1">
      <c r="B159" s="1278"/>
      <c r="C159" s="1282"/>
      <c r="D159" s="1283"/>
      <c r="E159" s="1282"/>
      <c r="F159" s="1284"/>
      <c r="G159" s="150"/>
      <c r="H159" s="150"/>
      <c r="I159" s="150"/>
      <c r="J159" s="150"/>
      <c r="K159" s="150"/>
      <c r="L159" s="1285"/>
      <c r="M159" s="1286"/>
      <c r="N159" s="1284"/>
      <c r="O159" s="150"/>
      <c r="P159" s="150"/>
      <c r="Q159" s="1287"/>
      <c r="R159" s="1287"/>
      <c r="S159" s="149"/>
      <c r="T159" s="149"/>
      <c r="U159" s="150"/>
      <c r="V159" s="150"/>
      <c r="W159" s="150"/>
      <c r="X159" s="150"/>
      <c r="Y159" s="150"/>
      <c r="Z159" s="150"/>
      <c r="AA159" s="150"/>
      <c r="AC159" s="1211"/>
      <c r="AD159" s="1211"/>
      <c r="AE159" s="1211"/>
      <c r="AF159" s="1211"/>
      <c r="AG159" s="1211"/>
      <c r="AH159" s="1211"/>
      <c r="AI159" s="1211"/>
      <c r="AJ159" s="1211"/>
      <c r="AK159" s="1211"/>
      <c r="AL159" s="1211"/>
      <c r="AM159" s="1211"/>
    </row>
    <row r="160" spans="2:39" s="244" customFormat="1">
      <c r="B160" s="1278"/>
      <c r="C160" s="1282"/>
      <c r="D160" s="1283"/>
      <c r="E160" s="1282"/>
      <c r="F160" s="1284"/>
      <c r="G160" s="150"/>
      <c r="H160" s="150"/>
      <c r="I160" s="150"/>
      <c r="J160" s="150"/>
      <c r="K160" s="150"/>
      <c r="L160" s="1285"/>
      <c r="M160" s="1286"/>
      <c r="N160" s="1284"/>
      <c r="O160" s="150"/>
      <c r="P160" s="150"/>
      <c r="Q160" s="1287"/>
      <c r="R160" s="1287"/>
      <c r="S160" s="149"/>
      <c r="T160" s="149"/>
      <c r="U160" s="150"/>
      <c r="V160" s="150"/>
      <c r="W160" s="150"/>
      <c r="X160" s="150"/>
      <c r="Y160" s="150"/>
      <c r="Z160" s="150"/>
      <c r="AA160" s="150"/>
      <c r="AC160" s="1211"/>
      <c r="AD160" s="1211"/>
      <c r="AE160" s="1211"/>
      <c r="AF160" s="1211"/>
      <c r="AG160" s="1211"/>
      <c r="AH160" s="1211"/>
      <c r="AI160" s="1211"/>
      <c r="AJ160" s="1211"/>
      <c r="AK160" s="1211"/>
      <c r="AL160" s="1211"/>
      <c r="AM160" s="1211"/>
    </row>
    <row r="161" spans="2:39" s="244" customFormat="1">
      <c r="B161" s="1278"/>
      <c r="C161" s="1282"/>
      <c r="D161" s="1283"/>
      <c r="E161" s="1282"/>
      <c r="F161" s="1284"/>
      <c r="G161" s="150"/>
      <c r="H161" s="150"/>
      <c r="I161" s="150"/>
      <c r="J161" s="150"/>
      <c r="K161" s="150"/>
      <c r="L161" s="1285"/>
      <c r="M161" s="1286"/>
      <c r="N161" s="1284"/>
      <c r="O161" s="150"/>
      <c r="P161" s="150"/>
      <c r="Q161" s="1287"/>
      <c r="R161" s="1287"/>
      <c r="S161" s="149"/>
      <c r="T161" s="149"/>
      <c r="U161" s="150"/>
      <c r="V161" s="150"/>
      <c r="W161" s="150"/>
      <c r="X161" s="150"/>
      <c r="Y161" s="150"/>
      <c r="Z161" s="150"/>
      <c r="AA161" s="150"/>
      <c r="AC161" s="1211"/>
      <c r="AD161" s="1211"/>
      <c r="AE161" s="1211"/>
      <c r="AF161" s="1211"/>
      <c r="AG161" s="1211"/>
      <c r="AH161" s="1211"/>
      <c r="AI161" s="1211"/>
      <c r="AJ161" s="1211"/>
      <c r="AK161" s="1211"/>
      <c r="AL161" s="1211"/>
      <c r="AM161" s="1211"/>
    </row>
    <row r="162" spans="2:39" s="244" customFormat="1">
      <c r="B162" s="1278"/>
      <c r="C162" s="1282"/>
      <c r="D162" s="1283"/>
      <c r="E162" s="1282"/>
      <c r="F162" s="1284"/>
      <c r="G162" s="150"/>
      <c r="H162" s="150"/>
      <c r="I162" s="150"/>
      <c r="J162" s="150"/>
      <c r="K162" s="150"/>
      <c r="L162" s="1285"/>
      <c r="M162" s="1286"/>
      <c r="N162" s="1284"/>
      <c r="O162" s="150"/>
      <c r="P162" s="150"/>
      <c r="Q162" s="1287"/>
      <c r="R162" s="1287"/>
      <c r="S162" s="149"/>
      <c r="T162" s="149"/>
      <c r="U162" s="150"/>
      <c r="V162" s="150"/>
      <c r="W162" s="150"/>
      <c r="X162" s="150"/>
      <c r="Y162" s="150"/>
      <c r="Z162" s="150"/>
      <c r="AA162" s="150"/>
      <c r="AC162" s="1211"/>
      <c r="AD162" s="1211"/>
      <c r="AE162" s="1211"/>
      <c r="AF162" s="1211"/>
      <c r="AG162" s="1211"/>
      <c r="AH162" s="1211"/>
      <c r="AI162" s="1211"/>
      <c r="AJ162" s="1211"/>
      <c r="AK162" s="1211"/>
      <c r="AL162" s="1211"/>
      <c r="AM162" s="1211"/>
    </row>
    <row r="163" spans="2:39" s="244" customFormat="1">
      <c r="B163" s="1278"/>
      <c r="C163" s="1282"/>
      <c r="D163" s="1283"/>
      <c r="E163" s="1282"/>
      <c r="F163" s="1284"/>
      <c r="G163" s="150"/>
      <c r="H163" s="150"/>
      <c r="I163" s="150"/>
      <c r="J163" s="150"/>
      <c r="K163" s="150"/>
      <c r="L163" s="1285"/>
      <c r="M163" s="1286"/>
      <c r="N163" s="1284"/>
      <c r="O163" s="150"/>
      <c r="P163" s="150"/>
      <c r="Q163" s="1287"/>
      <c r="R163" s="1287"/>
      <c r="S163" s="149"/>
      <c r="T163" s="149"/>
      <c r="U163" s="150"/>
      <c r="V163" s="150"/>
      <c r="W163" s="150"/>
      <c r="X163" s="150"/>
      <c r="Y163" s="150"/>
      <c r="Z163" s="150"/>
      <c r="AA163" s="150"/>
      <c r="AC163" s="1211"/>
      <c r="AD163" s="1211"/>
      <c r="AE163" s="1211"/>
      <c r="AF163" s="1211"/>
      <c r="AG163" s="1211"/>
      <c r="AH163" s="1211"/>
      <c r="AI163" s="1211"/>
      <c r="AJ163" s="1211"/>
      <c r="AK163" s="1211"/>
      <c r="AL163" s="1211"/>
      <c r="AM163" s="1211"/>
    </row>
    <row r="164" spans="2:39" s="244" customFormat="1">
      <c r="B164" s="1278"/>
      <c r="C164" s="1282"/>
      <c r="D164" s="1283"/>
      <c r="E164" s="1282"/>
      <c r="F164" s="1284"/>
      <c r="G164" s="150"/>
      <c r="H164" s="150"/>
      <c r="I164" s="150"/>
      <c r="J164" s="150"/>
      <c r="K164" s="150"/>
      <c r="L164" s="1285"/>
      <c r="M164" s="1286"/>
      <c r="N164" s="1284"/>
      <c r="O164" s="150"/>
      <c r="P164" s="150"/>
      <c r="Q164" s="1287"/>
      <c r="R164" s="1287"/>
      <c r="S164" s="149"/>
      <c r="T164" s="149"/>
      <c r="U164" s="150"/>
      <c r="V164" s="150"/>
      <c r="W164" s="150"/>
      <c r="X164" s="150"/>
      <c r="Y164" s="150"/>
      <c r="Z164" s="150"/>
      <c r="AA164" s="150"/>
      <c r="AC164" s="1211"/>
      <c r="AD164" s="1211"/>
      <c r="AE164" s="1211"/>
      <c r="AF164" s="1211"/>
      <c r="AG164" s="1211"/>
      <c r="AH164" s="1211"/>
      <c r="AI164" s="1211"/>
      <c r="AJ164" s="1211"/>
      <c r="AK164" s="1211"/>
      <c r="AL164" s="1211"/>
      <c r="AM164" s="1211"/>
    </row>
    <row r="165" spans="2:39" s="244" customFormat="1">
      <c r="B165" s="1278"/>
      <c r="C165" s="1282"/>
      <c r="D165" s="1283"/>
      <c r="E165" s="1282"/>
      <c r="F165" s="1284"/>
      <c r="G165" s="150"/>
      <c r="H165" s="150"/>
      <c r="I165" s="150"/>
      <c r="J165" s="150"/>
      <c r="K165" s="150"/>
      <c r="L165" s="1285"/>
      <c r="M165" s="1286"/>
      <c r="N165" s="1284"/>
      <c r="O165" s="150"/>
      <c r="P165" s="150"/>
      <c r="Q165" s="1287"/>
      <c r="R165" s="1287"/>
      <c r="S165" s="149"/>
      <c r="T165" s="149"/>
      <c r="U165" s="150"/>
      <c r="V165" s="150"/>
      <c r="W165" s="150"/>
      <c r="X165" s="150"/>
      <c r="Y165" s="150"/>
      <c r="Z165" s="150"/>
      <c r="AA165" s="150"/>
      <c r="AC165" s="1211"/>
      <c r="AD165" s="1211"/>
      <c r="AE165" s="1211"/>
      <c r="AF165" s="1211"/>
      <c r="AG165" s="1211"/>
      <c r="AH165" s="1211"/>
      <c r="AI165" s="1211"/>
      <c r="AJ165" s="1211"/>
      <c r="AK165" s="1211"/>
      <c r="AL165" s="1211"/>
      <c r="AM165" s="1211"/>
    </row>
    <row r="166" spans="2:39" s="244" customFormat="1">
      <c r="B166" s="1278"/>
      <c r="C166" s="1282"/>
      <c r="D166" s="1283"/>
      <c r="E166" s="1282"/>
      <c r="F166" s="1284"/>
      <c r="G166" s="150"/>
      <c r="H166" s="150"/>
      <c r="I166" s="150"/>
      <c r="J166" s="150"/>
      <c r="K166" s="150"/>
      <c r="L166" s="1285"/>
      <c r="M166" s="1286"/>
      <c r="N166" s="1284"/>
      <c r="O166" s="150"/>
      <c r="P166" s="150"/>
      <c r="Q166" s="1287"/>
      <c r="R166" s="1287"/>
      <c r="S166" s="149"/>
      <c r="T166" s="149"/>
      <c r="U166" s="150"/>
      <c r="V166" s="150"/>
      <c r="W166" s="150"/>
      <c r="X166" s="150"/>
      <c r="Y166" s="150"/>
      <c r="Z166" s="150"/>
      <c r="AA166" s="150"/>
      <c r="AC166" s="1211"/>
      <c r="AD166" s="1211"/>
      <c r="AE166" s="1211"/>
      <c r="AF166" s="1211"/>
      <c r="AG166" s="1211"/>
      <c r="AH166" s="1211"/>
      <c r="AI166" s="1211"/>
      <c r="AJ166" s="1211"/>
      <c r="AK166" s="1211"/>
      <c r="AL166" s="1211"/>
      <c r="AM166" s="1211"/>
    </row>
    <row r="167" spans="2:39" s="244" customFormat="1">
      <c r="B167" s="1278"/>
      <c r="C167" s="1282"/>
      <c r="D167" s="1283"/>
      <c r="E167" s="1282"/>
      <c r="F167" s="1284"/>
      <c r="G167" s="150"/>
      <c r="H167" s="150"/>
      <c r="I167" s="150"/>
      <c r="J167" s="150"/>
      <c r="K167" s="150"/>
      <c r="L167" s="1285"/>
      <c r="M167" s="1286"/>
      <c r="N167" s="1284"/>
      <c r="O167" s="150"/>
      <c r="P167" s="150"/>
      <c r="Q167" s="1287"/>
      <c r="R167" s="1287"/>
      <c r="S167" s="149"/>
      <c r="T167" s="149"/>
      <c r="U167" s="150"/>
      <c r="V167" s="150"/>
      <c r="W167" s="150"/>
      <c r="X167" s="150"/>
      <c r="Y167" s="150"/>
      <c r="Z167" s="150"/>
      <c r="AA167" s="150"/>
      <c r="AC167" s="1211"/>
      <c r="AD167" s="1211"/>
      <c r="AE167" s="1211"/>
      <c r="AF167" s="1211"/>
      <c r="AG167" s="1211"/>
      <c r="AH167" s="1211"/>
      <c r="AI167" s="1211"/>
      <c r="AJ167" s="1211"/>
      <c r="AK167" s="1211"/>
      <c r="AL167" s="1211"/>
      <c r="AM167" s="1211"/>
    </row>
    <row r="168" spans="2:39" s="244" customFormat="1">
      <c r="B168" s="1278"/>
      <c r="C168" s="1282"/>
      <c r="D168" s="1283"/>
      <c r="E168" s="1282"/>
      <c r="F168" s="1284"/>
      <c r="G168" s="150"/>
      <c r="H168" s="150"/>
      <c r="I168" s="150"/>
      <c r="J168" s="150"/>
      <c r="K168" s="150"/>
      <c r="L168" s="1285"/>
      <c r="M168" s="1286"/>
      <c r="N168" s="1284"/>
      <c r="O168" s="150"/>
      <c r="P168" s="150"/>
      <c r="Q168" s="1287"/>
      <c r="R168" s="1287"/>
      <c r="S168" s="149"/>
      <c r="T168" s="149"/>
      <c r="U168" s="150"/>
      <c r="V168" s="150"/>
      <c r="W168" s="150"/>
      <c r="X168" s="150"/>
      <c r="Y168" s="150"/>
      <c r="Z168" s="150"/>
      <c r="AA168" s="150"/>
      <c r="AC168" s="1211"/>
      <c r="AD168" s="1211"/>
      <c r="AE168" s="1211"/>
      <c r="AF168" s="1211"/>
      <c r="AG168" s="1211"/>
      <c r="AH168" s="1211"/>
      <c r="AI168" s="1211"/>
      <c r="AJ168" s="1211"/>
      <c r="AK168" s="1211"/>
      <c r="AL168" s="1211"/>
      <c r="AM168" s="1211"/>
    </row>
    <row r="169" spans="2:39" s="244" customFormat="1">
      <c r="B169" s="1278"/>
      <c r="C169" s="1282"/>
      <c r="D169" s="1283"/>
      <c r="E169" s="1282"/>
      <c r="F169" s="1284"/>
      <c r="G169" s="150"/>
      <c r="H169" s="150"/>
      <c r="I169" s="150"/>
      <c r="J169" s="150"/>
      <c r="K169" s="150"/>
      <c r="L169" s="1285"/>
      <c r="M169" s="1286"/>
      <c r="N169" s="1284"/>
      <c r="O169" s="150"/>
      <c r="P169" s="150"/>
      <c r="Q169" s="1287"/>
      <c r="R169" s="1287"/>
      <c r="S169" s="149"/>
      <c r="T169" s="149"/>
      <c r="U169" s="150"/>
      <c r="V169" s="150"/>
      <c r="W169" s="150"/>
      <c r="X169" s="150"/>
      <c r="Y169" s="150"/>
      <c r="Z169" s="150"/>
      <c r="AA169" s="150"/>
      <c r="AC169" s="1211"/>
      <c r="AD169" s="1211"/>
      <c r="AE169" s="1211"/>
      <c r="AF169" s="1211"/>
      <c r="AG169" s="1211"/>
      <c r="AH169" s="1211"/>
      <c r="AI169" s="1211"/>
      <c r="AJ169" s="1211"/>
      <c r="AK169" s="1211"/>
      <c r="AL169" s="1211"/>
      <c r="AM169" s="1211"/>
    </row>
    <row r="170" spans="2:39" s="244" customFormat="1">
      <c r="B170" s="1278"/>
      <c r="C170" s="1282"/>
      <c r="D170" s="1283"/>
      <c r="E170" s="1282"/>
      <c r="F170" s="1284"/>
      <c r="G170" s="150"/>
      <c r="H170" s="150"/>
      <c r="I170" s="150"/>
      <c r="J170" s="150"/>
      <c r="K170" s="150"/>
      <c r="L170" s="1285"/>
      <c r="M170" s="1286"/>
      <c r="N170" s="1284"/>
      <c r="O170" s="150"/>
      <c r="P170" s="150"/>
      <c r="Q170" s="1287"/>
      <c r="R170" s="1287"/>
      <c r="S170" s="149"/>
      <c r="T170" s="149"/>
      <c r="U170" s="150"/>
      <c r="V170" s="150"/>
      <c r="W170" s="150"/>
      <c r="X170" s="150"/>
      <c r="Y170" s="150"/>
      <c r="Z170" s="150"/>
      <c r="AA170" s="150"/>
      <c r="AC170" s="1211"/>
      <c r="AD170" s="1211"/>
      <c r="AE170" s="1211"/>
      <c r="AF170" s="1211"/>
      <c r="AG170" s="1211"/>
      <c r="AH170" s="1211"/>
      <c r="AI170" s="1211"/>
      <c r="AJ170" s="1211"/>
      <c r="AK170" s="1211"/>
      <c r="AL170" s="1211"/>
      <c r="AM170" s="1211"/>
    </row>
    <row r="171" spans="2:39" s="244" customFormat="1">
      <c r="B171" s="1278"/>
      <c r="C171" s="1282"/>
      <c r="D171" s="1283"/>
      <c r="E171" s="1282"/>
      <c r="F171" s="1284"/>
      <c r="G171" s="150"/>
      <c r="H171" s="150"/>
      <c r="I171" s="150"/>
      <c r="J171" s="150"/>
      <c r="K171" s="150"/>
      <c r="L171" s="1285"/>
      <c r="M171" s="1286"/>
      <c r="N171" s="1284"/>
      <c r="O171" s="150"/>
      <c r="P171" s="150"/>
      <c r="Q171" s="1287"/>
      <c r="R171" s="1287"/>
      <c r="S171" s="149"/>
      <c r="T171" s="149"/>
      <c r="U171" s="150"/>
      <c r="V171" s="150"/>
      <c r="W171" s="150"/>
      <c r="X171" s="150"/>
      <c r="Y171" s="150"/>
      <c r="Z171" s="150"/>
      <c r="AA171" s="150"/>
      <c r="AC171" s="1211"/>
      <c r="AD171" s="1211"/>
      <c r="AE171" s="1211"/>
      <c r="AF171" s="1211"/>
      <c r="AG171" s="1211"/>
      <c r="AH171" s="1211"/>
      <c r="AI171" s="1211"/>
      <c r="AJ171" s="1211"/>
      <c r="AK171" s="1211"/>
      <c r="AL171" s="1211"/>
      <c r="AM171" s="1211"/>
    </row>
    <row r="172" spans="2:39" s="244" customFormat="1">
      <c r="B172" s="1278"/>
      <c r="C172" s="1282"/>
      <c r="D172" s="1283"/>
      <c r="E172" s="1282"/>
      <c r="F172" s="1284"/>
      <c r="G172" s="150"/>
      <c r="H172" s="150"/>
      <c r="I172" s="150"/>
      <c r="J172" s="150"/>
      <c r="K172" s="150"/>
      <c r="L172" s="1285"/>
      <c r="M172" s="1286"/>
      <c r="N172" s="1284"/>
      <c r="O172" s="150"/>
      <c r="P172" s="150"/>
      <c r="Q172" s="1287"/>
      <c r="R172" s="1287"/>
      <c r="S172" s="149"/>
      <c r="T172" s="149"/>
      <c r="U172" s="150"/>
      <c r="V172" s="150"/>
      <c r="W172" s="150"/>
      <c r="X172" s="150"/>
      <c r="Y172" s="150"/>
      <c r="Z172" s="150"/>
      <c r="AA172" s="150"/>
      <c r="AC172" s="1211"/>
      <c r="AD172" s="1211"/>
      <c r="AE172" s="1211"/>
      <c r="AF172" s="1211"/>
      <c r="AG172" s="1211"/>
      <c r="AH172" s="1211"/>
      <c r="AI172" s="1211"/>
      <c r="AJ172" s="1211"/>
      <c r="AK172" s="1211"/>
      <c r="AL172" s="1211"/>
      <c r="AM172" s="1211"/>
    </row>
    <row r="173" spans="2:39" s="244" customFormat="1">
      <c r="B173" s="1278"/>
      <c r="C173" s="1282"/>
      <c r="D173" s="1283"/>
      <c r="E173" s="1282"/>
      <c r="F173" s="1284"/>
      <c r="G173" s="150"/>
      <c r="H173" s="150"/>
      <c r="I173" s="150"/>
      <c r="J173" s="150"/>
      <c r="K173" s="150"/>
      <c r="L173" s="1285"/>
      <c r="M173" s="1286"/>
      <c r="N173" s="1284"/>
      <c r="O173" s="150"/>
      <c r="P173" s="150"/>
      <c r="Q173" s="1287"/>
      <c r="R173" s="1287"/>
      <c r="S173" s="149"/>
      <c r="T173" s="149"/>
      <c r="U173" s="150"/>
      <c r="V173" s="150"/>
      <c r="W173" s="150"/>
      <c r="X173" s="150"/>
      <c r="Y173" s="150"/>
      <c r="Z173" s="150"/>
      <c r="AA173" s="150"/>
      <c r="AC173" s="1211"/>
      <c r="AD173" s="1211"/>
      <c r="AE173" s="1211"/>
      <c r="AF173" s="1211"/>
      <c r="AG173" s="1211"/>
      <c r="AH173" s="1211"/>
      <c r="AI173" s="1211"/>
      <c r="AJ173" s="1211"/>
      <c r="AK173" s="1211"/>
      <c r="AL173" s="1211"/>
      <c r="AM173" s="1211"/>
    </row>
    <row r="174" spans="2:39" s="244" customFormat="1">
      <c r="B174" s="1278"/>
      <c r="C174" s="1282"/>
      <c r="D174" s="1283"/>
      <c r="E174" s="1282"/>
      <c r="F174" s="1284"/>
      <c r="G174" s="150"/>
      <c r="H174" s="150"/>
      <c r="I174" s="150"/>
      <c r="J174" s="150"/>
      <c r="K174" s="150"/>
      <c r="L174" s="1285"/>
      <c r="M174" s="1286"/>
      <c r="N174" s="1284"/>
      <c r="O174" s="150"/>
      <c r="P174" s="150"/>
      <c r="Q174" s="1287"/>
      <c r="R174" s="1287"/>
      <c r="S174" s="149"/>
      <c r="T174" s="149"/>
      <c r="U174" s="150"/>
      <c r="V174" s="150"/>
      <c r="W174" s="150"/>
      <c r="X174" s="150"/>
      <c r="Y174" s="150"/>
      <c r="Z174" s="150"/>
      <c r="AA174" s="150"/>
      <c r="AC174" s="1211"/>
      <c r="AD174" s="1211"/>
      <c r="AE174" s="1211"/>
      <c r="AF174" s="1211"/>
      <c r="AG174" s="1211"/>
      <c r="AH174" s="1211"/>
      <c r="AI174" s="1211"/>
      <c r="AJ174" s="1211"/>
      <c r="AK174" s="1211"/>
      <c r="AL174" s="1211"/>
      <c r="AM174" s="1211"/>
    </row>
    <row r="175" spans="2:39" s="244" customFormat="1">
      <c r="B175" s="1278"/>
      <c r="C175" s="1282"/>
      <c r="D175" s="1283"/>
      <c r="E175" s="1282"/>
      <c r="F175" s="1284"/>
      <c r="G175" s="150"/>
      <c r="H175" s="150"/>
      <c r="I175" s="150"/>
      <c r="J175" s="150"/>
      <c r="K175" s="150"/>
      <c r="L175" s="1285"/>
      <c r="M175" s="1286"/>
      <c r="N175" s="1284"/>
      <c r="O175" s="150"/>
      <c r="P175" s="150"/>
      <c r="Q175" s="1287"/>
      <c r="R175" s="1287"/>
      <c r="S175" s="149"/>
      <c r="T175" s="149"/>
      <c r="U175" s="150"/>
      <c r="V175" s="150"/>
      <c r="W175" s="150"/>
      <c r="X175" s="150"/>
      <c r="Y175" s="150"/>
      <c r="Z175" s="150"/>
      <c r="AA175" s="150"/>
      <c r="AC175" s="1211"/>
      <c r="AD175" s="1211"/>
      <c r="AE175" s="1211"/>
      <c r="AF175" s="1211"/>
      <c r="AG175" s="1211"/>
      <c r="AH175" s="1211"/>
      <c r="AI175" s="1211"/>
      <c r="AJ175" s="1211"/>
      <c r="AK175" s="1211"/>
      <c r="AL175" s="1211"/>
      <c r="AM175" s="1211"/>
    </row>
    <row r="176" spans="2:39" s="244" customFormat="1">
      <c r="B176" s="1278"/>
      <c r="C176" s="1282"/>
      <c r="D176" s="1283"/>
      <c r="E176" s="1282"/>
      <c r="F176" s="1284"/>
      <c r="G176" s="150"/>
      <c r="H176" s="150"/>
      <c r="I176" s="150"/>
      <c r="J176" s="150"/>
      <c r="K176" s="150"/>
      <c r="L176" s="1285"/>
      <c r="M176" s="1286"/>
      <c r="N176" s="1284"/>
      <c r="O176" s="150"/>
      <c r="P176" s="150"/>
      <c r="Q176" s="1287"/>
      <c r="R176" s="1287"/>
      <c r="S176" s="149"/>
      <c r="T176" s="149"/>
      <c r="U176" s="150"/>
      <c r="V176" s="150"/>
      <c r="W176" s="150"/>
      <c r="X176" s="150"/>
      <c r="Y176" s="150"/>
      <c r="Z176" s="150"/>
      <c r="AA176" s="150"/>
      <c r="AC176" s="1211"/>
      <c r="AD176" s="1211"/>
      <c r="AE176" s="1211"/>
      <c r="AF176" s="1211"/>
      <c r="AG176" s="1211"/>
      <c r="AH176" s="1211"/>
      <c r="AI176" s="1211"/>
      <c r="AJ176" s="1211"/>
      <c r="AK176" s="1211"/>
      <c r="AL176" s="1211"/>
      <c r="AM176" s="1211"/>
    </row>
    <row r="177" spans="2:41" s="244" customFormat="1">
      <c r="B177" s="1278"/>
      <c r="D177" s="1289"/>
      <c r="F177" s="1290"/>
      <c r="G177" s="1291"/>
      <c r="H177" s="1291"/>
      <c r="I177" s="1291"/>
      <c r="J177" s="1291"/>
      <c r="K177" s="1291"/>
      <c r="L177" s="1292"/>
      <c r="M177" s="1244"/>
      <c r="N177" s="1290"/>
      <c r="O177" s="150"/>
      <c r="P177" s="150"/>
      <c r="Q177" s="1287"/>
      <c r="R177" s="1287"/>
      <c r="S177" s="149"/>
      <c r="T177" s="149"/>
      <c r="U177" s="150"/>
      <c r="V177" s="150"/>
      <c r="W177" s="150"/>
      <c r="X177" s="150"/>
      <c r="Y177" s="150"/>
      <c r="Z177" s="150"/>
      <c r="AA177" s="150"/>
      <c r="AC177" s="1211"/>
      <c r="AD177" s="1211"/>
      <c r="AE177" s="1211"/>
      <c r="AF177" s="1211"/>
      <c r="AG177" s="1211"/>
      <c r="AH177" s="1211"/>
      <c r="AI177" s="1211"/>
      <c r="AJ177" s="1211"/>
      <c r="AK177" s="1211"/>
      <c r="AL177" s="1211"/>
      <c r="AM177" s="1211"/>
    </row>
    <row r="178" spans="2:41" s="244" customFormat="1">
      <c r="B178" s="220"/>
      <c r="D178" s="1289"/>
      <c r="F178" s="1290"/>
      <c r="G178" s="1291"/>
      <c r="H178" s="1291"/>
      <c r="I178" s="1291"/>
      <c r="J178" s="1291"/>
      <c r="K178" s="1291"/>
      <c r="L178" s="1292"/>
      <c r="M178" s="1244"/>
      <c r="N178" s="1290"/>
      <c r="O178" s="150"/>
      <c r="P178" s="150"/>
      <c r="Q178" s="1287"/>
      <c r="R178" s="1287"/>
      <c r="S178" s="149"/>
      <c r="T178" s="149"/>
      <c r="U178" s="150"/>
      <c r="V178" s="150"/>
      <c r="W178" s="150"/>
      <c r="X178" s="150"/>
      <c r="Y178" s="150"/>
      <c r="Z178" s="150"/>
      <c r="AA178" s="150"/>
      <c r="AC178" s="1211"/>
      <c r="AD178" s="1211"/>
      <c r="AE178" s="1211"/>
      <c r="AF178" s="1211"/>
      <c r="AG178" s="1211"/>
      <c r="AH178" s="1211"/>
      <c r="AI178" s="1211"/>
      <c r="AJ178" s="1211"/>
      <c r="AK178" s="1211"/>
      <c r="AL178" s="1211"/>
      <c r="AM178" s="1211"/>
    </row>
    <row r="179" spans="2:41" s="244" customFormat="1">
      <c r="B179" s="220"/>
      <c r="D179" s="1289"/>
      <c r="F179" s="1290"/>
      <c r="G179" s="1291"/>
      <c r="H179" s="1291"/>
      <c r="I179" s="1291"/>
      <c r="J179" s="1291"/>
      <c r="K179" s="1291"/>
      <c r="L179" s="1292"/>
      <c r="M179" s="1244"/>
      <c r="N179" s="1290"/>
      <c r="O179" s="150"/>
      <c r="P179" s="150"/>
      <c r="Q179" s="1287"/>
      <c r="R179" s="1287"/>
      <c r="S179" s="149"/>
      <c r="T179" s="149"/>
      <c r="U179" s="150"/>
      <c r="V179" s="150"/>
      <c r="W179" s="150"/>
      <c r="X179" s="150"/>
      <c r="Y179" s="150"/>
      <c r="Z179" s="150"/>
      <c r="AA179" s="150"/>
      <c r="AC179" s="1211"/>
      <c r="AD179" s="1211"/>
      <c r="AE179" s="1211"/>
      <c r="AF179" s="1211"/>
      <c r="AG179" s="1211"/>
      <c r="AH179" s="1211"/>
      <c r="AI179" s="1211"/>
      <c r="AJ179" s="1211"/>
      <c r="AK179" s="1211"/>
      <c r="AL179" s="1211"/>
      <c r="AM179" s="1211"/>
    </row>
    <row r="180" spans="2:41" s="244" customFormat="1">
      <c r="B180" s="220"/>
      <c r="D180" s="1289"/>
      <c r="F180" s="1290"/>
      <c r="G180" s="1291"/>
      <c r="H180" s="1291"/>
      <c r="I180" s="1291"/>
      <c r="J180" s="1291"/>
      <c r="K180" s="1291"/>
      <c r="L180" s="1292"/>
      <c r="M180" s="1244"/>
      <c r="N180" s="1290"/>
      <c r="O180" s="150"/>
      <c r="P180" s="150"/>
      <c r="Q180" s="1287"/>
      <c r="R180" s="1287"/>
      <c r="S180" s="149"/>
      <c r="T180" s="149"/>
      <c r="U180" s="150"/>
      <c r="V180" s="150"/>
      <c r="W180" s="150"/>
      <c r="X180" s="150"/>
      <c r="Y180" s="150"/>
      <c r="Z180" s="150"/>
      <c r="AA180" s="150"/>
      <c r="AC180" s="1211"/>
      <c r="AD180" s="1211"/>
      <c r="AE180" s="1211"/>
      <c r="AF180" s="1211"/>
      <c r="AG180" s="1211"/>
      <c r="AH180" s="1211"/>
      <c r="AI180" s="1211"/>
      <c r="AJ180" s="1211"/>
      <c r="AK180" s="1211"/>
      <c r="AL180" s="1211"/>
      <c r="AM180" s="1211"/>
    </row>
    <row r="181" spans="2:41" s="244" customFormat="1">
      <c r="B181" s="220"/>
      <c r="D181" s="1289"/>
      <c r="F181" s="1290"/>
      <c r="G181" s="1291"/>
      <c r="H181" s="1291"/>
      <c r="I181" s="1291"/>
      <c r="J181" s="1291"/>
      <c r="K181" s="1291"/>
      <c r="L181" s="1292"/>
      <c r="M181" s="1244"/>
      <c r="N181" s="1290"/>
      <c r="O181" s="150"/>
      <c r="P181" s="150"/>
      <c r="Q181" s="1287"/>
      <c r="R181" s="1287"/>
      <c r="S181" s="149"/>
      <c r="T181" s="149"/>
      <c r="U181" s="150"/>
      <c r="V181" s="150"/>
      <c r="W181" s="150"/>
      <c r="X181" s="150"/>
      <c r="Y181" s="150"/>
      <c r="Z181" s="150"/>
      <c r="AA181" s="150"/>
      <c r="AC181" s="1211"/>
      <c r="AD181" s="1211"/>
      <c r="AE181" s="1211"/>
      <c r="AF181" s="1211"/>
      <c r="AG181" s="1211"/>
      <c r="AH181" s="1211"/>
      <c r="AI181" s="1211"/>
      <c r="AJ181" s="1211"/>
      <c r="AK181" s="1211"/>
      <c r="AL181" s="1211"/>
      <c r="AM181" s="1211"/>
    </row>
    <row r="182" spans="2:41" s="244" customFormat="1">
      <c r="B182" s="220"/>
      <c r="D182" s="1289"/>
      <c r="F182" s="1290"/>
      <c r="G182" s="1291"/>
      <c r="H182" s="1291"/>
      <c r="I182" s="1291"/>
      <c r="J182" s="1291"/>
      <c r="K182" s="1291"/>
      <c r="L182" s="1292"/>
      <c r="M182" s="1244"/>
      <c r="N182" s="1290"/>
      <c r="O182" s="150"/>
      <c r="P182" s="150"/>
      <c r="Q182" s="1287"/>
      <c r="R182" s="1287"/>
      <c r="S182" s="149"/>
      <c r="T182" s="149"/>
      <c r="U182" s="150">
        <f>SUBTOTAL(9,U140:U181)</f>
        <v>0</v>
      </c>
      <c r="V182" s="150">
        <f t="shared" ref="V182:AA182" si="46">SUBTOTAL(9,V140:V181)</f>
        <v>0</v>
      </c>
      <c r="W182" s="150">
        <f t="shared" si="46"/>
        <v>0</v>
      </c>
      <c r="X182" s="150">
        <f t="shared" si="46"/>
        <v>0</v>
      </c>
      <c r="Y182" s="150">
        <f t="shared" si="46"/>
        <v>0</v>
      </c>
      <c r="Z182" s="150">
        <f t="shared" si="46"/>
        <v>0</v>
      </c>
      <c r="AA182" s="150">
        <f t="shared" si="46"/>
        <v>0</v>
      </c>
      <c r="AC182" s="1211"/>
      <c r="AD182" s="1211"/>
      <c r="AE182" s="1211"/>
      <c r="AF182" s="1211"/>
      <c r="AG182" s="1211"/>
      <c r="AH182" s="1211"/>
      <c r="AI182" s="1211"/>
      <c r="AJ182" s="1211"/>
      <c r="AK182" s="1211"/>
      <c r="AL182" s="1211"/>
      <c r="AM182" s="1211"/>
    </row>
    <row r="183" spans="2:41" s="244" customFormat="1" ht="12" thickBot="1">
      <c r="B183" s="220"/>
      <c r="D183" s="1289"/>
      <c r="F183" s="1290"/>
      <c r="G183" s="1291"/>
      <c r="H183" s="1291"/>
      <c r="I183" s="1291"/>
      <c r="J183" s="1291"/>
      <c r="K183" s="1291"/>
      <c r="L183" s="1292"/>
      <c r="M183" s="1244"/>
      <c r="N183" s="1290"/>
      <c r="O183" s="150"/>
      <c r="P183" s="150"/>
      <c r="Q183" s="1287"/>
      <c r="R183" s="1287"/>
      <c r="S183" s="149"/>
      <c r="T183" s="149"/>
      <c r="U183" s="150"/>
      <c r="V183" s="150"/>
      <c r="W183" s="150"/>
      <c r="X183" s="150"/>
      <c r="Y183" s="150"/>
      <c r="Z183" s="150"/>
      <c r="AA183" s="150"/>
      <c r="AC183" s="1211"/>
      <c r="AD183" s="1211"/>
      <c r="AE183" s="1211"/>
      <c r="AF183" s="1211"/>
      <c r="AG183" s="1211"/>
      <c r="AH183" s="1211"/>
      <c r="AI183" s="1211"/>
      <c r="AJ183" s="1211"/>
      <c r="AK183" s="1211"/>
      <c r="AL183" s="1211"/>
      <c r="AM183" s="1211"/>
    </row>
    <row r="184" spans="2:41" s="244" customFormat="1" ht="13" thickTop="1" thickBot="1">
      <c r="B184" s="220"/>
      <c r="D184" s="1289"/>
      <c r="F184" s="1290"/>
      <c r="G184" s="1291"/>
      <c r="H184" s="1291"/>
      <c r="I184" s="1291"/>
      <c r="J184" s="1291"/>
      <c r="K184" s="1291"/>
      <c r="L184" s="1292"/>
      <c r="M184" s="1244"/>
      <c r="N184" s="1290"/>
      <c r="O184" s="150"/>
      <c r="P184" s="150"/>
      <c r="Q184" s="1287"/>
      <c r="R184" s="1287"/>
      <c r="S184" s="1287"/>
      <c r="T184" s="1287"/>
      <c r="U184" s="151">
        <f>SUBTOTAL(9,U142:U183)</f>
        <v>0</v>
      </c>
      <c r="V184" s="152">
        <f t="shared" ref="V184:AA184" si="47">SUBTOTAL(9,V142:V183)</f>
        <v>0</v>
      </c>
      <c r="W184" s="153">
        <f t="shared" si="47"/>
        <v>0</v>
      </c>
      <c r="X184" s="153">
        <f t="shared" si="47"/>
        <v>0</v>
      </c>
      <c r="Y184" s="153">
        <f t="shared" si="47"/>
        <v>0</v>
      </c>
      <c r="Z184" s="153">
        <f t="shared" si="47"/>
        <v>0</v>
      </c>
      <c r="AA184" s="154">
        <f t="shared" si="47"/>
        <v>0</v>
      </c>
      <c r="AB184" s="1288"/>
      <c r="AC184" s="1288"/>
      <c r="AE184" s="1211"/>
      <c r="AF184" s="1211"/>
      <c r="AG184" s="1211"/>
      <c r="AH184" s="1211"/>
      <c r="AI184" s="1211"/>
      <c r="AJ184" s="1211"/>
      <c r="AK184" s="1211"/>
      <c r="AL184" s="1211"/>
      <c r="AM184" s="1211"/>
      <c r="AN184" s="1211"/>
      <c r="AO184" s="1211"/>
    </row>
    <row r="185" spans="2:41" s="244" customFormat="1" ht="12" thickTop="1">
      <c r="B185" s="220"/>
      <c r="D185" s="1289"/>
      <c r="F185" s="1290"/>
      <c r="G185" s="1291"/>
      <c r="H185" s="1291"/>
      <c r="I185" s="1291"/>
      <c r="J185" s="1291"/>
      <c r="K185" s="1291"/>
      <c r="L185" s="1292"/>
      <c r="M185" s="1244"/>
      <c r="N185" s="1290"/>
      <c r="O185" s="150"/>
      <c r="P185" s="150"/>
      <c r="Q185" s="1287"/>
      <c r="R185" s="1287"/>
      <c r="S185" s="149"/>
      <c r="T185" s="149"/>
      <c r="U185" s="150"/>
      <c r="V185" s="150"/>
      <c r="W185" s="150"/>
      <c r="X185" s="150"/>
      <c r="Y185" s="150"/>
      <c r="Z185" s="150"/>
      <c r="AA185" s="150"/>
      <c r="AC185" s="1211"/>
      <c r="AD185" s="1211"/>
      <c r="AE185" s="1211"/>
      <c r="AF185" s="1211"/>
      <c r="AG185" s="1211"/>
      <c r="AH185" s="1211"/>
      <c r="AI185" s="1211"/>
      <c r="AJ185" s="1211"/>
      <c r="AK185" s="1211"/>
      <c r="AL185" s="1211"/>
      <c r="AM185" s="1211"/>
    </row>
    <row r="186" spans="2:41" s="244" customFormat="1">
      <c r="B186" s="220"/>
      <c r="D186" s="1289"/>
      <c r="F186" s="1290"/>
      <c r="G186" s="1291"/>
      <c r="H186" s="1291"/>
      <c r="I186" s="1291"/>
      <c r="J186" s="1291"/>
      <c r="K186" s="1291"/>
      <c r="L186" s="1292"/>
      <c r="M186" s="1244"/>
      <c r="N186" s="1290"/>
      <c r="O186" s="150"/>
      <c r="P186" s="150"/>
      <c r="Q186" s="1287"/>
      <c r="R186" s="1287"/>
      <c r="S186" s="149"/>
      <c r="T186" s="149"/>
      <c r="U186" s="150"/>
      <c r="V186" s="150"/>
      <c r="W186" s="150"/>
      <c r="X186" s="150"/>
      <c r="Y186" s="150"/>
      <c r="Z186" s="150"/>
      <c r="AA186" s="150"/>
      <c r="AC186" s="1211"/>
      <c r="AD186" s="1211"/>
      <c r="AE186" s="1211"/>
      <c r="AF186" s="1211"/>
      <c r="AG186" s="1211"/>
      <c r="AH186" s="1211"/>
      <c r="AI186" s="1211"/>
      <c r="AJ186" s="1211"/>
      <c r="AK186" s="1211"/>
      <c r="AL186" s="1211"/>
      <c r="AM186" s="1211"/>
    </row>
    <row r="187" spans="2:41" s="244" customFormat="1">
      <c r="B187" s="220"/>
      <c r="D187" s="1289"/>
      <c r="F187" s="1290"/>
      <c r="G187" s="1291"/>
      <c r="H187" s="1291"/>
      <c r="I187" s="1291"/>
      <c r="J187" s="1291"/>
      <c r="K187" s="1291"/>
      <c r="L187" s="1292"/>
      <c r="M187" s="1244"/>
      <c r="N187" s="1290"/>
      <c r="O187" s="150"/>
      <c r="P187" s="150"/>
      <c r="Q187" s="1287"/>
      <c r="R187" s="1287"/>
      <c r="S187" s="149"/>
      <c r="T187" s="149"/>
      <c r="U187" s="150"/>
      <c r="V187" s="150"/>
      <c r="W187" s="150"/>
      <c r="X187" s="150"/>
      <c r="Y187" s="150"/>
      <c r="Z187" s="150"/>
      <c r="AA187" s="150"/>
      <c r="AC187" s="1211"/>
      <c r="AD187" s="1211"/>
      <c r="AE187" s="1211"/>
      <c r="AF187" s="1211"/>
      <c r="AG187" s="1211"/>
      <c r="AH187" s="1211"/>
      <c r="AI187" s="1211"/>
      <c r="AJ187" s="1211"/>
      <c r="AK187" s="1211"/>
      <c r="AL187" s="1211"/>
      <c r="AM187" s="1211"/>
    </row>
    <row r="188" spans="2:41" s="244" customFormat="1">
      <c r="B188" s="220"/>
      <c r="D188" s="1289"/>
      <c r="F188" s="1290"/>
      <c r="G188" s="1291"/>
      <c r="H188" s="1291"/>
      <c r="I188" s="1291"/>
      <c r="J188" s="1291"/>
      <c r="K188" s="1291"/>
      <c r="L188" s="1292"/>
      <c r="M188" s="1244"/>
      <c r="N188" s="1290"/>
      <c r="O188" s="150"/>
      <c r="P188" s="150"/>
      <c r="Q188" s="1287"/>
      <c r="R188" s="1287"/>
      <c r="S188" s="149"/>
      <c r="T188" s="149"/>
      <c r="U188" s="150"/>
      <c r="V188" s="150"/>
      <c r="W188" s="150"/>
      <c r="X188" s="150"/>
      <c r="Y188" s="150"/>
      <c r="Z188" s="150"/>
      <c r="AA188" s="150"/>
      <c r="AC188" s="1211"/>
      <c r="AD188" s="1211"/>
      <c r="AE188" s="1211"/>
      <c r="AF188" s="1211"/>
      <c r="AG188" s="1211"/>
      <c r="AH188" s="1211"/>
      <c r="AI188" s="1211"/>
      <c r="AJ188" s="1211"/>
      <c r="AK188" s="1211"/>
      <c r="AL188" s="1211"/>
      <c r="AM188" s="1211"/>
    </row>
    <row r="189" spans="2:41" s="244" customFormat="1">
      <c r="B189" s="220"/>
      <c r="D189" s="1289"/>
      <c r="F189" s="1290"/>
      <c r="G189" s="1291"/>
      <c r="H189" s="1291"/>
      <c r="I189" s="1291"/>
      <c r="J189" s="1291"/>
      <c r="K189" s="1291"/>
      <c r="L189" s="1292"/>
      <c r="M189" s="1244"/>
      <c r="N189" s="1290"/>
      <c r="O189" s="150"/>
      <c r="P189" s="150"/>
      <c r="Q189" s="1287"/>
      <c r="R189" s="1287"/>
      <c r="S189" s="149"/>
      <c r="T189" s="149"/>
      <c r="U189" s="150"/>
      <c r="V189" s="150"/>
      <c r="W189" s="150"/>
      <c r="X189" s="150"/>
      <c r="Y189" s="150"/>
      <c r="Z189" s="150"/>
      <c r="AA189" s="150"/>
      <c r="AC189" s="1211"/>
      <c r="AD189" s="1211"/>
      <c r="AE189" s="1211"/>
      <c r="AF189" s="1211"/>
      <c r="AG189" s="1211"/>
      <c r="AH189" s="1211"/>
      <c r="AI189" s="1211"/>
      <c r="AJ189" s="1211"/>
      <c r="AK189" s="1211"/>
      <c r="AL189" s="1211"/>
      <c r="AM189" s="1211"/>
    </row>
    <row r="190" spans="2:41" s="244" customFormat="1">
      <c r="B190" s="220"/>
      <c r="D190" s="1289"/>
      <c r="F190" s="1290"/>
      <c r="G190" s="1291"/>
      <c r="H190" s="1291"/>
      <c r="I190" s="1291"/>
      <c r="J190" s="1291"/>
      <c r="K190" s="1291"/>
      <c r="L190" s="1292"/>
      <c r="M190" s="1244"/>
      <c r="N190" s="1290"/>
      <c r="O190" s="150"/>
      <c r="P190" s="150"/>
      <c r="Q190" s="1287"/>
      <c r="R190" s="1287"/>
      <c r="S190" s="149"/>
      <c r="T190" s="149"/>
      <c r="U190" s="150"/>
      <c r="V190" s="150"/>
      <c r="W190" s="150"/>
      <c r="X190" s="150"/>
      <c r="Y190" s="150"/>
      <c r="Z190" s="150"/>
      <c r="AA190" s="150"/>
      <c r="AC190" s="1211"/>
      <c r="AD190" s="1211"/>
      <c r="AE190" s="1211"/>
      <c r="AF190" s="1211"/>
      <c r="AG190" s="1211"/>
      <c r="AH190" s="1211"/>
      <c r="AI190" s="1211"/>
      <c r="AJ190" s="1211"/>
      <c r="AK190" s="1211"/>
      <c r="AL190" s="1211"/>
      <c r="AM190" s="1211"/>
    </row>
    <row r="191" spans="2:41" s="244" customFormat="1">
      <c r="B191" s="220"/>
      <c r="D191" s="1289"/>
      <c r="F191" s="1290"/>
      <c r="G191" s="1291"/>
      <c r="H191" s="1291"/>
      <c r="I191" s="1291"/>
      <c r="J191" s="1291"/>
      <c r="K191" s="1291"/>
      <c r="L191" s="1292"/>
      <c r="M191" s="1244"/>
      <c r="N191" s="1290"/>
      <c r="O191" s="150"/>
      <c r="P191" s="150"/>
      <c r="Q191" s="1287"/>
      <c r="R191" s="1287"/>
      <c r="S191" s="149"/>
      <c r="T191" s="149"/>
      <c r="U191" s="150"/>
      <c r="V191" s="150"/>
      <c r="W191" s="150"/>
      <c r="X191" s="150"/>
      <c r="Y191" s="150"/>
      <c r="Z191" s="150"/>
      <c r="AA191" s="150"/>
      <c r="AC191" s="1211"/>
      <c r="AD191" s="1211"/>
      <c r="AE191" s="1211"/>
      <c r="AF191" s="1211"/>
      <c r="AG191" s="1211"/>
      <c r="AH191" s="1211"/>
      <c r="AI191" s="1211"/>
      <c r="AJ191" s="1211"/>
      <c r="AK191" s="1211"/>
      <c r="AL191" s="1211"/>
      <c r="AM191" s="1211"/>
    </row>
    <row r="192" spans="2:41" s="244" customFormat="1">
      <c r="B192" s="220"/>
      <c r="D192" s="1289"/>
      <c r="F192" s="1290"/>
      <c r="G192" s="1291"/>
      <c r="H192" s="1291"/>
      <c r="I192" s="1291"/>
      <c r="J192" s="1291"/>
      <c r="K192" s="1291"/>
      <c r="L192" s="1292"/>
      <c r="M192" s="1244"/>
      <c r="N192" s="1290"/>
      <c r="O192" s="150"/>
      <c r="P192" s="150"/>
      <c r="Q192" s="1287"/>
      <c r="R192" s="1287"/>
      <c r="S192" s="149"/>
      <c r="T192" s="149"/>
      <c r="U192" s="150"/>
      <c r="V192" s="150"/>
      <c r="W192" s="150"/>
      <c r="X192" s="150"/>
      <c r="Y192" s="150"/>
      <c r="Z192" s="150"/>
      <c r="AA192" s="150"/>
      <c r="AC192" s="1211"/>
      <c r="AD192" s="1211"/>
      <c r="AE192" s="1211"/>
      <c r="AF192" s="1211"/>
      <c r="AG192" s="1211"/>
      <c r="AH192" s="1211"/>
      <c r="AI192" s="1211"/>
      <c r="AJ192" s="1211"/>
      <c r="AK192" s="1211"/>
      <c r="AL192" s="1211"/>
      <c r="AM192" s="1211"/>
    </row>
    <row r="193" spans="2:39" s="244" customFormat="1">
      <c r="B193" s="220"/>
      <c r="D193" s="1289"/>
      <c r="F193" s="1290"/>
      <c r="G193" s="1291"/>
      <c r="H193" s="1291"/>
      <c r="I193" s="1291"/>
      <c r="J193" s="1291"/>
      <c r="K193" s="1291"/>
      <c r="L193" s="1292"/>
      <c r="M193" s="1244"/>
      <c r="N193" s="1290"/>
      <c r="O193" s="150"/>
      <c r="P193" s="150"/>
      <c r="Q193" s="1287"/>
      <c r="R193" s="1287"/>
      <c r="S193" s="149"/>
      <c r="T193" s="149"/>
      <c r="U193" s="150"/>
      <c r="V193" s="150"/>
      <c r="W193" s="150"/>
      <c r="X193" s="150"/>
      <c r="Y193" s="150"/>
      <c r="Z193" s="150"/>
      <c r="AA193" s="150"/>
      <c r="AC193" s="1211"/>
      <c r="AD193" s="1211"/>
      <c r="AE193" s="1211"/>
      <c r="AF193" s="1211"/>
      <c r="AG193" s="1211"/>
      <c r="AH193" s="1211"/>
      <c r="AI193" s="1211"/>
      <c r="AJ193" s="1211"/>
      <c r="AK193" s="1211"/>
      <c r="AL193" s="1211"/>
      <c r="AM193" s="1211"/>
    </row>
    <row r="194" spans="2:39" s="244" customFormat="1">
      <c r="B194" s="220"/>
      <c r="D194" s="1289"/>
      <c r="F194" s="1290"/>
      <c r="G194" s="1291"/>
      <c r="H194" s="1291"/>
      <c r="I194" s="1291"/>
      <c r="J194" s="1291"/>
      <c r="K194" s="1291"/>
      <c r="L194" s="1292"/>
      <c r="M194" s="1244"/>
      <c r="N194" s="1290"/>
      <c r="O194" s="150"/>
      <c r="P194" s="150"/>
      <c r="Q194" s="1287"/>
      <c r="R194" s="1287"/>
      <c r="S194" s="149"/>
      <c r="T194" s="149"/>
      <c r="U194" s="150"/>
      <c r="V194" s="150"/>
      <c r="W194" s="150"/>
      <c r="X194" s="150"/>
      <c r="Y194" s="150"/>
      <c r="Z194" s="150"/>
      <c r="AA194" s="150"/>
      <c r="AC194" s="1211"/>
      <c r="AD194" s="1211"/>
      <c r="AE194" s="1211"/>
      <c r="AF194" s="1211"/>
      <c r="AG194" s="1211"/>
      <c r="AH194" s="1211"/>
      <c r="AI194" s="1211"/>
      <c r="AJ194" s="1211"/>
      <c r="AK194" s="1211"/>
      <c r="AL194" s="1211"/>
      <c r="AM194" s="1211"/>
    </row>
    <row r="195" spans="2:39" s="244" customFormat="1">
      <c r="B195" s="220"/>
      <c r="D195" s="1289"/>
      <c r="F195" s="1290"/>
      <c r="G195" s="1291"/>
      <c r="H195" s="1291"/>
      <c r="I195" s="1291"/>
      <c r="J195" s="1291"/>
      <c r="K195" s="1291"/>
      <c r="L195" s="1292"/>
      <c r="M195" s="1244"/>
      <c r="N195" s="1290"/>
      <c r="O195" s="150"/>
      <c r="P195" s="150"/>
      <c r="Q195" s="1287"/>
      <c r="R195" s="1287"/>
      <c r="S195" s="149"/>
      <c r="T195" s="149"/>
      <c r="U195" s="150"/>
      <c r="V195" s="150"/>
      <c r="W195" s="150"/>
      <c r="X195" s="150"/>
      <c r="Y195" s="150"/>
      <c r="Z195" s="150"/>
      <c r="AA195" s="150"/>
      <c r="AC195" s="1211"/>
      <c r="AD195" s="1211"/>
      <c r="AE195" s="1211"/>
      <c r="AF195" s="1211"/>
      <c r="AG195" s="1211"/>
      <c r="AH195" s="1211"/>
      <c r="AI195" s="1211"/>
      <c r="AJ195" s="1211"/>
      <c r="AK195" s="1211"/>
      <c r="AL195" s="1211"/>
      <c r="AM195" s="1211"/>
    </row>
    <row r="196" spans="2:39" s="244" customFormat="1">
      <c r="B196" s="220"/>
      <c r="D196" s="1289"/>
      <c r="F196" s="1290"/>
      <c r="G196" s="1291"/>
      <c r="H196" s="1291"/>
      <c r="I196" s="1291"/>
      <c r="J196" s="1291"/>
      <c r="K196" s="1291"/>
      <c r="L196" s="1292"/>
      <c r="M196" s="1244"/>
      <c r="N196" s="1290"/>
      <c r="O196" s="150"/>
      <c r="P196" s="150"/>
      <c r="Q196" s="1287"/>
      <c r="R196" s="1287"/>
      <c r="S196" s="149"/>
      <c r="T196" s="149"/>
      <c r="U196" s="150"/>
      <c r="V196" s="150"/>
      <c r="W196" s="150"/>
      <c r="X196" s="150"/>
      <c r="Y196" s="150"/>
      <c r="Z196" s="150"/>
      <c r="AA196" s="150"/>
      <c r="AC196" s="1211"/>
      <c r="AD196" s="1211"/>
      <c r="AE196" s="1211"/>
      <c r="AF196" s="1211"/>
      <c r="AG196" s="1211"/>
      <c r="AH196" s="1211"/>
      <c r="AI196" s="1211"/>
      <c r="AJ196" s="1211"/>
      <c r="AK196" s="1211"/>
      <c r="AL196" s="1211"/>
      <c r="AM196" s="1211"/>
    </row>
    <row r="197" spans="2:39" s="244" customFormat="1">
      <c r="B197" s="220"/>
      <c r="D197" s="1289"/>
      <c r="F197" s="1290"/>
      <c r="G197" s="1291"/>
      <c r="H197" s="1291"/>
      <c r="I197" s="1291"/>
      <c r="J197" s="1291"/>
      <c r="K197" s="1291"/>
      <c r="L197" s="1292"/>
      <c r="M197" s="1244"/>
      <c r="N197" s="1290"/>
      <c r="O197" s="150"/>
      <c r="P197" s="150"/>
      <c r="Q197" s="1287"/>
      <c r="R197" s="1287"/>
      <c r="S197" s="149"/>
      <c r="T197" s="149"/>
      <c r="U197" s="150"/>
      <c r="V197" s="150"/>
      <c r="W197" s="150"/>
      <c r="X197" s="150"/>
      <c r="Y197" s="150"/>
      <c r="Z197" s="150"/>
      <c r="AA197" s="150"/>
      <c r="AC197" s="1211"/>
      <c r="AD197" s="1211"/>
      <c r="AE197" s="1211"/>
      <c r="AF197" s="1211"/>
      <c r="AG197" s="1211"/>
      <c r="AH197" s="1211"/>
      <c r="AI197" s="1211"/>
      <c r="AJ197" s="1211"/>
      <c r="AK197" s="1211"/>
      <c r="AL197" s="1211"/>
      <c r="AM197" s="1211"/>
    </row>
    <row r="198" spans="2:39" s="244" customFormat="1">
      <c r="B198" s="220"/>
      <c r="D198" s="1289"/>
      <c r="F198" s="1290"/>
      <c r="G198" s="1291"/>
      <c r="H198" s="1291"/>
      <c r="I198" s="1291"/>
      <c r="J198" s="1291"/>
      <c r="K198" s="1291"/>
      <c r="L198" s="1292"/>
      <c r="M198" s="1244"/>
      <c r="N198" s="1290"/>
      <c r="O198" s="150"/>
      <c r="P198" s="150"/>
      <c r="Q198" s="1287"/>
      <c r="R198" s="1287"/>
      <c r="S198" s="149"/>
      <c r="T198" s="149"/>
      <c r="U198" s="150"/>
      <c r="V198" s="150"/>
      <c r="W198" s="150"/>
      <c r="X198" s="150"/>
      <c r="Y198" s="150"/>
      <c r="Z198" s="150"/>
      <c r="AA198" s="150"/>
      <c r="AC198" s="1211"/>
      <c r="AD198" s="1211"/>
      <c r="AE198" s="1211"/>
      <c r="AF198" s="1211"/>
      <c r="AG198" s="1211"/>
      <c r="AH198" s="1211"/>
      <c r="AI198" s="1211"/>
      <c r="AJ198" s="1211"/>
      <c r="AK198" s="1211"/>
      <c r="AL198" s="1211"/>
      <c r="AM198" s="1211"/>
    </row>
    <row r="199" spans="2:39" s="244" customFormat="1">
      <c r="B199" s="220"/>
      <c r="D199" s="1289"/>
      <c r="F199" s="1290"/>
      <c r="G199" s="1291"/>
      <c r="H199" s="1291"/>
      <c r="I199" s="1291"/>
      <c r="J199" s="1291"/>
      <c r="K199" s="1291"/>
      <c r="L199" s="1292"/>
      <c r="M199" s="1244"/>
      <c r="N199" s="1290"/>
      <c r="O199" s="150"/>
      <c r="P199" s="150"/>
      <c r="Q199" s="1287"/>
      <c r="R199" s="1287"/>
      <c r="S199" s="149"/>
      <c r="T199" s="149"/>
      <c r="U199" s="150"/>
      <c r="V199" s="150"/>
      <c r="W199" s="150"/>
      <c r="X199" s="150"/>
      <c r="Y199" s="150"/>
      <c r="Z199" s="150"/>
      <c r="AA199" s="150"/>
      <c r="AC199" s="1211"/>
      <c r="AD199" s="1211"/>
      <c r="AE199" s="1211"/>
      <c r="AF199" s="1211"/>
      <c r="AG199" s="1211"/>
      <c r="AH199" s="1211"/>
      <c r="AI199" s="1211"/>
      <c r="AJ199" s="1211"/>
      <c r="AK199" s="1211"/>
      <c r="AL199" s="1211"/>
      <c r="AM199" s="1211"/>
    </row>
    <row r="200" spans="2:39" s="244" customFormat="1">
      <c r="B200" s="220"/>
      <c r="D200" s="1289"/>
      <c r="F200" s="1290"/>
      <c r="G200" s="1291"/>
      <c r="H200" s="1291"/>
      <c r="I200" s="1291"/>
      <c r="J200" s="1291"/>
      <c r="K200" s="1291"/>
      <c r="L200" s="1292"/>
      <c r="M200" s="1244"/>
      <c r="N200" s="1290"/>
      <c r="O200" s="150"/>
      <c r="P200" s="150"/>
      <c r="Q200" s="1287"/>
      <c r="R200" s="1287"/>
      <c r="S200" s="149"/>
      <c r="T200" s="149"/>
      <c r="U200" s="150"/>
      <c r="V200" s="150"/>
      <c r="W200" s="150"/>
      <c r="X200" s="150"/>
      <c r="Y200" s="150"/>
      <c r="Z200" s="150"/>
      <c r="AA200" s="150"/>
      <c r="AC200" s="1211"/>
      <c r="AD200" s="1211"/>
      <c r="AE200" s="1211"/>
      <c r="AF200" s="1211"/>
      <c r="AG200" s="1211"/>
      <c r="AH200" s="1211"/>
      <c r="AI200" s="1211"/>
      <c r="AJ200" s="1211"/>
      <c r="AK200" s="1211"/>
      <c r="AL200" s="1211"/>
      <c r="AM200" s="1211"/>
    </row>
    <row r="201" spans="2:39" s="244" customFormat="1">
      <c r="B201" s="220"/>
      <c r="D201" s="1289"/>
      <c r="F201" s="1290"/>
      <c r="G201" s="1291"/>
      <c r="H201" s="1291"/>
      <c r="I201" s="1291"/>
      <c r="J201" s="1291"/>
      <c r="K201" s="1291"/>
      <c r="L201" s="1292"/>
      <c r="M201" s="1244"/>
      <c r="N201" s="1290"/>
      <c r="O201" s="150"/>
      <c r="P201" s="150"/>
      <c r="Q201" s="1287"/>
      <c r="R201" s="1287"/>
      <c r="S201" s="149"/>
      <c r="T201" s="149"/>
      <c r="U201" s="150"/>
      <c r="V201" s="150"/>
      <c r="W201" s="150"/>
      <c r="X201" s="150"/>
      <c r="Y201" s="150"/>
      <c r="Z201" s="150"/>
      <c r="AA201" s="150"/>
      <c r="AC201" s="1211"/>
      <c r="AD201" s="1211"/>
      <c r="AE201" s="1211"/>
      <c r="AF201" s="1211"/>
      <c r="AG201" s="1211"/>
      <c r="AH201" s="1211"/>
      <c r="AI201" s="1211"/>
      <c r="AJ201" s="1211"/>
      <c r="AK201" s="1211"/>
      <c r="AL201" s="1211"/>
      <c r="AM201" s="1211"/>
    </row>
    <row r="202" spans="2:39" s="244" customFormat="1">
      <c r="B202" s="220"/>
      <c r="D202" s="1289"/>
      <c r="F202" s="1290"/>
      <c r="G202" s="1291"/>
      <c r="H202" s="1291"/>
      <c r="I202" s="1291"/>
      <c r="J202" s="1291"/>
      <c r="K202" s="1291"/>
      <c r="L202" s="1292"/>
      <c r="M202" s="1244"/>
      <c r="N202" s="1290"/>
      <c r="O202" s="150"/>
      <c r="P202" s="150"/>
      <c r="Q202" s="1287"/>
      <c r="R202" s="1287"/>
      <c r="S202" s="149"/>
      <c r="T202" s="149"/>
      <c r="U202" s="150"/>
      <c r="V202" s="150"/>
      <c r="W202" s="150"/>
      <c r="X202" s="150"/>
      <c r="Y202" s="150"/>
      <c r="Z202" s="150"/>
      <c r="AA202" s="150"/>
      <c r="AC202" s="1211"/>
      <c r="AD202" s="1211"/>
      <c r="AE202" s="1211"/>
      <c r="AF202" s="1211"/>
      <c r="AG202" s="1211"/>
      <c r="AH202" s="1211"/>
      <c r="AI202" s="1211"/>
      <c r="AJ202" s="1211"/>
      <c r="AK202" s="1211"/>
      <c r="AL202" s="1211"/>
      <c r="AM202" s="1211"/>
    </row>
    <row r="203" spans="2:39" s="244" customFormat="1">
      <c r="B203" s="220"/>
      <c r="D203" s="1289"/>
      <c r="F203" s="1290"/>
      <c r="G203" s="1291"/>
      <c r="H203" s="1291"/>
      <c r="I203" s="1291"/>
      <c r="J203" s="1291"/>
      <c r="K203" s="1291"/>
      <c r="L203" s="1292"/>
      <c r="M203" s="1244"/>
      <c r="N203" s="1290"/>
      <c r="O203" s="150"/>
      <c r="P203" s="150"/>
      <c r="Q203" s="1287"/>
      <c r="R203" s="1287"/>
      <c r="S203" s="149"/>
      <c r="T203" s="149"/>
      <c r="U203" s="150"/>
      <c r="V203" s="150"/>
      <c r="W203" s="150"/>
      <c r="X203" s="150"/>
      <c r="Y203" s="150"/>
      <c r="Z203" s="150"/>
      <c r="AA203" s="150"/>
      <c r="AC203" s="1211"/>
      <c r="AD203" s="1211"/>
      <c r="AE203" s="1211"/>
      <c r="AF203" s="1211"/>
      <c r="AG203" s="1211"/>
      <c r="AH203" s="1211"/>
      <c r="AI203" s="1211"/>
      <c r="AJ203" s="1211"/>
      <c r="AK203" s="1211"/>
      <c r="AL203" s="1211"/>
      <c r="AM203" s="1211"/>
    </row>
    <row r="204" spans="2:39" s="244" customFormat="1">
      <c r="B204" s="220"/>
      <c r="D204" s="1289"/>
      <c r="F204" s="1290"/>
      <c r="G204" s="1291"/>
      <c r="H204" s="1291"/>
      <c r="I204" s="1291"/>
      <c r="J204" s="1291"/>
      <c r="K204" s="1291"/>
      <c r="L204" s="1292"/>
      <c r="M204" s="1244"/>
      <c r="N204" s="1290"/>
      <c r="O204" s="150"/>
      <c r="P204" s="150"/>
      <c r="Q204" s="1287"/>
      <c r="R204" s="1287"/>
      <c r="S204" s="149"/>
      <c r="T204" s="149"/>
      <c r="U204" s="150"/>
      <c r="V204" s="150"/>
      <c r="W204" s="150"/>
      <c r="X204" s="150"/>
      <c r="Y204" s="150"/>
      <c r="Z204" s="150"/>
      <c r="AA204" s="150"/>
      <c r="AC204" s="1211"/>
      <c r="AD204" s="1211"/>
      <c r="AE204" s="1211"/>
      <c r="AF204" s="1211"/>
      <c r="AG204" s="1211"/>
      <c r="AH204" s="1211"/>
      <c r="AI204" s="1211"/>
      <c r="AJ204" s="1211"/>
      <c r="AK204" s="1211"/>
      <c r="AL204" s="1211"/>
      <c r="AM204" s="1211"/>
    </row>
    <row r="205" spans="2:39" s="244" customFormat="1">
      <c r="B205" s="220"/>
      <c r="D205" s="1289"/>
      <c r="F205" s="1290"/>
      <c r="G205" s="1291"/>
      <c r="H205" s="1291"/>
      <c r="I205" s="1291"/>
      <c r="J205" s="1291"/>
      <c r="K205" s="1291"/>
      <c r="L205" s="1292"/>
      <c r="M205" s="1244"/>
      <c r="N205" s="1290"/>
      <c r="O205" s="150"/>
      <c r="P205" s="150"/>
      <c r="Q205" s="1287"/>
      <c r="R205" s="1287"/>
      <c r="S205" s="149"/>
      <c r="T205" s="149"/>
      <c r="U205" s="150"/>
      <c r="V205" s="150"/>
      <c r="W205" s="150"/>
      <c r="X205" s="150"/>
      <c r="Y205" s="150"/>
      <c r="Z205" s="150"/>
      <c r="AA205" s="150"/>
      <c r="AC205" s="1211"/>
      <c r="AD205" s="1211"/>
      <c r="AE205" s="1211"/>
      <c r="AF205" s="1211"/>
      <c r="AG205" s="1211"/>
      <c r="AH205" s="1211"/>
      <c r="AI205" s="1211"/>
      <c r="AJ205" s="1211"/>
      <c r="AK205" s="1211"/>
      <c r="AL205" s="1211"/>
      <c r="AM205" s="1211"/>
    </row>
    <row r="206" spans="2:39" s="244" customFormat="1">
      <c r="B206" s="220"/>
      <c r="D206" s="1289"/>
      <c r="F206" s="1290"/>
      <c r="G206" s="1291"/>
      <c r="H206" s="1291"/>
      <c r="I206" s="1291"/>
      <c r="J206" s="1291"/>
      <c r="K206" s="1291"/>
      <c r="L206" s="1292"/>
      <c r="M206" s="1244"/>
      <c r="N206" s="1290"/>
      <c r="O206" s="150"/>
      <c r="P206" s="150"/>
      <c r="Q206" s="1287"/>
      <c r="R206" s="1287"/>
      <c r="S206" s="149"/>
      <c r="T206" s="149"/>
      <c r="U206" s="150"/>
      <c r="V206" s="150"/>
      <c r="W206" s="150"/>
      <c r="X206" s="150"/>
      <c r="Y206" s="150"/>
      <c r="Z206" s="150"/>
      <c r="AA206" s="150"/>
      <c r="AC206" s="1211"/>
      <c r="AD206" s="1211"/>
      <c r="AE206" s="1211"/>
      <c r="AF206" s="1211"/>
      <c r="AG206" s="1211"/>
      <c r="AH206" s="1211"/>
      <c r="AI206" s="1211"/>
      <c r="AJ206" s="1211"/>
      <c r="AK206" s="1211"/>
      <c r="AL206" s="1211"/>
      <c r="AM206" s="1211"/>
    </row>
    <row r="207" spans="2:39" s="244" customFormat="1">
      <c r="B207" s="220"/>
      <c r="D207" s="1289"/>
      <c r="F207" s="1290"/>
      <c r="G207" s="1291"/>
      <c r="H207" s="1291"/>
      <c r="I207" s="1291"/>
      <c r="J207" s="1291"/>
      <c r="K207" s="1291"/>
      <c r="L207" s="1292"/>
      <c r="M207" s="1244"/>
      <c r="N207" s="1290"/>
      <c r="O207" s="150"/>
      <c r="P207" s="150"/>
      <c r="Q207" s="1287"/>
      <c r="R207" s="1287"/>
      <c r="S207" s="149"/>
      <c r="T207" s="149"/>
      <c r="U207" s="150"/>
      <c r="V207" s="150"/>
      <c r="W207" s="150"/>
      <c r="X207" s="150"/>
      <c r="Y207" s="150"/>
      <c r="Z207" s="150"/>
      <c r="AA207" s="150"/>
      <c r="AC207" s="1211"/>
      <c r="AD207" s="1211"/>
      <c r="AE207" s="1211"/>
      <c r="AF207" s="1211"/>
      <c r="AG207" s="1211"/>
      <c r="AH207" s="1211"/>
      <c r="AI207" s="1211"/>
      <c r="AJ207" s="1211"/>
      <c r="AK207" s="1211"/>
      <c r="AL207" s="1211"/>
      <c r="AM207" s="1211"/>
    </row>
    <row r="208" spans="2:39" s="244" customFormat="1">
      <c r="B208" s="220"/>
      <c r="D208" s="1289"/>
      <c r="F208" s="1290"/>
      <c r="G208" s="1291"/>
      <c r="H208" s="1291"/>
      <c r="I208" s="1291"/>
      <c r="J208" s="1291"/>
      <c r="K208" s="1291"/>
      <c r="L208" s="1292"/>
      <c r="M208" s="1244"/>
      <c r="N208" s="1290"/>
      <c r="O208" s="150"/>
      <c r="P208" s="150"/>
      <c r="Q208" s="1287"/>
      <c r="R208" s="1287"/>
      <c r="S208" s="149"/>
      <c r="T208" s="149"/>
      <c r="U208" s="150"/>
      <c r="V208" s="150"/>
      <c r="W208" s="150"/>
      <c r="X208" s="150"/>
      <c r="Y208" s="150"/>
      <c r="Z208" s="150"/>
      <c r="AA208" s="150"/>
      <c r="AC208" s="1211"/>
      <c r="AD208" s="1211"/>
      <c r="AE208" s="1211"/>
      <c r="AF208" s="1211"/>
      <c r="AG208" s="1211"/>
      <c r="AH208" s="1211"/>
      <c r="AI208" s="1211"/>
      <c r="AJ208" s="1211"/>
      <c r="AK208" s="1211"/>
      <c r="AL208" s="1211"/>
      <c r="AM208" s="1211"/>
    </row>
    <row r="209" spans="1:40" s="244" customFormat="1">
      <c r="B209" s="220"/>
      <c r="D209" s="1289"/>
      <c r="F209" s="1290"/>
      <c r="G209" s="1291"/>
      <c r="H209" s="1291"/>
      <c r="I209" s="1291"/>
      <c r="J209" s="1291"/>
      <c r="K209" s="1291"/>
      <c r="L209" s="1292"/>
      <c r="M209" s="1244"/>
      <c r="N209" s="1290"/>
      <c r="O209" s="150"/>
      <c r="P209" s="150"/>
      <c r="Q209" s="1287"/>
      <c r="R209" s="1287"/>
      <c r="S209" s="149"/>
      <c r="T209" s="149"/>
      <c r="U209" s="150"/>
      <c r="V209" s="150"/>
      <c r="W209" s="150"/>
      <c r="X209" s="150"/>
      <c r="Y209" s="150"/>
      <c r="Z209" s="150"/>
      <c r="AA209" s="150"/>
      <c r="AC209" s="1211"/>
      <c r="AD209" s="1211"/>
      <c r="AE209" s="1211"/>
      <c r="AF209" s="1211"/>
      <c r="AG209" s="1211"/>
      <c r="AH209" s="1211"/>
      <c r="AI209" s="1211"/>
      <c r="AJ209" s="1211"/>
      <c r="AK209" s="1211"/>
      <c r="AL209" s="1211"/>
      <c r="AM209" s="1211"/>
    </row>
    <row r="210" spans="1:40" s="244" customFormat="1">
      <c r="B210" s="220"/>
      <c r="D210" s="1289"/>
      <c r="F210" s="1290"/>
      <c r="G210" s="1291"/>
      <c r="H210" s="1291"/>
      <c r="I210" s="1291"/>
      <c r="J210" s="1291"/>
      <c r="K210" s="1291"/>
      <c r="L210" s="1292"/>
      <c r="M210" s="1244"/>
      <c r="N210" s="1290"/>
      <c r="O210" s="150"/>
      <c r="P210" s="150"/>
      <c r="Q210" s="1287"/>
      <c r="R210" s="1287"/>
      <c r="S210" s="149"/>
      <c r="T210" s="149"/>
      <c r="U210" s="150"/>
      <c r="V210" s="150"/>
      <c r="W210" s="150"/>
      <c r="X210" s="150"/>
      <c r="Y210" s="150"/>
      <c r="Z210" s="150"/>
      <c r="AA210" s="150"/>
      <c r="AC210" s="1211"/>
      <c r="AD210" s="1211"/>
      <c r="AE210" s="1211"/>
      <c r="AF210" s="1211"/>
      <c r="AG210" s="1211"/>
      <c r="AH210" s="1211"/>
      <c r="AI210" s="1211"/>
      <c r="AJ210" s="1211"/>
      <c r="AK210" s="1211"/>
      <c r="AL210" s="1211"/>
      <c r="AM210" s="1211"/>
    </row>
    <row r="211" spans="1:40" s="244" customFormat="1">
      <c r="B211" s="220"/>
      <c r="D211" s="1289"/>
      <c r="F211" s="1290"/>
      <c r="G211" s="1291"/>
      <c r="H211" s="1291"/>
      <c r="I211" s="1291"/>
      <c r="J211" s="1291"/>
      <c r="K211" s="1291"/>
      <c r="L211" s="1292"/>
      <c r="M211" s="1244"/>
      <c r="N211" s="1290"/>
      <c r="O211" s="150"/>
      <c r="P211" s="150"/>
      <c r="Q211" s="1287"/>
      <c r="R211" s="1287"/>
      <c r="S211" s="149"/>
      <c r="T211" s="149"/>
      <c r="U211" s="150"/>
      <c r="V211" s="150"/>
      <c r="W211" s="150"/>
      <c r="X211" s="150"/>
      <c r="Y211" s="150"/>
      <c r="Z211" s="150"/>
      <c r="AA211" s="150"/>
      <c r="AC211" s="1211"/>
      <c r="AD211" s="1211"/>
      <c r="AE211" s="1211"/>
      <c r="AF211" s="1211"/>
      <c r="AG211" s="1211"/>
      <c r="AH211" s="1211"/>
      <c r="AI211" s="1211"/>
      <c r="AJ211" s="1211"/>
      <c r="AK211" s="1211"/>
      <c r="AL211" s="1211"/>
      <c r="AM211" s="1211"/>
    </row>
    <row r="212" spans="1:40" s="244" customFormat="1">
      <c r="B212" s="220"/>
      <c r="D212" s="1289"/>
      <c r="F212" s="1290"/>
      <c r="G212" s="1291"/>
      <c r="H212" s="1291"/>
      <c r="I212" s="1291"/>
      <c r="J212" s="1291"/>
      <c r="K212" s="1291"/>
      <c r="L212" s="1292"/>
      <c r="M212" s="1244"/>
      <c r="N212" s="1290"/>
      <c r="O212" s="150"/>
      <c r="P212" s="150"/>
      <c r="Q212" s="1287"/>
      <c r="R212" s="1287"/>
      <c r="S212" s="149"/>
      <c r="T212" s="149"/>
      <c r="U212" s="150"/>
      <c r="V212" s="150"/>
      <c r="W212" s="150"/>
      <c r="X212" s="150"/>
      <c r="Y212" s="150"/>
      <c r="Z212" s="150"/>
      <c r="AA212" s="150"/>
      <c r="AC212" s="1211"/>
      <c r="AD212" s="1211"/>
      <c r="AE212" s="1211"/>
      <c r="AF212" s="1211"/>
      <c r="AG212" s="1211"/>
      <c r="AH212" s="1211"/>
      <c r="AI212" s="1211"/>
      <c r="AJ212" s="1211"/>
      <c r="AK212" s="1211"/>
      <c r="AL212" s="1211"/>
      <c r="AM212" s="1211"/>
    </row>
    <row r="213" spans="1:40" s="244" customFormat="1">
      <c r="B213" s="220"/>
      <c r="D213" s="1289"/>
      <c r="F213" s="1290"/>
      <c r="G213" s="1291"/>
      <c r="H213" s="1291"/>
      <c r="I213" s="1291"/>
      <c r="J213" s="1291"/>
      <c r="K213" s="1291"/>
      <c r="L213" s="1292"/>
      <c r="M213" s="1244"/>
      <c r="N213" s="1290"/>
      <c r="O213" s="150"/>
      <c r="P213" s="150"/>
      <c r="Q213" s="1287"/>
      <c r="R213" s="1287"/>
      <c r="S213" s="149"/>
      <c r="T213" s="149"/>
      <c r="U213" s="150"/>
      <c r="V213" s="150"/>
      <c r="W213" s="150"/>
      <c r="X213" s="150"/>
      <c r="Y213" s="150"/>
      <c r="Z213" s="150"/>
      <c r="AA213" s="150"/>
      <c r="AC213" s="1211"/>
      <c r="AD213" s="1211"/>
      <c r="AE213" s="1211"/>
      <c r="AF213" s="1211"/>
      <c r="AG213" s="1211"/>
      <c r="AH213" s="1211"/>
      <c r="AI213" s="1211"/>
      <c r="AJ213" s="1211"/>
      <c r="AK213" s="1211"/>
      <c r="AL213" s="1211"/>
      <c r="AM213" s="1211"/>
    </row>
    <row r="214" spans="1:40" s="244" customFormat="1">
      <c r="B214" s="220"/>
      <c r="D214" s="1289"/>
      <c r="F214" s="1290"/>
      <c r="G214" s="1291"/>
      <c r="H214" s="1291"/>
      <c r="I214" s="1291"/>
      <c r="J214" s="1291"/>
      <c r="K214" s="1291"/>
      <c r="L214" s="1292"/>
      <c r="M214" s="1244"/>
      <c r="N214" s="1290"/>
      <c r="O214" s="150"/>
      <c r="P214" s="150"/>
      <c r="Q214" s="1287"/>
      <c r="R214" s="1287"/>
      <c r="S214" s="149"/>
      <c r="T214" s="149"/>
      <c r="U214" s="150"/>
      <c r="V214" s="150"/>
      <c r="W214" s="150"/>
      <c r="X214" s="150"/>
      <c r="Y214" s="150"/>
      <c r="Z214" s="150"/>
      <c r="AA214" s="150"/>
      <c r="AC214" s="1211"/>
      <c r="AD214" s="1211"/>
      <c r="AE214" s="1211"/>
      <c r="AF214" s="1211"/>
      <c r="AG214" s="1211"/>
      <c r="AH214" s="1211"/>
      <c r="AI214" s="1211"/>
      <c r="AJ214" s="1211"/>
      <c r="AK214" s="1211"/>
      <c r="AL214" s="1211"/>
      <c r="AM214" s="1211"/>
    </row>
    <row r="215" spans="1:40" s="244" customFormat="1">
      <c r="B215" s="220"/>
      <c r="C215" s="245"/>
      <c r="D215" s="1213"/>
      <c r="E215" s="245"/>
      <c r="F215" s="1205"/>
      <c r="G215" s="1206"/>
      <c r="H215" s="1206"/>
      <c r="I215" s="1206"/>
      <c r="J215" s="1206"/>
      <c r="K215" s="1206"/>
      <c r="L215" s="1207"/>
      <c r="M215" s="1208"/>
      <c r="N215" s="1205"/>
      <c r="O215" s="1215"/>
      <c r="P215" s="1215"/>
      <c r="Q215" s="1293"/>
      <c r="R215" s="1293"/>
      <c r="S215" s="149"/>
      <c r="T215" s="149"/>
      <c r="U215" s="150"/>
      <c r="V215" s="150"/>
      <c r="W215" s="150"/>
      <c r="X215" s="150"/>
      <c r="Y215" s="150"/>
      <c r="Z215" s="150"/>
      <c r="AA215" s="150"/>
      <c r="AC215" s="1211"/>
      <c r="AD215" s="1211"/>
      <c r="AE215" s="1211"/>
      <c r="AF215" s="1211"/>
      <c r="AG215" s="1211"/>
      <c r="AH215" s="1211"/>
      <c r="AI215" s="1211"/>
      <c r="AJ215" s="1211"/>
      <c r="AK215" s="1211"/>
      <c r="AL215" s="1211"/>
      <c r="AM215" s="1211"/>
    </row>
    <row r="216" spans="1:40">
      <c r="A216" s="245"/>
      <c r="O216" s="1215"/>
      <c r="P216" s="1215"/>
      <c r="Q216" s="1293"/>
      <c r="R216" s="1293"/>
      <c r="S216" s="251"/>
      <c r="T216" s="251"/>
      <c r="U216" s="1132"/>
      <c r="V216" s="1132"/>
      <c r="W216" s="1132"/>
      <c r="X216" s="1132"/>
      <c r="Y216" s="1132"/>
      <c r="Z216" s="1132"/>
      <c r="AA216" s="1132"/>
      <c r="AN216" s="245"/>
    </row>
    <row r="217" spans="1:40">
      <c r="A217" s="245"/>
      <c r="O217" s="1215"/>
      <c r="P217" s="1215"/>
      <c r="Q217" s="1293"/>
      <c r="R217" s="1293"/>
      <c r="S217" s="251"/>
      <c r="T217" s="251"/>
      <c r="U217" s="1132"/>
      <c r="V217" s="1132"/>
      <c r="W217" s="1132"/>
      <c r="X217" s="1132"/>
      <c r="Y217" s="1132"/>
      <c r="Z217" s="1132"/>
      <c r="AA217" s="1132"/>
      <c r="AN217" s="245"/>
    </row>
    <row r="218" spans="1:40">
      <c r="A218" s="245"/>
      <c r="O218" s="1215"/>
      <c r="P218" s="1215"/>
      <c r="Q218" s="1293"/>
      <c r="R218" s="1293"/>
      <c r="S218" s="251"/>
      <c r="T218" s="251"/>
      <c r="U218" s="1132"/>
      <c r="V218" s="1132"/>
      <c r="W218" s="1132"/>
      <c r="X218" s="1132"/>
      <c r="Y218" s="1132"/>
      <c r="Z218" s="1132"/>
      <c r="AA218" s="1132"/>
      <c r="AN218" s="245"/>
    </row>
    <row r="219" spans="1:40">
      <c r="A219" s="245"/>
      <c r="O219" s="1215"/>
      <c r="P219" s="1215"/>
      <c r="Q219" s="1293"/>
      <c r="R219" s="1293"/>
      <c r="S219" s="251"/>
      <c r="T219" s="251"/>
      <c r="U219" s="1132"/>
      <c r="V219" s="1132"/>
      <c r="W219" s="1132"/>
      <c r="X219" s="1132"/>
      <c r="Y219" s="1132"/>
      <c r="Z219" s="1132"/>
      <c r="AA219" s="1132"/>
      <c r="AN219" s="245"/>
    </row>
    <row r="220" spans="1:40">
      <c r="A220" s="245"/>
      <c r="O220" s="1215"/>
      <c r="P220" s="1215"/>
      <c r="Q220" s="1293"/>
      <c r="R220" s="1293"/>
      <c r="S220" s="251"/>
      <c r="T220" s="251"/>
      <c r="U220" s="1132"/>
      <c r="V220" s="1132"/>
      <c r="W220" s="1132"/>
      <c r="X220" s="1132"/>
      <c r="Y220" s="1132"/>
      <c r="Z220" s="1132"/>
      <c r="AA220" s="1132"/>
      <c r="AN220" s="245"/>
    </row>
    <row r="221" spans="1:40">
      <c r="A221" s="245"/>
      <c r="O221" s="1215"/>
      <c r="P221" s="1215"/>
      <c r="Q221" s="1293"/>
      <c r="R221" s="1293"/>
      <c r="S221" s="251"/>
      <c r="T221" s="251"/>
      <c r="U221" s="1132"/>
      <c r="V221" s="1132"/>
      <c r="W221" s="1132"/>
      <c r="X221" s="1132"/>
      <c r="Y221" s="1132"/>
      <c r="Z221" s="1132"/>
      <c r="AA221" s="1132"/>
      <c r="AN221" s="245"/>
    </row>
    <row r="222" spans="1:40">
      <c r="A222" s="245"/>
      <c r="O222" s="1215"/>
      <c r="P222" s="1215"/>
      <c r="Q222" s="1293"/>
      <c r="R222" s="1293"/>
      <c r="S222" s="251"/>
      <c r="T222" s="251"/>
      <c r="U222" s="1132"/>
      <c r="V222" s="1132"/>
      <c r="W222" s="1132"/>
      <c r="X222" s="1132"/>
      <c r="Y222" s="1132"/>
      <c r="Z222" s="1132"/>
      <c r="AA222" s="1132"/>
      <c r="AN222" s="245"/>
    </row>
    <row r="223" spans="1:40">
      <c r="A223" s="245"/>
      <c r="D223" s="245"/>
      <c r="F223" s="245"/>
      <c r="G223" s="245"/>
      <c r="H223" s="245"/>
      <c r="I223" s="245"/>
      <c r="J223" s="245"/>
      <c r="K223" s="245"/>
      <c r="L223" s="245"/>
      <c r="M223" s="245"/>
      <c r="N223" s="245"/>
      <c r="O223" s="1215"/>
      <c r="P223" s="1215"/>
      <c r="Q223" s="1293"/>
      <c r="R223" s="1293"/>
      <c r="S223" s="251"/>
      <c r="T223" s="251"/>
      <c r="U223" s="1132"/>
      <c r="V223" s="1132"/>
      <c r="W223" s="1132"/>
      <c r="X223" s="1132"/>
      <c r="Y223" s="1132"/>
      <c r="Z223" s="1132"/>
      <c r="AA223" s="1132"/>
      <c r="AN223" s="245"/>
    </row>
    <row r="224" spans="1:40">
      <c r="A224" s="245"/>
      <c r="B224" s="245"/>
      <c r="D224" s="245"/>
      <c r="F224" s="245"/>
      <c r="G224" s="245"/>
      <c r="H224" s="245"/>
      <c r="I224" s="245"/>
      <c r="J224" s="245"/>
      <c r="K224" s="245"/>
      <c r="L224" s="245"/>
      <c r="M224" s="245"/>
      <c r="N224" s="245"/>
      <c r="O224" s="1215"/>
      <c r="P224" s="1215"/>
      <c r="Q224" s="1293"/>
      <c r="R224" s="1293"/>
      <c r="S224" s="251"/>
      <c r="T224" s="251"/>
      <c r="U224" s="1132"/>
      <c r="V224" s="1132"/>
      <c r="W224" s="1132"/>
      <c r="X224" s="1132"/>
      <c r="Y224" s="1132"/>
      <c r="Z224" s="1132"/>
      <c r="AA224" s="1132"/>
      <c r="AB224" s="245"/>
      <c r="AC224" s="245"/>
      <c r="AD224" s="245"/>
      <c r="AE224" s="245"/>
      <c r="AF224" s="245"/>
      <c r="AG224" s="245"/>
      <c r="AH224" s="245"/>
      <c r="AI224" s="245"/>
      <c r="AJ224" s="245"/>
      <c r="AK224" s="245"/>
      <c r="AL224" s="245"/>
      <c r="AM224" s="245"/>
      <c r="AN224" s="245"/>
    </row>
    <row r="225" spans="1:40">
      <c r="A225" s="245"/>
      <c r="B225" s="245"/>
      <c r="D225" s="245"/>
      <c r="F225" s="245"/>
      <c r="G225" s="245"/>
      <c r="H225" s="245"/>
      <c r="I225" s="245"/>
      <c r="J225" s="245"/>
      <c r="K225" s="245"/>
      <c r="L225" s="245"/>
      <c r="M225" s="245"/>
      <c r="N225" s="245"/>
      <c r="O225" s="1215"/>
      <c r="P225" s="1215"/>
      <c r="Q225" s="1293"/>
      <c r="R225" s="1293"/>
      <c r="S225" s="251"/>
      <c r="T225" s="251"/>
      <c r="U225" s="1132"/>
      <c r="V225" s="1132"/>
      <c r="W225" s="1132"/>
      <c r="X225" s="1132"/>
      <c r="Y225" s="1132"/>
      <c r="Z225" s="1132"/>
      <c r="AA225" s="1132"/>
      <c r="AB225" s="245"/>
      <c r="AC225" s="245"/>
      <c r="AD225" s="245"/>
      <c r="AE225" s="245"/>
      <c r="AF225" s="245"/>
      <c r="AG225" s="245"/>
      <c r="AH225" s="245"/>
      <c r="AI225" s="245"/>
      <c r="AJ225" s="245"/>
      <c r="AK225" s="245"/>
      <c r="AL225" s="245"/>
      <c r="AM225" s="245"/>
      <c r="AN225" s="245"/>
    </row>
    <row r="226" spans="1:40">
      <c r="A226" s="245"/>
      <c r="B226" s="245"/>
      <c r="D226" s="245"/>
      <c r="F226" s="245"/>
      <c r="G226" s="245"/>
      <c r="H226" s="245"/>
      <c r="I226" s="245"/>
      <c r="J226" s="245"/>
      <c r="K226" s="245"/>
      <c r="L226" s="245"/>
      <c r="M226" s="245"/>
      <c r="N226" s="245"/>
      <c r="O226" s="1215"/>
      <c r="P226" s="1215"/>
      <c r="Q226" s="1293"/>
      <c r="R226" s="1293"/>
      <c r="S226" s="251"/>
      <c r="T226" s="251"/>
      <c r="U226" s="1132"/>
      <c r="V226" s="1132"/>
      <c r="W226" s="1132"/>
      <c r="X226" s="1132"/>
      <c r="Y226" s="1132"/>
      <c r="Z226" s="1132"/>
      <c r="AA226" s="1132"/>
      <c r="AB226" s="245"/>
      <c r="AC226" s="245"/>
      <c r="AD226" s="245"/>
      <c r="AE226" s="245"/>
      <c r="AF226" s="245"/>
      <c r="AG226" s="245"/>
      <c r="AH226" s="245"/>
      <c r="AI226" s="245"/>
      <c r="AJ226" s="245"/>
      <c r="AK226" s="245"/>
      <c r="AL226" s="245"/>
      <c r="AM226" s="245"/>
      <c r="AN226" s="245"/>
    </row>
    <row r="227" spans="1:40">
      <c r="A227" s="245"/>
      <c r="B227" s="245"/>
      <c r="D227" s="245"/>
      <c r="F227" s="245"/>
      <c r="G227" s="245"/>
      <c r="H227" s="245"/>
      <c r="I227" s="245"/>
      <c r="J227" s="245"/>
      <c r="K227" s="245"/>
      <c r="L227" s="245"/>
      <c r="M227" s="245"/>
      <c r="N227" s="245"/>
      <c r="O227" s="1215"/>
      <c r="P227" s="1215"/>
      <c r="Q227" s="1293"/>
      <c r="R227" s="1293"/>
      <c r="S227" s="251"/>
      <c r="T227" s="251"/>
      <c r="U227" s="1132"/>
      <c r="V227" s="1132"/>
      <c r="W227" s="1132"/>
      <c r="X227" s="1132"/>
      <c r="Y227" s="1132"/>
      <c r="Z227" s="1132"/>
      <c r="AA227" s="1132"/>
      <c r="AB227" s="245"/>
      <c r="AC227" s="245"/>
      <c r="AD227" s="245"/>
      <c r="AE227" s="245"/>
      <c r="AF227" s="245"/>
      <c r="AG227" s="245"/>
      <c r="AH227" s="245"/>
      <c r="AI227" s="245"/>
      <c r="AJ227" s="245"/>
      <c r="AK227" s="245"/>
      <c r="AL227" s="245"/>
      <c r="AM227" s="245"/>
      <c r="AN227" s="245"/>
    </row>
    <row r="228" spans="1:40">
      <c r="A228" s="245"/>
      <c r="B228" s="245"/>
      <c r="D228" s="245"/>
      <c r="F228" s="245"/>
      <c r="G228" s="245"/>
      <c r="H228" s="245"/>
      <c r="I228" s="245"/>
      <c r="J228" s="245"/>
      <c r="K228" s="245"/>
      <c r="L228" s="245"/>
      <c r="M228" s="245"/>
      <c r="N228" s="245"/>
      <c r="S228" s="251"/>
      <c r="T228" s="251"/>
      <c r="U228" s="1132"/>
      <c r="V228" s="1132"/>
      <c r="W228" s="1132"/>
      <c r="X228" s="1132"/>
      <c r="Y228" s="1132"/>
      <c r="Z228" s="1132"/>
      <c r="AA228" s="1132"/>
      <c r="AB228" s="245"/>
      <c r="AC228" s="245"/>
      <c r="AD228" s="245"/>
      <c r="AE228" s="245"/>
      <c r="AF228" s="245"/>
      <c r="AG228" s="245"/>
      <c r="AH228" s="245"/>
      <c r="AI228" s="245"/>
      <c r="AJ228" s="245"/>
      <c r="AK228" s="245"/>
      <c r="AL228" s="245"/>
      <c r="AM228" s="245"/>
      <c r="AN228" s="245"/>
    </row>
    <row r="229" spans="1:40">
      <c r="A229" s="245"/>
      <c r="B229" s="245"/>
      <c r="D229" s="245"/>
      <c r="F229" s="245"/>
      <c r="G229" s="245"/>
      <c r="H229" s="245"/>
      <c r="I229" s="245"/>
      <c r="J229" s="245"/>
      <c r="K229" s="245"/>
      <c r="L229" s="245"/>
      <c r="M229" s="245"/>
      <c r="N229" s="245"/>
      <c r="AB229" s="245"/>
      <c r="AC229" s="245"/>
      <c r="AD229" s="245"/>
      <c r="AE229" s="245"/>
      <c r="AF229" s="245"/>
      <c r="AG229" s="245"/>
      <c r="AH229" s="245"/>
      <c r="AI229" s="245"/>
      <c r="AJ229" s="245"/>
      <c r="AK229" s="245"/>
      <c r="AL229" s="245"/>
      <c r="AM229" s="245"/>
      <c r="AN229" s="245"/>
    </row>
    <row r="230" spans="1:40">
      <c r="A230" s="245"/>
      <c r="B230" s="245"/>
      <c r="D230" s="245"/>
      <c r="F230" s="245"/>
      <c r="G230" s="245"/>
      <c r="H230" s="245"/>
      <c r="I230" s="245"/>
      <c r="J230" s="245"/>
      <c r="K230" s="245"/>
      <c r="L230" s="245"/>
      <c r="M230" s="245"/>
      <c r="N230" s="245"/>
      <c r="AB230" s="245"/>
      <c r="AC230" s="245"/>
      <c r="AD230" s="245"/>
      <c r="AE230" s="245"/>
      <c r="AF230" s="245"/>
      <c r="AG230" s="245"/>
      <c r="AH230" s="245"/>
      <c r="AI230" s="245"/>
      <c r="AJ230" s="245"/>
      <c r="AK230" s="245"/>
      <c r="AL230" s="245"/>
      <c r="AM230" s="245"/>
      <c r="AN230" s="245"/>
    </row>
    <row r="231" spans="1:40">
      <c r="A231" s="245"/>
      <c r="B231" s="245"/>
      <c r="D231" s="245"/>
      <c r="F231" s="245"/>
      <c r="G231" s="245"/>
      <c r="H231" s="245"/>
      <c r="I231" s="245"/>
      <c r="J231" s="245"/>
      <c r="K231" s="245"/>
      <c r="L231" s="245"/>
      <c r="M231" s="245"/>
      <c r="N231" s="245"/>
      <c r="AB231" s="245"/>
      <c r="AC231" s="245"/>
      <c r="AD231" s="245"/>
      <c r="AE231" s="245"/>
      <c r="AF231" s="245"/>
      <c r="AG231" s="245"/>
      <c r="AH231" s="245"/>
      <c r="AI231" s="245"/>
      <c r="AJ231" s="245"/>
      <c r="AK231" s="245"/>
      <c r="AL231" s="245"/>
      <c r="AM231" s="245"/>
      <c r="AN231" s="245"/>
    </row>
    <row r="232" spans="1:40">
      <c r="A232" s="245"/>
      <c r="B232" s="245"/>
      <c r="D232" s="245"/>
      <c r="F232" s="245"/>
      <c r="G232" s="245"/>
      <c r="H232" s="245"/>
      <c r="I232" s="245"/>
      <c r="J232" s="245"/>
      <c r="K232" s="245"/>
      <c r="L232" s="245"/>
      <c r="M232" s="245"/>
      <c r="N232" s="245"/>
      <c r="AB232" s="245"/>
      <c r="AC232" s="245"/>
      <c r="AD232" s="245"/>
      <c r="AE232" s="245"/>
      <c r="AF232" s="245"/>
      <c r="AG232" s="245"/>
      <c r="AH232" s="245"/>
      <c r="AI232" s="245"/>
      <c r="AJ232" s="245"/>
      <c r="AK232" s="245"/>
      <c r="AL232" s="245"/>
      <c r="AM232" s="245"/>
      <c r="AN232" s="245"/>
    </row>
    <row r="233" spans="1:40">
      <c r="A233" s="245"/>
      <c r="B233" s="245"/>
      <c r="AB233" s="245"/>
      <c r="AC233" s="245"/>
      <c r="AD233" s="245"/>
      <c r="AE233" s="245"/>
      <c r="AF233" s="245"/>
      <c r="AG233" s="245"/>
      <c r="AH233" s="245"/>
      <c r="AI233" s="245"/>
      <c r="AJ233" s="245"/>
      <c r="AK233" s="245"/>
      <c r="AL233" s="245"/>
      <c r="AM233" s="245"/>
      <c r="AN233" s="245"/>
    </row>
  </sheetData>
  <mergeCells count="1">
    <mergeCell ref="I2:L3"/>
  </mergeCells>
  <conditionalFormatting sqref="D29:H29">
    <cfRule type="cellIs" dxfId="736" priority="5" stopIfTrue="1" operator="equal">
      <formula>1</formula>
    </cfRule>
  </conditionalFormatting>
  <conditionalFormatting sqref="D21:K21">
    <cfRule type="cellIs" dxfId="733" priority="2" stopIfTrue="1" operator="equal">
      <formula>1</formula>
    </cfRule>
  </conditionalFormatting>
  <printOptions horizontalCentered="1" verticalCentered="1"/>
  <pageMargins left="0" right="0" top="0" bottom="0.59055118110236227" header="0" footer="0"/>
  <pageSetup paperSize="9" scale="115" fitToHeight="2" orientation="landscape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6"/>
  <dimension ref="A1:AO273"/>
  <sheetViews>
    <sheetView topLeftCell="A10" zoomScale="242" zoomScaleNormal="161" zoomScalePageLayoutView="125" workbookViewId="0">
      <selection sqref="A1:XFD1048576"/>
    </sheetView>
  </sheetViews>
  <sheetFormatPr baseColWidth="10" defaultColWidth="11.5" defaultRowHeight="11"/>
  <cols>
    <col min="1" max="1" width="2.83203125" style="1020" customWidth="1"/>
    <col min="2" max="2" width="2.83203125" style="1212" customWidth="1"/>
    <col min="3" max="3" width="1.1640625" style="245" customWidth="1"/>
    <col min="4" max="4" width="1" style="1213" customWidth="1"/>
    <col min="5" max="5" width="3.5" style="245" customWidth="1"/>
    <col min="6" max="6" width="3.33203125" style="1205" customWidth="1"/>
    <col min="7" max="7" width="5.6640625" style="1206" customWidth="1"/>
    <col min="8" max="8" width="7" style="1206" customWidth="1"/>
    <col min="9" max="10" width="7.33203125" style="1206" customWidth="1"/>
    <col min="11" max="11" width="31.33203125" style="1206" customWidth="1"/>
    <col min="12" max="12" width="7.1640625" style="1207" customWidth="1"/>
    <col min="13" max="13" width="1.33203125" style="1208" customWidth="1"/>
    <col min="14" max="14" width="9.1640625" style="1205" customWidth="1"/>
    <col min="15" max="15" width="1" style="1206" customWidth="1"/>
    <col min="16" max="16" width="8.5" style="1206" customWidth="1"/>
    <col min="17" max="17" width="9" style="1209" customWidth="1"/>
    <col min="18" max="18" width="5.83203125" style="1209" customWidth="1"/>
    <col min="19" max="19" width="1.33203125" style="210" customWidth="1"/>
    <col min="20" max="20" width="0.33203125" style="210" customWidth="1"/>
    <col min="21" max="21" width="6" style="1098" customWidth="1"/>
    <col min="22" max="22" width="5.6640625" style="1098" customWidth="1"/>
    <col min="23" max="23" width="6.33203125" style="1098" customWidth="1"/>
    <col min="24" max="24" width="5.33203125" style="1098" customWidth="1"/>
    <col min="25" max="25" width="6" style="1098" customWidth="1"/>
    <col min="26" max="27" width="5.33203125" style="1098" customWidth="1"/>
    <col min="28" max="28" width="7.6640625" style="244" customWidth="1"/>
    <col min="29" max="33" width="4.5" style="1211" customWidth="1"/>
    <col min="34" max="34" width="6.5" style="1211" customWidth="1"/>
    <col min="35" max="39" width="5.33203125" style="1211" customWidth="1"/>
    <col min="40" max="40" width="11.5" style="244"/>
    <col min="41" max="16384" width="11.5" style="245"/>
  </cols>
  <sheetData>
    <row r="1" spans="1:40" ht="11" customHeight="1">
      <c r="A1" s="1204" t="s">
        <v>344</v>
      </c>
      <c r="B1" s="245"/>
      <c r="C1" s="1126"/>
      <c r="D1" s="1127"/>
      <c r="E1" s="1128"/>
      <c r="V1" s="1210"/>
      <c r="AI1" s="244"/>
      <c r="AJ1" s="244"/>
      <c r="AK1" s="244"/>
      <c r="AL1" s="244"/>
      <c r="AM1" s="244"/>
    </row>
    <row r="2" spans="1:40" ht="11.5" customHeight="1" thickBot="1">
      <c r="F2" s="1214"/>
      <c r="G2" s="1215"/>
      <c r="H2" s="1215"/>
      <c r="I2" s="1215"/>
      <c r="J2" s="1216"/>
      <c r="K2" s="1217">
        <v>45201</v>
      </c>
      <c r="L2" s="1218"/>
      <c r="U2" s="1219" t="s">
        <v>345</v>
      </c>
      <c r="AI2" s="244"/>
      <c r="AJ2" s="244"/>
      <c r="AK2" s="244"/>
      <c r="AL2" s="244"/>
      <c r="AM2" s="244"/>
    </row>
    <row r="3" spans="1:40" s="223" customFormat="1" ht="70.75" customHeight="1" thickTop="1" thickBot="1">
      <c r="A3" s="351" t="s">
        <v>346</v>
      </c>
      <c r="B3" s="352" t="s">
        <v>347</v>
      </c>
      <c r="C3" s="353" t="s">
        <v>348</v>
      </c>
      <c r="D3" s="903"/>
      <c r="E3" s="353" t="s">
        <v>349</v>
      </c>
      <c r="F3" s="35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990" t="s">
        <v>711</v>
      </c>
      <c r="M3" s="1220" t="s">
        <v>355</v>
      </c>
      <c r="N3" s="350" t="s">
        <v>445</v>
      </c>
      <c r="O3" s="353" t="s">
        <v>446</v>
      </c>
      <c r="P3" s="353" t="s">
        <v>447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1221"/>
      <c r="AD3" s="1211"/>
      <c r="AE3" s="1211"/>
      <c r="AF3" s="1211"/>
      <c r="AG3" s="1211"/>
      <c r="AH3" s="1211"/>
      <c r="AI3" s="220"/>
      <c r="AJ3" s="220"/>
      <c r="AK3" s="220"/>
      <c r="AL3" s="220"/>
      <c r="AM3" s="220"/>
      <c r="AN3" s="220"/>
    </row>
    <row r="4" spans="1:40" s="223" customFormat="1" ht="3.5" customHeight="1" thickBot="1">
      <c r="A4" s="1222"/>
      <c r="B4" s="1223"/>
      <c r="C4" s="1224"/>
      <c r="D4" s="1225"/>
      <c r="E4" s="1224"/>
      <c r="F4" s="360"/>
      <c r="G4" s="361"/>
      <c r="H4" s="361"/>
      <c r="I4" s="274"/>
      <c r="J4" s="360"/>
      <c r="K4" s="361"/>
      <c r="L4" s="991"/>
      <c r="M4" s="1226"/>
      <c r="N4" s="361"/>
      <c r="O4" s="1224"/>
      <c r="P4" s="1224"/>
      <c r="Q4" s="1224"/>
      <c r="R4" s="1227"/>
      <c r="S4" s="1228"/>
      <c r="T4" s="1228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0"/>
      <c r="AC4" s="1229"/>
      <c r="AD4" s="1230"/>
      <c r="AE4" s="1230"/>
      <c r="AF4" s="1230"/>
      <c r="AG4" s="1230"/>
      <c r="AH4" s="1230"/>
      <c r="AI4" s="220"/>
      <c r="AJ4" s="220"/>
      <c r="AK4" s="220"/>
      <c r="AL4" s="220"/>
      <c r="AM4" s="220"/>
      <c r="AN4" s="220"/>
    </row>
    <row r="5" spans="1:40" s="223" customFormat="1" ht="4.5" customHeight="1" thickTop="1" thickBot="1">
      <c r="A5" s="852"/>
      <c r="B5" s="852"/>
      <c r="C5" s="913"/>
      <c r="D5" s="914"/>
      <c r="E5" s="913"/>
      <c r="F5" s="624"/>
      <c r="G5" s="625"/>
      <c r="H5" s="625"/>
      <c r="I5" s="625"/>
      <c r="J5" s="624"/>
      <c r="K5" s="625"/>
      <c r="L5" s="992"/>
      <c r="M5" s="1231"/>
      <c r="N5" s="625"/>
      <c r="O5" s="913"/>
      <c r="P5" s="913"/>
      <c r="Q5" s="913"/>
      <c r="R5" s="984"/>
      <c r="S5" s="1232"/>
      <c r="T5" s="1232"/>
      <c r="U5" s="1108">
        <f>U4/4</f>
        <v>2.2880964381720439E-4</v>
      </c>
      <c r="V5" s="1108">
        <f t="shared" ref="V5:AA5" si="0">V4/4</f>
        <v>2.1908757716049393E-4</v>
      </c>
      <c r="W5" s="1108">
        <f t="shared" si="0"/>
        <v>2.1222190799396687E-4</v>
      </c>
      <c r="X5" s="1108">
        <f t="shared" si="0"/>
        <v>2.0247664488766629E-4</v>
      </c>
      <c r="Y5" s="1108">
        <f t="shared" si="0"/>
        <v>1.8933937422552669E-4</v>
      </c>
      <c r="Z5" s="1108">
        <f t="shared" si="0"/>
        <v>1.8229166666666673E-4</v>
      </c>
      <c r="AA5" s="1108">
        <f t="shared" si="0"/>
        <v>1.7682291666666674E-4</v>
      </c>
      <c r="AB5" s="220"/>
      <c r="AC5" s="1229"/>
      <c r="AD5" s="1230"/>
      <c r="AE5" s="1230"/>
      <c r="AF5" s="1230"/>
      <c r="AG5" s="1230"/>
      <c r="AH5" s="1230"/>
      <c r="AI5" s="220"/>
      <c r="AJ5" s="220"/>
      <c r="AK5" s="220"/>
      <c r="AL5" s="220"/>
      <c r="AM5" s="220"/>
      <c r="AN5" s="220"/>
    </row>
    <row r="6" spans="1:40" s="223" customFormat="1" ht="13.5" customHeight="1" thickBot="1">
      <c r="A6" s="1233" t="s">
        <v>214</v>
      </c>
      <c r="B6" s="1234" t="s">
        <v>215</v>
      </c>
      <c r="C6" s="1353">
        <f t="shared" ref="C6:C12" si="1">IF(D6=1,U$5,IF(D6=2,V$5,IF(D6=3,W$5,IF(D6=4,X$5,IF(D6=5,Y$5,IF(D6=6,Z$5,IF(D6=7,AA$5,0)))))))</f>
        <v>2.2880964381720439E-4</v>
      </c>
      <c r="D6" s="547">
        <v>1</v>
      </c>
      <c r="E6" s="1194">
        <v>1</v>
      </c>
      <c r="F6" s="1194">
        <v>1</v>
      </c>
      <c r="G6" s="1194">
        <v>100</v>
      </c>
      <c r="H6" s="274"/>
      <c r="I6" s="274">
        <v>0</v>
      </c>
      <c r="J6" s="274">
        <v>1.7361111111111112E-4</v>
      </c>
      <c r="K6" s="312" t="s">
        <v>24</v>
      </c>
      <c r="L6" s="1235">
        <v>0.2986111111111111</v>
      </c>
      <c r="M6" s="1195">
        <v>1.1000000000000001</v>
      </c>
      <c r="N6" s="274">
        <f t="shared" ref="N6:N12" si="2">P6*E6*F6+I6*E6*F6+J6*E6</f>
        <v>1.1803735439068106E-3</v>
      </c>
      <c r="O6" s="1196">
        <f>C6*(G6/25)</f>
        <v>9.1523857526881758E-4</v>
      </c>
      <c r="P6" s="1196">
        <f t="shared" ref="P6:P12" si="3">O6*M6</f>
        <v>1.0067624327956995E-3</v>
      </c>
      <c r="Q6" s="548">
        <v>125</v>
      </c>
      <c r="R6" s="1194">
        <f t="shared" ref="R6:R12" si="4">E6*F6*G6</f>
        <v>100</v>
      </c>
      <c r="S6" s="1118">
        <f t="shared" ref="S6:S13" si="5">E6*F6*G6/1000</f>
        <v>0.1</v>
      </c>
      <c r="T6" s="1119">
        <f t="shared" ref="T6:T13" si="6">E6*F6*O6*4</f>
        <v>3.6609543010752703E-3</v>
      </c>
      <c r="U6" s="374">
        <f t="shared" ref="U6:U13" si="7">IF(C6*4&gt;=$U$4,S6,0)</f>
        <v>0.1</v>
      </c>
      <c r="V6" s="1120">
        <f t="shared" ref="V6:V13" si="8">IF(AND(C6*4&gt;=$V$4,C6*4&lt;$U$4),S6,0)</f>
        <v>0</v>
      </c>
      <c r="W6" s="376">
        <f t="shared" ref="W6:W13" si="9">IF(AND(C6*4&gt;=$W$4,C6*4&lt;$V$4),S6,0)</f>
        <v>0</v>
      </c>
      <c r="X6" s="377">
        <f t="shared" ref="X6:X13" si="10">IF(AND(C6*4&gt;=$X$4,C6*4&lt;$W$4),S6,0)</f>
        <v>0</v>
      </c>
      <c r="Y6" s="378">
        <f t="shared" ref="Y6:Y13" si="11">IF(AND(C6*4&gt;=$Y$4,C6*4&lt;$X$4),S6,0)</f>
        <v>0</v>
      </c>
      <c r="Z6" s="1121">
        <f t="shared" ref="Z6:Z13" si="12">IF(AND(C6*4&gt;=$Z$4,C6*4&lt;$Y$4),S6,0)</f>
        <v>0</v>
      </c>
      <c r="AA6" s="1122">
        <f t="shared" ref="AA6:AA13" si="13">IF(AND(C6*4&gt;=$AA$4,C6*4&lt;$Z$4),S6,0)</f>
        <v>0</v>
      </c>
      <c r="AB6" s="220"/>
      <c r="AC6" s="1229"/>
      <c r="AD6" s="1230"/>
      <c r="AE6" s="1230"/>
      <c r="AF6" s="1230"/>
      <c r="AG6" s="1230"/>
      <c r="AH6" s="1230"/>
      <c r="AI6" s="220"/>
      <c r="AJ6" s="220"/>
      <c r="AK6" s="220"/>
      <c r="AL6" s="220"/>
      <c r="AM6" s="220"/>
      <c r="AN6" s="220"/>
    </row>
    <row r="7" spans="1:40" s="223" customFormat="1" ht="13.5" customHeight="1" thickBot="1">
      <c r="A7" s="1233" t="s">
        <v>459</v>
      </c>
      <c r="B7" s="1234" t="s">
        <v>215</v>
      </c>
      <c r="C7" s="1353">
        <f t="shared" si="1"/>
        <v>2.0247664488766629E-4</v>
      </c>
      <c r="D7" s="1197">
        <v>4</v>
      </c>
      <c r="E7" s="1177">
        <v>1</v>
      </c>
      <c r="F7" s="1177">
        <v>1</v>
      </c>
      <c r="G7" s="1177">
        <v>400</v>
      </c>
      <c r="H7" s="1178"/>
      <c r="I7" s="1178">
        <v>0</v>
      </c>
      <c r="J7" s="1178">
        <v>1.7361111111111112E-4</v>
      </c>
      <c r="K7" s="316" t="s">
        <v>2376</v>
      </c>
      <c r="L7" s="996">
        <f t="shared" ref="L7:L13" si="14">L6+N6</f>
        <v>0.29979148465501793</v>
      </c>
      <c r="M7" s="1180">
        <v>1.07</v>
      </c>
      <c r="N7" s="1178">
        <f t="shared" si="2"/>
        <v>3.6400112715879581E-3</v>
      </c>
      <c r="O7" s="1181">
        <f>C7*(G7/25)</f>
        <v>3.2396263182026606E-3</v>
      </c>
      <c r="P7" s="1181">
        <f t="shared" si="3"/>
        <v>3.4664001604768472E-3</v>
      </c>
      <c r="Q7" s="334">
        <v>170</v>
      </c>
      <c r="R7" s="1177">
        <f t="shared" si="4"/>
        <v>400</v>
      </c>
      <c r="S7" s="1118">
        <f t="shared" si="5"/>
        <v>0.4</v>
      </c>
      <c r="T7" s="1119">
        <f t="shared" si="6"/>
        <v>1.2958505272810643E-2</v>
      </c>
      <c r="U7" s="374">
        <f t="shared" si="7"/>
        <v>0</v>
      </c>
      <c r="V7" s="1120">
        <f t="shared" si="8"/>
        <v>0</v>
      </c>
      <c r="W7" s="376">
        <f t="shared" si="9"/>
        <v>0</v>
      </c>
      <c r="X7" s="377">
        <f t="shared" si="10"/>
        <v>0.4</v>
      </c>
      <c r="Y7" s="378">
        <f t="shared" si="11"/>
        <v>0</v>
      </c>
      <c r="Z7" s="1121">
        <f t="shared" si="12"/>
        <v>0</v>
      </c>
      <c r="AA7" s="1122">
        <f t="shared" si="13"/>
        <v>0</v>
      </c>
      <c r="AB7" s="220"/>
      <c r="AC7" s="1229"/>
      <c r="AD7" s="1230"/>
      <c r="AE7" s="1230"/>
      <c r="AF7" s="1230"/>
      <c r="AG7" s="1230"/>
      <c r="AH7" s="1230"/>
      <c r="AI7" s="220"/>
      <c r="AJ7" s="220"/>
      <c r="AK7" s="220"/>
      <c r="AL7" s="220"/>
      <c r="AM7" s="220"/>
      <c r="AN7" s="220"/>
    </row>
    <row r="8" spans="1:40" s="223" customFormat="1" ht="13.5" customHeight="1" thickBot="1">
      <c r="A8" s="1233" t="s">
        <v>460</v>
      </c>
      <c r="B8" s="1234" t="s">
        <v>215</v>
      </c>
      <c r="C8" s="274">
        <f t="shared" si="1"/>
        <v>1.8229166666666673E-4</v>
      </c>
      <c r="D8" s="1203">
        <v>6</v>
      </c>
      <c r="E8" s="1245">
        <v>3</v>
      </c>
      <c r="F8" s="1246">
        <v>1</v>
      </c>
      <c r="G8" s="1167">
        <v>100</v>
      </c>
      <c r="H8" s="1052"/>
      <c r="I8" s="1052">
        <v>6.9444444444444447E-4</v>
      </c>
      <c r="J8" s="1052">
        <v>6.9444444444444447E-4</v>
      </c>
      <c r="K8" s="1065" t="s">
        <v>2377</v>
      </c>
      <c r="L8" s="1247">
        <f t="shared" si="14"/>
        <v>0.3034314959266059</v>
      </c>
      <c r="M8" s="1168">
        <v>1.0900000000000001</v>
      </c>
      <c r="N8" s="1052">
        <f t="shared" si="2"/>
        <v>6.6464166666666668E-3</v>
      </c>
      <c r="O8" s="1169">
        <f>C8*(G8/25)*1.04</f>
        <v>7.5833333333333362E-4</v>
      </c>
      <c r="P8" s="1170">
        <f t="shared" si="3"/>
        <v>8.2658333333333368E-4</v>
      </c>
      <c r="Q8" s="1171">
        <v>177</v>
      </c>
      <c r="R8" s="1167">
        <f t="shared" si="4"/>
        <v>300</v>
      </c>
      <c r="S8" s="1118">
        <f t="shared" si="5"/>
        <v>0.3</v>
      </c>
      <c r="T8" s="1119">
        <f t="shared" si="6"/>
        <v>9.1000000000000039E-3</v>
      </c>
      <c r="U8" s="374">
        <f t="shared" si="7"/>
        <v>0</v>
      </c>
      <c r="V8" s="1120">
        <f t="shared" si="8"/>
        <v>0</v>
      </c>
      <c r="W8" s="376">
        <f t="shared" si="9"/>
        <v>0</v>
      </c>
      <c r="X8" s="377">
        <f t="shared" si="10"/>
        <v>0</v>
      </c>
      <c r="Y8" s="378">
        <f t="shared" si="11"/>
        <v>0</v>
      </c>
      <c r="Z8" s="1121">
        <f t="shared" si="12"/>
        <v>0.3</v>
      </c>
      <c r="AA8" s="1122">
        <f t="shared" si="13"/>
        <v>0</v>
      </c>
      <c r="AB8" s="220"/>
      <c r="AC8" s="1229"/>
      <c r="AD8" s="1230"/>
      <c r="AE8" s="1230"/>
      <c r="AF8" s="1230"/>
      <c r="AG8" s="1230"/>
      <c r="AH8" s="1230"/>
      <c r="AI8" s="220"/>
      <c r="AJ8" s="220"/>
      <c r="AK8" s="220"/>
      <c r="AL8" s="220"/>
      <c r="AM8" s="220"/>
      <c r="AN8" s="220"/>
    </row>
    <row r="9" spans="1:40" s="223" customFormat="1" ht="13.5" customHeight="1" thickBot="1">
      <c r="A9" s="1233" t="s">
        <v>458</v>
      </c>
      <c r="B9" s="1234" t="s">
        <v>215</v>
      </c>
      <c r="C9" s="274">
        <f t="shared" si="1"/>
        <v>2.1222190799396687E-4</v>
      </c>
      <c r="D9" s="1248">
        <v>3</v>
      </c>
      <c r="E9" s="1245">
        <v>3</v>
      </c>
      <c r="F9" s="1161">
        <v>3</v>
      </c>
      <c r="G9" s="1161">
        <v>50</v>
      </c>
      <c r="H9" s="1163"/>
      <c r="I9" s="1163">
        <v>1.1574074074074073E-4</v>
      </c>
      <c r="J9" s="1163">
        <v>3.4722222222222224E-4</v>
      </c>
      <c r="K9" s="1074" t="s">
        <v>2238</v>
      </c>
      <c r="L9" s="1148">
        <f t="shared" si="14"/>
        <v>0.31007791259327255</v>
      </c>
      <c r="M9" s="1164">
        <v>1</v>
      </c>
      <c r="N9" s="1163">
        <f t="shared" si="2"/>
        <v>5.9415276206636509E-3</v>
      </c>
      <c r="O9" s="1165">
        <f>C9*(G9/25)*1.01</f>
        <v>4.2868825414781308E-4</v>
      </c>
      <c r="P9" s="1165">
        <f t="shared" si="3"/>
        <v>4.2868825414781308E-4</v>
      </c>
      <c r="Q9" s="333">
        <v>173</v>
      </c>
      <c r="R9" s="1161">
        <f t="shared" si="4"/>
        <v>450</v>
      </c>
      <c r="S9" s="1118">
        <f t="shared" si="5"/>
        <v>0.45</v>
      </c>
      <c r="T9" s="1119">
        <f t="shared" si="6"/>
        <v>1.5432777149321271E-2</v>
      </c>
      <c r="U9" s="374">
        <f t="shared" si="7"/>
        <v>0</v>
      </c>
      <c r="V9" s="1120">
        <f t="shared" si="8"/>
        <v>0</v>
      </c>
      <c r="W9" s="376">
        <f t="shared" si="9"/>
        <v>0.45</v>
      </c>
      <c r="X9" s="377">
        <f t="shared" si="10"/>
        <v>0</v>
      </c>
      <c r="Y9" s="378">
        <f t="shared" si="11"/>
        <v>0</v>
      </c>
      <c r="Z9" s="1121">
        <f t="shared" si="12"/>
        <v>0</v>
      </c>
      <c r="AA9" s="1122">
        <f t="shared" si="13"/>
        <v>0</v>
      </c>
      <c r="AB9" s="220"/>
      <c r="AC9" s="1229"/>
      <c r="AD9" s="1230"/>
      <c r="AE9" s="1230"/>
      <c r="AF9" s="1230"/>
      <c r="AG9" s="1230"/>
      <c r="AH9" s="1230"/>
      <c r="AI9" s="220"/>
      <c r="AJ9" s="220"/>
      <c r="AK9" s="220"/>
      <c r="AL9" s="220"/>
      <c r="AM9" s="220"/>
      <c r="AN9" s="220"/>
    </row>
    <row r="10" spans="1:40" s="223" customFormat="1" ht="13.5" customHeight="1" thickBot="1">
      <c r="A10" s="1233" t="s">
        <v>219</v>
      </c>
      <c r="B10" s="1234" t="s">
        <v>215</v>
      </c>
      <c r="C10" s="274">
        <f t="shared" si="1"/>
        <v>1.8229166666666673E-4</v>
      </c>
      <c r="D10" s="1203">
        <v>6</v>
      </c>
      <c r="E10" s="1245">
        <v>3</v>
      </c>
      <c r="F10" s="1246">
        <v>6</v>
      </c>
      <c r="G10" s="1167">
        <v>25</v>
      </c>
      <c r="H10" s="1052"/>
      <c r="I10" s="1052">
        <v>3.4722222222222224E-4</v>
      </c>
      <c r="J10" s="1052">
        <v>6.9444444444444447E-4</v>
      </c>
      <c r="K10" s="1065" t="s">
        <v>1941</v>
      </c>
      <c r="L10" s="1247">
        <f t="shared" si="14"/>
        <v>0.31601944021393619</v>
      </c>
      <c r="M10" s="1168">
        <v>1</v>
      </c>
      <c r="N10" s="1052">
        <f t="shared" si="2"/>
        <v>1.1680208333333334E-2</v>
      </c>
      <c r="O10" s="1169">
        <f>C10*(G10/25)*1.02</f>
        <v>1.8593750000000007E-4</v>
      </c>
      <c r="P10" s="1170">
        <f t="shared" si="3"/>
        <v>1.8593750000000007E-4</v>
      </c>
      <c r="Q10" s="1171">
        <v>177</v>
      </c>
      <c r="R10" s="1167">
        <f t="shared" si="4"/>
        <v>450</v>
      </c>
      <c r="S10" s="1118">
        <f t="shared" si="5"/>
        <v>0.45</v>
      </c>
      <c r="T10" s="1119">
        <f t="shared" si="6"/>
        <v>1.3387500000000005E-2</v>
      </c>
      <c r="U10" s="374">
        <f t="shared" si="7"/>
        <v>0</v>
      </c>
      <c r="V10" s="1120">
        <f t="shared" si="8"/>
        <v>0</v>
      </c>
      <c r="W10" s="376">
        <f t="shared" si="9"/>
        <v>0</v>
      </c>
      <c r="X10" s="377">
        <f t="shared" si="10"/>
        <v>0</v>
      </c>
      <c r="Y10" s="378">
        <f t="shared" si="11"/>
        <v>0</v>
      </c>
      <c r="Z10" s="1121">
        <f t="shared" si="12"/>
        <v>0.45</v>
      </c>
      <c r="AA10" s="1122">
        <f t="shared" si="13"/>
        <v>0</v>
      </c>
      <c r="AB10" s="220"/>
      <c r="AC10" s="1229"/>
      <c r="AD10" s="1230"/>
      <c r="AE10" s="1230"/>
      <c r="AF10" s="1230"/>
      <c r="AG10" s="1230"/>
      <c r="AH10" s="1230"/>
      <c r="AI10" s="220"/>
      <c r="AJ10" s="220"/>
      <c r="AK10" s="220"/>
      <c r="AL10" s="220"/>
      <c r="AM10" s="220"/>
      <c r="AN10" s="220"/>
    </row>
    <row r="11" spans="1:40" s="223" customFormat="1" ht="13.5" customHeight="1" thickBot="1">
      <c r="A11" s="1233"/>
      <c r="B11" s="1234" t="s">
        <v>215</v>
      </c>
      <c r="C11" s="274">
        <f t="shared" si="1"/>
        <v>2.1222190799396687E-4</v>
      </c>
      <c r="D11" s="1248">
        <v>3</v>
      </c>
      <c r="E11" s="1294">
        <v>3</v>
      </c>
      <c r="F11" s="1161">
        <v>3</v>
      </c>
      <c r="G11" s="1161">
        <v>75</v>
      </c>
      <c r="H11" s="1163"/>
      <c r="I11" s="1163">
        <v>5.7870370370370366E-5</v>
      </c>
      <c r="J11" s="1163">
        <v>2.0833333333333333E-3</v>
      </c>
      <c r="K11" s="1074" t="s">
        <v>2239</v>
      </c>
      <c r="L11" s="1148">
        <f t="shared" si="14"/>
        <v>0.32769964854726952</v>
      </c>
      <c r="M11" s="1164">
        <v>1.1000000000000001</v>
      </c>
      <c r="N11" s="1163">
        <f t="shared" si="2"/>
        <v>1.3262913720776776E-2</v>
      </c>
      <c r="O11" s="1165">
        <f>C11*(G11/25)*1.03</f>
        <v>6.5576569570135763E-4</v>
      </c>
      <c r="P11" s="1165">
        <f t="shared" si="3"/>
        <v>7.213422652714935E-4</v>
      </c>
      <c r="Q11" s="333">
        <v>173</v>
      </c>
      <c r="R11" s="1161">
        <f t="shared" si="4"/>
        <v>675</v>
      </c>
      <c r="S11" s="1118">
        <f t="shared" si="5"/>
        <v>0.67500000000000004</v>
      </c>
      <c r="T11" s="1119">
        <f t="shared" si="6"/>
        <v>2.3607565045248875E-2</v>
      </c>
      <c r="U11" s="374">
        <f t="shared" si="7"/>
        <v>0</v>
      </c>
      <c r="V11" s="1120">
        <f t="shared" si="8"/>
        <v>0</v>
      </c>
      <c r="W11" s="376">
        <f t="shared" si="9"/>
        <v>0.67500000000000004</v>
      </c>
      <c r="X11" s="377">
        <f t="shared" si="10"/>
        <v>0</v>
      </c>
      <c r="Y11" s="378">
        <f t="shared" si="11"/>
        <v>0</v>
      </c>
      <c r="Z11" s="1121">
        <f t="shared" si="12"/>
        <v>0</v>
      </c>
      <c r="AA11" s="1122">
        <f t="shared" si="13"/>
        <v>0</v>
      </c>
      <c r="AB11" s="220"/>
      <c r="AC11" s="1229"/>
      <c r="AD11" s="1230"/>
      <c r="AE11" s="1230"/>
      <c r="AF11" s="1230"/>
      <c r="AG11" s="1230"/>
      <c r="AH11" s="1230"/>
      <c r="AI11" s="220"/>
      <c r="AJ11" s="220"/>
      <c r="AK11" s="220"/>
      <c r="AL11" s="220"/>
      <c r="AM11" s="220"/>
      <c r="AN11" s="220"/>
    </row>
    <row r="12" spans="1:40" s="223" customFormat="1" ht="13.5" customHeight="1" thickBot="1">
      <c r="A12" s="1233"/>
      <c r="B12" s="1234" t="s">
        <v>215</v>
      </c>
      <c r="C12" s="274">
        <f t="shared" si="1"/>
        <v>1.7682291666666674E-4</v>
      </c>
      <c r="D12" s="1237">
        <v>7</v>
      </c>
      <c r="E12" s="1257">
        <v>1</v>
      </c>
      <c r="F12" s="1187">
        <v>5</v>
      </c>
      <c r="G12" s="1187">
        <v>15</v>
      </c>
      <c r="H12" s="1051" t="s">
        <v>2378</v>
      </c>
      <c r="I12" s="1051">
        <v>4.6296296296296293E-4</v>
      </c>
      <c r="J12" s="1188">
        <v>6.9444444444444447E-4</v>
      </c>
      <c r="K12" s="438" t="s">
        <v>2379</v>
      </c>
      <c r="L12" s="1189">
        <f t="shared" si="14"/>
        <v>0.34096256226804628</v>
      </c>
      <c r="M12" s="1190">
        <v>0.9</v>
      </c>
      <c r="N12" s="1188">
        <f t="shared" si="2"/>
        <v>3.4866811342592592E-3</v>
      </c>
      <c r="O12" s="1191">
        <f>C12*(G12/25)</f>
        <v>1.0609375000000004E-4</v>
      </c>
      <c r="P12" s="1192">
        <f t="shared" si="3"/>
        <v>9.5484375000000042E-5</v>
      </c>
      <c r="Q12" s="788">
        <v>200</v>
      </c>
      <c r="R12" s="1187">
        <f t="shared" si="4"/>
        <v>75</v>
      </c>
      <c r="S12" s="1118">
        <f t="shared" si="5"/>
        <v>7.4999999999999997E-2</v>
      </c>
      <c r="T12" s="1119">
        <f t="shared" si="6"/>
        <v>2.1218750000000009E-3</v>
      </c>
      <c r="U12" s="374">
        <f t="shared" si="7"/>
        <v>0</v>
      </c>
      <c r="V12" s="1120">
        <f t="shared" si="8"/>
        <v>0</v>
      </c>
      <c r="W12" s="376">
        <f t="shared" si="9"/>
        <v>0</v>
      </c>
      <c r="X12" s="377">
        <f t="shared" si="10"/>
        <v>0</v>
      </c>
      <c r="Y12" s="378">
        <f t="shared" si="11"/>
        <v>0</v>
      </c>
      <c r="Z12" s="1121">
        <f t="shared" si="12"/>
        <v>0</v>
      </c>
      <c r="AA12" s="1122">
        <f t="shared" si="13"/>
        <v>7.4999999999999997E-2</v>
      </c>
      <c r="AB12" s="220"/>
      <c r="AC12" s="1229"/>
      <c r="AD12" s="1230"/>
      <c r="AE12" s="1230"/>
      <c r="AF12" s="1230"/>
      <c r="AG12" s="1230"/>
      <c r="AH12" s="1230"/>
      <c r="AI12" s="220"/>
      <c r="AJ12" s="220"/>
      <c r="AK12" s="220"/>
      <c r="AL12" s="220"/>
      <c r="AM12" s="220"/>
      <c r="AN12" s="220"/>
    </row>
    <row r="13" spans="1:40" s="223" customFormat="1" ht="13.5" customHeight="1" thickBot="1">
      <c r="A13" s="1233"/>
      <c r="B13" s="1234"/>
      <c r="C13" s="1258"/>
      <c r="D13" s="1259"/>
      <c r="E13" s="336"/>
      <c r="F13" s="336"/>
      <c r="G13" s="336"/>
      <c r="H13" s="336"/>
      <c r="I13" s="336"/>
      <c r="J13" s="336"/>
      <c r="K13" s="336"/>
      <c r="L13" s="1003">
        <f t="shared" si="14"/>
        <v>0.34444924340230554</v>
      </c>
      <c r="M13" s="1198"/>
      <c r="N13" s="1008">
        <f>SUM(N6:N12)</f>
        <v>4.5838132291194461E-2</v>
      </c>
      <c r="O13" s="336"/>
      <c r="P13" s="336"/>
      <c r="Q13" s="336"/>
      <c r="R13" s="1238">
        <f>SUM(R6:R12)</f>
        <v>2450</v>
      </c>
      <c r="S13" s="1118">
        <f t="shared" si="5"/>
        <v>0</v>
      </c>
      <c r="T13" s="1119">
        <f t="shared" si="6"/>
        <v>0</v>
      </c>
      <c r="U13" s="374">
        <f t="shared" si="7"/>
        <v>0</v>
      </c>
      <c r="V13" s="1120">
        <f t="shared" si="8"/>
        <v>0</v>
      </c>
      <c r="W13" s="376">
        <f t="shared" si="9"/>
        <v>0</v>
      </c>
      <c r="X13" s="377">
        <f t="shared" si="10"/>
        <v>0</v>
      </c>
      <c r="Y13" s="378">
        <f t="shared" si="11"/>
        <v>0</v>
      </c>
      <c r="Z13" s="1121">
        <f t="shared" si="12"/>
        <v>0</v>
      </c>
      <c r="AA13" s="1122">
        <f t="shared" si="13"/>
        <v>0</v>
      </c>
      <c r="AB13" s="220"/>
      <c r="AC13" s="1229"/>
      <c r="AD13" s="1230"/>
      <c r="AE13" s="1230"/>
      <c r="AF13" s="1230"/>
      <c r="AG13" s="1230"/>
      <c r="AH13" s="1230"/>
      <c r="AI13" s="220"/>
      <c r="AJ13" s="220"/>
      <c r="AK13" s="220"/>
      <c r="AL13" s="220"/>
      <c r="AM13" s="220"/>
      <c r="AN13" s="220"/>
    </row>
    <row r="14" spans="1:40" s="223" customFormat="1" ht="13.5" customHeight="1" thickBot="1">
      <c r="A14" s="1233" t="s">
        <v>214</v>
      </c>
      <c r="B14" s="1234" t="s">
        <v>461</v>
      </c>
      <c r="C14" s="1353">
        <f t="shared" ref="C14:C20" si="15">IF(D14=1,U$5,IF(D14=2,V$5,IF(D14=3,W$5,IF(D14=4,X$5,IF(D14=5,Y$5,IF(D14=6,Z$5,IF(D14=7,AA$5,0)))))))</f>
        <v>2.2880964381720439E-4</v>
      </c>
      <c r="D14" s="547">
        <v>1</v>
      </c>
      <c r="E14" s="1194">
        <v>1</v>
      </c>
      <c r="F14" s="1194">
        <v>1</v>
      </c>
      <c r="G14" s="1194">
        <v>500</v>
      </c>
      <c r="H14" s="274"/>
      <c r="I14" s="274">
        <v>0</v>
      </c>
      <c r="J14" s="274">
        <v>1.7361111111111112E-4</v>
      </c>
      <c r="K14" s="312" t="s">
        <v>24</v>
      </c>
      <c r="L14" s="1235">
        <v>0.79861111111111116</v>
      </c>
      <c r="M14" s="1195">
        <v>1.1000000000000001</v>
      </c>
      <c r="N14" s="274">
        <f t="shared" ref="N14:N20" si="16">P14*E14*F14+I14*E14*F14+J14*E14</f>
        <v>5.2074232750896092E-3</v>
      </c>
      <c r="O14" s="1196">
        <f>C14*(G14/25)</f>
        <v>4.5761928763440882E-3</v>
      </c>
      <c r="P14" s="1196">
        <f t="shared" ref="P14:P20" si="17">O14*M14</f>
        <v>5.0338121639784978E-3</v>
      </c>
      <c r="Q14" s="548">
        <v>125</v>
      </c>
      <c r="R14" s="1194">
        <f t="shared" ref="R14:R20" si="18">E14*F14*G14</f>
        <v>500</v>
      </c>
      <c r="S14" s="1118">
        <f t="shared" ref="S14:S66" si="19">E14*F14*G14/1000</f>
        <v>0.5</v>
      </c>
      <c r="T14" s="1119">
        <f t="shared" ref="T14:T66" si="20">E14*F14*O14*4</f>
        <v>1.8304771505376353E-2</v>
      </c>
      <c r="U14" s="374">
        <f t="shared" ref="U14:U66" si="21">IF(C14*4&gt;=$U$4,S14,0)</f>
        <v>0.5</v>
      </c>
      <c r="V14" s="1120">
        <f t="shared" ref="V14:V66" si="22">IF(AND(C14*4&gt;=$V$4,C14*4&lt;$U$4),S14,0)</f>
        <v>0</v>
      </c>
      <c r="W14" s="376">
        <f t="shared" ref="W14:W66" si="23">IF(AND(C14*4&gt;=$W$4,C14*4&lt;$V$4),S14,0)</f>
        <v>0</v>
      </c>
      <c r="X14" s="377">
        <f t="shared" ref="X14:X66" si="24">IF(AND(C14*4&gt;=$X$4,C14*4&lt;$W$4),S14,0)</f>
        <v>0</v>
      </c>
      <c r="Y14" s="378">
        <f t="shared" ref="Y14:Y66" si="25">IF(AND(C14*4&gt;=$Y$4,C14*4&lt;$X$4),S14,0)</f>
        <v>0</v>
      </c>
      <c r="Z14" s="1121">
        <f t="shared" ref="Z14:Z66" si="26">IF(AND(C14*4&gt;=$Z$4,C14*4&lt;$Y$4),S14,0)</f>
        <v>0</v>
      </c>
      <c r="AA14" s="1122">
        <f t="shared" ref="AA14:AA66" si="27">IF(AND(C14*4&gt;=$AA$4,C14*4&lt;$Z$4),S14,0)</f>
        <v>0</v>
      </c>
      <c r="AB14" s="262">
        <v>6751</v>
      </c>
      <c r="AC14" s="484">
        <v>973.11711711711712</v>
      </c>
      <c r="AD14" s="484">
        <v>1338.036036036036</v>
      </c>
      <c r="AE14" s="484">
        <v>1338.036036036036</v>
      </c>
      <c r="AF14" s="484">
        <v>1459.6756756756758</v>
      </c>
      <c r="AG14" s="484">
        <v>912.29729729729729</v>
      </c>
      <c r="AH14" s="484">
        <v>729.83783783783792</v>
      </c>
      <c r="AI14" s="484">
        <v>1</v>
      </c>
      <c r="AJ14" s="220"/>
      <c r="AK14" s="220"/>
      <c r="AL14" s="220"/>
      <c r="AM14" s="220"/>
      <c r="AN14" s="220"/>
    </row>
    <row r="15" spans="1:40" s="223" customFormat="1" ht="13.5" customHeight="1" thickBot="1">
      <c r="A15" s="1233" t="s">
        <v>459</v>
      </c>
      <c r="B15" s="1234" t="s">
        <v>461</v>
      </c>
      <c r="C15" s="1353">
        <f t="shared" si="15"/>
        <v>2.0247664488766629E-4</v>
      </c>
      <c r="D15" s="1197">
        <v>4</v>
      </c>
      <c r="E15" s="1177">
        <v>1</v>
      </c>
      <c r="F15" s="1177">
        <v>1</v>
      </c>
      <c r="G15" s="1177">
        <v>600</v>
      </c>
      <c r="H15" s="1178"/>
      <c r="I15" s="1178">
        <v>0</v>
      </c>
      <c r="J15" s="1178">
        <v>1.7361111111111112E-4</v>
      </c>
      <c r="K15" s="316" t="s">
        <v>1939</v>
      </c>
      <c r="L15" s="996">
        <f t="shared" ref="L15:L21" si="28">L14+N14</f>
        <v>0.80381853438620077</v>
      </c>
      <c r="M15" s="1180">
        <v>1.07</v>
      </c>
      <c r="N15" s="1178">
        <f t="shared" si="16"/>
        <v>5.3732113518263815E-3</v>
      </c>
      <c r="O15" s="1181">
        <f>C15*(G15/25)</f>
        <v>4.8594394773039907E-3</v>
      </c>
      <c r="P15" s="1181">
        <f t="shared" si="17"/>
        <v>5.1996002407152702E-3</v>
      </c>
      <c r="Q15" s="334">
        <v>170</v>
      </c>
      <c r="R15" s="1177">
        <f t="shared" si="18"/>
        <v>600</v>
      </c>
      <c r="S15" s="1118">
        <f t="shared" si="19"/>
        <v>0.6</v>
      </c>
      <c r="T15" s="1119">
        <f t="shared" si="20"/>
        <v>1.9437757909215963E-2</v>
      </c>
      <c r="U15" s="374">
        <f t="shared" si="21"/>
        <v>0</v>
      </c>
      <c r="V15" s="1120">
        <f t="shared" si="22"/>
        <v>0</v>
      </c>
      <c r="W15" s="376">
        <f t="shared" si="23"/>
        <v>0</v>
      </c>
      <c r="X15" s="377">
        <f t="shared" si="24"/>
        <v>0.6</v>
      </c>
      <c r="Y15" s="378">
        <f t="shared" si="25"/>
        <v>0</v>
      </c>
      <c r="Z15" s="1121">
        <f t="shared" si="26"/>
        <v>0</v>
      </c>
      <c r="AA15" s="1122">
        <f t="shared" si="27"/>
        <v>0</v>
      </c>
      <c r="AB15" s="262">
        <v>10801</v>
      </c>
      <c r="AC15" s="535">
        <v>1556.900900900901</v>
      </c>
      <c r="AD15" s="535">
        <v>2140.7387387387389</v>
      </c>
      <c r="AE15" s="535">
        <v>2140.7387387387389</v>
      </c>
      <c r="AF15" s="535">
        <v>2335.3513513513517</v>
      </c>
      <c r="AG15" s="535">
        <v>1459.5945945945946</v>
      </c>
      <c r="AH15" s="535">
        <v>1167.6756756756758</v>
      </c>
      <c r="AI15" s="535">
        <v>1</v>
      </c>
      <c r="AJ15" s="220"/>
      <c r="AK15" s="220"/>
      <c r="AL15" s="220"/>
      <c r="AM15" s="220"/>
      <c r="AN15" s="220"/>
    </row>
    <row r="16" spans="1:40" s="223" customFormat="1" ht="12.75" customHeight="1" thickBot="1">
      <c r="A16" s="1233" t="s">
        <v>460</v>
      </c>
      <c r="B16" s="1234" t="s">
        <v>461</v>
      </c>
      <c r="C16" s="274">
        <f t="shared" si="15"/>
        <v>1.8229166666666673E-4</v>
      </c>
      <c r="D16" s="1203">
        <v>6</v>
      </c>
      <c r="E16" s="1245">
        <v>3</v>
      </c>
      <c r="F16" s="1246">
        <v>1</v>
      </c>
      <c r="G16" s="1167">
        <v>100</v>
      </c>
      <c r="H16" s="1052"/>
      <c r="I16" s="1052">
        <v>1.0416666666666667E-3</v>
      </c>
      <c r="J16" s="1052">
        <v>1.3888888888888889E-3</v>
      </c>
      <c r="K16" s="1065" t="s">
        <v>1940</v>
      </c>
      <c r="L16" s="1247">
        <f t="shared" si="28"/>
        <v>0.8091917457380271</v>
      </c>
      <c r="M16" s="1168">
        <v>1.0900000000000001</v>
      </c>
      <c r="N16" s="1052">
        <f t="shared" si="16"/>
        <v>9.7714166666666678E-3</v>
      </c>
      <c r="O16" s="1169">
        <f>C16*(G16/25)*1.04</f>
        <v>7.5833333333333362E-4</v>
      </c>
      <c r="P16" s="1170">
        <f t="shared" si="17"/>
        <v>8.2658333333333368E-4</v>
      </c>
      <c r="Q16" s="1171">
        <v>177</v>
      </c>
      <c r="R16" s="1167">
        <f t="shared" si="18"/>
        <v>300</v>
      </c>
      <c r="S16" s="1118">
        <f t="shared" si="19"/>
        <v>0.3</v>
      </c>
      <c r="T16" s="1119">
        <f t="shared" si="20"/>
        <v>9.1000000000000039E-3</v>
      </c>
      <c r="U16" s="374">
        <f t="shared" si="21"/>
        <v>0</v>
      </c>
      <c r="V16" s="1120">
        <f t="shared" si="22"/>
        <v>0</v>
      </c>
      <c r="W16" s="376">
        <f t="shared" si="23"/>
        <v>0</v>
      </c>
      <c r="X16" s="377">
        <f t="shared" si="24"/>
        <v>0</v>
      </c>
      <c r="Y16" s="378">
        <f t="shared" si="25"/>
        <v>0</v>
      </c>
      <c r="Z16" s="1121">
        <f t="shared" si="26"/>
        <v>0.3</v>
      </c>
      <c r="AA16" s="1122">
        <f t="shared" si="27"/>
        <v>0</v>
      </c>
      <c r="AB16" s="262">
        <v>4726</v>
      </c>
      <c r="AC16" s="500">
        <v>681.22522522522524</v>
      </c>
      <c r="AD16" s="500">
        <v>936.68468468468473</v>
      </c>
      <c r="AE16" s="500">
        <v>936.68468468468473</v>
      </c>
      <c r="AF16" s="500">
        <v>0</v>
      </c>
      <c r="AG16" s="500">
        <v>638.64864864864865</v>
      </c>
      <c r="AH16" s="500">
        <v>510.91891891891896</v>
      </c>
      <c r="AI16" s="500">
        <v>1</v>
      </c>
      <c r="AJ16" s="220"/>
      <c r="AK16" s="220"/>
      <c r="AL16" s="220"/>
      <c r="AM16" s="220"/>
      <c r="AN16" s="220"/>
    </row>
    <row r="17" spans="1:40" s="223" customFormat="1" ht="12.75" customHeight="1" thickBot="1">
      <c r="A17" s="1233" t="s">
        <v>458</v>
      </c>
      <c r="B17" s="1234" t="s">
        <v>461</v>
      </c>
      <c r="C17" s="274">
        <f t="shared" si="15"/>
        <v>2.1222190799396687E-4</v>
      </c>
      <c r="D17" s="1248">
        <v>3</v>
      </c>
      <c r="E17" s="1245">
        <v>3</v>
      </c>
      <c r="F17" s="1161">
        <v>3</v>
      </c>
      <c r="G17" s="1161">
        <v>50</v>
      </c>
      <c r="H17" s="1163"/>
      <c r="I17" s="1163">
        <v>1.1574074074074073E-4</v>
      </c>
      <c r="J17" s="1163">
        <v>2.0833333333333333E-3</v>
      </c>
      <c r="K17" s="1074" t="s">
        <v>2238</v>
      </c>
      <c r="L17" s="1148">
        <f t="shared" si="28"/>
        <v>0.8189631624046938</v>
      </c>
      <c r="M17" s="1164">
        <v>1</v>
      </c>
      <c r="N17" s="1163">
        <f t="shared" si="16"/>
        <v>1.1149860953996985E-2</v>
      </c>
      <c r="O17" s="1165">
        <f>C17*(G17/25)*1.01</f>
        <v>4.2868825414781308E-4</v>
      </c>
      <c r="P17" s="1165">
        <f t="shared" si="17"/>
        <v>4.2868825414781308E-4</v>
      </c>
      <c r="Q17" s="333">
        <v>173</v>
      </c>
      <c r="R17" s="1161">
        <f t="shared" si="18"/>
        <v>450</v>
      </c>
      <c r="S17" s="1118">
        <f t="shared" si="19"/>
        <v>0.45</v>
      </c>
      <c r="T17" s="1119">
        <f t="shared" si="20"/>
        <v>1.5432777149321271E-2</v>
      </c>
      <c r="U17" s="374">
        <f t="shared" si="21"/>
        <v>0</v>
      </c>
      <c r="V17" s="1120">
        <f t="shared" si="22"/>
        <v>0</v>
      </c>
      <c r="W17" s="376">
        <f t="shared" si="23"/>
        <v>0.45</v>
      </c>
      <c r="X17" s="377">
        <f t="shared" si="24"/>
        <v>0</v>
      </c>
      <c r="Y17" s="378">
        <f t="shared" si="25"/>
        <v>0</v>
      </c>
      <c r="Z17" s="1121">
        <f t="shared" si="26"/>
        <v>0</v>
      </c>
      <c r="AA17" s="1122">
        <f t="shared" si="27"/>
        <v>0</v>
      </c>
      <c r="AB17" s="262">
        <v>7364.6363636363631</v>
      </c>
      <c r="AC17" s="501">
        <v>0</v>
      </c>
      <c r="AD17" s="501">
        <v>2209.6909090909089</v>
      </c>
      <c r="AE17" s="501">
        <v>2946.2545454545452</v>
      </c>
      <c r="AF17" s="501">
        <v>0</v>
      </c>
      <c r="AG17" s="501">
        <v>1413.5140049140043</v>
      </c>
      <c r="AH17" s="501">
        <v>796.17690417690415</v>
      </c>
      <c r="AI17" s="501">
        <v>1</v>
      </c>
      <c r="AJ17" s="220"/>
      <c r="AK17" s="220"/>
      <c r="AL17" s="220"/>
      <c r="AM17" s="220"/>
      <c r="AN17" s="220"/>
    </row>
    <row r="18" spans="1:40" s="223" customFormat="1" ht="12.75" customHeight="1" thickBot="1">
      <c r="A18" s="1233" t="s">
        <v>219</v>
      </c>
      <c r="B18" s="1234" t="s">
        <v>461</v>
      </c>
      <c r="C18" s="274">
        <f t="shared" si="15"/>
        <v>1.8229166666666673E-4</v>
      </c>
      <c r="D18" s="1203">
        <v>6</v>
      </c>
      <c r="E18" s="1245">
        <v>3</v>
      </c>
      <c r="F18" s="1246">
        <v>8</v>
      </c>
      <c r="G18" s="1167">
        <v>25</v>
      </c>
      <c r="H18" s="1052"/>
      <c r="I18" s="1052">
        <v>3.4722222222222224E-4</v>
      </c>
      <c r="J18" s="1052">
        <v>1.3888888888888889E-3</v>
      </c>
      <c r="K18" s="1065" t="s">
        <v>2380</v>
      </c>
      <c r="L18" s="1247">
        <f t="shared" si="28"/>
        <v>0.83011302335869075</v>
      </c>
      <c r="M18" s="1168">
        <v>1</v>
      </c>
      <c r="N18" s="1052">
        <f t="shared" si="16"/>
        <v>1.6962500000000002E-2</v>
      </c>
      <c r="O18" s="1169">
        <f>C18*(G18/25)*1.02</f>
        <v>1.8593750000000007E-4</v>
      </c>
      <c r="P18" s="1170">
        <f t="shared" si="17"/>
        <v>1.8593750000000007E-4</v>
      </c>
      <c r="Q18" s="1171">
        <v>177</v>
      </c>
      <c r="R18" s="1167">
        <f t="shared" si="18"/>
        <v>600</v>
      </c>
      <c r="S18" s="1118">
        <f t="shared" si="19"/>
        <v>0.6</v>
      </c>
      <c r="T18" s="1119">
        <f t="shared" si="20"/>
        <v>1.7850000000000005E-2</v>
      </c>
      <c r="U18" s="374">
        <f t="shared" si="21"/>
        <v>0</v>
      </c>
      <c r="V18" s="1120">
        <f t="shared" si="22"/>
        <v>0</v>
      </c>
      <c r="W18" s="376">
        <f t="shared" si="23"/>
        <v>0</v>
      </c>
      <c r="X18" s="377">
        <f t="shared" si="24"/>
        <v>0</v>
      </c>
      <c r="Y18" s="378">
        <f t="shared" si="25"/>
        <v>0</v>
      </c>
      <c r="Z18" s="1121">
        <f t="shared" si="26"/>
        <v>0.6</v>
      </c>
      <c r="AA18" s="1122">
        <f t="shared" si="27"/>
        <v>0</v>
      </c>
      <c r="AB18" s="262">
        <v>1</v>
      </c>
      <c r="AC18" s="502">
        <v>0</v>
      </c>
      <c r="AD18" s="502">
        <v>0</v>
      </c>
      <c r="AE18" s="502">
        <v>0</v>
      </c>
      <c r="AF18" s="502">
        <v>7</v>
      </c>
      <c r="AG18" s="502">
        <v>0</v>
      </c>
      <c r="AH18" s="502">
        <v>0</v>
      </c>
      <c r="AI18" s="502">
        <v>0</v>
      </c>
      <c r="AJ18" s="220"/>
      <c r="AK18" s="220"/>
      <c r="AL18" s="220"/>
      <c r="AM18" s="220"/>
      <c r="AN18" s="220"/>
    </row>
    <row r="19" spans="1:40" s="223" customFormat="1" ht="12.75" customHeight="1" thickBot="1">
      <c r="A19" s="1233"/>
      <c r="B19" s="1234" t="s">
        <v>461</v>
      </c>
      <c r="C19" s="274">
        <f t="shared" si="15"/>
        <v>2.1222190799396687E-4</v>
      </c>
      <c r="D19" s="1248">
        <v>3</v>
      </c>
      <c r="E19" s="1294">
        <v>3</v>
      </c>
      <c r="F19" s="1161">
        <v>3</v>
      </c>
      <c r="G19" s="1161">
        <v>75</v>
      </c>
      <c r="H19" s="1163"/>
      <c r="I19" s="1163">
        <v>5.7870370370370366E-5</v>
      </c>
      <c r="J19" s="1163">
        <v>2.0833333333333333E-3</v>
      </c>
      <c r="K19" s="1074" t="s">
        <v>2239</v>
      </c>
      <c r="L19" s="1148">
        <f t="shared" si="28"/>
        <v>0.84707552335869074</v>
      </c>
      <c r="M19" s="1164">
        <v>1.1000000000000001</v>
      </c>
      <c r="N19" s="1163">
        <f t="shared" si="16"/>
        <v>1.3262913720776776E-2</v>
      </c>
      <c r="O19" s="1165">
        <f>C19*(G19/25)*1.03</f>
        <v>6.5576569570135763E-4</v>
      </c>
      <c r="P19" s="1165">
        <f t="shared" si="17"/>
        <v>7.213422652714935E-4</v>
      </c>
      <c r="Q19" s="333">
        <v>173</v>
      </c>
      <c r="R19" s="1161">
        <f t="shared" si="18"/>
        <v>675</v>
      </c>
      <c r="S19" s="1118">
        <f t="shared" si="19"/>
        <v>0.67500000000000004</v>
      </c>
      <c r="T19" s="1119">
        <f t="shared" si="20"/>
        <v>2.3607565045248875E-2</v>
      </c>
      <c r="U19" s="374">
        <f t="shared" si="21"/>
        <v>0</v>
      </c>
      <c r="V19" s="1120">
        <f t="shared" si="22"/>
        <v>0</v>
      </c>
      <c r="W19" s="376">
        <f t="shared" si="23"/>
        <v>0.67500000000000004</v>
      </c>
      <c r="X19" s="377">
        <f t="shared" si="24"/>
        <v>0</v>
      </c>
      <c r="Y19" s="378">
        <f t="shared" si="25"/>
        <v>0</v>
      </c>
      <c r="Z19" s="1121">
        <f t="shared" si="26"/>
        <v>0</v>
      </c>
      <c r="AA19" s="1122">
        <f t="shared" si="27"/>
        <v>0</v>
      </c>
      <c r="AB19" s="262">
        <v>9819.181818181818</v>
      </c>
      <c r="AC19" s="503">
        <v>1964.0363636363636</v>
      </c>
      <c r="AD19" s="503">
        <v>982.0181818181818</v>
      </c>
      <c r="AE19" s="503">
        <v>0</v>
      </c>
      <c r="AF19" s="503">
        <v>4910.090909090909</v>
      </c>
      <c r="AG19" s="503">
        <v>0</v>
      </c>
      <c r="AH19" s="503">
        <v>1964.0363636363636</v>
      </c>
      <c r="AI19" s="503">
        <v>0</v>
      </c>
      <c r="AJ19" s="220"/>
      <c r="AK19" s="220"/>
      <c r="AL19" s="220"/>
      <c r="AM19" s="220"/>
      <c r="AN19" s="220"/>
    </row>
    <row r="20" spans="1:40" s="223" customFormat="1" ht="12.75" customHeight="1" thickBot="1">
      <c r="A20" s="1233"/>
      <c r="B20" s="1234" t="s">
        <v>461</v>
      </c>
      <c r="C20" s="274">
        <f t="shared" si="15"/>
        <v>1.7682291666666674E-4</v>
      </c>
      <c r="D20" s="1237">
        <v>7</v>
      </c>
      <c r="E20" s="1257">
        <v>2</v>
      </c>
      <c r="F20" s="1187">
        <v>5</v>
      </c>
      <c r="G20" s="1187">
        <v>15</v>
      </c>
      <c r="H20" s="1051"/>
      <c r="I20" s="1051">
        <v>4.6296296296296293E-4</v>
      </c>
      <c r="J20" s="1188">
        <v>6.9444444444444447E-4</v>
      </c>
      <c r="K20" s="438" t="s">
        <v>1942</v>
      </c>
      <c r="L20" s="1189">
        <f t="shared" si="28"/>
        <v>0.86033843707946756</v>
      </c>
      <c r="M20" s="1190">
        <v>0.9</v>
      </c>
      <c r="N20" s="1188">
        <f t="shared" si="16"/>
        <v>6.9733622685185185E-3</v>
      </c>
      <c r="O20" s="1191">
        <f>C20*(G20/25)</f>
        <v>1.0609375000000004E-4</v>
      </c>
      <c r="P20" s="1192">
        <f t="shared" si="17"/>
        <v>9.5484375000000042E-5</v>
      </c>
      <c r="Q20" s="788">
        <v>200</v>
      </c>
      <c r="R20" s="1187">
        <f t="shared" si="18"/>
        <v>150</v>
      </c>
      <c r="S20" s="1118">
        <f t="shared" si="19"/>
        <v>0.15</v>
      </c>
      <c r="T20" s="1119">
        <f t="shared" si="20"/>
        <v>4.2437500000000019E-3</v>
      </c>
      <c r="U20" s="374">
        <f t="shared" si="21"/>
        <v>0</v>
      </c>
      <c r="V20" s="1120">
        <f t="shared" si="22"/>
        <v>0</v>
      </c>
      <c r="W20" s="376">
        <f t="shared" si="23"/>
        <v>0</v>
      </c>
      <c r="X20" s="377">
        <f t="shared" si="24"/>
        <v>0</v>
      </c>
      <c r="Y20" s="378">
        <f t="shared" si="25"/>
        <v>0</v>
      </c>
      <c r="Z20" s="1121">
        <f t="shared" si="26"/>
        <v>0</v>
      </c>
      <c r="AA20" s="1122">
        <f t="shared" si="27"/>
        <v>0.15</v>
      </c>
      <c r="AB20" s="262">
        <v>1013.5</v>
      </c>
      <c r="AC20" s="504">
        <v>146.09009009009009</v>
      </c>
      <c r="AD20" s="504">
        <v>200.87387387387386</v>
      </c>
      <c r="AE20" s="504">
        <v>200.87387387387386</v>
      </c>
      <c r="AF20" s="504">
        <v>219.13513513513516</v>
      </c>
      <c r="AG20" s="504">
        <v>136.95945945945948</v>
      </c>
      <c r="AH20" s="504">
        <v>109.56756756756758</v>
      </c>
      <c r="AI20" s="504">
        <v>1</v>
      </c>
      <c r="AJ20" s="220"/>
      <c r="AK20" s="220"/>
      <c r="AL20" s="220"/>
      <c r="AM20" s="220"/>
      <c r="AN20" s="220"/>
    </row>
    <row r="21" spans="1:40" s="223" customFormat="1" ht="12.75" customHeight="1" thickBot="1">
      <c r="A21" s="1233"/>
      <c r="B21" s="1234"/>
      <c r="C21" s="1258"/>
      <c r="D21" s="1259"/>
      <c r="E21" s="336"/>
      <c r="F21" s="336"/>
      <c r="G21" s="336"/>
      <c r="H21" s="336"/>
      <c r="I21" s="336"/>
      <c r="J21" s="336"/>
      <c r="K21" s="336"/>
      <c r="L21" s="1003">
        <f t="shared" si="28"/>
        <v>0.86731179934798608</v>
      </c>
      <c r="M21" s="1198"/>
      <c r="N21" s="1008">
        <f>SUM(N14:N20)</f>
        <v>6.8700688236874946E-2</v>
      </c>
      <c r="O21" s="336"/>
      <c r="P21" s="336"/>
      <c r="Q21" s="336"/>
      <c r="R21" s="1238">
        <f>SUM(R14:R20)</f>
        <v>3275</v>
      </c>
      <c r="S21" s="1118">
        <f t="shared" si="19"/>
        <v>0</v>
      </c>
      <c r="T21" s="1119">
        <f t="shared" si="20"/>
        <v>0</v>
      </c>
      <c r="U21" s="374">
        <f t="shared" si="21"/>
        <v>0</v>
      </c>
      <c r="V21" s="1120">
        <f t="shared" si="22"/>
        <v>0</v>
      </c>
      <c r="W21" s="376">
        <f t="shared" si="23"/>
        <v>0</v>
      </c>
      <c r="X21" s="377">
        <f t="shared" si="24"/>
        <v>0</v>
      </c>
      <c r="Y21" s="378">
        <f t="shared" si="25"/>
        <v>0</v>
      </c>
      <c r="Z21" s="1121">
        <f t="shared" si="26"/>
        <v>0</v>
      </c>
      <c r="AA21" s="1122">
        <f t="shared" si="27"/>
        <v>0</v>
      </c>
      <c r="AB21" s="220"/>
      <c r="AC21" s="1244">
        <v>0</v>
      </c>
      <c r="AD21" s="1244">
        <v>0</v>
      </c>
      <c r="AE21" s="1244">
        <v>0</v>
      </c>
      <c r="AF21" s="1244">
        <v>0</v>
      </c>
      <c r="AG21" s="1244">
        <v>0</v>
      </c>
      <c r="AH21" s="1244">
        <v>0</v>
      </c>
      <c r="AI21" s="220"/>
      <c r="AJ21" s="220"/>
      <c r="AK21" s="220"/>
      <c r="AL21" s="220"/>
      <c r="AM21" s="220"/>
      <c r="AN21" s="220"/>
    </row>
    <row r="22" spans="1:40" s="223" customFormat="1" ht="12.75" customHeight="1">
      <c r="A22" s="1260" t="s">
        <v>215</v>
      </c>
      <c r="B22" s="1262" t="s">
        <v>215</v>
      </c>
      <c r="C22" s="274">
        <f t="shared" ref="C22:C27" si="29">IF(D22=1,U$5,IF(D22=2,V$5,IF(D22=3,W$5,IF(D22=4,X$5,IF(D22=5,Y$5,IF(D22=6,Z$5,IF(D22=7,AA$5,0)))))))</f>
        <v>2.2880964381720439E-4</v>
      </c>
      <c r="D22" s="1263">
        <v>1</v>
      </c>
      <c r="E22" s="1295">
        <v>1</v>
      </c>
      <c r="F22" s="1239">
        <v>1</v>
      </c>
      <c r="G22" s="1239">
        <v>500</v>
      </c>
      <c r="H22" s="1162"/>
      <c r="I22" s="1162">
        <v>0</v>
      </c>
      <c r="J22" s="1162">
        <v>0</v>
      </c>
      <c r="K22" s="1240" t="s">
        <v>1943</v>
      </c>
      <c r="L22" s="1235">
        <v>0.33680555555555558</v>
      </c>
      <c r="M22" s="1241">
        <v>1</v>
      </c>
      <c r="N22" s="1162">
        <f t="shared" ref="N22:N27" si="30">P22*E22*F22+I22*E22*F22+J22*E22</f>
        <v>4.5761928763440882E-3</v>
      </c>
      <c r="O22" s="1196">
        <f>C22*(G22/25)</f>
        <v>4.5761928763440882E-3</v>
      </c>
      <c r="P22" s="1242">
        <f t="shared" ref="P22:P27" si="31">O22*M22</f>
        <v>4.5761928763440882E-3</v>
      </c>
      <c r="Q22" s="985">
        <v>129</v>
      </c>
      <c r="R22" s="1243">
        <f t="shared" ref="R22:R27" si="32">E22*F22*G22</f>
        <v>500</v>
      </c>
      <c r="S22" s="1118">
        <f t="shared" si="19"/>
        <v>0.5</v>
      </c>
      <c r="T22" s="1119">
        <f t="shared" si="20"/>
        <v>1.8304771505376353E-2</v>
      </c>
      <c r="U22" s="374">
        <f t="shared" si="21"/>
        <v>0.5</v>
      </c>
      <c r="V22" s="1120">
        <f t="shared" si="22"/>
        <v>0</v>
      </c>
      <c r="W22" s="376">
        <f t="shared" si="23"/>
        <v>0</v>
      </c>
      <c r="X22" s="377">
        <f t="shared" si="24"/>
        <v>0</v>
      </c>
      <c r="Y22" s="378">
        <f t="shared" si="25"/>
        <v>0</v>
      </c>
      <c r="Z22" s="1121">
        <f t="shared" si="26"/>
        <v>0</v>
      </c>
      <c r="AA22" s="1122">
        <f t="shared" si="27"/>
        <v>0</v>
      </c>
      <c r="AB22" s="220"/>
      <c r="AC22" s="1244"/>
      <c r="AD22" s="1244"/>
      <c r="AE22" s="1244"/>
      <c r="AF22" s="1244"/>
      <c r="AG22" s="1244"/>
      <c r="AH22" s="1244"/>
      <c r="AI22" s="220"/>
      <c r="AJ22" s="220"/>
      <c r="AK22" s="220"/>
      <c r="AL22" s="220"/>
      <c r="AM22" s="220"/>
      <c r="AN22" s="220"/>
    </row>
    <row r="23" spans="1:40" s="223" customFormat="1" ht="12.75" customHeight="1">
      <c r="A23" s="1261" t="s">
        <v>138</v>
      </c>
      <c r="B23" s="1262" t="s">
        <v>215</v>
      </c>
      <c r="C23" s="274">
        <f t="shared" si="29"/>
        <v>2.1908757716049393E-4</v>
      </c>
      <c r="D23" s="1028">
        <v>2</v>
      </c>
      <c r="E23" s="1296">
        <v>3</v>
      </c>
      <c r="F23" s="1296">
        <v>3</v>
      </c>
      <c r="G23" s="1173">
        <v>50</v>
      </c>
      <c r="H23" s="299"/>
      <c r="I23" s="299">
        <v>1.7361111111111112E-4</v>
      </c>
      <c r="J23" s="299">
        <v>6.9444444444444447E-4</v>
      </c>
      <c r="K23" s="1123" t="s">
        <v>974</v>
      </c>
      <c r="L23" s="1149">
        <f t="shared" ref="L23:L28" si="33">L22+N22</f>
        <v>0.34138174843189967</v>
      </c>
      <c r="M23" s="1174">
        <v>1</v>
      </c>
      <c r="N23" s="299">
        <f t="shared" si="30"/>
        <v>7.5894097222222231E-3</v>
      </c>
      <c r="O23" s="1175">
        <f>C23*2</f>
        <v>4.3817515432098786E-4</v>
      </c>
      <c r="P23" s="1175">
        <f t="shared" si="31"/>
        <v>4.3817515432098786E-4</v>
      </c>
      <c r="Q23" s="550">
        <v>153</v>
      </c>
      <c r="R23" s="1176">
        <f t="shared" si="32"/>
        <v>450</v>
      </c>
      <c r="S23" s="1118">
        <f t="shared" si="19"/>
        <v>0.45</v>
      </c>
      <c r="T23" s="1119">
        <f t="shared" si="20"/>
        <v>1.5774305555555562E-2</v>
      </c>
      <c r="U23" s="374">
        <f t="shared" si="21"/>
        <v>0</v>
      </c>
      <c r="V23" s="1120">
        <f t="shared" si="22"/>
        <v>0.45</v>
      </c>
      <c r="W23" s="376">
        <f t="shared" si="23"/>
        <v>0</v>
      </c>
      <c r="X23" s="377">
        <f t="shared" si="24"/>
        <v>0</v>
      </c>
      <c r="Y23" s="378">
        <f t="shared" si="25"/>
        <v>0</v>
      </c>
      <c r="Z23" s="1121">
        <f t="shared" si="26"/>
        <v>0</v>
      </c>
      <c r="AA23" s="1122">
        <f t="shared" si="27"/>
        <v>0</v>
      </c>
      <c r="AB23" s="220"/>
      <c r="AC23" s="1244"/>
      <c r="AD23" s="1244"/>
      <c r="AE23" s="1244"/>
      <c r="AF23" s="1244"/>
      <c r="AG23" s="1244"/>
      <c r="AH23" s="1244"/>
      <c r="AI23" s="220"/>
      <c r="AJ23" s="220"/>
      <c r="AK23" s="220"/>
      <c r="AL23" s="220"/>
      <c r="AM23" s="220"/>
      <c r="AN23" s="220"/>
    </row>
    <row r="24" spans="1:40" s="223" customFormat="1" ht="12.75" customHeight="1">
      <c r="A24" s="1261" t="s">
        <v>462</v>
      </c>
      <c r="B24" s="1262" t="s">
        <v>215</v>
      </c>
      <c r="C24" s="274">
        <f t="shared" si="29"/>
        <v>2.0247664488766629E-4</v>
      </c>
      <c r="D24" s="6304">
        <v>4</v>
      </c>
      <c r="E24" s="1934">
        <v>1</v>
      </c>
      <c r="F24" s="1934">
        <v>1</v>
      </c>
      <c r="G24" s="1934">
        <v>400</v>
      </c>
      <c r="H24" s="1934"/>
      <c r="I24" s="1921">
        <v>0</v>
      </c>
      <c r="J24" s="1921">
        <v>1.0416666666666667E-3</v>
      </c>
      <c r="K24" s="1921" t="s">
        <v>882</v>
      </c>
      <c r="L24" s="2178">
        <f t="shared" si="33"/>
        <v>0.34897115815412189</v>
      </c>
      <c r="M24" s="2428">
        <v>1</v>
      </c>
      <c r="N24" s="1921">
        <f t="shared" si="30"/>
        <v>4.2812929848693275E-3</v>
      </c>
      <c r="O24" s="1921">
        <f>C24*(G24/25)</f>
        <v>3.2396263182026606E-3</v>
      </c>
      <c r="P24" s="2429">
        <f t="shared" si="31"/>
        <v>3.2396263182026606E-3</v>
      </c>
      <c r="Q24" s="1993">
        <v>164</v>
      </c>
      <c r="R24" s="1934">
        <f>E24*F24*G24</f>
        <v>400</v>
      </c>
      <c r="S24" s="1118">
        <f t="shared" si="19"/>
        <v>0.4</v>
      </c>
      <c r="T24" s="1119">
        <f t="shared" si="20"/>
        <v>1.2958505272810643E-2</v>
      </c>
      <c r="U24" s="374">
        <f t="shared" si="21"/>
        <v>0</v>
      </c>
      <c r="V24" s="1120">
        <f t="shared" si="22"/>
        <v>0</v>
      </c>
      <c r="W24" s="376">
        <f t="shared" si="23"/>
        <v>0</v>
      </c>
      <c r="X24" s="377">
        <f t="shared" si="24"/>
        <v>0.4</v>
      </c>
      <c r="Y24" s="378">
        <f t="shared" si="25"/>
        <v>0</v>
      </c>
      <c r="Z24" s="1121">
        <f t="shared" si="26"/>
        <v>0</v>
      </c>
      <c r="AA24" s="1122">
        <f t="shared" si="27"/>
        <v>0</v>
      </c>
      <c r="AB24" s="220"/>
      <c r="AC24" s="1244"/>
      <c r="AD24" s="1244"/>
      <c r="AE24" s="1244"/>
      <c r="AF24" s="1244"/>
      <c r="AG24" s="1244"/>
      <c r="AH24" s="1244"/>
      <c r="AI24" s="220"/>
      <c r="AJ24" s="220"/>
      <c r="AK24" s="220"/>
      <c r="AL24" s="220"/>
      <c r="AM24" s="220"/>
      <c r="AN24" s="220"/>
    </row>
    <row r="25" spans="1:40" s="223" customFormat="1" ht="12.75" customHeight="1">
      <c r="A25" s="1261" t="s">
        <v>461</v>
      </c>
      <c r="B25" s="1262" t="s">
        <v>215</v>
      </c>
      <c r="C25" s="274">
        <f t="shared" si="29"/>
        <v>1.8229166666666673E-4</v>
      </c>
      <c r="D25" s="1203">
        <v>6</v>
      </c>
      <c r="E25" s="1246">
        <v>3</v>
      </c>
      <c r="F25" s="1246">
        <v>3</v>
      </c>
      <c r="G25" s="1167">
        <v>50</v>
      </c>
      <c r="H25" s="1052"/>
      <c r="I25" s="1052">
        <v>2.3148148148148146E-4</v>
      </c>
      <c r="J25" s="1052">
        <v>1.3888888888888889E-3</v>
      </c>
      <c r="K25" s="1065" t="s">
        <v>1944</v>
      </c>
      <c r="L25" s="1247">
        <f>L24+N24</f>
        <v>0.35325245113899123</v>
      </c>
      <c r="M25" s="1168">
        <v>1</v>
      </c>
      <c r="N25" s="1052">
        <f t="shared" si="30"/>
        <v>9.6625000000000009E-3</v>
      </c>
      <c r="O25" s="1169">
        <f>C25*(G25/25)*1.04</f>
        <v>3.7916666666666681E-4</v>
      </c>
      <c r="P25" s="1170">
        <f t="shared" si="31"/>
        <v>3.7916666666666681E-4</v>
      </c>
      <c r="Q25" s="1171">
        <v>177</v>
      </c>
      <c r="R25" s="1167">
        <f t="shared" si="32"/>
        <v>450</v>
      </c>
      <c r="S25" s="1118">
        <f t="shared" si="19"/>
        <v>0.45</v>
      </c>
      <c r="T25" s="1119">
        <f t="shared" si="20"/>
        <v>1.3650000000000006E-2</v>
      </c>
      <c r="U25" s="374">
        <f t="shared" si="21"/>
        <v>0</v>
      </c>
      <c r="V25" s="1120">
        <f t="shared" si="22"/>
        <v>0</v>
      </c>
      <c r="W25" s="376">
        <f t="shared" si="23"/>
        <v>0</v>
      </c>
      <c r="X25" s="377">
        <f t="shared" si="24"/>
        <v>0</v>
      </c>
      <c r="Y25" s="378">
        <f t="shared" si="25"/>
        <v>0</v>
      </c>
      <c r="Z25" s="1121">
        <f t="shared" si="26"/>
        <v>0.45</v>
      </c>
      <c r="AA25" s="1122">
        <f t="shared" si="27"/>
        <v>0</v>
      </c>
      <c r="AB25" s="220"/>
      <c r="AC25" s="1244"/>
      <c r="AD25" s="1244"/>
      <c r="AE25" s="1244"/>
      <c r="AF25" s="1244"/>
      <c r="AG25" s="1244"/>
      <c r="AH25" s="1244"/>
      <c r="AI25" s="220"/>
      <c r="AJ25" s="220"/>
      <c r="AK25" s="220"/>
      <c r="AL25" s="220"/>
      <c r="AM25" s="220"/>
      <c r="AN25" s="220"/>
    </row>
    <row r="26" spans="1:40" s="223" customFormat="1" ht="12.75" customHeight="1">
      <c r="A26" s="1261" t="s">
        <v>219</v>
      </c>
      <c r="B26" s="1262" t="s">
        <v>215</v>
      </c>
      <c r="C26" s="274">
        <f t="shared" si="29"/>
        <v>2.1908757716049393E-4</v>
      </c>
      <c r="D26" s="1028">
        <v>2</v>
      </c>
      <c r="E26" s="1296">
        <v>2</v>
      </c>
      <c r="F26" s="1296">
        <v>4</v>
      </c>
      <c r="G26" s="1173">
        <v>50</v>
      </c>
      <c r="H26" s="299"/>
      <c r="I26" s="299">
        <v>1.1574074074074073E-4</v>
      </c>
      <c r="J26" s="299">
        <v>6.9444444444444447E-4</v>
      </c>
      <c r="K26" s="1123" t="s">
        <v>1945</v>
      </c>
      <c r="L26" s="1149">
        <f>L25+N25</f>
        <v>0.36291495113899125</v>
      </c>
      <c r="M26" s="1174">
        <v>1</v>
      </c>
      <c r="N26" s="299">
        <f t="shared" si="30"/>
        <v>5.820216049382718E-3</v>
      </c>
      <c r="O26" s="1175">
        <f>C26*2</f>
        <v>4.3817515432098786E-4</v>
      </c>
      <c r="P26" s="1175">
        <f t="shared" si="31"/>
        <v>4.3817515432098786E-4</v>
      </c>
      <c r="Q26" s="550">
        <v>153</v>
      </c>
      <c r="R26" s="1176">
        <f t="shared" si="32"/>
        <v>400</v>
      </c>
      <c r="S26" s="1118">
        <f t="shared" si="19"/>
        <v>0.4</v>
      </c>
      <c r="T26" s="1119">
        <f t="shared" si="20"/>
        <v>1.4021604938271611E-2</v>
      </c>
      <c r="U26" s="374">
        <f t="shared" si="21"/>
        <v>0</v>
      </c>
      <c r="V26" s="1120">
        <f t="shared" si="22"/>
        <v>0.4</v>
      </c>
      <c r="W26" s="376">
        <f t="shared" si="23"/>
        <v>0</v>
      </c>
      <c r="X26" s="377">
        <f t="shared" si="24"/>
        <v>0</v>
      </c>
      <c r="Y26" s="378">
        <f t="shared" si="25"/>
        <v>0</v>
      </c>
      <c r="Z26" s="1121">
        <f t="shared" si="26"/>
        <v>0</v>
      </c>
      <c r="AA26" s="1122">
        <f t="shared" si="27"/>
        <v>0</v>
      </c>
      <c r="AB26" s="220"/>
      <c r="AC26" s="1244"/>
      <c r="AD26" s="1244"/>
      <c r="AE26" s="1244"/>
      <c r="AF26" s="1244"/>
      <c r="AG26" s="1244"/>
      <c r="AH26" s="1244"/>
      <c r="AI26" s="220"/>
      <c r="AJ26" s="220"/>
      <c r="AK26" s="220"/>
      <c r="AL26" s="220"/>
      <c r="AM26" s="220"/>
      <c r="AN26" s="220"/>
    </row>
    <row r="27" spans="1:40" s="223" customFormat="1" ht="12.75" customHeight="1">
      <c r="A27" s="1261"/>
      <c r="B27" s="1262" t="s">
        <v>215</v>
      </c>
      <c r="C27" s="274">
        <f t="shared" si="29"/>
        <v>1.7682291666666674E-4</v>
      </c>
      <c r="D27" s="1237">
        <v>7</v>
      </c>
      <c r="E27" s="1299">
        <v>1</v>
      </c>
      <c r="F27" s="1299">
        <v>6</v>
      </c>
      <c r="G27" s="1187">
        <v>20</v>
      </c>
      <c r="H27" s="1051"/>
      <c r="I27" s="1051">
        <v>4.6296296296296293E-4</v>
      </c>
      <c r="J27" s="1188">
        <v>0</v>
      </c>
      <c r="K27" s="2402" t="s">
        <v>900</v>
      </c>
      <c r="L27" s="1189">
        <f t="shared" si="33"/>
        <v>0.36873516718837396</v>
      </c>
      <c r="M27" s="1190">
        <v>1</v>
      </c>
      <c r="N27" s="1188">
        <f t="shared" si="30"/>
        <v>3.626527777777778E-3</v>
      </c>
      <c r="O27" s="1191">
        <f>C27*(G27/25)</f>
        <v>1.4145833333333339E-4</v>
      </c>
      <c r="P27" s="1192">
        <f t="shared" si="31"/>
        <v>1.4145833333333339E-4</v>
      </c>
      <c r="Q27" s="788">
        <v>179</v>
      </c>
      <c r="R27" s="1187">
        <f t="shared" si="32"/>
        <v>120</v>
      </c>
      <c r="S27" s="1118">
        <f t="shared" si="19"/>
        <v>0.12</v>
      </c>
      <c r="T27" s="1119">
        <f t="shared" si="20"/>
        <v>3.3950000000000013E-3</v>
      </c>
      <c r="U27" s="374">
        <f t="shared" si="21"/>
        <v>0</v>
      </c>
      <c r="V27" s="1120">
        <f t="shared" si="22"/>
        <v>0</v>
      </c>
      <c r="W27" s="376">
        <f t="shared" si="23"/>
        <v>0</v>
      </c>
      <c r="X27" s="377">
        <f t="shared" si="24"/>
        <v>0</v>
      </c>
      <c r="Y27" s="378">
        <f t="shared" si="25"/>
        <v>0</v>
      </c>
      <c r="Z27" s="1121">
        <f t="shared" si="26"/>
        <v>0</v>
      </c>
      <c r="AA27" s="1122">
        <f t="shared" si="27"/>
        <v>0.12</v>
      </c>
      <c r="AB27" s="220"/>
      <c r="AC27" s="1244"/>
      <c r="AD27" s="1244"/>
      <c r="AE27" s="1244"/>
      <c r="AF27" s="1244"/>
      <c r="AG27" s="1244"/>
      <c r="AH27" s="1244"/>
      <c r="AI27" s="220"/>
      <c r="AJ27" s="220"/>
      <c r="AK27" s="220"/>
      <c r="AL27" s="220"/>
      <c r="AM27" s="220"/>
      <c r="AN27" s="220"/>
    </row>
    <row r="28" spans="1:40" s="223" customFormat="1" ht="12.75" customHeight="1" thickBot="1">
      <c r="A28" s="1261"/>
      <c r="B28" s="1262"/>
      <c r="C28" s="1258"/>
      <c r="D28" s="1259"/>
      <c r="E28" s="336"/>
      <c r="F28" s="336"/>
      <c r="G28" s="336"/>
      <c r="H28" s="336"/>
      <c r="I28" s="336"/>
      <c r="J28" s="336"/>
      <c r="K28" s="336"/>
      <c r="L28" s="1003">
        <f t="shared" si="33"/>
        <v>0.37236169496615174</v>
      </c>
      <c r="M28" s="1198"/>
      <c r="N28" s="2423">
        <f>SUM(N22:N27)</f>
        <v>3.5556139410596134E-2</v>
      </c>
      <c r="O28" s="336"/>
      <c r="P28" s="336"/>
      <c r="Q28" s="336"/>
      <c r="R28" s="1238">
        <f>SUM(R22:R27)</f>
        <v>2320</v>
      </c>
      <c r="S28" s="1118">
        <f t="shared" si="19"/>
        <v>0</v>
      </c>
      <c r="T28" s="1119">
        <f t="shared" si="20"/>
        <v>0</v>
      </c>
      <c r="U28" s="374">
        <f t="shared" si="21"/>
        <v>0</v>
      </c>
      <c r="V28" s="1120">
        <f t="shared" si="22"/>
        <v>0</v>
      </c>
      <c r="W28" s="376">
        <f t="shared" si="23"/>
        <v>0</v>
      </c>
      <c r="X28" s="377">
        <f t="shared" si="24"/>
        <v>0</v>
      </c>
      <c r="Y28" s="378">
        <f t="shared" si="25"/>
        <v>0</v>
      </c>
      <c r="Z28" s="1121">
        <f t="shared" si="26"/>
        <v>0</v>
      </c>
      <c r="AA28" s="1122">
        <f t="shared" si="27"/>
        <v>0</v>
      </c>
      <c r="AB28" s="220"/>
      <c r="AC28" s="1244"/>
      <c r="AD28" s="1244"/>
      <c r="AE28" s="1244"/>
      <c r="AF28" s="1244"/>
      <c r="AG28" s="1244"/>
      <c r="AH28" s="1244"/>
      <c r="AI28" s="220"/>
      <c r="AJ28" s="220"/>
      <c r="AK28" s="220"/>
      <c r="AL28" s="220"/>
      <c r="AM28" s="220"/>
      <c r="AN28" s="220"/>
    </row>
    <row r="29" spans="1:40">
      <c r="A29" s="1260" t="s">
        <v>215</v>
      </c>
      <c r="B29" s="1262" t="s">
        <v>461</v>
      </c>
      <c r="C29" s="274">
        <f t="shared" ref="C29:C34" si="34">IF(D29=1,U$5,IF(D29=2,V$5,IF(D29=3,W$5,IF(D29=4,X$5,IF(D29=5,Y$5,IF(D29=6,Z$5,IF(D29=7,AA$5,0)))))))</f>
        <v>2.2880964381720439E-4</v>
      </c>
      <c r="D29" s="547">
        <v>1</v>
      </c>
      <c r="E29" s="1194">
        <v>1</v>
      </c>
      <c r="F29" s="1194">
        <v>7</v>
      </c>
      <c r="G29" s="1194">
        <v>150</v>
      </c>
      <c r="H29" s="274"/>
      <c r="I29" s="274">
        <v>1.1574074074074073E-4</v>
      </c>
      <c r="J29" s="274">
        <v>1.3888888888888889E-3</v>
      </c>
      <c r="K29" s="312" t="s">
        <v>24</v>
      </c>
      <c r="L29" s="1235">
        <v>0.79861111111111116</v>
      </c>
      <c r="M29" s="1195">
        <v>1</v>
      </c>
      <c r="N29" s="274">
        <f t="shared" ref="N29:N34" si="35">P29*E29*F29+I29*E29*F29+J29*E29</f>
        <v>1.1809079114396659E-2</v>
      </c>
      <c r="O29" s="1196">
        <f>C29*(G29/25)</f>
        <v>1.3728578629032264E-3</v>
      </c>
      <c r="P29" s="1196">
        <f t="shared" ref="P29:P34" si="36">O29*M29</f>
        <v>1.3728578629032264E-3</v>
      </c>
      <c r="Q29" s="548">
        <v>125</v>
      </c>
      <c r="R29" s="1194">
        <f t="shared" ref="R29:R34" si="37">E29*F29*G29</f>
        <v>1050</v>
      </c>
      <c r="S29" s="1118">
        <f t="shared" si="19"/>
        <v>1.05</v>
      </c>
      <c r="T29" s="1119">
        <f t="shared" si="20"/>
        <v>3.8440020161290341E-2</v>
      </c>
      <c r="U29" s="374">
        <f t="shared" si="21"/>
        <v>1.05</v>
      </c>
      <c r="V29" s="1120">
        <f t="shared" si="22"/>
        <v>0</v>
      </c>
      <c r="W29" s="376">
        <f t="shared" si="23"/>
        <v>0</v>
      </c>
      <c r="X29" s="377">
        <f t="shared" si="24"/>
        <v>0</v>
      </c>
      <c r="Y29" s="378">
        <f t="shared" si="25"/>
        <v>0</v>
      </c>
      <c r="Z29" s="1121">
        <f t="shared" si="26"/>
        <v>0</v>
      </c>
      <c r="AA29" s="1122">
        <f t="shared" si="27"/>
        <v>0</v>
      </c>
      <c r="AC29" s="1244"/>
      <c r="AD29" s="1244"/>
      <c r="AE29" s="1244"/>
      <c r="AF29" s="1244"/>
      <c r="AG29" s="1244"/>
      <c r="AH29" s="1244"/>
      <c r="AI29" s="244"/>
      <c r="AJ29" s="244"/>
      <c r="AK29" s="244"/>
      <c r="AL29" s="244"/>
      <c r="AM29" s="244"/>
      <c r="AN29" s="245"/>
    </row>
    <row r="30" spans="1:40">
      <c r="A30" s="1261" t="s">
        <v>138</v>
      </c>
      <c r="B30" s="1262" t="s">
        <v>461</v>
      </c>
      <c r="C30" s="274">
        <f t="shared" si="34"/>
        <v>2.1908757716049393E-4</v>
      </c>
      <c r="D30" s="889">
        <v>2</v>
      </c>
      <c r="E30" s="1173">
        <v>1</v>
      </c>
      <c r="F30" s="1173">
        <v>1</v>
      </c>
      <c r="G30" s="1173">
        <v>500</v>
      </c>
      <c r="H30" s="299"/>
      <c r="I30" s="299">
        <v>2.3148148148148146E-4</v>
      </c>
      <c r="J30" s="299">
        <v>1.3888888888888889E-3</v>
      </c>
      <c r="K30" s="1123" t="s">
        <v>910</v>
      </c>
      <c r="L30" s="1149">
        <f t="shared" ref="L30:L35" si="38">L29+N29</f>
        <v>0.81042019022550782</v>
      </c>
      <c r="M30" s="1174">
        <v>1</v>
      </c>
      <c r="N30" s="299">
        <f t="shared" si="35"/>
        <v>8.7713888888888928E-3</v>
      </c>
      <c r="O30" s="1175">
        <f>C30*32*1.02</f>
        <v>7.1510185185185218E-3</v>
      </c>
      <c r="P30" s="1175">
        <f t="shared" si="36"/>
        <v>7.1510185185185218E-3</v>
      </c>
      <c r="Q30" s="550">
        <v>140</v>
      </c>
      <c r="R30" s="1176">
        <f t="shared" si="37"/>
        <v>500</v>
      </c>
      <c r="S30" s="1118">
        <f t="shared" si="19"/>
        <v>0.5</v>
      </c>
      <c r="T30" s="1119">
        <f t="shared" si="20"/>
        <v>2.8604074074074087E-2</v>
      </c>
      <c r="U30" s="374">
        <f t="shared" si="21"/>
        <v>0</v>
      </c>
      <c r="V30" s="1120">
        <f t="shared" si="22"/>
        <v>0.5</v>
      </c>
      <c r="W30" s="376">
        <f t="shared" si="23"/>
        <v>0</v>
      </c>
      <c r="X30" s="377">
        <f t="shared" si="24"/>
        <v>0</v>
      </c>
      <c r="Y30" s="378">
        <f t="shared" si="25"/>
        <v>0</v>
      </c>
      <c r="Z30" s="1121">
        <f t="shared" si="26"/>
        <v>0</v>
      </c>
      <c r="AA30" s="1122">
        <f t="shared" si="27"/>
        <v>0</v>
      </c>
      <c r="AC30" s="1244"/>
      <c r="AD30" s="1244"/>
      <c r="AE30" s="1244"/>
      <c r="AF30" s="1244"/>
      <c r="AG30" s="1244"/>
      <c r="AH30" s="1244"/>
      <c r="AI30" s="244"/>
      <c r="AJ30" s="244"/>
      <c r="AK30" s="244"/>
      <c r="AL30" s="244"/>
      <c r="AM30" s="244"/>
      <c r="AN30" s="245"/>
    </row>
    <row r="31" spans="1:40" ht="12.75" customHeight="1">
      <c r="A31" s="1261" t="s">
        <v>462</v>
      </c>
      <c r="B31" s="1262" t="s">
        <v>461</v>
      </c>
      <c r="C31" s="274">
        <f t="shared" si="34"/>
        <v>2.0247664488766629E-4</v>
      </c>
      <c r="D31" s="1197">
        <v>4</v>
      </c>
      <c r="E31" s="1177">
        <v>2</v>
      </c>
      <c r="F31" s="1177">
        <v>6</v>
      </c>
      <c r="G31" s="1177">
        <v>50</v>
      </c>
      <c r="H31" s="1178"/>
      <c r="I31" s="1178">
        <v>1.7361111111111112E-4</v>
      </c>
      <c r="J31" s="1178">
        <v>1.3888888888888889E-3</v>
      </c>
      <c r="K31" s="316" t="s">
        <v>1946</v>
      </c>
      <c r="L31" s="996">
        <f t="shared" si="38"/>
        <v>0.81919157911439666</v>
      </c>
      <c r="M31" s="1180">
        <v>1</v>
      </c>
      <c r="N31" s="1178">
        <f t="shared" si="35"/>
        <v>9.7205505884151028E-3</v>
      </c>
      <c r="O31" s="1181">
        <f>C31*(G31/25)</f>
        <v>4.0495328977533258E-4</v>
      </c>
      <c r="P31" s="1181">
        <f t="shared" si="36"/>
        <v>4.0495328977533258E-4</v>
      </c>
      <c r="Q31" s="334">
        <v>170</v>
      </c>
      <c r="R31" s="1177">
        <f t="shared" si="37"/>
        <v>600</v>
      </c>
      <c r="S31" s="1118">
        <f t="shared" si="19"/>
        <v>0.6</v>
      </c>
      <c r="T31" s="1119">
        <f t="shared" si="20"/>
        <v>1.9437757909215963E-2</v>
      </c>
      <c r="U31" s="374">
        <f t="shared" si="21"/>
        <v>0</v>
      </c>
      <c r="V31" s="1120">
        <f t="shared" si="22"/>
        <v>0</v>
      </c>
      <c r="W31" s="376">
        <f t="shared" si="23"/>
        <v>0</v>
      </c>
      <c r="X31" s="377">
        <f t="shared" si="24"/>
        <v>0.6</v>
      </c>
      <c r="Y31" s="378">
        <f t="shared" si="25"/>
        <v>0</v>
      </c>
      <c r="Z31" s="1121">
        <f t="shared" si="26"/>
        <v>0</v>
      </c>
      <c r="AA31" s="1122">
        <f t="shared" si="27"/>
        <v>0</v>
      </c>
      <c r="AC31" s="1244"/>
      <c r="AD31" s="1244"/>
      <c r="AE31" s="1244"/>
      <c r="AF31" s="1244"/>
      <c r="AG31" s="1244"/>
      <c r="AH31" s="1244"/>
      <c r="AI31" s="244"/>
      <c r="AJ31" s="244"/>
      <c r="AK31" s="244"/>
      <c r="AL31" s="244"/>
      <c r="AM31" s="244"/>
      <c r="AN31" s="245"/>
    </row>
    <row r="32" spans="1:40" ht="12.75" customHeight="1">
      <c r="A32" s="1261" t="s">
        <v>461</v>
      </c>
      <c r="B32" s="1262" t="s">
        <v>461</v>
      </c>
      <c r="C32" s="274">
        <f t="shared" si="34"/>
        <v>2.1222190799396687E-4</v>
      </c>
      <c r="D32" s="1236">
        <v>3</v>
      </c>
      <c r="E32" s="1161">
        <v>1</v>
      </c>
      <c r="F32" s="1161">
        <v>1</v>
      </c>
      <c r="G32" s="1161">
        <v>400</v>
      </c>
      <c r="H32" s="1163"/>
      <c r="I32" s="1163">
        <v>0</v>
      </c>
      <c r="J32" s="1163">
        <v>1.3888888888888889E-3</v>
      </c>
      <c r="K32" s="1074" t="s">
        <v>1947</v>
      </c>
      <c r="L32" s="1148">
        <f t="shared" si="38"/>
        <v>0.82891212970281181</v>
      </c>
      <c r="M32" s="1164">
        <v>1</v>
      </c>
      <c r="N32" s="1163">
        <f t="shared" si="35"/>
        <v>4.784439416792359E-3</v>
      </c>
      <c r="O32" s="1165">
        <f>C32*(G32/25)</f>
        <v>3.3955505279034699E-3</v>
      </c>
      <c r="P32" s="1165">
        <f t="shared" si="36"/>
        <v>3.3955505279034699E-3</v>
      </c>
      <c r="Q32" s="333">
        <v>164</v>
      </c>
      <c r="R32" s="1161">
        <f t="shared" si="37"/>
        <v>400</v>
      </c>
      <c r="S32" s="1118">
        <f t="shared" si="19"/>
        <v>0.4</v>
      </c>
      <c r="T32" s="1119">
        <f t="shared" si="20"/>
        <v>1.3582202111613879E-2</v>
      </c>
      <c r="U32" s="374">
        <f t="shared" si="21"/>
        <v>0</v>
      </c>
      <c r="V32" s="1120">
        <f t="shared" si="22"/>
        <v>0</v>
      </c>
      <c r="W32" s="376">
        <f t="shared" si="23"/>
        <v>0.4</v>
      </c>
      <c r="X32" s="377">
        <f t="shared" si="24"/>
        <v>0</v>
      </c>
      <c r="Y32" s="378">
        <f t="shared" si="25"/>
        <v>0</v>
      </c>
      <c r="Z32" s="1121">
        <f t="shared" si="26"/>
        <v>0</v>
      </c>
      <c r="AA32" s="1122">
        <f t="shared" si="27"/>
        <v>0</v>
      </c>
      <c r="AC32" s="1244"/>
      <c r="AD32" s="1244"/>
      <c r="AE32" s="1244"/>
      <c r="AF32" s="1244"/>
      <c r="AG32" s="1244"/>
      <c r="AH32" s="1244"/>
      <c r="AI32" s="244"/>
      <c r="AJ32" s="244"/>
      <c r="AK32" s="244"/>
      <c r="AL32" s="244"/>
      <c r="AM32" s="244"/>
      <c r="AN32" s="245"/>
    </row>
    <row r="33" spans="1:40" ht="12.75" customHeight="1">
      <c r="A33" s="1261" t="s">
        <v>458</v>
      </c>
      <c r="B33" s="1262" t="s">
        <v>461</v>
      </c>
      <c r="C33" s="274">
        <f t="shared" si="34"/>
        <v>1.8229166666666673E-4</v>
      </c>
      <c r="D33" s="1263">
        <v>6</v>
      </c>
      <c r="E33" s="1264">
        <v>1</v>
      </c>
      <c r="F33" s="1264">
        <v>12</v>
      </c>
      <c r="G33" s="1265">
        <v>50</v>
      </c>
      <c r="H33" s="1266" t="s">
        <v>887</v>
      </c>
      <c r="I33" s="1267">
        <v>1.4761574074074071E-3</v>
      </c>
      <c r="J33" s="1267">
        <v>1.3888888888888889E-3</v>
      </c>
      <c r="K33" s="4532" t="s">
        <v>1948</v>
      </c>
      <c r="L33" s="1036">
        <f t="shared" si="38"/>
        <v>0.83369656911960421</v>
      </c>
      <c r="M33" s="1268">
        <v>1</v>
      </c>
      <c r="N33" s="1052">
        <f>P33*E33*F33+I33*E33*F33+J33*E33</f>
        <v>2.3477777777777774E-2</v>
      </c>
      <c r="O33" s="1169">
        <f>C33*(G33/25)</f>
        <v>3.6458333333333346E-4</v>
      </c>
      <c r="P33" s="1169">
        <f>O33*M33</f>
        <v>3.6458333333333346E-4</v>
      </c>
      <c r="Q33" s="789">
        <v>177</v>
      </c>
      <c r="R33" s="1201">
        <f>E33*F33*G33</f>
        <v>600</v>
      </c>
      <c r="S33" s="1118">
        <f t="shared" si="19"/>
        <v>0.6</v>
      </c>
      <c r="T33" s="1119">
        <f t="shared" si="20"/>
        <v>1.7500000000000005E-2</v>
      </c>
      <c r="U33" s="374">
        <f t="shared" si="21"/>
        <v>0</v>
      </c>
      <c r="V33" s="1120">
        <f t="shared" si="22"/>
        <v>0</v>
      </c>
      <c r="W33" s="376">
        <f t="shared" si="23"/>
        <v>0</v>
      </c>
      <c r="X33" s="377">
        <f t="shared" si="24"/>
        <v>0</v>
      </c>
      <c r="Y33" s="378">
        <f t="shared" si="25"/>
        <v>0</v>
      </c>
      <c r="Z33" s="1121">
        <f t="shared" si="26"/>
        <v>0.6</v>
      </c>
      <c r="AA33" s="1122">
        <f t="shared" si="27"/>
        <v>0</v>
      </c>
      <c r="AC33" s="1244"/>
      <c r="AD33" s="1244"/>
      <c r="AE33" s="1244"/>
      <c r="AF33" s="1244"/>
      <c r="AG33" s="1244"/>
      <c r="AH33" s="1244"/>
      <c r="AI33" s="244"/>
      <c r="AJ33" s="244"/>
      <c r="AK33" s="244"/>
      <c r="AL33" s="244"/>
      <c r="AM33" s="244"/>
      <c r="AN33" s="245"/>
    </row>
    <row r="34" spans="1:40" ht="12.75" customHeight="1">
      <c r="A34" s="1261" t="s">
        <v>219</v>
      </c>
      <c r="B34" s="1262" t="s">
        <v>461</v>
      </c>
      <c r="C34" s="274">
        <f t="shared" si="34"/>
        <v>1.7682291666666674E-4</v>
      </c>
      <c r="D34" s="1237">
        <v>7</v>
      </c>
      <c r="E34" s="1187">
        <v>2</v>
      </c>
      <c r="F34" s="1187">
        <v>3</v>
      </c>
      <c r="G34" s="1187">
        <v>15</v>
      </c>
      <c r="H34" s="1051"/>
      <c r="I34" s="1051">
        <v>4.6296296296296293E-4</v>
      </c>
      <c r="J34" s="1188">
        <v>6.9444444444444447E-4</v>
      </c>
      <c r="K34" s="438" t="s">
        <v>1949</v>
      </c>
      <c r="L34" s="1189">
        <f t="shared" si="38"/>
        <v>0.85717434689738203</v>
      </c>
      <c r="M34" s="1190">
        <v>1</v>
      </c>
      <c r="N34" s="1188">
        <f t="shared" si="35"/>
        <v>4.8032291666666666E-3</v>
      </c>
      <c r="O34" s="1191">
        <f>C34*(G34/25)</f>
        <v>1.0609375000000004E-4</v>
      </c>
      <c r="P34" s="1192">
        <f t="shared" si="36"/>
        <v>1.0609375000000004E-4</v>
      </c>
      <c r="Q34" s="788">
        <v>200</v>
      </c>
      <c r="R34" s="1187">
        <f t="shared" si="37"/>
        <v>90</v>
      </c>
      <c r="S34" s="1118">
        <f t="shared" si="19"/>
        <v>0.09</v>
      </c>
      <c r="T34" s="1119">
        <f t="shared" si="20"/>
        <v>2.5462500000000008E-3</v>
      </c>
      <c r="U34" s="374">
        <f t="shared" si="21"/>
        <v>0</v>
      </c>
      <c r="V34" s="1120">
        <f t="shared" si="22"/>
        <v>0</v>
      </c>
      <c r="W34" s="376">
        <f t="shared" si="23"/>
        <v>0</v>
      </c>
      <c r="X34" s="377">
        <f t="shared" si="24"/>
        <v>0</v>
      </c>
      <c r="Y34" s="378">
        <f t="shared" si="25"/>
        <v>0</v>
      </c>
      <c r="Z34" s="1121">
        <f t="shared" si="26"/>
        <v>0</v>
      </c>
      <c r="AA34" s="1122">
        <f t="shared" si="27"/>
        <v>0.09</v>
      </c>
      <c r="AC34" s="1244"/>
      <c r="AD34" s="1244"/>
      <c r="AE34" s="1244"/>
      <c r="AF34" s="1244"/>
      <c r="AG34" s="1244"/>
      <c r="AH34" s="1244"/>
      <c r="AI34" s="244"/>
      <c r="AJ34" s="244"/>
      <c r="AK34" s="244"/>
      <c r="AL34" s="244"/>
      <c r="AM34" s="244"/>
      <c r="AN34" s="245"/>
    </row>
    <row r="35" spans="1:40" ht="12.75" customHeight="1" thickBot="1">
      <c r="A35" s="1261"/>
      <c r="B35" s="1269"/>
      <c r="C35" s="1258"/>
      <c r="D35" s="1259"/>
      <c r="E35" s="336"/>
      <c r="F35" s="336"/>
      <c r="G35" s="336"/>
      <c r="H35" s="336"/>
      <c r="I35" s="336"/>
      <c r="J35" s="336"/>
      <c r="K35" s="336"/>
      <c r="L35" s="1003">
        <f t="shared" si="38"/>
        <v>0.86197757606404868</v>
      </c>
      <c r="M35" s="1198"/>
      <c r="N35" s="1008">
        <f>SUM(N29:N34)</f>
        <v>6.3366464952937462E-2</v>
      </c>
      <c r="O35" s="336"/>
      <c r="P35" s="336"/>
      <c r="Q35" s="336"/>
      <c r="R35" s="1238">
        <f>SUM(R29:R34)</f>
        <v>3240</v>
      </c>
      <c r="S35" s="1118">
        <f t="shared" si="19"/>
        <v>0</v>
      </c>
      <c r="T35" s="1119">
        <f t="shared" si="20"/>
        <v>0</v>
      </c>
      <c r="U35" s="374">
        <f t="shared" si="21"/>
        <v>0</v>
      </c>
      <c r="V35" s="1120">
        <f t="shared" si="22"/>
        <v>0</v>
      </c>
      <c r="W35" s="376">
        <f t="shared" si="23"/>
        <v>0</v>
      </c>
      <c r="X35" s="377">
        <f t="shared" si="24"/>
        <v>0</v>
      </c>
      <c r="Y35" s="378">
        <f t="shared" si="25"/>
        <v>0</v>
      </c>
      <c r="Z35" s="1121">
        <f t="shared" si="26"/>
        <v>0</v>
      </c>
      <c r="AA35" s="1122">
        <f t="shared" si="27"/>
        <v>0</v>
      </c>
      <c r="AC35" s="1244"/>
      <c r="AD35" s="1244"/>
      <c r="AE35" s="1244"/>
      <c r="AF35" s="1244"/>
      <c r="AG35" s="1244"/>
      <c r="AH35" s="1244"/>
      <c r="AI35" s="244"/>
      <c r="AJ35" s="244"/>
      <c r="AK35" s="244"/>
      <c r="AL35" s="244"/>
      <c r="AM35" s="244"/>
      <c r="AN35" s="245"/>
    </row>
    <row r="36" spans="1:40" ht="12.75" customHeight="1">
      <c r="A36" s="1270" t="s">
        <v>140</v>
      </c>
      <c r="B36" s="1234" t="s">
        <v>461</v>
      </c>
      <c r="C36" s="274">
        <f>IF(D36=1,U$5,IF(D36=2,V$5,IF(D36=3,W$5,IF(D36=4,X$5,IF(D36=5,Y$5,IF(D36=6,Z$5,IF(D36=7,AA$5,0)))))))</f>
        <v>2.1908757716049393E-4</v>
      </c>
      <c r="D36" s="890">
        <v>2</v>
      </c>
      <c r="E36" s="1173">
        <v>2</v>
      </c>
      <c r="F36" s="1173">
        <v>1</v>
      </c>
      <c r="G36" s="1173">
        <v>400</v>
      </c>
      <c r="H36" s="299"/>
      <c r="I36" s="299">
        <v>1.1574074074074073E-4</v>
      </c>
      <c r="J36" s="299">
        <v>1.3888888888888889E-3</v>
      </c>
      <c r="K36" s="1123" t="s">
        <v>703</v>
      </c>
      <c r="L36" s="1149">
        <v>0.79861111111111116</v>
      </c>
      <c r="M36" s="1174">
        <v>1.1000000000000001</v>
      </c>
      <c r="N36" s="299">
        <f>P36*E36*F36+I36*E36*F36+J36*E36</f>
        <v>1.0721141975308646E-2</v>
      </c>
      <c r="O36" s="1175">
        <f>C36*(G36/25)</f>
        <v>3.5054012345679029E-3</v>
      </c>
      <c r="P36" s="1175">
        <f>O36*M36</f>
        <v>3.8559413580246935E-3</v>
      </c>
      <c r="Q36" s="550">
        <f t="shared" ref="Q36:Q40" si="39">IF(D36=1,125,IF(D36=2,140,IF(D36=3,164,IF(D36=4,170,IF(D36=5,173,IF(D36=6,177,IF(R36=7,200,0)))))))</f>
        <v>140</v>
      </c>
      <c r="R36" s="1176">
        <f>E36*F36*G36</f>
        <v>800</v>
      </c>
      <c r="S36" s="1118">
        <f t="shared" si="19"/>
        <v>0.8</v>
      </c>
      <c r="T36" s="1119">
        <f t="shared" si="20"/>
        <v>2.8043209876543223E-2</v>
      </c>
      <c r="U36" s="374">
        <f t="shared" si="21"/>
        <v>0</v>
      </c>
      <c r="V36" s="1120">
        <f t="shared" si="22"/>
        <v>0.8</v>
      </c>
      <c r="W36" s="376">
        <f t="shared" si="23"/>
        <v>0</v>
      </c>
      <c r="X36" s="377">
        <f t="shared" si="24"/>
        <v>0</v>
      </c>
      <c r="Y36" s="378">
        <f t="shared" si="25"/>
        <v>0</v>
      </c>
      <c r="Z36" s="1121">
        <f t="shared" si="26"/>
        <v>0</v>
      </c>
      <c r="AA36" s="1122">
        <f t="shared" si="27"/>
        <v>0</v>
      </c>
      <c r="AC36" s="1244"/>
      <c r="AD36" s="1244"/>
      <c r="AE36" s="1244"/>
      <c r="AF36" s="1244"/>
      <c r="AG36" s="1244"/>
      <c r="AH36" s="1244"/>
      <c r="AI36" s="244"/>
      <c r="AJ36" s="244"/>
      <c r="AK36" s="244"/>
      <c r="AL36" s="244"/>
      <c r="AM36" s="244"/>
      <c r="AN36" s="245"/>
    </row>
    <row r="37" spans="1:40" ht="12.75" customHeight="1" thickBot="1">
      <c r="A37" s="1270" t="s">
        <v>674</v>
      </c>
      <c r="B37" s="1270" t="s">
        <v>461</v>
      </c>
      <c r="C37" s="274">
        <f>IF(D37=1,U$5,IF(D37=2,V$5,IF(D37=3,W$5,IF(D37=4,X$5,IF(D37=5,Y$5,IF(D37=6,Z$5,IF(D37=7,AA$5,0)))))))</f>
        <v>2.0247664488766629E-4</v>
      </c>
      <c r="D37" s="1197">
        <v>4</v>
      </c>
      <c r="E37" s="1177">
        <v>2</v>
      </c>
      <c r="F37" s="1177">
        <v>1</v>
      </c>
      <c r="G37" s="1177">
        <v>200</v>
      </c>
      <c r="H37" s="1178"/>
      <c r="I37" s="1178">
        <v>0</v>
      </c>
      <c r="J37" s="1178">
        <v>6.9444444444444447E-4</v>
      </c>
      <c r="K37" s="316" t="s">
        <v>1953</v>
      </c>
      <c r="L37" s="996">
        <f>L36+N36</f>
        <v>0.80933225308641976</v>
      </c>
      <c r="M37" s="1180">
        <v>1.3</v>
      </c>
      <c r="N37" s="1178">
        <f>P37*E37*F37+I37*E37*F37+J37*E37</f>
        <v>5.7688636710988865E-3</v>
      </c>
      <c r="O37" s="1181">
        <f>C37*(G37/25)*1.04</f>
        <v>1.6846056854653835E-3</v>
      </c>
      <c r="P37" s="1181">
        <f>O37*M37</f>
        <v>2.1899873911049987E-3</v>
      </c>
      <c r="Q37" s="334">
        <f t="shared" si="39"/>
        <v>170</v>
      </c>
      <c r="R37" s="1177">
        <f>E37*F37*G37</f>
        <v>400</v>
      </c>
      <c r="S37" s="1118">
        <f t="shared" si="19"/>
        <v>0.4</v>
      </c>
      <c r="T37" s="1119">
        <f t="shared" si="20"/>
        <v>1.3476845483723068E-2</v>
      </c>
      <c r="U37" s="374">
        <f t="shared" si="21"/>
        <v>0</v>
      </c>
      <c r="V37" s="1120">
        <f t="shared" si="22"/>
        <v>0</v>
      </c>
      <c r="W37" s="376">
        <f t="shared" si="23"/>
        <v>0</v>
      </c>
      <c r="X37" s="377">
        <f t="shared" si="24"/>
        <v>0.4</v>
      </c>
      <c r="Y37" s="378">
        <f t="shared" si="25"/>
        <v>0</v>
      </c>
      <c r="Z37" s="1121">
        <f t="shared" si="26"/>
        <v>0</v>
      </c>
      <c r="AA37" s="1122">
        <f t="shared" si="27"/>
        <v>0</v>
      </c>
      <c r="AC37" s="1244"/>
      <c r="AD37" s="1244"/>
      <c r="AE37" s="1244"/>
      <c r="AF37" s="1244"/>
      <c r="AG37" s="1244"/>
      <c r="AH37" s="1244"/>
      <c r="AI37" s="244"/>
      <c r="AJ37" s="244"/>
      <c r="AK37" s="244"/>
      <c r="AL37" s="244"/>
      <c r="AM37" s="244"/>
      <c r="AN37" s="245"/>
    </row>
    <row r="38" spans="1:40" ht="12.75" customHeight="1" thickBot="1">
      <c r="A38" s="1270" t="s">
        <v>214</v>
      </c>
      <c r="B38" s="1234" t="s">
        <v>461</v>
      </c>
      <c r="C38" s="274">
        <f>IF(D38=1,U$5,IF(D38=2,V$5,IF(D38=3,W$5,IF(D38=4,X$5,IF(D38=5,Y$5,IF(D38=6,Z$5,IF(D38=7,AA$5,0)))))))</f>
        <v>2.0247664488766629E-4</v>
      </c>
      <c r="D38" s="1197">
        <v>4</v>
      </c>
      <c r="E38" s="1177">
        <v>2</v>
      </c>
      <c r="F38" s="1177">
        <v>3</v>
      </c>
      <c r="G38" s="1177">
        <v>50</v>
      </c>
      <c r="H38" s="1178"/>
      <c r="I38" s="1178">
        <v>2.3148148148148146E-4</v>
      </c>
      <c r="J38" s="1178">
        <v>6.9444444444444447E-4</v>
      </c>
      <c r="K38" s="316" t="s">
        <v>1495</v>
      </c>
      <c r="L38" s="996">
        <f>L37+N37</f>
        <v>0.81510111675751862</v>
      </c>
      <c r="M38" s="1180">
        <v>0.9</v>
      </c>
      <c r="N38" s="1178">
        <f>P38*E38*F38+I38*E38*F38+J38*E38</f>
        <v>4.9863930202124415E-3</v>
      </c>
      <c r="O38" s="1181">
        <f>C38*(G38/25)*1.01</f>
        <v>4.090028226730859E-4</v>
      </c>
      <c r="P38" s="1181">
        <f>O38*M38</f>
        <v>3.6810254040577734E-4</v>
      </c>
      <c r="Q38" s="334">
        <f t="shared" si="39"/>
        <v>170</v>
      </c>
      <c r="R38" s="1177">
        <f>E38*F38*G38</f>
        <v>300</v>
      </c>
      <c r="S38" s="1118">
        <f t="shared" si="19"/>
        <v>0.3</v>
      </c>
      <c r="T38" s="1119">
        <f t="shared" si="20"/>
        <v>9.8160677441540625E-3</v>
      </c>
      <c r="U38" s="374">
        <f t="shared" si="21"/>
        <v>0</v>
      </c>
      <c r="V38" s="1120">
        <f t="shared" si="22"/>
        <v>0</v>
      </c>
      <c r="W38" s="376">
        <f t="shared" si="23"/>
        <v>0</v>
      </c>
      <c r="X38" s="377">
        <f t="shared" si="24"/>
        <v>0.3</v>
      </c>
      <c r="Y38" s="378">
        <f t="shared" si="25"/>
        <v>0</v>
      </c>
      <c r="Z38" s="1121">
        <f t="shared" si="26"/>
        <v>0</v>
      </c>
      <c r="AA38" s="1122">
        <f t="shared" si="27"/>
        <v>0</v>
      </c>
      <c r="AC38" s="1244"/>
      <c r="AD38" s="1244"/>
      <c r="AE38" s="1244"/>
      <c r="AF38" s="1244"/>
      <c r="AG38" s="1244"/>
      <c r="AH38" s="1244"/>
      <c r="AI38" s="244"/>
      <c r="AJ38" s="244"/>
      <c r="AK38" s="244"/>
      <c r="AL38" s="244"/>
      <c r="AM38" s="244"/>
      <c r="AN38" s="245"/>
    </row>
    <row r="39" spans="1:40" ht="12.75" customHeight="1" thickBot="1">
      <c r="A39" s="1270" t="s">
        <v>458</v>
      </c>
      <c r="B39" s="1234" t="s">
        <v>461</v>
      </c>
      <c r="C39" s="274">
        <f>IF(D39=1,U$5,IF(D39=2,V$5,IF(D39=3,W$5,IF(D39=4,X$5,IF(D39=5,Y$5,IF(D39=6,Z$5,IF(D39=7,AA$5,0)))))))</f>
        <v>2.0247664488766629E-4</v>
      </c>
      <c r="D39" s="1197">
        <v>4</v>
      </c>
      <c r="E39" s="1177">
        <v>6</v>
      </c>
      <c r="F39" s="1177">
        <v>8</v>
      </c>
      <c r="G39" s="1177">
        <v>12.5</v>
      </c>
      <c r="H39" s="1178"/>
      <c r="I39" s="1178">
        <v>1.1574074074074073E-4</v>
      </c>
      <c r="J39" s="1178">
        <v>0</v>
      </c>
      <c r="K39" s="316" t="s">
        <v>299</v>
      </c>
      <c r="L39" s="996">
        <f>L38+N38</f>
        <v>0.82008750977773104</v>
      </c>
      <c r="M39" s="1180">
        <v>1.2</v>
      </c>
      <c r="N39" s="1178">
        <f>P39*E39*F39+I39*E39*F39+J39*E39</f>
        <v>1.1561822749503287E-2</v>
      </c>
      <c r="O39" s="1181">
        <f>C39*(G39/25)*1.03</f>
        <v>1.0427547211714814E-4</v>
      </c>
      <c r="P39" s="1181">
        <f>O39*M39</f>
        <v>1.2513056654057776E-4</v>
      </c>
      <c r="Q39" s="334">
        <f t="shared" si="39"/>
        <v>170</v>
      </c>
      <c r="R39" s="1177">
        <f>E39*F39*G39</f>
        <v>600</v>
      </c>
      <c r="S39" s="1118">
        <f t="shared" si="19"/>
        <v>0.6</v>
      </c>
      <c r="T39" s="1119">
        <f t="shared" si="20"/>
        <v>2.0020890646492442E-2</v>
      </c>
      <c r="U39" s="374">
        <f t="shared" si="21"/>
        <v>0</v>
      </c>
      <c r="V39" s="1120">
        <f t="shared" si="22"/>
        <v>0</v>
      </c>
      <c r="W39" s="376">
        <f t="shared" si="23"/>
        <v>0</v>
      </c>
      <c r="X39" s="377">
        <f t="shared" si="24"/>
        <v>0.6</v>
      </c>
      <c r="Y39" s="378">
        <f t="shared" si="25"/>
        <v>0</v>
      </c>
      <c r="Z39" s="1121">
        <f t="shared" si="26"/>
        <v>0</v>
      </c>
      <c r="AA39" s="1122">
        <f t="shared" si="27"/>
        <v>0</v>
      </c>
      <c r="AC39" s="1244"/>
      <c r="AD39" s="1244"/>
      <c r="AE39" s="1244"/>
      <c r="AF39" s="1244"/>
      <c r="AG39" s="1244"/>
      <c r="AH39" s="1244"/>
      <c r="AI39" s="244"/>
      <c r="AJ39" s="244"/>
      <c r="AK39" s="244"/>
      <c r="AL39" s="244"/>
      <c r="AM39" s="244"/>
      <c r="AN39" s="245"/>
    </row>
    <row r="40" spans="1:40" ht="12.75" customHeight="1" thickBot="1">
      <c r="A40" s="1270" t="s">
        <v>219</v>
      </c>
      <c r="B40" s="1234" t="s">
        <v>461</v>
      </c>
      <c r="C40" s="274">
        <f>IF(D40=1,U$5,IF(D40=2,V$5,IF(D40=3,W$5,IF(D40=4,X$5,IF(D40=5,Y$5,IF(D40=6,Z$5,IF(D40=7,AA$5,0)))))))</f>
        <v>1.7682291666666674E-4</v>
      </c>
      <c r="D40" s="1237">
        <v>7</v>
      </c>
      <c r="E40" s="1187">
        <v>1</v>
      </c>
      <c r="F40" s="1187">
        <v>5</v>
      </c>
      <c r="G40" s="1187">
        <v>25</v>
      </c>
      <c r="H40" s="1051"/>
      <c r="I40" s="1051">
        <v>1.0416666666666667E-3</v>
      </c>
      <c r="J40" s="1188">
        <v>0</v>
      </c>
      <c r="K40" s="438" t="s">
        <v>1942</v>
      </c>
      <c r="L40" s="1189">
        <f>L39+N39</f>
        <v>0.83164933252723428</v>
      </c>
      <c r="M40" s="1190">
        <v>0.9</v>
      </c>
      <c r="N40" s="1188">
        <f>P40*E40*F40+I40*E40*F40+J40*E40</f>
        <v>6.0040364583333339E-3</v>
      </c>
      <c r="O40" s="1191">
        <f>C40*(G40/25)</f>
        <v>1.7682291666666674E-4</v>
      </c>
      <c r="P40" s="1192">
        <f>O40*M40</f>
        <v>1.5914062500000008E-4</v>
      </c>
      <c r="Q40" s="788">
        <f t="shared" si="39"/>
        <v>0</v>
      </c>
      <c r="R40" s="1187">
        <f>E40*F40*G40</f>
        <v>125</v>
      </c>
      <c r="S40" s="1118">
        <f t="shared" si="19"/>
        <v>0.125</v>
      </c>
      <c r="T40" s="1119">
        <f t="shared" si="20"/>
        <v>3.5364583333333346E-3</v>
      </c>
      <c r="U40" s="374">
        <f t="shared" si="21"/>
        <v>0</v>
      </c>
      <c r="V40" s="1120">
        <f t="shared" si="22"/>
        <v>0</v>
      </c>
      <c r="W40" s="376">
        <f t="shared" si="23"/>
        <v>0</v>
      </c>
      <c r="X40" s="377">
        <f t="shared" si="24"/>
        <v>0</v>
      </c>
      <c r="Y40" s="378">
        <f t="shared" si="25"/>
        <v>0</v>
      </c>
      <c r="Z40" s="1121">
        <f t="shared" si="26"/>
        <v>0</v>
      </c>
      <c r="AA40" s="1122">
        <f t="shared" si="27"/>
        <v>0.125</v>
      </c>
      <c r="AC40" s="1244"/>
      <c r="AD40" s="1244"/>
      <c r="AE40" s="1244"/>
      <c r="AF40" s="1244"/>
      <c r="AG40" s="1244"/>
      <c r="AH40" s="1244"/>
      <c r="AI40" s="244"/>
      <c r="AJ40" s="244"/>
      <c r="AK40" s="244"/>
      <c r="AL40" s="244"/>
      <c r="AM40" s="244"/>
      <c r="AN40" s="245"/>
    </row>
    <row r="41" spans="1:40" ht="14" customHeight="1">
      <c r="A41" s="1270"/>
      <c r="B41" s="1234"/>
      <c r="C41" s="1258"/>
      <c r="D41" s="1259"/>
      <c r="E41" s="336"/>
      <c r="F41" s="336"/>
      <c r="G41" s="336"/>
      <c r="H41" s="336"/>
      <c r="I41" s="336"/>
      <c r="J41" s="336"/>
      <c r="K41" s="336"/>
      <c r="L41" s="993">
        <f>L40+N40</f>
        <v>0.83765336898556764</v>
      </c>
      <c r="M41" s="1198"/>
      <c r="N41" s="1008">
        <f>SUM(N36:N40)</f>
        <v>3.9042257874456594E-2</v>
      </c>
      <c r="O41" s="336"/>
      <c r="P41" s="336"/>
      <c r="Q41" s="336"/>
      <c r="R41" s="1238">
        <f>SUM(R36:R40)</f>
        <v>2225</v>
      </c>
      <c r="S41" s="1118">
        <f t="shared" si="19"/>
        <v>0</v>
      </c>
      <c r="T41" s="1119">
        <f t="shared" si="20"/>
        <v>0</v>
      </c>
      <c r="U41" s="374">
        <f t="shared" si="21"/>
        <v>0</v>
      </c>
      <c r="V41" s="1120">
        <f t="shared" si="22"/>
        <v>0</v>
      </c>
      <c r="W41" s="376">
        <f t="shared" si="23"/>
        <v>0</v>
      </c>
      <c r="X41" s="377">
        <f t="shared" si="24"/>
        <v>0</v>
      </c>
      <c r="Y41" s="378">
        <f t="shared" si="25"/>
        <v>0</v>
      </c>
      <c r="Z41" s="1121">
        <f t="shared" si="26"/>
        <v>0</v>
      </c>
      <c r="AA41" s="1122">
        <f t="shared" si="27"/>
        <v>0</v>
      </c>
      <c r="AC41" s="1244"/>
      <c r="AD41" s="1244"/>
      <c r="AE41" s="1244"/>
      <c r="AF41" s="1244"/>
      <c r="AG41" s="1244"/>
      <c r="AH41" s="1244"/>
      <c r="AI41" s="244"/>
      <c r="AJ41" s="244"/>
      <c r="AK41" s="244"/>
      <c r="AL41" s="244"/>
      <c r="AM41" s="244"/>
      <c r="AN41" s="245"/>
    </row>
    <row r="42" spans="1:40" ht="14" customHeight="1">
      <c r="A42" s="1261"/>
      <c r="B42" s="1262"/>
      <c r="C42" s="1353">
        <f t="shared" ref="C42:C46" si="40">IF(D42=1,U$5,IF(D42=2,V$5,IF(D42=3,W$5,IF(D42=4,X$5,IF(D42=5,Y$5,IF(D42=6,Z$5,IF(D42=7,AA$5,0)))))))</f>
        <v>2.2880964381720439E-4</v>
      </c>
      <c r="D42" s="547">
        <v>1</v>
      </c>
      <c r="E42" s="1194">
        <v>1</v>
      </c>
      <c r="F42" s="1194">
        <v>4</v>
      </c>
      <c r="G42" s="1194">
        <v>400</v>
      </c>
      <c r="H42" s="274"/>
      <c r="I42" s="274">
        <v>1.1574074074074073E-4</v>
      </c>
      <c r="J42" s="274">
        <v>1.3888888888888889E-3</v>
      </c>
      <c r="K42" s="312" t="s">
        <v>1950</v>
      </c>
      <c r="L42" s="1235">
        <v>0.2986111111111111</v>
      </c>
      <c r="M42" s="1195">
        <v>1.1000000000000001</v>
      </c>
      <c r="N42" s="274">
        <f>P42*E42*F42+I42*E42*F42+J42*E42</f>
        <v>1.7960050776583043E-2</v>
      </c>
      <c r="O42" s="1196">
        <f>C42*(G42/25)</f>
        <v>3.6609543010752703E-3</v>
      </c>
      <c r="P42" s="1196">
        <f>O42*M42</f>
        <v>4.0270497311827979E-3</v>
      </c>
      <c r="Q42" s="548">
        <f t="shared" ref="Q42:Q43" si="41">IF(D42=1,125,IF(D42=2,140,IF(D42=3,164,IF(D42=4,170,IF(D42=5,173,IF(D42=6,177,IF(R42=7,200,0)))))))</f>
        <v>125</v>
      </c>
      <c r="R42" s="1194">
        <f>E42*F42*G42</f>
        <v>1600</v>
      </c>
      <c r="S42" s="1118">
        <f t="shared" ref="S42:S49" si="42">E42*F42*G42/1000</f>
        <v>1.6</v>
      </c>
      <c r="T42" s="1119">
        <f t="shared" ref="T42:T49" si="43">E42*F42*O42*4</f>
        <v>5.8575268817204325E-2</v>
      </c>
      <c r="U42" s="374">
        <f t="shared" ref="U42:U49" si="44">IF(C42*4&gt;=$U$4,S42,0)</f>
        <v>1.6</v>
      </c>
      <c r="V42" s="1120">
        <f t="shared" ref="V42:V49" si="45">IF(AND(C42*4&gt;=$V$4,C42*4&lt;$U$4),S42,0)</f>
        <v>0</v>
      </c>
      <c r="W42" s="376">
        <f t="shared" ref="W42:W49" si="46">IF(AND(C42*4&gt;=$W$4,C42*4&lt;$V$4),S42,0)</f>
        <v>0</v>
      </c>
      <c r="X42" s="377">
        <f t="shared" ref="X42:X49" si="47">IF(AND(C42*4&gt;=$X$4,C42*4&lt;$W$4),S42,0)</f>
        <v>0</v>
      </c>
      <c r="Y42" s="378">
        <f t="shared" ref="Y42:Y49" si="48">IF(AND(C42*4&gt;=$Y$4,C42*4&lt;$X$4),S42,0)</f>
        <v>0</v>
      </c>
      <c r="Z42" s="1121">
        <f t="shared" ref="Z42:Z49" si="49">IF(AND(C42*4&gt;=$Z$4,C42*4&lt;$Y$4),S42,0)</f>
        <v>0</v>
      </c>
      <c r="AA42" s="1122">
        <f t="shared" ref="AA42:AA49" si="50">IF(AND(C42*4&gt;=$AA$4,C42*4&lt;$Z$4),S42,0)</f>
        <v>0</v>
      </c>
      <c r="AC42" s="1244"/>
      <c r="AD42" s="1244"/>
      <c r="AE42" s="1244"/>
      <c r="AF42" s="1244"/>
      <c r="AG42" s="1244"/>
      <c r="AH42" s="1244"/>
      <c r="AI42" s="244"/>
      <c r="AJ42" s="244"/>
      <c r="AK42" s="244"/>
      <c r="AL42" s="244"/>
      <c r="AM42" s="244"/>
      <c r="AN42" s="245"/>
    </row>
    <row r="43" spans="1:40" ht="14" customHeight="1">
      <c r="A43" s="1261" t="s">
        <v>217</v>
      </c>
      <c r="B43" s="1262" t="s">
        <v>215</v>
      </c>
      <c r="C43" s="1353">
        <f t="shared" si="40"/>
        <v>2.1222190799396687E-4</v>
      </c>
      <c r="D43" s="1236">
        <v>3</v>
      </c>
      <c r="E43" s="1161">
        <v>1</v>
      </c>
      <c r="F43" s="1161">
        <v>1</v>
      </c>
      <c r="G43" s="1161">
        <v>300</v>
      </c>
      <c r="H43" s="1163"/>
      <c r="I43" s="1163">
        <v>2.3148148148148146E-4</v>
      </c>
      <c r="J43" s="1163">
        <v>1.3888888888888889E-3</v>
      </c>
      <c r="K43" s="1074" t="s">
        <v>1951</v>
      </c>
      <c r="L43" s="1148">
        <f>L42+N42</f>
        <v>0.31657116188769413</v>
      </c>
      <c r="M43" s="1164">
        <v>1.1000000000000001</v>
      </c>
      <c r="N43" s="1163">
        <f>P43*E43*F43+I43*E43*F43+J43*E43</f>
        <v>4.421699555890733E-3</v>
      </c>
      <c r="O43" s="1165">
        <f>C43*(G43/25)</f>
        <v>2.5466628959276024E-3</v>
      </c>
      <c r="P43" s="1165">
        <f>O43*M43</f>
        <v>2.8013291855203629E-3</v>
      </c>
      <c r="Q43" s="333">
        <f t="shared" si="41"/>
        <v>164</v>
      </c>
      <c r="R43" s="1161">
        <f>E43*F43*G43</f>
        <v>300</v>
      </c>
      <c r="S43" s="1118">
        <f t="shared" si="42"/>
        <v>0.3</v>
      </c>
      <c r="T43" s="1119">
        <f t="shared" si="43"/>
        <v>1.018665158371041E-2</v>
      </c>
      <c r="U43" s="374">
        <f t="shared" si="44"/>
        <v>0</v>
      </c>
      <c r="V43" s="1120">
        <f t="shared" si="45"/>
        <v>0</v>
      </c>
      <c r="W43" s="376">
        <f t="shared" si="46"/>
        <v>0.3</v>
      </c>
      <c r="X43" s="377">
        <f t="shared" si="47"/>
        <v>0</v>
      </c>
      <c r="Y43" s="378">
        <f t="shared" si="48"/>
        <v>0</v>
      </c>
      <c r="Z43" s="1121">
        <f t="shared" si="49"/>
        <v>0</v>
      </c>
      <c r="AA43" s="1122">
        <f t="shared" si="50"/>
        <v>0</v>
      </c>
      <c r="AC43" s="1244"/>
      <c r="AD43" s="1244"/>
      <c r="AE43" s="1244"/>
      <c r="AF43" s="1244"/>
      <c r="AG43" s="1244"/>
      <c r="AH43" s="1244"/>
      <c r="AI43" s="244"/>
      <c r="AJ43" s="244"/>
      <c r="AK43" s="244"/>
      <c r="AL43" s="244"/>
      <c r="AM43" s="244"/>
      <c r="AN43" s="245"/>
    </row>
    <row r="44" spans="1:40" ht="14" customHeight="1">
      <c r="A44" s="1261" t="s">
        <v>459</v>
      </c>
      <c r="B44" s="1262" t="s">
        <v>215</v>
      </c>
      <c r="C44" s="1353">
        <f t="shared" si="40"/>
        <v>2.1908757716049393E-4</v>
      </c>
      <c r="D44" s="890">
        <v>2</v>
      </c>
      <c r="E44" s="1173">
        <v>1</v>
      </c>
      <c r="F44" s="1173">
        <v>1</v>
      </c>
      <c r="G44" s="1173">
        <v>500</v>
      </c>
      <c r="H44" s="299"/>
      <c r="I44" s="299">
        <v>2.3148148148148146E-4</v>
      </c>
      <c r="J44" s="299">
        <v>1.3888888888888889E-3</v>
      </c>
      <c r="K44" s="1123" t="s">
        <v>1954</v>
      </c>
      <c r="L44" s="1149">
        <f t="shared" ref="L44:L47" si="51">L43+N43</f>
        <v>0.32099286144358485</v>
      </c>
      <c r="M44" s="1174">
        <v>1.1000000000000001</v>
      </c>
      <c r="N44" s="299">
        <f>P44*E44*F44+I44*E44*F44+J44*E44</f>
        <v>6.4402970679012378E-3</v>
      </c>
      <c r="O44" s="1175">
        <f>C44*(G44/25)</f>
        <v>4.3817515432098787E-3</v>
      </c>
      <c r="P44" s="1175">
        <f>O44*M44</f>
        <v>4.8199266975308668E-3</v>
      </c>
      <c r="Q44" s="550">
        <f>IF(D44=1,125,IF(D44=2,140,IF(D44=3,164,IF(D44=4,170,IF(D44=5,173,IF(D44=6,177,IF(R44=7,200,0)))))))</f>
        <v>140</v>
      </c>
      <c r="R44" s="1176">
        <f>E44*F44*G44</f>
        <v>500</v>
      </c>
      <c r="S44" s="1118">
        <f t="shared" si="42"/>
        <v>0.5</v>
      </c>
      <c r="T44" s="1119">
        <f t="shared" si="43"/>
        <v>1.7527006172839515E-2</v>
      </c>
      <c r="U44" s="374">
        <f t="shared" si="44"/>
        <v>0</v>
      </c>
      <c r="V44" s="1120">
        <f t="shared" si="45"/>
        <v>0.5</v>
      </c>
      <c r="W44" s="376">
        <f t="shared" si="46"/>
        <v>0</v>
      </c>
      <c r="X44" s="377">
        <f t="shared" si="47"/>
        <v>0</v>
      </c>
      <c r="Y44" s="378">
        <f t="shared" si="48"/>
        <v>0</v>
      </c>
      <c r="Z44" s="1121">
        <f t="shared" si="49"/>
        <v>0</v>
      </c>
      <c r="AA44" s="1122">
        <f t="shared" si="50"/>
        <v>0</v>
      </c>
      <c r="AC44" s="1244"/>
      <c r="AD44" s="1244"/>
      <c r="AE44" s="1244"/>
      <c r="AF44" s="1244"/>
      <c r="AG44" s="1244"/>
      <c r="AH44" s="1244"/>
      <c r="AI44" s="244"/>
      <c r="AJ44" s="244"/>
      <c r="AK44" s="244"/>
      <c r="AL44" s="244"/>
      <c r="AM44" s="244"/>
      <c r="AN44" s="245"/>
    </row>
    <row r="45" spans="1:40" ht="14" customHeight="1">
      <c r="A45" s="1261" t="s">
        <v>218</v>
      </c>
      <c r="B45" s="1262" t="s">
        <v>215</v>
      </c>
      <c r="C45" s="1353">
        <f t="shared" si="40"/>
        <v>2.1222190799396687E-4</v>
      </c>
      <c r="D45" s="1236">
        <v>3</v>
      </c>
      <c r="E45" s="1161">
        <v>1</v>
      </c>
      <c r="F45" s="1161">
        <v>1</v>
      </c>
      <c r="G45" s="1161">
        <v>300</v>
      </c>
      <c r="H45" s="1163"/>
      <c r="I45" s="1163">
        <v>2.3148148148148146E-4</v>
      </c>
      <c r="J45" s="1163">
        <v>1.3888888888888889E-3</v>
      </c>
      <c r="K45" s="1074" t="s">
        <v>1952</v>
      </c>
      <c r="L45" s="1148">
        <f t="shared" si="51"/>
        <v>0.32743315851148608</v>
      </c>
      <c r="M45" s="1164">
        <v>1.1000000000000001</v>
      </c>
      <c r="N45" s="1163">
        <f>P45*E45*F45+I45*E45*F45+J45*E45</f>
        <v>4.421699555890733E-3</v>
      </c>
      <c r="O45" s="1165">
        <f>C45*(G45/25)</f>
        <v>2.5466628959276024E-3</v>
      </c>
      <c r="P45" s="1165">
        <f>O45*M45</f>
        <v>2.8013291855203629E-3</v>
      </c>
      <c r="Q45" s="333">
        <f>IF(D45=1,125,IF(D45=2,140,IF(D45=3,164,IF(D45=4,170,IF(D45=5,173,IF(D45=6,177,IF(R45=7,200,0)))))))</f>
        <v>164</v>
      </c>
      <c r="R45" s="1161">
        <f>E45*F45*G45</f>
        <v>300</v>
      </c>
      <c r="S45" s="1118">
        <f t="shared" si="42"/>
        <v>0.3</v>
      </c>
      <c r="T45" s="1119">
        <f t="shared" si="43"/>
        <v>1.018665158371041E-2</v>
      </c>
      <c r="U45" s="374">
        <f t="shared" si="44"/>
        <v>0</v>
      </c>
      <c r="V45" s="1120">
        <f t="shared" si="45"/>
        <v>0</v>
      </c>
      <c r="W45" s="376">
        <f t="shared" si="46"/>
        <v>0.3</v>
      </c>
      <c r="X45" s="377">
        <f t="shared" si="47"/>
        <v>0</v>
      </c>
      <c r="Y45" s="378">
        <f t="shared" si="48"/>
        <v>0</v>
      </c>
      <c r="Z45" s="1121">
        <f t="shared" si="49"/>
        <v>0</v>
      </c>
      <c r="AA45" s="1122">
        <f t="shared" si="50"/>
        <v>0</v>
      </c>
      <c r="AC45" s="1244"/>
      <c r="AD45" s="1244"/>
      <c r="AE45" s="1244"/>
      <c r="AF45" s="1244"/>
      <c r="AG45" s="1244"/>
      <c r="AH45" s="1244"/>
      <c r="AI45" s="244"/>
      <c r="AJ45" s="244"/>
      <c r="AK45" s="244"/>
      <c r="AL45" s="244"/>
      <c r="AM45" s="244"/>
      <c r="AN45" s="245"/>
    </row>
    <row r="46" spans="1:40" ht="14" customHeight="1">
      <c r="A46" s="1261" t="s">
        <v>458</v>
      </c>
      <c r="B46" s="1262" t="s">
        <v>215</v>
      </c>
      <c r="C46" s="274">
        <f t="shared" si="40"/>
        <v>1.7682291666666674E-4</v>
      </c>
      <c r="D46" s="1237">
        <v>7</v>
      </c>
      <c r="E46" s="1299">
        <v>2</v>
      </c>
      <c r="F46" s="1299">
        <v>6</v>
      </c>
      <c r="G46" s="1187">
        <v>20</v>
      </c>
      <c r="H46" s="1051"/>
      <c r="I46" s="1051">
        <v>4.6296296296296293E-4</v>
      </c>
      <c r="J46" s="1188">
        <v>0</v>
      </c>
      <c r="K46" s="2402" t="s">
        <v>900</v>
      </c>
      <c r="L46" s="1189">
        <f t="shared" si="51"/>
        <v>0.3318548580673768</v>
      </c>
      <c r="M46" s="1190">
        <v>0.9</v>
      </c>
      <c r="N46" s="1188">
        <f t="shared" ref="N46" si="52">P46*E46*F46+I46*E46*F46+J46*E46</f>
        <v>7.0833055555555562E-3</v>
      </c>
      <c r="O46" s="1191">
        <f>C46*(G46/25)</f>
        <v>1.4145833333333339E-4</v>
      </c>
      <c r="P46" s="1192">
        <f t="shared" ref="P46" si="53">O46*M46</f>
        <v>1.2731250000000007E-4</v>
      </c>
      <c r="Q46" s="788">
        <v>179</v>
      </c>
      <c r="R46" s="1187">
        <f t="shared" ref="R46" si="54">E46*F46*G46</f>
        <v>240</v>
      </c>
      <c r="S46" s="1118">
        <f t="shared" si="42"/>
        <v>0.24</v>
      </c>
      <c r="T46" s="1119">
        <f t="shared" si="43"/>
        <v>6.7900000000000026E-3</v>
      </c>
      <c r="U46" s="374">
        <f t="shared" si="44"/>
        <v>0</v>
      </c>
      <c r="V46" s="1120">
        <f t="shared" si="45"/>
        <v>0</v>
      </c>
      <c r="W46" s="376">
        <f t="shared" si="46"/>
        <v>0</v>
      </c>
      <c r="X46" s="377">
        <f t="shared" si="47"/>
        <v>0</v>
      </c>
      <c r="Y46" s="378">
        <f t="shared" si="48"/>
        <v>0</v>
      </c>
      <c r="Z46" s="1121">
        <f t="shared" si="49"/>
        <v>0</v>
      </c>
      <c r="AA46" s="1122">
        <f t="shared" si="50"/>
        <v>0.24</v>
      </c>
      <c r="AC46" s="1244"/>
      <c r="AD46" s="1244"/>
      <c r="AE46" s="1244"/>
      <c r="AF46" s="1244"/>
      <c r="AG46" s="1244"/>
      <c r="AH46" s="1244"/>
      <c r="AI46" s="244"/>
      <c r="AJ46" s="244"/>
      <c r="AK46" s="244"/>
      <c r="AL46" s="244"/>
      <c r="AM46" s="244"/>
      <c r="AN46" s="245"/>
    </row>
    <row r="47" spans="1:40" ht="14" customHeight="1">
      <c r="A47" s="1261" t="s">
        <v>219</v>
      </c>
      <c r="B47" s="1262"/>
      <c r="C47" s="1258"/>
      <c r="D47" s="905"/>
      <c r="E47" s="336"/>
      <c r="F47" s="336"/>
      <c r="G47" s="336"/>
      <c r="H47" s="336"/>
      <c r="I47" s="336"/>
      <c r="J47" s="336"/>
      <c r="K47" s="336"/>
      <c r="L47" s="1003">
        <f t="shared" si="51"/>
        <v>0.33893816362293233</v>
      </c>
      <c r="M47" s="1198"/>
      <c r="N47" s="1008">
        <f>SUM(N42:N46)</f>
        <v>4.0327052511821303E-2</v>
      </c>
      <c r="O47" s="336"/>
      <c r="P47" s="336"/>
      <c r="Q47" s="336"/>
      <c r="R47" s="1238">
        <f>SUM(R42:R46)</f>
        <v>2940</v>
      </c>
      <c r="S47" s="1118">
        <f t="shared" si="42"/>
        <v>0</v>
      </c>
      <c r="T47" s="1119">
        <f t="shared" si="43"/>
        <v>0</v>
      </c>
      <c r="U47" s="374">
        <f t="shared" si="44"/>
        <v>0</v>
      </c>
      <c r="V47" s="1120">
        <f t="shared" si="45"/>
        <v>0</v>
      </c>
      <c r="W47" s="376">
        <f t="shared" si="46"/>
        <v>0</v>
      </c>
      <c r="X47" s="377">
        <f t="shared" si="47"/>
        <v>0</v>
      </c>
      <c r="Y47" s="378">
        <f t="shared" si="48"/>
        <v>0</v>
      </c>
      <c r="Z47" s="1121">
        <f t="shared" si="49"/>
        <v>0</v>
      </c>
      <c r="AA47" s="1122">
        <f t="shared" si="50"/>
        <v>0</v>
      </c>
      <c r="AC47" s="1244"/>
      <c r="AD47" s="1244"/>
      <c r="AE47" s="1244"/>
      <c r="AF47" s="1244"/>
      <c r="AG47" s="1244"/>
      <c r="AH47" s="1244"/>
      <c r="AI47" s="244"/>
      <c r="AJ47" s="244"/>
      <c r="AK47" s="244"/>
      <c r="AL47" s="244"/>
      <c r="AM47" s="244"/>
      <c r="AN47" s="245"/>
    </row>
    <row r="48" spans="1:40" ht="12.75" customHeight="1">
      <c r="A48" s="1261" t="s">
        <v>217</v>
      </c>
      <c r="B48" s="1262" t="s">
        <v>461</v>
      </c>
      <c r="C48" s="274">
        <f>IF(D48=1,U$5,IF(D48=2,V$5,IF(D48=3,W$5,IF(D48=4,X$5,IF(D48=5,Y$5,IF(D48=6,Z$5,IF(D48=7,AA$5,0)))))))</f>
        <v>2.1908757716049393E-4</v>
      </c>
      <c r="D48" s="890">
        <v>2</v>
      </c>
      <c r="E48" s="1173">
        <v>1</v>
      </c>
      <c r="F48" s="1173">
        <v>2</v>
      </c>
      <c r="G48" s="1173">
        <v>400</v>
      </c>
      <c r="H48" s="299"/>
      <c r="I48" s="299">
        <v>0</v>
      </c>
      <c r="J48" s="299">
        <v>0</v>
      </c>
      <c r="K48" s="1123" t="s">
        <v>776</v>
      </c>
      <c r="L48" s="1149">
        <v>0.79861111111111116</v>
      </c>
      <c r="M48" s="1174">
        <v>1</v>
      </c>
      <c r="N48" s="299">
        <f>P48*E48*F48+I48*E48*F48+J48*E48</f>
        <v>7.0108024691358057E-3</v>
      </c>
      <c r="O48" s="1175">
        <f>C48*(G48/25)</f>
        <v>3.5054012345679029E-3</v>
      </c>
      <c r="P48" s="1175">
        <f>O48*M48</f>
        <v>3.5054012345679029E-3</v>
      </c>
      <c r="Q48" s="550">
        <v>125</v>
      </c>
      <c r="R48" s="1176">
        <f>E48*F48*G48</f>
        <v>800</v>
      </c>
      <c r="S48" s="1118">
        <f t="shared" si="42"/>
        <v>0.8</v>
      </c>
      <c r="T48" s="1119">
        <f t="shared" si="43"/>
        <v>2.8043209876543223E-2</v>
      </c>
      <c r="U48" s="374">
        <f t="shared" si="44"/>
        <v>0</v>
      </c>
      <c r="V48" s="1120">
        <f t="shared" si="45"/>
        <v>0.8</v>
      </c>
      <c r="W48" s="376">
        <f t="shared" si="46"/>
        <v>0</v>
      </c>
      <c r="X48" s="377">
        <f t="shared" si="47"/>
        <v>0</v>
      </c>
      <c r="Y48" s="378">
        <f t="shared" si="48"/>
        <v>0</v>
      </c>
      <c r="Z48" s="1121">
        <f t="shared" si="49"/>
        <v>0</v>
      </c>
      <c r="AA48" s="1122">
        <f t="shared" si="50"/>
        <v>0</v>
      </c>
      <c r="AC48" s="1244"/>
      <c r="AD48" s="1244"/>
      <c r="AE48" s="1244"/>
      <c r="AF48" s="1244"/>
      <c r="AG48" s="1244"/>
      <c r="AH48" s="1244"/>
      <c r="AI48" s="244"/>
      <c r="AJ48" s="244"/>
      <c r="AK48" s="244"/>
      <c r="AL48" s="244"/>
      <c r="AM48" s="244"/>
      <c r="AN48" s="245"/>
    </row>
    <row r="49" spans="1:40" ht="13.25" customHeight="1">
      <c r="A49" s="1261" t="s">
        <v>459</v>
      </c>
      <c r="B49" s="1262" t="s">
        <v>461</v>
      </c>
      <c r="C49" s="274">
        <f>IF(D49=1,U$5,IF(D49=2,V$5,IF(D49=3,W$5,IF(D49=4,X$5,IF(D49=5,Y$5,IF(D49=6,Z$5,IF(D49=7,AA$5,0)))))))</f>
        <v>1.8229166666666673E-4</v>
      </c>
      <c r="D49" s="4558">
        <v>6</v>
      </c>
      <c r="E49" s="4561">
        <v>2</v>
      </c>
      <c r="F49" s="4561">
        <v>6</v>
      </c>
      <c r="G49" s="4561">
        <v>75</v>
      </c>
      <c r="H49" s="6300"/>
      <c r="I49" s="6300">
        <v>4.6296296296296293E-4</v>
      </c>
      <c r="J49" s="6300">
        <v>0</v>
      </c>
      <c r="K49" s="4561" t="s">
        <v>2234</v>
      </c>
      <c r="L49" s="6301">
        <f>L48+N48</f>
        <v>0.80562191358024693</v>
      </c>
      <c r="M49" s="6302">
        <v>1</v>
      </c>
      <c r="N49" s="6301">
        <f t="shared" ref="N49" si="55">P49*E49*F49+I49*E49*F49+J49*E49</f>
        <v>1.2118055555555557E-2</v>
      </c>
      <c r="O49" s="6301">
        <f t="shared" ref="O49" si="56">C49*(G49/25)</f>
        <v>5.4687500000000016E-4</v>
      </c>
      <c r="P49" s="6301">
        <f t="shared" ref="P49" si="57">O49*M49</f>
        <v>5.4687500000000016E-4</v>
      </c>
      <c r="Q49" s="6303" t="s">
        <v>1281</v>
      </c>
      <c r="R49" s="6303">
        <f t="shared" ref="R49" si="58">E49*F49*G49</f>
        <v>900</v>
      </c>
      <c r="S49" s="1118">
        <f t="shared" si="42"/>
        <v>0.9</v>
      </c>
      <c r="T49" s="1119">
        <f t="shared" si="43"/>
        <v>2.6250000000000009E-2</v>
      </c>
      <c r="U49" s="374">
        <f t="shared" si="44"/>
        <v>0</v>
      </c>
      <c r="V49" s="1120">
        <f t="shared" si="45"/>
        <v>0</v>
      </c>
      <c r="W49" s="376">
        <f t="shared" si="46"/>
        <v>0</v>
      </c>
      <c r="X49" s="377">
        <f t="shared" si="47"/>
        <v>0</v>
      </c>
      <c r="Y49" s="378">
        <f t="shared" si="48"/>
        <v>0</v>
      </c>
      <c r="Z49" s="1121">
        <f t="shared" si="49"/>
        <v>0.9</v>
      </c>
      <c r="AA49" s="1122">
        <f t="shared" si="50"/>
        <v>0</v>
      </c>
      <c r="AC49" s="1244"/>
      <c r="AD49" s="1244"/>
      <c r="AE49" s="1244"/>
      <c r="AF49" s="1244"/>
      <c r="AG49" s="1244"/>
      <c r="AH49" s="1244"/>
      <c r="AI49" s="244"/>
      <c r="AJ49" s="244"/>
      <c r="AK49" s="244"/>
      <c r="AL49" s="244"/>
      <c r="AM49" s="244"/>
      <c r="AN49" s="245"/>
    </row>
    <row r="50" spans="1:40" ht="14" customHeight="1">
      <c r="A50" s="1261" t="s">
        <v>218</v>
      </c>
      <c r="B50" s="1262" t="s">
        <v>461</v>
      </c>
      <c r="C50" s="274">
        <f>IF(D50=1,U$5,IF(D50=2,V$5,IF(D50=3,W$5,IF(D50=4,X$5,IF(D50=5,Y$5,IF(D50=6,Z$5,IF(D50=7,AA$5,0)))))))</f>
        <v>2.1908757716049393E-4</v>
      </c>
      <c r="D50" s="890">
        <v>2</v>
      </c>
      <c r="E50" s="1173">
        <v>1</v>
      </c>
      <c r="F50" s="1173">
        <v>10</v>
      </c>
      <c r="G50" s="1173">
        <v>100</v>
      </c>
      <c r="H50" s="299"/>
      <c r="I50" s="299">
        <v>1.1574074074074073E-4</v>
      </c>
      <c r="J50" s="299">
        <v>1.3888888888888889E-3</v>
      </c>
      <c r="K50" s="1123" t="s">
        <v>2240</v>
      </c>
      <c r="L50" s="1149">
        <v>0.79861111111111116</v>
      </c>
      <c r="M50" s="1174">
        <v>1.1000000000000001</v>
      </c>
      <c r="N50" s="299">
        <f>P50*E50*F50+I50*E50*F50+J50*E50</f>
        <v>1.218614969135803E-2</v>
      </c>
      <c r="O50" s="1175">
        <f>C50*(G50/25)</f>
        <v>8.7635030864197572E-4</v>
      </c>
      <c r="P50" s="1175">
        <f>O50*M50</f>
        <v>9.6398533950617339E-4</v>
      </c>
      <c r="Q50" s="550">
        <f t="shared" ref="Q50" si="59">IF(D50=1,125,IF(D50=2,140,IF(D50=3,164,IF(D50=4,170,IF(D50=5,173,IF(D50=6,177,IF(R50=7,200,0)))))))</f>
        <v>140</v>
      </c>
      <c r="R50" s="1176">
        <f>E50*F50*G50</f>
        <v>1000</v>
      </c>
      <c r="S50" s="1118">
        <f t="shared" si="19"/>
        <v>1</v>
      </c>
      <c r="T50" s="1119">
        <f t="shared" si="20"/>
        <v>3.505401234567903E-2</v>
      </c>
      <c r="U50" s="374">
        <f t="shared" si="21"/>
        <v>0</v>
      </c>
      <c r="V50" s="1120">
        <f t="shared" si="22"/>
        <v>1</v>
      </c>
      <c r="W50" s="376">
        <f t="shared" si="23"/>
        <v>0</v>
      </c>
      <c r="X50" s="377">
        <f t="shared" si="24"/>
        <v>0</v>
      </c>
      <c r="Y50" s="378">
        <f t="shared" si="25"/>
        <v>0</v>
      </c>
      <c r="Z50" s="1121">
        <f t="shared" si="26"/>
        <v>0</v>
      </c>
      <c r="AA50" s="1122">
        <f t="shared" si="27"/>
        <v>0</v>
      </c>
      <c r="AC50" s="1244"/>
      <c r="AD50" s="1244"/>
      <c r="AE50" s="1244"/>
      <c r="AF50" s="1244"/>
      <c r="AG50" s="1244"/>
      <c r="AH50" s="1244"/>
      <c r="AI50" s="244"/>
      <c r="AJ50" s="244"/>
      <c r="AK50" s="244"/>
      <c r="AL50" s="244"/>
      <c r="AM50" s="244"/>
      <c r="AN50" s="245"/>
    </row>
    <row r="51" spans="1:40" ht="13.25" customHeight="1">
      <c r="A51" s="1261" t="s">
        <v>458</v>
      </c>
      <c r="B51" s="1262" t="s">
        <v>461</v>
      </c>
      <c r="C51" s="274">
        <f>IF(D51=1,U$5,IF(D51=2,V$5,IF(D51=3,W$5,IF(D51=4,X$5,IF(D51=5,Y$5,IF(D51=6,Z$5,IF(D51=7,AA$5,0)))))))</f>
        <v>1.8229166666666673E-4</v>
      </c>
      <c r="D51" s="4558">
        <v>6</v>
      </c>
      <c r="E51" s="4561">
        <v>2</v>
      </c>
      <c r="F51" s="4561">
        <v>8</v>
      </c>
      <c r="G51" s="4561">
        <v>50</v>
      </c>
      <c r="H51" s="6300"/>
      <c r="I51" s="6300">
        <v>4.6296296296296293E-4</v>
      </c>
      <c r="J51" s="6300">
        <v>0</v>
      </c>
      <c r="K51" s="4561" t="s">
        <v>2236</v>
      </c>
      <c r="L51" s="6301">
        <f>L50+N50</f>
        <v>0.81079726080246917</v>
      </c>
      <c r="M51" s="6302">
        <v>1</v>
      </c>
      <c r="N51" s="6301">
        <f t="shared" ref="N51" si="60">P51*E51*F51+I51*E51*F51+J51*E51</f>
        <v>1.3240740740740742E-2</v>
      </c>
      <c r="O51" s="6301">
        <f t="shared" ref="O51" si="61">C51*(G51/25)</f>
        <v>3.6458333333333346E-4</v>
      </c>
      <c r="P51" s="6301">
        <f t="shared" ref="P51" si="62">O51*M51</f>
        <v>3.6458333333333346E-4</v>
      </c>
      <c r="Q51" s="6303" t="s">
        <v>1281</v>
      </c>
      <c r="R51" s="6303">
        <f t="shared" ref="R51" si="63">E51*F51*G51</f>
        <v>800</v>
      </c>
      <c r="S51" s="1118">
        <f t="shared" si="19"/>
        <v>0.8</v>
      </c>
      <c r="T51" s="1119">
        <f t="shared" si="20"/>
        <v>2.3333333333333341E-2</v>
      </c>
      <c r="U51" s="374">
        <f t="shared" si="21"/>
        <v>0</v>
      </c>
      <c r="V51" s="1120">
        <f t="shared" si="22"/>
        <v>0</v>
      </c>
      <c r="W51" s="376">
        <f t="shared" si="23"/>
        <v>0</v>
      </c>
      <c r="X51" s="377">
        <f t="shared" si="24"/>
        <v>0</v>
      </c>
      <c r="Y51" s="378">
        <f t="shared" si="25"/>
        <v>0</v>
      </c>
      <c r="Z51" s="1121">
        <f t="shared" si="26"/>
        <v>0.8</v>
      </c>
      <c r="AA51" s="1122">
        <f t="shared" si="27"/>
        <v>0</v>
      </c>
      <c r="AC51" s="1244"/>
      <c r="AD51" s="1244"/>
      <c r="AE51" s="1244"/>
      <c r="AF51" s="1244"/>
      <c r="AG51" s="1244"/>
      <c r="AH51" s="1244"/>
      <c r="AI51" s="244"/>
      <c r="AJ51" s="244"/>
      <c r="AK51" s="244"/>
      <c r="AL51" s="244"/>
      <c r="AM51" s="244"/>
      <c r="AN51" s="245"/>
    </row>
    <row r="52" spans="1:40" ht="13.25" customHeight="1">
      <c r="A52" s="1261" t="s">
        <v>219</v>
      </c>
      <c r="B52" s="1262" t="s">
        <v>461</v>
      </c>
      <c r="C52" s="274">
        <f>IF(D52=1,U$5,IF(D52=2,V$5,IF(D52=3,W$5,IF(D52=4,X$5,IF(D52=5,Y$5,IF(D52=6,Z$5,IF(D52=7,AA$5,0)))))))</f>
        <v>1.7682291666666674E-4</v>
      </c>
      <c r="D52" s="1237">
        <v>7</v>
      </c>
      <c r="E52" s="1187">
        <v>1</v>
      </c>
      <c r="F52" s="1187">
        <v>6</v>
      </c>
      <c r="G52" s="1187">
        <v>20</v>
      </c>
      <c r="H52" s="1051"/>
      <c r="I52" s="1051">
        <v>4.6296296296296293E-4</v>
      </c>
      <c r="J52" s="1188">
        <v>6.9444444444444447E-4</v>
      </c>
      <c r="K52" s="2402" t="s">
        <v>2381</v>
      </c>
      <c r="L52" s="1189">
        <f>L51+N51</f>
        <v>0.82403800154320994</v>
      </c>
      <c r="M52" s="1190">
        <v>1</v>
      </c>
      <c r="N52" s="1188">
        <f>P52*E52*F52+I52*E52*F52+J52*E52</f>
        <v>4.1936597222222219E-3</v>
      </c>
      <c r="O52" s="1191">
        <f>C52*(G52/25)*0.85</f>
        <v>1.2023958333333338E-4</v>
      </c>
      <c r="P52" s="1192">
        <f>O52*M52</f>
        <v>1.2023958333333338E-4</v>
      </c>
      <c r="Q52" s="788">
        <v>200</v>
      </c>
      <c r="R52" s="1187">
        <f>E52*F52*G52</f>
        <v>120</v>
      </c>
      <c r="S52" s="1118">
        <f t="shared" si="19"/>
        <v>0.12</v>
      </c>
      <c r="T52" s="1119">
        <f t="shared" si="20"/>
        <v>2.8857500000000012E-3</v>
      </c>
      <c r="U52" s="374">
        <f t="shared" si="21"/>
        <v>0</v>
      </c>
      <c r="V52" s="1120">
        <f t="shared" si="22"/>
        <v>0</v>
      </c>
      <c r="W52" s="376">
        <f t="shared" si="23"/>
        <v>0</v>
      </c>
      <c r="X52" s="377">
        <f t="shared" si="24"/>
        <v>0</v>
      </c>
      <c r="Y52" s="378">
        <f t="shared" si="25"/>
        <v>0</v>
      </c>
      <c r="Z52" s="1121">
        <f t="shared" si="26"/>
        <v>0</v>
      </c>
      <c r="AA52" s="1122">
        <f t="shared" si="27"/>
        <v>0.12</v>
      </c>
      <c r="AC52" s="1244"/>
      <c r="AD52" s="1244"/>
      <c r="AE52" s="1244"/>
      <c r="AF52" s="1244"/>
      <c r="AG52" s="1244"/>
      <c r="AH52" s="1244"/>
      <c r="AI52" s="244"/>
      <c r="AJ52" s="244"/>
      <c r="AK52" s="244"/>
      <c r="AL52" s="244"/>
      <c r="AM52" s="244"/>
      <c r="AN52" s="245"/>
    </row>
    <row r="53" spans="1:40" ht="14" customHeight="1" thickBot="1">
      <c r="A53" s="1271"/>
      <c r="B53" s="1272"/>
      <c r="C53" s="1258"/>
      <c r="D53" s="1259"/>
      <c r="E53" s="336"/>
      <c r="F53" s="336"/>
      <c r="G53" s="336"/>
      <c r="H53" s="336"/>
      <c r="I53" s="336"/>
      <c r="J53" s="2424"/>
      <c r="K53" s="1903"/>
      <c r="L53" s="1003">
        <f>L52+N52</f>
        <v>0.82823166126543213</v>
      </c>
      <c r="M53" s="1198"/>
      <c r="N53" s="1008">
        <f>SUM(N48:N52)</f>
        <v>4.8749408179012355E-2</v>
      </c>
      <c r="O53" s="336"/>
      <c r="P53" s="1238"/>
      <c r="Q53" s="1238"/>
      <c r="R53" s="1238">
        <f>SUM(R48:R52)</f>
        <v>3620</v>
      </c>
      <c r="S53" s="1118">
        <f t="shared" si="19"/>
        <v>0</v>
      </c>
      <c r="T53" s="1119">
        <f t="shared" si="20"/>
        <v>0</v>
      </c>
      <c r="U53" s="374">
        <f t="shared" si="21"/>
        <v>0</v>
      </c>
      <c r="V53" s="1120">
        <f t="shared" si="22"/>
        <v>0</v>
      </c>
      <c r="W53" s="376">
        <f t="shared" si="23"/>
        <v>0</v>
      </c>
      <c r="X53" s="377">
        <f t="shared" si="24"/>
        <v>0</v>
      </c>
      <c r="Y53" s="378">
        <f t="shared" si="25"/>
        <v>0</v>
      </c>
      <c r="Z53" s="1121">
        <f t="shared" si="26"/>
        <v>0</v>
      </c>
      <c r="AA53" s="1122">
        <f t="shared" si="27"/>
        <v>0</v>
      </c>
      <c r="AC53" s="1244"/>
      <c r="AD53" s="1244"/>
      <c r="AE53" s="1244"/>
      <c r="AF53" s="1244"/>
      <c r="AG53" s="1244"/>
      <c r="AH53" s="1244"/>
      <c r="AI53" s="244"/>
      <c r="AJ53" s="244"/>
      <c r="AK53" s="244"/>
      <c r="AL53" s="244"/>
      <c r="AM53" s="244"/>
      <c r="AN53" s="245"/>
    </row>
    <row r="54" spans="1:40" ht="12.75" customHeight="1" thickBot="1">
      <c r="A54" s="1270" t="s">
        <v>458</v>
      </c>
      <c r="B54" s="1234" t="s">
        <v>459</v>
      </c>
      <c r="C54" s="274">
        <f t="shared" ref="C54:C59" si="64">IF(D54=1,U$5,IF(D54=2,V$5,IF(D54=3,W$5,IF(D54=4,X$5,IF(D54=5,Y$5,IF(D54=6,Z$5,IF(D54=7,AA$5,0)))))))</f>
        <v>2.2880964381720439E-4</v>
      </c>
      <c r="D54" s="547">
        <v>1</v>
      </c>
      <c r="E54" s="1194">
        <v>1</v>
      </c>
      <c r="F54" s="1194">
        <v>2</v>
      </c>
      <c r="G54" s="1194">
        <v>400</v>
      </c>
      <c r="H54" s="274"/>
      <c r="I54" s="274">
        <v>0</v>
      </c>
      <c r="J54" s="274">
        <v>0</v>
      </c>
      <c r="K54" s="312" t="s">
        <v>776</v>
      </c>
      <c r="L54" s="993">
        <v>0.79861111111111116</v>
      </c>
      <c r="M54" s="1195">
        <v>1</v>
      </c>
      <c r="N54" s="274">
        <f t="shared" ref="N54:N59" si="65">P54*E54*F54+I54*E54*F54+J54*E54</f>
        <v>7.3219086021505406E-3</v>
      </c>
      <c r="O54" s="1196">
        <f t="shared" ref="O54:O59" si="66">C54*(G54/25)</f>
        <v>3.6609543010752703E-3</v>
      </c>
      <c r="P54" s="1196">
        <f t="shared" ref="P54:P59" si="67">O54*M54</f>
        <v>3.6609543010752703E-3</v>
      </c>
      <c r="Q54" s="548">
        <v>125</v>
      </c>
      <c r="R54" s="1194">
        <f t="shared" ref="R54:R59" si="68">E54*F54*G54</f>
        <v>800</v>
      </c>
      <c r="S54" s="1118">
        <f t="shared" si="19"/>
        <v>0.8</v>
      </c>
      <c r="T54" s="1119">
        <f t="shared" si="20"/>
        <v>2.9287634408602162E-2</v>
      </c>
      <c r="U54" s="374">
        <f t="shared" si="21"/>
        <v>0.8</v>
      </c>
      <c r="V54" s="1120">
        <f t="shared" si="22"/>
        <v>0</v>
      </c>
      <c r="W54" s="376">
        <f t="shared" si="23"/>
        <v>0</v>
      </c>
      <c r="X54" s="377">
        <f t="shared" si="24"/>
        <v>0</v>
      </c>
      <c r="Y54" s="378">
        <f t="shared" si="25"/>
        <v>0</v>
      </c>
      <c r="Z54" s="1121">
        <f t="shared" si="26"/>
        <v>0</v>
      </c>
      <c r="AA54" s="1122">
        <f t="shared" si="27"/>
        <v>0</v>
      </c>
      <c r="AC54" s="1244"/>
      <c r="AD54" s="1244"/>
      <c r="AE54" s="1244"/>
      <c r="AF54" s="1244"/>
      <c r="AG54" s="1244"/>
      <c r="AH54" s="1244"/>
      <c r="AI54" s="244"/>
      <c r="AJ54" s="244"/>
      <c r="AK54" s="244"/>
      <c r="AL54" s="244"/>
      <c r="AM54" s="244"/>
      <c r="AN54" s="245"/>
    </row>
    <row r="55" spans="1:40" ht="13.25" customHeight="1" thickBot="1">
      <c r="A55" s="1270" t="s">
        <v>462</v>
      </c>
      <c r="B55" s="1234" t="s">
        <v>459</v>
      </c>
      <c r="C55" s="274">
        <f t="shared" si="64"/>
        <v>2.0247664488766629E-4</v>
      </c>
      <c r="D55" s="1197">
        <v>4</v>
      </c>
      <c r="E55" s="1177">
        <v>2</v>
      </c>
      <c r="F55" s="1177">
        <v>14</v>
      </c>
      <c r="G55" s="1177">
        <v>50</v>
      </c>
      <c r="H55" s="1178">
        <v>6.9444444444444447E-4</v>
      </c>
      <c r="I55" s="1178">
        <v>0</v>
      </c>
      <c r="J55" s="1178">
        <v>0</v>
      </c>
      <c r="K55" s="316" t="s">
        <v>25</v>
      </c>
      <c r="L55" s="996">
        <f t="shared" ref="L55:L60" si="69">L54+N54</f>
        <v>0.8059330197132617</v>
      </c>
      <c r="M55" s="1180">
        <v>1</v>
      </c>
      <c r="N55" s="1178">
        <f>H55*F55*E55</f>
        <v>1.9444444444444445E-2</v>
      </c>
      <c r="O55" s="1181">
        <f t="shared" si="66"/>
        <v>4.0495328977533258E-4</v>
      </c>
      <c r="P55" s="1181">
        <f t="shared" si="67"/>
        <v>4.0495328977533258E-4</v>
      </c>
      <c r="Q55" s="334">
        <v>170</v>
      </c>
      <c r="R55" s="1177">
        <f t="shared" si="68"/>
        <v>1400</v>
      </c>
      <c r="S55" s="1118">
        <f t="shared" si="19"/>
        <v>1.4</v>
      </c>
      <c r="T55" s="1119">
        <f t="shared" si="20"/>
        <v>4.5354768454837248E-2</v>
      </c>
      <c r="U55" s="374">
        <f t="shared" si="21"/>
        <v>0</v>
      </c>
      <c r="V55" s="1120">
        <f t="shared" si="22"/>
        <v>0</v>
      </c>
      <c r="W55" s="376">
        <f t="shared" si="23"/>
        <v>0</v>
      </c>
      <c r="X55" s="377">
        <f t="shared" si="24"/>
        <v>1.4</v>
      </c>
      <c r="Y55" s="378">
        <f t="shared" si="25"/>
        <v>0</v>
      </c>
      <c r="Z55" s="1121">
        <f t="shared" si="26"/>
        <v>0</v>
      </c>
      <c r="AA55" s="1122">
        <f t="shared" si="27"/>
        <v>0</v>
      </c>
      <c r="AC55" s="1244"/>
      <c r="AD55" s="1244"/>
      <c r="AE55" s="1244"/>
      <c r="AF55" s="1244"/>
      <c r="AG55" s="1244"/>
      <c r="AH55" s="1244"/>
      <c r="AI55" s="244"/>
      <c r="AJ55" s="244"/>
      <c r="AK55" s="244"/>
      <c r="AL55" s="244"/>
      <c r="AM55" s="244"/>
      <c r="AN55" s="245"/>
    </row>
    <row r="56" spans="1:40" ht="12.75" customHeight="1" thickBot="1">
      <c r="A56" s="1270" t="s">
        <v>460</v>
      </c>
      <c r="B56" s="1234" t="s">
        <v>459</v>
      </c>
      <c r="C56" s="274">
        <f t="shared" si="64"/>
        <v>2.1908757716049393E-4</v>
      </c>
      <c r="D56" s="890">
        <v>2</v>
      </c>
      <c r="E56" s="1173">
        <v>1</v>
      </c>
      <c r="F56" s="1173">
        <v>4</v>
      </c>
      <c r="G56" s="1173">
        <v>100</v>
      </c>
      <c r="H56" s="299"/>
      <c r="I56" s="299">
        <v>1.7361111111111112E-4</v>
      </c>
      <c r="J56" s="299">
        <v>1.3888888888888889E-3</v>
      </c>
      <c r="K56" s="1123" t="s">
        <v>670</v>
      </c>
      <c r="L56" s="1149">
        <f t="shared" si="69"/>
        <v>0.82537746415770619</v>
      </c>
      <c r="M56" s="1174">
        <v>1</v>
      </c>
      <c r="N56" s="299">
        <f t="shared" si="65"/>
        <v>5.5887345679012362E-3</v>
      </c>
      <c r="O56" s="1175">
        <f t="shared" si="66"/>
        <v>8.7635030864197572E-4</v>
      </c>
      <c r="P56" s="1175">
        <f t="shared" si="67"/>
        <v>8.7635030864197572E-4</v>
      </c>
      <c r="Q56" s="550">
        <v>140</v>
      </c>
      <c r="R56" s="1176">
        <f t="shared" si="68"/>
        <v>400</v>
      </c>
      <c r="S56" s="1118">
        <f t="shared" si="19"/>
        <v>0.4</v>
      </c>
      <c r="T56" s="1119">
        <f t="shared" si="20"/>
        <v>1.4021604938271611E-2</v>
      </c>
      <c r="U56" s="374">
        <f t="shared" si="21"/>
        <v>0</v>
      </c>
      <c r="V56" s="1120">
        <f t="shared" si="22"/>
        <v>0.4</v>
      </c>
      <c r="W56" s="376">
        <f t="shared" si="23"/>
        <v>0</v>
      </c>
      <c r="X56" s="377">
        <f t="shared" si="24"/>
        <v>0</v>
      </c>
      <c r="Y56" s="378">
        <f t="shared" si="25"/>
        <v>0</v>
      </c>
      <c r="Z56" s="1121">
        <f t="shared" si="26"/>
        <v>0</v>
      </c>
      <c r="AA56" s="1122">
        <f t="shared" si="27"/>
        <v>0</v>
      </c>
      <c r="AC56" s="1244"/>
      <c r="AD56" s="1244"/>
      <c r="AE56" s="1244"/>
      <c r="AF56" s="1244"/>
      <c r="AG56" s="1244"/>
      <c r="AH56" s="1244"/>
      <c r="AI56" s="244"/>
      <c r="AJ56" s="244"/>
      <c r="AK56" s="244"/>
      <c r="AL56" s="244"/>
      <c r="AM56" s="244"/>
      <c r="AN56" s="245"/>
    </row>
    <row r="57" spans="1:40" ht="12.75" customHeight="1" thickBot="1">
      <c r="A57" s="1270" t="s">
        <v>458</v>
      </c>
      <c r="B57" s="1234" t="s">
        <v>459</v>
      </c>
      <c r="C57" s="274">
        <f t="shared" si="64"/>
        <v>1.8229166666666673E-4</v>
      </c>
      <c r="D57" s="1203">
        <v>6</v>
      </c>
      <c r="E57" s="1167">
        <v>1</v>
      </c>
      <c r="F57" s="1167">
        <v>12</v>
      </c>
      <c r="G57" s="1167">
        <v>50</v>
      </c>
      <c r="H57" s="1052"/>
      <c r="I57" s="1052">
        <v>6.9444444444444447E-4</v>
      </c>
      <c r="J57" s="1052">
        <v>0</v>
      </c>
      <c r="K57" s="1065" t="s">
        <v>554</v>
      </c>
      <c r="L57" s="1247">
        <f t="shared" si="69"/>
        <v>0.8309661987256074</v>
      </c>
      <c r="M57" s="1168">
        <v>1</v>
      </c>
      <c r="N57" s="1052">
        <f t="shared" si="65"/>
        <v>1.2795833333333334E-2</v>
      </c>
      <c r="O57" s="1169">
        <f>C57*(G57/25)*1.02</f>
        <v>3.7187500000000014E-4</v>
      </c>
      <c r="P57" s="1170">
        <f t="shared" si="67"/>
        <v>3.7187500000000014E-4</v>
      </c>
      <c r="Q57" s="1171">
        <v>177</v>
      </c>
      <c r="R57" s="1172">
        <f t="shared" si="68"/>
        <v>600</v>
      </c>
      <c r="S57" s="1118">
        <f t="shared" si="19"/>
        <v>0.6</v>
      </c>
      <c r="T57" s="1119">
        <f t="shared" si="20"/>
        <v>1.7850000000000005E-2</v>
      </c>
      <c r="U57" s="374">
        <f t="shared" si="21"/>
        <v>0</v>
      </c>
      <c r="V57" s="1120">
        <f t="shared" si="22"/>
        <v>0</v>
      </c>
      <c r="W57" s="376">
        <f t="shared" si="23"/>
        <v>0</v>
      </c>
      <c r="X57" s="377">
        <f t="shared" si="24"/>
        <v>0</v>
      </c>
      <c r="Y57" s="378">
        <f t="shared" si="25"/>
        <v>0</v>
      </c>
      <c r="Z57" s="1121">
        <f t="shared" si="26"/>
        <v>0.6</v>
      </c>
      <c r="AA57" s="1122">
        <f t="shared" si="27"/>
        <v>0</v>
      </c>
      <c r="AC57" s="1244"/>
      <c r="AD57" s="1244"/>
      <c r="AE57" s="1244"/>
      <c r="AF57" s="1244"/>
      <c r="AG57" s="1244"/>
      <c r="AH57" s="1244"/>
      <c r="AI57" s="244"/>
      <c r="AJ57" s="244"/>
      <c r="AK57" s="244"/>
      <c r="AL57" s="244"/>
      <c r="AM57" s="244"/>
      <c r="AN57" s="245"/>
    </row>
    <row r="58" spans="1:40" ht="12.75" customHeight="1" thickBot="1">
      <c r="A58" s="1270" t="s">
        <v>219</v>
      </c>
      <c r="B58" s="1234" t="s">
        <v>459</v>
      </c>
      <c r="C58" s="274">
        <f t="shared" si="64"/>
        <v>2.1908757716049393E-4</v>
      </c>
      <c r="D58" s="890">
        <v>2</v>
      </c>
      <c r="E58" s="1173">
        <v>1</v>
      </c>
      <c r="F58" s="1173">
        <v>10</v>
      </c>
      <c r="G58" s="1173">
        <v>50</v>
      </c>
      <c r="H58" s="299"/>
      <c r="I58" s="299">
        <v>2.3148148148148146E-4</v>
      </c>
      <c r="J58" s="299">
        <v>1.3888888888888889E-3</v>
      </c>
      <c r="K58" s="1123" t="s">
        <v>438</v>
      </c>
      <c r="L58" s="1149">
        <f t="shared" si="69"/>
        <v>0.84376203205894074</v>
      </c>
      <c r="M58" s="1174">
        <v>1.2</v>
      </c>
      <c r="N58" s="299">
        <f t="shared" si="65"/>
        <v>8.9618055555555579E-3</v>
      </c>
      <c r="O58" s="1175">
        <f t="shared" si="66"/>
        <v>4.3817515432098786E-4</v>
      </c>
      <c r="P58" s="1175">
        <f t="shared" si="67"/>
        <v>5.2581018518518536E-4</v>
      </c>
      <c r="Q58" s="550">
        <v>140</v>
      </c>
      <c r="R58" s="1176">
        <f t="shared" si="68"/>
        <v>500</v>
      </c>
      <c r="S58" s="1118">
        <f t="shared" si="19"/>
        <v>0.5</v>
      </c>
      <c r="T58" s="1119">
        <f t="shared" si="20"/>
        <v>1.7527006172839515E-2</v>
      </c>
      <c r="U58" s="374">
        <f t="shared" si="21"/>
        <v>0</v>
      </c>
      <c r="V58" s="1120">
        <f t="shared" si="22"/>
        <v>0.5</v>
      </c>
      <c r="W58" s="376">
        <f t="shared" si="23"/>
        <v>0</v>
      </c>
      <c r="X58" s="377">
        <f t="shared" si="24"/>
        <v>0</v>
      </c>
      <c r="Y58" s="378">
        <f t="shared" si="25"/>
        <v>0</v>
      </c>
      <c r="Z58" s="1121">
        <f t="shared" si="26"/>
        <v>0</v>
      </c>
      <c r="AA58" s="1122">
        <f t="shared" si="27"/>
        <v>0</v>
      </c>
      <c r="AC58" s="1244"/>
      <c r="AD58" s="1244"/>
      <c r="AE58" s="1244"/>
      <c r="AF58" s="1244"/>
      <c r="AG58" s="1244"/>
      <c r="AH58" s="1244"/>
      <c r="AI58" s="244"/>
      <c r="AJ58" s="244"/>
      <c r="AK58" s="244"/>
      <c r="AL58" s="244"/>
      <c r="AM58" s="244"/>
      <c r="AN58" s="245"/>
    </row>
    <row r="59" spans="1:40" ht="12.75" customHeight="1">
      <c r="A59" s="1270"/>
      <c r="B59" s="1234" t="s">
        <v>459</v>
      </c>
      <c r="C59" s="274">
        <f t="shared" si="64"/>
        <v>1.7682291666666674E-4</v>
      </c>
      <c r="D59" s="1237">
        <v>7</v>
      </c>
      <c r="E59" s="1201">
        <v>2</v>
      </c>
      <c r="F59" s="1201">
        <v>3</v>
      </c>
      <c r="G59" s="1201">
        <v>20</v>
      </c>
      <c r="H59" s="1051"/>
      <c r="I59" s="1051">
        <v>6.9444444444444447E-4</v>
      </c>
      <c r="J59" s="1051">
        <v>2.0833333333333333E-3</v>
      </c>
      <c r="K59" s="2402" t="s">
        <v>900</v>
      </c>
      <c r="L59" s="1189">
        <f t="shared" si="69"/>
        <v>0.85272383761449633</v>
      </c>
      <c r="M59" s="1202">
        <v>1</v>
      </c>
      <c r="N59" s="1051">
        <f t="shared" si="65"/>
        <v>9.1820833333333338E-3</v>
      </c>
      <c r="O59" s="1191">
        <f t="shared" si="66"/>
        <v>1.4145833333333339E-4</v>
      </c>
      <c r="P59" s="1192">
        <f t="shared" si="67"/>
        <v>1.4145833333333339E-4</v>
      </c>
      <c r="Q59" s="788">
        <v>200</v>
      </c>
      <c r="R59" s="1187">
        <f t="shared" si="68"/>
        <v>120</v>
      </c>
      <c r="S59" s="1118">
        <f t="shared" si="19"/>
        <v>0.12</v>
      </c>
      <c r="T59" s="1119">
        <f t="shared" si="20"/>
        <v>3.3950000000000013E-3</v>
      </c>
      <c r="U59" s="374">
        <f t="shared" si="21"/>
        <v>0</v>
      </c>
      <c r="V59" s="1120">
        <f t="shared" si="22"/>
        <v>0</v>
      </c>
      <c r="W59" s="376">
        <f t="shared" si="23"/>
        <v>0</v>
      </c>
      <c r="X59" s="377">
        <f t="shared" si="24"/>
        <v>0</v>
      </c>
      <c r="Y59" s="378">
        <f t="shared" si="25"/>
        <v>0</v>
      </c>
      <c r="Z59" s="1121">
        <f t="shared" si="26"/>
        <v>0</v>
      </c>
      <c r="AA59" s="1122">
        <f t="shared" si="27"/>
        <v>0.12</v>
      </c>
      <c r="AC59" s="1244"/>
      <c r="AD59" s="1244"/>
      <c r="AE59" s="1244"/>
      <c r="AF59" s="1244"/>
      <c r="AG59" s="1244"/>
      <c r="AH59" s="1244"/>
      <c r="AI59" s="244"/>
      <c r="AJ59" s="244"/>
      <c r="AK59" s="244"/>
      <c r="AL59" s="244"/>
      <c r="AM59" s="244"/>
      <c r="AN59" s="245"/>
    </row>
    <row r="60" spans="1:40" ht="12.75" customHeight="1" thickBot="1">
      <c r="A60" s="1270"/>
      <c r="B60" s="1269"/>
      <c r="C60" s="1258"/>
      <c r="D60" s="1259"/>
      <c r="E60" s="336"/>
      <c r="F60" s="336"/>
      <c r="G60" s="336"/>
      <c r="H60" s="336"/>
      <c r="I60" s="336"/>
      <c r="J60" s="336"/>
      <c r="K60" s="1903"/>
      <c r="L60" s="1003">
        <f t="shared" si="69"/>
        <v>0.8619059209478297</v>
      </c>
      <c r="M60" s="1198"/>
      <c r="N60" s="1008">
        <f>SUM(N54:N59)</f>
        <v>6.3294809836718452E-2</v>
      </c>
      <c r="O60" s="336"/>
      <c r="P60" s="336"/>
      <c r="Q60" s="336"/>
      <c r="R60" s="1238">
        <f>SUM(R54:R59)</f>
        <v>3820</v>
      </c>
      <c r="S60" s="1118">
        <f t="shared" si="19"/>
        <v>0</v>
      </c>
      <c r="T60" s="1119">
        <f t="shared" si="20"/>
        <v>0</v>
      </c>
      <c r="U60" s="374">
        <f t="shared" si="21"/>
        <v>0</v>
      </c>
      <c r="V60" s="1120">
        <f t="shared" si="22"/>
        <v>0</v>
      </c>
      <c r="W60" s="376">
        <f t="shared" si="23"/>
        <v>0</v>
      </c>
      <c r="X60" s="377">
        <f t="shared" si="24"/>
        <v>0</v>
      </c>
      <c r="Y60" s="378">
        <f t="shared" si="25"/>
        <v>0</v>
      </c>
      <c r="Z60" s="1121">
        <f t="shared" si="26"/>
        <v>0</v>
      </c>
      <c r="AA60" s="1122">
        <f t="shared" si="27"/>
        <v>0</v>
      </c>
      <c r="AC60" s="1244">
        <v>0</v>
      </c>
      <c r="AD60" s="1244">
        <v>0</v>
      </c>
      <c r="AE60" s="1244">
        <v>0</v>
      </c>
      <c r="AF60" s="1244">
        <v>0</v>
      </c>
      <c r="AG60" s="1244">
        <v>0</v>
      </c>
      <c r="AH60" s="1244">
        <v>0</v>
      </c>
      <c r="AI60" s="244"/>
      <c r="AJ60" s="244"/>
      <c r="AK60" s="244"/>
      <c r="AL60" s="244"/>
      <c r="AM60" s="244"/>
      <c r="AN60" s="245"/>
    </row>
    <row r="61" spans="1:40" ht="14" customHeight="1" thickBot="1">
      <c r="A61" s="1260"/>
      <c r="B61" s="1262"/>
      <c r="C61" s="274">
        <f t="shared" ref="C61" si="70">IF(D61=1,U$5,IF(D61=2,V$5,IF(D61=3,W$5,IF(D61=4,X$5,IF(D61=5,Y$5,IF(D61=6,Z$5,IF(D61=7,AA$5,0)))))))</f>
        <v>2.2880964381720439E-4</v>
      </c>
      <c r="D61" s="547">
        <v>1</v>
      </c>
      <c r="E61" s="1194" t="s">
        <v>2384</v>
      </c>
      <c r="F61" s="1194"/>
      <c r="G61" s="1194">
        <v>25</v>
      </c>
      <c r="H61" s="1194">
        <v>25</v>
      </c>
      <c r="I61" s="1194">
        <v>25</v>
      </c>
      <c r="J61" s="1194">
        <v>25</v>
      </c>
      <c r="K61" s="1194"/>
      <c r="L61" s="1194">
        <v>25</v>
      </c>
      <c r="M61" s="1194">
        <v>1</v>
      </c>
      <c r="N61" s="1194">
        <v>25</v>
      </c>
      <c r="O61" s="1194">
        <f t="shared" ref="O61" si="71">C61*(G61/25)</f>
        <v>2.2880964381720439E-4</v>
      </c>
      <c r="P61" s="1194"/>
      <c r="Q61" s="1194" t="s">
        <v>2383</v>
      </c>
      <c r="R61" s="1194" t="e">
        <f t="shared" ref="R61" si="72">E61*F61*G61</f>
        <v>#VALUE!</v>
      </c>
      <c r="S61" s="1118" t="e">
        <f t="shared" ref="S61" si="73">E61*F61*G61/1000</f>
        <v>#VALUE!</v>
      </c>
      <c r="T61" s="1119" t="e">
        <f t="shared" ref="T61" si="74">E61*F61*O61*4</f>
        <v>#VALUE!</v>
      </c>
      <c r="U61" s="374" t="e">
        <f t="shared" ref="U61" si="75">IF(C61*4&gt;=$U$4,S61,0)</f>
        <v>#VALUE!</v>
      </c>
      <c r="V61" s="1120">
        <f t="shared" ref="V61" si="76">IF(AND(C61*4&gt;=$V$4,C61*4&lt;$U$4),S61,0)</f>
        <v>0</v>
      </c>
      <c r="W61" s="376">
        <f t="shared" ref="W61" si="77">IF(AND(C61*4&gt;=$W$4,C61*4&lt;$V$4),S61,0)</f>
        <v>0</v>
      </c>
      <c r="X61" s="377">
        <f t="shared" ref="X61" si="78">IF(AND(C61*4&gt;=$X$4,C61*4&lt;$W$4),S61,0)</f>
        <v>0</v>
      </c>
      <c r="Y61" s="378">
        <f t="shared" ref="Y61" si="79">IF(AND(C61*4&gt;=$Y$4,C61*4&lt;$X$4),S61,0)</f>
        <v>0</v>
      </c>
      <c r="Z61" s="1121">
        <f t="shared" ref="Z61" si="80">IF(AND(C61*4&gt;=$Z$4,C61*4&lt;$Y$4),S61,0)</f>
        <v>0</v>
      </c>
      <c r="AA61" s="1122">
        <f t="shared" ref="AA61" si="81">IF(AND(C61*4&gt;=$AA$4,C61*4&lt;$Z$4),S61,0)</f>
        <v>0</v>
      </c>
      <c r="AC61" s="1244"/>
      <c r="AD61" s="1244"/>
      <c r="AE61" s="1244"/>
      <c r="AF61" s="1244"/>
      <c r="AG61" s="1244"/>
      <c r="AH61" s="1244"/>
      <c r="AI61" s="244"/>
      <c r="AJ61" s="244"/>
      <c r="AK61" s="244"/>
      <c r="AL61" s="244"/>
      <c r="AM61" s="244"/>
      <c r="AN61" s="245"/>
    </row>
    <row r="62" spans="1:40" ht="16.25" customHeight="1">
      <c r="A62" s="1260" t="s">
        <v>219</v>
      </c>
      <c r="B62" s="1262" t="s">
        <v>215</v>
      </c>
      <c r="C62" s="274">
        <f t="shared" ref="C62:C65" si="82">IF(D62=1,U$5,IF(D62=2,V$5,IF(D62=3,W$5,IF(D62=4,X$5,IF(D62=5,Y$5,IF(D62=6,Z$5,IF(D62=7,AA$5,0)))))))</f>
        <v>1.7682291666666674E-4</v>
      </c>
      <c r="D62" s="1237">
        <v>7</v>
      </c>
      <c r="E62" s="438"/>
      <c r="F62" s="2402"/>
      <c r="G62" s="6849"/>
      <c r="H62" s="6849"/>
      <c r="I62" s="6849"/>
      <c r="J62" s="6849"/>
      <c r="K62" s="4533"/>
      <c r="L62" s="6849"/>
      <c r="M62" s="6849"/>
      <c r="N62" s="6849"/>
      <c r="O62" s="6849"/>
      <c r="P62" s="6849"/>
      <c r="Q62" s="6849"/>
      <c r="R62" s="6848"/>
      <c r="S62" s="1118">
        <f t="shared" si="19"/>
        <v>0</v>
      </c>
      <c r="T62" s="1119">
        <f t="shared" si="20"/>
        <v>0</v>
      </c>
      <c r="U62" s="374">
        <f t="shared" si="21"/>
        <v>0</v>
      </c>
      <c r="V62" s="1120">
        <f t="shared" si="22"/>
        <v>0</v>
      </c>
      <c r="W62" s="376">
        <f t="shared" si="23"/>
        <v>0</v>
      </c>
      <c r="X62" s="377">
        <f t="shared" si="24"/>
        <v>0</v>
      </c>
      <c r="Y62" s="378">
        <f t="shared" si="25"/>
        <v>0</v>
      </c>
      <c r="Z62" s="1121">
        <f t="shared" si="26"/>
        <v>0</v>
      </c>
      <c r="AA62" s="1122">
        <f t="shared" si="27"/>
        <v>0</v>
      </c>
      <c r="AC62" s="1244"/>
      <c r="AD62" s="1244"/>
      <c r="AE62" s="1244"/>
      <c r="AF62" s="1244"/>
      <c r="AG62" s="1244"/>
      <c r="AH62" s="1244"/>
      <c r="AI62" s="244"/>
      <c r="AJ62" s="244"/>
      <c r="AK62" s="244"/>
      <c r="AL62" s="244"/>
      <c r="AM62" s="244"/>
      <c r="AN62" s="245"/>
    </row>
    <row r="63" spans="1:40" ht="14" customHeight="1">
      <c r="A63" s="1261" t="s">
        <v>138</v>
      </c>
      <c r="B63" s="1262" t="s">
        <v>215</v>
      </c>
      <c r="C63" s="274">
        <f t="shared" si="82"/>
        <v>1.7682291666666674E-4</v>
      </c>
      <c r="D63" s="1237">
        <v>7</v>
      </c>
      <c r="E63" s="438"/>
      <c r="F63" s="2402"/>
      <c r="G63" s="438"/>
      <c r="H63" s="1301"/>
      <c r="I63" s="1301"/>
      <c r="J63" s="2425"/>
      <c r="K63" s="2498"/>
      <c r="L63" s="6848"/>
      <c r="M63" s="4359"/>
      <c r="N63" s="6848"/>
      <c r="O63" s="4359"/>
      <c r="P63" s="6848"/>
      <c r="Q63" s="4359"/>
      <c r="R63" s="6848"/>
      <c r="S63" s="1118">
        <f t="shared" si="19"/>
        <v>0</v>
      </c>
      <c r="T63" s="1119">
        <f t="shared" si="20"/>
        <v>0</v>
      </c>
      <c r="U63" s="374">
        <f t="shared" si="21"/>
        <v>0</v>
      </c>
      <c r="V63" s="1120">
        <f t="shared" si="22"/>
        <v>0</v>
      </c>
      <c r="W63" s="376">
        <f t="shared" si="23"/>
        <v>0</v>
      </c>
      <c r="X63" s="377">
        <f t="shared" si="24"/>
        <v>0</v>
      </c>
      <c r="Y63" s="378">
        <f t="shared" si="25"/>
        <v>0</v>
      </c>
      <c r="Z63" s="1121">
        <f t="shared" si="26"/>
        <v>0</v>
      </c>
      <c r="AA63" s="1122">
        <f t="shared" si="27"/>
        <v>0</v>
      </c>
      <c r="AC63" s="1244"/>
      <c r="AD63" s="1244"/>
      <c r="AE63" s="1244"/>
      <c r="AF63" s="1244"/>
      <c r="AG63" s="1244"/>
      <c r="AH63" s="1244"/>
      <c r="AI63" s="244"/>
      <c r="AJ63" s="244"/>
      <c r="AK63" s="244"/>
      <c r="AL63" s="244"/>
      <c r="AM63" s="244"/>
      <c r="AN63" s="245"/>
    </row>
    <row r="64" spans="1:40" ht="17" customHeight="1" thickBot="1">
      <c r="A64" s="1261" t="s">
        <v>779</v>
      </c>
      <c r="B64" s="1262" t="s">
        <v>215</v>
      </c>
      <c r="C64" s="274">
        <f t="shared" si="82"/>
        <v>1.7682291666666674E-4</v>
      </c>
      <c r="D64" s="1237">
        <v>7</v>
      </c>
      <c r="E64" s="438"/>
      <c r="F64" s="2402"/>
      <c r="G64" s="438"/>
      <c r="H64" s="1301"/>
      <c r="I64" s="1301"/>
      <c r="J64" s="2425"/>
      <c r="K64" s="2498"/>
      <c r="L64" s="6848"/>
      <c r="M64" s="4359"/>
      <c r="N64" s="6848"/>
      <c r="O64" s="4359"/>
      <c r="P64" s="6848"/>
      <c r="Q64" s="4359"/>
      <c r="R64" s="6848"/>
      <c r="S64" s="1118">
        <f t="shared" si="19"/>
        <v>0</v>
      </c>
      <c r="T64" s="1119">
        <f t="shared" si="20"/>
        <v>0</v>
      </c>
      <c r="U64" s="374">
        <f t="shared" si="21"/>
        <v>0</v>
      </c>
      <c r="V64" s="1120">
        <f t="shared" si="22"/>
        <v>0</v>
      </c>
      <c r="W64" s="376">
        <f t="shared" si="23"/>
        <v>0</v>
      </c>
      <c r="X64" s="377">
        <f t="shared" si="24"/>
        <v>0</v>
      </c>
      <c r="Y64" s="378">
        <f t="shared" si="25"/>
        <v>0</v>
      </c>
      <c r="Z64" s="1121">
        <f t="shared" si="26"/>
        <v>0</v>
      </c>
      <c r="AA64" s="1122">
        <f t="shared" si="27"/>
        <v>0</v>
      </c>
      <c r="AC64" s="1244"/>
      <c r="AD64" s="1244"/>
      <c r="AE64" s="1244"/>
      <c r="AF64" s="1244"/>
      <c r="AG64" s="1244"/>
      <c r="AH64" s="1244"/>
      <c r="AI64" s="244"/>
      <c r="AJ64" s="244"/>
      <c r="AK64" s="244"/>
      <c r="AL64" s="244"/>
      <c r="AM64" s="244"/>
      <c r="AN64" s="245"/>
    </row>
    <row r="65" spans="1:40" ht="16" customHeight="1" thickBot="1">
      <c r="A65" s="1260" t="s">
        <v>138</v>
      </c>
      <c r="B65" s="1273" t="s">
        <v>215</v>
      </c>
      <c r="C65" s="274">
        <f t="shared" si="82"/>
        <v>1.7682291666666674E-4</v>
      </c>
      <c r="D65" s="1237">
        <v>7</v>
      </c>
      <c r="E65" s="438"/>
      <c r="F65" s="2402"/>
      <c r="G65" s="438"/>
      <c r="H65" s="1301"/>
      <c r="I65" s="1301"/>
      <c r="J65" s="2425"/>
      <c r="K65" s="2498"/>
      <c r="L65" s="6848"/>
      <c r="M65" s="4359"/>
      <c r="N65" s="6848"/>
      <c r="O65" s="4359"/>
      <c r="P65" s="6848"/>
      <c r="Q65" s="4359"/>
      <c r="R65" s="6848"/>
      <c r="S65" s="1118">
        <f t="shared" si="19"/>
        <v>0</v>
      </c>
      <c r="T65" s="1119">
        <f t="shared" si="20"/>
        <v>0</v>
      </c>
      <c r="U65" s="374">
        <f t="shared" si="21"/>
        <v>0</v>
      </c>
      <c r="V65" s="1120">
        <f t="shared" si="22"/>
        <v>0</v>
      </c>
      <c r="W65" s="376">
        <f t="shared" si="23"/>
        <v>0</v>
      </c>
      <c r="X65" s="377">
        <f t="shared" si="24"/>
        <v>0</v>
      </c>
      <c r="Y65" s="378">
        <f t="shared" si="25"/>
        <v>0</v>
      </c>
      <c r="Z65" s="1121">
        <f t="shared" si="26"/>
        <v>0</v>
      </c>
      <c r="AA65" s="1122">
        <f t="shared" si="27"/>
        <v>0</v>
      </c>
      <c r="AC65" s="1244"/>
      <c r="AD65" s="1244"/>
      <c r="AE65" s="1244"/>
      <c r="AF65" s="1244"/>
      <c r="AG65" s="1244"/>
      <c r="AH65" s="1244"/>
      <c r="AI65" s="244"/>
      <c r="AJ65" s="244"/>
      <c r="AK65" s="244"/>
      <c r="AL65" s="244"/>
      <c r="AM65" s="244"/>
      <c r="AN65" s="245"/>
    </row>
    <row r="66" spans="1:40" ht="15" customHeight="1" thickBot="1">
      <c r="A66" s="1261"/>
      <c r="B66" s="4534" t="s">
        <v>215</v>
      </c>
      <c r="C66" s="1126"/>
      <c r="D66" s="4444"/>
      <c r="E66" s="438"/>
      <c r="F66" s="2402"/>
      <c r="G66" s="438"/>
      <c r="H66" s="1301"/>
      <c r="I66" s="1301"/>
      <c r="J66" s="2425"/>
      <c r="K66" s="4527"/>
      <c r="L66" s="6848"/>
      <c r="M66" s="4359"/>
      <c r="N66" s="6848"/>
      <c r="O66" s="4359"/>
      <c r="P66" s="6848"/>
      <c r="Q66" s="4359"/>
      <c r="R66" s="6848"/>
      <c r="S66" s="1118">
        <f t="shared" si="19"/>
        <v>0</v>
      </c>
      <c r="T66" s="1119">
        <f t="shared" si="20"/>
        <v>0</v>
      </c>
      <c r="U66" s="374">
        <f t="shared" si="21"/>
        <v>0</v>
      </c>
      <c r="V66" s="1120">
        <f t="shared" si="22"/>
        <v>0</v>
      </c>
      <c r="W66" s="376">
        <f t="shared" si="23"/>
        <v>0</v>
      </c>
      <c r="X66" s="377">
        <f t="shared" si="24"/>
        <v>0</v>
      </c>
      <c r="Y66" s="378">
        <f t="shared" si="25"/>
        <v>0</v>
      </c>
      <c r="Z66" s="1121">
        <f t="shared" si="26"/>
        <v>0</v>
      </c>
      <c r="AA66" s="1122">
        <f t="shared" si="27"/>
        <v>0</v>
      </c>
      <c r="AC66" s="1244"/>
      <c r="AD66" s="1244"/>
      <c r="AE66" s="1244"/>
      <c r="AF66" s="1244"/>
      <c r="AG66" s="1244"/>
      <c r="AH66" s="1244"/>
      <c r="AI66" s="244"/>
      <c r="AJ66" s="244"/>
      <c r="AK66" s="244"/>
      <c r="AL66" s="244"/>
      <c r="AM66" s="244"/>
      <c r="AN66" s="245"/>
    </row>
    <row r="67" spans="1:40" ht="16.5" customHeight="1" thickTop="1" thickBot="1">
      <c r="A67" s="245"/>
      <c r="B67" s="144"/>
      <c r="C67" s="144"/>
      <c r="D67" s="4444"/>
      <c r="E67" s="438"/>
      <c r="F67" s="2402"/>
      <c r="G67" s="438"/>
      <c r="H67" s="1301"/>
      <c r="I67" s="1301"/>
      <c r="J67" s="2425"/>
      <c r="K67" s="4527"/>
      <c r="L67" s="6848"/>
      <c r="M67" s="4359"/>
      <c r="N67" s="6848"/>
      <c r="O67" s="4359"/>
      <c r="P67" s="6848"/>
      <c r="Q67" s="4359"/>
      <c r="R67" s="6848"/>
      <c r="S67" s="1274"/>
      <c r="T67" s="1275"/>
      <c r="U67" s="1276" t="e">
        <f>SUM(U6:U66)</f>
        <v>#VALUE!</v>
      </c>
      <c r="V67" s="1276">
        <f t="shared" ref="V67:AA67" si="83">SUM(V6:V66)</f>
        <v>5.3500000000000005</v>
      </c>
      <c r="W67" s="1276">
        <f t="shared" si="83"/>
        <v>3.2499999999999996</v>
      </c>
      <c r="X67" s="1276">
        <f t="shared" si="83"/>
        <v>4.6999999999999993</v>
      </c>
      <c r="Y67" s="1276">
        <f t="shared" si="83"/>
        <v>0</v>
      </c>
      <c r="Z67" s="1276">
        <f t="shared" si="83"/>
        <v>5</v>
      </c>
      <c r="AA67" s="1276">
        <f t="shared" si="83"/>
        <v>1.04</v>
      </c>
      <c r="AB67" s="1277" t="e">
        <f>SUM(U67:AA67)</f>
        <v>#VALUE!</v>
      </c>
      <c r="AC67" s="1244">
        <v>0</v>
      </c>
      <c r="AD67" s="1244">
        <v>0</v>
      </c>
      <c r="AN67" s="245"/>
    </row>
    <row r="68" spans="1:40" ht="20.25" customHeight="1">
      <c r="A68" s="1278"/>
      <c r="B68" s="1278"/>
      <c r="C68" s="1278"/>
      <c r="D68" s="1279"/>
      <c r="E68" s="438"/>
      <c r="F68" s="2402"/>
      <c r="G68" s="438"/>
      <c r="H68" s="1301"/>
      <c r="I68" s="1301"/>
      <c r="J68" s="2425"/>
      <c r="K68" s="1278"/>
      <c r="L68" s="6848"/>
      <c r="M68" s="4359"/>
      <c r="N68" s="6848"/>
      <c r="O68" s="4359"/>
      <c r="P68" s="6848"/>
      <c r="Q68" s="4359"/>
      <c r="R68" s="6848"/>
      <c r="S68" s="1278"/>
      <c r="T68" s="1278"/>
      <c r="U68" s="1211" t="e">
        <f>IF(U67&gt;0,U67,#REF!)</f>
        <v>#VALUE!</v>
      </c>
      <c r="V68" s="1211">
        <f>IF(V67&gt;0,V67,#REF!)</f>
        <v>5.3500000000000005</v>
      </c>
      <c r="W68" s="1211">
        <f>IF(W67&gt;0,W67,#REF!)</f>
        <v>3.2499999999999996</v>
      </c>
      <c r="X68" s="1211">
        <f>IF(X67&gt;0,X67,#REF!)</f>
        <v>4.6999999999999993</v>
      </c>
      <c r="Y68" s="1211" t="e">
        <f>IF(Y67&gt;0,Y67,#REF!)</f>
        <v>#REF!</v>
      </c>
      <c r="Z68" s="1211">
        <f>IF(Z67&gt;0,Z67,#REF!)</f>
        <v>5</v>
      </c>
      <c r="AA68" s="1211">
        <f>IF(AA67&gt;0,AA67,#REF!)</f>
        <v>1.04</v>
      </c>
      <c r="AB68" s="1278"/>
      <c r="AC68" s="244"/>
      <c r="AD68" s="244"/>
      <c r="AJ68" s="244"/>
      <c r="AK68" s="244"/>
      <c r="AL68" s="244"/>
      <c r="AM68" s="244"/>
      <c r="AN68" s="245"/>
    </row>
    <row r="69" spans="1:40" ht="19.5" customHeight="1">
      <c r="A69" s="1278"/>
      <c r="B69" s="1278"/>
      <c r="C69" s="1278"/>
      <c r="D69" s="1279"/>
      <c r="E69" s="438"/>
      <c r="F69" s="2402"/>
      <c r="G69" s="438"/>
      <c r="H69" s="1301"/>
      <c r="I69" s="1301"/>
      <c r="J69" s="2425"/>
      <c r="K69" s="1278"/>
      <c r="L69" s="6848"/>
      <c r="M69" s="4359"/>
      <c r="N69" s="6848"/>
      <c r="O69" s="4359"/>
      <c r="P69" s="6848"/>
      <c r="Q69" s="4359"/>
      <c r="R69" s="6848"/>
      <c r="S69" s="1278"/>
      <c r="T69" s="1278"/>
      <c r="U69" s="1211" t="e">
        <f t="shared" ref="U69:AA84" si="84">IF(U68&gt;0,U68,U67)</f>
        <v>#VALUE!</v>
      </c>
      <c r="V69" s="1211">
        <f t="shared" si="84"/>
        <v>5.3500000000000005</v>
      </c>
      <c r="W69" s="1211">
        <f t="shared" si="84"/>
        <v>3.2499999999999996</v>
      </c>
      <c r="X69" s="1211">
        <f t="shared" si="84"/>
        <v>4.6999999999999993</v>
      </c>
      <c r="Y69" s="1211" t="e">
        <f t="shared" si="84"/>
        <v>#REF!</v>
      </c>
      <c r="Z69" s="1211">
        <f t="shared" si="84"/>
        <v>5</v>
      </c>
      <c r="AA69" s="1211">
        <f t="shared" si="84"/>
        <v>1.04</v>
      </c>
      <c r="AB69" s="1278"/>
      <c r="AN69" s="245"/>
    </row>
    <row r="70" spans="1:40">
      <c r="A70" s="1278"/>
      <c r="B70" s="1278"/>
      <c r="C70" s="1278"/>
      <c r="D70" s="1279"/>
      <c r="E70" s="1278"/>
      <c r="F70" s="1278"/>
      <c r="G70" s="1278"/>
      <c r="H70" s="1278"/>
      <c r="I70" s="1278"/>
      <c r="J70" s="1278"/>
      <c r="K70" s="1278"/>
      <c r="L70" s="1280"/>
      <c r="M70" s="1278"/>
      <c r="N70" s="1278"/>
      <c r="O70" s="1278"/>
      <c r="P70" s="1278"/>
      <c r="Q70" s="1278"/>
      <c r="R70" s="1278"/>
      <c r="S70" s="1278"/>
      <c r="T70" s="1278"/>
      <c r="U70" s="1211" t="e">
        <f t="shared" si="84"/>
        <v>#VALUE!</v>
      </c>
      <c r="V70" s="1211">
        <f t="shared" si="84"/>
        <v>5.3500000000000005</v>
      </c>
      <c r="W70" s="1211">
        <f t="shared" si="84"/>
        <v>3.2499999999999996</v>
      </c>
      <c r="X70" s="1211">
        <f t="shared" si="84"/>
        <v>4.6999999999999993</v>
      </c>
      <c r="Y70" s="1211" t="e">
        <f t="shared" si="84"/>
        <v>#REF!</v>
      </c>
      <c r="Z70" s="1211">
        <f t="shared" si="84"/>
        <v>5</v>
      </c>
      <c r="AA70" s="1211">
        <f t="shared" si="84"/>
        <v>1.04</v>
      </c>
      <c r="AB70" s="1278"/>
      <c r="AN70" s="245"/>
    </row>
    <row r="71" spans="1:40" ht="15.75" customHeight="1">
      <c r="A71" s="1278"/>
      <c r="B71" s="1278"/>
      <c r="C71" s="1278"/>
      <c r="D71" s="1279"/>
      <c r="E71" s="1278"/>
      <c r="F71" s="1278"/>
      <c r="G71" s="1278"/>
      <c r="H71" s="1278"/>
      <c r="I71" s="1278"/>
      <c r="J71" s="1278"/>
      <c r="K71" s="1278"/>
      <c r="L71" s="1280"/>
      <c r="M71" s="1278"/>
      <c r="N71" s="1278"/>
      <c r="O71" s="1278"/>
      <c r="P71" s="1278"/>
      <c r="Q71" s="1278"/>
      <c r="R71" s="1278"/>
      <c r="S71" s="1278"/>
      <c r="T71" s="1278"/>
      <c r="U71" s="1211" t="e">
        <f t="shared" si="84"/>
        <v>#VALUE!</v>
      </c>
      <c r="V71" s="1211">
        <f t="shared" si="84"/>
        <v>5.3500000000000005</v>
      </c>
      <c r="W71" s="1211">
        <f t="shared" si="84"/>
        <v>3.2499999999999996</v>
      </c>
      <c r="X71" s="1211">
        <f t="shared" si="84"/>
        <v>4.6999999999999993</v>
      </c>
      <c r="Y71" s="1211" t="e">
        <f t="shared" si="84"/>
        <v>#REF!</v>
      </c>
      <c r="Z71" s="1211">
        <f t="shared" si="84"/>
        <v>5</v>
      </c>
      <c r="AA71" s="1211">
        <f t="shared" si="84"/>
        <v>1.04</v>
      </c>
      <c r="AB71" s="1278"/>
      <c r="AN71" s="245"/>
    </row>
    <row r="72" spans="1:40" ht="72" customHeight="1">
      <c r="A72" s="1278"/>
      <c r="B72" s="1278"/>
      <c r="C72" s="1278"/>
      <c r="D72" s="1279"/>
      <c r="E72" s="1278"/>
      <c r="F72" s="1278"/>
      <c r="G72" s="1278"/>
      <c r="H72" s="1278"/>
      <c r="I72" s="1278"/>
      <c r="J72" s="1278"/>
      <c r="K72" s="1278"/>
      <c r="L72" s="1280"/>
      <c r="M72" s="1278"/>
      <c r="N72" s="1278"/>
      <c r="O72" s="1278"/>
      <c r="P72" s="1278"/>
      <c r="Q72" s="1278"/>
      <c r="R72" s="1278"/>
      <c r="S72" s="1278"/>
      <c r="T72" s="1278"/>
      <c r="U72" s="1211" t="e">
        <f t="shared" si="84"/>
        <v>#VALUE!</v>
      </c>
      <c r="V72" s="1211">
        <f t="shared" si="84"/>
        <v>5.3500000000000005</v>
      </c>
      <c r="W72" s="1211">
        <f t="shared" si="84"/>
        <v>3.2499999999999996</v>
      </c>
      <c r="X72" s="1211">
        <f t="shared" si="84"/>
        <v>4.6999999999999993</v>
      </c>
      <c r="Y72" s="1211" t="e">
        <f t="shared" si="84"/>
        <v>#REF!</v>
      </c>
      <c r="Z72" s="1211">
        <f t="shared" si="84"/>
        <v>5</v>
      </c>
      <c r="AA72" s="1211">
        <f t="shared" si="84"/>
        <v>1.04</v>
      </c>
      <c r="AB72" s="1278"/>
      <c r="AC72" s="1221"/>
      <c r="AI72" s="220"/>
      <c r="AJ72" s="245"/>
      <c r="AK72" s="245"/>
      <c r="AL72" s="245"/>
      <c r="AM72" s="245"/>
      <c r="AN72" s="245"/>
    </row>
    <row r="73" spans="1:40">
      <c r="A73" s="1278"/>
      <c r="B73" s="1278"/>
      <c r="C73" s="1278"/>
      <c r="D73" s="1279"/>
      <c r="E73" s="1278"/>
      <c r="F73" s="1278"/>
      <c r="G73" s="1278"/>
      <c r="H73" s="1278"/>
      <c r="I73" s="1278"/>
      <c r="J73" s="1278"/>
      <c r="K73" s="1278"/>
      <c r="L73" s="1280"/>
      <c r="M73" s="1278"/>
      <c r="N73" s="1278"/>
      <c r="O73" s="1278"/>
      <c r="P73" s="1278"/>
      <c r="Q73" s="1278"/>
      <c r="R73" s="1278"/>
      <c r="S73" s="1278"/>
      <c r="T73" s="1278"/>
      <c r="U73" s="1211" t="e">
        <f t="shared" si="84"/>
        <v>#VALUE!</v>
      </c>
      <c r="V73" s="1211">
        <f t="shared" si="84"/>
        <v>5.3500000000000005</v>
      </c>
      <c r="W73" s="1211">
        <f t="shared" si="84"/>
        <v>3.2499999999999996</v>
      </c>
      <c r="X73" s="1211">
        <f t="shared" si="84"/>
        <v>4.6999999999999993</v>
      </c>
      <c r="Y73" s="1211" t="e">
        <f t="shared" si="84"/>
        <v>#REF!</v>
      </c>
      <c r="Z73" s="1211">
        <f t="shared" si="84"/>
        <v>5</v>
      </c>
      <c r="AA73" s="1211">
        <f t="shared" si="84"/>
        <v>1.04</v>
      </c>
      <c r="AB73" s="1278"/>
      <c r="AC73" s="1244" t="s">
        <v>193</v>
      </c>
      <c r="AD73" s="1230"/>
      <c r="AE73" s="1230"/>
      <c r="AF73" s="1230"/>
      <c r="AG73" s="1230"/>
      <c r="AH73" s="1230"/>
      <c r="AI73" s="220"/>
      <c r="AJ73" s="245"/>
      <c r="AK73" s="245"/>
      <c r="AL73" s="245"/>
      <c r="AM73" s="245"/>
      <c r="AN73" s="245"/>
    </row>
    <row r="74" spans="1:40">
      <c r="A74" s="1278"/>
      <c r="B74" s="1278"/>
      <c r="C74" s="1278"/>
      <c r="D74" s="1279"/>
      <c r="E74" s="1278"/>
      <c r="F74" s="1278"/>
      <c r="G74" s="1278"/>
      <c r="H74" s="1278"/>
      <c r="I74" s="1278"/>
      <c r="J74" s="1278"/>
      <c r="K74" s="1278"/>
      <c r="L74" s="1280"/>
      <c r="M74" s="1278"/>
      <c r="N74" s="1278"/>
      <c r="O74" s="1278"/>
      <c r="P74" s="1278"/>
      <c r="Q74" s="1278"/>
      <c r="R74" s="1278"/>
      <c r="S74" s="1278"/>
      <c r="T74" s="1278"/>
      <c r="U74" s="1211" t="e">
        <f t="shared" si="84"/>
        <v>#VALUE!</v>
      </c>
      <c r="V74" s="1211">
        <f t="shared" si="84"/>
        <v>5.3500000000000005</v>
      </c>
      <c r="W74" s="1211">
        <f t="shared" si="84"/>
        <v>3.2499999999999996</v>
      </c>
      <c r="X74" s="1211">
        <f t="shared" si="84"/>
        <v>4.6999999999999993</v>
      </c>
      <c r="Y74" s="1211" t="e">
        <f t="shared" si="84"/>
        <v>#REF!</v>
      </c>
      <c r="Z74" s="1211">
        <f t="shared" si="84"/>
        <v>5</v>
      </c>
      <c r="AA74" s="1211">
        <f t="shared" si="84"/>
        <v>1.04</v>
      </c>
      <c r="AB74" s="1278"/>
      <c r="AC74" s="1244">
        <v>0</v>
      </c>
      <c r="AD74" s="1244">
        <v>0</v>
      </c>
      <c r="AE74" s="1244">
        <v>0</v>
      </c>
      <c r="AF74" s="1244">
        <v>0</v>
      </c>
      <c r="AG74" s="1244">
        <v>0</v>
      </c>
      <c r="AH74" s="1244">
        <v>0</v>
      </c>
      <c r="AI74" s="220"/>
      <c r="AJ74" s="245"/>
      <c r="AK74" s="245"/>
      <c r="AL74" s="245"/>
      <c r="AM74" s="245"/>
      <c r="AN74" s="245"/>
    </row>
    <row r="75" spans="1:40">
      <c r="A75" s="1278"/>
      <c r="B75" s="1278"/>
      <c r="C75" s="1278"/>
      <c r="D75" s="1279"/>
      <c r="E75" s="1278"/>
      <c r="F75" s="1278"/>
      <c r="G75" s="1278"/>
      <c r="H75" s="1278"/>
      <c r="I75" s="1278"/>
      <c r="J75" s="1278"/>
      <c r="K75" s="1278"/>
      <c r="L75" s="1280"/>
      <c r="M75" s="1278"/>
      <c r="N75" s="1278"/>
      <c r="O75" s="1278"/>
      <c r="P75" s="1278"/>
      <c r="Q75" s="1278"/>
      <c r="R75" s="1278"/>
      <c r="S75" s="1278"/>
      <c r="T75" s="1278"/>
      <c r="U75" s="1211" t="e">
        <f t="shared" si="84"/>
        <v>#VALUE!</v>
      </c>
      <c r="V75" s="1211">
        <f t="shared" si="84"/>
        <v>5.3500000000000005</v>
      </c>
      <c r="W75" s="1211">
        <f t="shared" si="84"/>
        <v>3.2499999999999996</v>
      </c>
      <c r="X75" s="1211">
        <f t="shared" si="84"/>
        <v>4.6999999999999993</v>
      </c>
      <c r="Y75" s="1211" t="e">
        <f t="shared" si="84"/>
        <v>#REF!</v>
      </c>
      <c r="Z75" s="1211">
        <f t="shared" si="84"/>
        <v>5</v>
      </c>
      <c r="AA75" s="1211">
        <f t="shared" si="84"/>
        <v>1.04</v>
      </c>
      <c r="AB75" s="1278"/>
      <c r="AC75" s="1244"/>
      <c r="AD75" s="1244"/>
      <c r="AE75" s="1244"/>
      <c r="AF75" s="1244"/>
      <c r="AG75" s="1244"/>
      <c r="AH75" s="1244"/>
      <c r="AI75" s="220"/>
      <c r="AJ75" s="245"/>
      <c r="AK75" s="245"/>
      <c r="AL75" s="245"/>
      <c r="AM75" s="245"/>
      <c r="AN75" s="245"/>
    </row>
    <row r="76" spans="1:40">
      <c r="A76" s="1278"/>
      <c r="B76" s="1278"/>
      <c r="C76" s="1278"/>
      <c r="D76" s="1279"/>
      <c r="E76" s="1278"/>
      <c r="F76" s="1278"/>
      <c r="G76" s="1278"/>
      <c r="H76" s="1278"/>
      <c r="I76" s="1278"/>
      <c r="J76" s="1278"/>
      <c r="K76" s="1278"/>
      <c r="L76" s="1280"/>
      <c r="M76" s="1278"/>
      <c r="N76" s="1278"/>
      <c r="O76" s="1278"/>
      <c r="P76" s="1278"/>
      <c r="Q76" s="1278"/>
      <c r="R76" s="1278"/>
      <c r="S76" s="1278"/>
      <c r="T76" s="1278"/>
      <c r="U76" s="1211" t="e">
        <f t="shared" si="84"/>
        <v>#VALUE!</v>
      </c>
      <c r="V76" s="1211">
        <f t="shared" si="84"/>
        <v>5.3500000000000005</v>
      </c>
      <c r="W76" s="1211">
        <f t="shared" si="84"/>
        <v>3.2499999999999996</v>
      </c>
      <c r="X76" s="1211">
        <f t="shared" si="84"/>
        <v>4.6999999999999993</v>
      </c>
      <c r="Y76" s="1211" t="e">
        <f t="shared" si="84"/>
        <v>#REF!</v>
      </c>
      <c r="Z76" s="1211">
        <f t="shared" si="84"/>
        <v>5</v>
      </c>
      <c r="AA76" s="1211">
        <f t="shared" si="84"/>
        <v>1.04</v>
      </c>
      <c r="AB76" s="1278"/>
      <c r="AC76" s="1244"/>
      <c r="AD76" s="1244"/>
      <c r="AE76" s="1244"/>
      <c r="AF76" s="1244"/>
      <c r="AG76" s="1244"/>
      <c r="AH76" s="1244"/>
      <c r="AI76" s="220"/>
      <c r="AJ76" s="245"/>
      <c r="AK76" s="245"/>
      <c r="AL76" s="245"/>
      <c r="AM76" s="245"/>
      <c r="AN76" s="245"/>
    </row>
    <row r="77" spans="1:40">
      <c r="A77" s="1278"/>
      <c r="B77" s="1278"/>
      <c r="C77" s="1278"/>
      <c r="D77" s="1279"/>
      <c r="E77" s="1278"/>
      <c r="F77" s="1278"/>
      <c r="G77" s="1278"/>
      <c r="H77" s="1278"/>
      <c r="I77" s="1278"/>
      <c r="J77" s="1278"/>
      <c r="K77" s="1278"/>
      <c r="L77" s="1280"/>
      <c r="M77" s="1278"/>
      <c r="N77" s="1278"/>
      <c r="O77" s="1278"/>
      <c r="P77" s="1278"/>
      <c r="Q77" s="1278"/>
      <c r="R77" s="1278"/>
      <c r="S77" s="1278"/>
      <c r="T77" s="1278"/>
      <c r="U77" s="1211" t="e">
        <f t="shared" si="84"/>
        <v>#VALUE!</v>
      </c>
      <c r="V77" s="1211">
        <f t="shared" si="84"/>
        <v>5.3500000000000005</v>
      </c>
      <c r="W77" s="1211">
        <f t="shared" si="84"/>
        <v>3.2499999999999996</v>
      </c>
      <c r="X77" s="1211">
        <f t="shared" si="84"/>
        <v>4.6999999999999993</v>
      </c>
      <c r="Y77" s="1211" t="e">
        <f t="shared" si="84"/>
        <v>#REF!</v>
      </c>
      <c r="Z77" s="1211">
        <f t="shared" si="84"/>
        <v>5</v>
      </c>
      <c r="AA77" s="1211">
        <f t="shared" si="84"/>
        <v>1.04</v>
      </c>
      <c r="AB77" s="1278"/>
      <c r="AC77" s="1244">
        <v>0</v>
      </c>
      <c r="AD77" s="1244">
        <v>0</v>
      </c>
      <c r="AE77" s="1244">
        <v>0</v>
      </c>
      <c r="AF77" s="1244">
        <v>0</v>
      </c>
      <c r="AG77" s="1244">
        <v>0</v>
      </c>
      <c r="AH77" s="1244">
        <v>0</v>
      </c>
      <c r="AI77" s="220"/>
      <c r="AJ77" s="245"/>
      <c r="AK77" s="245"/>
      <c r="AL77" s="245"/>
      <c r="AM77" s="245"/>
      <c r="AN77" s="245"/>
    </row>
    <row r="78" spans="1:40">
      <c r="A78" s="1278"/>
      <c r="B78" s="1278"/>
      <c r="C78" s="1278"/>
      <c r="D78" s="1279"/>
      <c r="E78" s="1278"/>
      <c r="F78" s="1278"/>
      <c r="G78" s="1278"/>
      <c r="H78" s="1278"/>
      <c r="I78" s="1278"/>
      <c r="J78" s="1278"/>
      <c r="K78" s="1278"/>
      <c r="L78" s="1280"/>
      <c r="M78" s="1278"/>
      <c r="N78" s="1278"/>
      <c r="O78" s="1278"/>
      <c r="P78" s="1278"/>
      <c r="Q78" s="1278"/>
      <c r="R78" s="1278"/>
      <c r="S78" s="1278"/>
      <c r="T78" s="1278"/>
      <c r="U78" s="1211" t="e">
        <f t="shared" si="84"/>
        <v>#VALUE!</v>
      </c>
      <c r="V78" s="1211">
        <f t="shared" si="84"/>
        <v>5.3500000000000005</v>
      </c>
      <c r="W78" s="1211">
        <f t="shared" si="84"/>
        <v>3.2499999999999996</v>
      </c>
      <c r="X78" s="1211">
        <f t="shared" si="84"/>
        <v>4.6999999999999993</v>
      </c>
      <c r="Y78" s="1211" t="e">
        <f t="shared" si="84"/>
        <v>#REF!</v>
      </c>
      <c r="Z78" s="1211">
        <f t="shared" si="84"/>
        <v>5</v>
      </c>
      <c r="AA78" s="1211">
        <f t="shared" si="84"/>
        <v>1.04</v>
      </c>
      <c r="AB78" s="1278"/>
      <c r="AC78" s="1244">
        <v>0</v>
      </c>
      <c r="AD78" s="1244">
        <v>0</v>
      </c>
      <c r="AE78" s="1244">
        <v>0</v>
      </c>
      <c r="AF78" s="1244">
        <v>0</v>
      </c>
      <c r="AG78" s="1244">
        <v>0</v>
      </c>
      <c r="AH78" s="1244">
        <v>0</v>
      </c>
      <c r="AI78" s="244"/>
      <c r="AJ78" s="245"/>
      <c r="AK78" s="245"/>
      <c r="AL78" s="245"/>
      <c r="AM78" s="245"/>
      <c r="AN78" s="245"/>
    </row>
    <row r="79" spans="1:40">
      <c r="A79" s="1278"/>
      <c r="B79" s="1278"/>
      <c r="C79" s="1278"/>
      <c r="D79" s="1279"/>
      <c r="E79" s="1278"/>
      <c r="F79" s="1278"/>
      <c r="G79" s="1278"/>
      <c r="H79" s="1278"/>
      <c r="I79" s="1278"/>
      <c r="J79" s="1278"/>
      <c r="K79" s="1278"/>
      <c r="L79" s="1280"/>
      <c r="M79" s="1278"/>
      <c r="N79" s="1278"/>
      <c r="O79" s="1278"/>
      <c r="P79" s="1278"/>
      <c r="Q79" s="1278"/>
      <c r="R79" s="1278"/>
      <c r="S79" s="1278"/>
      <c r="T79" s="1278"/>
      <c r="U79" s="1211" t="e">
        <f t="shared" si="84"/>
        <v>#VALUE!</v>
      </c>
      <c r="V79" s="1211">
        <f t="shared" si="84"/>
        <v>5.3500000000000005</v>
      </c>
      <c r="W79" s="1211">
        <f t="shared" si="84"/>
        <v>3.2499999999999996</v>
      </c>
      <c r="X79" s="1211">
        <f t="shared" si="84"/>
        <v>4.6999999999999993</v>
      </c>
      <c r="Y79" s="1211" t="e">
        <f t="shared" si="84"/>
        <v>#REF!</v>
      </c>
      <c r="Z79" s="1211">
        <f t="shared" si="84"/>
        <v>5</v>
      </c>
      <c r="AA79" s="1211">
        <f t="shared" si="84"/>
        <v>1.04</v>
      </c>
      <c r="AB79" s="1278"/>
      <c r="AC79" s="1244"/>
      <c r="AD79" s="1244"/>
      <c r="AE79" s="1244"/>
      <c r="AF79" s="1244"/>
      <c r="AG79" s="1244"/>
      <c r="AH79" s="1244"/>
      <c r="AI79" s="244"/>
      <c r="AJ79" s="245"/>
      <c r="AK79" s="245"/>
      <c r="AL79" s="245"/>
      <c r="AM79" s="245"/>
      <c r="AN79" s="245"/>
    </row>
    <row r="80" spans="1:40">
      <c r="A80" s="1278"/>
      <c r="B80" s="1278"/>
      <c r="C80" s="1278"/>
      <c r="D80" s="1279"/>
      <c r="E80" s="1278"/>
      <c r="F80" s="1278"/>
      <c r="G80" s="1278"/>
      <c r="H80" s="1278"/>
      <c r="I80" s="1278"/>
      <c r="J80" s="1278"/>
      <c r="K80" s="1278"/>
      <c r="L80" s="1280"/>
      <c r="M80" s="1278"/>
      <c r="N80" s="1278"/>
      <c r="O80" s="1278"/>
      <c r="P80" s="1278"/>
      <c r="Q80" s="1278"/>
      <c r="R80" s="1278"/>
      <c r="S80" s="1278"/>
      <c r="T80" s="1278"/>
      <c r="U80" s="1211" t="e">
        <f t="shared" si="84"/>
        <v>#VALUE!</v>
      </c>
      <c r="V80" s="1211">
        <f t="shared" si="84"/>
        <v>5.3500000000000005</v>
      </c>
      <c r="W80" s="1211">
        <f t="shared" si="84"/>
        <v>3.2499999999999996</v>
      </c>
      <c r="X80" s="1211">
        <f t="shared" si="84"/>
        <v>4.6999999999999993</v>
      </c>
      <c r="Y80" s="1211" t="e">
        <f t="shared" si="84"/>
        <v>#REF!</v>
      </c>
      <c r="Z80" s="1211">
        <f t="shared" si="84"/>
        <v>5</v>
      </c>
      <c r="AA80" s="1211">
        <f t="shared" si="84"/>
        <v>1.04</v>
      </c>
      <c r="AB80" s="1278"/>
      <c r="AC80" s="1244"/>
      <c r="AD80" s="1244"/>
      <c r="AE80" s="1244"/>
      <c r="AF80" s="1244"/>
      <c r="AG80" s="1244"/>
      <c r="AH80" s="1244"/>
      <c r="AI80" s="244"/>
      <c r="AJ80" s="245"/>
      <c r="AK80" s="245"/>
      <c r="AL80" s="245"/>
      <c r="AM80" s="245"/>
      <c r="AN80" s="245"/>
    </row>
    <row r="81" spans="1:40">
      <c r="A81" s="1278"/>
      <c r="B81" s="1278"/>
      <c r="C81" s="1278"/>
      <c r="D81" s="1279"/>
      <c r="E81" s="1278"/>
      <c r="F81" s="1278"/>
      <c r="G81" s="1278"/>
      <c r="H81" s="1278"/>
      <c r="I81" s="1278"/>
      <c r="J81" s="1278"/>
      <c r="K81" s="1278"/>
      <c r="L81" s="1280"/>
      <c r="M81" s="1278"/>
      <c r="N81" s="1278"/>
      <c r="O81" s="1278"/>
      <c r="P81" s="1278"/>
      <c r="Q81" s="1278"/>
      <c r="R81" s="1278"/>
      <c r="S81" s="1278"/>
      <c r="T81" s="1278"/>
      <c r="U81" s="1211" t="e">
        <f t="shared" si="84"/>
        <v>#VALUE!</v>
      </c>
      <c r="V81" s="1211">
        <f t="shared" si="84"/>
        <v>5.3500000000000005</v>
      </c>
      <c r="W81" s="1211">
        <f t="shared" si="84"/>
        <v>3.2499999999999996</v>
      </c>
      <c r="X81" s="1211">
        <f t="shared" si="84"/>
        <v>4.6999999999999993</v>
      </c>
      <c r="Y81" s="1211" t="e">
        <f t="shared" si="84"/>
        <v>#REF!</v>
      </c>
      <c r="Z81" s="1211">
        <f t="shared" si="84"/>
        <v>5</v>
      </c>
      <c r="AA81" s="1211">
        <f t="shared" si="84"/>
        <v>1.04</v>
      </c>
      <c r="AB81" s="1278"/>
      <c r="AC81" s="1244">
        <v>0</v>
      </c>
      <c r="AD81" s="1244">
        <v>0</v>
      </c>
      <c r="AE81" s="1244">
        <v>0</v>
      </c>
      <c r="AF81" s="1244">
        <v>0</v>
      </c>
      <c r="AG81" s="1244">
        <v>0</v>
      </c>
      <c r="AH81" s="1244">
        <v>0</v>
      </c>
      <c r="AI81" s="244"/>
      <c r="AJ81" s="245"/>
      <c r="AK81" s="245"/>
      <c r="AL81" s="245"/>
      <c r="AM81" s="245"/>
      <c r="AN81" s="245"/>
    </row>
    <row r="82" spans="1:40">
      <c r="A82" s="1278"/>
      <c r="B82" s="1278"/>
      <c r="C82" s="1278"/>
      <c r="D82" s="1279"/>
      <c r="E82" s="1278"/>
      <c r="F82" s="1278"/>
      <c r="G82" s="1278"/>
      <c r="H82" s="1278"/>
      <c r="I82" s="1278"/>
      <c r="J82" s="1278"/>
      <c r="K82" s="1278"/>
      <c r="L82" s="1280"/>
      <c r="M82" s="1278"/>
      <c r="N82" s="1278"/>
      <c r="O82" s="1278"/>
      <c r="P82" s="1278"/>
      <c r="Q82" s="1278"/>
      <c r="R82" s="1278"/>
      <c r="S82" s="1278"/>
      <c r="T82" s="1278"/>
      <c r="U82" s="1211" t="e">
        <f t="shared" si="84"/>
        <v>#VALUE!</v>
      </c>
      <c r="V82" s="1211">
        <f t="shared" si="84"/>
        <v>5.3500000000000005</v>
      </c>
      <c r="W82" s="1211">
        <f t="shared" si="84"/>
        <v>3.2499999999999996</v>
      </c>
      <c r="X82" s="1211">
        <f t="shared" si="84"/>
        <v>4.6999999999999993</v>
      </c>
      <c r="Y82" s="1211" t="e">
        <f t="shared" si="84"/>
        <v>#REF!</v>
      </c>
      <c r="Z82" s="1211">
        <f t="shared" si="84"/>
        <v>5</v>
      </c>
      <c r="AA82" s="1211">
        <f t="shared" si="84"/>
        <v>1.04</v>
      </c>
      <c r="AB82" s="1278"/>
      <c r="AC82" s="1244">
        <v>0</v>
      </c>
      <c r="AD82" s="1244">
        <v>0</v>
      </c>
      <c r="AE82" s="1244">
        <v>0</v>
      </c>
      <c r="AF82" s="1244">
        <v>0</v>
      </c>
      <c r="AG82" s="1244">
        <v>0</v>
      </c>
      <c r="AH82" s="1244">
        <v>0</v>
      </c>
      <c r="AI82" s="244"/>
      <c r="AJ82" s="245"/>
      <c r="AK82" s="245"/>
      <c r="AL82" s="245"/>
      <c r="AM82" s="245"/>
      <c r="AN82" s="245"/>
    </row>
    <row r="83" spans="1:40">
      <c r="A83" s="1278"/>
      <c r="B83" s="1278"/>
      <c r="C83" s="1278"/>
      <c r="D83" s="1279"/>
      <c r="E83" s="1278"/>
      <c r="F83" s="1278"/>
      <c r="G83" s="1278"/>
      <c r="H83" s="1278"/>
      <c r="I83" s="1278"/>
      <c r="J83" s="1278"/>
      <c r="K83" s="1278"/>
      <c r="L83" s="1280"/>
      <c r="M83" s="1278"/>
      <c r="N83" s="1278"/>
      <c r="O83" s="1278"/>
      <c r="P83" s="1278"/>
      <c r="Q83" s="1278"/>
      <c r="R83" s="1278"/>
      <c r="S83" s="1278"/>
      <c r="T83" s="1278"/>
      <c r="U83" s="1211" t="e">
        <f t="shared" si="84"/>
        <v>#VALUE!</v>
      </c>
      <c r="V83" s="1211">
        <f t="shared" si="84"/>
        <v>5.3500000000000005</v>
      </c>
      <c r="W83" s="1211">
        <f t="shared" si="84"/>
        <v>3.2499999999999996</v>
      </c>
      <c r="X83" s="1211">
        <f t="shared" si="84"/>
        <v>4.6999999999999993</v>
      </c>
      <c r="Y83" s="1211" t="e">
        <f t="shared" si="84"/>
        <v>#REF!</v>
      </c>
      <c r="Z83" s="1211">
        <f t="shared" si="84"/>
        <v>5</v>
      </c>
      <c r="AA83" s="1211">
        <f t="shared" si="84"/>
        <v>1.04</v>
      </c>
      <c r="AB83" s="1278"/>
      <c r="AC83" s="1244">
        <v>0</v>
      </c>
      <c r="AD83" s="1244">
        <v>0</v>
      </c>
      <c r="AE83" s="1244">
        <v>0</v>
      </c>
      <c r="AF83" s="1244">
        <v>0</v>
      </c>
      <c r="AG83" s="1244">
        <v>0</v>
      </c>
      <c r="AH83" s="1244">
        <v>0</v>
      </c>
      <c r="AI83" s="244"/>
      <c r="AJ83" s="245"/>
      <c r="AK83" s="245"/>
      <c r="AL83" s="245"/>
      <c r="AM83" s="245"/>
      <c r="AN83" s="245"/>
    </row>
    <row r="84" spans="1:40">
      <c r="A84" s="1278"/>
      <c r="B84" s="1278"/>
      <c r="C84" s="1278"/>
      <c r="D84" s="1279"/>
      <c r="E84" s="1278"/>
      <c r="F84" s="1278"/>
      <c r="G84" s="1278"/>
      <c r="H84" s="1278"/>
      <c r="I84" s="1278"/>
      <c r="J84" s="1278"/>
      <c r="K84" s="1278"/>
      <c r="L84" s="1280"/>
      <c r="M84" s="1278"/>
      <c r="N84" s="1278"/>
      <c r="O84" s="1278"/>
      <c r="P84" s="1278"/>
      <c r="Q84" s="1278"/>
      <c r="R84" s="1278"/>
      <c r="S84" s="1278"/>
      <c r="T84" s="1278"/>
      <c r="U84" s="1211" t="e">
        <f t="shared" si="84"/>
        <v>#VALUE!</v>
      </c>
      <c r="V84" s="1211">
        <f t="shared" si="84"/>
        <v>5.3500000000000005</v>
      </c>
      <c r="W84" s="1211">
        <f t="shared" si="84"/>
        <v>3.2499999999999996</v>
      </c>
      <c r="X84" s="1211">
        <f t="shared" si="84"/>
        <v>4.6999999999999993</v>
      </c>
      <c r="Y84" s="1211" t="e">
        <f t="shared" si="84"/>
        <v>#REF!</v>
      </c>
      <c r="Z84" s="1211">
        <f t="shared" si="84"/>
        <v>5</v>
      </c>
      <c r="AA84" s="1211">
        <f t="shared" si="84"/>
        <v>1.04</v>
      </c>
      <c r="AB84" s="1278"/>
      <c r="AC84" s="1244">
        <v>0</v>
      </c>
      <c r="AD84" s="1244">
        <v>0</v>
      </c>
      <c r="AE84" s="1244">
        <v>0</v>
      </c>
      <c r="AF84" s="1244">
        <v>0</v>
      </c>
      <c r="AG84" s="1244">
        <v>0</v>
      </c>
      <c r="AH84" s="1244">
        <v>0</v>
      </c>
      <c r="AI84" s="244"/>
      <c r="AJ84" s="245"/>
      <c r="AK84" s="245"/>
      <c r="AL84" s="245"/>
      <c r="AM84" s="245"/>
      <c r="AN84" s="245"/>
    </row>
    <row r="85" spans="1:40">
      <c r="A85" s="1278"/>
      <c r="B85" s="1278"/>
      <c r="C85" s="1278"/>
      <c r="D85" s="1279"/>
      <c r="E85" s="1278"/>
      <c r="F85" s="1278"/>
      <c r="G85" s="1278"/>
      <c r="H85" s="1278"/>
      <c r="I85" s="1278"/>
      <c r="J85" s="1278"/>
      <c r="K85" s="1278"/>
      <c r="L85" s="1280"/>
      <c r="M85" s="1278"/>
      <c r="N85" s="1278"/>
      <c r="O85" s="1278"/>
      <c r="P85" s="1278"/>
      <c r="Q85" s="1278"/>
      <c r="R85" s="1278"/>
      <c r="S85" s="1278"/>
      <c r="T85" s="1278"/>
      <c r="U85" s="1211" t="e">
        <f t="shared" ref="U85:AA100" si="85">IF(U84&gt;0,U84,U83)</f>
        <v>#VALUE!</v>
      </c>
      <c r="V85" s="1211">
        <f t="shared" si="85"/>
        <v>5.3500000000000005</v>
      </c>
      <c r="W85" s="1211">
        <f t="shared" si="85"/>
        <v>3.2499999999999996</v>
      </c>
      <c r="X85" s="1211">
        <f t="shared" si="85"/>
        <v>4.6999999999999993</v>
      </c>
      <c r="Y85" s="1211" t="e">
        <f t="shared" si="85"/>
        <v>#REF!</v>
      </c>
      <c r="Z85" s="1211">
        <f t="shared" si="85"/>
        <v>5</v>
      </c>
      <c r="AA85" s="1211">
        <f t="shared" si="85"/>
        <v>1.04</v>
      </c>
      <c r="AB85" s="1278"/>
      <c r="AC85" s="1244"/>
      <c r="AD85" s="1244"/>
      <c r="AE85" s="1244"/>
      <c r="AF85" s="1244"/>
      <c r="AG85" s="1244"/>
      <c r="AH85" s="1244"/>
      <c r="AI85" s="244"/>
      <c r="AJ85" s="245"/>
      <c r="AK85" s="245"/>
      <c r="AL85" s="245"/>
      <c r="AM85" s="245"/>
      <c r="AN85" s="245"/>
    </row>
    <row r="86" spans="1:40">
      <c r="A86" s="1278"/>
      <c r="B86" s="1278"/>
      <c r="C86" s="1278"/>
      <c r="D86" s="1279"/>
      <c r="E86" s="1278"/>
      <c r="F86" s="1278"/>
      <c r="G86" s="1278"/>
      <c r="H86" s="1278"/>
      <c r="I86" s="1278"/>
      <c r="J86" s="1278"/>
      <c r="K86" s="1278"/>
      <c r="L86" s="1280"/>
      <c r="M86" s="1278"/>
      <c r="N86" s="1278"/>
      <c r="O86" s="1278"/>
      <c r="P86" s="1278"/>
      <c r="Q86" s="1278"/>
      <c r="R86" s="1278"/>
      <c r="S86" s="1278"/>
      <c r="T86" s="1278"/>
      <c r="U86" s="1211" t="e">
        <f t="shared" si="85"/>
        <v>#VALUE!</v>
      </c>
      <c r="V86" s="1211">
        <f t="shared" si="85"/>
        <v>5.3500000000000005</v>
      </c>
      <c r="W86" s="1211">
        <f t="shared" si="85"/>
        <v>3.2499999999999996</v>
      </c>
      <c r="X86" s="1211">
        <f t="shared" si="85"/>
        <v>4.6999999999999993</v>
      </c>
      <c r="Y86" s="1211" t="e">
        <f t="shared" si="85"/>
        <v>#REF!</v>
      </c>
      <c r="Z86" s="1211">
        <f t="shared" si="85"/>
        <v>5</v>
      </c>
      <c r="AA86" s="1211">
        <f t="shared" si="85"/>
        <v>1.04</v>
      </c>
      <c r="AB86" s="1278"/>
      <c r="AC86" s="1244"/>
      <c r="AD86" s="1244"/>
      <c r="AE86" s="1244"/>
      <c r="AF86" s="1244"/>
      <c r="AG86" s="1244"/>
      <c r="AH86" s="1244"/>
      <c r="AI86" s="244"/>
      <c r="AJ86" s="245"/>
      <c r="AK86" s="245"/>
      <c r="AL86" s="245"/>
      <c r="AM86" s="245"/>
      <c r="AN86" s="245"/>
    </row>
    <row r="87" spans="1:40">
      <c r="A87" s="1278"/>
      <c r="B87" s="1278"/>
      <c r="C87" s="1278"/>
      <c r="D87" s="1279"/>
      <c r="E87" s="1278"/>
      <c r="F87" s="1278"/>
      <c r="G87" s="1278"/>
      <c r="H87" s="1278"/>
      <c r="I87" s="1278"/>
      <c r="J87" s="1278"/>
      <c r="K87" s="1278"/>
      <c r="L87" s="1280"/>
      <c r="M87" s="1278"/>
      <c r="N87" s="1278"/>
      <c r="O87" s="1278"/>
      <c r="P87" s="1278"/>
      <c r="Q87" s="1278"/>
      <c r="R87" s="1278"/>
      <c r="S87" s="1278"/>
      <c r="T87" s="1278"/>
      <c r="U87" s="1211" t="e">
        <f t="shared" si="85"/>
        <v>#VALUE!</v>
      </c>
      <c r="V87" s="1211">
        <f t="shared" si="85"/>
        <v>5.3500000000000005</v>
      </c>
      <c r="W87" s="1211">
        <f t="shared" si="85"/>
        <v>3.2499999999999996</v>
      </c>
      <c r="X87" s="1211">
        <f t="shared" si="85"/>
        <v>4.6999999999999993</v>
      </c>
      <c r="Y87" s="1211" t="e">
        <f t="shared" si="85"/>
        <v>#REF!</v>
      </c>
      <c r="Z87" s="1211">
        <f t="shared" si="85"/>
        <v>5</v>
      </c>
      <c r="AA87" s="1211">
        <f t="shared" si="85"/>
        <v>1.04</v>
      </c>
      <c r="AB87" s="1278"/>
      <c r="AC87" s="1244">
        <v>0</v>
      </c>
      <c r="AD87" s="1244">
        <v>0</v>
      </c>
      <c r="AE87" s="1244">
        <v>0</v>
      </c>
      <c r="AF87" s="1244">
        <v>0</v>
      </c>
      <c r="AG87" s="1244">
        <v>0</v>
      </c>
      <c r="AH87" s="1244">
        <v>0</v>
      </c>
      <c r="AI87" s="244"/>
      <c r="AJ87" s="245"/>
      <c r="AK87" s="245"/>
      <c r="AL87" s="245"/>
      <c r="AM87" s="245"/>
      <c r="AN87" s="245"/>
    </row>
    <row r="88" spans="1:40">
      <c r="A88" s="1278"/>
      <c r="B88" s="1278"/>
      <c r="C88" s="1278"/>
      <c r="D88" s="1279"/>
      <c r="E88" s="1278"/>
      <c r="F88" s="1278"/>
      <c r="G88" s="1278"/>
      <c r="H88" s="1278"/>
      <c r="I88" s="1278"/>
      <c r="J88" s="1278"/>
      <c r="K88" s="1278"/>
      <c r="L88" s="1280"/>
      <c r="M88" s="1278"/>
      <c r="N88" s="1278"/>
      <c r="O88" s="1278"/>
      <c r="P88" s="1278"/>
      <c r="Q88" s="1278"/>
      <c r="R88" s="1278"/>
      <c r="S88" s="1278"/>
      <c r="T88" s="1278"/>
      <c r="U88" s="1211" t="e">
        <f t="shared" si="85"/>
        <v>#VALUE!</v>
      </c>
      <c r="V88" s="1211">
        <f t="shared" si="85"/>
        <v>5.3500000000000005</v>
      </c>
      <c r="W88" s="1211">
        <f t="shared" si="85"/>
        <v>3.2499999999999996</v>
      </c>
      <c r="X88" s="1211">
        <f t="shared" si="85"/>
        <v>4.6999999999999993</v>
      </c>
      <c r="Y88" s="1211" t="e">
        <f t="shared" si="85"/>
        <v>#REF!</v>
      </c>
      <c r="Z88" s="1211">
        <f t="shared" si="85"/>
        <v>5</v>
      </c>
      <c r="AA88" s="1211">
        <f t="shared" si="85"/>
        <v>1.04</v>
      </c>
      <c r="AB88" s="1278"/>
      <c r="AC88" s="1244">
        <v>0</v>
      </c>
      <c r="AD88" s="1244">
        <v>0</v>
      </c>
      <c r="AE88" s="1244">
        <v>0</v>
      </c>
      <c r="AF88" s="1244">
        <v>0</v>
      </c>
      <c r="AG88" s="1244">
        <v>0</v>
      </c>
      <c r="AH88" s="1244">
        <v>0</v>
      </c>
      <c r="AI88" s="244"/>
      <c r="AJ88" s="245"/>
      <c r="AK88" s="245"/>
      <c r="AL88" s="245"/>
      <c r="AM88" s="245"/>
      <c r="AN88" s="245"/>
    </row>
    <row r="89" spans="1:40">
      <c r="A89" s="1278"/>
      <c r="B89" s="1278"/>
      <c r="C89" s="1278"/>
      <c r="D89" s="1279"/>
      <c r="E89" s="1278"/>
      <c r="F89" s="1278"/>
      <c r="G89" s="1278"/>
      <c r="H89" s="1278"/>
      <c r="I89" s="1278"/>
      <c r="J89" s="1278"/>
      <c r="K89" s="1278"/>
      <c r="L89" s="1280"/>
      <c r="M89" s="1278"/>
      <c r="N89" s="1278"/>
      <c r="O89" s="1278"/>
      <c r="P89" s="1278"/>
      <c r="Q89" s="1278"/>
      <c r="R89" s="1278"/>
      <c r="S89" s="1278"/>
      <c r="T89" s="1278"/>
      <c r="U89" s="1211" t="e">
        <f t="shared" si="85"/>
        <v>#VALUE!</v>
      </c>
      <c r="V89" s="1211">
        <f t="shared" si="85"/>
        <v>5.3500000000000005</v>
      </c>
      <c r="W89" s="1211">
        <f t="shared" si="85"/>
        <v>3.2499999999999996</v>
      </c>
      <c r="X89" s="1211">
        <f t="shared" si="85"/>
        <v>4.6999999999999993</v>
      </c>
      <c r="Y89" s="1211" t="e">
        <f t="shared" si="85"/>
        <v>#REF!</v>
      </c>
      <c r="Z89" s="1211">
        <f t="shared" si="85"/>
        <v>5</v>
      </c>
      <c r="AA89" s="1211">
        <f t="shared" si="85"/>
        <v>1.04</v>
      </c>
      <c r="AB89" s="1278"/>
      <c r="AC89" s="1244">
        <v>0</v>
      </c>
      <c r="AD89" s="1244">
        <v>0</v>
      </c>
      <c r="AE89" s="1244">
        <v>0</v>
      </c>
      <c r="AF89" s="1244">
        <v>0</v>
      </c>
      <c r="AG89" s="1244">
        <v>0</v>
      </c>
      <c r="AH89" s="1244">
        <v>0</v>
      </c>
      <c r="AI89" s="244"/>
      <c r="AJ89" s="245"/>
      <c r="AK89" s="245"/>
      <c r="AL89" s="245"/>
      <c r="AM89" s="245"/>
      <c r="AN89" s="245"/>
    </row>
    <row r="90" spans="1:40">
      <c r="A90" s="1278"/>
      <c r="B90" s="1278"/>
      <c r="C90" s="1278"/>
      <c r="D90" s="1279"/>
      <c r="E90" s="1278"/>
      <c r="F90" s="1278"/>
      <c r="G90" s="1278"/>
      <c r="H90" s="1278"/>
      <c r="I90" s="1278"/>
      <c r="J90" s="1278"/>
      <c r="K90" s="1278"/>
      <c r="L90" s="1280"/>
      <c r="M90" s="1278"/>
      <c r="N90" s="1278"/>
      <c r="O90" s="1278"/>
      <c r="P90" s="1278"/>
      <c r="Q90" s="1278"/>
      <c r="R90" s="1278"/>
      <c r="S90" s="1278"/>
      <c r="T90" s="1278"/>
      <c r="U90" s="1211" t="e">
        <f t="shared" si="85"/>
        <v>#VALUE!</v>
      </c>
      <c r="V90" s="1211">
        <f t="shared" si="85"/>
        <v>5.3500000000000005</v>
      </c>
      <c r="W90" s="1211">
        <f t="shared" si="85"/>
        <v>3.2499999999999996</v>
      </c>
      <c r="X90" s="1211">
        <f t="shared" si="85"/>
        <v>4.6999999999999993</v>
      </c>
      <c r="Y90" s="1211" t="e">
        <f t="shared" si="85"/>
        <v>#REF!</v>
      </c>
      <c r="Z90" s="1211">
        <f t="shared" si="85"/>
        <v>5</v>
      </c>
      <c r="AA90" s="1211">
        <f t="shared" si="85"/>
        <v>1.04</v>
      </c>
      <c r="AB90" s="1278"/>
      <c r="AC90" s="1244"/>
      <c r="AD90" s="1244"/>
      <c r="AE90" s="1244"/>
      <c r="AF90" s="1244"/>
      <c r="AG90" s="1244"/>
      <c r="AH90" s="1244"/>
      <c r="AI90" s="244"/>
      <c r="AJ90" s="245"/>
      <c r="AK90" s="245"/>
      <c r="AL90" s="245"/>
      <c r="AM90" s="245"/>
      <c r="AN90" s="245"/>
    </row>
    <row r="91" spans="1:40">
      <c r="A91" s="1278"/>
      <c r="B91" s="1278"/>
      <c r="C91" s="1278"/>
      <c r="D91" s="1279"/>
      <c r="E91" s="1278"/>
      <c r="F91" s="1278"/>
      <c r="G91" s="1278"/>
      <c r="H91" s="1278"/>
      <c r="I91" s="1278"/>
      <c r="J91" s="1278"/>
      <c r="K91" s="1278"/>
      <c r="L91" s="1280"/>
      <c r="M91" s="1278"/>
      <c r="N91" s="1278"/>
      <c r="O91" s="1278"/>
      <c r="P91" s="1278"/>
      <c r="Q91" s="1278"/>
      <c r="R91" s="1278"/>
      <c r="S91" s="1278"/>
      <c r="T91" s="1278"/>
      <c r="U91" s="1211" t="e">
        <f t="shared" si="85"/>
        <v>#VALUE!</v>
      </c>
      <c r="V91" s="1211">
        <f t="shared" si="85"/>
        <v>5.3500000000000005</v>
      </c>
      <c r="W91" s="1211">
        <f t="shared" si="85"/>
        <v>3.2499999999999996</v>
      </c>
      <c r="X91" s="1211">
        <f t="shared" si="85"/>
        <v>4.6999999999999993</v>
      </c>
      <c r="Y91" s="1211" t="e">
        <f t="shared" si="85"/>
        <v>#REF!</v>
      </c>
      <c r="Z91" s="1211">
        <f t="shared" si="85"/>
        <v>5</v>
      </c>
      <c r="AA91" s="1211">
        <f t="shared" si="85"/>
        <v>1.04</v>
      </c>
      <c r="AB91" s="1278"/>
      <c r="AC91" s="1244"/>
      <c r="AD91" s="1244"/>
      <c r="AE91" s="1244"/>
      <c r="AF91" s="1244"/>
      <c r="AG91" s="1244"/>
      <c r="AH91" s="1244"/>
      <c r="AI91" s="244"/>
      <c r="AJ91" s="245"/>
      <c r="AK91" s="245"/>
      <c r="AL91" s="245"/>
      <c r="AM91" s="245"/>
      <c r="AN91" s="245"/>
    </row>
    <row r="92" spans="1:40">
      <c r="A92" s="1278"/>
      <c r="B92" s="1278"/>
      <c r="C92" s="1278"/>
      <c r="D92" s="1279"/>
      <c r="E92" s="1278"/>
      <c r="F92" s="1278"/>
      <c r="G92" s="1278"/>
      <c r="H92" s="1278"/>
      <c r="I92" s="1278"/>
      <c r="J92" s="1278"/>
      <c r="K92" s="1278"/>
      <c r="L92" s="1280"/>
      <c r="M92" s="1278"/>
      <c r="N92" s="1278"/>
      <c r="O92" s="1278"/>
      <c r="P92" s="1278"/>
      <c r="Q92" s="1278"/>
      <c r="R92" s="1278"/>
      <c r="S92" s="1278"/>
      <c r="T92" s="1278"/>
      <c r="U92" s="1211" t="e">
        <f t="shared" si="85"/>
        <v>#VALUE!</v>
      </c>
      <c r="V92" s="1211">
        <f t="shared" si="85"/>
        <v>5.3500000000000005</v>
      </c>
      <c r="W92" s="1211">
        <f t="shared" si="85"/>
        <v>3.2499999999999996</v>
      </c>
      <c r="X92" s="1211">
        <f t="shared" si="85"/>
        <v>4.6999999999999993</v>
      </c>
      <c r="Y92" s="1211" t="e">
        <f t="shared" si="85"/>
        <v>#REF!</v>
      </c>
      <c r="Z92" s="1211">
        <f t="shared" si="85"/>
        <v>5</v>
      </c>
      <c r="AA92" s="1211">
        <f t="shared" si="85"/>
        <v>1.04</v>
      </c>
      <c r="AB92" s="1278"/>
      <c r="AC92" s="1244">
        <v>0</v>
      </c>
      <c r="AD92" s="1244">
        <v>0</v>
      </c>
      <c r="AE92" s="1244">
        <v>0</v>
      </c>
      <c r="AF92" s="1244">
        <v>0</v>
      </c>
      <c r="AG92" s="1244">
        <v>0</v>
      </c>
      <c r="AH92" s="1244">
        <v>0</v>
      </c>
      <c r="AI92" s="244"/>
      <c r="AJ92" s="245"/>
      <c r="AK92" s="245"/>
      <c r="AL92" s="245"/>
      <c r="AM92" s="245"/>
      <c r="AN92" s="245"/>
    </row>
    <row r="93" spans="1:40">
      <c r="A93" s="1278"/>
      <c r="B93" s="1278"/>
      <c r="C93" s="1278"/>
      <c r="D93" s="1279"/>
      <c r="E93" s="1278"/>
      <c r="F93" s="1278"/>
      <c r="G93" s="1278"/>
      <c r="H93" s="1278"/>
      <c r="I93" s="1278"/>
      <c r="J93" s="1278"/>
      <c r="K93" s="1278"/>
      <c r="L93" s="1280"/>
      <c r="M93" s="1278"/>
      <c r="N93" s="1278"/>
      <c r="O93" s="1278"/>
      <c r="P93" s="1278"/>
      <c r="Q93" s="1278"/>
      <c r="R93" s="1278"/>
      <c r="S93" s="1278"/>
      <c r="T93" s="1278"/>
      <c r="U93" s="1211" t="e">
        <f t="shared" si="85"/>
        <v>#VALUE!</v>
      </c>
      <c r="V93" s="1211">
        <f t="shared" si="85"/>
        <v>5.3500000000000005</v>
      </c>
      <c r="W93" s="1211">
        <f t="shared" si="85"/>
        <v>3.2499999999999996</v>
      </c>
      <c r="X93" s="1211">
        <f t="shared" si="85"/>
        <v>4.6999999999999993</v>
      </c>
      <c r="Y93" s="1211" t="e">
        <f t="shared" si="85"/>
        <v>#REF!</v>
      </c>
      <c r="Z93" s="1211">
        <f t="shared" si="85"/>
        <v>5</v>
      </c>
      <c r="AA93" s="1211">
        <f t="shared" si="85"/>
        <v>1.04</v>
      </c>
      <c r="AB93" s="1278"/>
      <c r="AC93" s="1244">
        <v>0</v>
      </c>
      <c r="AD93" s="1244">
        <v>0</v>
      </c>
      <c r="AE93" s="1244">
        <v>0</v>
      </c>
      <c r="AF93" s="1244">
        <v>0</v>
      </c>
      <c r="AG93" s="1244">
        <v>0</v>
      </c>
      <c r="AH93" s="1244">
        <v>0</v>
      </c>
      <c r="AI93" s="244"/>
      <c r="AJ93" s="245"/>
      <c r="AK93" s="245"/>
      <c r="AL93" s="245"/>
      <c r="AM93" s="245"/>
      <c r="AN93" s="245"/>
    </row>
    <row r="94" spans="1:40">
      <c r="A94" s="1278"/>
      <c r="B94" s="1278"/>
      <c r="C94" s="1278"/>
      <c r="D94" s="1279"/>
      <c r="E94" s="1278"/>
      <c r="F94" s="1278"/>
      <c r="G94" s="1278"/>
      <c r="H94" s="1278"/>
      <c r="I94" s="1278"/>
      <c r="J94" s="1278"/>
      <c r="K94" s="1278"/>
      <c r="L94" s="1280"/>
      <c r="M94" s="1278"/>
      <c r="N94" s="1278"/>
      <c r="O94" s="1278"/>
      <c r="P94" s="1278"/>
      <c r="Q94" s="1278"/>
      <c r="R94" s="1278"/>
      <c r="S94" s="1278"/>
      <c r="T94" s="1278"/>
      <c r="U94" s="1211" t="e">
        <f t="shared" si="85"/>
        <v>#VALUE!</v>
      </c>
      <c r="V94" s="1211">
        <f t="shared" si="85"/>
        <v>5.3500000000000005</v>
      </c>
      <c r="W94" s="1211">
        <f t="shared" si="85"/>
        <v>3.2499999999999996</v>
      </c>
      <c r="X94" s="1211">
        <f t="shared" si="85"/>
        <v>4.6999999999999993</v>
      </c>
      <c r="Y94" s="1211" t="e">
        <f t="shared" si="85"/>
        <v>#REF!</v>
      </c>
      <c r="Z94" s="1211">
        <f t="shared" si="85"/>
        <v>5</v>
      </c>
      <c r="AA94" s="1211">
        <f t="shared" si="85"/>
        <v>1.04</v>
      </c>
      <c r="AB94" s="1278"/>
      <c r="AC94" s="1244">
        <v>0</v>
      </c>
      <c r="AD94" s="1244">
        <v>0</v>
      </c>
      <c r="AE94" s="1244">
        <v>0</v>
      </c>
      <c r="AF94" s="1244">
        <v>0</v>
      </c>
      <c r="AG94" s="1244">
        <v>0</v>
      </c>
      <c r="AH94" s="1244">
        <v>0</v>
      </c>
      <c r="AI94" s="244"/>
      <c r="AJ94" s="245"/>
      <c r="AK94" s="245"/>
      <c r="AL94" s="245"/>
      <c r="AM94" s="245"/>
      <c r="AN94" s="245"/>
    </row>
    <row r="95" spans="1:40">
      <c r="A95" s="1278"/>
      <c r="B95" s="1278"/>
      <c r="C95" s="1278"/>
      <c r="D95" s="1279"/>
      <c r="E95" s="1278"/>
      <c r="F95" s="1278"/>
      <c r="G95" s="1278"/>
      <c r="H95" s="1278"/>
      <c r="I95" s="1278"/>
      <c r="J95" s="1278"/>
      <c r="K95" s="1278"/>
      <c r="L95" s="1280"/>
      <c r="M95" s="1278"/>
      <c r="N95" s="1278"/>
      <c r="O95" s="1278"/>
      <c r="P95" s="1278"/>
      <c r="Q95" s="1278"/>
      <c r="R95" s="1278"/>
      <c r="S95" s="1278"/>
      <c r="T95" s="1278"/>
      <c r="U95" s="1211" t="e">
        <f t="shared" si="85"/>
        <v>#VALUE!</v>
      </c>
      <c r="V95" s="1211">
        <f t="shared" si="85"/>
        <v>5.3500000000000005</v>
      </c>
      <c r="W95" s="1211">
        <f t="shared" si="85"/>
        <v>3.2499999999999996</v>
      </c>
      <c r="X95" s="1211">
        <f t="shared" si="85"/>
        <v>4.6999999999999993</v>
      </c>
      <c r="Y95" s="1211" t="e">
        <f t="shared" si="85"/>
        <v>#REF!</v>
      </c>
      <c r="Z95" s="1211">
        <f t="shared" si="85"/>
        <v>5</v>
      </c>
      <c r="AA95" s="1211">
        <f t="shared" si="85"/>
        <v>1.04</v>
      </c>
      <c r="AB95" s="1278"/>
      <c r="AC95" s="1244"/>
      <c r="AD95" s="1244"/>
      <c r="AE95" s="1244"/>
      <c r="AF95" s="1244"/>
      <c r="AG95" s="1244"/>
      <c r="AH95" s="1244"/>
      <c r="AI95" s="244"/>
      <c r="AJ95" s="245"/>
      <c r="AK95" s="245"/>
      <c r="AL95" s="245"/>
      <c r="AM95" s="245"/>
      <c r="AN95" s="245"/>
    </row>
    <row r="96" spans="1:40">
      <c r="A96" s="1278"/>
      <c r="B96" s="1278"/>
      <c r="C96" s="1278"/>
      <c r="D96" s="1279"/>
      <c r="E96" s="1278"/>
      <c r="F96" s="1278"/>
      <c r="G96" s="1278"/>
      <c r="H96" s="1278"/>
      <c r="I96" s="1278"/>
      <c r="J96" s="1278"/>
      <c r="K96" s="1278"/>
      <c r="L96" s="1280"/>
      <c r="M96" s="1278"/>
      <c r="N96" s="1278"/>
      <c r="O96" s="1278"/>
      <c r="P96" s="1278"/>
      <c r="Q96" s="1278"/>
      <c r="R96" s="1278"/>
      <c r="S96" s="1278"/>
      <c r="T96" s="1278"/>
      <c r="U96" s="1211" t="e">
        <f t="shared" si="85"/>
        <v>#VALUE!</v>
      </c>
      <c r="V96" s="1211">
        <f t="shared" si="85"/>
        <v>5.3500000000000005</v>
      </c>
      <c r="W96" s="1211">
        <f t="shared" si="85"/>
        <v>3.2499999999999996</v>
      </c>
      <c r="X96" s="1211">
        <f t="shared" si="85"/>
        <v>4.6999999999999993</v>
      </c>
      <c r="Y96" s="1211" t="e">
        <f t="shared" si="85"/>
        <v>#REF!</v>
      </c>
      <c r="Z96" s="1211">
        <f t="shared" si="85"/>
        <v>5</v>
      </c>
      <c r="AA96" s="1211">
        <f t="shared" si="85"/>
        <v>1.04</v>
      </c>
      <c r="AB96" s="1278"/>
      <c r="AC96" s="1244"/>
      <c r="AD96" s="1244"/>
      <c r="AE96" s="1244"/>
      <c r="AF96" s="1244"/>
      <c r="AG96" s="1244"/>
      <c r="AH96" s="1244"/>
      <c r="AI96" s="244"/>
      <c r="AJ96" s="245"/>
      <c r="AK96" s="245"/>
      <c r="AL96" s="245"/>
      <c r="AM96" s="245"/>
      <c r="AN96" s="245"/>
    </row>
    <row r="97" spans="1:40">
      <c r="A97" s="1278"/>
      <c r="B97" s="1278"/>
      <c r="C97" s="1278"/>
      <c r="D97" s="1279"/>
      <c r="E97" s="1278"/>
      <c r="F97" s="1278"/>
      <c r="G97" s="1278"/>
      <c r="H97" s="1278"/>
      <c r="I97" s="1278"/>
      <c r="J97" s="1278"/>
      <c r="K97" s="1278"/>
      <c r="L97" s="1280"/>
      <c r="M97" s="1278"/>
      <c r="N97" s="1278"/>
      <c r="O97" s="1278"/>
      <c r="P97" s="1278"/>
      <c r="Q97" s="1278"/>
      <c r="R97" s="1278"/>
      <c r="S97" s="1278"/>
      <c r="T97" s="1278"/>
      <c r="U97" s="1211" t="e">
        <f t="shared" si="85"/>
        <v>#VALUE!</v>
      </c>
      <c r="V97" s="1211">
        <f t="shared" si="85"/>
        <v>5.3500000000000005</v>
      </c>
      <c r="W97" s="1211">
        <f t="shared" si="85"/>
        <v>3.2499999999999996</v>
      </c>
      <c r="X97" s="1211">
        <f t="shared" si="85"/>
        <v>4.6999999999999993</v>
      </c>
      <c r="Y97" s="1211" t="e">
        <f t="shared" si="85"/>
        <v>#REF!</v>
      </c>
      <c r="Z97" s="1211">
        <f t="shared" si="85"/>
        <v>5</v>
      </c>
      <c r="AA97" s="1211">
        <f t="shared" si="85"/>
        <v>1.04</v>
      </c>
      <c r="AB97" s="1278"/>
      <c r="AC97" s="1244">
        <v>0</v>
      </c>
      <c r="AD97" s="1244">
        <v>0</v>
      </c>
      <c r="AE97" s="1244">
        <v>0</v>
      </c>
      <c r="AF97" s="1244">
        <v>0</v>
      </c>
      <c r="AG97" s="1244">
        <v>0</v>
      </c>
      <c r="AH97" s="1244">
        <v>0</v>
      </c>
      <c r="AI97" s="244"/>
      <c r="AJ97" s="245"/>
      <c r="AK97" s="245"/>
      <c r="AL97" s="245"/>
      <c r="AM97" s="245"/>
      <c r="AN97" s="245"/>
    </row>
    <row r="98" spans="1:40">
      <c r="A98" s="1278"/>
      <c r="B98" s="1278"/>
      <c r="C98" s="1278"/>
      <c r="D98" s="1279"/>
      <c r="E98" s="1278"/>
      <c r="F98" s="1278"/>
      <c r="G98" s="1278"/>
      <c r="H98" s="1278"/>
      <c r="I98" s="1278"/>
      <c r="J98" s="1278"/>
      <c r="K98" s="1278"/>
      <c r="L98" s="1280"/>
      <c r="M98" s="1278"/>
      <c r="N98" s="1278"/>
      <c r="O98" s="1278"/>
      <c r="P98" s="1278"/>
      <c r="Q98" s="1278"/>
      <c r="R98" s="1278"/>
      <c r="S98" s="1278"/>
      <c r="T98" s="1278"/>
      <c r="U98" s="1211" t="e">
        <f t="shared" si="85"/>
        <v>#VALUE!</v>
      </c>
      <c r="V98" s="1211">
        <f t="shared" si="85"/>
        <v>5.3500000000000005</v>
      </c>
      <c r="W98" s="1211">
        <f t="shared" si="85"/>
        <v>3.2499999999999996</v>
      </c>
      <c r="X98" s="1211">
        <f t="shared" si="85"/>
        <v>4.6999999999999993</v>
      </c>
      <c r="Y98" s="1211" t="e">
        <f t="shared" si="85"/>
        <v>#REF!</v>
      </c>
      <c r="Z98" s="1211">
        <f t="shared" si="85"/>
        <v>5</v>
      </c>
      <c r="AA98" s="1211">
        <f t="shared" si="85"/>
        <v>1.04</v>
      </c>
      <c r="AB98" s="1278"/>
      <c r="AC98" s="1244">
        <v>0</v>
      </c>
      <c r="AD98" s="1244">
        <v>0</v>
      </c>
      <c r="AE98" s="1244">
        <v>0</v>
      </c>
      <c r="AF98" s="1244">
        <v>0</v>
      </c>
      <c r="AG98" s="1244">
        <v>0</v>
      </c>
      <c r="AH98" s="1244">
        <v>0</v>
      </c>
      <c r="AI98" s="244"/>
      <c r="AJ98" s="245"/>
      <c r="AK98" s="245"/>
      <c r="AL98" s="245"/>
      <c r="AM98" s="245"/>
      <c r="AN98" s="245"/>
    </row>
    <row r="99" spans="1:40">
      <c r="A99" s="1278"/>
      <c r="B99" s="1278"/>
      <c r="C99" s="1278"/>
      <c r="D99" s="1279"/>
      <c r="E99" s="1278"/>
      <c r="F99" s="1278"/>
      <c r="G99" s="1278"/>
      <c r="H99" s="1278"/>
      <c r="I99" s="1278"/>
      <c r="J99" s="1278"/>
      <c r="K99" s="1278"/>
      <c r="L99" s="1280"/>
      <c r="M99" s="1278"/>
      <c r="N99" s="1278"/>
      <c r="O99" s="1278"/>
      <c r="P99" s="1278"/>
      <c r="Q99" s="1278"/>
      <c r="R99" s="1278"/>
      <c r="S99" s="1278"/>
      <c r="T99" s="1278"/>
      <c r="U99" s="1211" t="e">
        <f t="shared" si="85"/>
        <v>#VALUE!</v>
      </c>
      <c r="V99" s="1211">
        <f t="shared" si="85"/>
        <v>5.3500000000000005</v>
      </c>
      <c r="W99" s="1211">
        <f t="shared" si="85"/>
        <v>3.2499999999999996</v>
      </c>
      <c r="X99" s="1211">
        <f t="shared" si="85"/>
        <v>4.6999999999999993</v>
      </c>
      <c r="Y99" s="1211" t="e">
        <f t="shared" si="85"/>
        <v>#REF!</v>
      </c>
      <c r="Z99" s="1211">
        <f t="shared" si="85"/>
        <v>5</v>
      </c>
      <c r="AA99" s="1211">
        <f t="shared" si="85"/>
        <v>1.04</v>
      </c>
      <c r="AB99" s="1278"/>
      <c r="AC99" s="1244"/>
      <c r="AD99" s="1244"/>
      <c r="AE99" s="1244"/>
      <c r="AF99" s="1244"/>
      <c r="AG99" s="1244"/>
      <c r="AH99" s="1244"/>
      <c r="AI99" s="244"/>
      <c r="AJ99" s="245"/>
      <c r="AK99" s="245"/>
      <c r="AL99" s="245"/>
      <c r="AM99" s="245"/>
      <c r="AN99" s="245"/>
    </row>
    <row r="100" spans="1:40">
      <c r="A100" s="1278"/>
      <c r="B100" s="1278"/>
      <c r="C100" s="1278"/>
      <c r="D100" s="1279"/>
      <c r="E100" s="1278"/>
      <c r="F100" s="1278"/>
      <c r="G100" s="1278"/>
      <c r="H100" s="1278"/>
      <c r="I100" s="1278"/>
      <c r="J100" s="1278"/>
      <c r="K100" s="1278"/>
      <c r="L100" s="1280"/>
      <c r="M100" s="1278"/>
      <c r="N100" s="1278"/>
      <c r="O100" s="1278"/>
      <c r="P100" s="1278"/>
      <c r="Q100" s="1278"/>
      <c r="R100" s="1278"/>
      <c r="S100" s="1278"/>
      <c r="T100" s="1278"/>
      <c r="U100" s="1211" t="e">
        <f t="shared" si="85"/>
        <v>#VALUE!</v>
      </c>
      <c r="V100" s="1211">
        <f t="shared" si="85"/>
        <v>5.3500000000000005</v>
      </c>
      <c r="W100" s="1211">
        <f t="shared" si="85"/>
        <v>3.2499999999999996</v>
      </c>
      <c r="X100" s="1211">
        <f t="shared" si="85"/>
        <v>4.6999999999999993</v>
      </c>
      <c r="Y100" s="1211" t="e">
        <f t="shared" si="85"/>
        <v>#REF!</v>
      </c>
      <c r="Z100" s="1211">
        <f t="shared" si="85"/>
        <v>5</v>
      </c>
      <c r="AA100" s="1211">
        <f t="shared" si="85"/>
        <v>1.04</v>
      </c>
      <c r="AB100" s="1278"/>
      <c r="AC100" s="1244"/>
      <c r="AD100" s="1244"/>
      <c r="AE100" s="1244"/>
      <c r="AF100" s="1244"/>
      <c r="AG100" s="1244"/>
      <c r="AH100" s="1244"/>
      <c r="AI100" s="244"/>
      <c r="AJ100" s="245"/>
      <c r="AK100" s="245"/>
      <c r="AL100" s="245"/>
      <c r="AM100" s="245"/>
      <c r="AN100" s="245"/>
    </row>
    <row r="101" spans="1:40">
      <c r="A101" s="1278"/>
      <c r="B101" s="1278"/>
      <c r="C101" s="1278"/>
      <c r="D101" s="1279"/>
      <c r="E101" s="1278"/>
      <c r="F101" s="1278"/>
      <c r="G101" s="1278"/>
      <c r="H101" s="1278"/>
      <c r="I101" s="1278"/>
      <c r="J101" s="1278"/>
      <c r="K101" s="1278"/>
      <c r="L101" s="1280"/>
      <c r="M101" s="1278"/>
      <c r="N101" s="1278"/>
      <c r="O101" s="1278"/>
      <c r="P101" s="1278"/>
      <c r="Q101" s="1278"/>
      <c r="R101" s="1278"/>
      <c r="S101" s="1278"/>
      <c r="T101" s="1278"/>
      <c r="U101" s="1211" t="e">
        <f t="shared" ref="U101:AA116" si="86">IF(U100&gt;0,U100,U99)</f>
        <v>#VALUE!</v>
      </c>
      <c r="V101" s="1211">
        <f t="shared" si="86"/>
        <v>5.3500000000000005</v>
      </c>
      <c r="W101" s="1211">
        <f t="shared" si="86"/>
        <v>3.2499999999999996</v>
      </c>
      <c r="X101" s="1211">
        <f t="shared" si="86"/>
        <v>4.6999999999999993</v>
      </c>
      <c r="Y101" s="1211" t="e">
        <f t="shared" si="86"/>
        <v>#REF!</v>
      </c>
      <c r="Z101" s="1211">
        <f t="shared" si="86"/>
        <v>5</v>
      </c>
      <c r="AA101" s="1211">
        <f t="shared" si="86"/>
        <v>1.04</v>
      </c>
      <c r="AB101" s="1278"/>
      <c r="AC101" s="1244">
        <v>0</v>
      </c>
      <c r="AD101" s="1244">
        <v>0</v>
      </c>
      <c r="AE101" s="1244">
        <v>0</v>
      </c>
      <c r="AF101" s="1244">
        <v>0</v>
      </c>
      <c r="AG101" s="1244">
        <v>0</v>
      </c>
      <c r="AH101" s="1244">
        <v>0</v>
      </c>
      <c r="AI101" s="244"/>
      <c r="AJ101" s="245"/>
      <c r="AK101" s="245"/>
      <c r="AL101" s="245"/>
      <c r="AM101" s="245"/>
      <c r="AN101" s="245"/>
    </row>
    <row r="102" spans="1:40">
      <c r="A102" s="1278"/>
      <c r="B102" s="1278"/>
      <c r="C102" s="1278"/>
      <c r="D102" s="1279"/>
      <c r="E102" s="1278"/>
      <c r="F102" s="1278"/>
      <c r="G102" s="1278"/>
      <c r="H102" s="1278"/>
      <c r="I102" s="1278"/>
      <c r="J102" s="1278"/>
      <c r="K102" s="1278"/>
      <c r="L102" s="1280"/>
      <c r="M102" s="1278"/>
      <c r="N102" s="1278"/>
      <c r="O102" s="1278"/>
      <c r="P102" s="1278"/>
      <c r="Q102" s="1278"/>
      <c r="R102" s="1278"/>
      <c r="S102" s="1278"/>
      <c r="T102" s="1278"/>
      <c r="U102" s="1211" t="e">
        <f t="shared" si="86"/>
        <v>#VALUE!</v>
      </c>
      <c r="V102" s="1211">
        <f t="shared" si="86"/>
        <v>5.3500000000000005</v>
      </c>
      <c r="W102" s="1211">
        <f t="shared" si="86"/>
        <v>3.2499999999999996</v>
      </c>
      <c r="X102" s="1211">
        <f t="shared" si="86"/>
        <v>4.6999999999999993</v>
      </c>
      <c r="Y102" s="1211" t="e">
        <f t="shared" si="86"/>
        <v>#REF!</v>
      </c>
      <c r="Z102" s="1211">
        <f t="shared" si="86"/>
        <v>5</v>
      </c>
      <c r="AA102" s="1211">
        <f t="shared" si="86"/>
        <v>1.04</v>
      </c>
      <c r="AB102" s="1278"/>
      <c r="AC102" s="1244">
        <v>0</v>
      </c>
      <c r="AD102" s="1244">
        <v>0</v>
      </c>
      <c r="AE102" s="1244">
        <v>0</v>
      </c>
      <c r="AF102" s="1244">
        <v>0</v>
      </c>
      <c r="AG102" s="1244">
        <v>0</v>
      </c>
      <c r="AH102" s="1244">
        <v>0</v>
      </c>
      <c r="AI102" s="244"/>
      <c r="AJ102" s="245"/>
      <c r="AK102" s="245"/>
      <c r="AL102" s="245"/>
      <c r="AM102" s="245"/>
      <c r="AN102" s="245"/>
    </row>
    <row r="103" spans="1:40">
      <c r="A103" s="1278"/>
      <c r="B103" s="1278"/>
      <c r="C103" s="1278"/>
      <c r="D103" s="1279"/>
      <c r="E103" s="1278"/>
      <c r="F103" s="1278"/>
      <c r="G103" s="1278"/>
      <c r="H103" s="1278"/>
      <c r="I103" s="1278"/>
      <c r="J103" s="1278"/>
      <c r="K103" s="1278"/>
      <c r="L103" s="1280"/>
      <c r="M103" s="1278"/>
      <c r="N103" s="1278"/>
      <c r="O103" s="1278"/>
      <c r="P103" s="1278"/>
      <c r="Q103" s="1278"/>
      <c r="R103" s="1278"/>
      <c r="S103" s="1278"/>
      <c r="T103" s="1278"/>
      <c r="U103" s="1211" t="e">
        <f t="shared" si="86"/>
        <v>#VALUE!</v>
      </c>
      <c r="V103" s="1211">
        <f t="shared" si="86"/>
        <v>5.3500000000000005</v>
      </c>
      <c r="W103" s="1211">
        <f t="shared" si="86"/>
        <v>3.2499999999999996</v>
      </c>
      <c r="X103" s="1211">
        <f t="shared" si="86"/>
        <v>4.6999999999999993</v>
      </c>
      <c r="Y103" s="1211" t="e">
        <f t="shared" si="86"/>
        <v>#REF!</v>
      </c>
      <c r="Z103" s="1211">
        <f t="shared" si="86"/>
        <v>5</v>
      </c>
      <c r="AA103" s="1211">
        <f t="shared" si="86"/>
        <v>1.04</v>
      </c>
      <c r="AB103" s="1278"/>
      <c r="AC103" s="1244">
        <v>0</v>
      </c>
      <c r="AD103" s="1244">
        <v>0</v>
      </c>
      <c r="AE103" s="1244">
        <v>0</v>
      </c>
      <c r="AF103" s="1244">
        <v>0</v>
      </c>
      <c r="AG103" s="1244">
        <v>0</v>
      </c>
      <c r="AH103" s="1244">
        <v>0</v>
      </c>
      <c r="AI103" s="244"/>
      <c r="AJ103" s="245"/>
      <c r="AK103" s="245"/>
      <c r="AL103" s="245"/>
      <c r="AM103" s="245"/>
      <c r="AN103" s="245"/>
    </row>
    <row r="104" spans="1:40">
      <c r="A104" s="1278"/>
      <c r="B104" s="1278"/>
      <c r="C104" s="1278"/>
      <c r="D104" s="1279"/>
      <c r="E104" s="1278"/>
      <c r="F104" s="1278"/>
      <c r="G104" s="1278"/>
      <c r="H104" s="1278"/>
      <c r="I104" s="1278"/>
      <c r="J104" s="1278"/>
      <c r="K104" s="1278"/>
      <c r="L104" s="1280"/>
      <c r="M104" s="1278"/>
      <c r="N104" s="1278"/>
      <c r="O104" s="1278"/>
      <c r="P104" s="1278"/>
      <c r="Q104" s="1278"/>
      <c r="R104" s="1278"/>
      <c r="S104" s="1278"/>
      <c r="T104" s="1278"/>
      <c r="U104" s="1211" t="e">
        <f t="shared" si="86"/>
        <v>#VALUE!</v>
      </c>
      <c r="V104" s="1211">
        <f t="shared" si="86"/>
        <v>5.3500000000000005</v>
      </c>
      <c r="W104" s="1211">
        <f t="shared" si="86"/>
        <v>3.2499999999999996</v>
      </c>
      <c r="X104" s="1211">
        <f t="shared" si="86"/>
        <v>4.6999999999999993</v>
      </c>
      <c r="Y104" s="1211" t="e">
        <f t="shared" si="86"/>
        <v>#REF!</v>
      </c>
      <c r="Z104" s="1211">
        <f t="shared" si="86"/>
        <v>5</v>
      </c>
      <c r="AA104" s="1211">
        <f t="shared" si="86"/>
        <v>1.04</v>
      </c>
      <c r="AB104" s="1278"/>
      <c r="AC104" s="1244">
        <v>0</v>
      </c>
      <c r="AD104" s="1244">
        <v>0</v>
      </c>
      <c r="AE104" s="1244">
        <v>0</v>
      </c>
      <c r="AF104" s="1244">
        <v>0</v>
      </c>
      <c r="AG104" s="1244">
        <v>0</v>
      </c>
      <c r="AH104" s="1244">
        <v>0</v>
      </c>
      <c r="AI104" s="244"/>
      <c r="AJ104" s="245"/>
      <c r="AK104" s="245"/>
      <c r="AL104" s="245"/>
      <c r="AM104" s="245"/>
      <c r="AN104" s="245"/>
    </row>
    <row r="105" spans="1:40">
      <c r="A105" s="1278"/>
      <c r="B105" s="1278"/>
      <c r="C105" s="1278"/>
      <c r="D105" s="1279"/>
      <c r="E105" s="1278"/>
      <c r="F105" s="1278"/>
      <c r="G105" s="1278"/>
      <c r="H105" s="1278"/>
      <c r="I105" s="1278"/>
      <c r="J105" s="1278"/>
      <c r="K105" s="1278"/>
      <c r="L105" s="1280"/>
      <c r="M105" s="1278"/>
      <c r="N105" s="1278"/>
      <c r="O105" s="1278"/>
      <c r="P105" s="1278"/>
      <c r="Q105" s="1278"/>
      <c r="R105" s="1278"/>
      <c r="S105" s="1278"/>
      <c r="T105" s="1278"/>
      <c r="U105" s="1211" t="e">
        <f t="shared" si="86"/>
        <v>#VALUE!</v>
      </c>
      <c r="V105" s="1211">
        <f t="shared" si="86"/>
        <v>5.3500000000000005</v>
      </c>
      <c r="W105" s="1211">
        <f t="shared" si="86"/>
        <v>3.2499999999999996</v>
      </c>
      <c r="X105" s="1211">
        <f t="shared" si="86"/>
        <v>4.6999999999999993</v>
      </c>
      <c r="Y105" s="1211" t="e">
        <f t="shared" si="86"/>
        <v>#REF!</v>
      </c>
      <c r="Z105" s="1211">
        <f t="shared" si="86"/>
        <v>5</v>
      </c>
      <c r="AA105" s="1211">
        <f t="shared" si="86"/>
        <v>1.04</v>
      </c>
      <c r="AB105" s="1278"/>
      <c r="AC105" s="1244"/>
      <c r="AD105" s="1244"/>
      <c r="AE105" s="1244"/>
      <c r="AF105" s="1244"/>
      <c r="AG105" s="1244"/>
      <c r="AH105" s="1244"/>
      <c r="AI105" s="244"/>
      <c r="AJ105" s="245"/>
      <c r="AK105" s="245"/>
      <c r="AL105" s="245"/>
      <c r="AM105" s="245"/>
      <c r="AN105" s="245"/>
    </row>
    <row r="106" spans="1:40">
      <c r="A106" s="1278"/>
      <c r="B106" s="1278"/>
      <c r="C106" s="1278"/>
      <c r="D106" s="1279"/>
      <c r="E106" s="1278"/>
      <c r="F106" s="1278"/>
      <c r="G106" s="1278"/>
      <c r="H106" s="1278"/>
      <c r="I106" s="1278"/>
      <c r="J106" s="1278"/>
      <c r="K106" s="1278"/>
      <c r="L106" s="1280"/>
      <c r="M106" s="1278"/>
      <c r="N106" s="1278"/>
      <c r="O106" s="1278"/>
      <c r="P106" s="1278"/>
      <c r="Q106" s="1278"/>
      <c r="R106" s="1278"/>
      <c r="S106" s="1278"/>
      <c r="T106" s="1278"/>
      <c r="U106" s="1211" t="e">
        <f t="shared" si="86"/>
        <v>#VALUE!</v>
      </c>
      <c r="V106" s="1211">
        <f t="shared" si="86"/>
        <v>5.3500000000000005</v>
      </c>
      <c r="W106" s="1211">
        <f t="shared" si="86"/>
        <v>3.2499999999999996</v>
      </c>
      <c r="X106" s="1211">
        <f t="shared" si="86"/>
        <v>4.6999999999999993</v>
      </c>
      <c r="Y106" s="1211" t="e">
        <f t="shared" si="86"/>
        <v>#REF!</v>
      </c>
      <c r="Z106" s="1211">
        <f t="shared" si="86"/>
        <v>5</v>
      </c>
      <c r="AA106" s="1211">
        <f t="shared" si="86"/>
        <v>1.04</v>
      </c>
      <c r="AB106" s="1278"/>
      <c r="AC106" s="1244">
        <v>0</v>
      </c>
      <c r="AD106" s="1244">
        <v>0</v>
      </c>
      <c r="AE106" s="1244">
        <v>0</v>
      </c>
      <c r="AF106" s="1244">
        <v>0</v>
      </c>
      <c r="AG106" s="1244">
        <v>0</v>
      </c>
      <c r="AH106" s="1244">
        <v>0</v>
      </c>
      <c r="AI106" s="244"/>
      <c r="AJ106" s="245"/>
      <c r="AK106" s="245"/>
      <c r="AL106" s="245"/>
      <c r="AM106" s="245"/>
      <c r="AN106" s="245"/>
    </row>
    <row r="107" spans="1:40">
      <c r="A107" s="1278"/>
      <c r="B107" s="1278"/>
      <c r="C107" s="1278"/>
      <c r="D107" s="1279"/>
      <c r="E107" s="1278"/>
      <c r="F107" s="1278"/>
      <c r="G107" s="1278"/>
      <c r="H107" s="1278"/>
      <c r="I107" s="1278"/>
      <c r="J107" s="1278"/>
      <c r="K107" s="1278"/>
      <c r="L107" s="1280"/>
      <c r="M107" s="1278"/>
      <c r="N107" s="1278"/>
      <c r="O107" s="1278"/>
      <c r="P107" s="1278"/>
      <c r="Q107" s="1278"/>
      <c r="R107" s="1278"/>
      <c r="S107" s="1278"/>
      <c r="T107" s="1278"/>
      <c r="U107" s="1211" t="e">
        <f t="shared" si="86"/>
        <v>#VALUE!</v>
      </c>
      <c r="V107" s="1211">
        <f t="shared" si="86"/>
        <v>5.3500000000000005</v>
      </c>
      <c r="W107" s="1211">
        <f t="shared" si="86"/>
        <v>3.2499999999999996</v>
      </c>
      <c r="X107" s="1211">
        <f t="shared" si="86"/>
        <v>4.6999999999999993</v>
      </c>
      <c r="Y107" s="1211" t="e">
        <f t="shared" si="86"/>
        <v>#REF!</v>
      </c>
      <c r="Z107" s="1211">
        <f t="shared" si="86"/>
        <v>5</v>
      </c>
      <c r="AA107" s="1211">
        <f t="shared" si="86"/>
        <v>1.04</v>
      </c>
      <c r="AB107" s="1278"/>
      <c r="AC107" s="1244">
        <v>0</v>
      </c>
      <c r="AD107" s="1244">
        <v>0</v>
      </c>
      <c r="AE107" s="1244">
        <v>0</v>
      </c>
      <c r="AF107" s="1244">
        <v>0</v>
      </c>
      <c r="AG107" s="1244">
        <v>0</v>
      </c>
      <c r="AH107" s="1244">
        <v>0</v>
      </c>
      <c r="AI107" s="244"/>
      <c r="AJ107" s="245"/>
      <c r="AK107" s="245"/>
      <c r="AL107" s="245"/>
      <c r="AM107" s="245"/>
      <c r="AN107" s="245"/>
    </row>
    <row r="108" spans="1:40">
      <c r="A108" s="1278"/>
      <c r="B108" s="1278"/>
      <c r="C108" s="1278"/>
      <c r="D108" s="1279"/>
      <c r="E108" s="1278"/>
      <c r="F108" s="1278"/>
      <c r="G108" s="1278"/>
      <c r="H108" s="1278"/>
      <c r="I108" s="1278"/>
      <c r="J108" s="1278"/>
      <c r="K108" s="1278"/>
      <c r="L108" s="1280"/>
      <c r="M108" s="1278"/>
      <c r="N108" s="1278"/>
      <c r="O108" s="1278"/>
      <c r="P108" s="1278"/>
      <c r="Q108" s="1278"/>
      <c r="R108" s="1278"/>
      <c r="S108" s="1278"/>
      <c r="T108" s="1278"/>
      <c r="U108" s="1211" t="e">
        <f t="shared" si="86"/>
        <v>#VALUE!</v>
      </c>
      <c r="V108" s="1211">
        <f t="shared" si="86"/>
        <v>5.3500000000000005</v>
      </c>
      <c r="W108" s="1211">
        <f t="shared" si="86"/>
        <v>3.2499999999999996</v>
      </c>
      <c r="X108" s="1211">
        <f t="shared" si="86"/>
        <v>4.6999999999999993</v>
      </c>
      <c r="Y108" s="1211" t="e">
        <f t="shared" si="86"/>
        <v>#REF!</v>
      </c>
      <c r="Z108" s="1211">
        <f t="shared" si="86"/>
        <v>5</v>
      </c>
      <c r="AA108" s="1211">
        <f t="shared" si="86"/>
        <v>1.04</v>
      </c>
      <c r="AB108" s="1278"/>
      <c r="AC108" s="1244"/>
      <c r="AD108" s="1244"/>
      <c r="AE108" s="1244"/>
      <c r="AF108" s="1244"/>
      <c r="AG108" s="1244"/>
      <c r="AH108" s="1244"/>
      <c r="AI108" s="244"/>
      <c r="AJ108" s="245"/>
      <c r="AK108" s="245"/>
      <c r="AL108" s="245"/>
      <c r="AM108" s="245"/>
      <c r="AN108" s="245"/>
    </row>
    <row r="109" spans="1:40">
      <c r="A109" s="1278"/>
      <c r="B109" s="1278"/>
      <c r="C109" s="1278"/>
      <c r="D109" s="1279"/>
      <c r="E109" s="1278"/>
      <c r="F109" s="1278"/>
      <c r="G109" s="1278"/>
      <c r="H109" s="1278"/>
      <c r="I109" s="1278"/>
      <c r="J109" s="1278"/>
      <c r="K109" s="1278"/>
      <c r="L109" s="1280"/>
      <c r="M109" s="1278"/>
      <c r="N109" s="1278"/>
      <c r="O109" s="1278"/>
      <c r="P109" s="1278"/>
      <c r="Q109" s="1278"/>
      <c r="R109" s="1278"/>
      <c r="S109" s="1278"/>
      <c r="T109" s="1278"/>
      <c r="U109" s="1211" t="e">
        <f t="shared" si="86"/>
        <v>#VALUE!</v>
      </c>
      <c r="V109" s="1211">
        <f t="shared" si="86"/>
        <v>5.3500000000000005</v>
      </c>
      <c r="W109" s="1211">
        <f t="shared" si="86"/>
        <v>3.2499999999999996</v>
      </c>
      <c r="X109" s="1211">
        <f t="shared" si="86"/>
        <v>4.6999999999999993</v>
      </c>
      <c r="Y109" s="1211" t="e">
        <f t="shared" si="86"/>
        <v>#REF!</v>
      </c>
      <c r="Z109" s="1211">
        <f t="shared" si="86"/>
        <v>5</v>
      </c>
      <c r="AA109" s="1211">
        <f t="shared" si="86"/>
        <v>1.04</v>
      </c>
      <c r="AB109" s="1278"/>
      <c r="AC109" s="1244"/>
      <c r="AD109" s="1244"/>
      <c r="AE109" s="1244"/>
      <c r="AF109" s="1244"/>
      <c r="AG109" s="1244"/>
      <c r="AH109" s="1244"/>
      <c r="AI109" s="244"/>
      <c r="AJ109" s="245"/>
      <c r="AK109" s="245"/>
      <c r="AL109" s="245"/>
      <c r="AM109" s="245"/>
      <c r="AN109" s="245"/>
    </row>
    <row r="110" spans="1:40">
      <c r="A110" s="1278"/>
      <c r="B110" s="1278"/>
      <c r="C110" s="1278"/>
      <c r="D110" s="1279"/>
      <c r="E110" s="1278"/>
      <c r="F110" s="1278"/>
      <c r="G110" s="1278"/>
      <c r="H110" s="1278"/>
      <c r="I110" s="1278"/>
      <c r="J110" s="1278"/>
      <c r="K110" s="1278"/>
      <c r="L110" s="1280"/>
      <c r="M110" s="1278"/>
      <c r="N110" s="1278"/>
      <c r="O110" s="1278"/>
      <c r="P110" s="1278"/>
      <c r="Q110" s="1278"/>
      <c r="R110" s="1278"/>
      <c r="S110" s="1278"/>
      <c r="T110" s="1278"/>
      <c r="U110" s="1211" t="e">
        <f t="shared" si="86"/>
        <v>#VALUE!</v>
      </c>
      <c r="V110" s="1211">
        <f t="shared" si="86"/>
        <v>5.3500000000000005</v>
      </c>
      <c r="W110" s="1211">
        <f t="shared" si="86"/>
        <v>3.2499999999999996</v>
      </c>
      <c r="X110" s="1211">
        <f t="shared" si="86"/>
        <v>4.6999999999999993</v>
      </c>
      <c r="Y110" s="1211" t="e">
        <f t="shared" si="86"/>
        <v>#REF!</v>
      </c>
      <c r="Z110" s="1211">
        <f t="shared" si="86"/>
        <v>5</v>
      </c>
      <c r="AA110" s="1211">
        <f t="shared" si="86"/>
        <v>1.04</v>
      </c>
      <c r="AB110" s="1278"/>
      <c r="AC110" s="1244">
        <v>0</v>
      </c>
      <c r="AD110" s="1244">
        <v>0</v>
      </c>
      <c r="AE110" s="1244">
        <v>0</v>
      </c>
      <c r="AF110" s="1244">
        <v>0</v>
      </c>
      <c r="AG110" s="1244">
        <v>0</v>
      </c>
      <c r="AH110" s="1244">
        <v>0</v>
      </c>
      <c r="AI110" s="244"/>
      <c r="AJ110" s="245"/>
      <c r="AK110" s="245"/>
      <c r="AL110" s="245"/>
      <c r="AM110" s="245"/>
      <c r="AN110" s="245"/>
    </row>
    <row r="111" spans="1:40">
      <c r="A111" s="1278"/>
      <c r="B111" s="1278"/>
      <c r="C111" s="1278"/>
      <c r="D111" s="1279"/>
      <c r="E111" s="1278"/>
      <c r="F111" s="1278"/>
      <c r="G111" s="1278"/>
      <c r="H111" s="1278"/>
      <c r="I111" s="1278"/>
      <c r="J111" s="1278"/>
      <c r="K111" s="1278"/>
      <c r="L111" s="1280"/>
      <c r="M111" s="1278"/>
      <c r="N111" s="1278"/>
      <c r="O111" s="1278"/>
      <c r="P111" s="1278"/>
      <c r="Q111" s="1278"/>
      <c r="R111" s="1278"/>
      <c r="S111" s="1278"/>
      <c r="T111" s="1278"/>
      <c r="U111" s="1211" t="e">
        <f t="shared" si="86"/>
        <v>#VALUE!</v>
      </c>
      <c r="V111" s="1211">
        <f t="shared" si="86"/>
        <v>5.3500000000000005</v>
      </c>
      <c r="W111" s="1211">
        <f t="shared" si="86"/>
        <v>3.2499999999999996</v>
      </c>
      <c r="X111" s="1211">
        <f t="shared" si="86"/>
        <v>4.6999999999999993</v>
      </c>
      <c r="Y111" s="1211" t="e">
        <f t="shared" si="86"/>
        <v>#REF!</v>
      </c>
      <c r="Z111" s="1211">
        <f t="shared" si="86"/>
        <v>5</v>
      </c>
      <c r="AA111" s="1211">
        <f t="shared" si="86"/>
        <v>1.04</v>
      </c>
      <c r="AB111" s="1278"/>
      <c r="AC111" s="1244">
        <v>0</v>
      </c>
      <c r="AD111" s="1244">
        <v>0</v>
      </c>
      <c r="AE111" s="1244">
        <v>0</v>
      </c>
      <c r="AF111" s="1244">
        <v>0</v>
      </c>
      <c r="AG111" s="1244">
        <v>0</v>
      </c>
      <c r="AH111" s="1244">
        <v>0</v>
      </c>
      <c r="AI111" s="244"/>
      <c r="AJ111" s="245"/>
      <c r="AK111" s="245"/>
      <c r="AL111" s="245"/>
      <c r="AM111" s="245"/>
      <c r="AN111" s="245"/>
    </row>
    <row r="112" spans="1:40">
      <c r="A112" s="1278"/>
      <c r="B112" s="1278"/>
      <c r="C112" s="1278"/>
      <c r="D112" s="1279"/>
      <c r="E112" s="1278"/>
      <c r="F112" s="1278"/>
      <c r="G112" s="1278"/>
      <c r="H112" s="1278"/>
      <c r="I112" s="1278"/>
      <c r="J112" s="1278"/>
      <c r="K112" s="1278"/>
      <c r="L112" s="1280"/>
      <c r="M112" s="1278"/>
      <c r="N112" s="1278"/>
      <c r="O112" s="1278"/>
      <c r="P112" s="1278"/>
      <c r="Q112" s="1278"/>
      <c r="R112" s="1278"/>
      <c r="S112" s="1278"/>
      <c r="T112" s="1278"/>
      <c r="U112" s="1211" t="e">
        <f t="shared" si="86"/>
        <v>#VALUE!</v>
      </c>
      <c r="V112" s="1211">
        <f t="shared" si="86"/>
        <v>5.3500000000000005</v>
      </c>
      <c r="W112" s="1211">
        <f t="shared" si="86"/>
        <v>3.2499999999999996</v>
      </c>
      <c r="X112" s="1211">
        <f t="shared" si="86"/>
        <v>4.6999999999999993</v>
      </c>
      <c r="Y112" s="1211" t="e">
        <f t="shared" si="86"/>
        <v>#REF!</v>
      </c>
      <c r="Z112" s="1211">
        <f t="shared" si="86"/>
        <v>5</v>
      </c>
      <c r="AA112" s="1211">
        <f t="shared" si="86"/>
        <v>1.04</v>
      </c>
      <c r="AB112" s="1278"/>
      <c r="AC112" s="1244">
        <v>0</v>
      </c>
      <c r="AD112" s="1244">
        <v>0</v>
      </c>
      <c r="AE112" s="1244">
        <v>0</v>
      </c>
      <c r="AF112" s="1244">
        <v>0</v>
      </c>
      <c r="AG112" s="1244">
        <v>0</v>
      </c>
      <c r="AH112" s="1244">
        <v>0</v>
      </c>
      <c r="AI112" s="244"/>
      <c r="AJ112" s="245"/>
      <c r="AK112" s="245"/>
      <c r="AL112" s="245"/>
      <c r="AM112" s="245"/>
      <c r="AN112" s="245"/>
    </row>
    <row r="113" spans="1:40">
      <c r="A113" s="1278"/>
      <c r="B113" s="1278"/>
      <c r="C113" s="1278"/>
      <c r="D113" s="1279"/>
      <c r="E113" s="1278"/>
      <c r="F113" s="1278"/>
      <c r="G113" s="1278"/>
      <c r="H113" s="1278"/>
      <c r="I113" s="1278"/>
      <c r="J113" s="1278"/>
      <c r="K113" s="1278"/>
      <c r="L113" s="1280"/>
      <c r="M113" s="1278"/>
      <c r="N113" s="1278"/>
      <c r="O113" s="1278"/>
      <c r="P113" s="1278"/>
      <c r="Q113" s="1278"/>
      <c r="R113" s="1278"/>
      <c r="S113" s="1278"/>
      <c r="T113" s="1278"/>
      <c r="U113" s="1211" t="e">
        <f t="shared" si="86"/>
        <v>#VALUE!</v>
      </c>
      <c r="V113" s="1211">
        <f t="shared" si="86"/>
        <v>5.3500000000000005</v>
      </c>
      <c r="W113" s="1211">
        <f t="shared" si="86"/>
        <v>3.2499999999999996</v>
      </c>
      <c r="X113" s="1211">
        <f t="shared" si="86"/>
        <v>4.6999999999999993</v>
      </c>
      <c r="Y113" s="1211" t="e">
        <f t="shared" si="86"/>
        <v>#REF!</v>
      </c>
      <c r="Z113" s="1211">
        <f t="shared" si="86"/>
        <v>5</v>
      </c>
      <c r="AA113" s="1211">
        <f t="shared" si="86"/>
        <v>1.04</v>
      </c>
      <c r="AB113" s="1278"/>
      <c r="AC113" s="1244"/>
      <c r="AD113" s="1244"/>
      <c r="AE113" s="1244"/>
      <c r="AF113" s="1244"/>
      <c r="AG113" s="1244"/>
      <c r="AH113" s="1244"/>
      <c r="AI113" s="244"/>
      <c r="AJ113" s="245"/>
      <c r="AK113" s="245"/>
      <c r="AL113" s="245"/>
      <c r="AM113" s="245"/>
      <c r="AN113" s="245"/>
    </row>
    <row r="114" spans="1:40">
      <c r="A114" s="1278"/>
      <c r="B114" s="1278"/>
      <c r="C114" s="1278"/>
      <c r="D114" s="1279"/>
      <c r="E114" s="1278"/>
      <c r="F114" s="1278"/>
      <c r="G114" s="1278"/>
      <c r="H114" s="1278"/>
      <c r="I114" s="1278"/>
      <c r="J114" s="1278"/>
      <c r="K114" s="1278"/>
      <c r="L114" s="1280"/>
      <c r="M114" s="1278"/>
      <c r="N114" s="1278"/>
      <c r="O114" s="1278"/>
      <c r="P114" s="1278"/>
      <c r="Q114" s="1278"/>
      <c r="R114" s="1278"/>
      <c r="S114" s="1278"/>
      <c r="T114" s="1278"/>
      <c r="U114" s="1211" t="e">
        <f t="shared" si="86"/>
        <v>#VALUE!</v>
      </c>
      <c r="V114" s="1211">
        <f t="shared" si="86"/>
        <v>5.3500000000000005</v>
      </c>
      <c r="W114" s="1211">
        <f t="shared" si="86"/>
        <v>3.2499999999999996</v>
      </c>
      <c r="X114" s="1211">
        <f t="shared" si="86"/>
        <v>4.6999999999999993</v>
      </c>
      <c r="Y114" s="1211" t="e">
        <f t="shared" si="86"/>
        <v>#REF!</v>
      </c>
      <c r="Z114" s="1211">
        <f t="shared" si="86"/>
        <v>5</v>
      </c>
      <c r="AA114" s="1211">
        <f t="shared" si="86"/>
        <v>1.04</v>
      </c>
      <c r="AB114" s="1278"/>
      <c r="AC114" s="1244"/>
      <c r="AD114" s="1244"/>
      <c r="AE114" s="1244"/>
      <c r="AF114" s="1244"/>
      <c r="AG114" s="1244"/>
      <c r="AH114" s="1244"/>
      <c r="AI114" s="244"/>
      <c r="AJ114" s="245"/>
      <c r="AK114" s="245"/>
      <c r="AL114" s="245"/>
      <c r="AM114" s="245"/>
      <c r="AN114" s="245"/>
    </row>
    <row r="115" spans="1:40">
      <c r="A115" s="1278"/>
      <c r="B115" s="1278"/>
      <c r="C115" s="1278"/>
      <c r="D115" s="1279"/>
      <c r="E115" s="1278"/>
      <c r="F115" s="1278"/>
      <c r="G115" s="1278"/>
      <c r="H115" s="1278"/>
      <c r="I115" s="1278"/>
      <c r="J115" s="1278"/>
      <c r="K115" s="1278"/>
      <c r="L115" s="1280"/>
      <c r="M115" s="1278"/>
      <c r="N115" s="1278"/>
      <c r="O115" s="1278"/>
      <c r="P115" s="1278"/>
      <c r="Q115" s="1278"/>
      <c r="R115" s="1278"/>
      <c r="S115" s="1278"/>
      <c r="T115" s="1278"/>
      <c r="U115" s="1211" t="e">
        <f t="shared" si="86"/>
        <v>#VALUE!</v>
      </c>
      <c r="V115" s="1211">
        <f t="shared" si="86"/>
        <v>5.3500000000000005</v>
      </c>
      <c r="W115" s="1211">
        <f t="shared" si="86"/>
        <v>3.2499999999999996</v>
      </c>
      <c r="X115" s="1211">
        <f t="shared" si="86"/>
        <v>4.6999999999999993</v>
      </c>
      <c r="Y115" s="1211" t="e">
        <f t="shared" si="86"/>
        <v>#REF!</v>
      </c>
      <c r="Z115" s="1211">
        <f t="shared" si="86"/>
        <v>5</v>
      </c>
      <c r="AA115" s="1211">
        <f t="shared" si="86"/>
        <v>1.04</v>
      </c>
      <c r="AB115" s="1278"/>
      <c r="AC115" s="1244">
        <v>0</v>
      </c>
      <c r="AD115" s="1244">
        <v>0</v>
      </c>
      <c r="AE115" s="1244">
        <v>0</v>
      </c>
      <c r="AF115" s="1244">
        <v>0</v>
      </c>
      <c r="AG115" s="1244">
        <v>0</v>
      </c>
      <c r="AH115" s="1244">
        <v>0</v>
      </c>
      <c r="AI115" s="244"/>
      <c r="AJ115" s="245"/>
      <c r="AK115" s="245"/>
      <c r="AL115" s="245"/>
      <c r="AM115" s="245"/>
      <c r="AN115" s="245"/>
    </row>
    <row r="116" spans="1:40">
      <c r="A116" s="1278"/>
      <c r="B116" s="1278"/>
      <c r="C116" s="1278"/>
      <c r="D116" s="1279"/>
      <c r="E116" s="1278"/>
      <c r="F116" s="1278"/>
      <c r="G116" s="1278"/>
      <c r="H116" s="1278"/>
      <c r="I116" s="1278"/>
      <c r="J116" s="1278"/>
      <c r="K116" s="1278"/>
      <c r="L116" s="1280"/>
      <c r="M116" s="1278"/>
      <c r="N116" s="1278"/>
      <c r="O116" s="1278"/>
      <c r="P116" s="1278"/>
      <c r="Q116" s="1278"/>
      <c r="R116" s="1278"/>
      <c r="S116" s="1278"/>
      <c r="T116" s="1278"/>
      <c r="U116" s="1211" t="e">
        <f t="shared" si="86"/>
        <v>#VALUE!</v>
      </c>
      <c r="V116" s="1211">
        <f t="shared" si="86"/>
        <v>5.3500000000000005</v>
      </c>
      <c r="W116" s="1211">
        <f t="shared" si="86"/>
        <v>3.2499999999999996</v>
      </c>
      <c r="X116" s="1211">
        <f t="shared" si="86"/>
        <v>4.6999999999999993</v>
      </c>
      <c r="Y116" s="1211" t="e">
        <f t="shared" si="86"/>
        <v>#REF!</v>
      </c>
      <c r="Z116" s="1211">
        <f t="shared" si="86"/>
        <v>5</v>
      </c>
      <c r="AA116" s="1211">
        <f t="shared" si="86"/>
        <v>1.04</v>
      </c>
      <c r="AB116" s="1278"/>
      <c r="AC116" s="1244">
        <v>0</v>
      </c>
      <c r="AD116" s="1244">
        <v>0</v>
      </c>
      <c r="AE116" s="1244">
        <v>0</v>
      </c>
      <c r="AF116" s="1244">
        <v>0</v>
      </c>
      <c r="AG116" s="1244">
        <v>0</v>
      </c>
      <c r="AH116" s="1244">
        <v>0</v>
      </c>
      <c r="AI116" s="244"/>
      <c r="AJ116" s="245"/>
      <c r="AK116" s="245"/>
      <c r="AL116" s="245"/>
      <c r="AM116" s="245"/>
      <c r="AN116" s="245"/>
    </row>
    <row r="117" spans="1:40">
      <c r="A117" s="1278"/>
      <c r="B117" s="1278"/>
      <c r="C117" s="1278"/>
      <c r="D117" s="1279"/>
      <c r="E117" s="1278"/>
      <c r="F117" s="1278"/>
      <c r="G117" s="1278"/>
      <c r="H117" s="1278"/>
      <c r="I117" s="1278"/>
      <c r="J117" s="1278"/>
      <c r="K117" s="1278"/>
      <c r="L117" s="1280"/>
      <c r="M117" s="1278"/>
      <c r="N117" s="1278"/>
      <c r="O117" s="1278"/>
      <c r="P117" s="1278"/>
      <c r="Q117" s="1278"/>
      <c r="R117" s="1278"/>
      <c r="S117" s="1278"/>
      <c r="T117" s="1278"/>
      <c r="U117" s="1211" t="e">
        <f t="shared" ref="U117:AA123" si="87">IF(U116&gt;0,U116,U115)</f>
        <v>#VALUE!</v>
      </c>
      <c r="V117" s="1211">
        <f t="shared" si="87"/>
        <v>5.3500000000000005</v>
      </c>
      <c r="W117" s="1211">
        <f t="shared" si="87"/>
        <v>3.2499999999999996</v>
      </c>
      <c r="X117" s="1211">
        <f t="shared" si="87"/>
        <v>4.6999999999999993</v>
      </c>
      <c r="Y117" s="1211" t="e">
        <f t="shared" si="87"/>
        <v>#REF!</v>
      </c>
      <c r="Z117" s="1211">
        <f t="shared" si="87"/>
        <v>5</v>
      </c>
      <c r="AA117" s="1211">
        <f t="shared" si="87"/>
        <v>1.04</v>
      </c>
      <c r="AB117" s="1278"/>
      <c r="AC117" s="1244">
        <v>0</v>
      </c>
      <c r="AD117" s="1244">
        <v>0</v>
      </c>
      <c r="AE117" s="1244">
        <v>0</v>
      </c>
      <c r="AF117" s="1244">
        <v>0</v>
      </c>
      <c r="AG117" s="1244">
        <v>0</v>
      </c>
      <c r="AH117" s="1244">
        <v>0</v>
      </c>
      <c r="AI117" s="244"/>
      <c r="AJ117" s="245"/>
      <c r="AK117" s="245"/>
      <c r="AL117" s="245"/>
      <c r="AM117" s="245"/>
      <c r="AN117" s="245"/>
    </row>
    <row r="118" spans="1:40">
      <c r="A118" s="1278"/>
      <c r="B118" s="1278"/>
      <c r="C118" s="1278"/>
      <c r="D118" s="1279"/>
      <c r="E118" s="1278"/>
      <c r="F118" s="1278"/>
      <c r="G118" s="1278"/>
      <c r="H118" s="1278"/>
      <c r="I118" s="1278"/>
      <c r="J118" s="1278"/>
      <c r="K118" s="1278"/>
      <c r="L118" s="1280"/>
      <c r="M118" s="1278"/>
      <c r="N118" s="1278"/>
      <c r="O118" s="1278"/>
      <c r="P118" s="1278"/>
      <c r="Q118" s="1278"/>
      <c r="R118" s="1278"/>
      <c r="S118" s="1278"/>
      <c r="T118" s="1278"/>
      <c r="U118" s="1211" t="e">
        <f t="shared" si="87"/>
        <v>#VALUE!</v>
      </c>
      <c r="V118" s="1211">
        <f t="shared" si="87"/>
        <v>5.3500000000000005</v>
      </c>
      <c r="W118" s="1211">
        <f t="shared" si="87"/>
        <v>3.2499999999999996</v>
      </c>
      <c r="X118" s="1211">
        <f t="shared" si="87"/>
        <v>4.6999999999999993</v>
      </c>
      <c r="Y118" s="1211" t="e">
        <f t="shared" si="87"/>
        <v>#REF!</v>
      </c>
      <c r="Z118" s="1211">
        <f t="shared" si="87"/>
        <v>5</v>
      </c>
      <c r="AA118" s="1211">
        <f t="shared" si="87"/>
        <v>1.04</v>
      </c>
      <c r="AB118" s="1278"/>
      <c r="AC118" s="1244"/>
      <c r="AD118" s="1244"/>
      <c r="AE118" s="1244"/>
      <c r="AF118" s="1244"/>
      <c r="AG118" s="1244"/>
      <c r="AH118" s="1244"/>
      <c r="AI118" s="244"/>
      <c r="AJ118" s="245"/>
      <c r="AK118" s="245"/>
      <c r="AL118" s="245"/>
      <c r="AM118" s="245"/>
      <c r="AN118" s="245"/>
    </row>
    <row r="119" spans="1:40">
      <c r="A119" s="1278"/>
      <c r="B119" s="1278"/>
      <c r="C119" s="1278"/>
      <c r="D119" s="1279"/>
      <c r="E119" s="1278"/>
      <c r="F119" s="1278"/>
      <c r="G119" s="1278"/>
      <c r="H119" s="1278"/>
      <c r="I119" s="1278"/>
      <c r="J119" s="1278"/>
      <c r="K119" s="1278"/>
      <c r="L119" s="1280"/>
      <c r="M119" s="1278"/>
      <c r="N119" s="1278"/>
      <c r="O119" s="1278"/>
      <c r="P119" s="1278"/>
      <c r="Q119" s="1278"/>
      <c r="R119" s="1278"/>
      <c r="S119" s="1278"/>
      <c r="T119" s="1278"/>
      <c r="U119" s="1211" t="e">
        <f t="shared" si="87"/>
        <v>#VALUE!</v>
      </c>
      <c r="V119" s="1211">
        <f t="shared" si="87"/>
        <v>5.3500000000000005</v>
      </c>
      <c r="W119" s="1211">
        <f t="shared" si="87"/>
        <v>3.2499999999999996</v>
      </c>
      <c r="X119" s="1211">
        <f t="shared" si="87"/>
        <v>4.6999999999999993</v>
      </c>
      <c r="Y119" s="1211" t="e">
        <f t="shared" si="87"/>
        <v>#REF!</v>
      </c>
      <c r="Z119" s="1211">
        <f t="shared" si="87"/>
        <v>5</v>
      </c>
      <c r="AA119" s="1211">
        <f t="shared" si="87"/>
        <v>1.04</v>
      </c>
      <c r="AB119" s="1278"/>
      <c r="AC119" s="1244"/>
      <c r="AD119" s="1244"/>
      <c r="AE119" s="1244"/>
      <c r="AF119" s="1244"/>
      <c r="AG119" s="1244"/>
      <c r="AH119" s="1244"/>
      <c r="AI119" s="244"/>
      <c r="AJ119" s="245"/>
      <c r="AK119" s="245"/>
      <c r="AL119" s="245"/>
      <c r="AM119" s="245"/>
      <c r="AN119" s="245"/>
    </row>
    <row r="120" spans="1:40">
      <c r="A120" s="1278"/>
      <c r="B120" s="1278"/>
      <c r="C120" s="1278"/>
      <c r="D120" s="1279"/>
      <c r="E120" s="1278"/>
      <c r="F120" s="1278"/>
      <c r="G120" s="1278"/>
      <c r="H120" s="1278"/>
      <c r="I120" s="1278"/>
      <c r="J120" s="1278"/>
      <c r="K120" s="1278"/>
      <c r="L120" s="1280"/>
      <c r="M120" s="1278"/>
      <c r="N120" s="1278"/>
      <c r="O120" s="1278"/>
      <c r="P120" s="1278"/>
      <c r="Q120" s="1278"/>
      <c r="R120" s="1278"/>
      <c r="S120" s="1278"/>
      <c r="T120" s="1278"/>
      <c r="U120" s="1211" t="e">
        <f t="shared" si="87"/>
        <v>#VALUE!</v>
      </c>
      <c r="V120" s="1211">
        <f t="shared" si="87"/>
        <v>5.3500000000000005</v>
      </c>
      <c r="W120" s="1211">
        <f t="shared" si="87"/>
        <v>3.2499999999999996</v>
      </c>
      <c r="X120" s="1211">
        <f t="shared" si="87"/>
        <v>4.6999999999999993</v>
      </c>
      <c r="Y120" s="1211" t="e">
        <f t="shared" si="87"/>
        <v>#REF!</v>
      </c>
      <c r="Z120" s="1211">
        <f t="shared" si="87"/>
        <v>5</v>
      </c>
      <c r="AA120" s="1211">
        <f t="shared" si="87"/>
        <v>1.04</v>
      </c>
      <c r="AB120" s="1278"/>
      <c r="AC120" s="1244">
        <v>0</v>
      </c>
      <c r="AD120" s="1244">
        <v>0</v>
      </c>
      <c r="AE120" s="1244">
        <v>0</v>
      </c>
      <c r="AF120" s="1244">
        <v>0</v>
      </c>
      <c r="AG120" s="1244">
        <v>0</v>
      </c>
      <c r="AH120" s="1244">
        <v>0</v>
      </c>
      <c r="AI120" s="244"/>
      <c r="AJ120" s="245"/>
      <c r="AK120" s="245"/>
      <c r="AL120" s="245"/>
      <c r="AM120" s="245"/>
      <c r="AN120" s="245"/>
    </row>
    <row r="121" spans="1:40">
      <c r="A121" s="1278"/>
      <c r="B121" s="1278"/>
      <c r="C121" s="1278"/>
      <c r="D121" s="1279"/>
      <c r="E121" s="1278"/>
      <c r="F121" s="1278"/>
      <c r="G121" s="1278"/>
      <c r="H121" s="1278"/>
      <c r="I121" s="1278"/>
      <c r="J121" s="1278"/>
      <c r="K121" s="1278"/>
      <c r="L121" s="1280"/>
      <c r="M121" s="1278"/>
      <c r="N121" s="1278"/>
      <c r="O121" s="1278"/>
      <c r="P121" s="1278"/>
      <c r="Q121" s="1278"/>
      <c r="R121" s="1278"/>
      <c r="S121" s="1278"/>
      <c r="T121" s="1278"/>
      <c r="U121" s="1211" t="e">
        <f t="shared" si="87"/>
        <v>#VALUE!</v>
      </c>
      <c r="V121" s="1211">
        <f t="shared" si="87"/>
        <v>5.3500000000000005</v>
      </c>
      <c r="W121" s="1211">
        <f t="shared" si="87"/>
        <v>3.2499999999999996</v>
      </c>
      <c r="X121" s="1211">
        <f t="shared" si="87"/>
        <v>4.6999999999999993</v>
      </c>
      <c r="Y121" s="1211" t="e">
        <f t="shared" si="87"/>
        <v>#REF!</v>
      </c>
      <c r="Z121" s="1211">
        <f t="shared" si="87"/>
        <v>5</v>
      </c>
      <c r="AA121" s="1211">
        <f t="shared" si="87"/>
        <v>1.04</v>
      </c>
      <c r="AB121" s="1278"/>
      <c r="AC121" s="1244">
        <v>0</v>
      </c>
      <c r="AD121" s="1244">
        <v>0</v>
      </c>
      <c r="AE121" s="1244">
        <v>0</v>
      </c>
      <c r="AF121" s="1244">
        <v>0</v>
      </c>
      <c r="AG121" s="1244">
        <v>0</v>
      </c>
      <c r="AH121" s="1244">
        <v>0</v>
      </c>
      <c r="AI121" s="244"/>
      <c r="AJ121" s="245"/>
      <c r="AK121" s="245"/>
      <c r="AL121" s="245"/>
      <c r="AM121" s="245"/>
      <c r="AN121" s="245"/>
    </row>
    <row r="122" spans="1:40">
      <c r="A122" s="1278"/>
      <c r="B122" s="1278"/>
      <c r="C122" s="1278"/>
      <c r="D122" s="1279"/>
      <c r="E122" s="1278"/>
      <c r="F122" s="1278"/>
      <c r="G122" s="1278"/>
      <c r="H122" s="1278"/>
      <c r="I122" s="1278"/>
      <c r="J122" s="1278"/>
      <c r="K122" s="1278"/>
      <c r="L122" s="1280"/>
      <c r="M122" s="1278"/>
      <c r="N122" s="1278"/>
      <c r="O122" s="1278"/>
      <c r="P122" s="1278"/>
      <c r="Q122" s="1278"/>
      <c r="R122" s="1278"/>
      <c r="S122" s="1278"/>
      <c r="T122" s="1278"/>
      <c r="U122" s="1211" t="e">
        <f t="shared" si="87"/>
        <v>#VALUE!</v>
      </c>
      <c r="V122" s="1211">
        <f t="shared" si="87"/>
        <v>5.3500000000000005</v>
      </c>
      <c r="W122" s="1211">
        <f t="shared" si="87"/>
        <v>3.2499999999999996</v>
      </c>
      <c r="X122" s="1211">
        <f t="shared" si="87"/>
        <v>4.6999999999999993</v>
      </c>
      <c r="Y122" s="1211" t="e">
        <f t="shared" si="87"/>
        <v>#REF!</v>
      </c>
      <c r="Z122" s="1211">
        <f t="shared" si="87"/>
        <v>5</v>
      </c>
      <c r="AA122" s="1211">
        <f t="shared" si="87"/>
        <v>1.04</v>
      </c>
      <c r="AB122" s="1278"/>
      <c r="AC122" s="1244">
        <v>0</v>
      </c>
      <c r="AD122" s="1244">
        <v>0</v>
      </c>
      <c r="AE122" s="1244">
        <v>0</v>
      </c>
      <c r="AF122" s="1244">
        <v>0</v>
      </c>
      <c r="AG122" s="1244">
        <v>0</v>
      </c>
      <c r="AH122" s="1244">
        <v>0</v>
      </c>
      <c r="AI122" s="244"/>
      <c r="AJ122" s="245"/>
      <c r="AK122" s="245"/>
      <c r="AL122" s="245"/>
      <c r="AM122" s="245"/>
      <c r="AN122" s="245"/>
    </row>
    <row r="123" spans="1:40">
      <c r="A123" s="1278"/>
      <c r="B123" s="1278"/>
      <c r="C123" s="1278"/>
      <c r="D123" s="1279"/>
      <c r="E123" s="1278"/>
      <c r="F123" s="1278"/>
      <c r="G123" s="1278"/>
      <c r="H123" s="1278"/>
      <c r="I123" s="1278"/>
      <c r="J123" s="1278"/>
      <c r="K123" s="1278"/>
      <c r="L123" s="1280"/>
      <c r="M123" s="1278"/>
      <c r="N123" s="1278"/>
      <c r="O123" s="1278"/>
      <c r="P123" s="1278"/>
      <c r="Q123" s="1278"/>
      <c r="R123" s="1278"/>
      <c r="S123" s="1278"/>
      <c r="T123" s="1278"/>
      <c r="U123" s="1281" t="e">
        <f>IF(U122&gt;0,U122,U121)</f>
        <v>#VALUE!</v>
      </c>
      <c r="V123" s="1281">
        <f t="shared" si="87"/>
        <v>5.3500000000000005</v>
      </c>
      <c r="W123" s="1281">
        <f t="shared" si="87"/>
        <v>3.2499999999999996</v>
      </c>
      <c r="X123" s="1281">
        <f t="shared" si="87"/>
        <v>4.6999999999999993</v>
      </c>
      <c r="Y123" s="1281" t="e">
        <f t="shared" si="87"/>
        <v>#REF!</v>
      </c>
      <c r="Z123" s="1281">
        <f t="shared" si="87"/>
        <v>5</v>
      </c>
      <c r="AA123" s="1281">
        <f t="shared" si="87"/>
        <v>1.04</v>
      </c>
      <c r="AB123" s="1278"/>
      <c r="AC123" s="1244"/>
      <c r="AD123" s="1244"/>
      <c r="AE123" s="1244"/>
      <c r="AF123" s="1244"/>
      <c r="AG123" s="1244"/>
      <c r="AH123" s="1244"/>
      <c r="AI123" s="244"/>
      <c r="AJ123" s="245"/>
      <c r="AK123" s="245"/>
      <c r="AL123" s="245"/>
      <c r="AM123" s="245"/>
      <c r="AN123" s="245"/>
    </row>
    <row r="124" spans="1:40">
      <c r="A124" s="1278"/>
      <c r="B124" s="1278"/>
      <c r="C124" s="1278"/>
      <c r="D124" s="1279"/>
      <c r="E124" s="1278"/>
      <c r="F124" s="1278"/>
      <c r="G124" s="1278"/>
      <c r="H124" s="1278"/>
      <c r="I124" s="1278"/>
      <c r="J124" s="1278"/>
      <c r="K124" s="1278"/>
      <c r="L124" s="1280"/>
      <c r="M124" s="1278"/>
      <c r="N124" s="1278"/>
      <c r="O124" s="1278"/>
      <c r="P124" s="1278"/>
      <c r="Q124" s="1278"/>
      <c r="R124" s="1278"/>
      <c r="S124" s="1278"/>
      <c r="T124" s="1278"/>
      <c r="U124" s="1211"/>
      <c r="V124" s="1211"/>
      <c r="W124" s="1211"/>
      <c r="X124" s="1211"/>
      <c r="Y124" s="1211"/>
      <c r="Z124" s="1211"/>
      <c r="AA124" s="1211"/>
      <c r="AB124" s="1278"/>
      <c r="AC124" s="1244"/>
      <c r="AD124" s="1244"/>
      <c r="AE124" s="1244"/>
      <c r="AF124" s="1244"/>
      <c r="AG124" s="1244"/>
      <c r="AH124" s="1244"/>
      <c r="AI124" s="244"/>
      <c r="AJ124" s="245"/>
      <c r="AK124" s="245"/>
      <c r="AL124" s="245"/>
      <c r="AM124" s="245"/>
      <c r="AN124" s="245"/>
    </row>
    <row r="125" spans="1:40">
      <c r="A125" s="1278"/>
      <c r="B125" s="1278"/>
      <c r="C125" s="1278"/>
      <c r="D125" s="1279"/>
      <c r="E125" s="1278"/>
      <c r="F125" s="1278"/>
      <c r="G125" s="1278"/>
      <c r="H125" s="1278"/>
      <c r="I125" s="1278"/>
      <c r="J125" s="1278"/>
      <c r="K125" s="1278"/>
      <c r="L125" s="1280"/>
      <c r="M125" s="1278"/>
      <c r="N125" s="1278"/>
      <c r="O125" s="1278"/>
      <c r="P125" s="1278"/>
      <c r="Q125" s="1278"/>
      <c r="R125" s="1278"/>
      <c r="S125" s="1278"/>
      <c r="T125" s="1278"/>
      <c r="U125" s="1211"/>
      <c r="V125" s="1211"/>
      <c r="W125" s="1211"/>
      <c r="X125" s="1211"/>
      <c r="Y125" s="1211"/>
      <c r="Z125" s="1211"/>
      <c r="AA125" s="1211"/>
      <c r="AB125" s="1278"/>
      <c r="AC125" s="1244">
        <v>0</v>
      </c>
      <c r="AD125" s="1244">
        <v>0</v>
      </c>
      <c r="AE125" s="1244">
        <v>0</v>
      </c>
      <c r="AF125" s="1244">
        <v>0</v>
      </c>
      <c r="AG125" s="1244">
        <v>0</v>
      </c>
      <c r="AH125" s="1244">
        <v>0</v>
      </c>
      <c r="AI125" s="244"/>
      <c r="AJ125" s="245"/>
      <c r="AK125" s="245"/>
      <c r="AL125" s="245"/>
      <c r="AM125" s="245"/>
      <c r="AN125" s="245"/>
    </row>
    <row r="126" spans="1:40">
      <c r="A126" s="1278"/>
      <c r="B126" s="1278"/>
      <c r="C126" s="1278"/>
      <c r="D126" s="1279"/>
      <c r="E126" s="1278"/>
      <c r="F126" s="1278"/>
      <c r="G126" s="1278"/>
      <c r="H126" s="1278"/>
      <c r="I126" s="1278"/>
      <c r="J126" s="1278"/>
      <c r="K126" s="1278"/>
      <c r="L126" s="1280"/>
      <c r="M126" s="1278"/>
      <c r="N126" s="1278"/>
      <c r="O126" s="1278"/>
      <c r="P126" s="1278"/>
      <c r="Q126" s="1278"/>
      <c r="R126" s="1278"/>
      <c r="S126" s="1278"/>
      <c r="T126" s="1278"/>
      <c r="U126" s="1211"/>
      <c r="V126" s="1211"/>
      <c r="W126" s="1211"/>
      <c r="X126" s="1211"/>
      <c r="Y126" s="1211"/>
      <c r="Z126" s="1211"/>
      <c r="AA126" s="1211"/>
      <c r="AB126" s="1278"/>
      <c r="AC126" s="1244"/>
      <c r="AD126" s="1244"/>
      <c r="AE126" s="1244"/>
      <c r="AF126" s="1244"/>
      <c r="AG126" s="1244"/>
      <c r="AH126" s="1244"/>
      <c r="AJ126" s="245"/>
      <c r="AK126" s="245"/>
      <c r="AL126" s="245"/>
      <c r="AM126" s="245"/>
      <c r="AN126" s="245"/>
    </row>
    <row r="127" spans="1:40">
      <c r="A127" s="1278"/>
      <c r="B127" s="1278"/>
      <c r="C127" s="1278"/>
      <c r="D127" s="1279"/>
      <c r="E127" s="1278"/>
      <c r="F127" s="1278"/>
      <c r="G127" s="1278"/>
      <c r="H127" s="1278"/>
      <c r="I127" s="1278"/>
      <c r="J127" s="1278"/>
      <c r="K127" s="1278"/>
      <c r="L127" s="1280"/>
      <c r="M127" s="1278"/>
      <c r="N127" s="1278"/>
      <c r="O127" s="1278"/>
      <c r="P127" s="1278"/>
      <c r="Q127" s="1278"/>
      <c r="R127" s="1278"/>
      <c r="S127" s="1278"/>
      <c r="T127" s="1278"/>
      <c r="U127" s="1211"/>
      <c r="V127" s="1211"/>
      <c r="W127" s="1211"/>
      <c r="X127" s="1211"/>
      <c r="Y127" s="1211"/>
      <c r="Z127" s="1211"/>
      <c r="AA127" s="1211"/>
      <c r="AB127" s="1278"/>
      <c r="AJ127" s="245"/>
      <c r="AK127" s="245"/>
      <c r="AL127" s="245"/>
      <c r="AM127" s="245"/>
      <c r="AN127" s="245"/>
    </row>
    <row r="128" spans="1:40" ht="15" customHeight="1">
      <c r="A128" s="1278"/>
      <c r="B128" s="1278"/>
      <c r="C128" s="1278"/>
      <c r="D128" s="1279"/>
      <c r="E128" s="1278"/>
      <c r="F128" s="1278"/>
      <c r="G128" s="1278"/>
      <c r="H128" s="1278"/>
      <c r="I128" s="1278"/>
      <c r="J128" s="1278"/>
      <c r="K128" s="1278"/>
      <c r="L128" s="1280"/>
      <c r="M128" s="1278"/>
      <c r="N128" s="1278"/>
      <c r="O128" s="1278"/>
      <c r="P128" s="1278"/>
      <c r="Q128" s="1278"/>
      <c r="R128" s="1278"/>
      <c r="S128" s="1278"/>
      <c r="T128" s="1278"/>
      <c r="U128" s="1211"/>
      <c r="V128" s="1211"/>
      <c r="W128" s="1211"/>
      <c r="X128" s="1211"/>
      <c r="Y128" s="1211"/>
      <c r="Z128" s="1211"/>
      <c r="AA128" s="1211"/>
      <c r="AB128" s="1278"/>
      <c r="AJ128" s="245"/>
      <c r="AK128" s="245"/>
      <c r="AL128" s="245"/>
      <c r="AM128" s="245"/>
      <c r="AN128" s="245"/>
    </row>
    <row r="129" spans="1:40">
      <c r="A129" s="1278"/>
      <c r="B129" s="1278"/>
      <c r="C129" s="1278"/>
      <c r="D129" s="1279"/>
      <c r="E129" s="1278"/>
      <c r="F129" s="1278"/>
      <c r="G129" s="1278"/>
      <c r="H129" s="1278"/>
      <c r="I129" s="1278"/>
      <c r="J129" s="1278"/>
      <c r="K129" s="1278"/>
      <c r="L129" s="1280"/>
      <c r="M129" s="1278"/>
      <c r="N129" s="1278"/>
      <c r="O129" s="1278"/>
      <c r="P129" s="1278"/>
      <c r="Q129" s="1278"/>
      <c r="R129" s="1278"/>
      <c r="S129" s="1278"/>
      <c r="T129" s="1278"/>
      <c r="U129" s="1211"/>
      <c r="V129" s="1211"/>
      <c r="W129" s="1211"/>
      <c r="X129" s="1211"/>
      <c r="Y129" s="1211"/>
      <c r="Z129" s="1211"/>
      <c r="AA129" s="1211"/>
      <c r="AB129" s="1278"/>
      <c r="AJ129" s="245"/>
      <c r="AK129" s="245"/>
      <c r="AL129" s="245"/>
      <c r="AM129" s="245"/>
      <c r="AN129" s="245"/>
    </row>
    <row r="130" spans="1:40">
      <c r="A130" s="1278"/>
      <c r="B130" s="1278"/>
      <c r="C130" s="1278"/>
      <c r="D130" s="1279"/>
      <c r="E130" s="1278"/>
      <c r="F130" s="1278"/>
      <c r="G130" s="1278"/>
      <c r="H130" s="1278"/>
      <c r="I130" s="1278"/>
      <c r="J130" s="1278"/>
      <c r="K130" s="1278"/>
      <c r="L130" s="1280"/>
      <c r="M130" s="1278"/>
      <c r="N130" s="1278"/>
      <c r="O130" s="1278"/>
      <c r="P130" s="1278"/>
      <c r="Q130" s="1278"/>
      <c r="R130" s="1278"/>
      <c r="S130" s="1278"/>
      <c r="T130" s="1278"/>
      <c r="U130" s="1211"/>
      <c r="V130" s="1211"/>
      <c r="W130" s="1211"/>
      <c r="X130" s="1211"/>
      <c r="Y130" s="1211"/>
      <c r="Z130" s="1211"/>
      <c r="AA130" s="1211"/>
      <c r="AB130" s="1278"/>
      <c r="AJ130" s="245"/>
      <c r="AK130" s="245"/>
      <c r="AL130" s="245"/>
      <c r="AM130" s="245"/>
      <c r="AN130" s="245"/>
    </row>
    <row r="131" spans="1:40">
      <c r="A131" s="1278"/>
      <c r="B131" s="1278"/>
      <c r="C131" s="1278"/>
      <c r="D131" s="1279"/>
      <c r="E131" s="1278"/>
      <c r="F131" s="1278"/>
      <c r="G131" s="1278"/>
      <c r="H131" s="1278"/>
      <c r="I131" s="1278"/>
      <c r="J131" s="1278"/>
      <c r="K131" s="1278"/>
      <c r="L131" s="1280"/>
      <c r="M131" s="1278"/>
      <c r="N131" s="1278"/>
      <c r="O131" s="1278"/>
      <c r="P131" s="1278"/>
      <c r="Q131" s="1278"/>
      <c r="R131" s="1278"/>
      <c r="S131" s="1278"/>
      <c r="T131" s="1278"/>
      <c r="U131" s="1211"/>
      <c r="V131" s="1211"/>
      <c r="W131" s="1211"/>
      <c r="X131" s="1211"/>
      <c r="Y131" s="1211"/>
      <c r="Z131" s="1211"/>
      <c r="AA131" s="1211"/>
      <c r="AB131" s="1278"/>
      <c r="AJ131" s="245"/>
      <c r="AK131" s="245"/>
      <c r="AL131" s="245"/>
      <c r="AM131" s="245"/>
      <c r="AN131" s="245"/>
    </row>
    <row r="132" spans="1:40">
      <c r="A132" s="1278"/>
      <c r="B132" s="1278"/>
      <c r="C132" s="1278"/>
      <c r="D132" s="1279"/>
      <c r="E132" s="1278"/>
      <c r="F132" s="1278"/>
      <c r="G132" s="1278"/>
      <c r="H132" s="1278"/>
      <c r="I132" s="1278"/>
      <c r="J132" s="1278"/>
      <c r="K132" s="1278"/>
      <c r="L132" s="1280"/>
      <c r="M132" s="1278"/>
      <c r="N132" s="1278"/>
      <c r="O132" s="1278"/>
      <c r="P132" s="1278"/>
      <c r="Q132" s="1278"/>
      <c r="R132" s="1278"/>
      <c r="S132" s="1278"/>
      <c r="T132" s="1278"/>
      <c r="U132" s="1211"/>
      <c r="V132" s="1211"/>
      <c r="W132" s="1211"/>
      <c r="X132" s="1211"/>
      <c r="Y132" s="1211"/>
      <c r="Z132" s="1211"/>
      <c r="AA132" s="1211"/>
      <c r="AB132" s="1278"/>
      <c r="AJ132" s="245"/>
      <c r="AK132" s="245"/>
      <c r="AL132" s="245"/>
      <c r="AM132" s="245"/>
      <c r="AN132" s="245"/>
    </row>
    <row r="133" spans="1:40">
      <c r="A133" s="1278"/>
      <c r="B133" s="1278"/>
      <c r="C133" s="1278"/>
      <c r="D133" s="1279"/>
      <c r="E133" s="1278"/>
      <c r="F133" s="1278"/>
      <c r="G133" s="1278"/>
      <c r="H133" s="1278"/>
      <c r="I133" s="1278"/>
      <c r="J133" s="1278"/>
      <c r="K133" s="1278"/>
      <c r="L133" s="1280"/>
      <c r="M133" s="1278"/>
      <c r="N133" s="1278"/>
      <c r="O133" s="1278"/>
      <c r="P133" s="1278"/>
      <c r="Q133" s="1278"/>
      <c r="R133" s="1278"/>
      <c r="S133" s="1278"/>
      <c r="T133" s="1278"/>
      <c r="U133" s="1211"/>
      <c r="V133" s="1211"/>
      <c r="W133" s="1211"/>
      <c r="X133" s="1211"/>
      <c r="Y133" s="1211"/>
      <c r="Z133" s="1211"/>
      <c r="AA133" s="1211"/>
      <c r="AB133" s="1278"/>
      <c r="AJ133" s="245"/>
      <c r="AK133" s="245"/>
      <c r="AL133" s="245"/>
      <c r="AM133" s="245"/>
      <c r="AN133" s="245"/>
    </row>
    <row r="134" spans="1:40">
      <c r="A134" s="1278"/>
      <c r="B134" s="1278"/>
      <c r="C134" s="1278"/>
      <c r="D134" s="1279"/>
      <c r="E134" s="1278"/>
      <c r="F134" s="1278"/>
      <c r="G134" s="1278"/>
      <c r="H134" s="1278"/>
      <c r="I134" s="1278"/>
      <c r="J134" s="1278"/>
      <c r="K134" s="1278"/>
      <c r="L134" s="1280"/>
      <c r="M134" s="1278"/>
      <c r="N134" s="1278"/>
      <c r="O134" s="1278"/>
      <c r="P134" s="1278"/>
      <c r="Q134" s="1278"/>
      <c r="R134" s="1278"/>
      <c r="S134" s="1278"/>
      <c r="T134" s="1278"/>
      <c r="U134" s="1211"/>
      <c r="V134" s="1211"/>
      <c r="W134" s="1211"/>
      <c r="X134" s="1211"/>
      <c r="Y134" s="1211"/>
      <c r="Z134" s="1211"/>
      <c r="AA134" s="1211"/>
      <c r="AB134" s="1278"/>
      <c r="AJ134" s="245"/>
      <c r="AK134" s="245"/>
      <c r="AL134" s="245"/>
      <c r="AM134" s="245"/>
      <c r="AN134" s="245"/>
    </row>
    <row r="135" spans="1:40">
      <c r="A135" s="1278"/>
      <c r="B135" s="1278"/>
      <c r="C135" s="1278"/>
      <c r="D135" s="1279"/>
      <c r="E135" s="1278"/>
      <c r="F135" s="1278"/>
      <c r="G135" s="1278"/>
      <c r="H135" s="1278"/>
      <c r="I135" s="1278"/>
      <c r="J135" s="1278"/>
      <c r="K135" s="1278"/>
      <c r="L135" s="1280"/>
      <c r="M135" s="1278"/>
      <c r="N135" s="1278"/>
      <c r="O135" s="1278"/>
      <c r="P135" s="1278"/>
      <c r="Q135" s="1278"/>
      <c r="R135" s="1278"/>
      <c r="S135" s="1278"/>
      <c r="T135" s="1278"/>
      <c r="U135" s="1211"/>
      <c r="V135" s="1211"/>
      <c r="W135" s="1211"/>
      <c r="X135" s="1211"/>
      <c r="Y135" s="1211"/>
      <c r="Z135" s="1211"/>
      <c r="AA135" s="1211"/>
      <c r="AB135" s="1278"/>
      <c r="AJ135" s="245"/>
      <c r="AK135" s="245"/>
      <c r="AL135" s="245"/>
      <c r="AM135" s="245"/>
      <c r="AN135" s="245"/>
    </row>
    <row r="136" spans="1:40">
      <c r="A136" s="1278"/>
      <c r="B136" s="1278"/>
      <c r="C136" s="1278"/>
      <c r="D136" s="1279"/>
      <c r="E136" s="1278"/>
      <c r="F136" s="1278"/>
      <c r="G136" s="1278"/>
      <c r="H136" s="1278"/>
      <c r="I136" s="1278"/>
      <c r="J136" s="1278"/>
      <c r="K136" s="1278"/>
      <c r="L136" s="1280"/>
      <c r="M136" s="1278"/>
      <c r="N136" s="1278"/>
      <c r="O136" s="1278"/>
      <c r="P136" s="1278"/>
      <c r="Q136" s="1278"/>
      <c r="R136" s="1278"/>
      <c r="S136" s="1278"/>
      <c r="T136" s="1278"/>
      <c r="U136" s="1211"/>
      <c r="V136" s="1211"/>
      <c r="W136" s="1211"/>
      <c r="X136" s="1211"/>
      <c r="Y136" s="1211"/>
      <c r="Z136" s="1211"/>
      <c r="AA136" s="1211"/>
      <c r="AB136" s="1278"/>
      <c r="AN136" s="245"/>
    </row>
    <row r="137" spans="1:40">
      <c r="A137" s="1278"/>
      <c r="B137" s="1278"/>
      <c r="C137" s="1278"/>
      <c r="D137" s="1279"/>
      <c r="E137" s="1278"/>
      <c r="F137" s="1278"/>
      <c r="G137" s="1278"/>
      <c r="H137" s="1278"/>
      <c r="I137" s="1278"/>
      <c r="J137" s="1278"/>
      <c r="K137" s="1278"/>
      <c r="L137" s="1280"/>
      <c r="M137" s="1278"/>
      <c r="N137" s="1278"/>
      <c r="O137" s="1278"/>
      <c r="P137" s="1278"/>
      <c r="Q137" s="1278"/>
      <c r="R137" s="1278"/>
      <c r="S137" s="1278"/>
      <c r="T137" s="1278"/>
      <c r="U137" s="1211"/>
      <c r="V137" s="1211"/>
      <c r="W137" s="1211"/>
      <c r="X137" s="1211"/>
      <c r="Y137" s="1211"/>
      <c r="Z137" s="1211"/>
      <c r="AA137" s="1211"/>
      <c r="AB137" s="1278"/>
      <c r="AN137" s="245"/>
    </row>
    <row r="138" spans="1:40">
      <c r="A138" s="1278"/>
      <c r="B138" s="1278"/>
      <c r="C138" s="1278"/>
      <c r="D138" s="1279"/>
      <c r="E138" s="1278"/>
      <c r="F138" s="1278"/>
      <c r="G138" s="1278"/>
      <c r="H138" s="1278"/>
      <c r="I138" s="1278"/>
      <c r="J138" s="1278"/>
      <c r="K138" s="1278"/>
      <c r="L138" s="1280"/>
      <c r="M138" s="1278"/>
      <c r="N138" s="1278"/>
      <c r="O138" s="1278"/>
      <c r="P138" s="1278"/>
      <c r="Q138" s="1278"/>
      <c r="R138" s="1278"/>
      <c r="S138" s="1278"/>
      <c r="T138" s="1278"/>
      <c r="U138" s="1211"/>
      <c r="V138" s="1211"/>
      <c r="W138" s="1211"/>
      <c r="X138" s="1211"/>
      <c r="Y138" s="1211"/>
      <c r="Z138" s="1211"/>
      <c r="AA138" s="1211"/>
      <c r="AB138" s="1278"/>
      <c r="AC138" s="244"/>
      <c r="AD138" s="244"/>
      <c r="AE138" s="244"/>
      <c r="AF138" s="244"/>
      <c r="AG138" s="244"/>
      <c r="AH138" s="244"/>
      <c r="AI138" s="244"/>
      <c r="AJ138" s="244"/>
      <c r="AK138" s="244"/>
      <c r="AL138" s="244"/>
      <c r="AM138" s="244"/>
      <c r="AN138" s="245"/>
    </row>
    <row r="139" spans="1:40" s="244" customFormat="1">
      <c r="A139" s="1278"/>
      <c r="B139" s="1278"/>
      <c r="C139" s="1278"/>
      <c r="D139" s="1279"/>
      <c r="E139" s="1278"/>
      <c r="F139" s="1278"/>
      <c r="G139" s="1278"/>
      <c r="H139" s="1278"/>
      <c r="I139" s="1278"/>
      <c r="J139" s="1278"/>
      <c r="K139" s="1278"/>
      <c r="L139" s="1280"/>
      <c r="M139" s="1278"/>
      <c r="N139" s="1278"/>
      <c r="O139" s="1278"/>
      <c r="P139" s="1278"/>
      <c r="Q139" s="1278"/>
      <c r="R139" s="1278"/>
      <c r="S139" s="1278"/>
      <c r="T139" s="1278"/>
      <c r="U139" s="1211"/>
      <c r="V139" s="1211"/>
      <c r="W139" s="1211"/>
      <c r="X139" s="1211"/>
      <c r="Y139" s="1211"/>
      <c r="Z139" s="1211"/>
      <c r="AA139" s="1211"/>
      <c r="AB139" s="1278"/>
      <c r="AC139" s="1211"/>
      <c r="AD139" s="1211"/>
      <c r="AE139" s="1211"/>
      <c r="AF139" s="1211"/>
      <c r="AG139" s="1211"/>
      <c r="AH139" s="1211"/>
      <c r="AI139" s="1211"/>
      <c r="AJ139" s="1211"/>
      <c r="AK139" s="1211"/>
      <c r="AL139" s="1211"/>
      <c r="AM139" s="1211"/>
    </row>
    <row r="140" spans="1:40" s="244" customFormat="1">
      <c r="A140" s="1278"/>
      <c r="B140" s="1278"/>
      <c r="C140" s="1278"/>
      <c r="D140" s="1279"/>
      <c r="E140" s="1278"/>
      <c r="F140" s="1278"/>
      <c r="G140" s="1278"/>
      <c r="H140" s="1278"/>
      <c r="I140" s="1278"/>
      <c r="J140" s="1278"/>
      <c r="K140" s="1278"/>
      <c r="L140" s="1280"/>
      <c r="M140" s="1278"/>
      <c r="N140" s="1278"/>
      <c r="O140" s="1278"/>
      <c r="P140" s="1278"/>
      <c r="Q140" s="1278"/>
      <c r="R140" s="1278"/>
      <c r="S140" s="1278"/>
      <c r="T140" s="1278"/>
      <c r="U140" s="1211"/>
      <c r="V140" s="1211"/>
      <c r="W140" s="1211"/>
      <c r="X140" s="1211"/>
      <c r="Y140" s="1211"/>
      <c r="Z140" s="1211"/>
      <c r="AA140" s="1211"/>
      <c r="AB140" s="1278"/>
      <c r="AC140" s="1211"/>
      <c r="AD140" s="1211"/>
      <c r="AE140" s="1211"/>
      <c r="AF140" s="1211"/>
      <c r="AG140" s="1211"/>
      <c r="AH140" s="1211"/>
      <c r="AI140" s="1211"/>
      <c r="AJ140" s="1211"/>
      <c r="AK140" s="1211"/>
      <c r="AL140" s="1211"/>
      <c r="AM140" s="1211"/>
    </row>
    <row r="141" spans="1:40" s="244" customFormat="1">
      <c r="A141" s="1278"/>
      <c r="B141" s="1278"/>
      <c r="C141" s="1278"/>
      <c r="D141" s="1279"/>
      <c r="E141" s="1278"/>
      <c r="F141" s="1278"/>
      <c r="G141" s="1278"/>
      <c r="H141" s="1278"/>
      <c r="I141" s="1278"/>
      <c r="J141" s="1278"/>
      <c r="K141" s="1278"/>
      <c r="L141" s="1280"/>
      <c r="M141" s="1278"/>
      <c r="N141" s="1278"/>
      <c r="O141" s="1278"/>
      <c r="P141" s="1278"/>
      <c r="Q141" s="1278"/>
      <c r="R141" s="1278"/>
      <c r="S141" s="1278"/>
      <c r="T141" s="1278"/>
      <c r="U141" s="1211"/>
      <c r="V141" s="1211"/>
      <c r="W141" s="1211"/>
      <c r="X141" s="1211"/>
      <c r="Y141" s="1211"/>
      <c r="Z141" s="1211"/>
      <c r="AA141" s="1211"/>
      <c r="AB141" s="1278"/>
      <c r="AC141" s="1211"/>
      <c r="AD141" s="1211"/>
      <c r="AE141" s="1211"/>
      <c r="AF141" s="1211"/>
      <c r="AG141" s="1211"/>
      <c r="AH141" s="1211"/>
      <c r="AI141" s="1211"/>
      <c r="AJ141" s="1211"/>
      <c r="AK141" s="1211"/>
      <c r="AL141" s="1211"/>
      <c r="AM141" s="1211"/>
    </row>
    <row r="142" spans="1:40" s="244" customFormat="1">
      <c r="A142" s="1278"/>
      <c r="B142" s="1278"/>
      <c r="C142" s="1282"/>
      <c r="D142" s="1283"/>
      <c r="E142" s="1282"/>
      <c r="F142" s="1284"/>
      <c r="G142" s="150"/>
      <c r="H142" s="150"/>
      <c r="I142" s="150"/>
      <c r="J142" s="150"/>
      <c r="K142" s="150"/>
      <c r="L142" s="1285"/>
      <c r="M142" s="1286"/>
      <c r="N142" s="1284"/>
      <c r="O142" s="150"/>
      <c r="P142" s="150"/>
      <c r="Q142" s="1287"/>
      <c r="R142" s="1287"/>
      <c r="S142" s="1278"/>
      <c r="T142" s="1278"/>
      <c r="U142" s="1211"/>
      <c r="V142" s="1211"/>
      <c r="W142" s="1211"/>
      <c r="X142" s="1211"/>
      <c r="Y142" s="1211"/>
      <c r="Z142" s="1211"/>
      <c r="AA142" s="1211"/>
      <c r="AB142" s="1278"/>
      <c r="AC142" s="1211"/>
      <c r="AD142" s="1211"/>
      <c r="AE142" s="1211"/>
      <c r="AF142" s="1211"/>
      <c r="AG142" s="1211"/>
      <c r="AH142" s="1211"/>
      <c r="AI142" s="1211"/>
      <c r="AJ142" s="1211"/>
      <c r="AK142" s="1211"/>
      <c r="AL142" s="1211"/>
      <c r="AM142" s="1211"/>
    </row>
    <row r="143" spans="1:40" s="244" customFormat="1">
      <c r="B143" s="1278"/>
      <c r="C143" s="1282"/>
      <c r="D143" s="1283"/>
      <c r="E143" s="1282"/>
      <c r="F143" s="1284"/>
      <c r="G143" s="150"/>
      <c r="H143" s="150"/>
      <c r="I143" s="150"/>
      <c r="J143" s="150"/>
      <c r="K143" s="150"/>
      <c r="L143" s="1285"/>
      <c r="M143" s="1286"/>
      <c r="N143" s="1284"/>
      <c r="O143" s="150"/>
      <c r="P143" s="150"/>
      <c r="Q143" s="1287"/>
      <c r="R143" s="1287"/>
      <c r="S143" s="149"/>
      <c r="T143" s="149"/>
      <c r="U143" s="1211"/>
      <c r="V143" s="1211"/>
      <c r="W143" s="1211"/>
      <c r="X143" s="1211"/>
      <c r="Y143" s="1211"/>
      <c r="Z143" s="1211"/>
      <c r="AA143" s="1211"/>
      <c r="AC143" s="1211"/>
      <c r="AD143" s="1211"/>
      <c r="AE143" s="1211"/>
      <c r="AF143" s="1211"/>
      <c r="AG143" s="1211"/>
      <c r="AH143" s="1211"/>
      <c r="AI143" s="1211"/>
      <c r="AJ143" s="1211"/>
      <c r="AK143" s="1211"/>
      <c r="AL143" s="1211"/>
      <c r="AM143" s="1211"/>
    </row>
    <row r="144" spans="1:40" s="244" customFormat="1">
      <c r="B144" s="1278"/>
      <c r="C144" s="1282"/>
      <c r="D144" s="1283"/>
      <c r="E144" s="1282"/>
      <c r="F144" s="1284"/>
      <c r="G144" s="150"/>
      <c r="H144" s="150"/>
      <c r="I144" s="150"/>
      <c r="J144" s="150"/>
      <c r="K144" s="150"/>
      <c r="L144" s="1285"/>
      <c r="M144" s="1286"/>
      <c r="N144" s="1284"/>
      <c r="O144" s="150"/>
      <c r="P144" s="150"/>
      <c r="Q144" s="1287"/>
      <c r="R144" s="1287"/>
      <c r="S144" s="149"/>
      <c r="T144" s="149"/>
      <c r="U144" s="1211"/>
      <c r="V144" s="1211"/>
      <c r="W144" s="1211"/>
      <c r="X144" s="1211"/>
      <c r="Y144" s="1211"/>
      <c r="Z144" s="1211"/>
      <c r="AA144" s="1211"/>
      <c r="AC144" s="1211"/>
      <c r="AD144" s="1211"/>
      <c r="AE144" s="1211"/>
      <c r="AF144" s="1211"/>
      <c r="AG144" s="1211"/>
      <c r="AH144" s="1211"/>
      <c r="AI144" s="1211"/>
      <c r="AJ144" s="1211"/>
      <c r="AK144" s="1211"/>
      <c r="AL144" s="1211"/>
      <c r="AM144" s="1211"/>
    </row>
    <row r="145" spans="2:39" s="244" customFormat="1">
      <c r="B145" s="1278"/>
      <c r="C145" s="1282"/>
      <c r="D145" s="1283"/>
      <c r="E145" s="1282"/>
      <c r="F145" s="1284"/>
      <c r="G145" s="150"/>
      <c r="H145" s="150"/>
      <c r="I145" s="150"/>
      <c r="J145" s="150"/>
      <c r="K145" s="150"/>
      <c r="L145" s="1285"/>
      <c r="M145" s="1286"/>
      <c r="N145" s="1284"/>
      <c r="O145" s="150"/>
      <c r="P145" s="150"/>
      <c r="Q145" s="1287"/>
      <c r="R145" s="1287"/>
      <c r="S145" s="149"/>
      <c r="T145" s="149"/>
      <c r="U145" s="1211"/>
      <c r="V145" s="1211"/>
      <c r="W145" s="1211"/>
      <c r="X145" s="1211"/>
      <c r="Y145" s="1211"/>
      <c r="Z145" s="1211"/>
      <c r="AA145" s="1211"/>
      <c r="AC145" s="1211"/>
      <c r="AD145" s="1211"/>
      <c r="AE145" s="1211"/>
      <c r="AF145" s="1211"/>
      <c r="AG145" s="1211"/>
      <c r="AH145" s="1211"/>
      <c r="AI145" s="1211"/>
      <c r="AJ145" s="1211"/>
      <c r="AK145" s="1211"/>
      <c r="AL145" s="1211"/>
      <c r="AM145" s="1211"/>
    </row>
    <row r="146" spans="2:39" s="244" customFormat="1">
      <c r="B146" s="1278"/>
      <c r="C146" s="1282"/>
      <c r="D146" s="1283"/>
      <c r="E146" s="1282"/>
      <c r="F146" s="1284"/>
      <c r="G146" s="150"/>
      <c r="H146" s="150"/>
      <c r="I146" s="150"/>
      <c r="J146" s="150"/>
      <c r="K146" s="150"/>
      <c r="L146" s="1285"/>
      <c r="M146" s="1286"/>
      <c r="N146" s="1284"/>
      <c r="O146" s="150"/>
      <c r="P146" s="150"/>
      <c r="Q146" s="1287"/>
      <c r="R146" s="1287"/>
      <c r="S146" s="149"/>
      <c r="T146" s="149"/>
      <c r="U146" s="1211"/>
      <c r="V146" s="1211"/>
      <c r="W146" s="1211"/>
      <c r="X146" s="1211"/>
      <c r="Y146" s="1211"/>
      <c r="Z146" s="1211"/>
      <c r="AA146" s="1211"/>
      <c r="AC146" s="1211"/>
      <c r="AD146" s="1211"/>
      <c r="AE146" s="1211"/>
      <c r="AF146" s="1211"/>
      <c r="AG146" s="1211"/>
      <c r="AH146" s="1211"/>
      <c r="AI146" s="1211"/>
      <c r="AJ146" s="1211"/>
      <c r="AK146" s="1211"/>
      <c r="AL146" s="1211"/>
      <c r="AM146" s="1211"/>
    </row>
    <row r="147" spans="2:39" s="244" customFormat="1">
      <c r="B147" s="1278"/>
      <c r="C147" s="1282"/>
      <c r="D147" s="1283"/>
      <c r="E147" s="1282"/>
      <c r="F147" s="1284"/>
      <c r="G147" s="150"/>
      <c r="H147" s="150"/>
      <c r="I147" s="150"/>
      <c r="J147" s="150"/>
      <c r="K147" s="150"/>
      <c r="L147" s="1285"/>
      <c r="M147" s="1286"/>
      <c r="N147" s="1284"/>
      <c r="O147" s="150"/>
      <c r="P147" s="150"/>
      <c r="Q147" s="1287"/>
      <c r="R147" s="1287"/>
      <c r="S147" s="149"/>
      <c r="T147" s="149"/>
      <c r="U147" s="150"/>
      <c r="V147" s="150"/>
      <c r="W147" s="150"/>
      <c r="X147" s="150"/>
      <c r="Y147" s="150"/>
      <c r="Z147" s="150"/>
      <c r="AA147" s="150"/>
      <c r="AC147" s="1211"/>
      <c r="AD147" s="1211"/>
      <c r="AE147" s="1211"/>
      <c r="AF147" s="1211"/>
      <c r="AG147" s="1211"/>
      <c r="AH147" s="1211"/>
      <c r="AI147" s="1211"/>
      <c r="AJ147" s="1211"/>
      <c r="AK147" s="1211"/>
      <c r="AL147" s="1211"/>
      <c r="AM147" s="1211"/>
    </row>
    <row r="148" spans="2:39" s="244" customFormat="1">
      <c r="B148" s="1278"/>
      <c r="C148" s="1282"/>
      <c r="D148" s="1283"/>
      <c r="E148" s="1282"/>
      <c r="F148" s="1284"/>
      <c r="G148" s="150"/>
      <c r="H148" s="150"/>
      <c r="I148" s="150"/>
      <c r="J148" s="150"/>
      <c r="K148" s="150"/>
      <c r="L148" s="1285"/>
      <c r="M148" s="1286"/>
      <c r="N148" s="1284"/>
      <c r="O148" s="150"/>
      <c r="P148" s="150"/>
      <c r="Q148" s="1287"/>
      <c r="R148" s="1287"/>
      <c r="S148" s="149"/>
      <c r="T148" s="149"/>
      <c r="U148" s="150"/>
      <c r="V148" s="150"/>
      <c r="W148" s="150"/>
      <c r="X148" s="150"/>
      <c r="Y148" s="150"/>
      <c r="Z148" s="150"/>
      <c r="AA148" s="150"/>
      <c r="AC148" s="1211"/>
      <c r="AD148" s="1211"/>
      <c r="AE148" s="1211"/>
      <c r="AF148" s="1211"/>
      <c r="AG148" s="1211"/>
      <c r="AH148" s="1211"/>
      <c r="AI148" s="1211"/>
      <c r="AJ148" s="1211"/>
      <c r="AK148" s="1211"/>
      <c r="AL148" s="1211"/>
      <c r="AM148" s="1211"/>
    </row>
    <row r="149" spans="2:39" s="244" customFormat="1">
      <c r="B149" s="1278"/>
      <c r="C149" s="1282"/>
      <c r="D149" s="1283"/>
      <c r="E149" s="1282"/>
      <c r="F149" s="1284"/>
      <c r="G149" s="150"/>
      <c r="H149" s="150"/>
      <c r="I149" s="150"/>
      <c r="J149" s="150"/>
      <c r="K149" s="150"/>
      <c r="L149" s="1285"/>
      <c r="M149" s="1286"/>
      <c r="N149" s="1284"/>
      <c r="O149" s="150"/>
      <c r="P149" s="150"/>
      <c r="Q149" s="1287"/>
      <c r="R149" s="1287"/>
      <c r="S149" s="149"/>
      <c r="T149" s="149"/>
      <c r="U149" s="150"/>
      <c r="V149" s="150"/>
      <c r="W149" s="150"/>
      <c r="X149" s="150"/>
      <c r="Y149" s="150"/>
      <c r="Z149" s="150"/>
      <c r="AA149" s="150"/>
      <c r="AC149" s="1211"/>
      <c r="AD149" s="1211"/>
      <c r="AE149" s="1211"/>
      <c r="AF149" s="1211"/>
      <c r="AG149" s="1211"/>
      <c r="AH149" s="1211"/>
      <c r="AI149" s="1211"/>
      <c r="AJ149" s="1211"/>
      <c r="AK149" s="1211"/>
      <c r="AL149" s="1211"/>
      <c r="AM149" s="1211"/>
    </row>
    <row r="150" spans="2:39" s="244" customFormat="1">
      <c r="B150" s="1278"/>
      <c r="C150" s="1282"/>
      <c r="D150" s="1283"/>
      <c r="E150" s="1282"/>
      <c r="F150" s="1284"/>
      <c r="G150" s="150"/>
      <c r="H150" s="150"/>
      <c r="I150" s="150"/>
      <c r="J150" s="150"/>
      <c r="K150" s="150"/>
      <c r="L150" s="1285"/>
      <c r="M150" s="1286"/>
      <c r="N150" s="1284"/>
      <c r="O150" s="150"/>
      <c r="P150" s="150"/>
      <c r="Q150" s="1287"/>
      <c r="R150" s="1287"/>
      <c r="S150" s="149"/>
      <c r="T150" s="149"/>
      <c r="U150" s="150"/>
      <c r="V150" s="150"/>
      <c r="W150" s="150"/>
      <c r="X150" s="150"/>
      <c r="Y150" s="150"/>
      <c r="Z150" s="150"/>
      <c r="AA150" s="150"/>
      <c r="AC150" s="1211"/>
      <c r="AD150" s="1211"/>
      <c r="AE150" s="1211"/>
      <c r="AF150" s="1211"/>
      <c r="AG150" s="1211"/>
      <c r="AH150" s="1211"/>
      <c r="AI150" s="1211"/>
      <c r="AJ150" s="1211"/>
      <c r="AK150" s="1211"/>
      <c r="AL150" s="1211"/>
      <c r="AM150" s="1211"/>
    </row>
    <row r="151" spans="2:39" s="244" customFormat="1">
      <c r="B151" s="1278"/>
      <c r="C151" s="1282"/>
      <c r="D151" s="1283"/>
      <c r="E151" s="1282"/>
      <c r="F151" s="1284"/>
      <c r="G151" s="150"/>
      <c r="H151" s="150"/>
      <c r="I151" s="150"/>
      <c r="J151" s="150"/>
      <c r="K151" s="150"/>
      <c r="L151" s="1285"/>
      <c r="M151" s="1286"/>
      <c r="N151" s="1284"/>
      <c r="O151" s="150"/>
      <c r="P151" s="150"/>
      <c r="Q151" s="1287"/>
      <c r="R151" s="1287"/>
      <c r="S151" s="149"/>
      <c r="T151" s="149"/>
      <c r="U151" s="150"/>
      <c r="V151" s="150"/>
      <c r="W151" s="150"/>
      <c r="X151" s="150"/>
      <c r="Y151" s="150"/>
      <c r="Z151" s="150"/>
      <c r="AA151" s="150"/>
      <c r="AC151" s="1211"/>
      <c r="AD151" s="1211"/>
      <c r="AE151" s="1211"/>
      <c r="AF151" s="1211"/>
      <c r="AG151" s="1211"/>
      <c r="AH151" s="1211"/>
      <c r="AI151" s="1211"/>
      <c r="AJ151" s="1211"/>
      <c r="AK151" s="1211"/>
      <c r="AL151" s="1211"/>
      <c r="AM151" s="1211"/>
    </row>
    <row r="152" spans="2:39" s="244" customFormat="1">
      <c r="B152" s="1278"/>
      <c r="C152" s="1282"/>
      <c r="D152" s="1283"/>
      <c r="E152" s="1282"/>
      <c r="F152" s="1284"/>
      <c r="G152" s="150"/>
      <c r="H152" s="150"/>
      <c r="I152" s="150"/>
      <c r="J152" s="150"/>
      <c r="K152" s="150"/>
      <c r="L152" s="1285"/>
      <c r="M152" s="1286"/>
      <c r="N152" s="1284"/>
      <c r="O152" s="150"/>
      <c r="P152" s="150"/>
      <c r="Q152" s="1287"/>
      <c r="R152" s="1287"/>
      <c r="S152" s="149"/>
      <c r="T152" s="149"/>
      <c r="U152" s="150"/>
      <c r="V152" s="150"/>
      <c r="W152" s="150"/>
      <c r="X152" s="150"/>
      <c r="Y152" s="150"/>
      <c r="Z152" s="150"/>
      <c r="AA152" s="150"/>
      <c r="AC152" s="1211"/>
      <c r="AD152" s="1211"/>
      <c r="AE152" s="1211"/>
      <c r="AF152" s="1211"/>
      <c r="AG152" s="1211"/>
      <c r="AH152" s="1211"/>
      <c r="AI152" s="1211"/>
      <c r="AJ152" s="1211"/>
      <c r="AK152" s="1211"/>
      <c r="AL152" s="1211"/>
      <c r="AM152" s="1211"/>
    </row>
    <row r="153" spans="2:39" s="244" customFormat="1">
      <c r="B153" s="1278"/>
      <c r="C153" s="1282"/>
      <c r="D153" s="1283"/>
      <c r="E153" s="1282"/>
      <c r="F153" s="1284"/>
      <c r="G153" s="150"/>
      <c r="H153" s="150"/>
      <c r="I153" s="150"/>
      <c r="J153" s="150"/>
      <c r="K153" s="150"/>
      <c r="L153" s="1285"/>
      <c r="M153" s="1286"/>
      <c r="N153" s="1284"/>
      <c r="O153" s="150"/>
      <c r="P153" s="150"/>
      <c r="Q153" s="1287"/>
      <c r="R153" s="1287"/>
      <c r="S153" s="149"/>
      <c r="T153" s="149"/>
      <c r="U153" s="150"/>
      <c r="V153" s="150"/>
      <c r="W153" s="150"/>
      <c r="X153" s="150"/>
      <c r="Y153" s="150"/>
      <c r="Z153" s="150"/>
      <c r="AA153" s="150"/>
      <c r="AC153" s="1211"/>
      <c r="AD153" s="1211"/>
      <c r="AE153" s="1211"/>
      <c r="AF153" s="1211"/>
      <c r="AG153" s="1211"/>
      <c r="AH153" s="1211"/>
      <c r="AI153" s="1211"/>
      <c r="AJ153" s="1211"/>
      <c r="AK153" s="1211"/>
      <c r="AL153" s="1211"/>
      <c r="AM153" s="1211"/>
    </row>
    <row r="154" spans="2:39" s="244" customFormat="1">
      <c r="B154" s="1278"/>
      <c r="C154" s="1282"/>
      <c r="D154" s="1283"/>
      <c r="E154" s="1282"/>
      <c r="F154" s="1284"/>
      <c r="G154" s="150"/>
      <c r="H154" s="150"/>
      <c r="I154" s="150"/>
      <c r="J154" s="150"/>
      <c r="K154" s="150"/>
      <c r="L154" s="1285"/>
      <c r="M154" s="1286"/>
      <c r="N154" s="1284"/>
      <c r="O154" s="150"/>
      <c r="P154" s="150"/>
      <c r="Q154" s="1287"/>
      <c r="R154" s="1287"/>
      <c r="S154" s="149"/>
      <c r="T154" s="149"/>
      <c r="U154" s="150"/>
      <c r="V154" s="150"/>
      <c r="W154" s="150"/>
      <c r="X154" s="150"/>
      <c r="Y154" s="150"/>
      <c r="Z154" s="150"/>
      <c r="AA154" s="150"/>
      <c r="AC154" s="1211"/>
      <c r="AD154" s="1211"/>
      <c r="AE154" s="1211"/>
      <c r="AF154" s="1211"/>
      <c r="AG154" s="1211"/>
      <c r="AH154" s="1211"/>
      <c r="AI154" s="1211"/>
      <c r="AJ154" s="1211"/>
      <c r="AK154" s="1211"/>
      <c r="AL154" s="1211"/>
      <c r="AM154" s="1211"/>
    </row>
    <row r="155" spans="2:39" s="244" customFormat="1">
      <c r="B155" s="1278"/>
      <c r="C155" s="1282"/>
      <c r="D155" s="1283"/>
      <c r="E155" s="1282"/>
      <c r="F155" s="1284"/>
      <c r="G155" s="150"/>
      <c r="H155" s="150"/>
      <c r="I155" s="150"/>
      <c r="J155" s="150"/>
      <c r="K155" s="150"/>
      <c r="L155" s="1285"/>
      <c r="M155" s="1286"/>
      <c r="N155" s="1284"/>
      <c r="O155" s="150"/>
      <c r="P155" s="150"/>
      <c r="Q155" s="1287"/>
      <c r="R155" s="1287"/>
      <c r="S155" s="149"/>
      <c r="T155" s="149"/>
      <c r="U155" s="150"/>
      <c r="V155" s="150"/>
      <c r="W155" s="150"/>
      <c r="X155" s="150"/>
      <c r="Y155" s="150"/>
      <c r="Z155" s="150"/>
      <c r="AA155" s="150"/>
      <c r="AC155" s="1211"/>
      <c r="AD155" s="1211"/>
      <c r="AE155" s="1211"/>
      <c r="AF155" s="1211"/>
      <c r="AG155" s="1211"/>
      <c r="AH155" s="1211"/>
      <c r="AI155" s="1211"/>
      <c r="AJ155" s="1211"/>
      <c r="AK155" s="1211"/>
      <c r="AL155" s="1211"/>
      <c r="AM155" s="1211"/>
    </row>
    <row r="156" spans="2:39" s="244" customFormat="1">
      <c r="B156" s="1278"/>
      <c r="C156" s="1282"/>
      <c r="D156" s="1283"/>
      <c r="E156" s="1282"/>
      <c r="F156" s="1284"/>
      <c r="G156" s="150"/>
      <c r="H156" s="150"/>
      <c r="I156" s="150"/>
      <c r="J156" s="150"/>
      <c r="K156" s="150"/>
      <c r="L156" s="1285"/>
      <c r="M156" s="1286"/>
      <c r="N156" s="1284"/>
      <c r="O156" s="150"/>
      <c r="P156" s="150"/>
      <c r="Q156" s="1287"/>
      <c r="R156" s="1287"/>
      <c r="S156" s="149"/>
      <c r="T156" s="149"/>
      <c r="U156" s="150"/>
      <c r="V156" s="150"/>
      <c r="W156" s="150"/>
      <c r="X156" s="150"/>
      <c r="Y156" s="150"/>
      <c r="Z156" s="150"/>
      <c r="AA156" s="150"/>
      <c r="AC156" s="1211"/>
      <c r="AD156" s="1211"/>
      <c r="AE156" s="1211"/>
      <c r="AF156" s="1211"/>
      <c r="AG156" s="1211"/>
      <c r="AH156" s="1211"/>
      <c r="AI156" s="1211"/>
      <c r="AJ156" s="1211"/>
      <c r="AK156" s="1211"/>
      <c r="AL156" s="1211"/>
      <c r="AM156" s="1211"/>
    </row>
    <row r="157" spans="2:39" s="244" customFormat="1">
      <c r="B157" s="1278"/>
      <c r="C157" s="1282"/>
      <c r="D157" s="1283"/>
      <c r="E157" s="1282"/>
      <c r="F157" s="1284"/>
      <c r="G157" s="150"/>
      <c r="H157" s="150"/>
      <c r="I157" s="150"/>
      <c r="J157" s="150"/>
      <c r="K157" s="150"/>
      <c r="L157" s="1285"/>
      <c r="M157" s="1286"/>
      <c r="N157" s="1284"/>
      <c r="O157" s="150"/>
      <c r="P157" s="150"/>
      <c r="Q157" s="1287"/>
      <c r="R157" s="1287"/>
      <c r="S157" s="149"/>
      <c r="T157" s="149"/>
      <c r="U157" s="150"/>
      <c r="V157" s="150"/>
      <c r="W157" s="150"/>
      <c r="X157" s="150"/>
      <c r="Y157" s="150"/>
      <c r="Z157" s="150"/>
      <c r="AA157" s="150"/>
      <c r="AC157" s="1211"/>
      <c r="AD157" s="1211"/>
      <c r="AE157" s="1211"/>
      <c r="AF157" s="1211"/>
      <c r="AG157" s="1211"/>
      <c r="AH157" s="1211"/>
      <c r="AI157" s="1211"/>
      <c r="AJ157" s="1211"/>
      <c r="AK157" s="1211"/>
      <c r="AL157" s="1211"/>
      <c r="AM157" s="1211"/>
    </row>
    <row r="158" spans="2:39" s="244" customFormat="1">
      <c r="B158" s="1278"/>
      <c r="C158" s="1282"/>
      <c r="D158" s="1283"/>
      <c r="E158" s="1282"/>
      <c r="F158" s="1284"/>
      <c r="G158" s="150"/>
      <c r="H158" s="150"/>
      <c r="I158" s="150"/>
      <c r="J158" s="150"/>
      <c r="K158" s="150"/>
      <c r="L158" s="1285"/>
      <c r="M158" s="1286"/>
      <c r="N158" s="1284"/>
      <c r="O158" s="150"/>
      <c r="P158" s="150"/>
      <c r="Q158" s="1287"/>
      <c r="R158" s="1287"/>
      <c r="S158" s="149"/>
      <c r="T158" s="149"/>
      <c r="U158" s="150"/>
      <c r="V158" s="150"/>
      <c r="W158" s="150"/>
      <c r="X158" s="150"/>
      <c r="Y158" s="150"/>
      <c r="Z158" s="150"/>
      <c r="AA158" s="150"/>
      <c r="AC158" s="1211"/>
      <c r="AD158" s="1211"/>
      <c r="AE158" s="1211"/>
      <c r="AF158" s="1211"/>
      <c r="AG158" s="1211"/>
      <c r="AH158" s="1211"/>
      <c r="AI158" s="1211"/>
      <c r="AJ158" s="1211"/>
      <c r="AK158" s="1211"/>
      <c r="AL158" s="1211"/>
      <c r="AM158" s="1211"/>
    </row>
    <row r="159" spans="2:39" s="244" customFormat="1">
      <c r="B159" s="1278"/>
      <c r="C159" s="1282"/>
      <c r="D159" s="1283"/>
      <c r="E159" s="1282"/>
      <c r="F159" s="1284"/>
      <c r="G159" s="150"/>
      <c r="H159" s="150"/>
      <c r="I159" s="150"/>
      <c r="J159" s="150"/>
      <c r="K159" s="150"/>
      <c r="L159" s="1285"/>
      <c r="M159" s="1286"/>
      <c r="N159" s="1284"/>
      <c r="O159" s="150"/>
      <c r="P159" s="150"/>
      <c r="Q159" s="1287"/>
      <c r="R159" s="1287"/>
      <c r="S159" s="149"/>
      <c r="T159" s="149"/>
      <c r="U159" s="150"/>
      <c r="V159" s="150"/>
      <c r="W159" s="150"/>
      <c r="X159" s="150"/>
      <c r="Y159" s="150"/>
      <c r="Z159" s="150"/>
      <c r="AA159" s="150"/>
      <c r="AC159" s="1211"/>
      <c r="AD159" s="1211"/>
      <c r="AE159" s="1211"/>
      <c r="AF159" s="1211"/>
      <c r="AG159" s="1211"/>
      <c r="AH159" s="1211"/>
      <c r="AI159" s="1211"/>
      <c r="AJ159" s="1211"/>
      <c r="AK159" s="1211"/>
      <c r="AL159" s="1211"/>
      <c r="AM159" s="1211"/>
    </row>
    <row r="160" spans="2:39" s="244" customFormat="1">
      <c r="B160" s="1278"/>
      <c r="C160" s="1282"/>
      <c r="D160" s="1283"/>
      <c r="E160" s="1282"/>
      <c r="F160" s="1284"/>
      <c r="G160" s="150"/>
      <c r="H160" s="150"/>
      <c r="I160" s="150"/>
      <c r="J160" s="150"/>
      <c r="K160" s="150"/>
      <c r="L160" s="1285"/>
      <c r="M160" s="1286"/>
      <c r="N160" s="1284"/>
      <c r="O160" s="150"/>
      <c r="P160" s="150"/>
      <c r="Q160" s="1287"/>
      <c r="R160" s="1287"/>
      <c r="S160" s="149"/>
      <c r="T160" s="149"/>
      <c r="U160" s="150"/>
      <c r="V160" s="150"/>
      <c r="W160" s="150"/>
      <c r="X160" s="150"/>
      <c r="Y160" s="150"/>
      <c r="Z160" s="150"/>
      <c r="AA160" s="150"/>
      <c r="AC160" s="1211"/>
      <c r="AD160" s="1211"/>
      <c r="AE160" s="1211"/>
      <c r="AF160" s="1211"/>
      <c r="AG160" s="1211"/>
      <c r="AH160" s="1211"/>
      <c r="AI160" s="1211"/>
      <c r="AJ160" s="1211"/>
      <c r="AK160" s="1211"/>
      <c r="AL160" s="1211"/>
      <c r="AM160" s="1211"/>
    </row>
    <row r="161" spans="2:39" s="244" customFormat="1">
      <c r="B161" s="1278"/>
      <c r="C161" s="1282"/>
      <c r="D161" s="1283"/>
      <c r="E161" s="1282"/>
      <c r="F161" s="1284"/>
      <c r="G161" s="150"/>
      <c r="H161" s="150"/>
      <c r="I161" s="150"/>
      <c r="J161" s="150"/>
      <c r="K161" s="150"/>
      <c r="L161" s="1285"/>
      <c r="M161" s="1286"/>
      <c r="N161" s="1284"/>
      <c r="O161" s="150"/>
      <c r="P161" s="150"/>
      <c r="Q161" s="1287"/>
      <c r="R161" s="1287"/>
      <c r="S161" s="149"/>
      <c r="T161" s="149"/>
      <c r="U161" s="150"/>
      <c r="V161" s="150"/>
      <c r="W161" s="150"/>
      <c r="X161" s="150"/>
      <c r="Y161" s="150"/>
      <c r="Z161" s="150"/>
      <c r="AA161" s="150"/>
      <c r="AC161" s="1211"/>
      <c r="AD161" s="1211"/>
      <c r="AE161" s="1211"/>
      <c r="AF161" s="1211"/>
      <c r="AG161" s="1211"/>
      <c r="AH161" s="1211"/>
      <c r="AI161" s="1211"/>
      <c r="AJ161" s="1211"/>
      <c r="AK161" s="1211"/>
      <c r="AL161" s="1211"/>
      <c r="AM161" s="1211"/>
    </row>
    <row r="162" spans="2:39" s="244" customFormat="1">
      <c r="B162" s="1278"/>
      <c r="C162" s="1282"/>
      <c r="D162" s="1283"/>
      <c r="E162" s="1282"/>
      <c r="F162" s="1284"/>
      <c r="G162" s="150"/>
      <c r="H162" s="150"/>
      <c r="I162" s="150"/>
      <c r="J162" s="150"/>
      <c r="K162" s="150"/>
      <c r="L162" s="1285"/>
      <c r="M162" s="1286"/>
      <c r="N162" s="1284"/>
      <c r="O162" s="150"/>
      <c r="P162" s="150"/>
      <c r="Q162" s="1287"/>
      <c r="R162" s="1287"/>
      <c r="S162" s="149"/>
      <c r="T162" s="149"/>
      <c r="U162" s="150"/>
      <c r="V162" s="150"/>
      <c r="W162" s="150"/>
      <c r="X162" s="150"/>
      <c r="Y162" s="150"/>
      <c r="Z162" s="150"/>
      <c r="AA162" s="150"/>
      <c r="AC162" s="1211"/>
      <c r="AD162" s="1211"/>
      <c r="AE162" s="1211"/>
      <c r="AF162" s="1211"/>
      <c r="AG162" s="1211"/>
      <c r="AH162" s="1211"/>
      <c r="AI162" s="1211"/>
      <c r="AJ162" s="1211"/>
      <c r="AK162" s="1211"/>
      <c r="AL162" s="1211"/>
      <c r="AM162" s="1211"/>
    </row>
    <row r="163" spans="2:39" s="244" customFormat="1">
      <c r="B163" s="1278"/>
      <c r="C163" s="1282"/>
      <c r="D163" s="1283"/>
      <c r="E163" s="1282"/>
      <c r="F163" s="1284"/>
      <c r="G163" s="150"/>
      <c r="H163" s="150"/>
      <c r="I163" s="150"/>
      <c r="J163" s="150"/>
      <c r="K163" s="150"/>
      <c r="L163" s="1285"/>
      <c r="M163" s="1286"/>
      <c r="N163" s="1284"/>
      <c r="O163" s="150"/>
      <c r="P163" s="150"/>
      <c r="Q163" s="1287"/>
      <c r="R163" s="1287"/>
      <c r="S163" s="149"/>
      <c r="T163" s="149"/>
      <c r="U163" s="150"/>
      <c r="V163" s="150"/>
      <c r="W163" s="150"/>
      <c r="X163" s="150"/>
      <c r="Y163" s="150"/>
      <c r="Z163" s="150"/>
      <c r="AA163" s="150"/>
      <c r="AC163" s="1211"/>
      <c r="AD163" s="1211"/>
      <c r="AE163" s="1211"/>
      <c r="AF163" s="1211"/>
      <c r="AG163" s="1211"/>
      <c r="AH163" s="1211"/>
      <c r="AI163" s="1211"/>
      <c r="AJ163" s="1211"/>
      <c r="AK163" s="1211"/>
      <c r="AL163" s="1211"/>
      <c r="AM163" s="1211"/>
    </row>
    <row r="164" spans="2:39" s="244" customFormat="1">
      <c r="B164" s="1278"/>
      <c r="C164" s="1282"/>
      <c r="D164" s="1283"/>
      <c r="E164" s="1282"/>
      <c r="F164" s="1284"/>
      <c r="G164" s="150"/>
      <c r="H164" s="150"/>
      <c r="I164" s="150"/>
      <c r="J164" s="150"/>
      <c r="K164" s="150"/>
      <c r="L164" s="1285"/>
      <c r="M164" s="1286"/>
      <c r="N164" s="1284"/>
      <c r="O164" s="150"/>
      <c r="P164" s="150"/>
      <c r="Q164" s="1287"/>
      <c r="R164" s="1287"/>
      <c r="S164" s="149"/>
      <c r="T164" s="149"/>
      <c r="U164" s="150"/>
      <c r="V164" s="150"/>
      <c r="W164" s="150"/>
      <c r="X164" s="150"/>
      <c r="Y164" s="150"/>
      <c r="Z164" s="150"/>
      <c r="AA164" s="150"/>
      <c r="AC164" s="1211"/>
      <c r="AD164" s="1211"/>
      <c r="AE164" s="1211"/>
      <c r="AF164" s="1211"/>
      <c r="AG164" s="1211"/>
      <c r="AH164" s="1211"/>
      <c r="AI164" s="1211"/>
      <c r="AJ164" s="1211"/>
      <c r="AK164" s="1211"/>
      <c r="AL164" s="1211"/>
      <c r="AM164" s="1211"/>
    </row>
    <row r="165" spans="2:39" s="244" customFormat="1">
      <c r="B165" s="1278"/>
      <c r="C165" s="1282"/>
      <c r="D165" s="1283"/>
      <c r="E165" s="1282"/>
      <c r="F165" s="1284"/>
      <c r="G165" s="150"/>
      <c r="H165" s="150"/>
      <c r="I165" s="150"/>
      <c r="J165" s="150"/>
      <c r="K165" s="150"/>
      <c r="L165" s="1285"/>
      <c r="M165" s="1286"/>
      <c r="N165" s="1284"/>
      <c r="O165" s="150"/>
      <c r="P165" s="150"/>
      <c r="Q165" s="1287"/>
      <c r="R165" s="1287"/>
      <c r="S165" s="149"/>
      <c r="T165" s="149"/>
      <c r="U165" s="150"/>
      <c r="V165" s="150"/>
      <c r="W165" s="150"/>
      <c r="X165" s="150"/>
      <c r="Y165" s="150"/>
      <c r="Z165" s="150"/>
      <c r="AA165" s="150"/>
      <c r="AC165" s="1211"/>
      <c r="AD165" s="1211"/>
      <c r="AE165" s="1211"/>
      <c r="AF165" s="1211"/>
      <c r="AG165" s="1211"/>
      <c r="AH165" s="1211"/>
      <c r="AI165" s="1211"/>
      <c r="AJ165" s="1211"/>
      <c r="AK165" s="1211"/>
      <c r="AL165" s="1211"/>
      <c r="AM165" s="1211"/>
    </row>
    <row r="166" spans="2:39" s="244" customFormat="1">
      <c r="B166" s="1278"/>
      <c r="C166" s="1282"/>
      <c r="D166" s="1283"/>
      <c r="E166" s="1282"/>
      <c r="F166" s="1284"/>
      <c r="G166" s="150"/>
      <c r="H166" s="150"/>
      <c r="I166" s="150"/>
      <c r="J166" s="150"/>
      <c r="K166" s="150"/>
      <c r="L166" s="1285"/>
      <c r="M166" s="1286"/>
      <c r="N166" s="1284"/>
      <c r="O166" s="150"/>
      <c r="P166" s="150"/>
      <c r="Q166" s="1287"/>
      <c r="R166" s="1287"/>
      <c r="S166" s="149"/>
      <c r="T166" s="149"/>
      <c r="U166" s="150"/>
      <c r="V166" s="150"/>
      <c r="W166" s="150"/>
      <c r="X166" s="150"/>
      <c r="Y166" s="150"/>
      <c r="Z166" s="150"/>
      <c r="AA166" s="150"/>
      <c r="AC166" s="1211"/>
      <c r="AD166" s="1211"/>
      <c r="AE166" s="1211"/>
      <c r="AF166" s="1211"/>
      <c r="AG166" s="1211"/>
      <c r="AH166" s="1211"/>
      <c r="AI166" s="1211"/>
      <c r="AJ166" s="1211"/>
      <c r="AK166" s="1211"/>
      <c r="AL166" s="1211"/>
      <c r="AM166" s="1211"/>
    </row>
    <row r="167" spans="2:39" s="244" customFormat="1">
      <c r="B167" s="1278"/>
      <c r="C167" s="1282"/>
      <c r="D167" s="1283"/>
      <c r="E167" s="1282"/>
      <c r="F167" s="1284"/>
      <c r="G167" s="150"/>
      <c r="H167" s="150"/>
      <c r="I167" s="150"/>
      <c r="J167" s="150"/>
      <c r="K167" s="150"/>
      <c r="L167" s="1285"/>
      <c r="M167" s="1286"/>
      <c r="N167" s="1284"/>
      <c r="O167" s="150"/>
      <c r="P167" s="150"/>
      <c r="Q167" s="1287"/>
      <c r="R167" s="1287"/>
      <c r="S167" s="149"/>
      <c r="T167" s="149"/>
      <c r="U167" s="150"/>
      <c r="V167" s="150"/>
      <c r="W167" s="150"/>
      <c r="X167" s="150"/>
      <c r="Y167" s="150"/>
      <c r="Z167" s="150"/>
      <c r="AA167" s="150"/>
      <c r="AC167" s="1211"/>
      <c r="AD167" s="1211"/>
      <c r="AE167" s="1211"/>
      <c r="AF167" s="1211"/>
      <c r="AG167" s="1211"/>
      <c r="AH167" s="1211"/>
      <c r="AI167" s="1211"/>
      <c r="AJ167" s="1211"/>
      <c r="AK167" s="1211"/>
      <c r="AL167" s="1211"/>
      <c r="AM167" s="1211"/>
    </row>
    <row r="168" spans="2:39" s="244" customFormat="1">
      <c r="B168" s="1278"/>
      <c r="C168" s="1282"/>
      <c r="D168" s="1283"/>
      <c r="E168" s="1282"/>
      <c r="F168" s="1284"/>
      <c r="G168" s="150"/>
      <c r="H168" s="150"/>
      <c r="I168" s="150"/>
      <c r="J168" s="150"/>
      <c r="K168" s="150"/>
      <c r="L168" s="1285"/>
      <c r="M168" s="1286"/>
      <c r="N168" s="1284"/>
      <c r="O168" s="150"/>
      <c r="P168" s="150"/>
      <c r="Q168" s="1287"/>
      <c r="R168" s="1287"/>
      <c r="S168" s="149"/>
      <c r="T168" s="149"/>
      <c r="U168" s="150"/>
      <c r="V168" s="150"/>
      <c r="W168" s="150"/>
      <c r="X168" s="150"/>
      <c r="Y168" s="150"/>
      <c r="Z168" s="150"/>
      <c r="AA168" s="150"/>
      <c r="AB168" s="244">
        <f>SUBTOTAL(9,AB126:AB167)</f>
        <v>0</v>
      </c>
      <c r="AC168" s="1211">
        <f>SUBTOTAL(9,AC126:AC167)</f>
        <v>0</v>
      </c>
      <c r="AD168" s="1211">
        <f>SUBTOTAL(9,AD126:AD167)</f>
        <v>0</v>
      </c>
      <c r="AE168" s="1211"/>
      <c r="AF168" s="1211"/>
      <c r="AG168" s="1211"/>
      <c r="AH168" s="1211"/>
      <c r="AI168" s="1211"/>
      <c r="AJ168" s="1211"/>
      <c r="AK168" s="1211"/>
      <c r="AL168" s="1211"/>
      <c r="AM168" s="1211"/>
    </row>
    <row r="169" spans="2:39" s="244" customFormat="1">
      <c r="B169" s="1278"/>
      <c r="C169" s="1282"/>
      <c r="D169" s="1283"/>
      <c r="E169" s="1282"/>
      <c r="F169" s="1284"/>
      <c r="G169" s="150"/>
      <c r="H169" s="150"/>
      <c r="I169" s="150"/>
      <c r="J169" s="150"/>
      <c r="K169" s="150"/>
      <c r="L169" s="1285"/>
      <c r="M169" s="1286"/>
      <c r="N169" s="1284"/>
      <c r="O169" s="150"/>
      <c r="P169" s="150"/>
      <c r="Q169" s="1287"/>
      <c r="R169" s="1287"/>
      <c r="S169" s="149"/>
      <c r="T169" s="149"/>
      <c r="U169" s="150"/>
      <c r="V169" s="150"/>
      <c r="W169" s="150"/>
      <c r="X169" s="150"/>
      <c r="Y169" s="150"/>
      <c r="Z169" s="150"/>
      <c r="AA169" s="150"/>
      <c r="AB169" s="244">
        <v>0</v>
      </c>
      <c r="AC169" s="1211">
        <v>0</v>
      </c>
      <c r="AD169" s="1211">
        <v>0</v>
      </c>
      <c r="AE169" s="1211"/>
      <c r="AF169" s="1211"/>
      <c r="AG169" s="1211"/>
      <c r="AH169" s="1211"/>
      <c r="AI169" s="1211"/>
      <c r="AJ169" s="1211"/>
      <c r="AK169" s="1211"/>
      <c r="AL169" s="1211"/>
      <c r="AM169" s="1211"/>
    </row>
    <row r="170" spans="2:39" s="244" customFormat="1">
      <c r="B170" s="1278"/>
      <c r="C170" s="1282"/>
      <c r="D170" s="1283"/>
      <c r="E170" s="1282"/>
      <c r="F170" s="1284"/>
      <c r="G170" s="150"/>
      <c r="H170" s="150"/>
      <c r="I170" s="150"/>
      <c r="J170" s="150"/>
      <c r="K170" s="150"/>
      <c r="L170" s="1285"/>
      <c r="M170" s="1286"/>
      <c r="N170" s="1284"/>
      <c r="O170" s="150"/>
      <c r="P170" s="150"/>
      <c r="Q170" s="1287"/>
      <c r="R170" s="1287"/>
      <c r="S170" s="149"/>
      <c r="T170" s="149"/>
      <c r="U170" s="150"/>
      <c r="V170" s="150"/>
      <c r="W170" s="150"/>
      <c r="X170" s="150"/>
      <c r="Y170" s="150"/>
      <c r="Z170" s="150"/>
      <c r="AA170" s="150"/>
      <c r="AB170" s="244">
        <v>0</v>
      </c>
      <c r="AC170" s="1211">
        <v>0</v>
      </c>
      <c r="AD170" s="1211">
        <v>0</v>
      </c>
      <c r="AE170" s="1211"/>
      <c r="AF170" s="1211"/>
      <c r="AG170" s="1211"/>
      <c r="AH170" s="1211"/>
      <c r="AI170" s="1211"/>
      <c r="AJ170" s="1211"/>
      <c r="AK170" s="1211"/>
      <c r="AL170" s="1211"/>
      <c r="AM170" s="1211"/>
    </row>
    <row r="171" spans="2:39" s="244" customFormat="1">
      <c r="B171" s="1278"/>
      <c r="C171" s="1282"/>
      <c r="D171" s="1283"/>
      <c r="E171" s="1282"/>
      <c r="F171" s="1284"/>
      <c r="G171" s="150"/>
      <c r="H171" s="150"/>
      <c r="I171" s="150"/>
      <c r="J171" s="150"/>
      <c r="K171" s="150"/>
      <c r="L171" s="1285"/>
      <c r="M171" s="1286"/>
      <c r="N171" s="1284"/>
      <c r="O171" s="150"/>
      <c r="P171" s="150"/>
      <c r="Q171" s="1287"/>
      <c r="R171" s="1287"/>
      <c r="S171" s="149"/>
      <c r="T171" s="149"/>
      <c r="U171" s="150"/>
      <c r="V171" s="150"/>
      <c r="W171" s="150"/>
      <c r="X171" s="150"/>
      <c r="Y171" s="150"/>
      <c r="Z171" s="150"/>
      <c r="AA171" s="150"/>
      <c r="AB171" s="244">
        <v>0</v>
      </c>
      <c r="AC171" s="1211">
        <v>0</v>
      </c>
      <c r="AD171" s="1211">
        <v>0</v>
      </c>
      <c r="AE171" s="1211"/>
      <c r="AF171" s="1211"/>
      <c r="AG171" s="1211"/>
      <c r="AH171" s="1211"/>
      <c r="AI171" s="1211"/>
      <c r="AJ171" s="1211"/>
      <c r="AK171" s="1211"/>
      <c r="AL171" s="1211"/>
      <c r="AM171" s="1211"/>
    </row>
    <row r="172" spans="2:39" s="244" customFormat="1">
      <c r="B172" s="1278"/>
      <c r="C172" s="1282"/>
      <c r="D172" s="1283"/>
      <c r="E172" s="1282"/>
      <c r="F172" s="1284"/>
      <c r="G172" s="150"/>
      <c r="H172" s="150"/>
      <c r="I172" s="150"/>
      <c r="J172" s="150"/>
      <c r="K172" s="150"/>
      <c r="L172" s="1285"/>
      <c r="M172" s="1286"/>
      <c r="N172" s="1284"/>
      <c r="O172" s="150"/>
      <c r="P172" s="150"/>
      <c r="Q172" s="1287"/>
      <c r="R172" s="1287"/>
      <c r="S172" s="149"/>
      <c r="T172" s="149"/>
      <c r="U172" s="150"/>
      <c r="V172" s="150"/>
      <c r="W172" s="150"/>
      <c r="X172" s="150"/>
      <c r="Y172" s="150"/>
      <c r="Z172" s="150"/>
      <c r="AA172" s="150"/>
      <c r="AB172" s="244">
        <v>0</v>
      </c>
      <c r="AC172" s="1211">
        <v>0</v>
      </c>
      <c r="AD172" s="1211">
        <v>0</v>
      </c>
      <c r="AE172" s="1211"/>
      <c r="AF172" s="1211"/>
      <c r="AG172" s="1211"/>
      <c r="AH172" s="1211"/>
      <c r="AI172" s="1211"/>
      <c r="AJ172" s="1211"/>
      <c r="AK172" s="1211"/>
      <c r="AL172" s="1211"/>
      <c r="AM172" s="1211"/>
    </row>
    <row r="173" spans="2:39" s="244" customFormat="1">
      <c r="B173" s="1278"/>
      <c r="C173" s="1282"/>
      <c r="D173" s="1283"/>
      <c r="E173" s="1282"/>
      <c r="F173" s="1284"/>
      <c r="G173" s="150"/>
      <c r="H173" s="150"/>
      <c r="I173" s="150"/>
      <c r="J173" s="150"/>
      <c r="K173" s="150"/>
      <c r="L173" s="1285"/>
      <c r="M173" s="1286"/>
      <c r="N173" s="1284"/>
      <c r="O173" s="150"/>
      <c r="P173" s="150"/>
      <c r="Q173" s="1287"/>
      <c r="R173" s="1287"/>
      <c r="S173" s="149"/>
      <c r="T173" s="149"/>
      <c r="U173" s="150"/>
      <c r="V173" s="150"/>
      <c r="W173" s="150"/>
      <c r="X173" s="150"/>
      <c r="Y173" s="150"/>
      <c r="Z173" s="150"/>
      <c r="AA173" s="150"/>
      <c r="AB173" s="244">
        <v>0</v>
      </c>
      <c r="AC173" s="1211">
        <v>0</v>
      </c>
      <c r="AD173" s="1211">
        <v>0</v>
      </c>
      <c r="AE173" s="1211"/>
      <c r="AF173" s="1211"/>
      <c r="AG173" s="1211"/>
      <c r="AH173" s="1211"/>
      <c r="AI173" s="1211"/>
      <c r="AJ173" s="1211"/>
      <c r="AK173" s="1211"/>
      <c r="AL173" s="1211"/>
      <c r="AM173" s="1211"/>
    </row>
    <row r="174" spans="2:39" s="244" customFormat="1">
      <c r="B174" s="1278"/>
      <c r="C174" s="1282"/>
      <c r="D174" s="1283"/>
      <c r="E174" s="1282"/>
      <c r="F174" s="1284"/>
      <c r="G174" s="150"/>
      <c r="H174" s="150"/>
      <c r="I174" s="150"/>
      <c r="J174" s="150"/>
      <c r="K174" s="150"/>
      <c r="L174" s="1285"/>
      <c r="M174" s="1286"/>
      <c r="N174" s="1284"/>
      <c r="O174" s="150"/>
      <c r="P174" s="150"/>
      <c r="Q174" s="1287"/>
      <c r="R174" s="1287"/>
      <c r="S174" s="149"/>
      <c r="T174" s="149"/>
      <c r="U174" s="150"/>
      <c r="V174" s="150"/>
      <c r="W174" s="150"/>
      <c r="X174" s="150"/>
      <c r="Y174" s="150"/>
      <c r="Z174" s="150"/>
      <c r="AA174" s="150"/>
      <c r="AB174" s="244">
        <v>0</v>
      </c>
      <c r="AC174" s="1211">
        <v>0</v>
      </c>
      <c r="AD174" s="1211">
        <v>0</v>
      </c>
      <c r="AE174" s="1211"/>
      <c r="AF174" s="1211"/>
      <c r="AG174" s="1211"/>
      <c r="AH174" s="1211"/>
      <c r="AI174" s="1211"/>
      <c r="AJ174" s="1211"/>
      <c r="AK174" s="1211"/>
      <c r="AL174" s="1211"/>
      <c r="AM174" s="1211"/>
    </row>
    <row r="175" spans="2:39" s="244" customFormat="1">
      <c r="B175" s="1278"/>
      <c r="C175" s="1282"/>
      <c r="D175" s="1283"/>
      <c r="E175" s="1282"/>
      <c r="F175" s="1284"/>
      <c r="G175" s="150"/>
      <c r="H175" s="150"/>
      <c r="I175" s="150"/>
      <c r="J175" s="150"/>
      <c r="K175" s="150"/>
      <c r="L175" s="1285"/>
      <c r="M175" s="1286"/>
      <c r="N175" s="1284"/>
      <c r="O175" s="150"/>
      <c r="P175" s="150"/>
      <c r="Q175" s="1287"/>
      <c r="R175" s="1287"/>
      <c r="S175" s="149"/>
      <c r="T175" s="149"/>
      <c r="U175" s="150"/>
      <c r="V175" s="150"/>
      <c r="W175" s="150"/>
      <c r="X175" s="150"/>
      <c r="Y175" s="150"/>
      <c r="Z175" s="150"/>
      <c r="AA175" s="150"/>
      <c r="AB175" s="244">
        <v>0</v>
      </c>
      <c r="AC175" s="1211">
        <v>0</v>
      </c>
      <c r="AD175" s="1211">
        <v>0</v>
      </c>
      <c r="AE175" s="1211"/>
      <c r="AF175" s="1211"/>
      <c r="AG175" s="1211"/>
      <c r="AH175" s="1211"/>
      <c r="AI175" s="1211"/>
      <c r="AJ175" s="1211"/>
      <c r="AK175" s="1211"/>
      <c r="AL175" s="1211"/>
      <c r="AM175" s="1211"/>
    </row>
    <row r="176" spans="2:39" s="244" customFormat="1">
      <c r="B176" s="1278"/>
      <c r="C176" s="1282"/>
      <c r="D176" s="1283"/>
      <c r="E176" s="1282"/>
      <c r="F176" s="1284"/>
      <c r="G176" s="150"/>
      <c r="H176" s="150"/>
      <c r="I176" s="150"/>
      <c r="J176" s="150"/>
      <c r="K176" s="150"/>
      <c r="L176" s="1285"/>
      <c r="M176" s="1286"/>
      <c r="N176" s="1284"/>
      <c r="O176" s="150"/>
      <c r="P176" s="150"/>
      <c r="Q176" s="1287"/>
      <c r="R176" s="1287"/>
      <c r="S176" s="149"/>
      <c r="T176" s="149"/>
      <c r="U176" s="150"/>
      <c r="V176" s="150"/>
      <c r="W176" s="150"/>
      <c r="X176" s="150"/>
      <c r="Y176" s="150"/>
      <c r="Z176" s="150"/>
      <c r="AA176" s="150"/>
      <c r="AB176" s="244">
        <v>0</v>
      </c>
      <c r="AC176" s="1211">
        <v>0</v>
      </c>
      <c r="AD176" s="1211">
        <v>0</v>
      </c>
      <c r="AE176" s="1211"/>
      <c r="AF176" s="1211"/>
      <c r="AG176" s="1211"/>
      <c r="AH176" s="1211"/>
      <c r="AI176" s="1211"/>
      <c r="AJ176" s="1211"/>
      <c r="AK176" s="1211"/>
      <c r="AL176" s="1211"/>
      <c r="AM176" s="1211"/>
    </row>
    <row r="177" spans="2:41" s="244" customFormat="1">
      <c r="B177" s="1278"/>
      <c r="C177" s="1282"/>
      <c r="D177" s="1283"/>
      <c r="E177" s="1282"/>
      <c r="F177" s="1284"/>
      <c r="G177" s="150"/>
      <c r="H177" s="150"/>
      <c r="I177" s="150"/>
      <c r="J177" s="150"/>
      <c r="K177" s="150"/>
      <c r="L177" s="1285"/>
      <c r="M177" s="1286"/>
      <c r="N177" s="1284"/>
      <c r="O177" s="150"/>
      <c r="P177" s="150"/>
      <c r="Q177" s="1287"/>
      <c r="R177" s="1287"/>
      <c r="S177" s="149"/>
      <c r="T177" s="149"/>
      <c r="U177" s="150"/>
      <c r="V177" s="150"/>
      <c r="W177" s="150"/>
      <c r="X177" s="150"/>
      <c r="Y177" s="150"/>
      <c r="Z177" s="150"/>
      <c r="AA177" s="150"/>
      <c r="AB177" s="244">
        <v>0</v>
      </c>
      <c r="AC177" s="1211">
        <v>0</v>
      </c>
      <c r="AD177" s="1211">
        <v>0</v>
      </c>
      <c r="AE177" s="1211"/>
      <c r="AF177" s="1211"/>
      <c r="AG177" s="1211"/>
      <c r="AH177" s="1211"/>
      <c r="AI177" s="1211"/>
      <c r="AJ177" s="1211"/>
      <c r="AK177" s="1211"/>
      <c r="AL177" s="1211"/>
      <c r="AM177" s="1211"/>
    </row>
    <row r="178" spans="2:41" s="244" customFormat="1">
      <c r="B178" s="1278"/>
      <c r="C178" s="1282"/>
      <c r="D178" s="1283"/>
      <c r="E178" s="1282"/>
      <c r="F178" s="1284"/>
      <c r="G178" s="150"/>
      <c r="H178" s="150"/>
      <c r="I178" s="150"/>
      <c r="J178" s="150"/>
      <c r="K178" s="150"/>
      <c r="L178" s="1285"/>
      <c r="M178" s="1286"/>
      <c r="N178" s="1284"/>
      <c r="O178" s="150"/>
      <c r="P178" s="150"/>
      <c r="Q178" s="1287"/>
      <c r="R178" s="1287"/>
      <c r="S178" s="149"/>
      <c r="T178" s="149"/>
      <c r="U178" s="150"/>
      <c r="V178" s="150"/>
      <c r="W178" s="150"/>
      <c r="X178" s="150"/>
      <c r="Y178" s="150"/>
      <c r="Z178" s="150"/>
      <c r="AA178" s="150"/>
      <c r="AB178" s="244">
        <v>0</v>
      </c>
      <c r="AC178" s="1211">
        <v>0</v>
      </c>
      <c r="AD178" s="1211">
        <v>0</v>
      </c>
      <c r="AE178" s="1211"/>
      <c r="AF178" s="1211"/>
      <c r="AG178" s="1211"/>
      <c r="AH178" s="1211"/>
      <c r="AI178" s="1211"/>
      <c r="AJ178" s="1211"/>
      <c r="AK178" s="1211"/>
      <c r="AL178" s="1211"/>
      <c r="AM178" s="1211"/>
    </row>
    <row r="179" spans="2:41" s="244" customFormat="1">
      <c r="B179" s="1278"/>
      <c r="C179" s="1282"/>
      <c r="D179" s="1283"/>
      <c r="E179" s="1282"/>
      <c r="F179" s="1284"/>
      <c r="G179" s="150"/>
      <c r="H179" s="150"/>
      <c r="I179" s="150"/>
      <c r="J179" s="150"/>
      <c r="K179" s="150"/>
      <c r="L179" s="1285"/>
      <c r="M179" s="1286"/>
      <c r="N179" s="1284"/>
      <c r="O179" s="150"/>
      <c r="P179" s="150"/>
      <c r="Q179" s="1287"/>
      <c r="R179" s="1287"/>
      <c r="S179" s="149"/>
      <c r="T179" s="149"/>
      <c r="U179" s="150">
        <f>SUBTOTAL(9,U137:U178)</f>
        <v>0</v>
      </c>
      <c r="V179" s="150">
        <f t="shared" ref="V179:AA179" si="88">SUBTOTAL(9,V137:V178)</f>
        <v>0</v>
      </c>
      <c r="W179" s="150">
        <f t="shared" si="88"/>
        <v>0</v>
      </c>
      <c r="X179" s="150">
        <f t="shared" si="88"/>
        <v>0</v>
      </c>
      <c r="Y179" s="150">
        <f t="shared" si="88"/>
        <v>0</v>
      </c>
      <c r="Z179" s="150">
        <f t="shared" si="88"/>
        <v>0</v>
      </c>
      <c r="AA179" s="150">
        <f t="shared" si="88"/>
        <v>0</v>
      </c>
      <c r="AB179" s="244">
        <v>0</v>
      </c>
      <c r="AC179" s="1211">
        <v>0</v>
      </c>
      <c r="AD179" s="1211">
        <v>0</v>
      </c>
      <c r="AE179" s="1211"/>
      <c r="AF179" s="1211"/>
      <c r="AG179" s="1211"/>
      <c r="AH179" s="1211"/>
      <c r="AI179" s="1211"/>
      <c r="AJ179" s="1211"/>
      <c r="AK179" s="1211"/>
      <c r="AL179" s="1211"/>
      <c r="AM179" s="1211"/>
    </row>
    <row r="180" spans="2:41" s="244" customFormat="1" ht="12" thickBot="1">
      <c r="B180" s="1278"/>
      <c r="C180" s="1282"/>
      <c r="D180" s="1283"/>
      <c r="E180" s="1282"/>
      <c r="F180" s="1284"/>
      <c r="G180" s="150"/>
      <c r="H180" s="150"/>
      <c r="I180" s="150"/>
      <c r="J180" s="150"/>
      <c r="K180" s="150"/>
      <c r="L180" s="1285"/>
      <c r="M180" s="1286"/>
      <c r="N180" s="1284"/>
      <c r="O180" s="150"/>
      <c r="P180" s="150"/>
      <c r="Q180" s="1287"/>
      <c r="R180" s="1287"/>
      <c r="S180" s="149"/>
      <c r="T180" s="149"/>
      <c r="U180" s="150"/>
      <c r="V180" s="150"/>
      <c r="W180" s="150"/>
      <c r="X180" s="150"/>
      <c r="Y180" s="150"/>
      <c r="Z180" s="150"/>
      <c r="AA180" s="150"/>
      <c r="AC180" s="1211"/>
      <c r="AD180" s="1211"/>
      <c r="AE180" s="1211"/>
      <c r="AF180" s="1211"/>
      <c r="AG180" s="1211"/>
      <c r="AH180" s="1211"/>
      <c r="AI180" s="1211"/>
      <c r="AJ180" s="1211"/>
      <c r="AK180" s="1211"/>
      <c r="AL180" s="1211"/>
      <c r="AM180" s="1211"/>
    </row>
    <row r="181" spans="2:41" s="244" customFormat="1" ht="13" thickTop="1" thickBot="1">
      <c r="B181" s="1278"/>
      <c r="C181" s="1282"/>
      <c r="D181" s="1283"/>
      <c r="E181" s="1282"/>
      <c r="F181" s="1284"/>
      <c r="G181" s="150"/>
      <c r="H181" s="150"/>
      <c r="I181" s="150"/>
      <c r="J181" s="150"/>
      <c r="K181" s="150"/>
      <c r="L181" s="1285"/>
      <c r="M181" s="1286"/>
      <c r="N181" s="1284"/>
      <c r="O181" s="150"/>
      <c r="P181" s="150"/>
      <c r="Q181" s="1287"/>
      <c r="R181" s="1287"/>
      <c r="S181" s="1287"/>
      <c r="T181" s="149"/>
      <c r="U181" s="151"/>
      <c r="V181" s="152"/>
      <c r="W181" s="153"/>
      <c r="X181" s="153"/>
      <c r="Y181" s="153"/>
      <c r="Z181" s="153"/>
      <c r="AA181" s="154"/>
      <c r="AB181" s="1288"/>
      <c r="AC181" s="1288"/>
      <c r="AE181" s="1211"/>
      <c r="AF181" s="1211"/>
      <c r="AG181" s="1211"/>
      <c r="AH181" s="1211"/>
      <c r="AI181" s="1211"/>
      <c r="AJ181" s="1211"/>
      <c r="AK181" s="1211"/>
      <c r="AL181" s="1211"/>
      <c r="AM181" s="1211"/>
      <c r="AN181" s="1211"/>
      <c r="AO181" s="1211"/>
    </row>
    <row r="182" spans="2:41" s="244" customFormat="1" ht="12" thickTop="1">
      <c r="B182" s="1278"/>
      <c r="C182" s="1282"/>
      <c r="D182" s="1283"/>
      <c r="E182" s="1282"/>
      <c r="F182" s="1284"/>
      <c r="G182" s="150"/>
      <c r="H182" s="150"/>
      <c r="I182" s="150"/>
      <c r="J182" s="150"/>
      <c r="K182" s="150"/>
      <c r="L182" s="1285"/>
      <c r="M182" s="1286"/>
      <c r="N182" s="1284"/>
      <c r="O182" s="150"/>
      <c r="P182" s="150"/>
      <c r="Q182" s="1287"/>
      <c r="R182" s="1287"/>
      <c r="S182" s="149"/>
      <c r="T182" s="149"/>
      <c r="U182" s="150"/>
      <c r="V182" s="150"/>
      <c r="W182" s="150"/>
      <c r="X182" s="150"/>
      <c r="Y182" s="150"/>
      <c r="Z182" s="150"/>
      <c r="AA182" s="150"/>
      <c r="AC182" s="1211"/>
      <c r="AD182" s="1211"/>
      <c r="AE182" s="1211"/>
      <c r="AF182" s="1211"/>
      <c r="AG182" s="1211"/>
      <c r="AH182" s="1211"/>
      <c r="AI182" s="1211"/>
      <c r="AJ182" s="1211"/>
      <c r="AK182" s="1211"/>
      <c r="AL182" s="1211"/>
      <c r="AM182" s="1211"/>
    </row>
    <row r="183" spans="2:41" s="244" customFormat="1">
      <c r="B183" s="1278"/>
      <c r="C183" s="1282"/>
      <c r="D183" s="1283"/>
      <c r="E183" s="1282"/>
      <c r="F183" s="1284"/>
      <c r="G183" s="150"/>
      <c r="H183" s="150"/>
      <c r="I183" s="150"/>
      <c r="J183" s="150"/>
      <c r="K183" s="150"/>
      <c r="L183" s="1285"/>
      <c r="M183" s="1286"/>
      <c r="N183" s="1284"/>
      <c r="O183" s="150"/>
      <c r="P183" s="150"/>
      <c r="Q183" s="1287"/>
      <c r="R183" s="1287"/>
      <c r="S183" s="149"/>
      <c r="T183" s="149"/>
      <c r="U183" s="150"/>
      <c r="V183" s="150"/>
      <c r="W183" s="150"/>
      <c r="X183" s="150"/>
      <c r="Y183" s="150"/>
      <c r="Z183" s="150"/>
      <c r="AA183" s="150"/>
      <c r="AC183" s="1211"/>
      <c r="AD183" s="1211"/>
      <c r="AE183" s="1211"/>
      <c r="AF183" s="1211"/>
      <c r="AG183" s="1211"/>
      <c r="AH183" s="1211"/>
      <c r="AI183" s="1211"/>
      <c r="AJ183" s="1211"/>
      <c r="AK183" s="1211"/>
      <c r="AL183" s="1211"/>
      <c r="AM183" s="1211"/>
    </row>
    <row r="184" spans="2:41" s="244" customFormat="1">
      <c r="B184" s="1278"/>
      <c r="C184" s="1282"/>
      <c r="D184" s="1283"/>
      <c r="E184" s="1282"/>
      <c r="F184" s="1284"/>
      <c r="G184" s="150"/>
      <c r="H184" s="150"/>
      <c r="I184" s="150"/>
      <c r="J184" s="150"/>
      <c r="K184" s="150"/>
      <c r="L184" s="1285"/>
      <c r="M184" s="1286"/>
      <c r="N184" s="1284"/>
      <c r="O184" s="150"/>
      <c r="P184" s="150"/>
      <c r="Q184" s="1287"/>
      <c r="R184" s="1287"/>
      <c r="S184" s="149"/>
      <c r="T184" s="149"/>
      <c r="U184" s="150"/>
      <c r="V184" s="150"/>
      <c r="W184" s="150"/>
      <c r="X184" s="150"/>
      <c r="Y184" s="150"/>
      <c r="Z184" s="150"/>
      <c r="AA184" s="150"/>
      <c r="AC184" s="1211"/>
      <c r="AD184" s="1211"/>
      <c r="AE184" s="1211"/>
      <c r="AF184" s="1211"/>
      <c r="AG184" s="1211"/>
      <c r="AH184" s="1211"/>
      <c r="AI184" s="1211"/>
      <c r="AJ184" s="1211"/>
      <c r="AK184" s="1211"/>
      <c r="AL184" s="1211"/>
      <c r="AM184" s="1211"/>
    </row>
    <row r="185" spans="2:41" s="244" customFormat="1">
      <c r="B185" s="1278"/>
      <c r="C185" s="1282"/>
      <c r="D185" s="1283"/>
      <c r="E185" s="1282"/>
      <c r="F185" s="1284"/>
      <c r="G185" s="150"/>
      <c r="H185" s="150"/>
      <c r="I185" s="150"/>
      <c r="J185" s="150"/>
      <c r="K185" s="150"/>
      <c r="L185" s="1285"/>
      <c r="M185" s="1286"/>
      <c r="N185" s="1284"/>
      <c r="O185" s="150"/>
      <c r="P185" s="150"/>
      <c r="Q185" s="1287"/>
      <c r="R185" s="1287"/>
      <c r="S185" s="149"/>
      <c r="T185" s="149"/>
      <c r="U185" s="150"/>
      <c r="V185" s="150"/>
      <c r="W185" s="150"/>
      <c r="X185" s="150"/>
      <c r="Y185" s="150"/>
      <c r="Z185" s="150"/>
      <c r="AA185" s="150"/>
      <c r="AC185" s="1211"/>
      <c r="AD185" s="1211"/>
      <c r="AE185" s="1211"/>
      <c r="AF185" s="1211"/>
      <c r="AG185" s="1211"/>
      <c r="AH185" s="1211"/>
      <c r="AI185" s="1211"/>
      <c r="AJ185" s="1211"/>
      <c r="AK185" s="1211"/>
      <c r="AL185" s="1211"/>
      <c r="AM185" s="1211"/>
    </row>
    <row r="186" spans="2:41" s="244" customFormat="1">
      <c r="B186" s="1278"/>
      <c r="C186" s="1282"/>
      <c r="D186" s="1283"/>
      <c r="E186" s="1282"/>
      <c r="F186" s="1284"/>
      <c r="G186" s="150"/>
      <c r="H186" s="150"/>
      <c r="I186" s="150"/>
      <c r="J186" s="150"/>
      <c r="K186" s="150"/>
      <c r="L186" s="1285"/>
      <c r="M186" s="1286"/>
      <c r="N186" s="1284"/>
      <c r="O186" s="150"/>
      <c r="P186" s="150"/>
      <c r="Q186" s="1287"/>
      <c r="R186" s="1287"/>
      <c r="S186" s="149"/>
      <c r="T186" s="149"/>
      <c r="U186" s="150"/>
      <c r="V186" s="150"/>
      <c r="W186" s="150"/>
      <c r="X186" s="150"/>
      <c r="Y186" s="150"/>
      <c r="Z186" s="150"/>
      <c r="AA186" s="150"/>
      <c r="AC186" s="1211"/>
      <c r="AD186" s="1211"/>
      <c r="AE186" s="1211"/>
      <c r="AF186" s="1211"/>
      <c r="AG186" s="1211"/>
      <c r="AH186" s="1211"/>
      <c r="AI186" s="1211"/>
      <c r="AJ186" s="1211"/>
      <c r="AK186" s="1211"/>
      <c r="AL186" s="1211"/>
      <c r="AM186" s="1211"/>
    </row>
    <row r="187" spans="2:41" s="244" customFormat="1">
      <c r="B187" s="1278"/>
      <c r="C187" s="1282"/>
      <c r="D187" s="1283"/>
      <c r="E187" s="1282"/>
      <c r="F187" s="1284"/>
      <c r="G187" s="150"/>
      <c r="H187" s="150"/>
      <c r="I187" s="150"/>
      <c r="J187" s="150"/>
      <c r="K187" s="150"/>
      <c r="L187" s="1285"/>
      <c r="M187" s="1286"/>
      <c r="N187" s="1284"/>
      <c r="O187" s="150"/>
      <c r="P187" s="150"/>
      <c r="Q187" s="1287"/>
      <c r="R187" s="1287"/>
      <c r="S187" s="149"/>
      <c r="T187" s="149"/>
      <c r="U187" s="150"/>
      <c r="V187" s="150"/>
      <c r="W187" s="150"/>
      <c r="X187" s="150"/>
      <c r="Y187" s="150"/>
      <c r="Z187" s="150"/>
      <c r="AA187" s="150"/>
      <c r="AC187" s="1211"/>
      <c r="AD187" s="1211"/>
      <c r="AE187" s="1211"/>
      <c r="AF187" s="1211"/>
      <c r="AG187" s="1211"/>
      <c r="AH187" s="1211"/>
      <c r="AI187" s="1211"/>
      <c r="AJ187" s="1211"/>
      <c r="AK187" s="1211"/>
      <c r="AL187" s="1211"/>
      <c r="AM187" s="1211"/>
    </row>
    <row r="188" spans="2:41" s="244" customFormat="1">
      <c r="B188" s="1278"/>
      <c r="C188" s="1282"/>
      <c r="D188" s="1283"/>
      <c r="E188" s="1282"/>
      <c r="F188" s="1284"/>
      <c r="G188" s="150"/>
      <c r="H188" s="150"/>
      <c r="I188" s="150"/>
      <c r="J188" s="150"/>
      <c r="K188" s="150"/>
      <c r="L188" s="1285"/>
      <c r="M188" s="1286"/>
      <c r="N188" s="1284"/>
      <c r="O188" s="150"/>
      <c r="P188" s="150"/>
      <c r="Q188" s="1287"/>
      <c r="R188" s="1287"/>
      <c r="S188" s="149"/>
      <c r="T188" s="149"/>
      <c r="U188" s="150"/>
      <c r="V188" s="150"/>
      <c r="W188" s="150"/>
      <c r="X188" s="150"/>
      <c r="Y188" s="150"/>
      <c r="Z188" s="150"/>
      <c r="AA188" s="150"/>
      <c r="AC188" s="1211"/>
      <c r="AD188" s="1211"/>
      <c r="AE188" s="1211"/>
      <c r="AF188" s="1211"/>
      <c r="AG188" s="1211"/>
      <c r="AH188" s="1211"/>
      <c r="AI188" s="1211"/>
      <c r="AJ188" s="1211"/>
      <c r="AK188" s="1211"/>
      <c r="AL188" s="1211"/>
      <c r="AM188" s="1211"/>
    </row>
    <row r="189" spans="2:41" s="244" customFormat="1">
      <c r="B189" s="1278"/>
      <c r="C189" s="1282"/>
      <c r="D189" s="1283"/>
      <c r="E189" s="1282"/>
      <c r="F189" s="1284"/>
      <c r="G189" s="150"/>
      <c r="H189" s="150"/>
      <c r="I189" s="150"/>
      <c r="J189" s="150"/>
      <c r="K189" s="150"/>
      <c r="L189" s="1285"/>
      <c r="M189" s="1286"/>
      <c r="N189" s="1284"/>
      <c r="O189" s="150"/>
      <c r="P189" s="150"/>
      <c r="Q189" s="1287"/>
      <c r="R189" s="1287"/>
      <c r="S189" s="149"/>
      <c r="T189" s="149"/>
      <c r="U189" s="150"/>
      <c r="V189" s="150"/>
      <c r="W189" s="150"/>
      <c r="X189" s="150"/>
      <c r="Y189" s="150"/>
      <c r="Z189" s="150"/>
      <c r="AA189" s="150"/>
      <c r="AC189" s="1211"/>
      <c r="AD189" s="1211"/>
      <c r="AE189" s="1211"/>
      <c r="AF189" s="1211"/>
      <c r="AG189" s="1211"/>
      <c r="AH189" s="1211"/>
      <c r="AI189" s="1211"/>
      <c r="AJ189" s="1211"/>
      <c r="AK189" s="1211"/>
      <c r="AL189" s="1211"/>
      <c r="AM189" s="1211"/>
    </row>
    <row r="190" spans="2:41" s="244" customFormat="1">
      <c r="B190" s="1278"/>
      <c r="C190" s="1282"/>
      <c r="D190" s="1283"/>
      <c r="E190" s="1282"/>
      <c r="F190" s="1284"/>
      <c r="G190" s="150"/>
      <c r="H190" s="150"/>
      <c r="I190" s="150"/>
      <c r="J190" s="150"/>
      <c r="K190" s="150"/>
      <c r="L190" s="1285"/>
      <c r="M190" s="1286"/>
      <c r="N190" s="1284"/>
      <c r="O190" s="150"/>
      <c r="P190" s="150"/>
      <c r="Q190" s="1287"/>
      <c r="R190" s="1287"/>
      <c r="S190" s="149"/>
      <c r="T190" s="149"/>
      <c r="U190" s="150"/>
      <c r="V190" s="150"/>
      <c r="W190" s="150"/>
      <c r="X190" s="150"/>
      <c r="Y190" s="150"/>
      <c r="Z190" s="150"/>
      <c r="AA190" s="150"/>
      <c r="AC190" s="1211"/>
      <c r="AD190" s="1211"/>
      <c r="AE190" s="1211"/>
      <c r="AF190" s="1211"/>
      <c r="AG190" s="1211"/>
      <c r="AH190" s="1211"/>
      <c r="AI190" s="1211"/>
      <c r="AJ190" s="1211"/>
      <c r="AK190" s="1211"/>
      <c r="AL190" s="1211"/>
      <c r="AM190" s="1211"/>
    </row>
    <row r="191" spans="2:41" s="244" customFormat="1">
      <c r="B191" s="1278"/>
      <c r="C191" s="1282"/>
      <c r="D191" s="1283"/>
      <c r="E191" s="1282"/>
      <c r="F191" s="1284"/>
      <c r="G191" s="150"/>
      <c r="H191" s="150"/>
      <c r="I191" s="150"/>
      <c r="J191" s="150"/>
      <c r="K191" s="150"/>
      <c r="L191" s="1285"/>
      <c r="M191" s="1286"/>
      <c r="N191" s="1284"/>
      <c r="O191" s="150"/>
      <c r="P191" s="150"/>
      <c r="Q191" s="1287"/>
      <c r="R191" s="1287"/>
      <c r="S191" s="149"/>
      <c r="T191" s="149"/>
      <c r="U191" s="150"/>
      <c r="V191" s="150"/>
      <c r="W191" s="150"/>
      <c r="X191" s="150"/>
      <c r="Y191" s="150"/>
      <c r="Z191" s="150"/>
      <c r="AA191" s="150"/>
      <c r="AC191" s="1211"/>
      <c r="AD191" s="1211"/>
      <c r="AE191" s="1211"/>
      <c r="AF191" s="1211"/>
      <c r="AG191" s="1211"/>
      <c r="AH191" s="1211"/>
      <c r="AI191" s="1211"/>
      <c r="AJ191" s="1211"/>
      <c r="AK191" s="1211"/>
      <c r="AL191" s="1211"/>
      <c r="AM191" s="1211"/>
    </row>
    <row r="192" spans="2:41" s="244" customFormat="1">
      <c r="B192" s="1278"/>
      <c r="C192" s="1282"/>
      <c r="D192" s="1283"/>
      <c r="E192" s="1282"/>
      <c r="F192" s="1284"/>
      <c r="G192" s="150"/>
      <c r="H192" s="150"/>
      <c r="I192" s="150"/>
      <c r="J192" s="150"/>
      <c r="K192" s="150"/>
      <c r="L192" s="1285"/>
      <c r="M192" s="1286"/>
      <c r="N192" s="1284"/>
      <c r="O192" s="150"/>
      <c r="P192" s="150"/>
      <c r="Q192" s="1287"/>
      <c r="R192" s="1287"/>
      <c r="S192" s="149"/>
      <c r="T192" s="149"/>
      <c r="U192" s="150"/>
      <c r="V192" s="150"/>
      <c r="W192" s="150"/>
      <c r="X192" s="150"/>
      <c r="Y192" s="150"/>
      <c r="Z192" s="150"/>
      <c r="AA192" s="150"/>
      <c r="AC192" s="1211"/>
      <c r="AD192" s="1211"/>
      <c r="AE192" s="1211"/>
      <c r="AF192" s="1211"/>
      <c r="AG192" s="1211"/>
      <c r="AH192" s="1211"/>
      <c r="AI192" s="1211"/>
      <c r="AJ192" s="1211"/>
      <c r="AK192" s="1211"/>
      <c r="AL192" s="1211"/>
      <c r="AM192" s="1211"/>
    </row>
    <row r="193" spans="2:39" s="244" customFormat="1">
      <c r="B193" s="1278"/>
      <c r="C193" s="1282"/>
      <c r="D193" s="1283"/>
      <c r="E193" s="1282"/>
      <c r="F193" s="1284"/>
      <c r="G193" s="150"/>
      <c r="H193" s="150"/>
      <c r="I193" s="150"/>
      <c r="J193" s="150"/>
      <c r="K193" s="150"/>
      <c r="L193" s="1285"/>
      <c r="M193" s="1286"/>
      <c r="N193" s="1284"/>
      <c r="O193" s="150"/>
      <c r="P193" s="150"/>
      <c r="Q193" s="1287"/>
      <c r="R193" s="1287"/>
      <c r="S193" s="149"/>
      <c r="T193" s="149"/>
      <c r="U193" s="150"/>
      <c r="V193" s="150"/>
      <c r="W193" s="150"/>
      <c r="X193" s="150"/>
      <c r="Y193" s="150"/>
      <c r="Z193" s="150"/>
      <c r="AA193" s="150"/>
      <c r="AC193" s="1211"/>
      <c r="AD193" s="1211"/>
      <c r="AE193" s="1211"/>
      <c r="AF193" s="1211"/>
      <c r="AG193" s="1211"/>
      <c r="AH193" s="1211"/>
      <c r="AI193" s="1211"/>
      <c r="AJ193" s="1211"/>
      <c r="AK193" s="1211"/>
      <c r="AL193" s="1211"/>
      <c r="AM193" s="1211"/>
    </row>
    <row r="194" spans="2:39" s="244" customFormat="1">
      <c r="B194" s="1278"/>
      <c r="C194" s="1282"/>
      <c r="D194" s="1283"/>
      <c r="E194" s="1282"/>
      <c r="F194" s="1284"/>
      <c r="G194" s="150"/>
      <c r="H194" s="150"/>
      <c r="I194" s="150"/>
      <c r="J194" s="150"/>
      <c r="K194" s="150"/>
      <c r="L194" s="1285"/>
      <c r="M194" s="1286"/>
      <c r="N194" s="1284"/>
      <c r="O194" s="150"/>
      <c r="P194" s="150"/>
      <c r="Q194" s="1287"/>
      <c r="R194" s="1287"/>
      <c r="S194" s="149"/>
      <c r="T194" s="149"/>
      <c r="U194" s="150"/>
      <c r="V194" s="150"/>
      <c r="W194" s="150"/>
      <c r="X194" s="150"/>
      <c r="Y194" s="150"/>
      <c r="Z194" s="150"/>
      <c r="AA194" s="150"/>
      <c r="AC194" s="1211"/>
      <c r="AD194" s="1211"/>
      <c r="AE194" s="1211"/>
      <c r="AF194" s="1211"/>
      <c r="AG194" s="1211"/>
      <c r="AH194" s="1211"/>
      <c r="AI194" s="1211"/>
      <c r="AJ194" s="1211"/>
      <c r="AK194" s="1211"/>
      <c r="AL194" s="1211"/>
      <c r="AM194" s="1211"/>
    </row>
    <row r="195" spans="2:39" s="244" customFormat="1">
      <c r="B195" s="1278"/>
      <c r="C195" s="1282"/>
      <c r="D195" s="1283"/>
      <c r="E195" s="1282"/>
      <c r="F195" s="1284"/>
      <c r="G195" s="150"/>
      <c r="H195" s="150"/>
      <c r="I195" s="150"/>
      <c r="J195" s="150"/>
      <c r="K195" s="150"/>
      <c r="L195" s="1285"/>
      <c r="M195" s="1286"/>
      <c r="N195" s="1284"/>
      <c r="O195" s="150"/>
      <c r="P195" s="150"/>
      <c r="Q195" s="1287"/>
      <c r="R195" s="1287"/>
      <c r="S195" s="149"/>
      <c r="T195" s="149"/>
      <c r="U195" s="150"/>
      <c r="V195" s="150"/>
      <c r="W195" s="150"/>
      <c r="X195" s="150"/>
      <c r="Y195" s="150"/>
      <c r="Z195" s="150"/>
      <c r="AA195" s="150"/>
      <c r="AC195" s="1211"/>
      <c r="AD195" s="1211"/>
      <c r="AE195" s="1211"/>
      <c r="AF195" s="1211"/>
      <c r="AG195" s="1211"/>
      <c r="AH195" s="1211"/>
      <c r="AI195" s="1211"/>
      <c r="AJ195" s="1211"/>
      <c r="AK195" s="1211"/>
      <c r="AL195" s="1211"/>
      <c r="AM195" s="1211"/>
    </row>
    <row r="196" spans="2:39" s="244" customFormat="1">
      <c r="B196" s="1278"/>
      <c r="C196" s="1282"/>
      <c r="D196" s="1283"/>
      <c r="E196" s="1282"/>
      <c r="F196" s="1284"/>
      <c r="G196" s="150"/>
      <c r="H196" s="150"/>
      <c r="I196" s="150"/>
      <c r="J196" s="150"/>
      <c r="K196" s="150"/>
      <c r="L196" s="1285"/>
      <c r="M196" s="1286"/>
      <c r="N196" s="1284"/>
      <c r="O196" s="150"/>
      <c r="P196" s="150"/>
      <c r="Q196" s="1287"/>
      <c r="R196" s="1287"/>
      <c r="S196" s="149"/>
      <c r="T196" s="149"/>
      <c r="U196" s="150"/>
      <c r="V196" s="150"/>
      <c r="W196" s="150"/>
      <c r="X196" s="150"/>
      <c r="Y196" s="150"/>
      <c r="Z196" s="150"/>
      <c r="AA196" s="150"/>
      <c r="AC196" s="1211"/>
      <c r="AD196" s="1211"/>
      <c r="AE196" s="1211"/>
      <c r="AF196" s="1211"/>
      <c r="AG196" s="1211"/>
      <c r="AH196" s="1211"/>
      <c r="AI196" s="1211"/>
      <c r="AJ196" s="1211"/>
      <c r="AK196" s="1211"/>
      <c r="AL196" s="1211"/>
      <c r="AM196" s="1211"/>
    </row>
    <row r="197" spans="2:39" s="244" customFormat="1">
      <c r="B197" s="1278"/>
      <c r="C197" s="1282"/>
      <c r="D197" s="1283"/>
      <c r="E197" s="1282"/>
      <c r="F197" s="1284"/>
      <c r="G197" s="150"/>
      <c r="H197" s="150"/>
      <c r="I197" s="150"/>
      <c r="J197" s="150"/>
      <c r="K197" s="150"/>
      <c r="L197" s="1285"/>
      <c r="M197" s="1286"/>
      <c r="N197" s="1284"/>
      <c r="O197" s="150"/>
      <c r="P197" s="150"/>
      <c r="Q197" s="1287"/>
      <c r="R197" s="1287"/>
      <c r="S197" s="149"/>
      <c r="T197" s="149"/>
      <c r="U197" s="150"/>
      <c r="V197" s="150"/>
      <c r="W197" s="150"/>
      <c r="X197" s="150"/>
      <c r="Y197" s="150"/>
      <c r="Z197" s="150"/>
      <c r="AA197" s="150"/>
      <c r="AC197" s="1211"/>
      <c r="AD197" s="1211"/>
      <c r="AE197" s="1211"/>
      <c r="AF197" s="1211"/>
      <c r="AG197" s="1211"/>
      <c r="AH197" s="1211"/>
      <c r="AI197" s="1211"/>
      <c r="AJ197" s="1211"/>
      <c r="AK197" s="1211"/>
      <c r="AL197" s="1211"/>
      <c r="AM197" s="1211"/>
    </row>
    <row r="198" spans="2:39" s="244" customFormat="1">
      <c r="B198" s="1278"/>
      <c r="C198" s="1282"/>
      <c r="D198" s="1283"/>
      <c r="E198" s="1282"/>
      <c r="F198" s="1284"/>
      <c r="G198" s="150"/>
      <c r="H198" s="150"/>
      <c r="I198" s="150"/>
      <c r="J198" s="150"/>
      <c r="K198" s="150"/>
      <c r="L198" s="1285"/>
      <c r="M198" s="1286"/>
      <c r="N198" s="1284"/>
      <c r="O198" s="150"/>
      <c r="P198" s="150"/>
      <c r="Q198" s="1287"/>
      <c r="R198" s="1287"/>
      <c r="S198" s="149"/>
      <c r="T198" s="149"/>
      <c r="U198" s="150"/>
      <c r="V198" s="150"/>
      <c r="W198" s="150"/>
      <c r="X198" s="150"/>
      <c r="Y198" s="150"/>
      <c r="Z198" s="150"/>
      <c r="AA198" s="150"/>
      <c r="AC198" s="1211"/>
      <c r="AD198" s="1211"/>
      <c r="AE198" s="1211"/>
      <c r="AF198" s="1211"/>
      <c r="AG198" s="1211"/>
      <c r="AH198" s="1211"/>
      <c r="AI198" s="1211"/>
      <c r="AJ198" s="1211"/>
      <c r="AK198" s="1211"/>
      <c r="AL198" s="1211"/>
      <c r="AM198" s="1211"/>
    </row>
    <row r="199" spans="2:39" s="244" customFormat="1">
      <c r="B199" s="1278"/>
      <c r="C199" s="1282"/>
      <c r="D199" s="1283"/>
      <c r="E199" s="1282"/>
      <c r="F199" s="1284"/>
      <c r="G199" s="150"/>
      <c r="H199" s="150"/>
      <c r="I199" s="150"/>
      <c r="J199" s="150"/>
      <c r="K199" s="150"/>
      <c r="L199" s="1285"/>
      <c r="M199" s="1286"/>
      <c r="N199" s="1284"/>
      <c r="O199" s="150"/>
      <c r="P199" s="150"/>
      <c r="Q199" s="1287"/>
      <c r="R199" s="1287"/>
      <c r="S199" s="149"/>
      <c r="T199" s="149"/>
      <c r="U199" s="150"/>
      <c r="V199" s="150"/>
      <c r="W199" s="150"/>
      <c r="X199" s="150"/>
      <c r="Y199" s="150"/>
      <c r="Z199" s="150"/>
      <c r="AA199" s="150"/>
      <c r="AC199" s="1211"/>
      <c r="AD199" s="1211"/>
      <c r="AE199" s="1211"/>
      <c r="AF199" s="1211"/>
      <c r="AG199" s="1211"/>
      <c r="AH199" s="1211"/>
      <c r="AI199" s="1211"/>
      <c r="AJ199" s="1211"/>
      <c r="AK199" s="1211"/>
      <c r="AL199" s="1211"/>
      <c r="AM199" s="1211"/>
    </row>
    <row r="200" spans="2:39" s="244" customFormat="1">
      <c r="B200" s="1278"/>
      <c r="C200" s="1282"/>
      <c r="D200" s="1283"/>
      <c r="E200" s="1282"/>
      <c r="F200" s="1284"/>
      <c r="G200" s="150"/>
      <c r="H200" s="150"/>
      <c r="I200" s="150"/>
      <c r="J200" s="150"/>
      <c r="K200" s="150"/>
      <c r="L200" s="1285"/>
      <c r="M200" s="1286"/>
      <c r="N200" s="1284"/>
      <c r="O200" s="150"/>
      <c r="P200" s="150"/>
      <c r="Q200" s="1287"/>
      <c r="R200" s="1287"/>
      <c r="S200" s="149"/>
      <c r="T200" s="149"/>
      <c r="U200" s="150"/>
      <c r="V200" s="150"/>
      <c r="W200" s="150"/>
      <c r="X200" s="150"/>
      <c r="Y200" s="150"/>
      <c r="Z200" s="150"/>
      <c r="AA200" s="150"/>
      <c r="AC200" s="1211"/>
      <c r="AD200" s="1211"/>
      <c r="AE200" s="1211"/>
      <c r="AF200" s="1211"/>
      <c r="AG200" s="1211"/>
      <c r="AH200" s="1211"/>
      <c r="AI200" s="1211"/>
      <c r="AJ200" s="1211"/>
      <c r="AK200" s="1211"/>
      <c r="AL200" s="1211"/>
      <c r="AM200" s="1211"/>
    </row>
    <row r="201" spans="2:39" s="244" customFormat="1">
      <c r="B201" s="1278"/>
      <c r="C201" s="1282"/>
      <c r="D201" s="1283"/>
      <c r="E201" s="1282"/>
      <c r="F201" s="1284"/>
      <c r="G201" s="150"/>
      <c r="H201" s="150"/>
      <c r="I201" s="150"/>
      <c r="J201" s="150"/>
      <c r="K201" s="150"/>
      <c r="L201" s="1285"/>
      <c r="M201" s="1286"/>
      <c r="N201" s="1284"/>
      <c r="O201" s="150"/>
      <c r="P201" s="150"/>
      <c r="Q201" s="1287"/>
      <c r="R201" s="1287"/>
      <c r="S201" s="149"/>
      <c r="T201" s="149"/>
      <c r="U201" s="150"/>
      <c r="V201" s="150"/>
      <c r="W201" s="150"/>
      <c r="X201" s="150"/>
      <c r="Y201" s="150"/>
      <c r="Z201" s="150"/>
      <c r="AA201" s="150"/>
      <c r="AC201" s="1211"/>
      <c r="AD201" s="1211"/>
      <c r="AE201" s="1211"/>
      <c r="AF201" s="1211"/>
      <c r="AG201" s="1211"/>
      <c r="AH201" s="1211"/>
      <c r="AI201" s="1211"/>
      <c r="AJ201" s="1211"/>
      <c r="AK201" s="1211"/>
      <c r="AL201" s="1211"/>
      <c r="AM201" s="1211"/>
    </row>
    <row r="202" spans="2:39" s="244" customFormat="1">
      <c r="B202" s="1278"/>
      <c r="C202" s="1282"/>
      <c r="D202" s="1283"/>
      <c r="E202" s="1282"/>
      <c r="F202" s="1284"/>
      <c r="G202" s="150"/>
      <c r="H202" s="150"/>
      <c r="I202" s="150"/>
      <c r="J202" s="150"/>
      <c r="K202" s="150"/>
      <c r="L202" s="1285"/>
      <c r="M202" s="1286"/>
      <c r="N202" s="1284"/>
      <c r="O202" s="150"/>
      <c r="P202" s="150"/>
      <c r="Q202" s="1287"/>
      <c r="R202" s="1287"/>
      <c r="S202" s="149"/>
      <c r="T202" s="149"/>
      <c r="U202" s="150"/>
      <c r="V202" s="150"/>
      <c r="W202" s="150"/>
      <c r="X202" s="150"/>
      <c r="Y202" s="150"/>
      <c r="Z202" s="150"/>
      <c r="AA202" s="150"/>
      <c r="AC202" s="1211"/>
      <c r="AD202" s="1211"/>
      <c r="AE202" s="1211"/>
      <c r="AF202" s="1211"/>
      <c r="AG202" s="1211"/>
      <c r="AH202" s="1211"/>
      <c r="AI202" s="1211"/>
      <c r="AJ202" s="1211"/>
      <c r="AK202" s="1211"/>
      <c r="AL202" s="1211"/>
      <c r="AM202" s="1211"/>
    </row>
    <row r="203" spans="2:39" s="244" customFormat="1">
      <c r="B203" s="1278"/>
      <c r="C203" s="1282"/>
      <c r="D203" s="1283"/>
      <c r="E203" s="1282"/>
      <c r="F203" s="1284"/>
      <c r="G203" s="150"/>
      <c r="H203" s="150"/>
      <c r="I203" s="150"/>
      <c r="J203" s="150"/>
      <c r="K203" s="150"/>
      <c r="L203" s="1285"/>
      <c r="M203" s="1286"/>
      <c r="N203" s="1284"/>
      <c r="O203" s="150"/>
      <c r="P203" s="150"/>
      <c r="Q203" s="1287"/>
      <c r="R203" s="1287"/>
      <c r="S203" s="149"/>
      <c r="T203" s="149"/>
      <c r="U203" s="150"/>
      <c r="V203" s="150"/>
      <c r="W203" s="150"/>
      <c r="X203" s="150"/>
      <c r="Y203" s="150"/>
      <c r="Z203" s="150"/>
      <c r="AA203" s="150"/>
      <c r="AC203" s="1211"/>
      <c r="AD203" s="1211"/>
      <c r="AE203" s="1211"/>
      <c r="AF203" s="1211"/>
      <c r="AG203" s="1211"/>
      <c r="AH203" s="1211"/>
      <c r="AI203" s="1211"/>
      <c r="AJ203" s="1211"/>
      <c r="AK203" s="1211"/>
      <c r="AL203" s="1211"/>
      <c r="AM203" s="1211"/>
    </row>
    <row r="204" spans="2:39" s="244" customFormat="1">
      <c r="B204" s="1278"/>
      <c r="C204" s="1282"/>
      <c r="D204" s="1283"/>
      <c r="E204" s="1282"/>
      <c r="F204" s="1284"/>
      <c r="G204" s="150"/>
      <c r="H204" s="150"/>
      <c r="I204" s="150"/>
      <c r="J204" s="150"/>
      <c r="K204" s="150"/>
      <c r="L204" s="1285"/>
      <c r="M204" s="1286"/>
      <c r="N204" s="1284"/>
      <c r="O204" s="150"/>
      <c r="P204" s="150"/>
      <c r="Q204" s="1287"/>
      <c r="R204" s="1287"/>
      <c r="S204" s="149"/>
      <c r="T204" s="149"/>
      <c r="U204" s="150"/>
      <c r="V204" s="150"/>
      <c r="W204" s="150"/>
      <c r="X204" s="150"/>
      <c r="Y204" s="150"/>
      <c r="Z204" s="150"/>
      <c r="AA204" s="150"/>
      <c r="AC204" s="1211"/>
      <c r="AD204" s="1211"/>
      <c r="AE204" s="1211"/>
      <c r="AF204" s="1211"/>
      <c r="AG204" s="1211"/>
      <c r="AH204" s="1211"/>
      <c r="AI204" s="1211"/>
      <c r="AJ204" s="1211"/>
      <c r="AK204" s="1211"/>
      <c r="AL204" s="1211"/>
      <c r="AM204" s="1211"/>
    </row>
    <row r="205" spans="2:39" s="244" customFormat="1">
      <c r="B205" s="1278"/>
      <c r="C205" s="1282"/>
      <c r="D205" s="1283"/>
      <c r="E205" s="1282"/>
      <c r="F205" s="1284"/>
      <c r="G205" s="150"/>
      <c r="H205" s="150"/>
      <c r="I205" s="150"/>
      <c r="J205" s="150"/>
      <c r="K205" s="150"/>
      <c r="L205" s="1285"/>
      <c r="M205" s="1286"/>
      <c r="N205" s="1284"/>
      <c r="O205" s="150"/>
      <c r="P205" s="150"/>
      <c r="Q205" s="1287"/>
      <c r="R205" s="1287"/>
      <c r="S205" s="149"/>
      <c r="T205" s="149"/>
      <c r="U205" s="150"/>
      <c r="V205" s="150"/>
      <c r="W205" s="150"/>
      <c r="X205" s="150"/>
      <c r="Y205" s="150"/>
      <c r="Z205" s="150"/>
      <c r="AA205" s="150"/>
      <c r="AC205" s="1211"/>
      <c r="AD205" s="1211"/>
      <c r="AE205" s="1211"/>
      <c r="AF205" s="1211"/>
      <c r="AG205" s="1211"/>
      <c r="AH205" s="1211"/>
      <c r="AI205" s="1211"/>
      <c r="AJ205" s="1211"/>
      <c r="AK205" s="1211"/>
      <c r="AL205" s="1211"/>
      <c r="AM205" s="1211"/>
    </row>
    <row r="206" spans="2:39" s="244" customFormat="1">
      <c r="B206" s="1278"/>
      <c r="C206" s="1282"/>
      <c r="D206" s="1283"/>
      <c r="E206" s="1282"/>
      <c r="F206" s="1284"/>
      <c r="G206" s="150"/>
      <c r="H206" s="150"/>
      <c r="I206" s="150"/>
      <c r="J206" s="150"/>
      <c r="K206" s="150"/>
      <c r="L206" s="1285"/>
      <c r="M206" s="1286"/>
      <c r="N206" s="1284"/>
      <c r="O206" s="150"/>
      <c r="P206" s="150"/>
      <c r="Q206" s="1287"/>
      <c r="R206" s="1287"/>
      <c r="S206" s="149"/>
      <c r="T206" s="149"/>
      <c r="U206" s="150"/>
      <c r="V206" s="150"/>
      <c r="W206" s="150"/>
      <c r="X206" s="150"/>
      <c r="Y206" s="150"/>
      <c r="Z206" s="150"/>
      <c r="AA206" s="150"/>
      <c r="AC206" s="1211"/>
      <c r="AD206" s="1211"/>
      <c r="AE206" s="1211"/>
      <c r="AF206" s="1211"/>
      <c r="AG206" s="1211"/>
      <c r="AH206" s="1211"/>
      <c r="AI206" s="1211"/>
      <c r="AJ206" s="1211"/>
      <c r="AK206" s="1211"/>
      <c r="AL206" s="1211"/>
      <c r="AM206" s="1211"/>
    </row>
    <row r="207" spans="2:39" s="244" customFormat="1">
      <c r="B207" s="1278"/>
      <c r="C207" s="1282"/>
      <c r="D207" s="1283"/>
      <c r="E207" s="1282"/>
      <c r="F207" s="1284"/>
      <c r="G207" s="150"/>
      <c r="H207" s="150"/>
      <c r="I207" s="150"/>
      <c r="J207" s="150"/>
      <c r="K207" s="150"/>
      <c r="L207" s="1285"/>
      <c r="M207" s="1286"/>
      <c r="N207" s="1284"/>
      <c r="O207" s="150"/>
      <c r="P207" s="150"/>
      <c r="Q207" s="1287"/>
      <c r="R207" s="1287"/>
      <c r="S207" s="149"/>
      <c r="T207" s="149"/>
      <c r="U207" s="150"/>
      <c r="V207" s="150"/>
      <c r="W207" s="150"/>
      <c r="X207" s="150"/>
      <c r="Y207" s="150"/>
      <c r="Z207" s="150"/>
      <c r="AA207" s="150"/>
      <c r="AC207" s="1211"/>
      <c r="AD207" s="1211"/>
      <c r="AE207" s="1211"/>
      <c r="AF207" s="1211"/>
      <c r="AG207" s="1211"/>
      <c r="AH207" s="1211"/>
      <c r="AI207" s="1211"/>
      <c r="AJ207" s="1211"/>
      <c r="AK207" s="1211"/>
      <c r="AL207" s="1211"/>
      <c r="AM207" s="1211"/>
    </row>
    <row r="208" spans="2:39" s="244" customFormat="1">
      <c r="B208" s="1278"/>
      <c r="C208" s="1282"/>
      <c r="D208" s="1283"/>
      <c r="E208" s="1282"/>
      <c r="F208" s="1284"/>
      <c r="G208" s="150"/>
      <c r="H208" s="150"/>
      <c r="I208" s="150"/>
      <c r="J208" s="150"/>
      <c r="K208" s="150"/>
      <c r="L208" s="1285"/>
      <c r="M208" s="1286"/>
      <c r="N208" s="1284"/>
      <c r="O208" s="150"/>
      <c r="P208" s="150"/>
      <c r="Q208" s="1287"/>
      <c r="R208" s="1287"/>
      <c r="S208" s="149"/>
      <c r="T208" s="149"/>
      <c r="U208" s="150"/>
      <c r="V208" s="150"/>
      <c r="W208" s="150"/>
      <c r="X208" s="150"/>
      <c r="Y208" s="150"/>
      <c r="Z208" s="150"/>
      <c r="AA208" s="150"/>
      <c r="AC208" s="1211"/>
      <c r="AD208" s="1211"/>
      <c r="AE208" s="1211"/>
      <c r="AF208" s="1211"/>
      <c r="AG208" s="1211"/>
      <c r="AH208" s="1211"/>
      <c r="AI208" s="1211"/>
      <c r="AJ208" s="1211"/>
      <c r="AK208" s="1211"/>
      <c r="AL208" s="1211"/>
      <c r="AM208" s="1211"/>
    </row>
    <row r="209" spans="2:41" s="244" customFormat="1">
      <c r="B209" s="1278"/>
      <c r="C209" s="1282"/>
      <c r="D209" s="1283"/>
      <c r="E209" s="1282"/>
      <c r="F209" s="1284"/>
      <c r="G209" s="150"/>
      <c r="H209" s="150"/>
      <c r="I209" s="150"/>
      <c r="J209" s="150"/>
      <c r="K209" s="150"/>
      <c r="L209" s="1285"/>
      <c r="M209" s="1286"/>
      <c r="N209" s="1284"/>
      <c r="O209" s="150"/>
      <c r="P209" s="150"/>
      <c r="Q209" s="1287"/>
      <c r="R209" s="1287"/>
      <c r="S209" s="149"/>
      <c r="T209" s="149"/>
      <c r="U209" s="150"/>
      <c r="V209" s="150"/>
      <c r="W209" s="150"/>
      <c r="X209" s="150"/>
      <c r="Y209" s="150"/>
      <c r="Z209" s="150"/>
      <c r="AA209" s="150"/>
      <c r="AC209" s="1211"/>
      <c r="AD209" s="1211"/>
      <c r="AE209" s="1211"/>
      <c r="AF209" s="1211"/>
      <c r="AG209" s="1211"/>
      <c r="AH209" s="1211"/>
      <c r="AI209" s="1211"/>
      <c r="AJ209" s="1211"/>
      <c r="AK209" s="1211"/>
      <c r="AL209" s="1211"/>
      <c r="AM209" s="1211"/>
    </row>
    <row r="210" spans="2:41" s="244" customFormat="1">
      <c r="B210" s="1278"/>
      <c r="C210" s="1282"/>
      <c r="D210" s="1283"/>
      <c r="E210" s="1282"/>
      <c r="F210" s="1284"/>
      <c r="G210" s="150"/>
      <c r="H210" s="150"/>
      <c r="I210" s="150"/>
      <c r="J210" s="150"/>
      <c r="K210" s="150"/>
      <c r="L210" s="1285"/>
      <c r="M210" s="1286"/>
      <c r="N210" s="1284"/>
      <c r="O210" s="150"/>
      <c r="P210" s="150"/>
      <c r="Q210" s="1287"/>
      <c r="R210" s="1287"/>
      <c r="S210" s="149"/>
      <c r="T210" s="149"/>
      <c r="U210" s="150"/>
      <c r="V210" s="150"/>
      <c r="W210" s="150"/>
      <c r="X210" s="150"/>
      <c r="Y210" s="150"/>
      <c r="Z210" s="150"/>
      <c r="AA210" s="150"/>
      <c r="AC210" s="1211"/>
      <c r="AD210" s="1211"/>
      <c r="AE210" s="1211"/>
      <c r="AF210" s="1211"/>
      <c r="AG210" s="1211"/>
      <c r="AH210" s="1211"/>
      <c r="AI210" s="1211"/>
      <c r="AJ210" s="1211"/>
      <c r="AK210" s="1211"/>
      <c r="AL210" s="1211"/>
      <c r="AM210" s="1211"/>
    </row>
    <row r="211" spans="2:41" s="244" customFormat="1">
      <c r="B211" s="1278"/>
      <c r="C211" s="1282"/>
      <c r="D211" s="1283"/>
      <c r="E211" s="1282"/>
      <c r="F211" s="1284"/>
      <c r="G211" s="150"/>
      <c r="H211" s="150"/>
      <c r="I211" s="150"/>
      <c r="J211" s="150"/>
      <c r="K211" s="150"/>
      <c r="L211" s="1285"/>
      <c r="M211" s="1286"/>
      <c r="N211" s="1284"/>
      <c r="O211" s="150"/>
      <c r="P211" s="150"/>
      <c r="Q211" s="1287"/>
      <c r="R211" s="1287"/>
      <c r="S211" s="149"/>
      <c r="T211" s="149"/>
      <c r="U211" s="150"/>
      <c r="V211" s="150"/>
      <c r="W211" s="150"/>
      <c r="X211" s="150"/>
      <c r="Y211" s="150"/>
      <c r="Z211" s="150"/>
      <c r="AA211" s="150"/>
      <c r="AC211" s="1211"/>
      <c r="AD211" s="1211"/>
      <c r="AE211" s="1211"/>
      <c r="AF211" s="1211"/>
      <c r="AG211" s="1211"/>
      <c r="AH211" s="1211"/>
      <c r="AI211" s="1211"/>
      <c r="AJ211" s="1211"/>
      <c r="AK211" s="1211"/>
      <c r="AL211" s="1211"/>
      <c r="AM211" s="1211"/>
    </row>
    <row r="212" spans="2:41" s="244" customFormat="1">
      <c r="B212" s="1278"/>
      <c r="C212" s="1282"/>
      <c r="D212" s="1283"/>
      <c r="E212" s="1282"/>
      <c r="F212" s="1284"/>
      <c r="G212" s="150"/>
      <c r="H212" s="150"/>
      <c r="I212" s="150"/>
      <c r="J212" s="150"/>
      <c r="K212" s="150"/>
      <c r="L212" s="1285"/>
      <c r="M212" s="1286"/>
      <c r="N212" s="1284"/>
      <c r="O212" s="150"/>
      <c r="P212" s="150"/>
      <c r="Q212" s="1287"/>
      <c r="R212" s="1287"/>
      <c r="S212" s="149"/>
      <c r="T212" s="149"/>
      <c r="U212" s="150"/>
      <c r="V212" s="150"/>
      <c r="W212" s="150"/>
      <c r="X212" s="150"/>
      <c r="Y212" s="150"/>
      <c r="Z212" s="150"/>
      <c r="AA212" s="150"/>
      <c r="AC212" s="1211"/>
      <c r="AD212" s="1211"/>
      <c r="AE212" s="1211"/>
      <c r="AF212" s="1211"/>
      <c r="AG212" s="1211"/>
      <c r="AH212" s="1211"/>
      <c r="AI212" s="1211"/>
      <c r="AJ212" s="1211"/>
      <c r="AK212" s="1211"/>
      <c r="AL212" s="1211"/>
      <c r="AM212" s="1211"/>
    </row>
    <row r="213" spans="2:41" s="244" customFormat="1">
      <c r="B213" s="1278"/>
      <c r="C213" s="1282"/>
      <c r="D213" s="1283"/>
      <c r="E213" s="1282"/>
      <c r="F213" s="1284"/>
      <c r="G213" s="150"/>
      <c r="H213" s="150"/>
      <c r="I213" s="150"/>
      <c r="J213" s="150"/>
      <c r="K213" s="150"/>
      <c r="L213" s="1285"/>
      <c r="M213" s="1286"/>
      <c r="N213" s="1284"/>
      <c r="O213" s="150"/>
      <c r="P213" s="150"/>
      <c r="Q213" s="1287"/>
      <c r="R213" s="1287"/>
      <c r="S213" s="149"/>
      <c r="T213" s="149"/>
      <c r="U213" s="150"/>
      <c r="V213" s="150"/>
      <c r="W213" s="150"/>
      <c r="X213" s="150"/>
      <c r="Y213" s="150"/>
      <c r="Z213" s="150"/>
      <c r="AA213" s="150"/>
      <c r="AC213" s="1211"/>
      <c r="AD213" s="1211"/>
      <c r="AE213" s="1211"/>
      <c r="AF213" s="1211"/>
      <c r="AG213" s="1211"/>
      <c r="AH213" s="1211"/>
      <c r="AI213" s="1211"/>
      <c r="AJ213" s="1211"/>
      <c r="AK213" s="1211"/>
      <c r="AL213" s="1211"/>
      <c r="AM213" s="1211"/>
    </row>
    <row r="214" spans="2:41" s="244" customFormat="1">
      <c r="B214" s="1278"/>
      <c r="C214" s="1282"/>
      <c r="D214" s="1283"/>
      <c r="E214" s="1282"/>
      <c r="F214" s="1284"/>
      <c r="G214" s="150"/>
      <c r="H214" s="150"/>
      <c r="I214" s="150"/>
      <c r="J214" s="150"/>
      <c r="K214" s="150"/>
      <c r="L214" s="1285"/>
      <c r="M214" s="1286"/>
      <c r="N214" s="1284"/>
      <c r="O214" s="150"/>
      <c r="P214" s="150"/>
      <c r="Q214" s="1287"/>
      <c r="R214" s="1287"/>
      <c r="S214" s="149"/>
      <c r="T214" s="149"/>
      <c r="U214" s="150"/>
      <c r="V214" s="150"/>
      <c r="W214" s="150"/>
      <c r="X214" s="150"/>
      <c r="Y214" s="150"/>
      <c r="Z214" s="150"/>
      <c r="AA214" s="150"/>
      <c r="AC214" s="1211"/>
      <c r="AD214" s="1211"/>
      <c r="AE214" s="1211"/>
      <c r="AF214" s="1211"/>
      <c r="AG214" s="1211"/>
      <c r="AH214" s="1211"/>
      <c r="AI214" s="1211"/>
      <c r="AJ214" s="1211"/>
      <c r="AK214" s="1211"/>
      <c r="AL214" s="1211"/>
      <c r="AM214" s="1211"/>
    </row>
    <row r="215" spans="2:41" s="244" customFormat="1">
      <c r="B215" s="1278"/>
      <c r="C215" s="1282"/>
      <c r="D215" s="1283"/>
      <c r="E215" s="1282"/>
      <c r="F215" s="1284"/>
      <c r="G215" s="150"/>
      <c r="H215" s="150"/>
      <c r="I215" s="150"/>
      <c r="J215" s="150"/>
      <c r="K215" s="150"/>
      <c r="L215" s="1285"/>
      <c r="M215" s="1286"/>
      <c r="N215" s="1284"/>
      <c r="O215" s="150"/>
      <c r="P215" s="150"/>
      <c r="Q215" s="1287"/>
      <c r="R215" s="1287"/>
      <c r="S215" s="149"/>
      <c r="T215" s="149"/>
      <c r="U215" s="150"/>
      <c r="V215" s="150"/>
      <c r="W215" s="150"/>
      <c r="X215" s="150"/>
      <c r="Y215" s="150"/>
      <c r="Z215" s="150"/>
      <c r="AA215" s="150"/>
      <c r="AC215" s="1211"/>
      <c r="AD215" s="1211"/>
      <c r="AE215" s="1211"/>
      <c r="AF215" s="1211"/>
      <c r="AG215" s="1211"/>
      <c r="AH215" s="1211"/>
      <c r="AI215" s="1211"/>
      <c r="AJ215" s="1211"/>
      <c r="AK215" s="1211"/>
      <c r="AL215" s="1211"/>
      <c r="AM215" s="1211"/>
    </row>
    <row r="216" spans="2:41" s="244" customFormat="1">
      <c r="B216" s="1278"/>
      <c r="C216" s="1282"/>
      <c r="D216" s="1283"/>
      <c r="E216" s="1282"/>
      <c r="F216" s="1284"/>
      <c r="G216" s="150"/>
      <c r="H216" s="150"/>
      <c r="I216" s="150"/>
      <c r="J216" s="150"/>
      <c r="K216" s="150"/>
      <c r="L216" s="1285"/>
      <c r="M216" s="1286"/>
      <c r="N216" s="1284"/>
      <c r="O216" s="150"/>
      <c r="P216" s="150"/>
      <c r="Q216" s="1287"/>
      <c r="R216" s="1287"/>
      <c r="S216" s="149"/>
      <c r="T216" s="149"/>
      <c r="U216" s="150"/>
      <c r="V216" s="150"/>
      <c r="W216" s="150"/>
      <c r="X216" s="150"/>
      <c r="Y216" s="150"/>
      <c r="Z216" s="150"/>
      <c r="AA216" s="150"/>
      <c r="AC216" s="1211"/>
      <c r="AD216" s="1211"/>
      <c r="AE216" s="1211"/>
      <c r="AF216" s="1211"/>
      <c r="AG216" s="1211"/>
      <c r="AH216" s="1211"/>
      <c r="AI216" s="1211"/>
      <c r="AJ216" s="1211"/>
      <c r="AK216" s="1211"/>
      <c r="AL216" s="1211"/>
      <c r="AM216" s="1211"/>
    </row>
    <row r="217" spans="2:41" s="244" customFormat="1">
      <c r="B217" s="1278"/>
      <c r="D217" s="1289"/>
      <c r="F217" s="1290"/>
      <c r="G217" s="1291"/>
      <c r="H217" s="1291"/>
      <c r="I217" s="1291"/>
      <c r="J217" s="1291"/>
      <c r="K217" s="1291"/>
      <c r="L217" s="1292"/>
      <c r="M217" s="1244"/>
      <c r="N217" s="1290"/>
      <c r="O217" s="150"/>
      <c r="P217" s="150"/>
      <c r="Q217" s="1287"/>
      <c r="R217" s="1287"/>
      <c r="S217" s="149"/>
      <c r="T217" s="149"/>
      <c r="U217" s="150"/>
      <c r="V217" s="150"/>
      <c r="W217" s="150"/>
      <c r="X217" s="150"/>
      <c r="Y217" s="150"/>
      <c r="Z217" s="150"/>
      <c r="AA217" s="150"/>
      <c r="AC217" s="1211"/>
      <c r="AD217" s="1211"/>
      <c r="AE217" s="1211"/>
      <c r="AF217" s="1211"/>
      <c r="AG217" s="1211"/>
      <c r="AH217" s="1211"/>
      <c r="AI217" s="1211"/>
      <c r="AJ217" s="1211"/>
      <c r="AK217" s="1211"/>
      <c r="AL217" s="1211"/>
      <c r="AM217" s="1211"/>
    </row>
    <row r="218" spans="2:41" s="244" customFormat="1">
      <c r="B218" s="220"/>
      <c r="D218" s="1289"/>
      <c r="F218" s="1290"/>
      <c r="G218" s="1291"/>
      <c r="H218" s="1291"/>
      <c r="I218" s="1291"/>
      <c r="J218" s="1291"/>
      <c r="K218" s="1291"/>
      <c r="L218" s="1292"/>
      <c r="M218" s="1244"/>
      <c r="N218" s="1290"/>
      <c r="O218" s="150"/>
      <c r="P218" s="150"/>
      <c r="Q218" s="1287"/>
      <c r="R218" s="1287"/>
      <c r="S218" s="149"/>
      <c r="T218" s="149"/>
      <c r="U218" s="150"/>
      <c r="V218" s="150"/>
      <c r="W218" s="150"/>
      <c r="X218" s="150"/>
      <c r="Y218" s="150"/>
      <c r="Z218" s="150"/>
      <c r="AA218" s="150"/>
      <c r="AC218" s="1211"/>
      <c r="AD218" s="1211"/>
      <c r="AE218" s="1211"/>
      <c r="AF218" s="1211"/>
      <c r="AG218" s="1211"/>
      <c r="AH218" s="1211"/>
      <c r="AI218" s="1211"/>
      <c r="AJ218" s="1211"/>
      <c r="AK218" s="1211"/>
      <c r="AL218" s="1211"/>
      <c r="AM218" s="1211"/>
    </row>
    <row r="219" spans="2:41" s="244" customFormat="1">
      <c r="B219" s="220"/>
      <c r="D219" s="1289"/>
      <c r="F219" s="1290"/>
      <c r="G219" s="1291"/>
      <c r="H219" s="1291"/>
      <c r="I219" s="1291"/>
      <c r="J219" s="1291"/>
      <c r="K219" s="1291"/>
      <c r="L219" s="1292"/>
      <c r="M219" s="1244"/>
      <c r="N219" s="1290"/>
      <c r="O219" s="150"/>
      <c r="P219" s="150"/>
      <c r="Q219" s="1287"/>
      <c r="R219" s="1287"/>
      <c r="S219" s="149"/>
      <c r="T219" s="149"/>
      <c r="U219" s="150"/>
      <c r="V219" s="150"/>
      <c r="W219" s="150"/>
      <c r="X219" s="150"/>
      <c r="Y219" s="150"/>
      <c r="Z219" s="150"/>
      <c r="AA219" s="150"/>
      <c r="AC219" s="1211"/>
      <c r="AD219" s="1211"/>
      <c r="AE219" s="1211"/>
      <c r="AF219" s="1211"/>
      <c r="AG219" s="1211"/>
      <c r="AH219" s="1211"/>
      <c r="AI219" s="1211"/>
      <c r="AJ219" s="1211"/>
      <c r="AK219" s="1211"/>
      <c r="AL219" s="1211"/>
      <c r="AM219" s="1211"/>
    </row>
    <row r="220" spans="2:41" s="244" customFormat="1">
      <c r="B220" s="220"/>
      <c r="D220" s="1289"/>
      <c r="F220" s="1290"/>
      <c r="G220" s="1291"/>
      <c r="H220" s="1291"/>
      <c r="I220" s="1291"/>
      <c r="J220" s="1291"/>
      <c r="K220" s="1291"/>
      <c r="L220" s="1292"/>
      <c r="M220" s="1244"/>
      <c r="N220" s="1290"/>
      <c r="O220" s="150"/>
      <c r="P220" s="150"/>
      <c r="Q220" s="1287"/>
      <c r="R220" s="1287"/>
      <c r="S220" s="149"/>
      <c r="T220" s="149"/>
      <c r="U220" s="150"/>
      <c r="V220" s="150"/>
      <c r="W220" s="150"/>
      <c r="X220" s="150"/>
      <c r="Y220" s="150"/>
      <c r="Z220" s="150"/>
      <c r="AA220" s="150"/>
      <c r="AC220" s="1211"/>
      <c r="AD220" s="1211"/>
      <c r="AE220" s="1211"/>
      <c r="AF220" s="1211"/>
      <c r="AG220" s="1211"/>
      <c r="AH220" s="1211"/>
      <c r="AI220" s="1211"/>
      <c r="AJ220" s="1211"/>
      <c r="AK220" s="1211"/>
      <c r="AL220" s="1211"/>
      <c r="AM220" s="1211"/>
    </row>
    <row r="221" spans="2:41" s="244" customFormat="1">
      <c r="B221" s="220"/>
      <c r="D221" s="1289"/>
      <c r="F221" s="1290"/>
      <c r="G221" s="1291"/>
      <c r="H221" s="1291"/>
      <c r="I221" s="1291"/>
      <c r="J221" s="1291"/>
      <c r="K221" s="1291"/>
      <c r="L221" s="1292"/>
      <c r="M221" s="1244"/>
      <c r="N221" s="1290"/>
      <c r="O221" s="150"/>
      <c r="P221" s="150"/>
      <c r="Q221" s="1287"/>
      <c r="R221" s="1287"/>
      <c r="S221" s="149"/>
      <c r="T221" s="149"/>
      <c r="U221" s="150"/>
      <c r="V221" s="150"/>
      <c r="W221" s="150"/>
      <c r="X221" s="150"/>
      <c r="Y221" s="150"/>
      <c r="Z221" s="150"/>
      <c r="AA221" s="150"/>
      <c r="AC221" s="1211"/>
      <c r="AD221" s="1211"/>
      <c r="AE221" s="1211"/>
      <c r="AF221" s="1211"/>
      <c r="AG221" s="1211"/>
      <c r="AH221" s="1211"/>
      <c r="AI221" s="1211"/>
      <c r="AJ221" s="1211"/>
      <c r="AK221" s="1211"/>
      <c r="AL221" s="1211"/>
      <c r="AM221" s="1211"/>
    </row>
    <row r="222" spans="2:41" s="244" customFormat="1">
      <c r="B222" s="220"/>
      <c r="D222" s="1289"/>
      <c r="F222" s="1290"/>
      <c r="G222" s="1291"/>
      <c r="H222" s="1291"/>
      <c r="I222" s="1291"/>
      <c r="J222" s="1291"/>
      <c r="K222" s="1291"/>
      <c r="L222" s="1292"/>
      <c r="M222" s="1244"/>
      <c r="N222" s="1290"/>
      <c r="O222" s="150"/>
      <c r="P222" s="150"/>
      <c r="Q222" s="1287"/>
      <c r="R222" s="1287"/>
      <c r="S222" s="149"/>
      <c r="T222" s="149"/>
      <c r="U222" s="150">
        <f>SUBTOTAL(9,U180:U221)</f>
        <v>0</v>
      </c>
      <c r="V222" s="150">
        <f t="shared" ref="V222:AA222" si="89">SUBTOTAL(9,V180:V221)</f>
        <v>0</v>
      </c>
      <c r="W222" s="150">
        <f t="shared" si="89"/>
        <v>0</v>
      </c>
      <c r="X222" s="150">
        <f t="shared" si="89"/>
        <v>0</v>
      </c>
      <c r="Y222" s="150">
        <f t="shared" si="89"/>
        <v>0</v>
      </c>
      <c r="Z222" s="150">
        <f t="shared" si="89"/>
        <v>0</v>
      </c>
      <c r="AA222" s="150">
        <f t="shared" si="89"/>
        <v>0</v>
      </c>
      <c r="AC222" s="1211"/>
      <c r="AD222" s="1211"/>
      <c r="AE222" s="1211"/>
      <c r="AF222" s="1211"/>
      <c r="AG222" s="1211"/>
      <c r="AH222" s="1211"/>
      <c r="AI222" s="1211"/>
      <c r="AJ222" s="1211"/>
      <c r="AK222" s="1211"/>
      <c r="AL222" s="1211"/>
      <c r="AM222" s="1211"/>
    </row>
    <row r="223" spans="2:41" s="244" customFormat="1" ht="12" thickBot="1">
      <c r="B223" s="220"/>
      <c r="D223" s="1289"/>
      <c r="F223" s="1290"/>
      <c r="G223" s="1291"/>
      <c r="H223" s="1291"/>
      <c r="I223" s="1291"/>
      <c r="J223" s="1291"/>
      <c r="K223" s="1291"/>
      <c r="L223" s="1292"/>
      <c r="M223" s="1244"/>
      <c r="N223" s="1290"/>
      <c r="O223" s="150"/>
      <c r="P223" s="150"/>
      <c r="Q223" s="1287"/>
      <c r="R223" s="1287"/>
      <c r="S223" s="149"/>
      <c r="T223" s="149"/>
      <c r="U223" s="150"/>
      <c r="V223" s="150"/>
      <c r="W223" s="150"/>
      <c r="X223" s="150"/>
      <c r="Y223" s="150"/>
      <c r="Z223" s="150"/>
      <c r="AA223" s="150"/>
      <c r="AC223" s="1211"/>
      <c r="AD223" s="1211"/>
      <c r="AE223" s="1211"/>
      <c r="AF223" s="1211"/>
      <c r="AG223" s="1211"/>
      <c r="AH223" s="1211"/>
      <c r="AI223" s="1211"/>
      <c r="AJ223" s="1211"/>
      <c r="AK223" s="1211"/>
      <c r="AL223" s="1211"/>
      <c r="AM223" s="1211"/>
    </row>
    <row r="224" spans="2:41" s="244" customFormat="1" ht="13" thickTop="1" thickBot="1">
      <c r="B224" s="220"/>
      <c r="D224" s="1289"/>
      <c r="F224" s="1290"/>
      <c r="G224" s="1291"/>
      <c r="H224" s="1291"/>
      <c r="I224" s="1291"/>
      <c r="J224" s="1291"/>
      <c r="K224" s="1291"/>
      <c r="L224" s="1292"/>
      <c r="M224" s="1244"/>
      <c r="N224" s="1290"/>
      <c r="O224" s="150"/>
      <c r="P224" s="150"/>
      <c r="Q224" s="1287"/>
      <c r="R224" s="1287"/>
      <c r="S224" s="1287"/>
      <c r="T224" s="1287"/>
      <c r="U224" s="151">
        <f>SUBTOTAL(9,U182:U223)</f>
        <v>0</v>
      </c>
      <c r="V224" s="152">
        <f t="shared" ref="V224:AA224" si="90">SUBTOTAL(9,V182:V223)</f>
        <v>0</v>
      </c>
      <c r="W224" s="153">
        <f t="shared" si="90"/>
        <v>0</v>
      </c>
      <c r="X224" s="153">
        <f t="shared" si="90"/>
        <v>0</v>
      </c>
      <c r="Y224" s="153">
        <f t="shared" si="90"/>
        <v>0</v>
      </c>
      <c r="Z224" s="153">
        <f t="shared" si="90"/>
        <v>0</v>
      </c>
      <c r="AA224" s="154">
        <f t="shared" si="90"/>
        <v>0</v>
      </c>
      <c r="AB224" s="1288"/>
      <c r="AC224" s="1288"/>
      <c r="AE224" s="1211"/>
      <c r="AF224" s="1211"/>
      <c r="AG224" s="1211"/>
      <c r="AH224" s="1211"/>
      <c r="AI224" s="1211"/>
      <c r="AJ224" s="1211"/>
      <c r="AK224" s="1211"/>
      <c r="AL224" s="1211"/>
      <c r="AM224" s="1211"/>
      <c r="AN224" s="1211"/>
      <c r="AO224" s="1211"/>
    </row>
    <row r="225" spans="2:39" s="244" customFormat="1" ht="12" thickTop="1">
      <c r="B225" s="220"/>
      <c r="D225" s="1289"/>
      <c r="F225" s="1290"/>
      <c r="G225" s="1291"/>
      <c r="H225" s="1291"/>
      <c r="I225" s="1291"/>
      <c r="J225" s="1291"/>
      <c r="K225" s="1291"/>
      <c r="L225" s="1292"/>
      <c r="M225" s="1244"/>
      <c r="N225" s="1290"/>
      <c r="O225" s="150"/>
      <c r="P225" s="150"/>
      <c r="Q225" s="1287"/>
      <c r="R225" s="1287"/>
      <c r="S225" s="149"/>
      <c r="T225" s="149"/>
      <c r="U225" s="150"/>
      <c r="V225" s="150"/>
      <c r="W225" s="150"/>
      <c r="X225" s="150"/>
      <c r="Y225" s="150"/>
      <c r="Z225" s="150"/>
      <c r="AA225" s="150"/>
      <c r="AC225" s="1211"/>
      <c r="AD225" s="1211"/>
      <c r="AE225" s="1211"/>
      <c r="AF225" s="1211"/>
      <c r="AG225" s="1211"/>
      <c r="AH225" s="1211"/>
      <c r="AI225" s="1211"/>
      <c r="AJ225" s="1211"/>
      <c r="AK225" s="1211"/>
      <c r="AL225" s="1211"/>
      <c r="AM225" s="1211"/>
    </row>
    <row r="226" spans="2:39" s="244" customFormat="1">
      <c r="B226" s="220"/>
      <c r="D226" s="1289"/>
      <c r="F226" s="1290"/>
      <c r="G226" s="1291"/>
      <c r="H226" s="1291"/>
      <c r="I226" s="1291"/>
      <c r="J226" s="1291"/>
      <c r="K226" s="1291"/>
      <c r="L226" s="1292"/>
      <c r="M226" s="1244"/>
      <c r="N226" s="1290"/>
      <c r="O226" s="150"/>
      <c r="P226" s="150"/>
      <c r="Q226" s="1287"/>
      <c r="R226" s="1287"/>
      <c r="S226" s="149"/>
      <c r="T226" s="149"/>
      <c r="U226" s="150"/>
      <c r="V226" s="150"/>
      <c r="W226" s="150"/>
      <c r="X226" s="150"/>
      <c r="Y226" s="150"/>
      <c r="Z226" s="150"/>
      <c r="AA226" s="150"/>
      <c r="AC226" s="1211"/>
      <c r="AD226" s="1211"/>
      <c r="AE226" s="1211"/>
      <c r="AF226" s="1211"/>
      <c r="AG226" s="1211"/>
      <c r="AH226" s="1211"/>
      <c r="AI226" s="1211"/>
      <c r="AJ226" s="1211"/>
      <c r="AK226" s="1211"/>
      <c r="AL226" s="1211"/>
      <c r="AM226" s="1211"/>
    </row>
    <row r="227" spans="2:39" s="244" customFormat="1">
      <c r="B227" s="220"/>
      <c r="D227" s="1289"/>
      <c r="F227" s="1290"/>
      <c r="G227" s="1291"/>
      <c r="H227" s="1291"/>
      <c r="I227" s="1291"/>
      <c r="J227" s="1291"/>
      <c r="K227" s="1291"/>
      <c r="L227" s="1292"/>
      <c r="M227" s="1244"/>
      <c r="N227" s="1290"/>
      <c r="O227" s="150"/>
      <c r="P227" s="150"/>
      <c r="Q227" s="1287"/>
      <c r="R227" s="1287"/>
      <c r="S227" s="149"/>
      <c r="T227" s="149"/>
      <c r="U227" s="150"/>
      <c r="V227" s="150"/>
      <c r="W227" s="150"/>
      <c r="X227" s="150"/>
      <c r="Y227" s="150"/>
      <c r="Z227" s="150"/>
      <c r="AA227" s="150"/>
      <c r="AC227" s="1211"/>
      <c r="AD227" s="1211"/>
      <c r="AE227" s="1211"/>
      <c r="AF227" s="1211"/>
      <c r="AG227" s="1211"/>
      <c r="AH227" s="1211"/>
      <c r="AI227" s="1211"/>
      <c r="AJ227" s="1211"/>
      <c r="AK227" s="1211"/>
      <c r="AL227" s="1211"/>
      <c r="AM227" s="1211"/>
    </row>
    <row r="228" spans="2:39" s="244" customFormat="1">
      <c r="B228" s="220"/>
      <c r="D228" s="1289"/>
      <c r="F228" s="1290"/>
      <c r="G228" s="1291"/>
      <c r="H228" s="1291"/>
      <c r="I228" s="1291"/>
      <c r="J228" s="1291"/>
      <c r="K228" s="1291"/>
      <c r="L228" s="1292"/>
      <c r="M228" s="1244"/>
      <c r="N228" s="1290"/>
      <c r="O228" s="150"/>
      <c r="P228" s="150"/>
      <c r="Q228" s="1287"/>
      <c r="R228" s="1287"/>
      <c r="S228" s="149"/>
      <c r="T228" s="149"/>
      <c r="U228" s="150"/>
      <c r="V228" s="150"/>
      <c r="W228" s="150"/>
      <c r="X228" s="150"/>
      <c r="Y228" s="150"/>
      <c r="Z228" s="150"/>
      <c r="AA228" s="150"/>
      <c r="AC228" s="1211"/>
      <c r="AD228" s="1211"/>
      <c r="AE228" s="1211"/>
      <c r="AF228" s="1211"/>
      <c r="AG228" s="1211"/>
      <c r="AH228" s="1211"/>
      <c r="AI228" s="1211"/>
      <c r="AJ228" s="1211"/>
      <c r="AK228" s="1211"/>
      <c r="AL228" s="1211"/>
      <c r="AM228" s="1211"/>
    </row>
    <row r="229" spans="2:39" s="244" customFormat="1">
      <c r="B229" s="220"/>
      <c r="D229" s="1289"/>
      <c r="F229" s="1290"/>
      <c r="G229" s="1291"/>
      <c r="H229" s="1291"/>
      <c r="I229" s="1291"/>
      <c r="J229" s="1291"/>
      <c r="K229" s="1291"/>
      <c r="L229" s="1292"/>
      <c r="M229" s="1244"/>
      <c r="N229" s="1290"/>
      <c r="O229" s="150"/>
      <c r="P229" s="150"/>
      <c r="Q229" s="1287"/>
      <c r="R229" s="1287"/>
      <c r="S229" s="149"/>
      <c r="T229" s="149"/>
      <c r="U229" s="150"/>
      <c r="V229" s="150"/>
      <c r="W229" s="150"/>
      <c r="X229" s="150"/>
      <c r="Y229" s="150"/>
      <c r="Z229" s="150"/>
      <c r="AA229" s="150"/>
      <c r="AC229" s="1211"/>
      <c r="AD229" s="1211"/>
      <c r="AE229" s="1211"/>
      <c r="AF229" s="1211"/>
      <c r="AG229" s="1211"/>
      <c r="AH229" s="1211"/>
      <c r="AI229" s="1211"/>
      <c r="AJ229" s="1211"/>
      <c r="AK229" s="1211"/>
      <c r="AL229" s="1211"/>
      <c r="AM229" s="1211"/>
    </row>
    <row r="230" spans="2:39" s="244" customFormat="1">
      <c r="B230" s="220"/>
      <c r="D230" s="1289"/>
      <c r="F230" s="1290"/>
      <c r="G230" s="1291"/>
      <c r="H230" s="1291"/>
      <c r="I230" s="1291"/>
      <c r="J230" s="1291"/>
      <c r="K230" s="1291"/>
      <c r="L230" s="1292"/>
      <c r="M230" s="1244"/>
      <c r="N230" s="1290"/>
      <c r="O230" s="150"/>
      <c r="P230" s="150"/>
      <c r="Q230" s="1287"/>
      <c r="R230" s="1287"/>
      <c r="S230" s="149"/>
      <c r="T230" s="149"/>
      <c r="U230" s="150"/>
      <c r="V230" s="150"/>
      <c r="W230" s="150"/>
      <c r="X230" s="150"/>
      <c r="Y230" s="150"/>
      <c r="Z230" s="150"/>
      <c r="AA230" s="150"/>
      <c r="AC230" s="1211"/>
      <c r="AD230" s="1211"/>
      <c r="AE230" s="1211"/>
      <c r="AF230" s="1211"/>
      <c r="AG230" s="1211"/>
      <c r="AH230" s="1211"/>
      <c r="AI230" s="1211"/>
      <c r="AJ230" s="1211"/>
      <c r="AK230" s="1211"/>
      <c r="AL230" s="1211"/>
      <c r="AM230" s="1211"/>
    </row>
    <row r="231" spans="2:39" s="244" customFormat="1">
      <c r="B231" s="220"/>
      <c r="D231" s="1289"/>
      <c r="F231" s="1290"/>
      <c r="G231" s="1291"/>
      <c r="H231" s="1291"/>
      <c r="I231" s="1291"/>
      <c r="J231" s="1291"/>
      <c r="K231" s="1291"/>
      <c r="L231" s="1292"/>
      <c r="M231" s="1244"/>
      <c r="N231" s="1290"/>
      <c r="O231" s="150"/>
      <c r="P231" s="150"/>
      <c r="Q231" s="1287"/>
      <c r="R231" s="1287"/>
      <c r="S231" s="149"/>
      <c r="T231" s="149"/>
      <c r="U231" s="150"/>
      <c r="V231" s="150"/>
      <c r="W231" s="150"/>
      <c r="X231" s="150"/>
      <c r="Y231" s="150"/>
      <c r="Z231" s="150"/>
      <c r="AA231" s="150"/>
      <c r="AC231" s="1211"/>
      <c r="AD231" s="1211"/>
      <c r="AE231" s="1211"/>
      <c r="AF231" s="1211"/>
      <c r="AG231" s="1211"/>
      <c r="AH231" s="1211"/>
      <c r="AI231" s="1211"/>
      <c r="AJ231" s="1211"/>
      <c r="AK231" s="1211"/>
      <c r="AL231" s="1211"/>
      <c r="AM231" s="1211"/>
    </row>
    <row r="232" spans="2:39" s="244" customFormat="1">
      <c r="B232" s="220"/>
      <c r="D232" s="1289"/>
      <c r="F232" s="1290"/>
      <c r="G232" s="1291"/>
      <c r="H232" s="1291"/>
      <c r="I232" s="1291"/>
      <c r="J232" s="1291"/>
      <c r="K232" s="1291"/>
      <c r="L232" s="1292"/>
      <c r="M232" s="1244"/>
      <c r="N232" s="1290"/>
      <c r="O232" s="150"/>
      <c r="P232" s="150"/>
      <c r="Q232" s="1287"/>
      <c r="R232" s="1287"/>
      <c r="S232" s="149"/>
      <c r="T232" s="149"/>
      <c r="U232" s="150"/>
      <c r="V232" s="150"/>
      <c r="W232" s="150"/>
      <c r="X232" s="150"/>
      <c r="Y232" s="150"/>
      <c r="Z232" s="150"/>
      <c r="AA232" s="150"/>
      <c r="AC232" s="1211"/>
      <c r="AD232" s="1211"/>
      <c r="AE232" s="1211"/>
      <c r="AF232" s="1211"/>
      <c r="AG232" s="1211"/>
      <c r="AH232" s="1211"/>
      <c r="AI232" s="1211"/>
      <c r="AJ232" s="1211"/>
      <c r="AK232" s="1211"/>
      <c r="AL232" s="1211"/>
      <c r="AM232" s="1211"/>
    </row>
    <row r="233" spans="2:39" s="244" customFormat="1">
      <c r="B233" s="220"/>
      <c r="D233" s="1289"/>
      <c r="F233" s="1290"/>
      <c r="G233" s="1291"/>
      <c r="H233" s="1291"/>
      <c r="I233" s="1291"/>
      <c r="J233" s="1291"/>
      <c r="K233" s="1291"/>
      <c r="L233" s="1292"/>
      <c r="M233" s="1244"/>
      <c r="N233" s="1290"/>
      <c r="O233" s="150"/>
      <c r="P233" s="150"/>
      <c r="Q233" s="1287"/>
      <c r="R233" s="1287"/>
      <c r="S233" s="149"/>
      <c r="T233" s="149"/>
      <c r="U233" s="150"/>
      <c r="V233" s="150"/>
      <c r="W233" s="150"/>
      <c r="X233" s="150"/>
      <c r="Y233" s="150"/>
      <c r="Z233" s="150"/>
      <c r="AA233" s="150"/>
      <c r="AC233" s="1211"/>
      <c r="AD233" s="1211"/>
      <c r="AE233" s="1211"/>
      <c r="AF233" s="1211"/>
      <c r="AG233" s="1211"/>
      <c r="AH233" s="1211"/>
      <c r="AI233" s="1211"/>
      <c r="AJ233" s="1211"/>
      <c r="AK233" s="1211"/>
      <c r="AL233" s="1211"/>
      <c r="AM233" s="1211"/>
    </row>
    <row r="234" spans="2:39" s="244" customFormat="1">
      <c r="B234" s="220"/>
      <c r="D234" s="1289"/>
      <c r="F234" s="1290"/>
      <c r="G234" s="1291"/>
      <c r="H234" s="1291"/>
      <c r="I234" s="1291"/>
      <c r="J234" s="1291"/>
      <c r="K234" s="1291"/>
      <c r="L234" s="1292"/>
      <c r="M234" s="1244"/>
      <c r="N234" s="1290"/>
      <c r="O234" s="150"/>
      <c r="P234" s="150"/>
      <c r="Q234" s="1287"/>
      <c r="R234" s="1287"/>
      <c r="S234" s="149"/>
      <c r="T234" s="149"/>
      <c r="U234" s="150"/>
      <c r="V234" s="150"/>
      <c r="W234" s="150"/>
      <c r="X234" s="150"/>
      <c r="Y234" s="150"/>
      <c r="Z234" s="150"/>
      <c r="AA234" s="150"/>
      <c r="AC234" s="1211"/>
      <c r="AD234" s="1211"/>
      <c r="AE234" s="1211"/>
      <c r="AF234" s="1211"/>
      <c r="AG234" s="1211"/>
      <c r="AH234" s="1211"/>
      <c r="AI234" s="1211"/>
      <c r="AJ234" s="1211"/>
      <c r="AK234" s="1211"/>
      <c r="AL234" s="1211"/>
      <c r="AM234" s="1211"/>
    </row>
    <row r="235" spans="2:39" s="244" customFormat="1">
      <c r="B235" s="220"/>
      <c r="D235" s="1289"/>
      <c r="F235" s="1290"/>
      <c r="G235" s="1291"/>
      <c r="H235" s="1291"/>
      <c r="I235" s="1291"/>
      <c r="J235" s="1291"/>
      <c r="K235" s="1291"/>
      <c r="L235" s="1292"/>
      <c r="M235" s="1244"/>
      <c r="N235" s="1290"/>
      <c r="O235" s="150"/>
      <c r="P235" s="150"/>
      <c r="Q235" s="1287"/>
      <c r="R235" s="1287"/>
      <c r="S235" s="149"/>
      <c r="T235" s="149"/>
      <c r="U235" s="150"/>
      <c r="V235" s="150"/>
      <c r="W235" s="150"/>
      <c r="X235" s="150"/>
      <c r="Y235" s="150"/>
      <c r="Z235" s="150"/>
      <c r="AA235" s="150"/>
      <c r="AC235" s="1211"/>
      <c r="AD235" s="1211"/>
      <c r="AE235" s="1211"/>
      <c r="AF235" s="1211"/>
      <c r="AG235" s="1211"/>
      <c r="AH235" s="1211"/>
      <c r="AI235" s="1211"/>
      <c r="AJ235" s="1211"/>
      <c r="AK235" s="1211"/>
      <c r="AL235" s="1211"/>
      <c r="AM235" s="1211"/>
    </row>
    <row r="236" spans="2:39" s="244" customFormat="1">
      <c r="B236" s="220"/>
      <c r="D236" s="1289"/>
      <c r="F236" s="1290"/>
      <c r="G236" s="1291"/>
      <c r="H236" s="1291"/>
      <c r="I236" s="1291"/>
      <c r="J236" s="1291"/>
      <c r="K236" s="1291"/>
      <c r="L236" s="1292"/>
      <c r="M236" s="1244"/>
      <c r="N236" s="1290"/>
      <c r="O236" s="150"/>
      <c r="P236" s="150"/>
      <c r="Q236" s="1287"/>
      <c r="R236" s="1287"/>
      <c r="S236" s="149"/>
      <c r="T236" s="149"/>
      <c r="U236" s="150"/>
      <c r="V236" s="150"/>
      <c r="W236" s="150"/>
      <c r="X236" s="150"/>
      <c r="Y236" s="150"/>
      <c r="Z236" s="150"/>
      <c r="AA236" s="150"/>
      <c r="AC236" s="1211"/>
      <c r="AD236" s="1211"/>
      <c r="AE236" s="1211"/>
      <c r="AF236" s="1211"/>
      <c r="AG236" s="1211"/>
      <c r="AH236" s="1211"/>
      <c r="AI236" s="1211"/>
      <c r="AJ236" s="1211"/>
      <c r="AK236" s="1211"/>
      <c r="AL236" s="1211"/>
      <c r="AM236" s="1211"/>
    </row>
    <row r="237" spans="2:39" s="244" customFormat="1">
      <c r="B237" s="220"/>
      <c r="D237" s="1289"/>
      <c r="F237" s="1290"/>
      <c r="G237" s="1291"/>
      <c r="H237" s="1291"/>
      <c r="I237" s="1291"/>
      <c r="J237" s="1291"/>
      <c r="K237" s="1291"/>
      <c r="L237" s="1292"/>
      <c r="M237" s="1244"/>
      <c r="N237" s="1290"/>
      <c r="O237" s="150"/>
      <c r="P237" s="150"/>
      <c r="Q237" s="1287"/>
      <c r="R237" s="1287"/>
      <c r="S237" s="149"/>
      <c r="T237" s="149"/>
      <c r="U237" s="150"/>
      <c r="V237" s="150"/>
      <c r="W237" s="150"/>
      <c r="X237" s="150"/>
      <c r="Y237" s="150"/>
      <c r="Z237" s="150"/>
      <c r="AA237" s="150"/>
      <c r="AC237" s="1211"/>
      <c r="AD237" s="1211"/>
      <c r="AE237" s="1211"/>
      <c r="AF237" s="1211"/>
      <c r="AG237" s="1211"/>
      <c r="AH237" s="1211"/>
      <c r="AI237" s="1211"/>
      <c r="AJ237" s="1211"/>
      <c r="AK237" s="1211"/>
      <c r="AL237" s="1211"/>
      <c r="AM237" s="1211"/>
    </row>
    <row r="238" spans="2:39" s="244" customFormat="1">
      <c r="B238" s="220"/>
      <c r="D238" s="1289"/>
      <c r="F238" s="1290"/>
      <c r="G238" s="1291"/>
      <c r="H238" s="1291"/>
      <c r="I238" s="1291"/>
      <c r="J238" s="1291"/>
      <c r="K238" s="1291"/>
      <c r="L238" s="1292"/>
      <c r="M238" s="1244"/>
      <c r="N238" s="1290"/>
      <c r="O238" s="150"/>
      <c r="P238" s="150"/>
      <c r="Q238" s="1287"/>
      <c r="R238" s="1287"/>
      <c r="S238" s="149"/>
      <c r="T238" s="149"/>
      <c r="U238" s="150"/>
      <c r="V238" s="150"/>
      <c r="W238" s="150"/>
      <c r="X238" s="150"/>
      <c r="Y238" s="150"/>
      <c r="Z238" s="150"/>
      <c r="AA238" s="150"/>
      <c r="AC238" s="1211"/>
      <c r="AD238" s="1211"/>
      <c r="AE238" s="1211"/>
      <c r="AF238" s="1211"/>
      <c r="AG238" s="1211"/>
      <c r="AH238" s="1211"/>
      <c r="AI238" s="1211"/>
      <c r="AJ238" s="1211"/>
      <c r="AK238" s="1211"/>
      <c r="AL238" s="1211"/>
      <c r="AM238" s="1211"/>
    </row>
    <row r="239" spans="2:39" s="244" customFormat="1">
      <c r="B239" s="220"/>
      <c r="D239" s="1289"/>
      <c r="F239" s="1290"/>
      <c r="G239" s="1291"/>
      <c r="H239" s="1291"/>
      <c r="I239" s="1291"/>
      <c r="J239" s="1291"/>
      <c r="K239" s="1291"/>
      <c r="L239" s="1292"/>
      <c r="M239" s="1244"/>
      <c r="N239" s="1290"/>
      <c r="O239" s="150"/>
      <c r="P239" s="150"/>
      <c r="Q239" s="1287"/>
      <c r="R239" s="1287"/>
      <c r="S239" s="149"/>
      <c r="T239" s="149"/>
      <c r="U239" s="150"/>
      <c r="V239" s="150"/>
      <c r="W239" s="150"/>
      <c r="X239" s="150"/>
      <c r="Y239" s="150"/>
      <c r="Z239" s="150"/>
      <c r="AA239" s="150"/>
      <c r="AC239" s="1211"/>
      <c r="AD239" s="1211"/>
      <c r="AE239" s="1211"/>
      <c r="AF239" s="1211"/>
      <c r="AG239" s="1211"/>
      <c r="AH239" s="1211"/>
      <c r="AI239" s="1211"/>
      <c r="AJ239" s="1211"/>
      <c r="AK239" s="1211"/>
      <c r="AL239" s="1211"/>
      <c r="AM239" s="1211"/>
    </row>
    <row r="240" spans="2:39" s="244" customFormat="1">
      <c r="B240" s="220"/>
      <c r="D240" s="1289"/>
      <c r="F240" s="1290"/>
      <c r="G240" s="1291"/>
      <c r="H240" s="1291"/>
      <c r="I240" s="1291"/>
      <c r="J240" s="1291"/>
      <c r="K240" s="1291"/>
      <c r="L240" s="1292"/>
      <c r="M240" s="1244"/>
      <c r="N240" s="1290"/>
      <c r="O240" s="150"/>
      <c r="P240" s="150"/>
      <c r="Q240" s="1287"/>
      <c r="R240" s="1287"/>
      <c r="S240" s="149"/>
      <c r="T240" s="149"/>
      <c r="U240" s="150"/>
      <c r="V240" s="150"/>
      <c r="W240" s="150"/>
      <c r="X240" s="150"/>
      <c r="Y240" s="150"/>
      <c r="Z240" s="150"/>
      <c r="AA240" s="150"/>
      <c r="AC240" s="1211"/>
      <c r="AD240" s="1211"/>
      <c r="AE240" s="1211"/>
      <c r="AF240" s="1211"/>
      <c r="AG240" s="1211"/>
      <c r="AH240" s="1211"/>
      <c r="AI240" s="1211"/>
      <c r="AJ240" s="1211"/>
      <c r="AK240" s="1211"/>
      <c r="AL240" s="1211"/>
      <c r="AM240" s="1211"/>
    </row>
    <row r="241" spans="1:40" s="244" customFormat="1">
      <c r="B241" s="220"/>
      <c r="D241" s="1289"/>
      <c r="F241" s="1290"/>
      <c r="G241" s="1291"/>
      <c r="H241" s="1291"/>
      <c r="I241" s="1291"/>
      <c r="J241" s="1291"/>
      <c r="K241" s="1291"/>
      <c r="L241" s="1292"/>
      <c r="M241" s="1244"/>
      <c r="N241" s="1290"/>
      <c r="O241" s="150"/>
      <c r="P241" s="150"/>
      <c r="Q241" s="1287"/>
      <c r="R241" s="1287"/>
      <c r="S241" s="149"/>
      <c r="T241" s="149"/>
      <c r="U241" s="150"/>
      <c r="V241" s="150"/>
      <c r="W241" s="150"/>
      <c r="X241" s="150"/>
      <c r="Y241" s="150"/>
      <c r="Z241" s="150"/>
      <c r="AA241" s="150"/>
      <c r="AC241" s="1211"/>
      <c r="AD241" s="1211"/>
      <c r="AE241" s="1211"/>
      <c r="AF241" s="1211"/>
      <c r="AG241" s="1211"/>
      <c r="AH241" s="1211"/>
      <c r="AI241" s="1211"/>
      <c r="AJ241" s="1211"/>
      <c r="AK241" s="1211"/>
      <c r="AL241" s="1211"/>
      <c r="AM241" s="1211"/>
    </row>
    <row r="242" spans="1:40" s="244" customFormat="1">
      <c r="B242" s="220"/>
      <c r="D242" s="1289"/>
      <c r="F242" s="1290"/>
      <c r="G242" s="1291"/>
      <c r="H242" s="1291"/>
      <c r="I242" s="1291"/>
      <c r="J242" s="1291"/>
      <c r="K242" s="1291"/>
      <c r="L242" s="1292"/>
      <c r="M242" s="1244"/>
      <c r="N242" s="1290"/>
      <c r="O242" s="150"/>
      <c r="P242" s="150"/>
      <c r="Q242" s="1287"/>
      <c r="R242" s="1287"/>
      <c r="S242" s="149"/>
      <c r="T242" s="149"/>
      <c r="U242" s="150"/>
      <c r="V242" s="150"/>
      <c r="W242" s="150"/>
      <c r="X242" s="150"/>
      <c r="Y242" s="150"/>
      <c r="Z242" s="150"/>
      <c r="AA242" s="150"/>
      <c r="AC242" s="1211"/>
      <c r="AD242" s="1211"/>
      <c r="AE242" s="1211"/>
      <c r="AF242" s="1211"/>
      <c r="AG242" s="1211"/>
      <c r="AH242" s="1211"/>
      <c r="AI242" s="1211"/>
      <c r="AJ242" s="1211"/>
      <c r="AK242" s="1211"/>
      <c r="AL242" s="1211"/>
      <c r="AM242" s="1211"/>
    </row>
    <row r="243" spans="1:40" s="244" customFormat="1">
      <c r="B243" s="220"/>
      <c r="D243" s="1289"/>
      <c r="F243" s="1290"/>
      <c r="G243" s="1291"/>
      <c r="H243" s="1291"/>
      <c r="I243" s="1291"/>
      <c r="J243" s="1291"/>
      <c r="K243" s="1291"/>
      <c r="L243" s="1292"/>
      <c r="M243" s="1244"/>
      <c r="N243" s="1290"/>
      <c r="O243" s="150"/>
      <c r="P243" s="150"/>
      <c r="Q243" s="1287"/>
      <c r="R243" s="1287"/>
      <c r="S243" s="149"/>
      <c r="T243" s="149"/>
      <c r="U243" s="150"/>
      <c r="V243" s="150"/>
      <c r="W243" s="150"/>
      <c r="X243" s="150"/>
      <c r="Y243" s="150"/>
      <c r="Z243" s="150"/>
      <c r="AA243" s="150"/>
      <c r="AC243" s="1211"/>
      <c r="AD243" s="1211"/>
      <c r="AE243" s="1211"/>
      <c r="AF243" s="1211"/>
      <c r="AG243" s="1211"/>
      <c r="AH243" s="1211"/>
      <c r="AI243" s="1211"/>
      <c r="AJ243" s="1211"/>
      <c r="AK243" s="1211"/>
      <c r="AL243" s="1211"/>
      <c r="AM243" s="1211"/>
    </row>
    <row r="244" spans="1:40" s="244" customFormat="1">
      <c r="B244" s="220"/>
      <c r="D244" s="1289"/>
      <c r="F244" s="1290"/>
      <c r="G244" s="1291"/>
      <c r="H244" s="1291"/>
      <c r="I244" s="1291"/>
      <c r="J244" s="1291"/>
      <c r="K244" s="1291"/>
      <c r="L244" s="1292"/>
      <c r="M244" s="1244"/>
      <c r="N244" s="1290"/>
      <c r="O244" s="150"/>
      <c r="P244" s="150"/>
      <c r="Q244" s="1287"/>
      <c r="R244" s="1287"/>
      <c r="S244" s="149"/>
      <c r="T244" s="149"/>
      <c r="U244" s="150"/>
      <c r="V244" s="150"/>
      <c r="W244" s="150"/>
      <c r="X244" s="150"/>
      <c r="Y244" s="150"/>
      <c r="Z244" s="150"/>
      <c r="AA244" s="150"/>
      <c r="AC244" s="1211"/>
      <c r="AD244" s="1211"/>
      <c r="AE244" s="1211"/>
      <c r="AF244" s="1211"/>
      <c r="AG244" s="1211"/>
      <c r="AH244" s="1211"/>
      <c r="AI244" s="1211"/>
      <c r="AJ244" s="1211"/>
      <c r="AK244" s="1211"/>
      <c r="AL244" s="1211"/>
      <c r="AM244" s="1211"/>
    </row>
    <row r="245" spans="1:40" s="244" customFormat="1">
      <c r="B245" s="220"/>
      <c r="D245" s="1289"/>
      <c r="F245" s="1290"/>
      <c r="G245" s="1291"/>
      <c r="H245" s="1291"/>
      <c r="I245" s="1291"/>
      <c r="J245" s="1291"/>
      <c r="K245" s="1291"/>
      <c r="L245" s="1292"/>
      <c r="M245" s="1244"/>
      <c r="N245" s="1290"/>
      <c r="O245" s="150"/>
      <c r="P245" s="150"/>
      <c r="Q245" s="1287"/>
      <c r="R245" s="1287"/>
      <c r="S245" s="149"/>
      <c r="T245" s="149"/>
      <c r="U245" s="150"/>
      <c r="V245" s="150"/>
      <c r="W245" s="150"/>
      <c r="X245" s="150"/>
      <c r="Y245" s="150"/>
      <c r="Z245" s="150"/>
      <c r="AA245" s="150"/>
      <c r="AC245" s="1211"/>
      <c r="AD245" s="1211"/>
      <c r="AE245" s="1211"/>
      <c r="AF245" s="1211"/>
      <c r="AG245" s="1211"/>
      <c r="AH245" s="1211"/>
      <c r="AI245" s="1211"/>
      <c r="AJ245" s="1211"/>
      <c r="AK245" s="1211"/>
      <c r="AL245" s="1211"/>
      <c r="AM245" s="1211"/>
    </row>
    <row r="246" spans="1:40" s="244" customFormat="1">
      <c r="B246" s="220"/>
      <c r="D246" s="1289"/>
      <c r="F246" s="1290"/>
      <c r="G246" s="1291"/>
      <c r="H246" s="1291"/>
      <c r="I246" s="1291"/>
      <c r="J246" s="1291"/>
      <c r="K246" s="1291"/>
      <c r="L246" s="1292"/>
      <c r="M246" s="1244"/>
      <c r="N246" s="1290"/>
      <c r="O246" s="150"/>
      <c r="P246" s="150"/>
      <c r="Q246" s="1287"/>
      <c r="R246" s="1287"/>
      <c r="S246" s="149"/>
      <c r="T246" s="149"/>
      <c r="U246" s="150"/>
      <c r="V246" s="150"/>
      <c r="W246" s="150"/>
      <c r="X246" s="150"/>
      <c r="Y246" s="150"/>
      <c r="Z246" s="150"/>
      <c r="AA246" s="150"/>
      <c r="AC246" s="1211"/>
      <c r="AD246" s="1211"/>
      <c r="AE246" s="1211"/>
      <c r="AF246" s="1211"/>
      <c r="AG246" s="1211"/>
      <c r="AH246" s="1211"/>
      <c r="AI246" s="1211"/>
      <c r="AJ246" s="1211"/>
      <c r="AK246" s="1211"/>
      <c r="AL246" s="1211"/>
      <c r="AM246" s="1211"/>
    </row>
    <row r="247" spans="1:40" s="244" customFormat="1">
      <c r="B247" s="220"/>
      <c r="D247" s="1289"/>
      <c r="F247" s="1290"/>
      <c r="G247" s="1291"/>
      <c r="H247" s="1291"/>
      <c r="I247" s="1291"/>
      <c r="J247" s="1291"/>
      <c r="K247" s="1291"/>
      <c r="L247" s="1292"/>
      <c r="M247" s="1244"/>
      <c r="N247" s="1290"/>
      <c r="O247" s="150"/>
      <c r="P247" s="150"/>
      <c r="Q247" s="1287"/>
      <c r="R247" s="1287"/>
      <c r="S247" s="149"/>
      <c r="T247" s="149"/>
      <c r="U247" s="150"/>
      <c r="V247" s="150"/>
      <c r="W247" s="150"/>
      <c r="X247" s="150"/>
      <c r="Y247" s="150"/>
      <c r="Z247" s="150"/>
      <c r="AA247" s="150"/>
      <c r="AC247" s="1211"/>
      <c r="AD247" s="1211"/>
      <c r="AE247" s="1211"/>
      <c r="AF247" s="1211"/>
      <c r="AG247" s="1211"/>
      <c r="AH247" s="1211"/>
      <c r="AI247" s="1211"/>
      <c r="AJ247" s="1211"/>
      <c r="AK247" s="1211"/>
      <c r="AL247" s="1211"/>
      <c r="AM247" s="1211"/>
    </row>
    <row r="248" spans="1:40" s="244" customFormat="1">
      <c r="B248" s="220"/>
      <c r="D248" s="1289"/>
      <c r="F248" s="1290"/>
      <c r="G248" s="1291"/>
      <c r="H248" s="1291"/>
      <c r="I248" s="1291"/>
      <c r="J248" s="1291"/>
      <c r="K248" s="1291"/>
      <c r="L248" s="1292"/>
      <c r="M248" s="1244"/>
      <c r="N248" s="1290"/>
      <c r="O248" s="150"/>
      <c r="P248" s="150"/>
      <c r="Q248" s="1287"/>
      <c r="R248" s="1287"/>
      <c r="S248" s="149"/>
      <c r="T248" s="149"/>
      <c r="U248" s="150"/>
      <c r="V248" s="150"/>
      <c r="W248" s="150"/>
      <c r="X248" s="150"/>
      <c r="Y248" s="150"/>
      <c r="Z248" s="150"/>
      <c r="AA248" s="150"/>
      <c r="AC248" s="1211"/>
      <c r="AD248" s="1211"/>
      <c r="AE248" s="1211"/>
      <c r="AF248" s="1211"/>
      <c r="AG248" s="1211"/>
      <c r="AH248" s="1211"/>
      <c r="AI248" s="1211"/>
      <c r="AJ248" s="1211"/>
      <c r="AK248" s="1211"/>
      <c r="AL248" s="1211"/>
      <c r="AM248" s="1211"/>
    </row>
    <row r="249" spans="1:40" s="244" customFormat="1">
      <c r="B249" s="220"/>
      <c r="D249" s="1289"/>
      <c r="F249" s="1290"/>
      <c r="G249" s="1291"/>
      <c r="H249" s="1291"/>
      <c r="I249" s="1291"/>
      <c r="J249" s="1291"/>
      <c r="K249" s="1291"/>
      <c r="L249" s="1292"/>
      <c r="M249" s="1244"/>
      <c r="N249" s="1290"/>
      <c r="O249" s="150"/>
      <c r="P249" s="150"/>
      <c r="Q249" s="1287"/>
      <c r="R249" s="1287"/>
      <c r="S249" s="149"/>
      <c r="T249" s="149"/>
      <c r="U249" s="150"/>
      <c r="V249" s="150"/>
      <c r="W249" s="150"/>
      <c r="X249" s="150"/>
      <c r="Y249" s="150"/>
      <c r="Z249" s="150"/>
      <c r="AA249" s="150"/>
      <c r="AC249" s="1211"/>
      <c r="AD249" s="1211"/>
      <c r="AE249" s="1211"/>
      <c r="AF249" s="1211"/>
      <c r="AG249" s="1211"/>
      <c r="AH249" s="1211"/>
      <c r="AI249" s="1211"/>
      <c r="AJ249" s="1211"/>
      <c r="AK249" s="1211"/>
      <c r="AL249" s="1211"/>
      <c r="AM249" s="1211"/>
    </row>
    <row r="250" spans="1:40" s="244" customFormat="1">
      <c r="B250" s="220"/>
      <c r="D250" s="1289"/>
      <c r="F250" s="1290"/>
      <c r="G250" s="1291"/>
      <c r="H250" s="1291"/>
      <c r="I250" s="1291"/>
      <c r="J250" s="1291"/>
      <c r="K250" s="1291"/>
      <c r="L250" s="1292"/>
      <c r="M250" s="1244"/>
      <c r="N250" s="1290"/>
      <c r="O250" s="150"/>
      <c r="P250" s="150"/>
      <c r="Q250" s="1287"/>
      <c r="R250" s="1287"/>
      <c r="S250" s="149"/>
      <c r="T250" s="149"/>
      <c r="U250" s="150"/>
      <c r="V250" s="150"/>
      <c r="W250" s="150"/>
      <c r="X250" s="150"/>
      <c r="Y250" s="150"/>
      <c r="Z250" s="150"/>
      <c r="AA250" s="150"/>
      <c r="AC250" s="1211"/>
      <c r="AD250" s="1211"/>
      <c r="AE250" s="1211"/>
      <c r="AF250" s="1211"/>
      <c r="AG250" s="1211"/>
      <c r="AH250" s="1211"/>
      <c r="AI250" s="1211"/>
      <c r="AJ250" s="1211"/>
      <c r="AK250" s="1211"/>
      <c r="AL250" s="1211"/>
      <c r="AM250" s="1211"/>
    </row>
    <row r="251" spans="1:40" s="244" customFormat="1">
      <c r="B251" s="220"/>
      <c r="D251" s="1289"/>
      <c r="F251" s="1290"/>
      <c r="G251" s="1291"/>
      <c r="H251" s="1291"/>
      <c r="I251" s="1291"/>
      <c r="J251" s="1291"/>
      <c r="K251" s="1291"/>
      <c r="L251" s="1292"/>
      <c r="M251" s="1244"/>
      <c r="N251" s="1290"/>
      <c r="O251" s="150"/>
      <c r="P251" s="150"/>
      <c r="Q251" s="1287"/>
      <c r="R251" s="1287"/>
      <c r="S251" s="149"/>
      <c r="T251" s="149"/>
      <c r="U251" s="150"/>
      <c r="V251" s="150"/>
      <c r="W251" s="150"/>
      <c r="X251" s="150"/>
      <c r="Y251" s="150"/>
      <c r="Z251" s="150"/>
      <c r="AA251" s="150"/>
      <c r="AC251" s="1211"/>
      <c r="AD251" s="1211"/>
      <c r="AE251" s="1211"/>
      <c r="AF251" s="1211"/>
      <c r="AG251" s="1211"/>
      <c r="AH251" s="1211"/>
      <c r="AI251" s="1211"/>
      <c r="AJ251" s="1211"/>
      <c r="AK251" s="1211"/>
      <c r="AL251" s="1211"/>
      <c r="AM251" s="1211"/>
    </row>
    <row r="252" spans="1:40" s="244" customFormat="1">
      <c r="B252" s="220"/>
      <c r="D252" s="1289"/>
      <c r="F252" s="1290"/>
      <c r="G252" s="1291"/>
      <c r="H252" s="1291"/>
      <c r="I252" s="1291"/>
      <c r="J252" s="1291"/>
      <c r="K252" s="1291"/>
      <c r="L252" s="1292"/>
      <c r="M252" s="1244"/>
      <c r="N252" s="1290"/>
      <c r="O252" s="150"/>
      <c r="P252" s="150"/>
      <c r="Q252" s="1287"/>
      <c r="R252" s="1287"/>
      <c r="S252" s="149"/>
      <c r="T252" s="149"/>
      <c r="U252" s="150"/>
      <c r="V252" s="150"/>
      <c r="W252" s="150"/>
      <c r="X252" s="150"/>
      <c r="Y252" s="150"/>
      <c r="Z252" s="150"/>
      <c r="AA252" s="150"/>
      <c r="AC252" s="1211"/>
      <c r="AD252" s="1211"/>
      <c r="AE252" s="1211"/>
      <c r="AF252" s="1211"/>
      <c r="AG252" s="1211"/>
      <c r="AH252" s="1211"/>
      <c r="AI252" s="1211"/>
      <c r="AJ252" s="1211"/>
      <c r="AK252" s="1211"/>
      <c r="AL252" s="1211"/>
      <c r="AM252" s="1211"/>
    </row>
    <row r="253" spans="1:40" s="244" customFormat="1">
      <c r="B253" s="220"/>
      <c r="D253" s="1289"/>
      <c r="F253" s="1290"/>
      <c r="G253" s="1291"/>
      <c r="H253" s="1291"/>
      <c r="I253" s="1291"/>
      <c r="J253" s="1291"/>
      <c r="K253" s="1291"/>
      <c r="L253" s="1292"/>
      <c r="M253" s="1244"/>
      <c r="N253" s="1290"/>
      <c r="O253" s="150"/>
      <c r="P253" s="150"/>
      <c r="Q253" s="1287"/>
      <c r="R253" s="1287"/>
      <c r="S253" s="149"/>
      <c r="T253" s="149"/>
      <c r="U253" s="150"/>
      <c r="V253" s="150"/>
      <c r="W253" s="150"/>
      <c r="X253" s="150"/>
      <c r="Y253" s="150"/>
      <c r="Z253" s="150"/>
      <c r="AA253" s="150"/>
      <c r="AC253" s="1211"/>
      <c r="AD253" s="1211"/>
      <c r="AE253" s="1211"/>
      <c r="AF253" s="1211"/>
      <c r="AG253" s="1211"/>
      <c r="AH253" s="1211"/>
      <c r="AI253" s="1211"/>
      <c r="AJ253" s="1211"/>
      <c r="AK253" s="1211"/>
      <c r="AL253" s="1211"/>
      <c r="AM253" s="1211"/>
    </row>
    <row r="254" spans="1:40" s="244" customFormat="1">
      <c r="B254" s="220"/>
      <c r="D254" s="1289"/>
      <c r="F254" s="1290"/>
      <c r="G254" s="1291"/>
      <c r="H254" s="1291"/>
      <c r="I254" s="1291"/>
      <c r="J254" s="1291"/>
      <c r="K254" s="1291"/>
      <c r="L254" s="1292"/>
      <c r="M254" s="1244"/>
      <c r="N254" s="1290"/>
      <c r="O254" s="150"/>
      <c r="P254" s="150"/>
      <c r="Q254" s="1287"/>
      <c r="R254" s="1287"/>
      <c r="S254" s="149"/>
      <c r="T254" s="149"/>
      <c r="U254" s="150"/>
      <c r="V254" s="150"/>
      <c r="W254" s="150"/>
      <c r="X254" s="150"/>
      <c r="Y254" s="150"/>
      <c r="Z254" s="150"/>
      <c r="AA254" s="150"/>
      <c r="AC254" s="1211"/>
      <c r="AD254" s="1211"/>
      <c r="AE254" s="1211"/>
      <c r="AF254" s="1211"/>
      <c r="AG254" s="1211"/>
      <c r="AH254" s="1211"/>
      <c r="AI254" s="1211"/>
      <c r="AJ254" s="1211"/>
      <c r="AK254" s="1211"/>
      <c r="AL254" s="1211"/>
      <c r="AM254" s="1211"/>
    </row>
    <row r="255" spans="1:40" s="244" customFormat="1">
      <c r="B255" s="220"/>
      <c r="C255" s="245"/>
      <c r="D255" s="1213"/>
      <c r="E255" s="245"/>
      <c r="F255" s="1205"/>
      <c r="G255" s="1206"/>
      <c r="H255" s="1206"/>
      <c r="I255" s="1206"/>
      <c r="J255" s="1206"/>
      <c r="K255" s="1206"/>
      <c r="L255" s="1207"/>
      <c r="M255" s="1208"/>
      <c r="N255" s="1205"/>
      <c r="O255" s="1215"/>
      <c r="P255" s="1215"/>
      <c r="Q255" s="1293"/>
      <c r="R255" s="1293"/>
      <c r="S255" s="149"/>
      <c r="T255" s="149"/>
      <c r="U255" s="150"/>
      <c r="V255" s="150"/>
      <c r="W255" s="150"/>
      <c r="X255" s="150"/>
      <c r="Y255" s="150"/>
      <c r="Z255" s="150"/>
      <c r="AA255" s="150"/>
      <c r="AC255" s="1211"/>
      <c r="AD255" s="1211"/>
      <c r="AE255" s="1211"/>
      <c r="AF255" s="1211"/>
      <c r="AG255" s="1211"/>
      <c r="AH255" s="1211"/>
      <c r="AI255" s="1211"/>
      <c r="AJ255" s="1211"/>
      <c r="AK255" s="1211"/>
      <c r="AL255" s="1211"/>
      <c r="AM255" s="1211"/>
    </row>
    <row r="256" spans="1:40">
      <c r="A256" s="245"/>
      <c r="O256" s="1215"/>
      <c r="P256" s="1215"/>
      <c r="Q256" s="1293"/>
      <c r="R256" s="1293"/>
      <c r="S256" s="251"/>
      <c r="T256" s="251"/>
      <c r="U256" s="1132"/>
      <c r="V256" s="1132"/>
      <c r="W256" s="1132"/>
      <c r="X256" s="1132"/>
      <c r="Y256" s="1132"/>
      <c r="Z256" s="1132"/>
      <c r="AA256" s="1132"/>
      <c r="AN256" s="245"/>
    </row>
    <row r="257" spans="1:40">
      <c r="A257" s="245"/>
      <c r="O257" s="1215"/>
      <c r="P257" s="1215"/>
      <c r="Q257" s="1293"/>
      <c r="R257" s="1293"/>
      <c r="S257" s="251"/>
      <c r="T257" s="251"/>
      <c r="U257" s="1132"/>
      <c r="V257" s="1132"/>
      <c r="W257" s="1132"/>
      <c r="X257" s="1132"/>
      <c r="Y257" s="1132"/>
      <c r="Z257" s="1132"/>
      <c r="AA257" s="1132"/>
      <c r="AN257" s="245"/>
    </row>
    <row r="258" spans="1:40">
      <c r="A258" s="245"/>
      <c r="O258" s="1215"/>
      <c r="P258" s="1215"/>
      <c r="Q258" s="1293"/>
      <c r="R258" s="1293"/>
      <c r="S258" s="251"/>
      <c r="T258" s="251"/>
      <c r="U258" s="1132"/>
      <c r="V258" s="1132"/>
      <c r="W258" s="1132"/>
      <c r="X258" s="1132"/>
      <c r="Y258" s="1132"/>
      <c r="Z258" s="1132"/>
      <c r="AA258" s="1132"/>
      <c r="AN258" s="245"/>
    </row>
    <row r="259" spans="1:40">
      <c r="A259" s="245"/>
      <c r="O259" s="1215"/>
      <c r="P259" s="1215"/>
      <c r="Q259" s="1293"/>
      <c r="R259" s="1293"/>
      <c r="S259" s="251"/>
      <c r="T259" s="251"/>
      <c r="U259" s="1132"/>
      <c r="V259" s="1132"/>
      <c r="W259" s="1132"/>
      <c r="X259" s="1132"/>
      <c r="Y259" s="1132"/>
      <c r="Z259" s="1132"/>
      <c r="AA259" s="1132"/>
      <c r="AN259" s="245"/>
    </row>
    <row r="260" spans="1:40">
      <c r="A260" s="245"/>
      <c r="O260" s="1215"/>
      <c r="P260" s="1215"/>
      <c r="Q260" s="1293"/>
      <c r="R260" s="1293"/>
      <c r="S260" s="251"/>
      <c r="T260" s="251"/>
      <c r="U260" s="1132"/>
      <c r="V260" s="1132"/>
      <c r="W260" s="1132"/>
      <c r="X260" s="1132"/>
      <c r="Y260" s="1132"/>
      <c r="Z260" s="1132"/>
      <c r="AA260" s="1132"/>
      <c r="AN260" s="245"/>
    </row>
    <row r="261" spans="1:40">
      <c r="A261" s="245"/>
      <c r="O261" s="1215"/>
      <c r="P261" s="1215"/>
      <c r="Q261" s="1293"/>
      <c r="R261" s="1293"/>
      <c r="S261" s="251"/>
      <c r="T261" s="251"/>
      <c r="U261" s="1132"/>
      <c r="V261" s="1132"/>
      <c r="W261" s="1132"/>
      <c r="X261" s="1132"/>
      <c r="Y261" s="1132"/>
      <c r="Z261" s="1132"/>
      <c r="AA261" s="1132"/>
      <c r="AN261" s="245"/>
    </row>
    <row r="262" spans="1:40">
      <c r="A262" s="245"/>
      <c r="O262" s="1215"/>
      <c r="P262" s="1215"/>
      <c r="Q262" s="1293"/>
      <c r="R262" s="1293"/>
      <c r="S262" s="251"/>
      <c r="T262" s="251"/>
      <c r="U262" s="1132"/>
      <c r="V262" s="1132"/>
      <c r="W262" s="1132"/>
      <c r="X262" s="1132"/>
      <c r="Y262" s="1132"/>
      <c r="Z262" s="1132"/>
      <c r="AA262" s="1132"/>
      <c r="AN262" s="245"/>
    </row>
    <row r="263" spans="1:40">
      <c r="A263" s="245"/>
      <c r="D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1215"/>
      <c r="P263" s="1215"/>
      <c r="Q263" s="1293"/>
      <c r="R263" s="1293"/>
      <c r="S263" s="251"/>
      <c r="T263" s="251"/>
      <c r="U263" s="1132"/>
      <c r="V263" s="1132"/>
      <c r="W263" s="1132"/>
      <c r="X263" s="1132"/>
      <c r="Y263" s="1132"/>
      <c r="Z263" s="1132"/>
      <c r="AA263" s="1132"/>
      <c r="AN263" s="245"/>
    </row>
    <row r="264" spans="1:40">
      <c r="A264" s="245"/>
      <c r="B264" s="245"/>
      <c r="D264" s="245"/>
      <c r="F264" s="245"/>
      <c r="G264" s="245"/>
      <c r="H264" s="245"/>
      <c r="I264" s="245"/>
      <c r="J264" s="245"/>
      <c r="K264" s="245"/>
      <c r="L264" s="245"/>
      <c r="M264" s="245"/>
      <c r="N264" s="245"/>
      <c r="O264" s="1215"/>
      <c r="P264" s="1215"/>
      <c r="Q264" s="1293"/>
      <c r="R264" s="1293"/>
      <c r="S264" s="251"/>
      <c r="T264" s="251"/>
      <c r="U264" s="1132"/>
      <c r="V264" s="1132"/>
      <c r="W264" s="1132"/>
      <c r="X264" s="1132"/>
      <c r="Y264" s="1132"/>
      <c r="Z264" s="1132"/>
      <c r="AA264" s="1132"/>
      <c r="AB264" s="245"/>
      <c r="AC264" s="245"/>
      <c r="AD264" s="245"/>
      <c r="AE264" s="245"/>
      <c r="AF264" s="245"/>
      <c r="AG264" s="245"/>
      <c r="AH264" s="245"/>
      <c r="AI264" s="245"/>
      <c r="AJ264" s="245"/>
      <c r="AK264" s="245"/>
      <c r="AL264" s="245"/>
      <c r="AM264" s="245"/>
      <c r="AN264" s="245"/>
    </row>
    <row r="265" spans="1:40">
      <c r="A265" s="245"/>
      <c r="B265" s="245"/>
      <c r="D265" s="245"/>
      <c r="F265" s="245"/>
      <c r="G265" s="245"/>
      <c r="H265" s="245"/>
      <c r="I265" s="245"/>
      <c r="J265" s="245"/>
      <c r="K265" s="245"/>
      <c r="L265" s="245"/>
      <c r="M265" s="245"/>
      <c r="N265" s="245"/>
      <c r="O265" s="1215"/>
      <c r="P265" s="1215"/>
      <c r="Q265" s="1293"/>
      <c r="R265" s="1293"/>
      <c r="S265" s="251"/>
      <c r="T265" s="251"/>
      <c r="U265" s="1132"/>
      <c r="V265" s="1132"/>
      <c r="W265" s="1132"/>
      <c r="X265" s="1132"/>
      <c r="Y265" s="1132"/>
      <c r="Z265" s="1132"/>
      <c r="AA265" s="1132"/>
      <c r="AB265" s="245"/>
      <c r="AC265" s="245"/>
      <c r="AD265" s="245"/>
      <c r="AE265" s="245"/>
      <c r="AF265" s="245"/>
      <c r="AG265" s="245"/>
      <c r="AH265" s="245"/>
      <c r="AI265" s="245"/>
      <c r="AJ265" s="245"/>
      <c r="AK265" s="245"/>
      <c r="AL265" s="245"/>
      <c r="AM265" s="245"/>
      <c r="AN265" s="245"/>
    </row>
    <row r="266" spans="1:40">
      <c r="A266" s="245"/>
      <c r="B266" s="245"/>
      <c r="D266" s="245"/>
      <c r="F266" s="245"/>
      <c r="G266" s="245"/>
      <c r="H266" s="245"/>
      <c r="I266" s="245"/>
      <c r="J266" s="245"/>
      <c r="K266" s="245"/>
      <c r="L266" s="245"/>
      <c r="M266" s="245"/>
      <c r="N266" s="245"/>
      <c r="O266" s="1215"/>
      <c r="P266" s="1215"/>
      <c r="Q266" s="1293"/>
      <c r="R266" s="1293"/>
      <c r="S266" s="251"/>
      <c r="T266" s="251"/>
      <c r="U266" s="1132"/>
      <c r="V266" s="1132"/>
      <c r="W266" s="1132"/>
      <c r="X266" s="1132"/>
      <c r="Y266" s="1132"/>
      <c r="Z266" s="1132"/>
      <c r="AA266" s="1132"/>
      <c r="AB266" s="245"/>
      <c r="AC266" s="245"/>
      <c r="AD266" s="245"/>
      <c r="AE266" s="245"/>
      <c r="AF266" s="245"/>
      <c r="AG266" s="245"/>
      <c r="AH266" s="245"/>
      <c r="AI266" s="245"/>
      <c r="AJ266" s="245"/>
      <c r="AK266" s="245"/>
      <c r="AL266" s="245"/>
      <c r="AM266" s="245"/>
      <c r="AN266" s="245"/>
    </row>
    <row r="267" spans="1:40">
      <c r="A267" s="245"/>
      <c r="B267" s="245"/>
      <c r="D267" s="245"/>
      <c r="F267" s="245"/>
      <c r="G267" s="245"/>
      <c r="H267" s="245"/>
      <c r="I267" s="245"/>
      <c r="J267" s="245"/>
      <c r="K267" s="245"/>
      <c r="L267" s="245"/>
      <c r="M267" s="245"/>
      <c r="N267" s="245"/>
      <c r="O267" s="1215"/>
      <c r="P267" s="1215"/>
      <c r="Q267" s="1293"/>
      <c r="R267" s="1293"/>
      <c r="S267" s="251"/>
      <c r="T267" s="251"/>
      <c r="U267" s="1132"/>
      <c r="V267" s="1132"/>
      <c r="W267" s="1132"/>
      <c r="X267" s="1132"/>
      <c r="Y267" s="1132"/>
      <c r="Z267" s="1132"/>
      <c r="AA267" s="1132"/>
      <c r="AB267" s="245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</row>
    <row r="268" spans="1:40">
      <c r="A268" s="245"/>
      <c r="B268" s="245"/>
      <c r="D268" s="245"/>
      <c r="F268" s="245"/>
      <c r="G268" s="245"/>
      <c r="H268" s="245"/>
      <c r="I268" s="245"/>
      <c r="J268" s="245"/>
      <c r="K268" s="245"/>
      <c r="L268" s="245"/>
      <c r="M268" s="245"/>
      <c r="N268" s="245"/>
      <c r="S268" s="251"/>
      <c r="T268" s="251"/>
      <c r="U268" s="1132"/>
      <c r="V268" s="1132"/>
      <c r="W268" s="1132"/>
      <c r="X268" s="1132"/>
      <c r="Y268" s="1132"/>
      <c r="Z268" s="1132"/>
      <c r="AA268" s="1132"/>
      <c r="AB268" s="245"/>
      <c r="AC268" s="245"/>
      <c r="AD268" s="245"/>
      <c r="AE268" s="245"/>
      <c r="AF268" s="245"/>
      <c r="AG268" s="245"/>
      <c r="AH268" s="245"/>
      <c r="AI268" s="245"/>
      <c r="AJ268" s="245"/>
      <c r="AK268" s="245"/>
      <c r="AL268" s="245"/>
      <c r="AM268" s="245"/>
      <c r="AN268" s="245"/>
    </row>
    <row r="269" spans="1:40">
      <c r="A269" s="245"/>
      <c r="B269" s="245"/>
      <c r="D269" s="245"/>
      <c r="F269" s="245"/>
      <c r="G269" s="245"/>
      <c r="H269" s="245"/>
      <c r="I269" s="245"/>
      <c r="J269" s="245"/>
      <c r="K269" s="245"/>
      <c r="L269" s="245"/>
      <c r="M269" s="245"/>
      <c r="N269" s="245"/>
      <c r="AB269" s="245"/>
      <c r="AC269" s="245"/>
      <c r="AD269" s="245"/>
      <c r="AE269" s="245"/>
      <c r="AF269" s="245"/>
      <c r="AG269" s="245"/>
      <c r="AH269" s="245"/>
      <c r="AI269" s="245"/>
      <c r="AJ269" s="245"/>
      <c r="AK269" s="245"/>
      <c r="AL269" s="245"/>
      <c r="AM269" s="245"/>
      <c r="AN269" s="245"/>
    </row>
    <row r="270" spans="1:40">
      <c r="A270" s="245"/>
      <c r="B270" s="245"/>
      <c r="D270" s="245"/>
      <c r="F270" s="245"/>
      <c r="G270" s="245"/>
      <c r="H270" s="245"/>
      <c r="I270" s="245"/>
      <c r="J270" s="245"/>
      <c r="K270" s="245"/>
      <c r="L270" s="245"/>
      <c r="M270" s="245"/>
      <c r="N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245"/>
      <c r="AL270" s="245"/>
      <c r="AM270" s="245"/>
      <c r="AN270" s="245"/>
    </row>
    <row r="271" spans="1:40">
      <c r="A271" s="245"/>
      <c r="B271" s="245"/>
      <c r="D271" s="245"/>
      <c r="F271" s="245"/>
      <c r="G271" s="245"/>
      <c r="H271" s="245"/>
      <c r="I271" s="245"/>
      <c r="J271" s="245"/>
      <c r="K271" s="245"/>
      <c r="L271" s="245"/>
      <c r="M271" s="245"/>
      <c r="N271" s="245"/>
      <c r="AB271" s="245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</row>
    <row r="272" spans="1:40">
      <c r="A272" s="245"/>
      <c r="B272" s="245"/>
      <c r="D272" s="245"/>
      <c r="F272" s="245"/>
      <c r="G272" s="245"/>
      <c r="H272" s="245"/>
      <c r="I272" s="245"/>
      <c r="J272" s="245"/>
      <c r="K272" s="245"/>
      <c r="L272" s="245"/>
      <c r="M272" s="245"/>
      <c r="N272" s="245"/>
      <c r="AB272" s="245"/>
      <c r="AC272" s="245"/>
      <c r="AD272" s="245"/>
      <c r="AE272" s="245"/>
      <c r="AF272" s="245"/>
      <c r="AG272" s="245"/>
      <c r="AH272" s="245"/>
      <c r="AI272" s="245"/>
      <c r="AJ272" s="245"/>
      <c r="AK272" s="245"/>
      <c r="AL272" s="245"/>
      <c r="AM272" s="245"/>
      <c r="AN272" s="245"/>
    </row>
    <row r="273" spans="1:40">
      <c r="A273" s="245"/>
      <c r="B273" s="245"/>
      <c r="AB273" s="245"/>
      <c r="AC273" s="245"/>
      <c r="AD273" s="245"/>
      <c r="AE273" s="245"/>
      <c r="AF273" s="245"/>
      <c r="AG273" s="245"/>
      <c r="AH273" s="245"/>
      <c r="AI273" s="245"/>
      <c r="AJ273" s="245"/>
      <c r="AK273" s="245"/>
      <c r="AL273" s="245"/>
      <c r="AM273" s="245"/>
      <c r="AN273" s="245"/>
    </row>
  </sheetData>
  <phoneticPr fontId="21" type="noConversion"/>
  <conditionalFormatting sqref="K62 D29:K29 D14:K14">
    <cfRule type="cellIs" dxfId="731" priority="11" stopIfTrue="1" operator="equal">
      <formula>1</formula>
    </cfRule>
  </conditionalFormatting>
  <conditionalFormatting sqref="K63:K65">
    <cfRule type="cellIs" dxfId="730" priority="9" stopIfTrue="1" operator="equal">
      <formula>1</formula>
    </cfRule>
  </conditionalFormatting>
  <conditionalFormatting sqref="AC16:AI16">
    <cfRule type="cellIs" dxfId="729" priority="3" stopIfTrue="1" operator="lessThan">
      <formula>0</formula>
    </cfRule>
  </conditionalFormatting>
  <conditionalFormatting sqref="D6:K6">
    <cfRule type="cellIs" dxfId="728" priority="2" stopIfTrue="1" operator="equal">
      <formula>1</formula>
    </cfRule>
  </conditionalFormatting>
  <conditionalFormatting sqref="D42:K42">
    <cfRule type="cellIs" dxfId="727" priority="1" stopIfTrue="1" operator="equal">
      <formula>1</formula>
    </cfRule>
  </conditionalFormatting>
  <printOptions horizontalCentered="1" verticalCentered="1"/>
  <pageMargins left="0" right="0" top="0.59055118110236227" bottom="0" header="0.98425196850393704" footer="0"/>
  <pageSetup paperSize="9" scale="115" orientation="landscape" horizontalDpi="0" verticalDpi="0"/>
  <headerFooter>
    <oddHeader>&amp;L&amp;K000000             &amp;A&amp;"Arial Negrita,Negrita"&amp;14&amp;F&amp;C&amp;K000000&amp;D</oddHeader>
    <oddFooter>Preparado por PEPE ALONSO &amp;D&amp;RPágina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8"/>
  <dimension ref="A1:AO249"/>
  <sheetViews>
    <sheetView topLeftCell="A35" zoomScale="150" zoomScaleNormal="150" zoomScalePageLayoutView="161" workbookViewId="0">
      <selection activeCell="AE30" sqref="AE29:AE30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6640625" style="204" customWidth="1"/>
    <col min="4" max="4" width="1" style="902" customWidth="1"/>
    <col min="5" max="5" width="2.6640625" style="204" customWidth="1"/>
    <col min="6" max="6" width="3.33203125" style="207" customWidth="1"/>
    <col min="7" max="7" width="5.6640625" style="208" customWidth="1"/>
    <col min="8" max="10" width="7.33203125" style="208" customWidth="1"/>
    <col min="11" max="11" width="33.6640625" style="208" customWidth="1"/>
    <col min="12" max="12" width="7.33203125" style="988" customWidth="1"/>
    <col min="13" max="13" width="1" style="449" customWidth="1"/>
    <col min="14" max="14" width="9.1640625" style="207" customWidth="1"/>
    <col min="15" max="15" width="1" style="208" customWidth="1"/>
    <col min="16" max="16" width="9.5" style="208" customWidth="1"/>
    <col min="17" max="17" width="7.33203125" style="1099" customWidth="1"/>
    <col min="18" max="18" width="7.6640625" style="1099" customWidth="1"/>
    <col min="19" max="19" width="1.33203125" style="210" customWidth="1"/>
    <col min="20" max="20" width="0.33203125" style="210" customWidth="1"/>
    <col min="21" max="21" width="6" style="1098" customWidth="1"/>
    <col min="22" max="22" width="5.6640625" style="1098" customWidth="1"/>
    <col min="23" max="23" width="6.33203125" style="1098" customWidth="1"/>
    <col min="24" max="24" width="5.33203125" style="1098" customWidth="1"/>
    <col min="25" max="25" width="6" style="1098" customWidth="1"/>
    <col min="26" max="27" width="5.33203125" style="1098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19.25" customHeight="1">
      <c r="A1" s="203" t="s">
        <v>344</v>
      </c>
      <c r="B1" s="204"/>
      <c r="C1" s="1126"/>
      <c r="D1" s="1127"/>
      <c r="E1" s="1128"/>
      <c r="V1" s="212"/>
      <c r="AI1" s="213"/>
      <c r="AJ1" s="213"/>
      <c r="AK1" s="213"/>
      <c r="AL1" s="213"/>
      <c r="AM1" s="213"/>
    </row>
    <row r="2" spans="1:40" ht="14.25" customHeight="1" thickBot="1">
      <c r="F2" s="527"/>
      <c r="G2" s="155"/>
      <c r="H2" s="155"/>
      <c r="I2" s="155"/>
      <c r="J2" s="217"/>
      <c r="K2" s="583">
        <v>45208</v>
      </c>
      <c r="L2" s="989"/>
      <c r="U2" s="218" t="s">
        <v>345</v>
      </c>
      <c r="AI2" s="213"/>
      <c r="AJ2" s="213"/>
      <c r="AK2" s="213"/>
      <c r="AL2" s="213"/>
      <c r="AM2" s="213"/>
    </row>
    <row r="3" spans="1:40" s="223" customFormat="1" ht="59" customHeight="1" thickTop="1" thickBot="1">
      <c r="A3" s="351" t="s">
        <v>346</v>
      </c>
      <c r="B3" s="352" t="s">
        <v>347</v>
      </c>
      <c r="C3" s="353" t="s">
        <v>348</v>
      </c>
      <c r="D3" s="903"/>
      <c r="E3" s="353" t="s">
        <v>349</v>
      </c>
      <c r="F3" s="35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350"/>
      <c r="M3" s="450" t="s">
        <v>355</v>
      </c>
      <c r="N3" s="350" t="s">
        <v>445</v>
      </c>
      <c r="O3" s="353" t="s">
        <v>446</v>
      </c>
      <c r="P3" s="1916" t="s">
        <v>447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1109" customFormat="1" ht="9.75" customHeight="1" thickBot="1">
      <c r="A4" s="911"/>
      <c r="B4" s="912"/>
      <c r="C4" s="913"/>
      <c r="D4" s="914"/>
      <c r="E4" s="913"/>
      <c r="F4" s="915"/>
      <c r="G4" s="913"/>
      <c r="H4" s="913"/>
      <c r="I4" s="913"/>
      <c r="J4" s="915"/>
      <c r="K4" s="913"/>
      <c r="L4" s="913"/>
      <c r="M4" s="916"/>
      <c r="N4" s="913"/>
      <c r="O4" s="913"/>
      <c r="P4" s="913"/>
      <c r="Q4" s="917"/>
      <c r="R4" s="918"/>
      <c r="S4" s="1107"/>
      <c r="T4" s="1107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0" s="1109" customFormat="1" ht="5.25" customHeight="1" thickTop="1" thickBot="1">
      <c r="A5" s="621"/>
      <c r="B5" s="622"/>
      <c r="C5" s="623"/>
      <c r="D5" s="938"/>
      <c r="E5" s="623"/>
      <c r="F5" s="624"/>
      <c r="G5" s="625"/>
      <c r="H5" s="625"/>
      <c r="I5" s="625"/>
      <c r="J5" s="624"/>
      <c r="K5" s="625"/>
      <c r="L5" s="625"/>
      <c r="M5" s="626"/>
      <c r="N5" s="625"/>
      <c r="O5" s="623"/>
      <c r="P5" s="623"/>
      <c r="Q5" s="623"/>
      <c r="R5" s="627"/>
      <c r="S5" s="1115"/>
      <c r="T5" s="1115"/>
      <c r="U5" s="1108">
        <f>U4/4</f>
        <v>2.2880964381720439E-4</v>
      </c>
      <c r="V5" s="1108">
        <f t="shared" ref="V5:AA5" si="0">V4/4</f>
        <v>2.1908757716049393E-4</v>
      </c>
      <c r="W5" s="1108">
        <f t="shared" si="0"/>
        <v>2.1222190799396687E-4</v>
      </c>
      <c r="X5" s="1108">
        <f t="shared" si="0"/>
        <v>2.0247664488766629E-4</v>
      </c>
      <c r="Y5" s="1108">
        <f t="shared" si="0"/>
        <v>1.8933937422552669E-4</v>
      </c>
      <c r="Z5" s="1108">
        <f t="shared" si="0"/>
        <v>1.8229166666666673E-4</v>
      </c>
      <c r="AA5" s="1108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s="1109" customFormat="1" ht="15.75" customHeight="1" thickBot="1">
      <c r="A6" s="396"/>
      <c r="B6" s="1142" t="s">
        <v>215</v>
      </c>
      <c r="C6" s="274">
        <f t="shared" ref="C6:C11" si="1">IF(D6=1,U$5,IF(D6=2,V$5,IF(D6=3,W$5,IF(D6=4,X$5,IF(D6=5,Y$5,IF(D6=6,Z$5,IF(D6=7,AA$5,0)))))))</f>
        <v>2.1908757716049393E-4</v>
      </c>
      <c r="D6" s="890">
        <v>2</v>
      </c>
      <c r="E6" s="1173">
        <v>1</v>
      </c>
      <c r="F6" s="1173">
        <v>4</v>
      </c>
      <c r="G6" s="1173">
        <v>100</v>
      </c>
      <c r="H6" s="299"/>
      <c r="I6" s="299">
        <v>1.1574074074074073E-4</v>
      </c>
      <c r="J6" s="299">
        <v>1.3888888888888889E-3</v>
      </c>
      <c r="K6" s="1123" t="s">
        <v>1049</v>
      </c>
      <c r="L6" s="1149">
        <v>0.30208333333333331</v>
      </c>
      <c r="M6" s="1174">
        <v>1</v>
      </c>
      <c r="N6" s="299">
        <f t="shared" ref="N6:N7" si="2">P6*E6*F6+I6*E6*F6+J6*E6</f>
        <v>5.3572530864197552E-3</v>
      </c>
      <c r="O6" s="1175">
        <f t="shared" ref="O6" si="3">C6*(G6/25)</f>
        <v>8.7635030864197572E-4</v>
      </c>
      <c r="P6" s="1175">
        <f t="shared" ref="P6:P11" si="4">O6*M6</f>
        <v>8.7635030864197572E-4</v>
      </c>
      <c r="Q6" s="550">
        <v>147</v>
      </c>
      <c r="R6" s="1176">
        <f t="shared" ref="R6:R9" si="5">E6*F6*G6</f>
        <v>400</v>
      </c>
      <c r="S6" s="1118">
        <f t="shared" ref="S6" si="6">E6*F6*G6/1000</f>
        <v>0.4</v>
      </c>
      <c r="T6" s="1119">
        <f t="shared" ref="T6" si="7">E6*F6*O6*4</f>
        <v>1.4021604938271611E-2</v>
      </c>
      <c r="U6" s="374">
        <f t="shared" ref="U6" si="8">IF(C6*4&gt;=$U$4,S6,0)</f>
        <v>0</v>
      </c>
      <c r="V6" s="1120">
        <f t="shared" ref="V6" si="9">IF(AND(C6*4&gt;=$V$4,C6*4&lt;$U$4),S6,0)</f>
        <v>0.4</v>
      </c>
      <c r="W6" s="376">
        <f t="shared" ref="W6" si="10">IF(AND(C6*4&gt;=$W$4,C6*4&lt;$V$4),S6,0)</f>
        <v>0</v>
      </c>
      <c r="X6" s="377">
        <f t="shared" ref="X6" si="11">IF(AND(C6*4&gt;=$X$4,C6*4&lt;$W$4),S6,0)</f>
        <v>0</v>
      </c>
      <c r="Y6" s="378">
        <f t="shared" ref="Y6" si="12">IF(AND(C6*4&gt;=$Y$4,C6*4&lt;$X$4),S6,0)</f>
        <v>0</v>
      </c>
      <c r="Z6" s="1121">
        <f t="shared" ref="Z6" si="13">IF(AND(C6*4&gt;=$Z$4,C6*4&lt;$Y$4),S6,0)</f>
        <v>0</v>
      </c>
      <c r="AA6" s="1122">
        <f t="shared" ref="AA6" si="14">IF(AND(C6*4&gt;=$AA$4,C6*4&lt;$Z$4),S6,0)</f>
        <v>0</v>
      </c>
      <c r="AB6" s="82" t="s">
        <v>214</v>
      </c>
      <c r="AC6" s="82" t="s">
        <v>215</v>
      </c>
      <c r="AD6" s="82" t="s">
        <v>216</v>
      </c>
      <c r="AE6" s="82" t="s">
        <v>217</v>
      </c>
      <c r="AF6" s="82" t="s">
        <v>218</v>
      </c>
      <c r="AG6" s="82" t="s">
        <v>219</v>
      </c>
      <c r="AH6" s="82" t="s">
        <v>220</v>
      </c>
      <c r="AI6" s="225"/>
      <c r="AJ6" s="225"/>
      <c r="AK6" s="225"/>
      <c r="AL6" s="225"/>
      <c r="AM6" s="225"/>
      <c r="AN6" s="225"/>
    </row>
    <row r="7" spans="1:40" s="1109" customFormat="1" ht="15.75" customHeight="1" thickBot="1">
      <c r="A7" s="398" t="s">
        <v>214</v>
      </c>
      <c r="B7" s="1142" t="s">
        <v>215</v>
      </c>
      <c r="C7" s="274">
        <f t="shared" si="1"/>
        <v>1.8229166666666673E-4</v>
      </c>
      <c r="D7" s="895">
        <v>6</v>
      </c>
      <c r="E7" s="1167">
        <v>2</v>
      </c>
      <c r="F7" s="1167">
        <v>10</v>
      </c>
      <c r="G7" s="1167">
        <v>20</v>
      </c>
      <c r="H7" s="1052"/>
      <c r="I7" s="1052">
        <v>3.4722222222222224E-4</v>
      </c>
      <c r="J7" s="1052">
        <v>0</v>
      </c>
      <c r="K7" s="1065" t="s">
        <v>2391</v>
      </c>
      <c r="L7" s="1052">
        <f t="shared" ref="L7:L12" si="15">L6+N6</f>
        <v>0.30744058641975308</v>
      </c>
      <c r="M7" s="1168">
        <v>1</v>
      </c>
      <c r="N7" s="1052">
        <f t="shared" si="2"/>
        <v>9.8611111111111122E-3</v>
      </c>
      <c r="O7" s="1169">
        <f>C7*(G7/25)</f>
        <v>1.458333333333334E-4</v>
      </c>
      <c r="P7" s="6306">
        <f t="shared" si="4"/>
        <v>1.458333333333334E-4</v>
      </c>
      <c r="Q7" s="1171">
        <v>177</v>
      </c>
      <c r="R7" s="1167">
        <f t="shared" si="5"/>
        <v>400</v>
      </c>
      <c r="S7" s="1118">
        <f t="shared" ref="S7:S67" si="16">E7*F7*G7/1000</f>
        <v>0.4</v>
      </c>
      <c r="T7" s="1119">
        <f t="shared" ref="T7:T67" si="17">E7*F7*O7*4</f>
        <v>1.1666666666666672E-2</v>
      </c>
      <c r="U7" s="374">
        <f t="shared" ref="U7:U67" si="18">IF(C7*4&gt;=$U$4,S7,0)</f>
        <v>0</v>
      </c>
      <c r="V7" s="1120">
        <f t="shared" ref="V7:V67" si="19">IF(AND(C7*4&gt;=$V$4,C7*4&lt;$U$4),S7,0)</f>
        <v>0</v>
      </c>
      <c r="W7" s="376">
        <f t="shared" ref="W7:W67" si="20">IF(AND(C7*4&gt;=$W$4,C7*4&lt;$V$4),S7,0)</f>
        <v>0</v>
      </c>
      <c r="X7" s="377">
        <f t="shared" ref="X7:X67" si="21">IF(AND(C7*4&gt;=$X$4,C7*4&lt;$W$4),S7,0)</f>
        <v>0</v>
      </c>
      <c r="Y7" s="378">
        <f t="shared" ref="Y7:Y67" si="22">IF(AND(C7*4&gt;=$Y$4,C7*4&lt;$X$4),S7,0)</f>
        <v>0</v>
      </c>
      <c r="Z7" s="1121">
        <f t="shared" ref="Z7:Z67" si="23">IF(AND(C7*4&gt;=$Z$4,C7*4&lt;$Y$4),S7,0)</f>
        <v>0.4</v>
      </c>
      <c r="AA7" s="1122">
        <f t="shared" ref="AA7:AA67" si="24">IF(AND(C7*4&gt;=$AA$4,C7*4&lt;$Z$4),S7,0)</f>
        <v>0</v>
      </c>
      <c r="AB7" s="484">
        <v>973.11711711711712</v>
      </c>
      <c r="AC7" s="484">
        <v>1338.036036036036</v>
      </c>
      <c r="AD7" s="484">
        <v>1338.036036036036</v>
      </c>
      <c r="AE7" s="484">
        <v>1459.6756756756758</v>
      </c>
      <c r="AF7" s="484">
        <v>912.29729729729729</v>
      </c>
      <c r="AG7" s="484">
        <v>729.83783783783792</v>
      </c>
      <c r="AH7" s="484">
        <v>1</v>
      </c>
      <c r="AI7" s="225"/>
      <c r="AJ7" s="225"/>
      <c r="AK7" s="225"/>
      <c r="AL7" s="225"/>
      <c r="AM7" s="225"/>
      <c r="AN7" s="225"/>
    </row>
    <row r="8" spans="1:40" s="1109" customFormat="1" ht="15.75" customHeight="1" thickBot="1">
      <c r="A8" s="396" t="s">
        <v>459</v>
      </c>
      <c r="B8" s="1142" t="s">
        <v>215</v>
      </c>
      <c r="C8" s="274">
        <f t="shared" si="1"/>
        <v>1.8229166666666673E-4</v>
      </c>
      <c r="D8" s="895">
        <v>6</v>
      </c>
      <c r="E8" s="1167">
        <v>1</v>
      </c>
      <c r="F8" s="1167">
        <v>8</v>
      </c>
      <c r="G8" s="1167">
        <v>25</v>
      </c>
      <c r="H8" s="1052"/>
      <c r="I8" s="1052">
        <v>3.4722222222222224E-4</v>
      </c>
      <c r="J8" s="1052">
        <v>1.3888888888888889E-3</v>
      </c>
      <c r="K8" s="1065" t="s">
        <v>894</v>
      </c>
      <c r="L8" s="1052">
        <f t="shared" si="15"/>
        <v>0.31730169753086418</v>
      </c>
      <c r="M8" s="1168">
        <v>1</v>
      </c>
      <c r="N8" s="1052">
        <f>P8*E8*F8+I8*E8*F8+J8*E8</f>
        <v>5.6250000000000007E-3</v>
      </c>
      <c r="O8" s="1169">
        <f t="shared" ref="O8" si="25">C8*(G8/25)</f>
        <v>1.8229166666666673E-4</v>
      </c>
      <c r="P8" s="6306">
        <f t="shared" si="4"/>
        <v>1.8229166666666673E-4</v>
      </c>
      <c r="Q8" s="1171">
        <v>146</v>
      </c>
      <c r="R8" s="1167">
        <f t="shared" si="5"/>
        <v>200</v>
      </c>
      <c r="S8" s="1118">
        <f t="shared" si="16"/>
        <v>0.2</v>
      </c>
      <c r="T8" s="1119">
        <f t="shared" si="17"/>
        <v>5.8333333333333353E-3</v>
      </c>
      <c r="U8" s="374">
        <f t="shared" si="18"/>
        <v>0</v>
      </c>
      <c r="V8" s="1120">
        <f t="shared" si="19"/>
        <v>0</v>
      </c>
      <c r="W8" s="376">
        <f t="shared" si="20"/>
        <v>0</v>
      </c>
      <c r="X8" s="377">
        <f t="shared" si="21"/>
        <v>0</v>
      </c>
      <c r="Y8" s="378">
        <f t="shared" si="22"/>
        <v>0</v>
      </c>
      <c r="Z8" s="1121">
        <f t="shared" si="23"/>
        <v>0.2</v>
      </c>
      <c r="AA8" s="1122">
        <f t="shared" si="24"/>
        <v>0</v>
      </c>
      <c r="AB8" s="535">
        <v>1556.900900900901</v>
      </c>
      <c r="AC8" s="535">
        <v>2140.7387387387389</v>
      </c>
      <c r="AD8" s="535">
        <v>2140.7387387387389</v>
      </c>
      <c r="AE8" s="535">
        <v>2335.3513513513517</v>
      </c>
      <c r="AF8" s="535">
        <v>1459.5945945945946</v>
      </c>
      <c r="AG8" s="535">
        <v>1167.6756756756758</v>
      </c>
      <c r="AH8" s="535">
        <v>1</v>
      </c>
      <c r="AI8" s="225"/>
      <c r="AJ8" s="225"/>
      <c r="AK8" s="225"/>
      <c r="AL8" s="225"/>
      <c r="AM8" s="225"/>
      <c r="AN8" s="225"/>
    </row>
    <row r="9" spans="1:40" s="1109" customFormat="1" ht="15.75" customHeight="1" thickBot="1">
      <c r="A9" s="398" t="s">
        <v>460</v>
      </c>
      <c r="B9" s="1142" t="s">
        <v>215</v>
      </c>
      <c r="C9" s="274">
        <f t="shared" si="1"/>
        <v>1.8229166666666673E-4</v>
      </c>
      <c r="D9" s="895">
        <v>6</v>
      </c>
      <c r="E9" s="1167">
        <v>2</v>
      </c>
      <c r="F9" s="1167">
        <v>12</v>
      </c>
      <c r="G9" s="1167">
        <v>20</v>
      </c>
      <c r="H9" s="1052"/>
      <c r="I9" s="1052">
        <v>6.9444444444444447E-4</v>
      </c>
      <c r="J9" s="1052">
        <v>0</v>
      </c>
      <c r="K9" s="1065" t="s">
        <v>875</v>
      </c>
      <c r="L9" s="1052">
        <f t="shared" si="15"/>
        <v>0.32292669753086417</v>
      </c>
      <c r="M9" s="1168">
        <v>1</v>
      </c>
      <c r="N9" s="1052">
        <f t="shared" ref="N9" si="26">P9*E9*F9+I9*E9*F9+J9*E9</f>
        <v>2.0236666666666667E-2</v>
      </c>
      <c r="O9" s="1169">
        <f>C9*(G9/25)*1.02</f>
        <v>1.4875000000000006E-4</v>
      </c>
      <c r="P9" s="6306">
        <f t="shared" si="4"/>
        <v>1.4875000000000006E-4</v>
      </c>
      <c r="Q9" s="1171">
        <v>177</v>
      </c>
      <c r="R9" s="1167">
        <f t="shared" si="5"/>
        <v>480</v>
      </c>
      <c r="S9" s="1118">
        <f t="shared" si="16"/>
        <v>0.48</v>
      </c>
      <c r="T9" s="1119">
        <f t="shared" si="17"/>
        <v>1.4280000000000006E-2</v>
      </c>
      <c r="U9" s="374">
        <f t="shared" si="18"/>
        <v>0</v>
      </c>
      <c r="V9" s="1120">
        <f t="shared" si="19"/>
        <v>0</v>
      </c>
      <c r="W9" s="376">
        <f t="shared" si="20"/>
        <v>0</v>
      </c>
      <c r="X9" s="377">
        <f t="shared" si="21"/>
        <v>0</v>
      </c>
      <c r="Y9" s="378">
        <f t="shared" si="22"/>
        <v>0</v>
      </c>
      <c r="Z9" s="1121">
        <f t="shared" si="23"/>
        <v>0.48</v>
      </c>
      <c r="AA9" s="1122">
        <f t="shared" si="24"/>
        <v>0</v>
      </c>
      <c r="AB9" s="500">
        <v>681.22522522522524</v>
      </c>
      <c r="AC9" s="500">
        <v>936.68468468468473</v>
      </c>
      <c r="AD9" s="500">
        <v>936.68468468468473</v>
      </c>
      <c r="AE9" s="500">
        <v>0</v>
      </c>
      <c r="AF9" s="500">
        <v>638.64864864864865</v>
      </c>
      <c r="AG9" s="500">
        <v>510.91891891891896</v>
      </c>
      <c r="AH9" s="500">
        <v>1</v>
      </c>
      <c r="AI9" s="225"/>
      <c r="AJ9" s="225"/>
      <c r="AK9" s="225"/>
      <c r="AL9" s="225"/>
      <c r="AM9" s="225"/>
      <c r="AN9" s="225"/>
    </row>
    <row r="10" spans="1:40" s="1109" customFormat="1" ht="15.75" customHeight="1" thickBot="1">
      <c r="A10" s="398" t="s">
        <v>458</v>
      </c>
      <c r="B10" s="1142" t="s">
        <v>215</v>
      </c>
      <c r="C10" s="274">
        <f t="shared" si="1"/>
        <v>2.1222190799396687E-4</v>
      </c>
      <c r="D10" s="1442">
        <v>3</v>
      </c>
      <c r="E10" s="1161">
        <v>1</v>
      </c>
      <c r="F10" s="1161">
        <v>4</v>
      </c>
      <c r="G10" s="1161">
        <v>50</v>
      </c>
      <c r="H10" s="1163"/>
      <c r="I10" s="1163">
        <v>1.9675925925925926E-4</v>
      </c>
      <c r="J10" s="1163">
        <v>2.3148148148148146E-4</v>
      </c>
      <c r="K10" s="1074" t="s">
        <v>938</v>
      </c>
      <c r="L10" s="3356">
        <f>L9+N9</f>
        <v>0.34316336419753085</v>
      </c>
      <c r="M10" s="1074">
        <v>1</v>
      </c>
      <c r="N10" s="3356">
        <f t="shared" ref="N10" si="27">P10*E10*F10+I10*F10*E10+J10*E10</f>
        <v>2.7162937824702534E-3</v>
      </c>
      <c r="O10" s="1165">
        <f t="shared" ref="O10" si="28">C10*(G10/25)</f>
        <v>4.2444381598793373E-4</v>
      </c>
      <c r="P10" s="3356">
        <f t="shared" ref="P10" si="29">O10*M10</f>
        <v>4.2444381598793373E-4</v>
      </c>
      <c r="Q10" s="333">
        <v>144</v>
      </c>
      <c r="R10" s="1074">
        <f t="shared" ref="R10" si="30">E10*F10*G10</f>
        <v>200</v>
      </c>
      <c r="S10" s="1118">
        <f t="shared" si="16"/>
        <v>0.2</v>
      </c>
      <c r="T10" s="1119">
        <f t="shared" si="17"/>
        <v>6.7911010558069397E-3</v>
      </c>
      <c r="U10" s="374">
        <f t="shared" si="18"/>
        <v>0</v>
      </c>
      <c r="V10" s="1120">
        <f t="shared" si="19"/>
        <v>0</v>
      </c>
      <c r="W10" s="376">
        <f t="shared" si="20"/>
        <v>0.2</v>
      </c>
      <c r="X10" s="377">
        <f t="shared" si="21"/>
        <v>0</v>
      </c>
      <c r="Y10" s="378">
        <f t="shared" si="22"/>
        <v>0</v>
      </c>
      <c r="Z10" s="1121">
        <f t="shared" si="23"/>
        <v>0</v>
      </c>
      <c r="AA10" s="1122">
        <f t="shared" si="24"/>
        <v>0</v>
      </c>
      <c r="AB10" s="502">
        <v>0</v>
      </c>
      <c r="AC10" s="502">
        <v>0</v>
      </c>
      <c r="AD10" s="502">
        <v>0</v>
      </c>
      <c r="AE10" s="502">
        <v>7</v>
      </c>
      <c r="AF10" s="502">
        <v>0</v>
      </c>
      <c r="AG10" s="502">
        <v>0</v>
      </c>
      <c r="AH10" s="502">
        <v>0</v>
      </c>
      <c r="AI10" s="225"/>
      <c r="AJ10" s="225"/>
      <c r="AK10" s="225"/>
      <c r="AL10" s="225"/>
      <c r="AM10" s="225"/>
      <c r="AN10" s="225"/>
    </row>
    <row r="11" spans="1:40" s="1109" customFormat="1" ht="15.75" customHeight="1" thickBot="1">
      <c r="A11" s="398" t="s">
        <v>219</v>
      </c>
      <c r="B11" s="1142" t="s">
        <v>215</v>
      </c>
      <c r="C11" s="274">
        <f t="shared" si="1"/>
        <v>1.7682291666666674E-4</v>
      </c>
      <c r="D11" s="897">
        <v>7</v>
      </c>
      <c r="E11" s="1257">
        <v>1</v>
      </c>
      <c r="F11" s="1187">
        <v>6</v>
      </c>
      <c r="G11" s="1187">
        <v>20</v>
      </c>
      <c r="H11" s="1051"/>
      <c r="I11" s="1051">
        <v>4.6296296296296293E-4</v>
      </c>
      <c r="J11" s="1188">
        <v>6.9444444444444447E-4</v>
      </c>
      <c r="K11" s="1187" t="s">
        <v>2404</v>
      </c>
      <c r="L11" s="1189">
        <f t="shared" si="15"/>
        <v>0.34587965798000109</v>
      </c>
      <c r="M11" s="1190">
        <v>0.9</v>
      </c>
      <c r="N11" s="1188">
        <f t="shared" ref="N11" si="31">P11*E11*F11+I11*E11*F11+J11*E11</f>
        <v>4.2360972222222227E-3</v>
      </c>
      <c r="O11" s="1191">
        <f t="shared" ref="O11" si="32">C11*(G11/25)</f>
        <v>1.4145833333333339E-4</v>
      </c>
      <c r="P11" s="6305">
        <f t="shared" si="4"/>
        <v>1.2731250000000007E-4</v>
      </c>
      <c r="Q11" s="1366">
        <v>179</v>
      </c>
      <c r="R11" s="1187">
        <f t="shared" ref="R11" si="33">E11*F11*G11</f>
        <v>120</v>
      </c>
      <c r="S11" s="1118">
        <f t="shared" si="16"/>
        <v>0.12</v>
      </c>
      <c r="T11" s="1119">
        <f t="shared" si="17"/>
        <v>3.3950000000000013E-3</v>
      </c>
      <c r="U11" s="374">
        <f t="shared" si="18"/>
        <v>0</v>
      </c>
      <c r="V11" s="1120">
        <f t="shared" si="19"/>
        <v>0</v>
      </c>
      <c r="W11" s="376">
        <f t="shared" si="20"/>
        <v>0</v>
      </c>
      <c r="X11" s="377">
        <f t="shared" si="21"/>
        <v>0</v>
      </c>
      <c r="Y11" s="378">
        <f t="shared" si="22"/>
        <v>0</v>
      </c>
      <c r="Z11" s="1121">
        <f t="shared" si="23"/>
        <v>0</v>
      </c>
      <c r="AA11" s="1122">
        <f t="shared" si="24"/>
        <v>0.12</v>
      </c>
      <c r="AB11" s="503">
        <v>1964.0363636363636</v>
      </c>
      <c r="AC11" s="503">
        <v>982.0181818181818</v>
      </c>
      <c r="AD11" s="503">
        <v>0</v>
      </c>
      <c r="AE11" s="503">
        <v>4910.090909090909</v>
      </c>
      <c r="AF11" s="503">
        <v>0</v>
      </c>
      <c r="AG11" s="503">
        <v>1964.0363636363636</v>
      </c>
      <c r="AH11" s="503">
        <v>0</v>
      </c>
      <c r="AI11" s="225"/>
      <c r="AJ11" s="225"/>
      <c r="AK11" s="225"/>
      <c r="AL11" s="225"/>
      <c r="AM11" s="225"/>
      <c r="AN11" s="225"/>
    </row>
    <row r="12" spans="1:40" s="1109" customFormat="1" ht="15.75" customHeight="1" thickBot="1">
      <c r="A12" s="396"/>
      <c r="B12" s="640"/>
      <c r="C12" s="641"/>
      <c r="D12" s="959"/>
      <c r="E12" s="642"/>
      <c r="F12" s="642"/>
      <c r="G12" s="642"/>
      <c r="H12" s="642"/>
      <c r="I12" s="642"/>
      <c r="J12" s="642"/>
      <c r="K12" s="642"/>
      <c r="L12" s="1003">
        <f t="shared" si="15"/>
        <v>0.35011575520222332</v>
      </c>
      <c r="M12" s="1184"/>
      <c r="N12" s="1185">
        <f>SUM(N6:N11)</f>
        <v>4.8032421868890007E-2</v>
      </c>
      <c r="O12" s="642"/>
      <c r="P12" s="642"/>
      <c r="Q12" s="642"/>
      <c r="R12" s="1186">
        <f>SUM(R6:R11)</f>
        <v>1800</v>
      </c>
      <c r="S12" s="1118">
        <f t="shared" si="16"/>
        <v>0</v>
      </c>
      <c r="T12" s="1119">
        <f t="shared" si="17"/>
        <v>0</v>
      </c>
      <c r="U12" s="374">
        <f t="shared" si="18"/>
        <v>0</v>
      </c>
      <c r="V12" s="1120">
        <f t="shared" si="19"/>
        <v>0</v>
      </c>
      <c r="W12" s="376">
        <f t="shared" si="20"/>
        <v>0</v>
      </c>
      <c r="X12" s="377">
        <f t="shared" si="21"/>
        <v>0</v>
      </c>
      <c r="Y12" s="378">
        <f t="shared" si="22"/>
        <v>0</v>
      </c>
      <c r="Z12" s="1121">
        <f t="shared" si="23"/>
        <v>0</v>
      </c>
      <c r="AA12" s="1122">
        <f t="shared" si="24"/>
        <v>0</v>
      </c>
      <c r="AB12" s="504">
        <v>146.09009009009009</v>
      </c>
      <c r="AC12" s="504">
        <v>200.87387387387386</v>
      </c>
      <c r="AD12" s="504">
        <v>200.87387387387386</v>
      </c>
      <c r="AE12" s="504">
        <v>219.13513513513516</v>
      </c>
      <c r="AF12" s="504">
        <v>136.95945945945948</v>
      </c>
      <c r="AG12" s="504">
        <v>109.56756756756758</v>
      </c>
      <c r="AH12" s="504">
        <v>1</v>
      </c>
      <c r="AI12" s="225"/>
      <c r="AJ12" s="225"/>
      <c r="AK12" s="225"/>
      <c r="AL12" s="225"/>
      <c r="AM12" s="225"/>
      <c r="AN12" s="225"/>
    </row>
    <row r="13" spans="1:40" s="1109" customFormat="1" ht="15.75" customHeight="1" thickBot="1">
      <c r="A13" s="396"/>
      <c r="B13" s="1234" t="s">
        <v>461</v>
      </c>
      <c r="C13" s="274">
        <f t="shared" ref="C13:C19" si="34">IF(D13=1,U$5,IF(D13=2,V$5,IF(D13=3,W$5,IF(D13=4,X$5,IF(D13=5,Y$5,IF(D13=6,Z$5,IF(D13=7,AA$5,0)))))))</f>
        <v>2.1908757716049393E-4</v>
      </c>
      <c r="D13" s="890">
        <v>2</v>
      </c>
      <c r="E13" s="1173">
        <v>1</v>
      </c>
      <c r="F13" s="1173">
        <v>4</v>
      </c>
      <c r="G13" s="1173">
        <v>100</v>
      </c>
      <c r="H13" s="299"/>
      <c r="I13" s="299">
        <v>1.1574074074074073E-4</v>
      </c>
      <c r="J13" s="299">
        <v>1.3888888888888889E-3</v>
      </c>
      <c r="K13" s="1123" t="s">
        <v>24</v>
      </c>
      <c r="L13" s="1149">
        <v>0.79861111111111116</v>
      </c>
      <c r="M13" s="1174">
        <v>1</v>
      </c>
      <c r="N13" s="299">
        <f t="shared" ref="N13:N14" si="35">P13*E13*F13+I13*E13*F13+J13*E13</f>
        <v>5.3572530864197552E-3</v>
      </c>
      <c r="O13" s="1175">
        <f>C13*(G13/25)</f>
        <v>8.7635030864197572E-4</v>
      </c>
      <c r="P13" s="1175">
        <f t="shared" ref="P13:P14" si="36">O13*M13</f>
        <v>8.7635030864197572E-4</v>
      </c>
      <c r="Q13" s="550">
        <v>147</v>
      </c>
      <c r="R13" s="1176">
        <f t="shared" ref="R13:R14" si="37">E13*F13*G13</f>
        <v>400</v>
      </c>
      <c r="S13" s="1118">
        <f t="shared" si="16"/>
        <v>0.4</v>
      </c>
      <c r="T13" s="1119">
        <f t="shared" si="17"/>
        <v>1.4021604938271611E-2</v>
      </c>
      <c r="U13" s="374">
        <f t="shared" si="18"/>
        <v>0</v>
      </c>
      <c r="V13" s="1120">
        <f t="shared" si="19"/>
        <v>0.4</v>
      </c>
      <c r="W13" s="376">
        <f t="shared" si="20"/>
        <v>0</v>
      </c>
      <c r="X13" s="377">
        <f t="shared" si="21"/>
        <v>0</v>
      </c>
      <c r="Y13" s="378">
        <f t="shared" si="22"/>
        <v>0</v>
      </c>
      <c r="Z13" s="1121">
        <f t="shared" si="23"/>
        <v>0</v>
      </c>
      <c r="AA13" s="1122">
        <f t="shared" si="24"/>
        <v>0</v>
      </c>
      <c r="AB13" s="6870"/>
      <c r="AC13" s="6870"/>
      <c r="AD13" s="6870"/>
      <c r="AE13" s="6870"/>
      <c r="AF13" s="6870"/>
      <c r="AG13" s="6870"/>
      <c r="AH13" s="6870"/>
      <c r="AI13" s="225"/>
      <c r="AJ13" s="225"/>
      <c r="AK13" s="225"/>
      <c r="AL13" s="225"/>
      <c r="AM13" s="225"/>
      <c r="AN13" s="225"/>
    </row>
    <row r="14" spans="1:40" s="1109" customFormat="1" ht="15.75" customHeight="1" thickBot="1">
      <c r="A14" s="398" t="s">
        <v>214</v>
      </c>
      <c r="B14" s="1234" t="s">
        <v>461</v>
      </c>
      <c r="C14" s="274">
        <f t="shared" si="34"/>
        <v>2.0247664488766629E-4</v>
      </c>
      <c r="D14" s="1197">
        <v>4</v>
      </c>
      <c r="E14" s="1177">
        <v>1</v>
      </c>
      <c r="F14" s="1177">
        <v>6</v>
      </c>
      <c r="G14" s="1177">
        <v>60</v>
      </c>
      <c r="H14" s="1178"/>
      <c r="I14" s="1178">
        <v>3.4722222222222224E-4</v>
      </c>
      <c r="J14" s="1178">
        <v>1.3888888888888889E-3</v>
      </c>
      <c r="K14" s="6308" t="s">
        <v>2242</v>
      </c>
      <c r="L14" s="996">
        <f t="shared" ref="L14:L19" si="38">L13+N13</f>
        <v>0.80396836419753093</v>
      </c>
      <c r="M14" s="1180">
        <v>1</v>
      </c>
      <c r="N14" s="1178">
        <f t="shared" si="35"/>
        <v>6.5045124560599125E-3</v>
      </c>
      <c r="O14" s="1181">
        <f>C14*(G14/25)*1.04</f>
        <v>5.0538170563961505E-4</v>
      </c>
      <c r="P14" s="1181">
        <f t="shared" si="36"/>
        <v>5.0538170563961505E-4</v>
      </c>
      <c r="Q14" s="334">
        <v>177</v>
      </c>
      <c r="R14" s="1177">
        <f t="shared" si="37"/>
        <v>360</v>
      </c>
      <c r="S14" s="1118">
        <f t="shared" si="16"/>
        <v>0.36</v>
      </c>
      <c r="T14" s="1119">
        <f t="shared" si="17"/>
        <v>1.2129160935350762E-2</v>
      </c>
      <c r="U14" s="374">
        <f t="shared" si="18"/>
        <v>0</v>
      </c>
      <c r="V14" s="1120">
        <f t="shared" si="19"/>
        <v>0</v>
      </c>
      <c r="W14" s="376">
        <f t="shared" si="20"/>
        <v>0</v>
      </c>
      <c r="X14" s="377">
        <f t="shared" si="21"/>
        <v>0.36</v>
      </c>
      <c r="Y14" s="378">
        <f t="shared" si="22"/>
        <v>0</v>
      </c>
      <c r="Z14" s="1121">
        <f t="shared" si="23"/>
        <v>0</v>
      </c>
      <c r="AA14" s="1122">
        <f t="shared" si="24"/>
        <v>0</v>
      </c>
      <c r="AB14" s="6870"/>
      <c r="AC14" s="6870"/>
      <c r="AD14" s="6870"/>
      <c r="AE14" s="6870"/>
      <c r="AF14" s="6870"/>
      <c r="AG14" s="6870"/>
      <c r="AH14" s="6870"/>
      <c r="AI14" s="225"/>
      <c r="AJ14" s="225"/>
      <c r="AK14" s="225"/>
      <c r="AL14" s="225"/>
      <c r="AM14" s="225"/>
      <c r="AN14" s="225"/>
    </row>
    <row r="15" spans="1:40" s="1109" customFormat="1" ht="15.75" customHeight="1" thickBot="1">
      <c r="A15" s="396" t="s">
        <v>459</v>
      </c>
      <c r="B15" s="1234" t="s">
        <v>461</v>
      </c>
      <c r="C15" s="274">
        <f t="shared" si="34"/>
        <v>2.2880964381720439E-4</v>
      </c>
      <c r="D15" s="1906">
        <v>1</v>
      </c>
      <c r="E15" s="1907">
        <v>1</v>
      </c>
      <c r="F15" s="1907">
        <v>1</v>
      </c>
      <c r="G15" s="1907">
        <v>150</v>
      </c>
      <c r="H15" s="1908"/>
      <c r="I15" s="1908">
        <v>1.1574074074074073E-4</v>
      </c>
      <c r="J15" s="1908">
        <v>1.3888888888888889E-3</v>
      </c>
      <c r="K15" s="1909" t="s">
        <v>23</v>
      </c>
      <c r="L15" s="1910">
        <f t="shared" si="38"/>
        <v>0.8104728766535908</v>
      </c>
      <c r="M15" s="1911">
        <v>1</v>
      </c>
      <c r="N15" s="1908">
        <f>P15*E15*F15+I15*E15*F15+J15*E15</f>
        <v>2.8774874925328563E-3</v>
      </c>
      <c r="O15" s="1912">
        <f>C15*(G15/25)</f>
        <v>1.3728578629032264E-3</v>
      </c>
      <c r="P15" s="1912">
        <f>O15*M15</f>
        <v>1.3728578629032264E-3</v>
      </c>
      <c r="Q15" s="1913">
        <v>147</v>
      </c>
      <c r="R15" s="1914">
        <f>E15*F15*G15</f>
        <v>150</v>
      </c>
      <c r="S15" s="1118">
        <f t="shared" si="16"/>
        <v>0.15</v>
      </c>
      <c r="T15" s="1119">
        <f t="shared" si="17"/>
        <v>5.4914314516129057E-3</v>
      </c>
      <c r="U15" s="374">
        <f t="shared" si="18"/>
        <v>0.15</v>
      </c>
      <c r="V15" s="1120">
        <f t="shared" si="19"/>
        <v>0</v>
      </c>
      <c r="W15" s="376">
        <f t="shared" si="20"/>
        <v>0</v>
      </c>
      <c r="X15" s="377">
        <f t="shared" si="21"/>
        <v>0</v>
      </c>
      <c r="Y15" s="378">
        <f t="shared" si="22"/>
        <v>0</v>
      </c>
      <c r="Z15" s="1121">
        <f t="shared" si="23"/>
        <v>0</v>
      </c>
      <c r="AA15" s="1122">
        <f t="shared" si="24"/>
        <v>0</v>
      </c>
      <c r="AB15" s="6870"/>
      <c r="AC15" s="6870"/>
      <c r="AD15" s="6870"/>
      <c r="AE15" s="6870"/>
      <c r="AF15" s="6870"/>
      <c r="AG15" s="6870"/>
      <c r="AH15" s="6870"/>
      <c r="AI15" s="225"/>
      <c r="AJ15" s="225"/>
      <c r="AK15" s="225"/>
      <c r="AL15" s="225"/>
      <c r="AM15" s="225"/>
      <c r="AN15" s="225"/>
    </row>
    <row r="16" spans="1:40" s="1109" customFormat="1" ht="15.75" customHeight="1" thickBot="1">
      <c r="A16" s="398" t="s">
        <v>460</v>
      </c>
      <c r="B16" s="1234" t="s">
        <v>461</v>
      </c>
      <c r="C16" s="274">
        <f t="shared" si="34"/>
        <v>2.0247664488766629E-4</v>
      </c>
      <c r="D16" s="1197">
        <v>4</v>
      </c>
      <c r="E16" s="1177">
        <v>1</v>
      </c>
      <c r="F16" s="1177">
        <v>6</v>
      </c>
      <c r="G16" s="1177">
        <v>60</v>
      </c>
      <c r="H16" s="1178"/>
      <c r="I16" s="1178">
        <v>2.4305555555555556E-3</v>
      </c>
      <c r="J16" s="1178">
        <v>1.3888888888888889E-3</v>
      </c>
      <c r="K16" s="6308" t="s">
        <v>2242</v>
      </c>
      <c r="L16" s="996">
        <f t="shared" si="38"/>
        <v>0.81335036414612361</v>
      </c>
      <c r="M16" s="1180">
        <v>1</v>
      </c>
      <c r="N16" s="1178">
        <f t="shared" ref="N16" si="39">P16*E16*F16+I16*E16*F16+J16*E16</f>
        <v>1.900451245605991E-2</v>
      </c>
      <c r="O16" s="1181">
        <f>C16*(G16/25)*1.04</f>
        <v>5.0538170563961505E-4</v>
      </c>
      <c r="P16" s="1181">
        <f t="shared" ref="P16" si="40">O16*M16</f>
        <v>5.0538170563961505E-4</v>
      </c>
      <c r="Q16" s="334">
        <v>177</v>
      </c>
      <c r="R16" s="1177">
        <f t="shared" ref="R16" si="41">E16*F16*G16</f>
        <v>360</v>
      </c>
      <c r="S16" s="1118">
        <f t="shared" si="16"/>
        <v>0.36</v>
      </c>
      <c r="T16" s="1119">
        <f t="shared" si="17"/>
        <v>1.2129160935350762E-2</v>
      </c>
      <c r="U16" s="374">
        <f t="shared" si="18"/>
        <v>0</v>
      </c>
      <c r="V16" s="1120">
        <f t="shared" si="19"/>
        <v>0</v>
      </c>
      <c r="W16" s="376">
        <f t="shared" si="20"/>
        <v>0</v>
      </c>
      <c r="X16" s="377">
        <f t="shared" si="21"/>
        <v>0.36</v>
      </c>
      <c r="Y16" s="378">
        <f t="shared" si="22"/>
        <v>0</v>
      </c>
      <c r="Z16" s="1121">
        <f t="shared" si="23"/>
        <v>0</v>
      </c>
      <c r="AA16" s="1122">
        <f t="shared" si="24"/>
        <v>0</v>
      </c>
      <c r="AB16" s="6870"/>
      <c r="AC16" s="6870"/>
      <c r="AD16" s="6870"/>
      <c r="AE16" s="6870"/>
      <c r="AF16" s="6870"/>
      <c r="AG16" s="6870"/>
      <c r="AH16" s="6870"/>
      <c r="AI16" s="225"/>
      <c r="AJ16" s="225"/>
      <c r="AK16" s="225"/>
      <c r="AL16" s="225"/>
      <c r="AM16" s="225"/>
      <c r="AN16" s="225"/>
    </row>
    <row r="17" spans="1:40" s="1109" customFormat="1" ht="15.75" customHeight="1" thickBot="1">
      <c r="A17" s="398" t="s">
        <v>458</v>
      </c>
      <c r="B17" s="1234" t="s">
        <v>461</v>
      </c>
      <c r="C17" s="274">
        <f t="shared" si="34"/>
        <v>2.2880964381720439E-4</v>
      </c>
      <c r="D17" s="1906">
        <v>1</v>
      </c>
      <c r="E17" s="1907">
        <v>1</v>
      </c>
      <c r="F17" s="1907">
        <v>1</v>
      </c>
      <c r="G17" s="1907">
        <v>150</v>
      </c>
      <c r="H17" s="1908"/>
      <c r="I17" s="1908">
        <v>1.1574074074074073E-4</v>
      </c>
      <c r="J17" s="1908">
        <v>1.3888888888888889E-3</v>
      </c>
      <c r="K17" s="1909" t="s">
        <v>23</v>
      </c>
      <c r="L17" s="1910">
        <f t="shared" si="38"/>
        <v>0.83235487660218355</v>
      </c>
      <c r="M17" s="1911">
        <v>1</v>
      </c>
      <c r="N17" s="1908">
        <f>P17*E17*F17+I17*E17*F17+J17*E17</f>
        <v>2.8774874925328563E-3</v>
      </c>
      <c r="O17" s="1912">
        <f>C17*(G17/25)</f>
        <v>1.3728578629032264E-3</v>
      </c>
      <c r="P17" s="1912">
        <f>O17*M17</f>
        <v>1.3728578629032264E-3</v>
      </c>
      <c r="Q17" s="1913">
        <v>147</v>
      </c>
      <c r="R17" s="1914">
        <f>E17*F17*G17</f>
        <v>150</v>
      </c>
      <c r="S17" s="1118">
        <f t="shared" si="16"/>
        <v>0.15</v>
      </c>
      <c r="T17" s="1119">
        <f t="shared" si="17"/>
        <v>5.4914314516129057E-3</v>
      </c>
      <c r="U17" s="374">
        <f t="shared" si="18"/>
        <v>0.15</v>
      </c>
      <c r="V17" s="1120">
        <f t="shared" si="19"/>
        <v>0</v>
      </c>
      <c r="W17" s="376">
        <f t="shared" si="20"/>
        <v>0</v>
      </c>
      <c r="X17" s="377">
        <f t="shared" si="21"/>
        <v>0</v>
      </c>
      <c r="Y17" s="378">
        <f t="shared" si="22"/>
        <v>0</v>
      </c>
      <c r="Z17" s="1121">
        <f t="shared" si="23"/>
        <v>0</v>
      </c>
      <c r="AA17" s="1122">
        <f t="shared" si="24"/>
        <v>0</v>
      </c>
      <c r="AB17" s="6870"/>
      <c r="AC17" s="6870"/>
      <c r="AD17" s="6870"/>
      <c r="AE17" s="6870"/>
      <c r="AF17" s="6870"/>
      <c r="AG17" s="6870"/>
      <c r="AH17" s="6870"/>
      <c r="AI17" s="225"/>
      <c r="AJ17" s="225"/>
      <c r="AK17" s="225"/>
      <c r="AL17" s="225"/>
      <c r="AM17" s="225"/>
      <c r="AN17" s="225"/>
    </row>
    <row r="18" spans="1:40" s="1109" customFormat="1" ht="15.75" customHeight="1" thickBot="1">
      <c r="A18" s="398" t="s">
        <v>219</v>
      </c>
      <c r="B18" s="1234" t="s">
        <v>461</v>
      </c>
      <c r="C18" s="274">
        <f t="shared" si="34"/>
        <v>2.0247664488766629E-4</v>
      </c>
      <c r="D18" s="1197">
        <v>4</v>
      </c>
      <c r="E18" s="1177">
        <v>1</v>
      </c>
      <c r="F18" s="1177">
        <v>4</v>
      </c>
      <c r="G18" s="1177">
        <v>200</v>
      </c>
      <c r="H18" s="1178"/>
      <c r="I18" s="1178">
        <v>4.6296296296296293E-4</v>
      </c>
      <c r="J18" s="1178">
        <v>1.3888888888888889E-3</v>
      </c>
      <c r="K18" s="316" t="s">
        <v>1048</v>
      </c>
      <c r="L18" s="996">
        <f t="shared" si="38"/>
        <v>0.83523236409471635</v>
      </c>
      <c r="M18" s="1180">
        <v>1.2</v>
      </c>
      <c r="N18" s="1178">
        <f>P18*E18*F18+I18*E18*F18+J18*E18</f>
        <v>1.1482350094248309E-2</v>
      </c>
      <c r="O18" s="1181">
        <f>C18*(G18/25)*1.06</f>
        <v>1.7170019486474103E-3</v>
      </c>
      <c r="P18" s="1181">
        <f>O18*M18</f>
        <v>2.0604023383768923E-3</v>
      </c>
      <c r="Q18" s="334">
        <v>166</v>
      </c>
      <c r="R18" s="1177">
        <f>E18*F18*G18</f>
        <v>800</v>
      </c>
      <c r="S18" s="1118">
        <f t="shared" si="16"/>
        <v>0.8</v>
      </c>
      <c r="T18" s="1119">
        <f t="shared" si="17"/>
        <v>2.7472031178358565E-2</v>
      </c>
      <c r="U18" s="374">
        <f t="shared" si="18"/>
        <v>0</v>
      </c>
      <c r="V18" s="1120">
        <f t="shared" si="19"/>
        <v>0</v>
      </c>
      <c r="W18" s="376">
        <f t="shared" si="20"/>
        <v>0</v>
      </c>
      <c r="X18" s="377">
        <f t="shared" si="21"/>
        <v>0.8</v>
      </c>
      <c r="Y18" s="378">
        <f t="shared" si="22"/>
        <v>0</v>
      </c>
      <c r="Z18" s="1121">
        <f t="shared" si="23"/>
        <v>0</v>
      </c>
      <c r="AA18" s="1122">
        <f t="shared" si="24"/>
        <v>0</v>
      </c>
      <c r="AB18" s="6870"/>
      <c r="AC18" s="6870"/>
      <c r="AD18" s="6870"/>
      <c r="AE18" s="6870"/>
      <c r="AF18" s="6870"/>
      <c r="AG18" s="6870"/>
      <c r="AH18" s="6870"/>
      <c r="AI18" s="225"/>
      <c r="AJ18" s="225"/>
      <c r="AK18" s="225"/>
      <c r="AL18" s="225"/>
      <c r="AM18" s="225"/>
      <c r="AN18" s="225"/>
    </row>
    <row r="19" spans="1:40" s="1109" customFormat="1" ht="15.75" customHeight="1" thickBot="1">
      <c r="A19" s="396"/>
      <c r="B19" s="1234" t="s">
        <v>461</v>
      </c>
      <c r="C19" s="274">
        <f t="shared" si="34"/>
        <v>1.7682291666666674E-4</v>
      </c>
      <c r="D19" s="1237">
        <v>7</v>
      </c>
      <c r="E19" s="1187">
        <v>1</v>
      </c>
      <c r="F19" s="1187">
        <v>12</v>
      </c>
      <c r="G19" s="1187">
        <v>25</v>
      </c>
      <c r="H19" s="1051"/>
      <c r="I19" s="1051">
        <v>4.6296296296296293E-4</v>
      </c>
      <c r="J19" s="1188">
        <v>6.9444444444444447E-4</v>
      </c>
      <c r="K19" s="438" t="s">
        <v>2243</v>
      </c>
      <c r="L19" s="1189">
        <f t="shared" si="38"/>
        <v>0.84671471418896471</v>
      </c>
      <c r="M19" s="1190">
        <v>1</v>
      </c>
      <c r="N19" s="1188">
        <f t="shared" ref="N19" si="42">P19*E19*F19+I19*E19*F19+J19*E19</f>
        <v>8.3718749999999991E-3</v>
      </c>
      <c r="O19" s="1191">
        <f>C19*(G19/25)</f>
        <v>1.7682291666666674E-4</v>
      </c>
      <c r="P19" s="1192">
        <f t="shared" ref="P19" si="43">O19*M19</f>
        <v>1.7682291666666674E-4</v>
      </c>
      <c r="Q19" s="788">
        <v>179</v>
      </c>
      <c r="R19" s="1187">
        <f t="shared" ref="R19" si="44">E19*F19*G19</f>
        <v>300</v>
      </c>
      <c r="S19" s="1118">
        <f t="shared" si="16"/>
        <v>0.3</v>
      </c>
      <c r="T19" s="1119">
        <f t="shared" si="17"/>
        <v>8.4875000000000037E-3</v>
      </c>
      <c r="U19" s="374">
        <f t="shared" si="18"/>
        <v>0</v>
      </c>
      <c r="V19" s="1120">
        <f t="shared" si="19"/>
        <v>0</v>
      </c>
      <c r="W19" s="376">
        <f t="shared" si="20"/>
        <v>0</v>
      </c>
      <c r="X19" s="377">
        <f t="shared" si="21"/>
        <v>0</v>
      </c>
      <c r="Y19" s="378">
        <f t="shared" si="22"/>
        <v>0</v>
      </c>
      <c r="Z19" s="1121">
        <f t="shared" si="23"/>
        <v>0</v>
      </c>
      <c r="AA19" s="1122">
        <f t="shared" si="24"/>
        <v>0.3</v>
      </c>
      <c r="AB19" s="6870"/>
      <c r="AC19" s="6870"/>
      <c r="AD19" s="6870"/>
      <c r="AE19" s="6870"/>
      <c r="AF19" s="6870"/>
      <c r="AG19" s="6870"/>
      <c r="AH19" s="6870"/>
      <c r="AI19" s="225"/>
      <c r="AJ19" s="225"/>
      <c r="AK19" s="225"/>
      <c r="AL19" s="225"/>
      <c r="AM19" s="225"/>
      <c r="AN19" s="225"/>
    </row>
    <row r="20" spans="1:40" s="1109" customFormat="1" ht="15.75" customHeight="1" thickBot="1">
      <c r="A20" s="396"/>
      <c r="B20" s="1117"/>
      <c r="C20" s="335"/>
      <c r="D20" s="899"/>
      <c r="E20" s="336"/>
      <c r="F20" s="336"/>
      <c r="G20" s="336"/>
      <c r="H20" s="336"/>
      <c r="I20" s="336"/>
      <c r="J20" s="336"/>
      <c r="K20" s="336"/>
      <c r="L20" s="1003">
        <f t="shared" ref="L20:L28" si="45">L19+N19</f>
        <v>0.85508658918896474</v>
      </c>
      <c r="M20" s="1198"/>
      <c r="N20" s="6869"/>
      <c r="O20" s="336"/>
      <c r="P20" s="336"/>
      <c r="Q20" s="336"/>
      <c r="R20" s="1238">
        <f>SUM(R13:R19)</f>
        <v>2520</v>
      </c>
      <c r="S20" s="1118">
        <f t="shared" si="16"/>
        <v>0</v>
      </c>
      <c r="T20" s="1119">
        <f t="shared" si="17"/>
        <v>0</v>
      </c>
      <c r="U20" s="374">
        <f t="shared" si="18"/>
        <v>0</v>
      </c>
      <c r="V20" s="1120">
        <f t="shared" si="19"/>
        <v>0</v>
      </c>
      <c r="W20" s="376">
        <f t="shared" si="20"/>
        <v>0</v>
      </c>
      <c r="X20" s="377">
        <f t="shared" si="21"/>
        <v>0</v>
      </c>
      <c r="Y20" s="378">
        <f t="shared" si="22"/>
        <v>0</v>
      </c>
      <c r="Z20" s="1121">
        <f t="shared" si="23"/>
        <v>0</v>
      </c>
      <c r="AA20" s="1122">
        <f t="shared" si="24"/>
        <v>0</v>
      </c>
      <c r="AB20" s="6870"/>
      <c r="AC20" s="6870"/>
      <c r="AD20" s="6870"/>
      <c r="AE20" s="6870"/>
      <c r="AF20" s="6870"/>
      <c r="AG20" s="6870"/>
      <c r="AH20" s="6870"/>
      <c r="AI20" s="225"/>
      <c r="AJ20" s="225"/>
      <c r="AK20" s="225"/>
      <c r="AL20" s="225"/>
      <c r="AM20" s="225"/>
      <c r="AN20" s="225"/>
    </row>
    <row r="21" spans="1:40" ht="12.75" customHeight="1" thickBot="1">
      <c r="A21" s="1151" t="s">
        <v>215</v>
      </c>
      <c r="B21" s="1151" t="s">
        <v>215</v>
      </c>
      <c r="C21" s="274">
        <f t="shared" ref="C21:C27" si="46">IF(D21=1,U$5,IF(D21=2,V$5,IF(D21=3,W$5,IF(D21=4,X$5,IF(D21=5,Y$5,IF(D21=6,Z$5,IF(D21=7,AA$5,0)))))))</f>
        <v>2.2880964381720439E-4</v>
      </c>
      <c r="D21" s="547">
        <v>1</v>
      </c>
      <c r="E21" s="1194">
        <v>1</v>
      </c>
      <c r="F21" s="1194">
        <v>1</v>
      </c>
      <c r="G21" s="1194">
        <v>400</v>
      </c>
      <c r="H21" s="274"/>
      <c r="I21" s="274">
        <v>0</v>
      </c>
      <c r="J21" s="274">
        <v>0</v>
      </c>
      <c r="K21" s="277" t="s">
        <v>269</v>
      </c>
      <c r="L21" s="993">
        <v>0.34375</v>
      </c>
      <c r="M21" s="1195">
        <v>1</v>
      </c>
      <c r="N21" s="274">
        <f t="shared" ref="N21:N22" si="47">P21*E21*F21+I21*E21*F21+J21*E21</f>
        <v>3.6609543010752703E-3</v>
      </c>
      <c r="O21" s="1196">
        <f t="shared" ref="O21" si="48">C21*(G21/25)</f>
        <v>3.6609543010752703E-3</v>
      </c>
      <c r="P21" s="1196">
        <f t="shared" ref="P21:P27" si="49">O21*M21</f>
        <v>3.6609543010752703E-3</v>
      </c>
      <c r="Q21" s="548">
        <v>147</v>
      </c>
      <c r="R21" s="1194">
        <f t="shared" ref="R21:R24" si="50">E21*F21*G21</f>
        <v>400</v>
      </c>
      <c r="S21" s="1118">
        <f t="shared" si="16"/>
        <v>0.4</v>
      </c>
      <c r="T21" s="1119">
        <f t="shared" si="17"/>
        <v>1.4643817204301081E-2</v>
      </c>
      <c r="U21" s="374">
        <f t="shared" si="18"/>
        <v>0.4</v>
      </c>
      <c r="V21" s="1120">
        <f t="shared" si="19"/>
        <v>0</v>
      </c>
      <c r="W21" s="376">
        <f t="shared" si="20"/>
        <v>0</v>
      </c>
      <c r="X21" s="377">
        <f t="shared" si="21"/>
        <v>0</v>
      </c>
      <c r="Y21" s="378">
        <f t="shared" si="22"/>
        <v>0</v>
      </c>
      <c r="Z21" s="1121">
        <f t="shared" si="23"/>
        <v>0</v>
      </c>
      <c r="AA21" s="1122">
        <f t="shared" si="24"/>
        <v>0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</row>
    <row r="22" spans="1:40" ht="12.75" customHeight="1" thickBot="1">
      <c r="A22" s="851" t="s">
        <v>138</v>
      </c>
      <c r="B22" s="1151" t="s">
        <v>215</v>
      </c>
      <c r="C22" s="274">
        <f t="shared" si="46"/>
        <v>1.8229166666666673E-4</v>
      </c>
      <c r="D22" s="895">
        <v>6</v>
      </c>
      <c r="E22" s="1167">
        <v>1</v>
      </c>
      <c r="F22" s="1167">
        <v>6</v>
      </c>
      <c r="G22" s="1167">
        <v>80</v>
      </c>
      <c r="H22" s="1052"/>
      <c r="I22" s="1052">
        <v>1.3888888888888889E-3</v>
      </c>
      <c r="J22" s="1052">
        <v>0</v>
      </c>
      <c r="K22" s="1065" t="s">
        <v>1055</v>
      </c>
      <c r="L22" s="1052">
        <f t="shared" si="45"/>
        <v>0.34741095430107527</v>
      </c>
      <c r="M22" s="1168">
        <v>1.1399999999999999</v>
      </c>
      <c r="N22" s="1052">
        <f t="shared" si="47"/>
        <v>1.2482933333333335E-2</v>
      </c>
      <c r="O22" s="1169">
        <f>C22*(G22/25)*1.04</f>
        <v>6.0666666666666692E-4</v>
      </c>
      <c r="P22" s="6306">
        <f t="shared" si="49"/>
        <v>6.9160000000000022E-4</v>
      </c>
      <c r="Q22" s="1171">
        <v>177</v>
      </c>
      <c r="R22" s="1167">
        <f t="shared" si="50"/>
        <v>480</v>
      </c>
      <c r="S22" s="1118">
        <f t="shared" si="16"/>
        <v>0.48</v>
      </c>
      <c r="T22" s="1119">
        <f t="shared" si="17"/>
        <v>1.4560000000000007E-2</v>
      </c>
      <c r="U22" s="374">
        <f t="shared" si="18"/>
        <v>0</v>
      </c>
      <c r="V22" s="1120">
        <f t="shared" si="19"/>
        <v>0</v>
      </c>
      <c r="W22" s="376">
        <f t="shared" si="20"/>
        <v>0</v>
      </c>
      <c r="X22" s="377">
        <f t="shared" si="21"/>
        <v>0</v>
      </c>
      <c r="Y22" s="378">
        <f t="shared" si="22"/>
        <v>0</v>
      </c>
      <c r="Z22" s="1121">
        <f t="shared" si="23"/>
        <v>0.48</v>
      </c>
      <c r="AA22" s="1122">
        <f t="shared" si="24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</row>
    <row r="23" spans="1:40" ht="12.75" customHeight="1" thickBot="1">
      <c r="A23" s="851" t="s">
        <v>462</v>
      </c>
      <c r="B23" s="1151" t="s">
        <v>215</v>
      </c>
      <c r="C23" s="274">
        <f t="shared" si="46"/>
        <v>2.1908757716049393E-4</v>
      </c>
      <c r="D23" s="890">
        <v>2</v>
      </c>
      <c r="E23" s="1173">
        <v>1</v>
      </c>
      <c r="F23" s="1173">
        <v>12</v>
      </c>
      <c r="G23" s="1173">
        <v>25</v>
      </c>
      <c r="H23" s="299"/>
      <c r="I23" s="299">
        <v>1.3888888888888889E-4</v>
      </c>
      <c r="J23" s="299">
        <v>1.3888888888888889E-3</v>
      </c>
      <c r="K23" s="1123" t="s">
        <v>1052</v>
      </c>
      <c r="L23" s="1149">
        <f t="shared" si="45"/>
        <v>0.3598938876344086</v>
      </c>
      <c r="M23" s="1174">
        <v>1</v>
      </c>
      <c r="N23" s="299">
        <f>P23*E23*F23+I23*E23*F23+J23*E23</f>
        <v>5.6846064814814832E-3</v>
      </c>
      <c r="O23" s="1175">
        <f t="shared" ref="O23" si="51">C23*(G23/25)</f>
        <v>2.1908757716049393E-4</v>
      </c>
      <c r="P23" s="1175">
        <f t="shared" si="49"/>
        <v>2.1908757716049393E-4</v>
      </c>
      <c r="Q23" s="550">
        <v>146</v>
      </c>
      <c r="R23" s="1176">
        <f t="shared" si="50"/>
        <v>300</v>
      </c>
      <c r="S23" s="1118">
        <f t="shared" si="16"/>
        <v>0.3</v>
      </c>
      <c r="T23" s="1119">
        <f t="shared" si="17"/>
        <v>1.0516203703703708E-2</v>
      </c>
      <c r="U23" s="374">
        <f t="shared" si="18"/>
        <v>0</v>
      </c>
      <c r="V23" s="1120">
        <f t="shared" si="19"/>
        <v>0.3</v>
      </c>
      <c r="W23" s="376">
        <f t="shared" si="20"/>
        <v>0</v>
      </c>
      <c r="X23" s="377">
        <f t="shared" si="21"/>
        <v>0</v>
      </c>
      <c r="Y23" s="378">
        <f t="shared" si="22"/>
        <v>0</v>
      </c>
      <c r="Z23" s="1121">
        <f t="shared" si="23"/>
        <v>0</v>
      </c>
      <c r="AA23" s="1122">
        <f t="shared" si="24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</row>
    <row r="24" spans="1:40" ht="12.75" customHeight="1" thickBot="1">
      <c r="A24" s="851" t="s">
        <v>461</v>
      </c>
      <c r="B24" s="1151" t="s">
        <v>215</v>
      </c>
      <c r="C24" s="274">
        <f t="shared" si="46"/>
        <v>1.8229166666666673E-4</v>
      </c>
      <c r="D24" s="895">
        <v>6</v>
      </c>
      <c r="E24" s="1167">
        <v>1</v>
      </c>
      <c r="F24" s="1167">
        <v>12</v>
      </c>
      <c r="G24" s="1167">
        <v>20</v>
      </c>
      <c r="H24" s="1052"/>
      <c r="I24" s="1052">
        <v>3.4722222222222224E-4</v>
      </c>
      <c r="J24" s="1052">
        <v>0</v>
      </c>
      <c r="K24" s="1065" t="s">
        <v>2392</v>
      </c>
      <c r="L24" s="1052">
        <f t="shared" si="45"/>
        <v>0.36557849411589011</v>
      </c>
      <c r="M24" s="1168">
        <v>1.04</v>
      </c>
      <c r="N24" s="1052">
        <f t="shared" ref="N24:N25" si="52">P24*E24*F24+I24*E24*F24+J24*E24</f>
        <v>5.9866666666666679E-3</v>
      </c>
      <c r="O24" s="1169">
        <f>C24*(G24/25)</f>
        <v>1.458333333333334E-4</v>
      </c>
      <c r="P24" s="6306">
        <f t="shared" si="49"/>
        <v>1.5166666666666673E-4</v>
      </c>
      <c r="Q24" s="1171">
        <v>177</v>
      </c>
      <c r="R24" s="1167">
        <f t="shared" si="50"/>
        <v>240</v>
      </c>
      <c r="S24" s="1118">
        <f t="shared" si="16"/>
        <v>0.24</v>
      </c>
      <c r="T24" s="1119">
        <f t="shared" si="17"/>
        <v>7.0000000000000027E-3</v>
      </c>
      <c r="U24" s="374">
        <f t="shared" si="18"/>
        <v>0</v>
      </c>
      <c r="V24" s="1120">
        <f t="shared" si="19"/>
        <v>0</v>
      </c>
      <c r="W24" s="376">
        <f t="shared" si="20"/>
        <v>0</v>
      </c>
      <c r="X24" s="377">
        <f t="shared" si="21"/>
        <v>0</v>
      </c>
      <c r="Y24" s="378">
        <f t="shared" si="22"/>
        <v>0</v>
      </c>
      <c r="Z24" s="1121">
        <f t="shared" si="23"/>
        <v>0.24</v>
      </c>
      <c r="AA24" s="1122">
        <f t="shared" si="24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</row>
    <row r="25" spans="1:40" ht="12.75" customHeight="1" thickBot="1">
      <c r="A25" s="851" t="s">
        <v>458</v>
      </c>
      <c r="B25" s="1151" t="s">
        <v>215</v>
      </c>
      <c r="C25" s="274">
        <f t="shared" si="46"/>
        <v>2.0247664488766629E-4</v>
      </c>
      <c r="D25" s="892">
        <v>4</v>
      </c>
      <c r="E25" s="1177">
        <v>1</v>
      </c>
      <c r="F25" s="1177">
        <v>6</v>
      </c>
      <c r="G25" s="1177">
        <v>100</v>
      </c>
      <c r="H25" s="1178"/>
      <c r="I25" s="1178">
        <v>3.4722222222222224E-4</v>
      </c>
      <c r="J25" s="1178">
        <v>1.3888888888888889E-3</v>
      </c>
      <c r="K25" s="316" t="s">
        <v>1051</v>
      </c>
      <c r="L25" s="1178">
        <f t="shared" si="45"/>
        <v>0.37156516078255675</v>
      </c>
      <c r="M25" s="1180">
        <v>1</v>
      </c>
      <c r="N25" s="1178">
        <f t="shared" si="52"/>
        <v>8.3316616995262136E-3</v>
      </c>
      <c r="O25" s="1181">
        <f>C25*(G25/25)</f>
        <v>8.0990657955066516E-4</v>
      </c>
      <c r="P25" s="1181">
        <f t="shared" si="49"/>
        <v>8.0990657955066516E-4</v>
      </c>
      <c r="Q25" s="334">
        <v>166</v>
      </c>
      <c r="R25" s="1177">
        <f>E25*F25*G25</f>
        <v>600</v>
      </c>
      <c r="S25" s="1118">
        <f t="shared" si="16"/>
        <v>0.6</v>
      </c>
      <c r="T25" s="1119">
        <f t="shared" si="17"/>
        <v>1.9437757909215963E-2</v>
      </c>
      <c r="U25" s="374">
        <f t="shared" si="18"/>
        <v>0</v>
      </c>
      <c r="V25" s="1120">
        <f t="shared" si="19"/>
        <v>0</v>
      </c>
      <c r="W25" s="376">
        <f t="shared" si="20"/>
        <v>0</v>
      </c>
      <c r="X25" s="377">
        <f t="shared" si="21"/>
        <v>0.6</v>
      </c>
      <c r="Y25" s="378">
        <f t="shared" si="22"/>
        <v>0</v>
      </c>
      <c r="Z25" s="1121">
        <f t="shared" si="23"/>
        <v>0</v>
      </c>
      <c r="AA25" s="1122">
        <f t="shared" si="24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</row>
    <row r="26" spans="1:40" ht="12.75" customHeight="1" thickBot="1">
      <c r="A26" s="851" t="s">
        <v>219</v>
      </c>
      <c r="B26" s="1151" t="s">
        <v>215</v>
      </c>
      <c r="C26" s="274">
        <f t="shared" si="46"/>
        <v>2.1908757716049393E-4</v>
      </c>
      <c r="D26" s="890">
        <v>2</v>
      </c>
      <c r="E26" s="1173">
        <v>1</v>
      </c>
      <c r="F26" s="1173">
        <v>8</v>
      </c>
      <c r="G26" s="1173">
        <v>25</v>
      </c>
      <c r="H26" s="299"/>
      <c r="I26" s="299">
        <v>1.3888888888888889E-4</v>
      </c>
      <c r="J26" s="299">
        <v>1.3888888888888889E-3</v>
      </c>
      <c r="K26" s="1123" t="s">
        <v>1053</v>
      </c>
      <c r="L26" s="1149">
        <f t="shared" si="45"/>
        <v>0.37989682248208295</v>
      </c>
      <c r="M26" s="1174">
        <v>1</v>
      </c>
      <c r="N26" s="299">
        <f>P26*E26*F26+I26*E26*F26+J26*E26</f>
        <v>4.2527006172839513E-3</v>
      </c>
      <c r="O26" s="1175">
        <f t="shared" ref="O26:O27" si="53">C26*(G26/25)</f>
        <v>2.1908757716049393E-4</v>
      </c>
      <c r="P26" s="1175">
        <f t="shared" si="49"/>
        <v>2.1908757716049393E-4</v>
      </c>
      <c r="Q26" s="550">
        <v>146</v>
      </c>
      <c r="R26" s="1176">
        <f t="shared" ref="R26:R27" si="54">E26*F26*G26</f>
        <v>200</v>
      </c>
      <c r="S26" s="1118">
        <f t="shared" si="16"/>
        <v>0.2</v>
      </c>
      <c r="T26" s="1119">
        <f t="shared" si="17"/>
        <v>7.0108024691358057E-3</v>
      </c>
      <c r="U26" s="374">
        <f t="shared" si="18"/>
        <v>0</v>
      </c>
      <c r="V26" s="1120">
        <f t="shared" si="19"/>
        <v>0.2</v>
      </c>
      <c r="W26" s="376">
        <f t="shared" si="20"/>
        <v>0</v>
      </c>
      <c r="X26" s="377">
        <f t="shared" si="21"/>
        <v>0</v>
      </c>
      <c r="Y26" s="378">
        <f t="shared" si="22"/>
        <v>0</v>
      </c>
      <c r="Z26" s="1121">
        <f t="shared" si="23"/>
        <v>0</v>
      </c>
      <c r="AA26" s="1122">
        <f t="shared" si="24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</row>
    <row r="27" spans="1:40" ht="12.75" customHeight="1">
      <c r="A27" s="851"/>
      <c r="B27" s="1151" t="s">
        <v>215</v>
      </c>
      <c r="C27" s="274">
        <f t="shared" si="46"/>
        <v>1.7682291666666674E-4</v>
      </c>
      <c r="D27" s="897">
        <v>7</v>
      </c>
      <c r="E27" s="1257">
        <v>1</v>
      </c>
      <c r="F27" s="1187">
        <v>6</v>
      </c>
      <c r="G27" s="1187">
        <v>20</v>
      </c>
      <c r="H27" s="1051"/>
      <c r="I27" s="1051">
        <v>4.6296296296296293E-4</v>
      </c>
      <c r="J27" s="1188">
        <v>6.9444444444444447E-4</v>
      </c>
      <c r="K27" s="1187" t="s">
        <v>1966</v>
      </c>
      <c r="L27" s="1189">
        <f t="shared" si="45"/>
        <v>0.3841495230993669</v>
      </c>
      <c r="M27" s="1190">
        <v>0.9</v>
      </c>
      <c r="N27" s="1188">
        <f t="shared" ref="N27" si="55">P27*E27*F27+I27*E27*F27+J27*E27</f>
        <v>4.2360972222222227E-3</v>
      </c>
      <c r="O27" s="1191">
        <f t="shared" si="53"/>
        <v>1.4145833333333339E-4</v>
      </c>
      <c r="P27" s="6305">
        <f t="shared" si="49"/>
        <v>1.2731250000000007E-4</v>
      </c>
      <c r="Q27" s="1366">
        <v>179</v>
      </c>
      <c r="R27" s="1187">
        <f t="shared" si="54"/>
        <v>120</v>
      </c>
      <c r="S27" s="1118">
        <f t="shared" si="16"/>
        <v>0.12</v>
      </c>
      <c r="T27" s="1119">
        <f t="shared" si="17"/>
        <v>3.3950000000000013E-3</v>
      </c>
      <c r="U27" s="374">
        <f t="shared" si="18"/>
        <v>0</v>
      </c>
      <c r="V27" s="1120">
        <f t="shared" si="19"/>
        <v>0</v>
      </c>
      <c r="W27" s="376">
        <f t="shared" si="20"/>
        <v>0</v>
      </c>
      <c r="X27" s="377">
        <f t="shared" si="21"/>
        <v>0</v>
      </c>
      <c r="Y27" s="378">
        <f t="shared" si="22"/>
        <v>0</v>
      </c>
      <c r="Z27" s="1121">
        <f t="shared" si="23"/>
        <v>0</v>
      </c>
      <c r="AA27" s="1122">
        <f t="shared" si="24"/>
        <v>0.12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40" ht="12.75" customHeight="1" thickBot="1">
      <c r="A28" s="851"/>
      <c r="B28" s="403"/>
      <c r="C28" s="641"/>
      <c r="D28" s="959"/>
      <c r="E28" s="642"/>
      <c r="F28" s="642"/>
      <c r="G28" s="642"/>
      <c r="H28" s="642"/>
      <c r="I28" s="642"/>
      <c r="J28" s="642"/>
      <c r="K28" s="642"/>
      <c r="L28" s="1003">
        <f t="shared" si="45"/>
        <v>0.38838562032158913</v>
      </c>
      <c r="M28" s="1184"/>
      <c r="N28" s="1185">
        <f>SUM(N21:N27)</f>
        <v>4.4635620321589138E-2</v>
      </c>
      <c r="O28" s="642"/>
      <c r="P28" s="642"/>
      <c r="Q28" s="642"/>
      <c r="R28" s="1186">
        <f>SUM(R21:R27)</f>
        <v>2340</v>
      </c>
      <c r="S28" s="1118">
        <f t="shared" si="16"/>
        <v>0</v>
      </c>
      <c r="T28" s="1119">
        <f t="shared" si="17"/>
        <v>0</v>
      </c>
      <c r="U28" s="374">
        <f t="shared" si="18"/>
        <v>0</v>
      </c>
      <c r="V28" s="1120">
        <f t="shared" si="19"/>
        <v>0</v>
      </c>
      <c r="W28" s="376">
        <f t="shared" si="20"/>
        <v>0</v>
      </c>
      <c r="X28" s="377">
        <f t="shared" si="21"/>
        <v>0</v>
      </c>
      <c r="Y28" s="378">
        <f t="shared" si="22"/>
        <v>0</v>
      </c>
      <c r="Z28" s="1121">
        <f t="shared" si="23"/>
        <v>0</v>
      </c>
      <c r="AA28" s="1122">
        <f t="shared" si="24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40" ht="12.75" customHeight="1">
      <c r="A29" s="851" t="s">
        <v>215</v>
      </c>
      <c r="B29" s="1365"/>
      <c r="C29" s="274">
        <f t="shared" ref="C29:C34" si="56">IF(D29=1,U$5,IF(D29=2,V$5,IF(D29=3,W$5,IF(D29=4,X$5,IF(D29=5,Y$5,IF(D29=6,Z$5,IF(D29=7,AA$5,0)))))))</f>
        <v>2.1908757716049393E-4</v>
      </c>
      <c r="D29" s="890">
        <v>2</v>
      </c>
      <c r="E29" s="1173">
        <v>1</v>
      </c>
      <c r="F29" s="1173">
        <v>1</v>
      </c>
      <c r="G29" s="1173">
        <v>600</v>
      </c>
      <c r="H29" s="299"/>
      <c r="I29" s="299">
        <v>0</v>
      </c>
      <c r="J29" s="299">
        <v>1.1574074074074073E-4</v>
      </c>
      <c r="K29" s="1123" t="s">
        <v>1284</v>
      </c>
      <c r="L29" s="1149">
        <v>0.79861111111111116</v>
      </c>
      <c r="M29" s="1174">
        <v>1</v>
      </c>
      <c r="N29" s="299">
        <f t="shared" ref="N29:N34" si="57">P29*E29*F29+I29*E29*F29+J29*E29</f>
        <v>5.373842592592595E-3</v>
      </c>
      <c r="O29" s="1175">
        <f>C29*(G29/25)</f>
        <v>5.2581018518518541E-3</v>
      </c>
      <c r="P29" s="1175">
        <f t="shared" ref="P29:P34" si="58">O29*M29</f>
        <v>5.2581018518518541E-3</v>
      </c>
      <c r="Q29" s="550">
        <v>147</v>
      </c>
      <c r="R29" s="1176">
        <f t="shared" ref="R29:R34" si="59">E29*F29*G29</f>
        <v>600</v>
      </c>
      <c r="S29" s="1118">
        <f t="shared" si="16"/>
        <v>0.6</v>
      </c>
      <c r="T29" s="1119">
        <f t="shared" si="17"/>
        <v>2.1032407407407416E-2</v>
      </c>
      <c r="U29" s="374">
        <f t="shared" si="18"/>
        <v>0</v>
      </c>
      <c r="V29" s="1120">
        <f t="shared" si="19"/>
        <v>0.6</v>
      </c>
      <c r="W29" s="376">
        <f t="shared" si="20"/>
        <v>0</v>
      </c>
      <c r="X29" s="377">
        <f t="shared" si="21"/>
        <v>0</v>
      </c>
      <c r="Y29" s="378">
        <f t="shared" si="22"/>
        <v>0</v>
      </c>
      <c r="Z29" s="1121">
        <f t="shared" si="23"/>
        <v>0</v>
      </c>
      <c r="AA29" s="1122">
        <f t="shared" si="24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</row>
    <row r="30" spans="1:40" ht="12.75" customHeight="1">
      <c r="A30" s="851" t="s">
        <v>138</v>
      </c>
      <c r="B30" s="1365" t="s">
        <v>461</v>
      </c>
      <c r="C30" s="274">
        <f t="shared" si="56"/>
        <v>1.8229166666666673E-4</v>
      </c>
      <c r="D30" s="1203">
        <v>6</v>
      </c>
      <c r="E30" s="1246">
        <v>1</v>
      </c>
      <c r="F30" s="1246">
        <v>8</v>
      </c>
      <c r="G30" s="1167">
        <v>100</v>
      </c>
      <c r="H30" s="1052"/>
      <c r="I30" s="1052">
        <v>1.0416666666666667E-3</v>
      </c>
      <c r="J30" s="1052">
        <v>1.3888888888888889E-3</v>
      </c>
      <c r="K30" s="1065" t="s">
        <v>2392</v>
      </c>
      <c r="L30" s="1247">
        <f>L29+N29</f>
        <v>0.80398495370370371</v>
      </c>
      <c r="M30" s="1168">
        <v>1</v>
      </c>
      <c r="N30" s="1052">
        <f t="shared" si="57"/>
        <v>1.578888888888889E-2</v>
      </c>
      <c r="O30" s="1169">
        <f>C30*(G30/25)*1.04</f>
        <v>7.5833333333333362E-4</v>
      </c>
      <c r="P30" s="1170">
        <f t="shared" si="58"/>
        <v>7.5833333333333362E-4</v>
      </c>
      <c r="Q30" s="1171">
        <v>177</v>
      </c>
      <c r="R30" s="1167">
        <f t="shared" si="59"/>
        <v>800</v>
      </c>
      <c r="S30" s="1118">
        <f t="shared" si="16"/>
        <v>0.8</v>
      </c>
      <c r="T30" s="1119">
        <f t="shared" si="17"/>
        <v>2.4266666666666676E-2</v>
      </c>
      <c r="U30" s="374">
        <f t="shared" si="18"/>
        <v>0</v>
      </c>
      <c r="V30" s="1120">
        <f t="shared" si="19"/>
        <v>0</v>
      </c>
      <c r="W30" s="376">
        <f t="shared" si="20"/>
        <v>0</v>
      </c>
      <c r="X30" s="377">
        <f t="shared" si="21"/>
        <v>0</v>
      </c>
      <c r="Y30" s="378">
        <f t="shared" si="22"/>
        <v>0</v>
      </c>
      <c r="Z30" s="1121">
        <f t="shared" si="23"/>
        <v>0.8</v>
      </c>
      <c r="AA30" s="1122">
        <f t="shared" si="24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</row>
    <row r="31" spans="1:40" ht="12.75" customHeight="1">
      <c r="A31" s="851" t="s">
        <v>462</v>
      </c>
      <c r="B31" s="1365" t="s">
        <v>461</v>
      </c>
      <c r="C31" s="274">
        <f t="shared" si="56"/>
        <v>2.0247664488766629E-4</v>
      </c>
      <c r="D31" s="1297">
        <v>4</v>
      </c>
      <c r="E31" s="1177">
        <v>1</v>
      </c>
      <c r="F31" s="1298">
        <v>4</v>
      </c>
      <c r="G31" s="1177">
        <v>100</v>
      </c>
      <c r="H31" s="1178"/>
      <c r="I31" s="1178">
        <v>4.6296296296296293E-4</v>
      </c>
      <c r="J31" s="1178">
        <v>6.9444444444444447E-4</v>
      </c>
      <c r="K31" s="316" t="s">
        <v>1282</v>
      </c>
      <c r="L31" s="996">
        <f>L30+N30</f>
        <v>0.81977384259259256</v>
      </c>
      <c r="M31" s="1180">
        <v>1</v>
      </c>
      <c r="N31" s="1178">
        <f t="shared" si="57"/>
        <v>5.7859226144989567E-3</v>
      </c>
      <c r="O31" s="1181">
        <f>C31*(G31/25)</f>
        <v>8.0990657955066516E-4</v>
      </c>
      <c r="P31" s="1181">
        <f t="shared" si="58"/>
        <v>8.0990657955066516E-4</v>
      </c>
      <c r="Q31" s="334">
        <v>166</v>
      </c>
      <c r="R31" s="1177">
        <f t="shared" si="59"/>
        <v>400</v>
      </c>
      <c r="S31" s="1118">
        <f t="shared" si="16"/>
        <v>0.4</v>
      </c>
      <c r="T31" s="1119">
        <f t="shared" si="17"/>
        <v>1.2958505272810643E-2</v>
      </c>
      <c r="U31" s="374">
        <f t="shared" si="18"/>
        <v>0</v>
      </c>
      <c r="V31" s="1120">
        <f t="shared" si="19"/>
        <v>0</v>
      </c>
      <c r="W31" s="376">
        <f t="shared" si="20"/>
        <v>0</v>
      </c>
      <c r="X31" s="377">
        <f t="shared" si="21"/>
        <v>0.4</v>
      </c>
      <c r="Y31" s="378">
        <f t="shared" si="22"/>
        <v>0</v>
      </c>
      <c r="Z31" s="1121">
        <f t="shared" si="23"/>
        <v>0</v>
      </c>
      <c r="AA31" s="1122">
        <f t="shared" si="24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</row>
    <row r="32" spans="1:40" ht="12.75" customHeight="1">
      <c r="A32" s="851" t="s">
        <v>461</v>
      </c>
      <c r="B32" s="1365" t="s">
        <v>461</v>
      </c>
      <c r="C32" s="274">
        <f t="shared" si="56"/>
        <v>2.1908757716049393E-4</v>
      </c>
      <c r="D32" s="1028">
        <v>2</v>
      </c>
      <c r="E32" s="1296">
        <v>1</v>
      </c>
      <c r="F32" s="1296">
        <v>4</v>
      </c>
      <c r="G32" s="1173">
        <v>50</v>
      </c>
      <c r="H32" s="299"/>
      <c r="I32" s="299">
        <v>1.1574074074074073E-4</v>
      </c>
      <c r="J32" s="299">
        <v>6.9444444444444447E-4</v>
      </c>
      <c r="K32" s="1123" t="s">
        <v>1283</v>
      </c>
      <c r="L32" s="1149">
        <f>L31+N31</f>
        <v>0.82555976520709151</v>
      </c>
      <c r="M32" s="1174">
        <v>1</v>
      </c>
      <c r="N32" s="299">
        <f t="shared" si="57"/>
        <v>2.910108024691359E-3</v>
      </c>
      <c r="O32" s="1175">
        <f>C32*2</f>
        <v>4.3817515432098786E-4</v>
      </c>
      <c r="P32" s="1175">
        <f t="shared" si="58"/>
        <v>4.3817515432098786E-4</v>
      </c>
      <c r="Q32" s="550">
        <v>153</v>
      </c>
      <c r="R32" s="1176">
        <f t="shared" si="59"/>
        <v>200</v>
      </c>
      <c r="S32" s="1118">
        <f t="shared" si="16"/>
        <v>0.2</v>
      </c>
      <c r="T32" s="1119">
        <f t="shared" si="17"/>
        <v>7.0108024691358057E-3</v>
      </c>
      <c r="U32" s="374">
        <f t="shared" si="18"/>
        <v>0</v>
      </c>
      <c r="V32" s="1120">
        <f t="shared" si="19"/>
        <v>0.2</v>
      </c>
      <c r="W32" s="376">
        <f t="shared" si="20"/>
        <v>0</v>
      </c>
      <c r="X32" s="377">
        <f t="shared" si="21"/>
        <v>0</v>
      </c>
      <c r="Y32" s="378">
        <f t="shared" si="22"/>
        <v>0</v>
      </c>
      <c r="Z32" s="1121">
        <f t="shared" si="23"/>
        <v>0</v>
      </c>
      <c r="AA32" s="1122">
        <f t="shared" si="24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</row>
    <row r="33" spans="1:40" ht="12.75" customHeight="1">
      <c r="A33" s="851" t="s">
        <v>458</v>
      </c>
      <c r="B33" s="1365" t="s">
        <v>461</v>
      </c>
      <c r="C33" s="274">
        <f t="shared" si="56"/>
        <v>2.0247664488766629E-4</v>
      </c>
      <c r="D33" s="1297">
        <v>4</v>
      </c>
      <c r="E33" s="1177">
        <v>4</v>
      </c>
      <c r="F33" s="1298">
        <v>3</v>
      </c>
      <c r="G33" s="1177">
        <v>75</v>
      </c>
      <c r="H33" s="1178"/>
      <c r="I33" s="1178">
        <v>1.7361111111111112E-4</v>
      </c>
      <c r="J33" s="1178">
        <v>6.9444444444444447E-4</v>
      </c>
      <c r="K33" s="316" t="s">
        <v>2393</v>
      </c>
      <c r="L33" s="996">
        <f>L32+N32</f>
        <v>0.82846987323178289</v>
      </c>
      <c r="M33" s="1180">
        <v>1.07</v>
      </c>
      <c r="N33" s="1178">
        <f t="shared" si="57"/>
        <v>1.2660511472184017E-2</v>
      </c>
      <c r="O33" s="1181">
        <f>C33*(G33/25)</f>
        <v>6.0742993466299884E-4</v>
      </c>
      <c r="P33" s="1181">
        <f t="shared" si="58"/>
        <v>6.4995003008940877E-4</v>
      </c>
      <c r="Q33" s="334" t="s">
        <v>278</v>
      </c>
      <c r="R33" s="1177">
        <f t="shared" si="59"/>
        <v>900</v>
      </c>
      <c r="S33" s="1118">
        <f t="shared" si="16"/>
        <v>0.9</v>
      </c>
      <c r="T33" s="1119">
        <f t="shared" si="17"/>
        <v>2.9156636863823943E-2</v>
      </c>
      <c r="U33" s="374">
        <f t="shared" si="18"/>
        <v>0</v>
      </c>
      <c r="V33" s="1120">
        <f t="shared" si="19"/>
        <v>0</v>
      </c>
      <c r="W33" s="376">
        <f t="shared" si="20"/>
        <v>0</v>
      </c>
      <c r="X33" s="377">
        <f t="shared" si="21"/>
        <v>0.9</v>
      </c>
      <c r="Y33" s="378">
        <f t="shared" si="22"/>
        <v>0</v>
      </c>
      <c r="Z33" s="1121">
        <f t="shared" si="23"/>
        <v>0</v>
      </c>
      <c r="AA33" s="1122">
        <f t="shared" si="24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</row>
    <row r="34" spans="1:40" ht="12.75" customHeight="1">
      <c r="A34" s="851" t="s">
        <v>219</v>
      </c>
      <c r="B34" s="1365" t="s">
        <v>461</v>
      </c>
      <c r="C34" s="274">
        <f t="shared" si="56"/>
        <v>1.7682291666666674E-4</v>
      </c>
      <c r="D34" s="1237">
        <v>7</v>
      </c>
      <c r="E34" s="1299">
        <v>4</v>
      </c>
      <c r="F34" s="1299">
        <v>4</v>
      </c>
      <c r="G34" s="1187">
        <v>20</v>
      </c>
      <c r="H34" s="1051"/>
      <c r="I34" s="1051">
        <v>4.6296296296296293E-4</v>
      </c>
      <c r="J34" s="1188">
        <v>1.3888888888888889E-3</v>
      </c>
      <c r="K34" s="438" t="s">
        <v>960</v>
      </c>
      <c r="L34" s="1189">
        <f>L32+N32</f>
        <v>0.82846987323178289</v>
      </c>
      <c r="M34" s="1190">
        <v>0.9</v>
      </c>
      <c r="N34" s="1188">
        <f t="shared" si="57"/>
        <v>1.4999962962962965E-2</v>
      </c>
      <c r="O34" s="1191">
        <f>C34*(G34/25)</f>
        <v>1.4145833333333339E-4</v>
      </c>
      <c r="P34" s="1192">
        <f t="shared" si="58"/>
        <v>1.2731250000000007E-4</v>
      </c>
      <c r="Q34" s="788">
        <v>179</v>
      </c>
      <c r="R34" s="1187">
        <f t="shared" si="59"/>
        <v>320</v>
      </c>
      <c r="S34" s="1118">
        <f t="shared" si="16"/>
        <v>0.32</v>
      </c>
      <c r="T34" s="1119">
        <f t="shared" si="17"/>
        <v>9.0533333333333368E-3</v>
      </c>
      <c r="U34" s="374">
        <f t="shared" si="18"/>
        <v>0</v>
      </c>
      <c r="V34" s="1120">
        <f t="shared" si="19"/>
        <v>0</v>
      </c>
      <c r="W34" s="376">
        <f t="shared" si="20"/>
        <v>0</v>
      </c>
      <c r="X34" s="377">
        <f t="shared" si="21"/>
        <v>0</v>
      </c>
      <c r="Y34" s="378">
        <f t="shared" si="22"/>
        <v>0</v>
      </c>
      <c r="Z34" s="1121">
        <f t="shared" si="23"/>
        <v>0</v>
      </c>
      <c r="AA34" s="1122">
        <f t="shared" si="24"/>
        <v>0.32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</row>
    <row r="35" spans="1:40" ht="12.75" customHeight="1" thickBot="1">
      <c r="A35" s="851"/>
      <c r="B35" s="1365"/>
      <c r="C35" s="1258"/>
      <c r="D35" s="1259"/>
      <c r="E35" s="336"/>
      <c r="F35" s="336"/>
      <c r="G35" s="336"/>
      <c r="H35" s="336"/>
      <c r="I35" s="336"/>
      <c r="J35" s="336"/>
      <c r="K35" s="204"/>
      <c r="L35" s="1003">
        <f>L34+N34</f>
        <v>0.84346983619474591</v>
      </c>
      <c r="M35" s="1198"/>
      <c r="N35" s="1008">
        <f>SUM(N29:N34)</f>
        <v>5.7519236555818781E-2</v>
      </c>
      <c r="O35" s="336"/>
      <c r="P35" s="336"/>
      <c r="Q35" s="336"/>
      <c r="R35" s="1238">
        <f>SUM(R29:R34)</f>
        <v>3220</v>
      </c>
      <c r="S35" s="1118">
        <f t="shared" si="16"/>
        <v>0</v>
      </c>
      <c r="T35" s="1119">
        <f t="shared" si="17"/>
        <v>0</v>
      </c>
      <c r="U35" s="374">
        <f t="shared" si="18"/>
        <v>0</v>
      </c>
      <c r="V35" s="1120">
        <f t="shared" si="19"/>
        <v>0</v>
      </c>
      <c r="W35" s="376">
        <f t="shared" si="20"/>
        <v>0</v>
      </c>
      <c r="X35" s="377">
        <f t="shared" si="21"/>
        <v>0</v>
      </c>
      <c r="Y35" s="378">
        <f t="shared" si="22"/>
        <v>0</v>
      </c>
      <c r="Z35" s="1121">
        <f t="shared" si="23"/>
        <v>0</v>
      </c>
      <c r="AA35" s="1122">
        <f t="shared" si="24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</row>
    <row r="36" spans="1:40" ht="12.75" customHeight="1" thickBot="1">
      <c r="A36" s="1270" t="s">
        <v>215</v>
      </c>
      <c r="B36" s="1234" t="s">
        <v>459</v>
      </c>
      <c r="C36" s="274">
        <f>IF(D36=1,U$5,IF(D36=2,V$5,IF(D36=3,W$5,IF(D36=4,X$5,IF(D36=5,Y$5,IF(D36=6,Z$5,IF(D36=7,AA$5,0)))))))</f>
        <v>2.2880964381720439E-4</v>
      </c>
      <c r="D36" s="547">
        <v>1</v>
      </c>
      <c r="E36" s="1194">
        <v>1</v>
      </c>
      <c r="F36" s="1194">
        <v>1</v>
      </c>
      <c r="G36" s="6859">
        <v>400</v>
      </c>
      <c r="H36" s="6880" t="s">
        <v>2403</v>
      </c>
      <c r="I36" s="6458">
        <v>2.3148148148148146E-4</v>
      </c>
      <c r="J36" s="274">
        <v>6.9444444444444447E-4</v>
      </c>
      <c r="K36" s="666" t="s">
        <v>537</v>
      </c>
      <c r="L36" s="993">
        <v>0.79861111111111116</v>
      </c>
      <c r="M36" s="1195">
        <v>1</v>
      </c>
      <c r="N36" s="274">
        <f>P36*E36*F36+I36*E36*F36+J36*E36</f>
        <v>4.5868802270011963E-3</v>
      </c>
      <c r="O36" s="1196">
        <f>C36*16</f>
        <v>3.6609543010752703E-3</v>
      </c>
      <c r="P36" s="1196">
        <f>O36*M36</f>
        <v>3.6609543010752703E-3</v>
      </c>
      <c r="Q36" s="548">
        <v>129</v>
      </c>
      <c r="R36" s="1194">
        <f>E36*F36*G36</f>
        <v>400</v>
      </c>
      <c r="S36" s="1118">
        <f t="shared" si="16"/>
        <v>0.4</v>
      </c>
      <c r="T36" s="1119">
        <f t="shared" si="17"/>
        <v>1.4643817204301081E-2</v>
      </c>
      <c r="U36" s="374">
        <f t="shared" si="18"/>
        <v>0.4</v>
      </c>
      <c r="V36" s="1120">
        <f t="shared" si="19"/>
        <v>0</v>
      </c>
      <c r="W36" s="376">
        <f t="shared" si="20"/>
        <v>0</v>
      </c>
      <c r="X36" s="377">
        <f t="shared" si="21"/>
        <v>0</v>
      </c>
      <c r="Y36" s="378">
        <f t="shared" si="22"/>
        <v>0</v>
      </c>
      <c r="Z36" s="1121">
        <f t="shared" si="23"/>
        <v>0</v>
      </c>
      <c r="AA36" s="1122">
        <f t="shared" si="24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  <c r="AN36" s="204"/>
    </row>
    <row r="37" spans="1:40" ht="12.75" customHeight="1" thickBot="1">
      <c r="A37" s="1270" t="s">
        <v>139</v>
      </c>
      <c r="B37" s="1234" t="s">
        <v>459</v>
      </c>
      <c r="C37" s="274">
        <f t="shared" ref="C37:C38" si="60">IF(D37=1,U$5,IF(D37=2,V$5,IF(D37=3,W$5,IF(D37=4,X$5,IF(D37=5,Y$5,IF(D37=6,Z$5,IF(D37=7,AA$5,0)))))))</f>
        <v>1.8229166666666673E-4</v>
      </c>
      <c r="D37" s="4619">
        <v>6</v>
      </c>
      <c r="E37" s="4561">
        <v>1</v>
      </c>
      <c r="F37" s="4561">
        <v>6</v>
      </c>
      <c r="G37" s="6860">
        <v>80</v>
      </c>
      <c r="H37" s="6880" t="s">
        <v>2394</v>
      </c>
      <c r="I37" s="6865">
        <v>3.4722222222222224E-4</v>
      </c>
      <c r="J37" s="6300">
        <v>2.0833333333333333E-3</v>
      </c>
      <c r="K37" s="6300" t="s">
        <v>2400</v>
      </c>
      <c r="L37" s="6300">
        <f>L36+N36</f>
        <v>0.80319799133811232</v>
      </c>
      <c r="M37" s="6307">
        <v>1</v>
      </c>
      <c r="N37" s="6300">
        <f t="shared" ref="N37" si="61">P37*E37*F37+I37*E37*F37+J37*E37</f>
        <v>7.6666666666666671E-3</v>
      </c>
      <c r="O37" s="4586">
        <f>C37*(G37/25)</f>
        <v>5.833333333333336E-4</v>
      </c>
      <c r="P37" s="4686">
        <f t="shared" ref="P37" si="62">O37*M37</f>
        <v>5.833333333333336E-4</v>
      </c>
      <c r="Q37" s="6303">
        <v>177</v>
      </c>
      <c r="R37" s="4561">
        <f t="shared" ref="R37" si="63">E37*F37*G37</f>
        <v>480</v>
      </c>
      <c r="S37" s="1118">
        <f t="shared" si="16"/>
        <v>0.48</v>
      </c>
      <c r="T37" s="1119">
        <f t="shared" si="17"/>
        <v>1.4000000000000005E-2</v>
      </c>
      <c r="U37" s="374">
        <f t="shared" si="18"/>
        <v>0</v>
      </c>
      <c r="V37" s="1120">
        <f t="shared" si="19"/>
        <v>0</v>
      </c>
      <c r="W37" s="376">
        <f t="shared" si="20"/>
        <v>0</v>
      </c>
      <c r="X37" s="377">
        <f t="shared" si="21"/>
        <v>0</v>
      </c>
      <c r="Y37" s="378">
        <f t="shared" si="22"/>
        <v>0</v>
      </c>
      <c r="Z37" s="1121">
        <f t="shared" si="23"/>
        <v>0.48</v>
      </c>
      <c r="AA37" s="1122">
        <f t="shared" si="24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  <c r="AN37" s="204"/>
    </row>
    <row r="38" spans="1:40" ht="12.75" customHeight="1" thickBot="1">
      <c r="A38" s="1270" t="s">
        <v>458</v>
      </c>
      <c r="B38" s="1234" t="s">
        <v>459</v>
      </c>
      <c r="C38" s="274">
        <f t="shared" si="60"/>
        <v>1.8229166666666673E-4</v>
      </c>
      <c r="D38" s="4619">
        <v>6</v>
      </c>
      <c r="E38" s="4561">
        <v>1</v>
      </c>
      <c r="F38" s="4561">
        <v>6</v>
      </c>
      <c r="G38" s="6860">
        <v>50</v>
      </c>
      <c r="H38" s="6880" t="s">
        <v>2395</v>
      </c>
      <c r="I38" s="6865">
        <v>6.9444444444444447E-4</v>
      </c>
      <c r="J38" s="6300">
        <v>2.0833333333333333E-3</v>
      </c>
      <c r="K38" s="4561" t="s">
        <v>2401</v>
      </c>
      <c r="L38" s="6300">
        <f t="shared" ref="L38:L44" si="64">L37+N37</f>
        <v>0.81086465800477903</v>
      </c>
      <c r="M38" s="6307">
        <v>1</v>
      </c>
      <c r="N38" s="6300">
        <f t="shared" ref="N38:N43" si="65">P38*E38*F38+I38*E38*F38+J38*E38</f>
        <v>8.4812500000000009E-3</v>
      </c>
      <c r="O38" s="4586">
        <f>C38*(G38/25)*1.02</f>
        <v>3.7187500000000014E-4</v>
      </c>
      <c r="P38" s="4686">
        <f t="shared" ref="P38" si="66">O38*M38</f>
        <v>3.7187500000000014E-4</v>
      </c>
      <c r="Q38" s="6303">
        <v>177</v>
      </c>
      <c r="R38" s="4561">
        <f t="shared" ref="R38" si="67">E38*F38*G38</f>
        <v>300</v>
      </c>
      <c r="S38" s="1118">
        <f t="shared" si="16"/>
        <v>0.3</v>
      </c>
      <c r="T38" s="1119">
        <f t="shared" si="17"/>
        <v>8.9250000000000024E-3</v>
      </c>
      <c r="U38" s="374">
        <f t="shared" si="18"/>
        <v>0</v>
      </c>
      <c r="V38" s="1120">
        <f t="shared" si="19"/>
        <v>0</v>
      </c>
      <c r="W38" s="376">
        <f t="shared" si="20"/>
        <v>0</v>
      </c>
      <c r="X38" s="377">
        <f t="shared" si="21"/>
        <v>0</v>
      </c>
      <c r="Y38" s="378">
        <f t="shared" si="22"/>
        <v>0</v>
      </c>
      <c r="Z38" s="1121">
        <f t="shared" si="23"/>
        <v>0.3</v>
      </c>
      <c r="AA38" s="1122">
        <f t="shared" si="24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  <c r="AN38" s="204"/>
    </row>
    <row r="39" spans="1:40" ht="14" thickBot="1">
      <c r="A39" s="1270" t="s">
        <v>462</v>
      </c>
      <c r="B39" s="1234" t="s">
        <v>459</v>
      </c>
      <c r="C39" s="274">
        <f t="shared" ref="C39:C66" si="68">IF(D39=1,U$5,IF(D39=2,V$5,IF(D39=3,W$5,IF(D39=4,X$5,IF(D39=5,Y$5,IF(D39=6,Z$5,IF(D39=7,AA$5,0)))))))</f>
        <v>2.0247664488766629E-4</v>
      </c>
      <c r="D39" s="1197">
        <v>4</v>
      </c>
      <c r="E39" s="1177">
        <v>1</v>
      </c>
      <c r="F39" s="1177">
        <v>4</v>
      </c>
      <c r="G39" s="6861">
        <v>150</v>
      </c>
      <c r="H39" s="6880" t="s">
        <v>2396</v>
      </c>
      <c r="I39" s="5827">
        <v>4.6296296296296293E-4</v>
      </c>
      <c r="J39" s="1178">
        <v>1.3888888888888889E-3</v>
      </c>
      <c r="K39" s="316" t="s">
        <v>2405</v>
      </c>
      <c r="L39" s="996">
        <f t="shared" si="64"/>
        <v>0.81934590800477902</v>
      </c>
      <c r="M39" s="1180">
        <v>1.07</v>
      </c>
      <c r="N39" s="1178">
        <f t="shared" si="65"/>
        <v>8.7523169958989271E-3</v>
      </c>
      <c r="O39" s="1181">
        <f>C39*(G39/25)*1.06</f>
        <v>1.2877514614855576E-3</v>
      </c>
      <c r="P39" s="1181">
        <f>O39*M39</f>
        <v>1.3778940637895467E-3</v>
      </c>
      <c r="Q39" s="334">
        <v>166</v>
      </c>
      <c r="R39" s="1177">
        <f>E39*F39*G39</f>
        <v>600</v>
      </c>
      <c r="S39" s="1118">
        <f t="shared" si="16"/>
        <v>0.6</v>
      </c>
      <c r="T39" s="1119">
        <f t="shared" si="17"/>
        <v>2.0604023383768922E-2</v>
      </c>
      <c r="U39" s="374">
        <f t="shared" si="18"/>
        <v>0</v>
      </c>
      <c r="V39" s="1120">
        <f t="shared" si="19"/>
        <v>0</v>
      </c>
      <c r="W39" s="376">
        <f t="shared" si="20"/>
        <v>0</v>
      </c>
      <c r="X39" s="377">
        <f t="shared" si="21"/>
        <v>0.6</v>
      </c>
      <c r="Y39" s="378">
        <f t="shared" si="22"/>
        <v>0</v>
      </c>
      <c r="Z39" s="1121">
        <f t="shared" si="23"/>
        <v>0</v>
      </c>
      <c r="AA39" s="1122">
        <f t="shared" si="24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  <c r="AN39" s="204"/>
    </row>
    <row r="40" spans="1:40" ht="14" thickBot="1">
      <c r="A40" s="1270" t="s">
        <v>140</v>
      </c>
      <c r="B40" s="1234" t="s">
        <v>459</v>
      </c>
      <c r="C40" s="274">
        <f t="shared" si="68"/>
        <v>1.8229166666666673E-4</v>
      </c>
      <c r="D40" s="4578">
        <v>6</v>
      </c>
      <c r="E40" s="6042">
        <v>3</v>
      </c>
      <c r="F40" s="6043">
        <v>3</v>
      </c>
      <c r="G40" s="6862">
        <v>20</v>
      </c>
      <c r="H40" s="6880" t="s">
        <v>2397</v>
      </c>
      <c r="I40" s="6866">
        <v>4.0509259259259258E-4</v>
      </c>
      <c r="J40" s="6300">
        <v>6.9444444444444447E-4</v>
      </c>
      <c r="K40" s="4582" t="s">
        <v>1970</v>
      </c>
      <c r="L40" s="6300">
        <f t="shared" si="64"/>
        <v>0.82809822500067798</v>
      </c>
      <c r="M40" s="4584">
        <v>1</v>
      </c>
      <c r="N40" s="6300">
        <f t="shared" si="65"/>
        <v>7.094166666666667E-3</v>
      </c>
      <c r="O40" s="4586">
        <f>C40*(G40/25)*1.04</f>
        <v>1.5166666666666673E-4</v>
      </c>
      <c r="P40" s="6309">
        <f t="shared" ref="P40:P42" si="69">O40*M40</f>
        <v>1.5166666666666673E-4</v>
      </c>
      <c r="Q40" s="4588">
        <v>177</v>
      </c>
      <c r="R40" s="4561">
        <f t="shared" ref="R40:R42" si="70">E40*F40*G40</f>
        <v>180</v>
      </c>
      <c r="S40" s="1118">
        <f t="shared" si="16"/>
        <v>0.18</v>
      </c>
      <c r="T40" s="1119">
        <f t="shared" si="17"/>
        <v>5.4600000000000022E-3</v>
      </c>
      <c r="U40" s="374">
        <f t="shared" si="18"/>
        <v>0</v>
      </c>
      <c r="V40" s="1120">
        <f t="shared" si="19"/>
        <v>0</v>
      </c>
      <c r="W40" s="376">
        <f t="shared" si="20"/>
        <v>0</v>
      </c>
      <c r="X40" s="377">
        <f t="shared" si="21"/>
        <v>0</v>
      </c>
      <c r="Y40" s="378">
        <f t="shared" si="22"/>
        <v>0</v>
      </c>
      <c r="Z40" s="1121">
        <f t="shared" si="23"/>
        <v>0.18</v>
      </c>
      <c r="AA40" s="1122">
        <f t="shared" si="24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  <c r="AN40" s="204"/>
    </row>
    <row r="41" spans="1:40" ht="14" thickBot="1">
      <c r="A41" s="1270" t="s">
        <v>674</v>
      </c>
      <c r="B41" s="1234" t="s">
        <v>459</v>
      </c>
      <c r="C41" s="274">
        <f t="shared" si="68"/>
        <v>1.8229166666666673E-4</v>
      </c>
      <c r="D41" s="4578">
        <v>6</v>
      </c>
      <c r="E41" s="6045">
        <v>3</v>
      </c>
      <c r="F41" s="6043">
        <v>3</v>
      </c>
      <c r="G41" s="6863">
        <v>17.5</v>
      </c>
      <c r="H41" s="6880" t="s">
        <v>2398</v>
      </c>
      <c r="I41" s="6866">
        <v>3.4722222222222224E-4</v>
      </c>
      <c r="J41" s="6300">
        <v>6.9444444444444447E-4</v>
      </c>
      <c r="K41" s="4582" t="s">
        <v>1971</v>
      </c>
      <c r="L41" s="6300">
        <f t="shared" si="64"/>
        <v>0.8351923916673446</v>
      </c>
      <c r="M41" s="4584">
        <v>1</v>
      </c>
      <c r="N41" s="6300">
        <f t="shared" si="65"/>
        <v>6.4027083333333332E-3</v>
      </c>
      <c r="O41" s="4586">
        <f>C41*(G41/25)*1.04</f>
        <v>1.3270833333333339E-4</v>
      </c>
      <c r="P41" s="6309">
        <f t="shared" si="69"/>
        <v>1.3270833333333339E-4</v>
      </c>
      <c r="Q41" s="4588">
        <v>177</v>
      </c>
      <c r="R41" s="4561">
        <f t="shared" si="70"/>
        <v>157.5</v>
      </c>
      <c r="S41" s="1118">
        <f t="shared" si="16"/>
        <v>0.1575</v>
      </c>
      <c r="T41" s="1119">
        <f t="shared" si="17"/>
        <v>4.7775000000000022E-3</v>
      </c>
      <c r="U41" s="374">
        <f t="shared" si="18"/>
        <v>0</v>
      </c>
      <c r="V41" s="1120">
        <f t="shared" si="19"/>
        <v>0</v>
      </c>
      <c r="W41" s="376">
        <f t="shared" si="20"/>
        <v>0</v>
      </c>
      <c r="X41" s="377">
        <f t="shared" si="21"/>
        <v>0</v>
      </c>
      <c r="Y41" s="378">
        <f t="shared" si="22"/>
        <v>0</v>
      </c>
      <c r="Z41" s="1121">
        <f t="shared" si="23"/>
        <v>0.1575</v>
      </c>
      <c r="AA41" s="1122">
        <f t="shared" si="24"/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  <c r="AN41" s="204"/>
    </row>
    <row r="42" spans="1:40" ht="14" thickBot="1">
      <c r="A42" s="1270" t="s">
        <v>214</v>
      </c>
      <c r="B42" s="1234" t="s">
        <v>459</v>
      </c>
      <c r="C42" s="274">
        <f t="shared" si="68"/>
        <v>1.8229166666666673E-4</v>
      </c>
      <c r="D42" s="4578">
        <v>6</v>
      </c>
      <c r="E42" s="6047">
        <v>3</v>
      </c>
      <c r="F42" s="6043">
        <v>1</v>
      </c>
      <c r="G42" s="6862">
        <v>15</v>
      </c>
      <c r="H42" s="6880" t="s">
        <v>2399</v>
      </c>
      <c r="I42" s="6866">
        <v>0</v>
      </c>
      <c r="J42" s="6300">
        <v>6.9444444444444447E-4</v>
      </c>
      <c r="K42" s="4582" t="s">
        <v>1972</v>
      </c>
      <c r="L42" s="6300">
        <f t="shared" si="64"/>
        <v>0.84159510000067794</v>
      </c>
      <c r="M42" s="4584">
        <v>1</v>
      </c>
      <c r="N42" s="6300">
        <f t="shared" si="65"/>
        <v>2.4245833333333333E-3</v>
      </c>
      <c r="O42" s="4586">
        <f>C42*(G42/25)*1.04</f>
        <v>1.1375000000000004E-4</v>
      </c>
      <c r="P42" s="6309">
        <f t="shared" si="69"/>
        <v>1.1375000000000004E-4</v>
      </c>
      <c r="Q42" s="4588">
        <v>177</v>
      </c>
      <c r="R42" s="4561">
        <f t="shared" si="70"/>
        <v>45</v>
      </c>
      <c r="S42" s="1118">
        <f t="shared" si="16"/>
        <v>4.4999999999999998E-2</v>
      </c>
      <c r="T42" s="1119">
        <f t="shared" si="17"/>
        <v>1.3650000000000005E-3</v>
      </c>
      <c r="U42" s="374">
        <f t="shared" si="18"/>
        <v>0</v>
      </c>
      <c r="V42" s="1120">
        <f t="shared" si="19"/>
        <v>0</v>
      </c>
      <c r="W42" s="376">
        <f t="shared" si="20"/>
        <v>0</v>
      </c>
      <c r="X42" s="377">
        <f t="shared" si="21"/>
        <v>0</v>
      </c>
      <c r="Y42" s="378">
        <f t="shared" si="22"/>
        <v>0</v>
      </c>
      <c r="Z42" s="1121">
        <f t="shared" si="23"/>
        <v>4.4999999999999998E-2</v>
      </c>
      <c r="AA42" s="1122">
        <f t="shared" si="24"/>
        <v>0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  <c r="AN42" s="204"/>
    </row>
    <row r="43" spans="1:40" ht="14" thickBot="1">
      <c r="A43" s="1270" t="s">
        <v>458</v>
      </c>
      <c r="B43" s="1234" t="s">
        <v>459</v>
      </c>
      <c r="C43" s="274">
        <f t="shared" si="68"/>
        <v>1.7682291666666674E-4</v>
      </c>
      <c r="D43" s="1237">
        <v>7</v>
      </c>
      <c r="E43" s="1187">
        <v>1</v>
      </c>
      <c r="F43" s="1187">
        <v>12</v>
      </c>
      <c r="G43" s="6864">
        <v>25</v>
      </c>
      <c r="H43" s="6880" t="s">
        <v>2402</v>
      </c>
      <c r="I43" s="6867">
        <v>1.2731481481481483E-3</v>
      </c>
      <c r="J43" s="1188">
        <v>0</v>
      </c>
      <c r="K43" s="438" t="s">
        <v>2241</v>
      </c>
      <c r="L43" s="1189">
        <f t="shared" si="64"/>
        <v>0.84401968333401123</v>
      </c>
      <c r="M43" s="1190">
        <v>1.07</v>
      </c>
      <c r="N43" s="1188">
        <f t="shared" si="65"/>
        <v>1.7548184027777781E-2</v>
      </c>
      <c r="O43" s="1191">
        <f>C43*(G43/25)</f>
        <v>1.7682291666666674E-4</v>
      </c>
      <c r="P43" s="1192">
        <f t="shared" ref="P43" si="71">O43*M43</f>
        <v>1.8920052083333343E-4</v>
      </c>
      <c r="Q43" s="788">
        <v>179</v>
      </c>
      <c r="R43" s="1187">
        <f t="shared" ref="R43" si="72">E43*F43*G43</f>
        <v>300</v>
      </c>
      <c r="S43" s="1118">
        <f t="shared" si="16"/>
        <v>0.3</v>
      </c>
      <c r="T43" s="1119">
        <f t="shared" si="17"/>
        <v>8.4875000000000037E-3</v>
      </c>
      <c r="U43" s="374">
        <f t="shared" si="18"/>
        <v>0</v>
      </c>
      <c r="V43" s="1120">
        <f t="shared" si="19"/>
        <v>0</v>
      </c>
      <c r="W43" s="376">
        <f t="shared" si="20"/>
        <v>0</v>
      </c>
      <c r="X43" s="377">
        <f t="shared" si="21"/>
        <v>0</v>
      </c>
      <c r="Y43" s="378">
        <f t="shared" si="22"/>
        <v>0</v>
      </c>
      <c r="Z43" s="1121">
        <f t="shared" si="23"/>
        <v>0</v>
      </c>
      <c r="AA43" s="1122">
        <f t="shared" si="24"/>
        <v>0.3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  <c r="AN43" s="204"/>
    </row>
    <row r="44" spans="1:40" ht="14" thickBot="1">
      <c r="A44" s="1270" t="s">
        <v>219</v>
      </c>
      <c r="B44" s="1234"/>
      <c r="C44" s="274">
        <f t="shared" si="68"/>
        <v>2.2880964381720439E-4</v>
      </c>
      <c r="D44" s="547">
        <v>1</v>
      </c>
      <c r="E44" s="1194"/>
      <c r="F44" s="1194"/>
      <c r="G44" s="1194"/>
      <c r="H44" s="204"/>
      <c r="I44" s="274"/>
      <c r="J44" s="274"/>
      <c r="K44" s="312"/>
      <c r="L44" s="1003">
        <f t="shared" si="64"/>
        <v>0.86156786736178903</v>
      </c>
      <c r="M44" s="1198"/>
      <c r="N44" s="1008">
        <f>SUM(N36:N43)</f>
        <v>6.2956756250677898E-2</v>
      </c>
      <c r="O44" s="336"/>
      <c r="P44" s="336"/>
      <c r="Q44" s="336"/>
      <c r="R44" s="1238">
        <f>SUM(R36:R43)</f>
        <v>2462.5</v>
      </c>
      <c r="S44" s="1118">
        <f t="shared" si="16"/>
        <v>0</v>
      </c>
      <c r="T44" s="1119">
        <f t="shared" si="17"/>
        <v>0</v>
      </c>
      <c r="U44" s="374">
        <f t="shared" si="18"/>
        <v>0</v>
      </c>
      <c r="V44" s="1120">
        <f t="shared" si="19"/>
        <v>0</v>
      </c>
      <c r="W44" s="376">
        <f t="shared" si="20"/>
        <v>0</v>
      </c>
      <c r="X44" s="377">
        <f t="shared" si="21"/>
        <v>0</v>
      </c>
      <c r="Y44" s="378">
        <f t="shared" si="22"/>
        <v>0</v>
      </c>
      <c r="Z44" s="1121">
        <f t="shared" si="23"/>
        <v>0</v>
      </c>
      <c r="AA44" s="1122">
        <f t="shared" si="24"/>
        <v>0</v>
      </c>
      <c r="AB44" s="565"/>
      <c r="AC44" s="231">
        <v>0</v>
      </c>
      <c r="AD44" s="231">
        <v>0</v>
      </c>
      <c r="AE44" s="222"/>
      <c r="AF44" s="222"/>
      <c r="AG44" s="222"/>
      <c r="AH44" s="222"/>
      <c r="AI44" s="222"/>
    </row>
    <row r="45" spans="1:40" ht="14" thickBot="1">
      <c r="A45" s="1270" t="s">
        <v>215</v>
      </c>
      <c r="B45" s="1234" t="s">
        <v>461</v>
      </c>
      <c r="C45" s="274">
        <f t="shared" si="68"/>
        <v>2.1908757716049393E-4</v>
      </c>
      <c r="D45" s="890">
        <v>2</v>
      </c>
      <c r="E45" s="1173">
        <v>1</v>
      </c>
      <c r="F45" s="1173">
        <v>3</v>
      </c>
      <c r="G45" s="1173">
        <v>150</v>
      </c>
      <c r="H45" s="6883" t="s">
        <v>2409</v>
      </c>
      <c r="I45" s="299">
        <v>1.1574074074074073E-4</v>
      </c>
      <c r="J45" s="299">
        <v>1.3888888888888889E-3</v>
      </c>
      <c r="K45" s="1123" t="s">
        <v>24</v>
      </c>
      <c r="L45" s="1149">
        <v>0.79861111111111116</v>
      </c>
      <c r="M45" s="1174">
        <v>1</v>
      </c>
      <c r="N45" s="299">
        <f t="shared" ref="N45:N46" si="73">P45*E45*F45+I45*E45*F45+J45*E45</f>
        <v>5.6796875000000016E-3</v>
      </c>
      <c r="O45" s="1175">
        <f>C45*(G45/25)</f>
        <v>1.3145254629629635E-3</v>
      </c>
      <c r="P45" s="1175">
        <f t="shared" ref="P45:P46" si="74">O45*M45</f>
        <v>1.3145254629629635E-3</v>
      </c>
      <c r="Q45" s="550">
        <v>147</v>
      </c>
      <c r="R45" s="1176">
        <f t="shared" ref="R45:R46" si="75">E45*F45*G45</f>
        <v>450</v>
      </c>
      <c r="S45" s="1118">
        <f t="shared" si="16"/>
        <v>0.45</v>
      </c>
      <c r="T45" s="1119">
        <f t="shared" si="17"/>
        <v>1.5774305555555562E-2</v>
      </c>
      <c r="U45" s="374">
        <f t="shared" si="18"/>
        <v>0</v>
      </c>
      <c r="V45" s="1120">
        <f t="shared" si="19"/>
        <v>0.45</v>
      </c>
      <c r="W45" s="376">
        <f t="shared" si="20"/>
        <v>0</v>
      </c>
      <c r="X45" s="377">
        <f t="shared" si="21"/>
        <v>0</v>
      </c>
      <c r="Y45" s="378">
        <f t="shared" si="22"/>
        <v>0</v>
      </c>
      <c r="Z45" s="1121">
        <f t="shared" si="23"/>
        <v>0</v>
      </c>
      <c r="AA45" s="1122">
        <f t="shared" si="24"/>
        <v>0</v>
      </c>
      <c r="AB45" s="565"/>
      <c r="AC45" s="231"/>
      <c r="AD45" s="231"/>
      <c r="AE45" s="222"/>
      <c r="AF45" s="222"/>
      <c r="AG45" s="222"/>
      <c r="AH45" s="222"/>
      <c r="AI45" s="222"/>
    </row>
    <row r="46" spans="1:40" ht="14" thickBot="1">
      <c r="A46" s="1270" t="s">
        <v>139</v>
      </c>
      <c r="B46" s="1234" t="s">
        <v>461</v>
      </c>
      <c r="C46" s="274">
        <f t="shared" si="68"/>
        <v>2.0247664488766629E-4</v>
      </c>
      <c r="D46" s="1197">
        <v>4</v>
      </c>
      <c r="E46" s="1177">
        <v>1</v>
      </c>
      <c r="F46" s="1177">
        <v>6</v>
      </c>
      <c r="G46" s="1177">
        <v>60</v>
      </c>
      <c r="H46" s="6872" t="s">
        <v>458</v>
      </c>
      <c r="I46" s="1178">
        <v>3.4722222222222224E-4</v>
      </c>
      <c r="J46" s="1178">
        <v>1.3888888888888889E-3</v>
      </c>
      <c r="K46" s="6308" t="s">
        <v>2242</v>
      </c>
      <c r="L46" s="996">
        <f t="shared" ref="L46:L52" si="76">L45+N45</f>
        <v>0.80429079861111119</v>
      </c>
      <c r="M46" s="1180">
        <v>1</v>
      </c>
      <c r="N46" s="1178">
        <f t="shared" si="73"/>
        <v>6.5045124560599125E-3</v>
      </c>
      <c r="O46" s="1181">
        <f>C46*(G46/25)*1.04</f>
        <v>5.0538170563961505E-4</v>
      </c>
      <c r="P46" s="1181">
        <f t="shared" si="74"/>
        <v>5.0538170563961505E-4</v>
      </c>
      <c r="Q46" s="334">
        <v>177</v>
      </c>
      <c r="R46" s="1177">
        <f t="shared" si="75"/>
        <v>360</v>
      </c>
      <c r="S46" s="1118">
        <f t="shared" si="16"/>
        <v>0.36</v>
      </c>
      <c r="T46" s="1119">
        <f t="shared" si="17"/>
        <v>1.2129160935350762E-2</v>
      </c>
      <c r="U46" s="374">
        <f t="shared" si="18"/>
        <v>0</v>
      </c>
      <c r="V46" s="1120">
        <f t="shared" si="19"/>
        <v>0</v>
      </c>
      <c r="W46" s="376">
        <f t="shared" si="20"/>
        <v>0</v>
      </c>
      <c r="X46" s="377">
        <f t="shared" si="21"/>
        <v>0.36</v>
      </c>
      <c r="Y46" s="378">
        <f t="shared" si="22"/>
        <v>0</v>
      </c>
      <c r="Z46" s="1121">
        <f t="shared" si="23"/>
        <v>0</v>
      </c>
      <c r="AA46" s="1122">
        <f t="shared" si="24"/>
        <v>0</v>
      </c>
      <c r="AB46" s="144"/>
      <c r="AC46" s="213"/>
      <c r="AD46" s="213"/>
      <c r="AE46" s="222"/>
      <c r="AF46" s="222"/>
      <c r="AG46" s="222"/>
      <c r="AH46" s="222"/>
      <c r="AI46" s="222"/>
      <c r="AJ46" s="213"/>
      <c r="AK46" s="213"/>
      <c r="AL46" s="213"/>
      <c r="AM46" s="213"/>
    </row>
    <row r="47" spans="1:40" s="245" customFormat="1" ht="12" thickBot="1">
      <c r="A47" s="1270" t="s">
        <v>458</v>
      </c>
      <c r="B47" s="1234" t="s">
        <v>461</v>
      </c>
      <c r="C47" s="274">
        <f t="shared" si="68"/>
        <v>2.2880964381720439E-4</v>
      </c>
      <c r="D47" s="1906">
        <v>1</v>
      </c>
      <c r="E47" s="1907">
        <v>1</v>
      </c>
      <c r="F47" s="1907">
        <v>2</v>
      </c>
      <c r="G47" s="1907">
        <v>150</v>
      </c>
      <c r="H47" s="6873" t="s">
        <v>2407</v>
      </c>
      <c r="I47" s="1908">
        <v>1.1574074074074073E-4</v>
      </c>
      <c r="J47" s="1908">
        <v>1.3888888888888889E-3</v>
      </c>
      <c r="K47" s="1909" t="s">
        <v>23</v>
      </c>
      <c r="L47" s="1910">
        <f t="shared" si="76"/>
        <v>0.81079531106717107</v>
      </c>
      <c r="M47" s="1911">
        <v>1</v>
      </c>
      <c r="N47" s="1908">
        <f>P47*E47*F47+I47*E47*F47+J47*E47</f>
        <v>4.3660860961768234E-3</v>
      </c>
      <c r="O47" s="1912">
        <f>C47*(G47/25)</f>
        <v>1.3728578629032264E-3</v>
      </c>
      <c r="P47" s="1912">
        <f>O47*M47</f>
        <v>1.3728578629032264E-3</v>
      </c>
      <c r="Q47" s="1913">
        <v>147</v>
      </c>
      <c r="R47" s="1914">
        <f>E47*F47*G47</f>
        <v>300</v>
      </c>
      <c r="S47" s="1118">
        <f t="shared" si="16"/>
        <v>0.3</v>
      </c>
      <c r="T47" s="1119">
        <f t="shared" si="17"/>
        <v>1.0982862903225811E-2</v>
      </c>
      <c r="U47" s="374">
        <f t="shared" si="18"/>
        <v>0.3</v>
      </c>
      <c r="V47" s="1120">
        <f t="shared" si="19"/>
        <v>0</v>
      </c>
      <c r="W47" s="376">
        <f t="shared" si="20"/>
        <v>0</v>
      </c>
      <c r="X47" s="377">
        <f t="shared" si="21"/>
        <v>0</v>
      </c>
      <c r="Y47" s="378">
        <f t="shared" si="22"/>
        <v>0</v>
      </c>
      <c r="Z47" s="1121">
        <f t="shared" si="23"/>
        <v>0</v>
      </c>
      <c r="AA47" s="1122">
        <f t="shared" si="24"/>
        <v>0</v>
      </c>
      <c r="AB47" s="144"/>
      <c r="AC47" s="214"/>
      <c r="AD47" s="214"/>
      <c r="AE47" s="222"/>
      <c r="AF47" s="222"/>
      <c r="AG47" s="222"/>
      <c r="AH47" s="222"/>
      <c r="AI47" s="222"/>
      <c r="AJ47" s="214"/>
      <c r="AK47" s="214"/>
      <c r="AL47" s="214"/>
      <c r="AM47" s="214"/>
      <c r="AN47" s="244"/>
    </row>
    <row r="48" spans="1:40" ht="14" thickBot="1">
      <c r="A48" s="1270" t="s">
        <v>462</v>
      </c>
      <c r="B48" s="1234" t="s">
        <v>461</v>
      </c>
      <c r="C48" s="274">
        <f t="shared" si="68"/>
        <v>2.0247664488766629E-4</v>
      </c>
      <c r="D48" s="1197">
        <v>4</v>
      </c>
      <c r="E48" s="1177">
        <v>1</v>
      </c>
      <c r="F48" s="1177">
        <v>6</v>
      </c>
      <c r="G48" s="1177">
        <v>60</v>
      </c>
      <c r="H48" s="6873" t="s">
        <v>459</v>
      </c>
      <c r="I48" s="1178">
        <v>3.4722222222222224E-4</v>
      </c>
      <c r="J48" s="1178">
        <v>1.3888888888888889E-3</v>
      </c>
      <c r="K48" s="6308" t="s">
        <v>2242</v>
      </c>
      <c r="L48" s="996">
        <f t="shared" si="76"/>
        <v>0.8151613971633479</v>
      </c>
      <c r="M48" s="1180">
        <v>1</v>
      </c>
      <c r="N48" s="1178">
        <f t="shared" ref="N48" si="77">P48*E48*F48+I48*E48*F48+J48*E48</f>
        <v>6.5045124560599125E-3</v>
      </c>
      <c r="O48" s="1181">
        <f>C48*(G48/25)*1.04</f>
        <v>5.0538170563961505E-4</v>
      </c>
      <c r="P48" s="1181">
        <f t="shared" ref="P48" si="78">O48*M48</f>
        <v>5.0538170563961505E-4</v>
      </c>
      <c r="Q48" s="334">
        <v>177</v>
      </c>
      <c r="R48" s="1177">
        <f t="shared" ref="R48" si="79">E48*F48*G48</f>
        <v>360</v>
      </c>
      <c r="S48" s="1118">
        <f t="shared" si="16"/>
        <v>0.36</v>
      </c>
      <c r="T48" s="1119">
        <f t="shared" si="17"/>
        <v>1.2129160935350762E-2</v>
      </c>
      <c r="U48" s="374">
        <f t="shared" si="18"/>
        <v>0</v>
      </c>
      <c r="V48" s="1120">
        <f t="shared" si="19"/>
        <v>0</v>
      </c>
      <c r="W48" s="376">
        <f t="shared" si="20"/>
        <v>0</v>
      </c>
      <c r="X48" s="377">
        <f t="shared" si="21"/>
        <v>0.36</v>
      </c>
      <c r="Y48" s="378">
        <f t="shared" si="22"/>
        <v>0</v>
      </c>
      <c r="Z48" s="1121">
        <f t="shared" si="23"/>
        <v>0</v>
      </c>
      <c r="AA48" s="1122">
        <f t="shared" si="24"/>
        <v>0</v>
      </c>
      <c r="AB48" s="144"/>
      <c r="AE48" s="222"/>
      <c r="AF48" s="222"/>
      <c r="AG48" s="222"/>
      <c r="AH48" s="222"/>
      <c r="AI48" s="222"/>
    </row>
    <row r="49" spans="1:40" ht="14" thickBot="1">
      <c r="A49" s="1270" t="s">
        <v>140</v>
      </c>
      <c r="B49" s="1234" t="s">
        <v>461</v>
      </c>
      <c r="C49" s="274">
        <f t="shared" si="68"/>
        <v>2.2880964381720439E-4</v>
      </c>
      <c r="D49" s="1906">
        <v>1</v>
      </c>
      <c r="E49" s="1907">
        <v>1</v>
      </c>
      <c r="F49" s="1907">
        <v>2</v>
      </c>
      <c r="G49" s="1907">
        <v>150</v>
      </c>
      <c r="H49" s="6873" t="s">
        <v>139</v>
      </c>
      <c r="I49" s="1908">
        <v>1.1574074074074073E-4</v>
      </c>
      <c r="J49" s="1908">
        <v>1.3888888888888889E-3</v>
      </c>
      <c r="K49" s="1909" t="s">
        <v>23</v>
      </c>
      <c r="L49" s="1910">
        <f t="shared" si="76"/>
        <v>0.82166590961940777</v>
      </c>
      <c r="M49" s="1911">
        <v>1</v>
      </c>
      <c r="N49" s="1908">
        <f>P49*E49*F49+I49*E49*F49+J49*E49</f>
        <v>4.3660860961768234E-3</v>
      </c>
      <c r="O49" s="1912">
        <f>C49*(G49/25)</f>
        <v>1.3728578629032264E-3</v>
      </c>
      <c r="P49" s="1912">
        <f>O49*M49</f>
        <v>1.3728578629032264E-3</v>
      </c>
      <c r="Q49" s="1913">
        <v>147</v>
      </c>
      <c r="R49" s="1914">
        <f>E49*F49*G49</f>
        <v>300</v>
      </c>
      <c r="S49" s="1118">
        <f t="shared" si="16"/>
        <v>0.3</v>
      </c>
      <c r="T49" s="1119">
        <f t="shared" si="17"/>
        <v>1.0982862903225811E-2</v>
      </c>
      <c r="U49" s="374">
        <f t="shared" si="18"/>
        <v>0.3</v>
      </c>
      <c r="V49" s="1120">
        <f t="shared" si="19"/>
        <v>0</v>
      </c>
      <c r="W49" s="376">
        <f t="shared" si="20"/>
        <v>0</v>
      </c>
      <c r="X49" s="377">
        <f t="shared" si="21"/>
        <v>0</v>
      </c>
      <c r="Y49" s="378">
        <f t="shared" si="22"/>
        <v>0</v>
      </c>
      <c r="Z49" s="1121">
        <f t="shared" si="23"/>
        <v>0</v>
      </c>
      <c r="AA49" s="1122">
        <f t="shared" si="24"/>
        <v>0</v>
      </c>
      <c r="AB49" s="144"/>
    </row>
    <row r="50" spans="1:40" ht="14" thickBot="1">
      <c r="A50" s="1270" t="s">
        <v>674</v>
      </c>
      <c r="B50" s="1234" t="s">
        <v>461</v>
      </c>
      <c r="C50" s="274">
        <f t="shared" si="68"/>
        <v>2.0247664488766629E-4</v>
      </c>
      <c r="D50" s="1197">
        <v>4</v>
      </c>
      <c r="E50" s="1177">
        <v>1</v>
      </c>
      <c r="F50" s="1177">
        <v>4</v>
      </c>
      <c r="G50" s="1177">
        <v>200</v>
      </c>
      <c r="H50" s="6874" t="s">
        <v>2408</v>
      </c>
      <c r="I50" s="1178">
        <v>4.6296296296296293E-4</v>
      </c>
      <c r="J50" s="1178">
        <v>1.3888888888888889E-3</v>
      </c>
      <c r="K50" s="316" t="s">
        <v>1048</v>
      </c>
      <c r="L50" s="996">
        <f t="shared" si="76"/>
        <v>0.82603199571558461</v>
      </c>
      <c r="M50" s="1180">
        <v>2.2000000000000002</v>
      </c>
      <c r="N50" s="1178">
        <f>P50*E50*F50+I50*E50*F50+J50*E50</f>
        <v>1.8350357888837952E-2</v>
      </c>
      <c r="O50" s="1181">
        <f>C50*(G50/25)*1.06</f>
        <v>1.7170019486474103E-3</v>
      </c>
      <c r="P50" s="1181">
        <f>O50*M50</f>
        <v>3.777404287024303E-3</v>
      </c>
      <c r="Q50" s="334">
        <v>166</v>
      </c>
      <c r="R50" s="1177">
        <f>E50*F50*G50</f>
        <v>800</v>
      </c>
      <c r="S50" s="1118">
        <f t="shared" si="16"/>
        <v>0.8</v>
      </c>
      <c r="T50" s="1119">
        <f t="shared" si="17"/>
        <v>2.7472031178358565E-2</v>
      </c>
      <c r="U50" s="374">
        <f t="shared" si="18"/>
        <v>0</v>
      </c>
      <c r="V50" s="1120">
        <f t="shared" si="19"/>
        <v>0</v>
      </c>
      <c r="W50" s="376">
        <f t="shared" si="20"/>
        <v>0</v>
      </c>
      <c r="X50" s="377">
        <f t="shared" si="21"/>
        <v>0.8</v>
      </c>
      <c r="Y50" s="378">
        <f t="shared" si="22"/>
        <v>0</v>
      </c>
      <c r="Z50" s="1121">
        <f t="shared" si="23"/>
        <v>0</v>
      </c>
      <c r="AA50" s="1122">
        <f t="shared" si="24"/>
        <v>0</v>
      </c>
      <c r="AB50" s="144"/>
      <c r="AC50" s="231">
        <v>0</v>
      </c>
      <c r="AD50" s="231">
        <v>0</v>
      </c>
      <c r="AE50" s="231">
        <v>0</v>
      </c>
      <c r="AF50" s="231">
        <v>0</v>
      </c>
      <c r="AG50" s="231">
        <v>0</v>
      </c>
      <c r="AH50" s="231">
        <v>0</v>
      </c>
      <c r="AI50" s="225"/>
    </row>
    <row r="51" spans="1:40">
      <c r="A51" s="1270" t="s">
        <v>214</v>
      </c>
      <c r="B51" s="1234" t="s">
        <v>461</v>
      </c>
      <c r="C51" s="274">
        <f t="shared" si="68"/>
        <v>1.7682291666666674E-4</v>
      </c>
      <c r="D51" s="1237">
        <v>7</v>
      </c>
      <c r="E51" s="1187">
        <v>1</v>
      </c>
      <c r="F51" s="1187">
        <v>4</v>
      </c>
      <c r="G51" s="1187">
        <v>25</v>
      </c>
      <c r="H51" s="6872" t="s">
        <v>674</v>
      </c>
      <c r="I51" s="1051">
        <v>4.6296296296296293E-4</v>
      </c>
      <c r="J51" s="1188">
        <v>6.9444444444444447E-4</v>
      </c>
      <c r="K51" s="438" t="s">
        <v>2406</v>
      </c>
      <c r="L51" s="1189">
        <f t="shared" si="76"/>
        <v>0.8443823536044226</v>
      </c>
      <c r="M51" s="1190">
        <v>1</v>
      </c>
      <c r="N51" s="1188">
        <f t="shared" ref="N51:N53" si="80">P51*E51*F51+I51*E51*F51+J51*E51</f>
        <v>3.2535879629629633E-3</v>
      </c>
      <c r="O51" s="1191">
        <f>C51*(G51/25)</f>
        <v>1.7682291666666674E-4</v>
      </c>
      <c r="P51" s="1192">
        <f t="shared" ref="P51" si="81">O51*M51</f>
        <v>1.7682291666666674E-4</v>
      </c>
      <c r="Q51" s="788">
        <v>179</v>
      </c>
      <c r="R51" s="1187">
        <f t="shared" ref="R51" si="82">E51*F51*G51</f>
        <v>100</v>
      </c>
      <c r="S51" s="1118">
        <f t="shared" si="16"/>
        <v>0.1</v>
      </c>
      <c r="T51" s="1119">
        <f t="shared" si="17"/>
        <v>2.8291666666666678E-3</v>
      </c>
      <c r="U51" s="374">
        <f t="shared" si="18"/>
        <v>0</v>
      </c>
      <c r="V51" s="1120">
        <f t="shared" si="19"/>
        <v>0</v>
      </c>
      <c r="W51" s="376">
        <f t="shared" si="20"/>
        <v>0</v>
      </c>
      <c r="X51" s="377">
        <f t="shared" si="21"/>
        <v>0</v>
      </c>
      <c r="Y51" s="378">
        <f t="shared" si="22"/>
        <v>0</v>
      </c>
      <c r="Z51" s="1121">
        <f t="shared" si="23"/>
        <v>0</v>
      </c>
      <c r="AA51" s="1122">
        <f t="shared" si="24"/>
        <v>0.1</v>
      </c>
      <c r="AB51" s="144"/>
      <c r="AC51" s="231"/>
      <c r="AD51" s="231"/>
      <c r="AE51" s="231"/>
      <c r="AF51" s="231"/>
      <c r="AG51" s="231"/>
      <c r="AH51" s="231"/>
      <c r="AI51" s="225"/>
    </row>
    <row r="52" spans="1:40" ht="14" thickBot="1">
      <c r="A52" s="144"/>
      <c r="B52" s="144"/>
      <c r="C52" s="274">
        <f t="shared" si="68"/>
        <v>0</v>
      </c>
      <c r="D52" s="906"/>
      <c r="E52" s="1278"/>
      <c r="F52" s="1278"/>
      <c r="G52" s="1278"/>
      <c r="H52" s="1278"/>
      <c r="I52" s="1278"/>
      <c r="J52" s="1278"/>
      <c r="K52" s="1278"/>
      <c r="L52" s="1003">
        <f t="shared" si="76"/>
        <v>0.84763594156738553</v>
      </c>
      <c r="M52" s="1278"/>
      <c r="N52" s="6871">
        <f>SUM(N45:N51)</f>
        <v>4.9024830456274392E-2</v>
      </c>
      <c r="O52" s="1278"/>
      <c r="P52" s="1278"/>
      <c r="Q52" s="1278"/>
      <c r="R52" s="4933">
        <f>SUM(R45:R51)</f>
        <v>2670</v>
      </c>
      <c r="S52" s="1118">
        <f t="shared" si="16"/>
        <v>0</v>
      </c>
      <c r="T52" s="1119">
        <f t="shared" si="17"/>
        <v>0</v>
      </c>
      <c r="U52" s="374">
        <f t="shared" si="18"/>
        <v>0</v>
      </c>
      <c r="V52" s="1120">
        <f t="shared" si="19"/>
        <v>0</v>
      </c>
      <c r="W52" s="376">
        <f t="shared" si="20"/>
        <v>0</v>
      </c>
      <c r="X52" s="377">
        <f t="shared" si="21"/>
        <v>0</v>
      </c>
      <c r="Y52" s="378">
        <f t="shared" si="22"/>
        <v>0</v>
      </c>
      <c r="Z52" s="1121">
        <f t="shared" si="23"/>
        <v>0</v>
      </c>
      <c r="AA52" s="1122">
        <f t="shared" si="24"/>
        <v>0</v>
      </c>
      <c r="AB52" s="144"/>
      <c r="AC52" s="231">
        <v>0</v>
      </c>
      <c r="AD52" s="231">
        <v>0</v>
      </c>
      <c r="AE52" s="231">
        <v>0</v>
      </c>
      <c r="AF52" s="231">
        <v>0</v>
      </c>
      <c r="AG52" s="231">
        <v>0</v>
      </c>
      <c r="AH52" s="231">
        <v>0</v>
      </c>
      <c r="AI52" s="213"/>
    </row>
    <row r="53" spans="1:40" ht="14" thickBot="1">
      <c r="A53" s="6875" t="s">
        <v>217</v>
      </c>
      <c r="B53" s="6876" t="s">
        <v>459</v>
      </c>
      <c r="C53" s="274">
        <f t="shared" si="68"/>
        <v>2.2880964381720439E-4</v>
      </c>
      <c r="D53" s="6312">
        <v>1</v>
      </c>
      <c r="E53" s="6313">
        <v>4</v>
      </c>
      <c r="F53" s="6313">
        <v>2</v>
      </c>
      <c r="G53" s="6313">
        <v>50</v>
      </c>
      <c r="H53" s="6879"/>
      <c r="I53" s="6314">
        <v>2.3148148148148146E-4</v>
      </c>
      <c r="J53" s="6314">
        <v>3.4722222222222224E-4</v>
      </c>
      <c r="K53" s="6315" t="s">
        <v>2417</v>
      </c>
      <c r="L53" s="1235">
        <v>0.38194444444444442</v>
      </c>
      <c r="M53" s="6316">
        <v>1</v>
      </c>
      <c r="N53" s="1235">
        <f t="shared" si="80"/>
        <v>6.9016950418160109E-3</v>
      </c>
      <c r="O53" s="6317">
        <f>C53*(G53/25)</f>
        <v>4.5761928763440879E-4</v>
      </c>
      <c r="P53" s="1196">
        <f t="shared" ref="P53" si="83">O53*M53</f>
        <v>4.5761928763440879E-4</v>
      </c>
      <c r="Q53" s="6318">
        <v>179</v>
      </c>
      <c r="R53" s="6319">
        <f t="shared" ref="R53" si="84">E53*F53*G53</f>
        <v>400</v>
      </c>
      <c r="S53" s="1118">
        <f t="shared" si="16"/>
        <v>0.4</v>
      </c>
      <c r="T53" s="1119">
        <f t="shared" si="17"/>
        <v>1.4643817204301081E-2</v>
      </c>
      <c r="U53" s="374">
        <f t="shared" si="18"/>
        <v>0.4</v>
      </c>
      <c r="V53" s="1120">
        <f t="shared" si="19"/>
        <v>0</v>
      </c>
      <c r="W53" s="376">
        <f t="shared" si="20"/>
        <v>0</v>
      </c>
      <c r="X53" s="377">
        <f t="shared" si="21"/>
        <v>0</v>
      </c>
      <c r="Y53" s="378">
        <f t="shared" si="22"/>
        <v>0</v>
      </c>
      <c r="Z53" s="1121">
        <f t="shared" si="23"/>
        <v>0</v>
      </c>
      <c r="AA53" s="1122">
        <f t="shared" si="24"/>
        <v>0</v>
      </c>
      <c r="AB53" s="144"/>
      <c r="AC53" s="231"/>
      <c r="AD53" s="231"/>
      <c r="AE53" s="231"/>
      <c r="AF53" s="231"/>
      <c r="AG53" s="231"/>
      <c r="AH53" s="231"/>
      <c r="AI53" s="213"/>
    </row>
    <row r="54" spans="1:40" ht="14" thickBot="1">
      <c r="A54" s="6875" t="s">
        <v>459</v>
      </c>
      <c r="B54" s="6876" t="s">
        <v>459</v>
      </c>
      <c r="C54" s="274">
        <f t="shared" si="68"/>
        <v>1.7682291666666674E-4</v>
      </c>
      <c r="D54" s="6320">
        <v>7</v>
      </c>
      <c r="E54" s="4267">
        <v>1</v>
      </c>
      <c r="F54" s="4268">
        <v>4</v>
      </c>
      <c r="G54" s="6877">
        <v>30</v>
      </c>
      <c r="H54" s="6868" t="s">
        <v>2410</v>
      </c>
      <c r="I54" s="2779">
        <v>4.6296296296296293E-4</v>
      </c>
      <c r="J54" s="4270">
        <v>2.0833333333333333E-3</v>
      </c>
      <c r="K54" s="6321" t="s">
        <v>914</v>
      </c>
      <c r="L54" s="6329">
        <f t="shared" ref="L54" si="85">L53+N53</f>
        <v>0.38884613948626046</v>
      </c>
      <c r="M54" s="6331"/>
      <c r="N54" s="6332">
        <v>6.7129629629629622E-3</v>
      </c>
      <c r="O54" s="6330"/>
      <c r="P54" s="6322">
        <v>2.3171296296296297E-4</v>
      </c>
      <c r="Q54" s="6323">
        <v>177</v>
      </c>
      <c r="R54" s="6324">
        <v>60</v>
      </c>
      <c r="S54" s="1118">
        <f t="shared" si="16"/>
        <v>0.12</v>
      </c>
      <c r="T54" s="1119">
        <f t="shared" si="17"/>
        <v>0</v>
      </c>
      <c r="U54" s="374">
        <f t="shared" si="18"/>
        <v>0</v>
      </c>
      <c r="V54" s="1120">
        <f t="shared" si="19"/>
        <v>0</v>
      </c>
      <c r="W54" s="376">
        <f t="shared" si="20"/>
        <v>0</v>
      </c>
      <c r="X54" s="377">
        <f t="shared" si="21"/>
        <v>0</v>
      </c>
      <c r="Y54" s="378">
        <f t="shared" si="22"/>
        <v>0</v>
      </c>
      <c r="Z54" s="1121">
        <f t="shared" si="23"/>
        <v>0</v>
      </c>
      <c r="AA54" s="1122">
        <f t="shared" si="24"/>
        <v>0.12</v>
      </c>
      <c r="AB54" s="144"/>
      <c r="AC54" s="231"/>
      <c r="AD54" s="231"/>
      <c r="AE54" s="231"/>
      <c r="AF54" s="231"/>
      <c r="AG54" s="231"/>
      <c r="AH54" s="231"/>
      <c r="AI54" s="213"/>
    </row>
    <row r="55" spans="1:40" ht="14" thickBot="1">
      <c r="A55" s="6875" t="s">
        <v>458</v>
      </c>
      <c r="B55" s="6876" t="s">
        <v>459</v>
      </c>
      <c r="C55" s="274">
        <f t="shared" si="68"/>
        <v>1.7682291666666674E-4</v>
      </c>
      <c r="D55" s="6320">
        <v>7</v>
      </c>
      <c r="E55" s="4267">
        <v>1</v>
      </c>
      <c r="F55" s="4268">
        <v>4</v>
      </c>
      <c r="G55" s="6877">
        <v>30</v>
      </c>
      <c r="H55" s="6880" t="s">
        <v>2411</v>
      </c>
      <c r="I55" s="2779">
        <v>4.6296296296296293E-4</v>
      </c>
      <c r="J55" s="4270">
        <v>2.0833333333333333E-3</v>
      </c>
      <c r="K55" s="6321" t="s">
        <v>914</v>
      </c>
      <c r="L55" s="6329">
        <f t="shared" ref="L55:L60" si="86">L54+N54</f>
        <v>0.39555910244922343</v>
      </c>
      <c r="M55" s="6331"/>
      <c r="N55" s="6332">
        <v>6.7129629629629622E-3</v>
      </c>
      <c r="O55" s="6330"/>
      <c r="P55" s="6322">
        <v>2.3171296296296297E-4</v>
      </c>
      <c r="Q55" s="6323">
        <v>177</v>
      </c>
      <c r="R55" s="6324">
        <v>60</v>
      </c>
      <c r="S55" s="1118">
        <f t="shared" si="16"/>
        <v>0.12</v>
      </c>
      <c r="T55" s="1119">
        <f t="shared" si="17"/>
        <v>0</v>
      </c>
      <c r="U55" s="374">
        <f t="shared" si="18"/>
        <v>0</v>
      </c>
      <c r="V55" s="1120">
        <f t="shared" si="19"/>
        <v>0</v>
      </c>
      <c r="W55" s="376">
        <f t="shared" si="20"/>
        <v>0</v>
      </c>
      <c r="X55" s="377">
        <f t="shared" si="21"/>
        <v>0</v>
      </c>
      <c r="Y55" s="378">
        <f t="shared" si="22"/>
        <v>0</v>
      </c>
      <c r="Z55" s="1121">
        <f t="shared" si="23"/>
        <v>0</v>
      </c>
      <c r="AA55" s="1122">
        <f t="shared" si="24"/>
        <v>0.12</v>
      </c>
      <c r="AB55" s="144"/>
      <c r="AC55" s="231"/>
      <c r="AD55" s="231"/>
      <c r="AE55" s="231"/>
      <c r="AF55" s="231"/>
      <c r="AG55" s="231"/>
      <c r="AH55" s="231"/>
      <c r="AI55" s="213"/>
    </row>
    <row r="56" spans="1:40" ht="14" thickBot="1">
      <c r="A56" s="6875" t="s">
        <v>218</v>
      </c>
      <c r="B56" s="6876" t="s">
        <v>459</v>
      </c>
      <c r="C56" s="274">
        <f t="shared" si="68"/>
        <v>1.7682291666666674E-4</v>
      </c>
      <c r="D56" s="6320">
        <v>7</v>
      </c>
      <c r="E56" s="4294">
        <v>1</v>
      </c>
      <c r="F56" s="4295">
        <v>4</v>
      </c>
      <c r="G56" s="6878">
        <v>30</v>
      </c>
      <c r="H56" s="6880" t="s">
        <v>2412</v>
      </c>
      <c r="I56" s="2779">
        <v>4.6296296296296293E-4</v>
      </c>
      <c r="J56" s="4270">
        <v>2.0833333333333333E-3</v>
      </c>
      <c r="K56" s="6325" t="s">
        <v>914</v>
      </c>
      <c r="L56" s="6329">
        <f t="shared" si="86"/>
        <v>0.40227206541218641</v>
      </c>
      <c r="M56" s="6331"/>
      <c r="N56" s="6332">
        <v>6.7129629629629622E-3</v>
      </c>
      <c r="O56" s="6330"/>
      <c r="P56" s="6326">
        <v>2.3171296296296297E-4</v>
      </c>
      <c r="Q56" s="6327">
        <v>177</v>
      </c>
      <c r="R56" s="6328">
        <v>60</v>
      </c>
      <c r="S56" s="1118">
        <f t="shared" si="16"/>
        <v>0.12</v>
      </c>
      <c r="T56" s="1119">
        <f t="shared" si="17"/>
        <v>0</v>
      </c>
      <c r="U56" s="374">
        <f t="shared" si="18"/>
        <v>0</v>
      </c>
      <c r="V56" s="1120">
        <f t="shared" si="19"/>
        <v>0</v>
      </c>
      <c r="W56" s="376">
        <f t="shared" si="20"/>
        <v>0</v>
      </c>
      <c r="X56" s="377">
        <f t="shared" si="21"/>
        <v>0</v>
      </c>
      <c r="Y56" s="378">
        <f t="shared" si="22"/>
        <v>0</v>
      </c>
      <c r="Z56" s="1121">
        <f t="shared" si="23"/>
        <v>0</v>
      </c>
      <c r="AA56" s="1122">
        <f t="shared" si="24"/>
        <v>0.12</v>
      </c>
      <c r="AB56" s="144"/>
      <c r="AC56" s="231"/>
      <c r="AD56" s="231"/>
      <c r="AE56" s="231"/>
      <c r="AF56" s="231"/>
      <c r="AG56" s="231"/>
      <c r="AH56" s="231"/>
      <c r="AI56" s="213"/>
    </row>
    <row r="57" spans="1:40" ht="14" thickBot="1">
      <c r="A57" s="6875" t="s">
        <v>458</v>
      </c>
      <c r="B57" s="6876" t="s">
        <v>459</v>
      </c>
      <c r="C57" s="274">
        <f t="shared" si="68"/>
        <v>1.7682291666666674E-4</v>
      </c>
      <c r="D57" s="6320">
        <v>7</v>
      </c>
      <c r="E57" s="4294">
        <v>1</v>
      </c>
      <c r="F57" s="4295">
        <v>4</v>
      </c>
      <c r="G57" s="6878">
        <v>30</v>
      </c>
      <c r="H57" s="6880" t="s">
        <v>2413</v>
      </c>
      <c r="I57" s="2779">
        <v>4.6296296296296293E-4</v>
      </c>
      <c r="J57" s="4270">
        <v>2.0833333333333333E-3</v>
      </c>
      <c r="K57" s="6325" t="s">
        <v>914</v>
      </c>
      <c r="L57" s="6329">
        <f t="shared" si="86"/>
        <v>0.40898502837514938</v>
      </c>
      <c r="M57" s="6331"/>
      <c r="N57" s="6332">
        <v>6.7129629629629622E-3</v>
      </c>
      <c r="O57" s="6330"/>
      <c r="P57" s="6326">
        <v>2.3171296296296297E-4</v>
      </c>
      <c r="Q57" s="6327">
        <v>177</v>
      </c>
      <c r="R57" s="6328">
        <v>60</v>
      </c>
      <c r="S57" s="1118">
        <f t="shared" si="16"/>
        <v>0.12</v>
      </c>
      <c r="T57" s="1119">
        <f t="shared" si="17"/>
        <v>0</v>
      </c>
      <c r="U57" s="374">
        <f t="shared" si="18"/>
        <v>0</v>
      </c>
      <c r="V57" s="1120">
        <f t="shared" si="19"/>
        <v>0</v>
      </c>
      <c r="W57" s="376">
        <f t="shared" si="20"/>
        <v>0</v>
      </c>
      <c r="X57" s="377">
        <f t="shared" si="21"/>
        <v>0</v>
      </c>
      <c r="Y57" s="378">
        <f t="shared" si="22"/>
        <v>0</v>
      </c>
      <c r="Z57" s="1121">
        <f t="shared" si="23"/>
        <v>0</v>
      </c>
      <c r="AA57" s="1122">
        <f t="shared" si="24"/>
        <v>0.12</v>
      </c>
      <c r="AB57" s="144"/>
      <c r="AC57" s="231"/>
      <c r="AD57" s="231"/>
      <c r="AE57" s="231"/>
      <c r="AF57" s="231"/>
      <c r="AG57" s="231"/>
      <c r="AH57" s="231"/>
      <c r="AI57" s="213"/>
    </row>
    <row r="58" spans="1:40" ht="14" thickBot="1">
      <c r="A58" s="6875" t="s">
        <v>219</v>
      </c>
      <c r="B58" s="6876" t="s">
        <v>459</v>
      </c>
      <c r="C58" s="274">
        <f t="shared" si="68"/>
        <v>1.7682291666666674E-4</v>
      </c>
      <c r="D58" s="6320">
        <v>7</v>
      </c>
      <c r="E58" s="4294">
        <v>1</v>
      </c>
      <c r="F58" s="4295">
        <v>4</v>
      </c>
      <c r="G58" s="6878">
        <v>15</v>
      </c>
      <c r="H58" s="6880" t="s">
        <v>2414</v>
      </c>
      <c r="I58" s="2779">
        <v>4.6296296296296293E-4</v>
      </c>
      <c r="J58" s="4270">
        <v>0</v>
      </c>
      <c r="K58" s="6325" t="s">
        <v>915</v>
      </c>
      <c r="L58" s="6329">
        <f t="shared" si="86"/>
        <v>0.41569799133811236</v>
      </c>
      <c r="M58" s="6331"/>
      <c r="N58" s="6332">
        <v>4.3981481481481484E-3</v>
      </c>
      <c r="O58" s="6330"/>
      <c r="P58" s="6326">
        <v>1.1585648148148149E-4</v>
      </c>
      <c r="Q58" s="6327">
        <v>177</v>
      </c>
      <c r="R58" s="6328">
        <v>30</v>
      </c>
      <c r="S58" s="1118">
        <f t="shared" si="16"/>
        <v>0.06</v>
      </c>
      <c r="T58" s="1119">
        <f t="shared" si="17"/>
        <v>0</v>
      </c>
      <c r="U58" s="374">
        <f t="shared" si="18"/>
        <v>0</v>
      </c>
      <c r="V58" s="1120">
        <f t="shared" si="19"/>
        <v>0</v>
      </c>
      <c r="W58" s="376">
        <f t="shared" si="20"/>
        <v>0</v>
      </c>
      <c r="X58" s="377">
        <f t="shared" si="21"/>
        <v>0</v>
      </c>
      <c r="Y58" s="378">
        <f t="shared" si="22"/>
        <v>0</v>
      </c>
      <c r="Z58" s="1121">
        <f t="shared" si="23"/>
        <v>0</v>
      </c>
      <c r="AA58" s="1122">
        <f t="shared" si="24"/>
        <v>0.06</v>
      </c>
      <c r="AB58" s="144"/>
      <c r="AC58" s="231"/>
      <c r="AD58" s="231"/>
      <c r="AE58" s="231"/>
      <c r="AF58" s="231"/>
      <c r="AG58" s="231"/>
      <c r="AH58" s="231"/>
      <c r="AI58" s="213"/>
    </row>
    <row r="59" spans="1:40" ht="14" thickBot="1">
      <c r="A59" s="6875"/>
      <c r="B59" s="6876" t="s">
        <v>459</v>
      </c>
      <c r="C59" s="274">
        <f t="shared" si="68"/>
        <v>1.7682291666666674E-4</v>
      </c>
      <c r="D59" s="1237">
        <v>7</v>
      </c>
      <c r="E59" s="1187">
        <v>8</v>
      </c>
      <c r="F59" s="1187">
        <v>4</v>
      </c>
      <c r="G59" s="6864">
        <v>20</v>
      </c>
      <c r="H59" s="6881" t="s">
        <v>2415</v>
      </c>
      <c r="I59" s="6891">
        <v>0</v>
      </c>
      <c r="J59" s="1188">
        <v>2.0833333333333333E-3</v>
      </c>
      <c r="K59" s="438" t="s">
        <v>2416</v>
      </c>
      <c r="L59" s="1189">
        <f t="shared" si="86"/>
        <v>0.42009613948626051</v>
      </c>
      <c r="M59" s="4357">
        <v>1</v>
      </c>
      <c r="N59" s="6333">
        <f>P59*E59*F59+I59*E59*F59+J59*E59</f>
        <v>2.0514333333333336E-2</v>
      </c>
      <c r="O59" s="1191">
        <f>C59*(G59/25)*0.85</f>
        <v>1.2023958333333338E-4</v>
      </c>
      <c r="P59" s="1192">
        <f>O59*M59</f>
        <v>1.2023958333333338E-4</v>
      </c>
      <c r="Q59" s="788">
        <v>179</v>
      </c>
      <c r="R59" s="1187">
        <f>E59*F59*G59</f>
        <v>640</v>
      </c>
      <c r="S59" s="1118">
        <f t="shared" si="16"/>
        <v>0.64</v>
      </c>
      <c r="T59" s="1119">
        <f t="shared" si="17"/>
        <v>1.5390666666666672E-2</v>
      </c>
      <c r="U59" s="374">
        <f t="shared" si="18"/>
        <v>0</v>
      </c>
      <c r="V59" s="1120">
        <f t="shared" si="19"/>
        <v>0</v>
      </c>
      <c r="W59" s="376">
        <f t="shared" si="20"/>
        <v>0</v>
      </c>
      <c r="X59" s="377">
        <f t="shared" si="21"/>
        <v>0</v>
      </c>
      <c r="Y59" s="378">
        <f t="shared" si="22"/>
        <v>0</v>
      </c>
      <c r="Z59" s="1121">
        <f t="shared" si="23"/>
        <v>0</v>
      </c>
      <c r="AA59" s="1122">
        <f t="shared" si="24"/>
        <v>0.64</v>
      </c>
      <c r="AB59" s="144"/>
      <c r="AC59" s="231"/>
      <c r="AD59" s="231"/>
      <c r="AE59" s="231"/>
      <c r="AF59" s="231"/>
      <c r="AG59" s="231"/>
      <c r="AH59" s="231"/>
      <c r="AI59" s="213"/>
    </row>
    <row r="60" spans="1:40" ht="14" thickBot="1">
      <c r="A60" s="1261"/>
      <c r="B60" s="1269"/>
      <c r="C60" s="274">
        <f t="shared" si="68"/>
        <v>0</v>
      </c>
      <c r="D60" s="4444"/>
      <c r="E60" s="4521"/>
      <c r="F60" s="4521"/>
      <c r="G60" s="4521"/>
      <c r="H60" s="4521"/>
      <c r="I60" s="6893" t="s">
        <v>2418</v>
      </c>
      <c r="J60" s="6894"/>
      <c r="K60" s="6880" t="s">
        <v>2419</v>
      </c>
      <c r="L60" s="4378">
        <f t="shared" si="86"/>
        <v>0.44061047281959387</v>
      </c>
      <c r="M60" s="144"/>
      <c r="N60" s="6882">
        <f>SUM(N53:N59)</f>
        <v>5.8666028375149344E-2</v>
      </c>
      <c r="O60" s="144"/>
      <c r="P60" s="144"/>
      <c r="Q60" s="144"/>
      <c r="R60" s="144"/>
      <c r="S60" s="1118">
        <f t="shared" si="16"/>
        <v>0</v>
      </c>
      <c r="T60" s="1119">
        <f t="shared" si="17"/>
        <v>0</v>
      </c>
      <c r="U60" s="374">
        <f t="shared" si="18"/>
        <v>0</v>
      </c>
      <c r="V60" s="1120">
        <f t="shared" si="19"/>
        <v>0</v>
      </c>
      <c r="W60" s="376">
        <f t="shared" si="20"/>
        <v>0</v>
      </c>
      <c r="X60" s="377">
        <f t="shared" si="21"/>
        <v>0</v>
      </c>
      <c r="Y60" s="378">
        <f t="shared" si="22"/>
        <v>0</v>
      </c>
      <c r="Z60" s="1121">
        <f t="shared" si="23"/>
        <v>0</v>
      </c>
      <c r="AA60" s="1122">
        <f t="shared" si="24"/>
        <v>0</v>
      </c>
      <c r="AB60" s="144"/>
      <c r="AC60" s="231"/>
      <c r="AD60" s="231"/>
      <c r="AE60" s="231"/>
      <c r="AF60" s="231"/>
      <c r="AG60" s="231"/>
      <c r="AH60" s="231"/>
      <c r="AI60" s="213"/>
    </row>
    <row r="61" spans="1:40" ht="14" thickBot="1">
      <c r="A61" s="1270" t="s">
        <v>139</v>
      </c>
      <c r="B61" s="1234" t="s">
        <v>461</v>
      </c>
      <c r="C61" s="274">
        <f t="shared" si="68"/>
        <v>2.0247664488766629E-4</v>
      </c>
      <c r="D61" s="1197">
        <v>4</v>
      </c>
      <c r="E61" s="1177">
        <v>3</v>
      </c>
      <c r="F61" s="1177">
        <v>6</v>
      </c>
      <c r="G61" s="1177">
        <v>60</v>
      </c>
      <c r="H61" s="6883" t="s">
        <v>2409</v>
      </c>
      <c r="I61" s="6892">
        <v>3.4722222222222224E-4</v>
      </c>
      <c r="J61" s="6892">
        <v>1.3888888888888889E-3</v>
      </c>
      <c r="K61" s="6308" t="s">
        <v>2242</v>
      </c>
      <c r="L61" s="996">
        <f t="shared" ref="L61:L67" si="87">L60+N60</f>
        <v>0.49927650119474321</v>
      </c>
      <c r="M61" s="1180">
        <v>1</v>
      </c>
      <c r="N61" s="1178">
        <f t="shared" ref="N61:N66" si="88">P61*E61*F61+I61*E61*F61+J61*E61</f>
        <v>1.9513537368179738E-2</v>
      </c>
      <c r="O61" s="1181">
        <f>C61*(G61/25)*1.04</f>
        <v>5.0538170563961505E-4</v>
      </c>
      <c r="P61" s="1181">
        <f t="shared" ref="P61:P66" si="89">O61*M61</f>
        <v>5.0538170563961505E-4</v>
      </c>
      <c r="Q61" s="334">
        <v>177</v>
      </c>
      <c r="R61" s="1177">
        <f t="shared" ref="R61:R66" si="90">E61*F61*G61</f>
        <v>1080</v>
      </c>
      <c r="S61" s="1118">
        <f t="shared" si="16"/>
        <v>1.08</v>
      </c>
      <c r="T61" s="1119">
        <f t="shared" si="17"/>
        <v>3.6387482806052286E-2</v>
      </c>
      <c r="U61" s="374">
        <f t="shared" si="18"/>
        <v>0</v>
      </c>
      <c r="V61" s="1120">
        <f t="shared" si="19"/>
        <v>0</v>
      </c>
      <c r="W61" s="376">
        <f t="shared" si="20"/>
        <v>0</v>
      </c>
      <c r="X61" s="377">
        <f t="shared" si="21"/>
        <v>1.08</v>
      </c>
      <c r="Y61" s="378">
        <f t="shared" si="22"/>
        <v>0</v>
      </c>
      <c r="Z61" s="1121">
        <f t="shared" si="23"/>
        <v>0</v>
      </c>
      <c r="AA61" s="1122">
        <f t="shared" si="24"/>
        <v>0</v>
      </c>
      <c r="AB61" s="144"/>
      <c r="AC61" s="231"/>
      <c r="AD61" s="231"/>
      <c r="AE61" s="231"/>
      <c r="AF61" s="231"/>
      <c r="AG61" s="231"/>
      <c r="AH61" s="231"/>
      <c r="AI61" s="213"/>
      <c r="AJ61" s="204"/>
      <c r="AK61" s="204"/>
      <c r="AL61" s="204"/>
      <c r="AM61" s="204"/>
      <c r="AN61" s="204"/>
    </row>
    <row r="62" spans="1:40" ht="14" thickBot="1">
      <c r="A62" s="1270" t="s">
        <v>458</v>
      </c>
      <c r="B62" s="1234" t="s">
        <v>461</v>
      </c>
      <c r="C62" s="274">
        <f t="shared" si="68"/>
        <v>2.2880964381720439E-4</v>
      </c>
      <c r="D62" s="1906">
        <v>1</v>
      </c>
      <c r="E62" s="1907">
        <v>1</v>
      </c>
      <c r="F62" s="1907">
        <v>1</v>
      </c>
      <c r="G62" s="1907">
        <v>150</v>
      </c>
      <c r="H62" s="6872" t="s">
        <v>458</v>
      </c>
      <c r="I62" s="1908">
        <v>1.1574074074074073E-4</v>
      </c>
      <c r="J62" s="1908">
        <v>1.3888888888888889E-3</v>
      </c>
      <c r="K62" s="1909" t="s">
        <v>23</v>
      </c>
      <c r="L62" s="1910">
        <f t="shared" si="87"/>
        <v>0.51879003856292294</v>
      </c>
      <c r="M62" s="1911">
        <v>1</v>
      </c>
      <c r="N62" s="1908">
        <f>P62*E62*F62+I62*E62*F62+J62*E62</f>
        <v>2.8774874925328563E-3</v>
      </c>
      <c r="O62" s="1912">
        <f>C62*(G62/25)</f>
        <v>1.3728578629032264E-3</v>
      </c>
      <c r="P62" s="1912">
        <f>O62*M62</f>
        <v>1.3728578629032264E-3</v>
      </c>
      <c r="Q62" s="1913">
        <v>147</v>
      </c>
      <c r="R62" s="1914">
        <f>E62*F62*G62</f>
        <v>150</v>
      </c>
      <c r="S62" s="1118">
        <f t="shared" si="16"/>
        <v>0.15</v>
      </c>
      <c r="T62" s="1119">
        <f t="shared" si="17"/>
        <v>5.4914314516129057E-3</v>
      </c>
      <c r="U62" s="374">
        <f t="shared" si="18"/>
        <v>0.15</v>
      </c>
      <c r="V62" s="1120">
        <f t="shared" si="19"/>
        <v>0</v>
      </c>
      <c r="W62" s="376">
        <f t="shared" si="20"/>
        <v>0</v>
      </c>
      <c r="X62" s="377">
        <f t="shared" si="21"/>
        <v>0</v>
      </c>
      <c r="Y62" s="378">
        <f t="shared" si="22"/>
        <v>0</v>
      </c>
      <c r="Z62" s="1121">
        <f t="shared" si="23"/>
        <v>0</v>
      </c>
      <c r="AA62" s="1122">
        <f t="shared" si="24"/>
        <v>0</v>
      </c>
      <c r="AB62" s="144"/>
      <c r="AC62" s="231">
        <v>0</v>
      </c>
      <c r="AD62" s="231">
        <v>0</v>
      </c>
      <c r="AE62" s="231">
        <v>0</v>
      </c>
      <c r="AF62" s="231">
        <v>0</v>
      </c>
      <c r="AG62" s="231">
        <v>0</v>
      </c>
      <c r="AH62" s="231">
        <v>0</v>
      </c>
      <c r="AI62" s="213"/>
      <c r="AJ62" s="204"/>
      <c r="AK62" s="204"/>
      <c r="AL62" s="204"/>
      <c r="AM62" s="204"/>
      <c r="AN62" s="204"/>
    </row>
    <row r="63" spans="1:40" ht="14" thickBot="1">
      <c r="A63" s="1270" t="s">
        <v>462</v>
      </c>
      <c r="B63" s="1234" t="s">
        <v>461</v>
      </c>
      <c r="C63" s="274">
        <f t="shared" si="68"/>
        <v>2.0247664488766629E-4</v>
      </c>
      <c r="D63" s="1197">
        <v>4</v>
      </c>
      <c r="E63" s="1177">
        <v>3</v>
      </c>
      <c r="F63" s="1177">
        <v>6</v>
      </c>
      <c r="G63" s="1177">
        <v>60</v>
      </c>
      <c r="H63" s="6873" t="s">
        <v>2407</v>
      </c>
      <c r="I63" s="1178">
        <v>2.4305555555555556E-3</v>
      </c>
      <c r="J63" s="1178">
        <v>1.3888888888888889E-3</v>
      </c>
      <c r="K63" s="6308" t="s">
        <v>2242</v>
      </c>
      <c r="L63" s="996">
        <f t="shared" si="87"/>
        <v>0.52166752605545574</v>
      </c>
      <c r="M63" s="1180">
        <v>1</v>
      </c>
      <c r="N63" s="1178">
        <f t="shared" si="88"/>
        <v>5.7013537368179733E-2</v>
      </c>
      <c r="O63" s="1181">
        <f>C63*(G63/25)*1.04</f>
        <v>5.0538170563961505E-4</v>
      </c>
      <c r="P63" s="1181">
        <f t="shared" si="89"/>
        <v>5.0538170563961505E-4</v>
      </c>
      <c r="Q63" s="334">
        <v>177</v>
      </c>
      <c r="R63" s="1177">
        <f t="shared" si="90"/>
        <v>1080</v>
      </c>
      <c r="S63" s="1118">
        <f t="shared" si="16"/>
        <v>1.08</v>
      </c>
      <c r="T63" s="1119">
        <f t="shared" si="17"/>
        <v>3.6387482806052286E-2</v>
      </c>
      <c r="U63" s="374">
        <f t="shared" si="18"/>
        <v>0</v>
      </c>
      <c r="V63" s="1120">
        <f t="shared" si="19"/>
        <v>0</v>
      </c>
      <c r="W63" s="376">
        <f t="shared" si="20"/>
        <v>0</v>
      </c>
      <c r="X63" s="377">
        <f t="shared" si="21"/>
        <v>1.08</v>
      </c>
      <c r="Y63" s="378">
        <f t="shared" si="22"/>
        <v>0</v>
      </c>
      <c r="Z63" s="1121">
        <f t="shared" si="23"/>
        <v>0</v>
      </c>
      <c r="AA63" s="1122">
        <f t="shared" si="24"/>
        <v>0</v>
      </c>
      <c r="AB63" s="144"/>
      <c r="AC63" s="231">
        <v>0</v>
      </c>
      <c r="AD63" s="231">
        <v>0</v>
      </c>
      <c r="AE63" s="231">
        <v>0</v>
      </c>
      <c r="AF63" s="231">
        <v>0</v>
      </c>
      <c r="AG63" s="231">
        <v>0</v>
      </c>
      <c r="AH63" s="231">
        <v>0</v>
      </c>
      <c r="AI63" s="213"/>
      <c r="AJ63" s="204"/>
      <c r="AK63" s="204"/>
      <c r="AL63" s="204"/>
      <c r="AM63" s="204"/>
      <c r="AN63" s="204"/>
    </row>
    <row r="64" spans="1:40" ht="14" thickBot="1">
      <c r="A64" s="1270" t="s">
        <v>460</v>
      </c>
      <c r="B64" s="1234" t="s">
        <v>461</v>
      </c>
      <c r="C64" s="274">
        <f t="shared" si="68"/>
        <v>2.2880964381720439E-4</v>
      </c>
      <c r="D64" s="1906">
        <v>1</v>
      </c>
      <c r="E64" s="1907">
        <v>1</v>
      </c>
      <c r="F64" s="1907">
        <v>1</v>
      </c>
      <c r="G64" s="1907">
        <v>150</v>
      </c>
      <c r="H64" s="6873" t="s">
        <v>459</v>
      </c>
      <c r="I64" s="1908">
        <v>1.1574074074074073E-4</v>
      </c>
      <c r="J64" s="1908">
        <v>1.3888888888888889E-3</v>
      </c>
      <c r="K64" s="1909" t="s">
        <v>23</v>
      </c>
      <c r="L64" s="1910">
        <f t="shared" si="87"/>
        <v>0.57868106342363546</v>
      </c>
      <c r="M64" s="1911">
        <v>1</v>
      </c>
      <c r="N64" s="1908">
        <f>P64*E64*F64+I64*E64*F64+J64*E64</f>
        <v>2.8774874925328563E-3</v>
      </c>
      <c r="O64" s="1912">
        <f>C64*(G64/25)</f>
        <v>1.3728578629032264E-3</v>
      </c>
      <c r="P64" s="1912">
        <f>O64*M64</f>
        <v>1.3728578629032264E-3</v>
      </c>
      <c r="Q64" s="1913">
        <v>147</v>
      </c>
      <c r="R64" s="1914">
        <f>E64*F64*G64</f>
        <v>150</v>
      </c>
      <c r="S64" s="1118">
        <f t="shared" si="16"/>
        <v>0.15</v>
      </c>
      <c r="T64" s="1119">
        <f t="shared" si="17"/>
        <v>5.4914314516129057E-3</v>
      </c>
      <c r="U64" s="374">
        <f t="shared" si="18"/>
        <v>0.15</v>
      </c>
      <c r="V64" s="1120">
        <f t="shared" si="19"/>
        <v>0</v>
      </c>
      <c r="W64" s="376">
        <f t="shared" si="20"/>
        <v>0</v>
      </c>
      <c r="X64" s="377">
        <f t="shared" si="21"/>
        <v>0</v>
      </c>
      <c r="Y64" s="378">
        <f t="shared" si="22"/>
        <v>0</v>
      </c>
      <c r="Z64" s="1121">
        <f t="shared" si="23"/>
        <v>0</v>
      </c>
      <c r="AA64" s="1122">
        <f t="shared" si="24"/>
        <v>0</v>
      </c>
      <c r="AB64" s="144"/>
      <c r="AC64" s="231">
        <v>0</v>
      </c>
      <c r="AD64" s="231">
        <v>0</v>
      </c>
      <c r="AE64" s="231">
        <v>0</v>
      </c>
      <c r="AF64" s="231">
        <v>0</v>
      </c>
      <c r="AG64" s="231">
        <v>0</v>
      </c>
      <c r="AH64" s="231">
        <v>0</v>
      </c>
      <c r="AI64" s="213"/>
      <c r="AJ64" s="204"/>
      <c r="AK64" s="204"/>
      <c r="AL64" s="204"/>
      <c r="AM64" s="204"/>
      <c r="AN64" s="204"/>
    </row>
    <row r="65" spans="1:40" ht="14" thickBot="1">
      <c r="A65" s="1270" t="s">
        <v>458</v>
      </c>
      <c r="B65" s="1234" t="s">
        <v>461</v>
      </c>
      <c r="C65" s="274">
        <f t="shared" si="68"/>
        <v>2.0247664488766629E-4</v>
      </c>
      <c r="D65" s="1197">
        <v>4</v>
      </c>
      <c r="E65" s="1177">
        <v>1</v>
      </c>
      <c r="F65" s="1177">
        <v>4</v>
      </c>
      <c r="G65" s="1177">
        <v>200</v>
      </c>
      <c r="H65" s="6873" t="s">
        <v>139</v>
      </c>
      <c r="I65" s="1178">
        <v>4.6296296296296293E-4</v>
      </c>
      <c r="J65" s="1178">
        <v>1.3888888888888889E-3</v>
      </c>
      <c r="K65" s="316" t="s">
        <v>1048</v>
      </c>
      <c r="L65" s="996">
        <f t="shared" si="87"/>
        <v>0.58155855091616826</v>
      </c>
      <c r="M65" s="1180">
        <v>1.2</v>
      </c>
      <c r="N65" s="1178">
        <f>P65*E65*F65+I65*E65*F65+J65*E65</f>
        <v>1.1482350094248309E-2</v>
      </c>
      <c r="O65" s="1181">
        <f>C65*(G65/25)*1.06</f>
        <v>1.7170019486474103E-3</v>
      </c>
      <c r="P65" s="1181">
        <f>O65*M65</f>
        <v>2.0604023383768923E-3</v>
      </c>
      <c r="Q65" s="334">
        <v>166</v>
      </c>
      <c r="R65" s="1177">
        <f>E65*F65*G65</f>
        <v>800</v>
      </c>
      <c r="S65" s="1118">
        <f t="shared" si="16"/>
        <v>0.8</v>
      </c>
      <c r="T65" s="1119">
        <f t="shared" si="17"/>
        <v>2.7472031178358565E-2</v>
      </c>
      <c r="U65" s="374">
        <f t="shared" si="18"/>
        <v>0</v>
      </c>
      <c r="V65" s="1120">
        <f t="shared" si="19"/>
        <v>0</v>
      </c>
      <c r="W65" s="376">
        <f t="shared" si="20"/>
        <v>0</v>
      </c>
      <c r="X65" s="377">
        <f t="shared" si="21"/>
        <v>0.8</v>
      </c>
      <c r="Y65" s="378">
        <f t="shared" si="22"/>
        <v>0</v>
      </c>
      <c r="Z65" s="1121">
        <f t="shared" si="23"/>
        <v>0</v>
      </c>
      <c r="AA65" s="1122">
        <f t="shared" si="24"/>
        <v>0</v>
      </c>
      <c r="AB65" s="144"/>
      <c r="AC65" s="231">
        <v>0</v>
      </c>
      <c r="AD65" s="231">
        <v>0</v>
      </c>
      <c r="AE65" s="231">
        <v>0</v>
      </c>
      <c r="AF65" s="231">
        <v>0</v>
      </c>
      <c r="AG65" s="231">
        <v>0</v>
      </c>
      <c r="AH65" s="231">
        <v>0</v>
      </c>
      <c r="AI65" s="213"/>
      <c r="AJ65" s="204"/>
      <c r="AK65" s="204"/>
      <c r="AL65" s="204"/>
      <c r="AM65" s="204"/>
      <c r="AN65" s="204"/>
    </row>
    <row r="66" spans="1:40">
      <c r="A66" s="1270" t="s">
        <v>219</v>
      </c>
      <c r="B66" s="1234" t="s">
        <v>461</v>
      </c>
      <c r="C66" s="274">
        <f t="shared" si="68"/>
        <v>1.7682291666666674E-4</v>
      </c>
      <c r="D66" s="1237">
        <v>7</v>
      </c>
      <c r="E66" s="1187">
        <v>1</v>
      </c>
      <c r="F66" s="1187">
        <v>12</v>
      </c>
      <c r="G66" s="1187">
        <v>25</v>
      </c>
      <c r="H66" s="6874" t="s">
        <v>2408</v>
      </c>
      <c r="I66" s="1051">
        <v>4.6296296296296293E-4</v>
      </c>
      <c r="J66" s="1188">
        <v>6.9444444444444447E-4</v>
      </c>
      <c r="K66" s="438" t="s">
        <v>2243</v>
      </c>
      <c r="L66" s="1189">
        <f t="shared" si="87"/>
        <v>0.59304090101041662</v>
      </c>
      <c r="M66" s="1190">
        <v>1</v>
      </c>
      <c r="N66" s="1188">
        <f t="shared" si="88"/>
        <v>8.3718749999999991E-3</v>
      </c>
      <c r="O66" s="1191">
        <f>C66*(G66/25)</f>
        <v>1.7682291666666674E-4</v>
      </c>
      <c r="P66" s="1192">
        <f t="shared" si="89"/>
        <v>1.7682291666666674E-4</v>
      </c>
      <c r="Q66" s="788">
        <v>179</v>
      </c>
      <c r="R66" s="1187">
        <f t="shared" si="90"/>
        <v>300</v>
      </c>
      <c r="S66" s="1118">
        <f t="shared" si="16"/>
        <v>0.3</v>
      </c>
      <c r="T66" s="1119">
        <f t="shared" si="17"/>
        <v>8.4875000000000037E-3</v>
      </c>
      <c r="U66" s="374">
        <f t="shared" si="18"/>
        <v>0</v>
      </c>
      <c r="V66" s="1120">
        <f t="shared" si="19"/>
        <v>0</v>
      </c>
      <c r="W66" s="376">
        <f t="shared" si="20"/>
        <v>0</v>
      </c>
      <c r="X66" s="377">
        <f t="shared" si="21"/>
        <v>0</v>
      </c>
      <c r="Y66" s="378">
        <f t="shared" si="22"/>
        <v>0</v>
      </c>
      <c r="Z66" s="1121">
        <f t="shared" si="23"/>
        <v>0</v>
      </c>
      <c r="AA66" s="1122">
        <f t="shared" si="24"/>
        <v>0.3</v>
      </c>
      <c r="AB66" s="144"/>
      <c r="AC66" s="231"/>
      <c r="AD66" s="231"/>
      <c r="AE66" s="231"/>
      <c r="AF66" s="231"/>
      <c r="AG66" s="231"/>
      <c r="AH66" s="231"/>
      <c r="AI66" s="213"/>
      <c r="AJ66" s="204"/>
      <c r="AK66" s="204"/>
      <c r="AL66" s="204"/>
      <c r="AM66" s="204"/>
      <c r="AN66" s="204"/>
    </row>
    <row r="67" spans="1:40" ht="14" thickBot="1">
      <c r="A67" s="1261"/>
      <c r="B67" s="1269"/>
      <c r="C67" s="1258"/>
      <c r="D67" s="1259"/>
      <c r="E67" s="336"/>
      <c r="F67" s="336"/>
      <c r="G67" s="336"/>
      <c r="H67" s="6872" t="s">
        <v>674</v>
      </c>
      <c r="I67" s="336"/>
      <c r="J67" s="336"/>
      <c r="K67" s="336"/>
      <c r="L67" s="1003">
        <f t="shared" si="87"/>
        <v>0.60141277601041665</v>
      </c>
      <c r="M67" s="1198"/>
      <c r="N67" s="1008">
        <f>SUM(N60:N66)</f>
        <v>0.16080230319082284</v>
      </c>
      <c r="O67" s="336"/>
      <c r="P67" s="336"/>
      <c r="Q67" s="336"/>
      <c r="R67" s="1238">
        <f>SUM(R61:R66)</f>
        <v>3560</v>
      </c>
      <c r="S67" s="1118">
        <f t="shared" si="16"/>
        <v>0</v>
      </c>
      <c r="T67" s="1119">
        <f t="shared" si="17"/>
        <v>0</v>
      </c>
      <c r="U67" s="374">
        <f t="shared" si="18"/>
        <v>0</v>
      </c>
      <c r="V67" s="1120">
        <f t="shared" si="19"/>
        <v>0</v>
      </c>
      <c r="W67" s="376">
        <f t="shared" si="20"/>
        <v>0</v>
      </c>
      <c r="X67" s="377">
        <f t="shared" si="21"/>
        <v>0</v>
      </c>
      <c r="Y67" s="378">
        <f t="shared" si="22"/>
        <v>0</v>
      </c>
      <c r="Z67" s="1121">
        <f t="shared" si="23"/>
        <v>0</v>
      </c>
      <c r="AA67" s="1122">
        <f t="shared" si="24"/>
        <v>0</v>
      </c>
      <c r="AB67" s="144"/>
      <c r="AC67" s="231"/>
      <c r="AD67" s="231"/>
      <c r="AE67" s="231"/>
      <c r="AF67" s="231"/>
      <c r="AG67" s="231"/>
      <c r="AH67" s="231"/>
      <c r="AI67" s="213"/>
      <c r="AJ67" s="204"/>
      <c r="AK67" s="204"/>
      <c r="AL67" s="204"/>
      <c r="AM67" s="204"/>
      <c r="AN67" s="204"/>
    </row>
    <row r="68" spans="1:40" ht="14" thickBot="1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998"/>
      <c r="M68" s="144"/>
      <c r="N68" s="144"/>
      <c r="O68" s="144"/>
      <c r="P68" s="144"/>
      <c r="Q68" s="144"/>
      <c r="R68" s="6310">
        <f>SUM(U68:AA68)*1000</f>
        <v>20152.500000000004</v>
      </c>
      <c r="S68" s="144"/>
      <c r="T68" s="144"/>
      <c r="U68" s="6884">
        <f>SUM(U6:U67)</f>
        <v>2.4</v>
      </c>
      <c r="V68" s="6885">
        <f t="shared" ref="V68:Z68" si="91">SUM(V6:V67)</f>
        <v>2.5500000000000003</v>
      </c>
      <c r="W68" s="6886">
        <f t="shared" si="91"/>
        <v>0.2</v>
      </c>
      <c r="X68" s="6887">
        <f t="shared" si="91"/>
        <v>8.5</v>
      </c>
      <c r="Y68" s="6888">
        <f t="shared" si="91"/>
        <v>0</v>
      </c>
      <c r="Z68" s="6889">
        <f t="shared" si="91"/>
        <v>3.7625000000000002</v>
      </c>
      <c r="AA68" s="6890">
        <f>SUM(AA6:AA67)</f>
        <v>2.7400000000000007</v>
      </c>
      <c r="AB68" s="144"/>
      <c r="AC68" s="231">
        <v>0</v>
      </c>
      <c r="AD68" s="231">
        <v>0</v>
      </c>
      <c r="AE68" s="231">
        <v>0</v>
      </c>
      <c r="AF68" s="231">
        <v>0</v>
      </c>
      <c r="AG68" s="231">
        <v>0</v>
      </c>
      <c r="AH68" s="231">
        <v>0</v>
      </c>
      <c r="AI68" s="213"/>
      <c r="AJ68" s="204"/>
      <c r="AK68" s="204"/>
      <c r="AL68" s="204"/>
      <c r="AM68" s="204"/>
      <c r="AN68" s="204"/>
    </row>
    <row r="69" spans="1:40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998"/>
      <c r="M69" s="144"/>
      <c r="N69" s="144"/>
      <c r="O69" s="144"/>
      <c r="P69" s="144"/>
      <c r="Q69" s="144"/>
      <c r="R69" s="144"/>
      <c r="S69" s="144"/>
      <c r="T69" s="144"/>
      <c r="U69" s="566">
        <f t="shared" ref="U69:AA81" si="92">IF(U68&gt;0,U68,U67)</f>
        <v>2.4</v>
      </c>
      <c r="V69" s="566">
        <f t="shared" si="92"/>
        <v>2.5500000000000003</v>
      </c>
      <c r="W69" s="566">
        <f t="shared" si="92"/>
        <v>0.2</v>
      </c>
      <c r="X69" s="566">
        <f t="shared" si="92"/>
        <v>8.5</v>
      </c>
      <c r="Y69" s="566">
        <f t="shared" si="92"/>
        <v>0</v>
      </c>
      <c r="Z69" s="566">
        <f t="shared" si="92"/>
        <v>3.7625000000000002</v>
      </c>
      <c r="AA69" s="566">
        <f t="shared" si="92"/>
        <v>2.7400000000000007</v>
      </c>
      <c r="AB69" s="144"/>
      <c r="AC69" s="231">
        <v>0</v>
      </c>
      <c r="AD69" s="231">
        <v>0</v>
      </c>
      <c r="AE69" s="231">
        <v>0</v>
      </c>
      <c r="AF69" s="231">
        <v>0</v>
      </c>
      <c r="AG69" s="231">
        <v>0</v>
      </c>
      <c r="AH69" s="231">
        <v>0</v>
      </c>
      <c r="AI69" s="213"/>
      <c r="AJ69" s="204"/>
      <c r="AK69" s="204"/>
      <c r="AL69" s="204"/>
      <c r="AM69" s="204"/>
      <c r="AN69" s="204"/>
    </row>
    <row r="70" spans="1:40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998"/>
      <c r="M70" s="144"/>
      <c r="N70" s="144"/>
      <c r="O70" s="144"/>
      <c r="P70" s="144"/>
      <c r="Q70" s="144"/>
      <c r="R70" s="144"/>
      <c r="S70" s="144"/>
      <c r="T70" s="144"/>
      <c r="U70" s="566">
        <f t="shared" si="92"/>
        <v>2.4</v>
      </c>
      <c r="V70" s="566">
        <f t="shared" si="92"/>
        <v>2.5500000000000003</v>
      </c>
      <c r="W70" s="566">
        <f t="shared" si="92"/>
        <v>0.2</v>
      </c>
      <c r="X70" s="566">
        <f t="shared" si="92"/>
        <v>8.5</v>
      </c>
      <c r="Y70" s="566">
        <f t="shared" si="92"/>
        <v>0</v>
      </c>
      <c r="Z70" s="566">
        <f t="shared" si="92"/>
        <v>3.7625000000000002</v>
      </c>
      <c r="AA70" s="566">
        <f t="shared" si="92"/>
        <v>2.7400000000000007</v>
      </c>
      <c r="AB70" s="144"/>
      <c r="AC70" s="231">
        <v>0</v>
      </c>
      <c r="AD70" s="231">
        <v>0</v>
      </c>
      <c r="AE70" s="231">
        <v>0</v>
      </c>
      <c r="AF70" s="231">
        <v>0</v>
      </c>
      <c r="AG70" s="231">
        <v>0</v>
      </c>
      <c r="AH70" s="231">
        <v>0</v>
      </c>
      <c r="AI70" s="213"/>
      <c r="AJ70" s="204"/>
      <c r="AK70" s="204"/>
      <c r="AL70" s="204"/>
      <c r="AM70" s="204"/>
      <c r="AN70" s="204"/>
    </row>
    <row r="71" spans="1:40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998"/>
      <c r="M71" s="144"/>
      <c r="N71" s="144"/>
      <c r="O71" s="144"/>
      <c r="P71" s="144"/>
      <c r="Q71" s="144"/>
      <c r="R71" s="144"/>
      <c r="S71" s="144"/>
      <c r="T71" s="144"/>
      <c r="U71" s="566">
        <f t="shared" si="92"/>
        <v>2.4</v>
      </c>
      <c r="V71" s="566">
        <f t="shared" si="92"/>
        <v>2.5500000000000003</v>
      </c>
      <c r="W71" s="566">
        <f t="shared" si="92"/>
        <v>0.2</v>
      </c>
      <c r="X71" s="566">
        <f t="shared" si="92"/>
        <v>8.5</v>
      </c>
      <c r="Y71" s="566">
        <f t="shared" si="92"/>
        <v>0</v>
      </c>
      <c r="Z71" s="566">
        <f t="shared" si="92"/>
        <v>3.7625000000000002</v>
      </c>
      <c r="AA71" s="566">
        <f t="shared" si="92"/>
        <v>2.7400000000000007</v>
      </c>
      <c r="AB71" s="144"/>
      <c r="AC71" s="231"/>
      <c r="AD71" s="231"/>
      <c r="AE71" s="231"/>
      <c r="AF71" s="231"/>
      <c r="AG71" s="231"/>
      <c r="AH71" s="231"/>
      <c r="AI71" s="213"/>
      <c r="AJ71" s="204"/>
      <c r="AK71" s="204"/>
      <c r="AL71" s="204"/>
      <c r="AM71" s="204"/>
      <c r="AN71" s="204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998"/>
      <c r="M72" s="144"/>
      <c r="N72" s="144"/>
      <c r="O72" s="144"/>
      <c r="P72" s="144"/>
      <c r="Q72" s="144"/>
      <c r="R72" s="144"/>
      <c r="S72" s="144"/>
      <c r="T72" s="144"/>
      <c r="U72" s="566">
        <f t="shared" si="92"/>
        <v>2.4</v>
      </c>
      <c r="V72" s="566">
        <f t="shared" si="92"/>
        <v>2.5500000000000003</v>
      </c>
      <c r="W72" s="566">
        <f t="shared" si="92"/>
        <v>0.2</v>
      </c>
      <c r="X72" s="566">
        <f t="shared" si="92"/>
        <v>8.5</v>
      </c>
      <c r="Y72" s="566">
        <f t="shared" si="92"/>
        <v>0</v>
      </c>
      <c r="Z72" s="566">
        <f t="shared" si="92"/>
        <v>3.7625000000000002</v>
      </c>
      <c r="AA72" s="566">
        <f t="shared" si="92"/>
        <v>2.7400000000000007</v>
      </c>
      <c r="AB72" s="144"/>
      <c r="AC72" s="231"/>
      <c r="AD72" s="231"/>
      <c r="AE72" s="231"/>
      <c r="AF72" s="231"/>
      <c r="AG72" s="231"/>
      <c r="AH72" s="231"/>
      <c r="AI72" s="213"/>
      <c r="AJ72" s="204"/>
      <c r="AK72" s="204"/>
      <c r="AL72" s="204"/>
      <c r="AM72" s="204"/>
      <c r="AN72" s="204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998"/>
      <c r="M73" s="144"/>
      <c r="N73" s="144"/>
      <c r="O73" s="144"/>
      <c r="P73" s="144"/>
      <c r="Q73" s="144"/>
      <c r="R73" s="144"/>
      <c r="S73" s="144"/>
      <c r="T73" s="144"/>
      <c r="U73" s="566">
        <f t="shared" si="92"/>
        <v>2.4</v>
      </c>
      <c r="V73" s="566">
        <f t="shared" si="92"/>
        <v>2.5500000000000003</v>
      </c>
      <c r="W73" s="566">
        <f t="shared" si="92"/>
        <v>0.2</v>
      </c>
      <c r="X73" s="566">
        <f t="shared" si="92"/>
        <v>8.5</v>
      </c>
      <c r="Y73" s="566">
        <f t="shared" si="92"/>
        <v>0</v>
      </c>
      <c r="Z73" s="566">
        <f t="shared" si="92"/>
        <v>3.7625000000000002</v>
      </c>
      <c r="AA73" s="566">
        <f t="shared" si="92"/>
        <v>2.7400000000000007</v>
      </c>
      <c r="AB73" s="144"/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13"/>
      <c r="AJ73" s="204"/>
      <c r="AK73" s="204"/>
      <c r="AL73" s="204"/>
      <c r="AM73" s="204"/>
      <c r="AN73" s="204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998"/>
      <c r="M74" s="144"/>
      <c r="N74" s="144"/>
      <c r="O74" s="144"/>
      <c r="P74" s="144"/>
      <c r="Q74" s="144"/>
      <c r="R74" s="144"/>
      <c r="S74" s="144"/>
      <c r="T74" s="144"/>
      <c r="U74" s="566">
        <f t="shared" si="92"/>
        <v>2.4</v>
      </c>
      <c r="V74" s="566">
        <f t="shared" si="92"/>
        <v>2.5500000000000003</v>
      </c>
      <c r="W74" s="566">
        <f t="shared" si="92"/>
        <v>0.2</v>
      </c>
      <c r="X74" s="566">
        <f t="shared" si="92"/>
        <v>8.5</v>
      </c>
      <c r="Y74" s="566">
        <f t="shared" si="92"/>
        <v>0</v>
      </c>
      <c r="Z74" s="566">
        <f t="shared" si="92"/>
        <v>3.7625000000000002</v>
      </c>
      <c r="AA74" s="566">
        <f t="shared" si="92"/>
        <v>2.7400000000000007</v>
      </c>
      <c r="AB74" s="144"/>
      <c r="AC74" s="231">
        <v>0</v>
      </c>
      <c r="AD74" s="231">
        <v>0</v>
      </c>
      <c r="AE74" s="231">
        <v>0</v>
      </c>
      <c r="AF74" s="231">
        <v>0</v>
      </c>
      <c r="AG74" s="231">
        <v>0</v>
      </c>
      <c r="AH74" s="231">
        <v>0</v>
      </c>
      <c r="AI74" s="213"/>
      <c r="AJ74" s="204"/>
      <c r="AK74" s="204"/>
      <c r="AL74" s="204"/>
      <c r="AM74" s="204"/>
      <c r="AN74" s="204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998"/>
      <c r="M75" s="144"/>
      <c r="N75" s="144"/>
      <c r="O75" s="144"/>
      <c r="P75" s="144"/>
      <c r="Q75" s="144"/>
      <c r="R75" s="144"/>
      <c r="S75" s="144"/>
      <c r="T75" s="144"/>
      <c r="U75" s="566">
        <f t="shared" si="92"/>
        <v>2.4</v>
      </c>
      <c r="V75" s="566">
        <f t="shared" si="92"/>
        <v>2.5500000000000003</v>
      </c>
      <c r="W75" s="566">
        <f t="shared" si="92"/>
        <v>0.2</v>
      </c>
      <c r="X75" s="566">
        <f t="shared" si="92"/>
        <v>8.5</v>
      </c>
      <c r="Y75" s="566">
        <f t="shared" si="92"/>
        <v>0</v>
      </c>
      <c r="Z75" s="566">
        <f t="shared" si="92"/>
        <v>3.7625000000000002</v>
      </c>
      <c r="AA75" s="566">
        <f t="shared" si="92"/>
        <v>2.7400000000000007</v>
      </c>
      <c r="AB75" s="144"/>
      <c r="AC75" s="231">
        <v>0</v>
      </c>
      <c r="AD75" s="231">
        <v>0</v>
      </c>
      <c r="AE75" s="231">
        <v>0</v>
      </c>
      <c r="AF75" s="231">
        <v>0</v>
      </c>
      <c r="AG75" s="231">
        <v>0</v>
      </c>
      <c r="AH75" s="231">
        <v>0</v>
      </c>
      <c r="AI75" s="213"/>
      <c r="AJ75" s="204"/>
      <c r="AK75" s="204"/>
      <c r="AL75" s="204"/>
      <c r="AM75" s="204"/>
      <c r="AN75" s="204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998"/>
      <c r="M76" s="144"/>
      <c r="N76" s="144"/>
      <c r="O76" s="144"/>
      <c r="P76" s="144"/>
      <c r="Q76" s="144"/>
      <c r="R76" s="144"/>
      <c r="S76" s="144"/>
      <c r="T76" s="144"/>
      <c r="U76" s="566">
        <f t="shared" si="92"/>
        <v>2.4</v>
      </c>
      <c r="V76" s="566">
        <f t="shared" si="92"/>
        <v>2.5500000000000003</v>
      </c>
      <c r="W76" s="566">
        <f t="shared" si="92"/>
        <v>0.2</v>
      </c>
      <c r="X76" s="566">
        <f t="shared" si="92"/>
        <v>8.5</v>
      </c>
      <c r="Y76" s="566">
        <f t="shared" si="92"/>
        <v>0</v>
      </c>
      <c r="Z76" s="566">
        <f t="shared" si="92"/>
        <v>3.7625000000000002</v>
      </c>
      <c r="AA76" s="566">
        <f t="shared" si="92"/>
        <v>2.7400000000000007</v>
      </c>
      <c r="AB76" s="144"/>
      <c r="AC76" s="231"/>
      <c r="AD76" s="231"/>
      <c r="AE76" s="231"/>
      <c r="AF76" s="231"/>
      <c r="AG76" s="231"/>
      <c r="AH76" s="231"/>
      <c r="AI76" s="213"/>
      <c r="AJ76" s="204"/>
      <c r="AK76" s="204"/>
      <c r="AL76" s="204"/>
      <c r="AM76" s="204"/>
      <c r="AN76" s="204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998"/>
      <c r="M77" s="144"/>
      <c r="N77" s="144"/>
      <c r="O77" s="144"/>
      <c r="P77" s="144"/>
      <c r="Q77" s="144"/>
      <c r="R77" s="144"/>
      <c r="S77" s="144"/>
      <c r="T77" s="144"/>
      <c r="U77" s="566">
        <f t="shared" si="92"/>
        <v>2.4</v>
      </c>
      <c r="V77" s="566">
        <f t="shared" si="92"/>
        <v>2.5500000000000003</v>
      </c>
      <c r="W77" s="566">
        <f t="shared" si="92"/>
        <v>0.2</v>
      </c>
      <c r="X77" s="566">
        <f t="shared" si="92"/>
        <v>8.5</v>
      </c>
      <c r="Y77" s="566">
        <f t="shared" si="92"/>
        <v>0</v>
      </c>
      <c r="Z77" s="566">
        <f t="shared" si="92"/>
        <v>3.7625000000000002</v>
      </c>
      <c r="AA77" s="566">
        <f t="shared" si="92"/>
        <v>2.7400000000000007</v>
      </c>
      <c r="AB77" s="144"/>
      <c r="AC77" s="231"/>
      <c r="AD77" s="231"/>
      <c r="AE77" s="231"/>
      <c r="AF77" s="231"/>
      <c r="AG77" s="231"/>
      <c r="AH77" s="231"/>
      <c r="AI77" s="213"/>
      <c r="AJ77" s="204"/>
      <c r="AK77" s="204"/>
      <c r="AL77" s="204"/>
      <c r="AM77" s="204"/>
      <c r="AN77" s="204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998"/>
      <c r="M78" s="144"/>
      <c r="N78" s="144"/>
      <c r="O78" s="144"/>
      <c r="P78" s="144"/>
      <c r="Q78" s="144"/>
      <c r="R78" s="144"/>
      <c r="S78" s="144"/>
      <c r="T78" s="144"/>
      <c r="U78" s="566">
        <f t="shared" si="92"/>
        <v>2.4</v>
      </c>
      <c r="V78" s="566">
        <f t="shared" si="92"/>
        <v>2.5500000000000003</v>
      </c>
      <c r="W78" s="566">
        <f t="shared" si="92"/>
        <v>0.2</v>
      </c>
      <c r="X78" s="566">
        <f t="shared" si="92"/>
        <v>8.5</v>
      </c>
      <c r="Y78" s="566">
        <f t="shared" si="92"/>
        <v>0</v>
      </c>
      <c r="Z78" s="566">
        <f t="shared" si="92"/>
        <v>3.7625000000000002</v>
      </c>
      <c r="AA78" s="566">
        <f t="shared" si="92"/>
        <v>2.7400000000000007</v>
      </c>
      <c r="AB78" s="144"/>
      <c r="AC78" s="231">
        <v>0</v>
      </c>
      <c r="AD78" s="231">
        <v>0</v>
      </c>
      <c r="AE78" s="231">
        <v>0</v>
      </c>
      <c r="AF78" s="231">
        <v>0</v>
      </c>
      <c r="AG78" s="231">
        <v>0</v>
      </c>
      <c r="AH78" s="231">
        <v>0</v>
      </c>
      <c r="AI78" s="213"/>
      <c r="AJ78" s="204"/>
      <c r="AK78" s="204"/>
      <c r="AL78" s="204"/>
      <c r="AM78" s="204"/>
      <c r="AN78" s="204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998"/>
      <c r="M79" s="144"/>
      <c r="N79" s="144"/>
      <c r="O79" s="144"/>
      <c r="P79" s="144"/>
      <c r="Q79" s="144"/>
      <c r="R79" s="144"/>
      <c r="S79" s="144"/>
      <c r="T79" s="144"/>
      <c r="U79" s="566">
        <f t="shared" si="92"/>
        <v>2.4</v>
      </c>
      <c r="V79" s="566">
        <f t="shared" si="92"/>
        <v>2.5500000000000003</v>
      </c>
      <c r="W79" s="566">
        <f t="shared" si="92"/>
        <v>0.2</v>
      </c>
      <c r="X79" s="566">
        <f t="shared" si="92"/>
        <v>8.5</v>
      </c>
      <c r="Y79" s="566">
        <f t="shared" si="92"/>
        <v>0</v>
      </c>
      <c r="Z79" s="566">
        <f t="shared" si="92"/>
        <v>3.7625000000000002</v>
      </c>
      <c r="AA79" s="566">
        <f t="shared" si="92"/>
        <v>2.7400000000000007</v>
      </c>
      <c r="AB79" s="144"/>
      <c r="AC79" s="231">
        <v>0</v>
      </c>
      <c r="AD79" s="231">
        <v>0</v>
      </c>
      <c r="AE79" s="231">
        <v>0</v>
      </c>
      <c r="AF79" s="231">
        <v>0</v>
      </c>
      <c r="AG79" s="231">
        <v>0</v>
      </c>
      <c r="AH79" s="231">
        <v>0</v>
      </c>
      <c r="AI79" s="213"/>
      <c r="AJ79" s="204"/>
      <c r="AK79" s="204"/>
      <c r="AL79" s="204"/>
      <c r="AM79" s="204"/>
      <c r="AN79" s="204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998"/>
      <c r="M80" s="144"/>
      <c r="N80" s="144"/>
      <c r="O80" s="144"/>
      <c r="P80" s="144"/>
      <c r="Q80" s="144"/>
      <c r="R80" s="144"/>
      <c r="S80" s="144"/>
      <c r="T80" s="144"/>
      <c r="U80" s="566">
        <f t="shared" si="92"/>
        <v>2.4</v>
      </c>
      <c r="V80" s="566">
        <f t="shared" si="92"/>
        <v>2.5500000000000003</v>
      </c>
      <c r="W80" s="566">
        <f t="shared" si="92"/>
        <v>0.2</v>
      </c>
      <c r="X80" s="566">
        <f t="shared" si="92"/>
        <v>8.5</v>
      </c>
      <c r="Y80" s="566">
        <f t="shared" si="92"/>
        <v>0</v>
      </c>
      <c r="Z80" s="566">
        <f t="shared" si="92"/>
        <v>3.7625000000000002</v>
      </c>
      <c r="AA80" s="566">
        <f t="shared" si="92"/>
        <v>2.7400000000000007</v>
      </c>
      <c r="AB80" s="144"/>
      <c r="AC80" s="231"/>
      <c r="AD80" s="231"/>
      <c r="AE80" s="231"/>
      <c r="AF80" s="231"/>
      <c r="AG80" s="231"/>
      <c r="AH80" s="231"/>
      <c r="AI80" s="213"/>
      <c r="AJ80" s="204"/>
      <c r="AK80" s="204"/>
      <c r="AL80" s="204"/>
      <c r="AM80" s="204"/>
      <c r="AN80" s="204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998"/>
      <c r="M81" s="144"/>
      <c r="N81" s="144"/>
      <c r="O81" s="144"/>
      <c r="P81" s="144"/>
      <c r="Q81" s="144"/>
      <c r="R81" s="144"/>
      <c r="S81" s="144"/>
      <c r="T81" s="144"/>
      <c r="U81" s="566">
        <f t="shared" si="92"/>
        <v>2.4</v>
      </c>
      <c r="V81" s="566">
        <f t="shared" si="92"/>
        <v>2.5500000000000003</v>
      </c>
      <c r="W81" s="566">
        <f t="shared" si="92"/>
        <v>0.2</v>
      </c>
      <c r="X81" s="566">
        <f t="shared" si="92"/>
        <v>8.5</v>
      </c>
      <c r="Y81" s="566">
        <f t="shared" si="92"/>
        <v>0</v>
      </c>
      <c r="Z81" s="566">
        <f t="shared" si="92"/>
        <v>3.7625000000000002</v>
      </c>
      <c r="AA81" s="566">
        <f t="shared" si="92"/>
        <v>2.7400000000000007</v>
      </c>
      <c r="AB81" s="144"/>
      <c r="AC81" s="231"/>
      <c r="AD81" s="231"/>
      <c r="AE81" s="231"/>
      <c r="AF81" s="231"/>
      <c r="AG81" s="231"/>
      <c r="AH81" s="231"/>
      <c r="AI81" s="213"/>
      <c r="AJ81" s="204"/>
      <c r="AK81" s="204"/>
      <c r="AL81" s="204"/>
      <c r="AM81" s="204"/>
      <c r="AN81" s="204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998"/>
      <c r="M82" s="144"/>
      <c r="N82" s="144"/>
      <c r="O82" s="144"/>
      <c r="P82" s="144"/>
      <c r="Q82" s="144"/>
      <c r="R82" s="144"/>
      <c r="S82" s="144"/>
      <c r="T82" s="144"/>
      <c r="U82" s="566">
        <f t="shared" ref="U82:AA97" si="93">IF(U81&gt;0,U81,U80)</f>
        <v>2.4</v>
      </c>
      <c r="V82" s="566">
        <f t="shared" si="93"/>
        <v>2.5500000000000003</v>
      </c>
      <c r="W82" s="566">
        <f t="shared" si="93"/>
        <v>0.2</v>
      </c>
      <c r="X82" s="566">
        <f t="shared" si="93"/>
        <v>8.5</v>
      </c>
      <c r="Y82" s="566">
        <f t="shared" si="93"/>
        <v>0</v>
      </c>
      <c r="Z82" s="566">
        <f t="shared" si="93"/>
        <v>3.7625000000000002</v>
      </c>
      <c r="AA82" s="566">
        <f t="shared" si="93"/>
        <v>2.7400000000000007</v>
      </c>
      <c r="AB82" s="144"/>
      <c r="AC82" s="231">
        <v>0</v>
      </c>
      <c r="AD82" s="231">
        <v>0</v>
      </c>
      <c r="AE82" s="231">
        <v>0</v>
      </c>
      <c r="AF82" s="231">
        <v>0</v>
      </c>
      <c r="AG82" s="231">
        <v>0</v>
      </c>
      <c r="AH82" s="231">
        <v>0</v>
      </c>
      <c r="AI82" s="213"/>
      <c r="AJ82" s="204"/>
      <c r="AK82" s="204"/>
      <c r="AL82" s="204"/>
      <c r="AM82" s="204"/>
      <c r="AN82" s="204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998"/>
      <c r="M83" s="144"/>
      <c r="N83" s="144"/>
      <c r="O83" s="144"/>
      <c r="P83" s="144"/>
      <c r="Q83" s="144"/>
      <c r="R83" s="144"/>
      <c r="S83" s="144"/>
      <c r="T83" s="144"/>
      <c r="U83" s="566">
        <f t="shared" si="93"/>
        <v>2.4</v>
      </c>
      <c r="V83" s="566">
        <f t="shared" si="93"/>
        <v>2.5500000000000003</v>
      </c>
      <c r="W83" s="566">
        <f t="shared" si="93"/>
        <v>0.2</v>
      </c>
      <c r="X83" s="566">
        <f t="shared" si="93"/>
        <v>8.5</v>
      </c>
      <c r="Y83" s="566">
        <f t="shared" si="93"/>
        <v>0</v>
      </c>
      <c r="Z83" s="566">
        <f t="shared" si="93"/>
        <v>3.7625000000000002</v>
      </c>
      <c r="AA83" s="566">
        <f t="shared" si="93"/>
        <v>2.7400000000000007</v>
      </c>
      <c r="AB83" s="144"/>
      <c r="AC83" s="231">
        <v>0</v>
      </c>
      <c r="AD83" s="231">
        <v>0</v>
      </c>
      <c r="AE83" s="231">
        <v>0</v>
      </c>
      <c r="AF83" s="231">
        <v>0</v>
      </c>
      <c r="AG83" s="231">
        <v>0</v>
      </c>
      <c r="AH83" s="231">
        <v>0</v>
      </c>
      <c r="AI83" s="213"/>
      <c r="AJ83" s="204"/>
      <c r="AK83" s="204"/>
      <c r="AL83" s="204"/>
      <c r="AM83" s="204"/>
      <c r="AN83" s="204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998"/>
      <c r="M84" s="144"/>
      <c r="N84" s="144"/>
      <c r="O84" s="144"/>
      <c r="P84" s="144"/>
      <c r="Q84" s="144"/>
      <c r="R84" s="144"/>
      <c r="S84" s="144"/>
      <c r="T84" s="144"/>
      <c r="U84" s="566">
        <f t="shared" si="93"/>
        <v>2.4</v>
      </c>
      <c r="V84" s="566">
        <f t="shared" si="93"/>
        <v>2.5500000000000003</v>
      </c>
      <c r="W84" s="566">
        <f t="shared" si="93"/>
        <v>0.2</v>
      </c>
      <c r="X84" s="566">
        <f t="shared" si="93"/>
        <v>8.5</v>
      </c>
      <c r="Y84" s="566">
        <f t="shared" si="93"/>
        <v>0</v>
      </c>
      <c r="Z84" s="566">
        <f t="shared" si="93"/>
        <v>3.7625000000000002</v>
      </c>
      <c r="AA84" s="566">
        <f t="shared" si="93"/>
        <v>2.7400000000000007</v>
      </c>
      <c r="AB84" s="144"/>
      <c r="AC84" s="231">
        <v>0</v>
      </c>
      <c r="AD84" s="231">
        <v>0</v>
      </c>
      <c r="AE84" s="231">
        <v>0</v>
      </c>
      <c r="AF84" s="231">
        <v>0</v>
      </c>
      <c r="AG84" s="231">
        <v>0</v>
      </c>
      <c r="AH84" s="231">
        <v>0</v>
      </c>
      <c r="AI84" s="213"/>
      <c r="AJ84" s="204"/>
      <c r="AK84" s="204"/>
      <c r="AL84" s="204"/>
      <c r="AM84" s="204"/>
      <c r="AN84" s="204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998"/>
      <c r="M85" s="144"/>
      <c r="N85" s="144"/>
      <c r="O85" s="144"/>
      <c r="P85" s="144"/>
      <c r="Q85" s="144"/>
      <c r="R85" s="144"/>
      <c r="S85" s="144"/>
      <c r="T85" s="144"/>
      <c r="U85" s="566">
        <f t="shared" si="93"/>
        <v>2.4</v>
      </c>
      <c r="V85" s="566">
        <f t="shared" si="93"/>
        <v>2.5500000000000003</v>
      </c>
      <c r="W85" s="566">
        <f t="shared" si="93"/>
        <v>0.2</v>
      </c>
      <c r="X85" s="566">
        <f t="shared" si="93"/>
        <v>8.5</v>
      </c>
      <c r="Y85" s="566">
        <f t="shared" si="93"/>
        <v>0</v>
      </c>
      <c r="Z85" s="566">
        <f t="shared" si="93"/>
        <v>3.7625000000000002</v>
      </c>
      <c r="AA85" s="566">
        <f t="shared" si="93"/>
        <v>2.7400000000000007</v>
      </c>
      <c r="AB85" s="144"/>
      <c r="AC85" s="231">
        <v>0</v>
      </c>
      <c r="AD85" s="231">
        <v>0</v>
      </c>
      <c r="AE85" s="231">
        <v>0</v>
      </c>
      <c r="AF85" s="231">
        <v>0</v>
      </c>
      <c r="AG85" s="231">
        <v>0</v>
      </c>
      <c r="AH85" s="231">
        <v>0</v>
      </c>
      <c r="AI85" s="213"/>
      <c r="AJ85" s="204"/>
      <c r="AK85" s="204"/>
      <c r="AL85" s="204"/>
      <c r="AM85" s="204"/>
      <c r="AN85" s="204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998"/>
      <c r="M86" s="144"/>
      <c r="N86" s="144"/>
      <c r="O86" s="144"/>
      <c r="P86" s="144"/>
      <c r="Q86" s="144"/>
      <c r="R86" s="144"/>
      <c r="S86" s="144"/>
      <c r="T86" s="144"/>
      <c r="U86" s="566">
        <f t="shared" si="93"/>
        <v>2.4</v>
      </c>
      <c r="V86" s="566">
        <f t="shared" si="93"/>
        <v>2.5500000000000003</v>
      </c>
      <c r="W86" s="566">
        <f t="shared" si="93"/>
        <v>0.2</v>
      </c>
      <c r="X86" s="566">
        <f t="shared" si="93"/>
        <v>8.5</v>
      </c>
      <c r="Y86" s="566">
        <f t="shared" si="93"/>
        <v>0</v>
      </c>
      <c r="Z86" s="566">
        <f t="shared" si="93"/>
        <v>3.7625000000000002</v>
      </c>
      <c r="AA86" s="566">
        <f t="shared" si="93"/>
        <v>2.7400000000000007</v>
      </c>
      <c r="AB86" s="144"/>
      <c r="AC86" s="231"/>
      <c r="AD86" s="231"/>
      <c r="AE86" s="231"/>
      <c r="AF86" s="231"/>
      <c r="AG86" s="231"/>
      <c r="AH86" s="231"/>
      <c r="AI86" s="213"/>
      <c r="AJ86" s="204"/>
      <c r="AK86" s="204"/>
      <c r="AL86" s="204"/>
      <c r="AM86" s="204"/>
      <c r="AN86" s="204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998"/>
      <c r="M87" s="144"/>
      <c r="N87" s="144"/>
      <c r="O87" s="144"/>
      <c r="P87" s="144"/>
      <c r="Q87" s="144"/>
      <c r="R87" s="144"/>
      <c r="S87" s="144"/>
      <c r="T87" s="144"/>
      <c r="U87" s="566">
        <f t="shared" si="93"/>
        <v>2.4</v>
      </c>
      <c r="V87" s="566">
        <f t="shared" si="93"/>
        <v>2.5500000000000003</v>
      </c>
      <c r="W87" s="566">
        <f t="shared" si="93"/>
        <v>0.2</v>
      </c>
      <c r="X87" s="566">
        <f t="shared" si="93"/>
        <v>8.5</v>
      </c>
      <c r="Y87" s="566">
        <f t="shared" si="93"/>
        <v>0</v>
      </c>
      <c r="Z87" s="566">
        <f t="shared" si="93"/>
        <v>3.7625000000000002</v>
      </c>
      <c r="AA87" s="566">
        <f t="shared" si="93"/>
        <v>2.7400000000000007</v>
      </c>
      <c r="AB87" s="144"/>
      <c r="AC87" s="231">
        <v>0</v>
      </c>
      <c r="AD87" s="231">
        <v>0</v>
      </c>
      <c r="AE87" s="231">
        <v>0</v>
      </c>
      <c r="AF87" s="231">
        <v>0</v>
      </c>
      <c r="AG87" s="231">
        <v>0</v>
      </c>
      <c r="AH87" s="231">
        <v>0</v>
      </c>
      <c r="AI87" s="213"/>
      <c r="AJ87" s="204"/>
      <c r="AK87" s="204"/>
      <c r="AL87" s="204"/>
      <c r="AM87" s="204"/>
      <c r="AN87" s="204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998"/>
      <c r="M88" s="144"/>
      <c r="N88" s="144"/>
      <c r="O88" s="144"/>
      <c r="P88" s="144"/>
      <c r="Q88" s="144"/>
      <c r="R88" s="144"/>
      <c r="S88" s="144"/>
      <c r="T88" s="144"/>
      <c r="U88" s="566">
        <f t="shared" si="93"/>
        <v>2.4</v>
      </c>
      <c r="V88" s="566">
        <f t="shared" si="93"/>
        <v>2.5500000000000003</v>
      </c>
      <c r="W88" s="566">
        <f t="shared" si="93"/>
        <v>0.2</v>
      </c>
      <c r="X88" s="566">
        <f t="shared" si="93"/>
        <v>8.5</v>
      </c>
      <c r="Y88" s="566">
        <f t="shared" si="93"/>
        <v>0</v>
      </c>
      <c r="Z88" s="566">
        <f t="shared" si="93"/>
        <v>3.7625000000000002</v>
      </c>
      <c r="AA88" s="566">
        <f t="shared" si="93"/>
        <v>2.7400000000000007</v>
      </c>
      <c r="AB88" s="144"/>
      <c r="AC88" s="231">
        <v>0</v>
      </c>
      <c r="AD88" s="231">
        <v>0</v>
      </c>
      <c r="AE88" s="231">
        <v>0</v>
      </c>
      <c r="AF88" s="231">
        <v>0</v>
      </c>
      <c r="AG88" s="231">
        <v>0</v>
      </c>
      <c r="AH88" s="231">
        <v>0</v>
      </c>
      <c r="AI88" s="213"/>
      <c r="AJ88" s="204"/>
      <c r="AK88" s="204"/>
      <c r="AL88" s="204"/>
      <c r="AM88" s="204"/>
      <c r="AN88" s="204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998"/>
      <c r="M89" s="144"/>
      <c r="N89" s="144"/>
      <c r="O89" s="144"/>
      <c r="P89" s="144"/>
      <c r="Q89" s="144"/>
      <c r="R89" s="144"/>
      <c r="S89" s="144"/>
      <c r="T89" s="144"/>
      <c r="U89" s="566">
        <f t="shared" si="93"/>
        <v>2.4</v>
      </c>
      <c r="V89" s="566">
        <f t="shared" si="93"/>
        <v>2.5500000000000003</v>
      </c>
      <c r="W89" s="566">
        <f t="shared" si="93"/>
        <v>0.2</v>
      </c>
      <c r="X89" s="566">
        <f t="shared" si="93"/>
        <v>8.5</v>
      </c>
      <c r="Y89" s="566">
        <f t="shared" si="93"/>
        <v>0</v>
      </c>
      <c r="Z89" s="566">
        <f t="shared" si="93"/>
        <v>3.7625000000000002</v>
      </c>
      <c r="AA89" s="566">
        <f t="shared" si="93"/>
        <v>2.7400000000000007</v>
      </c>
      <c r="AB89" s="144"/>
      <c r="AC89" s="231"/>
      <c r="AD89" s="231"/>
      <c r="AE89" s="231"/>
      <c r="AF89" s="231"/>
      <c r="AG89" s="231"/>
      <c r="AH89" s="231"/>
      <c r="AI89" s="213"/>
      <c r="AJ89" s="204"/>
      <c r="AK89" s="204"/>
      <c r="AL89" s="204"/>
      <c r="AM89" s="204"/>
      <c r="AN89" s="204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998"/>
      <c r="M90" s="144"/>
      <c r="N90" s="144"/>
      <c r="O90" s="144"/>
      <c r="P90" s="144"/>
      <c r="Q90" s="144"/>
      <c r="R90" s="144"/>
      <c r="S90" s="144"/>
      <c r="T90" s="144"/>
      <c r="U90" s="566">
        <f t="shared" si="93"/>
        <v>2.4</v>
      </c>
      <c r="V90" s="566">
        <f t="shared" si="93"/>
        <v>2.5500000000000003</v>
      </c>
      <c r="W90" s="566">
        <f t="shared" si="93"/>
        <v>0.2</v>
      </c>
      <c r="X90" s="566">
        <f t="shared" si="93"/>
        <v>8.5</v>
      </c>
      <c r="Y90" s="566">
        <f t="shared" si="93"/>
        <v>0</v>
      </c>
      <c r="Z90" s="566">
        <f t="shared" si="93"/>
        <v>3.7625000000000002</v>
      </c>
      <c r="AA90" s="566">
        <f t="shared" si="93"/>
        <v>2.7400000000000007</v>
      </c>
      <c r="AB90" s="144"/>
      <c r="AC90" s="231"/>
      <c r="AD90" s="231"/>
      <c r="AE90" s="231"/>
      <c r="AF90" s="231"/>
      <c r="AG90" s="231"/>
      <c r="AH90" s="231"/>
      <c r="AI90" s="213"/>
      <c r="AJ90" s="204"/>
      <c r="AK90" s="204"/>
      <c r="AL90" s="204"/>
      <c r="AM90" s="204"/>
      <c r="AN90" s="204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998"/>
      <c r="M91" s="144"/>
      <c r="N91" s="144"/>
      <c r="O91" s="144"/>
      <c r="P91" s="144"/>
      <c r="Q91" s="144"/>
      <c r="R91" s="144"/>
      <c r="S91" s="144"/>
      <c r="T91" s="144"/>
      <c r="U91" s="566">
        <f t="shared" si="93"/>
        <v>2.4</v>
      </c>
      <c r="V91" s="566">
        <f t="shared" si="93"/>
        <v>2.5500000000000003</v>
      </c>
      <c r="W91" s="566">
        <f t="shared" si="93"/>
        <v>0.2</v>
      </c>
      <c r="X91" s="566">
        <f t="shared" si="93"/>
        <v>8.5</v>
      </c>
      <c r="Y91" s="566">
        <f t="shared" si="93"/>
        <v>0</v>
      </c>
      <c r="Z91" s="566">
        <f t="shared" si="93"/>
        <v>3.7625000000000002</v>
      </c>
      <c r="AA91" s="566">
        <f t="shared" si="93"/>
        <v>2.7400000000000007</v>
      </c>
      <c r="AB91" s="144"/>
      <c r="AC91" s="231">
        <v>0</v>
      </c>
      <c r="AD91" s="231">
        <v>0</v>
      </c>
      <c r="AE91" s="231">
        <v>0</v>
      </c>
      <c r="AF91" s="231">
        <v>0</v>
      </c>
      <c r="AG91" s="231">
        <v>0</v>
      </c>
      <c r="AH91" s="231">
        <v>0</v>
      </c>
      <c r="AI91" s="213"/>
      <c r="AJ91" s="204"/>
      <c r="AK91" s="204"/>
      <c r="AL91" s="204"/>
      <c r="AM91" s="204"/>
      <c r="AN91" s="204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998"/>
      <c r="M92" s="144"/>
      <c r="N92" s="144"/>
      <c r="O92" s="144"/>
      <c r="P92" s="144"/>
      <c r="Q92" s="144"/>
      <c r="R92" s="144"/>
      <c r="S92" s="144"/>
      <c r="T92" s="144"/>
      <c r="U92" s="566">
        <f t="shared" si="93"/>
        <v>2.4</v>
      </c>
      <c r="V92" s="566">
        <f t="shared" si="93"/>
        <v>2.5500000000000003</v>
      </c>
      <c r="W92" s="566">
        <f t="shared" si="93"/>
        <v>0.2</v>
      </c>
      <c r="X92" s="566">
        <f t="shared" si="93"/>
        <v>8.5</v>
      </c>
      <c r="Y92" s="566">
        <f t="shared" si="93"/>
        <v>0</v>
      </c>
      <c r="Z92" s="566">
        <f t="shared" si="93"/>
        <v>3.7625000000000002</v>
      </c>
      <c r="AA92" s="566">
        <f t="shared" si="93"/>
        <v>2.7400000000000007</v>
      </c>
      <c r="AB92" s="144"/>
      <c r="AC92" s="231">
        <v>0</v>
      </c>
      <c r="AD92" s="231">
        <v>0</v>
      </c>
      <c r="AE92" s="231">
        <v>0</v>
      </c>
      <c r="AF92" s="231">
        <v>0</v>
      </c>
      <c r="AG92" s="231">
        <v>0</v>
      </c>
      <c r="AH92" s="231">
        <v>0</v>
      </c>
      <c r="AI92" s="213"/>
      <c r="AJ92" s="204"/>
      <c r="AK92" s="204"/>
      <c r="AL92" s="204"/>
      <c r="AM92" s="204"/>
      <c r="AN92" s="204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998"/>
      <c r="M93" s="144"/>
      <c r="N93" s="144"/>
      <c r="O93" s="144"/>
      <c r="P93" s="144"/>
      <c r="Q93" s="144"/>
      <c r="R93" s="144"/>
      <c r="S93" s="144"/>
      <c r="T93" s="144"/>
      <c r="U93" s="566">
        <f t="shared" si="93"/>
        <v>2.4</v>
      </c>
      <c r="V93" s="566">
        <f t="shared" si="93"/>
        <v>2.5500000000000003</v>
      </c>
      <c r="W93" s="566">
        <f t="shared" si="93"/>
        <v>0.2</v>
      </c>
      <c r="X93" s="566">
        <f t="shared" si="93"/>
        <v>8.5</v>
      </c>
      <c r="Y93" s="566">
        <f t="shared" si="93"/>
        <v>0</v>
      </c>
      <c r="Z93" s="566">
        <f t="shared" si="93"/>
        <v>3.7625000000000002</v>
      </c>
      <c r="AA93" s="566">
        <f t="shared" si="93"/>
        <v>2.7400000000000007</v>
      </c>
      <c r="AB93" s="144"/>
      <c r="AC93" s="231">
        <v>0</v>
      </c>
      <c r="AD93" s="231">
        <v>0</v>
      </c>
      <c r="AE93" s="231">
        <v>0</v>
      </c>
      <c r="AF93" s="231">
        <v>0</v>
      </c>
      <c r="AG93" s="231">
        <v>0</v>
      </c>
      <c r="AH93" s="231">
        <v>0</v>
      </c>
      <c r="AI93" s="213"/>
      <c r="AJ93" s="204"/>
      <c r="AK93" s="204"/>
      <c r="AL93" s="204"/>
      <c r="AM93" s="204"/>
      <c r="AN93" s="204"/>
    </row>
    <row r="94" spans="1:40" ht="15" customHeight="1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998"/>
      <c r="M94" s="144"/>
      <c r="N94" s="144"/>
      <c r="O94" s="144"/>
      <c r="P94" s="144"/>
      <c r="Q94" s="144"/>
      <c r="R94" s="144"/>
      <c r="S94" s="144"/>
      <c r="T94" s="144"/>
      <c r="U94" s="566">
        <f t="shared" si="93"/>
        <v>2.4</v>
      </c>
      <c r="V94" s="566">
        <f t="shared" si="93"/>
        <v>2.5500000000000003</v>
      </c>
      <c r="W94" s="566">
        <f t="shared" si="93"/>
        <v>0.2</v>
      </c>
      <c r="X94" s="566">
        <f t="shared" si="93"/>
        <v>8.5</v>
      </c>
      <c r="Y94" s="566">
        <f t="shared" si="93"/>
        <v>0</v>
      </c>
      <c r="Z94" s="566">
        <f t="shared" si="93"/>
        <v>3.7625000000000002</v>
      </c>
      <c r="AA94" s="566">
        <f t="shared" si="93"/>
        <v>2.7400000000000007</v>
      </c>
      <c r="AB94" s="144"/>
      <c r="AC94" s="231"/>
      <c r="AD94" s="231"/>
      <c r="AE94" s="231"/>
      <c r="AF94" s="231"/>
      <c r="AG94" s="231"/>
      <c r="AH94" s="231"/>
      <c r="AI94" s="213"/>
      <c r="AJ94" s="204"/>
      <c r="AK94" s="204"/>
      <c r="AL94" s="204"/>
      <c r="AM94" s="204"/>
      <c r="AN94" s="204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998"/>
      <c r="M95" s="144"/>
      <c r="N95" s="144"/>
      <c r="O95" s="144"/>
      <c r="P95" s="144"/>
      <c r="Q95" s="144"/>
      <c r="R95" s="144"/>
      <c r="S95" s="144"/>
      <c r="T95" s="144"/>
      <c r="U95" s="566">
        <f t="shared" si="93"/>
        <v>2.4</v>
      </c>
      <c r="V95" s="566">
        <f t="shared" si="93"/>
        <v>2.5500000000000003</v>
      </c>
      <c r="W95" s="566">
        <f t="shared" si="93"/>
        <v>0.2</v>
      </c>
      <c r="X95" s="566">
        <f t="shared" si="93"/>
        <v>8.5</v>
      </c>
      <c r="Y95" s="566">
        <f t="shared" si="93"/>
        <v>0</v>
      </c>
      <c r="Z95" s="566">
        <f t="shared" si="93"/>
        <v>3.7625000000000002</v>
      </c>
      <c r="AA95" s="566">
        <f t="shared" si="93"/>
        <v>2.7400000000000007</v>
      </c>
      <c r="AB95" s="144"/>
      <c r="AC95" s="231"/>
      <c r="AD95" s="231"/>
      <c r="AE95" s="231"/>
      <c r="AF95" s="231"/>
      <c r="AG95" s="231"/>
      <c r="AH95" s="231"/>
      <c r="AI95" s="213"/>
      <c r="AJ95" s="204"/>
      <c r="AK95" s="204"/>
      <c r="AL95" s="204"/>
      <c r="AM95" s="204"/>
      <c r="AN95" s="204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998"/>
      <c r="M96" s="144"/>
      <c r="N96" s="144"/>
      <c r="O96" s="144"/>
      <c r="P96" s="144"/>
      <c r="Q96" s="144"/>
      <c r="R96" s="144"/>
      <c r="S96" s="144"/>
      <c r="T96" s="144"/>
      <c r="U96" s="566">
        <f t="shared" si="93"/>
        <v>2.4</v>
      </c>
      <c r="V96" s="566">
        <f t="shared" si="93"/>
        <v>2.5500000000000003</v>
      </c>
      <c r="W96" s="566">
        <f t="shared" si="93"/>
        <v>0.2</v>
      </c>
      <c r="X96" s="566">
        <f t="shared" si="93"/>
        <v>8.5</v>
      </c>
      <c r="Y96" s="566">
        <f t="shared" si="93"/>
        <v>0</v>
      </c>
      <c r="Z96" s="566">
        <f t="shared" si="93"/>
        <v>3.7625000000000002</v>
      </c>
      <c r="AA96" s="566">
        <f t="shared" si="93"/>
        <v>2.7400000000000007</v>
      </c>
      <c r="AB96" s="144"/>
      <c r="AC96" s="231">
        <v>0</v>
      </c>
      <c r="AD96" s="231">
        <v>0</v>
      </c>
      <c r="AE96" s="231">
        <v>0</v>
      </c>
      <c r="AF96" s="231">
        <v>0</v>
      </c>
      <c r="AG96" s="231">
        <v>0</v>
      </c>
      <c r="AH96" s="231">
        <v>0</v>
      </c>
      <c r="AI96" s="213"/>
      <c r="AJ96" s="204"/>
      <c r="AK96" s="204"/>
      <c r="AL96" s="204"/>
      <c r="AM96" s="204"/>
      <c r="AN96" s="204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998"/>
      <c r="M97" s="144"/>
      <c r="N97" s="144"/>
      <c r="O97" s="144"/>
      <c r="P97" s="144"/>
      <c r="Q97" s="144"/>
      <c r="R97" s="144"/>
      <c r="S97" s="144"/>
      <c r="T97" s="144"/>
      <c r="U97" s="566">
        <f t="shared" si="93"/>
        <v>2.4</v>
      </c>
      <c r="V97" s="566">
        <f t="shared" si="93"/>
        <v>2.5500000000000003</v>
      </c>
      <c r="W97" s="566">
        <f t="shared" si="93"/>
        <v>0.2</v>
      </c>
      <c r="X97" s="566">
        <f t="shared" si="93"/>
        <v>8.5</v>
      </c>
      <c r="Y97" s="566">
        <f t="shared" si="93"/>
        <v>0</v>
      </c>
      <c r="Z97" s="566">
        <f t="shared" si="93"/>
        <v>3.7625000000000002</v>
      </c>
      <c r="AA97" s="566">
        <f t="shared" si="93"/>
        <v>2.7400000000000007</v>
      </c>
      <c r="AB97" s="144"/>
      <c r="AC97" s="231">
        <v>0</v>
      </c>
      <c r="AD97" s="231">
        <v>0</v>
      </c>
      <c r="AE97" s="231">
        <v>0</v>
      </c>
      <c r="AF97" s="231">
        <v>0</v>
      </c>
      <c r="AG97" s="231">
        <v>0</v>
      </c>
      <c r="AH97" s="231">
        <v>0</v>
      </c>
      <c r="AI97" s="213"/>
      <c r="AJ97" s="204"/>
      <c r="AK97" s="204"/>
      <c r="AL97" s="204"/>
      <c r="AM97" s="204"/>
      <c r="AN97" s="204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998"/>
      <c r="M98" s="144"/>
      <c r="N98" s="144"/>
      <c r="O98" s="144"/>
      <c r="P98" s="144"/>
      <c r="Q98" s="144"/>
      <c r="R98" s="144"/>
      <c r="S98" s="144"/>
      <c r="T98" s="144"/>
      <c r="U98" s="566">
        <f t="shared" ref="U98:AA104" si="94">IF(U97&gt;0,U97,U96)</f>
        <v>2.4</v>
      </c>
      <c r="V98" s="566">
        <f t="shared" si="94"/>
        <v>2.5500000000000003</v>
      </c>
      <c r="W98" s="566">
        <f t="shared" si="94"/>
        <v>0.2</v>
      </c>
      <c r="X98" s="566">
        <f t="shared" si="94"/>
        <v>8.5</v>
      </c>
      <c r="Y98" s="566">
        <f t="shared" si="94"/>
        <v>0</v>
      </c>
      <c r="Z98" s="566">
        <f t="shared" si="94"/>
        <v>3.7625000000000002</v>
      </c>
      <c r="AA98" s="566">
        <f t="shared" si="94"/>
        <v>2.7400000000000007</v>
      </c>
      <c r="AB98" s="144"/>
      <c r="AC98" s="231">
        <v>0</v>
      </c>
      <c r="AD98" s="231">
        <v>0</v>
      </c>
      <c r="AE98" s="231">
        <v>0</v>
      </c>
      <c r="AF98" s="231">
        <v>0</v>
      </c>
      <c r="AG98" s="231">
        <v>0</v>
      </c>
      <c r="AH98" s="231">
        <v>0</v>
      </c>
      <c r="AI98" s="213"/>
      <c r="AJ98" s="204"/>
      <c r="AK98" s="204"/>
      <c r="AL98" s="204"/>
      <c r="AM98" s="204"/>
      <c r="AN98" s="204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998"/>
      <c r="M99" s="144"/>
      <c r="N99" s="144"/>
      <c r="O99" s="144"/>
      <c r="P99" s="144"/>
      <c r="Q99" s="144"/>
      <c r="R99" s="144"/>
      <c r="S99" s="144"/>
      <c r="T99" s="144"/>
      <c r="U99" s="566">
        <f t="shared" si="94"/>
        <v>2.4</v>
      </c>
      <c r="V99" s="566">
        <f t="shared" si="94"/>
        <v>2.5500000000000003</v>
      </c>
      <c r="W99" s="566">
        <f t="shared" si="94"/>
        <v>0.2</v>
      </c>
      <c r="X99" s="566">
        <f t="shared" si="94"/>
        <v>8.5</v>
      </c>
      <c r="Y99" s="566">
        <f t="shared" si="94"/>
        <v>0</v>
      </c>
      <c r="Z99" s="566">
        <f t="shared" si="94"/>
        <v>3.7625000000000002</v>
      </c>
      <c r="AA99" s="566">
        <f t="shared" si="94"/>
        <v>2.7400000000000007</v>
      </c>
      <c r="AB99" s="144"/>
      <c r="AC99" s="231"/>
      <c r="AD99" s="231"/>
      <c r="AE99" s="231"/>
      <c r="AF99" s="231"/>
      <c r="AG99" s="231"/>
      <c r="AH99" s="231"/>
      <c r="AI99" s="213"/>
      <c r="AJ99" s="204"/>
      <c r="AK99" s="204"/>
      <c r="AL99" s="204"/>
      <c r="AM99" s="204"/>
      <c r="AN99" s="204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998"/>
      <c r="M100" s="144"/>
      <c r="N100" s="144"/>
      <c r="O100" s="144"/>
      <c r="P100" s="144"/>
      <c r="Q100" s="144"/>
      <c r="R100" s="144"/>
      <c r="S100" s="144"/>
      <c r="T100" s="144"/>
      <c r="U100" s="566">
        <f t="shared" si="94"/>
        <v>2.4</v>
      </c>
      <c r="V100" s="566">
        <f t="shared" si="94"/>
        <v>2.5500000000000003</v>
      </c>
      <c r="W100" s="566">
        <f t="shared" si="94"/>
        <v>0.2</v>
      </c>
      <c r="X100" s="566">
        <f t="shared" si="94"/>
        <v>8.5</v>
      </c>
      <c r="Y100" s="566">
        <f t="shared" si="94"/>
        <v>0</v>
      </c>
      <c r="Z100" s="566">
        <f t="shared" si="94"/>
        <v>3.7625000000000002</v>
      </c>
      <c r="AA100" s="566">
        <f t="shared" si="94"/>
        <v>2.7400000000000007</v>
      </c>
      <c r="AB100" s="144"/>
      <c r="AC100" s="231"/>
      <c r="AD100" s="231"/>
      <c r="AE100" s="231"/>
      <c r="AF100" s="231"/>
      <c r="AG100" s="231"/>
      <c r="AH100" s="231"/>
      <c r="AI100" s="213"/>
      <c r="AJ100" s="204"/>
      <c r="AK100" s="204"/>
      <c r="AL100" s="204"/>
      <c r="AM100" s="204"/>
      <c r="AN100" s="204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998"/>
      <c r="M101" s="144"/>
      <c r="N101" s="144"/>
      <c r="O101" s="144"/>
      <c r="P101" s="144"/>
      <c r="Q101" s="144"/>
      <c r="R101" s="144"/>
      <c r="S101" s="144"/>
      <c r="T101" s="144"/>
      <c r="U101" s="566">
        <f t="shared" si="94"/>
        <v>2.4</v>
      </c>
      <c r="V101" s="566">
        <f t="shared" si="94"/>
        <v>2.5500000000000003</v>
      </c>
      <c r="W101" s="566">
        <f t="shared" si="94"/>
        <v>0.2</v>
      </c>
      <c r="X101" s="566">
        <f t="shared" si="94"/>
        <v>8.5</v>
      </c>
      <c r="Y101" s="566">
        <f t="shared" si="94"/>
        <v>0</v>
      </c>
      <c r="Z101" s="566">
        <f t="shared" si="94"/>
        <v>3.7625000000000002</v>
      </c>
      <c r="AA101" s="566">
        <f t="shared" si="94"/>
        <v>2.7400000000000007</v>
      </c>
      <c r="AB101" s="144"/>
      <c r="AC101" s="231">
        <v>0</v>
      </c>
      <c r="AD101" s="231">
        <v>0</v>
      </c>
      <c r="AE101" s="231">
        <v>0</v>
      </c>
      <c r="AF101" s="231">
        <v>0</v>
      </c>
      <c r="AG101" s="231">
        <v>0</v>
      </c>
      <c r="AH101" s="231">
        <v>0</v>
      </c>
      <c r="AI101" s="213"/>
      <c r="AJ101" s="204"/>
      <c r="AK101" s="204"/>
      <c r="AL101" s="204"/>
      <c r="AM101" s="204"/>
      <c r="AN101" s="204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998"/>
      <c r="M102" s="144"/>
      <c r="N102" s="144"/>
      <c r="O102" s="144"/>
      <c r="P102" s="144"/>
      <c r="Q102" s="144"/>
      <c r="R102" s="144"/>
      <c r="S102" s="144"/>
      <c r="T102" s="144"/>
      <c r="U102" s="566">
        <f t="shared" si="94"/>
        <v>2.4</v>
      </c>
      <c r="V102" s="566">
        <f t="shared" si="94"/>
        <v>2.5500000000000003</v>
      </c>
      <c r="W102" s="566">
        <f t="shared" si="94"/>
        <v>0.2</v>
      </c>
      <c r="X102" s="566">
        <f t="shared" si="94"/>
        <v>8.5</v>
      </c>
      <c r="Y102" s="566">
        <f t="shared" si="94"/>
        <v>0</v>
      </c>
      <c r="Z102" s="566">
        <f t="shared" si="94"/>
        <v>3.7625000000000002</v>
      </c>
      <c r="AA102" s="566">
        <f t="shared" si="94"/>
        <v>2.7400000000000007</v>
      </c>
      <c r="AB102" s="144"/>
      <c r="AC102" s="231">
        <v>0</v>
      </c>
      <c r="AD102" s="231">
        <v>0</v>
      </c>
      <c r="AE102" s="231">
        <v>0</v>
      </c>
      <c r="AF102" s="231">
        <v>0</v>
      </c>
      <c r="AG102" s="231">
        <v>0</v>
      </c>
      <c r="AH102" s="231">
        <v>0</v>
      </c>
      <c r="AI102" s="213"/>
      <c r="AJ102" s="204"/>
      <c r="AK102" s="204"/>
      <c r="AL102" s="204"/>
      <c r="AM102" s="204"/>
      <c r="AN102" s="204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998"/>
      <c r="M103" s="144"/>
      <c r="N103" s="144"/>
      <c r="O103" s="144"/>
      <c r="P103" s="144"/>
      <c r="Q103" s="144"/>
      <c r="R103" s="144"/>
      <c r="S103" s="144"/>
      <c r="T103" s="144"/>
      <c r="U103" s="566">
        <f t="shared" si="94"/>
        <v>2.4</v>
      </c>
      <c r="V103" s="566">
        <f t="shared" si="94"/>
        <v>2.5500000000000003</v>
      </c>
      <c r="W103" s="566">
        <f t="shared" si="94"/>
        <v>0.2</v>
      </c>
      <c r="X103" s="566">
        <f t="shared" si="94"/>
        <v>8.5</v>
      </c>
      <c r="Y103" s="566">
        <f t="shared" si="94"/>
        <v>0</v>
      </c>
      <c r="Z103" s="566">
        <f t="shared" si="94"/>
        <v>3.7625000000000002</v>
      </c>
      <c r="AA103" s="566">
        <f t="shared" si="94"/>
        <v>2.7400000000000007</v>
      </c>
      <c r="AB103" s="144"/>
      <c r="AC103" s="231">
        <v>0</v>
      </c>
      <c r="AD103" s="231">
        <v>0</v>
      </c>
      <c r="AE103" s="231">
        <v>0</v>
      </c>
      <c r="AF103" s="231">
        <v>0</v>
      </c>
      <c r="AG103" s="231">
        <v>0</v>
      </c>
      <c r="AH103" s="231">
        <v>0</v>
      </c>
      <c r="AI103" s="213"/>
      <c r="AJ103" s="204"/>
      <c r="AK103" s="204"/>
      <c r="AL103" s="204"/>
      <c r="AM103" s="204"/>
      <c r="AN103" s="204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998"/>
      <c r="M104" s="144"/>
      <c r="N104" s="144"/>
      <c r="O104" s="144"/>
      <c r="P104" s="144"/>
      <c r="Q104" s="144"/>
      <c r="R104" s="144"/>
      <c r="S104" s="144"/>
      <c r="T104" s="144"/>
      <c r="U104" s="1130">
        <f>IF(U103&gt;0,U103,U102)</f>
        <v>2.4</v>
      </c>
      <c r="V104" s="1130">
        <f t="shared" si="94"/>
        <v>2.5500000000000003</v>
      </c>
      <c r="W104" s="1130">
        <f t="shared" si="94"/>
        <v>0.2</v>
      </c>
      <c r="X104" s="1130">
        <f t="shared" si="94"/>
        <v>8.5</v>
      </c>
      <c r="Y104" s="1130">
        <f t="shared" si="94"/>
        <v>0</v>
      </c>
      <c r="Z104" s="1130">
        <f t="shared" si="94"/>
        <v>3.7625000000000002</v>
      </c>
      <c r="AA104" s="1130">
        <f t="shared" si="94"/>
        <v>2.7400000000000007</v>
      </c>
      <c r="AB104" s="144"/>
      <c r="AC104" s="231"/>
      <c r="AD104" s="231"/>
      <c r="AE104" s="231"/>
      <c r="AF104" s="231"/>
      <c r="AG104" s="231"/>
      <c r="AH104" s="231"/>
      <c r="AI104" s="213"/>
      <c r="AJ104" s="204"/>
      <c r="AK104" s="204"/>
      <c r="AL104" s="204"/>
      <c r="AM104" s="204"/>
      <c r="AN104" s="204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998"/>
      <c r="M105" s="144"/>
      <c r="N105" s="144"/>
      <c r="O105" s="144"/>
      <c r="P105" s="144"/>
      <c r="Q105" s="144"/>
      <c r="R105" s="144"/>
      <c r="S105" s="144"/>
      <c r="T105" s="144"/>
      <c r="U105" s="222"/>
      <c r="V105" s="222"/>
      <c r="W105" s="222"/>
      <c r="X105" s="222"/>
      <c r="Y105" s="222"/>
      <c r="Z105" s="222"/>
      <c r="AA105" s="222"/>
      <c r="AB105" s="144"/>
      <c r="AC105" s="231"/>
      <c r="AD105" s="231"/>
      <c r="AE105" s="231"/>
      <c r="AF105" s="231"/>
      <c r="AG105" s="231"/>
      <c r="AH105" s="231"/>
      <c r="AI105" s="213"/>
      <c r="AJ105" s="204"/>
      <c r="AK105" s="204"/>
      <c r="AL105" s="204"/>
      <c r="AM105" s="204"/>
      <c r="AN105" s="204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998"/>
      <c r="M106" s="144"/>
      <c r="N106" s="144"/>
      <c r="O106" s="144"/>
      <c r="P106" s="144"/>
      <c r="Q106" s="144"/>
      <c r="R106" s="144"/>
      <c r="S106" s="144"/>
      <c r="T106" s="144"/>
      <c r="U106" s="222"/>
      <c r="V106" s="222"/>
      <c r="W106" s="222"/>
      <c r="X106" s="222"/>
      <c r="Y106" s="222"/>
      <c r="Z106" s="222"/>
      <c r="AA106" s="222"/>
      <c r="AB106" s="144"/>
      <c r="AC106" s="231">
        <v>0</v>
      </c>
      <c r="AD106" s="231">
        <v>0</v>
      </c>
      <c r="AE106" s="231">
        <v>0</v>
      </c>
      <c r="AF106" s="231">
        <v>0</v>
      </c>
      <c r="AG106" s="231">
        <v>0</v>
      </c>
      <c r="AH106" s="231">
        <v>0</v>
      </c>
      <c r="AI106" s="213"/>
      <c r="AJ106" s="204"/>
      <c r="AK106" s="204"/>
      <c r="AL106" s="204"/>
      <c r="AM106" s="204"/>
      <c r="AN106" s="204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998"/>
      <c r="M107" s="144"/>
      <c r="N107" s="144"/>
      <c r="O107" s="144"/>
      <c r="P107" s="144"/>
      <c r="Q107" s="144"/>
      <c r="R107" s="144"/>
      <c r="S107" s="144"/>
      <c r="T107" s="144"/>
      <c r="U107" s="222"/>
      <c r="V107" s="222"/>
      <c r="W107" s="222"/>
      <c r="X107" s="222"/>
      <c r="Y107" s="222"/>
      <c r="Z107" s="222"/>
      <c r="AA107" s="222"/>
      <c r="AB107" s="144"/>
      <c r="AC107" s="231"/>
      <c r="AD107" s="231"/>
      <c r="AE107" s="231"/>
      <c r="AF107" s="231"/>
      <c r="AG107" s="231"/>
      <c r="AH107" s="231"/>
      <c r="AJ107" s="204"/>
      <c r="AK107" s="204"/>
      <c r="AL107" s="204"/>
      <c r="AM107" s="204"/>
      <c r="AN107" s="204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998"/>
      <c r="M108" s="144"/>
      <c r="N108" s="144"/>
      <c r="O108" s="144"/>
      <c r="P108" s="144"/>
      <c r="Q108" s="144"/>
      <c r="R108" s="144"/>
      <c r="S108" s="144"/>
      <c r="T108" s="144"/>
      <c r="U108" s="222"/>
      <c r="V108" s="222"/>
      <c r="W108" s="222"/>
      <c r="X108" s="222"/>
      <c r="Y108" s="222"/>
      <c r="Z108" s="222"/>
      <c r="AA108" s="222"/>
      <c r="AB108" s="144"/>
      <c r="AJ108" s="204"/>
      <c r="AK108" s="204"/>
      <c r="AL108" s="204"/>
      <c r="AM108" s="204"/>
      <c r="AN108" s="204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998"/>
      <c r="M109" s="144"/>
      <c r="N109" s="144"/>
      <c r="O109" s="144"/>
      <c r="P109" s="144"/>
      <c r="Q109" s="144"/>
      <c r="R109" s="144"/>
      <c r="S109" s="144"/>
      <c r="T109" s="144"/>
      <c r="U109" s="222"/>
      <c r="V109" s="222"/>
      <c r="W109" s="222"/>
      <c r="X109" s="222"/>
      <c r="Y109" s="222"/>
      <c r="Z109" s="222"/>
      <c r="AA109" s="222"/>
      <c r="AB109" s="144"/>
      <c r="AN109" s="204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998"/>
      <c r="M110" s="144"/>
      <c r="N110" s="144"/>
      <c r="O110" s="144"/>
      <c r="P110" s="144"/>
      <c r="Q110" s="144"/>
      <c r="R110" s="144"/>
      <c r="S110" s="144"/>
      <c r="T110" s="144"/>
      <c r="U110" s="222"/>
      <c r="V110" s="222"/>
      <c r="W110" s="222"/>
      <c r="X110" s="222"/>
      <c r="Y110" s="222"/>
      <c r="Z110" s="222"/>
      <c r="AA110" s="222"/>
      <c r="AB110" s="144"/>
      <c r="AN110" s="204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998"/>
      <c r="M111" s="144"/>
      <c r="N111" s="144"/>
      <c r="O111" s="144"/>
      <c r="P111" s="144"/>
      <c r="Q111" s="144"/>
      <c r="R111" s="144"/>
      <c r="S111" s="144"/>
      <c r="T111" s="144"/>
      <c r="U111" s="222"/>
      <c r="V111" s="222"/>
      <c r="W111" s="222"/>
      <c r="X111" s="222"/>
      <c r="Y111" s="222"/>
      <c r="Z111" s="222"/>
      <c r="AA111" s="222"/>
      <c r="AB111" s="144"/>
      <c r="AN111" s="204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998"/>
      <c r="M112" s="144"/>
      <c r="N112" s="144"/>
      <c r="O112" s="144"/>
      <c r="P112" s="144"/>
      <c r="Q112" s="144"/>
      <c r="R112" s="144"/>
      <c r="S112" s="144"/>
      <c r="T112" s="144"/>
      <c r="U112" s="222"/>
      <c r="V112" s="222"/>
      <c r="W112" s="222"/>
      <c r="X112" s="222"/>
      <c r="Y112" s="222"/>
      <c r="Z112" s="222"/>
      <c r="AA112" s="222"/>
      <c r="AB112" s="144"/>
      <c r="AN112" s="204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998"/>
      <c r="M113" s="144"/>
      <c r="N113" s="144"/>
      <c r="O113" s="144"/>
      <c r="P113" s="144"/>
      <c r="Q113" s="144"/>
      <c r="R113" s="144"/>
      <c r="S113" s="144"/>
      <c r="T113" s="144"/>
      <c r="U113" s="222"/>
      <c r="V113" s="222"/>
      <c r="W113" s="222"/>
      <c r="X113" s="222"/>
      <c r="Y113" s="222"/>
      <c r="Z113" s="222"/>
      <c r="AA113" s="222"/>
      <c r="AB113" s="144"/>
      <c r="AN113" s="204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998"/>
      <c r="M114" s="144"/>
      <c r="N114" s="144"/>
      <c r="O114" s="144"/>
      <c r="P114" s="144"/>
      <c r="Q114" s="144"/>
      <c r="R114" s="144"/>
      <c r="S114" s="144"/>
      <c r="T114" s="144"/>
      <c r="U114" s="222"/>
      <c r="V114" s="222"/>
      <c r="W114" s="222"/>
      <c r="X114" s="222"/>
      <c r="Y114" s="222"/>
      <c r="Z114" s="222"/>
      <c r="AA114" s="222"/>
      <c r="AB114" s="144"/>
      <c r="AN114" s="204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998"/>
      <c r="M115" s="144"/>
      <c r="N115" s="144"/>
      <c r="O115" s="144"/>
      <c r="P115" s="144"/>
      <c r="Q115" s="144"/>
      <c r="R115" s="144"/>
      <c r="S115" s="144"/>
      <c r="T115" s="144"/>
      <c r="U115" s="222"/>
      <c r="V115" s="222"/>
      <c r="W115" s="222"/>
      <c r="X115" s="222"/>
      <c r="Y115" s="222"/>
      <c r="Z115" s="222"/>
      <c r="AA115" s="222"/>
      <c r="AB115" s="144"/>
      <c r="AN115" s="204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998"/>
      <c r="M116" s="144"/>
      <c r="N116" s="144"/>
      <c r="O116" s="144"/>
      <c r="P116" s="144"/>
      <c r="Q116" s="144"/>
      <c r="R116" s="144"/>
      <c r="S116" s="144"/>
      <c r="T116" s="144"/>
      <c r="U116" s="222"/>
      <c r="V116" s="222"/>
      <c r="W116" s="222"/>
      <c r="X116" s="222"/>
      <c r="Y116" s="222"/>
      <c r="Z116" s="222"/>
      <c r="AA116" s="222"/>
      <c r="AB116" s="144"/>
      <c r="AN116" s="204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998"/>
      <c r="M117" s="144"/>
      <c r="N117" s="144"/>
      <c r="O117" s="144"/>
      <c r="P117" s="144"/>
      <c r="Q117" s="144"/>
      <c r="R117" s="144"/>
      <c r="S117" s="144"/>
      <c r="T117" s="144"/>
      <c r="U117" s="222"/>
      <c r="V117" s="222"/>
      <c r="W117" s="222"/>
      <c r="X117" s="222"/>
      <c r="Y117" s="222"/>
      <c r="Z117" s="222"/>
      <c r="AA117" s="222"/>
      <c r="AB117" s="144"/>
      <c r="AN117" s="204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998"/>
      <c r="M118" s="144"/>
      <c r="N118" s="144"/>
      <c r="O118" s="144"/>
      <c r="P118" s="144"/>
      <c r="Q118" s="144"/>
      <c r="R118" s="144"/>
      <c r="S118" s="144"/>
      <c r="T118" s="144"/>
      <c r="U118" s="222"/>
      <c r="V118" s="222"/>
      <c r="W118" s="222"/>
      <c r="X118" s="222"/>
      <c r="Y118" s="222"/>
      <c r="Z118" s="222"/>
      <c r="AA118" s="222"/>
      <c r="AB118" s="144"/>
      <c r="AN118" s="204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998"/>
      <c r="M119" s="144"/>
      <c r="N119" s="144"/>
      <c r="O119" s="144"/>
      <c r="P119" s="144"/>
      <c r="Q119" s="144"/>
      <c r="R119" s="144"/>
      <c r="S119" s="144"/>
      <c r="T119" s="144"/>
      <c r="U119" s="222"/>
      <c r="V119" s="222"/>
      <c r="W119" s="222"/>
      <c r="X119" s="222"/>
      <c r="Y119" s="222"/>
      <c r="Z119" s="222"/>
      <c r="AA119" s="222"/>
      <c r="AB119" s="144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04"/>
    </row>
    <row r="120" spans="1:40" s="247" customFormat="1" ht="11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998"/>
      <c r="M120" s="144"/>
      <c r="N120" s="144"/>
      <c r="O120" s="144"/>
      <c r="P120" s="144"/>
      <c r="Q120" s="144"/>
      <c r="R120" s="144"/>
      <c r="S120" s="144"/>
      <c r="T120" s="144"/>
      <c r="U120" s="222"/>
      <c r="V120" s="222"/>
      <c r="W120" s="222"/>
      <c r="X120" s="222"/>
      <c r="Y120" s="222"/>
      <c r="Z120" s="222"/>
      <c r="AA120" s="222"/>
      <c r="AB120" s="14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1:40" s="247" customFormat="1" ht="11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998"/>
      <c r="M121" s="144"/>
      <c r="N121" s="144"/>
      <c r="O121" s="144"/>
      <c r="P121" s="144"/>
      <c r="Q121" s="144"/>
      <c r="R121" s="144"/>
      <c r="S121" s="144"/>
      <c r="T121" s="144"/>
      <c r="U121" s="222"/>
      <c r="V121" s="222"/>
      <c r="W121" s="222"/>
      <c r="X121" s="222"/>
      <c r="Y121" s="222"/>
      <c r="Z121" s="222"/>
      <c r="AA121" s="222"/>
      <c r="AB121" s="14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1:40" s="247" customFormat="1" ht="11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998"/>
      <c r="M122" s="144"/>
      <c r="N122" s="144"/>
      <c r="O122" s="144"/>
      <c r="P122" s="144"/>
      <c r="Q122" s="144"/>
      <c r="R122" s="144"/>
      <c r="S122" s="144"/>
      <c r="T122" s="144"/>
      <c r="U122" s="222"/>
      <c r="V122" s="222"/>
      <c r="W122" s="222"/>
      <c r="X122" s="222"/>
      <c r="Y122" s="222"/>
      <c r="Z122" s="222"/>
      <c r="AA122" s="222"/>
      <c r="AB122" s="14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1:40" s="247" customFormat="1" ht="11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998"/>
      <c r="M123" s="144"/>
      <c r="N123" s="144"/>
      <c r="O123" s="144"/>
      <c r="P123" s="144"/>
      <c r="Q123" s="144"/>
      <c r="R123" s="144"/>
      <c r="S123" s="144"/>
      <c r="T123" s="144"/>
      <c r="U123" s="222"/>
      <c r="V123" s="222"/>
      <c r="W123" s="222"/>
      <c r="X123" s="222"/>
      <c r="Y123" s="222"/>
      <c r="Z123" s="222"/>
      <c r="AA123" s="222"/>
      <c r="AB123" s="14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</row>
    <row r="124" spans="1:40" s="247" customFormat="1" ht="11">
      <c r="B124" s="144"/>
      <c r="C124" s="143"/>
      <c r="D124" s="907"/>
      <c r="E124" s="143"/>
      <c r="F124" s="145"/>
      <c r="G124" s="146"/>
      <c r="H124" s="146"/>
      <c r="I124" s="146"/>
      <c r="J124" s="146"/>
      <c r="K124" s="146"/>
      <c r="L124" s="999"/>
      <c r="M124" s="458"/>
      <c r="N124" s="145"/>
      <c r="O124" s="146"/>
      <c r="P124" s="146"/>
      <c r="Q124" s="147"/>
      <c r="R124" s="147"/>
      <c r="S124" s="142"/>
      <c r="T124" s="142"/>
      <c r="U124" s="222"/>
      <c r="V124" s="222"/>
      <c r="W124" s="222"/>
      <c r="X124" s="222"/>
      <c r="Y124" s="222"/>
      <c r="Z124" s="222"/>
      <c r="AA124" s="222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</row>
    <row r="125" spans="1:40" s="247" customFormat="1" ht="11">
      <c r="B125" s="144"/>
      <c r="C125" s="143"/>
      <c r="D125" s="907"/>
      <c r="E125" s="143"/>
      <c r="F125" s="145"/>
      <c r="G125" s="146"/>
      <c r="H125" s="146"/>
      <c r="I125" s="146"/>
      <c r="J125" s="146"/>
      <c r="K125" s="146"/>
      <c r="L125" s="999"/>
      <c r="M125" s="458"/>
      <c r="N125" s="145"/>
      <c r="O125" s="146"/>
      <c r="P125" s="146"/>
      <c r="Q125" s="147"/>
      <c r="R125" s="147"/>
      <c r="S125" s="142"/>
      <c r="T125" s="142"/>
      <c r="U125" s="222"/>
      <c r="V125" s="222"/>
      <c r="W125" s="222"/>
      <c r="X125" s="222"/>
      <c r="Y125" s="222"/>
      <c r="Z125" s="222"/>
      <c r="AA125" s="222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1:40" s="247" customFormat="1" ht="11">
      <c r="B126" s="144"/>
      <c r="C126" s="143"/>
      <c r="D126" s="907"/>
      <c r="E126" s="143"/>
      <c r="F126" s="145"/>
      <c r="G126" s="146"/>
      <c r="H126" s="146"/>
      <c r="I126" s="146"/>
      <c r="J126" s="146"/>
      <c r="K126" s="146"/>
      <c r="L126" s="999"/>
      <c r="M126" s="458"/>
      <c r="N126" s="145"/>
      <c r="O126" s="146"/>
      <c r="P126" s="146"/>
      <c r="Q126" s="147"/>
      <c r="R126" s="147"/>
      <c r="S126" s="142"/>
      <c r="T126" s="142"/>
      <c r="U126" s="222"/>
      <c r="V126" s="222"/>
      <c r="W126" s="222"/>
      <c r="X126" s="222"/>
      <c r="Y126" s="222"/>
      <c r="Z126" s="222"/>
      <c r="AA126" s="222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1:40" s="247" customFormat="1" ht="11">
      <c r="B127" s="144"/>
      <c r="C127" s="143"/>
      <c r="D127" s="907"/>
      <c r="E127" s="143"/>
      <c r="F127" s="145"/>
      <c r="G127" s="146"/>
      <c r="H127" s="146"/>
      <c r="I127" s="146"/>
      <c r="J127" s="146"/>
      <c r="K127" s="146"/>
      <c r="L127" s="999"/>
      <c r="M127" s="458"/>
      <c r="N127" s="145"/>
      <c r="O127" s="146"/>
      <c r="P127" s="146"/>
      <c r="Q127" s="147"/>
      <c r="R127" s="147"/>
      <c r="S127" s="142"/>
      <c r="T127" s="142"/>
      <c r="U127" s="222"/>
      <c r="V127" s="222"/>
      <c r="W127" s="222"/>
      <c r="X127" s="222"/>
      <c r="Y127" s="222"/>
      <c r="Z127" s="222"/>
      <c r="AA127" s="222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1:40" s="247" customFormat="1" ht="11">
      <c r="B128" s="144"/>
      <c r="C128" s="143"/>
      <c r="D128" s="907"/>
      <c r="E128" s="143"/>
      <c r="F128" s="145"/>
      <c r="G128" s="146"/>
      <c r="H128" s="146"/>
      <c r="I128" s="146"/>
      <c r="J128" s="146"/>
      <c r="K128" s="146"/>
      <c r="L128" s="999"/>
      <c r="M128" s="458"/>
      <c r="N128" s="145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39" s="247" customFormat="1" ht="11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999"/>
      <c r="M129" s="458"/>
      <c r="N129" s="145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</row>
    <row r="130" spans="2:39" s="247" customFormat="1" ht="11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999"/>
      <c r="M130" s="458"/>
      <c r="N130" s="145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39" s="247" customFormat="1" ht="11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999"/>
      <c r="M131" s="458"/>
      <c r="N131" s="145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39" s="247" customFormat="1" ht="11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999"/>
      <c r="M132" s="458"/>
      <c r="N132" s="145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</row>
    <row r="133" spans="2:39" s="247" customFormat="1" ht="11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999"/>
      <c r="M133" s="458"/>
      <c r="N133" s="145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</row>
    <row r="134" spans="2:39" s="247" customFormat="1" ht="1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999"/>
      <c r="M134" s="458"/>
      <c r="N134" s="145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</row>
    <row r="135" spans="2:39" s="247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999"/>
      <c r="M135" s="458"/>
      <c r="N135" s="145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</row>
    <row r="136" spans="2:39" s="247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999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2:39" s="247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999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2:39" s="247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999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2:39" s="247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999"/>
      <c r="M139" s="458"/>
      <c r="N139" s="145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2:39" s="247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999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2:39" s="247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999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2:39" s="247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999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2:39" s="247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999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2:39" s="247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999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39" s="247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999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39" s="247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999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39" s="247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999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39" s="247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999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39" s="247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999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B149" s="247">
        <f>SUBTOTAL(9,AB107:AB148)</f>
        <v>0</v>
      </c>
      <c r="AC149" s="214">
        <f>SUBTOTAL(9,AC107:AC148)</f>
        <v>0</v>
      </c>
      <c r="AD149" s="214">
        <f>SUBTOTAL(9,AD107:AD148)</f>
        <v>0</v>
      </c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39" s="247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999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B150" s="247">
        <v>0</v>
      </c>
      <c r="AC150" s="214">
        <v>0</v>
      </c>
      <c r="AD150" s="214">
        <v>0</v>
      </c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39" s="247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999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B151" s="247">
        <v>0</v>
      </c>
      <c r="AC151" s="214">
        <v>0</v>
      </c>
      <c r="AD151" s="214">
        <v>0</v>
      </c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39" s="247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999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B152" s="247">
        <v>0</v>
      </c>
      <c r="AC152" s="214">
        <v>0</v>
      </c>
      <c r="AD152" s="214">
        <v>0</v>
      </c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39" s="247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999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B153" s="247">
        <v>0</v>
      </c>
      <c r="AC153" s="214">
        <v>0</v>
      </c>
      <c r="AD153" s="214">
        <v>0</v>
      </c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39" s="247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999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B154" s="247">
        <v>0</v>
      </c>
      <c r="AC154" s="214">
        <v>0</v>
      </c>
      <c r="AD154" s="214">
        <v>0</v>
      </c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39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999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B155" s="247">
        <v>0</v>
      </c>
      <c r="AC155" s="214">
        <v>0</v>
      </c>
      <c r="AD155" s="214">
        <v>0</v>
      </c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39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999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B156" s="247">
        <v>0</v>
      </c>
      <c r="AC156" s="214">
        <v>0</v>
      </c>
      <c r="AD156" s="214">
        <v>0</v>
      </c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39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999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B157" s="247">
        <v>0</v>
      </c>
      <c r="AC157" s="214">
        <v>0</v>
      </c>
      <c r="AD157" s="214">
        <v>0</v>
      </c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39" s="247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999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B158" s="247">
        <v>0</v>
      </c>
      <c r="AC158" s="214">
        <v>0</v>
      </c>
      <c r="AD158" s="214">
        <v>0</v>
      </c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39" s="247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999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B159" s="247">
        <v>0</v>
      </c>
      <c r="AC159" s="214">
        <v>0</v>
      </c>
      <c r="AD159" s="214">
        <v>0</v>
      </c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39" s="247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999"/>
      <c r="M160" s="458"/>
      <c r="N160" s="145"/>
      <c r="O160" s="146"/>
      <c r="P160" s="146"/>
      <c r="Q160" s="147"/>
      <c r="R160" s="147"/>
      <c r="S160" s="142"/>
      <c r="T160" s="142"/>
      <c r="U160" s="146">
        <f>SUBTOTAL(9,U118:U159)</f>
        <v>0</v>
      </c>
      <c r="V160" s="146">
        <f t="shared" ref="V160:AA160" si="95">SUBTOTAL(9,V118:V159)</f>
        <v>0</v>
      </c>
      <c r="W160" s="146">
        <f t="shared" si="95"/>
        <v>0</v>
      </c>
      <c r="X160" s="146">
        <f t="shared" si="95"/>
        <v>0</v>
      </c>
      <c r="Y160" s="146">
        <f t="shared" si="95"/>
        <v>0</v>
      </c>
      <c r="Z160" s="146">
        <f t="shared" si="95"/>
        <v>0</v>
      </c>
      <c r="AA160" s="146">
        <f t="shared" si="95"/>
        <v>0</v>
      </c>
      <c r="AB160" s="247">
        <v>0</v>
      </c>
      <c r="AC160" s="214">
        <v>0</v>
      </c>
      <c r="AD160" s="214">
        <v>0</v>
      </c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41" s="213" customFormat="1" ht="14" thickBot="1">
      <c r="B161" s="139"/>
      <c r="C161" s="138"/>
      <c r="D161" s="908"/>
      <c r="E161" s="138"/>
      <c r="F161" s="140"/>
      <c r="G161" s="141"/>
      <c r="H161" s="141"/>
      <c r="I161" s="141"/>
      <c r="J161" s="141"/>
      <c r="K161" s="141"/>
      <c r="L161" s="1000"/>
      <c r="M161" s="458"/>
      <c r="N161" s="140"/>
      <c r="O161" s="141"/>
      <c r="P161" s="141"/>
      <c r="Q161" s="148"/>
      <c r="R161" s="148"/>
      <c r="S161" s="149"/>
      <c r="T161" s="149"/>
      <c r="U161" s="150"/>
      <c r="V161" s="150"/>
      <c r="W161" s="150"/>
      <c r="X161" s="150"/>
      <c r="Y161" s="150"/>
      <c r="Z161" s="150"/>
      <c r="AA161" s="150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41" s="213" customFormat="1" ht="15" thickTop="1" thickBot="1">
      <c r="B162" s="139"/>
      <c r="C162" s="138"/>
      <c r="D162" s="908"/>
      <c r="E162" s="138"/>
      <c r="F162" s="140"/>
      <c r="G162" s="141"/>
      <c r="H162" s="141"/>
      <c r="I162" s="141"/>
      <c r="J162" s="141"/>
      <c r="K162" s="141"/>
      <c r="L162" s="1000"/>
      <c r="M162" s="458"/>
      <c r="N162" s="140"/>
      <c r="O162" s="141"/>
      <c r="P162" s="141"/>
      <c r="Q162" s="148"/>
      <c r="R162" s="148"/>
      <c r="S162" s="148"/>
      <c r="T162" s="149"/>
      <c r="U162" s="151"/>
      <c r="V162" s="152"/>
      <c r="W162" s="153"/>
      <c r="X162" s="153"/>
      <c r="Y162" s="153"/>
      <c r="Z162" s="153"/>
      <c r="AA162" s="154"/>
      <c r="AB162" s="246"/>
      <c r="AC162" s="246"/>
      <c r="AE162" s="214"/>
      <c r="AF162" s="214"/>
      <c r="AG162" s="214"/>
      <c r="AH162" s="214"/>
      <c r="AI162" s="214"/>
      <c r="AJ162" s="214"/>
      <c r="AK162" s="214"/>
      <c r="AL162" s="214"/>
      <c r="AM162" s="214"/>
      <c r="AN162" s="214"/>
      <c r="AO162" s="214"/>
    </row>
    <row r="163" spans="2:41" s="247" customFormat="1" ht="12" thickTop="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999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41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999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41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999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41" s="247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999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41" s="247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999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41" s="247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999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41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999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41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999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41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999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41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999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41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999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41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999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41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999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41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999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39" s="247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999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39" s="247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999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39" s="247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999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39" s="247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999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39" s="247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999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39" s="247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999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39" s="247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999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39" s="247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999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39" s="247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999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39" s="247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999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39" s="247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999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39" s="247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999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39" s="247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999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39" s="247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999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39" s="247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999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39" s="247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999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41" s="247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999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41" s="247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999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41" s="247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999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41" s="247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999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41" s="247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999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41" s="247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999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41" s="247" customFormat="1" ht="11">
      <c r="B199" s="248"/>
      <c r="D199" s="909"/>
      <c r="F199" s="249"/>
      <c r="G199" s="250"/>
      <c r="H199" s="250"/>
      <c r="I199" s="250"/>
      <c r="J199" s="250"/>
      <c r="K199" s="250"/>
      <c r="L199" s="1001"/>
      <c r="M199" s="459"/>
      <c r="N199" s="249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41" s="247" customFormat="1" ht="11">
      <c r="B200" s="248"/>
      <c r="D200" s="909"/>
      <c r="F200" s="249"/>
      <c r="G200" s="250"/>
      <c r="H200" s="250"/>
      <c r="I200" s="250"/>
      <c r="J200" s="250"/>
      <c r="K200" s="250"/>
      <c r="L200" s="1001"/>
      <c r="M200" s="459"/>
      <c r="N200" s="249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41" s="247" customFormat="1" ht="11">
      <c r="B201" s="248"/>
      <c r="D201" s="909"/>
      <c r="F201" s="249"/>
      <c r="G201" s="250"/>
      <c r="H201" s="250"/>
      <c r="I201" s="250"/>
      <c r="J201" s="250"/>
      <c r="K201" s="250"/>
      <c r="L201" s="1001"/>
      <c r="M201" s="459"/>
      <c r="N201" s="249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41" s="247" customFormat="1" ht="11">
      <c r="B202" s="248"/>
      <c r="D202" s="909"/>
      <c r="F202" s="249"/>
      <c r="G202" s="250"/>
      <c r="H202" s="250"/>
      <c r="I202" s="250"/>
      <c r="J202" s="250"/>
      <c r="K202" s="250"/>
      <c r="L202" s="1001"/>
      <c r="M202" s="459"/>
      <c r="N202" s="249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41" s="247" customFormat="1" ht="11">
      <c r="B203" s="248"/>
      <c r="D203" s="909"/>
      <c r="F203" s="249"/>
      <c r="G203" s="250"/>
      <c r="H203" s="250"/>
      <c r="I203" s="250"/>
      <c r="J203" s="250"/>
      <c r="K203" s="250"/>
      <c r="L203" s="1001"/>
      <c r="M203" s="459"/>
      <c r="N203" s="249"/>
      <c r="O203" s="146"/>
      <c r="P203" s="146"/>
      <c r="Q203" s="147"/>
      <c r="R203" s="147"/>
      <c r="S203" s="142"/>
      <c r="T203" s="142"/>
      <c r="U203" s="146">
        <f>SUBTOTAL(9,U161:U202)</f>
        <v>0</v>
      </c>
      <c r="V203" s="146">
        <f t="shared" ref="V203:AA203" si="96">SUBTOTAL(9,V161:V202)</f>
        <v>0</v>
      </c>
      <c r="W203" s="146">
        <f t="shared" si="96"/>
        <v>0</v>
      </c>
      <c r="X203" s="146">
        <f t="shared" si="96"/>
        <v>0</v>
      </c>
      <c r="Y203" s="146">
        <f t="shared" si="96"/>
        <v>0</v>
      </c>
      <c r="Z203" s="146">
        <f t="shared" si="96"/>
        <v>0</v>
      </c>
      <c r="AA203" s="146">
        <f t="shared" si="96"/>
        <v>0</v>
      </c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41" s="213" customFormat="1" ht="14" thickBot="1">
      <c r="B204" s="225"/>
      <c r="D204" s="910"/>
      <c r="F204" s="242"/>
      <c r="G204" s="243"/>
      <c r="H204" s="243"/>
      <c r="I204" s="243"/>
      <c r="J204" s="243"/>
      <c r="K204" s="243"/>
      <c r="L204" s="1002"/>
      <c r="M204" s="459"/>
      <c r="N204" s="242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41" s="213" customFormat="1" ht="15" thickTop="1" thickBot="1">
      <c r="B205" s="225"/>
      <c r="D205" s="910"/>
      <c r="F205" s="242"/>
      <c r="G205" s="243"/>
      <c r="H205" s="243"/>
      <c r="I205" s="243"/>
      <c r="J205" s="243"/>
      <c r="K205" s="243"/>
      <c r="L205" s="1002"/>
      <c r="M205" s="459"/>
      <c r="N205" s="242"/>
      <c r="O205" s="141"/>
      <c r="P205" s="141"/>
      <c r="Q205" s="148"/>
      <c r="R205" s="148"/>
      <c r="S205" s="148"/>
      <c r="T205" s="148"/>
      <c r="U205" s="151">
        <f>SUBTOTAL(9,U163:U204)</f>
        <v>0</v>
      </c>
      <c r="V205" s="152">
        <f t="shared" ref="V205:AA205" si="97">SUBTOTAL(9,V163:V204)</f>
        <v>0</v>
      </c>
      <c r="W205" s="153">
        <f t="shared" si="97"/>
        <v>0</v>
      </c>
      <c r="X205" s="153">
        <f t="shared" si="97"/>
        <v>0</v>
      </c>
      <c r="Y205" s="153">
        <f t="shared" si="97"/>
        <v>0</v>
      </c>
      <c r="Z205" s="153">
        <f t="shared" si="97"/>
        <v>0</v>
      </c>
      <c r="AA205" s="154">
        <f t="shared" si="97"/>
        <v>0</v>
      </c>
      <c r="AB205" s="246"/>
      <c r="AC205" s="246"/>
      <c r="AE205" s="214"/>
      <c r="AF205" s="214"/>
      <c r="AG205" s="214"/>
      <c r="AH205" s="214"/>
      <c r="AI205" s="214"/>
      <c r="AJ205" s="214"/>
      <c r="AK205" s="214"/>
      <c r="AL205" s="214"/>
      <c r="AM205" s="214"/>
      <c r="AN205" s="214"/>
      <c r="AO205" s="214"/>
    </row>
    <row r="206" spans="2:41" s="213" customFormat="1" ht="14" thickTop="1">
      <c r="B206" s="225"/>
      <c r="D206" s="910"/>
      <c r="F206" s="242"/>
      <c r="G206" s="243"/>
      <c r="H206" s="243"/>
      <c r="I206" s="243"/>
      <c r="J206" s="243"/>
      <c r="K206" s="243"/>
      <c r="L206" s="1002"/>
      <c r="M206" s="459"/>
      <c r="N206" s="242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41" s="213" customFormat="1">
      <c r="B207" s="225"/>
      <c r="D207" s="910"/>
      <c r="F207" s="242"/>
      <c r="G207" s="243"/>
      <c r="H207" s="243"/>
      <c r="I207" s="243"/>
      <c r="J207" s="243"/>
      <c r="K207" s="243"/>
      <c r="L207" s="1002"/>
      <c r="M207" s="459"/>
      <c r="N207" s="242"/>
      <c r="O207" s="141"/>
      <c r="P207" s="141"/>
      <c r="Q207" s="148"/>
      <c r="R207" s="148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41" s="213" customFormat="1">
      <c r="B208" s="225"/>
      <c r="D208" s="910"/>
      <c r="F208" s="242"/>
      <c r="G208" s="243"/>
      <c r="H208" s="243"/>
      <c r="I208" s="243"/>
      <c r="J208" s="243"/>
      <c r="K208" s="243"/>
      <c r="L208" s="1002"/>
      <c r="M208" s="459"/>
      <c r="N208" s="242"/>
      <c r="O208" s="141"/>
      <c r="P208" s="141"/>
      <c r="Q208" s="148"/>
      <c r="R208" s="148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39" s="213" customFormat="1">
      <c r="B209" s="225"/>
      <c r="D209" s="910"/>
      <c r="F209" s="242"/>
      <c r="G209" s="243"/>
      <c r="H209" s="243"/>
      <c r="I209" s="243"/>
      <c r="J209" s="243"/>
      <c r="K209" s="243"/>
      <c r="L209" s="1002"/>
      <c r="M209" s="459"/>
      <c r="N209" s="242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39" s="213" customFormat="1">
      <c r="B210" s="225"/>
      <c r="D210" s="910"/>
      <c r="F210" s="242"/>
      <c r="G210" s="243"/>
      <c r="H210" s="243"/>
      <c r="I210" s="243"/>
      <c r="J210" s="243"/>
      <c r="K210" s="243"/>
      <c r="L210" s="1002"/>
      <c r="M210" s="459"/>
      <c r="N210" s="242"/>
      <c r="O210" s="141"/>
      <c r="P210" s="141"/>
      <c r="Q210" s="148"/>
      <c r="R210" s="148"/>
      <c r="S210" s="149"/>
      <c r="T210" s="149"/>
      <c r="U210" s="150"/>
      <c r="V210" s="150"/>
      <c r="W210" s="150"/>
      <c r="X210" s="150"/>
      <c r="Y210" s="150"/>
      <c r="Z210" s="150"/>
      <c r="AA210" s="150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39" s="213" customFormat="1">
      <c r="B211" s="225"/>
      <c r="D211" s="910"/>
      <c r="F211" s="242"/>
      <c r="G211" s="243"/>
      <c r="H211" s="243"/>
      <c r="I211" s="243"/>
      <c r="J211" s="243"/>
      <c r="K211" s="243"/>
      <c r="L211" s="1002"/>
      <c r="M211" s="459"/>
      <c r="N211" s="242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39" s="213" customFormat="1">
      <c r="B212" s="225"/>
      <c r="D212" s="910"/>
      <c r="F212" s="242"/>
      <c r="G212" s="243"/>
      <c r="H212" s="243"/>
      <c r="I212" s="243"/>
      <c r="J212" s="243"/>
      <c r="K212" s="243"/>
      <c r="L212" s="1002"/>
      <c r="M212" s="459"/>
      <c r="N212" s="242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39" s="213" customFormat="1">
      <c r="B213" s="225"/>
      <c r="D213" s="910"/>
      <c r="F213" s="242"/>
      <c r="G213" s="243"/>
      <c r="H213" s="243"/>
      <c r="I213" s="243"/>
      <c r="J213" s="243"/>
      <c r="K213" s="243"/>
      <c r="L213" s="1002"/>
      <c r="M213" s="459"/>
      <c r="N213" s="242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39" s="213" customFormat="1">
      <c r="B214" s="225"/>
      <c r="D214" s="910"/>
      <c r="F214" s="242"/>
      <c r="G214" s="243"/>
      <c r="H214" s="243"/>
      <c r="I214" s="243"/>
      <c r="J214" s="243"/>
      <c r="K214" s="243"/>
      <c r="L214" s="1002"/>
      <c r="M214" s="459"/>
      <c r="N214" s="242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39" s="213" customFormat="1">
      <c r="B215" s="225"/>
      <c r="D215" s="910"/>
      <c r="F215" s="242"/>
      <c r="G215" s="243"/>
      <c r="H215" s="243"/>
      <c r="I215" s="243"/>
      <c r="J215" s="243"/>
      <c r="K215" s="243"/>
      <c r="L215" s="1002"/>
      <c r="M215" s="459"/>
      <c r="N215" s="242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39" s="213" customFormat="1">
      <c r="B216" s="225"/>
      <c r="D216" s="910"/>
      <c r="F216" s="242"/>
      <c r="G216" s="243"/>
      <c r="H216" s="243"/>
      <c r="I216" s="243"/>
      <c r="J216" s="243"/>
      <c r="K216" s="243"/>
      <c r="L216" s="1002"/>
      <c r="M216" s="459"/>
      <c r="N216" s="242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39" s="213" customFormat="1">
      <c r="B217" s="225"/>
      <c r="D217" s="910"/>
      <c r="F217" s="242"/>
      <c r="G217" s="243"/>
      <c r="H217" s="243"/>
      <c r="I217" s="243"/>
      <c r="J217" s="243"/>
      <c r="K217" s="243"/>
      <c r="L217" s="1002"/>
      <c r="M217" s="459"/>
      <c r="N217" s="242"/>
      <c r="O217" s="141"/>
      <c r="P217" s="141"/>
      <c r="Q217" s="148"/>
      <c r="R217" s="148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39" s="213" customFormat="1">
      <c r="B218" s="225"/>
      <c r="D218" s="910"/>
      <c r="F218" s="242"/>
      <c r="G218" s="243"/>
      <c r="H218" s="243"/>
      <c r="I218" s="243"/>
      <c r="J218" s="243"/>
      <c r="K218" s="243"/>
      <c r="L218" s="1002"/>
      <c r="M218" s="459"/>
      <c r="N218" s="242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39" s="213" customFormat="1">
      <c r="B219" s="225"/>
      <c r="D219" s="910"/>
      <c r="F219" s="242"/>
      <c r="G219" s="243"/>
      <c r="H219" s="243"/>
      <c r="I219" s="243"/>
      <c r="J219" s="243"/>
      <c r="K219" s="243"/>
      <c r="L219" s="1002"/>
      <c r="M219" s="459"/>
      <c r="N219" s="242"/>
      <c r="O219" s="141"/>
      <c r="P219" s="141"/>
      <c r="Q219" s="148"/>
      <c r="R219" s="148"/>
      <c r="S219" s="149"/>
      <c r="T219" s="149"/>
      <c r="U219" s="150"/>
      <c r="V219" s="150"/>
      <c r="W219" s="150"/>
      <c r="X219" s="150"/>
      <c r="Y219" s="150"/>
      <c r="Z219" s="150"/>
      <c r="AA219" s="150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39" s="213" customFormat="1">
      <c r="B220" s="225"/>
      <c r="D220" s="910"/>
      <c r="F220" s="242"/>
      <c r="G220" s="243"/>
      <c r="H220" s="243"/>
      <c r="I220" s="243"/>
      <c r="J220" s="243"/>
      <c r="K220" s="243"/>
      <c r="L220" s="1002"/>
      <c r="M220" s="459"/>
      <c r="N220" s="242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39" s="213" customFormat="1">
      <c r="B221" s="225"/>
      <c r="D221" s="910"/>
      <c r="F221" s="242"/>
      <c r="G221" s="243"/>
      <c r="H221" s="243"/>
      <c r="I221" s="243"/>
      <c r="J221" s="243"/>
      <c r="K221" s="243"/>
      <c r="L221" s="1002"/>
      <c r="M221" s="459"/>
      <c r="N221" s="242"/>
      <c r="O221" s="141"/>
      <c r="P221" s="141"/>
      <c r="Q221" s="148"/>
      <c r="R221" s="148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</row>
    <row r="222" spans="2:39" s="213" customFormat="1">
      <c r="B222" s="225"/>
      <c r="D222" s="910"/>
      <c r="F222" s="242"/>
      <c r="G222" s="243"/>
      <c r="H222" s="243"/>
      <c r="I222" s="243"/>
      <c r="J222" s="243"/>
      <c r="K222" s="243"/>
      <c r="L222" s="1002"/>
      <c r="M222" s="459"/>
      <c r="N222" s="242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39" s="213" customFormat="1">
      <c r="B223" s="225"/>
      <c r="D223" s="910"/>
      <c r="F223" s="242"/>
      <c r="G223" s="243"/>
      <c r="H223" s="243"/>
      <c r="I223" s="243"/>
      <c r="J223" s="243"/>
      <c r="K223" s="243"/>
      <c r="L223" s="1002"/>
      <c r="M223" s="459"/>
      <c r="N223" s="242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</row>
    <row r="224" spans="2:39" s="213" customFormat="1">
      <c r="B224" s="225"/>
      <c r="D224" s="910"/>
      <c r="F224" s="242"/>
      <c r="G224" s="243"/>
      <c r="H224" s="243"/>
      <c r="I224" s="243"/>
      <c r="J224" s="243"/>
      <c r="K224" s="243"/>
      <c r="L224" s="1002"/>
      <c r="M224" s="459"/>
      <c r="N224" s="242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1:40" s="213" customFormat="1">
      <c r="B225" s="225"/>
      <c r="D225" s="910"/>
      <c r="F225" s="242"/>
      <c r="G225" s="243"/>
      <c r="H225" s="243"/>
      <c r="I225" s="243"/>
      <c r="J225" s="243"/>
      <c r="K225" s="243"/>
      <c r="L225" s="1002"/>
      <c r="M225" s="459"/>
      <c r="N225" s="242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</row>
    <row r="226" spans="1:40" s="213" customFormat="1">
      <c r="B226" s="225"/>
      <c r="D226" s="910"/>
      <c r="F226" s="242"/>
      <c r="G226" s="243"/>
      <c r="H226" s="243"/>
      <c r="I226" s="243"/>
      <c r="J226" s="243"/>
      <c r="K226" s="243"/>
      <c r="L226" s="1002"/>
      <c r="M226" s="459"/>
      <c r="N226" s="242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1:40" s="213" customFormat="1">
      <c r="B227" s="225"/>
      <c r="D227" s="910"/>
      <c r="F227" s="242"/>
      <c r="G227" s="243"/>
      <c r="H227" s="243"/>
      <c r="I227" s="243"/>
      <c r="J227" s="243"/>
      <c r="K227" s="243"/>
      <c r="L227" s="1002"/>
      <c r="M227" s="459"/>
      <c r="N227" s="242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1:40" s="213" customFormat="1">
      <c r="B228" s="225"/>
      <c r="D228" s="910"/>
      <c r="F228" s="242"/>
      <c r="G228" s="243"/>
      <c r="H228" s="243"/>
      <c r="I228" s="243"/>
      <c r="J228" s="243"/>
      <c r="K228" s="243"/>
      <c r="L228" s="1002"/>
      <c r="M228" s="459"/>
      <c r="N228" s="242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1:40" s="213" customFormat="1">
      <c r="B229" s="225"/>
      <c r="D229" s="910"/>
      <c r="F229" s="242"/>
      <c r="G229" s="243"/>
      <c r="H229" s="243"/>
      <c r="I229" s="243"/>
      <c r="J229" s="243"/>
      <c r="K229" s="243"/>
      <c r="L229" s="1002"/>
      <c r="M229" s="459"/>
      <c r="N229" s="242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1:40" s="213" customFormat="1">
      <c r="B230" s="225"/>
      <c r="D230" s="910"/>
      <c r="F230" s="242"/>
      <c r="G230" s="243"/>
      <c r="H230" s="243"/>
      <c r="I230" s="243"/>
      <c r="J230" s="243"/>
      <c r="K230" s="243"/>
      <c r="L230" s="1002"/>
      <c r="M230" s="459"/>
      <c r="N230" s="242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</row>
    <row r="231" spans="1:40" s="213" customFormat="1">
      <c r="B231" s="225"/>
      <c r="D231" s="910"/>
      <c r="F231" s="242"/>
      <c r="G231" s="243"/>
      <c r="H231" s="243"/>
      <c r="I231" s="243"/>
      <c r="J231" s="243"/>
      <c r="K231" s="243"/>
      <c r="L231" s="1002"/>
      <c r="M231" s="459"/>
      <c r="N231" s="242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1:40" s="213" customFormat="1">
      <c r="B232" s="225"/>
      <c r="D232" s="910"/>
      <c r="F232" s="242"/>
      <c r="G232" s="243"/>
      <c r="H232" s="243"/>
      <c r="I232" s="243"/>
      <c r="J232" s="243"/>
      <c r="K232" s="243"/>
      <c r="L232" s="1002"/>
      <c r="M232" s="459"/>
      <c r="N232" s="242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1:40" s="213" customFormat="1">
      <c r="B233" s="225"/>
      <c r="D233" s="910"/>
      <c r="F233" s="242"/>
      <c r="G233" s="243"/>
      <c r="H233" s="243"/>
      <c r="I233" s="243"/>
      <c r="J233" s="243"/>
      <c r="K233" s="243"/>
      <c r="L233" s="1002"/>
      <c r="M233" s="459"/>
      <c r="N233" s="242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1:40" s="213" customFormat="1">
      <c r="B234" s="225"/>
      <c r="D234" s="910"/>
      <c r="F234" s="242"/>
      <c r="G234" s="243"/>
      <c r="H234" s="243"/>
      <c r="I234" s="243"/>
      <c r="J234" s="243"/>
      <c r="K234" s="243"/>
      <c r="L234" s="1002"/>
      <c r="M234" s="459"/>
      <c r="N234" s="242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14"/>
      <c r="AD234" s="214"/>
      <c r="AE234" s="214"/>
      <c r="AF234" s="214"/>
      <c r="AG234" s="214"/>
      <c r="AH234" s="214"/>
      <c r="AI234" s="214"/>
      <c r="AJ234" s="214"/>
      <c r="AK234" s="214"/>
      <c r="AL234" s="214"/>
      <c r="AM234" s="214"/>
    </row>
    <row r="235" spans="1:40" s="213" customFormat="1">
      <c r="B235" s="225"/>
      <c r="D235" s="910"/>
      <c r="F235" s="242"/>
      <c r="G235" s="243"/>
      <c r="H235" s="243"/>
      <c r="I235" s="243"/>
      <c r="J235" s="243"/>
      <c r="K235" s="243"/>
      <c r="L235" s="1002"/>
      <c r="M235" s="459"/>
      <c r="N235" s="242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</row>
    <row r="236" spans="1:40" s="213" customFormat="1">
      <c r="B236" s="225"/>
      <c r="D236" s="910"/>
      <c r="F236" s="242"/>
      <c r="G236" s="243"/>
      <c r="H236" s="243"/>
      <c r="I236" s="243"/>
      <c r="J236" s="243"/>
      <c r="K236" s="243"/>
      <c r="L236" s="1002"/>
      <c r="M236" s="459"/>
      <c r="N236" s="242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14"/>
      <c r="AD236" s="214"/>
      <c r="AE236" s="214"/>
      <c r="AF236" s="214"/>
      <c r="AG236" s="214"/>
      <c r="AH236" s="214"/>
      <c r="AI236" s="214"/>
      <c r="AJ236" s="214"/>
      <c r="AK236" s="214"/>
      <c r="AL236" s="214"/>
      <c r="AM236" s="214"/>
    </row>
    <row r="237" spans="1:40">
      <c r="A237" s="204"/>
      <c r="B237" s="204"/>
      <c r="D237" s="204"/>
      <c r="F237" s="204"/>
      <c r="G237" s="204"/>
      <c r="H237" s="204"/>
      <c r="I237" s="204"/>
      <c r="J237" s="204"/>
      <c r="K237" s="204"/>
      <c r="L237" s="204"/>
      <c r="M237" s="204"/>
      <c r="N237" s="204"/>
      <c r="O237" s="155"/>
      <c r="P237" s="155"/>
      <c r="Q237" s="1131"/>
      <c r="R237" s="1131"/>
      <c r="S237" s="251"/>
      <c r="T237" s="251"/>
      <c r="U237" s="1132"/>
      <c r="V237" s="1132"/>
      <c r="W237" s="1132"/>
      <c r="X237" s="1132"/>
      <c r="Y237" s="1132"/>
      <c r="Z237" s="1132"/>
      <c r="AA237" s="1132"/>
      <c r="AB237" s="204"/>
      <c r="AC237" s="204"/>
      <c r="AD237" s="204"/>
      <c r="AE237" s="204"/>
      <c r="AF237" s="204"/>
      <c r="AG237" s="204"/>
      <c r="AH237" s="204"/>
      <c r="AI237" s="204"/>
      <c r="AJ237" s="204"/>
      <c r="AK237" s="204"/>
      <c r="AL237" s="204"/>
      <c r="AM237" s="204"/>
      <c r="AN237" s="204"/>
    </row>
    <row r="238" spans="1:40">
      <c r="A238" s="204"/>
      <c r="B238" s="204"/>
      <c r="D238" s="204"/>
      <c r="F238" s="204"/>
      <c r="G238" s="204"/>
      <c r="H238" s="204"/>
      <c r="I238" s="204"/>
      <c r="J238" s="204"/>
      <c r="K238" s="204"/>
      <c r="L238" s="204"/>
      <c r="M238" s="204"/>
      <c r="N238" s="204"/>
      <c r="O238" s="155"/>
      <c r="P238" s="155"/>
      <c r="Q238" s="1131"/>
      <c r="R238" s="1131"/>
      <c r="S238" s="251"/>
      <c r="T238" s="251"/>
      <c r="U238" s="1132"/>
      <c r="V238" s="1132"/>
      <c r="W238" s="1132"/>
      <c r="X238" s="1132"/>
      <c r="Y238" s="1132"/>
      <c r="Z238" s="1132"/>
      <c r="AA238" s="1132"/>
      <c r="AB238" s="204"/>
      <c r="AC238" s="204"/>
      <c r="AD238" s="204"/>
      <c r="AE238" s="204"/>
      <c r="AF238" s="204"/>
      <c r="AG238" s="204"/>
      <c r="AH238" s="204"/>
      <c r="AI238" s="204"/>
      <c r="AJ238" s="204"/>
      <c r="AK238" s="204"/>
      <c r="AL238" s="204"/>
      <c r="AM238" s="204"/>
      <c r="AN238" s="204"/>
    </row>
    <row r="239" spans="1:40">
      <c r="A239" s="204"/>
      <c r="B239" s="204"/>
      <c r="D239" s="204"/>
      <c r="F239" s="204"/>
      <c r="G239" s="204"/>
      <c r="H239" s="204"/>
      <c r="I239" s="204"/>
      <c r="J239" s="204"/>
      <c r="K239" s="204"/>
      <c r="L239" s="204"/>
      <c r="M239" s="204"/>
      <c r="N239" s="204"/>
      <c r="O239" s="155"/>
      <c r="P239" s="155"/>
      <c r="Q239" s="1131"/>
      <c r="R239" s="1131"/>
      <c r="S239" s="251"/>
      <c r="T239" s="251"/>
      <c r="U239" s="1132"/>
      <c r="V239" s="1132"/>
      <c r="W239" s="1132"/>
      <c r="X239" s="1132"/>
      <c r="Y239" s="1132"/>
      <c r="Z239" s="1132"/>
      <c r="AA239" s="1132"/>
      <c r="AB239" s="204"/>
      <c r="AC239" s="204"/>
      <c r="AD239" s="204"/>
      <c r="AE239" s="204"/>
      <c r="AF239" s="204"/>
      <c r="AG239" s="204"/>
      <c r="AH239" s="204"/>
      <c r="AI239" s="204"/>
      <c r="AJ239" s="204"/>
      <c r="AK239" s="204"/>
      <c r="AL239" s="204"/>
      <c r="AM239" s="204"/>
      <c r="AN239" s="204"/>
    </row>
    <row r="240" spans="1:40">
      <c r="A240" s="204"/>
      <c r="B240" s="204"/>
      <c r="D240" s="204"/>
      <c r="F240" s="204"/>
      <c r="G240" s="204"/>
      <c r="H240" s="204"/>
      <c r="I240" s="204"/>
      <c r="J240" s="204"/>
      <c r="K240" s="204"/>
      <c r="L240" s="204"/>
      <c r="M240" s="204"/>
      <c r="N240" s="204"/>
      <c r="O240" s="155"/>
      <c r="P240" s="155"/>
      <c r="Q240" s="1131"/>
      <c r="R240" s="1131"/>
      <c r="S240" s="251"/>
      <c r="T240" s="251"/>
      <c r="U240" s="1132"/>
      <c r="V240" s="1132"/>
      <c r="W240" s="1132"/>
      <c r="X240" s="1132"/>
      <c r="Y240" s="1132"/>
      <c r="Z240" s="1132"/>
      <c r="AA240" s="1132"/>
      <c r="AB240" s="204"/>
      <c r="AC240" s="204"/>
      <c r="AD240" s="204"/>
      <c r="AE240" s="204"/>
      <c r="AF240" s="204"/>
      <c r="AG240" s="204"/>
      <c r="AH240" s="204"/>
      <c r="AI240" s="204"/>
      <c r="AJ240" s="204"/>
      <c r="AK240" s="204"/>
      <c r="AL240" s="204"/>
      <c r="AM240" s="204"/>
      <c r="AN240" s="204"/>
    </row>
    <row r="241" spans="1:40">
      <c r="A241" s="204"/>
      <c r="B241" s="204"/>
      <c r="D241" s="204"/>
      <c r="F241" s="204"/>
      <c r="G241" s="204"/>
      <c r="H241" s="204"/>
      <c r="I241" s="204"/>
      <c r="J241" s="204"/>
      <c r="K241" s="204"/>
      <c r="L241" s="204"/>
      <c r="M241" s="204"/>
      <c r="N241" s="204"/>
      <c r="O241" s="155"/>
      <c r="P241" s="155"/>
      <c r="Q241" s="1131"/>
      <c r="R241" s="1131"/>
      <c r="S241" s="251"/>
      <c r="T241" s="251"/>
      <c r="U241" s="1132"/>
      <c r="V241" s="1132"/>
      <c r="W241" s="1132"/>
      <c r="X241" s="1132"/>
      <c r="Y241" s="1132"/>
      <c r="Z241" s="1132"/>
      <c r="AA241" s="1132"/>
      <c r="AB241" s="204"/>
      <c r="AC241" s="204"/>
      <c r="AD241" s="204"/>
      <c r="AE241" s="204"/>
      <c r="AF241" s="204"/>
      <c r="AG241" s="204"/>
      <c r="AH241" s="204"/>
      <c r="AI241" s="204"/>
      <c r="AJ241" s="204"/>
      <c r="AK241" s="204"/>
      <c r="AL241" s="204"/>
      <c r="AM241" s="204"/>
      <c r="AN241" s="204"/>
    </row>
    <row r="242" spans="1:40">
      <c r="A242" s="204"/>
      <c r="B242" s="204"/>
      <c r="D242" s="204"/>
      <c r="F242" s="204"/>
      <c r="G242" s="204"/>
      <c r="H242" s="204"/>
      <c r="I242" s="204"/>
      <c r="J242" s="204"/>
      <c r="K242" s="204"/>
      <c r="L242" s="204"/>
      <c r="M242" s="204"/>
      <c r="N242" s="204"/>
      <c r="O242" s="155"/>
      <c r="P242" s="155"/>
      <c r="Q242" s="1131"/>
      <c r="R242" s="1131"/>
      <c r="S242" s="251"/>
      <c r="T242" s="251"/>
      <c r="U242" s="1132"/>
      <c r="V242" s="1132"/>
      <c r="W242" s="1132"/>
      <c r="X242" s="1132"/>
      <c r="Y242" s="1132"/>
      <c r="Z242" s="1132"/>
      <c r="AA242" s="1132"/>
      <c r="AB242" s="204"/>
      <c r="AC242" s="204"/>
      <c r="AD242" s="204"/>
      <c r="AE242" s="204"/>
      <c r="AF242" s="204"/>
      <c r="AG242" s="204"/>
      <c r="AH242" s="204"/>
      <c r="AI242" s="204"/>
      <c r="AJ242" s="204"/>
      <c r="AK242" s="204"/>
      <c r="AL242" s="204"/>
      <c r="AM242" s="204"/>
      <c r="AN242" s="204"/>
    </row>
    <row r="243" spans="1:40">
      <c r="A243" s="204"/>
      <c r="B243" s="204"/>
      <c r="D243" s="204"/>
      <c r="F243" s="204"/>
      <c r="G243" s="204"/>
      <c r="H243" s="204"/>
      <c r="I243" s="204"/>
      <c r="J243" s="204"/>
      <c r="K243" s="204"/>
      <c r="L243" s="204"/>
      <c r="M243" s="204"/>
      <c r="N243" s="204"/>
      <c r="O243" s="155"/>
      <c r="P243" s="155"/>
      <c r="Q243" s="1131"/>
      <c r="R243" s="1131"/>
      <c r="S243" s="251"/>
      <c r="T243" s="251"/>
      <c r="U243" s="1132"/>
      <c r="V243" s="1132"/>
      <c r="W243" s="1132"/>
      <c r="X243" s="1132"/>
      <c r="Y243" s="1132"/>
      <c r="Z243" s="1132"/>
      <c r="AA243" s="1132"/>
      <c r="AB243" s="204"/>
      <c r="AC243" s="204"/>
      <c r="AD243" s="204"/>
      <c r="AE243" s="204"/>
      <c r="AF243" s="204"/>
      <c r="AG243" s="204"/>
      <c r="AH243" s="204"/>
      <c r="AI243" s="204"/>
      <c r="AJ243" s="204"/>
      <c r="AK243" s="204"/>
      <c r="AL243" s="204"/>
      <c r="AM243" s="204"/>
      <c r="AN243" s="204"/>
    </row>
    <row r="244" spans="1:40">
      <c r="A244" s="204"/>
      <c r="B244" s="204"/>
      <c r="D244" s="204"/>
      <c r="F244" s="204"/>
      <c r="G244" s="204"/>
      <c r="H244" s="204"/>
      <c r="I244" s="204"/>
      <c r="J244" s="204"/>
      <c r="K244" s="204"/>
      <c r="L244" s="204"/>
      <c r="M244" s="204"/>
      <c r="N244" s="204"/>
      <c r="O244" s="155"/>
      <c r="P244" s="155"/>
      <c r="Q244" s="1131"/>
      <c r="R244" s="1131"/>
      <c r="S244" s="251"/>
      <c r="T244" s="251"/>
      <c r="U244" s="1132"/>
      <c r="V244" s="1132"/>
      <c r="W244" s="1132"/>
      <c r="X244" s="1132"/>
      <c r="Y244" s="1132"/>
      <c r="Z244" s="1132"/>
      <c r="AA244" s="1132"/>
      <c r="AB244" s="204"/>
      <c r="AC244" s="204"/>
      <c r="AD244" s="204"/>
      <c r="AE244" s="204"/>
      <c r="AF244" s="204"/>
      <c r="AG244" s="204"/>
      <c r="AH244" s="204"/>
      <c r="AI244" s="204"/>
      <c r="AJ244" s="204"/>
      <c r="AK244" s="204"/>
      <c r="AL244" s="204"/>
      <c r="AM244" s="204"/>
      <c r="AN244" s="204"/>
    </row>
    <row r="245" spans="1:40">
      <c r="A245" s="204"/>
      <c r="B245" s="204"/>
      <c r="D245" s="204"/>
      <c r="F245" s="204"/>
      <c r="G245" s="204"/>
      <c r="H245" s="204"/>
      <c r="I245" s="204"/>
      <c r="J245" s="204"/>
      <c r="K245" s="204"/>
      <c r="L245" s="204"/>
      <c r="M245" s="204"/>
      <c r="N245" s="204"/>
      <c r="O245" s="155"/>
      <c r="P245" s="155"/>
      <c r="Q245" s="1131"/>
      <c r="R245" s="1131"/>
      <c r="S245" s="251"/>
      <c r="T245" s="251"/>
      <c r="U245" s="1132"/>
      <c r="V245" s="1132"/>
      <c r="W245" s="1132"/>
      <c r="X245" s="1132"/>
      <c r="Y245" s="1132"/>
      <c r="Z245" s="1132"/>
      <c r="AA245" s="1132"/>
      <c r="AB245" s="204"/>
      <c r="AC245" s="204"/>
      <c r="AD245" s="204"/>
      <c r="AE245" s="204"/>
      <c r="AF245" s="204"/>
      <c r="AG245" s="204"/>
      <c r="AH245" s="204"/>
      <c r="AI245" s="204"/>
      <c r="AJ245" s="204"/>
      <c r="AK245" s="204"/>
      <c r="AL245" s="204"/>
      <c r="AM245" s="204"/>
      <c r="AN245" s="204"/>
    </row>
    <row r="246" spans="1:40">
      <c r="A246" s="204"/>
      <c r="B246" s="204"/>
      <c r="D246" s="204"/>
      <c r="F246" s="204"/>
      <c r="G246" s="204"/>
      <c r="H246" s="204"/>
      <c r="I246" s="204"/>
      <c r="J246" s="204"/>
      <c r="K246" s="204"/>
      <c r="L246" s="204"/>
      <c r="M246" s="204"/>
      <c r="N246" s="204"/>
      <c r="O246" s="155"/>
      <c r="P246" s="155"/>
      <c r="Q246" s="1131"/>
      <c r="R246" s="1131"/>
      <c r="S246" s="251"/>
      <c r="T246" s="251"/>
      <c r="U246" s="1132"/>
      <c r="V246" s="1132"/>
      <c r="W246" s="1132"/>
      <c r="X246" s="1132"/>
      <c r="Y246" s="1132"/>
      <c r="Z246" s="1132"/>
      <c r="AA246" s="1132"/>
      <c r="AB246" s="204"/>
      <c r="AC246" s="204"/>
      <c r="AD246" s="204"/>
      <c r="AE246" s="204"/>
      <c r="AF246" s="204"/>
      <c r="AG246" s="204"/>
      <c r="AH246" s="204"/>
      <c r="AI246" s="204"/>
      <c r="AJ246" s="204"/>
      <c r="AK246" s="204"/>
      <c r="AL246" s="204"/>
      <c r="AM246" s="204"/>
      <c r="AN246" s="204"/>
    </row>
    <row r="247" spans="1:40">
      <c r="A247" s="204"/>
      <c r="B247" s="204"/>
      <c r="D247" s="204"/>
      <c r="F247" s="204"/>
      <c r="G247" s="204"/>
      <c r="H247" s="204"/>
      <c r="I247" s="204"/>
      <c r="J247" s="204"/>
      <c r="K247" s="204"/>
      <c r="L247" s="204"/>
      <c r="M247" s="204"/>
      <c r="N247" s="204"/>
      <c r="O247" s="155"/>
      <c r="P247" s="155"/>
      <c r="Q247" s="1131"/>
      <c r="R247" s="1131"/>
      <c r="S247" s="251"/>
      <c r="T247" s="251"/>
      <c r="U247" s="1132"/>
      <c r="V247" s="1132"/>
      <c r="W247" s="1132"/>
      <c r="X247" s="1132"/>
      <c r="Y247" s="1132"/>
      <c r="Z247" s="1132"/>
      <c r="AA247" s="1132"/>
      <c r="AB247" s="204"/>
      <c r="AC247" s="204"/>
      <c r="AD247" s="204"/>
      <c r="AE247" s="204"/>
      <c r="AF247" s="204"/>
      <c r="AG247" s="204"/>
      <c r="AH247" s="204"/>
      <c r="AI247" s="204"/>
      <c r="AJ247" s="204"/>
      <c r="AK247" s="204"/>
      <c r="AL247" s="204"/>
      <c r="AM247" s="204"/>
      <c r="AN247" s="204"/>
    </row>
    <row r="248" spans="1:40">
      <c r="A248" s="204"/>
      <c r="B248" s="204"/>
      <c r="D248" s="204"/>
      <c r="F248" s="204"/>
      <c r="G248" s="204"/>
      <c r="H248" s="204"/>
      <c r="I248" s="204"/>
      <c r="J248" s="204"/>
      <c r="K248" s="204"/>
      <c r="L248" s="204"/>
      <c r="M248" s="204"/>
      <c r="N248" s="204"/>
      <c r="O248" s="155"/>
      <c r="P248" s="155"/>
      <c r="Q248" s="1131"/>
      <c r="R248" s="1131"/>
      <c r="S248" s="251"/>
      <c r="T248" s="251"/>
      <c r="U248" s="1132"/>
      <c r="V248" s="1132"/>
      <c r="W248" s="1132"/>
      <c r="X248" s="1132"/>
      <c r="Y248" s="1132"/>
      <c r="Z248" s="1132"/>
      <c r="AA248" s="1132"/>
      <c r="AB248" s="204"/>
      <c r="AC248" s="204"/>
      <c r="AD248" s="204"/>
      <c r="AE248" s="204"/>
      <c r="AF248" s="204"/>
      <c r="AG248" s="204"/>
      <c r="AH248" s="204"/>
      <c r="AI248" s="204"/>
      <c r="AJ248" s="204"/>
      <c r="AK248" s="204"/>
      <c r="AL248" s="204"/>
      <c r="AM248" s="204"/>
      <c r="AN248" s="204"/>
    </row>
    <row r="249" spans="1:40">
      <c r="A249" s="204"/>
      <c r="B249" s="204"/>
      <c r="D249" s="204"/>
      <c r="F249" s="204"/>
      <c r="G249" s="204"/>
      <c r="H249" s="204"/>
      <c r="I249" s="204"/>
      <c r="J249" s="204"/>
      <c r="K249" s="204"/>
      <c r="L249" s="204"/>
      <c r="M249" s="204"/>
      <c r="N249" s="204"/>
      <c r="O249" s="155"/>
      <c r="P249" s="155"/>
      <c r="Q249" s="1131"/>
      <c r="R249" s="1131"/>
      <c r="S249" s="251"/>
      <c r="T249" s="251"/>
      <c r="U249" s="1132"/>
      <c r="V249" s="1132"/>
      <c r="W249" s="1132"/>
      <c r="X249" s="1132"/>
      <c r="Y249" s="1132"/>
      <c r="Z249" s="1132"/>
      <c r="AA249" s="1132"/>
      <c r="AB249" s="204"/>
      <c r="AC249" s="204"/>
      <c r="AD249" s="204"/>
      <c r="AE249" s="204"/>
      <c r="AF249" s="204"/>
      <c r="AG249" s="204"/>
      <c r="AH249" s="204"/>
      <c r="AI249" s="204"/>
      <c r="AJ249" s="204"/>
      <c r="AK249" s="204"/>
      <c r="AL249" s="204"/>
      <c r="AM249" s="204"/>
      <c r="AN249" s="204"/>
    </row>
  </sheetData>
  <phoneticPr fontId="21" type="noConversion"/>
  <conditionalFormatting sqref="F28:K28 D28 F7:G7 D7 I7:K7">
    <cfRule type="cellIs" dxfId="726" priority="114" stopIfTrue="1" operator="equal">
      <formula>1</formula>
    </cfRule>
  </conditionalFormatting>
  <conditionalFormatting sqref="F12:K12 D12 D20 F20:K20">
    <cfRule type="cellIs" dxfId="725" priority="118" stopIfTrue="1" operator="equal">
      <formula>1</formula>
    </cfRule>
  </conditionalFormatting>
  <conditionalFormatting sqref="F21:G22 D21:D22 D24:D25 F24:G25 I24:K25 I21:K22">
    <cfRule type="cellIs" dxfId="724" priority="115" stopIfTrue="1" operator="equal">
      <formula>1</formula>
    </cfRule>
  </conditionalFormatting>
  <conditionalFormatting sqref="D9 F9:G9 I9:K9">
    <cfRule type="cellIs" dxfId="723" priority="125" stopIfTrue="1" operator="equal">
      <formula>1</formula>
    </cfRule>
  </conditionalFormatting>
  <conditionalFormatting sqref="H7">
    <cfRule type="cellIs" dxfId="722" priority="105" stopIfTrue="1" operator="equal">
      <formula>1</formula>
    </cfRule>
  </conditionalFormatting>
  <conditionalFormatting sqref="H8">
    <cfRule type="cellIs" dxfId="721" priority="104" stopIfTrue="1" operator="equal">
      <formula>1</formula>
    </cfRule>
  </conditionalFormatting>
  <conditionalFormatting sqref="AB9:AH9">
    <cfRule type="cellIs" dxfId="720" priority="108" stopIfTrue="1" operator="lessThan">
      <formula>0</formula>
    </cfRule>
  </conditionalFormatting>
  <conditionalFormatting sqref="D8 F8:G8 I8:K8">
    <cfRule type="cellIs" dxfId="719" priority="107" stopIfTrue="1" operator="equal">
      <formula>1</formula>
    </cfRule>
  </conditionalFormatting>
  <conditionalFormatting sqref="H24:H25 H21:H22">
    <cfRule type="cellIs" dxfId="718" priority="103" stopIfTrue="1" operator="equal">
      <formula>1</formula>
    </cfRule>
  </conditionalFormatting>
  <conditionalFormatting sqref="H9">
    <cfRule type="cellIs" dxfId="717" priority="106" stopIfTrue="1" operator="equal">
      <formula>1</formula>
    </cfRule>
  </conditionalFormatting>
  <conditionalFormatting sqref="F33:G33 D33">
    <cfRule type="cellIs" dxfId="716" priority="91" stopIfTrue="1" operator="equal">
      <formula>1</formula>
    </cfRule>
  </conditionalFormatting>
  <conditionalFormatting sqref="F37:G37 D37">
    <cfRule type="cellIs" dxfId="715" priority="68" stopIfTrue="1" operator="equal">
      <formula>1</formula>
    </cfRule>
  </conditionalFormatting>
  <conditionalFormatting sqref="F31:G31 D31">
    <cfRule type="cellIs" dxfId="714" priority="99" stopIfTrue="1" operator="equal">
      <formula>1</formula>
    </cfRule>
  </conditionalFormatting>
  <conditionalFormatting sqref="H31:K31">
    <cfRule type="cellIs" dxfId="713" priority="100" stopIfTrue="1" operator="equal">
      <formula>1</formula>
    </cfRule>
    <cfRule type="cellIs" dxfId="712" priority="101" stopIfTrue="1" operator="equal">
      <formula>2</formula>
    </cfRule>
    <cfRule type="cellIs" dxfId="711" priority="102" stopIfTrue="1" operator="equal">
      <formula>3</formula>
    </cfRule>
  </conditionalFormatting>
  <conditionalFormatting sqref="I37:J37">
    <cfRule type="cellIs" dxfId="710" priority="67" stopIfTrue="1" operator="equal">
      <formula>1</formula>
    </cfRule>
  </conditionalFormatting>
  <conditionalFormatting sqref="H33:K33">
    <cfRule type="cellIs" dxfId="709" priority="92" stopIfTrue="1" operator="equal">
      <formula>1</formula>
    </cfRule>
    <cfRule type="cellIs" dxfId="708" priority="93" stopIfTrue="1" operator="equal">
      <formula>2</formula>
    </cfRule>
    <cfRule type="cellIs" dxfId="707" priority="94" stopIfTrue="1" operator="equal">
      <formula>3</formula>
    </cfRule>
  </conditionalFormatting>
  <conditionalFormatting sqref="D39 F39:G39 I39:K39">
    <cfRule type="cellIs" dxfId="706" priority="90" stopIfTrue="1" operator="equal">
      <formula>1</formula>
    </cfRule>
  </conditionalFormatting>
  <conditionalFormatting sqref="D65 F65:G65 I65:K65">
    <cfRule type="cellIs" dxfId="705" priority="74" stopIfTrue="1" operator="equal">
      <formula>1</formula>
    </cfRule>
  </conditionalFormatting>
  <conditionalFormatting sqref="D61 F61:G61 I61:K61">
    <cfRule type="cellIs" dxfId="704" priority="73" stopIfTrue="1" operator="equal">
      <formula>1</formula>
    </cfRule>
  </conditionalFormatting>
  <conditionalFormatting sqref="D63 F63:G63 I63:J63">
    <cfRule type="cellIs" dxfId="703" priority="72" stopIfTrue="1" operator="equal">
      <formula>1</formula>
    </cfRule>
  </conditionalFormatting>
  <conditionalFormatting sqref="K63">
    <cfRule type="cellIs" dxfId="702" priority="70" stopIfTrue="1" operator="equal">
      <formula>1</formula>
    </cfRule>
  </conditionalFormatting>
  <conditionalFormatting sqref="K30">
    <cfRule type="cellIs" dxfId="701" priority="69" stopIfTrue="1" operator="equal">
      <formula>1</formula>
    </cfRule>
  </conditionalFormatting>
  <conditionalFormatting sqref="I38:K38">
    <cfRule type="cellIs" dxfId="700" priority="63" stopIfTrue="1" operator="equal">
      <formula>1</formula>
    </cfRule>
  </conditionalFormatting>
  <conditionalFormatting sqref="K37">
    <cfRule type="cellIs" dxfId="699" priority="65" stopIfTrue="1" operator="equal">
      <formula>1</formula>
    </cfRule>
  </conditionalFormatting>
  <conditionalFormatting sqref="D38 F38:G38">
    <cfRule type="cellIs" dxfId="698" priority="64" stopIfTrue="1" operator="equal">
      <formula>1</formula>
    </cfRule>
  </conditionalFormatting>
  <conditionalFormatting sqref="K48">
    <cfRule type="cellIs" dxfId="697" priority="55" stopIfTrue="1" operator="equal">
      <formula>1</formula>
    </cfRule>
  </conditionalFormatting>
  <conditionalFormatting sqref="D50 F50:G50 I50:K50">
    <cfRule type="cellIs" dxfId="696" priority="58" stopIfTrue="1" operator="equal">
      <formula>1</formula>
    </cfRule>
  </conditionalFormatting>
  <conditionalFormatting sqref="D46 F46:G46 I46:K46">
    <cfRule type="cellIs" dxfId="695" priority="57" stopIfTrue="1" operator="equal">
      <formula>1</formula>
    </cfRule>
  </conditionalFormatting>
  <conditionalFormatting sqref="D48 F48:G48 I48:J48">
    <cfRule type="cellIs" dxfId="694" priority="56" stopIfTrue="1" operator="equal">
      <formula>1</formula>
    </cfRule>
  </conditionalFormatting>
  <conditionalFormatting sqref="D18 F18:K18">
    <cfRule type="cellIs" dxfId="693" priority="48" stopIfTrue="1" operator="equal">
      <formula>1</formula>
    </cfRule>
  </conditionalFormatting>
  <conditionalFormatting sqref="D14 F14:K14">
    <cfRule type="cellIs" dxfId="692" priority="47" stopIfTrue="1" operator="equal">
      <formula>1</formula>
    </cfRule>
  </conditionalFormatting>
  <conditionalFormatting sqref="D16 F16:J16">
    <cfRule type="cellIs" dxfId="691" priority="46" stopIfTrue="1" operator="equal">
      <formula>1</formula>
    </cfRule>
  </conditionalFormatting>
  <conditionalFormatting sqref="K16">
    <cfRule type="cellIs" dxfId="690" priority="45" stopIfTrue="1" operator="equal">
      <formula>1</formula>
    </cfRule>
  </conditionalFormatting>
  <conditionalFormatting sqref="J40:J42">
    <cfRule type="cellIs" dxfId="689" priority="44" stopIfTrue="1" operator="equal">
      <formula>1</formula>
    </cfRule>
  </conditionalFormatting>
  <conditionalFormatting sqref="H48:H51">
    <cfRule type="cellIs" dxfId="688" priority="43" stopIfTrue="1" operator="equal">
      <formula>1</formula>
    </cfRule>
  </conditionalFormatting>
  <conditionalFormatting sqref="H47">
    <cfRule type="cellIs" dxfId="687" priority="40" stopIfTrue="1" operator="equal">
      <formula>1</formula>
    </cfRule>
    <cfRule type="cellIs" dxfId="686" priority="41" stopIfTrue="1" operator="equal">
      <formula>2</formula>
    </cfRule>
    <cfRule type="cellIs" dxfId="685" priority="42" stopIfTrue="1" operator="equal">
      <formula>3</formula>
    </cfRule>
  </conditionalFormatting>
  <conditionalFormatting sqref="H46">
    <cfRule type="cellIs" dxfId="684" priority="37" stopIfTrue="1" operator="equal">
      <formula>1</formula>
    </cfRule>
    <cfRule type="cellIs" dxfId="683" priority="38" stopIfTrue="1" operator="equal">
      <formula>2</formula>
    </cfRule>
    <cfRule type="cellIs" dxfId="682" priority="39" stopIfTrue="1" operator="equal">
      <formula>3</formula>
    </cfRule>
  </conditionalFormatting>
  <conditionalFormatting sqref="H48">
    <cfRule type="cellIs" dxfId="681" priority="34" stopIfTrue="1" operator="equal">
      <formula>1</formula>
    </cfRule>
    <cfRule type="cellIs" dxfId="680" priority="35" stopIfTrue="1" operator="equal">
      <formula>2</formula>
    </cfRule>
    <cfRule type="cellIs" dxfId="679" priority="36" stopIfTrue="1" operator="equal">
      <formula>3</formula>
    </cfRule>
  </conditionalFormatting>
  <conditionalFormatting sqref="H47">
    <cfRule type="cellIs" dxfId="678" priority="31" stopIfTrue="1" operator="equal">
      <formula>1</formula>
    </cfRule>
    <cfRule type="cellIs" dxfId="677" priority="32" stopIfTrue="1" operator="equal">
      <formula>2</formula>
    </cfRule>
    <cfRule type="cellIs" dxfId="676" priority="33" stopIfTrue="1" operator="equal">
      <formula>3</formula>
    </cfRule>
  </conditionalFormatting>
  <conditionalFormatting sqref="H64:H67">
    <cfRule type="cellIs" dxfId="675" priority="26" stopIfTrue="1" operator="equal">
      <formula>1</formula>
    </cfRule>
  </conditionalFormatting>
  <conditionalFormatting sqref="H63">
    <cfRule type="cellIs" dxfId="674" priority="23" stopIfTrue="1" operator="equal">
      <formula>1</formula>
    </cfRule>
    <cfRule type="cellIs" dxfId="673" priority="24" stopIfTrue="1" operator="equal">
      <formula>2</formula>
    </cfRule>
    <cfRule type="cellIs" dxfId="672" priority="25" stopIfTrue="1" operator="equal">
      <formula>3</formula>
    </cfRule>
  </conditionalFormatting>
  <conditionalFormatting sqref="H62">
    <cfRule type="cellIs" dxfId="671" priority="20" stopIfTrue="1" operator="equal">
      <formula>1</formula>
    </cfRule>
    <cfRule type="cellIs" dxfId="670" priority="21" stopIfTrue="1" operator="equal">
      <formula>2</formula>
    </cfRule>
    <cfRule type="cellIs" dxfId="669" priority="22" stopIfTrue="1" operator="equal">
      <formula>3</formula>
    </cfRule>
  </conditionalFormatting>
  <conditionalFormatting sqref="H64">
    <cfRule type="cellIs" dxfId="668" priority="17" stopIfTrue="1" operator="equal">
      <formula>1</formula>
    </cfRule>
    <cfRule type="cellIs" dxfId="667" priority="18" stopIfTrue="1" operator="equal">
      <formula>2</formula>
    </cfRule>
    <cfRule type="cellIs" dxfId="666" priority="19" stopIfTrue="1" operator="equal">
      <formula>3</formula>
    </cfRule>
  </conditionalFormatting>
  <conditionalFormatting sqref="H63">
    <cfRule type="cellIs" dxfId="665" priority="14" stopIfTrue="1" operator="equal">
      <formula>1</formula>
    </cfRule>
    <cfRule type="cellIs" dxfId="664" priority="15" stopIfTrue="1" operator="equal">
      <formula>2</formula>
    </cfRule>
    <cfRule type="cellIs" dxfId="663" priority="16" stopIfTrue="1" operator="equal">
      <formula>3</formula>
    </cfRule>
  </conditionalFormatting>
  <printOptions horizontalCentered="1" verticalCentered="1"/>
  <pageMargins left="0" right="0" top="0.98425196850393704" bottom="1.1811023622047245" header="0.59055118110236227" footer="0.59055118110236227"/>
  <pageSetup paperSize="9" scale="110" orientation="landscape" horizontalDpi="0" verticalDpi="0"/>
  <headerFooter>
    <oddHeader>&amp;L&amp;A&amp;F&amp;C&amp;F</oddHeader>
    <oddFooter>Página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809FA-F894-2D46-92C4-F9493B4AF6E1}">
  <dimension ref="A1:K20"/>
  <sheetViews>
    <sheetView topLeftCell="A12" zoomScale="150" zoomScaleNormal="150" workbookViewId="0">
      <selection activeCell="J25" sqref="J25"/>
    </sheetView>
  </sheetViews>
  <sheetFormatPr baseColWidth="10" defaultRowHeight="13"/>
  <cols>
    <col min="1" max="1" width="17.5" customWidth="1"/>
    <col min="2" max="9" width="9.6640625" customWidth="1"/>
    <col min="10" max="10" width="12.33203125" customWidth="1"/>
  </cols>
  <sheetData>
    <row r="1" spans="1:11">
      <c r="A1" s="6850"/>
      <c r="B1" s="6851">
        <v>25</v>
      </c>
      <c r="C1" s="6851">
        <v>25</v>
      </c>
      <c r="D1" s="6851">
        <v>25</v>
      </c>
      <c r="E1" s="6851">
        <v>25</v>
      </c>
      <c r="F1" s="6851">
        <v>25</v>
      </c>
      <c r="G1" s="6851">
        <v>25</v>
      </c>
      <c r="H1" s="6851">
        <v>25</v>
      </c>
      <c r="I1" s="6851">
        <v>25</v>
      </c>
      <c r="J1" s="6852" t="s">
        <v>2385</v>
      </c>
      <c r="K1" s="6853"/>
    </row>
    <row r="2" spans="1:11">
      <c r="A2" s="6854" t="s">
        <v>2382</v>
      </c>
      <c r="B2" s="6855">
        <v>1.9270833333333333E-4</v>
      </c>
      <c r="C2" s="6855">
        <v>2.1273148148148147E-4</v>
      </c>
      <c r="D2" s="6855">
        <v>2.1655092592592594E-4</v>
      </c>
      <c r="E2" s="6855">
        <v>2.2118055555555555E-4</v>
      </c>
      <c r="F2" s="6855">
        <v>2.1145833333333333E-4</v>
      </c>
      <c r="G2" s="6855">
        <v>2.3622685185185186E-4</v>
      </c>
      <c r="H2" s="6855">
        <v>2.2939814814814814E-4</v>
      </c>
      <c r="I2" s="6855">
        <v>2.1898148148148148E-4</v>
      </c>
      <c r="J2" s="6856">
        <f>SUM(B2:I2)</f>
        <v>1.7392361111111109E-3</v>
      </c>
      <c r="K2" s="6857" t="s">
        <v>298</v>
      </c>
    </row>
    <row r="3" spans="1:11">
      <c r="A3" s="469"/>
      <c r="B3" s="324"/>
      <c r="C3" s="6856">
        <f>B2+C2</f>
        <v>4.054398148148148E-4</v>
      </c>
      <c r="D3" s="324"/>
      <c r="E3" s="6856">
        <f>D2+E2</f>
        <v>4.3773148148148149E-4</v>
      </c>
      <c r="F3" s="324"/>
      <c r="G3" s="6856">
        <f>F2+G2</f>
        <v>4.4768518518518519E-4</v>
      </c>
      <c r="H3" s="324"/>
      <c r="I3" s="6856">
        <f>H2+I2</f>
        <v>4.4837962962962963E-4</v>
      </c>
      <c r="J3" s="324"/>
      <c r="K3" s="471"/>
    </row>
    <row r="4" spans="1:11" ht="14" thickBot="1">
      <c r="A4" s="2180"/>
      <c r="B4" s="820"/>
      <c r="C4" s="820"/>
      <c r="D4" s="820"/>
      <c r="E4" s="6858">
        <f>B2+C2+D2+E2</f>
        <v>8.4317129629629629E-4</v>
      </c>
      <c r="F4" s="820"/>
      <c r="G4" s="820"/>
      <c r="H4" s="820"/>
      <c r="I4" s="6858">
        <f>F2+G2+H2+I2</f>
        <v>8.9606481481481481E-4</v>
      </c>
      <c r="J4" s="820"/>
      <c r="K4" s="971"/>
    </row>
    <row r="5" spans="1:11">
      <c r="A5" s="6850"/>
      <c r="B5" s="6851">
        <v>25</v>
      </c>
      <c r="C5" s="6851">
        <v>25</v>
      </c>
      <c r="D5" s="6851">
        <v>25</v>
      </c>
      <c r="E5" s="6851">
        <v>25</v>
      </c>
      <c r="F5" s="6851">
        <v>25</v>
      </c>
      <c r="G5" s="6851">
        <v>25</v>
      </c>
      <c r="H5" s="6851">
        <v>25</v>
      </c>
      <c r="I5" s="6851">
        <v>25</v>
      </c>
      <c r="J5" s="6852" t="s">
        <v>2385</v>
      </c>
      <c r="K5" s="6853"/>
    </row>
    <row r="6" spans="1:11">
      <c r="A6" s="6854" t="s">
        <v>2386</v>
      </c>
      <c r="B6" s="6855">
        <v>1.9201388888888892E-4</v>
      </c>
      <c r="C6" s="6855">
        <v>2.427083333333333E-4</v>
      </c>
      <c r="D6" s="6855">
        <v>2.4687499999999997E-4</v>
      </c>
      <c r="E6" s="6855">
        <v>2.5324074074074073E-4</v>
      </c>
      <c r="F6" s="6855">
        <v>2.4837962962962964E-4</v>
      </c>
      <c r="G6" s="6855">
        <v>2.5960648148148148E-4</v>
      </c>
      <c r="H6" s="6855">
        <v>2.4918981481481482E-4</v>
      </c>
      <c r="I6" s="6855">
        <v>2.5787037037037038E-4</v>
      </c>
      <c r="J6" s="6856">
        <f>SUM(B6:I6)</f>
        <v>1.9498842592592591E-3</v>
      </c>
      <c r="K6" s="6857" t="s">
        <v>299</v>
      </c>
    </row>
    <row r="7" spans="1:11">
      <c r="A7" s="469"/>
      <c r="B7" s="324"/>
      <c r="C7" s="6856">
        <f>B6+C6</f>
        <v>4.3472222222222219E-4</v>
      </c>
      <c r="D7" s="324"/>
      <c r="E7" s="6856">
        <f>D6+E6</f>
        <v>5.0011574074074064E-4</v>
      </c>
      <c r="F7" s="324"/>
      <c r="G7" s="6856">
        <f>F6+G6</f>
        <v>5.0798611111111118E-4</v>
      </c>
      <c r="H7" s="324"/>
      <c r="I7" s="6856">
        <f>H6+I6</f>
        <v>5.0706018518518526E-4</v>
      </c>
      <c r="J7" s="324"/>
      <c r="K7" s="471"/>
    </row>
    <row r="8" spans="1:11" ht="14" thickBot="1">
      <c r="A8" s="2180"/>
      <c r="B8" s="820"/>
      <c r="C8" s="820"/>
      <c r="D8" s="820"/>
      <c r="E8" s="6858">
        <f>B6+C6+D6+E6</f>
        <v>9.3483796296296284E-4</v>
      </c>
      <c r="F8" s="820"/>
      <c r="G8" s="820"/>
      <c r="H8" s="820"/>
      <c r="I8" s="6858">
        <f>F6+G6+H6+I6</f>
        <v>1.0150462962962964E-3</v>
      </c>
      <c r="J8" s="820"/>
      <c r="K8" s="971"/>
    </row>
    <row r="9" spans="1:11">
      <c r="A9" s="6850"/>
      <c r="B9" s="6851">
        <v>25</v>
      </c>
      <c r="C9" s="6851">
        <v>25</v>
      </c>
      <c r="D9" s="6851">
        <v>25</v>
      </c>
      <c r="E9" s="6851">
        <v>25</v>
      </c>
      <c r="F9" s="6851">
        <v>25</v>
      </c>
      <c r="G9" s="6851">
        <v>25</v>
      </c>
      <c r="H9" s="6851">
        <v>25</v>
      </c>
      <c r="I9" s="6851">
        <v>25</v>
      </c>
      <c r="J9" s="6852" t="s">
        <v>2385</v>
      </c>
      <c r="K9" s="6853"/>
    </row>
    <row r="10" spans="1:11">
      <c r="A10" s="6854" t="s">
        <v>2387</v>
      </c>
      <c r="B10" s="6855"/>
      <c r="C10" s="6855"/>
      <c r="D10" s="6855"/>
      <c r="E10" s="6855"/>
      <c r="F10" s="6855"/>
      <c r="G10" s="6855"/>
      <c r="H10" s="6855"/>
      <c r="I10" s="6855"/>
      <c r="J10" s="6856">
        <v>2.1412037037037038E-3</v>
      </c>
      <c r="K10" s="6857" t="s">
        <v>299</v>
      </c>
    </row>
    <row r="11" spans="1:11">
      <c r="A11" s="469"/>
      <c r="B11" s="324"/>
      <c r="C11" s="6856"/>
      <c r="D11" s="324"/>
      <c r="E11" s="6856"/>
      <c r="F11" s="324"/>
      <c r="G11" s="6856"/>
      <c r="H11" s="324"/>
      <c r="I11" s="6856"/>
      <c r="J11" s="324"/>
      <c r="K11" s="471"/>
    </row>
    <row r="12" spans="1:11" ht="14" thickBot="1">
      <c r="A12" s="2180"/>
      <c r="B12" s="820"/>
      <c r="C12" s="820"/>
      <c r="D12" s="820"/>
      <c r="E12" s="6858">
        <v>1.0190972222222222E-3</v>
      </c>
      <c r="F12" s="820"/>
      <c r="G12" s="820"/>
      <c r="H12" s="820"/>
      <c r="I12" s="6858">
        <f>J10-E12</f>
        <v>1.1221064814814815E-3</v>
      </c>
      <c r="J12" s="820"/>
      <c r="K12" s="971"/>
    </row>
    <row r="13" spans="1:11">
      <c r="A13" s="6850"/>
      <c r="B13" s="6851">
        <v>25</v>
      </c>
      <c r="C13" s="6851">
        <v>25</v>
      </c>
      <c r="D13" s="6851">
        <v>25</v>
      </c>
      <c r="E13" s="6851">
        <v>25</v>
      </c>
      <c r="F13" s="6851">
        <v>25</v>
      </c>
      <c r="G13" s="6851">
        <v>25</v>
      </c>
      <c r="H13" s="6851">
        <v>25</v>
      </c>
      <c r="I13" s="6851">
        <v>25</v>
      </c>
      <c r="J13" s="6852" t="s">
        <v>2385</v>
      </c>
      <c r="K13" s="6853"/>
    </row>
    <row r="14" spans="1:11">
      <c r="A14" s="6854" t="s">
        <v>2388</v>
      </c>
      <c r="B14" s="6855"/>
      <c r="C14" s="6855"/>
      <c r="D14" s="6855"/>
      <c r="E14" s="6855"/>
      <c r="F14" s="6855"/>
      <c r="G14" s="6855"/>
      <c r="H14" s="6855"/>
      <c r="I14" s="6855"/>
      <c r="J14" s="6856">
        <f>C15+E15+G15+I15</f>
        <v>2.0106481481481481E-3</v>
      </c>
      <c r="K14" s="6857" t="s">
        <v>299</v>
      </c>
    </row>
    <row r="15" spans="1:11">
      <c r="A15" s="469"/>
      <c r="B15" s="324"/>
      <c r="C15" s="6856">
        <v>4.5486111111111102E-4</v>
      </c>
      <c r="D15" s="324"/>
      <c r="E15" s="6856">
        <v>5.0983796296296291E-4</v>
      </c>
      <c r="F15" s="324"/>
      <c r="G15" s="6856">
        <v>5.2430555555555553E-4</v>
      </c>
      <c r="H15" s="324"/>
      <c r="I15" s="6856">
        <v>5.2164351851851851E-4</v>
      </c>
      <c r="J15" s="324"/>
      <c r="K15" s="471"/>
    </row>
    <row r="16" spans="1:11" ht="14" thickBot="1">
      <c r="A16" s="2180"/>
      <c r="B16" s="820"/>
      <c r="C16" s="820"/>
      <c r="D16" s="820"/>
      <c r="E16" s="6858">
        <f>C15+E15</f>
        <v>9.6469907407407398E-4</v>
      </c>
      <c r="F16" s="820"/>
      <c r="G16" s="820"/>
      <c r="H16" s="820"/>
      <c r="I16" s="6858">
        <f>G15+I15</f>
        <v>1.0459490740740741E-3</v>
      </c>
      <c r="J16" s="820"/>
      <c r="K16" s="971"/>
    </row>
    <row r="17" spans="1:11">
      <c r="A17" s="6850"/>
      <c r="B17" s="6851">
        <v>25</v>
      </c>
      <c r="C17" s="6851">
        <v>25</v>
      </c>
      <c r="D17" s="6851">
        <v>25</v>
      </c>
      <c r="E17" s="6851">
        <v>25</v>
      </c>
      <c r="F17" s="6851">
        <v>25</v>
      </c>
      <c r="G17" s="6851">
        <v>25</v>
      </c>
      <c r="H17" s="6851">
        <v>25</v>
      </c>
      <c r="I17" s="6851">
        <v>25</v>
      </c>
      <c r="J17" s="6852" t="s">
        <v>2390</v>
      </c>
      <c r="K17" s="6853"/>
    </row>
    <row r="18" spans="1:11">
      <c r="A18" s="6854" t="s">
        <v>2389</v>
      </c>
      <c r="B18" s="6855">
        <v>1.5462962962962962E-4</v>
      </c>
      <c r="C18" s="6855">
        <v>1.8854166666666664E-4</v>
      </c>
      <c r="D18" s="6855">
        <v>1.9791666666666669E-4</v>
      </c>
      <c r="E18" s="6855">
        <v>2.1597222222222222E-4</v>
      </c>
      <c r="F18" s="6855"/>
      <c r="G18" s="6855"/>
      <c r="H18" s="6855"/>
      <c r="I18" s="6855"/>
      <c r="J18" s="6856">
        <f>SUM(B18:I18)</f>
        <v>7.5706018518518516E-4</v>
      </c>
      <c r="K18" s="6857" t="s">
        <v>298</v>
      </c>
    </row>
    <row r="19" spans="1:11">
      <c r="A19" s="469"/>
      <c r="B19" s="324"/>
      <c r="C19" s="6856">
        <f>B18+C18</f>
        <v>3.4317129629629628E-4</v>
      </c>
      <c r="D19" s="324"/>
      <c r="E19" s="6856">
        <f>D18+E18</f>
        <v>4.1388888888888888E-4</v>
      </c>
      <c r="F19" s="324"/>
      <c r="G19" s="6856"/>
      <c r="H19" s="324"/>
      <c r="I19" s="6856"/>
      <c r="J19" s="324"/>
      <c r="K19" s="471"/>
    </row>
    <row r="20" spans="1:11" ht="14" thickBot="1">
      <c r="A20" s="2180"/>
      <c r="B20" s="820"/>
      <c r="C20" s="820"/>
      <c r="D20" s="820"/>
      <c r="E20" s="6858">
        <f>B18+C18+D18+E18</f>
        <v>7.5706018518518516E-4</v>
      </c>
      <c r="F20" s="820"/>
      <c r="G20" s="820"/>
      <c r="H20" s="820"/>
      <c r="I20" s="6858"/>
      <c r="J20" s="820"/>
      <c r="K20" s="971"/>
    </row>
  </sheetData>
  <pageMargins left="0.7" right="0.7" top="0.75" bottom="0.75" header="0.3" footer="0.3"/>
  <pageSetup paperSize="9" orientation="landscape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BCA50-915E-5D40-9E82-0FEF7739DD96}">
  <sheetPr codeName="Hoja25"/>
  <dimension ref="A2:Y15"/>
  <sheetViews>
    <sheetView topLeftCell="A17" zoomScale="150" zoomScaleNormal="150" workbookViewId="0">
      <selection activeCell="F16" sqref="F16"/>
    </sheetView>
  </sheetViews>
  <sheetFormatPr baseColWidth="10" defaultRowHeight="13"/>
  <cols>
    <col min="1" max="1" width="1" customWidth="1"/>
    <col min="2" max="2" width="2.83203125" customWidth="1"/>
    <col min="3" max="3" width="3.33203125" customWidth="1"/>
    <col min="4" max="4" width="3.5" customWidth="1"/>
    <col min="5" max="5" width="22.33203125" customWidth="1"/>
    <col min="6" max="6" width="5.33203125" customWidth="1"/>
    <col min="7" max="7" width="5.5" customWidth="1"/>
    <col min="8" max="9" width="5.6640625" customWidth="1"/>
    <col min="10" max="10" width="18.33203125" customWidth="1"/>
    <col min="11" max="11" width="1" customWidth="1"/>
    <col min="12" max="14" width="2.83203125" customWidth="1"/>
    <col min="15" max="15" width="18.33203125" customWidth="1"/>
    <col min="16" max="16" width="1" customWidth="1"/>
    <col min="17" max="19" width="2.83203125" customWidth="1"/>
    <col min="20" max="20" width="18.33203125" customWidth="1"/>
    <col min="21" max="21" width="1" customWidth="1"/>
    <col min="22" max="24" width="2.83203125" customWidth="1"/>
    <col min="25" max="25" width="18.33203125" customWidth="1"/>
  </cols>
  <sheetData>
    <row r="2" spans="1:25">
      <c r="A2" s="4542"/>
      <c r="B2" s="4542"/>
      <c r="C2" s="4545" t="s">
        <v>1960</v>
      </c>
      <c r="D2" s="4544" t="s">
        <v>1959</v>
      </c>
      <c r="E2" s="4546" t="s">
        <v>1961</v>
      </c>
      <c r="F2" s="4543" t="s">
        <v>1965</v>
      </c>
      <c r="G2" s="4543" t="s">
        <v>1962</v>
      </c>
      <c r="H2" s="4543" t="s">
        <v>1963</v>
      </c>
      <c r="I2" s="4543" t="s">
        <v>1964</v>
      </c>
      <c r="J2" s="2181" t="s">
        <v>1955</v>
      </c>
      <c r="O2" s="2181" t="s">
        <v>1956</v>
      </c>
      <c r="T2" s="2181" t="s">
        <v>1957</v>
      </c>
      <c r="Y2" s="2181" t="s">
        <v>1958</v>
      </c>
    </row>
    <row r="3" spans="1:25">
      <c r="A3" s="4537"/>
      <c r="B3" s="1194" t="e">
        <f>'A5'!#REF!</f>
        <v>#REF!</v>
      </c>
      <c r="C3" s="1194" t="e">
        <f>'A5'!#REF!</f>
        <v>#REF!</v>
      </c>
      <c r="D3" s="1194" t="e">
        <f>'A5'!#REF!</f>
        <v>#REF!</v>
      </c>
      <c r="E3" s="4539" t="e">
        <f>'A5'!#REF!</f>
        <v>#REF!</v>
      </c>
      <c r="F3" s="274" t="e">
        <f>'A5'!#REF!</f>
        <v>#REF!</v>
      </c>
      <c r="G3" s="274" t="e">
        <f>'A5'!#REF!</f>
        <v>#REF!</v>
      </c>
      <c r="H3" s="993" t="e">
        <f>'A5'!#REF!</f>
        <v>#REF!</v>
      </c>
      <c r="I3" s="1194" t="e">
        <f>'A5'!#REF!</f>
        <v>#REF!</v>
      </c>
      <c r="K3" s="4537"/>
      <c r="L3" s="4537"/>
      <c r="M3" s="4537"/>
      <c r="N3" s="4537"/>
      <c r="P3" s="4537"/>
      <c r="Q3" s="4537"/>
      <c r="R3" s="4537"/>
      <c r="S3" s="4537"/>
      <c r="U3" s="4537"/>
      <c r="V3" s="4537"/>
      <c r="W3" s="4537"/>
      <c r="X3" s="4537"/>
    </row>
    <row r="4" spans="1:25">
      <c r="A4" s="4537"/>
      <c r="B4" s="1173" t="e">
        <f>'A5'!#REF!</f>
        <v>#REF!</v>
      </c>
      <c r="C4" s="1173" t="e">
        <f>'A5'!#REF!</f>
        <v>#REF!</v>
      </c>
      <c r="D4" s="3041" t="e">
        <f>'A5'!#REF!</f>
        <v>#REF!</v>
      </c>
      <c r="E4" s="4540" t="e">
        <f>'A5'!#REF!</f>
        <v>#REF!</v>
      </c>
      <c r="F4" s="274" t="e">
        <f>'A5'!#REF!</f>
        <v>#REF!</v>
      </c>
      <c r="G4" s="274" t="e">
        <f>'A5'!#REF!</f>
        <v>#REF!</v>
      </c>
      <c r="H4" s="993" t="e">
        <f>'A5'!#REF!</f>
        <v>#REF!</v>
      </c>
      <c r="I4" s="1176" t="e">
        <f>'A5'!#REF!</f>
        <v>#REF!</v>
      </c>
      <c r="K4" s="4537"/>
      <c r="L4" s="4537"/>
      <c r="M4" s="4537"/>
      <c r="N4" s="4537"/>
      <c r="P4" s="4537"/>
      <c r="Q4" s="4537"/>
      <c r="R4" s="4537"/>
      <c r="S4" s="4537"/>
      <c r="U4" s="4537"/>
      <c r="V4" s="4537"/>
      <c r="W4" s="4537"/>
      <c r="X4" s="4537"/>
    </row>
    <row r="5" spans="1:25">
      <c r="A5" s="4537"/>
      <c r="B5" s="1177" t="e">
        <f>'A5'!#REF!</f>
        <v>#REF!</v>
      </c>
      <c r="C5" s="1177" t="e">
        <f>'A5'!#REF!</f>
        <v>#REF!</v>
      </c>
      <c r="D5" s="1177" t="e">
        <f>'A5'!#REF!</f>
        <v>#REF!</v>
      </c>
      <c r="E5" s="4541" t="e">
        <f>'A5'!#REF!</f>
        <v>#REF!</v>
      </c>
      <c r="F5" s="274" t="e">
        <f>'A5'!#REF!</f>
        <v>#REF!</v>
      </c>
      <c r="G5" s="274" t="e">
        <f>'A5'!#REF!</f>
        <v>#REF!</v>
      </c>
      <c r="H5" s="993" t="e">
        <f>'A5'!#REF!</f>
        <v>#REF!</v>
      </c>
      <c r="I5" s="1177" t="e">
        <f>'A5'!#REF!</f>
        <v>#REF!</v>
      </c>
      <c r="K5" s="4537"/>
      <c r="L5" s="4537"/>
      <c r="M5" s="4537"/>
      <c r="N5" s="4537"/>
      <c r="P5" s="4537"/>
      <c r="Q5" s="4537"/>
      <c r="R5" s="4537"/>
      <c r="S5" s="4537"/>
      <c r="U5" s="4537"/>
      <c r="V5" s="4537"/>
      <c r="W5" s="4537"/>
      <c r="X5" s="4537"/>
    </row>
    <row r="6" spans="1:25">
      <c r="A6" s="4537"/>
      <c r="B6" s="4537"/>
      <c r="C6" s="4537"/>
      <c r="D6" s="4537"/>
      <c r="F6" s="4537"/>
      <c r="G6" s="4537"/>
      <c r="H6" s="4537"/>
      <c r="I6" s="4537" t="e">
        <f>SUM(I3:I5)</f>
        <v>#REF!</v>
      </c>
      <c r="K6" s="4537"/>
      <c r="L6" s="4537"/>
      <c r="M6" s="4537"/>
      <c r="N6" s="4537"/>
      <c r="P6" s="4537"/>
      <c r="Q6" s="4537"/>
      <c r="R6" s="4537"/>
      <c r="S6" s="4537"/>
      <c r="U6" s="4537"/>
      <c r="V6" s="4537"/>
      <c r="W6" s="4537"/>
      <c r="X6" s="4537"/>
    </row>
    <row r="7" spans="1:25">
      <c r="A7" s="4538"/>
      <c r="B7" s="4538"/>
      <c r="C7" s="4538"/>
      <c r="D7" s="4538"/>
      <c r="E7" s="4547" t="s">
        <v>687</v>
      </c>
      <c r="F7" s="4538"/>
      <c r="G7" s="4538"/>
      <c r="H7" s="4538"/>
      <c r="I7" s="4538"/>
    </row>
    <row r="8" spans="1:25">
      <c r="A8" s="4538"/>
      <c r="B8" s="1194">
        <f>'A5'!E14</f>
        <v>1</v>
      </c>
      <c r="C8" s="1194">
        <f>'A5'!F14</f>
        <v>1</v>
      </c>
      <c r="D8" s="1194">
        <f>'A5'!G14</f>
        <v>500</v>
      </c>
      <c r="E8" s="4548" t="str">
        <f>'A5'!K14</f>
        <v xml:space="preserve">Con palas y aletas </v>
      </c>
      <c r="F8" s="274">
        <f>'A5'!I14</f>
        <v>0</v>
      </c>
      <c r="G8" s="274">
        <f>'A5'!J14</f>
        <v>1.7361111111111112E-4</v>
      </c>
      <c r="H8" s="4554">
        <f>'A5'!L14</f>
        <v>0.79861111111111116</v>
      </c>
      <c r="I8" s="1194">
        <f>'A5'!R14</f>
        <v>500</v>
      </c>
      <c r="K8" s="4538"/>
      <c r="L8" s="4538"/>
      <c r="M8" s="4538"/>
      <c r="N8" s="4538"/>
      <c r="P8" s="4538"/>
      <c r="Q8" s="4538"/>
      <c r="R8" s="4538"/>
      <c r="S8" s="4538"/>
      <c r="U8" s="4538"/>
      <c r="V8" s="4538"/>
      <c r="W8" s="4538"/>
      <c r="X8" s="4538"/>
    </row>
    <row r="9" spans="1:25">
      <c r="A9" s="4538"/>
      <c r="B9" s="1177">
        <f>'A5'!E15</f>
        <v>1</v>
      </c>
      <c r="C9" s="1177">
        <f>'A5'!F15</f>
        <v>1</v>
      </c>
      <c r="D9" s="1177">
        <f>'A5'!G15</f>
        <v>600</v>
      </c>
      <c r="E9" s="4549" t="str">
        <f>'A5'!K15</f>
        <v>Espalda,  NO CABECEAR!!</v>
      </c>
      <c r="F9" s="1178">
        <f>'A5'!I15</f>
        <v>0</v>
      </c>
      <c r="G9" s="1178">
        <f>'A5'!J15</f>
        <v>1.7361111111111112E-4</v>
      </c>
      <c r="H9" s="4555">
        <f>'A5'!L15</f>
        <v>0.80381853438620077</v>
      </c>
      <c r="I9" s="1177">
        <f>'A5'!R15</f>
        <v>600</v>
      </c>
      <c r="K9" s="4538"/>
      <c r="L9" s="4538"/>
      <c r="M9" s="4538"/>
      <c r="N9" s="4538"/>
      <c r="P9" s="4538"/>
      <c r="Q9" s="4538"/>
      <c r="R9" s="4538"/>
      <c r="S9" s="4538"/>
      <c r="U9" s="4538"/>
      <c r="V9" s="4538"/>
      <c r="W9" s="4538"/>
      <c r="X9" s="4538"/>
    </row>
    <row r="10" spans="1:25">
      <c r="A10" s="4538"/>
      <c r="B10" s="1245">
        <f>'A5'!E16</f>
        <v>3</v>
      </c>
      <c r="C10" s="1246">
        <f>'A5'!F16</f>
        <v>1</v>
      </c>
      <c r="D10" s="1167">
        <f>'A5'!G16</f>
        <v>100</v>
      </c>
      <c r="E10" s="4550" t="str">
        <f>'A5'!K16</f>
        <v>Mariposa , Con aletas, RESP. CADA 4 (3 no ,1 si)</v>
      </c>
      <c r="F10" s="1052">
        <f>'A5'!I16</f>
        <v>1.0416666666666667E-3</v>
      </c>
      <c r="G10" s="1052">
        <f>'A5'!J16</f>
        <v>1.3888888888888889E-3</v>
      </c>
      <c r="H10" s="4556">
        <f>'A5'!L16</f>
        <v>0.8091917457380271</v>
      </c>
      <c r="I10" s="1167">
        <f>'A5'!R16</f>
        <v>300</v>
      </c>
      <c r="K10" s="4538"/>
      <c r="L10" s="4538"/>
      <c r="M10" s="4538"/>
      <c r="N10" s="4538"/>
      <c r="P10" s="4538"/>
      <c r="Q10" s="4538"/>
      <c r="R10" s="4538"/>
      <c r="S10" s="4538"/>
      <c r="U10" s="4538"/>
      <c r="V10" s="4538"/>
      <c r="W10" s="4538"/>
      <c r="X10" s="4538"/>
    </row>
    <row r="11" spans="1:25">
      <c r="A11" s="4538"/>
      <c r="B11" s="1245">
        <f>'A5'!E17</f>
        <v>3</v>
      </c>
      <c r="C11" s="1249">
        <f>'A5'!F17</f>
        <v>3</v>
      </c>
      <c r="D11" s="1249">
        <f>'A5'!G17</f>
        <v>50</v>
      </c>
      <c r="E11" s="4551" t="str">
        <f>'A5'!K17</f>
        <v xml:space="preserve">Propio </v>
      </c>
      <c r="F11" s="1250">
        <f>'A5'!I17</f>
        <v>1.1574074074074073E-4</v>
      </c>
      <c r="G11" s="1250">
        <f>'A5'!J17</f>
        <v>2.0833333333333333E-3</v>
      </c>
      <c r="H11" s="4557">
        <f>'A5'!L17</f>
        <v>0.8189631624046938</v>
      </c>
      <c r="I11" s="1249">
        <f>'A5'!R17</f>
        <v>450</v>
      </c>
      <c r="K11" s="4538"/>
      <c r="L11" s="4538"/>
      <c r="M11" s="4538"/>
      <c r="N11" s="4538"/>
      <c r="P11" s="4538"/>
      <c r="Q11" s="4538"/>
      <c r="R11" s="4538"/>
      <c r="S11" s="4538"/>
      <c r="U11" s="4538"/>
      <c r="V11" s="4538"/>
      <c r="W11" s="4538"/>
      <c r="X11" s="4538"/>
    </row>
    <row r="12" spans="1:25">
      <c r="A12" s="4538"/>
      <c r="B12" s="1245">
        <f>'A5'!E18</f>
        <v>3</v>
      </c>
      <c r="C12" s="1246">
        <f>'A5'!F18</f>
        <v>8</v>
      </c>
      <c r="D12" s="1167">
        <f>'A5'!G18</f>
        <v>25</v>
      </c>
      <c r="E12" s="4550" t="str">
        <f>'A5'!K18</f>
        <v>Propio , excepto braza, Con aletas</v>
      </c>
      <c r="F12" s="1052">
        <f>'A5'!I18</f>
        <v>3.4722222222222224E-4</v>
      </c>
      <c r="G12" s="1052">
        <f>'A5'!J18</f>
        <v>1.3888888888888889E-3</v>
      </c>
      <c r="H12" s="4556">
        <f>'A5'!L18</f>
        <v>0.83011302335869075</v>
      </c>
      <c r="I12" s="1167">
        <f>'A5'!R18</f>
        <v>600</v>
      </c>
      <c r="K12" s="4538"/>
      <c r="L12" s="4538"/>
      <c r="M12" s="4538"/>
      <c r="N12" s="4538"/>
      <c r="P12" s="4538"/>
      <c r="Q12" s="4538"/>
      <c r="R12" s="4538"/>
      <c r="S12" s="4538"/>
      <c r="U12" s="4538"/>
      <c r="V12" s="4538"/>
      <c r="W12" s="4538"/>
      <c r="X12" s="4538"/>
    </row>
    <row r="13" spans="1:25">
      <c r="A13" s="4538"/>
      <c r="B13" s="1294">
        <f>'A5'!E19</f>
        <v>3</v>
      </c>
      <c r="C13" s="1249">
        <f>'A5'!F19</f>
        <v>3</v>
      </c>
      <c r="D13" s="1249">
        <f>'A5'!G19</f>
        <v>75</v>
      </c>
      <c r="E13" s="4552" t="str">
        <f>'A5'!K19</f>
        <v>25-25-25  espalda, braza,crawll</v>
      </c>
      <c r="F13" s="1250">
        <f>'A5'!I19</f>
        <v>5.7870370370370366E-5</v>
      </c>
      <c r="G13" s="1250">
        <f>'A5'!J19</f>
        <v>2.0833333333333333E-3</v>
      </c>
      <c r="H13" s="4557">
        <f>'A5'!L19</f>
        <v>0.84707552335869074</v>
      </c>
      <c r="I13" s="1249">
        <f>'A5'!R19</f>
        <v>675</v>
      </c>
      <c r="K13" s="4538"/>
      <c r="L13" s="4538"/>
      <c r="M13" s="4538"/>
      <c r="N13" s="4538"/>
      <c r="P13" s="4538"/>
      <c r="Q13" s="4538"/>
      <c r="R13" s="4538"/>
      <c r="S13" s="4538"/>
      <c r="U13" s="4538"/>
      <c r="V13" s="4538"/>
      <c r="W13" s="4538"/>
      <c r="X13" s="4538"/>
    </row>
    <row r="14" spans="1:25">
      <c r="A14" s="4538"/>
      <c r="B14" s="1257">
        <f>'A5'!E20</f>
        <v>2</v>
      </c>
      <c r="C14" s="1187">
        <f>'A5'!F20</f>
        <v>5</v>
      </c>
      <c r="D14" s="1187">
        <f>'A5'!G20</f>
        <v>15</v>
      </c>
      <c r="E14" s="4553" t="str">
        <f>'A5'!K20</f>
        <v>Salidas fuertes (¡¡¡ Vigilar,Angulo de entrada!!!!)</v>
      </c>
      <c r="F14" s="1051">
        <f>'A5'!I20</f>
        <v>4.6296296296296293E-4</v>
      </c>
      <c r="G14" s="1188">
        <f>'A5'!J20</f>
        <v>6.9444444444444447E-4</v>
      </c>
      <c r="H14" s="1380">
        <f>'A5'!L20</f>
        <v>0.86033843707946756</v>
      </c>
      <c r="I14" s="1187">
        <f>'A5'!R20</f>
        <v>150</v>
      </c>
      <c r="K14" s="4538"/>
      <c r="L14" s="4538"/>
      <c r="M14" s="4538"/>
      <c r="N14" s="4538"/>
      <c r="P14" s="4538"/>
      <c r="Q14" s="4538"/>
      <c r="R14" s="4538"/>
      <c r="S14" s="4538"/>
      <c r="U14" s="4538"/>
      <c r="V14" s="4538"/>
      <c r="W14" s="4538"/>
      <c r="X14" s="4538"/>
    </row>
    <row r="15" spans="1:25">
      <c r="A15" s="4538"/>
      <c r="B15" s="4538"/>
      <c r="C15" s="4538"/>
      <c r="D15" s="4538"/>
      <c r="F15" s="1378">
        <f>'A5'!L21</f>
        <v>0.86731179934798608</v>
      </c>
      <c r="G15" s="4538"/>
      <c r="H15" s="4538"/>
      <c r="I15" s="4538">
        <f>SUM(I8:I14)</f>
        <v>3275</v>
      </c>
      <c r="K15" s="4538"/>
      <c r="L15" s="4538"/>
      <c r="M15" s="4538"/>
      <c r="N15" s="4538"/>
      <c r="P15" s="4538"/>
      <c r="Q15" s="4538"/>
      <c r="R15" s="4538"/>
      <c r="S15" s="4538"/>
      <c r="U15" s="4538"/>
      <c r="V15" s="4538"/>
      <c r="W15" s="4538"/>
      <c r="X15" s="4538"/>
    </row>
  </sheetData>
  <conditionalFormatting sqref="B8:D8">
    <cfRule type="cellIs" dxfId="662" priority="3" stopIfTrue="1" operator="equal">
      <formula>1</formula>
    </cfRule>
  </conditionalFormatting>
  <conditionalFormatting sqref="E8">
    <cfRule type="cellIs" dxfId="661" priority="2" stopIfTrue="1" operator="equal">
      <formula>1</formula>
    </cfRule>
  </conditionalFormatting>
  <conditionalFormatting sqref="F8:G8">
    <cfRule type="cellIs" dxfId="660" priority="1" stopIfTrue="1" operator="equal">
      <formula>1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27">
    <tabColor rgb="FF7030A0"/>
  </sheetPr>
  <dimension ref="A1:Q59"/>
  <sheetViews>
    <sheetView topLeftCell="B1" zoomScale="225" zoomScaleNormal="150" workbookViewId="0">
      <selection activeCell="I1" sqref="I1:I8"/>
    </sheetView>
  </sheetViews>
  <sheetFormatPr baseColWidth="10" defaultColWidth="10.83203125" defaultRowHeight="13"/>
  <cols>
    <col min="1" max="1" width="3.5" customWidth="1"/>
    <col min="2" max="2" width="13.5" style="49" customWidth="1"/>
    <col min="3" max="3" width="7.6640625" style="49" customWidth="1"/>
    <col min="4" max="4" width="8.5" style="49" customWidth="1"/>
    <col min="5" max="5" width="8.1640625" style="49" customWidth="1"/>
    <col min="6" max="6" width="8.6640625" style="49" customWidth="1"/>
    <col min="7" max="7" width="8.1640625" style="49" customWidth="1"/>
    <col min="8" max="9" width="8" style="55" customWidth="1"/>
    <col min="10" max="10" width="8.5" customWidth="1"/>
    <col min="11" max="11" width="9.33203125" customWidth="1"/>
    <col min="12" max="12" width="8.5" customWidth="1"/>
    <col min="13" max="13" width="9.5" customWidth="1"/>
    <col min="14" max="14" width="10.33203125" customWidth="1"/>
    <col min="15" max="15" width="2.1640625" customWidth="1"/>
    <col min="16" max="16" width="10.83203125" hidden="1" customWidth="1"/>
  </cols>
  <sheetData>
    <row r="1" spans="1:16" ht="12" customHeight="1" thickBot="1">
      <c r="A1" s="106"/>
      <c r="B1" s="81"/>
      <c r="C1" s="568" t="s">
        <v>483</v>
      </c>
      <c r="D1" s="568" t="s">
        <v>484</v>
      </c>
      <c r="E1" s="568" t="s">
        <v>485</v>
      </c>
      <c r="F1" s="568" t="s">
        <v>486</v>
      </c>
      <c r="G1" s="568" t="s">
        <v>487</v>
      </c>
      <c r="H1" s="568" t="s">
        <v>488</v>
      </c>
      <c r="I1" s="568" t="s">
        <v>2247</v>
      </c>
      <c r="J1" s="76"/>
      <c r="K1" s="6234"/>
      <c r="L1" s="6234"/>
      <c r="M1" s="6234"/>
      <c r="N1" s="6234"/>
      <c r="O1" s="6234"/>
      <c r="P1" s="6234"/>
    </row>
    <row r="2" spans="1:16" ht="10.5" customHeight="1">
      <c r="A2" s="84">
        <v>1</v>
      </c>
      <c r="B2" s="85" t="s">
        <v>339</v>
      </c>
      <c r="C2" s="6236">
        <f>Plan!B26*15*5*Plan!B18*1+1</f>
        <v>7501</v>
      </c>
      <c r="D2" s="6236">
        <f>Plan!C26*15*5*Plan!C18*1+1</f>
        <v>6751</v>
      </c>
      <c r="E2" s="6236">
        <f>Plan!D26*15*5*Plan!D18*1+1</f>
        <v>5251</v>
      </c>
      <c r="F2" s="6236">
        <f>Plan!E26*15*5*Plan!E18*1+1</f>
        <v>12001</v>
      </c>
      <c r="G2" s="6236">
        <f>Plan!F26*15*5*Plan!F18*1+1</f>
        <v>6751</v>
      </c>
      <c r="H2" s="6236">
        <f>Plan!G26*15*5*Plan!G18*1+1</f>
        <v>9001</v>
      </c>
      <c r="I2" s="6236">
        <f>Plan!H26*15*5*Plan!H18*1+1</f>
        <v>2251</v>
      </c>
      <c r="J2" s="80"/>
      <c r="K2" s="6234"/>
      <c r="L2" s="6234"/>
      <c r="M2" s="6234"/>
      <c r="N2" s="6234"/>
      <c r="O2" s="6234"/>
      <c r="P2" s="6234"/>
    </row>
    <row r="3" spans="1:16" ht="10.5" customHeight="1" thickBot="1">
      <c r="A3" s="84">
        <v>2</v>
      </c>
      <c r="B3" s="85" t="s">
        <v>340</v>
      </c>
      <c r="C3" s="6237">
        <f>Plan!B32*15*5*Plan!B18*0.8+1</f>
        <v>7501</v>
      </c>
      <c r="D3" s="6237">
        <f>Plan!C32*15*5*Plan!C18*0.8+1</f>
        <v>5401</v>
      </c>
      <c r="E3" s="6237">
        <f>Plan!D32*15*5*Plan!D18*0.8+1</f>
        <v>6301</v>
      </c>
      <c r="F3" s="6237">
        <f>Plan!E32*15*5*Plan!E18*0.8+1</f>
        <v>9601</v>
      </c>
      <c r="G3" s="6237">
        <f>Plan!F32*15*5*Plan!F18*0.8+1</f>
        <v>10801</v>
      </c>
      <c r="H3" s="6237">
        <f>Plan!G32*15*5*Plan!G18*0.8+1</f>
        <v>2401</v>
      </c>
      <c r="I3" s="6237">
        <f>Plan!H32*15*5*Plan!H18*0.8+1</f>
        <v>3601</v>
      </c>
      <c r="J3" s="80"/>
      <c r="K3" s="6234"/>
      <c r="L3" s="6234"/>
      <c r="M3" s="6234"/>
      <c r="N3" s="6234"/>
      <c r="O3" s="6234"/>
      <c r="P3" s="6234"/>
    </row>
    <row r="4" spans="1:16" ht="10.5" customHeight="1" thickBot="1">
      <c r="A4" s="84">
        <v>3</v>
      </c>
      <c r="B4" s="85" t="s">
        <v>341</v>
      </c>
      <c r="C4" s="6236">
        <f>Plan!B38*15*5*Plan!B18*0.7+1</f>
        <v>6563.5</v>
      </c>
      <c r="D4" s="6236">
        <f>Plan!C38*15*5*Plan!C18*0.7+1</f>
        <v>4726</v>
      </c>
      <c r="E4" s="6236">
        <f>Plan!D38*15*5*Plan!D18*0.7+1</f>
        <v>3675.9999999999995</v>
      </c>
      <c r="F4" s="6236">
        <f>Plan!E38*15*5*Plan!E18*0.7+1</f>
        <v>2101</v>
      </c>
      <c r="G4" s="6236">
        <f>Plan!F38*15*5*Plan!F18*0.7+1</f>
        <v>4726</v>
      </c>
      <c r="H4" s="6236">
        <f>Plan!G38*15*5*Plan!G18*0.7+1</f>
        <v>4201</v>
      </c>
      <c r="I4" s="6236">
        <f>Plan!H38*15*5*Plan!H18*0.7+1</f>
        <v>4726</v>
      </c>
      <c r="J4" s="80"/>
      <c r="K4" s="6234"/>
      <c r="L4" s="6234"/>
      <c r="M4" s="6234"/>
      <c r="N4" s="6234"/>
      <c r="O4" s="6234"/>
      <c r="P4" s="6234"/>
    </row>
    <row r="5" spans="1:16" ht="10.5" customHeight="1" thickBot="1">
      <c r="A5" s="84">
        <v>4</v>
      </c>
      <c r="B5" s="85" t="s">
        <v>342</v>
      </c>
      <c r="C5" s="6236">
        <f>Plan!B44*15*5*Plan!B15*0.6+1</f>
        <v>1</v>
      </c>
      <c r="D5" s="6236">
        <f>Plan!C44*15*5*Plan!C15*0.6+1</f>
        <v>9819.181818181818</v>
      </c>
      <c r="E5" s="6236">
        <f>Plan!D44*15*5*Plan!D15*0.6+1</f>
        <v>14319.181818181818</v>
      </c>
      <c r="F5" s="6236">
        <f>Plan!E44*15*5*Plan!E15*0.6+1</f>
        <v>6546.454545454546</v>
      </c>
      <c r="G5" s="6236">
        <f>Plan!F44*15*5*Plan!F15*0.6+1</f>
        <v>7364.6363636363631</v>
      </c>
      <c r="H5" s="6236">
        <f>Plan!G44*15*5*Plan!G15*0.6+1</f>
        <v>6546.454545454546</v>
      </c>
      <c r="I5" s="6236">
        <f>Plan!H44*15*5*Plan!H15*0.6+1</f>
        <v>4910.090909090909</v>
      </c>
      <c r="J5" s="80"/>
      <c r="K5" s="6234"/>
      <c r="L5" s="6234"/>
      <c r="M5" s="6234"/>
      <c r="N5" s="6234"/>
      <c r="O5" s="6234"/>
      <c r="P5" s="6234"/>
    </row>
    <row r="6" spans="1:16" ht="10.5" customHeight="1" thickBot="1">
      <c r="A6" s="84">
        <v>5</v>
      </c>
      <c r="B6" s="85" t="s">
        <v>202</v>
      </c>
      <c r="C6" s="6236">
        <f>Plan!B50*15*5*Plan!B15*0.5+1</f>
        <v>1</v>
      </c>
      <c r="D6" s="6236">
        <f>Plan!C50*15*5*Plan!C15*0.5+1</f>
        <v>1</v>
      </c>
      <c r="E6" s="6236">
        <f>Plan!D50*15*5*Plan!D15*0.5+1</f>
        <v>1</v>
      </c>
      <c r="F6" s="6236">
        <f>Plan!E50*15*5*Plan!E15*0.5+1</f>
        <v>1</v>
      </c>
      <c r="G6" s="6236">
        <f>Plan!F50*15*5*Plan!F15*0.5+1</f>
        <v>1</v>
      </c>
      <c r="H6" s="6236">
        <f>Plan!G50*15*5*Plan!G15*0.5+1</f>
        <v>2728.2727272727275</v>
      </c>
      <c r="I6" s="6236">
        <f>Plan!H50*15*5*Plan!H15*0.5+1</f>
        <v>4091.909090909091</v>
      </c>
      <c r="J6" s="80"/>
      <c r="K6" s="6234"/>
      <c r="L6" s="6234"/>
      <c r="M6" s="6234"/>
      <c r="N6" s="6234"/>
      <c r="O6" s="6234"/>
      <c r="P6" s="6234"/>
    </row>
    <row r="7" spans="1:16" ht="10.5" customHeight="1" thickBot="1">
      <c r="A7" s="84">
        <v>6</v>
      </c>
      <c r="B7" s="85" t="s">
        <v>203</v>
      </c>
      <c r="C7" s="6236">
        <f>Plan!B56*15*5*Plan!B15*0.4+1</f>
        <v>1</v>
      </c>
      <c r="D7" s="6236">
        <f>Plan!C56*15*5*Plan!C15*0.4+1</f>
        <v>1637.3636363636365</v>
      </c>
      <c r="E7" s="6236">
        <f>Plan!D56*15*5*Plan!D15*0.4+1</f>
        <v>3819.181818181818</v>
      </c>
      <c r="F7" s="6236">
        <f>Plan!E56*15*5*Plan!E15*0.4+1</f>
        <v>6546.4545454545469</v>
      </c>
      <c r="G7" s="6236">
        <f>Plan!F56*15*5*Plan!F15*0.4+1</f>
        <v>9819.181818181818</v>
      </c>
      <c r="H7" s="6236">
        <f>Plan!G56*15*5*Plan!G15*0.4+1</f>
        <v>10910.090909090912</v>
      </c>
      <c r="I7" s="6236">
        <f>Plan!H56*15*5*Plan!H15*0.4+1</f>
        <v>4910.0909090909099</v>
      </c>
      <c r="J7" s="80"/>
      <c r="K7" s="6234"/>
      <c r="L7" s="6234"/>
      <c r="M7" s="6234"/>
      <c r="N7" s="6234"/>
      <c r="O7" s="6234"/>
      <c r="P7" s="6234"/>
    </row>
    <row r="8" spans="1:16" ht="10.5" customHeight="1" thickBot="1">
      <c r="A8" s="84">
        <v>7</v>
      </c>
      <c r="B8" s="85" t="s">
        <v>204</v>
      </c>
      <c r="C8" s="6236">
        <f>Plan!B62*15*5*Plan!B18*0.3+1</f>
        <v>563.5</v>
      </c>
      <c r="D8" s="6236">
        <f>Plan!C62*15*5*Plan!C18*0.3+1</f>
        <v>676</v>
      </c>
      <c r="E8" s="6236">
        <f>Plan!D62*15*5*Plan!D18*0.3+1</f>
        <v>788.5</v>
      </c>
      <c r="F8" s="6236">
        <f>Plan!E62*15*5*Plan!E18*0.3+1</f>
        <v>901</v>
      </c>
      <c r="G8" s="6236">
        <f>Plan!F62*15*5*Plan!F18*0.3+1</f>
        <v>1013.5</v>
      </c>
      <c r="H8" s="6236">
        <f>Plan!G62*15*5*Plan!G18*0.3+1</f>
        <v>901</v>
      </c>
      <c r="I8" s="6236">
        <f>Plan!H62*15*5*Plan!H18*0.3+1</f>
        <v>1351</v>
      </c>
      <c r="J8" s="80"/>
      <c r="K8" s="6234"/>
      <c r="L8" s="6234"/>
      <c r="M8" s="6234"/>
      <c r="N8" s="6234"/>
      <c r="O8" s="6234"/>
      <c r="P8" s="6234"/>
    </row>
    <row r="9" spans="1:16" ht="10.5" customHeight="1" thickBot="1">
      <c r="A9" s="84">
        <v>8</v>
      </c>
      <c r="B9" s="85" t="s">
        <v>205</v>
      </c>
      <c r="C9" s="6238"/>
      <c r="D9" s="6238"/>
      <c r="E9" s="6238"/>
      <c r="F9" s="6238"/>
      <c r="G9" s="6238"/>
      <c r="H9" s="6238"/>
      <c r="I9" s="80"/>
      <c r="J9" s="80"/>
      <c r="K9" s="6234"/>
      <c r="L9" s="6234"/>
      <c r="M9" s="6234"/>
      <c r="N9" s="6234"/>
      <c r="O9" s="6234"/>
      <c r="P9" s="6234"/>
    </row>
    <row r="10" spans="1:16" ht="10.5" customHeight="1" thickBot="1">
      <c r="A10" s="84">
        <v>9</v>
      </c>
      <c r="B10" s="85" t="s">
        <v>206</v>
      </c>
      <c r="C10" s="6238"/>
      <c r="D10" s="6238"/>
      <c r="E10" s="6238"/>
      <c r="F10" s="6238"/>
      <c r="G10" s="6238"/>
      <c r="H10" s="6238"/>
      <c r="I10" s="80"/>
      <c r="J10" s="80"/>
      <c r="K10" s="6234"/>
      <c r="L10" s="6234"/>
      <c r="M10" s="6234"/>
      <c r="N10" s="6234"/>
      <c r="O10" s="6234"/>
      <c r="P10" s="6234"/>
    </row>
    <row r="11" spans="1:16" ht="10.5" customHeight="1" thickBot="1">
      <c r="A11" s="84">
        <v>10</v>
      </c>
      <c r="B11" s="85" t="s">
        <v>207</v>
      </c>
      <c r="C11" s="6238"/>
      <c r="D11" s="6238"/>
      <c r="E11" s="6238"/>
      <c r="F11" s="6238"/>
      <c r="G11" s="6238"/>
      <c r="H11" s="6238"/>
      <c r="I11" s="80"/>
      <c r="J11" s="80"/>
      <c r="K11" s="6234"/>
      <c r="L11" s="6234"/>
      <c r="M11" s="6234"/>
      <c r="N11" s="6234"/>
      <c r="O11" s="6234"/>
      <c r="P11" s="6234"/>
    </row>
    <row r="12" spans="1:16" ht="10.5" customHeight="1" thickBot="1">
      <c r="A12" s="84">
        <v>11</v>
      </c>
      <c r="B12" s="85" t="s">
        <v>208</v>
      </c>
      <c r="C12" s="6238"/>
      <c r="D12" s="6238"/>
      <c r="E12" s="6238"/>
      <c r="F12" s="6238"/>
      <c r="G12" s="6238"/>
      <c r="H12" s="6238"/>
      <c r="I12" s="80"/>
      <c r="J12" s="80"/>
      <c r="K12" s="6234"/>
      <c r="L12" s="6234"/>
      <c r="M12" s="6234"/>
      <c r="N12" s="6234"/>
      <c r="O12" s="6234"/>
      <c r="P12" s="6234"/>
    </row>
    <row r="13" spans="1:16" ht="10.5" customHeight="1">
      <c r="A13" s="84">
        <v>12</v>
      </c>
      <c r="B13" s="85" t="s">
        <v>209</v>
      </c>
      <c r="C13" s="6238"/>
      <c r="D13" s="6238"/>
      <c r="E13" s="6238"/>
      <c r="F13" s="6238"/>
      <c r="G13" s="6238"/>
      <c r="H13" s="6238"/>
      <c r="I13" s="80"/>
      <c r="J13" s="80"/>
      <c r="K13" s="6234"/>
      <c r="L13" s="6234"/>
      <c r="M13" s="6234"/>
      <c r="N13" s="6234"/>
      <c r="O13" s="6234"/>
      <c r="P13" s="6234"/>
    </row>
    <row r="14" spans="1:16" ht="12" customHeight="1">
      <c r="A14" s="84"/>
      <c r="B14" s="265" t="s">
        <v>210</v>
      </c>
      <c r="C14" s="6239">
        <f t="shared" ref="C14:H14" si="0">SUM(C2:C8)</f>
        <v>22132</v>
      </c>
      <c r="D14" s="6239">
        <f t="shared" si="0"/>
        <v>29011.545454545452</v>
      </c>
      <c r="E14" s="6239">
        <f t="shared" si="0"/>
        <v>34155.863636363632</v>
      </c>
      <c r="F14" s="6239">
        <f t="shared" si="0"/>
        <v>37697.909090909088</v>
      </c>
      <c r="G14" s="6240">
        <f t="shared" si="0"/>
        <v>40476.318181818184</v>
      </c>
      <c r="H14" s="6240">
        <f t="shared" si="0"/>
        <v>36688.818181818184</v>
      </c>
      <c r="I14" s="80"/>
      <c r="J14" s="80"/>
      <c r="K14" s="6234"/>
      <c r="L14" s="6234"/>
      <c r="M14" s="6234"/>
      <c r="N14" s="6234"/>
      <c r="O14" s="6234"/>
      <c r="P14" s="6234"/>
    </row>
    <row r="15" spans="1:16" ht="12" customHeight="1" thickBot="1">
      <c r="A15" s="86"/>
      <c r="B15" s="321" t="s">
        <v>76</v>
      </c>
      <c r="C15" s="6241">
        <f t="shared" ref="C15:H15" si="1">SUM(C9:C13)*100</f>
        <v>0</v>
      </c>
      <c r="D15" s="6241">
        <f t="shared" si="1"/>
        <v>0</v>
      </c>
      <c r="E15" s="6241">
        <f t="shared" si="1"/>
        <v>0</v>
      </c>
      <c r="F15" s="6241">
        <f t="shared" si="1"/>
        <v>0</v>
      </c>
      <c r="G15" s="6241">
        <f t="shared" si="1"/>
        <v>0</v>
      </c>
      <c r="H15" s="6241">
        <f t="shared" si="1"/>
        <v>0</v>
      </c>
      <c r="I15" s="80"/>
      <c r="J15" s="80"/>
      <c r="K15" s="6234"/>
      <c r="L15" s="6234"/>
      <c r="M15" s="6234"/>
      <c r="N15" s="6234"/>
      <c r="O15" s="6234"/>
      <c r="P15" s="6234"/>
    </row>
    <row r="16" spans="1:16" ht="9" customHeight="1">
      <c r="A16" s="78"/>
      <c r="B16" s="79"/>
      <c r="C16" s="50"/>
      <c r="D16" s="50"/>
      <c r="E16" s="50"/>
      <c r="F16" s="50"/>
      <c r="G16" s="76"/>
      <c r="H16" s="77"/>
      <c r="I16" s="77"/>
      <c r="J16" s="76"/>
      <c r="K16" s="6235"/>
      <c r="L16" s="6235"/>
      <c r="M16" s="6235"/>
      <c r="N16" s="6235"/>
      <c r="O16" s="6234"/>
      <c r="P16" s="6234"/>
    </row>
    <row r="17" spans="1:16" ht="9" customHeight="1">
      <c r="A17" s="76"/>
      <c r="B17" s="50"/>
      <c r="C17" s="52"/>
      <c r="D17" s="52"/>
      <c r="E17" s="52"/>
      <c r="F17" s="52"/>
      <c r="G17" s="52"/>
      <c r="H17" s="53"/>
      <c r="I17" s="53"/>
      <c r="J17" s="1"/>
      <c r="K17" s="6234"/>
      <c r="L17" s="6234"/>
      <c r="M17" s="6234"/>
      <c r="N17" s="6234"/>
      <c r="O17" s="6234"/>
      <c r="P17" s="6234"/>
    </row>
    <row r="18" spans="1:16" ht="9" customHeight="1">
      <c r="A18" s="1"/>
      <c r="B18" s="52"/>
      <c r="C18" s="52"/>
      <c r="D18" s="52"/>
      <c r="E18" s="52"/>
      <c r="F18" s="52"/>
      <c r="G18" s="52"/>
      <c r="H18" s="53"/>
      <c r="I18" s="53"/>
      <c r="J18" s="1"/>
      <c r="K18" s="6234"/>
      <c r="L18" s="6234"/>
      <c r="M18" s="6234"/>
      <c r="N18" s="6234"/>
      <c r="O18" s="6234"/>
      <c r="P18" s="6234"/>
    </row>
    <row r="19" spans="1:16" ht="9" customHeight="1">
      <c r="A19" s="1"/>
      <c r="B19" s="52"/>
      <c r="C19" s="52"/>
      <c r="D19" s="52"/>
      <c r="E19" s="52"/>
      <c r="F19" s="52"/>
      <c r="G19" s="52"/>
      <c r="H19" s="53"/>
      <c r="I19" s="53"/>
      <c r="J19" s="1"/>
      <c r="K19" s="6234"/>
      <c r="L19" s="6234"/>
      <c r="M19" s="6234"/>
      <c r="N19" s="6234"/>
      <c r="O19" s="6234"/>
      <c r="P19" s="6234"/>
    </row>
    <row r="20" spans="1:16" ht="9" customHeight="1">
      <c r="A20" s="1"/>
      <c r="B20" s="52"/>
      <c r="C20" s="52"/>
      <c r="D20" s="52"/>
      <c r="E20" s="52"/>
      <c r="F20" s="52"/>
      <c r="G20" s="52"/>
      <c r="H20" s="53"/>
      <c r="I20" s="53"/>
      <c r="J20" s="1"/>
      <c r="K20" s="6234"/>
      <c r="L20" s="6234"/>
      <c r="M20" s="6234"/>
      <c r="N20" s="6234"/>
      <c r="O20" s="6234"/>
      <c r="P20" s="6234"/>
    </row>
    <row r="21" spans="1:16" ht="9" customHeight="1">
      <c r="A21" s="1"/>
      <c r="B21" s="52"/>
      <c r="C21" s="52"/>
      <c r="D21" s="52"/>
      <c r="E21" s="52"/>
      <c r="F21" s="52"/>
      <c r="G21" s="52"/>
      <c r="H21" s="53"/>
      <c r="I21" s="53"/>
      <c r="J21" s="1"/>
      <c r="K21" s="6234"/>
      <c r="L21" s="6234"/>
      <c r="M21" s="6234"/>
      <c r="N21" s="6234"/>
      <c r="O21" s="6234"/>
      <c r="P21" s="6234"/>
    </row>
    <row r="22" spans="1:16" ht="9" customHeight="1">
      <c r="A22" s="1"/>
      <c r="B22" s="52"/>
      <c r="C22" s="52"/>
      <c r="D22" s="52"/>
      <c r="E22" s="52"/>
      <c r="F22" s="52"/>
      <c r="G22" s="52"/>
      <c r="H22" s="53"/>
      <c r="I22" s="53"/>
      <c r="J22" s="1"/>
      <c r="K22" s="6234"/>
      <c r="L22" s="6234"/>
      <c r="M22" s="6234"/>
      <c r="N22" s="6234"/>
      <c r="O22" s="6234"/>
      <c r="P22" s="6234"/>
    </row>
    <row r="23" spans="1:16" ht="9" customHeight="1">
      <c r="A23" s="1"/>
      <c r="B23" s="52"/>
      <c r="C23" s="52"/>
      <c r="D23" s="52"/>
      <c r="E23" s="52"/>
      <c r="F23" s="52"/>
      <c r="G23" s="52"/>
      <c r="H23" s="53"/>
      <c r="I23" s="53"/>
      <c r="J23" s="1"/>
      <c r="K23" s="6234"/>
      <c r="L23" s="6234"/>
      <c r="M23" s="6234"/>
      <c r="N23" s="6234"/>
      <c r="O23" s="6234"/>
      <c r="P23" s="6234"/>
    </row>
    <row r="24" spans="1:16" ht="9" customHeight="1">
      <c r="A24" s="1"/>
      <c r="B24" s="52"/>
      <c r="C24" s="52"/>
      <c r="D24" s="52"/>
      <c r="E24" s="52"/>
      <c r="F24" s="52"/>
      <c r="G24" s="52"/>
      <c r="H24" s="53"/>
      <c r="I24" s="53"/>
      <c r="J24" s="1"/>
      <c r="K24" s="6234"/>
      <c r="L24" s="6234"/>
      <c r="M24" s="6234"/>
      <c r="N24" s="6234"/>
      <c r="O24" s="6234"/>
      <c r="P24" s="6234"/>
    </row>
    <row r="25" spans="1:16" ht="9" customHeight="1">
      <c r="A25" s="1"/>
      <c r="B25" s="52"/>
      <c r="C25" s="52"/>
      <c r="D25" s="52"/>
      <c r="E25" s="52"/>
      <c r="F25" s="52"/>
      <c r="G25" s="52"/>
      <c r="H25" s="53"/>
      <c r="I25" s="53"/>
      <c r="J25" s="1"/>
      <c r="K25" s="6234"/>
      <c r="L25" s="6234"/>
      <c r="M25" s="6234"/>
      <c r="N25" s="6234"/>
      <c r="O25" s="6234"/>
      <c r="P25" s="6234"/>
    </row>
    <row r="26" spans="1:16" ht="9" customHeight="1">
      <c r="A26" s="1"/>
      <c r="B26" s="52"/>
      <c r="C26" s="52"/>
      <c r="D26" s="52"/>
      <c r="E26" s="52"/>
      <c r="F26" s="52"/>
      <c r="G26" s="52"/>
      <c r="H26" s="53"/>
      <c r="I26" s="53"/>
      <c r="J26" s="1"/>
      <c r="K26" s="6234"/>
      <c r="L26" s="6234"/>
      <c r="M26" s="6234"/>
      <c r="N26" s="6234"/>
      <c r="O26" s="6234"/>
      <c r="P26" s="6234"/>
    </row>
    <row r="27" spans="1:16" ht="9" customHeight="1">
      <c r="A27" s="1"/>
      <c r="B27" s="52"/>
      <c r="C27" s="52"/>
      <c r="D27" s="52"/>
      <c r="E27" s="52"/>
      <c r="F27" s="52"/>
      <c r="G27" s="52"/>
      <c r="H27" s="53"/>
      <c r="I27" s="53"/>
      <c r="J27" s="1"/>
      <c r="K27" s="6234"/>
      <c r="L27" s="6234"/>
      <c r="M27" s="6234"/>
      <c r="N27" s="6234"/>
      <c r="O27" s="6234"/>
      <c r="P27" s="6234"/>
    </row>
    <row r="28" spans="1:16" ht="9" customHeight="1">
      <c r="A28" s="1"/>
      <c r="B28" s="52"/>
      <c r="C28" s="52"/>
      <c r="D28" s="52"/>
      <c r="E28" s="52"/>
      <c r="F28" s="52"/>
      <c r="G28" s="52"/>
      <c r="H28" s="53"/>
      <c r="I28" s="53"/>
      <c r="J28" s="1"/>
      <c r="K28" s="6234"/>
      <c r="L28" s="6234"/>
      <c r="M28" s="6234"/>
      <c r="N28" s="6234"/>
      <c r="O28" s="6234"/>
      <c r="P28" s="6234"/>
    </row>
    <row r="29" spans="1:16" ht="9" customHeight="1">
      <c r="A29" s="1"/>
      <c r="B29" s="52"/>
      <c r="C29" s="52"/>
      <c r="D29" s="52"/>
      <c r="E29" s="52"/>
      <c r="F29" s="52"/>
      <c r="G29" s="52"/>
      <c r="H29" s="53"/>
      <c r="I29" s="53"/>
      <c r="J29" s="1"/>
      <c r="K29" s="6234"/>
      <c r="L29" s="6234"/>
      <c r="M29" s="6234"/>
      <c r="N29" s="6234"/>
      <c r="O29" s="6234"/>
      <c r="P29" s="6234"/>
    </row>
    <row r="30" spans="1:16" ht="9" customHeight="1">
      <c r="A30" s="1"/>
      <c r="B30" s="52"/>
      <c r="C30" s="52"/>
      <c r="D30" s="52"/>
      <c r="E30" s="52"/>
      <c r="F30" s="52"/>
      <c r="G30" s="52"/>
      <c r="H30" s="53"/>
      <c r="I30" s="53"/>
      <c r="J30" s="1"/>
      <c r="K30" s="6234"/>
      <c r="L30" s="6234"/>
      <c r="M30" s="6234"/>
      <c r="N30" s="6234"/>
      <c r="O30" s="6234"/>
      <c r="P30" s="6234"/>
    </row>
    <row r="31" spans="1:16" ht="9" customHeight="1">
      <c r="A31" s="1"/>
      <c r="B31" s="52"/>
      <c r="C31" s="52"/>
      <c r="D31" s="52"/>
      <c r="E31" s="52"/>
      <c r="F31" s="52"/>
      <c r="G31" s="52"/>
      <c r="H31" s="53"/>
      <c r="I31" s="53"/>
      <c r="J31" s="1"/>
      <c r="K31" s="6234"/>
      <c r="L31" s="6234"/>
      <c r="M31" s="6234"/>
      <c r="N31" s="6234"/>
      <c r="O31" s="6234"/>
      <c r="P31" s="6234"/>
    </row>
    <row r="32" spans="1:16" ht="9" customHeight="1">
      <c r="A32" s="1"/>
      <c r="B32" s="52"/>
      <c r="C32" s="52"/>
      <c r="D32" s="52"/>
      <c r="E32" s="52"/>
      <c r="F32" s="52"/>
      <c r="G32" s="52"/>
      <c r="H32" s="53"/>
      <c r="I32" s="53"/>
      <c r="J32" s="1"/>
      <c r="K32" s="6234"/>
      <c r="L32" s="6234"/>
      <c r="M32" s="6234"/>
      <c r="N32" s="6234"/>
      <c r="O32" s="6234"/>
      <c r="P32" s="6234"/>
    </row>
    <row r="33" spans="1:17" ht="9" customHeight="1">
      <c r="A33" s="1"/>
      <c r="B33" s="52"/>
      <c r="C33" s="52"/>
      <c r="D33" s="52"/>
      <c r="E33" s="52"/>
      <c r="F33" s="52"/>
      <c r="G33" s="52"/>
      <c r="H33" s="53"/>
      <c r="I33" s="53"/>
      <c r="J33" s="1"/>
      <c r="K33" s="6234"/>
      <c r="L33" s="6234"/>
      <c r="M33" s="6234"/>
      <c r="N33" s="6234"/>
      <c r="O33" s="6234"/>
      <c r="P33" s="6234"/>
    </row>
    <row r="34" spans="1:17" ht="9" customHeight="1">
      <c r="A34" s="1"/>
      <c r="B34" s="52"/>
      <c r="C34" s="52"/>
      <c r="D34" s="52"/>
      <c r="E34" s="52"/>
      <c r="F34" s="52"/>
      <c r="G34" s="52"/>
      <c r="H34" s="53"/>
      <c r="I34" s="53"/>
      <c r="J34" s="1"/>
      <c r="K34" s="6234"/>
      <c r="L34" s="6234"/>
      <c r="M34" s="6234"/>
      <c r="N34" s="6234"/>
      <c r="O34" s="6234"/>
      <c r="P34" s="6234"/>
    </row>
    <row r="35" spans="1:17" ht="12" customHeight="1">
      <c r="A35" s="1"/>
      <c r="B35" s="52"/>
      <c r="C35" s="52"/>
      <c r="D35" s="52"/>
      <c r="E35" s="52"/>
      <c r="F35" s="52"/>
      <c r="G35" s="52"/>
      <c r="H35" s="53"/>
      <c r="I35" s="53"/>
      <c r="J35" s="1"/>
      <c r="K35" s="6234"/>
      <c r="L35" s="6234"/>
      <c r="M35" s="6234"/>
      <c r="N35" s="6234"/>
      <c r="O35" s="6234"/>
      <c r="P35" s="6234"/>
    </row>
    <row r="36" spans="1:17">
      <c r="A36" s="1"/>
      <c r="B36" s="52"/>
      <c r="C36" s="52"/>
      <c r="D36" s="52"/>
      <c r="E36" s="52"/>
      <c r="F36" s="52"/>
      <c r="G36" s="52"/>
      <c r="H36" s="53"/>
      <c r="I36" s="53"/>
      <c r="J36" s="1"/>
      <c r="K36" s="6234"/>
      <c r="L36" s="6234"/>
      <c r="M36" s="6234"/>
      <c r="N36" s="6234"/>
      <c r="O36" s="6234"/>
      <c r="P36" s="6234"/>
    </row>
    <row r="37" spans="1:17">
      <c r="A37" s="1"/>
      <c r="B37" s="52"/>
      <c r="C37" s="52"/>
      <c r="D37" s="52"/>
      <c r="E37" s="52"/>
      <c r="F37" s="52"/>
      <c r="G37" s="52"/>
      <c r="H37" s="53"/>
      <c r="I37" s="53"/>
      <c r="J37" s="1"/>
      <c r="K37" s="6234"/>
      <c r="L37" s="6234"/>
      <c r="M37" s="6234"/>
      <c r="N37" s="6234"/>
      <c r="O37" s="6234"/>
      <c r="P37" s="6234"/>
    </row>
    <row r="38" spans="1:17">
      <c r="A38" s="1"/>
      <c r="B38" s="52"/>
      <c r="C38" s="52"/>
      <c r="D38" s="52"/>
      <c r="E38" s="52"/>
      <c r="F38" s="52"/>
      <c r="G38" s="52"/>
      <c r="H38" s="53"/>
      <c r="I38" s="53"/>
      <c r="J38" s="1"/>
      <c r="K38" s="6234"/>
      <c r="L38" s="6234"/>
      <c r="M38" s="6234"/>
      <c r="N38" s="6234"/>
      <c r="O38" s="6234"/>
      <c r="P38" s="6234"/>
    </row>
    <row r="39" spans="1:17">
      <c r="A39" s="76"/>
      <c r="B39" s="50"/>
      <c r="C39" s="50"/>
      <c r="D39" s="50"/>
      <c r="E39" s="50"/>
      <c r="F39" s="50"/>
      <c r="G39" s="50"/>
      <c r="H39" s="77"/>
      <c r="I39" s="77"/>
      <c r="J39" s="76"/>
      <c r="K39" s="6235"/>
      <c r="L39" s="6235"/>
      <c r="M39" s="6235"/>
      <c r="N39" s="6235"/>
      <c r="O39" s="6234"/>
      <c r="P39" s="6234"/>
    </row>
    <row r="40" spans="1:17">
      <c r="C40" s="54"/>
    </row>
    <row r="41" spans="1:17">
      <c r="A41" s="49"/>
      <c r="H41" s="49"/>
      <c r="I41" s="49"/>
      <c r="J41" s="49"/>
      <c r="K41" s="49"/>
      <c r="L41" s="49"/>
      <c r="M41" s="49"/>
      <c r="N41" s="49"/>
      <c r="O41" s="49"/>
      <c r="P41" s="49"/>
      <c r="Q41" s="49"/>
    </row>
    <row r="42" spans="1:17">
      <c r="A42" s="49"/>
      <c r="H42" s="49"/>
      <c r="I42" s="49"/>
      <c r="J42" s="49"/>
      <c r="K42" s="49"/>
      <c r="L42" s="49"/>
      <c r="M42" s="49"/>
      <c r="N42" s="49"/>
      <c r="O42" s="49"/>
      <c r="P42" s="49"/>
      <c r="Q42" s="49"/>
    </row>
    <row r="43" spans="1:17">
      <c r="A43" s="49"/>
      <c r="H43" s="49"/>
      <c r="I43" s="49"/>
      <c r="J43" s="49"/>
      <c r="K43" s="49"/>
      <c r="L43" s="49"/>
      <c r="M43" s="49"/>
      <c r="N43" s="49"/>
      <c r="O43" s="49"/>
      <c r="P43" s="49"/>
      <c r="Q43" s="49"/>
    </row>
    <row r="44" spans="1:17">
      <c r="A44" s="49"/>
      <c r="H44" s="49"/>
      <c r="I44" s="49"/>
      <c r="J44" s="49"/>
      <c r="K44" s="49"/>
      <c r="L44" s="49"/>
      <c r="M44" s="49"/>
      <c r="N44" s="49"/>
      <c r="O44" s="49"/>
      <c r="P44" s="49"/>
      <c r="Q44" s="49"/>
    </row>
    <row r="45" spans="1:17">
      <c r="A45" s="49"/>
      <c r="H45" s="49"/>
      <c r="I45" s="49"/>
      <c r="J45" s="49"/>
      <c r="K45" s="49"/>
      <c r="L45" s="49"/>
      <c r="M45" s="49"/>
      <c r="N45" s="49"/>
      <c r="O45" s="49"/>
      <c r="P45" s="49"/>
      <c r="Q45" s="49"/>
    </row>
    <row r="46" spans="1:17">
      <c r="A46" s="49"/>
      <c r="H46" s="49"/>
      <c r="I46" s="49"/>
      <c r="J46" s="49"/>
      <c r="K46" s="49"/>
      <c r="L46" s="49"/>
      <c r="M46" s="49"/>
      <c r="N46" s="49"/>
      <c r="O46" s="49"/>
      <c r="P46" s="49"/>
      <c r="Q46" s="49"/>
    </row>
    <row r="47" spans="1:17">
      <c r="A47" s="49"/>
      <c r="H47" s="49"/>
      <c r="I47" s="49"/>
      <c r="J47" s="49"/>
      <c r="K47" s="49"/>
      <c r="L47" s="49"/>
      <c r="M47" s="49"/>
      <c r="N47" s="49"/>
      <c r="O47" s="49"/>
      <c r="P47" s="49"/>
      <c r="Q47" s="49"/>
    </row>
    <row r="48" spans="1:17" ht="12.75" customHeight="1">
      <c r="A48" s="49"/>
      <c r="H48" s="49"/>
      <c r="I48" s="49"/>
      <c r="J48" s="49"/>
      <c r="K48" s="49"/>
      <c r="L48" s="49"/>
      <c r="M48" s="49"/>
      <c r="N48" s="49"/>
      <c r="O48" s="49"/>
      <c r="P48" s="49"/>
      <c r="Q48" s="49"/>
    </row>
    <row r="49" spans="1:17">
      <c r="A49" s="49"/>
      <c r="H49" s="49"/>
      <c r="I49" s="49"/>
      <c r="J49" s="49"/>
      <c r="K49" s="49"/>
      <c r="L49" s="49"/>
      <c r="M49" s="49"/>
      <c r="N49" s="49"/>
      <c r="O49" s="49"/>
      <c r="P49" s="49"/>
      <c r="Q49" s="49"/>
    </row>
    <row r="50" spans="1:17">
      <c r="A50" s="49"/>
      <c r="H50" s="49"/>
      <c r="I50" s="49"/>
      <c r="J50" s="49"/>
      <c r="K50" s="49"/>
      <c r="L50" s="49"/>
      <c r="M50" s="49"/>
      <c r="N50" s="49"/>
      <c r="O50" s="49"/>
      <c r="P50" s="49"/>
      <c r="Q50" s="49"/>
    </row>
    <row r="51" spans="1:17">
      <c r="A51" s="49"/>
      <c r="H51" s="49"/>
      <c r="I51" s="49"/>
      <c r="J51" s="49"/>
      <c r="K51" s="49"/>
      <c r="L51" s="49"/>
      <c r="M51" s="49"/>
      <c r="N51" s="49"/>
      <c r="O51" s="49"/>
      <c r="P51" s="49"/>
      <c r="Q51" s="49"/>
    </row>
    <row r="52" spans="1:17">
      <c r="A52" s="49"/>
      <c r="H52" s="49"/>
      <c r="I52" s="49"/>
      <c r="J52" s="49"/>
      <c r="K52" s="49"/>
      <c r="L52" s="49"/>
      <c r="M52" s="49"/>
      <c r="N52" s="49"/>
      <c r="O52" s="49"/>
      <c r="P52" s="49"/>
      <c r="Q52" s="49"/>
    </row>
    <row r="53" spans="1:17">
      <c r="A53" s="49"/>
      <c r="H53" s="49"/>
      <c r="I53" s="49"/>
      <c r="J53" s="49"/>
      <c r="K53" s="49"/>
      <c r="L53" s="49"/>
      <c r="M53" s="49"/>
      <c r="N53" s="49"/>
      <c r="O53" s="49"/>
      <c r="P53" s="49"/>
      <c r="Q53" s="49"/>
    </row>
    <row r="54" spans="1:17">
      <c r="A54" s="49"/>
      <c r="H54" s="49"/>
      <c r="I54" s="49"/>
      <c r="J54" s="49"/>
      <c r="K54" s="49"/>
      <c r="L54" s="49"/>
      <c r="M54" s="49"/>
      <c r="N54" s="49"/>
      <c r="O54" s="49"/>
      <c r="P54" s="49"/>
      <c r="Q54" s="49"/>
    </row>
    <row r="55" spans="1:17">
      <c r="A55" s="49"/>
      <c r="H55" s="49"/>
      <c r="I55" s="49"/>
      <c r="J55" s="49"/>
      <c r="K55" s="49"/>
      <c r="L55" s="49"/>
      <c r="M55" s="49"/>
      <c r="N55" s="49"/>
      <c r="O55" s="49"/>
      <c r="P55" s="49"/>
      <c r="Q55" s="49"/>
    </row>
    <row r="56" spans="1:17">
      <c r="A56" s="49"/>
      <c r="H56" s="49"/>
      <c r="I56" s="49"/>
      <c r="J56" s="49"/>
      <c r="K56" s="49"/>
      <c r="L56" s="49"/>
      <c r="M56" s="49"/>
      <c r="N56" s="49"/>
      <c r="O56" s="49"/>
      <c r="P56" s="49"/>
      <c r="Q56" s="49"/>
    </row>
    <row r="57" spans="1:17">
      <c r="A57" s="49"/>
      <c r="H57" s="49"/>
      <c r="I57" s="49"/>
      <c r="J57" s="49"/>
      <c r="K57" s="49"/>
      <c r="L57" s="49"/>
      <c r="M57" s="49"/>
      <c r="N57" s="49"/>
      <c r="O57" s="49"/>
      <c r="P57" s="49"/>
      <c r="Q57" s="49"/>
    </row>
    <row r="58" spans="1:17">
      <c r="A58" s="49"/>
      <c r="H58" s="49"/>
      <c r="I58" s="49"/>
      <c r="J58" s="49"/>
      <c r="K58" s="49"/>
      <c r="L58" s="49"/>
      <c r="M58" s="49"/>
      <c r="N58" s="49"/>
      <c r="O58" s="49"/>
      <c r="P58" s="49"/>
      <c r="Q58" s="49"/>
    </row>
    <row r="59" spans="1:17">
      <c r="A59" s="49"/>
      <c r="H59" s="49"/>
      <c r="I59" s="49"/>
      <c r="J59" s="49"/>
      <c r="K59" s="49"/>
      <c r="L59" s="49"/>
      <c r="M59" s="49"/>
      <c r="N59" s="49"/>
      <c r="O59" s="49"/>
      <c r="P59" s="49"/>
      <c r="Q59" s="49"/>
    </row>
  </sheetData>
  <phoneticPr fontId="21" type="noConversion"/>
  <pageMargins left="0.75" right="0.75" top="1" bottom="1" header="0" footer="0"/>
  <pageSetup paperSize="9" orientation="landscape" horizontalDpi="0" verticalDpi="0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5BEC-2A2F-A044-9278-1B0E548DC744}">
  <dimension ref="A1:R42"/>
  <sheetViews>
    <sheetView zoomScale="150" workbookViewId="0">
      <selection activeCell="K45" sqref="K45"/>
    </sheetView>
  </sheetViews>
  <sheetFormatPr baseColWidth="10" defaultColWidth="10.83203125" defaultRowHeight="13"/>
  <cols>
    <col min="1" max="1" width="2.5" customWidth="1"/>
    <col min="2" max="2" width="3.5" customWidth="1"/>
    <col min="3" max="3" width="13.5" style="49" customWidth="1"/>
    <col min="4" max="4" width="7.6640625" style="49" customWidth="1"/>
    <col min="5" max="5" width="8.5" style="49" customWidth="1"/>
    <col min="6" max="6" width="8.1640625" style="49" customWidth="1"/>
    <col min="7" max="7" width="8.6640625" style="49" customWidth="1"/>
    <col min="8" max="8" width="8.1640625" style="49" customWidth="1"/>
    <col min="9" max="10" width="8" customWidth="1"/>
    <col min="11" max="11" width="8.5" customWidth="1"/>
    <col min="12" max="12" width="9.33203125" customWidth="1"/>
    <col min="13" max="13" width="8.5" customWidth="1"/>
    <col min="14" max="14" width="9.5" customWidth="1"/>
    <col min="15" max="15" width="10.33203125" customWidth="1"/>
    <col min="16" max="16" width="2.1640625" customWidth="1"/>
    <col min="17" max="17" width="10.83203125" hidden="1" customWidth="1"/>
    <col min="18" max="18" width="3.1640625" customWidth="1"/>
  </cols>
  <sheetData>
    <row r="1" spans="1:18" ht="14" thickBot="1">
      <c r="A1" s="2186"/>
      <c r="B1" s="6345"/>
      <c r="C1" s="6346"/>
      <c r="D1" s="568" t="s">
        <v>2247</v>
      </c>
      <c r="E1" s="568" t="s">
        <v>2248</v>
      </c>
      <c r="F1" s="568" t="s">
        <v>180</v>
      </c>
      <c r="G1" s="568" t="s">
        <v>181</v>
      </c>
      <c r="H1" s="568"/>
      <c r="I1" s="568"/>
      <c r="J1" s="568"/>
      <c r="K1" s="76"/>
      <c r="L1" s="6234"/>
      <c r="M1" s="6234"/>
      <c r="N1" s="6234"/>
      <c r="O1" s="6234"/>
      <c r="P1" s="6234"/>
      <c r="Q1" s="6234"/>
      <c r="R1" s="2186"/>
    </row>
    <row r="2" spans="1:18" ht="10.5" customHeight="1">
      <c r="A2" s="2186"/>
      <c r="B2" s="84">
        <v>1</v>
      </c>
      <c r="C2" s="6347" t="s">
        <v>339</v>
      </c>
      <c r="D2" s="6236">
        <f>Plan!C26*15*5*Plan!C18*1+1</f>
        <v>6751</v>
      </c>
      <c r="E2" s="6348">
        <v>2251</v>
      </c>
      <c r="F2" s="6348">
        <v>2251</v>
      </c>
      <c r="G2" s="6348">
        <v>2251</v>
      </c>
      <c r="H2" s="6348"/>
      <c r="I2" s="6348"/>
      <c r="J2" s="6348"/>
      <c r="K2" s="80"/>
      <c r="L2" s="6234"/>
      <c r="M2" s="6234"/>
      <c r="N2" s="6234"/>
      <c r="O2" s="6234"/>
      <c r="P2" s="6234"/>
      <c r="Q2" s="6234"/>
      <c r="R2" s="2186"/>
    </row>
    <row r="3" spans="1:18" ht="14" thickBot="1">
      <c r="A3" s="2186"/>
      <c r="B3" s="84">
        <v>2</v>
      </c>
      <c r="C3" s="6347" t="s">
        <v>340</v>
      </c>
      <c r="D3" s="6237">
        <f>Plan!C32*15*5*Plan!C18*0.8+1</f>
        <v>5401</v>
      </c>
      <c r="E3" s="6237">
        <v>3601</v>
      </c>
      <c r="F3" s="6237">
        <v>3601</v>
      </c>
      <c r="G3" s="6237">
        <v>3601</v>
      </c>
      <c r="H3" s="6237"/>
      <c r="I3" s="6237"/>
      <c r="J3" s="6237"/>
      <c r="K3" s="80"/>
      <c r="L3" s="6234"/>
      <c r="M3" s="6234"/>
      <c r="N3" s="6234"/>
      <c r="O3" s="6234"/>
      <c r="P3" s="6234"/>
      <c r="Q3" s="6234"/>
      <c r="R3" s="2186"/>
    </row>
    <row r="4" spans="1:18" ht="14" thickBot="1">
      <c r="A4" s="2186"/>
      <c r="B4" s="84">
        <v>3</v>
      </c>
      <c r="C4" s="6347" t="s">
        <v>341</v>
      </c>
      <c r="D4" s="6236">
        <f>Plan!C38*15*5*Plan!C18*0.7+1</f>
        <v>4726</v>
      </c>
      <c r="E4" s="6348">
        <v>4726</v>
      </c>
      <c r="F4" s="6348">
        <v>4726</v>
      </c>
      <c r="G4" s="6348">
        <v>4726</v>
      </c>
      <c r="H4" s="6348"/>
      <c r="I4" s="6348"/>
      <c r="J4" s="6348"/>
      <c r="K4" s="80"/>
      <c r="L4" s="6234"/>
      <c r="M4" s="6234"/>
      <c r="N4" s="6234"/>
      <c r="O4" s="6234"/>
      <c r="P4" s="6234"/>
      <c r="Q4" s="6234"/>
      <c r="R4" s="2186"/>
    </row>
    <row r="5" spans="1:18" ht="14" thickBot="1">
      <c r="A5" s="2186"/>
      <c r="B5" s="84">
        <v>4</v>
      </c>
      <c r="C5" s="6347" t="s">
        <v>342</v>
      </c>
      <c r="D5" s="6236">
        <f>Plan!C44*15*5*Plan!C15*0.6+1</f>
        <v>9819.181818181818</v>
      </c>
      <c r="E5" s="6348">
        <v>4910.090909090909</v>
      </c>
      <c r="F5" s="6348">
        <v>4910.090909090909</v>
      </c>
      <c r="G5" s="6348">
        <v>4910.090909090909</v>
      </c>
      <c r="H5" s="6348"/>
      <c r="I5" s="6348"/>
      <c r="J5" s="6348"/>
      <c r="K5" s="80"/>
      <c r="L5" s="6234"/>
      <c r="M5" s="6234"/>
      <c r="N5" s="6234"/>
      <c r="O5" s="6234"/>
      <c r="P5" s="6234"/>
      <c r="Q5" s="6234"/>
      <c r="R5" s="2186"/>
    </row>
    <row r="6" spans="1:18" ht="14" thickBot="1">
      <c r="A6" s="2186"/>
      <c r="B6" s="84">
        <v>5</v>
      </c>
      <c r="C6" s="6347" t="s">
        <v>202</v>
      </c>
      <c r="D6" s="6236">
        <f>Plan!C50*15*5*Plan!C15*0.5+1</f>
        <v>1</v>
      </c>
      <c r="E6" s="6348">
        <v>4091.909090909091</v>
      </c>
      <c r="F6" s="6348">
        <v>4091.909090909091</v>
      </c>
      <c r="G6" s="6348">
        <v>4091.909090909091</v>
      </c>
      <c r="H6" s="6348"/>
      <c r="I6" s="6348"/>
      <c r="J6" s="6348"/>
      <c r="K6" s="80"/>
      <c r="L6" s="6234"/>
      <c r="M6" s="6234"/>
      <c r="N6" s="6234"/>
      <c r="O6" s="6234"/>
      <c r="P6" s="6234"/>
      <c r="Q6" s="6234"/>
      <c r="R6" s="2186"/>
    </row>
    <row r="7" spans="1:18" ht="14" thickBot="1">
      <c r="A7" s="2186"/>
      <c r="B7" s="84">
        <v>6</v>
      </c>
      <c r="C7" s="6347" t="s">
        <v>203</v>
      </c>
      <c r="D7" s="6236">
        <f>Plan!C56*15*5*Plan!C15*0.4+1</f>
        <v>1637.3636363636365</v>
      </c>
      <c r="E7" s="6348">
        <v>4910.0909090909099</v>
      </c>
      <c r="F7" s="6348">
        <v>4910.0909090909099</v>
      </c>
      <c r="G7" s="6348">
        <v>4910.0909090909099</v>
      </c>
      <c r="H7" s="6348"/>
      <c r="I7" s="6348"/>
      <c r="J7" s="6348"/>
      <c r="K7" s="80"/>
      <c r="L7" s="6234"/>
      <c r="M7" s="6234"/>
      <c r="N7" s="6234"/>
      <c r="O7" s="6234"/>
      <c r="P7" s="6234"/>
      <c r="Q7" s="6234"/>
      <c r="R7" s="2186"/>
    </row>
    <row r="8" spans="1:18" ht="14" thickBot="1">
      <c r="A8" s="2186"/>
      <c r="B8" s="84">
        <v>7</v>
      </c>
      <c r="C8" s="6347" t="s">
        <v>204</v>
      </c>
      <c r="D8" s="6236">
        <f>Plan!C62*15*5*Plan!C18*0.3+1</f>
        <v>676</v>
      </c>
      <c r="E8" s="6348">
        <v>1351</v>
      </c>
      <c r="F8" s="6348">
        <v>1351</v>
      </c>
      <c r="G8" s="6348">
        <v>1351</v>
      </c>
      <c r="H8" s="6348"/>
      <c r="I8" s="6348"/>
      <c r="J8" s="6348"/>
      <c r="K8" s="80"/>
      <c r="L8" s="6234"/>
      <c r="M8" s="6234"/>
      <c r="N8" s="6234"/>
      <c r="O8" s="6234"/>
      <c r="P8" s="6234"/>
      <c r="Q8" s="6234"/>
      <c r="R8" s="2186"/>
    </row>
    <row r="9" spans="1:18" ht="14" thickBot="1">
      <c r="A9" s="2186"/>
      <c r="B9" s="84">
        <v>8</v>
      </c>
      <c r="C9" s="6347" t="s">
        <v>205</v>
      </c>
      <c r="D9" s="6349"/>
      <c r="E9" s="6349"/>
      <c r="F9" s="6349"/>
      <c r="G9" s="6349"/>
      <c r="H9" s="6349"/>
      <c r="I9" s="6349"/>
      <c r="J9" s="80"/>
      <c r="K9" s="80"/>
      <c r="L9" s="6234"/>
      <c r="M9" s="6234"/>
      <c r="N9" s="6234"/>
      <c r="O9" s="6234"/>
      <c r="P9" s="6234"/>
      <c r="Q9" s="6234"/>
      <c r="R9" s="2186"/>
    </row>
    <row r="10" spans="1:18" ht="14" thickBot="1">
      <c r="A10" s="2186"/>
      <c r="B10" s="84">
        <v>9</v>
      </c>
      <c r="C10" s="6347" t="s">
        <v>206</v>
      </c>
      <c r="D10" s="6349"/>
      <c r="E10" s="6349"/>
      <c r="F10" s="6349"/>
      <c r="G10" s="6349"/>
      <c r="H10" s="6349"/>
      <c r="I10" s="6349"/>
      <c r="J10" s="80"/>
      <c r="K10" s="80"/>
      <c r="L10" s="6234"/>
      <c r="M10" s="6234"/>
      <c r="N10" s="6234"/>
      <c r="O10" s="6234"/>
      <c r="P10" s="6234"/>
      <c r="Q10" s="6234"/>
      <c r="R10" s="2186"/>
    </row>
    <row r="11" spans="1:18" ht="14" thickBot="1">
      <c r="A11" s="2186"/>
      <c r="B11" s="84">
        <v>10</v>
      </c>
      <c r="C11" s="6347" t="s">
        <v>207</v>
      </c>
      <c r="D11" s="6349"/>
      <c r="E11" s="6349"/>
      <c r="F11" s="6349"/>
      <c r="G11" s="6349"/>
      <c r="H11" s="6349"/>
      <c r="I11" s="6349"/>
      <c r="J11" s="80"/>
      <c r="K11" s="80"/>
      <c r="L11" s="6234"/>
      <c r="M11" s="6234"/>
      <c r="N11" s="6234"/>
      <c r="O11" s="6234"/>
      <c r="P11" s="6234"/>
      <c r="Q11" s="6234"/>
      <c r="R11" s="2186"/>
    </row>
    <row r="12" spans="1:18" ht="14" thickBot="1">
      <c r="A12" s="2186"/>
      <c r="B12" s="84">
        <v>11</v>
      </c>
      <c r="C12" s="6347" t="s">
        <v>208</v>
      </c>
      <c r="D12" s="6349"/>
      <c r="E12" s="6349"/>
      <c r="F12" s="6349"/>
      <c r="G12" s="6349"/>
      <c r="H12" s="6349"/>
      <c r="I12" s="6349"/>
      <c r="J12" s="80"/>
      <c r="K12" s="80"/>
      <c r="L12" s="6234"/>
      <c r="M12" s="6234"/>
      <c r="N12" s="6234"/>
      <c r="O12" s="6234"/>
      <c r="P12" s="6234"/>
      <c r="Q12" s="6234"/>
      <c r="R12" s="2186"/>
    </row>
    <row r="13" spans="1:18" ht="10.5" customHeight="1">
      <c r="A13" s="2186"/>
      <c r="B13" s="84">
        <v>12</v>
      </c>
      <c r="C13" s="6347" t="s">
        <v>209</v>
      </c>
      <c r="D13" s="6349"/>
      <c r="E13" s="6349"/>
      <c r="F13" s="6349"/>
      <c r="G13" s="6349"/>
      <c r="H13" s="6349"/>
      <c r="I13" s="6349"/>
      <c r="J13" s="80"/>
      <c r="K13" s="80"/>
      <c r="L13" s="6234"/>
      <c r="M13" s="6234"/>
      <c r="N13" s="6234"/>
      <c r="O13" s="6234"/>
      <c r="P13" s="6234"/>
      <c r="Q13" s="6234"/>
      <c r="R13" s="2186"/>
    </row>
    <row r="14" spans="1:18" ht="12" customHeight="1">
      <c r="A14" s="2186"/>
      <c r="B14" s="84"/>
      <c r="C14" s="6350" t="s">
        <v>210</v>
      </c>
      <c r="D14" s="6239">
        <f t="shared" ref="D14:I14" si="0">SUM(D2:D8)</f>
        <v>29011.545454545452</v>
      </c>
      <c r="E14" s="6239">
        <f t="shared" si="0"/>
        <v>25841.090909090912</v>
      </c>
      <c r="F14" s="6239">
        <f t="shared" si="0"/>
        <v>25841.090909090912</v>
      </c>
      <c r="G14" s="6239">
        <f t="shared" si="0"/>
        <v>25841.090909090912</v>
      </c>
      <c r="H14" s="6240">
        <f t="shared" si="0"/>
        <v>0</v>
      </c>
      <c r="I14" s="6240">
        <f t="shared" si="0"/>
        <v>0</v>
      </c>
      <c r="J14" s="80"/>
      <c r="K14" s="80"/>
      <c r="L14" s="6234"/>
      <c r="M14" s="6234"/>
      <c r="N14" s="6234"/>
      <c r="O14" s="6234"/>
      <c r="P14" s="6234"/>
      <c r="Q14" s="6234"/>
      <c r="R14" s="2186"/>
    </row>
    <row r="15" spans="1:18" ht="14" thickBot="1">
      <c r="A15" s="2186"/>
      <c r="B15" s="6351"/>
      <c r="C15" s="321" t="s">
        <v>76</v>
      </c>
      <c r="D15" s="6241">
        <f t="shared" ref="D15:I15" si="1">SUM(D9:D13)*100</f>
        <v>0</v>
      </c>
      <c r="E15" s="6241">
        <f t="shared" si="1"/>
        <v>0</v>
      </c>
      <c r="F15" s="6241">
        <f t="shared" si="1"/>
        <v>0</v>
      </c>
      <c r="G15" s="6241">
        <f t="shared" si="1"/>
        <v>0</v>
      </c>
      <c r="H15" s="6241">
        <f t="shared" si="1"/>
        <v>0</v>
      </c>
      <c r="I15" s="6241">
        <f t="shared" si="1"/>
        <v>0</v>
      </c>
      <c r="J15" s="80"/>
      <c r="K15" s="80"/>
      <c r="L15" s="6234"/>
      <c r="M15" s="6234"/>
      <c r="N15" s="6234"/>
      <c r="O15" s="6234"/>
      <c r="P15" s="6234"/>
      <c r="Q15" s="6234"/>
      <c r="R15" s="2186"/>
    </row>
    <row r="16" spans="1:18" ht="9" customHeight="1">
      <c r="A16" s="2186"/>
      <c r="B16" s="78"/>
      <c r="C16" s="79"/>
      <c r="D16" s="50"/>
      <c r="E16" s="50"/>
      <c r="F16" s="50"/>
      <c r="G16" s="50"/>
      <c r="H16" s="76"/>
      <c r="I16" s="76"/>
      <c r="J16" s="76"/>
      <c r="K16" s="76"/>
      <c r="L16" s="6235"/>
      <c r="M16" s="6235"/>
      <c r="N16" s="6235"/>
      <c r="O16" s="6235"/>
      <c r="P16" s="6234"/>
      <c r="Q16" s="6234"/>
      <c r="R16" s="2186"/>
    </row>
    <row r="17" spans="1:18" ht="9" customHeight="1">
      <c r="A17" s="2186"/>
      <c r="B17" s="76"/>
      <c r="C17" s="50"/>
      <c r="D17" s="52"/>
      <c r="E17" s="52"/>
      <c r="F17" s="52"/>
      <c r="G17" s="52"/>
      <c r="H17" s="52"/>
      <c r="I17" s="1"/>
      <c r="J17" s="1"/>
      <c r="K17" s="1"/>
      <c r="L17" s="6234"/>
      <c r="M17" s="6234"/>
      <c r="N17" s="6234"/>
      <c r="O17" s="6234"/>
      <c r="P17" s="6234"/>
      <c r="Q17" s="6234"/>
      <c r="R17" s="2186"/>
    </row>
    <row r="18" spans="1:18" ht="9" customHeight="1">
      <c r="A18" s="2186"/>
      <c r="B18" s="1"/>
      <c r="C18" s="52"/>
      <c r="D18" s="52"/>
      <c r="E18" s="52"/>
      <c r="F18" s="52"/>
      <c r="G18" s="52"/>
      <c r="H18" s="52"/>
      <c r="I18" s="1"/>
      <c r="J18" s="1"/>
      <c r="K18" s="1"/>
      <c r="L18" s="6234"/>
      <c r="M18" s="6234"/>
      <c r="N18" s="6234"/>
      <c r="O18" s="6234"/>
      <c r="P18" s="6234"/>
      <c r="Q18" s="6234"/>
      <c r="R18" s="2186"/>
    </row>
    <row r="19" spans="1:18" ht="9" customHeight="1">
      <c r="A19" s="2186"/>
      <c r="B19" s="1"/>
      <c r="C19" s="52"/>
      <c r="D19" s="52"/>
      <c r="E19" s="52"/>
      <c r="F19" s="52"/>
      <c r="G19" s="52"/>
      <c r="H19" s="52"/>
      <c r="I19" s="1"/>
      <c r="J19" s="1"/>
      <c r="K19" s="1"/>
      <c r="L19" s="6234"/>
      <c r="M19" s="6234"/>
      <c r="N19" s="6234"/>
      <c r="O19" s="6234"/>
      <c r="P19" s="6234"/>
      <c r="Q19" s="6234"/>
      <c r="R19" s="2186"/>
    </row>
    <row r="20" spans="1:18" ht="9" customHeight="1">
      <c r="A20" s="2186"/>
      <c r="B20" s="1"/>
      <c r="C20" s="52"/>
      <c r="D20" s="52"/>
      <c r="E20" s="52"/>
      <c r="F20" s="52"/>
      <c r="G20" s="52"/>
      <c r="H20" s="52"/>
      <c r="I20" s="1"/>
      <c r="J20" s="1"/>
      <c r="K20" s="1"/>
      <c r="L20" s="6234"/>
      <c r="M20" s="6234"/>
      <c r="N20" s="6234"/>
      <c r="O20" s="6234"/>
      <c r="P20" s="6234"/>
      <c r="Q20" s="6234"/>
      <c r="R20" s="2186"/>
    </row>
    <row r="21" spans="1:18" ht="9" customHeight="1">
      <c r="A21" s="2186"/>
      <c r="B21" s="1"/>
      <c r="C21" s="52"/>
      <c r="D21" s="52"/>
      <c r="E21" s="52"/>
      <c r="F21" s="52"/>
      <c r="G21" s="52"/>
      <c r="H21" s="52"/>
      <c r="I21" s="1"/>
      <c r="J21" s="1"/>
      <c r="K21" s="1"/>
      <c r="L21" s="6234"/>
      <c r="M21" s="6234"/>
      <c r="N21" s="6234"/>
      <c r="O21" s="6234"/>
      <c r="P21" s="6234"/>
      <c r="Q21" s="6234"/>
      <c r="R21" s="2186"/>
    </row>
    <row r="22" spans="1:18" ht="9" customHeight="1">
      <c r="A22" s="2186"/>
      <c r="B22" s="1"/>
      <c r="C22" s="52"/>
      <c r="D22" s="52"/>
      <c r="E22" s="52"/>
      <c r="F22" s="52"/>
      <c r="G22" s="52"/>
      <c r="H22" s="52"/>
      <c r="I22" s="1"/>
      <c r="J22" s="1"/>
      <c r="K22" s="1"/>
      <c r="L22" s="6234"/>
      <c r="M22" s="6234"/>
      <c r="N22" s="6234"/>
      <c r="O22" s="6234"/>
      <c r="P22" s="6234"/>
      <c r="Q22" s="6234"/>
      <c r="R22" s="2186"/>
    </row>
    <row r="23" spans="1:18" ht="9" customHeight="1">
      <c r="A23" s="2186"/>
      <c r="B23" s="1"/>
      <c r="C23" s="52"/>
      <c r="D23" s="52"/>
      <c r="E23" s="52"/>
      <c r="F23" s="52"/>
      <c r="G23" s="52"/>
      <c r="H23" s="52"/>
      <c r="I23" s="1"/>
      <c r="J23" s="1"/>
      <c r="K23" s="1"/>
      <c r="L23" s="6234"/>
      <c r="M23" s="6234"/>
      <c r="N23" s="6234"/>
      <c r="O23" s="6234"/>
      <c r="P23" s="6234"/>
      <c r="Q23" s="6234"/>
      <c r="R23" s="2186"/>
    </row>
    <row r="24" spans="1:18" ht="9" customHeight="1">
      <c r="A24" s="2186"/>
      <c r="B24" s="1"/>
      <c r="C24" s="52"/>
      <c r="D24" s="52"/>
      <c r="E24" s="52"/>
      <c r="F24" s="52"/>
      <c r="G24" s="52"/>
      <c r="H24" s="52"/>
      <c r="I24" s="1"/>
      <c r="J24" s="1"/>
      <c r="K24" s="1"/>
      <c r="L24" s="6234"/>
      <c r="M24" s="6234"/>
      <c r="N24" s="6234"/>
      <c r="O24" s="6234"/>
      <c r="P24" s="6234"/>
      <c r="Q24" s="6234"/>
      <c r="R24" s="2186"/>
    </row>
    <row r="25" spans="1:18" ht="9" customHeight="1">
      <c r="A25" s="2186"/>
      <c r="B25" s="1"/>
      <c r="C25" s="52"/>
      <c r="D25" s="52"/>
      <c r="E25" s="52"/>
      <c r="F25" s="52"/>
      <c r="G25" s="52"/>
      <c r="H25" s="52"/>
      <c r="I25" s="1"/>
      <c r="J25" s="1"/>
      <c r="K25" s="1"/>
      <c r="L25" s="6234"/>
      <c r="M25" s="6234"/>
      <c r="N25" s="6234"/>
      <c r="O25" s="6234"/>
      <c r="P25" s="6234"/>
      <c r="Q25" s="6234"/>
      <c r="R25" s="2186"/>
    </row>
    <row r="26" spans="1:18" ht="9" customHeight="1">
      <c r="A26" s="2186"/>
      <c r="B26" s="1"/>
      <c r="C26" s="52"/>
      <c r="D26" s="52"/>
      <c r="E26" s="52"/>
      <c r="F26" s="52"/>
      <c r="G26" s="52"/>
      <c r="H26" s="52"/>
      <c r="I26" s="1"/>
      <c r="J26" s="1"/>
      <c r="K26" s="1"/>
      <c r="L26" s="6234"/>
      <c r="M26" s="6234"/>
      <c r="N26" s="6234"/>
      <c r="O26" s="6234"/>
      <c r="P26" s="6234"/>
      <c r="Q26" s="6234"/>
      <c r="R26" s="2186"/>
    </row>
    <row r="27" spans="1:18" ht="9" customHeight="1">
      <c r="A27" s="2186"/>
      <c r="B27" s="1"/>
      <c r="C27" s="52"/>
      <c r="D27" s="52"/>
      <c r="E27" s="52"/>
      <c r="F27" s="52"/>
      <c r="G27" s="52"/>
      <c r="H27" s="52"/>
      <c r="I27" s="1"/>
      <c r="J27" s="1"/>
      <c r="K27" s="1"/>
      <c r="L27" s="6234"/>
      <c r="M27" s="6234"/>
      <c r="N27" s="6234"/>
      <c r="O27" s="6234"/>
      <c r="P27" s="6234"/>
      <c r="Q27" s="6234"/>
      <c r="R27" s="2186"/>
    </row>
    <row r="28" spans="1:18" ht="9" customHeight="1">
      <c r="A28" s="2186"/>
      <c r="B28" s="1"/>
      <c r="C28" s="52"/>
      <c r="D28" s="52"/>
      <c r="E28" s="52"/>
      <c r="F28" s="52"/>
      <c r="G28" s="52"/>
      <c r="H28" s="52"/>
      <c r="I28" s="1"/>
      <c r="J28" s="1"/>
      <c r="K28" s="1"/>
      <c r="L28" s="6234"/>
      <c r="M28" s="6234"/>
      <c r="N28" s="6234"/>
      <c r="O28" s="6234"/>
      <c r="P28" s="6234"/>
      <c r="Q28" s="6234"/>
      <c r="R28" s="2186"/>
    </row>
    <row r="29" spans="1:18" ht="9" customHeight="1">
      <c r="A29" s="2186"/>
      <c r="B29" s="1"/>
      <c r="C29" s="52"/>
      <c r="D29" s="52"/>
      <c r="E29" s="52"/>
      <c r="F29" s="52"/>
      <c r="G29" s="52"/>
      <c r="H29" s="52"/>
      <c r="I29" s="1"/>
      <c r="J29" s="1"/>
      <c r="K29" s="1"/>
      <c r="L29" s="6234"/>
      <c r="M29" s="6234"/>
      <c r="N29" s="6234"/>
      <c r="O29" s="6234"/>
      <c r="P29" s="6234"/>
      <c r="Q29" s="6234"/>
      <c r="R29" s="2186"/>
    </row>
    <row r="30" spans="1:18" ht="9" customHeight="1">
      <c r="A30" s="2186"/>
      <c r="B30" s="1"/>
      <c r="C30" s="52"/>
      <c r="D30" s="52"/>
      <c r="E30" s="52"/>
      <c r="F30" s="52"/>
      <c r="G30" s="52"/>
      <c r="H30" s="52"/>
      <c r="I30" s="1"/>
      <c r="J30" s="1"/>
      <c r="K30" s="1"/>
      <c r="L30" s="6234"/>
      <c r="M30" s="6234"/>
      <c r="N30" s="6234"/>
      <c r="O30" s="6234"/>
      <c r="P30" s="6234"/>
      <c r="Q30" s="6234"/>
      <c r="R30" s="2186"/>
    </row>
    <row r="31" spans="1:18" ht="9" customHeight="1">
      <c r="A31" s="2186"/>
      <c r="B31" s="1"/>
      <c r="C31" s="52"/>
      <c r="D31" s="52"/>
      <c r="E31" s="52"/>
      <c r="F31" s="52"/>
      <c r="G31" s="52"/>
      <c r="H31" s="52"/>
      <c r="I31" s="1"/>
      <c r="J31" s="1"/>
      <c r="K31" s="1"/>
      <c r="L31" s="6234"/>
      <c r="M31" s="6234"/>
      <c r="N31" s="6234"/>
      <c r="O31" s="6234"/>
      <c r="P31" s="6234"/>
      <c r="Q31" s="6234"/>
      <c r="R31" s="2186"/>
    </row>
    <row r="32" spans="1:18" ht="9" customHeight="1">
      <c r="A32" s="2186"/>
      <c r="B32" s="1"/>
      <c r="C32" s="52"/>
      <c r="D32" s="52"/>
      <c r="E32" s="52"/>
      <c r="F32" s="52"/>
      <c r="G32" s="52"/>
      <c r="H32" s="52"/>
      <c r="I32" s="1"/>
      <c r="J32" s="1"/>
      <c r="K32" s="1"/>
      <c r="L32" s="6234"/>
      <c r="M32" s="6234"/>
      <c r="N32" s="6234"/>
      <c r="O32" s="6234"/>
      <c r="P32" s="6234"/>
      <c r="Q32" s="6234"/>
      <c r="R32" s="2186"/>
    </row>
    <row r="33" spans="1:18" ht="9" customHeight="1">
      <c r="A33" s="2186"/>
      <c r="B33" s="1"/>
      <c r="C33" s="52"/>
      <c r="D33" s="52"/>
      <c r="E33" s="52"/>
      <c r="F33" s="52"/>
      <c r="G33" s="52"/>
      <c r="H33" s="52"/>
      <c r="I33" s="1"/>
      <c r="J33" s="1"/>
      <c r="K33" s="1"/>
      <c r="L33" s="6234"/>
      <c r="M33" s="6234"/>
      <c r="N33" s="6234"/>
      <c r="O33" s="6234"/>
      <c r="P33" s="6234"/>
      <c r="Q33" s="6234"/>
      <c r="R33" s="2186"/>
    </row>
    <row r="34" spans="1:18" ht="9" customHeight="1">
      <c r="A34" s="2186"/>
      <c r="B34" s="1"/>
      <c r="C34" s="52"/>
      <c r="D34" s="52"/>
      <c r="E34" s="52"/>
      <c r="F34" s="52"/>
      <c r="G34" s="52"/>
      <c r="H34" s="52"/>
      <c r="I34" s="1"/>
      <c r="J34" s="1"/>
      <c r="K34" s="1"/>
      <c r="L34" s="6234"/>
      <c r="M34" s="6234"/>
      <c r="N34" s="6234"/>
      <c r="O34" s="6234"/>
      <c r="P34" s="6234"/>
      <c r="Q34" s="6234"/>
      <c r="R34" s="2186"/>
    </row>
    <row r="35" spans="1:18" ht="12" customHeight="1">
      <c r="A35" s="2186"/>
      <c r="B35" s="1"/>
      <c r="C35" s="52"/>
      <c r="D35" s="52"/>
      <c r="E35" s="52"/>
      <c r="F35" s="52"/>
      <c r="G35" s="52"/>
      <c r="H35" s="52"/>
      <c r="I35" s="1"/>
      <c r="J35" s="1"/>
      <c r="K35" s="1"/>
      <c r="L35" s="6234"/>
      <c r="M35" s="6234"/>
      <c r="N35" s="6234"/>
      <c r="O35" s="6234"/>
      <c r="P35" s="6234"/>
      <c r="Q35" s="6234"/>
      <c r="R35" s="2186"/>
    </row>
    <row r="36" spans="1:18">
      <c r="A36" s="2186"/>
      <c r="B36" s="1"/>
      <c r="C36" s="52"/>
      <c r="D36" s="52"/>
      <c r="E36" s="52"/>
      <c r="F36" s="52"/>
      <c r="G36" s="52"/>
      <c r="H36" s="52"/>
      <c r="I36" s="1"/>
      <c r="J36" s="1"/>
      <c r="K36" s="1"/>
      <c r="L36" s="6234"/>
      <c r="M36" s="6234"/>
      <c r="N36" s="6234"/>
      <c r="O36" s="6234"/>
      <c r="P36" s="6234"/>
      <c r="Q36" s="6234"/>
      <c r="R36" s="2186"/>
    </row>
    <row r="37" spans="1:18">
      <c r="A37" s="2186"/>
      <c r="B37" s="1"/>
      <c r="C37" s="52"/>
      <c r="D37" s="52"/>
      <c r="E37" s="52"/>
      <c r="F37" s="52"/>
      <c r="G37" s="52"/>
      <c r="H37" s="52"/>
      <c r="I37" s="1"/>
      <c r="J37" s="1"/>
      <c r="K37" s="1"/>
      <c r="L37" s="6234"/>
      <c r="M37" s="6234"/>
      <c r="N37" s="6234"/>
      <c r="O37" s="6234"/>
      <c r="P37" s="6234"/>
      <c r="Q37" s="6234"/>
      <c r="R37" s="2186"/>
    </row>
    <row r="38" spans="1:18">
      <c r="A38" s="2186"/>
      <c r="B38" s="1"/>
      <c r="C38" s="52"/>
      <c r="D38" s="52"/>
      <c r="E38" s="52"/>
      <c r="F38" s="52"/>
      <c r="G38" s="52"/>
      <c r="H38" s="52"/>
      <c r="I38" s="1"/>
      <c r="J38" s="1"/>
      <c r="K38" s="1"/>
      <c r="L38" s="6234"/>
      <c r="M38" s="6234"/>
      <c r="N38" s="6234"/>
      <c r="O38" s="6234"/>
      <c r="P38" s="6234"/>
      <c r="Q38" s="6234"/>
      <c r="R38" s="2186"/>
    </row>
    <row r="39" spans="1:18">
      <c r="A39" s="2186"/>
      <c r="B39" s="76"/>
      <c r="C39" s="50"/>
      <c r="D39" s="50"/>
      <c r="E39" s="50"/>
      <c r="F39" s="50"/>
      <c r="G39" s="50"/>
      <c r="H39" s="50"/>
      <c r="I39" s="76"/>
      <c r="J39" s="76"/>
      <c r="K39" s="76"/>
      <c r="L39" s="6235"/>
      <c r="M39" s="6235"/>
      <c r="N39" s="6235"/>
      <c r="O39" s="6235"/>
      <c r="P39" s="6234"/>
      <c r="Q39" s="6234"/>
      <c r="R39" s="2186"/>
    </row>
    <row r="40" spans="1:18">
      <c r="B40" s="49"/>
      <c r="I40" s="49"/>
      <c r="J40" s="49"/>
      <c r="K40" s="49"/>
      <c r="L40" s="49"/>
      <c r="M40" s="49"/>
      <c r="N40" s="49"/>
      <c r="O40" s="49"/>
      <c r="P40" s="49"/>
      <c r="Q40" s="49"/>
      <c r="R40" s="49"/>
    </row>
    <row r="41" spans="1:18">
      <c r="B41" s="49"/>
      <c r="I41" s="49"/>
      <c r="J41" s="49"/>
      <c r="K41" s="49"/>
      <c r="L41" s="49"/>
      <c r="M41" s="49"/>
      <c r="N41" s="49"/>
      <c r="O41" s="49"/>
      <c r="P41" s="49"/>
      <c r="Q41" s="49"/>
      <c r="R41" s="49"/>
    </row>
    <row r="42" spans="1:18">
      <c r="B42" s="49"/>
      <c r="I42" s="49"/>
      <c r="J42" s="49"/>
      <c r="K42" s="49"/>
      <c r="L42" s="49"/>
      <c r="M42" s="49"/>
      <c r="N42" s="49"/>
      <c r="O42" s="49"/>
      <c r="P42" s="49"/>
      <c r="Q42" s="49"/>
      <c r="R42" s="49"/>
    </row>
  </sheetData>
  <phoneticPr fontId="19" type="noConversion"/>
  <pageMargins left="0.7" right="0.7" top="0.75" bottom="0.75" header="0.3" footer="0.3"/>
  <pageSetup paperSize="9" orientation="landscape" horizontalDpi="0" verticalDpi="0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7">
    <pageSetUpPr fitToPage="1"/>
  </sheetPr>
  <dimension ref="A1:AO246"/>
  <sheetViews>
    <sheetView topLeftCell="A17" zoomScale="150" zoomScaleNormal="150" zoomScalePageLayoutView="179" workbookViewId="0">
      <selection activeCell="K37" sqref="K37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6640625" style="204" customWidth="1"/>
    <col min="4" max="4" width="1" style="902" customWidth="1"/>
    <col min="5" max="5" width="2.6640625" style="204" customWidth="1"/>
    <col min="6" max="6" width="3.33203125" style="207" customWidth="1"/>
    <col min="7" max="7" width="5.6640625" style="208" customWidth="1"/>
    <col min="8" max="10" width="7.33203125" style="208" customWidth="1"/>
    <col min="11" max="11" width="33.83203125" style="208" customWidth="1"/>
    <col min="12" max="12" width="7.83203125" style="988" customWidth="1"/>
    <col min="13" max="13" width="1.33203125" style="449" customWidth="1"/>
    <col min="14" max="14" width="9.1640625" style="207" customWidth="1"/>
    <col min="15" max="15" width="1" style="208" customWidth="1"/>
    <col min="16" max="16" width="9.5" style="208" customWidth="1"/>
    <col min="17" max="17" width="7.33203125" style="1099" customWidth="1"/>
    <col min="18" max="18" width="7.6640625" style="1099" customWidth="1"/>
    <col min="19" max="19" width="1.33203125" style="210" customWidth="1"/>
    <col min="20" max="20" width="0.33203125" style="210" customWidth="1"/>
    <col min="21" max="21" width="6" style="1098" customWidth="1"/>
    <col min="22" max="22" width="5.6640625" style="1098" customWidth="1"/>
    <col min="23" max="23" width="6.33203125" style="1098" customWidth="1"/>
    <col min="24" max="24" width="5.33203125" style="1098" customWidth="1"/>
    <col min="25" max="25" width="6" style="1098" customWidth="1"/>
    <col min="26" max="27" width="5.33203125" style="1098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19.25" customHeight="1">
      <c r="A1" s="203" t="s">
        <v>344</v>
      </c>
      <c r="B1" s="204"/>
      <c r="C1" s="1126"/>
      <c r="D1" s="1127"/>
      <c r="E1" s="1128"/>
      <c r="V1" s="212"/>
      <c r="AI1" s="213"/>
      <c r="AJ1" s="213"/>
      <c r="AK1" s="213"/>
      <c r="AL1" s="213"/>
      <c r="AM1" s="213"/>
    </row>
    <row r="2" spans="1:40" ht="14.25" customHeight="1" thickBot="1">
      <c r="F2" s="527"/>
      <c r="G2" s="155"/>
      <c r="H2" s="155"/>
      <c r="I2" s="155"/>
      <c r="J2" s="217"/>
      <c r="K2" s="583">
        <v>45215</v>
      </c>
      <c r="L2" s="989"/>
      <c r="U2" s="218" t="s">
        <v>345</v>
      </c>
      <c r="AI2" s="213"/>
      <c r="AJ2" s="213"/>
      <c r="AK2" s="213"/>
      <c r="AL2" s="213"/>
      <c r="AM2" s="213"/>
    </row>
    <row r="3" spans="1:40" s="223" customFormat="1" ht="59" customHeight="1" thickTop="1" thickBot="1">
      <c r="A3" s="351" t="s">
        <v>346</v>
      </c>
      <c r="B3" s="352" t="s">
        <v>347</v>
      </c>
      <c r="C3" s="353" t="s">
        <v>348</v>
      </c>
      <c r="D3" s="903"/>
      <c r="E3" s="4570" t="s">
        <v>349</v>
      </c>
      <c r="F3" s="4404" t="s">
        <v>350</v>
      </c>
      <c r="G3" s="4570" t="s">
        <v>351</v>
      </c>
      <c r="H3" s="4570" t="s">
        <v>624</v>
      </c>
      <c r="I3" s="4570" t="s">
        <v>352</v>
      </c>
      <c r="J3" s="4404" t="s">
        <v>353</v>
      </c>
      <c r="K3" s="4570" t="s">
        <v>354</v>
      </c>
      <c r="L3" s="4570"/>
      <c r="M3" s="4571" t="s">
        <v>355</v>
      </c>
      <c r="N3" s="4570" t="s">
        <v>445</v>
      </c>
      <c r="O3" s="353" t="s">
        <v>446</v>
      </c>
      <c r="P3" s="1916" t="s">
        <v>1968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1109" customFormat="1" ht="9.75" customHeight="1" thickBot="1">
      <c r="A4" s="911"/>
      <c r="B4" s="912"/>
      <c r="C4" s="913"/>
      <c r="D4" s="4566"/>
      <c r="E4" s="7873" t="s">
        <v>2420</v>
      </c>
      <c r="F4" s="7874"/>
      <c r="G4" s="7874"/>
      <c r="H4" s="7874"/>
      <c r="I4" s="7874"/>
      <c r="J4" s="7874"/>
      <c r="K4" s="7874"/>
      <c r="L4" s="7874"/>
      <c r="M4" s="7874"/>
      <c r="N4" s="7875"/>
      <c r="O4" s="4568"/>
      <c r="P4" s="913"/>
      <c r="Q4" s="917"/>
      <c r="R4" s="918"/>
      <c r="S4" s="1107"/>
      <c r="T4" s="1107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0" s="1109" customFormat="1" ht="7" customHeight="1" thickTop="1">
      <c r="A5" s="621"/>
      <c r="B5" s="622"/>
      <c r="C5" s="623"/>
      <c r="D5" s="4567"/>
      <c r="E5" s="7876"/>
      <c r="F5" s="7877"/>
      <c r="G5" s="7877"/>
      <c r="H5" s="7877"/>
      <c r="I5" s="7877"/>
      <c r="J5" s="7877"/>
      <c r="K5" s="7877"/>
      <c r="L5" s="7877"/>
      <c r="M5" s="7877"/>
      <c r="N5" s="7878"/>
      <c r="O5" s="4569"/>
      <c r="P5" s="623"/>
      <c r="Q5" s="623"/>
      <c r="R5" s="627"/>
      <c r="S5" s="1115"/>
      <c r="T5" s="1115"/>
      <c r="U5" s="1108">
        <f>U4/4</f>
        <v>2.2880964381720439E-4</v>
      </c>
      <c r="V5" s="1108">
        <f t="shared" ref="V5:AA5" si="0">V4/4</f>
        <v>2.1908757716049393E-4</v>
      </c>
      <c r="W5" s="1108">
        <f t="shared" si="0"/>
        <v>2.1222190799396687E-4</v>
      </c>
      <c r="X5" s="1108">
        <f t="shared" si="0"/>
        <v>2.0247664488766629E-4</v>
      </c>
      <c r="Y5" s="1108">
        <f t="shared" si="0"/>
        <v>1.8933937422552669E-4</v>
      </c>
      <c r="Z5" s="1108">
        <f t="shared" si="0"/>
        <v>1.8229166666666673E-4</v>
      </c>
      <c r="AA5" s="1108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s="1109" customFormat="1" ht="12.75" customHeight="1">
      <c r="A6" s="397"/>
      <c r="B6" s="1124" t="s">
        <v>461</v>
      </c>
      <c r="C6" s="274">
        <f t="shared" ref="C6:C7" si="1">IF(D6=1,U$5,IF(D6=2,V$5,IF(D6=3,W$5,IF(D6=4,X$5,IF(D6=5,Y$5,IF(D6=6,Z$5,IF(D6=7,AA$5,0)))))))</f>
        <v>2.1908757716049393E-4</v>
      </c>
      <c r="D6" s="890">
        <v>2</v>
      </c>
      <c r="E6" s="300">
        <v>1</v>
      </c>
      <c r="F6" s="300">
        <v>8</v>
      </c>
      <c r="G6" s="300">
        <v>25</v>
      </c>
      <c r="H6" s="300"/>
      <c r="I6" s="301">
        <v>1.3888888888888889E-4</v>
      </c>
      <c r="J6" s="301">
        <v>1.3888888888888889E-3</v>
      </c>
      <c r="K6" s="1123" t="s">
        <v>894</v>
      </c>
      <c r="L6" s="1008">
        <v>0.79861111111111116</v>
      </c>
      <c r="M6" s="455">
        <v>1.2</v>
      </c>
      <c r="N6" s="301">
        <f>P6*E6*F6+I6*E6*F6+J6*E6</f>
        <v>4.6032407407407419E-3</v>
      </c>
      <c r="O6" s="302">
        <f t="shared" ref="O6:O7" si="2">C6*(G6/25)</f>
        <v>2.1908757716049393E-4</v>
      </c>
      <c r="P6" s="302">
        <f t="shared" ref="P6:P7" si="3">O6*M6</f>
        <v>2.6290509259259268E-4</v>
      </c>
      <c r="Q6" s="550">
        <v>146</v>
      </c>
      <c r="R6" s="369">
        <f t="shared" ref="R6:R7" si="4">E6*F6*G6</f>
        <v>200</v>
      </c>
      <c r="S6" s="1118">
        <f t="shared" ref="S6" si="5">E6*F6*G6/1000</f>
        <v>0.2</v>
      </c>
      <c r="T6" s="1119">
        <f t="shared" ref="T6" si="6">E6*F6*O6*4</f>
        <v>7.0108024691358057E-3</v>
      </c>
      <c r="U6" s="374">
        <f t="shared" ref="U6" si="7">IF(C6*4&gt;=$U$4,S6,0)</f>
        <v>0</v>
      </c>
      <c r="V6" s="1120">
        <f t="shared" ref="V6" si="8">IF(AND(C6*4&gt;=$V$4,C6*4&lt;$U$4),S6,0)</f>
        <v>0.2</v>
      </c>
      <c r="W6" s="376">
        <f t="shared" ref="W6" si="9">IF(AND(C6*4&gt;=$W$4,C6*4&lt;$V$4),S6,0)</f>
        <v>0</v>
      </c>
      <c r="X6" s="377">
        <f t="shared" ref="X6" si="10">IF(AND(C6*4&gt;=$X$4,C6*4&lt;$W$4),S6,0)</f>
        <v>0</v>
      </c>
      <c r="Y6" s="378">
        <f t="shared" ref="Y6" si="11">IF(AND(C6*4&gt;=$Y$4,C6*4&lt;$X$4),S6,0)</f>
        <v>0</v>
      </c>
      <c r="Z6" s="1121">
        <f t="shared" ref="Z6" si="12">IF(AND(C6*4&gt;=$Z$4,C6*4&lt;$Y$4),S6,0)</f>
        <v>0</v>
      </c>
      <c r="AA6" s="1122">
        <f t="shared" ref="AA6" si="13">IF(AND(C6*4&gt;=$AA$4,C6*4&lt;$Z$4),S6,0)</f>
        <v>0</v>
      </c>
      <c r="AB6" s="225"/>
      <c r="AC6" s="231"/>
      <c r="AD6" s="231"/>
      <c r="AE6" s="231"/>
      <c r="AF6" s="231"/>
      <c r="AG6" s="231"/>
      <c r="AH6" s="231"/>
      <c r="AI6" s="225"/>
      <c r="AJ6" s="225"/>
      <c r="AK6" s="225"/>
      <c r="AL6" s="225"/>
      <c r="AM6" s="225"/>
      <c r="AN6" s="225"/>
    </row>
    <row r="7" spans="1:40" s="1109" customFormat="1" ht="14" customHeight="1">
      <c r="A7" s="851" t="s">
        <v>215</v>
      </c>
      <c r="B7" s="1124" t="s">
        <v>461</v>
      </c>
      <c r="C7" s="274">
        <f t="shared" si="1"/>
        <v>1.7682291666666674E-4</v>
      </c>
      <c r="D7" s="1054">
        <v>7</v>
      </c>
      <c r="E7" s="1043">
        <v>1</v>
      </c>
      <c r="F7" s="1043">
        <v>20</v>
      </c>
      <c r="G7" s="1043">
        <v>20</v>
      </c>
      <c r="H7" s="1043"/>
      <c r="I7" s="1044">
        <v>3.4722222222222224E-4</v>
      </c>
      <c r="J7" s="1044">
        <v>0</v>
      </c>
      <c r="K7" s="1323" t="s">
        <v>1050</v>
      </c>
      <c r="L7" s="1007">
        <f t="shared" ref="L7" si="14">L6+N6</f>
        <v>0.80321435185185186</v>
      </c>
      <c r="M7" s="1063">
        <v>1.05</v>
      </c>
      <c r="N7" s="1044">
        <f>P7*E7*F7+I7*E7*F7+J7*E7</f>
        <v>9.9150694444444451E-3</v>
      </c>
      <c r="O7" s="439">
        <f t="shared" si="2"/>
        <v>1.4145833333333339E-4</v>
      </c>
      <c r="P7" s="587">
        <f t="shared" si="3"/>
        <v>1.4853125000000006E-4</v>
      </c>
      <c r="Q7" s="446" t="s">
        <v>316</v>
      </c>
      <c r="R7" s="1045">
        <f t="shared" si="4"/>
        <v>400</v>
      </c>
      <c r="S7" s="1118">
        <f t="shared" ref="S7:S44" si="15">E7*F7*G7/1000</f>
        <v>0.4</v>
      </c>
      <c r="T7" s="1119">
        <f t="shared" ref="T7:T44" si="16">E7*F7*O7*4</f>
        <v>1.1316666666666671E-2</v>
      </c>
      <c r="U7" s="374">
        <f t="shared" ref="U7:U44" si="17">IF(C7*4&gt;=$U$4,S7,0)</f>
        <v>0</v>
      </c>
      <c r="V7" s="1120">
        <f t="shared" ref="V7:V44" si="18">IF(AND(C7*4&gt;=$V$4,C7*4&lt;$U$4),S7,0)</f>
        <v>0</v>
      </c>
      <c r="W7" s="376">
        <f t="shared" ref="W7:W44" si="19">IF(AND(C7*4&gt;=$W$4,C7*4&lt;$V$4),S7,0)</f>
        <v>0</v>
      </c>
      <c r="X7" s="377">
        <f t="shared" ref="X7:X44" si="20">IF(AND(C7*4&gt;=$X$4,C7*4&lt;$W$4),S7,0)</f>
        <v>0</v>
      </c>
      <c r="Y7" s="378">
        <f t="shared" ref="Y7:Y44" si="21">IF(AND(C7*4&gt;=$Y$4,C7*4&lt;$X$4),S7,0)</f>
        <v>0</v>
      </c>
      <c r="Z7" s="1121">
        <f t="shared" ref="Z7:Z44" si="22">IF(AND(C7*4&gt;=$Z$4,C7*4&lt;$Y$4),S7,0)</f>
        <v>0</v>
      </c>
      <c r="AA7" s="1122">
        <f t="shared" ref="AA7:AA44" si="23">IF(AND(C7*4&gt;=$AA$4,C7*4&lt;$Z$4),S7,0)</f>
        <v>0.4</v>
      </c>
      <c r="AB7" s="225"/>
      <c r="AC7" s="231"/>
      <c r="AD7" s="231"/>
      <c r="AE7" s="231"/>
      <c r="AF7" s="231"/>
      <c r="AG7" s="231"/>
      <c r="AH7" s="231"/>
      <c r="AI7" s="225"/>
      <c r="AJ7" s="225"/>
      <c r="AK7" s="225"/>
      <c r="AL7" s="225"/>
      <c r="AM7" s="225"/>
      <c r="AN7" s="225"/>
    </row>
    <row r="8" spans="1:40" s="1109" customFormat="1" ht="14" customHeight="1">
      <c r="A8" s="397" t="s">
        <v>138</v>
      </c>
      <c r="B8" s="1124" t="s">
        <v>461</v>
      </c>
      <c r="C8" s="274">
        <f t="shared" ref="C8:C13" si="24">IF(D8=1,U$5,IF(D8=2,V$5,IF(D8=3,W$5,IF(D8=4,X$5,IF(D8=5,Y$5,IF(D8=6,Z$5,IF(D8=7,AA$5,0)))))))</f>
        <v>1.8229166666666673E-4</v>
      </c>
      <c r="D8" s="895">
        <v>6</v>
      </c>
      <c r="E8" s="365">
        <v>1</v>
      </c>
      <c r="F8" s="365">
        <v>8</v>
      </c>
      <c r="G8" s="365">
        <v>80</v>
      </c>
      <c r="H8" s="365"/>
      <c r="I8" s="366">
        <v>1.3888888888888889E-3</v>
      </c>
      <c r="J8" s="366">
        <v>0</v>
      </c>
      <c r="K8" s="1065" t="s">
        <v>1055</v>
      </c>
      <c r="L8" s="366">
        <f>L7+N7</f>
        <v>0.81312942129629628</v>
      </c>
      <c r="M8" s="456">
        <v>1.1399999999999999</v>
      </c>
      <c r="N8" s="366">
        <f t="shared" ref="N8" si="25">P8*E8*F8+I8*E8*F8+J8*E8</f>
        <v>1.6643911111111114E-2</v>
      </c>
      <c r="O8" s="368">
        <f>C8*(G8/25)*1.04</f>
        <v>6.0666666666666692E-4</v>
      </c>
      <c r="P8" s="1915">
        <f t="shared" ref="P8:P13" si="26">O8*M8</f>
        <v>6.9160000000000022E-4</v>
      </c>
      <c r="Q8" s="787">
        <v>177</v>
      </c>
      <c r="R8" s="365">
        <f t="shared" ref="R8:R10" si="27">E8*F8*G8</f>
        <v>640</v>
      </c>
      <c r="S8" s="1118">
        <f t="shared" si="15"/>
        <v>0.64</v>
      </c>
      <c r="T8" s="1119">
        <f t="shared" si="16"/>
        <v>1.9413333333333341E-2</v>
      </c>
      <c r="U8" s="374">
        <f t="shared" si="17"/>
        <v>0</v>
      </c>
      <c r="V8" s="1120">
        <f t="shared" si="18"/>
        <v>0</v>
      </c>
      <c r="W8" s="376">
        <f t="shared" si="19"/>
        <v>0</v>
      </c>
      <c r="X8" s="377">
        <f t="shared" si="20"/>
        <v>0</v>
      </c>
      <c r="Y8" s="378">
        <f t="shared" si="21"/>
        <v>0</v>
      </c>
      <c r="Z8" s="1121">
        <f t="shared" si="22"/>
        <v>0.64</v>
      </c>
      <c r="AA8" s="1122">
        <f t="shared" si="23"/>
        <v>0</v>
      </c>
      <c r="AB8" s="225"/>
      <c r="AC8" s="231"/>
      <c r="AD8" s="231"/>
      <c r="AE8" s="231"/>
      <c r="AF8" s="231"/>
      <c r="AG8" s="231"/>
      <c r="AH8" s="231"/>
      <c r="AI8" s="225"/>
      <c r="AJ8" s="225"/>
      <c r="AK8" s="225"/>
      <c r="AL8" s="225"/>
      <c r="AM8" s="225"/>
      <c r="AN8" s="225"/>
    </row>
    <row r="9" spans="1:40" s="1109" customFormat="1" ht="12.75" customHeight="1">
      <c r="A9" s="397" t="s">
        <v>462</v>
      </c>
      <c r="B9" s="1124" t="s">
        <v>461</v>
      </c>
      <c r="C9" s="274">
        <f t="shared" si="24"/>
        <v>2.1908757716049393E-4</v>
      </c>
      <c r="D9" s="890">
        <v>2</v>
      </c>
      <c r="E9" s="300">
        <v>1</v>
      </c>
      <c r="F9" s="300">
        <v>8</v>
      </c>
      <c r="G9" s="300">
        <v>20</v>
      </c>
      <c r="H9" s="300"/>
      <c r="I9" s="301">
        <v>1.3888888888888889E-4</v>
      </c>
      <c r="J9" s="301">
        <v>1.3888888888888889E-3</v>
      </c>
      <c r="K9" s="1123" t="s">
        <v>1052</v>
      </c>
      <c r="L9" s="994">
        <f t="shared" ref="L9:L14" si="28">L8+N8</f>
        <v>0.82977333240740736</v>
      </c>
      <c r="M9" s="455">
        <v>1.2</v>
      </c>
      <c r="N9" s="301">
        <f>P9*E9*F9+I9*E9*F9+J9*E9</f>
        <v>4.1825925925925937E-3</v>
      </c>
      <c r="O9" s="302">
        <f t="shared" ref="O9" si="29">C9*(G9/25)</f>
        <v>1.7527006172839515E-4</v>
      </c>
      <c r="P9" s="302">
        <f t="shared" si="26"/>
        <v>2.1032407407407417E-4</v>
      </c>
      <c r="Q9" s="550">
        <v>146</v>
      </c>
      <c r="R9" s="369">
        <f t="shared" si="27"/>
        <v>160</v>
      </c>
      <c r="S9" s="1118">
        <f t="shared" si="15"/>
        <v>0.16</v>
      </c>
      <c r="T9" s="1119">
        <f t="shared" si="16"/>
        <v>5.6086419753086448E-3</v>
      </c>
      <c r="U9" s="374">
        <f t="shared" si="17"/>
        <v>0</v>
      </c>
      <c r="V9" s="1120">
        <f t="shared" si="18"/>
        <v>0.16</v>
      </c>
      <c r="W9" s="376">
        <f t="shared" si="19"/>
        <v>0</v>
      </c>
      <c r="X9" s="377">
        <f t="shared" si="20"/>
        <v>0</v>
      </c>
      <c r="Y9" s="378">
        <f t="shared" si="21"/>
        <v>0</v>
      </c>
      <c r="Z9" s="1121">
        <f t="shared" si="22"/>
        <v>0</v>
      </c>
      <c r="AA9" s="1122">
        <f t="shared" si="23"/>
        <v>0</v>
      </c>
      <c r="AB9" s="225"/>
      <c r="AC9" s="231"/>
      <c r="AD9" s="231"/>
      <c r="AE9" s="231"/>
      <c r="AF9" s="231"/>
      <c r="AG9" s="231"/>
      <c r="AH9" s="231"/>
      <c r="AI9" s="225"/>
      <c r="AJ9" s="225"/>
      <c r="AK9" s="225"/>
      <c r="AL9" s="225"/>
      <c r="AM9" s="225"/>
      <c r="AN9" s="225"/>
    </row>
    <row r="10" spans="1:40" s="1109" customFormat="1" ht="14" customHeight="1">
      <c r="A10" s="397" t="s">
        <v>461</v>
      </c>
      <c r="B10" s="1124" t="s">
        <v>461</v>
      </c>
      <c r="C10" s="274">
        <f t="shared" si="24"/>
        <v>1.8229166666666673E-4</v>
      </c>
      <c r="D10" s="895">
        <v>6</v>
      </c>
      <c r="E10" s="365">
        <v>1</v>
      </c>
      <c r="F10" s="365">
        <v>18</v>
      </c>
      <c r="G10" s="365">
        <v>20</v>
      </c>
      <c r="H10" s="365"/>
      <c r="I10" s="366">
        <v>3.4722222222222224E-4</v>
      </c>
      <c r="J10" s="366">
        <v>0</v>
      </c>
      <c r="K10" s="1065" t="s">
        <v>1056</v>
      </c>
      <c r="L10" s="366">
        <f t="shared" si="28"/>
        <v>0.83395592499999993</v>
      </c>
      <c r="M10" s="456">
        <v>1.05</v>
      </c>
      <c r="N10" s="366">
        <f t="shared" ref="N10:N11" si="30">P10*E10*F10+I10*E10*F10+J10*E10</f>
        <v>9.0062500000000021E-3</v>
      </c>
      <c r="O10" s="368">
        <f>C10*(G10/25)</f>
        <v>1.458333333333334E-4</v>
      </c>
      <c r="P10" s="1915">
        <f t="shared" si="26"/>
        <v>1.5312500000000008E-4</v>
      </c>
      <c r="Q10" s="787">
        <v>177</v>
      </c>
      <c r="R10" s="365">
        <f t="shared" si="27"/>
        <v>360</v>
      </c>
      <c r="S10" s="1118">
        <f t="shared" si="15"/>
        <v>0.36</v>
      </c>
      <c r="T10" s="1119">
        <f t="shared" si="16"/>
        <v>1.0500000000000004E-2</v>
      </c>
      <c r="U10" s="374">
        <f t="shared" si="17"/>
        <v>0</v>
      </c>
      <c r="V10" s="1120">
        <f t="shared" si="18"/>
        <v>0</v>
      </c>
      <c r="W10" s="376">
        <f t="shared" si="19"/>
        <v>0</v>
      </c>
      <c r="X10" s="377">
        <f t="shared" si="20"/>
        <v>0</v>
      </c>
      <c r="Y10" s="378">
        <f t="shared" si="21"/>
        <v>0</v>
      </c>
      <c r="Z10" s="1121">
        <f t="shared" si="22"/>
        <v>0.36</v>
      </c>
      <c r="AA10" s="1122">
        <f t="shared" si="23"/>
        <v>0</v>
      </c>
      <c r="AB10" s="225"/>
      <c r="AC10" s="231"/>
      <c r="AD10" s="231"/>
      <c r="AE10" s="231"/>
      <c r="AF10" s="231"/>
      <c r="AG10" s="231"/>
      <c r="AH10" s="231"/>
      <c r="AI10" s="225"/>
      <c r="AJ10" s="225"/>
      <c r="AK10" s="225"/>
      <c r="AL10" s="225"/>
      <c r="AM10" s="225"/>
      <c r="AN10" s="225"/>
    </row>
    <row r="11" spans="1:40" s="1109" customFormat="1" ht="16.25" customHeight="1">
      <c r="A11" s="397" t="s">
        <v>458</v>
      </c>
      <c r="B11" s="1124" t="s">
        <v>461</v>
      </c>
      <c r="C11" s="274">
        <f t="shared" si="24"/>
        <v>2.0247664488766629E-4</v>
      </c>
      <c r="D11" s="892">
        <v>4</v>
      </c>
      <c r="E11" s="303">
        <v>1</v>
      </c>
      <c r="F11" s="303">
        <v>6</v>
      </c>
      <c r="G11" s="303">
        <v>40</v>
      </c>
      <c r="H11" s="303"/>
      <c r="I11" s="304">
        <v>3.4722222222222224E-4</v>
      </c>
      <c r="J11" s="304">
        <v>1.3888888888888889E-3</v>
      </c>
      <c r="K11" s="316" t="s">
        <v>1051</v>
      </c>
      <c r="L11" s="304">
        <f t="shared" si="28"/>
        <v>0.84296217499999992</v>
      </c>
      <c r="M11" s="457">
        <v>1</v>
      </c>
      <c r="N11" s="304">
        <f t="shared" si="30"/>
        <v>5.4159980131438194E-3</v>
      </c>
      <c r="O11" s="297">
        <f>C11*(G11/25)</f>
        <v>3.239626318202661E-4</v>
      </c>
      <c r="P11" s="297">
        <f t="shared" si="26"/>
        <v>3.239626318202661E-4</v>
      </c>
      <c r="Q11" s="334">
        <v>166</v>
      </c>
      <c r="R11" s="303">
        <f>E11*F11*G11</f>
        <v>240</v>
      </c>
      <c r="S11" s="1118">
        <f t="shared" si="15"/>
        <v>0.24</v>
      </c>
      <c r="T11" s="1119">
        <f t="shared" si="16"/>
        <v>7.7751031636863858E-3</v>
      </c>
      <c r="U11" s="374">
        <f t="shared" si="17"/>
        <v>0</v>
      </c>
      <c r="V11" s="1120">
        <f t="shared" si="18"/>
        <v>0</v>
      </c>
      <c r="W11" s="376">
        <f t="shared" si="19"/>
        <v>0</v>
      </c>
      <c r="X11" s="377">
        <f t="shared" si="20"/>
        <v>0.24</v>
      </c>
      <c r="Y11" s="378">
        <f t="shared" si="21"/>
        <v>0</v>
      </c>
      <c r="Z11" s="1121">
        <f t="shared" si="22"/>
        <v>0</v>
      </c>
      <c r="AA11" s="1122">
        <f t="shared" si="23"/>
        <v>0</v>
      </c>
      <c r="AB11" s="225"/>
      <c r="AC11" s="231"/>
      <c r="AD11" s="231"/>
      <c r="AE11" s="231"/>
      <c r="AF11" s="231"/>
      <c r="AG11" s="231"/>
      <c r="AH11" s="231"/>
      <c r="AI11" s="225"/>
      <c r="AJ11" s="225"/>
      <c r="AK11" s="225"/>
      <c r="AL11" s="225"/>
      <c r="AM11" s="225"/>
      <c r="AN11" s="225"/>
    </row>
    <row r="12" spans="1:40" s="1109" customFormat="1" ht="12.75" customHeight="1">
      <c r="A12" s="397" t="s">
        <v>219</v>
      </c>
      <c r="B12" s="1124" t="s">
        <v>461</v>
      </c>
      <c r="C12" s="274">
        <f t="shared" si="24"/>
        <v>2.1908757716049393E-4</v>
      </c>
      <c r="D12" s="890">
        <v>2</v>
      </c>
      <c r="E12" s="300">
        <v>1</v>
      </c>
      <c r="F12" s="300">
        <v>8</v>
      </c>
      <c r="G12" s="300">
        <v>20</v>
      </c>
      <c r="H12" s="300"/>
      <c r="I12" s="301">
        <v>1.3888888888888889E-4</v>
      </c>
      <c r="J12" s="301">
        <v>1.3888888888888889E-3</v>
      </c>
      <c r="K12" s="1123" t="s">
        <v>1053</v>
      </c>
      <c r="L12" s="994">
        <f t="shared" si="28"/>
        <v>0.84837817301314378</v>
      </c>
      <c r="M12" s="455">
        <v>1</v>
      </c>
      <c r="N12" s="301">
        <f>P12*E12*F12+I12*E12*F12+J12*E12</f>
        <v>3.9021604938271615E-3</v>
      </c>
      <c r="O12" s="302">
        <f t="shared" ref="O12" si="31">C12*(G12/25)</f>
        <v>1.7527006172839515E-4</v>
      </c>
      <c r="P12" s="302">
        <f t="shared" si="26"/>
        <v>1.7527006172839515E-4</v>
      </c>
      <c r="Q12" s="550">
        <v>146</v>
      </c>
      <c r="R12" s="369">
        <f t="shared" ref="R12:R13" si="32">E12*F12*G12</f>
        <v>160</v>
      </c>
      <c r="S12" s="1118">
        <f t="shared" si="15"/>
        <v>0.16</v>
      </c>
      <c r="T12" s="1119">
        <f t="shared" si="16"/>
        <v>5.6086419753086448E-3</v>
      </c>
      <c r="U12" s="374">
        <f t="shared" si="17"/>
        <v>0</v>
      </c>
      <c r="V12" s="1120">
        <f t="shared" si="18"/>
        <v>0.16</v>
      </c>
      <c r="W12" s="376">
        <f t="shared" si="19"/>
        <v>0</v>
      </c>
      <c r="X12" s="377">
        <f t="shared" si="20"/>
        <v>0</v>
      </c>
      <c r="Y12" s="378">
        <f t="shared" si="21"/>
        <v>0</v>
      </c>
      <c r="Z12" s="1121">
        <f t="shared" si="22"/>
        <v>0</v>
      </c>
      <c r="AA12" s="1122">
        <f t="shared" si="23"/>
        <v>0</v>
      </c>
      <c r="AB12" s="225"/>
      <c r="AC12" s="231"/>
      <c r="AD12" s="231"/>
      <c r="AE12" s="231"/>
      <c r="AF12" s="231"/>
      <c r="AG12" s="231"/>
      <c r="AH12" s="231"/>
      <c r="AI12" s="225"/>
      <c r="AJ12" s="225"/>
      <c r="AK12" s="225"/>
      <c r="AL12" s="225"/>
      <c r="AM12" s="225"/>
      <c r="AN12" s="225"/>
    </row>
    <row r="13" spans="1:40" s="1109" customFormat="1" ht="15" customHeight="1">
      <c r="A13" s="397"/>
      <c r="B13" s="1124" t="s">
        <v>461</v>
      </c>
      <c r="C13" s="274">
        <f t="shared" si="24"/>
        <v>2.0247664488766629E-4</v>
      </c>
      <c r="D13" s="892">
        <v>4</v>
      </c>
      <c r="E13" s="303">
        <v>1</v>
      </c>
      <c r="F13" s="303">
        <v>8</v>
      </c>
      <c r="G13" s="303">
        <v>60</v>
      </c>
      <c r="H13" s="303"/>
      <c r="I13" s="304">
        <v>2.3148148148148146E-4</v>
      </c>
      <c r="J13" s="304">
        <v>1.3888888888888889E-3</v>
      </c>
      <c r="K13" s="316" t="s">
        <v>1054</v>
      </c>
      <c r="L13" s="304">
        <f t="shared" si="28"/>
        <v>0.85228033350697097</v>
      </c>
      <c r="M13" s="457">
        <v>1.05</v>
      </c>
      <c r="N13" s="304">
        <f t="shared" ref="N13" si="33">P13*E13*F13+I13*E13*F13+J13*E13</f>
        <v>7.4451277765041537E-3</v>
      </c>
      <c r="O13" s="297">
        <f>C13*(G13/25)*1.03</f>
        <v>5.0052226616231104E-4</v>
      </c>
      <c r="P13" s="297">
        <f t="shared" si="26"/>
        <v>5.2554837947042657E-4</v>
      </c>
      <c r="Q13" s="334">
        <v>166</v>
      </c>
      <c r="R13" s="303">
        <f t="shared" si="32"/>
        <v>480</v>
      </c>
      <c r="S13" s="1118">
        <f t="shared" si="15"/>
        <v>0.48</v>
      </c>
      <c r="T13" s="1119">
        <f t="shared" si="16"/>
        <v>1.6016712517193953E-2</v>
      </c>
      <c r="U13" s="374">
        <f t="shared" si="17"/>
        <v>0</v>
      </c>
      <c r="V13" s="1120">
        <f t="shared" si="18"/>
        <v>0</v>
      </c>
      <c r="W13" s="376">
        <f t="shared" si="19"/>
        <v>0</v>
      </c>
      <c r="X13" s="377">
        <f t="shared" si="20"/>
        <v>0.48</v>
      </c>
      <c r="Y13" s="378">
        <f t="shared" si="21"/>
        <v>0</v>
      </c>
      <c r="Z13" s="1121">
        <f t="shared" si="22"/>
        <v>0</v>
      </c>
      <c r="AA13" s="1122">
        <f t="shared" si="23"/>
        <v>0</v>
      </c>
      <c r="AB13" s="225"/>
      <c r="AC13" s="231"/>
      <c r="AD13" s="231"/>
      <c r="AE13" s="231"/>
      <c r="AF13" s="231"/>
      <c r="AG13" s="231"/>
      <c r="AH13" s="231"/>
      <c r="AI13" s="225"/>
      <c r="AJ13" s="225"/>
      <c r="AK13" s="225"/>
      <c r="AL13" s="225"/>
      <c r="AM13" s="225"/>
      <c r="AN13" s="225"/>
    </row>
    <row r="14" spans="1:40" s="1109" customFormat="1" ht="15" customHeight="1" thickBot="1">
      <c r="A14" s="397"/>
      <c r="B14" s="403"/>
      <c r="C14" s="641"/>
      <c r="D14" s="959"/>
      <c r="E14" s="642"/>
      <c r="F14" s="642"/>
      <c r="G14" s="642"/>
      <c r="H14" s="642"/>
      <c r="I14" s="642"/>
      <c r="J14" s="642"/>
      <c r="K14" s="642"/>
      <c r="L14" s="1003">
        <f t="shared" si="28"/>
        <v>0.85972546128347516</v>
      </c>
      <c r="M14" s="643"/>
      <c r="N14" s="644">
        <f>SUM(N8:N13)</f>
        <v>4.6596039987178844E-2</v>
      </c>
      <c r="O14" s="642"/>
      <c r="P14" s="642"/>
      <c r="Q14" s="642"/>
      <c r="R14" s="645">
        <f>SUM(R8:R13)</f>
        <v>2040</v>
      </c>
      <c r="S14" s="1118">
        <f t="shared" si="15"/>
        <v>0</v>
      </c>
      <c r="T14" s="1119">
        <f t="shared" si="16"/>
        <v>0</v>
      </c>
      <c r="U14" s="374">
        <f t="shared" si="17"/>
        <v>0</v>
      </c>
      <c r="V14" s="1120">
        <f t="shared" si="18"/>
        <v>0</v>
      </c>
      <c r="W14" s="376">
        <f t="shared" si="19"/>
        <v>0</v>
      </c>
      <c r="X14" s="377">
        <f t="shared" si="20"/>
        <v>0</v>
      </c>
      <c r="Y14" s="378">
        <f t="shared" si="21"/>
        <v>0</v>
      </c>
      <c r="Z14" s="1121">
        <f t="shared" si="22"/>
        <v>0</v>
      </c>
      <c r="AA14" s="1122">
        <f t="shared" si="23"/>
        <v>0</v>
      </c>
      <c r="AB14" s="225"/>
      <c r="AC14" s="231"/>
      <c r="AD14" s="231"/>
      <c r="AE14" s="231"/>
      <c r="AF14" s="231"/>
      <c r="AG14" s="231"/>
      <c r="AH14" s="231"/>
      <c r="AI14" s="225"/>
      <c r="AJ14" s="225"/>
      <c r="AK14" s="225"/>
      <c r="AL14" s="225"/>
      <c r="AM14" s="225"/>
      <c r="AN14" s="225"/>
    </row>
    <row r="15" spans="1:40" s="1109" customFormat="1" ht="13" customHeight="1" thickBot="1">
      <c r="A15" s="628" t="s">
        <v>215</v>
      </c>
      <c r="B15" s="402" t="s">
        <v>461</v>
      </c>
      <c r="C15" s="274">
        <f>IF(D15=1,U$5,IF(D15=2,V$5,IF(D15=3,W$5,IF(D15=4,X$5,IF(D15=5,Y$5,IF(D15=6,Z$5,IF(D15=7,AA$5,0)))))))</f>
        <v>2.2880964381720439E-4</v>
      </c>
      <c r="D15" s="547">
        <v>1</v>
      </c>
      <c r="E15" s="275">
        <v>1</v>
      </c>
      <c r="F15" s="275">
        <v>2</v>
      </c>
      <c r="G15" s="275">
        <v>300</v>
      </c>
      <c r="H15" s="276"/>
      <c r="I15" s="276">
        <v>1.1574074074074073E-4</v>
      </c>
      <c r="J15" s="276">
        <v>1.3888888888888889E-3</v>
      </c>
      <c r="K15" s="312" t="s">
        <v>762</v>
      </c>
      <c r="L15" s="1008">
        <v>0.79861111111111116</v>
      </c>
      <c r="M15" s="451">
        <v>0.9</v>
      </c>
      <c r="N15" s="276">
        <f>P15*E15*F15+I15*E15*F15+J15*E15</f>
        <v>6.5626586768219863E-3</v>
      </c>
      <c r="O15" s="296">
        <f>C15*(G15/25)</f>
        <v>2.7457157258064528E-3</v>
      </c>
      <c r="P15" s="296">
        <f>O15*M15</f>
        <v>2.4711441532258077E-3</v>
      </c>
      <c r="Q15" s="548">
        <v>129</v>
      </c>
      <c r="R15" s="275">
        <f>E15*F15*G15</f>
        <v>600</v>
      </c>
      <c r="S15" s="1118">
        <f t="shared" si="15"/>
        <v>0.6</v>
      </c>
      <c r="T15" s="1119">
        <f t="shared" si="16"/>
        <v>2.1965725806451623E-2</v>
      </c>
      <c r="U15" s="374">
        <f t="shared" si="17"/>
        <v>0.6</v>
      </c>
      <c r="V15" s="1120">
        <f t="shared" si="18"/>
        <v>0</v>
      </c>
      <c r="W15" s="376">
        <f t="shared" si="19"/>
        <v>0</v>
      </c>
      <c r="X15" s="377">
        <f t="shared" si="20"/>
        <v>0</v>
      </c>
      <c r="Y15" s="378">
        <f t="shared" si="21"/>
        <v>0</v>
      </c>
      <c r="Z15" s="1121">
        <f t="shared" si="22"/>
        <v>0</v>
      </c>
      <c r="AA15" s="1122">
        <f t="shared" si="23"/>
        <v>0</v>
      </c>
      <c r="AB15" s="225"/>
      <c r="AC15" s="231"/>
      <c r="AD15" s="231"/>
      <c r="AE15" s="231"/>
      <c r="AF15" s="231"/>
      <c r="AG15" s="231"/>
      <c r="AH15" s="231"/>
      <c r="AI15" s="225"/>
      <c r="AJ15" s="225"/>
      <c r="AK15" s="225"/>
      <c r="AL15" s="225"/>
      <c r="AM15" s="225"/>
      <c r="AN15" s="225"/>
    </row>
    <row r="16" spans="1:40" s="1109" customFormat="1" ht="13" customHeight="1" thickBot="1">
      <c r="A16" s="396" t="s">
        <v>139</v>
      </c>
      <c r="B16" s="402" t="s">
        <v>461</v>
      </c>
      <c r="C16" s="274">
        <f>IF(D16=1,U$5,IF(D16=2,V$5,IF(D16=3,W$5,IF(D16=4,X$5,IF(D16=5,Y$5,IF(D16=6,Z$5,IF(D16=7,AA$5,0)))))))</f>
        <v>1.8933937422552669E-4</v>
      </c>
      <c r="D16" s="894">
        <v>5</v>
      </c>
      <c r="E16" s="307">
        <v>3</v>
      </c>
      <c r="F16" s="307">
        <v>1</v>
      </c>
      <c r="G16" s="307">
        <v>25</v>
      </c>
      <c r="H16" s="306"/>
      <c r="I16" s="306">
        <v>1.1574074074074073E-4</v>
      </c>
      <c r="J16" s="306">
        <v>2.0833333333333333E-3</v>
      </c>
      <c r="K16" s="1251" t="s">
        <v>961</v>
      </c>
      <c r="L16" s="1150">
        <f>L15+N15</f>
        <v>0.80517376978793309</v>
      </c>
      <c r="M16" s="454">
        <v>0.85</v>
      </c>
      <c r="N16" s="306">
        <f>P16*E16*F16+I16*E16*F16+J16*E16</f>
        <v>7.0800376264973158E-3</v>
      </c>
      <c r="O16" s="305">
        <f>C16*(G16/25)</f>
        <v>1.8933937422552669E-4</v>
      </c>
      <c r="P16" s="585">
        <f>O16*M16</f>
        <v>1.6093846809169768E-4</v>
      </c>
      <c r="Q16" s="786">
        <v>173</v>
      </c>
      <c r="R16" s="290">
        <f>E16*F16*G16</f>
        <v>75</v>
      </c>
      <c r="S16" s="1118">
        <f t="shared" si="15"/>
        <v>7.4999999999999997E-2</v>
      </c>
      <c r="T16" s="1119">
        <f t="shared" si="16"/>
        <v>2.2720724907063202E-3</v>
      </c>
      <c r="U16" s="374">
        <f t="shared" si="17"/>
        <v>0</v>
      </c>
      <c r="V16" s="1120">
        <f t="shared" si="18"/>
        <v>0</v>
      </c>
      <c r="W16" s="376">
        <f t="shared" si="19"/>
        <v>0</v>
      </c>
      <c r="X16" s="377">
        <f t="shared" si="20"/>
        <v>0</v>
      </c>
      <c r="Y16" s="378">
        <f t="shared" si="21"/>
        <v>7.4999999999999997E-2</v>
      </c>
      <c r="Z16" s="1121">
        <f t="shared" si="22"/>
        <v>0</v>
      </c>
      <c r="AA16" s="1122">
        <f t="shared" si="23"/>
        <v>0</v>
      </c>
      <c r="AB16" s="225"/>
      <c r="AC16" s="231"/>
      <c r="AD16" s="231"/>
      <c r="AE16" s="231"/>
      <c r="AF16" s="231"/>
      <c r="AG16" s="231"/>
      <c r="AH16" s="231"/>
      <c r="AI16" s="225"/>
      <c r="AJ16" s="225"/>
      <c r="AK16" s="225"/>
      <c r="AL16" s="225"/>
      <c r="AM16" s="225"/>
      <c r="AN16" s="225"/>
    </row>
    <row r="17" spans="1:40" s="1109" customFormat="1" ht="12.75" customHeight="1" thickBot="1">
      <c r="A17" s="396" t="s">
        <v>458</v>
      </c>
      <c r="B17" s="402" t="s">
        <v>461</v>
      </c>
      <c r="C17" s="274">
        <f>IF(D17=1,U$5,IF(D17=2,V$5,IF(D17=3,W$5,IF(D17=4,X$5,IF(D17=5,Y$5,IF(D17=6,Z$5,IF(D17=7,AA$5,0)))))))</f>
        <v>2.1222190799396687E-4</v>
      </c>
      <c r="D17" s="1309">
        <v>3</v>
      </c>
      <c r="E17" s="1310">
        <v>6</v>
      </c>
      <c r="F17" s="1311">
        <v>4</v>
      </c>
      <c r="G17" s="280">
        <v>50</v>
      </c>
      <c r="H17" s="281"/>
      <c r="I17" s="281">
        <v>8.1018518518518516E-5</v>
      </c>
      <c r="J17" s="281">
        <v>1.3888888888888889E-3</v>
      </c>
      <c r="K17" s="1074" t="s">
        <v>962</v>
      </c>
      <c r="L17" s="1148">
        <f>L16+N16</f>
        <v>0.81225380741443043</v>
      </c>
      <c r="M17" s="453">
        <v>1</v>
      </c>
      <c r="N17" s="281">
        <f>P17*E17*F17+I17*E17*F17+J17*E17</f>
        <v>2.0464429361488186E-2</v>
      </c>
      <c r="O17" s="298">
        <f>C17*(G17/25)</f>
        <v>4.2444381598793373E-4</v>
      </c>
      <c r="P17" s="298">
        <f>O17*M17</f>
        <v>4.2444381598793373E-4</v>
      </c>
      <c r="Q17" s="333">
        <v>160</v>
      </c>
      <c r="R17" s="280">
        <f>E17*F17*G17</f>
        <v>1200</v>
      </c>
      <c r="S17" s="1118">
        <f t="shared" si="15"/>
        <v>1.2</v>
      </c>
      <c r="T17" s="1119">
        <f t="shared" si="16"/>
        <v>4.0746606334841638E-2</v>
      </c>
      <c r="U17" s="374">
        <f t="shared" si="17"/>
        <v>0</v>
      </c>
      <c r="V17" s="1120">
        <f t="shared" si="18"/>
        <v>0</v>
      </c>
      <c r="W17" s="376">
        <f t="shared" si="19"/>
        <v>1.2</v>
      </c>
      <c r="X17" s="377">
        <f t="shared" si="20"/>
        <v>0</v>
      </c>
      <c r="Y17" s="378">
        <f t="shared" si="21"/>
        <v>0</v>
      </c>
      <c r="Z17" s="1121">
        <f t="shared" si="22"/>
        <v>0</v>
      </c>
      <c r="AA17" s="1122">
        <f t="shared" si="23"/>
        <v>0</v>
      </c>
      <c r="AB17" s="225"/>
      <c r="AC17" s="231"/>
      <c r="AD17" s="231"/>
      <c r="AE17" s="231"/>
      <c r="AF17" s="231"/>
      <c r="AG17" s="231"/>
      <c r="AH17" s="231"/>
      <c r="AI17" s="225"/>
      <c r="AJ17" s="225"/>
      <c r="AK17" s="225"/>
      <c r="AL17" s="225"/>
      <c r="AM17" s="225"/>
      <c r="AN17" s="225"/>
    </row>
    <row r="18" spans="1:40" s="1109" customFormat="1" ht="12.75" customHeight="1" thickBot="1">
      <c r="A18" s="396" t="s">
        <v>140</v>
      </c>
      <c r="B18" s="402" t="s">
        <v>461</v>
      </c>
      <c r="C18" s="274">
        <f>IF(D18=1,U$5,IF(D18=2,V$5,IF(D18=3,W$5,IF(D18=4,X$5,IF(D18=5,Y$5,IF(D18=6,Z$5,IF(D18=7,AA$5,0)))))))</f>
        <v>1.8933937422552669E-4</v>
      </c>
      <c r="D18" s="894">
        <v>5</v>
      </c>
      <c r="E18" s="1312">
        <v>6</v>
      </c>
      <c r="F18" s="1305">
        <v>1</v>
      </c>
      <c r="G18" s="307">
        <v>25</v>
      </c>
      <c r="H18" s="306"/>
      <c r="I18" s="306">
        <v>1.1574074074074073E-4</v>
      </c>
      <c r="J18" s="306">
        <v>2.0833333333333333E-3</v>
      </c>
      <c r="K18" s="1251" t="s">
        <v>961</v>
      </c>
      <c r="L18" s="1150">
        <f>L17+N17</f>
        <v>0.83271823677591861</v>
      </c>
      <c r="M18" s="454">
        <v>0.85</v>
      </c>
      <c r="N18" s="306">
        <f>P18*E18*F18+I18*E18*F18+J18*E18</f>
        <v>1.4160075252994632E-2</v>
      </c>
      <c r="O18" s="305">
        <f>C18*(G18/25)</f>
        <v>1.8933937422552669E-4</v>
      </c>
      <c r="P18" s="585">
        <f>O18*M18</f>
        <v>1.6093846809169768E-4</v>
      </c>
      <c r="Q18" s="786">
        <v>173</v>
      </c>
      <c r="R18" s="290">
        <f>E18*F18*G18</f>
        <v>150</v>
      </c>
      <c r="S18" s="1118">
        <f t="shared" si="15"/>
        <v>0.15</v>
      </c>
      <c r="T18" s="1119">
        <f t="shared" si="16"/>
        <v>4.5441449814126404E-3</v>
      </c>
      <c r="U18" s="374">
        <f t="shared" si="17"/>
        <v>0</v>
      </c>
      <c r="V18" s="1120">
        <f t="shared" si="18"/>
        <v>0</v>
      </c>
      <c r="W18" s="376">
        <f t="shared" si="19"/>
        <v>0</v>
      </c>
      <c r="X18" s="377">
        <f t="shared" si="20"/>
        <v>0</v>
      </c>
      <c r="Y18" s="378">
        <f t="shared" si="21"/>
        <v>0.15</v>
      </c>
      <c r="Z18" s="1121">
        <f t="shared" si="22"/>
        <v>0</v>
      </c>
      <c r="AA18" s="1122">
        <f t="shared" si="23"/>
        <v>0</v>
      </c>
      <c r="AB18" s="225"/>
      <c r="AC18" s="231"/>
      <c r="AD18" s="231"/>
      <c r="AE18" s="231"/>
      <c r="AF18" s="231"/>
      <c r="AG18" s="231"/>
      <c r="AH18" s="231"/>
      <c r="AI18" s="225"/>
      <c r="AJ18" s="225"/>
      <c r="AK18" s="225"/>
      <c r="AL18" s="225"/>
      <c r="AM18" s="225"/>
      <c r="AN18" s="225"/>
    </row>
    <row r="19" spans="1:40" ht="14" customHeight="1" thickBot="1">
      <c r="A19" s="396" t="s">
        <v>674</v>
      </c>
      <c r="B19" s="402" t="s">
        <v>461</v>
      </c>
      <c r="C19" s="274">
        <f>IF(D19=1,U$5,IF(D19=2,V$5,IF(D19=3,W$5,IF(D19=4,X$5,IF(D19=5,Y$5,IF(D19=6,Z$5,IF(D19=7,AA$5,0)))))))</f>
        <v>1.7682291666666674E-4</v>
      </c>
      <c r="D19" s="897">
        <v>7</v>
      </c>
      <c r="E19" s="1306">
        <v>1</v>
      </c>
      <c r="F19" s="435">
        <v>6</v>
      </c>
      <c r="G19" s="435">
        <v>20</v>
      </c>
      <c r="H19" s="436"/>
      <c r="I19" s="436">
        <v>4.6296296296296293E-4</v>
      </c>
      <c r="J19" s="437">
        <v>6.9444444444444447E-4</v>
      </c>
      <c r="K19" s="438" t="s">
        <v>964</v>
      </c>
      <c r="L19" s="1189">
        <f>L18+N18</f>
        <v>0.84687831202891328</v>
      </c>
      <c r="M19" s="516">
        <v>0.9</v>
      </c>
      <c r="N19" s="437">
        <f>P19*E19*F19+I19*E19*F19+J19*E19</f>
        <v>4.2360972222222227E-3</v>
      </c>
      <c r="O19" s="439">
        <f>C19*(G19/25)</f>
        <v>1.4145833333333339E-4</v>
      </c>
      <c r="P19" s="587">
        <f>O19*M19</f>
        <v>1.2731250000000007E-4</v>
      </c>
      <c r="Q19" s="788">
        <v>179</v>
      </c>
      <c r="R19" s="435">
        <f>E19*F19*G19</f>
        <v>120</v>
      </c>
      <c r="S19" s="1118">
        <f t="shared" si="15"/>
        <v>0.12</v>
      </c>
      <c r="T19" s="1119">
        <f t="shared" si="16"/>
        <v>3.3950000000000013E-3</v>
      </c>
      <c r="U19" s="374">
        <f t="shared" si="17"/>
        <v>0</v>
      </c>
      <c r="V19" s="1120">
        <f t="shared" si="18"/>
        <v>0</v>
      </c>
      <c r="W19" s="376">
        <f t="shared" si="19"/>
        <v>0</v>
      </c>
      <c r="X19" s="377">
        <f t="shared" si="20"/>
        <v>0</v>
      </c>
      <c r="Y19" s="378">
        <f t="shared" si="21"/>
        <v>0</v>
      </c>
      <c r="Z19" s="1121">
        <f t="shared" si="22"/>
        <v>0</v>
      </c>
      <c r="AA19" s="1122">
        <f t="shared" si="23"/>
        <v>0.12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</row>
    <row r="20" spans="1:40" ht="12.75" customHeight="1" thickBot="1">
      <c r="A20" s="639"/>
      <c r="B20" s="640"/>
      <c r="C20" s="641"/>
      <c r="D20" s="959"/>
      <c r="E20" s="642"/>
      <c r="F20" s="642"/>
      <c r="G20" s="642"/>
      <c r="H20" s="642"/>
      <c r="I20" s="642"/>
      <c r="J20" s="642"/>
      <c r="K20" s="642"/>
      <c r="L20" s="1003">
        <f>L19+N19</f>
        <v>0.85111440925113546</v>
      </c>
      <c r="M20" s="643"/>
      <c r="N20" s="644">
        <f>SUM(N15:N19)</f>
        <v>5.2503298140024343E-2</v>
      </c>
      <c r="O20" s="642"/>
      <c r="P20" s="642"/>
      <c r="Q20" s="642"/>
      <c r="R20" s="645">
        <f>SUM(R15:R19)</f>
        <v>2145</v>
      </c>
      <c r="S20" s="1118">
        <f t="shared" si="15"/>
        <v>0</v>
      </c>
      <c r="T20" s="1119">
        <f t="shared" si="16"/>
        <v>0</v>
      </c>
      <c r="U20" s="374">
        <f t="shared" si="17"/>
        <v>0</v>
      </c>
      <c r="V20" s="1120">
        <f t="shared" si="18"/>
        <v>0</v>
      </c>
      <c r="W20" s="376">
        <f t="shared" si="19"/>
        <v>0</v>
      </c>
      <c r="X20" s="377">
        <f t="shared" si="20"/>
        <v>0</v>
      </c>
      <c r="Y20" s="378">
        <f t="shared" si="21"/>
        <v>0</v>
      </c>
      <c r="Z20" s="1121">
        <f t="shared" si="22"/>
        <v>0</v>
      </c>
      <c r="AA20" s="1122">
        <f t="shared" si="23"/>
        <v>0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</row>
    <row r="21" spans="1:40" ht="12.75" customHeight="1">
      <c r="A21" s="397"/>
      <c r="B21" s="403"/>
      <c r="C21" s="274">
        <f t="shared" ref="C21:C27" si="34">IF(D21=1,U$5,IF(D21=2,V$5,IF(D21=3,W$5,IF(D21=4,X$5,IF(D21=5,Y$5,IF(D21=6,Z$5,IF(D21=7,AA$5,0)))))))</f>
        <v>2.2880964381720439E-4</v>
      </c>
      <c r="D21" s="547">
        <v>1</v>
      </c>
      <c r="E21" s="275">
        <v>1</v>
      </c>
      <c r="F21" s="275">
        <v>1</v>
      </c>
      <c r="G21" s="275">
        <v>400</v>
      </c>
      <c r="H21" s="275"/>
      <c r="I21" s="276">
        <v>0</v>
      </c>
      <c r="J21" s="276">
        <v>0</v>
      </c>
      <c r="K21" s="277" t="s">
        <v>269</v>
      </c>
      <c r="L21" s="993">
        <v>0.30208333333333331</v>
      </c>
      <c r="M21" s="451">
        <v>1</v>
      </c>
      <c r="N21" s="276">
        <f t="shared" ref="N21:N22" si="35">P21*E21*F21+I21*E21*F21+J21*E21</f>
        <v>3.6609543010752703E-3</v>
      </c>
      <c r="O21" s="296">
        <f t="shared" ref="O21" si="36">C21*(G21/25)</f>
        <v>3.6609543010752703E-3</v>
      </c>
      <c r="P21" s="296">
        <f t="shared" ref="P21:P27" si="37">O21*M21</f>
        <v>3.6609543010752703E-3</v>
      </c>
      <c r="Q21" s="548">
        <v>147</v>
      </c>
      <c r="R21" s="275">
        <f t="shared" ref="R21:R24" si="38">E21*F21*G21</f>
        <v>400</v>
      </c>
      <c r="S21" s="1118">
        <f t="shared" si="15"/>
        <v>0.4</v>
      </c>
      <c r="T21" s="1119">
        <f t="shared" si="16"/>
        <v>1.4643817204301081E-2</v>
      </c>
      <c r="U21" s="374">
        <f t="shared" si="17"/>
        <v>0.4</v>
      </c>
      <c r="V21" s="1120">
        <f t="shared" si="18"/>
        <v>0</v>
      </c>
      <c r="W21" s="376">
        <f t="shared" si="19"/>
        <v>0</v>
      </c>
      <c r="X21" s="377">
        <f t="shared" si="20"/>
        <v>0</v>
      </c>
      <c r="Y21" s="378">
        <f t="shared" si="21"/>
        <v>0</v>
      </c>
      <c r="Z21" s="1121">
        <f t="shared" si="22"/>
        <v>0</v>
      </c>
      <c r="AA21" s="1122">
        <f t="shared" si="23"/>
        <v>0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</row>
    <row r="22" spans="1:40" ht="12.75" customHeight="1">
      <c r="A22" s="851" t="s">
        <v>217</v>
      </c>
      <c r="B22" s="1124" t="s">
        <v>215</v>
      </c>
      <c r="C22" s="274">
        <f t="shared" si="34"/>
        <v>1.8229166666666673E-4</v>
      </c>
      <c r="D22" s="4558">
        <v>6</v>
      </c>
      <c r="E22" s="4559">
        <v>2</v>
      </c>
      <c r="F22" s="4559">
        <v>5</v>
      </c>
      <c r="G22" s="4559">
        <v>80</v>
      </c>
      <c r="H22" s="4559"/>
      <c r="I22" s="4560">
        <v>2.8935185185185189E-4</v>
      </c>
      <c r="J22" s="4560">
        <v>3.472222222222222E-3</v>
      </c>
      <c r="K22" s="4561" t="s">
        <v>1055</v>
      </c>
      <c r="L22" s="4560">
        <f t="shared" ref="L22:L28" si="39">L21+N21</f>
        <v>0.30574428763440858</v>
      </c>
      <c r="M22" s="4562">
        <v>1.05</v>
      </c>
      <c r="N22" s="4560">
        <f t="shared" si="35"/>
        <v>1.6207962962962966E-2</v>
      </c>
      <c r="O22" s="4563">
        <f>C22*(G22/25)*1.04</f>
        <v>6.0666666666666692E-4</v>
      </c>
      <c r="P22" s="4564">
        <f t="shared" si="37"/>
        <v>6.370000000000003E-4</v>
      </c>
      <c r="Q22" s="4565">
        <v>177</v>
      </c>
      <c r="R22" s="4559">
        <f t="shared" si="38"/>
        <v>800</v>
      </c>
      <c r="S22" s="1118">
        <f t="shared" si="15"/>
        <v>0.8</v>
      </c>
      <c r="T22" s="1119">
        <f t="shared" si="16"/>
        <v>2.4266666666666676E-2</v>
      </c>
      <c r="U22" s="374">
        <f t="shared" si="17"/>
        <v>0</v>
      </c>
      <c r="V22" s="1120">
        <f t="shared" si="18"/>
        <v>0</v>
      </c>
      <c r="W22" s="376">
        <f t="shared" si="19"/>
        <v>0</v>
      </c>
      <c r="X22" s="377">
        <f t="shared" si="20"/>
        <v>0</v>
      </c>
      <c r="Y22" s="378">
        <f t="shared" si="21"/>
        <v>0</v>
      </c>
      <c r="Z22" s="1121">
        <f t="shared" si="22"/>
        <v>0.8</v>
      </c>
      <c r="AA22" s="1122">
        <f t="shared" si="23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</row>
    <row r="23" spans="1:40" ht="12.75" customHeight="1">
      <c r="A23" s="851" t="s">
        <v>459</v>
      </c>
      <c r="B23" s="1124" t="s">
        <v>215</v>
      </c>
      <c r="C23" s="274">
        <f t="shared" si="34"/>
        <v>2.1908757716049393E-4</v>
      </c>
      <c r="D23" s="890">
        <v>2</v>
      </c>
      <c r="E23" s="300">
        <v>1</v>
      </c>
      <c r="F23" s="300">
        <v>8</v>
      </c>
      <c r="G23" s="300">
        <v>20</v>
      </c>
      <c r="H23" s="300"/>
      <c r="I23" s="301">
        <v>1.3888888888888889E-4</v>
      </c>
      <c r="J23" s="301">
        <v>1.3888888888888889E-3</v>
      </c>
      <c r="K23" s="1123" t="s">
        <v>1052</v>
      </c>
      <c r="L23" s="994">
        <f t="shared" si="39"/>
        <v>0.32195225059737154</v>
      </c>
      <c r="M23" s="455">
        <v>1.2</v>
      </c>
      <c r="N23" s="301">
        <f>P23*E23*F23+I23*E23*F23+J23*E23</f>
        <v>4.1825925925925937E-3</v>
      </c>
      <c r="O23" s="302">
        <f t="shared" ref="O23" si="40">C23*(G23/25)</f>
        <v>1.7527006172839515E-4</v>
      </c>
      <c r="P23" s="302">
        <f t="shared" si="37"/>
        <v>2.1032407407407417E-4</v>
      </c>
      <c r="Q23" s="550">
        <v>146</v>
      </c>
      <c r="R23" s="369">
        <f t="shared" si="38"/>
        <v>160</v>
      </c>
      <c r="S23" s="1118">
        <f t="shared" si="15"/>
        <v>0.16</v>
      </c>
      <c r="T23" s="1119">
        <f t="shared" si="16"/>
        <v>5.6086419753086448E-3</v>
      </c>
      <c r="U23" s="374">
        <f t="shared" si="17"/>
        <v>0</v>
      </c>
      <c r="V23" s="1120">
        <f t="shared" si="18"/>
        <v>0.16</v>
      </c>
      <c r="W23" s="376">
        <f t="shared" si="19"/>
        <v>0</v>
      </c>
      <c r="X23" s="377">
        <f t="shared" si="20"/>
        <v>0</v>
      </c>
      <c r="Y23" s="378">
        <f t="shared" si="21"/>
        <v>0</v>
      </c>
      <c r="Z23" s="1121">
        <f t="shared" si="22"/>
        <v>0</v>
      </c>
      <c r="AA23" s="1122">
        <f t="shared" si="23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</row>
    <row r="24" spans="1:40" ht="12.75" customHeight="1">
      <c r="A24" s="851" t="s">
        <v>458</v>
      </c>
      <c r="B24" s="1124" t="s">
        <v>215</v>
      </c>
      <c r="C24" s="274">
        <f t="shared" si="34"/>
        <v>1.8229166666666673E-4</v>
      </c>
      <c r="D24" s="4558">
        <v>6</v>
      </c>
      <c r="E24" s="4559">
        <v>3</v>
      </c>
      <c r="F24" s="4559">
        <v>6</v>
      </c>
      <c r="G24" s="4559">
        <v>20</v>
      </c>
      <c r="H24" s="4559"/>
      <c r="I24" s="4560">
        <v>2.3148148148148146E-4</v>
      </c>
      <c r="J24" s="4560">
        <v>3.472222222222222E-3</v>
      </c>
      <c r="K24" s="4561" t="s">
        <v>1056</v>
      </c>
      <c r="L24" s="4560">
        <f t="shared" si="39"/>
        <v>0.32613484318996411</v>
      </c>
      <c r="M24" s="4562">
        <v>1.05</v>
      </c>
      <c r="N24" s="4560">
        <f t="shared" ref="N24:N25" si="41">P24*E24*F24+I24*E24*F24+J24*E24</f>
        <v>1.7339583333333332E-2</v>
      </c>
      <c r="O24" s="4563">
        <f>C24*(G24/25)</f>
        <v>1.458333333333334E-4</v>
      </c>
      <c r="P24" s="4564">
        <f t="shared" si="37"/>
        <v>1.5312500000000008E-4</v>
      </c>
      <c r="Q24" s="4565">
        <v>177</v>
      </c>
      <c r="R24" s="4559">
        <f t="shared" si="38"/>
        <v>360</v>
      </c>
      <c r="S24" s="1118">
        <f t="shared" si="15"/>
        <v>0.36</v>
      </c>
      <c r="T24" s="1119">
        <f t="shared" si="16"/>
        <v>1.0500000000000004E-2</v>
      </c>
      <c r="U24" s="374">
        <f t="shared" si="17"/>
        <v>0</v>
      </c>
      <c r="V24" s="1120">
        <f t="shared" si="18"/>
        <v>0</v>
      </c>
      <c r="W24" s="376">
        <f t="shared" si="19"/>
        <v>0</v>
      </c>
      <c r="X24" s="377">
        <f t="shared" si="20"/>
        <v>0</v>
      </c>
      <c r="Y24" s="378">
        <f t="shared" si="21"/>
        <v>0</v>
      </c>
      <c r="Z24" s="1121">
        <f t="shared" si="22"/>
        <v>0.36</v>
      </c>
      <c r="AA24" s="1122">
        <f t="shared" si="23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</row>
    <row r="25" spans="1:40" ht="12.75" customHeight="1">
      <c r="A25" s="851" t="s">
        <v>218</v>
      </c>
      <c r="B25" s="1124" t="s">
        <v>215</v>
      </c>
      <c r="C25" s="274">
        <f t="shared" si="34"/>
        <v>2.0247664488766629E-4</v>
      </c>
      <c r="D25" s="892">
        <v>4</v>
      </c>
      <c r="E25" s="303">
        <v>1</v>
      </c>
      <c r="F25" s="303">
        <v>6</v>
      </c>
      <c r="G25" s="303">
        <v>40</v>
      </c>
      <c r="H25" s="303"/>
      <c r="I25" s="304">
        <v>3.4722222222222224E-4</v>
      </c>
      <c r="J25" s="304">
        <v>1.3888888888888889E-3</v>
      </c>
      <c r="K25" s="316" t="s">
        <v>1051</v>
      </c>
      <c r="L25" s="304">
        <f t="shared" si="39"/>
        <v>0.34347442652329746</v>
      </c>
      <c r="M25" s="457">
        <v>1.05</v>
      </c>
      <c r="N25" s="304">
        <f t="shared" si="41"/>
        <v>5.5131868026898987E-3</v>
      </c>
      <c r="O25" s="297">
        <f>C25*(G25/25)</f>
        <v>3.239626318202661E-4</v>
      </c>
      <c r="P25" s="297">
        <f t="shared" si="37"/>
        <v>3.4016076341127939E-4</v>
      </c>
      <c r="Q25" s="334">
        <v>166</v>
      </c>
      <c r="R25" s="303">
        <f>E25*F25*G25</f>
        <v>240</v>
      </c>
      <c r="S25" s="1118">
        <f t="shared" si="15"/>
        <v>0.24</v>
      </c>
      <c r="T25" s="1119">
        <f t="shared" si="16"/>
        <v>7.7751031636863858E-3</v>
      </c>
      <c r="U25" s="374">
        <f t="shared" si="17"/>
        <v>0</v>
      </c>
      <c r="V25" s="1120">
        <f t="shared" si="18"/>
        <v>0</v>
      </c>
      <c r="W25" s="376">
        <f t="shared" si="19"/>
        <v>0</v>
      </c>
      <c r="X25" s="377">
        <f t="shared" si="20"/>
        <v>0.24</v>
      </c>
      <c r="Y25" s="378">
        <f t="shared" si="21"/>
        <v>0</v>
      </c>
      <c r="Z25" s="1121">
        <f t="shared" si="22"/>
        <v>0</v>
      </c>
      <c r="AA25" s="1122">
        <f t="shared" si="23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</row>
    <row r="26" spans="1:40" ht="12.75" customHeight="1">
      <c r="A26" s="851" t="s">
        <v>458</v>
      </c>
      <c r="B26" s="1124" t="s">
        <v>215</v>
      </c>
      <c r="C26" s="274">
        <f t="shared" si="34"/>
        <v>2.1908757716049393E-4</v>
      </c>
      <c r="D26" s="890">
        <v>2</v>
      </c>
      <c r="E26" s="300">
        <v>1</v>
      </c>
      <c r="F26" s="300">
        <v>8</v>
      </c>
      <c r="G26" s="300">
        <v>20</v>
      </c>
      <c r="H26" s="300"/>
      <c r="I26" s="301">
        <v>1.3888888888888889E-4</v>
      </c>
      <c r="J26" s="301">
        <v>1.3888888888888889E-3</v>
      </c>
      <c r="K26" s="1123" t="s">
        <v>1053</v>
      </c>
      <c r="L26" s="994">
        <f t="shared" si="39"/>
        <v>0.34898761332598738</v>
      </c>
      <c r="M26" s="455">
        <v>1.2</v>
      </c>
      <c r="N26" s="301">
        <f>P26*E26*F26+I26*E26*F26+J26*E26</f>
        <v>4.1825925925925937E-3</v>
      </c>
      <c r="O26" s="302">
        <f t="shared" ref="O26" si="42">C26*(G26/25)</f>
        <v>1.7527006172839515E-4</v>
      </c>
      <c r="P26" s="302">
        <f t="shared" si="37"/>
        <v>2.1032407407407417E-4</v>
      </c>
      <c r="Q26" s="550">
        <v>146</v>
      </c>
      <c r="R26" s="369">
        <f t="shared" ref="R26:R27" si="43">E26*F26*G26</f>
        <v>160</v>
      </c>
      <c r="S26" s="1118">
        <f t="shared" si="15"/>
        <v>0.16</v>
      </c>
      <c r="T26" s="1119">
        <f t="shared" si="16"/>
        <v>5.6086419753086448E-3</v>
      </c>
      <c r="U26" s="374">
        <f t="shared" si="17"/>
        <v>0</v>
      </c>
      <c r="V26" s="1120">
        <f t="shared" si="18"/>
        <v>0.16</v>
      </c>
      <c r="W26" s="376">
        <f t="shared" si="19"/>
        <v>0</v>
      </c>
      <c r="X26" s="377">
        <f t="shared" si="20"/>
        <v>0</v>
      </c>
      <c r="Y26" s="378">
        <f t="shared" si="21"/>
        <v>0</v>
      </c>
      <c r="Z26" s="1121">
        <f t="shared" si="22"/>
        <v>0</v>
      </c>
      <c r="AA26" s="1122">
        <f t="shared" si="23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</row>
    <row r="27" spans="1:40" ht="12.75" customHeight="1">
      <c r="A27" s="851" t="s">
        <v>219</v>
      </c>
      <c r="B27" s="1124" t="s">
        <v>215</v>
      </c>
      <c r="C27" s="274">
        <f t="shared" si="34"/>
        <v>2.0247664488766629E-4</v>
      </c>
      <c r="D27" s="892">
        <v>4</v>
      </c>
      <c r="E27" s="303">
        <v>1</v>
      </c>
      <c r="F27" s="303">
        <v>8</v>
      </c>
      <c r="G27" s="303">
        <v>60</v>
      </c>
      <c r="H27" s="303"/>
      <c r="I27" s="304">
        <v>2.3148148148148146E-4</v>
      </c>
      <c r="J27" s="304">
        <v>1.3888888888888889E-3</v>
      </c>
      <c r="K27" s="316" t="s">
        <v>1054</v>
      </c>
      <c r="L27" s="304">
        <f t="shared" si="39"/>
        <v>0.35317020591857995</v>
      </c>
      <c r="M27" s="457">
        <v>1.05</v>
      </c>
      <c r="N27" s="304">
        <f t="shared" ref="N27" si="44">P27*E27*F27+I27*E27*F27+J27*E27</f>
        <v>7.4451277765041537E-3</v>
      </c>
      <c r="O27" s="297">
        <f>C27*(G27/25)*1.03</f>
        <v>5.0052226616231104E-4</v>
      </c>
      <c r="P27" s="297">
        <f t="shared" si="37"/>
        <v>5.2554837947042657E-4</v>
      </c>
      <c r="Q27" s="334">
        <v>166</v>
      </c>
      <c r="R27" s="303">
        <f t="shared" si="43"/>
        <v>480</v>
      </c>
      <c r="S27" s="1118">
        <f t="shared" si="15"/>
        <v>0.48</v>
      </c>
      <c r="T27" s="1119">
        <f t="shared" si="16"/>
        <v>1.6016712517193953E-2</v>
      </c>
      <c r="U27" s="374">
        <f t="shared" si="17"/>
        <v>0</v>
      </c>
      <c r="V27" s="1120">
        <f t="shared" si="18"/>
        <v>0</v>
      </c>
      <c r="W27" s="376">
        <f t="shared" si="19"/>
        <v>0</v>
      </c>
      <c r="X27" s="377">
        <f t="shared" si="20"/>
        <v>0.48</v>
      </c>
      <c r="Y27" s="378">
        <f t="shared" si="21"/>
        <v>0</v>
      </c>
      <c r="Z27" s="1121">
        <f t="shared" si="22"/>
        <v>0</v>
      </c>
      <c r="AA27" s="1122">
        <f t="shared" si="23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40" ht="13" customHeight="1" thickBot="1">
      <c r="A28" s="396"/>
      <c r="B28" s="1665"/>
      <c r="C28" s="641"/>
      <c r="D28" s="959"/>
      <c r="E28" s="642"/>
      <c r="F28" s="642"/>
      <c r="G28" s="642"/>
      <c r="H28" s="642"/>
      <c r="I28" s="642"/>
      <c r="J28" s="642"/>
      <c r="K28" s="642"/>
      <c r="L28" s="1003">
        <f t="shared" si="39"/>
        <v>0.36061533369508408</v>
      </c>
      <c r="M28" s="643"/>
      <c r="N28" s="644">
        <f>SUM(N21:N27)</f>
        <v>5.8532000361750804E-2</v>
      </c>
      <c r="O28" s="642"/>
      <c r="P28" s="642"/>
      <c r="Q28" s="642"/>
      <c r="R28" s="645">
        <f>SUM(R21:R27)</f>
        <v>2600</v>
      </c>
      <c r="S28" s="1118">
        <f t="shared" si="15"/>
        <v>0</v>
      </c>
      <c r="T28" s="1119">
        <f t="shared" si="16"/>
        <v>0</v>
      </c>
      <c r="U28" s="374">
        <f t="shared" si="17"/>
        <v>0</v>
      </c>
      <c r="V28" s="1120">
        <f t="shared" si="18"/>
        <v>0</v>
      </c>
      <c r="W28" s="376">
        <f t="shared" si="19"/>
        <v>0</v>
      </c>
      <c r="X28" s="377">
        <f t="shared" si="20"/>
        <v>0</v>
      </c>
      <c r="Y28" s="378">
        <f t="shared" si="21"/>
        <v>0</v>
      </c>
      <c r="Z28" s="1121">
        <f t="shared" si="22"/>
        <v>0</v>
      </c>
      <c r="AA28" s="1122">
        <f t="shared" si="23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40" ht="12.75" customHeight="1">
      <c r="A29" s="1313"/>
      <c r="B29" s="1314"/>
      <c r="C29" s="1315"/>
      <c r="D29" s="1315"/>
      <c r="E29" s="1315"/>
      <c r="F29" s="1315"/>
      <c r="G29" s="1315"/>
      <c r="H29" s="1315"/>
      <c r="I29" s="1315"/>
      <c r="J29" s="1315"/>
      <c r="K29" s="1367" t="s">
        <v>1288</v>
      </c>
      <c r="L29" s="1316"/>
      <c r="M29" s="1317"/>
      <c r="N29" s="1318"/>
      <c r="O29" s="1315">
        <f>C29*(G29/25)</f>
        <v>0</v>
      </c>
      <c r="P29" s="1315"/>
      <c r="Q29" s="1315"/>
      <c r="R29" s="1319"/>
      <c r="S29" s="1118">
        <f t="shared" si="15"/>
        <v>0</v>
      </c>
      <c r="T29" s="1119">
        <f t="shared" si="16"/>
        <v>0</v>
      </c>
      <c r="U29" s="374">
        <f t="shared" si="17"/>
        <v>0</v>
      </c>
      <c r="V29" s="1120">
        <f t="shared" si="18"/>
        <v>0</v>
      </c>
      <c r="W29" s="376">
        <f t="shared" si="19"/>
        <v>0</v>
      </c>
      <c r="X29" s="377">
        <f t="shared" si="20"/>
        <v>0</v>
      </c>
      <c r="Y29" s="378">
        <f t="shared" si="21"/>
        <v>0</v>
      </c>
      <c r="Z29" s="1121">
        <f t="shared" si="22"/>
        <v>0</v>
      </c>
      <c r="AA29" s="1122">
        <f t="shared" si="23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  <c r="AN29" s="204"/>
    </row>
    <row r="30" spans="1:40" ht="12.75" customHeight="1">
      <c r="A30" s="851" t="s">
        <v>217</v>
      </c>
      <c r="B30" s="1124" t="s">
        <v>461</v>
      </c>
      <c r="C30" s="274">
        <f t="shared" ref="C30:C35" si="45">IF(D30=1,U$5,IF(D30=2,V$5,IF(D30=3,W$5,IF(D30=4,X$5,IF(D30=5,Y$5,IF(D30=6,Z$5,IF(D30=7,AA$5,0)))))))</f>
        <v>2.2880964381720439E-4</v>
      </c>
      <c r="D30" s="547">
        <v>1</v>
      </c>
      <c r="E30" s="275">
        <v>1</v>
      </c>
      <c r="F30" s="275">
        <v>1</v>
      </c>
      <c r="G30" s="275">
        <v>200</v>
      </c>
      <c r="H30" s="276"/>
      <c r="I30" s="276">
        <v>0</v>
      </c>
      <c r="J30" s="276">
        <v>0</v>
      </c>
      <c r="K30" s="312" t="s">
        <v>888</v>
      </c>
      <c r="L30" s="993">
        <v>0.79861111111111116</v>
      </c>
      <c r="M30" s="451">
        <v>0.9</v>
      </c>
      <c r="N30" s="276">
        <f t="shared" ref="N30:N35" si="46">P30*E30*F30+I30*E30*F30+J30*E30</f>
        <v>1.6474294354838716E-3</v>
      </c>
      <c r="O30" s="296">
        <f t="shared" ref="O30:O35" si="47">C30*(G30/25)</f>
        <v>1.8304771505376352E-3</v>
      </c>
      <c r="P30" s="296">
        <f t="shared" ref="P30:P35" si="48">O30*M30</f>
        <v>1.6474294354838716E-3</v>
      </c>
      <c r="Q30" s="548">
        <v>129</v>
      </c>
      <c r="R30" s="275">
        <f t="shared" ref="R30:R35" si="49">E30*F30*G30</f>
        <v>200</v>
      </c>
      <c r="S30" s="1118">
        <f t="shared" si="15"/>
        <v>0.2</v>
      </c>
      <c r="T30" s="1119">
        <f t="shared" si="16"/>
        <v>7.3219086021505406E-3</v>
      </c>
      <c r="U30" s="374">
        <f t="shared" si="17"/>
        <v>0.2</v>
      </c>
      <c r="V30" s="1120">
        <f t="shared" si="18"/>
        <v>0</v>
      </c>
      <c r="W30" s="376">
        <f t="shared" si="19"/>
        <v>0</v>
      </c>
      <c r="X30" s="377">
        <f t="shared" si="20"/>
        <v>0</v>
      </c>
      <c r="Y30" s="378">
        <f t="shared" si="21"/>
        <v>0</v>
      </c>
      <c r="Z30" s="1121">
        <f t="shared" si="22"/>
        <v>0</v>
      </c>
      <c r="AA30" s="1122">
        <f t="shared" si="23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  <c r="AN30" s="204"/>
    </row>
    <row r="31" spans="1:40" ht="12.75" customHeight="1">
      <c r="A31" s="851" t="s">
        <v>459</v>
      </c>
      <c r="B31" s="1124" t="s">
        <v>461</v>
      </c>
      <c r="C31" s="274">
        <f t="shared" si="45"/>
        <v>2.1908757716049393E-4</v>
      </c>
      <c r="D31" s="1307">
        <v>2</v>
      </c>
      <c r="E31" s="986">
        <v>6</v>
      </c>
      <c r="F31" s="986">
        <v>1</v>
      </c>
      <c r="G31" s="986">
        <v>80</v>
      </c>
      <c r="H31" s="799"/>
      <c r="I31" s="799">
        <v>1.7361111111111112E-4</v>
      </c>
      <c r="J31" s="799">
        <v>1.3888888888888889E-3</v>
      </c>
      <c r="K31" s="1200" t="s">
        <v>963</v>
      </c>
      <c r="L31" s="1308">
        <f t="shared" ref="L31:L36" si="50">L30+N30</f>
        <v>0.80025854054659507</v>
      </c>
      <c r="M31" s="987">
        <v>1.2</v>
      </c>
      <c r="N31" s="799">
        <f t="shared" si="46"/>
        <v>1.4422777777777781E-2</v>
      </c>
      <c r="O31" s="796">
        <f t="shared" si="47"/>
        <v>7.0108024691358059E-4</v>
      </c>
      <c r="P31" s="796">
        <f t="shared" si="48"/>
        <v>8.4129629629629669E-4</v>
      </c>
      <c r="Q31" s="1049">
        <v>146</v>
      </c>
      <c r="R31" s="1050">
        <f t="shared" si="49"/>
        <v>480</v>
      </c>
      <c r="S31" s="1118">
        <f t="shared" si="15"/>
        <v>0.48</v>
      </c>
      <c r="T31" s="1119">
        <f t="shared" si="16"/>
        <v>1.6825925925925935E-2</v>
      </c>
      <c r="U31" s="374">
        <f t="shared" si="17"/>
        <v>0</v>
      </c>
      <c r="V31" s="1120">
        <f t="shared" si="18"/>
        <v>0.48</v>
      </c>
      <c r="W31" s="376">
        <f t="shared" si="19"/>
        <v>0</v>
      </c>
      <c r="X31" s="377">
        <f t="shared" si="20"/>
        <v>0</v>
      </c>
      <c r="Y31" s="378">
        <f t="shared" si="21"/>
        <v>0</v>
      </c>
      <c r="Z31" s="1121">
        <f t="shared" si="22"/>
        <v>0</v>
      </c>
      <c r="AA31" s="1122">
        <f t="shared" si="23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  <c r="AN31" s="204"/>
    </row>
    <row r="32" spans="1:40" ht="12.75" customHeight="1">
      <c r="A32" s="851" t="s">
        <v>458</v>
      </c>
      <c r="B32" s="1124" t="s">
        <v>461</v>
      </c>
      <c r="C32" s="274">
        <f t="shared" si="45"/>
        <v>1.8933937422552669E-4</v>
      </c>
      <c r="D32" s="894">
        <v>5</v>
      </c>
      <c r="E32" s="307">
        <v>6</v>
      </c>
      <c r="F32" s="307">
        <v>1</v>
      </c>
      <c r="G32" s="307">
        <v>60</v>
      </c>
      <c r="H32" s="306"/>
      <c r="I32" s="306">
        <v>1.1574074074074073E-4</v>
      </c>
      <c r="J32" s="306">
        <v>2.0833333333333333E-3</v>
      </c>
      <c r="K32" s="1251" t="s">
        <v>889</v>
      </c>
      <c r="L32" s="1150">
        <f t="shared" si="50"/>
        <v>0.81468131832437285</v>
      </c>
      <c r="M32" s="454">
        <v>0.85</v>
      </c>
      <c r="N32" s="306">
        <f t="shared" si="46"/>
        <v>1.5511958384964893E-2</v>
      </c>
      <c r="O32" s="305">
        <f>C32*(G32/25)</f>
        <v>4.5441449814126401E-4</v>
      </c>
      <c r="P32" s="585">
        <f t="shared" si="48"/>
        <v>3.8625232342007443E-4</v>
      </c>
      <c r="Q32" s="786">
        <v>173</v>
      </c>
      <c r="R32" s="290">
        <f t="shared" si="49"/>
        <v>360</v>
      </c>
      <c r="S32" s="1118">
        <f t="shared" si="15"/>
        <v>0.36</v>
      </c>
      <c r="T32" s="1119">
        <f t="shared" si="16"/>
        <v>1.0905947955390335E-2</v>
      </c>
      <c r="U32" s="374">
        <f t="shared" si="17"/>
        <v>0</v>
      </c>
      <c r="V32" s="1120">
        <f t="shared" si="18"/>
        <v>0</v>
      </c>
      <c r="W32" s="376">
        <f t="shared" si="19"/>
        <v>0</v>
      </c>
      <c r="X32" s="377">
        <f t="shared" si="20"/>
        <v>0</v>
      </c>
      <c r="Y32" s="378">
        <f t="shared" si="21"/>
        <v>0.36</v>
      </c>
      <c r="Z32" s="1121">
        <f t="shared" si="22"/>
        <v>0</v>
      </c>
      <c r="AA32" s="1122">
        <f t="shared" si="23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  <c r="AN32" s="204"/>
    </row>
    <row r="33" spans="1:40" ht="13.5" customHeight="1">
      <c r="A33" s="851" t="s">
        <v>218</v>
      </c>
      <c r="B33" s="1124" t="s">
        <v>461</v>
      </c>
      <c r="C33" s="274">
        <f t="shared" si="45"/>
        <v>2.1222190799396687E-4</v>
      </c>
      <c r="D33" s="1309">
        <v>3</v>
      </c>
      <c r="E33" s="1311">
        <v>6</v>
      </c>
      <c r="F33" s="1311">
        <v>4</v>
      </c>
      <c r="G33" s="280">
        <v>40</v>
      </c>
      <c r="H33" s="281"/>
      <c r="I33" s="281">
        <v>8.1018518518518516E-5</v>
      </c>
      <c r="J33" s="281">
        <v>1.3888888888888889E-3</v>
      </c>
      <c r="K33" s="1074" t="s">
        <v>890</v>
      </c>
      <c r="L33" s="1148">
        <f t="shared" si="50"/>
        <v>0.83019327670933774</v>
      </c>
      <c r="M33" s="453">
        <v>1</v>
      </c>
      <c r="N33" s="281">
        <f t="shared" si="46"/>
        <v>1.8427099044746105E-2</v>
      </c>
      <c r="O33" s="298">
        <f t="shared" si="47"/>
        <v>3.3955505279034703E-4</v>
      </c>
      <c r="P33" s="298">
        <f t="shared" si="48"/>
        <v>3.3955505279034703E-4</v>
      </c>
      <c r="Q33" s="333">
        <v>160</v>
      </c>
      <c r="R33" s="280">
        <f t="shared" si="49"/>
        <v>960</v>
      </c>
      <c r="S33" s="1118">
        <f t="shared" si="15"/>
        <v>0.96</v>
      </c>
      <c r="T33" s="1119">
        <f t="shared" si="16"/>
        <v>3.2597285067873315E-2</v>
      </c>
      <c r="U33" s="374">
        <f t="shared" si="17"/>
        <v>0</v>
      </c>
      <c r="V33" s="1120">
        <f t="shared" si="18"/>
        <v>0</v>
      </c>
      <c r="W33" s="376">
        <f t="shared" si="19"/>
        <v>0.96</v>
      </c>
      <c r="X33" s="377">
        <f t="shared" si="20"/>
        <v>0</v>
      </c>
      <c r="Y33" s="378">
        <f t="shared" si="21"/>
        <v>0</v>
      </c>
      <c r="Z33" s="1121">
        <f t="shared" si="22"/>
        <v>0</v>
      </c>
      <c r="AA33" s="1122">
        <f t="shared" si="23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  <c r="AN33" s="204"/>
    </row>
    <row r="34" spans="1:40" ht="12.75" customHeight="1">
      <c r="A34" s="851" t="s">
        <v>458</v>
      </c>
      <c r="B34" s="1124" t="s">
        <v>461</v>
      </c>
      <c r="C34" s="274">
        <f t="shared" si="45"/>
        <v>1.8933937422552669E-4</v>
      </c>
      <c r="D34" s="894">
        <v>5</v>
      </c>
      <c r="E34" s="1305">
        <v>6</v>
      </c>
      <c r="F34" s="1305">
        <v>1</v>
      </c>
      <c r="G34" s="307">
        <v>40</v>
      </c>
      <c r="H34" s="306"/>
      <c r="I34" s="306">
        <v>1.1574074074074073E-4</v>
      </c>
      <c r="J34" s="306">
        <v>2.0833333333333333E-3</v>
      </c>
      <c r="K34" s="1251" t="s">
        <v>1057</v>
      </c>
      <c r="L34" s="1150">
        <f t="shared" si="50"/>
        <v>0.84862037575408389</v>
      </c>
      <c r="M34" s="454">
        <v>0.85</v>
      </c>
      <c r="N34" s="306">
        <f t="shared" si="46"/>
        <v>1.4739453738124743E-2</v>
      </c>
      <c r="O34" s="305">
        <f t="shared" si="47"/>
        <v>3.0294299876084275E-4</v>
      </c>
      <c r="P34" s="585">
        <f t="shared" si="48"/>
        <v>2.575015489467163E-4</v>
      </c>
      <c r="Q34" s="786">
        <v>173</v>
      </c>
      <c r="R34" s="290">
        <f t="shared" si="49"/>
        <v>240</v>
      </c>
      <c r="S34" s="1118">
        <f t="shared" si="15"/>
        <v>0.24</v>
      </c>
      <c r="T34" s="1119">
        <f t="shared" si="16"/>
        <v>7.270631970260226E-3</v>
      </c>
      <c r="U34" s="374">
        <f t="shared" si="17"/>
        <v>0</v>
      </c>
      <c r="V34" s="1120">
        <f t="shared" si="18"/>
        <v>0</v>
      </c>
      <c r="W34" s="376">
        <f t="shared" si="19"/>
        <v>0</v>
      </c>
      <c r="X34" s="377">
        <f t="shared" si="20"/>
        <v>0</v>
      </c>
      <c r="Y34" s="378">
        <f t="shared" si="21"/>
        <v>0.24</v>
      </c>
      <c r="Z34" s="1121">
        <f t="shared" si="22"/>
        <v>0</v>
      </c>
      <c r="AA34" s="1122">
        <f t="shared" si="23"/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  <c r="AN34" s="204"/>
    </row>
    <row r="35" spans="1:40" ht="12" customHeight="1">
      <c r="A35" s="851" t="s">
        <v>219</v>
      </c>
      <c r="B35" s="1124" t="s">
        <v>461</v>
      </c>
      <c r="C35" s="274">
        <f t="shared" si="45"/>
        <v>1.7682291666666674E-4</v>
      </c>
      <c r="D35" s="897">
        <v>7</v>
      </c>
      <c r="E35" s="435">
        <v>1</v>
      </c>
      <c r="F35" s="435">
        <v>6</v>
      </c>
      <c r="G35" s="435">
        <v>20</v>
      </c>
      <c r="H35" s="436"/>
      <c r="I35" s="436">
        <v>4.6296296296296293E-4</v>
      </c>
      <c r="J35" s="437">
        <v>6.9444444444444447E-4</v>
      </c>
      <c r="K35" s="1187" t="s">
        <v>1287</v>
      </c>
      <c r="L35" s="1189">
        <f t="shared" si="50"/>
        <v>0.86335982949220869</v>
      </c>
      <c r="M35" s="516">
        <v>0.9</v>
      </c>
      <c r="N35" s="437">
        <f t="shared" si="46"/>
        <v>4.2360972222222227E-3</v>
      </c>
      <c r="O35" s="439">
        <f t="shared" si="47"/>
        <v>1.4145833333333339E-4</v>
      </c>
      <c r="P35" s="1343">
        <f t="shared" si="48"/>
        <v>1.2731250000000007E-4</v>
      </c>
      <c r="Q35" s="1366">
        <v>179</v>
      </c>
      <c r="R35" s="435">
        <f t="shared" si="49"/>
        <v>120</v>
      </c>
      <c r="S35" s="1118">
        <f t="shared" si="15"/>
        <v>0.12</v>
      </c>
      <c r="T35" s="1119">
        <f t="shared" si="16"/>
        <v>3.3950000000000013E-3</v>
      </c>
      <c r="U35" s="374">
        <f t="shared" si="17"/>
        <v>0</v>
      </c>
      <c r="V35" s="1120">
        <f t="shared" si="18"/>
        <v>0</v>
      </c>
      <c r="W35" s="376">
        <f t="shared" si="19"/>
        <v>0</v>
      </c>
      <c r="X35" s="377">
        <f t="shared" si="20"/>
        <v>0</v>
      </c>
      <c r="Y35" s="378">
        <f t="shared" si="21"/>
        <v>0</v>
      </c>
      <c r="Z35" s="1121">
        <f t="shared" si="22"/>
        <v>0</v>
      </c>
      <c r="AA35" s="1122">
        <f t="shared" si="23"/>
        <v>0.12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  <c r="AN35" s="204"/>
    </row>
    <row r="36" spans="1:40" ht="12" customHeight="1" thickBot="1">
      <c r="A36" s="851"/>
      <c r="B36" s="1124"/>
      <c r="C36" s="641"/>
      <c r="D36" s="959"/>
      <c r="E36" s="642"/>
      <c r="F36" s="642"/>
      <c r="G36" s="642"/>
      <c r="H36" s="642"/>
      <c r="I36" s="642"/>
      <c r="J36" s="642"/>
      <c r="K36" s="642"/>
      <c r="L36" s="1003">
        <f t="shared" si="50"/>
        <v>0.86759592671443087</v>
      </c>
      <c r="M36" s="643"/>
      <c r="N36" s="644">
        <f>SUM(N29:N35)</f>
        <v>6.8984815603319621E-2</v>
      </c>
      <c r="O36" s="642"/>
      <c r="P36" s="642"/>
      <c r="Q36" s="642"/>
      <c r="R36" s="645">
        <f>SUM(R30:R35)</f>
        <v>2360</v>
      </c>
      <c r="S36" s="1118">
        <f t="shared" si="15"/>
        <v>0</v>
      </c>
      <c r="T36" s="1119">
        <f t="shared" si="16"/>
        <v>0</v>
      </c>
      <c r="U36" s="374">
        <f t="shared" si="17"/>
        <v>0</v>
      </c>
      <c r="V36" s="1120">
        <f t="shared" si="18"/>
        <v>0</v>
      </c>
      <c r="W36" s="376">
        <f t="shared" si="19"/>
        <v>0</v>
      </c>
      <c r="X36" s="377">
        <f t="shared" si="20"/>
        <v>0</v>
      </c>
      <c r="Y36" s="378">
        <f t="shared" si="21"/>
        <v>0</v>
      </c>
      <c r="Z36" s="1121">
        <f t="shared" si="22"/>
        <v>0</v>
      </c>
      <c r="AA36" s="1122">
        <f t="shared" si="23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  <c r="AN36" s="204"/>
    </row>
    <row r="37" spans="1:40" ht="14" customHeight="1">
      <c r="A37" s="1116" t="s">
        <v>218</v>
      </c>
      <c r="B37" s="1142" t="s">
        <v>459</v>
      </c>
      <c r="C37" s="274">
        <f t="shared" ref="C37:C42" si="51">IF(D37=1,U$5,IF(D37=2,V$5,IF(D37=3,W$5,IF(D37=4,X$5,IF(D37=5,Y$5,IF(D37=6,Z$5,IF(D37=7,AA$5,0)))))))</f>
        <v>2.2880964381720439E-4</v>
      </c>
      <c r="D37" s="547">
        <v>1</v>
      </c>
      <c r="E37" s="4394">
        <v>1</v>
      </c>
      <c r="F37" s="4394">
        <v>2</v>
      </c>
      <c r="G37" s="4394">
        <v>240</v>
      </c>
      <c r="H37" s="4394"/>
      <c r="I37" s="4395">
        <v>1.1574074074074073E-4</v>
      </c>
      <c r="J37" s="4395">
        <v>1.3888888888888889E-3</v>
      </c>
      <c r="K37" s="4572" t="s">
        <v>1049</v>
      </c>
      <c r="L37" s="4573">
        <v>0.3125</v>
      </c>
      <c r="M37" s="4574">
        <v>1</v>
      </c>
      <c r="N37" s="4395">
        <f t="shared" ref="N37:N38" si="52">P37*E37*F37+I37*E37*F37+J37*E37</f>
        <v>6.0135155316606952E-3</v>
      </c>
      <c r="O37" s="296">
        <f t="shared" ref="O37" si="53">C37*(G37/25)</f>
        <v>2.1965725806451621E-3</v>
      </c>
      <c r="P37" s="296">
        <f t="shared" ref="P37:P42" si="54">O37*M37</f>
        <v>2.1965725806451621E-3</v>
      </c>
      <c r="Q37" s="548">
        <v>147</v>
      </c>
      <c r="R37" s="275">
        <f t="shared" ref="R37:R40" si="55">E37*F37*G37</f>
        <v>480</v>
      </c>
      <c r="S37" s="1118">
        <f t="shared" si="15"/>
        <v>0.48</v>
      </c>
      <c r="T37" s="1119">
        <f t="shared" si="16"/>
        <v>1.7572580645161297E-2</v>
      </c>
      <c r="U37" s="374">
        <f t="shared" si="17"/>
        <v>0.48</v>
      </c>
      <c r="V37" s="1120">
        <f t="shared" si="18"/>
        <v>0</v>
      </c>
      <c r="W37" s="376">
        <f t="shared" si="19"/>
        <v>0</v>
      </c>
      <c r="X37" s="377">
        <f t="shared" si="20"/>
        <v>0</v>
      </c>
      <c r="Y37" s="378">
        <f t="shared" si="21"/>
        <v>0</v>
      </c>
      <c r="Z37" s="1121">
        <f t="shared" si="22"/>
        <v>0</v>
      </c>
      <c r="AA37" s="1122">
        <f t="shared" si="23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  <c r="AN37" s="204"/>
    </row>
    <row r="38" spans="1:40">
      <c r="A38" s="1116" t="s">
        <v>139</v>
      </c>
      <c r="B38" s="1142" t="s">
        <v>459</v>
      </c>
      <c r="C38" s="274">
        <f t="shared" si="51"/>
        <v>1.8229166666666673E-4</v>
      </c>
      <c r="D38" s="4558">
        <v>6</v>
      </c>
      <c r="E38" s="4559">
        <v>2</v>
      </c>
      <c r="F38" s="4559">
        <v>4</v>
      </c>
      <c r="G38" s="4559">
        <v>100</v>
      </c>
      <c r="H38" s="4559"/>
      <c r="I38" s="4560">
        <v>3.4722222222222224E-4</v>
      </c>
      <c r="J38" s="4560">
        <v>6.9444444444444441E-3</v>
      </c>
      <c r="K38" s="4561" t="s">
        <v>974</v>
      </c>
      <c r="L38" s="4560">
        <f t="shared" ref="L38:L39" si="56">L37+N37</f>
        <v>0.31851351553166068</v>
      </c>
      <c r="M38" s="4562">
        <v>1.07</v>
      </c>
      <c r="N38" s="4560">
        <f t="shared" si="52"/>
        <v>2.2908333333333336E-2</v>
      </c>
      <c r="O38" s="4563">
        <f>C38*(G38/25)</f>
        <v>7.2916666666666692E-4</v>
      </c>
      <c r="P38" s="4564">
        <f t="shared" si="54"/>
        <v>7.802083333333336E-4</v>
      </c>
      <c r="Q38" s="4565">
        <v>177</v>
      </c>
      <c r="R38" s="4559">
        <f t="shared" si="55"/>
        <v>800</v>
      </c>
      <c r="S38" s="1118">
        <f t="shared" si="15"/>
        <v>0.8</v>
      </c>
      <c r="T38" s="1119">
        <f t="shared" si="16"/>
        <v>2.3333333333333341E-2</v>
      </c>
      <c r="U38" s="374">
        <f t="shared" si="17"/>
        <v>0</v>
      </c>
      <c r="V38" s="1120">
        <f t="shared" si="18"/>
        <v>0</v>
      </c>
      <c r="W38" s="376">
        <f t="shared" si="19"/>
        <v>0</v>
      </c>
      <c r="X38" s="377">
        <f t="shared" si="20"/>
        <v>0</v>
      </c>
      <c r="Y38" s="378">
        <f t="shared" si="21"/>
        <v>0</v>
      </c>
      <c r="Z38" s="1121">
        <f t="shared" si="22"/>
        <v>0.8</v>
      </c>
      <c r="AA38" s="1122">
        <f t="shared" si="23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  <c r="AN38" s="204"/>
    </row>
    <row r="39" spans="1:40" ht="15.75" customHeight="1">
      <c r="A39" s="1116" t="s">
        <v>458</v>
      </c>
      <c r="B39" s="1142" t="s">
        <v>459</v>
      </c>
      <c r="C39" s="274">
        <f t="shared" si="51"/>
        <v>2.1908757716049393E-4</v>
      </c>
      <c r="D39" s="890">
        <v>2</v>
      </c>
      <c r="E39" s="300">
        <v>1</v>
      </c>
      <c r="F39" s="300">
        <v>4</v>
      </c>
      <c r="G39" s="300">
        <v>20</v>
      </c>
      <c r="H39" s="300"/>
      <c r="I39" s="301">
        <v>1.3888888888888889E-4</v>
      </c>
      <c r="J39" s="301">
        <v>1.3888888888888889E-3</v>
      </c>
      <c r="K39" s="1123" t="s">
        <v>894</v>
      </c>
      <c r="L39" s="994">
        <f t="shared" si="56"/>
        <v>0.34142184886499405</v>
      </c>
      <c r="M39" s="455">
        <v>1.2</v>
      </c>
      <c r="N39" s="301">
        <f>P39*E39*F39+I39*E39*F39+J39*E39</f>
        <v>2.7857407407407414E-3</v>
      </c>
      <c r="O39" s="302">
        <f t="shared" ref="O39" si="57">C39*(G39/25)</f>
        <v>1.7527006172839515E-4</v>
      </c>
      <c r="P39" s="302">
        <f t="shared" si="54"/>
        <v>2.1032407407407417E-4</v>
      </c>
      <c r="Q39" s="550">
        <v>146</v>
      </c>
      <c r="R39" s="369">
        <f t="shared" si="55"/>
        <v>80</v>
      </c>
      <c r="S39" s="1118">
        <f t="shared" si="15"/>
        <v>0.08</v>
      </c>
      <c r="T39" s="1119">
        <f t="shared" si="16"/>
        <v>2.8043209876543224E-3</v>
      </c>
      <c r="U39" s="374">
        <f t="shared" si="17"/>
        <v>0</v>
      </c>
      <c r="V39" s="1120">
        <f t="shared" si="18"/>
        <v>0.08</v>
      </c>
      <c r="W39" s="376">
        <f t="shared" si="19"/>
        <v>0</v>
      </c>
      <c r="X39" s="377">
        <f t="shared" si="20"/>
        <v>0</v>
      </c>
      <c r="Y39" s="378">
        <f t="shared" si="21"/>
        <v>0</v>
      </c>
      <c r="Z39" s="1121">
        <f t="shared" si="22"/>
        <v>0</v>
      </c>
      <c r="AA39" s="1122">
        <f t="shared" si="23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  <c r="AN39" s="204"/>
    </row>
    <row r="40" spans="1:40" ht="14" customHeight="1">
      <c r="A40" s="1116" t="s">
        <v>462</v>
      </c>
      <c r="B40" s="1142" t="s">
        <v>459</v>
      </c>
      <c r="C40" s="274">
        <f t="shared" si="51"/>
        <v>1.8229166666666673E-4</v>
      </c>
      <c r="D40" s="4558">
        <v>6</v>
      </c>
      <c r="E40" s="4559">
        <v>2</v>
      </c>
      <c r="F40" s="4559">
        <v>4</v>
      </c>
      <c r="G40" s="4559">
        <v>75</v>
      </c>
      <c r="H40" s="4559"/>
      <c r="I40" s="4560">
        <v>6.9444444444444447E-4</v>
      </c>
      <c r="J40" s="4560">
        <v>3.472222222222222E-3</v>
      </c>
      <c r="K40" s="4561" t="s">
        <v>974</v>
      </c>
      <c r="L40" s="4560">
        <f>L38+N38</f>
        <v>0.34142184886499405</v>
      </c>
      <c r="M40" s="4562">
        <v>1.08</v>
      </c>
      <c r="N40" s="4560">
        <f t="shared" ref="N40:N41" si="58">P40*E40*F40+I40*E40*F40+J40*E40</f>
        <v>1.7319500000000002E-2</v>
      </c>
      <c r="O40" s="4563">
        <f>C40*(G40/25)*1.02</f>
        <v>5.5781250000000015E-4</v>
      </c>
      <c r="P40" s="4564">
        <f t="shared" si="54"/>
        <v>6.0243750000000022E-4</v>
      </c>
      <c r="Q40" s="4565">
        <v>177</v>
      </c>
      <c r="R40" s="4559">
        <f t="shared" si="55"/>
        <v>600</v>
      </c>
      <c r="S40" s="1118">
        <f t="shared" si="15"/>
        <v>0.6</v>
      </c>
      <c r="T40" s="1119">
        <f t="shared" si="16"/>
        <v>1.7850000000000005E-2</v>
      </c>
      <c r="U40" s="374">
        <f t="shared" si="17"/>
        <v>0</v>
      </c>
      <c r="V40" s="1120">
        <f t="shared" si="18"/>
        <v>0</v>
      </c>
      <c r="W40" s="376">
        <f t="shared" si="19"/>
        <v>0</v>
      </c>
      <c r="X40" s="377">
        <f t="shared" si="20"/>
        <v>0</v>
      </c>
      <c r="Y40" s="378">
        <f t="shared" si="21"/>
        <v>0</v>
      </c>
      <c r="Z40" s="1121">
        <f t="shared" si="22"/>
        <v>0.6</v>
      </c>
      <c r="AA40" s="1122">
        <f t="shared" si="23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  <c r="AN40" s="204"/>
    </row>
    <row r="41" spans="1:40">
      <c r="A41" s="1116" t="s">
        <v>460</v>
      </c>
      <c r="B41" s="1142" t="s">
        <v>459</v>
      </c>
      <c r="C41" s="274">
        <f t="shared" si="51"/>
        <v>2.0247664488766629E-4</v>
      </c>
      <c r="D41" s="892">
        <v>4</v>
      </c>
      <c r="E41" s="303">
        <v>1</v>
      </c>
      <c r="F41" s="303">
        <v>6</v>
      </c>
      <c r="G41" s="303">
        <v>40</v>
      </c>
      <c r="H41" s="303"/>
      <c r="I41" s="304">
        <v>3.4722222222222224E-4</v>
      </c>
      <c r="J41" s="304">
        <v>1.3888888888888889E-3</v>
      </c>
      <c r="K41" s="316" t="s">
        <v>974</v>
      </c>
      <c r="L41" s="304">
        <f t="shared" ref="L41:L43" si="59">L40+N40</f>
        <v>0.35874134886499404</v>
      </c>
      <c r="M41" s="457">
        <v>1.07</v>
      </c>
      <c r="N41" s="304">
        <f t="shared" si="58"/>
        <v>5.5520623185083308E-3</v>
      </c>
      <c r="O41" s="297">
        <f>C41*(G41/25)</f>
        <v>3.239626318202661E-4</v>
      </c>
      <c r="P41" s="297">
        <f t="shared" si="54"/>
        <v>3.4664001604768472E-4</v>
      </c>
      <c r="Q41" s="334">
        <v>166</v>
      </c>
      <c r="R41" s="303">
        <f>E41*F41*G41</f>
        <v>240</v>
      </c>
      <c r="S41" s="1118">
        <f t="shared" si="15"/>
        <v>0.24</v>
      </c>
      <c r="T41" s="1119">
        <f t="shared" si="16"/>
        <v>7.7751031636863858E-3</v>
      </c>
      <c r="U41" s="374">
        <f t="shared" si="17"/>
        <v>0</v>
      </c>
      <c r="V41" s="1120">
        <f t="shared" si="18"/>
        <v>0</v>
      </c>
      <c r="W41" s="376">
        <f t="shared" si="19"/>
        <v>0</v>
      </c>
      <c r="X41" s="377">
        <f t="shared" si="20"/>
        <v>0.24</v>
      </c>
      <c r="Y41" s="378">
        <f t="shared" si="21"/>
        <v>0</v>
      </c>
      <c r="Z41" s="1121">
        <f t="shared" si="22"/>
        <v>0</v>
      </c>
      <c r="AA41" s="1122">
        <f t="shared" si="23"/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  <c r="AN41" s="204"/>
    </row>
    <row r="42" spans="1:40">
      <c r="A42" s="1116" t="s">
        <v>458</v>
      </c>
      <c r="B42" s="1142" t="s">
        <v>459</v>
      </c>
      <c r="C42" s="274">
        <f t="shared" si="51"/>
        <v>2.1908757716049393E-4</v>
      </c>
      <c r="D42" s="890">
        <v>2</v>
      </c>
      <c r="E42" s="300">
        <v>1</v>
      </c>
      <c r="F42" s="300">
        <v>8</v>
      </c>
      <c r="G42" s="300">
        <v>20</v>
      </c>
      <c r="H42" s="300"/>
      <c r="I42" s="301">
        <v>1.3888888888888889E-4</v>
      </c>
      <c r="J42" s="301">
        <v>1.3888888888888889E-3</v>
      </c>
      <c r="K42" s="1123" t="s">
        <v>1967</v>
      </c>
      <c r="L42" s="994">
        <f t="shared" si="59"/>
        <v>0.36429341118350239</v>
      </c>
      <c r="M42" s="455">
        <v>1.2</v>
      </c>
      <c r="N42" s="301">
        <f>P42*E42*F42+I42*E42*F42+J42*E42</f>
        <v>4.1825925925925937E-3</v>
      </c>
      <c r="O42" s="302">
        <f t="shared" ref="O42" si="60">C42*(G42/25)</f>
        <v>1.7527006172839515E-4</v>
      </c>
      <c r="P42" s="302">
        <f t="shared" si="54"/>
        <v>2.1032407407407417E-4</v>
      </c>
      <c r="Q42" s="550">
        <v>146</v>
      </c>
      <c r="R42" s="369">
        <f t="shared" ref="R42" si="61">E42*F42*G42</f>
        <v>160</v>
      </c>
      <c r="S42" s="1118">
        <f t="shared" si="15"/>
        <v>0.16</v>
      </c>
      <c r="T42" s="1119">
        <f t="shared" si="16"/>
        <v>5.6086419753086448E-3</v>
      </c>
      <c r="U42" s="374">
        <f t="shared" si="17"/>
        <v>0</v>
      </c>
      <c r="V42" s="1120">
        <f t="shared" si="18"/>
        <v>0.16</v>
      </c>
      <c r="W42" s="376">
        <f t="shared" si="19"/>
        <v>0</v>
      </c>
      <c r="X42" s="377">
        <f t="shared" si="20"/>
        <v>0</v>
      </c>
      <c r="Y42" s="378">
        <f t="shared" si="21"/>
        <v>0</v>
      </c>
      <c r="Z42" s="1121">
        <f t="shared" si="22"/>
        <v>0</v>
      </c>
      <c r="AA42" s="1122">
        <f t="shared" si="23"/>
        <v>0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  <c r="AN42" s="204"/>
    </row>
    <row r="43" spans="1:40" ht="14" thickBot="1">
      <c r="A43" s="1116"/>
      <c r="B43" s="1116"/>
      <c r="C43" s="641"/>
      <c r="D43" s="959"/>
      <c r="E43" s="642"/>
      <c r="F43" s="642"/>
      <c r="G43" s="642"/>
      <c r="H43" s="642"/>
      <c r="I43" s="642"/>
      <c r="J43" s="642"/>
      <c r="K43" s="642"/>
      <c r="L43" s="1003">
        <f t="shared" si="59"/>
        <v>0.36847600377609496</v>
      </c>
      <c r="M43" s="643"/>
      <c r="N43" s="644">
        <f>SUM(N37:N42)</f>
        <v>5.8761744516835697E-2</v>
      </c>
      <c r="O43" s="642"/>
      <c r="P43" s="642"/>
      <c r="Q43" s="642"/>
      <c r="R43" s="645">
        <f>SUM(R37:R42)</f>
        <v>2360</v>
      </c>
      <c r="S43" s="1118">
        <f t="shared" si="15"/>
        <v>0</v>
      </c>
      <c r="T43" s="1119">
        <f t="shared" si="16"/>
        <v>0</v>
      </c>
      <c r="U43" s="374">
        <f t="shared" si="17"/>
        <v>0</v>
      </c>
      <c r="V43" s="1120">
        <f t="shared" si="18"/>
        <v>0</v>
      </c>
      <c r="W43" s="376">
        <f t="shared" si="19"/>
        <v>0</v>
      </c>
      <c r="X43" s="377">
        <f t="shared" si="20"/>
        <v>0</v>
      </c>
      <c r="Y43" s="378">
        <f t="shared" si="21"/>
        <v>0</v>
      </c>
      <c r="Z43" s="1121">
        <f t="shared" si="22"/>
        <v>0</v>
      </c>
      <c r="AA43" s="1122">
        <f t="shared" si="23"/>
        <v>0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  <c r="AN43" s="204"/>
    </row>
    <row r="44" spans="1:40" ht="14" thickBot="1">
      <c r="A44" s="851" t="s">
        <v>219</v>
      </c>
      <c r="B44" s="1124" t="s">
        <v>459</v>
      </c>
      <c r="C44" s="274">
        <f t="shared" ref="C44" si="62">IF(D44=1,U$5,IF(D44=2,V$5,IF(D44=3,W$5,IF(D44=4,X$5,IF(D44=5,Y$5,IF(D44=6,Z$5,IF(D44=7,AA$5,0)))))))</f>
        <v>2.2880964381720439E-4</v>
      </c>
      <c r="D44" s="547">
        <v>1</v>
      </c>
      <c r="E44" s="4394">
        <v>1</v>
      </c>
      <c r="F44" s="4394">
        <v>1</v>
      </c>
      <c r="G44" s="4394">
        <v>300</v>
      </c>
      <c r="H44" s="4394"/>
      <c r="I44" s="4395">
        <v>1.1574074074074073E-4</v>
      </c>
      <c r="J44" s="4395">
        <v>1.3888888888888889E-3</v>
      </c>
      <c r="K44" s="4572" t="s">
        <v>2421</v>
      </c>
      <c r="L44" s="4573">
        <v>0.33333333333333331</v>
      </c>
      <c r="M44" s="4574">
        <v>1</v>
      </c>
      <c r="N44" s="4395">
        <f t="shared" ref="N44" si="63">P44*E44*F44+I44*E44*F44+J44*E44</f>
        <v>4.2503453554360825E-3</v>
      </c>
      <c r="O44" s="296">
        <f t="shared" ref="O44" si="64">C44*(G44/25)</f>
        <v>2.7457157258064528E-3</v>
      </c>
      <c r="P44" s="296">
        <f t="shared" ref="P44" si="65">O44*M44</f>
        <v>2.7457157258064528E-3</v>
      </c>
      <c r="Q44" s="548">
        <v>147</v>
      </c>
      <c r="R44" s="275">
        <f t="shared" ref="R44" si="66">E44*F44*G44</f>
        <v>300</v>
      </c>
      <c r="S44" s="1118">
        <f t="shared" si="15"/>
        <v>0.3</v>
      </c>
      <c r="T44" s="1119">
        <f t="shared" si="16"/>
        <v>1.0982862903225811E-2</v>
      </c>
      <c r="U44" s="374">
        <f t="shared" si="17"/>
        <v>0.3</v>
      </c>
      <c r="V44" s="1120">
        <f t="shared" si="18"/>
        <v>0</v>
      </c>
      <c r="W44" s="376">
        <f t="shared" si="19"/>
        <v>0</v>
      </c>
      <c r="X44" s="377">
        <f t="shared" si="20"/>
        <v>0</v>
      </c>
      <c r="Y44" s="378">
        <f t="shared" si="21"/>
        <v>0</v>
      </c>
      <c r="Z44" s="1121">
        <f t="shared" si="22"/>
        <v>0</v>
      </c>
      <c r="AA44" s="1122">
        <f t="shared" si="23"/>
        <v>0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  <c r="AN44" s="204"/>
    </row>
    <row r="45" spans="1:40" ht="15" thickTop="1" thickBot="1">
      <c r="A45" s="204"/>
      <c r="B45" s="204"/>
      <c r="C45" s="4444"/>
      <c r="D45" s="4444"/>
      <c r="E45" s="4521">
        <f>U45*100000/$Q$45</f>
        <v>15.961305925030228</v>
      </c>
      <c r="F45" s="4521">
        <f t="shared" ref="F45:K45" si="67">V45*100000/$Q$45</f>
        <v>12.575574365175331</v>
      </c>
      <c r="G45" s="4521">
        <f t="shared" si="67"/>
        <v>17.412333736396612</v>
      </c>
      <c r="H45" s="4521">
        <f t="shared" si="67"/>
        <v>13.542926239419588</v>
      </c>
      <c r="I45" s="4521">
        <f t="shared" si="67"/>
        <v>6.6505441354292616</v>
      </c>
      <c r="J45" s="4521">
        <f t="shared" si="67"/>
        <v>28.698105602579602</v>
      </c>
      <c r="K45" s="4521">
        <f t="shared" si="67"/>
        <v>5.1592099959693662</v>
      </c>
      <c r="L45" s="4378" t="s">
        <v>1922</v>
      </c>
      <c r="M45" s="4520"/>
      <c r="N45" s="2379"/>
      <c r="O45" s="2379"/>
      <c r="P45" s="2379"/>
      <c r="Q45" s="7871">
        <f>AB45*1000</f>
        <v>12405.000000000002</v>
      </c>
      <c r="R45" s="7872"/>
      <c r="S45" s="238"/>
      <c r="T45" s="1129"/>
      <c r="U45" s="240">
        <f t="shared" ref="U45:AA45" si="68">SUM(U6:U44)</f>
        <v>1.98</v>
      </c>
      <c r="V45" s="240">
        <f t="shared" si="68"/>
        <v>1.56</v>
      </c>
      <c r="W45" s="240">
        <f t="shared" si="68"/>
        <v>2.16</v>
      </c>
      <c r="X45" s="240">
        <f t="shared" si="68"/>
        <v>1.68</v>
      </c>
      <c r="Y45" s="240">
        <f t="shared" si="68"/>
        <v>0.82499999999999996</v>
      </c>
      <c r="Z45" s="240">
        <f t="shared" si="68"/>
        <v>3.56</v>
      </c>
      <c r="AA45" s="240">
        <f t="shared" si="68"/>
        <v>0.64</v>
      </c>
      <c r="AB45" s="565">
        <f>SUM(U45:AA45)</f>
        <v>12.405000000000001</v>
      </c>
      <c r="AC45" s="231">
        <v>0</v>
      </c>
      <c r="AD45" s="231">
        <v>0</v>
      </c>
      <c r="AE45" s="222"/>
      <c r="AF45" s="222"/>
      <c r="AG45" s="222"/>
      <c r="AH45" s="222"/>
      <c r="AI45" s="222"/>
    </row>
    <row r="46" spans="1:40" ht="14" thickBot="1">
      <c r="A46" s="144"/>
      <c r="B46" s="144"/>
      <c r="C46" s="4444"/>
      <c r="D46" s="4444"/>
      <c r="E46" s="4521">
        <f>E45*15/100</f>
        <v>2.3941958887545343</v>
      </c>
      <c r="F46" s="4522">
        <f>F45*15/100</f>
        <v>1.8863361547762998</v>
      </c>
      <c r="G46" s="4523">
        <f t="shared" ref="G46:K46" si="69">G45*15/100</f>
        <v>2.6118500604594921</v>
      </c>
      <c r="H46" s="4524">
        <f t="shared" si="69"/>
        <v>2.0314389359129383</v>
      </c>
      <c r="I46" s="4525">
        <f t="shared" si="69"/>
        <v>0.99758162031438924</v>
      </c>
      <c r="J46" s="4526">
        <f t="shared" si="69"/>
        <v>4.3047158403869403</v>
      </c>
      <c r="K46" s="4527">
        <f t="shared" si="69"/>
        <v>0.77388149939540496</v>
      </c>
      <c r="L46" s="4378" t="s">
        <v>1252</v>
      </c>
      <c r="M46" s="144"/>
      <c r="N46" s="144"/>
      <c r="O46" s="144"/>
      <c r="P46" s="144"/>
      <c r="Q46" s="144"/>
      <c r="R46" s="144"/>
      <c r="S46" s="144"/>
      <c r="T46" s="144"/>
      <c r="U46" s="566">
        <f>IF(U45&gt;0,U45,#REF!)</f>
        <v>1.98</v>
      </c>
      <c r="V46" s="566">
        <f>IF(V45&gt;0,V45,#REF!)</f>
        <v>1.56</v>
      </c>
      <c r="W46" s="566">
        <f>IF(W45&gt;0,W45,#REF!)</f>
        <v>2.16</v>
      </c>
      <c r="X46" s="566">
        <f>IF(X45&gt;0,X45,#REF!)</f>
        <v>1.68</v>
      </c>
      <c r="Y46" s="566">
        <f>IF(Y45&gt;0,Y45,#REF!)</f>
        <v>0.82499999999999996</v>
      </c>
      <c r="Z46" s="566">
        <f>IF(Z45&gt;0,Z45,#REF!)</f>
        <v>3.56</v>
      </c>
      <c r="AA46" s="566">
        <f>IF(AA45&gt;0,AA45,#REF!)</f>
        <v>0.64</v>
      </c>
      <c r="AB46" s="144"/>
      <c r="AC46" s="213"/>
      <c r="AD46" s="213"/>
      <c r="AE46" s="222"/>
      <c r="AF46" s="222"/>
      <c r="AG46" s="222"/>
      <c r="AH46" s="222"/>
      <c r="AI46" s="222"/>
      <c r="AJ46" s="213"/>
      <c r="AK46" s="213"/>
      <c r="AL46" s="213"/>
      <c r="AM46" s="213"/>
    </row>
    <row r="47" spans="1:40" s="245" customFormat="1">
      <c r="A47" s="144"/>
      <c r="B47" s="144"/>
      <c r="C47" s="144"/>
      <c r="D47" s="906"/>
      <c r="E47" s="144"/>
      <c r="F47" s="144"/>
      <c r="G47" s="144"/>
      <c r="H47" s="144"/>
      <c r="I47" s="144"/>
      <c r="J47" s="144"/>
      <c r="K47" s="144"/>
      <c r="L47" s="998"/>
      <c r="M47" s="144"/>
      <c r="N47" s="144"/>
      <c r="O47" s="144"/>
      <c r="P47" s="144"/>
      <c r="Q47" s="144"/>
      <c r="R47" s="144"/>
      <c r="S47" s="144"/>
      <c r="T47" s="144"/>
      <c r="U47" s="566">
        <f t="shared" ref="U47:AA62" si="70">IF(U46&gt;0,U46,U45)</f>
        <v>1.98</v>
      </c>
      <c r="V47" s="566">
        <f t="shared" si="70"/>
        <v>1.56</v>
      </c>
      <c r="W47" s="566">
        <f t="shared" si="70"/>
        <v>2.16</v>
      </c>
      <c r="X47" s="566">
        <f t="shared" si="70"/>
        <v>1.68</v>
      </c>
      <c r="Y47" s="566">
        <f t="shared" si="70"/>
        <v>0.82499999999999996</v>
      </c>
      <c r="Z47" s="566">
        <f t="shared" si="70"/>
        <v>3.56</v>
      </c>
      <c r="AA47" s="566">
        <f t="shared" si="70"/>
        <v>0.64</v>
      </c>
      <c r="AB47" s="144"/>
      <c r="AC47" s="214"/>
      <c r="AD47" s="214"/>
      <c r="AE47" s="222"/>
      <c r="AF47" s="222"/>
      <c r="AG47" s="222"/>
      <c r="AH47" s="222"/>
      <c r="AI47" s="222"/>
      <c r="AJ47" s="214"/>
      <c r="AK47" s="214"/>
      <c r="AL47" s="214"/>
      <c r="AM47" s="214"/>
      <c r="AN47" s="244"/>
    </row>
    <row r="48" spans="1:40">
      <c r="A48" s="144"/>
      <c r="B48" s="144"/>
      <c r="C48" s="144"/>
      <c r="D48" s="906"/>
      <c r="E48" s="144"/>
      <c r="F48" s="144"/>
      <c r="G48" s="144"/>
      <c r="H48" s="144"/>
      <c r="I48" s="144"/>
      <c r="J48" s="144"/>
      <c r="K48" s="144"/>
      <c r="L48" s="998"/>
      <c r="M48" s="144"/>
      <c r="N48" s="144"/>
      <c r="O48" s="144"/>
      <c r="P48" s="144"/>
      <c r="Q48" s="144"/>
      <c r="R48" s="144"/>
      <c r="S48" s="144"/>
      <c r="T48" s="144"/>
      <c r="U48" s="566">
        <f t="shared" si="70"/>
        <v>1.98</v>
      </c>
      <c r="V48" s="566">
        <f t="shared" si="70"/>
        <v>1.56</v>
      </c>
      <c r="W48" s="566">
        <f t="shared" si="70"/>
        <v>2.16</v>
      </c>
      <c r="X48" s="566">
        <f t="shared" si="70"/>
        <v>1.68</v>
      </c>
      <c r="Y48" s="566">
        <f t="shared" si="70"/>
        <v>0.82499999999999996</v>
      </c>
      <c r="Z48" s="566">
        <f t="shared" si="70"/>
        <v>3.56</v>
      </c>
      <c r="AA48" s="566">
        <f t="shared" si="70"/>
        <v>0.64</v>
      </c>
      <c r="AB48" s="144"/>
      <c r="AE48" s="222"/>
      <c r="AF48" s="222"/>
      <c r="AG48" s="222"/>
      <c r="AH48" s="222"/>
      <c r="AI48" s="222"/>
    </row>
    <row r="49" spans="1:40">
      <c r="A49" s="144"/>
      <c r="B49" s="144"/>
      <c r="C49" s="144"/>
      <c r="D49" s="906"/>
      <c r="E49" s="144"/>
      <c r="F49" s="144"/>
      <c r="G49" s="144"/>
      <c r="H49" s="144"/>
      <c r="I49" s="144"/>
      <c r="J49" s="144"/>
      <c r="K49" s="144"/>
      <c r="L49" s="998"/>
      <c r="M49" s="144"/>
      <c r="N49" s="144"/>
      <c r="O49" s="144"/>
      <c r="P49" s="144"/>
      <c r="Q49" s="144"/>
      <c r="R49" s="144"/>
      <c r="S49" s="144"/>
      <c r="T49" s="144"/>
      <c r="U49" s="566">
        <f t="shared" si="70"/>
        <v>1.98</v>
      </c>
      <c r="V49" s="566">
        <f t="shared" si="70"/>
        <v>1.56</v>
      </c>
      <c r="W49" s="566">
        <f t="shared" si="70"/>
        <v>2.16</v>
      </c>
      <c r="X49" s="566">
        <f t="shared" si="70"/>
        <v>1.68</v>
      </c>
      <c r="Y49" s="566">
        <f t="shared" si="70"/>
        <v>0.82499999999999996</v>
      </c>
      <c r="Z49" s="566">
        <f t="shared" si="70"/>
        <v>3.56</v>
      </c>
      <c r="AA49" s="566">
        <f t="shared" si="70"/>
        <v>0.64</v>
      </c>
      <c r="AB49" s="144"/>
    </row>
    <row r="50" spans="1:40">
      <c r="A50" s="144"/>
      <c r="B50" s="144"/>
      <c r="C50" s="144"/>
      <c r="D50" s="906"/>
      <c r="E50" s="144"/>
      <c r="F50" s="144"/>
      <c r="G50" s="144"/>
      <c r="H50" s="144"/>
      <c r="I50" s="144"/>
      <c r="J50" s="144"/>
      <c r="K50" s="204"/>
      <c r="L50" s="998"/>
      <c r="M50" s="144"/>
      <c r="N50" s="144"/>
      <c r="O50" s="144"/>
      <c r="P50" s="144"/>
      <c r="Q50" s="144"/>
      <c r="R50" s="144"/>
      <c r="S50" s="144"/>
      <c r="T50" s="144"/>
      <c r="U50" s="566">
        <f t="shared" si="70"/>
        <v>1.98</v>
      </c>
      <c r="V50" s="566">
        <f t="shared" si="70"/>
        <v>1.56</v>
      </c>
      <c r="W50" s="566">
        <f t="shared" si="70"/>
        <v>2.16</v>
      </c>
      <c r="X50" s="566">
        <f t="shared" si="70"/>
        <v>1.68</v>
      </c>
      <c r="Y50" s="566">
        <f t="shared" si="70"/>
        <v>0.82499999999999996</v>
      </c>
      <c r="Z50" s="566">
        <f t="shared" si="70"/>
        <v>3.56</v>
      </c>
      <c r="AA50" s="566">
        <f t="shared" si="70"/>
        <v>0.64</v>
      </c>
      <c r="AB50" s="144"/>
      <c r="AC50" s="221"/>
      <c r="AD50" s="222"/>
      <c r="AE50" s="222"/>
      <c r="AF50" s="222"/>
      <c r="AG50" s="222"/>
      <c r="AH50" s="222"/>
      <c r="AI50" s="220"/>
    </row>
    <row r="51" spans="1:40">
      <c r="A51" s="144"/>
      <c r="B51" s="144"/>
      <c r="C51" s="144"/>
      <c r="D51" s="906"/>
      <c r="E51" s="144"/>
      <c r="F51" s="144"/>
      <c r="G51" s="144"/>
      <c r="H51" s="144"/>
      <c r="I51" s="144"/>
      <c r="J51" s="144"/>
      <c r="K51" s="144"/>
      <c r="L51" s="998"/>
      <c r="M51" s="144"/>
      <c r="N51" s="144"/>
      <c r="O51" s="144"/>
      <c r="P51" s="144"/>
      <c r="Q51" s="144"/>
      <c r="R51" s="144"/>
      <c r="S51" s="144"/>
      <c r="T51" s="144"/>
      <c r="U51" s="566">
        <f t="shared" si="70"/>
        <v>1.98</v>
      </c>
      <c r="V51" s="566">
        <f t="shared" si="70"/>
        <v>1.56</v>
      </c>
      <c r="W51" s="566">
        <f t="shared" si="70"/>
        <v>2.16</v>
      </c>
      <c r="X51" s="566">
        <f t="shared" si="70"/>
        <v>1.68</v>
      </c>
      <c r="Y51" s="566">
        <f t="shared" si="70"/>
        <v>0.82499999999999996</v>
      </c>
      <c r="Z51" s="566">
        <f t="shared" si="70"/>
        <v>3.56</v>
      </c>
      <c r="AA51" s="566">
        <f t="shared" si="70"/>
        <v>0.64</v>
      </c>
      <c r="AB51" s="144"/>
      <c r="AC51" s="231" t="s">
        <v>193</v>
      </c>
      <c r="AD51" s="227"/>
      <c r="AE51" s="227"/>
      <c r="AF51" s="227"/>
      <c r="AG51" s="227"/>
      <c r="AH51" s="227"/>
      <c r="AI51" s="225"/>
    </row>
    <row r="52" spans="1:40">
      <c r="A52" s="144"/>
      <c r="B52" s="144"/>
      <c r="C52" s="144"/>
      <c r="D52" s="906"/>
      <c r="E52" s="144"/>
      <c r="F52" s="144"/>
      <c r="G52" s="144"/>
      <c r="H52" s="144"/>
      <c r="I52" s="144"/>
      <c r="J52" s="144"/>
      <c r="K52" s="144"/>
      <c r="L52" s="998"/>
      <c r="M52" s="144"/>
      <c r="N52" s="144"/>
      <c r="O52" s="144"/>
      <c r="P52" s="144"/>
      <c r="Q52" s="144"/>
      <c r="R52" s="144"/>
      <c r="S52" s="144"/>
      <c r="T52" s="144"/>
      <c r="U52" s="566">
        <f t="shared" si="70"/>
        <v>1.98</v>
      </c>
      <c r="V52" s="566">
        <f t="shared" si="70"/>
        <v>1.56</v>
      </c>
      <c r="W52" s="566">
        <f t="shared" si="70"/>
        <v>2.16</v>
      </c>
      <c r="X52" s="566">
        <f t="shared" si="70"/>
        <v>1.68</v>
      </c>
      <c r="Y52" s="566">
        <f t="shared" si="70"/>
        <v>0.82499999999999996</v>
      </c>
      <c r="Z52" s="566">
        <f t="shared" si="70"/>
        <v>3.56</v>
      </c>
      <c r="AA52" s="566">
        <f t="shared" si="70"/>
        <v>0.64</v>
      </c>
      <c r="AB52" s="144"/>
      <c r="AC52" s="231">
        <v>0</v>
      </c>
      <c r="AD52" s="231">
        <v>0</v>
      </c>
      <c r="AE52" s="231">
        <v>0</v>
      </c>
      <c r="AF52" s="231">
        <v>0</v>
      </c>
      <c r="AG52" s="231">
        <v>0</v>
      </c>
      <c r="AH52" s="231">
        <v>0</v>
      </c>
      <c r="AI52" s="225"/>
    </row>
    <row r="53" spans="1:40">
      <c r="A53" s="144"/>
      <c r="B53" s="144"/>
      <c r="C53" s="144"/>
      <c r="D53" s="906"/>
      <c r="E53" s="144"/>
      <c r="F53" s="144"/>
      <c r="G53" s="144"/>
      <c r="H53" s="144"/>
      <c r="I53" s="144"/>
      <c r="J53" s="144"/>
      <c r="K53" s="144"/>
      <c r="L53" s="998"/>
      <c r="M53" s="144"/>
      <c r="N53" s="144"/>
      <c r="O53" s="144"/>
      <c r="P53" s="144"/>
      <c r="Q53" s="144"/>
      <c r="R53" s="144"/>
      <c r="S53" s="144"/>
      <c r="T53" s="144"/>
      <c r="U53" s="566">
        <f t="shared" si="70"/>
        <v>1.98</v>
      </c>
      <c r="V53" s="566">
        <f t="shared" si="70"/>
        <v>1.56</v>
      </c>
      <c r="W53" s="566">
        <f t="shared" si="70"/>
        <v>2.16</v>
      </c>
      <c r="X53" s="566">
        <f t="shared" si="70"/>
        <v>1.68</v>
      </c>
      <c r="Y53" s="566">
        <f t="shared" si="70"/>
        <v>0.82499999999999996</v>
      </c>
      <c r="Z53" s="566">
        <f t="shared" si="70"/>
        <v>3.56</v>
      </c>
      <c r="AA53" s="566">
        <f t="shared" si="70"/>
        <v>0.64</v>
      </c>
      <c r="AB53" s="144"/>
      <c r="AC53" s="231"/>
      <c r="AD53" s="231"/>
      <c r="AE53" s="231"/>
      <c r="AF53" s="231"/>
      <c r="AG53" s="231"/>
      <c r="AH53" s="231"/>
      <c r="AI53" s="225"/>
    </row>
    <row r="54" spans="1:40">
      <c r="A54" s="144"/>
      <c r="B54" s="144"/>
      <c r="C54" s="144"/>
      <c r="D54" s="906"/>
      <c r="E54" s="144"/>
      <c r="F54" s="144"/>
      <c r="G54" s="144"/>
      <c r="H54" s="144"/>
      <c r="I54" s="144"/>
      <c r="J54" s="144"/>
      <c r="K54" s="144"/>
      <c r="L54" s="998"/>
      <c r="M54" s="144"/>
      <c r="N54" s="144"/>
      <c r="O54" s="144"/>
      <c r="P54" s="144"/>
      <c r="Q54" s="144"/>
      <c r="R54" s="144"/>
      <c r="S54" s="144"/>
      <c r="T54" s="144"/>
      <c r="U54" s="566">
        <f t="shared" si="70"/>
        <v>1.98</v>
      </c>
      <c r="V54" s="566">
        <f t="shared" si="70"/>
        <v>1.56</v>
      </c>
      <c r="W54" s="566">
        <f t="shared" si="70"/>
        <v>2.16</v>
      </c>
      <c r="X54" s="566">
        <f t="shared" si="70"/>
        <v>1.68</v>
      </c>
      <c r="Y54" s="566">
        <f t="shared" si="70"/>
        <v>0.82499999999999996</v>
      </c>
      <c r="Z54" s="566">
        <f t="shared" si="70"/>
        <v>3.56</v>
      </c>
      <c r="AA54" s="566">
        <f t="shared" si="70"/>
        <v>0.64</v>
      </c>
      <c r="AB54" s="144"/>
      <c r="AC54" s="231"/>
      <c r="AD54" s="231"/>
      <c r="AE54" s="231"/>
      <c r="AF54" s="231"/>
      <c r="AG54" s="231"/>
      <c r="AH54" s="231"/>
      <c r="AI54" s="225"/>
    </row>
    <row r="55" spans="1:40">
      <c r="A55" s="144"/>
      <c r="B55" s="144"/>
      <c r="C55" s="144"/>
      <c r="D55" s="906"/>
      <c r="E55" s="144"/>
      <c r="F55" s="144"/>
      <c r="G55" s="144"/>
      <c r="H55" s="144"/>
      <c r="I55" s="144"/>
      <c r="J55" s="144"/>
      <c r="K55" s="144"/>
      <c r="L55" s="998"/>
      <c r="M55" s="144"/>
      <c r="N55" s="144"/>
      <c r="O55" s="144"/>
      <c r="P55" s="144"/>
      <c r="Q55" s="144"/>
      <c r="R55" s="144"/>
      <c r="S55" s="144"/>
      <c r="T55" s="144"/>
      <c r="U55" s="566">
        <f t="shared" si="70"/>
        <v>1.98</v>
      </c>
      <c r="V55" s="566">
        <f t="shared" si="70"/>
        <v>1.56</v>
      </c>
      <c r="W55" s="566">
        <f t="shared" si="70"/>
        <v>2.16</v>
      </c>
      <c r="X55" s="566">
        <f t="shared" si="70"/>
        <v>1.68</v>
      </c>
      <c r="Y55" s="566">
        <f t="shared" si="70"/>
        <v>0.82499999999999996</v>
      </c>
      <c r="Z55" s="566">
        <f t="shared" si="70"/>
        <v>3.56</v>
      </c>
      <c r="AA55" s="566">
        <f t="shared" si="70"/>
        <v>0.64</v>
      </c>
      <c r="AB55" s="144"/>
      <c r="AC55" s="231">
        <v>0</v>
      </c>
      <c r="AD55" s="231">
        <v>0</v>
      </c>
      <c r="AE55" s="231">
        <v>0</v>
      </c>
      <c r="AF55" s="231">
        <v>0</v>
      </c>
      <c r="AG55" s="231">
        <v>0</v>
      </c>
      <c r="AH55" s="231">
        <v>0</v>
      </c>
      <c r="AI55" s="225"/>
    </row>
    <row r="56" spans="1:40">
      <c r="A56" s="144"/>
      <c r="B56" s="144"/>
      <c r="C56" s="144"/>
      <c r="D56" s="906"/>
      <c r="E56" s="144"/>
      <c r="F56" s="144"/>
      <c r="G56" s="144"/>
      <c r="H56" s="144"/>
      <c r="I56" s="144"/>
      <c r="J56" s="144"/>
      <c r="K56" s="144"/>
      <c r="L56" s="998"/>
      <c r="M56" s="144"/>
      <c r="N56" s="144"/>
      <c r="O56" s="144"/>
      <c r="P56" s="144"/>
      <c r="Q56" s="144"/>
      <c r="R56" s="144"/>
      <c r="S56" s="144"/>
      <c r="T56" s="144"/>
      <c r="U56" s="566">
        <f t="shared" si="70"/>
        <v>1.98</v>
      </c>
      <c r="V56" s="566">
        <f t="shared" si="70"/>
        <v>1.56</v>
      </c>
      <c r="W56" s="566">
        <f t="shared" si="70"/>
        <v>2.16</v>
      </c>
      <c r="X56" s="566">
        <f t="shared" si="70"/>
        <v>1.68</v>
      </c>
      <c r="Y56" s="566">
        <f t="shared" si="70"/>
        <v>0.82499999999999996</v>
      </c>
      <c r="Z56" s="566">
        <f t="shared" si="70"/>
        <v>3.56</v>
      </c>
      <c r="AA56" s="566">
        <f t="shared" si="70"/>
        <v>0.64</v>
      </c>
      <c r="AB56" s="144"/>
      <c r="AC56" s="231">
        <v>0</v>
      </c>
      <c r="AD56" s="231">
        <v>0</v>
      </c>
      <c r="AE56" s="231">
        <v>0</v>
      </c>
      <c r="AF56" s="231">
        <v>0</v>
      </c>
      <c r="AG56" s="231">
        <v>0</v>
      </c>
      <c r="AH56" s="231">
        <v>0</v>
      </c>
      <c r="AI56" s="213"/>
    </row>
    <row r="57" spans="1:40">
      <c r="A57" s="144"/>
      <c r="B57" s="144"/>
      <c r="C57" s="144"/>
      <c r="D57" s="906"/>
      <c r="E57" s="144"/>
      <c r="F57" s="144"/>
      <c r="G57" s="144"/>
      <c r="H57" s="144"/>
      <c r="I57" s="144"/>
      <c r="J57" s="144"/>
      <c r="K57" s="144"/>
      <c r="L57" s="998"/>
      <c r="M57" s="144"/>
      <c r="N57" s="144"/>
      <c r="O57" s="144"/>
      <c r="P57" s="144"/>
      <c r="Q57" s="144"/>
      <c r="R57" s="144"/>
      <c r="S57" s="144"/>
      <c r="T57" s="144"/>
      <c r="U57" s="566">
        <f t="shared" si="70"/>
        <v>1.98</v>
      </c>
      <c r="V57" s="566">
        <f t="shared" si="70"/>
        <v>1.56</v>
      </c>
      <c r="W57" s="566">
        <f t="shared" si="70"/>
        <v>2.16</v>
      </c>
      <c r="X57" s="566">
        <f t="shared" si="70"/>
        <v>1.68</v>
      </c>
      <c r="Y57" s="566">
        <f t="shared" si="70"/>
        <v>0.82499999999999996</v>
      </c>
      <c r="Z57" s="566">
        <f t="shared" si="70"/>
        <v>3.56</v>
      </c>
      <c r="AA57" s="566">
        <f t="shared" si="70"/>
        <v>0.64</v>
      </c>
      <c r="AB57" s="144"/>
      <c r="AC57" s="231"/>
      <c r="AD57" s="231"/>
      <c r="AE57" s="231"/>
      <c r="AF57" s="231"/>
      <c r="AG57" s="231"/>
      <c r="AH57" s="231"/>
      <c r="AI57" s="213"/>
    </row>
    <row r="58" spans="1:40">
      <c r="A58" s="144"/>
      <c r="B58" s="144"/>
      <c r="C58" s="144"/>
      <c r="D58" s="906"/>
      <c r="E58" s="144"/>
      <c r="F58" s="144"/>
      <c r="G58" s="144"/>
      <c r="H58" s="144"/>
      <c r="I58" s="144"/>
      <c r="J58" s="144"/>
      <c r="K58" s="144"/>
      <c r="L58" s="998"/>
      <c r="M58" s="144"/>
      <c r="N58" s="144"/>
      <c r="O58" s="144"/>
      <c r="P58" s="144"/>
      <c r="Q58" s="144"/>
      <c r="R58" s="144"/>
      <c r="S58" s="144"/>
      <c r="T58" s="144"/>
      <c r="U58" s="566">
        <f t="shared" si="70"/>
        <v>1.98</v>
      </c>
      <c r="V58" s="566">
        <f t="shared" si="70"/>
        <v>1.56</v>
      </c>
      <c r="W58" s="566">
        <f t="shared" si="70"/>
        <v>2.16</v>
      </c>
      <c r="X58" s="566">
        <f t="shared" si="70"/>
        <v>1.68</v>
      </c>
      <c r="Y58" s="566">
        <f t="shared" si="70"/>
        <v>0.82499999999999996</v>
      </c>
      <c r="Z58" s="566">
        <f t="shared" si="70"/>
        <v>3.56</v>
      </c>
      <c r="AA58" s="566">
        <f t="shared" si="70"/>
        <v>0.64</v>
      </c>
      <c r="AB58" s="144"/>
      <c r="AC58" s="231"/>
      <c r="AD58" s="231"/>
      <c r="AE58" s="231"/>
      <c r="AF58" s="231"/>
      <c r="AG58" s="231"/>
      <c r="AH58" s="231"/>
      <c r="AI58" s="213"/>
      <c r="AJ58" s="204"/>
      <c r="AK58" s="204"/>
      <c r="AL58" s="204"/>
      <c r="AM58" s="204"/>
      <c r="AN58" s="204"/>
    </row>
    <row r="59" spans="1:40">
      <c r="A59" s="144"/>
      <c r="B59" s="144"/>
      <c r="C59" s="144"/>
      <c r="D59" s="906"/>
      <c r="E59" s="144"/>
      <c r="F59" s="144"/>
      <c r="G59" s="144"/>
      <c r="H59" s="144"/>
      <c r="I59" s="144"/>
      <c r="J59" s="144"/>
      <c r="K59" s="144"/>
      <c r="L59" s="998"/>
      <c r="M59" s="144"/>
      <c r="N59" s="144"/>
      <c r="O59" s="144"/>
      <c r="P59" s="144"/>
      <c r="Q59" s="144"/>
      <c r="R59" s="144"/>
      <c r="S59" s="144"/>
      <c r="T59" s="144"/>
      <c r="U59" s="566">
        <f t="shared" si="70"/>
        <v>1.98</v>
      </c>
      <c r="V59" s="566">
        <f t="shared" si="70"/>
        <v>1.56</v>
      </c>
      <c r="W59" s="566">
        <f t="shared" si="70"/>
        <v>2.16</v>
      </c>
      <c r="X59" s="566">
        <f t="shared" si="70"/>
        <v>1.68</v>
      </c>
      <c r="Y59" s="566">
        <f t="shared" si="70"/>
        <v>0.82499999999999996</v>
      </c>
      <c r="Z59" s="566">
        <f t="shared" si="70"/>
        <v>3.56</v>
      </c>
      <c r="AA59" s="566">
        <f t="shared" si="70"/>
        <v>0.64</v>
      </c>
      <c r="AB59" s="144"/>
      <c r="AC59" s="231">
        <v>0</v>
      </c>
      <c r="AD59" s="231">
        <v>0</v>
      </c>
      <c r="AE59" s="231">
        <v>0</v>
      </c>
      <c r="AF59" s="231">
        <v>0</v>
      </c>
      <c r="AG59" s="231">
        <v>0</v>
      </c>
      <c r="AH59" s="231">
        <v>0</v>
      </c>
      <c r="AI59" s="213"/>
      <c r="AJ59" s="204"/>
      <c r="AK59" s="204"/>
      <c r="AL59" s="204"/>
      <c r="AM59" s="204"/>
      <c r="AN59" s="204"/>
    </row>
    <row r="60" spans="1:40">
      <c r="A60" s="144"/>
      <c r="B60" s="144"/>
      <c r="C60" s="144"/>
      <c r="D60" s="906"/>
      <c r="E60" s="144"/>
      <c r="F60" s="144"/>
      <c r="G60" s="144"/>
      <c r="H60" s="144"/>
      <c r="I60" s="144"/>
      <c r="J60" s="144"/>
      <c r="K60" s="144"/>
      <c r="L60" s="998"/>
      <c r="M60" s="144"/>
      <c r="N60" s="144"/>
      <c r="O60" s="144"/>
      <c r="P60" s="144"/>
      <c r="Q60" s="144"/>
      <c r="R60" s="144"/>
      <c r="S60" s="144"/>
      <c r="T60" s="144"/>
      <c r="U60" s="566">
        <f t="shared" si="70"/>
        <v>1.98</v>
      </c>
      <c r="V60" s="566">
        <f t="shared" si="70"/>
        <v>1.56</v>
      </c>
      <c r="W60" s="566">
        <f t="shared" si="70"/>
        <v>2.16</v>
      </c>
      <c r="X60" s="566">
        <f t="shared" si="70"/>
        <v>1.68</v>
      </c>
      <c r="Y60" s="566">
        <f t="shared" si="70"/>
        <v>0.82499999999999996</v>
      </c>
      <c r="Z60" s="566">
        <f t="shared" si="70"/>
        <v>3.56</v>
      </c>
      <c r="AA60" s="566">
        <f t="shared" si="70"/>
        <v>0.64</v>
      </c>
      <c r="AB60" s="144"/>
      <c r="AC60" s="231">
        <v>0</v>
      </c>
      <c r="AD60" s="231">
        <v>0</v>
      </c>
      <c r="AE60" s="231">
        <v>0</v>
      </c>
      <c r="AF60" s="231">
        <v>0</v>
      </c>
      <c r="AG60" s="231">
        <v>0</v>
      </c>
      <c r="AH60" s="231">
        <v>0</v>
      </c>
      <c r="AI60" s="213"/>
      <c r="AJ60" s="204"/>
      <c r="AK60" s="204"/>
      <c r="AL60" s="204"/>
      <c r="AM60" s="204"/>
      <c r="AN60" s="204"/>
    </row>
    <row r="61" spans="1:40">
      <c r="A61" s="144"/>
      <c r="B61" s="144"/>
      <c r="C61" s="144"/>
      <c r="D61" s="906"/>
      <c r="E61" s="144"/>
      <c r="F61" s="144"/>
      <c r="G61" s="144"/>
      <c r="H61" s="144"/>
      <c r="I61" s="144"/>
      <c r="J61" s="144"/>
      <c r="K61" s="144"/>
      <c r="L61" s="998"/>
      <c r="M61" s="144"/>
      <c r="N61" s="144"/>
      <c r="O61" s="144"/>
      <c r="P61" s="144"/>
      <c r="Q61" s="144"/>
      <c r="R61" s="144"/>
      <c r="S61" s="144"/>
      <c r="T61" s="144"/>
      <c r="U61" s="566">
        <f t="shared" si="70"/>
        <v>1.98</v>
      </c>
      <c r="V61" s="566">
        <f t="shared" si="70"/>
        <v>1.56</v>
      </c>
      <c r="W61" s="566">
        <f t="shared" si="70"/>
        <v>2.16</v>
      </c>
      <c r="X61" s="566">
        <f t="shared" si="70"/>
        <v>1.68</v>
      </c>
      <c r="Y61" s="566">
        <f t="shared" si="70"/>
        <v>0.82499999999999996</v>
      </c>
      <c r="Z61" s="566">
        <f t="shared" si="70"/>
        <v>3.56</v>
      </c>
      <c r="AA61" s="566">
        <f t="shared" si="70"/>
        <v>0.64</v>
      </c>
      <c r="AB61" s="144"/>
      <c r="AC61" s="231">
        <v>0</v>
      </c>
      <c r="AD61" s="231">
        <v>0</v>
      </c>
      <c r="AE61" s="231">
        <v>0</v>
      </c>
      <c r="AF61" s="231">
        <v>0</v>
      </c>
      <c r="AG61" s="231">
        <v>0</v>
      </c>
      <c r="AH61" s="231">
        <v>0</v>
      </c>
      <c r="AI61" s="213"/>
      <c r="AJ61" s="204"/>
      <c r="AK61" s="204"/>
      <c r="AL61" s="204"/>
      <c r="AM61" s="204"/>
      <c r="AN61" s="204"/>
    </row>
    <row r="62" spans="1:40">
      <c r="A62" s="144"/>
      <c r="B62" s="144"/>
      <c r="C62" s="144"/>
      <c r="D62" s="906"/>
      <c r="E62" s="144"/>
      <c r="F62" s="144"/>
      <c r="G62" s="144"/>
      <c r="H62" s="144"/>
      <c r="I62" s="144"/>
      <c r="J62" s="144"/>
      <c r="K62" s="144"/>
      <c r="L62" s="998"/>
      <c r="M62" s="144"/>
      <c r="N62" s="144"/>
      <c r="O62" s="144"/>
      <c r="P62" s="144"/>
      <c r="Q62" s="144"/>
      <c r="R62" s="144"/>
      <c r="S62" s="144"/>
      <c r="T62" s="144"/>
      <c r="U62" s="566">
        <f t="shared" si="70"/>
        <v>1.98</v>
      </c>
      <c r="V62" s="566">
        <f t="shared" si="70"/>
        <v>1.56</v>
      </c>
      <c r="W62" s="566">
        <f t="shared" si="70"/>
        <v>2.16</v>
      </c>
      <c r="X62" s="566">
        <f t="shared" si="70"/>
        <v>1.68</v>
      </c>
      <c r="Y62" s="566">
        <f t="shared" si="70"/>
        <v>0.82499999999999996</v>
      </c>
      <c r="Z62" s="566">
        <f t="shared" si="70"/>
        <v>3.56</v>
      </c>
      <c r="AA62" s="566">
        <f t="shared" si="70"/>
        <v>0.64</v>
      </c>
      <c r="AB62" s="144"/>
      <c r="AC62" s="231">
        <v>0</v>
      </c>
      <c r="AD62" s="231">
        <v>0</v>
      </c>
      <c r="AE62" s="231">
        <v>0</v>
      </c>
      <c r="AF62" s="231">
        <v>0</v>
      </c>
      <c r="AG62" s="231">
        <v>0</v>
      </c>
      <c r="AH62" s="231">
        <v>0</v>
      </c>
      <c r="AI62" s="213"/>
      <c r="AJ62" s="204"/>
      <c r="AK62" s="204"/>
      <c r="AL62" s="204"/>
      <c r="AM62" s="204"/>
      <c r="AN62" s="204"/>
    </row>
    <row r="63" spans="1:40">
      <c r="A63" s="144"/>
      <c r="B63" s="144"/>
      <c r="C63" s="144"/>
      <c r="D63" s="906"/>
      <c r="E63" s="144"/>
      <c r="F63" s="144"/>
      <c r="G63" s="144"/>
      <c r="H63" s="144"/>
      <c r="I63" s="144"/>
      <c r="J63" s="144"/>
      <c r="K63" s="144"/>
      <c r="L63" s="998"/>
      <c r="M63" s="144"/>
      <c r="N63" s="144"/>
      <c r="O63" s="144"/>
      <c r="P63" s="144"/>
      <c r="Q63" s="144"/>
      <c r="R63" s="144"/>
      <c r="S63" s="144"/>
      <c r="T63" s="144"/>
      <c r="U63" s="566">
        <f t="shared" ref="U63:AA78" si="71">IF(U62&gt;0,U62,U61)</f>
        <v>1.98</v>
      </c>
      <c r="V63" s="566">
        <f t="shared" si="71"/>
        <v>1.56</v>
      </c>
      <c r="W63" s="566">
        <f t="shared" si="71"/>
        <v>2.16</v>
      </c>
      <c r="X63" s="566">
        <f t="shared" si="71"/>
        <v>1.68</v>
      </c>
      <c r="Y63" s="566">
        <f t="shared" si="71"/>
        <v>0.82499999999999996</v>
      </c>
      <c r="Z63" s="566">
        <f t="shared" si="71"/>
        <v>3.56</v>
      </c>
      <c r="AA63" s="566">
        <f t="shared" si="71"/>
        <v>0.64</v>
      </c>
      <c r="AB63" s="144"/>
      <c r="AC63" s="231"/>
      <c r="AD63" s="231"/>
      <c r="AE63" s="231"/>
      <c r="AF63" s="231"/>
      <c r="AG63" s="231"/>
      <c r="AH63" s="231"/>
      <c r="AI63" s="213"/>
      <c r="AJ63" s="204"/>
      <c r="AK63" s="204"/>
      <c r="AL63" s="204"/>
      <c r="AM63" s="204"/>
      <c r="AN63" s="204"/>
    </row>
    <row r="64" spans="1:40">
      <c r="A64" s="144"/>
      <c r="B64" s="144"/>
      <c r="C64" s="144"/>
      <c r="D64" s="906"/>
      <c r="E64" s="144"/>
      <c r="F64" s="144"/>
      <c r="G64" s="144"/>
      <c r="H64" s="144"/>
      <c r="I64" s="144"/>
      <c r="J64" s="144"/>
      <c r="K64" s="144"/>
      <c r="L64" s="998"/>
      <c r="M64" s="144"/>
      <c r="N64" s="144"/>
      <c r="O64" s="144"/>
      <c r="P64" s="144"/>
      <c r="Q64" s="144"/>
      <c r="R64" s="144"/>
      <c r="S64" s="144"/>
      <c r="T64" s="144"/>
      <c r="U64" s="566">
        <f t="shared" si="71"/>
        <v>1.98</v>
      </c>
      <c r="V64" s="566">
        <f t="shared" si="71"/>
        <v>1.56</v>
      </c>
      <c r="W64" s="566">
        <f t="shared" si="71"/>
        <v>2.16</v>
      </c>
      <c r="X64" s="566">
        <f t="shared" si="71"/>
        <v>1.68</v>
      </c>
      <c r="Y64" s="566">
        <f t="shared" si="71"/>
        <v>0.82499999999999996</v>
      </c>
      <c r="Z64" s="566">
        <f t="shared" si="71"/>
        <v>3.56</v>
      </c>
      <c r="AA64" s="566">
        <f t="shared" si="71"/>
        <v>0.64</v>
      </c>
      <c r="AB64" s="144"/>
      <c r="AC64" s="231"/>
      <c r="AD64" s="231"/>
      <c r="AE64" s="231"/>
      <c r="AF64" s="231"/>
      <c r="AG64" s="231"/>
      <c r="AH64" s="231"/>
      <c r="AI64" s="213"/>
      <c r="AJ64" s="204"/>
      <c r="AK64" s="204"/>
      <c r="AL64" s="204"/>
      <c r="AM64" s="204"/>
      <c r="AN64" s="204"/>
    </row>
    <row r="65" spans="1:40">
      <c r="A65" s="144"/>
      <c r="B65" s="144"/>
      <c r="C65" s="144"/>
      <c r="D65" s="906"/>
      <c r="E65" s="144"/>
      <c r="F65" s="144"/>
      <c r="G65" s="144"/>
      <c r="H65" s="144"/>
      <c r="I65" s="144"/>
      <c r="J65" s="144"/>
      <c r="K65" s="144"/>
      <c r="L65" s="998"/>
      <c r="M65" s="144"/>
      <c r="N65" s="144"/>
      <c r="O65" s="144"/>
      <c r="P65" s="144"/>
      <c r="Q65" s="144"/>
      <c r="R65" s="144"/>
      <c r="S65" s="144"/>
      <c r="T65" s="144"/>
      <c r="U65" s="566">
        <f t="shared" si="71"/>
        <v>1.98</v>
      </c>
      <c r="V65" s="566">
        <f t="shared" si="71"/>
        <v>1.56</v>
      </c>
      <c r="W65" s="566">
        <f t="shared" si="71"/>
        <v>2.16</v>
      </c>
      <c r="X65" s="566">
        <f t="shared" si="71"/>
        <v>1.68</v>
      </c>
      <c r="Y65" s="566">
        <f t="shared" si="71"/>
        <v>0.82499999999999996</v>
      </c>
      <c r="Z65" s="566">
        <f t="shared" si="71"/>
        <v>3.56</v>
      </c>
      <c r="AA65" s="566">
        <f t="shared" si="71"/>
        <v>0.64</v>
      </c>
      <c r="AB65" s="144"/>
      <c r="AC65" s="231">
        <v>0</v>
      </c>
      <c r="AD65" s="231">
        <v>0</v>
      </c>
      <c r="AE65" s="231">
        <v>0</v>
      </c>
      <c r="AF65" s="231">
        <v>0</v>
      </c>
      <c r="AG65" s="231">
        <v>0</v>
      </c>
      <c r="AH65" s="231">
        <v>0</v>
      </c>
      <c r="AI65" s="213"/>
      <c r="AJ65" s="204"/>
      <c r="AK65" s="204"/>
      <c r="AL65" s="204"/>
      <c r="AM65" s="204"/>
      <c r="AN65" s="204"/>
    </row>
    <row r="66" spans="1:40">
      <c r="A66" s="144"/>
      <c r="B66" s="144"/>
      <c r="C66" s="144"/>
      <c r="D66" s="906"/>
      <c r="E66" s="144"/>
      <c r="F66" s="144"/>
      <c r="G66" s="144"/>
      <c r="H66" s="144"/>
      <c r="I66" s="144"/>
      <c r="J66" s="144"/>
      <c r="K66" s="144"/>
      <c r="L66" s="998"/>
      <c r="M66" s="144"/>
      <c r="N66" s="144"/>
      <c r="O66" s="144"/>
      <c r="P66" s="144"/>
      <c r="Q66" s="144"/>
      <c r="R66" s="144"/>
      <c r="S66" s="144"/>
      <c r="T66" s="144"/>
      <c r="U66" s="566">
        <f t="shared" si="71"/>
        <v>1.98</v>
      </c>
      <c r="V66" s="566">
        <f t="shared" si="71"/>
        <v>1.56</v>
      </c>
      <c r="W66" s="566">
        <f t="shared" si="71"/>
        <v>2.16</v>
      </c>
      <c r="X66" s="566">
        <f t="shared" si="71"/>
        <v>1.68</v>
      </c>
      <c r="Y66" s="566">
        <f t="shared" si="71"/>
        <v>0.82499999999999996</v>
      </c>
      <c r="Z66" s="566">
        <f t="shared" si="71"/>
        <v>3.56</v>
      </c>
      <c r="AA66" s="566">
        <f t="shared" si="71"/>
        <v>0.64</v>
      </c>
      <c r="AB66" s="144"/>
      <c r="AC66" s="231">
        <v>0</v>
      </c>
      <c r="AD66" s="231">
        <v>0</v>
      </c>
      <c r="AE66" s="231">
        <v>0</v>
      </c>
      <c r="AF66" s="231">
        <v>0</v>
      </c>
      <c r="AG66" s="231">
        <v>0</v>
      </c>
      <c r="AH66" s="231">
        <v>0</v>
      </c>
      <c r="AI66" s="213"/>
      <c r="AJ66" s="204"/>
      <c r="AK66" s="204"/>
      <c r="AL66" s="204"/>
      <c r="AM66" s="204"/>
      <c r="AN66" s="204"/>
    </row>
    <row r="67" spans="1:40">
      <c r="A67" s="144"/>
      <c r="B67" s="144"/>
      <c r="C67" s="144"/>
      <c r="D67" s="906"/>
      <c r="E67" s="144"/>
      <c r="F67" s="144"/>
      <c r="G67" s="144"/>
      <c r="H67" s="144"/>
      <c r="I67" s="144"/>
      <c r="J67" s="144"/>
      <c r="K67" s="144"/>
      <c r="L67" s="998"/>
      <c r="M67" s="144"/>
      <c r="N67" s="144"/>
      <c r="O67" s="144"/>
      <c r="P67" s="144"/>
      <c r="Q67" s="144"/>
      <c r="R67" s="144"/>
      <c r="S67" s="144"/>
      <c r="T67" s="144"/>
      <c r="U67" s="566">
        <f t="shared" si="71"/>
        <v>1.98</v>
      </c>
      <c r="V67" s="566">
        <f t="shared" si="71"/>
        <v>1.56</v>
      </c>
      <c r="W67" s="566">
        <f t="shared" si="71"/>
        <v>2.16</v>
      </c>
      <c r="X67" s="566">
        <f t="shared" si="71"/>
        <v>1.68</v>
      </c>
      <c r="Y67" s="566">
        <f t="shared" si="71"/>
        <v>0.82499999999999996</v>
      </c>
      <c r="Z67" s="566">
        <f t="shared" si="71"/>
        <v>3.56</v>
      </c>
      <c r="AA67" s="566">
        <f t="shared" si="71"/>
        <v>0.64</v>
      </c>
      <c r="AB67" s="144"/>
      <c r="AC67" s="231">
        <v>0</v>
      </c>
      <c r="AD67" s="231">
        <v>0</v>
      </c>
      <c r="AE67" s="231">
        <v>0</v>
      </c>
      <c r="AF67" s="231">
        <v>0</v>
      </c>
      <c r="AG67" s="231">
        <v>0</v>
      </c>
      <c r="AH67" s="231">
        <v>0</v>
      </c>
      <c r="AI67" s="213"/>
      <c r="AJ67" s="204"/>
      <c r="AK67" s="204"/>
      <c r="AL67" s="204"/>
      <c r="AM67" s="204"/>
      <c r="AN67" s="204"/>
    </row>
    <row r="68" spans="1:40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998"/>
      <c r="M68" s="144"/>
      <c r="N68" s="144"/>
      <c r="O68" s="144"/>
      <c r="P68" s="144"/>
      <c r="Q68" s="144"/>
      <c r="R68" s="144"/>
      <c r="S68" s="144"/>
      <c r="T68" s="144"/>
      <c r="U68" s="566">
        <f t="shared" si="71"/>
        <v>1.98</v>
      </c>
      <c r="V68" s="566">
        <f t="shared" si="71"/>
        <v>1.56</v>
      </c>
      <c r="W68" s="566">
        <f t="shared" si="71"/>
        <v>2.16</v>
      </c>
      <c r="X68" s="566">
        <f t="shared" si="71"/>
        <v>1.68</v>
      </c>
      <c r="Y68" s="566">
        <f t="shared" si="71"/>
        <v>0.82499999999999996</v>
      </c>
      <c r="Z68" s="566">
        <f t="shared" si="71"/>
        <v>3.56</v>
      </c>
      <c r="AA68" s="566">
        <f t="shared" si="71"/>
        <v>0.64</v>
      </c>
      <c r="AB68" s="144"/>
      <c r="AC68" s="231"/>
      <c r="AD68" s="231"/>
      <c r="AE68" s="231"/>
      <c r="AF68" s="231"/>
      <c r="AG68" s="231"/>
      <c r="AH68" s="231"/>
      <c r="AI68" s="213"/>
      <c r="AJ68" s="204"/>
      <c r="AK68" s="204"/>
      <c r="AL68" s="204"/>
      <c r="AM68" s="204"/>
      <c r="AN68" s="204"/>
    </row>
    <row r="69" spans="1:40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998"/>
      <c r="M69" s="144"/>
      <c r="N69" s="144"/>
      <c r="O69" s="144"/>
      <c r="P69" s="144"/>
      <c r="Q69" s="144"/>
      <c r="R69" s="144"/>
      <c r="S69" s="144"/>
      <c r="T69" s="144"/>
      <c r="U69" s="566">
        <f t="shared" si="71"/>
        <v>1.98</v>
      </c>
      <c r="V69" s="566">
        <f t="shared" si="71"/>
        <v>1.56</v>
      </c>
      <c r="W69" s="566">
        <f t="shared" si="71"/>
        <v>2.16</v>
      </c>
      <c r="X69" s="566">
        <f t="shared" si="71"/>
        <v>1.68</v>
      </c>
      <c r="Y69" s="566">
        <f t="shared" si="71"/>
        <v>0.82499999999999996</v>
      </c>
      <c r="Z69" s="566">
        <f t="shared" si="71"/>
        <v>3.56</v>
      </c>
      <c r="AA69" s="566">
        <f t="shared" si="71"/>
        <v>0.64</v>
      </c>
      <c r="AB69" s="144"/>
      <c r="AC69" s="231"/>
      <c r="AD69" s="231"/>
      <c r="AE69" s="231"/>
      <c r="AF69" s="231"/>
      <c r="AG69" s="231"/>
      <c r="AH69" s="231"/>
      <c r="AI69" s="213"/>
      <c r="AJ69" s="204"/>
      <c r="AK69" s="204"/>
      <c r="AL69" s="204"/>
      <c r="AM69" s="204"/>
      <c r="AN69" s="204"/>
    </row>
    <row r="70" spans="1:40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998"/>
      <c r="M70" s="144"/>
      <c r="N70" s="144"/>
      <c r="O70" s="144"/>
      <c r="P70" s="144"/>
      <c r="Q70" s="144"/>
      <c r="R70" s="144"/>
      <c r="S70" s="144"/>
      <c r="T70" s="144"/>
      <c r="U70" s="566">
        <f t="shared" si="71"/>
        <v>1.98</v>
      </c>
      <c r="V70" s="566">
        <f t="shared" si="71"/>
        <v>1.56</v>
      </c>
      <c r="W70" s="566">
        <f t="shared" si="71"/>
        <v>2.16</v>
      </c>
      <c r="X70" s="566">
        <f t="shared" si="71"/>
        <v>1.68</v>
      </c>
      <c r="Y70" s="566">
        <f t="shared" si="71"/>
        <v>0.82499999999999996</v>
      </c>
      <c r="Z70" s="566">
        <f t="shared" si="71"/>
        <v>3.56</v>
      </c>
      <c r="AA70" s="566">
        <f t="shared" si="71"/>
        <v>0.64</v>
      </c>
      <c r="AB70" s="144"/>
      <c r="AC70" s="231">
        <v>0</v>
      </c>
      <c r="AD70" s="231">
        <v>0</v>
      </c>
      <c r="AE70" s="231">
        <v>0</v>
      </c>
      <c r="AF70" s="231">
        <v>0</v>
      </c>
      <c r="AG70" s="231">
        <v>0</v>
      </c>
      <c r="AH70" s="231">
        <v>0</v>
      </c>
      <c r="AI70" s="213"/>
      <c r="AJ70" s="204"/>
      <c r="AK70" s="204"/>
      <c r="AL70" s="204"/>
      <c r="AM70" s="204"/>
      <c r="AN70" s="204"/>
    </row>
    <row r="71" spans="1:40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998"/>
      <c r="M71" s="144"/>
      <c r="N71" s="144"/>
      <c r="O71" s="144"/>
      <c r="P71" s="144"/>
      <c r="Q71" s="144"/>
      <c r="R71" s="144"/>
      <c r="S71" s="144"/>
      <c r="T71" s="144"/>
      <c r="U71" s="566">
        <f t="shared" si="71"/>
        <v>1.98</v>
      </c>
      <c r="V71" s="566">
        <f t="shared" si="71"/>
        <v>1.56</v>
      </c>
      <c r="W71" s="566">
        <f t="shared" si="71"/>
        <v>2.16</v>
      </c>
      <c r="X71" s="566">
        <f t="shared" si="71"/>
        <v>1.68</v>
      </c>
      <c r="Y71" s="566">
        <f t="shared" si="71"/>
        <v>0.82499999999999996</v>
      </c>
      <c r="Z71" s="566">
        <f t="shared" si="71"/>
        <v>3.56</v>
      </c>
      <c r="AA71" s="566">
        <f t="shared" si="71"/>
        <v>0.64</v>
      </c>
      <c r="AB71" s="144"/>
      <c r="AC71" s="231">
        <v>0</v>
      </c>
      <c r="AD71" s="231">
        <v>0</v>
      </c>
      <c r="AE71" s="231">
        <v>0</v>
      </c>
      <c r="AF71" s="231">
        <v>0</v>
      </c>
      <c r="AG71" s="231">
        <v>0</v>
      </c>
      <c r="AH71" s="231">
        <v>0</v>
      </c>
      <c r="AI71" s="213"/>
      <c r="AJ71" s="204"/>
      <c r="AK71" s="204"/>
      <c r="AL71" s="204"/>
      <c r="AM71" s="204"/>
      <c r="AN71" s="204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998"/>
      <c r="M72" s="144"/>
      <c r="N72" s="144"/>
      <c r="O72" s="144"/>
      <c r="P72" s="144"/>
      <c r="Q72" s="144"/>
      <c r="R72" s="144"/>
      <c r="S72" s="144"/>
      <c r="T72" s="144"/>
      <c r="U72" s="566">
        <f t="shared" si="71"/>
        <v>1.98</v>
      </c>
      <c r="V72" s="566">
        <f t="shared" si="71"/>
        <v>1.56</v>
      </c>
      <c r="W72" s="566">
        <f t="shared" si="71"/>
        <v>2.16</v>
      </c>
      <c r="X72" s="566">
        <f t="shared" si="71"/>
        <v>1.68</v>
      </c>
      <c r="Y72" s="566">
        <f t="shared" si="71"/>
        <v>0.82499999999999996</v>
      </c>
      <c r="Z72" s="566">
        <f t="shared" si="71"/>
        <v>3.56</v>
      </c>
      <c r="AA72" s="566">
        <f t="shared" si="71"/>
        <v>0.64</v>
      </c>
      <c r="AB72" s="144"/>
      <c r="AC72" s="231">
        <v>0</v>
      </c>
      <c r="AD72" s="231">
        <v>0</v>
      </c>
      <c r="AE72" s="231">
        <v>0</v>
      </c>
      <c r="AF72" s="231">
        <v>0</v>
      </c>
      <c r="AG72" s="231">
        <v>0</v>
      </c>
      <c r="AH72" s="231">
        <v>0</v>
      </c>
      <c r="AI72" s="213"/>
      <c r="AJ72" s="204"/>
      <c r="AK72" s="204"/>
      <c r="AL72" s="204"/>
      <c r="AM72" s="204"/>
      <c r="AN72" s="204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998"/>
      <c r="M73" s="144"/>
      <c r="N73" s="144"/>
      <c r="O73" s="144"/>
      <c r="P73" s="144"/>
      <c r="Q73" s="144"/>
      <c r="R73" s="144"/>
      <c r="S73" s="144"/>
      <c r="T73" s="144"/>
      <c r="U73" s="566">
        <f t="shared" si="71"/>
        <v>1.98</v>
      </c>
      <c r="V73" s="566">
        <f t="shared" si="71"/>
        <v>1.56</v>
      </c>
      <c r="W73" s="566">
        <f t="shared" si="71"/>
        <v>2.16</v>
      </c>
      <c r="X73" s="566">
        <f t="shared" si="71"/>
        <v>1.68</v>
      </c>
      <c r="Y73" s="566">
        <f t="shared" si="71"/>
        <v>0.82499999999999996</v>
      </c>
      <c r="Z73" s="566">
        <f t="shared" si="71"/>
        <v>3.56</v>
      </c>
      <c r="AA73" s="566">
        <f t="shared" si="71"/>
        <v>0.64</v>
      </c>
      <c r="AB73" s="144"/>
      <c r="AC73" s="231"/>
      <c r="AD73" s="231"/>
      <c r="AE73" s="231"/>
      <c r="AF73" s="231"/>
      <c r="AG73" s="231"/>
      <c r="AH73" s="231"/>
      <c r="AI73" s="213"/>
      <c r="AJ73" s="204"/>
      <c r="AK73" s="204"/>
      <c r="AL73" s="204"/>
      <c r="AM73" s="204"/>
      <c r="AN73" s="204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998"/>
      <c r="M74" s="144"/>
      <c r="N74" s="144"/>
      <c r="O74" s="144"/>
      <c r="P74" s="144"/>
      <c r="Q74" s="144"/>
      <c r="R74" s="144"/>
      <c r="S74" s="144"/>
      <c r="T74" s="144"/>
      <c r="U74" s="566">
        <f t="shared" si="71"/>
        <v>1.98</v>
      </c>
      <c r="V74" s="566">
        <f t="shared" si="71"/>
        <v>1.56</v>
      </c>
      <c r="W74" s="566">
        <f t="shared" si="71"/>
        <v>2.16</v>
      </c>
      <c r="X74" s="566">
        <f t="shared" si="71"/>
        <v>1.68</v>
      </c>
      <c r="Y74" s="566">
        <f t="shared" si="71"/>
        <v>0.82499999999999996</v>
      </c>
      <c r="Z74" s="566">
        <f t="shared" si="71"/>
        <v>3.56</v>
      </c>
      <c r="AA74" s="566">
        <f t="shared" si="71"/>
        <v>0.64</v>
      </c>
      <c r="AB74" s="144"/>
      <c r="AC74" s="231"/>
      <c r="AD74" s="231"/>
      <c r="AE74" s="231"/>
      <c r="AF74" s="231"/>
      <c r="AG74" s="231"/>
      <c r="AH74" s="231"/>
      <c r="AI74" s="213"/>
      <c r="AJ74" s="204"/>
      <c r="AK74" s="204"/>
      <c r="AL74" s="204"/>
      <c r="AM74" s="204"/>
      <c r="AN74" s="204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998"/>
      <c r="M75" s="144"/>
      <c r="N75" s="144"/>
      <c r="O75" s="144"/>
      <c r="P75" s="144"/>
      <c r="Q75" s="144"/>
      <c r="R75" s="144"/>
      <c r="S75" s="144"/>
      <c r="T75" s="144"/>
      <c r="U75" s="566">
        <f t="shared" si="71"/>
        <v>1.98</v>
      </c>
      <c r="V75" s="566">
        <f t="shared" si="71"/>
        <v>1.56</v>
      </c>
      <c r="W75" s="566">
        <f t="shared" si="71"/>
        <v>2.16</v>
      </c>
      <c r="X75" s="566">
        <f t="shared" si="71"/>
        <v>1.68</v>
      </c>
      <c r="Y75" s="566">
        <f t="shared" si="71"/>
        <v>0.82499999999999996</v>
      </c>
      <c r="Z75" s="566">
        <f t="shared" si="71"/>
        <v>3.56</v>
      </c>
      <c r="AA75" s="566">
        <f t="shared" si="71"/>
        <v>0.64</v>
      </c>
      <c r="AB75" s="144"/>
      <c r="AC75" s="231">
        <v>0</v>
      </c>
      <c r="AD75" s="231">
        <v>0</v>
      </c>
      <c r="AE75" s="231">
        <v>0</v>
      </c>
      <c r="AF75" s="231">
        <v>0</v>
      </c>
      <c r="AG75" s="231">
        <v>0</v>
      </c>
      <c r="AH75" s="231">
        <v>0</v>
      </c>
      <c r="AI75" s="213"/>
      <c r="AJ75" s="204"/>
      <c r="AK75" s="204"/>
      <c r="AL75" s="204"/>
      <c r="AM75" s="204"/>
      <c r="AN75" s="204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998"/>
      <c r="M76" s="144"/>
      <c r="N76" s="144"/>
      <c r="O76" s="144"/>
      <c r="P76" s="144"/>
      <c r="Q76" s="144"/>
      <c r="R76" s="144"/>
      <c r="S76" s="144"/>
      <c r="T76" s="144"/>
      <c r="U76" s="566">
        <f t="shared" si="71"/>
        <v>1.98</v>
      </c>
      <c r="V76" s="566">
        <f t="shared" si="71"/>
        <v>1.56</v>
      </c>
      <c r="W76" s="566">
        <f t="shared" si="71"/>
        <v>2.16</v>
      </c>
      <c r="X76" s="566">
        <f t="shared" si="71"/>
        <v>1.68</v>
      </c>
      <c r="Y76" s="566">
        <f t="shared" si="71"/>
        <v>0.82499999999999996</v>
      </c>
      <c r="Z76" s="566">
        <f t="shared" si="71"/>
        <v>3.56</v>
      </c>
      <c r="AA76" s="566">
        <f t="shared" si="71"/>
        <v>0.64</v>
      </c>
      <c r="AB76" s="144"/>
      <c r="AC76" s="231">
        <v>0</v>
      </c>
      <c r="AD76" s="231">
        <v>0</v>
      </c>
      <c r="AE76" s="231">
        <v>0</v>
      </c>
      <c r="AF76" s="231">
        <v>0</v>
      </c>
      <c r="AG76" s="231">
        <v>0</v>
      </c>
      <c r="AH76" s="231">
        <v>0</v>
      </c>
      <c r="AI76" s="213"/>
      <c r="AJ76" s="204"/>
      <c r="AK76" s="204"/>
      <c r="AL76" s="204"/>
      <c r="AM76" s="204"/>
      <c r="AN76" s="204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998"/>
      <c r="M77" s="144"/>
      <c r="N77" s="144"/>
      <c r="O77" s="144"/>
      <c r="P77" s="144"/>
      <c r="Q77" s="144"/>
      <c r="R77" s="144"/>
      <c r="S77" s="144"/>
      <c r="T77" s="144"/>
      <c r="U77" s="566">
        <f t="shared" si="71"/>
        <v>1.98</v>
      </c>
      <c r="V77" s="566">
        <f t="shared" si="71"/>
        <v>1.56</v>
      </c>
      <c r="W77" s="566">
        <f t="shared" si="71"/>
        <v>2.16</v>
      </c>
      <c r="X77" s="566">
        <f t="shared" si="71"/>
        <v>1.68</v>
      </c>
      <c r="Y77" s="566">
        <f t="shared" si="71"/>
        <v>0.82499999999999996</v>
      </c>
      <c r="Z77" s="566">
        <f t="shared" si="71"/>
        <v>3.56</v>
      </c>
      <c r="AA77" s="566">
        <f t="shared" si="71"/>
        <v>0.64</v>
      </c>
      <c r="AB77" s="144"/>
      <c r="AC77" s="231"/>
      <c r="AD77" s="231"/>
      <c r="AE77" s="231"/>
      <c r="AF77" s="231"/>
      <c r="AG77" s="231"/>
      <c r="AH77" s="231"/>
      <c r="AI77" s="213"/>
      <c r="AJ77" s="204"/>
      <c r="AK77" s="204"/>
      <c r="AL77" s="204"/>
      <c r="AM77" s="204"/>
      <c r="AN77" s="204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998"/>
      <c r="M78" s="144"/>
      <c r="N78" s="144"/>
      <c r="O78" s="144"/>
      <c r="P78" s="144"/>
      <c r="Q78" s="144"/>
      <c r="R78" s="144"/>
      <c r="S78" s="144"/>
      <c r="T78" s="144"/>
      <c r="U78" s="566">
        <f t="shared" si="71"/>
        <v>1.98</v>
      </c>
      <c r="V78" s="566">
        <f t="shared" si="71"/>
        <v>1.56</v>
      </c>
      <c r="W78" s="566">
        <f t="shared" si="71"/>
        <v>2.16</v>
      </c>
      <c r="X78" s="566">
        <f t="shared" si="71"/>
        <v>1.68</v>
      </c>
      <c r="Y78" s="566">
        <f t="shared" si="71"/>
        <v>0.82499999999999996</v>
      </c>
      <c r="Z78" s="566">
        <f t="shared" si="71"/>
        <v>3.56</v>
      </c>
      <c r="AA78" s="566">
        <f t="shared" si="71"/>
        <v>0.64</v>
      </c>
      <c r="AB78" s="144"/>
      <c r="AC78" s="231"/>
      <c r="AD78" s="231"/>
      <c r="AE78" s="231"/>
      <c r="AF78" s="231"/>
      <c r="AG78" s="231"/>
      <c r="AH78" s="231"/>
      <c r="AI78" s="213"/>
      <c r="AJ78" s="204"/>
      <c r="AK78" s="204"/>
      <c r="AL78" s="204"/>
      <c r="AM78" s="204"/>
      <c r="AN78" s="204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998"/>
      <c r="M79" s="144"/>
      <c r="N79" s="144"/>
      <c r="O79" s="144"/>
      <c r="P79" s="144"/>
      <c r="Q79" s="144"/>
      <c r="R79" s="144"/>
      <c r="S79" s="144"/>
      <c r="T79" s="144"/>
      <c r="U79" s="566">
        <f t="shared" ref="U79:AA94" si="72">IF(U78&gt;0,U78,U77)</f>
        <v>1.98</v>
      </c>
      <c r="V79" s="566">
        <f t="shared" si="72"/>
        <v>1.56</v>
      </c>
      <c r="W79" s="566">
        <f t="shared" si="72"/>
        <v>2.16</v>
      </c>
      <c r="X79" s="566">
        <f t="shared" si="72"/>
        <v>1.68</v>
      </c>
      <c r="Y79" s="566">
        <f t="shared" si="72"/>
        <v>0.82499999999999996</v>
      </c>
      <c r="Z79" s="566">
        <f t="shared" si="72"/>
        <v>3.56</v>
      </c>
      <c r="AA79" s="566">
        <f t="shared" si="72"/>
        <v>0.64</v>
      </c>
      <c r="AB79" s="144"/>
      <c r="AC79" s="231">
        <v>0</v>
      </c>
      <c r="AD79" s="231">
        <v>0</v>
      </c>
      <c r="AE79" s="231">
        <v>0</v>
      </c>
      <c r="AF79" s="231">
        <v>0</v>
      </c>
      <c r="AG79" s="231">
        <v>0</v>
      </c>
      <c r="AH79" s="231">
        <v>0</v>
      </c>
      <c r="AI79" s="213"/>
      <c r="AJ79" s="204"/>
      <c r="AK79" s="204"/>
      <c r="AL79" s="204"/>
      <c r="AM79" s="204"/>
      <c r="AN79" s="204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998"/>
      <c r="M80" s="144"/>
      <c r="N80" s="144"/>
      <c r="O80" s="144"/>
      <c r="P80" s="144"/>
      <c r="Q80" s="144"/>
      <c r="R80" s="144"/>
      <c r="S80" s="144"/>
      <c r="T80" s="144"/>
      <c r="U80" s="566">
        <f t="shared" si="72"/>
        <v>1.98</v>
      </c>
      <c r="V80" s="566">
        <f t="shared" si="72"/>
        <v>1.56</v>
      </c>
      <c r="W80" s="566">
        <f t="shared" si="72"/>
        <v>2.16</v>
      </c>
      <c r="X80" s="566">
        <f t="shared" si="72"/>
        <v>1.68</v>
      </c>
      <c r="Y80" s="566">
        <f t="shared" si="72"/>
        <v>0.82499999999999996</v>
      </c>
      <c r="Z80" s="566">
        <f t="shared" si="72"/>
        <v>3.56</v>
      </c>
      <c r="AA80" s="566">
        <f t="shared" si="72"/>
        <v>0.64</v>
      </c>
      <c r="AB80" s="144"/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13"/>
      <c r="AJ80" s="204"/>
      <c r="AK80" s="204"/>
      <c r="AL80" s="204"/>
      <c r="AM80" s="204"/>
      <c r="AN80" s="204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998"/>
      <c r="M81" s="144"/>
      <c r="N81" s="144"/>
      <c r="O81" s="144"/>
      <c r="P81" s="144"/>
      <c r="Q81" s="144"/>
      <c r="R81" s="144"/>
      <c r="S81" s="144"/>
      <c r="T81" s="144"/>
      <c r="U81" s="566">
        <f t="shared" si="72"/>
        <v>1.98</v>
      </c>
      <c r="V81" s="566">
        <f t="shared" si="72"/>
        <v>1.56</v>
      </c>
      <c r="W81" s="566">
        <f t="shared" si="72"/>
        <v>2.16</v>
      </c>
      <c r="X81" s="566">
        <f t="shared" si="72"/>
        <v>1.68</v>
      </c>
      <c r="Y81" s="566">
        <f t="shared" si="72"/>
        <v>0.82499999999999996</v>
      </c>
      <c r="Z81" s="566">
        <f t="shared" si="72"/>
        <v>3.56</v>
      </c>
      <c r="AA81" s="566">
        <f t="shared" si="72"/>
        <v>0.64</v>
      </c>
      <c r="AB81" s="144"/>
      <c r="AC81" s="231">
        <v>0</v>
      </c>
      <c r="AD81" s="231">
        <v>0</v>
      </c>
      <c r="AE81" s="231">
        <v>0</v>
      </c>
      <c r="AF81" s="231">
        <v>0</v>
      </c>
      <c r="AG81" s="231">
        <v>0</v>
      </c>
      <c r="AH81" s="231">
        <v>0</v>
      </c>
      <c r="AI81" s="213"/>
      <c r="AJ81" s="204"/>
      <c r="AK81" s="204"/>
      <c r="AL81" s="204"/>
      <c r="AM81" s="204"/>
      <c r="AN81" s="204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998"/>
      <c r="M82" s="144"/>
      <c r="N82" s="144"/>
      <c r="O82" s="144"/>
      <c r="P82" s="144"/>
      <c r="Q82" s="144"/>
      <c r="R82" s="144"/>
      <c r="S82" s="144"/>
      <c r="T82" s="144"/>
      <c r="U82" s="566">
        <f t="shared" si="72"/>
        <v>1.98</v>
      </c>
      <c r="V82" s="566">
        <f t="shared" si="72"/>
        <v>1.56</v>
      </c>
      <c r="W82" s="566">
        <f t="shared" si="72"/>
        <v>2.16</v>
      </c>
      <c r="X82" s="566">
        <f t="shared" si="72"/>
        <v>1.68</v>
      </c>
      <c r="Y82" s="566">
        <f t="shared" si="72"/>
        <v>0.82499999999999996</v>
      </c>
      <c r="Z82" s="566">
        <f t="shared" si="72"/>
        <v>3.56</v>
      </c>
      <c r="AA82" s="566">
        <f t="shared" si="72"/>
        <v>0.64</v>
      </c>
      <c r="AB82" s="144"/>
      <c r="AC82" s="231">
        <v>0</v>
      </c>
      <c r="AD82" s="231">
        <v>0</v>
      </c>
      <c r="AE82" s="231">
        <v>0</v>
      </c>
      <c r="AF82" s="231">
        <v>0</v>
      </c>
      <c r="AG82" s="231">
        <v>0</v>
      </c>
      <c r="AH82" s="231">
        <v>0</v>
      </c>
      <c r="AI82" s="213"/>
      <c r="AJ82" s="204"/>
      <c r="AK82" s="204"/>
      <c r="AL82" s="204"/>
      <c r="AM82" s="204"/>
      <c r="AN82" s="204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998"/>
      <c r="M83" s="144"/>
      <c r="N83" s="144"/>
      <c r="O83" s="144"/>
      <c r="P83" s="144"/>
      <c r="Q83" s="144"/>
      <c r="R83" s="144"/>
      <c r="S83" s="144"/>
      <c r="T83" s="144"/>
      <c r="U83" s="566">
        <f t="shared" si="72"/>
        <v>1.98</v>
      </c>
      <c r="V83" s="566">
        <f t="shared" si="72"/>
        <v>1.56</v>
      </c>
      <c r="W83" s="566">
        <f t="shared" si="72"/>
        <v>2.16</v>
      </c>
      <c r="X83" s="566">
        <f t="shared" si="72"/>
        <v>1.68</v>
      </c>
      <c r="Y83" s="566">
        <f t="shared" si="72"/>
        <v>0.82499999999999996</v>
      </c>
      <c r="Z83" s="566">
        <f t="shared" si="72"/>
        <v>3.56</v>
      </c>
      <c r="AA83" s="566">
        <f t="shared" si="72"/>
        <v>0.64</v>
      </c>
      <c r="AB83" s="144"/>
      <c r="AC83" s="231"/>
      <c r="AD83" s="231"/>
      <c r="AE83" s="231"/>
      <c r="AF83" s="231"/>
      <c r="AG83" s="231"/>
      <c r="AH83" s="231"/>
      <c r="AI83" s="213"/>
      <c r="AJ83" s="204"/>
      <c r="AK83" s="204"/>
      <c r="AL83" s="204"/>
      <c r="AM83" s="204"/>
      <c r="AN83" s="204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998"/>
      <c r="M84" s="144"/>
      <c r="N84" s="144"/>
      <c r="O84" s="144"/>
      <c r="P84" s="144"/>
      <c r="Q84" s="144"/>
      <c r="R84" s="144"/>
      <c r="S84" s="144"/>
      <c r="T84" s="144"/>
      <c r="U84" s="566">
        <f t="shared" si="72"/>
        <v>1.98</v>
      </c>
      <c r="V84" s="566">
        <f t="shared" si="72"/>
        <v>1.56</v>
      </c>
      <c r="W84" s="566">
        <f t="shared" si="72"/>
        <v>2.16</v>
      </c>
      <c r="X84" s="566">
        <f t="shared" si="72"/>
        <v>1.68</v>
      </c>
      <c r="Y84" s="566">
        <f t="shared" si="72"/>
        <v>0.82499999999999996</v>
      </c>
      <c r="Z84" s="566">
        <f t="shared" si="72"/>
        <v>3.56</v>
      </c>
      <c r="AA84" s="566">
        <f t="shared" si="72"/>
        <v>0.64</v>
      </c>
      <c r="AB84" s="144"/>
      <c r="AC84" s="231">
        <v>0</v>
      </c>
      <c r="AD84" s="231">
        <v>0</v>
      </c>
      <c r="AE84" s="231">
        <v>0</v>
      </c>
      <c r="AF84" s="231">
        <v>0</v>
      </c>
      <c r="AG84" s="231">
        <v>0</v>
      </c>
      <c r="AH84" s="231">
        <v>0</v>
      </c>
      <c r="AI84" s="213"/>
      <c r="AJ84" s="204"/>
      <c r="AK84" s="204"/>
      <c r="AL84" s="204"/>
      <c r="AM84" s="204"/>
      <c r="AN84" s="204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998"/>
      <c r="M85" s="144"/>
      <c r="N85" s="144"/>
      <c r="O85" s="144"/>
      <c r="P85" s="144"/>
      <c r="Q85" s="144"/>
      <c r="R85" s="144"/>
      <c r="S85" s="144"/>
      <c r="T85" s="144"/>
      <c r="U85" s="566">
        <f t="shared" si="72"/>
        <v>1.98</v>
      </c>
      <c r="V85" s="566">
        <f t="shared" si="72"/>
        <v>1.56</v>
      </c>
      <c r="W85" s="566">
        <f t="shared" si="72"/>
        <v>2.16</v>
      </c>
      <c r="X85" s="566">
        <f t="shared" si="72"/>
        <v>1.68</v>
      </c>
      <c r="Y85" s="566">
        <f t="shared" si="72"/>
        <v>0.82499999999999996</v>
      </c>
      <c r="Z85" s="566">
        <f t="shared" si="72"/>
        <v>3.56</v>
      </c>
      <c r="AA85" s="566">
        <f t="shared" si="72"/>
        <v>0.64</v>
      </c>
      <c r="AB85" s="144"/>
      <c r="AC85" s="231">
        <v>0</v>
      </c>
      <c r="AD85" s="231">
        <v>0</v>
      </c>
      <c r="AE85" s="231">
        <v>0</v>
      </c>
      <c r="AF85" s="231">
        <v>0</v>
      </c>
      <c r="AG85" s="231">
        <v>0</v>
      </c>
      <c r="AH85" s="231">
        <v>0</v>
      </c>
      <c r="AI85" s="213"/>
      <c r="AJ85" s="204"/>
      <c r="AK85" s="204"/>
      <c r="AL85" s="204"/>
      <c r="AM85" s="204"/>
      <c r="AN85" s="204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998"/>
      <c r="M86" s="144"/>
      <c r="N86" s="144"/>
      <c r="O86" s="144"/>
      <c r="P86" s="144"/>
      <c r="Q86" s="144"/>
      <c r="R86" s="144"/>
      <c r="S86" s="144"/>
      <c r="T86" s="144"/>
      <c r="U86" s="566">
        <f t="shared" si="72"/>
        <v>1.98</v>
      </c>
      <c r="V86" s="566">
        <f t="shared" si="72"/>
        <v>1.56</v>
      </c>
      <c r="W86" s="566">
        <f t="shared" si="72"/>
        <v>2.16</v>
      </c>
      <c r="X86" s="566">
        <f t="shared" si="72"/>
        <v>1.68</v>
      </c>
      <c r="Y86" s="566">
        <f t="shared" si="72"/>
        <v>0.82499999999999996</v>
      </c>
      <c r="Z86" s="566">
        <f t="shared" si="72"/>
        <v>3.56</v>
      </c>
      <c r="AA86" s="566">
        <f t="shared" si="72"/>
        <v>0.64</v>
      </c>
      <c r="AB86" s="144"/>
      <c r="AC86" s="231"/>
      <c r="AD86" s="231"/>
      <c r="AE86" s="231"/>
      <c r="AF86" s="231"/>
      <c r="AG86" s="231"/>
      <c r="AH86" s="231"/>
      <c r="AI86" s="213"/>
      <c r="AJ86" s="204"/>
      <c r="AK86" s="204"/>
      <c r="AL86" s="204"/>
      <c r="AM86" s="204"/>
      <c r="AN86" s="204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998"/>
      <c r="M87" s="144"/>
      <c r="N87" s="144"/>
      <c r="O87" s="144"/>
      <c r="P87" s="144"/>
      <c r="Q87" s="144"/>
      <c r="R87" s="144"/>
      <c r="S87" s="144"/>
      <c r="T87" s="144"/>
      <c r="U87" s="566">
        <f t="shared" si="72"/>
        <v>1.98</v>
      </c>
      <c r="V87" s="566">
        <f t="shared" si="72"/>
        <v>1.56</v>
      </c>
      <c r="W87" s="566">
        <f t="shared" si="72"/>
        <v>2.16</v>
      </c>
      <c r="X87" s="566">
        <f t="shared" si="72"/>
        <v>1.68</v>
      </c>
      <c r="Y87" s="566">
        <f t="shared" si="72"/>
        <v>0.82499999999999996</v>
      </c>
      <c r="Z87" s="566">
        <f t="shared" si="72"/>
        <v>3.56</v>
      </c>
      <c r="AA87" s="566">
        <f t="shared" si="72"/>
        <v>0.64</v>
      </c>
      <c r="AB87" s="144"/>
      <c r="AC87" s="231"/>
      <c r="AD87" s="231"/>
      <c r="AE87" s="231"/>
      <c r="AF87" s="231"/>
      <c r="AG87" s="231"/>
      <c r="AH87" s="231"/>
      <c r="AI87" s="213"/>
      <c r="AJ87" s="204"/>
      <c r="AK87" s="204"/>
      <c r="AL87" s="204"/>
      <c r="AM87" s="204"/>
      <c r="AN87" s="204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998"/>
      <c r="M88" s="144"/>
      <c r="N88" s="144"/>
      <c r="O88" s="144"/>
      <c r="P88" s="144"/>
      <c r="Q88" s="144"/>
      <c r="R88" s="144"/>
      <c r="S88" s="144"/>
      <c r="T88" s="144"/>
      <c r="U88" s="566">
        <f t="shared" si="72"/>
        <v>1.98</v>
      </c>
      <c r="V88" s="566">
        <f t="shared" si="72"/>
        <v>1.56</v>
      </c>
      <c r="W88" s="566">
        <f t="shared" si="72"/>
        <v>2.16</v>
      </c>
      <c r="X88" s="566">
        <f t="shared" si="72"/>
        <v>1.68</v>
      </c>
      <c r="Y88" s="566">
        <f t="shared" si="72"/>
        <v>0.82499999999999996</v>
      </c>
      <c r="Z88" s="566">
        <f t="shared" si="72"/>
        <v>3.56</v>
      </c>
      <c r="AA88" s="566">
        <f t="shared" si="72"/>
        <v>0.64</v>
      </c>
      <c r="AB88" s="144"/>
      <c r="AC88" s="231">
        <v>0</v>
      </c>
      <c r="AD88" s="231">
        <v>0</v>
      </c>
      <c r="AE88" s="231">
        <v>0</v>
      </c>
      <c r="AF88" s="231">
        <v>0</v>
      </c>
      <c r="AG88" s="231">
        <v>0</v>
      </c>
      <c r="AH88" s="231">
        <v>0</v>
      </c>
      <c r="AI88" s="213"/>
      <c r="AJ88" s="204"/>
      <c r="AK88" s="204"/>
      <c r="AL88" s="204"/>
      <c r="AM88" s="204"/>
      <c r="AN88" s="204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998"/>
      <c r="M89" s="144"/>
      <c r="N89" s="144"/>
      <c r="O89" s="144"/>
      <c r="P89" s="144"/>
      <c r="Q89" s="144"/>
      <c r="R89" s="144"/>
      <c r="S89" s="144"/>
      <c r="T89" s="144"/>
      <c r="U89" s="566">
        <f t="shared" si="72"/>
        <v>1.98</v>
      </c>
      <c r="V89" s="566">
        <f t="shared" si="72"/>
        <v>1.56</v>
      </c>
      <c r="W89" s="566">
        <f t="shared" si="72"/>
        <v>2.16</v>
      </c>
      <c r="X89" s="566">
        <f t="shared" si="72"/>
        <v>1.68</v>
      </c>
      <c r="Y89" s="566">
        <f t="shared" si="72"/>
        <v>0.82499999999999996</v>
      </c>
      <c r="Z89" s="566">
        <f t="shared" si="72"/>
        <v>3.56</v>
      </c>
      <c r="AA89" s="566">
        <f t="shared" si="72"/>
        <v>0.64</v>
      </c>
      <c r="AB89" s="144"/>
      <c r="AC89" s="231">
        <v>0</v>
      </c>
      <c r="AD89" s="231">
        <v>0</v>
      </c>
      <c r="AE89" s="231">
        <v>0</v>
      </c>
      <c r="AF89" s="231">
        <v>0</v>
      </c>
      <c r="AG89" s="231">
        <v>0</v>
      </c>
      <c r="AH89" s="231">
        <v>0</v>
      </c>
      <c r="AI89" s="213"/>
      <c r="AJ89" s="204"/>
      <c r="AK89" s="204"/>
      <c r="AL89" s="204"/>
      <c r="AM89" s="204"/>
      <c r="AN89" s="204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998"/>
      <c r="M90" s="144"/>
      <c r="N90" s="144"/>
      <c r="O90" s="144"/>
      <c r="P90" s="144"/>
      <c r="Q90" s="144"/>
      <c r="R90" s="144"/>
      <c r="S90" s="144"/>
      <c r="T90" s="144"/>
      <c r="U90" s="566">
        <f t="shared" si="72"/>
        <v>1.98</v>
      </c>
      <c r="V90" s="566">
        <f t="shared" si="72"/>
        <v>1.56</v>
      </c>
      <c r="W90" s="566">
        <f t="shared" si="72"/>
        <v>2.16</v>
      </c>
      <c r="X90" s="566">
        <f t="shared" si="72"/>
        <v>1.68</v>
      </c>
      <c r="Y90" s="566">
        <f t="shared" si="72"/>
        <v>0.82499999999999996</v>
      </c>
      <c r="Z90" s="566">
        <f t="shared" si="72"/>
        <v>3.56</v>
      </c>
      <c r="AA90" s="566">
        <f t="shared" si="72"/>
        <v>0.64</v>
      </c>
      <c r="AB90" s="144"/>
      <c r="AC90" s="231">
        <v>0</v>
      </c>
      <c r="AD90" s="231">
        <v>0</v>
      </c>
      <c r="AE90" s="231">
        <v>0</v>
      </c>
      <c r="AF90" s="231">
        <v>0</v>
      </c>
      <c r="AG90" s="231">
        <v>0</v>
      </c>
      <c r="AH90" s="231">
        <v>0</v>
      </c>
      <c r="AI90" s="213"/>
      <c r="AJ90" s="204"/>
      <c r="AK90" s="204"/>
      <c r="AL90" s="204"/>
      <c r="AM90" s="204"/>
      <c r="AN90" s="204"/>
    </row>
    <row r="91" spans="1:40" ht="15" customHeight="1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998"/>
      <c r="M91" s="144"/>
      <c r="N91" s="144"/>
      <c r="O91" s="144"/>
      <c r="P91" s="144"/>
      <c r="Q91" s="144"/>
      <c r="R91" s="144"/>
      <c r="S91" s="144"/>
      <c r="T91" s="144"/>
      <c r="U91" s="566">
        <f t="shared" si="72"/>
        <v>1.98</v>
      </c>
      <c r="V91" s="566">
        <f t="shared" si="72"/>
        <v>1.56</v>
      </c>
      <c r="W91" s="566">
        <f t="shared" si="72"/>
        <v>2.16</v>
      </c>
      <c r="X91" s="566">
        <f t="shared" si="72"/>
        <v>1.68</v>
      </c>
      <c r="Y91" s="566">
        <f t="shared" si="72"/>
        <v>0.82499999999999996</v>
      </c>
      <c r="Z91" s="566">
        <f t="shared" si="72"/>
        <v>3.56</v>
      </c>
      <c r="AA91" s="566">
        <f t="shared" si="72"/>
        <v>0.64</v>
      </c>
      <c r="AB91" s="144"/>
      <c r="AC91" s="231"/>
      <c r="AD91" s="231"/>
      <c r="AE91" s="231"/>
      <c r="AF91" s="231"/>
      <c r="AG91" s="231"/>
      <c r="AH91" s="231"/>
      <c r="AI91" s="213"/>
      <c r="AJ91" s="204"/>
      <c r="AK91" s="204"/>
      <c r="AL91" s="204"/>
      <c r="AM91" s="204"/>
      <c r="AN91" s="204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998"/>
      <c r="M92" s="144"/>
      <c r="N92" s="144"/>
      <c r="O92" s="144"/>
      <c r="P92" s="144"/>
      <c r="Q92" s="144"/>
      <c r="R92" s="144"/>
      <c r="S92" s="144"/>
      <c r="T92" s="144"/>
      <c r="U92" s="566">
        <f t="shared" si="72"/>
        <v>1.98</v>
      </c>
      <c r="V92" s="566">
        <f t="shared" si="72"/>
        <v>1.56</v>
      </c>
      <c r="W92" s="566">
        <f t="shared" si="72"/>
        <v>2.16</v>
      </c>
      <c r="X92" s="566">
        <f t="shared" si="72"/>
        <v>1.68</v>
      </c>
      <c r="Y92" s="566">
        <f t="shared" si="72"/>
        <v>0.82499999999999996</v>
      </c>
      <c r="Z92" s="566">
        <f t="shared" si="72"/>
        <v>3.56</v>
      </c>
      <c r="AA92" s="566">
        <f t="shared" si="72"/>
        <v>0.64</v>
      </c>
      <c r="AB92" s="144"/>
      <c r="AC92" s="231"/>
      <c r="AD92" s="231"/>
      <c r="AE92" s="231"/>
      <c r="AF92" s="231"/>
      <c r="AG92" s="231"/>
      <c r="AH92" s="231"/>
      <c r="AI92" s="213"/>
      <c r="AJ92" s="204"/>
      <c r="AK92" s="204"/>
      <c r="AL92" s="204"/>
      <c r="AM92" s="204"/>
      <c r="AN92" s="204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998"/>
      <c r="M93" s="144"/>
      <c r="N93" s="144"/>
      <c r="O93" s="144"/>
      <c r="P93" s="144"/>
      <c r="Q93" s="144"/>
      <c r="R93" s="144"/>
      <c r="S93" s="144"/>
      <c r="T93" s="144"/>
      <c r="U93" s="566">
        <f t="shared" si="72"/>
        <v>1.98</v>
      </c>
      <c r="V93" s="566">
        <f t="shared" si="72"/>
        <v>1.56</v>
      </c>
      <c r="W93" s="566">
        <f t="shared" si="72"/>
        <v>2.16</v>
      </c>
      <c r="X93" s="566">
        <f t="shared" si="72"/>
        <v>1.68</v>
      </c>
      <c r="Y93" s="566">
        <f t="shared" si="72"/>
        <v>0.82499999999999996</v>
      </c>
      <c r="Z93" s="566">
        <f t="shared" si="72"/>
        <v>3.56</v>
      </c>
      <c r="AA93" s="566">
        <f t="shared" si="72"/>
        <v>0.64</v>
      </c>
      <c r="AB93" s="144"/>
      <c r="AC93" s="231">
        <v>0</v>
      </c>
      <c r="AD93" s="231">
        <v>0</v>
      </c>
      <c r="AE93" s="231">
        <v>0</v>
      </c>
      <c r="AF93" s="231">
        <v>0</v>
      </c>
      <c r="AG93" s="231">
        <v>0</v>
      </c>
      <c r="AH93" s="231">
        <v>0</v>
      </c>
      <c r="AI93" s="213"/>
      <c r="AJ93" s="204"/>
      <c r="AK93" s="204"/>
      <c r="AL93" s="204"/>
      <c r="AM93" s="204"/>
      <c r="AN93" s="204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998"/>
      <c r="M94" s="144"/>
      <c r="N94" s="144"/>
      <c r="O94" s="144"/>
      <c r="P94" s="144"/>
      <c r="Q94" s="144"/>
      <c r="R94" s="144"/>
      <c r="S94" s="144"/>
      <c r="T94" s="144"/>
      <c r="U94" s="566">
        <f t="shared" si="72"/>
        <v>1.98</v>
      </c>
      <c r="V94" s="566">
        <f t="shared" si="72"/>
        <v>1.56</v>
      </c>
      <c r="W94" s="566">
        <f t="shared" si="72"/>
        <v>2.16</v>
      </c>
      <c r="X94" s="566">
        <f t="shared" si="72"/>
        <v>1.68</v>
      </c>
      <c r="Y94" s="566">
        <f t="shared" si="72"/>
        <v>0.82499999999999996</v>
      </c>
      <c r="Z94" s="566">
        <f t="shared" si="72"/>
        <v>3.56</v>
      </c>
      <c r="AA94" s="566">
        <f t="shared" si="72"/>
        <v>0.64</v>
      </c>
      <c r="AB94" s="144"/>
      <c r="AC94" s="231">
        <v>0</v>
      </c>
      <c r="AD94" s="231">
        <v>0</v>
      </c>
      <c r="AE94" s="231">
        <v>0</v>
      </c>
      <c r="AF94" s="231">
        <v>0</v>
      </c>
      <c r="AG94" s="231">
        <v>0</v>
      </c>
      <c r="AH94" s="231">
        <v>0</v>
      </c>
      <c r="AI94" s="213"/>
      <c r="AJ94" s="204"/>
      <c r="AK94" s="204"/>
      <c r="AL94" s="204"/>
      <c r="AM94" s="204"/>
      <c r="AN94" s="204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998"/>
      <c r="M95" s="144"/>
      <c r="N95" s="144"/>
      <c r="O95" s="144"/>
      <c r="P95" s="144"/>
      <c r="Q95" s="144"/>
      <c r="R95" s="144"/>
      <c r="S95" s="144"/>
      <c r="T95" s="144"/>
      <c r="U95" s="566">
        <f t="shared" ref="U95:AA101" si="73">IF(U94&gt;0,U94,U93)</f>
        <v>1.98</v>
      </c>
      <c r="V95" s="566">
        <f t="shared" si="73"/>
        <v>1.56</v>
      </c>
      <c r="W95" s="566">
        <f t="shared" si="73"/>
        <v>2.16</v>
      </c>
      <c r="X95" s="566">
        <f t="shared" si="73"/>
        <v>1.68</v>
      </c>
      <c r="Y95" s="566">
        <f t="shared" si="73"/>
        <v>0.82499999999999996</v>
      </c>
      <c r="Z95" s="566">
        <f t="shared" si="73"/>
        <v>3.56</v>
      </c>
      <c r="AA95" s="566">
        <f t="shared" si="73"/>
        <v>0.64</v>
      </c>
      <c r="AB95" s="144"/>
      <c r="AC95" s="231">
        <v>0</v>
      </c>
      <c r="AD95" s="231">
        <v>0</v>
      </c>
      <c r="AE95" s="231">
        <v>0</v>
      </c>
      <c r="AF95" s="231">
        <v>0</v>
      </c>
      <c r="AG95" s="231">
        <v>0</v>
      </c>
      <c r="AH95" s="231">
        <v>0</v>
      </c>
      <c r="AI95" s="213"/>
      <c r="AJ95" s="204"/>
      <c r="AK95" s="204"/>
      <c r="AL95" s="204"/>
      <c r="AM95" s="204"/>
      <c r="AN95" s="204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998"/>
      <c r="M96" s="144"/>
      <c r="N96" s="144"/>
      <c r="O96" s="144"/>
      <c r="P96" s="144"/>
      <c r="Q96" s="144"/>
      <c r="R96" s="144"/>
      <c r="S96" s="144"/>
      <c r="T96" s="144"/>
      <c r="U96" s="566">
        <f t="shared" si="73"/>
        <v>1.98</v>
      </c>
      <c r="V96" s="566">
        <f t="shared" si="73"/>
        <v>1.56</v>
      </c>
      <c r="W96" s="566">
        <f t="shared" si="73"/>
        <v>2.16</v>
      </c>
      <c r="X96" s="566">
        <f t="shared" si="73"/>
        <v>1.68</v>
      </c>
      <c r="Y96" s="566">
        <f t="shared" si="73"/>
        <v>0.82499999999999996</v>
      </c>
      <c r="Z96" s="566">
        <f t="shared" si="73"/>
        <v>3.56</v>
      </c>
      <c r="AA96" s="566">
        <f t="shared" si="73"/>
        <v>0.64</v>
      </c>
      <c r="AB96" s="144"/>
      <c r="AC96" s="231"/>
      <c r="AD96" s="231"/>
      <c r="AE96" s="231"/>
      <c r="AF96" s="231"/>
      <c r="AG96" s="231"/>
      <c r="AH96" s="231"/>
      <c r="AI96" s="213"/>
      <c r="AJ96" s="204"/>
      <c r="AK96" s="204"/>
      <c r="AL96" s="204"/>
      <c r="AM96" s="204"/>
      <c r="AN96" s="204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998"/>
      <c r="M97" s="144"/>
      <c r="N97" s="144"/>
      <c r="O97" s="144"/>
      <c r="P97" s="144"/>
      <c r="Q97" s="144"/>
      <c r="R97" s="144"/>
      <c r="S97" s="144"/>
      <c r="T97" s="144"/>
      <c r="U97" s="566">
        <f t="shared" si="73"/>
        <v>1.98</v>
      </c>
      <c r="V97" s="566">
        <f t="shared" si="73"/>
        <v>1.56</v>
      </c>
      <c r="W97" s="566">
        <f t="shared" si="73"/>
        <v>2.16</v>
      </c>
      <c r="X97" s="566">
        <f t="shared" si="73"/>
        <v>1.68</v>
      </c>
      <c r="Y97" s="566">
        <f t="shared" si="73"/>
        <v>0.82499999999999996</v>
      </c>
      <c r="Z97" s="566">
        <f t="shared" si="73"/>
        <v>3.56</v>
      </c>
      <c r="AA97" s="566">
        <f t="shared" si="73"/>
        <v>0.64</v>
      </c>
      <c r="AB97" s="144"/>
      <c r="AC97" s="231"/>
      <c r="AD97" s="231"/>
      <c r="AE97" s="231"/>
      <c r="AF97" s="231"/>
      <c r="AG97" s="231"/>
      <c r="AH97" s="231"/>
      <c r="AI97" s="213"/>
      <c r="AJ97" s="204"/>
      <c r="AK97" s="204"/>
      <c r="AL97" s="204"/>
      <c r="AM97" s="204"/>
      <c r="AN97" s="204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998"/>
      <c r="M98" s="144"/>
      <c r="N98" s="144"/>
      <c r="O98" s="144"/>
      <c r="P98" s="144"/>
      <c r="Q98" s="144"/>
      <c r="R98" s="144"/>
      <c r="S98" s="144"/>
      <c r="T98" s="144"/>
      <c r="U98" s="566">
        <f t="shared" si="73"/>
        <v>1.98</v>
      </c>
      <c r="V98" s="566">
        <f t="shared" si="73"/>
        <v>1.56</v>
      </c>
      <c r="W98" s="566">
        <f t="shared" si="73"/>
        <v>2.16</v>
      </c>
      <c r="X98" s="566">
        <f t="shared" si="73"/>
        <v>1.68</v>
      </c>
      <c r="Y98" s="566">
        <f t="shared" si="73"/>
        <v>0.82499999999999996</v>
      </c>
      <c r="Z98" s="566">
        <f t="shared" si="73"/>
        <v>3.56</v>
      </c>
      <c r="AA98" s="566">
        <f t="shared" si="73"/>
        <v>0.64</v>
      </c>
      <c r="AB98" s="144"/>
      <c r="AC98" s="231">
        <v>0</v>
      </c>
      <c r="AD98" s="231">
        <v>0</v>
      </c>
      <c r="AE98" s="231">
        <v>0</v>
      </c>
      <c r="AF98" s="231">
        <v>0</v>
      </c>
      <c r="AG98" s="231">
        <v>0</v>
      </c>
      <c r="AH98" s="231">
        <v>0</v>
      </c>
      <c r="AI98" s="213"/>
      <c r="AJ98" s="204"/>
      <c r="AK98" s="204"/>
      <c r="AL98" s="204"/>
      <c r="AM98" s="204"/>
      <c r="AN98" s="204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998"/>
      <c r="M99" s="144"/>
      <c r="N99" s="144"/>
      <c r="O99" s="144"/>
      <c r="P99" s="144"/>
      <c r="Q99" s="144"/>
      <c r="R99" s="144"/>
      <c r="S99" s="144"/>
      <c r="T99" s="144"/>
      <c r="U99" s="566">
        <f t="shared" si="73"/>
        <v>1.98</v>
      </c>
      <c r="V99" s="566">
        <f t="shared" si="73"/>
        <v>1.56</v>
      </c>
      <c r="W99" s="566">
        <f t="shared" si="73"/>
        <v>2.16</v>
      </c>
      <c r="X99" s="566">
        <f t="shared" si="73"/>
        <v>1.68</v>
      </c>
      <c r="Y99" s="566">
        <f t="shared" si="73"/>
        <v>0.82499999999999996</v>
      </c>
      <c r="Z99" s="566">
        <f t="shared" si="73"/>
        <v>3.56</v>
      </c>
      <c r="AA99" s="566">
        <f t="shared" si="73"/>
        <v>0.64</v>
      </c>
      <c r="AB99" s="144"/>
      <c r="AC99" s="231">
        <v>0</v>
      </c>
      <c r="AD99" s="231">
        <v>0</v>
      </c>
      <c r="AE99" s="231">
        <v>0</v>
      </c>
      <c r="AF99" s="231">
        <v>0</v>
      </c>
      <c r="AG99" s="231">
        <v>0</v>
      </c>
      <c r="AH99" s="231">
        <v>0</v>
      </c>
      <c r="AI99" s="213"/>
      <c r="AJ99" s="204"/>
      <c r="AK99" s="204"/>
      <c r="AL99" s="204"/>
      <c r="AM99" s="204"/>
      <c r="AN99" s="204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998"/>
      <c r="M100" s="144"/>
      <c r="N100" s="144"/>
      <c r="O100" s="144"/>
      <c r="P100" s="144"/>
      <c r="Q100" s="144"/>
      <c r="R100" s="144"/>
      <c r="S100" s="144"/>
      <c r="T100" s="144"/>
      <c r="U100" s="566">
        <f t="shared" si="73"/>
        <v>1.98</v>
      </c>
      <c r="V100" s="566">
        <f t="shared" si="73"/>
        <v>1.56</v>
      </c>
      <c r="W100" s="566">
        <f t="shared" si="73"/>
        <v>2.16</v>
      </c>
      <c r="X100" s="566">
        <f t="shared" si="73"/>
        <v>1.68</v>
      </c>
      <c r="Y100" s="566">
        <f t="shared" si="73"/>
        <v>0.82499999999999996</v>
      </c>
      <c r="Z100" s="566">
        <f t="shared" si="73"/>
        <v>3.56</v>
      </c>
      <c r="AA100" s="566">
        <f t="shared" si="73"/>
        <v>0.64</v>
      </c>
      <c r="AB100" s="144"/>
      <c r="AC100" s="231">
        <v>0</v>
      </c>
      <c r="AD100" s="231">
        <v>0</v>
      </c>
      <c r="AE100" s="231">
        <v>0</v>
      </c>
      <c r="AF100" s="231">
        <v>0</v>
      </c>
      <c r="AG100" s="231">
        <v>0</v>
      </c>
      <c r="AH100" s="231">
        <v>0</v>
      </c>
      <c r="AI100" s="213"/>
      <c r="AJ100" s="204"/>
      <c r="AK100" s="204"/>
      <c r="AL100" s="204"/>
      <c r="AM100" s="204"/>
      <c r="AN100" s="204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998"/>
      <c r="M101" s="144"/>
      <c r="N101" s="144"/>
      <c r="O101" s="144"/>
      <c r="P101" s="144"/>
      <c r="Q101" s="144"/>
      <c r="R101" s="144"/>
      <c r="S101" s="144"/>
      <c r="T101" s="144"/>
      <c r="U101" s="1130">
        <f>IF(U100&gt;0,U100,U99)</f>
        <v>1.98</v>
      </c>
      <c r="V101" s="1130">
        <f t="shared" si="73"/>
        <v>1.56</v>
      </c>
      <c r="W101" s="1130">
        <f t="shared" si="73"/>
        <v>2.16</v>
      </c>
      <c r="X101" s="1130">
        <f t="shared" si="73"/>
        <v>1.68</v>
      </c>
      <c r="Y101" s="1130">
        <f t="shared" si="73"/>
        <v>0.82499999999999996</v>
      </c>
      <c r="Z101" s="1130">
        <f t="shared" si="73"/>
        <v>3.56</v>
      </c>
      <c r="AA101" s="1130">
        <f t="shared" si="73"/>
        <v>0.64</v>
      </c>
      <c r="AB101" s="144"/>
      <c r="AC101" s="231"/>
      <c r="AD101" s="231"/>
      <c r="AE101" s="231"/>
      <c r="AF101" s="231"/>
      <c r="AG101" s="231"/>
      <c r="AH101" s="231"/>
      <c r="AI101" s="213"/>
      <c r="AJ101" s="204"/>
      <c r="AK101" s="204"/>
      <c r="AL101" s="204"/>
      <c r="AM101" s="204"/>
      <c r="AN101" s="204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998"/>
      <c r="M102" s="144"/>
      <c r="N102" s="144"/>
      <c r="O102" s="144"/>
      <c r="P102" s="144"/>
      <c r="Q102" s="144"/>
      <c r="R102" s="144"/>
      <c r="S102" s="144"/>
      <c r="T102" s="144"/>
      <c r="U102" s="222"/>
      <c r="V102" s="222"/>
      <c r="W102" s="222"/>
      <c r="X102" s="222"/>
      <c r="Y102" s="222"/>
      <c r="Z102" s="222"/>
      <c r="AA102" s="222"/>
      <c r="AB102" s="144"/>
      <c r="AC102" s="231"/>
      <c r="AD102" s="231"/>
      <c r="AE102" s="231"/>
      <c r="AF102" s="231"/>
      <c r="AG102" s="231"/>
      <c r="AH102" s="231"/>
      <c r="AI102" s="213"/>
      <c r="AJ102" s="204"/>
      <c r="AK102" s="204"/>
      <c r="AL102" s="204"/>
      <c r="AM102" s="204"/>
      <c r="AN102" s="204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998"/>
      <c r="M103" s="144"/>
      <c r="N103" s="144"/>
      <c r="O103" s="144"/>
      <c r="P103" s="144"/>
      <c r="Q103" s="144"/>
      <c r="R103" s="144"/>
      <c r="S103" s="144"/>
      <c r="T103" s="144"/>
      <c r="U103" s="222"/>
      <c r="V103" s="222"/>
      <c r="W103" s="222"/>
      <c r="X103" s="222"/>
      <c r="Y103" s="222"/>
      <c r="Z103" s="222"/>
      <c r="AA103" s="222"/>
      <c r="AB103" s="144"/>
      <c r="AC103" s="231">
        <v>0</v>
      </c>
      <c r="AD103" s="231">
        <v>0</v>
      </c>
      <c r="AE103" s="231">
        <v>0</v>
      </c>
      <c r="AF103" s="231">
        <v>0</v>
      </c>
      <c r="AG103" s="231">
        <v>0</v>
      </c>
      <c r="AH103" s="231">
        <v>0</v>
      </c>
      <c r="AI103" s="213"/>
      <c r="AJ103" s="204"/>
      <c r="AK103" s="204"/>
      <c r="AL103" s="204"/>
      <c r="AM103" s="204"/>
      <c r="AN103" s="204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998"/>
      <c r="M104" s="144"/>
      <c r="N104" s="144"/>
      <c r="O104" s="144"/>
      <c r="P104" s="144"/>
      <c r="Q104" s="144"/>
      <c r="R104" s="144"/>
      <c r="S104" s="144"/>
      <c r="T104" s="144"/>
      <c r="U104" s="222"/>
      <c r="V104" s="222"/>
      <c r="W104" s="222"/>
      <c r="X104" s="222"/>
      <c r="Y104" s="222"/>
      <c r="Z104" s="222"/>
      <c r="AA104" s="222"/>
      <c r="AB104" s="144"/>
      <c r="AC104" s="231"/>
      <c r="AD104" s="231"/>
      <c r="AE104" s="231"/>
      <c r="AF104" s="231"/>
      <c r="AG104" s="231"/>
      <c r="AH104" s="231"/>
      <c r="AJ104" s="204"/>
      <c r="AK104" s="204"/>
      <c r="AL104" s="204"/>
      <c r="AM104" s="204"/>
      <c r="AN104" s="204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998"/>
      <c r="M105" s="144"/>
      <c r="N105" s="144"/>
      <c r="O105" s="144"/>
      <c r="P105" s="144"/>
      <c r="Q105" s="144"/>
      <c r="R105" s="144"/>
      <c r="S105" s="144"/>
      <c r="T105" s="144"/>
      <c r="U105" s="222"/>
      <c r="V105" s="222"/>
      <c r="W105" s="222"/>
      <c r="X105" s="222"/>
      <c r="Y105" s="222"/>
      <c r="Z105" s="222"/>
      <c r="AA105" s="222"/>
      <c r="AB105" s="144"/>
      <c r="AJ105" s="204"/>
      <c r="AK105" s="204"/>
      <c r="AL105" s="204"/>
      <c r="AM105" s="204"/>
      <c r="AN105" s="204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998"/>
      <c r="M106" s="144"/>
      <c r="N106" s="144"/>
      <c r="O106" s="144"/>
      <c r="P106" s="144"/>
      <c r="Q106" s="144"/>
      <c r="R106" s="144"/>
      <c r="S106" s="144"/>
      <c r="T106" s="144"/>
      <c r="U106" s="222"/>
      <c r="V106" s="222"/>
      <c r="W106" s="222"/>
      <c r="X106" s="222"/>
      <c r="Y106" s="222"/>
      <c r="Z106" s="222"/>
      <c r="AA106" s="222"/>
      <c r="AB106" s="144"/>
      <c r="AN106" s="204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998"/>
      <c r="M107" s="144"/>
      <c r="N107" s="144"/>
      <c r="O107" s="144"/>
      <c r="P107" s="144"/>
      <c r="Q107" s="144"/>
      <c r="R107" s="144"/>
      <c r="S107" s="144"/>
      <c r="T107" s="144"/>
      <c r="U107" s="222"/>
      <c r="V107" s="222"/>
      <c r="W107" s="222"/>
      <c r="X107" s="222"/>
      <c r="Y107" s="222"/>
      <c r="Z107" s="222"/>
      <c r="AA107" s="222"/>
      <c r="AB107" s="144"/>
      <c r="AN107" s="204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998"/>
      <c r="M108" s="144"/>
      <c r="N108" s="144"/>
      <c r="O108" s="144"/>
      <c r="P108" s="144"/>
      <c r="Q108" s="144"/>
      <c r="R108" s="144"/>
      <c r="S108" s="144"/>
      <c r="T108" s="144"/>
      <c r="U108" s="222"/>
      <c r="V108" s="222"/>
      <c r="W108" s="222"/>
      <c r="X108" s="222"/>
      <c r="Y108" s="222"/>
      <c r="Z108" s="222"/>
      <c r="AA108" s="222"/>
      <c r="AB108" s="144"/>
      <c r="AN108" s="204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998"/>
      <c r="M109" s="144"/>
      <c r="N109" s="144"/>
      <c r="O109" s="144"/>
      <c r="P109" s="144"/>
      <c r="Q109" s="144"/>
      <c r="R109" s="144"/>
      <c r="S109" s="144"/>
      <c r="T109" s="144"/>
      <c r="U109" s="222"/>
      <c r="V109" s="222"/>
      <c r="W109" s="222"/>
      <c r="X109" s="222"/>
      <c r="Y109" s="222"/>
      <c r="Z109" s="222"/>
      <c r="AA109" s="222"/>
      <c r="AB109" s="144"/>
      <c r="AN109" s="204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998"/>
      <c r="M110" s="144"/>
      <c r="N110" s="144"/>
      <c r="O110" s="144"/>
      <c r="P110" s="144"/>
      <c r="Q110" s="144"/>
      <c r="R110" s="144"/>
      <c r="S110" s="144"/>
      <c r="T110" s="144"/>
      <c r="U110" s="222"/>
      <c r="V110" s="222"/>
      <c r="W110" s="222"/>
      <c r="X110" s="222"/>
      <c r="Y110" s="222"/>
      <c r="Z110" s="222"/>
      <c r="AA110" s="222"/>
      <c r="AB110" s="144"/>
      <c r="AN110" s="204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998"/>
      <c r="M111" s="144"/>
      <c r="N111" s="144"/>
      <c r="O111" s="144"/>
      <c r="P111" s="144"/>
      <c r="Q111" s="144"/>
      <c r="R111" s="144"/>
      <c r="S111" s="144"/>
      <c r="T111" s="144"/>
      <c r="U111" s="222"/>
      <c r="V111" s="222"/>
      <c r="W111" s="222"/>
      <c r="X111" s="222"/>
      <c r="Y111" s="222"/>
      <c r="Z111" s="222"/>
      <c r="AA111" s="222"/>
      <c r="AB111" s="144"/>
      <c r="AN111" s="204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998"/>
      <c r="M112" s="144"/>
      <c r="N112" s="144"/>
      <c r="O112" s="144"/>
      <c r="P112" s="144"/>
      <c r="Q112" s="144"/>
      <c r="R112" s="144"/>
      <c r="S112" s="144"/>
      <c r="T112" s="144"/>
      <c r="U112" s="222"/>
      <c r="V112" s="222"/>
      <c r="W112" s="222"/>
      <c r="X112" s="222"/>
      <c r="Y112" s="222"/>
      <c r="Z112" s="222"/>
      <c r="AA112" s="222"/>
      <c r="AB112" s="144"/>
      <c r="AN112" s="204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998"/>
      <c r="M113" s="144"/>
      <c r="N113" s="144"/>
      <c r="O113" s="144"/>
      <c r="P113" s="144"/>
      <c r="Q113" s="144"/>
      <c r="R113" s="144"/>
      <c r="S113" s="144"/>
      <c r="T113" s="144"/>
      <c r="U113" s="222"/>
      <c r="V113" s="222"/>
      <c r="W113" s="222"/>
      <c r="X113" s="222"/>
      <c r="Y113" s="222"/>
      <c r="Z113" s="222"/>
      <c r="AA113" s="222"/>
      <c r="AB113" s="144"/>
      <c r="AN113" s="204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998"/>
      <c r="M114" s="144"/>
      <c r="N114" s="144"/>
      <c r="O114" s="144"/>
      <c r="P114" s="144"/>
      <c r="Q114" s="144"/>
      <c r="R114" s="144"/>
      <c r="S114" s="144"/>
      <c r="T114" s="144"/>
      <c r="U114" s="222"/>
      <c r="V114" s="222"/>
      <c r="W114" s="222"/>
      <c r="X114" s="222"/>
      <c r="Y114" s="222"/>
      <c r="Z114" s="222"/>
      <c r="AA114" s="222"/>
      <c r="AB114" s="144"/>
      <c r="AN114" s="204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998"/>
      <c r="M115" s="144"/>
      <c r="N115" s="144"/>
      <c r="O115" s="144"/>
      <c r="P115" s="144"/>
      <c r="Q115" s="144"/>
      <c r="R115" s="144"/>
      <c r="S115" s="144"/>
      <c r="T115" s="144"/>
      <c r="U115" s="222"/>
      <c r="V115" s="222"/>
      <c r="W115" s="222"/>
      <c r="X115" s="222"/>
      <c r="Y115" s="222"/>
      <c r="Z115" s="222"/>
      <c r="AA115" s="222"/>
      <c r="AB115" s="144"/>
      <c r="AN115" s="204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998"/>
      <c r="M116" s="144"/>
      <c r="N116" s="144"/>
      <c r="O116" s="144"/>
      <c r="P116" s="144"/>
      <c r="Q116" s="144"/>
      <c r="R116" s="144"/>
      <c r="S116" s="144"/>
      <c r="T116" s="144"/>
      <c r="U116" s="222"/>
      <c r="V116" s="222"/>
      <c r="W116" s="222"/>
      <c r="X116" s="222"/>
      <c r="Y116" s="222"/>
      <c r="Z116" s="222"/>
      <c r="AA116" s="222"/>
      <c r="AB116" s="144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  <c r="AN116" s="204"/>
    </row>
    <row r="117" spans="1:40" s="247" customFormat="1" ht="11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998"/>
      <c r="M117" s="144"/>
      <c r="N117" s="144"/>
      <c r="O117" s="144"/>
      <c r="P117" s="144"/>
      <c r="Q117" s="144"/>
      <c r="R117" s="144"/>
      <c r="S117" s="144"/>
      <c r="T117" s="144"/>
      <c r="U117" s="222"/>
      <c r="V117" s="222"/>
      <c r="W117" s="222"/>
      <c r="X117" s="222"/>
      <c r="Y117" s="222"/>
      <c r="Z117" s="222"/>
      <c r="AA117" s="222"/>
      <c r="AB117" s="14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1:40" s="247" customFormat="1" ht="11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998"/>
      <c r="M118" s="144"/>
      <c r="N118" s="144"/>
      <c r="O118" s="144"/>
      <c r="P118" s="144"/>
      <c r="Q118" s="144"/>
      <c r="R118" s="144"/>
      <c r="S118" s="144"/>
      <c r="T118" s="144"/>
      <c r="U118" s="222"/>
      <c r="V118" s="222"/>
      <c r="W118" s="222"/>
      <c r="X118" s="222"/>
      <c r="Y118" s="222"/>
      <c r="Z118" s="222"/>
      <c r="AA118" s="222"/>
      <c r="AB118" s="14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1:40" s="247" customFormat="1" ht="11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998"/>
      <c r="M119" s="144"/>
      <c r="N119" s="144"/>
      <c r="O119" s="144"/>
      <c r="P119" s="144"/>
      <c r="Q119" s="144"/>
      <c r="R119" s="144"/>
      <c r="S119" s="144"/>
      <c r="T119" s="144"/>
      <c r="U119" s="222"/>
      <c r="V119" s="222"/>
      <c r="W119" s="222"/>
      <c r="X119" s="222"/>
      <c r="Y119" s="222"/>
      <c r="Z119" s="222"/>
      <c r="AA119" s="222"/>
      <c r="AB119" s="14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1:40" s="247" customFormat="1" ht="11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998"/>
      <c r="M120" s="144"/>
      <c r="N120" s="144"/>
      <c r="O120" s="144"/>
      <c r="P120" s="144"/>
      <c r="Q120" s="144"/>
      <c r="R120" s="144"/>
      <c r="S120" s="144"/>
      <c r="T120" s="144"/>
      <c r="U120" s="222"/>
      <c r="V120" s="222"/>
      <c r="W120" s="222"/>
      <c r="X120" s="222"/>
      <c r="Y120" s="222"/>
      <c r="Z120" s="222"/>
      <c r="AA120" s="222"/>
      <c r="AB120" s="14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1:40" s="247" customFormat="1" ht="11">
      <c r="B121" s="144"/>
      <c r="C121" s="143"/>
      <c r="D121" s="907"/>
      <c r="E121" s="143"/>
      <c r="F121" s="145"/>
      <c r="G121" s="146"/>
      <c r="H121" s="146"/>
      <c r="I121" s="146"/>
      <c r="J121" s="146"/>
      <c r="K121" s="146"/>
      <c r="L121" s="999"/>
      <c r="M121" s="458"/>
      <c r="N121" s="145"/>
      <c r="O121" s="146"/>
      <c r="P121" s="146"/>
      <c r="Q121" s="147"/>
      <c r="R121" s="147"/>
      <c r="S121" s="142"/>
      <c r="T121" s="142"/>
      <c r="U121" s="222"/>
      <c r="V121" s="222"/>
      <c r="W121" s="222"/>
      <c r="X121" s="222"/>
      <c r="Y121" s="222"/>
      <c r="Z121" s="222"/>
      <c r="AA121" s="222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1:40" s="247" customFormat="1" ht="11">
      <c r="B122" s="144"/>
      <c r="C122" s="143"/>
      <c r="D122" s="907"/>
      <c r="E122" s="143"/>
      <c r="F122" s="145"/>
      <c r="G122" s="146"/>
      <c r="H122" s="146"/>
      <c r="I122" s="146"/>
      <c r="J122" s="146"/>
      <c r="K122" s="146"/>
      <c r="L122" s="999"/>
      <c r="M122" s="458"/>
      <c r="N122" s="145"/>
      <c r="O122" s="146"/>
      <c r="P122" s="146"/>
      <c r="Q122" s="147"/>
      <c r="R122" s="147"/>
      <c r="S122" s="142"/>
      <c r="T122" s="142"/>
      <c r="U122" s="222"/>
      <c r="V122" s="222"/>
      <c r="W122" s="222"/>
      <c r="X122" s="222"/>
      <c r="Y122" s="222"/>
      <c r="Z122" s="222"/>
      <c r="AA122" s="222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1:40" s="247" customFormat="1" ht="11">
      <c r="B123" s="144"/>
      <c r="C123" s="143"/>
      <c r="D123" s="907"/>
      <c r="E123" s="143"/>
      <c r="F123" s="145"/>
      <c r="G123" s="146"/>
      <c r="H123" s="146"/>
      <c r="I123" s="146"/>
      <c r="J123" s="146"/>
      <c r="K123" s="146"/>
      <c r="L123" s="999"/>
      <c r="M123" s="458"/>
      <c r="N123" s="145"/>
      <c r="O123" s="146"/>
      <c r="P123" s="146"/>
      <c r="Q123" s="147"/>
      <c r="R123" s="147"/>
      <c r="S123" s="142"/>
      <c r="T123" s="142"/>
      <c r="U123" s="222"/>
      <c r="V123" s="222"/>
      <c r="W123" s="222"/>
      <c r="X123" s="222"/>
      <c r="Y123" s="222"/>
      <c r="Z123" s="222"/>
      <c r="AA123" s="222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</row>
    <row r="124" spans="1:40" s="247" customFormat="1" ht="11">
      <c r="B124" s="144"/>
      <c r="C124" s="143"/>
      <c r="D124" s="907"/>
      <c r="E124" s="143"/>
      <c r="F124" s="145"/>
      <c r="G124" s="146"/>
      <c r="H124" s="146"/>
      <c r="I124" s="146"/>
      <c r="J124" s="146"/>
      <c r="K124" s="146"/>
      <c r="L124" s="999"/>
      <c r="M124" s="458"/>
      <c r="N124" s="145"/>
      <c r="O124" s="146"/>
      <c r="P124" s="146"/>
      <c r="Q124" s="147"/>
      <c r="R124" s="147"/>
      <c r="S124" s="142"/>
      <c r="T124" s="142"/>
      <c r="U124" s="222"/>
      <c r="V124" s="222"/>
      <c r="W124" s="222"/>
      <c r="X124" s="222"/>
      <c r="Y124" s="222"/>
      <c r="Z124" s="222"/>
      <c r="AA124" s="222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</row>
    <row r="125" spans="1:40" s="247" customFormat="1" ht="11">
      <c r="B125" s="144"/>
      <c r="C125" s="143"/>
      <c r="D125" s="907"/>
      <c r="E125" s="143"/>
      <c r="F125" s="145"/>
      <c r="G125" s="146"/>
      <c r="H125" s="146"/>
      <c r="I125" s="146"/>
      <c r="J125" s="146"/>
      <c r="K125" s="146"/>
      <c r="L125" s="999"/>
      <c r="M125" s="458"/>
      <c r="N125" s="145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1:40" s="247" customFormat="1" ht="11">
      <c r="B126" s="144"/>
      <c r="C126" s="143"/>
      <c r="D126" s="907"/>
      <c r="E126" s="143"/>
      <c r="F126" s="145"/>
      <c r="G126" s="146"/>
      <c r="H126" s="146"/>
      <c r="I126" s="146"/>
      <c r="J126" s="146"/>
      <c r="K126" s="146"/>
      <c r="L126" s="999"/>
      <c r="M126" s="458"/>
      <c r="N126" s="145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1:40" s="247" customFormat="1" ht="11">
      <c r="B127" s="144"/>
      <c r="C127" s="143"/>
      <c r="D127" s="907"/>
      <c r="E127" s="143"/>
      <c r="F127" s="145"/>
      <c r="G127" s="146"/>
      <c r="H127" s="146"/>
      <c r="I127" s="146"/>
      <c r="J127" s="146"/>
      <c r="K127" s="146"/>
      <c r="L127" s="999"/>
      <c r="M127" s="458"/>
      <c r="N127" s="145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1:40" s="247" customFormat="1" ht="11">
      <c r="B128" s="144"/>
      <c r="C128" s="143"/>
      <c r="D128" s="907"/>
      <c r="E128" s="143"/>
      <c r="F128" s="145"/>
      <c r="G128" s="146"/>
      <c r="H128" s="146"/>
      <c r="I128" s="146"/>
      <c r="J128" s="146"/>
      <c r="K128" s="146"/>
      <c r="L128" s="999"/>
      <c r="M128" s="458"/>
      <c r="N128" s="145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39" s="247" customFormat="1" ht="11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999"/>
      <c r="M129" s="458"/>
      <c r="N129" s="145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</row>
    <row r="130" spans="2:39" s="247" customFormat="1" ht="11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999"/>
      <c r="M130" s="458"/>
      <c r="N130" s="145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39" s="247" customFormat="1" ht="11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999"/>
      <c r="M131" s="458"/>
      <c r="N131" s="145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39" s="247" customFormat="1" ht="11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999"/>
      <c r="M132" s="458"/>
      <c r="N132" s="145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</row>
    <row r="133" spans="2:39" s="247" customFormat="1" ht="11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999"/>
      <c r="M133" s="458"/>
      <c r="N133" s="145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</row>
    <row r="134" spans="2:39" s="247" customFormat="1" ht="1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999"/>
      <c r="M134" s="458"/>
      <c r="N134" s="145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</row>
    <row r="135" spans="2:39" s="247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999"/>
      <c r="M135" s="458"/>
      <c r="N135" s="145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</row>
    <row r="136" spans="2:39" s="247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999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2:39" s="247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999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2:39" s="247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999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2:39" s="247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999"/>
      <c r="M139" s="458"/>
      <c r="N139" s="145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2:39" s="247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999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2:39" s="247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999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2:39" s="247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999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2:39" s="247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999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2:39" s="247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999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41" s="247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999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41" s="247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999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B146" s="247">
        <f>SUBTOTAL(9,AB104:AB145)</f>
        <v>0</v>
      </c>
      <c r="AC146" s="214">
        <f>SUBTOTAL(9,AC104:AC145)</f>
        <v>0</v>
      </c>
      <c r="AD146" s="214">
        <f>SUBTOTAL(9,AD104:AD145)</f>
        <v>0</v>
      </c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41" s="247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999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B147" s="247">
        <v>0</v>
      </c>
      <c r="AC147" s="214">
        <v>0</v>
      </c>
      <c r="AD147" s="214">
        <v>0</v>
      </c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41" s="247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999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B148" s="247">
        <v>0</v>
      </c>
      <c r="AC148" s="214">
        <v>0</v>
      </c>
      <c r="AD148" s="214">
        <v>0</v>
      </c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41" s="247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999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B149" s="247">
        <v>0</v>
      </c>
      <c r="AC149" s="214">
        <v>0</v>
      </c>
      <c r="AD149" s="214">
        <v>0</v>
      </c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41" s="247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999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B150" s="247">
        <v>0</v>
      </c>
      <c r="AC150" s="214">
        <v>0</v>
      </c>
      <c r="AD150" s="214">
        <v>0</v>
      </c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41" s="247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999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B151" s="247">
        <v>0</v>
      </c>
      <c r="AC151" s="214">
        <v>0</v>
      </c>
      <c r="AD151" s="214">
        <v>0</v>
      </c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41" s="247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999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B152" s="247">
        <v>0</v>
      </c>
      <c r="AC152" s="214">
        <v>0</v>
      </c>
      <c r="AD152" s="214">
        <v>0</v>
      </c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41" s="247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999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B153" s="247">
        <v>0</v>
      </c>
      <c r="AC153" s="214">
        <v>0</v>
      </c>
      <c r="AD153" s="214">
        <v>0</v>
      </c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41" s="247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999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B154" s="247">
        <v>0</v>
      </c>
      <c r="AC154" s="214">
        <v>0</v>
      </c>
      <c r="AD154" s="214">
        <v>0</v>
      </c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41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999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B155" s="247">
        <v>0</v>
      </c>
      <c r="AC155" s="214">
        <v>0</v>
      </c>
      <c r="AD155" s="214">
        <v>0</v>
      </c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41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999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B156" s="247">
        <v>0</v>
      </c>
      <c r="AC156" s="214">
        <v>0</v>
      </c>
      <c r="AD156" s="214">
        <v>0</v>
      </c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41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999"/>
      <c r="M157" s="458"/>
      <c r="N157" s="145"/>
      <c r="O157" s="146"/>
      <c r="P157" s="146"/>
      <c r="Q157" s="147"/>
      <c r="R157" s="147"/>
      <c r="S157" s="142"/>
      <c r="T157" s="142"/>
      <c r="U157" s="146">
        <f>SUBTOTAL(9,U115:U156)</f>
        <v>0</v>
      </c>
      <c r="V157" s="146">
        <f t="shared" ref="V157:AA157" si="74">SUBTOTAL(9,V115:V156)</f>
        <v>0</v>
      </c>
      <c r="W157" s="146">
        <f t="shared" si="74"/>
        <v>0</v>
      </c>
      <c r="X157" s="146">
        <f t="shared" si="74"/>
        <v>0</v>
      </c>
      <c r="Y157" s="146">
        <f t="shared" si="74"/>
        <v>0</v>
      </c>
      <c r="Z157" s="146">
        <f t="shared" si="74"/>
        <v>0</v>
      </c>
      <c r="AA157" s="146">
        <f t="shared" si="74"/>
        <v>0</v>
      </c>
      <c r="AB157" s="247">
        <v>0</v>
      </c>
      <c r="AC157" s="214">
        <v>0</v>
      </c>
      <c r="AD157" s="214">
        <v>0</v>
      </c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41" s="213" customFormat="1" ht="14" thickBot="1">
      <c r="B158" s="139"/>
      <c r="C158" s="138"/>
      <c r="D158" s="908"/>
      <c r="E158" s="138"/>
      <c r="F158" s="140"/>
      <c r="G158" s="141"/>
      <c r="H158" s="141"/>
      <c r="I158" s="141"/>
      <c r="J158" s="141"/>
      <c r="K158" s="141"/>
      <c r="L158" s="1000"/>
      <c r="M158" s="458"/>
      <c r="N158" s="140"/>
      <c r="O158" s="141"/>
      <c r="P158" s="141"/>
      <c r="Q158" s="148"/>
      <c r="R158" s="148"/>
      <c r="S158" s="149"/>
      <c r="T158" s="149"/>
      <c r="U158" s="150"/>
      <c r="V158" s="150"/>
      <c r="W158" s="150"/>
      <c r="X158" s="150"/>
      <c r="Y158" s="150"/>
      <c r="Z158" s="150"/>
      <c r="AA158" s="150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41" s="213" customFormat="1" ht="15" thickTop="1" thickBot="1">
      <c r="B159" s="139"/>
      <c r="C159" s="138"/>
      <c r="D159" s="908"/>
      <c r="E159" s="138"/>
      <c r="F159" s="140"/>
      <c r="G159" s="141"/>
      <c r="H159" s="141"/>
      <c r="I159" s="141"/>
      <c r="J159" s="141"/>
      <c r="K159" s="141"/>
      <c r="L159" s="1000"/>
      <c r="M159" s="458"/>
      <c r="N159" s="140"/>
      <c r="O159" s="141"/>
      <c r="P159" s="141"/>
      <c r="Q159" s="148"/>
      <c r="R159" s="148"/>
      <c r="S159" s="148"/>
      <c r="T159" s="149"/>
      <c r="U159" s="151"/>
      <c r="V159" s="152"/>
      <c r="W159" s="153"/>
      <c r="X159" s="153"/>
      <c r="Y159" s="153"/>
      <c r="Z159" s="153"/>
      <c r="AA159" s="154"/>
      <c r="AB159" s="246"/>
      <c r="AC159" s="246"/>
      <c r="AE159" s="214"/>
      <c r="AF159" s="214"/>
      <c r="AG159" s="214"/>
      <c r="AH159" s="214"/>
      <c r="AI159" s="214"/>
      <c r="AJ159" s="214"/>
      <c r="AK159" s="214"/>
      <c r="AL159" s="214"/>
      <c r="AM159" s="214"/>
      <c r="AN159" s="214"/>
      <c r="AO159" s="214"/>
    </row>
    <row r="160" spans="2:41" s="247" customFormat="1" ht="12" thickTop="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999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39" s="247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999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39" s="247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999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39" s="247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999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39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999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39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999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39" s="247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999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39" s="247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999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39" s="247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999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39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999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39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999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39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999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39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999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39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999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39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999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39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999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39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999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39" s="247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999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39" s="247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999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39" s="247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999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39" s="247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999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39" s="247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999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39" s="247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999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39" s="247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999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39" s="247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999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39" s="247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999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39" s="247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999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39" s="247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999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39" s="247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999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39" s="247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999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39" s="247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999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39" s="247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999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39" s="247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999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41" s="247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999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41" s="247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999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41" s="247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999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41" s="247" customFormat="1" ht="11">
      <c r="B196" s="248"/>
      <c r="D196" s="909"/>
      <c r="F196" s="249"/>
      <c r="G196" s="250"/>
      <c r="H196" s="250"/>
      <c r="I196" s="250"/>
      <c r="J196" s="250"/>
      <c r="K196" s="250"/>
      <c r="L196" s="1001"/>
      <c r="M196" s="459"/>
      <c r="N196" s="249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41" s="247" customFormat="1" ht="11">
      <c r="B197" s="248"/>
      <c r="D197" s="909"/>
      <c r="F197" s="249"/>
      <c r="G197" s="250"/>
      <c r="H197" s="250"/>
      <c r="I197" s="250"/>
      <c r="J197" s="250"/>
      <c r="K197" s="250"/>
      <c r="L197" s="1001"/>
      <c r="M197" s="459"/>
      <c r="N197" s="249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41" s="247" customFormat="1" ht="11">
      <c r="B198" s="248"/>
      <c r="D198" s="909"/>
      <c r="F198" s="249"/>
      <c r="G198" s="250"/>
      <c r="H198" s="250"/>
      <c r="I198" s="250"/>
      <c r="J198" s="250"/>
      <c r="K198" s="250"/>
      <c r="L198" s="1001"/>
      <c r="M198" s="459"/>
      <c r="N198" s="249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41" s="247" customFormat="1" ht="11">
      <c r="B199" s="248"/>
      <c r="D199" s="909"/>
      <c r="F199" s="249"/>
      <c r="G199" s="250"/>
      <c r="H199" s="250"/>
      <c r="I199" s="250"/>
      <c r="J199" s="250"/>
      <c r="K199" s="250"/>
      <c r="L199" s="1001"/>
      <c r="M199" s="459"/>
      <c r="N199" s="249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41" s="247" customFormat="1" ht="11">
      <c r="B200" s="248"/>
      <c r="D200" s="909"/>
      <c r="F200" s="249"/>
      <c r="G200" s="250"/>
      <c r="H200" s="250"/>
      <c r="I200" s="250"/>
      <c r="J200" s="250"/>
      <c r="K200" s="250"/>
      <c r="L200" s="1001"/>
      <c r="M200" s="459"/>
      <c r="N200" s="249"/>
      <c r="O200" s="146"/>
      <c r="P200" s="146"/>
      <c r="Q200" s="147"/>
      <c r="R200" s="147"/>
      <c r="S200" s="142"/>
      <c r="T200" s="142"/>
      <c r="U200" s="146">
        <f>SUBTOTAL(9,U158:U199)</f>
        <v>0</v>
      </c>
      <c r="V200" s="146">
        <f t="shared" ref="V200:AA200" si="75">SUBTOTAL(9,V158:V199)</f>
        <v>0</v>
      </c>
      <c r="W200" s="146">
        <f t="shared" si="75"/>
        <v>0</v>
      </c>
      <c r="X200" s="146">
        <f t="shared" si="75"/>
        <v>0</v>
      </c>
      <c r="Y200" s="146">
        <f t="shared" si="75"/>
        <v>0</v>
      </c>
      <c r="Z200" s="146">
        <f t="shared" si="75"/>
        <v>0</v>
      </c>
      <c r="AA200" s="146">
        <f t="shared" si="75"/>
        <v>0</v>
      </c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41" s="213" customFormat="1" ht="14" thickBot="1">
      <c r="B201" s="225"/>
      <c r="D201" s="910"/>
      <c r="F201" s="242"/>
      <c r="G201" s="243"/>
      <c r="H201" s="243"/>
      <c r="I201" s="243"/>
      <c r="J201" s="243"/>
      <c r="K201" s="243"/>
      <c r="L201" s="1002"/>
      <c r="M201" s="459"/>
      <c r="N201" s="242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41" s="213" customFormat="1" ht="15" thickTop="1" thickBot="1">
      <c r="B202" s="225"/>
      <c r="D202" s="910"/>
      <c r="F202" s="242"/>
      <c r="G202" s="243"/>
      <c r="H202" s="243"/>
      <c r="I202" s="243"/>
      <c r="J202" s="243"/>
      <c r="K202" s="243"/>
      <c r="L202" s="1002"/>
      <c r="M202" s="459"/>
      <c r="N202" s="242"/>
      <c r="O202" s="141"/>
      <c r="P202" s="141"/>
      <c r="Q202" s="148"/>
      <c r="R202" s="148"/>
      <c r="S202" s="148"/>
      <c r="T202" s="148"/>
      <c r="U202" s="151">
        <f>SUBTOTAL(9,U160:U201)</f>
        <v>0</v>
      </c>
      <c r="V202" s="152">
        <f t="shared" ref="V202:AA202" si="76">SUBTOTAL(9,V160:V201)</f>
        <v>0</v>
      </c>
      <c r="W202" s="153">
        <f t="shared" si="76"/>
        <v>0</v>
      </c>
      <c r="X202" s="153">
        <f t="shared" si="76"/>
        <v>0</v>
      </c>
      <c r="Y202" s="153">
        <f t="shared" si="76"/>
        <v>0</v>
      </c>
      <c r="Z202" s="153">
        <f t="shared" si="76"/>
        <v>0</v>
      </c>
      <c r="AA202" s="154">
        <f t="shared" si="76"/>
        <v>0</v>
      </c>
      <c r="AB202" s="246"/>
      <c r="AC202" s="246"/>
      <c r="AE202" s="214"/>
      <c r="AF202" s="214"/>
      <c r="AG202" s="214"/>
      <c r="AH202" s="214"/>
      <c r="AI202" s="214"/>
      <c r="AJ202" s="214"/>
      <c r="AK202" s="214"/>
      <c r="AL202" s="214"/>
      <c r="AM202" s="214"/>
      <c r="AN202" s="214"/>
      <c r="AO202" s="214"/>
    </row>
    <row r="203" spans="2:41" s="213" customFormat="1" ht="14" thickTop="1">
      <c r="B203" s="225"/>
      <c r="D203" s="910"/>
      <c r="F203" s="242"/>
      <c r="G203" s="243"/>
      <c r="H203" s="243"/>
      <c r="I203" s="243"/>
      <c r="J203" s="243"/>
      <c r="K203" s="243"/>
      <c r="L203" s="1002"/>
      <c r="M203" s="459"/>
      <c r="N203" s="242"/>
      <c r="O203" s="141"/>
      <c r="P203" s="141"/>
      <c r="Q203" s="148"/>
      <c r="R203" s="148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41" s="213" customFormat="1">
      <c r="B204" s="225"/>
      <c r="D204" s="910"/>
      <c r="F204" s="242"/>
      <c r="G204" s="243"/>
      <c r="H204" s="243"/>
      <c r="I204" s="243"/>
      <c r="J204" s="243"/>
      <c r="K204" s="243"/>
      <c r="L204" s="1002"/>
      <c r="M204" s="459"/>
      <c r="N204" s="242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41" s="213" customFormat="1">
      <c r="B205" s="225"/>
      <c r="D205" s="910"/>
      <c r="F205" s="242"/>
      <c r="G205" s="243"/>
      <c r="H205" s="243"/>
      <c r="I205" s="243"/>
      <c r="J205" s="243"/>
      <c r="K205" s="243"/>
      <c r="L205" s="1002"/>
      <c r="M205" s="459"/>
      <c r="N205" s="242"/>
      <c r="O205" s="141"/>
      <c r="P205" s="141"/>
      <c r="Q205" s="148"/>
      <c r="R205" s="148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41" s="213" customFormat="1">
      <c r="B206" s="225"/>
      <c r="D206" s="910"/>
      <c r="F206" s="242"/>
      <c r="G206" s="243"/>
      <c r="H206" s="243"/>
      <c r="I206" s="243"/>
      <c r="J206" s="243"/>
      <c r="K206" s="243"/>
      <c r="L206" s="1002"/>
      <c r="M206" s="459"/>
      <c r="N206" s="242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41" s="213" customFormat="1">
      <c r="B207" s="225"/>
      <c r="D207" s="910"/>
      <c r="F207" s="242"/>
      <c r="G207" s="243"/>
      <c r="H207" s="243"/>
      <c r="I207" s="243"/>
      <c r="J207" s="243"/>
      <c r="K207" s="243"/>
      <c r="L207" s="1002"/>
      <c r="M207" s="459"/>
      <c r="N207" s="242"/>
      <c r="O207" s="141"/>
      <c r="P207" s="141"/>
      <c r="Q207" s="148"/>
      <c r="R207" s="148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41" s="213" customFormat="1">
      <c r="B208" s="225"/>
      <c r="D208" s="910"/>
      <c r="F208" s="242"/>
      <c r="G208" s="243"/>
      <c r="H208" s="243"/>
      <c r="I208" s="243"/>
      <c r="J208" s="243"/>
      <c r="K208" s="243"/>
      <c r="L208" s="1002"/>
      <c r="M208" s="459"/>
      <c r="N208" s="242"/>
      <c r="O208" s="141"/>
      <c r="P208" s="141"/>
      <c r="Q208" s="148"/>
      <c r="R208" s="148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39" s="213" customFormat="1">
      <c r="B209" s="225"/>
      <c r="D209" s="910"/>
      <c r="F209" s="242"/>
      <c r="G209" s="243"/>
      <c r="H209" s="243"/>
      <c r="I209" s="243"/>
      <c r="J209" s="243"/>
      <c r="K209" s="243"/>
      <c r="L209" s="1002"/>
      <c r="M209" s="459"/>
      <c r="N209" s="242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39" s="213" customFormat="1">
      <c r="B210" s="225"/>
      <c r="D210" s="910"/>
      <c r="F210" s="242"/>
      <c r="G210" s="243"/>
      <c r="H210" s="243"/>
      <c r="I210" s="243"/>
      <c r="J210" s="243"/>
      <c r="K210" s="243"/>
      <c r="L210" s="1002"/>
      <c r="M210" s="459"/>
      <c r="N210" s="242"/>
      <c r="O210" s="141"/>
      <c r="P210" s="141"/>
      <c r="Q210" s="148"/>
      <c r="R210" s="148"/>
      <c r="S210" s="149"/>
      <c r="T210" s="149"/>
      <c r="U210" s="150"/>
      <c r="V210" s="150"/>
      <c r="W210" s="150"/>
      <c r="X210" s="150"/>
      <c r="Y210" s="150"/>
      <c r="Z210" s="150"/>
      <c r="AA210" s="150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39" s="213" customFormat="1">
      <c r="B211" s="225"/>
      <c r="D211" s="910"/>
      <c r="F211" s="242"/>
      <c r="G211" s="243"/>
      <c r="H211" s="243"/>
      <c r="I211" s="243"/>
      <c r="J211" s="243"/>
      <c r="K211" s="243"/>
      <c r="L211" s="1002"/>
      <c r="M211" s="459"/>
      <c r="N211" s="242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39" s="213" customFormat="1">
      <c r="B212" s="225"/>
      <c r="D212" s="910"/>
      <c r="F212" s="242"/>
      <c r="G212" s="243"/>
      <c r="H212" s="243"/>
      <c r="I212" s="243"/>
      <c r="J212" s="243"/>
      <c r="K212" s="243"/>
      <c r="L212" s="1002"/>
      <c r="M212" s="459"/>
      <c r="N212" s="242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39" s="213" customFormat="1">
      <c r="B213" s="225"/>
      <c r="D213" s="910"/>
      <c r="F213" s="242"/>
      <c r="G213" s="243"/>
      <c r="H213" s="243"/>
      <c r="I213" s="243"/>
      <c r="J213" s="243"/>
      <c r="K213" s="243"/>
      <c r="L213" s="1002"/>
      <c r="M213" s="459"/>
      <c r="N213" s="242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39" s="213" customFormat="1">
      <c r="B214" s="225"/>
      <c r="D214" s="910"/>
      <c r="F214" s="242"/>
      <c r="G214" s="243"/>
      <c r="H214" s="243"/>
      <c r="I214" s="243"/>
      <c r="J214" s="243"/>
      <c r="K214" s="243"/>
      <c r="L214" s="1002"/>
      <c r="M214" s="459"/>
      <c r="N214" s="242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39" s="213" customFormat="1">
      <c r="B215" s="225"/>
      <c r="D215" s="910"/>
      <c r="F215" s="242"/>
      <c r="G215" s="243"/>
      <c r="H215" s="243"/>
      <c r="I215" s="243"/>
      <c r="J215" s="243"/>
      <c r="K215" s="243"/>
      <c r="L215" s="1002"/>
      <c r="M215" s="459"/>
      <c r="N215" s="242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39" s="213" customFormat="1">
      <c r="B216" s="225"/>
      <c r="D216" s="910"/>
      <c r="F216" s="242"/>
      <c r="G216" s="243"/>
      <c r="H216" s="243"/>
      <c r="I216" s="243"/>
      <c r="J216" s="243"/>
      <c r="K216" s="243"/>
      <c r="L216" s="1002"/>
      <c r="M216" s="459"/>
      <c r="N216" s="242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39" s="213" customFormat="1">
      <c r="B217" s="225"/>
      <c r="D217" s="910"/>
      <c r="F217" s="242"/>
      <c r="G217" s="243"/>
      <c r="H217" s="243"/>
      <c r="I217" s="243"/>
      <c r="J217" s="243"/>
      <c r="K217" s="243"/>
      <c r="L217" s="1002"/>
      <c r="M217" s="459"/>
      <c r="N217" s="242"/>
      <c r="O217" s="141"/>
      <c r="P217" s="141"/>
      <c r="Q217" s="148"/>
      <c r="R217" s="148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39" s="213" customFormat="1">
      <c r="B218" s="225"/>
      <c r="D218" s="910"/>
      <c r="F218" s="242"/>
      <c r="G218" s="243"/>
      <c r="H218" s="243"/>
      <c r="I218" s="243"/>
      <c r="J218" s="243"/>
      <c r="K218" s="243"/>
      <c r="L218" s="1002"/>
      <c r="M218" s="459"/>
      <c r="N218" s="242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39" s="213" customFormat="1">
      <c r="B219" s="225"/>
      <c r="D219" s="910"/>
      <c r="F219" s="242"/>
      <c r="G219" s="243"/>
      <c r="H219" s="243"/>
      <c r="I219" s="243"/>
      <c r="J219" s="243"/>
      <c r="K219" s="243"/>
      <c r="L219" s="1002"/>
      <c r="M219" s="459"/>
      <c r="N219" s="242"/>
      <c r="O219" s="141"/>
      <c r="P219" s="141"/>
      <c r="Q219" s="148"/>
      <c r="R219" s="148"/>
      <c r="S219" s="149"/>
      <c r="T219" s="149"/>
      <c r="U219" s="150"/>
      <c r="V219" s="150"/>
      <c r="W219" s="150"/>
      <c r="X219" s="150"/>
      <c r="Y219" s="150"/>
      <c r="Z219" s="150"/>
      <c r="AA219" s="150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39" s="213" customFormat="1">
      <c r="B220" s="225"/>
      <c r="D220" s="910"/>
      <c r="F220" s="242"/>
      <c r="G220" s="243"/>
      <c r="H220" s="243"/>
      <c r="I220" s="243"/>
      <c r="J220" s="243"/>
      <c r="K220" s="243"/>
      <c r="L220" s="1002"/>
      <c r="M220" s="459"/>
      <c r="N220" s="242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39" s="213" customFormat="1">
      <c r="B221" s="225"/>
      <c r="D221" s="910"/>
      <c r="F221" s="242"/>
      <c r="G221" s="243"/>
      <c r="H221" s="243"/>
      <c r="I221" s="243"/>
      <c r="J221" s="243"/>
      <c r="K221" s="243"/>
      <c r="L221" s="1002"/>
      <c r="M221" s="459"/>
      <c r="N221" s="242"/>
      <c r="O221" s="141"/>
      <c r="P221" s="141"/>
      <c r="Q221" s="148"/>
      <c r="R221" s="148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</row>
    <row r="222" spans="2:39" s="213" customFormat="1">
      <c r="B222" s="225"/>
      <c r="D222" s="910"/>
      <c r="F222" s="242"/>
      <c r="G222" s="243"/>
      <c r="H222" s="243"/>
      <c r="I222" s="243"/>
      <c r="J222" s="243"/>
      <c r="K222" s="243"/>
      <c r="L222" s="1002"/>
      <c r="M222" s="459"/>
      <c r="N222" s="242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39" s="213" customFormat="1">
      <c r="B223" s="225"/>
      <c r="D223" s="910"/>
      <c r="F223" s="242"/>
      <c r="G223" s="243"/>
      <c r="H223" s="243"/>
      <c r="I223" s="243"/>
      <c r="J223" s="243"/>
      <c r="K223" s="243"/>
      <c r="L223" s="1002"/>
      <c r="M223" s="459"/>
      <c r="N223" s="242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</row>
    <row r="224" spans="2:39" s="213" customFormat="1">
      <c r="B224" s="225"/>
      <c r="D224" s="910"/>
      <c r="F224" s="242"/>
      <c r="G224" s="243"/>
      <c r="H224" s="243"/>
      <c r="I224" s="243"/>
      <c r="J224" s="243"/>
      <c r="K224" s="243"/>
      <c r="L224" s="1002"/>
      <c r="M224" s="459"/>
      <c r="N224" s="242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1:40" s="213" customFormat="1">
      <c r="B225" s="225"/>
      <c r="D225" s="910"/>
      <c r="F225" s="242"/>
      <c r="G225" s="243"/>
      <c r="H225" s="243"/>
      <c r="I225" s="243"/>
      <c r="J225" s="243"/>
      <c r="K225" s="243"/>
      <c r="L225" s="1002"/>
      <c r="M225" s="459"/>
      <c r="N225" s="242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</row>
    <row r="226" spans="1:40" s="213" customFormat="1">
      <c r="B226" s="225"/>
      <c r="D226" s="910"/>
      <c r="F226" s="242"/>
      <c r="G226" s="243"/>
      <c r="H226" s="243"/>
      <c r="I226" s="243"/>
      <c r="J226" s="243"/>
      <c r="K226" s="243"/>
      <c r="L226" s="1002"/>
      <c r="M226" s="459"/>
      <c r="N226" s="242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1:40" s="213" customFormat="1">
      <c r="B227" s="225"/>
      <c r="D227" s="910"/>
      <c r="F227" s="242"/>
      <c r="G227" s="243"/>
      <c r="H227" s="243"/>
      <c r="I227" s="243"/>
      <c r="J227" s="243"/>
      <c r="K227" s="243"/>
      <c r="L227" s="1002"/>
      <c r="M227" s="459"/>
      <c r="N227" s="242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1:40" s="213" customFormat="1">
      <c r="B228" s="225"/>
      <c r="D228" s="910"/>
      <c r="F228" s="242"/>
      <c r="G228" s="243"/>
      <c r="H228" s="243"/>
      <c r="I228" s="243"/>
      <c r="J228" s="243"/>
      <c r="K228" s="243"/>
      <c r="L228" s="1002"/>
      <c r="M228" s="459"/>
      <c r="N228" s="242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1:40" s="213" customFormat="1">
      <c r="B229" s="225"/>
      <c r="D229" s="910"/>
      <c r="F229" s="242"/>
      <c r="G229" s="243"/>
      <c r="H229" s="243"/>
      <c r="I229" s="243"/>
      <c r="J229" s="243"/>
      <c r="K229" s="243"/>
      <c r="L229" s="1002"/>
      <c r="M229" s="459"/>
      <c r="N229" s="242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1:40" s="213" customFormat="1">
      <c r="B230" s="225"/>
      <c r="D230" s="910"/>
      <c r="F230" s="242"/>
      <c r="G230" s="243"/>
      <c r="H230" s="243"/>
      <c r="I230" s="243"/>
      <c r="J230" s="243"/>
      <c r="K230" s="243"/>
      <c r="L230" s="1002"/>
      <c r="M230" s="459"/>
      <c r="N230" s="242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</row>
    <row r="231" spans="1:40" s="213" customFormat="1">
      <c r="B231" s="225"/>
      <c r="D231" s="910"/>
      <c r="F231" s="242"/>
      <c r="G231" s="243"/>
      <c r="H231" s="243"/>
      <c r="I231" s="243"/>
      <c r="J231" s="243"/>
      <c r="K231" s="243"/>
      <c r="L231" s="1002"/>
      <c r="M231" s="459"/>
      <c r="N231" s="242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1:40" s="213" customFormat="1">
      <c r="B232" s="225"/>
      <c r="D232" s="910"/>
      <c r="F232" s="242"/>
      <c r="G232" s="243"/>
      <c r="H232" s="243"/>
      <c r="I232" s="243"/>
      <c r="J232" s="243"/>
      <c r="K232" s="243"/>
      <c r="L232" s="1002"/>
      <c r="M232" s="459"/>
      <c r="N232" s="242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1:40" s="213" customFormat="1">
      <c r="B233" s="225"/>
      <c r="D233" s="910"/>
      <c r="F233" s="242"/>
      <c r="G233" s="243"/>
      <c r="H233" s="243"/>
      <c r="I233" s="243"/>
      <c r="J233" s="243"/>
      <c r="K233" s="243"/>
      <c r="L233" s="1002"/>
      <c r="M233" s="459"/>
      <c r="N233" s="242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1:40">
      <c r="A234" s="204"/>
      <c r="B234" s="204"/>
      <c r="D234" s="204"/>
      <c r="F234" s="204"/>
      <c r="G234" s="204"/>
      <c r="H234" s="204"/>
      <c r="I234" s="204"/>
      <c r="J234" s="204"/>
      <c r="K234" s="204"/>
      <c r="L234" s="204"/>
      <c r="M234" s="204"/>
      <c r="N234" s="204"/>
      <c r="O234" s="155"/>
      <c r="P234" s="155"/>
      <c r="Q234" s="1131"/>
      <c r="R234" s="1131"/>
      <c r="S234" s="251"/>
      <c r="T234" s="251"/>
      <c r="U234" s="1132"/>
      <c r="V234" s="1132"/>
      <c r="W234" s="1132"/>
      <c r="X234" s="1132"/>
      <c r="Y234" s="1132"/>
      <c r="Z234" s="1132"/>
      <c r="AA234" s="1132"/>
      <c r="AB234" s="204"/>
      <c r="AC234" s="204"/>
      <c r="AD234" s="204"/>
      <c r="AE234" s="204"/>
      <c r="AF234" s="204"/>
      <c r="AG234" s="204"/>
      <c r="AH234" s="204"/>
      <c r="AI234" s="204"/>
      <c r="AJ234" s="204"/>
      <c r="AK234" s="204"/>
      <c r="AL234" s="204"/>
      <c r="AM234" s="204"/>
      <c r="AN234" s="204"/>
    </row>
    <row r="235" spans="1:40">
      <c r="A235" s="204"/>
      <c r="B235" s="204"/>
      <c r="D235" s="204"/>
      <c r="F235" s="204"/>
      <c r="G235" s="204"/>
      <c r="H235" s="204"/>
      <c r="I235" s="204"/>
      <c r="J235" s="204"/>
      <c r="K235" s="204"/>
      <c r="L235" s="204"/>
      <c r="M235" s="204"/>
      <c r="N235" s="204"/>
      <c r="O235" s="155"/>
      <c r="P235" s="155"/>
      <c r="Q235" s="1131"/>
      <c r="R235" s="1131"/>
      <c r="S235" s="251"/>
      <c r="T235" s="251"/>
      <c r="U235" s="1132"/>
      <c r="V235" s="1132"/>
      <c r="W235" s="1132"/>
      <c r="X235" s="1132"/>
      <c r="Y235" s="1132"/>
      <c r="Z235" s="1132"/>
      <c r="AA235" s="1132"/>
      <c r="AB235" s="204"/>
      <c r="AC235" s="204"/>
      <c r="AD235" s="204"/>
      <c r="AE235" s="204"/>
      <c r="AF235" s="204"/>
      <c r="AG235" s="204"/>
      <c r="AH235" s="204"/>
      <c r="AI235" s="204"/>
      <c r="AJ235" s="204"/>
      <c r="AK235" s="204"/>
      <c r="AL235" s="204"/>
      <c r="AM235" s="204"/>
      <c r="AN235" s="204"/>
    </row>
    <row r="236" spans="1:40">
      <c r="A236" s="204"/>
      <c r="B236" s="204"/>
      <c r="D236" s="204"/>
      <c r="F236" s="204"/>
      <c r="G236" s="204"/>
      <c r="H236" s="204"/>
      <c r="I236" s="204"/>
      <c r="J236" s="204"/>
      <c r="K236" s="204"/>
      <c r="L236" s="204"/>
      <c r="M236" s="204"/>
      <c r="N236" s="204"/>
      <c r="O236" s="155"/>
      <c r="P236" s="155"/>
      <c r="Q236" s="1131"/>
      <c r="R236" s="1131"/>
      <c r="S236" s="251"/>
      <c r="T236" s="251"/>
      <c r="U236" s="1132"/>
      <c r="V236" s="1132"/>
      <c r="W236" s="1132"/>
      <c r="X236" s="1132"/>
      <c r="Y236" s="1132"/>
      <c r="Z236" s="1132"/>
      <c r="AA236" s="1132"/>
      <c r="AB236" s="204"/>
      <c r="AC236" s="204"/>
      <c r="AD236" s="204"/>
      <c r="AE236" s="204"/>
      <c r="AF236" s="204"/>
      <c r="AG236" s="204"/>
      <c r="AH236" s="204"/>
      <c r="AI236" s="204"/>
      <c r="AJ236" s="204"/>
      <c r="AK236" s="204"/>
      <c r="AL236" s="204"/>
      <c r="AM236" s="204"/>
      <c r="AN236" s="204"/>
    </row>
    <row r="237" spans="1:40">
      <c r="A237" s="204"/>
      <c r="B237" s="204"/>
      <c r="D237" s="204"/>
      <c r="F237" s="204"/>
      <c r="G237" s="204"/>
      <c r="H237" s="204"/>
      <c r="I237" s="204"/>
      <c r="J237" s="204"/>
      <c r="K237" s="204"/>
      <c r="L237" s="204"/>
      <c r="M237" s="204"/>
      <c r="N237" s="204"/>
      <c r="O237" s="155"/>
      <c r="P237" s="155"/>
      <c r="Q237" s="1131"/>
      <c r="R237" s="1131"/>
      <c r="S237" s="251"/>
      <c r="T237" s="251"/>
      <c r="U237" s="1132"/>
      <c r="V237" s="1132"/>
      <c r="W237" s="1132"/>
      <c r="X237" s="1132"/>
      <c r="Y237" s="1132"/>
      <c r="Z237" s="1132"/>
      <c r="AA237" s="1132"/>
      <c r="AB237" s="204"/>
      <c r="AC237" s="204"/>
      <c r="AD237" s="204"/>
      <c r="AE237" s="204"/>
      <c r="AF237" s="204"/>
      <c r="AG237" s="204"/>
      <c r="AH237" s="204"/>
      <c r="AI237" s="204"/>
      <c r="AJ237" s="204"/>
      <c r="AK237" s="204"/>
      <c r="AL237" s="204"/>
      <c r="AM237" s="204"/>
      <c r="AN237" s="204"/>
    </row>
    <row r="238" spans="1:40">
      <c r="A238" s="204"/>
      <c r="B238" s="204"/>
      <c r="D238" s="204"/>
      <c r="F238" s="204"/>
      <c r="G238" s="204"/>
      <c r="H238" s="204"/>
      <c r="I238" s="204"/>
      <c r="J238" s="204"/>
      <c r="K238" s="204"/>
      <c r="L238" s="204"/>
      <c r="M238" s="204"/>
      <c r="N238" s="204"/>
      <c r="O238" s="155"/>
      <c r="P238" s="155"/>
      <c r="Q238" s="1131"/>
      <c r="R238" s="1131"/>
      <c r="S238" s="251"/>
      <c r="T238" s="251"/>
      <c r="U238" s="1132"/>
      <c r="V238" s="1132"/>
      <c r="W238" s="1132"/>
      <c r="X238" s="1132"/>
      <c r="Y238" s="1132"/>
      <c r="Z238" s="1132"/>
      <c r="AA238" s="1132"/>
      <c r="AB238" s="204"/>
      <c r="AC238" s="204"/>
      <c r="AD238" s="204"/>
      <c r="AE238" s="204"/>
      <c r="AF238" s="204"/>
      <c r="AG238" s="204"/>
      <c r="AH238" s="204"/>
      <c r="AI238" s="204"/>
      <c r="AJ238" s="204"/>
      <c r="AK238" s="204"/>
      <c r="AL238" s="204"/>
      <c r="AM238" s="204"/>
      <c r="AN238" s="204"/>
    </row>
    <row r="239" spans="1:40">
      <c r="A239" s="204"/>
      <c r="B239" s="204"/>
      <c r="D239" s="204"/>
      <c r="F239" s="204"/>
      <c r="G239" s="204"/>
      <c r="H239" s="204"/>
      <c r="I239" s="204"/>
      <c r="J239" s="204"/>
      <c r="K239" s="204"/>
      <c r="L239" s="204"/>
      <c r="M239" s="204"/>
      <c r="N239" s="204"/>
      <c r="O239" s="155"/>
      <c r="P239" s="155"/>
      <c r="Q239" s="1131"/>
      <c r="R239" s="1131"/>
      <c r="S239" s="251"/>
      <c r="T239" s="251"/>
      <c r="U239" s="1132"/>
      <c r="V239" s="1132"/>
      <c r="W239" s="1132"/>
      <c r="X239" s="1132"/>
      <c r="Y239" s="1132"/>
      <c r="Z239" s="1132"/>
      <c r="AA239" s="1132"/>
      <c r="AB239" s="204"/>
      <c r="AC239" s="204"/>
      <c r="AD239" s="204"/>
      <c r="AE239" s="204"/>
      <c r="AF239" s="204"/>
      <c r="AG239" s="204"/>
      <c r="AH239" s="204"/>
      <c r="AI239" s="204"/>
      <c r="AJ239" s="204"/>
      <c r="AK239" s="204"/>
      <c r="AL239" s="204"/>
      <c r="AM239" s="204"/>
      <c r="AN239" s="204"/>
    </row>
    <row r="240" spans="1:40">
      <c r="A240" s="204"/>
      <c r="B240" s="204"/>
      <c r="D240" s="204"/>
      <c r="F240" s="204"/>
      <c r="G240" s="204"/>
      <c r="H240" s="204"/>
      <c r="I240" s="204"/>
      <c r="J240" s="204"/>
      <c r="K240" s="204"/>
      <c r="L240" s="204"/>
      <c r="M240" s="204"/>
      <c r="N240" s="204"/>
      <c r="O240" s="155"/>
      <c r="P240" s="155"/>
      <c r="Q240" s="1131"/>
      <c r="R240" s="1131"/>
      <c r="S240" s="251"/>
      <c r="T240" s="251"/>
      <c r="U240" s="1132"/>
      <c r="V240" s="1132"/>
      <c r="W240" s="1132"/>
      <c r="X240" s="1132"/>
      <c r="Y240" s="1132"/>
      <c r="Z240" s="1132"/>
      <c r="AA240" s="1132"/>
      <c r="AB240" s="204"/>
      <c r="AC240" s="204"/>
      <c r="AD240" s="204"/>
      <c r="AE240" s="204"/>
      <c r="AF240" s="204"/>
      <c r="AG240" s="204"/>
      <c r="AH240" s="204"/>
      <c r="AI240" s="204"/>
      <c r="AJ240" s="204"/>
      <c r="AK240" s="204"/>
      <c r="AL240" s="204"/>
      <c r="AM240" s="204"/>
      <c r="AN240" s="204"/>
    </row>
    <row r="241" spans="1:40">
      <c r="A241" s="204"/>
      <c r="B241" s="204"/>
      <c r="D241" s="204"/>
      <c r="F241" s="204"/>
      <c r="G241" s="204"/>
      <c r="H241" s="204"/>
      <c r="I241" s="204"/>
      <c r="J241" s="204"/>
      <c r="K241" s="204"/>
      <c r="L241" s="204"/>
      <c r="M241" s="204"/>
      <c r="N241" s="204"/>
      <c r="O241" s="155"/>
      <c r="P241" s="155"/>
      <c r="Q241" s="1131"/>
      <c r="R241" s="1131"/>
      <c r="S241" s="251"/>
      <c r="T241" s="251"/>
      <c r="U241" s="1132"/>
      <c r="V241" s="1132"/>
      <c r="W241" s="1132"/>
      <c r="X241" s="1132"/>
      <c r="Y241" s="1132"/>
      <c r="Z241" s="1132"/>
      <c r="AA241" s="1132"/>
      <c r="AB241" s="204"/>
      <c r="AC241" s="204"/>
      <c r="AD241" s="204"/>
      <c r="AE241" s="204"/>
      <c r="AF241" s="204"/>
      <c r="AG241" s="204"/>
      <c r="AH241" s="204"/>
      <c r="AI241" s="204"/>
      <c r="AJ241" s="204"/>
      <c r="AK241" s="204"/>
      <c r="AL241" s="204"/>
      <c r="AM241" s="204"/>
      <c r="AN241" s="204"/>
    </row>
    <row r="242" spans="1:40">
      <c r="A242" s="204"/>
      <c r="B242" s="204"/>
      <c r="D242" s="204"/>
      <c r="F242" s="204"/>
      <c r="G242" s="204"/>
      <c r="H242" s="204"/>
      <c r="I242" s="204"/>
      <c r="J242" s="204"/>
      <c r="K242" s="204"/>
      <c r="L242" s="204"/>
      <c r="M242" s="204"/>
      <c r="N242" s="204"/>
      <c r="O242" s="155"/>
      <c r="P242" s="155"/>
      <c r="Q242" s="1131"/>
      <c r="R242" s="1131"/>
      <c r="S242" s="251"/>
      <c r="T242" s="251"/>
      <c r="U242" s="1132"/>
      <c r="V242" s="1132"/>
      <c r="W242" s="1132"/>
      <c r="X242" s="1132"/>
      <c r="Y242" s="1132"/>
      <c r="Z242" s="1132"/>
      <c r="AA242" s="1132"/>
      <c r="AB242" s="204"/>
      <c r="AC242" s="204"/>
      <c r="AD242" s="204"/>
      <c r="AE242" s="204"/>
      <c r="AF242" s="204"/>
      <c r="AG242" s="204"/>
      <c r="AH242" s="204"/>
      <c r="AI242" s="204"/>
      <c r="AJ242" s="204"/>
      <c r="AK242" s="204"/>
      <c r="AL242" s="204"/>
      <c r="AM242" s="204"/>
      <c r="AN242" s="204"/>
    </row>
    <row r="243" spans="1:40">
      <c r="A243" s="204"/>
      <c r="B243" s="204"/>
      <c r="D243" s="204"/>
      <c r="F243" s="204"/>
      <c r="G243" s="204"/>
      <c r="H243" s="204"/>
      <c r="I243" s="204"/>
      <c r="J243" s="204"/>
      <c r="K243" s="204"/>
      <c r="L243" s="204"/>
      <c r="M243" s="204"/>
      <c r="N243" s="204"/>
      <c r="O243" s="155"/>
      <c r="P243" s="155"/>
      <c r="Q243" s="1131"/>
      <c r="R243" s="1131"/>
      <c r="S243" s="251"/>
      <c r="T243" s="251"/>
      <c r="U243" s="1132"/>
      <c r="V243" s="1132"/>
      <c r="W243" s="1132"/>
      <c r="X243" s="1132"/>
      <c r="Y243" s="1132"/>
      <c r="Z243" s="1132"/>
      <c r="AA243" s="1132"/>
      <c r="AB243" s="204"/>
      <c r="AC243" s="204"/>
      <c r="AD243" s="204"/>
      <c r="AE243" s="204"/>
      <c r="AF243" s="204"/>
      <c r="AG243" s="204"/>
      <c r="AH243" s="204"/>
      <c r="AI243" s="204"/>
      <c r="AJ243" s="204"/>
      <c r="AK243" s="204"/>
      <c r="AL243" s="204"/>
      <c r="AM243" s="204"/>
      <c r="AN243" s="204"/>
    </row>
    <row r="244" spans="1:40">
      <c r="A244" s="204"/>
      <c r="B244" s="204"/>
      <c r="D244" s="204"/>
      <c r="F244" s="204"/>
      <c r="G244" s="204"/>
      <c r="H244" s="204"/>
      <c r="I244" s="204"/>
      <c r="J244" s="204"/>
      <c r="K244" s="204"/>
      <c r="L244" s="204"/>
      <c r="M244" s="204"/>
      <c r="N244" s="204"/>
      <c r="O244" s="155"/>
      <c r="P244" s="155"/>
      <c r="Q244" s="1131"/>
      <c r="R244" s="1131"/>
      <c r="S244" s="251"/>
      <c r="T244" s="251"/>
      <c r="U244" s="1132"/>
      <c r="V244" s="1132"/>
      <c r="W244" s="1132"/>
      <c r="X244" s="1132"/>
      <c r="Y244" s="1132"/>
      <c r="Z244" s="1132"/>
      <c r="AA244" s="1132"/>
      <c r="AB244" s="204"/>
      <c r="AC244" s="204"/>
      <c r="AD244" s="204"/>
      <c r="AE244" s="204"/>
      <c r="AF244" s="204"/>
      <c r="AG244" s="204"/>
      <c r="AH244" s="204"/>
      <c r="AI244" s="204"/>
      <c r="AJ244" s="204"/>
      <c r="AK244" s="204"/>
      <c r="AL244" s="204"/>
      <c r="AM244" s="204"/>
      <c r="AN244" s="204"/>
    </row>
    <row r="245" spans="1:40">
      <c r="A245" s="204"/>
      <c r="B245" s="204"/>
      <c r="D245" s="204"/>
      <c r="F245" s="204"/>
      <c r="G245" s="204"/>
      <c r="H245" s="204"/>
      <c r="I245" s="204"/>
      <c r="J245" s="204"/>
      <c r="K245" s="204"/>
      <c r="L245" s="204"/>
      <c r="M245" s="204"/>
      <c r="N245" s="204"/>
      <c r="O245" s="155"/>
      <c r="P245" s="155"/>
      <c r="Q245" s="1131"/>
      <c r="R245" s="1131"/>
      <c r="S245" s="251"/>
      <c r="T245" s="251"/>
      <c r="U245" s="1132"/>
      <c r="V245" s="1132"/>
      <c r="W245" s="1132"/>
      <c r="X245" s="1132"/>
      <c r="Y245" s="1132"/>
      <c r="Z245" s="1132"/>
      <c r="AA245" s="1132"/>
      <c r="AB245" s="204"/>
      <c r="AC245" s="204"/>
      <c r="AD245" s="204"/>
      <c r="AE245" s="204"/>
      <c r="AF245" s="204"/>
      <c r="AG245" s="204"/>
      <c r="AH245" s="204"/>
      <c r="AI245" s="204"/>
      <c r="AJ245" s="204"/>
      <c r="AK245" s="204"/>
      <c r="AL245" s="204"/>
      <c r="AM245" s="204"/>
      <c r="AN245" s="204"/>
    </row>
    <row r="246" spans="1:40">
      <c r="A246" s="204"/>
      <c r="B246" s="204"/>
      <c r="D246" s="204"/>
      <c r="F246" s="204"/>
      <c r="G246" s="204"/>
      <c r="H246" s="204"/>
      <c r="I246" s="204"/>
      <c r="J246" s="204"/>
      <c r="K246" s="204"/>
      <c r="L246" s="204"/>
      <c r="M246" s="204"/>
      <c r="N246" s="204"/>
      <c r="O246" s="155"/>
      <c r="P246" s="155"/>
      <c r="Q246" s="1131"/>
      <c r="R246" s="1131"/>
      <c r="S246" s="251"/>
      <c r="T246" s="251"/>
      <c r="U246" s="1132"/>
      <c r="V246" s="1132"/>
      <c r="W246" s="1132"/>
      <c r="X246" s="1132"/>
      <c r="Y246" s="1132"/>
      <c r="Z246" s="1132"/>
      <c r="AA246" s="1132"/>
      <c r="AB246" s="204"/>
      <c r="AC246" s="204"/>
      <c r="AD246" s="204"/>
      <c r="AE246" s="204"/>
      <c r="AF246" s="204"/>
      <c r="AG246" s="204"/>
      <c r="AH246" s="204"/>
      <c r="AI246" s="204"/>
      <c r="AJ246" s="204"/>
      <c r="AK246" s="204"/>
      <c r="AL246" s="204"/>
      <c r="AM246" s="204"/>
      <c r="AN246" s="204"/>
    </row>
  </sheetData>
  <mergeCells count="2">
    <mergeCell ref="E4:N5"/>
    <mergeCell ref="Q45:R45"/>
  </mergeCells>
  <phoneticPr fontId="21" type="noConversion"/>
  <conditionalFormatting sqref="I24:K24 D8 F8:K8">
    <cfRule type="cellIs" dxfId="659" priority="16" stopIfTrue="1" operator="equal">
      <formula>1</formula>
    </cfRule>
  </conditionalFormatting>
  <conditionalFormatting sqref="I22:K22">
    <cfRule type="cellIs" dxfId="658" priority="17" stopIfTrue="1" operator="equal">
      <formula>1</formula>
    </cfRule>
  </conditionalFormatting>
  <conditionalFormatting sqref="F14:K14 D14">
    <cfRule type="cellIs" dxfId="657" priority="27" stopIfTrue="1" operator="equal">
      <formula>1</formula>
    </cfRule>
  </conditionalFormatting>
  <conditionalFormatting sqref="F21:G21 D21 D25 F25:G25 F27:G27 D27 I27:K27 I25:K25 I21:K21">
    <cfRule type="cellIs" dxfId="656" priority="26" stopIfTrue="1" operator="equal">
      <formula>1</formula>
    </cfRule>
  </conditionalFormatting>
  <conditionalFormatting sqref="F28:K28 D28">
    <cfRule type="cellIs" dxfId="655" priority="25" stopIfTrue="1" operator="equal">
      <formula>1</formula>
    </cfRule>
  </conditionalFormatting>
  <conditionalFormatting sqref="D15 F15:K15">
    <cfRule type="cellIs" dxfId="654" priority="31" stopIfTrue="1" operator="equal">
      <formula>1</formula>
    </cfRule>
  </conditionalFormatting>
  <conditionalFormatting sqref="D20 G20:K20">
    <cfRule type="cellIs" dxfId="653" priority="30" stopIfTrue="1" operator="equal">
      <formula>1</formula>
    </cfRule>
  </conditionalFormatting>
  <conditionalFormatting sqref="D10:D11 F10:G11 F13:G13 D13 I13:K13 I10:K11">
    <cfRule type="cellIs" dxfId="652" priority="28" stopIfTrue="1" operator="equal">
      <formula>1</formula>
    </cfRule>
  </conditionalFormatting>
  <conditionalFormatting sqref="E4">
    <cfRule type="cellIs" dxfId="651" priority="20" stopIfTrue="1" operator="equal">
      <formula>1</formula>
    </cfRule>
  </conditionalFormatting>
  <conditionalFormatting sqref="H44">
    <cfRule type="cellIs" dxfId="650" priority="9" stopIfTrue="1" operator="equal">
      <formula>1</formula>
    </cfRule>
  </conditionalFormatting>
  <conditionalFormatting sqref="D22 F22:G22">
    <cfRule type="cellIs" dxfId="649" priority="19" stopIfTrue="1" operator="equal">
      <formula>1</formula>
    </cfRule>
  </conditionalFormatting>
  <conditionalFormatting sqref="D24 F24:G24">
    <cfRule type="cellIs" dxfId="648" priority="18" stopIfTrue="1" operator="equal">
      <formula>1</formula>
    </cfRule>
  </conditionalFormatting>
  <conditionalFormatting sqref="F44:G44 D44 I44:K44">
    <cfRule type="cellIs" dxfId="647" priority="10" stopIfTrue="1" operator="equal">
      <formula>1</formula>
    </cfRule>
  </conditionalFormatting>
  <conditionalFormatting sqref="H22">
    <cfRule type="cellIs" dxfId="646" priority="5" stopIfTrue="1" operator="equal">
      <formula>1</formula>
    </cfRule>
  </conditionalFormatting>
  <conditionalFormatting sqref="H24">
    <cfRule type="cellIs" dxfId="645" priority="4" stopIfTrue="1" operator="equal">
      <formula>1</formula>
    </cfRule>
  </conditionalFormatting>
  <conditionalFormatting sqref="F36:K36 D36">
    <cfRule type="cellIs" dxfId="644" priority="13" stopIfTrue="1" operator="equal">
      <formula>1</formula>
    </cfRule>
  </conditionalFormatting>
  <conditionalFormatting sqref="H10:H11 H13">
    <cfRule type="cellIs" dxfId="643" priority="7" stopIfTrue="1" operator="equal">
      <formula>1</formula>
    </cfRule>
  </conditionalFormatting>
  <conditionalFormatting sqref="H21 H25 H27">
    <cfRule type="cellIs" dxfId="642" priority="6" stopIfTrue="1" operator="equal">
      <formula>1</formula>
    </cfRule>
  </conditionalFormatting>
  <conditionalFormatting sqref="F43:K43 D43">
    <cfRule type="cellIs" dxfId="641" priority="1" stopIfTrue="1" operator="equal">
      <formula>1</formula>
    </cfRule>
  </conditionalFormatting>
  <conditionalFormatting sqref="H37:H38 H40:H41">
    <cfRule type="cellIs" dxfId="640" priority="2" stopIfTrue="1" operator="equal">
      <formula>1</formula>
    </cfRule>
  </conditionalFormatting>
  <conditionalFormatting sqref="F37:G38 D37:D38 D40:D41 F40:G41 I37:K38 I40:K41">
    <cfRule type="cellIs" dxfId="639" priority="3" stopIfTrue="1" operator="equal">
      <formula>1</formula>
    </cfRule>
  </conditionalFormatting>
  <printOptions horizontalCentered="1" verticalCentered="1"/>
  <pageMargins left="0" right="0" top="0.47244094488188981" bottom="0" header="0.31496062992125984" footer="0"/>
  <pageSetup paperSize="9" scale="87" orientation="landscape" horizontalDpi="0" verticalDpi="0"/>
  <headerFooter>
    <oddHeader>&amp;L&amp;"Arial,Negrita"&amp;A&amp;F&amp;C&amp;D</oddHead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9"/>
  <dimension ref="A1:AO309"/>
  <sheetViews>
    <sheetView topLeftCell="A52" zoomScale="150" zoomScaleNormal="150" zoomScalePageLayoutView="145" workbookViewId="0">
      <selection activeCell="L16" sqref="L16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6640625" style="204" customWidth="1"/>
    <col min="4" max="4" width="1" style="902" customWidth="1"/>
    <col min="5" max="5" width="4.33203125" style="204" customWidth="1"/>
    <col min="6" max="6" width="5.1640625" style="207" customWidth="1"/>
    <col min="7" max="7" width="5.6640625" style="208" customWidth="1"/>
    <col min="8" max="8" width="9.5" style="208" customWidth="1"/>
    <col min="9" max="9" width="8.83203125" style="208" customWidth="1"/>
    <col min="10" max="10" width="9" style="208" customWidth="1"/>
    <col min="11" max="11" width="29.1640625" style="208" customWidth="1"/>
    <col min="12" max="12" width="7.1640625" style="208" customWidth="1"/>
    <col min="13" max="13" width="1" style="449" customWidth="1"/>
    <col min="14" max="14" width="7.83203125" style="207" customWidth="1"/>
    <col min="15" max="15" width="0.6640625" style="208" customWidth="1"/>
    <col min="16" max="16" width="9" style="208" customWidth="1"/>
    <col min="17" max="17" width="7.33203125" style="209" customWidth="1"/>
    <col min="18" max="18" width="8.33203125" style="209" customWidth="1"/>
    <col min="19" max="19" width="1.33203125" style="210" customWidth="1"/>
    <col min="20" max="20" width="0.33203125" style="210" customWidth="1"/>
    <col min="21" max="21" width="6.33203125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18" customHeight="1">
      <c r="A1" s="203" t="s">
        <v>2437</v>
      </c>
      <c r="B1" s="204"/>
      <c r="C1" s="205"/>
      <c r="D1" s="901"/>
      <c r="E1" s="206"/>
      <c r="K1" s="6913"/>
      <c r="L1" s="6914"/>
      <c r="M1" s="6915"/>
      <c r="N1" s="6916"/>
      <c r="O1" s="6914"/>
      <c r="P1" s="6914"/>
      <c r="Q1" s="6912"/>
      <c r="V1" s="212"/>
      <c r="AI1" s="213"/>
      <c r="AJ1" s="213"/>
      <c r="AK1" s="213"/>
      <c r="AL1" s="213"/>
      <c r="AM1" s="213"/>
    </row>
    <row r="2" spans="1:40" ht="12" customHeight="1" thickBot="1">
      <c r="F2" s="527"/>
      <c r="G2" s="155"/>
      <c r="H2" s="155"/>
      <c r="I2" s="155"/>
      <c r="J2" s="217"/>
      <c r="K2" s="583">
        <v>45222</v>
      </c>
      <c r="L2" s="583"/>
      <c r="U2" s="218" t="s">
        <v>345</v>
      </c>
      <c r="AI2" s="213"/>
      <c r="AJ2" s="213"/>
      <c r="AK2" s="213"/>
      <c r="AL2" s="213"/>
      <c r="AM2" s="213"/>
    </row>
    <row r="3" spans="1:40" s="223" customFormat="1" ht="61.5" customHeight="1" thickTop="1" thickBot="1">
      <c r="A3" s="351" t="s">
        <v>346</v>
      </c>
      <c r="B3" s="352" t="s">
        <v>347</v>
      </c>
      <c r="C3" s="353" t="s">
        <v>348</v>
      </c>
      <c r="D3" s="903"/>
      <c r="E3" s="353" t="s">
        <v>349</v>
      </c>
      <c r="F3" s="35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350"/>
      <c r="M3" s="450" t="s">
        <v>355</v>
      </c>
      <c r="N3" s="350" t="s">
        <v>445</v>
      </c>
      <c r="O3" s="353" t="s">
        <v>446</v>
      </c>
      <c r="P3" s="353" t="s">
        <v>447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3" customFormat="1" ht="13" customHeight="1" thickBot="1">
      <c r="A4" s="911"/>
      <c r="B4" s="912"/>
      <c r="C4" s="913"/>
      <c r="D4" s="914"/>
      <c r="E4" s="913"/>
      <c r="F4" s="915"/>
      <c r="G4" s="913"/>
      <c r="H4" s="2325" t="s">
        <v>2422</v>
      </c>
      <c r="I4" s="913"/>
      <c r="J4" s="915"/>
      <c r="K4" s="913"/>
      <c r="L4" s="913"/>
      <c r="M4" s="916"/>
      <c r="N4" s="913"/>
      <c r="O4" s="913"/>
      <c r="P4" s="913"/>
      <c r="Q4" s="917"/>
      <c r="R4" s="918"/>
      <c r="S4" s="919"/>
      <c r="T4" s="919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0"/>
      <c r="AC4" s="221"/>
      <c r="AD4" s="222"/>
      <c r="AE4" s="222"/>
      <c r="AF4" s="222"/>
      <c r="AG4" s="222"/>
      <c r="AH4" s="222"/>
      <c r="AI4" s="220"/>
      <c r="AJ4" s="220"/>
      <c r="AK4" s="220"/>
      <c r="AL4" s="220"/>
      <c r="AM4" s="220"/>
      <c r="AN4" s="220"/>
    </row>
    <row r="5" spans="1:40" s="228" customFormat="1" ht="3" customHeight="1" thickBot="1">
      <c r="A5" s="621"/>
      <c r="B5" s="622"/>
      <c r="C5" s="623"/>
      <c r="D5" s="938"/>
      <c r="E5" s="623"/>
      <c r="F5" s="624"/>
      <c r="G5" s="625"/>
      <c r="H5" s="625"/>
      <c r="I5" s="625"/>
      <c r="J5" s="624"/>
      <c r="K5" s="625"/>
      <c r="L5" s="625"/>
      <c r="M5" s="626"/>
      <c r="N5" s="625"/>
      <c r="O5" s="623"/>
      <c r="P5" s="623"/>
      <c r="Q5" s="623"/>
      <c r="R5" s="627"/>
      <c r="S5" s="224"/>
      <c r="T5" s="224"/>
      <c r="U5" s="111">
        <f>U4/4</f>
        <v>2.2880964381720439E-4</v>
      </c>
      <c r="V5" s="111">
        <f t="shared" ref="V5:AA5" si="0">V4/4</f>
        <v>2.1908757716049393E-4</v>
      </c>
      <c r="W5" s="111">
        <f t="shared" si="0"/>
        <v>2.1222190799396687E-4</v>
      </c>
      <c r="X5" s="111">
        <f t="shared" si="0"/>
        <v>2.0247664488766629E-4</v>
      </c>
      <c r="Y5" s="111">
        <f t="shared" si="0"/>
        <v>1.8933937422552669E-4</v>
      </c>
      <c r="Z5" s="111">
        <f t="shared" si="0"/>
        <v>1.8229166666666673E-4</v>
      </c>
      <c r="AA5" s="111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ht="12.75" customHeight="1" thickTop="1" thickBot="1">
      <c r="A6" s="851" t="s">
        <v>214</v>
      </c>
      <c r="B6" s="1124" t="s">
        <v>215</v>
      </c>
      <c r="C6" s="2256">
        <f t="shared" ref="C6:C33" si="1">IF(D6=1,U$5,IF(D6=2,V$5,IF(D6=3,W$5,IF(D6=4,X$5,IF(D6=5,Y$5,IF(D6=6,Z$5,IF(D6=7,AA$5,0)))))))</f>
        <v>2.1908757716049393E-4</v>
      </c>
      <c r="D6" s="2286">
        <v>2</v>
      </c>
      <c r="E6" s="2276">
        <v>1</v>
      </c>
      <c r="F6" s="2276">
        <v>1</v>
      </c>
      <c r="G6" s="2276">
        <v>500</v>
      </c>
      <c r="H6" s="2277"/>
      <c r="I6" s="2277">
        <v>2.3148148148148146E-4</v>
      </c>
      <c r="J6" s="2277">
        <v>2.3148148148148146E-4</v>
      </c>
      <c r="K6" s="2278" t="s">
        <v>1346</v>
      </c>
      <c r="L6" s="2503">
        <v>0.30208333333333331</v>
      </c>
      <c r="M6" s="2280">
        <v>1.25</v>
      </c>
      <c r="N6" s="2277">
        <f t="shared" ref="N6" si="2">P6*E6*F6+I6*E6*F6+J6*E6</f>
        <v>5.9401523919753122E-3</v>
      </c>
      <c r="O6" s="2281">
        <f t="shared" ref="O6:O7" si="3">C6*(G6/25)</f>
        <v>4.3817515432098787E-3</v>
      </c>
      <c r="P6" s="2281">
        <f t="shared" ref="P6:P12" si="4">O6*M6</f>
        <v>5.4771894290123486E-3</v>
      </c>
      <c r="Q6" s="2282">
        <v>147</v>
      </c>
      <c r="R6" s="2283">
        <f t="shared" ref="R6:R12" si="5">E6*F6*G6</f>
        <v>500</v>
      </c>
      <c r="S6" s="229">
        <f t="shared" ref="S6:S68" si="6">E6*F6*G6/1000</f>
        <v>0.5</v>
      </c>
      <c r="T6" s="230">
        <f t="shared" ref="T6:T68" si="7">E6*F6*O6*4</f>
        <v>1.7527006172839515E-2</v>
      </c>
      <c r="U6" s="374">
        <f t="shared" ref="U6:U68" si="8">IF(C6*4&gt;=$U$4,S6,0)</f>
        <v>0</v>
      </c>
      <c r="V6" s="375">
        <f t="shared" ref="V6:V68" si="9">IF(AND(C6*4&gt;=$V$4,C6*4&lt;$U$4),S6,0)</f>
        <v>0.5</v>
      </c>
      <c r="W6" s="376">
        <f t="shared" ref="W6:W68" si="10">IF(AND(C6*4&gt;=$W$4,C6*4&lt;$V$4),S6,0)</f>
        <v>0</v>
      </c>
      <c r="X6" s="377">
        <f t="shared" ref="X6:X68" si="11">IF(AND(C6*4&gt;=$X$4,C6*4&lt;$W$4),S6,0)</f>
        <v>0</v>
      </c>
      <c r="Y6" s="378">
        <f t="shared" ref="Y6:Y68" si="12">IF(AND(C6*4&gt;=$Y$4,C6*4&lt;$X$4),S6,0)</f>
        <v>0</v>
      </c>
      <c r="Z6" s="379">
        <f t="shared" ref="Z6:Z68" si="13">IF(AND(C6*4&gt;=$Z$4,C6*4&lt;$Y$4),S6,0)</f>
        <v>0</v>
      </c>
      <c r="AA6" s="380">
        <f t="shared" ref="AA6:AA68" si="14">IF(AND(C6*4&gt;=$AA$4,C6*4&lt;$Z$4),S6,0)</f>
        <v>0</v>
      </c>
      <c r="AB6" s="82" t="s">
        <v>214</v>
      </c>
      <c r="AC6" s="82" t="s">
        <v>215</v>
      </c>
      <c r="AD6" s="82" t="s">
        <v>216</v>
      </c>
      <c r="AE6" s="82" t="s">
        <v>217</v>
      </c>
      <c r="AF6" s="82" t="s">
        <v>218</v>
      </c>
      <c r="AG6" s="82" t="s">
        <v>219</v>
      </c>
      <c r="AH6" s="82" t="s">
        <v>220</v>
      </c>
      <c r="AI6" s="213"/>
      <c r="AJ6" s="213"/>
      <c r="AK6" s="213"/>
      <c r="AL6" s="213"/>
      <c r="AM6" s="213"/>
    </row>
    <row r="7" spans="1:40" ht="12.75" customHeight="1" thickBot="1">
      <c r="A7" s="851" t="s">
        <v>459</v>
      </c>
      <c r="B7" s="1124" t="s">
        <v>215</v>
      </c>
      <c r="C7" s="2256">
        <f t="shared" si="1"/>
        <v>2.1222190799396687E-4</v>
      </c>
      <c r="D7" s="2309">
        <v>3</v>
      </c>
      <c r="E7" s="2257">
        <v>1</v>
      </c>
      <c r="F7" s="2257">
        <v>4</v>
      </c>
      <c r="G7" s="2257">
        <v>100</v>
      </c>
      <c r="H7" s="2257"/>
      <c r="I7" s="2258">
        <v>2.8935185185185189E-4</v>
      </c>
      <c r="J7" s="2258">
        <v>2.3148148148148146E-4</v>
      </c>
      <c r="K7" s="2355" t="s">
        <v>1524</v>
      </c>
      <c r="L7" s="2504">
        <f>L6+N6</f>
        <v>0.30802348572530863</v>
      </c>
      <c r="M7" s="2326">
        <v>1.25</v>
      </c>
      <c r="N7" s="2258">
        <f>P7*E7*F7+I7*E7*F7+J7*E7</f>
        <v>5.633327048768226E-3</v>
      </c>
      <c r="O7" s="2262">
        <f t="shared" si="3"/>
        <v>8.4888763197586746E-4</v>
      </c>
      <c r="P7" s="2262">
        <f t="shared" si="4"/>
        <v>1.0611095399698342E-3</v>
      </c>
      <c r="Q7" s="2274">
        <v>147</v>
      </c>
      <c r="R7" s="2257">
        <f t="shared" si="5"/>
        <v>400</v>
      </c>
      <c r="S7" s="229">
        <f t="shared" si="6"/>
        <v>0.4</v>
      </c>
      <c r="T7" s="230">
        <f t="shared" si="7"/>
        <v>1.3582202111613879E-2</v>
      </c>
      <c r="U7" s="374">
        <f t="shared" si="8"/>
        <v>0</v>
      </c>
      <c r="V7" s="375">
        <f t="shared" si="9"/>
        <v>0</v>
      </c>
      <c r="W7" s="376">
        <f t="shared" si="10"/>
        <v>0.4</v>
      </c>
      <c r="X7" s="377">
        <f t="shared" si="11"/>
        <v>0</v>
      </c>
      <c r="Y7" s="378">
        <f t="shared" si="12"/>
        <v>0</v>
      </c>
      <c r="Z7" s="379">
        <f t="shared" si="13"/>
        <v>0</v>
      </c>
      <c r="AA7" s="380">
        <f t="shared" si="14"/>
        <v>0</v>
      </c>
      <c r="AB7" s="535">
        <v>600.16666666666663</v>
      </c>
      <c r="AC7" s="535">
        <v>600.16666666666663</v>
      </c>
      <c r="AD7" s="535">
        <v>600.16666666666663</v>
      </c>
      <c r="AE7" s="535">
        <v>600.16666666666663</v>
      </c>
      <c r="AF7" s="535">
        <v>600.16666666666663</v>
      </c>
      <c r="AG7" s="535">
        <v>600.16666666666663</v>
      </c>
      <c r="AH7" s="535">
        <v>1</v>
      </c>
      <c r="AI7" s="213"/>
      <c r="AJ7" s="213"/>
      <c r="AK7" s="213"/>
      <c r="AL7" s="213"/>
      <c r="AM7" s="213"/>
    </row>
    <row r="8" spans="1:40" ht="12.75" customHeight="1" thickBot="1">
      <c r="A8" s="851" t="s">
        <v>460</v>
      </c>
      <c r="B8" s="1124" t="s">
        <v>215</v>
      </c>
      <c r="C8" s="2256">
        <f t="shared" si="1"/>
        <v>1.8229166666666673E-4</v>
      </c>
      <c r="D8" s="2541">
        <v>6</v>
      </c>
      <c r="E8" s="2542">
        <v>1</v>
      </c>
      <c r="F8" s="2542">
        <v>8</v>
      </c>
      <c r="G8" s="2542">
        <v>50</v>
      </c>
      <c r="H8" s="6896">
        <v>4.3981481481481481E-4</v>
      </c>
      <c r="I8" s="2544">
        <v>6.9444444444444447E-4</v>
      </c>
      <c r="J8" s="2544">
        <v>2.0833333333333333E-3</v>
      </c>
      <c r="K8" s="2545" t="s">
        <v>1340</v>
      </c>
      <c r="L8" s="2546">
        <f>L7+N7</f>
        <v>0.31365681277407687</v>
      </c>
      <c r="M8" s="2547">
        <v>1</v>
      </c>
      <c r="N8" s="2544">
        <f>P8*E8*F8+I8*E8*F8+J8*E8</f>
        <v>1.0555555555555556E-2</v>
      </c>
      <c r="O8" s="2548">
        <f>C8*(G8/25)</f>
        <v>3.6458333333333346E-4</v>
      </c>
      <c r="P8" s="6895">
        <f t="shared" si="4"/>
        <v>3.6458333333333346E-4</v>
      </c>
      <c r="Q8" s="2550" t="s">
        <v>278</v>
      </c>
      <c r="R8" s="2551">
        <f t="shared" si="5"/>
        <v>400</v>
      </c>
      <c r="S8" s="229">
        <f t="shared" si="6"/>
        <v>0.4</v>
      </c>
      <c r="T8" s="230">
        <f t="shared" si="7"/>
        <v>1.1666666666666671E-2</v>
      </c>
      <c r="U8" s="374">
        <f t="shared" si="8"/>
        <v>0</v>
      </c>
      <c r="V8" s="375">
        <f t="shared" si="9"/>
        <v>0</v>
      </c>
      <c r="W8" s="376">
        <f t="shared" si="10"/>
        <v>0</v>
      </c>
      <c r="X8" s="377">
        <f t="shared" si="11"/>
        <v>0</v>
      </c>
      <c r="Y8" s="378">
        <f t="shared" si="12"/>
        <v>0</v>
      </c>
      <c r="Z8" s="379">
        <f t="shared" si="13"/>
        <v>0.4</v>
      </c>
      <c r="AA8" s="380">
        <f t="shared" si="14"/>
        <v>0</v>
      </c>
      <c r="AB8" s="500">
        <v>787.66666666666663</v>
      </c>
      <c r="AC8" s="500">
        <v>787.66666666666663</v>
      </c>
      <c r="AD8" s="500">
        <v>372.47454545454536</v>
      </c>
      <c r="AE8" s="500">
        <v>0</v>
      </c>
      <c r="AF8" s="500">
        <v>787.66666666666663</v>
      </c>
      <c r="AG8" s="500">
        <v>787.66666666666663</v>
      </c>
      <c r="AH8" s="500">
        <v>1</v>
      </c>
      <c r="AI8" s="213"/>
      <c r="AJ8" s="213"/>
      <c r="AK8" s="213"/>
      <c r="AL8" s="213"/>
      <c r="AM8" s="213"/>
    </row>
    <row r="9" spans="1:40" ht="12.75" customHeight="1" thickBot="1">
      <c r="A9" s="851" t="s">
        <v>458</v>
      </c>
      <c r="B9" s="1124" t="s">
        <v>215</v>
      </c>
      <c r="C9" s="2256">
        <f t="shared" si="1"/>
        <v>1.8229166666666673E-4</v>
      </c>
      <c r="D9" s="2541">
        <v>6</v>
      </c>
      <c r="E9" s="2542">
        <v>1</v>
      </c>
      <c r="F9" s="2542">
        <v>12</v>
      </c>
      <c r="G9" s="2542">
        <v>50</v>
      </c>
      <c r="H9" s="6896">
        <v>4.8611111111111104E-4</v>
      </c>
      <c r="I9" s="2544">
        <v>1.0416666666666667E-3</v>
      </c>
      <c r="J9" s="2544">
        <v>0</v>
      </c>
      <c r="K9" s="2545" t="s">
        <v>1337</v>
      </c>
      <c r="L9" s="2546">
        <f>L6+N6</f>
        <v>0.30802348572530863</v>
      </c>
      <c r="M9" s="2547">
        <v>1.1000000000000001</v>
      </c>
      <c r="N9" s="2544">
        <f>P9*E9*F9+I9*E9*F9+J9*E9</f>
        <v>1.7312500000000001E-2</v>
      </c>
      <c r="O9" s="2548">
        <f t="shared" ref="O9:O12" si="15">C9*(G9/25)</f>
        <v>3.6458333333333346E-4</v>
      </c>
      <c r="P9" s="6895">
        <f t="shared" si="4"/>
        <v>4.0104166666666684E-4</v>
      </c>
      <c r="Q9" s="2550">
        <v>164</v>
      </c>
      <c r="R9" s="2551">
        <f t="shared" si="5"/>
        <v>600</v>
      </c>
      <c r="S9" s="229">
        <f t="shared" si="6"/>
        <v>0.6</v>
      </c>
      <c r="T9" s="230">
        <f t="shared" si="7"/>
        <v>1.7500000000000005E-2</v>
      </c>
      <c r="U9" s="374">
        <f t="shared" si="8"/>
        <v>0</v>
      </c>
      <c r="V9" s="375">
        <f t="shared" si="9"/>
        <v>0</v>
      </c>
      <c r="W9" s="376">
        <f t="shared" si="10"/>
        <v>0</v>
      </c>
      <c r="X9" s="377">
        <f t="shared" si="11"/>
        <v>0</v>
      </c>
      <c r="Y9" s="378">
        <f t="shared" si="12"/>
        <v>0</v>
      </c>
      <c r="Z9" s="379">
        <f t="shared" si="13"/>
        <v>0.6</v>
      </c>
      <c r="AA9" s="380">
        <f t="shared" si="14"/>
        <v>0</v>
      </c>
      <c r="AB9" s="501">
        <v>0</v>
      </c>
      <c r="AC9" s="501">
        <v>1473.3272727272727</v>
      </c>
      <c r="AD9" s="501">
        <v>1964.4363636363637</v>
      </c>
      <c r="AE9" s="501">
        <v>0</v>
      </c>
      <c r="AF9" s="501">
        <v>654.97878787878813</v>
      </c>
      <c r="AG9" s="501">
        <v>818.34848484848476</v>
      </c>
      <c r="AH9" s="501">
        <v>1</v>
      </c>
      <c r="AI9" s="213"/>
      <c r="AJ9" s="213"/>
      <c r="AK9" s="213"/>
      <c r="AL9" s="213"/>
      <c r="AM9" s="213"/>
    </row>
    <row r="10" spans="1:40" ht="12.75" customHeight="1" thickBot="1">
      <c r="A10" s="851" t="s">
        <v>219</v>
      </c>
      <c r="B10" s="1124" t="s">
        <v>215</v>
      </c>
      <c r="C10" s="2256">
        <f t="shared" si="1"/>
        <v>2.1908757716049393E-4</v>
      </c>
      <c r="D10" s="890">
        <v>2</v>
      </c>
      <c r="E10" s="300">
        <v>1</v>
      </c>
      <c r="F10" s="300">
        <v>1</v>
      </c>
      <c r="G10" s="300">
        <v>400</v>
      </c>
      <c r="H10" s="301"/>
      <c r="I10" s="301">
        <v>1.0416666666666667E-3</v>
      </c>
      <c r="J10" s="301">
        <v>1.3888888888888889E-3</v>
      </c>
      <c r="K10" s="1123" t="s">
        <v>702</v>
      </c>
      <c r="L10" s="994">
        <f>L9+N9</f>
        <v>0.32533598572530864</v>
      </c>
      <c r="M10" s="455">
        <v>1</v>
      </c>
      <c r="N10" s="301">
        <f>P10*E10*F10+J10*E10</f>
        <v>4.8942901234567916E-3</v>
      </c>
      <c r="O10" s="302">
        <f t="shared" si="15"/>
        <v>3.5054012345679029E-3</v>
      </c>
      <c r="P10" s="302">
        <f t="shared" si="4"/>
        <v>3.5054012345679029E-3</v>
      </c>
      <c r="Q10" s="550">
        <v>164</v>
      </c>
      <c r="R10" s="369">
        <f t="shared" si="5"/>
        <v>400</v>
      </c>
      <c r="S10" s="229">
        <f t="shared" si="6"/>
        <v>0.4</v>
      </c>
      <c r="T10" s="230">
        <f t="shared" si="7"/>
        <v>1.4021604938271611E-2</v>
      </c>
      <c r="U10" s="374">
        <f t="shared" si="8"/>
        <v>0</v>
      </c>
      <c r="V10" s="375">
        <f t="shared" si="9"/>
        <v>0.4</v>
      </c>
      <c r="W10" s="376">
        <f t="shared" si="10"/>
        <v>0</v>
      </c>
      <c r="X10" s="377">
        <f t="shared" si="11"/>
        <v>0</v>
      </c>
      <c r="Y10" s="378">
        <f t="shared" si="12"/>
        <v>0</v>
      </c>
      <c r="Z10" s="379">
        <f t="shared" si="13"/>
        <v>0</v>
      </c>
      <c r="AA10" s="380">
        <f t="shared" si="14"/>
        <v>0</v>
      </c>
      <c r="AB10" s="502">
        <v>0</v>
      </c>
      <c r="AC10" s="502">
        <v>0</v>
      </c>
      <c r="AD10" s="502">
        <v>1227.8727272727274</v>
      </c>
      <c r="AE10" s="502">
        <v>2865.0363636363636</v>
      </c>
      <c r="AF10" s="502">
        <v>0</v>
      </c>
      <c r="AG10" s="502">
        <v>0</v>
      </c>
      <c r="AH10" s="502">
        <v>0</v>
      </c>
      <c r="AI10" s="213"/>
      <c r="AJ10" s="213"/>
      <c r="AK10" s="213"/>
      <c r="AL10" s="213"/>
      <c r="AM10" s="213"/>
    </row>
    <row r="11" spans="1:40" ht="12.75" customHeight="1" thickBot="1">
      <c r="A11" s="851"/>
      <c r="B11" s="1124" t="s">
        <v>215</v>
      </c>
      <c r="C11" s="2256">
        <f t="shared" si="1"/>
        <v>1.7682291666666674E-4</v>
      </c>
      <c r="D11" s="2318">
        <v>7</v>
      </c>
      <c r="E11" s="2512">
        <v>1</v>
      </c>
      <c r="F11" s="2512">
        <v>4</v>
      </c>
      <c r="G11" s="2512">
        <v>27</v>
      </c>
      <c r="H11" s="2270"/>
      <c r="I11" s="2270">
        <v>1.0416666666666667E-3</v>
      </c>
      <c r="J11" s="2270">
        <v>2.3148148148148146E-4</v>
      </c>
      <c r="K11" s="2514" t="s">
        <v>1978</v>
      </c>
      <c r="L11" s="2515">
        <f>L10+N10</f>
        <v>0.33023027584876541</v>
      </c>
      <c r="M11" s="2516">
        <v>1</v>
      </c>
      <c r="N11" s="2270">
        <f>P11*E11*F11+I11*E11*F11+J11*E11</f>
        <v>5.1620231481481491E-3</v>
      </c>
      <c r="O11" s="2271">
        <f t="shared" si="15"/>
        <v>1.9096875000000008E-4</v>
      </c>
      <c r="P11" s="2517">
        <f t="shared" si="4"/>
        <v>1.9096875000000008E-4</v>
      </c>
      <c r="Q11" s="2518" t="s">
        <v>316</v>
      </c>
      <c r="R11" s="2519">
        <f t="shared" si="5"/>
        <v>108</v>
      </c>
      <c r="S11" s="229">
        <f t="shared" si="6"/>
        <v>0.108</v>
      </c>
      <c r="T11" s="230">
        <f t="shared" si="7"/>
        <v>3.0555000000000014E-3</v>
      </c>
      <c r="U11" s="374">
        <f t="shared" si="8"/>
        <v>0</v>
      </c>
      <c r="V11" s="375">
        <f t="shared" si="9"/>
        <v>0</v>
      </c>
      <c r="W11" s="376">
        <f t="shared" si="10"/>
        <v>0</v>
      </c>
      <c r="X11" s="377">
        <f t="shared" si="11"/>
        <v>0</v>
      </c>
      <c r="Y11" s="378">
        <f t="shared" si="12"/>
        <v>0</v>
      </c>
      <c r="Z11" s="379">
        <f t="shared" si="13"/>
        <v>0</v>
      </c>
      <c r="AA11" s="380">
        <f t="shared" si="14"/>
        <v>0.108</v>
      </c>
      <c r="AB11" s="503">
        <v>982.21818181818207</v>
      </c>
      <c r="AC11" s="503">
        <v>491.10909090909081</v>
      </c>
      <c r="AD11" s="503">
        <v>0</v>
      </c>
      <c r="AE11" s="503">
        <v>2455.545454545455</v>
      </c>
      <c r="AF11" s="503">
        <v>0</v>
      </c>
      <c r="AG11" s="503">
        <v>982.21818181818207</v>
      </c>
      <c r="AH11" s="503">
        <v>0</v>
      </c>
      <c r="AI11" s="213"/>
      <c r="AJ11" s="213"/>
      <c r="AK11" s="213"/>
      <c r="AL11" s="213"/>
      <c r="AM11" s="213"/>
    </row>
    <row r="12" spans="1:40" ht="12.75" customHeight="1" thickBot="1">
      <c r="A12" s="851"/>
      <c r="B12" s="1124" t="s">
        <v>215</v>
      </c>
      <c r="C12" s="2256">
        <f t="shared" si="1"/>
        <v>2.1908757716049393E-4</v>
      </c>
      <c r="D12" s="2309">
        <v>2</v>
      </c>
      <c r="E12" s="2257">
        <v>1</v>
      </c>
      <c r="F12" s="2257">
        <v>4</v>
      </c>
      <c r="G12" s="2257">
        <v>150</v>
      </c>
      <c r="H12" s="2258"/>
      <c r="I12" s="2258">
        <v>1.7361111111111112E-4</v>
      </c>
      <c r="J12" s="2258">
        <v>2.3148148148148146E-4</v>
      </c>
      <c r="K12" s="2355" t="s">
        <v>1341</v>
      </c>
      <c r="L12" s="2504">
        <f>L11+N11</f>
        <v>0.33539229899691358</v>
      </c>
      <c r="M12" s="2326">
        <v>1.25</v>
      </c>
      <c r="N12" s="2258">
        <f>P12*E12*F12+I12*E12*F12+J12*E12</f>
        <v>7.498553240740744E-3</v>
      </c>
      <c r="O12" s="2262">
        <f t="shared" si="15"/>
        <v>1.3145254629629635E-3</v>
      </c>
      <c r="P12" s="2262">
        <f t="shared" si="4"/>
        <v>1.6431568287037044E-3</v>
      </c>
      <c r="Q12" s="2274">
        <v>147</v>
      </c>
      <c r="R12" s="2257">
        <f t="shared" si="5"/>
        <v>600</v>
      </c>
      <c r="S12" s="229">
        <f t="shared" si="6"/>
        <v>0.6</v>
      </c>
      <c r="T12" s="230">
        <f t="shared" si="7"/>
        <v>2.1032407407407416E-2</v>
      </c>
      <c r="U12" s="374">
        <f t="shared" si="8"/>
        <v>0</v>
      </c>
      <c r="V12" s="375">
        <f t="shared" si="9"/>
        <v>0.6</v>
      </c>
      <c r="W12" s="376">
        <f t="shared" si="10"/>
        <v>0</v>
      </c>
      <c r="X12" s="377">
        <f t="shared" si="11"/>
        <v>0</v>
      </c>
      <c r="Y12" s="378">
        <f t="shared" si="12"/>
        <v>0</v>
      </c>
      <c r="Z12" s="379">
        <f t="shared" si="13"/>
        <v>0</v>
      </c>
      <c r="AA12" s="380">
        <f t="shared" si="14"/>
        <v>0</v>
      </c>
      <c r="AB12" s="504">
        <v>225.16666666666666</v>
      </c>
      <c r="AC12" s="504">
        <v>225.16666666666666</v>
      </c>
      <c r="AD12" s="504">
        <v>225.16666666666666</v>
      </c>
      <c r="AE12" s="504">
        <v>225.16666666666666</v>
      </c>
      <c r="AF12" s="504">
        <v>225.16666666666666</v>
      </c>
      <c r="AG12" s="504">
        <v>225.16666666666666</v>
      </c>
      <c r="AH12" s="504">
        <v>1</v>
      </c>
      <c r="AI12" s="213"/>
      <c r="AJ12" s="213"/>
      <c r="AK12" s="213"/>
      <c r="AL12" s="213"/>
      <c r="AM12" s="213"/>
    </row>
    <row r="13" spans="1:40" ht="12.75" customHeight="1">
      <c r="A13" s="397"/>
      <c r="B13" s="403"/>
      <c r="C13" s="2256">
        <f t="shared" si="1"/>
        <v>0</v>
      </c>
      <c r="D13" s="2335"/>
      <c r="E13" s="2336"/>
      <c r="F13" s="2336"/>
      <c r="G13" s="2336"/>
      <c r="H13" s="2337"/>
      <c r="I13" s="2337"/>
      <c r="J13" s="2337"/>
      <c r="K13" s="2338"/>
      <c r="L13" s="2182">
        <f>L12+N12</f>
        <v>0.34289085223765431</v>
      </c>
      <c r="M13" s="2502"/>
      <c r="N13" s="2528">
        <f>SUM(N6:N12)</f>
        <v>5.6996401508644781E-2</v>
      </c>
      <c r="O13" s="2359"/>
      <c r="P13" s="2359"/>
      <c r="Q13" s="2341"/>
      <c r="R13" s="2529">
        <f>SUM(R6:R12)</f>
        <v>3008</v>
      </c>
      <c r="S13" s="229">
        <f t="shared" si="6"/>
        <v>0</v>
      </c>
      <c r="T13" s="230">
        <f t="shared" si="7"/>
        <v>0</v>
      </c>
      <c r="U13" s="374">
        <f t="shared" si="8"/>
        <v>0</v>
      </c>
      <c r="V13" s="375">
        <f t="shared" si="9"/>
        <v>0</v>
      </c>
      <c r="W13" s="376">
        <f t="shared" si="10"/>
        <v>0</v>
      </c>
      <c r="X13" s="377">
        <f t="shared" si="11"/>
        <v>0</v>
      </c>
      <c r="Y13" s="378">
        <f t="shared" si="12"/>
        <v>0</v>
      </c>
      <c r="Z13" s="379">
        <f t="shared" si="13"/>
        <v>0</v>
      </c>
      <c r="AA13" s="380">
        <f t="shared" si="14"/>
        <v>0</v>
      </c>
      <c r="AC13" s="231"/>
      <c r="AD13" s="231"/>
      <c r="AE13" s="231"/>
      <c r="AF13" s="231"/>
      <c r="AG13" s="231"/>
      <c r="AH13" s="231"/>
      <c r="AI13" s="213"/>
      <c r="AJ13" s="213"/>
      <c r="AK13" s="213"/>
      <c r="AL13" s="213"/>
      <c r="AM13" s="213"/>
    </row>
    <row r="14" spans="1:40" ht="12.75" customHeight="1">
      <c r="A14" s="851" t="s">
        <v>214</v>
      </c>
      <c r="B14" s="1124" t="s">
        <v>461</v>
      </c>
      <c r="C14" s="2256">
        <f t="shared" si="1"/>
        <v>2.1908757716049393E-4</v>
      </c>
      <c r="D14" s="2286">
        <v>2</v>
      </c>
      <c r="E14" s="2276">
        <v>1</v>
      </c>
      <c r="F14" s="2276">
        <v>8</v>
      </c>
      <c r="G14" s="2276">
        <v>50</v>
      </c>
      <c r="H14" s="2277"/>
      <c r="I14" s="2277">
        <v>2.3148148148148146E-4</v>
      </c>
      <c r="J14" s="2277">
        <v>2.3148148148148146E-4</v>
      </c>
      <c r="K14" s="2278" t="s">
        <v>1347</v>
      </c>
      <c r="L14" s="2503">
        <v>0.80208333333333337</v>
      </c>
      <c r="M14" s="2280">
        <v>1.25</v>
      </c>
      <c r="N14" s="2277">
        <f t="shared" ref="N14:N19" si="16">P14*E14*F14+I14*E14*F14+J14*E14</f>
        <v>6.4650848765432124E-3</v>
      </c>
      <c r="O14" s="2281">
        <f t="shared" ref="O14:O15" si="17">C14*(G14/25)</f>
        <v>4.3817515432098786E-4</v>
      </c>
      <c r="P14" s="2281">
        <f t="shared" ref="P14:P18" si="18">O14*M14</f>
        <v>5.4771894290123484E-4</v>
      </c>
      <c r="Q14" s="2282">
        <v>147</v>
      </c>
      <c r="R14" s="2283">
        <f t="shared" ref="R14:R18" si="19">E14*F14*G14</f>
        <v>400</v>
      </c>
      <c r="S14" s="229">
        <f t="shared" si="6"/>
        <v>0.4</v>
      </c>
      <c r="T14" s="230">
        <f t="shared" si="7"/>
        <v>1.4021604938271611E-2</v>
      </c>
      <c r="U14" s="374">
        <f t="shared" si="8"/>
        <v>0</v>
      </c>
      <c r="V14" s="375">
        <f t="shared" si="9"/>
        <v>0.4</v>
      </c>
      <c r="W14" s="376">
        <f t="shared" si="10"/>
        <v>0</v>
      </c>
      <c r="X14" s="377">
        <f t="shared" si="11"/>
        <v>0</v>
      </c>
      <c r="Y14" s="378">
        <f t="shared" si="12"/>
        <v>0</v>
      </c>
      <c r="Z14" s="379">
        <f t="shared" si="13"/>
        <v>0</v>
      </c>
      <c r="AA14" s="380">
        <f t="shared" si="14"/>
        <v>0</v>
      </c>
      <c r="AC14" s="231"/>
      <c r="AD14" s="231"/>
      <c r="AE14" s="231"/>
      <c r="AF14" s="231"/>
      <c r="AG14" s="231"/>
      <c r="AH14" s="231"/>
      <c r="AI14" s="213"/>
      <c r="AJ14" s="213"/>
      <c r="AK14" s="213"/>
      <c r="AL14" s="213"/>
      <c r="AM14" s="213"/>
    </row>
    <row r="15" spans="1:40" ht="12.75" customHeight="1">
      <c r="A15" s="851" t="s">
        <v>459</v>
      </c>
      <c r="B15" s="1124" t="s">
        <v>461</v>
      </c>
      <c r="C15" s="2256">
        <f t="shared" si="1"/>
        <v>2.1222190799396687E-4</v>
      </c>
      <c r="D15" s="2309">
        <v>3</v>
      </c>
      <c r="E15" s="2257">
        <v>1</v>
      </c>
      <c r="F15" s="2257">
        <v>12</v>
      </c>
      <c r="G15" s="2257">
        <v>50</v>
      </c>
      <c r="H15" s="2258"/>
      <c r="I15" s="2258">
        <v>2.8935185185185189E-4</v>
      </c>
      <c r="J15" s="2258">
        <v>1.3888888888888889E-3</v>
      </c>
      <c r="K15" s="2355" t="s">
        <v>1976</v>
      </c>
      <c r="L15" s="2504">
        <f t="shared" ref="L15:L18" si="20">L14+N14</f>
        <v>0.80854841820987655</v>
      </c>
      <c r="M15" s="2326">
        <v>1</v>
      </c>
      <c r="N15" s="2258">
        <f t="shared" si="16"/>
        <v>9.9544369029663168E-3</v>
      </c>
      <c r="O15" s="2262">
        <f t="shared" si="17"/>
        <v>4.2444381598793373E-4</v>
      </c>
      <c r="P15" s="2262">
        <f t="shared" si="18"/>
        <v>4.2444381598793373E-4</v>
      </c>
      <c r="Q15" s="2274">
        <v>146</v>
      </c>
      <c r="R15" s="2257">
        <f t="shared" si="19"/>
        <v>600</v>
      </c>
      <c r="S15" s="229">
        <f t="shared" si="6"/>
        <v>0.6</v>
      </c>
      <c r="T15" s="230">
        <f t="shared" si="7"/>
        <v>2.0373303167420819E-2</v>
      </c>
      <c r="U15" s="374">
        <f t="shared" si="8"/>
        <v>0</v>
      </c>
      <c r="V15" s="375">
        <f t="shared" si="9"/>
        <v>0</v>
      </c>
      <c r="W15" s="376">
        <f t="shared" si="10"/>
        <v>0.6</v>
      </c>
      <c r="X15" s="377">
        <f t="shared" si="11"/>
        <v>0</v>
      </c>
      <c r="Y15" s="378">
        <f t="shared" si="12"/>
        <v>0</v>
      </c>
      <c r="Z15" s="379">
        <f t="shared" si="13"/>
        <v>0</v>
      </c>
      <c r="AA15" s="380">
        <f t="shared" si="14"/>
        <v>0</v>
      </c>
      <c r="AC15" s="231"/>
      <c r="AD15" s="231"/>
      <c r="AE15" s="231"/>
      <c r="AF15" s="231"/>
      <c r="AG15" s="231"/>
      <c r="AH15" s="231"/>
      <c r="AI15" s="213"/>
      <c r="AJ15" s="213"/>
      <c r="AK15" s="213"/>
      <c r="AL15" s="213"/>
      <c r="AM15" s="213"/>
    </row>
    <row r="16" spans="1:40" ht="12.75" customHeight="1">
      <c r="A16" s="851" t="s">
        <v>460</v>
      </c>
      <c r="B16" s="1124" t="s">
        <v>461</v>
      </c>
      <c r="C16" s="2256">
        <f t="shared" si="1"/>
        <v>1.7682291666666674E-4</v>
      </c>
      <c r="D16" s="6041">
        <v>7</v>
      </c>
      <c r="E16" s="6042">
        <v>5</v>
      </c>
      <c r="F16" s="6043">
        <v>5</v>
      </c>
      <c r="G16" s="4582">
        <v>35</v>
      </c>
      <c r="H16" s="4684"/>
      <c r="I16" s="4684">
        <v>4.0509259259259258E-4</v>
      </c>
      <c r="J16" s="4585">
        <v>0</v>
      </c>
      <c r="K16" s="4582" t="s">
        <v>1970</v>
      </c>
      <c r="L16" s="6044">
        <f t="shared" si="20"/>
        <v>0.81850285511284282</v>
      </c>
      <c r="M16" s="4584">
        <v>1.05</v>
      </c>
      <c r="N16" s="6311">
        <f t="shared" si="16"/>
        <v>1.6625557002314814E-2</v>
      </c>
      <c r="O16" s="4586">
        <f>C16*(G16/25)</f>
        <v>2.475520833333334E-4</v>
      </c>
      <c r="P16" s="4587">
        <f t="shared" si="18"/>
        <v>2.5992968750000007E-4</v>
      </c>
      <c r="Q16" s="4588">
        <v>177</v>
      </c>
      <c r="R16" s="4582">
        <f t="shared" si="19"/>
        <v>875</v>
      </c>
      <c r="S16" s="229">
        <f t="shared" si="6"/>
        <v>0.875</v>
      </c>
      <c r="T16" s="230">
        <f t="shared" si="7"/>
        <v>2.4755208333333341E-2</v>
      </c>
      <c r="U16" s="374">
        <f t="shared" si="8"/>
        <v>0</v>
      </c>
      <c r="V16" s="375">
        <f t="shared" si="9"/>
        <v>0</v>
      </c>
      <c r="W16" s="376">
        <f t="shared" si="10"/>
        <v>0</v>
      </c>
      <c r="X16" s="377">
        <f t="shared" si="11"/>
        <v>0</v>
      </c>
      <c r="Y16" s="378">
        <f t="shared" si="12"/>
        <v>0</v>
      </c>
      <c r="Z16" s="379">
        <f t="shared" si="13"/>
        <v>0</v>
      </c>
      <c r="AA16" s="380">
        <f t="shared" si="14"/>
        <v>0.875</v>
      </c>
      <c r="AC16" s="231"/>
      <c r="AD16" s="231"/>
      <c r="AE16" s="231"/>
      <c r="AF16" s="231"/>
      <c r="AG16" s="231"/>
      <c r="AH16" s="231"/>
      <c r="AI16" s="213"/>
      <c r="AJ16" s="213"/>
      <c r="AK16" s="213"/>
      <c r="AL16" s="213"/>
      <c r="AM16" s="213"/>
    </row>
    <row r="17" spans="1:40" ht="12.75" customHeight="1">
      <c r="A17" s="851" t="s">
        <v>458</v>
      </c>
      <c r="B17" s="1124" t="s">
        <v>461</v>
      </c>
      <c r="C17" s="2256">
        <f t="shared" si="1"/>
        <v>1.7682291666666674E-4</v>
      </c>
      <c r="D17" s="6041">
        <v>7</v>
      </c>
      <c r="E17" s="6045">
        <v>5</v>
      </c>
      <c r="F17" s="6043">
        <v>3</v>
      </c>
      <c r="G17" s="6046">
        <v>22.5</v>
      </c>
      <c r="H17" s="4684"/>
      <c r="I17" s="4684">
        <v>3.4722222222222224E-4</v>
      </c>
      <c r="J17" s="4585">
        <v>0</v>
      </c>
      <c r="K17" s="4582" t="s">
        <v>1971</v>
      </c>
      <c r="L17" s="6044">
        <f t="shared" si="20"/>
        <v>0.83512841211515765</v>
      </c>
      <c r="M17" s="4584">
        <v>1.05</v>
      </c>
      <c r="N17" s="6311">
        <f t="shared" si="16"/>
        <v>7.7147981770833351E-3</v>
      </c>
      <c r="O17" s="4586">
        <f t="shared" ref="O17:O18" si="21">C17*(G17/25)</f>
        <v>1.5914062500000008E-4</v>
      </c>
      <c r="P17" s="4587">
        <f t="shared" si="18"/>
        <v>1.6709765625000009E-4</v>
      </c>
      <c r="Q17" s="4588">
        <v>177</v>
      </c>
      <c r="R17" s="4582">
        <f t="shared" si="19"/>
        <v>337.5</v>
      </c>
      <c r="S17" s="229">
        <f t="shared" si="6"/>
        <v>0.33750000000000002</v>
      </c>
      <c r="T17" s="230">
        <f t="shared" si="7"/>
        <v>9.5484375000000048E-3</v>
      </c>
      <c r="U17" s="374">
        <f t="shared" si="8"/>
        <v>0</v>
      </c>
      <c r="V17" s="375">
        <f t="shared" si="9"/>
        <v>0</v>
      </c>
      <c r="W17" s="376">
        <f t="shared" si="10"/>
        <v>0</v>
      </c>
      <c r="X17" s="377">
        <f t="shared" si="11"/>
        <v>0</v>
      </c>
      <c r="Y17" s="378">
        <f t="shared" si="12"/>
        <v>0</v>
      </c>
      <c r="Z17" s="379">
        <f t="shared" si="13"/>
        <v>0</v>
      </c>
      <c r="AA17" s="380">
        <f t="shared" si="14"/>
        <v>0.33750000000000002</v>
      </c>
      <c r="AC17" s="231"/>
      <c r="AD17" s="231"/>
      <c r="AE17" s="231"/>
      <c r="AF17" s="231"/>
      <c r="AG17" s="231"/>
      <c r="AH17" s="231"/>
      <c r="AI17" s="213"/>
      <c r="AJ17" s="213"/>
      <c r="AK17" s="213"/>
      <c r="AL17" s="213"/>
      <c r="AM17" s="213"/>
    </row>
    <row r="18" spans="1:40" ht="12.75" customHeight="1">
      <c r="A18" s="851" t="s">
        <v>219</v>
      </c>
      <c r="B18" s="1124" t="s">
        <v>461</v>
      </c>
      <c r="C18" s="2256">
        <f t="shared" si="1"/>
        <v>1.7682291666666674E-4</v>
      </c>
      <c r="D18" s="6041">
        <v>7</v>
      </c>
      <c r="E18" s="6047">
        <v>4</v>
      </c>
      <c r="F18" s="6043">
        <v>1</v>
      </c>
      <c r="G18" s="4582">
        <v>15</v>
      </c>
      <c r="H18" s="4684"/>
      <c r="I18" s="4684">
        <v>2.0833333333333333E-3</v>
      </c>
      <c r="J18" s="4585">
        <v>3.472222222222222E-3</v>
      </c>
      <c r="K18" s="4582" t="s">
        <v>1972</v>
      </c>
      <c r="L18" s="6044">
        <f t="shared" si="20"/>
        <v>0.84284321029224096</v>
      </c>
      <c r="M18" s="4584">
        <v>1.05</v>
      </c>
      <c r="N18" s="6311">
        <f t="shared" si="16"/>
        <v>2.266781597222222E-2</v>
      </c>
      <c r="O18" s="4586">
        <f t="shared" si="21"/>
        <v>1.0609375000000004E-4</v>
      </c>
      <c r="P18" s="4587">
        <f t="shared" si="18"/>
        <v>1.1139843750000005E-4</v>
      </c>
      <c r="Q18" s="4588">
        <v>177</v>
      </c>
      <c r="R18" s="4582">
        <f t="shared" si="19"/>
        <v>60</v>
      </c>
      <c r="S18" s="229">
        <f t="shared" si="6"/>
        <v>0.06</v>
      </c>
      <c r="T18" s="230">
        <f t="shared" si="7"/>
        <v>1.6975000000000007E-3</v>
      </c>
      <c r="U18" s="374">
        <f t="shared" si="8"/>
        <v>0</v>
      </c>
      <c r="V18" s="375">
        <f t="shared" si="9"/>
        <v>0</v>
      </c>
      <c r="W18" s="376">
        <f t="shared" si="10"/>
        <v>0</v>
      </c>
      <c r="X18" s="377">
        <f t="shared" si="11"/>
        <v>0</v>
      </c>
      <c r="Y18" s="378">
        <f t="shared" si="12"/>
        <v>0</v>
      </c>
      <c r="Z18" s="379">
        <f t="shared" si="13"/>
        <v>0</v>
      </c>
      <c r="AA18" s="380">
        <f t="shared" si="14"/>
        <v>0.06</v>
      </c>
      <c r="AC18" s="231"/>
      <c r="AD18" s="231"/>
      <c r="AE18" s="231"/>
      <c r="AF18" s="231"/>
      <c r="AG18" s="231"/>
      <c r="AH18" s="231"/>
      <c r="AI18" s="213"/>
      <c r="AJ18" s="213"/>
      <c r="AK18" s="213"/>
      <c r="AL18" s="213"/>
      <c r="AM18" s="213"/>
    </row>
    <row r="19" spans="1:40" ht="12.75" customHeight="1">
      <c r="A19" s="851"/>
      <c r="B19" s="1124" t="s">
        <v>461</v>
      </c>
      <c r="C19" s="274">
        <f t="shared" si="1"/>
        <v>1.7682291666666674E-4</v>
      </c>
      <c r="D19" s="1054">
        <v>7</v>
      </c>
      <c r="E19" s="1043">
        <v>1</v>
      </c>
      <c r="F19" s="1043">
        <v>8</v>
      </c>
      <c r="G19" s="1043">
        <v>25</v>
      </c>
      <c r="H19" s="1044"/>
      <c r="I19" s="1044">
        <v>3.4722222222222224E-4</v>
      </c>
      <c r="J19" s="1044">
        <v>0</v>
      </c>
      <c r="K19" s="1323" t="s">
        <v>1977</v>
      </c>
      <c r="L19" s="1007">
        <f>L18+N18</f>
        <v>0.86551102626446319</v>
      </c>
      <c r="M19" s="1063">
        <v>2</v>
      </c>
      <c r="N19" s="1044">
        <f t="shared" si="16"/>
        <v>5.6069444444444456E-3</v>
      </c>
      <c r="O19" s="439">
        <f>C19*(G19/25)</f>
        <v>1.7682291666666674E-4</v>
      </c>
      <c r="P19" s="587">
        <f>O19*M19</f>
        <v>3.5364583333333347E-4</v>
      </c>
      <c r="Q19" s="446" t="s">
        <v>316</v>
      </c>
      <c r="R19" s="1045">
        <f>E19*F19*G19</f>
        <v>200</v>
      </c>
      <c r="S19" s="229">
        <f t="shared" si="6"/>
        <v>0.2</v>
      </c>
      <c r="T19" s="230">
        <f t="shared" si="7"/>
        <v>5.6583333333333355E-3</v>
      </c>
      <c r="U19" s="374">
        <f t="shared" si="8"/>
        <v>0</v>
      </c>
      <c r="V19" s="375">
        <f t="shared" si="9"/>
        <v>0</v>
      </c>
      <c r="W19" s="376">
        <f t="shared" si="10"/>
        <v>0</v>
      </c>
      <c r="X19" s="377">
        <f t="shared" si="11"/>
        <v>0</v>
      </c>
      <c r="Y19" s="378">
        <f t="shared" si="12"/>
        <v>0</v>
      </c>
      <c r="Z19" s="379">
        <f t="shared" si="13"/>
        <v>0</v>
      </c>
      <c r="AA19" s="380">
        <f t="shared" si="14"/>
        <v>0.2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</row>
    <row r="20" spans="1:40" ht="12.75" customHeight="1" thickBot="1">
      <c r="A20" s="851"/>
      <c r="B20" s="1124" t="s">
        <v>215</v>
      </c>
      <c r="C20" s="2256">
        <f t="shared" si="1"/>
        <v>0</v>
      </c>
      <c r="D20" s="2532"/>
      <c r="E20" s="2533"/>
      <c r="F20" s="2533"/>
      <c r="G20" s="2533"/>
      <c r="H20" s="2534"/>
      <c r="I20" s="2534"/>
      <c r="J20" s="2534"/>
      <c r="K20" s="2535"/>
      <c r="L20" s="2182">
        <f t="shared" ref="L20" si="22">L19+N19</f>
        <v>0.87111797070890762</v>
      </c>
      <c r="M20" s="2536">
        <v>2</v>
      </c>
      <c r="N20" s="2537">
        <f>SUM(N14:N19)</f>
        <v>6.9034637375574345E-2</v>
      </c>
      <c r="O20" s="2538"/>
      <c r="P20" s="2538"/>
      <c r="Q20" s="2539"/>
      <c r="R20" s="2540">
        <f>SUM(R14:R19)</f>
        <v>2472.5</v>
      </c>
      <c r="S20" s="229">
        <f t="shared" si="6"/>
        <v>0</v>
      </c>
      <c r="T20" s="230">
        <f t="shared" si="7"/>
        <v>0</v>
      </c>
      <c r="U20" s="374">
        <f t="shared" si="8"/>
        <v>0</v>
      </c>
      <c r="V20" s="375">
        <f t="shared" si="9"/>
        <v>0</v>
      </c>
      <c r="W20" s="376">
        <f t="shared" si="10"/>
        <v>0</v>
      </c>
      <c r="X20" s="377">
        <f t="shared" si="11"/>
        <v>0</v>
      </c>
      <c r="Y20" s="378">
        <f t="shared" si="12"/>
        <v>0</v>
      </c>
      <c r="Z20" s="379">
        <f t="shared" si="13"/>
        <v>0</v>
      </c>
      <c r="AA20" s="380">
        <f t="shared" si="14"/>
        <v>0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</row>
    <row r="21" spans="1:40" ht="12.75" customHeight="1" thickBot="1">
      <c r="A21" s="398" t="s">
        <v>215</v>
      </c>
      <c r="B21" s="1117" t="s">
        <v>215</v>
      </c>
      <c r="C21" s="2256">
        <f t="shared" si="1"/>
        <v>2.2880964381720439E-4</v>
      </c>
      <c r="D21" s="2335">
        <v>1</v>
      </c>
      <c r="E21" s="2336">
        <v>1</v>
      </c>
      <c r="F21" s="2336">
        <v>1</v>
      </c>
      <c r="G21" s="2336">
        <v>300</v>
      </c>
      <c r="H21" s="2337"/>
      <c r="I21" s="2337">
        <v>0</v>
      </c>
      <c r="J21" s="2337">
        <v>1.1574074074074073E-4</v>
      </c>
      <c r="K21" s="2500" t="s">
        <v>1522</v>
      </c>
      <c r="L21" s="2501">
        <v>0.34027777777777773</v>
      </c>
      <c r="M21" s="2502">
        <v>1</v>
      </c>
      <c r="N21" s="2337">
        <f t="shared" ref="N21:N26" si="23">P21*E21*F21+I21*E21*F21+J21*E21</f>
        <v>2.8614564665471937E-3</v>
      </c>
      <c r="O21" s="2359">
        <f t="shared" ref="O21:O22" si="24">C21*(G21/25)</f>
        <v>2.7457157258064528E-3</v>
      </c>
      <c r="P21" s="2359">
        <f t="shared" ref="P21:P26" si="25">O21*M21</f>
        <v>2.7457157258064528E-3</v>
      </c>
      <c r="Q21" s="2341">
        <v>129</v>
      </c>
      <c r="R21" s="2336">
        <f t="shared" ref="R21:R26" si="26">E21*F21*G21</f>
        <v>300</v>
      </c>
      <c r="S21" s="229">
        <f t="shared" si="6"/>
        <v>0.3</v>
      </c>
      <c r="T21" s="230">
        <f t="shared" si="7"/>
        <v>1.0982862903225811E-2</v>
      </c>
      <c r="U21" s="374">
        <f t="shared" si="8"/>
        <v>0.3</v>
      </c>
      <c r="V21" s="375">
        <f t="shared" si="9"/>
        <v>0</v>
      </c>
      <c r="W21" s="376">
        <f t="shared" si="10"/>
        <v>0</v>
      </c>
      <c r="X21" s="377">
        <f t="shared" si="11"/>
        <v>0</v>
      </c>
      <c r="Y21" s="378">
        <f t="shared" si="12"/>
        <v>0</v>
      </c>
      <c r="Z21" s="379">
        <f t="shared" si="13"/>
        <v>0</v>
      </c>
      <c r="AA21" s="380">
        <f t="shared" si="14"/>
        <v>0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</row>
    <row r="22" spans="1:40" ht="13" customHeight="1" thickBot="1">
      <c r="A22" s="398" t="s">
        <v>138</v>
      </c>
      <c r="B22" s="1117" t="s">
        <v>215</v>
      </c>
      <c r="C22" s="2256">
        <f t="shared" si="1"/>
        <v>2.1222190799396687E-4</v>
      </c>
      <c r="D22" s="2309">
        <v>3</v>
      </c>
      <c r="E22" s="2257">
        <v>1</v>
      </c>
      <c r="F22" s="2257">
        <v>4</v>
      </c>
      <c r="G22" s="2257">
        <v>100</v>
      </c>
      <c r="H22" s="2258"/>
      <c r="I22" s="2258">
        <v>2.8935185185185189E-4</v>
      </c>
      <c r="J22" s="2258">
        <v>2.3148148148148146E-4</v>
      </c>
      <c r="K22" s="2355" t="s">
        <v>1342</v>
      </c>
      <c r="L22" s="2504">
        <f>L21+N21</f>
        <v>0.34313923424432491</v>
      </c>
      <c r="M22" s="2326">
        <v>1.25</v>
      </c>
      <c r="N22" s="2258">
        <f t="shared" si="23"/>
        <v>5.633327048768226E-3</v>
      </c>
      <c r="O22" s="2262">
        <f t="shared" si="24"/>
        <v>8.4888763197586746E-4</v>
      </c>
      <c r="P22" s="2262">
        <f t="shared" si="25"/>
        <v>1.0611095399698342E-3</v>
      </c>
      <c r="Q22" s="2274">
        <v>147</v>
      </c>
      <c r="R22" s="2257">
        <f t="shared" si="26"/>
        <v>400</v>
      </c>
      <c r="S22" s="229">
        <f t="shared" si="6"/>
        <v>0.4</v>
      </c>
      <c r="T22" s="230">
        <f t="shared" si="7"/>
        <v>1.3582202111613879E-2</v>
      </c>
      <c r="U22" s="374">
        <f t="shared" si="8"/>
        <v>0</v>
      </c>
      <c r="V22" s="375">
        <f t="shared" si="9"/>
        <v>0</v>
      </c>
      <c r="W22" s="376">
        <f t="shared" si="10"/>
        <v>0.4</v>
      </c>
      <c r="X22" s="377">
        <f t="shared" si="11"/>
        <v>0</v>
      </c>
      <c r="Y22" s="378">
        <f t="shared" si="12"/>
        <v>0</v>
      </c>
      <c r="Z22" s="379">
        <f t="shared" si="13"/>
        <v>0</v>
      </c>
      <c r="AA22" s="380">
        <f t="shared" si="14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</row>
    <row r="23" spans="1:40" ht="13" customHeight="1" thickBot="1">
      <c r="A23" s="398" t="s">
        <v>462</v>
      </c>
      <c r="B23" s="1117" t="s">
        <v>215</v>
      </c>
      <c r="C23" s="274">
        <f t="shared" ref="C23" si="27">IF(D23=1,U$4,IF(D23=2,V$4,IF(D23=3,W$4,IF(D23=4,X$4,IF(D23=5,Y$4,IF(D23=6,Z$4,IF(D23=7,AA$4,0)))))))</f>
        <v>8.0990657955066516E-4</v>
      </c>
      <c r="D23" s="920">
        <v>4</v>
      </c>
      <c r="E23" s="4688">
        <v>1</v>
      </c>
      <c r="F23" s="1934">
        <v>4</v>
      </c>
      <c r="G23" s="1934">
        <v>125</v>
      </c>
      <c r="H23" s="4680"/>
      <c r="I23" s="3040">
        <v>3.4722222222222224E-4</v>
      </c>
      <c r="J23" s="3040">
        <v>1.9675925925925928E-3</v>
      </c>
      <c r="K23" s="1994" t="s">
        <v>1569</v>
      </c>
      <c r="L23" s="4689">
        <f>L22+N22</f>
        <v>0.34877256129309314</v>
      </c>
      <c r="M23" s="2011">
        <v>1.17</v>
      </c>
      <c r="N23" s="4689">
        <f t="shared" ref="N23" si="28">P23*E23*F23+I23*F23*E23+J23*E23</f>
        <v>2.2308295442967044E-2</v>
      </c>
      <c r="O23" s="2429">
        <f>C23*(G23/25)</f>
        <v>4.0495328977533255E-3</v>
      </c>
      <c r="P23" s="4689">
        <f>O23*M23</f>
        <v>4.7379534903713907E-3</v>
      </c>
      <c r="Q23" s="4690">
        <v>180</v>
      </c>
      <c r="R23" s="4691">
        <f>E23*F23*G23</f>
        <v>500</v>
      </c>
      <c r="S23" s="229">
        <f t="shared" si="6"/>
        <v>0.5</v>
      </c>
      <c r="T23" s="230">
        <f t="shared" si="7"/>
        <v>6.4792526364053207E-2</v>
      </c>
      <c r="U23" s="374">
        <f t="shared" si="8"/>
        <v>0.5</v>
      </c>
      <c r="V23" s="375">
        <f t="shared" si="9"/>
        <v>0</v>
      </c>
      <c r="W23" s="376">
        <f t="shared" si="10"/>
        <v>0</v>
      </c>
      <c r="X23" s="377">
        <f t="shared" si="11"/>
        <v>0</v>
      </c>
      <c r="Y23" s="378">
        <f t="shared" si="12"/>
        <v>0</v>
      </c>
      <c r="Z23" s="379">
        <f t="shared" si="13"/>
        <v>0</v>
      </c>
      <c r="AA23" s="380">
        <f t="shared" si="14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</row>
    <row r="24" spans="1:40" ht="12.75" customHeight="1" thickBot="1">
      <c r="A24" s="398" t="s">
        <v>461</v>
      </c>
      <c r="B24" s="1117" t="s">
        <v>215</v>
      </c>
      <c r="C24" s="2256">
        <f t="shared" si="1"/>
        <v>1.7682291666666674E-4</v>
      </c>
      <c r="D24" s="1054">
        <v>7</v>
      </c>
      <c r="E24" s="1043">
        <v>1</v>
      </c>
      <c r="F24" s="1043">
        <v>5</v>
      </c>
      <c r="G24" s="1043">
        <v>30</v>
      </c>
      <c r="H24" s="1044"/>
      <c r="I24" s="1044">
        <v>1.3888888888888889E-3</v>
      </c>
      <c r="J24" s="1044">
        <v>0</v>
      </c>
      <c r="K24" s="1323" t="s">
        <v>1528</v>
      </c>
      <c r="L24" s="1007">
        <f t="shared" ref="L24:L27" si="29">L23+N23</f>
        <v>0.37108085673606017</v>
      </c>
      <c r="M24" s="1063">
        <v>1</v>
      </c>
      <c r="N24" s="1044">
        <f t="shared" si="23"/>
        <v>8.0053819444444452E-3</v>
      </c>
      <c r="O24" s="439">
        <f t="shared" ref="O24:O26" si="30">C24*(G24/25)</f>
        <v>2.1218750000000008E-4</v>
      </c>
      <c r="P24" s="587">
        <f t="shared" si="25"/>
        <v>2.1218750000000008E-4</v>
      </c>
      <c r="Q24" s="446" t="s">
        <v>316</v>
      </c>
      <c r="R24" s="1045">
        <f t="shared" si="26"/>
        <v>150</v>
      </c>
      <c r="S24" s="229">
        <f t="shared" si="6"/>
        <v>0.15</v>
      </c>
      <c r="T24" s="230">
        <f t="shared" si="7"/>
        <v>4.2437500000000019E-3</v>
      </c>
      <c r="U24" s="374">
        <f t="shared" si="8"/>
        <v>0</v>
      </c>
      <c r="V24" s="375">
        <f t="shared" si="9"/>
        <v>0</v>
      </c>
      <c r="W24" s="376">
        <f t="shared" si="10"/>
        <v>0</v>
      </c>
      <c r="X24" s="377">
        <f t="shared" si="11"/>
        <v>0</v>
      </c>
      <c r="Y24" s="378">
        <f t="shared" si="12"/>
        <v>0</v>
      </c>
      <c r="Z24" s="379">
        <f t="shared" si="13"/>
        <v>0</v>
      </c>
      <c r="AA24" s="380">
        <f t="shared" si="14"/>
        <v>0.15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</row>
    <row r="25" spans="1:40" ht="12.75" customHeight="1">
      <c r="A25" s="398" t="s">
        <v>458</v>
      </c>
      <c r="B25" s="1117" t="s">
        <v>215</v>
      </c>
      <c r="C25" s="274">
        <f t="shared" si="1"/>
        <v>1.8229166666666673E-4</v>
      </c>
      <c r="D25" s="4619">
        <v>6</v>
      </c>
      <c r="E25" s="4561">
        <v>1</v>
      </c>
      <c r="F25" s="4561">
        <v>8</v>
      </c>
      <c r="G25" s="4561">
        <v>50</v>
      </c>
      <c r="H25" s="4561"/>
      <c r="I25" s="6300">
        <v>6.9444444444444447E-4</v>
      </c>
      <c r="J25" s="6300">
        <v>3.472222222222222E-3</v>
      </c>
      <c r="K25" s="4561" t="s">
        <v>974</v>
      </c>
      <c r="L25" s="6300">
        <f>L24+N24</f>
        <v>0.37908623868050462</v>
      </c>
      <c r="M25" s="6307">
        <v>1</v>
      </c>
      <c r="N25" s="6300">
        <f t="shared" si="23"/>
        <v>1.2002777777777779E-2</v>
      </c>
      <c r="O25" s="4586">
        <f>C25*(G25/25)*1.02</f>
        <v>3.7187500000000014E-4</v>
      </c>
      <c r="P25" s="4686">
        <f t="shared" si="25"/>
        <v>3.7187500000000014E-4</v>
      </c>
      <c r="Q25" s="6303">
        <v>177</v>
      </c>
      <c r="R25" s="4561">
        <f t="shared" si="26"/>
        <v>400</v>
      </c>
      <c r="S25" s="229">
        <f t="shared" si="6"/>
        <v>0.4</v>
      </c>
      <c r="T25" s="230">
        <f t="shared" si="7"/>
        <v>1.1900000000000004E-2</v>
      </c>
      <c r="U25" s="374">
        <f t="shared" si="8"/>
        <v>0</v>
      </c>
      <c r="V25" s="375">
        <f t="shared" si="9"/>
        <v>0</v>
      </c>
      <c r="W25" s="376">
        <f t="shared" si="10"/>
        <v>0</v>
      </c>
      <c r="X25" s="377">
        <f t="shared" si="11"/>
        <v>0</v>
      </c>
      <c r="Y25" s="378">
        <f t="shared" si="12"/>
        <v>0</v>
      </c>
      <c r="Z25" s="379">
        <f t="shared" si="13"/>
        <v>0.4</v>
      </c>
      <c r="AA25" s="380">
        <f t="shared" si="14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</row>
    <row r="26" spans="1:40" ht="12.75" customHeight="1">
      <c r="A26" s="398" t="s">
        <v>219</v>
      </c>
      <c r="B26" s="398" t="s">
        <v>215</v>
      </c>
      <c r="C26" s="2256">
        <f t="shared" si="1"/>
        <v>1.7682291666666674E-4</v>
      </c>
      <c r="D26" s="1054">
        <v>7</v>
      </c>
      <c r="E26" s="1043">
        <v>1</v>
      </c>
      <c r="F26" s="1043">
        <v>6</v>
      </c>
      <c r="G26" s="1043">
        <v>20</v>
      </c>
      <c r="H26" s="1044"/>
      <c r="I26" s="1044">
        <v>1.0416666666666667E-3</v>
      </c>
      <c r="J26" s="1044">
        <v>0</v>
      </c>
      <c r="K26" s="1323" t="s">
        <v>413</v>
      </c>
      <c r="L26" s="1007">
        <f t="shared" si="29"/>
        <v>0.39108901645828242</v>
      </c>
      <c r="M26" s="1063">
        <v>2</v>
      </c>
      <c r="N26" s="1044">
        <f t="shared" si="23"/>
        <v>7.9475000000000014E-3</v>
      </c>
      <c r="O26" s="439">
        <f t="shared" si="30"/>
        <v>1.4145833333333339E-4</v>
      </c>
      <c r="P26" s="587">
        <f t="shared" si="25"/>
        <v>2.8291666666666678E-4</v>
      </c>
      <c r="Q26" s="446" t="s">
        <v>316</v>
      </c>
      <c r="R26" s="1045">
        <f t="shared" si="26"/>
        <v>120</v>
      </c>
      <c r="S26" s="229">
        <f t="shared" si="6"/>
        <v>0.12</v>
      </c>
      <c r="T26" s="230">
        <f t="shared" si="7"/>
        <v>3.3950000000000013E-3</v>
      </c>
      <c r="U26" s="374">
        <f t="shared" si="8"/>
        <v>0</v>
      </c>
      <c r="V26" s="375">
        <f t="shared" si="9"/>
        <v>0</v>
      </c>
      <c r="W26" s="376">
        <f t="shared" si="10"/>
        <v>0</v>
      </c>
      <c r="X26" s="377">
        <f t="shared" si="11"/>
        <v>0</v>
      </c>
      <c r="Y26" s="378">
        <f t="shared" si="12"/>
        <v>0</v>
      </c>
      <c r="Z26" s="379">
        <f t="shared" si="13"/>
        <v>0</v>
      </c>
      <c r="AA26" s="380">
        <f t="shared" si="14"/>
        <v>0.12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</row>
    <row r="27" spans="1:40" ht="12.75" customHeight="1">
      <c r="A27" s="398"/>
      <c r="B27" s="398"/>
      <c r="C27" s="2256">
        <f t="shared" si="1"/>
        <v>0</v>
      </c>
      <c r="D27" s="2532"/>
      <c r="E27" s="2533"/>
      <c r="F27" s="2533"/>
      <c r="G27" s="2533"/>
      <c r="H27" s="2534"/>
      <c r="I27" s="2534"/>
      <c r="J27" s="2534"/>
      <c r="K27" s="2535"/>
      <c r="L27" s="2182">
        <f t="shared" si="29"/>
        <v>0.39903651645828242</v>
      </c>
      <c r="M27" s="2536"/>
      <c r="N27" s="2537">
        <f>SUM(N21:N26)</f>
        <v>5.8758738680504692E-2</v>
      </c>
      <c r="O27" s="2538"/>
      <c r="P27" s="2538"/>
      <c r="Q27" s="2539"/>
      <c r="R27" s="2540">
        <f>SUM(R21:R26)</f>
        <v>1870</v>
      </c>
      <c r="S27" s="229">
        <f t="shared" si="6"/>
        <v>0</v>
      </c>
      <c r="T27" s="230">
        <f t="shared" si="7"/>
        <v>0</v>
      </c>
      <c r="U27" s="374">
        <f t="shared" si="8"/>
        <v>0</v>
      </c>
      <c r="V27" s="375">
        <f t="shared" si="9"/>
        <v>0</v>
      </c>
      <c r="W27" s="376">
        <f t="shared" si="10"/>
        <v>0</v>
      </c>
      <c r="X27" s="377">
        <f t="shared" si="11"/>
        <v>0</v>
      </c>
      <c r="Y27" s="378">
        <f t="shared" si="12"/>
        <v>0</v>
      </c>
      <c r="Z27" s="379">
        <f t="shared" si="13"/>
        <v>0</v>
      </c>
      <c r="AA27" s="380">
        <f t="shared" si="14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40" ht="12.75" customHeight="1" thickBot="1">
      <c r="A28" s="398"/>
      <c r="B28" s="398" t="s">
        <v>461</v>
      </c>
      <c r="C28" s="274">
        <f t="shared" si="1"/>
        <v>2.1908757716049393E-4</v>
      </c>
      <c r="D28" s="890">
        <v>2</v>
      </c>
      <c r="E28" s="300">
        <v>1</v>
      </c>
      <c r="F28" s="300">
        <v>3</v>
      </c>
      <c r="G28" s="300">
        <v>200</v>
      </c>
      <c r="H28" s="299" t="s">
        <v>2432</v>
      </c>
      <c r="I28" s="301">
        <v>1.7361111111111112E-4</v>
      </c>
      <c r="J28" s="301">
        <v>1.3888888888888889E-3</v>
      </c>
      <c r="K28" s="1123" t="s">
        <v>1343</v>
      </c>
      <c r="L28" s="994">
        <v>0.80208333333333337</v>
      </c>
      <c r="M28" s="455">
        <v>1</v>
      </c>
      <c r="N28" s="301">
        <f t="shared" ref="N28:N35" si="31">P28*E28*F28+I28*E28*F28+J28*E28</f>
        <v>7.1678240740740765E-3</v>
      </c>
      <c r="O28" s="302">
        <f t="shared" ref="O28:O37" si="32">C28*(G28/25)</f>
        <v>1.7527006172839514E-3</v>
      </c>
      <c r="P28" s="302">
        <f t="shared" ref="P28:P31" si="33">O28*M28</f>
        <v>1.7527006172839514E-3</v>
      </c>
      <c r="Q28" s="550">
        <v>164</v>
      </c>
      <c r="R28" s="369">
        <f t="shared" ref="R28:R31" si="34">E28*F28*G28</f>
        <v>600</v>
      </c>
      <c r="S28" s="229">
        <f t="shared" si="6"/>
        <v>0.6</v>
      </c>
      <c r="T28" s="230">
        <f t="shared" si="7"/>
        <v>2.1032407407407416E-2</v>
      </c>
      <c r="U28" s="374">
        <f t="shared" si="8"/>
        <v>0</v>
      </c>
      <c r="V28" s="375">
        <f t="shared" si="9"/>
        <v>0.6</v>
      </c>
      <c r="W28" s="376">
        <f t="shared" si="10"/>
        <v>0</v>
      </c>
      <c r="X28" s="377">
        <f t="shared" si="11"/>
        <v>0</v>
      </c>
      <c r="Y28" s="378">
        <f t="shared" si="12"/>
        <v>0</v>
      </c>
      <c r="Z28" s="379">
        <f t="shared" si="13"/>
        <v>0</v>
      </c>
      <c r="AA28" s="380">
        <f t="shared" si="14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40" ht="13" customHeight="1" thickBot="1">
      <c r="A29" s="398" t="s">
        <v>215</v>
      </c>
      <c r="B29" s="1117" t="s">
        <v>461</v>
      </c>
      <c r="C29" s="274">
        <f t="shared" si="1"/>
        <v>2.1908757716049393E-4</v>
      </c>
      <c r="D29" s="890">
        <v>2</v>
      </c>
      <c r="E29" s="300">
        <v>1</v>
      </c>
      <c r="F29" s="300">
        <v>7</v>
      </c>
      <c r="G29" s="300">
        <v>100</v>
      </c>
      <c r="H29" s="1453" t="s">
        <v>2433</v>
      </c>
      <c r="I29" s="301">
        <v>2.8935185185185189E-4</v>
      </c>
      <c r="J29" s="301">
        <v>1.3888888888888889E-3</v>
      </c>
      <c r="K29" s="1123" t="s">
        <v>1530</v>
      </c>
      <c r="L29" s="994">
        <f t="shared" ref="L29:L36" si="35">L28+N28</f>
        <v>0.8092511574074075</v>
      </c>
      <c r="M29" s="455">
        <v>1</v>
      </c>
      <c r="N29" s="301">
        <v>0</v>
      </c>
      <c r="O29" s="302">
        <f t="shared" si="32"/>
        <v>8.7635030864197572E-4</v>
      </c>
      <c r="P29" s="302">
        <f t="shared" si="33"/>
        <v>8.7635030864197572E-4</v>
      </c>
      <c r="Q29" s="550">
        <v>146</v>
      </c>
      <c r="R29" s="369"/>
      <c r="S29" s="229">
        <f t="shared" si="6"/>
        <v>0.7</v>
      </c>
      <c r="T29" s="230">
        <f t="shared" si="7"/>
        <v>2.4537808641975321E-2</v>
      </c>
      <c r="U29" s="374">
        <f t="shared" si="8"/>
        <v>0</v>
      </c>
      <c r="V29" s="375">
        <f t="shared" si="9"/>
        <v>0.7</v>
      </c>
      <c r="W29" s="376">
        <f t="shared" si="10"/>
        <v>0</v>
      </c>
      <c r="X29" s="377">
        <f t="shared" si="11"/>
        <v>0</v>
      </c>
      <c r="Y29" s="378">
        <f t="shared" si="12"/>
        <v>0</v>
      </c>
      <c r="Z29" s="379">
        <f t="shared" si="13"/>
        <v>0</v>
      </c>
      <c r="AA29" s="380">
        <f t="shared" si="14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  <c r="AN29" s="204"/>
    </row>
    <row r="30" spans="1:40" ht="12.75" customHeight="1" thickBot="1">
      <c r="A30" s="398" t="s">
        <v>138</v>
      </c>
      <c r="B30" s="1117" t="s">
        <v>461</v>
      </c>
      <c r="C30" s="274">
        <f t="shared" si="1"/>
        <v>2.1222190799396687E-4</v>
      </c>
      <c r="D30" s="2309">
        <v>3</v>
      </c>
      <c r="E30" s="2257">
        <v>1</v>
      </c>
      <c r="F30" s="2257">
        <v>14</v>
      </c>
      <c r="G30" s="2257">
        <v>50</v>
      </c>
      <c r="H30" s="2258"/>
      <c r="I30" s="2258">
        <v>1.7361111111111112E-4</v>
      </c>
      <c r="J30" s="2258">
        <v>1.3888888888888889E-3</v>
      </c>
      <c r="K30" s="2355"/>
      <c r="L30" s="2258">
        <f t="shared" si="35"/>
        <v>0.8092511574074075</v>
      </c>
      <c r="M30" s="2326">
        <v>1.1000000000000001</v>
      </c>
      <c r="N30" s="2258">
        <f t="shared" si="31"/>
        <v>1.0355879210658624E-2</v>
      </c>
      <c r="O30" s="2262">
        <f t="shared" si="32"/>
        <v>4.2444381598793373E-4</v>
      </c>
      <c r="P30" s="2262">
        <f t="shared" si="33"/>
        <v>4.6688819758672714E-4</v>
      </c>
      <c r="Q30" s="2274">
        <v>164</v>
      </c>
      <c r="R30" s="2257">
        <f t="shared" si="34"/>
        <v>700</v>
      </c>
      <c r="S30" s="229">
        <f t="shared" si="6"/>
        <v>0.7</v>
      </c>
      <c r="T30" s="230">
        <f t="shared" si="7"/>
        <v>2.3768853695324291E-2</v>
      </c>
      <c r="U30" s="374">
        <f t="shared" si="8"/>
        <v>0</v>
      </c>
      <c r="V30" s="375">
        <f t="shared" si="9"/>
        <v>0</v>
      </c>
      <c r="W30" s="376">
        <f t="shared" si="10"/>
        <v>0.7</v>
      </c>
      <c r="X30" s="377">
        <f t="shared" si="11"/>
        <v>0</v>
      </c>
      <c r="Y30" s="378">
        <f t="shared" si="12"/>
        <v>0</v>
      </c>
      <c r="Z30" s="379">
        <f t="shared" si="13"/>
        <v>0</v>
      </c>
      <c r="AA30" s="380">
        <f t="shared" si="14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  <c r="AN30" s="204"/>
    </row>
    <row r="31" spans="1:40" ht="12.75" customHeight="1" thickBot="1">
      <c r="A31" s="398" t="s">
        <v>462</v>
      </c>
      <c r="B31" s="1117" t="s">
        <v>461</v>
      </c>
      <c r="C31" s="274">
        <f t="shared" si="1"/>
        <v>1.8229166666666673E-4</v>
      </c>
      <c r="D31" s="4619">
        <v>6</v>
      </c>
      <c r="E31" s="4561">
        <v>1</v>
      </c>
      <c r="F31" s="4561">
        <v>6</v>
      </c>
      <c r="G31" s="4561">
        <v>80</v>
      </c>
      <c r="H31" s="4561" t="s">
        <v>2432</v>
      </c>
      <c r="I31" s="6300">
        <v>3.4722222222222224E-4</v>
      </c>
      <c r="J31" s="6300">
        <v>2.0833333333333333E-3</v>
      </c>
      <c r="K31" s="4561" t="s">
        <v>974</v>
      </c>
      <c r="L31" s="6300">
        <f t="shared" si="35"/>
        <v>0.81960703661806611</v>
      </c>
      <c r="M31" s="6307">
        <v>1</v>
      </c>
      <c r="N31" s="6300">
        <f t="shared" si="31"/>
        <v>7.6666666666666671E-3</v>
      </c>
      <c r="O31" s="4586">
        <f>C31*(G31/25)</f>
        <v>5.833333333333336E-4</v>
      </c>
      <c r="P31" s="4686">
        <f t="shared" si="33"/>
        <v>5.833333333333336E-4</v>
      </c>
      <c r="Q31" s="6303">
        <v>177</v>
      </c>
      <c r="R31" s="4561">
        <f t="shared" si="34"/>
        <v>480</v>
      </c>
      <c r="S31" s="229">
        <f t="shared" si="6"/>
        <v>0.48</v>
      </c>
      <c r="T31" s="230">
        <f t="shared" si="7"/>
        <v>1.4000000000000005E-2</v>
      </c>
      <c r="U31" s="374">
        <f t="shared" si="8"/>
        <v>0</v>
      </c>
      <c r="V31" s="375">
        <f t="shared" si="9"/>
        <v>0</v>
      </c>
      <c r="W31" s="376">
        <f t="shared" si="10"/>
        <v>0</v>
      </c>
      <c r="X31" s="377">
        <f t="shared" si="11"/>
        <v>0</v>
      </c>
      <c r="Y31" s="378">
        <f t="shared" si="12"/>
        <v>0</v>
      </c>
      <c r="Z31" s="379">
        <f t="shared" si="13"/>
        <v>0.48</v>
      </c>
      <c r="AA31" s="380">
        <f t="shared" si="14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  <c r="AN31" s="204"/>
    </row>
    <row r="32" spans="1:40" ht="12.75" customHeight="1" thickBot="1">
      <c r="A32" s="398" t="s">
        <v>461</v>
      </c>
      <c r="B32" s="1117"/>
      <c r="C32" s="5770"/>
      <c r="D32" s="4619"/>
      <c r="E32" s="6897">
        <v>1</v>
      </c>
      <c r="F32" s="6897">
        <v>6</v>
      </c>
      <c r="G32" s="6897">
        <v>200</v>
      </c>
      <c r="H32" s="6897" t="s">
        <v>2430</v>
      </c>
      <c r="I32" s="6300">
        <v>1.736111111111111E-3</v>
      </c>
      <c r="J32" s="6300">
        <v>2.0833333333333333E-3</v>
      </c>
      <c r="K32" s="6897" t="s">
        <v>2431</v>
      </c>
      <c r="L32" s="6898">
        <f t="shared" si="35"/>
        <v>0.82727370328473282</v>
      </c>
      <c r="M32" s="6307"/>
      <c r="N32" s="6898">
        <v>0</v>
      </c>
      <c r="O32" s="6899"/>
      <c r="P32" s="4686"/>
      <c r="Q32" s="6900"/>
      <c r="R32" s="6897"/>
      <c r="S32" s="229"/>
      <c r="T32" s="230"/>
      <c r="U32" s="374"/>
      <c r="V32" s="375"/>
      <c r="W32" s="376"/>
      <c r="X32" s="377"/>
      <c r="Y32" s="378"/>
      <c r="Z32" s="379"/>
      <c r="AA32" s="380"/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  <c r="AN32" s="204"/>
    </row>
    <row r="33" spans="1:40" ht="12.75" customHeight="1" thickBot="1">
      <c r="A33" s="398" t="s">
        <v>458</v>
      </c>
      <c r="B33" s="1117" t="s">
        <v>461</v>
      </c>
      <c r="C33" s="274">
        <f t="shared" si="1"/>
        <v>2.1222190799396687E-4</v>
      </c>
      <c r="D33" s="891">
        <v>3</v>
      </c>
      <c r="E33" s="280">
        <v>1</v>
      </c>
      <c r="F33" s="280">
        <v>3</v>
      </c>
      <c r="G33" s="280">
        <v>200</v>
      </c>
      <c r="H33" s="281"/>
      <c r="I33" s="281">
        <v>3.4722222222222224E-4</v>
      </c>
      <c r="J33" s="281">
        <v>1.3888888888888889E-3</v>
      </c>
      <c r="K33" s="1328" t="s">
        <v>300</v>
      </c>
      <c r="L33" s="995">
        <f t="shared" si="35"/>
        <v>0.82727370328473282</v>
      </c>
      <c r="M33" s="453">
        <v>1.1000000000000001</v>
      </c>
      <c r="N33" s="281">
        <f t="shared" si="31"/>
        <v>8.0332139265962815E-3</v>
      </c>
      <c r="O33" s="298">
        <f t="shared" si="32"/>
        <v>1.6977752639517349E-3</v>
      </c>
      <c r="P33" s="298">
        <f>O33*M33</f>
        <v>1.8675527903469085E-3</v>
      </c>
      <c r="Q33" s="333">
        <v>165</v>
      </c>
      <c r="R33" s="280">
        <f>E33*F33*G33</f>
        <v>600</v>
      </c>
      <c r="S33" s="229">
        <f t="shared" si="6"/>
        <v>0.6</v>
      </c>
      <c r="T33" s="230">
        <f t="shared" si="7"/>
        <v>2.0373303167420819E-2</v>
      </c>
      <c r="U33" s="374">
        <f t="shared" si="8"/>
        <v>0</v>
      </c>
      <c r="V33" s="375">
        <f t="shared" si="9"/>
        <v>0</v>
      </c>
      <c r="W33" s="376">
        <f t="shared" si="10"/>
        <v>0.6</v>
      </c>
      <c r="X33" s="377">
        <f t="shared" si="11"/>
        <v>0</v>
      </c>
      <c r="Y33" s="378">
        <f t="shared" si="12"/>
        <v>0</v>
      </c>
      <c r="Z33" s="379">
        <f t="shared" si="13"/>
        <v>0</v>
      </c>
      <c r="AA33" s="380">
        <f t="shared" si="14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  <c r="AN33" s="204"/>
    </row>
    <row r="34" spans="1:40" ht="12.75" customHeight="1" thickBot="1">
      <c r="A34" s="398" t="s">
        <v>219</v>
      </c>
      <c r="B34" s="1117" t="s">
        <v>461</v>
      </c>
      <c r="C34" s="274">
        <f t="shared" ref="C34" si="36">IF(D34=1,U$4,IF(D34=2,V$4,IF(D34=3,W$4,IF(D34=4,X$4,IF(D34=5,Y$4,IF(D34=6,Z$4,IF(D34=7,AA$4,0)))))))</f>
        <v>8.0990657955066516E-4</v>
      </c>
      <c r="D34" s="2031">
        <v>4</v>
      </c>
      <c r="E34" s="1934">
        <v>1</v>
      </c>
      <c r="F34" s="1934">
        <v>3</v>
      </c>
      <c r="G34" s="1934">
        <v>200</v>
      </c>
      <c r="H34" s="3040"/>
      <c r="I34" s="3040">
        <v>9.2592592592592585E-4</v>
      </c>
      <c r="J34" s="3040">
        <v>0</v>
      </c>
      <c r="K34" s="1994" t="s">
        <v>2249</v>
      </c>
      <c r="L34" s="2178">
        <f t="shared" si="35"/>
        <v>0.8353069172113291</v>
      </c>
      <c r="M34" s="2428">
        <v>1.1000000000000001</v>
      </c>
      <c r="N34" s="3040">
        <f>P34*E34*F34+I34*E34*F34+J34*E34</f>
        <v>2.4159311477915339E-2</v>
      </c>
      <c r="O34" s="2429">
        <f t="shared" si="32"/>
        <v>6.4792526364053213E-3</v>
      </c>
      <c r="P34" s="2429">
        <f>O34*M34</f>
        <v>7.127177900045854E-3</v>
      </c>
      <c r="Q34" s="2032">
        <v>170</v>
      </c>
      <c r="R34" s="3364">
        <f>E34*F34*G34</f>
        <v>600</v>
      </c>
      <c r="S34" s="229">
        <f t="shared" si="6"/>
        <v>0.6</v>
      </c>
      <c r="T34" s="230">
        <f t="shared" si="7"/>
        <v>7.7751031636863852E-2</v>
      </c>
      <c r="U34" s="374">
        <f t="shared" si="8"/>
        <v>0.6</v>
      </c>
      <c r="V34" s="375">
        <f t="shared" si="9"/>
        <v>0</v>
      </c>
      <c r="W34" s="376">
        <f t="shared" si="10"/>
        <v>0</v>
      </c>
      <c r="X34" s="377">
        <f t="shared" si="11"/>
        <v>0</v>
      </c>
      <c r="Y34" s="378">
        <f t="shared" si="12"/>
        <v>0</v>
      </c>
      <c r="Z34" s="379">
        <f t="shared" si="13"/>
        <v>0</v>
      </c>
      <c r="AA34" s="380">
        <f t="shared" si="14"/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  <c r="AN34" s="204"/>
    </row>
    <row r="35" spans="1:40" ht="12.75" customHeight="1">
      <c r="A35" s="398"/>
      <c r="B35" s="1117" t="s">
        <v>461</v>
      </c>
      <c r="C35" s="274">
        <f t="shared" ref="C35:C36" si="37">IF(D35=1,U$5,IF(D35=2,V$5,IF(D35=3,W$5,IF(D35=4,X$5,IF(D35=5,Y$5,IF(D35=6,Z$5,IF(D35=7,AA$5,0)))))))</f>
        <v>1.7682291666666674E-4</v>
      </c>
      <c r="D35" s="1054">
        <v>7</v>
      </c>
      <c r="E35" s="1043">
        <v>1</v>
      </c>
      <c r="F35" s="1043">
        <v>20</v>
      </c>
      <c r="G35" s="1043">
        <v>25</v>
      </c>
      <c r="H35" s="1044"/>
      <c r="I35" s="1044">
        <v>3.4722222222222224E-4</v>
      </c>
      <c r="J35" s="1044">
        <v>0</v>
      </c>
      <c r="K35" s="1323" t="s">
        <v>893</v>
      </c>
      <c r="L35" s="1007">
        <f t="shared" si="35"/>
        <v>0.85946622868924449</v>
      </c>
      <c r="M35" s="1063">
        <v>1</v>
      </c>
      <c r="N35" s="1044">
        <f t="shared" si="31"/>
        <v>1.048090277777778E-2</v>
      </c>
      <c r="O35" s="439">
        <f>C35*(G35/25)</f>
        <v>1.7682291666666674E-4</v>
      </c>
      <c r="P35" s="587">
        <f>O35*M35</f>
        <v>1.7682291666666674E-4</v>
      </c>
      <c r="Q35" s="446" t="s">
        <v>316</v>
      </c>
      <c r="R35" s="1045">
        <f>E35*F35*G35</f>
        <v>500</v>
      </c>
      <c r="S35" s="229">
        <f t="shared" si="6"/>
        <v>0.5</v>
      </c>
      <c r="T35" s="230">
        <f t="shared" si="7"/>
        <v>1.4145833333333338E-2</v>
      </c>
      <c r="U35" s="374">
        <f t="shared" si="8"/>
        <v>0</v>
      </c>
      <c r="V35" s="375">
        <f t="shared" si="9"/>
        <v>0</v>
      </c>
      <c r="W35" s="376">
        <f t="shared" si="10"/>
        <v>0</v>
      </c>
      <c r="X35" s="377">
        <f t="shared" si="11"/>
        <v>0</v>
      </c>
      <c r="Y35" s="378">
        <f t="shared" si="12"/>
        <v>0</v>
      </c>
      <c r="Z35" s="379">
        <f t="shared" si="13"/>
        <v>0</v>
      </c>
      <c r="AA35" s="380">
        <f t="shared" si="14"/>
        <v>0.5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  <c r="AN35" s="204"/>
    </row>
    <row r="36" spans="1:40" ht="12.75" customHeight="1" thickBot="1">
      <c r="A36" s="204"/>
      <c r="B36" s="204"/>
      <c r="C36" s="274">
        <f t="shared" si="37"/>
        <v>0</v>
      </c>
      <c r="D36" s="959"/>
      <c r="E36" s="642"/>
      <c r="F36" s="642"/>
      <c r="G36" s="642"/>
      <c r="H36" s="642"/>
      <c r="I36" s="642"/>
      <c r="J36" s="642"/>
      <c r="K36" s="642"/>
      <c r="L36" s="1003">
        <f t="shared" si="35"/>
        <v>0.86994713146702229</v>
      </c>
      <c r="M36" s="643"/>
      <c r="N36" s="644"/>
      <c r="O36" s="642"/>
      <c r="P36" s="642"/>
      <c r="Q36" s="642"/>
      <c r="R36" s="645">
        <f>SUM(R28:R35)</f>
        <v>3480</v>
      </c>
      <c r="S36" s="229">
        <f t="shared" si="6"/>
        <v>0</v>
      </c>
      <c r="T36" s="230">
        <f t="shared" si="7"/>
        <v>0</v>
      </c>
      <c r="U36" s="374">
        <f t="shared" si="8"/>
        <v>0</v>
      </c>
      <c r="V36" s="375">
        <f t="shared" si="9"/>
        <v>0</v>
      </c>
      <c r="W36" s="376">
        <f t="shared" si="10"/>
        <v>0</v>
      </c>
      <c r="X36" s="377">
        <f t="shared" si="11"/>
        <v>0</v>
      </c>
      <c r="Y36" s="378">
        <f t="shared" si="12"/>
        <v>0</v>
      </c>
      <c r="Z36" s="379">
        <f t="shared" si="13"/>
        <v>0</v>
      </c>
      <c r="AA36" s="380">
        <f t="shared" si="14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</row>
    <row r="37" spans="1:40" ht="12.75" customHeight="1">
      <c r="A37" s="851" t="s">
        <v>215</v>
      </c>
      <c r="B37" s="1124" t="s">
        <v>215</v>
      </c>
      <c r="C37" s="274">
        <f>IF(D37=1,U$5,IF(D37=2,V$5,IF(D37=3,W$5,IF(D37=4,X$5,IF(D37=5,Y$5,IF(D37=6,Z$5,IF(D37=7,AA$5,0)))))))</f>
        <v>2.1908757716049393E-4</v>
      </c>
      <c r="D37" s="890">
        <v>2</v>
      </c>
      <c r="E37" s="300">
        <v>3</v>
      </c>
      <c r="F37" s="300">
        <v>8</v>
      </c>
      <c r="G37" s="300">
        <v>25</v>
      </c>
      <c r="H37" s="301"/>
      <c r="I37" s="301">
        <v>5.7870370370370366E-5</v>
      </c>
      <c r="J37" s="301">
        <v>2.3148148148148146E-4</v>
      </c>
      <c r="K37" s="1123" t="s">
        <v>1352</v>
      </c>
      <c r="L37" s="2503">
        <v>0.30208333333333331</v>
      </c>
      <c r="M37" s="455">
        <v>1.25</v>
      </c>
      <c r="N37" s="301">
        <f>P37*E37*F37+I37*E37*F37+J37*E37</f>
        <v>8.6559606481481505E-3</v>
      </c>
      <c r="O37" s="302">
        <f t="shared" si="32"/>
        <v>2.1908757716049393E-4</v>
      </c>
      <c r="P37" s="302">
        <f>O37*M37</f>
        <v>2.7385947145061742E-4</v>
      </c>
      <c r="Q37" s="550">
        <v>147</v>
      </c>
      <c r="R37" s="369">
        <f>E37*F37*G37</f>
        <v>600</v>
      </c>
      <c r="S37" s="229">
        <f t="shared" si="6"/>
        <v>0.6</v>
      </c>
      <c r="T37" s="230">
        <f t="shared" si="7"/>
        <v>2.1032407407407416E-2</v>
      </c>
      <c r="U37" s="374">
        <f t="shared" si="8"/>
        <v>0</v>
      </c>
      <c r="V37" s="375">
        <f t="shared" si="9"/>
        <v>0.6</v>
      </c>
      <c r="W37" s="376">
        <f t="shared" si="10"/>
        <v>0</v>
      </c>
      <c r="X37" s="377">
        <f t="shared" si="11"/>
        <v>0</v>
      </c>
      <c r="Y37" s="378">
        <f t="shared" si="12"/>
        <v>0</v>
      </c>
      <c r="Z37" s="379">
        <f t="shared" si="13"/>
        <v>0</v>
      </c>
      <c r="AA37" s="380">
        <f t="shared" si="14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</row>
    <row r="38" spans="1:40" ht="12.75" customHeight="1">
      <c r="A38" s="851" t="s">
        <v>139</v>
      </c>
      <c r="B38" s="1124" t="s">
        <v>215</v>
      </c>
      <c r="C38" s="274">
        <f t="shared" ref="C38:C65" si="38">IF(D38=1,U$5,IF(D38=2,V$5,IF(D38=3,W$5,IF(D38=4,X$5,IF(D38=5,Y$5,IF(D38=6,Z$5,IF(D38=7,AA$5,0)))))))</f>
        <v>1.8933937422552669E-4</v>
      </c>
      <c r="D38" s="2505">
        <v>5</v>
      </c>
      <c r="E38" s="2506">
        <v>1</v>
      </c>
      <c r="F38" s="2506">
        <v>8</v>
      </c>
      <c r="G38" s="2506">
        <v>50</v>
      </c>
      <c r="H38" s="2264"/>
      <c r="I38" s="2264">
        <v>8.1018518518518516E-4</v>
      </c>
      <c r="J38" s="2264">
        <v>2.0833333333333333E-3</v>
      </c>
      <c r="K38" s="2507" t="s">
        <v>1353</v>
      </c>
      <c r="L38" s="2508">
        <f>L37+N37</f>
        <v>0.31073929398148148</v>
      </c>
      <c r="M38" s="2509">
        <v>1</v>
      </c>
      <c r="N38" s="2264">
        <f>P38*E38*F38+I38*E38*F38+J38*E38</f>
        <v>1.1594244802423241E-2</v>
      </c>
      <c r="O38" s="2265">
        <f>C38*(G38/25)</f>
        <v>3.7867874845105338E-4</v>
      </c>
      <c r="P38" s="2185">
        <f t="shared" ref="P38:P41" si="39">O38*M38</f>
        <v>3.7867874845105338E-4</v>
      </c>
      <c r="Q38" s="2510" t="s">
        <v>278</v>
      </c>
      <c r="R38" s="2511">
        <f t="shared" ref="R38:R41" si="40">E38*F38*G38</f>
        <v>400</v>
      </c>
      <c r="S38" s="229">
        <f t="shared" si="6"/>
        <v>0.4</v>
      </c>
      <c r="T38" s="230">
        <f t="shared" si="7"/>
        <v>1.2117719950433708E-2</v>
      </c>
      <c r="U38" s="374">
        <f t="shared" si="8"/>
        <v>0</v>
      </c>
      <c r="V38" s="375">
        <f t="shared" si="9"/>
        <v>0</v>
      </c>
      <c r="W38" s="376">
        <f t="shared" si="10"/>
        <v>0</v>
      </c>
      <c r="X38" s="377">
        <f t="shared" si="11"/>
        <v>0</v>
      </c>
      <c r="Y38" s="378">
        <f t="shared" si="12"/>
        <v>0.4</v>
      </c>
      <c r="Z38" s="379">
        <f t="shared" si="13"/>
        <v>0</v>
      </c>
      <c r="AA38" s="380">
        <f t="shared" si="14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</row>
    <row r="39" spans="1:40" ht="12.75" customHeight="1">
      <c r="A39" s="851" t="s">
        <v>458</v>
      </c>
      <c r="B39" s="1124" t="s">
        <v>215</v>
      </c>
      <c r="C39" s="274">
        <f t="shared" si="38"/>
        <v>1.8933937422552669E-4</v>
      </c>
      <c r="D39" s="2505">
        <v>5</v>
      </c>
      <c r="E39" s="2506">
        <v>1</v>
      </c>
      <c r="F39" s="2506">
        <v>3</v>
      </c>
      <c r="G39" s="2506">
        <v>30</v>
      </c>
      <c r="H39" s="2264"/>
      <c r="I39" s="2264">
        <v>8.1018518518518516E-4</v>
      </c>
      <c r="J39" s="2264">
        <v>2.0833333333333333E-3</v>
      </c>
      <c r="K39" s="2507" t="s">
        <v>1355</v>
      </c>
      <c r="L39" s="2508">
        <f t="shared" ref="L39:L40" si="41">L38+N38</f>
        <v>0.32233353878390469</v>
      </c>
      <c r="M39" s="2509">
        <v>2</v>
      </c>
      <c r="N39" s="2264">
        <f t="shared" ref="N39:N40" si="42">P39*E39*F39+I39*E39*F39+J39*E39</f>
        <v>5.8771323833126804E-3</v>
      </c>
      <c r="O39" s="2265">
        <f t="shared" ref="O39:O42" si="43">C39*(G39/25)</f>
        <v>2.2720724907063201E-4</v>
      </c>
      <c r="P39" s="2185">
        <f t="shared" si="39"/>
        <v>4.5441449814126401E-4</v>
      </c>
      <c r="Q39" s="2510" t="s">
        <v>278</v>
      </c>
      <c r="R39" s="2511">
        <f t="shared" si="40"/>
        <v>90</v>
      </c>
      <c r="S39" s="229">
        <f t="shared" si="6"/>
        <v>0.09</v>
      </c>
      <c r="T39" s="230">
        <f t="shared" si="7"/>
        <v>2.7264869888475839E-3</v>
      </c>
      <c r="U39" s="374">
        <f t="shared" si="8"/>
        <v>0</v>
      </c>
      <c r="V39" s="375">
        <f t="shared" si="9"/>
        <v>0</v>
      </c>
      <c r="W39" s="376">
        <f t="shared" si="10"/>
        <v>0</v>
      </c>
      <c r="X39" s="377">
        <f t="shared" si="11"/>
        <v>0</v>
      </c>
      <c r="Y39" s="378">
        <f t="shared" si="12"/>
        <v>0.09</v>
      </c>
      <c r="Z39" s="379">
        <f t="shared" si="13"/>
        <v>0</v>
      </c>
      <c r="AA39" s="380">
        <f t="shared" si="14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</row>
    <row r="40" spans="1:40" ht="12.75" customHeight="1">
      <c r="A40" s="851" t="s">
        <v>462</v>
      </c>
      <c r="B40" s="1124" t="s">
        <v>215</v>
      </c>
      <c r="C40" s="274">
        <f t="shared" si="38"/>
        <v>1.8933937422552669E-4</v>
      </c>
      <c r="D40" s="2505">
        <v>5</v>
      </c>
      <c r="E40" s="2506">
        <v>1</v>
      </c>
      <c r="F40" s="2506">
        <v>3</v>
      </c>
      <c r="G40" s="2506">
        <v>30</v>
      </c>
      <c r="H40" s="2264"/>
      <c r="I40" s="2264">
        <v>8.1018518518518516E-4</v>
      </c>
      <c r="J40" s="2264">
        <v>2.0833333333333333E-3</v>
      </c>
      <c r="K40" s="2507" t="s">
        <v>1354</v>
      </c>
      <c r="L40" s="2508">
        <f t="shared" si="41"/>
        <v>0.32821067116721736</v>
      </c>
      <c r="M40" s="2509">
        <v>3</v>
      </c>
      <c r="N40" s="2264">
        <f t="shared" si="42"/>
        <v>6.5587541305245772E-3</v>
      </c>
      <c r="O40" s="2265">
        <f t="shared" si="43"/>
        <v>2.2720724907063201E-4</v>
      </c>
      <c r="P40" s="2185">
        <f t="shared" si="39"/>
        <v>6.8162174721189597E-4</v>
      </c>
      <c r="Q40" s="2510" t="s">
        <v>278</v>
      </c>
      <c r="R40" s="2511">
        <f t="shared" si="40"/>
        <v>90</v>
      </c>
      <c r="S40" s="229">
        <f t="shared" si="6"/>
        <v>0.09</v>
      </c>
      <c r="T40" s="230">
        <f t="shared" si="7"/>
        <v>2.7264869888475839E-3</v>
      </c>
      <c r="U40" s="374">
        <f t="shared" si="8"/>
        <v>0</v>
      </c>
      <c r="V40" s="375">
        <f t="shared" si="9"/>
        <v>0</v>
      </c>
      <c r="W40" s="376">
        <f t="shared" si="10"/>
        <v>0</v>
      </c>
      <c r="X40" s="377">
        <f t="shared" si="11"/>
        <v>0</v>
      </c>
      <c r="Y40" s="378">
        <f t="shared" si="12"/>
        <v>0.09</v>
      </c>
      <c r="Z40" s="379">
        <f t="shared" si="13"/>
        <v>0</v>
      </c>
      <c r="AA40" s="380">
        <f t="shared" si="14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</row>
    <row r="41" spans="1:40" ht="12.75" customHeight="1">
      <c r="A41" s="851" t="s">
        <v>140</v>
      </c>
      <c r="B41" s="1124" t="s">
        <v>215</v>
      </c>
      <c r="C41" s="2256">
        <f t="shared" si="38"/>
        <v>2.0247664488766629E-4</v>
      </c>
      <c r="D41" s="2031">
        <v>4</v>
      </c>
      <c r="E41" s="1934">
        <v>2</v>
      </c>
      <c r="F41" s="1934">
        <v>12</v>
      </c>
      <c r="G41" s="1934">
        <v>50</v>
      </c>
      <c r="H41" s="3040" t="s">
        <v>1357</v>
      </c>
      <c r="I41" s="3040">
        <v>4.6296296296296293E-4</v>
      </c>
      <c r="J41" s="3040">
        <v>1.3888888888888889E-3</v>
      </c>
      <c r="K41" s="1994" t="s">
        <v>1356</v>
      </c>
      <c r="L41" s="2178">
        <f>L37+N37</f>
        <v>0.31073929398148148</v>
      </c>
      <c r="M41" s="2428">
        <v>1.1000000000000001</v>
      </c>
      <c r="N41" s="3040">
        <f>P41*E41*F41+I41*E41*F41+J41*E41</f>
        <v>2.4579655738957668E-2</v>
      </c>
      <c r="O41" s="2429">
        <f t="shared" si="43"/>
        <v>4.0495328977533258E-4</v>
      </c>
      <c r="P41" s="2429">
        <f t="shared" si="39"/>
        <v>4.4544861875286587E-4</v>
      </c>
      <c r="Q41" s="2032">
        <v>164</v>
      </c>
      <c r="R41" s="3364">
        <f t="shared" si="40"/>
        <v>1200</v>
      </c>
      <c r="S41" s="229">
        <f t="shared" si="6"/>
        <v>1.2</v>
      </c>
      <c r="T41" s="230">
        <f t="shared" si="7"/>
        <v>3.8875515818431926E-2</v>
      </c>
      <c r="U41" s="374">
        <f t="shared" si="8"/>
        <v>0</v>
      </c>
      <c r="V41" s="375">
        <f t="shared" si="9"/>
        <v>0</v>
      </c>
      <c r="W41" s="376">
        <f t="shared" si="10"/>
        <v>0</v>
      </c>
      <c r="X41" s="377">
        <f t="shared" si="11"/>
        <v>1.2</v>
      </c>
      <c r="Y41" s="378">
        <f t="shared" si="12"/>
        <v>0</v>
      </c>
      <c r="Z41" s="379">
        <f t="shared" si="13"/>
        <v>0</v>
      </c>
      <c r="AA41" s="380">
        <f t="shared" si="14"/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</row>
    <row r="42" spans="1:40" ht="12.75" customHeight="1">
      <c r="A42" s="851" t="s">
        <v>674</v>
      </c>
      <c r="B42" s="1124" t="s">
        <v>215</v>
      </c>
      <c r="C42" s="274">
        <f>IF(D42=1,U$5,IF(D42=2,V$5,IF(D42=3,W$5,IF(D42=4,X$5,IF(D42=5,Y$5,IF(D42=6,Z$5,IF(D42=7,AA$5,0)))))))</f>
        <v>2.2880964381720439E-4</v>
      </c>
      <c r="D42" s="890">
        <v>1</v>
      </c>
      <c r="E42" s="300">
        <v>1</v>
      </c>
      <c r="F42" s="300">
        <v>1</v>
      </c>
      <c r="G42" s="300">
        <v>200</v>
      </c>
      <c r="H42" s="301"/>
      <c r="I42" s="301">
        <v>5.2083333333333333E-4</v>
      </c>
      <c r="J42" s="301">
        <v>1.3888888888888889E-3</v>
      </c>
      <c r="K42" s="1123" t="s">
        <v>424</v>
      </c>
      <c r="L42" s="994">
        <f>L41+N41</f>
        <v>0.33531894972043913</v>
      </c>
      <c r="M42" s="455">
        <v>1</v>
      </c>
      <c r="N42" s="301">
        <f>P42*E42*F42+I42*E42*F42+J42*E42</f>
        <v>3.7401993727598573E-3</v>
      </c>
      <c r="O42" s="302">
        <f t="shared" si="43"/>
        <v>1.8304771505376352E-3</v>
      </c>
      <c r="P42" s="302">
        <f>O42*M42</f>
        <v>1.8304771505376352E-3</v>
      </c>
      <c r="Q42" s="550">
        <v>196</v>
      </c>
      <c r="R42" s="369">
        <f>E42*F42*G42</f>
        <v>200</v>
      </c>
      <c r="S42" s="229">
        <f t="shared" si="6"/>
        <v>0.2</v>
      </c>
      <c r="T42" s="230">
        <f t="shared" si="7"/>
        <v>7.3219086021505406E-3</v>
      </c>
      <c r="U42" s="374">
        <f t="shared" si="8"/>
        <v>0.2</v>
      </c>
      <c r="V42" s="375">
        <f t="shared" si="9"/>
        <v>0</v>
      </c>
      <c r="W42" s="376">
        <f t="shared" si="10"/>
        <v>0</v>
      </c>
      <c r="X42" s="377">
        <f t="shared" si="11"/>
        <v>0</v>
      </c>
      <c r="Y42" s="378">
        <f t="shared" si="12"/>
        <v>0</v>
      </c>
      <c r="Z42" s="379">
        <f t="shared" si="13"/>
        <v>0</v>
      </c>
      <c r="AA42" s="380">
        <f t="shared" si="14"/>
        <v>0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</row>
    <row r="43" spans="1:40" ht="12.75" customHeight="1">
      <c r="A43" s="851" t="s">
        <v>214</v>
      </c>
      <c r="B43" s="1124" t="s">
        <v>215</v>
      </c>
      <c r="C43" s="274">
        <f t="shared" ref="C43" si="44">IF(D43=1,U$5,IF(D43=2,V$5,IF(D43=3,W$5,IF(D43=4,X$5,IF(D43=5,Y$5,IF(D43=6,Z$5,IF(D43=7,AA$5,0)))))))</f>
        <v>1.7682291666666674E-4</v>
      </c>
      <c r="D43" s="1054">
        <v>7</v>
      </c>
      <c r="E43" s="1043">
        <v>1</v>
      </c>
      <c r="F43" s="1043">
        <v>8</v>
      </c>
      <c r="G43" s="1043">
        <v>25</v>
      </c>
      <c r="H43" s="1044"/>
      <c r="I43" s="1044">
        <v>3.4722222222222224E-4</v>
      </c>
      <c r="J43" s="1044">
        <v>0</v>
      </c>
      <c r="K43" s="1323" t="s">
        <v>1358</v>
      </c>
      <c r="L43" s="1007">
        <f>L42+N42</f>
        <v>0.33905914909319901</v>
      </c>
      <c r="M43" s="1063">
        <v>1</v>
      </c>
      <c r="N43" s="1044">
        <f>P43*E43*F43+I43*E43*F43+J43*E43</f>
        <v>4.192361111111112E-3</v>
      </c>
      <c r="O43" s="439">
        <f>C43*(G43/25)</f>
        <v>1.7682291666666674E-4</v>
      </c>
      <c r="P43" s="587">
        <f>O43*M43</f>
        <v>1.7682291666666674E-4</v>
      </c>
      <c r="Q43" s="446" t="s">
        <v>316</v>
      </c>
      <c r="R43" s="1045">
        <f>E43*F43*G43</f>
        <v>200</v>
      </c>
      <c r="S43" s="229">
        <f t="shared" si="6"/>
        <v>0.2</v>
      </c>
      <c r="T43" s="230">
        <f t="shared" si="7"/>
        <v>5.6583333333333355E-3</v>
      </c>
      <c r="U43" s="374">
        <f t="shared" si="8"/>
        <v>0</v>
      </c>
      <c r="V43" s="375">
        <f t="shared" si="9"/>
        <v>0</v>
      </c>
      <c r="W43" s="376">
        <f t="shared" si="10"/>
        <v>0</v>
      </c>
      <c r="X43" s="377">
        <f t="shared" si="11"/>
        <v>0</v>
      </c>
      <c r="Y43" s="378">
        <f t="shared" si="12"/>
        <v>0</v>
      </c>
      <c r="Z43" s="379">
        <f t="shared" si="13"/>
        <v>0</v>
      </c>
      <c r="AA43" s="380">
        <f t="shared" si="14"/>
        <v>0.2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</row>
    <row r="44" spans="1:40" ht="12.75" customHeight="1">
      <c r="A44" s="204"/>
      <c r="B44" s="1124"/>
      <c r="C44" s="274">
        <f t="shared" si="38"/>
        <v>0</v>
      </c>
      <c r="D44" s="1357"/>
      <c r="E44" s="809"/>
      <c r="F44" s="809"/>
      <c r="G44" s="809"/>
      <c r="H44" s="2552" t="s">
        <v>2423</v>
      </c>
      <c r="I44" s="2552"/>
      <c r="J44" s="2552"/>
      <c r="K44" s="2553"/>
      <c r="L44" s="1003">
        <f>L43+N43</f>
        <v>0.34325151020431011</v>
      </c>
      <c r="M44" s="2554"/>
      <c r="N44" s="1439">
        <f>SUM(N37:N43)</f>
        <v>6.5198308187237292E-2</v>
      </c>
      <c r="O44" s="2555"/>
      <c r="P44" s="204"/>
      <c r="Q44" s="1358"/>
      <c r="R44" s="1440">
        <f>SUM(R37:R43)</f>
        <v>2780</v>
      </c>
      <c r="S44" s="229">
        <f t="shared" si="6"/>
        <v>0</v>
      </c>
      <c r="T44" s="230">
        <f t="shared" si="7"/>
        <v>0</v>
      </c>
      <c r="U44" s="374">
        <f t="shared" si="8"/>
        <v>0</v>
      </c>
      <c r="V44" s="375">
        <f t="shared" si="9"/>
        <v>0</v>
      </c>
      <c r="W44" s="376">
        <f t="shared" si="10"/>
        <v>0</v>
      </c>
      <c r="X44" s="377">
        <f t="shared" si="11"/>
        <v>0</v>
      </c>
      <c r="Y44" s="378">
        <f t="shared" si="12"/>
        <v>0</v>
      </c>
      <c r="Z44" s="379">
        <f t="shared" si="13"/>
        <v>0</v>
      </c>
      <c r="AA44" s="380">
        <f t="shared" si="14"/>
        <v>0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</row>
    <row r="45" spans="1:40" ht="12.75" customHeight="1">
      <c r="A45" s="398"/>
      <c r="B45" s="398" t="s">
        <v>215</v>
      </c>
      <c r="C45" s="274">
        <f t="shared" si="38"/>
        <v>2.2880964381720439E-4</v>
      </c>
      <c r="D45" s="1263">
        <v>1</v>
      </c>
      <c r="E45" s="1295">
        <v>1</v>
      </c>
      <c r="F45" s="1239">
        <v>1</v>
      </c>
      <c r="G45" s="1239">
        <v>400</v>
      </c>
      <c r="H45" s="1162"/>
      <c r="I45" s="1162">
        <v>0</v>
      </c>
      <c r="J45" s="1162">
        <v>0</v>
      </c>
      <c r="K45" s="1240" t="s">
        <v>703</v>
      </c>
      <c r="L45" s="1235">
        <v>0.2951388888888889</v>
      </c>
      <c r="M45" s="1241">
        <v>0.9</v>
      </c>
      <c r="N45" s="1162">
        <f t="shared" ref="N45:N47" si="45">P45*E45*F45+I45*E45*F45+J45*E45</f>
        <v>3.2948588709677431E-3</v>
      </c>
      <c r="O45" s="1196">
        <f>C45*(G45/25)</f>
        <v>3.6609543010752703E-3</v>
      </c>
      <c r="P45" s="1242">
        <f t="shared" ref="P45:P50" si="46">O45*M45</f>
        <v>3.2948588709677431E-3</v>
      </c>
      <c r="Q45" s="985">
        <v>129</v>
      </c>
      <c r="R45" s="1243">
        <f t="shared" ref="R45" si="47">E45*F45*G45</f>
        <v>400</v>
      </c>
      <c r="S45" s="229">
        <f t="shared" si="6"/>
        <v>0.4</v>
      </c>
      <c r="T45" s="230">
        <f t="shared" si="7"/>
        <v>1.4643817204301081E-2</v>
      </c>
      <c r="U45" s="374">
        <f t="shared" si="8"/>
        <v>0.4</v>
      </c>
      <c r="V45" s="375">
        <f t="shared" si="9"/>
        <v>0</v>
      </c>
      <c r="W45" s="376">
        <f t="shared" si="10"/>
        <v>0</v>
      </c>
      <c r="X45" s="377">
        <f t="shared" si="11"/>
        <v>0</v>
      </c>
      <c r="Y45" s="378">
        <f t="shared" si="12"/>
        <v>0</v>
      </c>
      <c r="Z45" s="379">
        <f t="shared" si="13"/>
        <v>0</v>
      </c>
      <c r="AA45" s="380">
        <f t="shared" si="14"/>
        <v>0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</row>
    <row r="46" spans="1:40" ht="12.75" customHeight="1">
      <c r="A46" s="398" t="s">
        <v>217</v>
      </c>
      <c r="B46" s="398" t="s">
        <v>215</v>
      </c>
      <c r="C46" s="274">
        <f t="shared" si="38"/>
        <v>2.1222190799396687E-4</v>
      </c>
      <c r="D46" s="1236">
        <v>3</v>
      </c>
      <c r="E46" s="1161">
        <v>3</v>
      </c>
      <c r="F46" s="1161">
        <v>1</v>
      </c>
      <c r="G46" s="1161">
        <v>200</v>
      </c>
      <c r="H46" s="1161"/>
      <c r="I46" s="1163">
        <v>0</v>
      </c>
      <c r="J46" s="1163">
        <v>6.9444444444444447E-4</v>
      </c>
      <c r="K46" s="1163" t="s">
        <v>882</v>
      </c>
      <c r="L46" s="1148">
        <f>L45+N45</f>
        <v>0.29843374775985665</v>
      </c>
      <c r="M46" s="1164">
        <v>1.05</v>
      </c>
      <c r="N46" s="1165">
        <f t="shared" si="45"/>
        <v>7.4313254147812986E-3</v>
      </c>
      <c r="O46" s="1163">
        <f>C46*(G46/25)</f>
        <v>1.6977752639517349E-3</v>
      </c>
      <c r="P46" s="1165">
        <f t="shared" si="46"/>
        <v>1.7826640271493218E-3</v>
      </c>
      <c r="Q46" s="333">
        <v>164</v>
      </c>
      <c r="R46" s="1161">
        <f>E46*F46*G46</f>
        <v>600</v>
      </c>
      <c r="S46" s="229">
        <f t="shared" si="6"/>
        <v>0.6</v>
      </c>
      <c r="T46" s="230">
        <f t="shared" si="7"/>
        <v>2.0373303167420819E-2</v>
      </c>
      <c r="U46" s="374">
        <f t="shared" si="8"/>
        <v>0</v>
      </c>
      <c r="V46" s="375">
        <f t="shared" si="9"/>
        <v>0</v>
      </c>
      <c r="W46" s="376">
        <f t="shared" si="10"/>
        <v>0.6</v>
      </c>
      <c r="X46" s="377">
        <f t="shared" si="11"/>
        <v>0</v>
      </c>
      <c r="Y46" s="378">
        <f t="shared" si="12"/>
        <v>0</v>
      </c>
      <c r="Z46" s="379">
        <f t="shared" si="13"/>
        <v>0</v>
      </c>
      <c r="AA46" s="380">
        <f t="shared" si="14"/>
        <v>0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</row>
    <row r="47" spans="1:40" ht="12.75" customHeight="1">
      <c r="A47" s="398" t="s">
        <v>459</v>
      </c>
      <c r="B47" s="398" t="s">
        <v>215</v>
      </c>
      <c r="C47" s="274">
        <f t="shared" si="38"/>
        <v>2.0247664488766629E-4</v>
      </c>
      <c r="D47" s="2031">
        <v>4</v>
      </c>
      <c r="E47" s="1934">
        <v>1</v>
      </c>
      <c r="F47" s="1934">
        <v>3</v>
      </c>
      <c r="G47" s="1934">
        <v>80</v>
      </c>
      <c r="H47" s="3040">
        <f>P47*1.2</f>
        <v>8.0861072902338417E-4</v>
      </c>
      <c r="I47" s="3040">
        <v>2.3148148148148146E-4</v>
      </c>
      <c r="J47" s="3040">
        <v>1.3888888888888889E-3</v>
      </c>
      <c r="K47" s="1994" t="s">
        <v>2424</v>
      </c>
      <c r="L47" s="2178">
        <f t="shared" ref="L47:L53" si="48">L46+N46</f>
        <v>0.30586507317463796</v>
      </c>
      <c r="M47" s="2428">
        <v>1</v>
      </c>
      <c r="N47" s="3040">
        <f t="shared" si="45"/>
        <v>4.1048601558917944E-3</v>
      </c>
      <c r="O47" s="2429">
        <f>C47*(G47/25)*1.04</f>
        <v>6.7384227418615351E-4</v>
      </c>
      <c r="P47" s="2429">
        <f t="shared" si="46"/>
        <v>6.7384227418615351E-4</v>
      </c>
      <c r="Q47" s="2032">
        <v>177</v>
      </c>
      <c r="R47" s="3364">
        <f t="shared" ref="R47:R52" si="49">E47*F47*G47</f>
        <v>240</v>
      </c>
      <c r="S47" s="229">
        <f t="shared" si="6"/>
        <v>0.24</v>
      </c>
      <c r="T47" s="230">
        <f t="shared" si="7"/>
        <v>8.0861072902338425E-3</v>
      </c>
      <c r="U47" s="374">
        <f t="shared" si="8"/>
        <v>0</v>
      </c>
      <c r="V47" s="375">
        <f t="shared" si="9"/>
        <v>0</v>
      </c>
      <c r="W47" s="376">
        <f t="shared" si="10"/>
        <v>0</v>
      </c>
      <c r="X47" s="377">
        <f t="shared" si="11"/>
        <v>0.24</v>
      </c>
      <c r="Y47" s="378">
        <f t="shared" si="12"/>
        <v>0</v>
      </c>
      <c r="Z47" s="379">
        <f t="shared" si="13"/>
        <v>0</v>
      </c>
      <c r="AA47" s="380">
        <f t="shared" si="14"/>
        <v>0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</row>
    <row r="48" spans="1:40" ht="12.75" customHeight="1">
      <c r="A48" s="398" t="s">
        <v>458</v>
      </c>
      <c r="B48" s="398" t="s">
        <v>215</v>
      </c>
      <c r="C48" s="274">
        <f t="shared" si="38"/>
        <v>1.8933937422552669E-4</v>
      </c>
      <c r="D48" s="2505">
        <v>5</v>
      </c>
      <c r="E48" s="2506">
        <v>1</v>
      </c>
      <c r="F48" s="2506">
        <v>5</v>
      </c>
      <c r="G48" s="2506">
        <v>80</v>
      </c>
      <c r="H48" s="2264">
        <f>P48*1.2</f>
        <v>7.8522825278810437E-4</v>
      </c>
      <c r="I48" s="2264">
        <v>5.7870370370370366E-5</v>
      </c>
      <c r="J48" s="2264">
        <v>3.2407407407407406E-3</v>
      </c>
      <c r="K48" s="2507" t="s">
        <v>2427</v>
      </c>
      <c r="L48" s="2508">
        <f t="shared" si="48"/>
        <v>0.30996993333052975</v>
      </c>
      <c r="M48" s="2509">
        <v>1</v>
      </c>
      <c r="N48" s="2264">
        <f>P48*E48*F48+I48*E48*F48+J48*E48</f>
        <v>6.8018769792096943E-3</v>
      </c>
      <c r="O48" s="2265">
        <f>C48*(G48/25)</f>
        <v>6.058859975216855E-4</v>
      </c>
      <c r="P48" s="2185">
        <f>((3*O48*M48)+2*1.2*(M48*O48))/5</f>
        <v>6.5435687732342033E-4</v>
      </c>
      <c r="Q48" s="2510" t="s">
        <v>278</v>
      </c>
      <c r="R48" s="2511">
        <f t="shared" si="49"/>
        <v>400</v>
      </c>
      <c r="S48" s="229">
        <f t="shared" si="6"/>
        <v>0.4</v>
      </c>
      <c r="T48" s="230">
        <f t="shared" si="7"/>
        <v>1.211771995043371E-2</v>
      </c>
      <c r="U48" s="374">
        <f t="shared" si="8"/>
        <v>0</v>
      </c>
      <c r="V48" s="375">
        <f t="shared" si="9"/>
        <v>0</v>
      </c>
      <c r="W48" s="376">
        <f t="shared" si="10"/>
        <v>0</v>
      </c>
      <c r="X48" s="377">
        <f t="shared" si="11"/>
        <v>0</v>
      </c>
      <c r="Y48" s="378">
        <f t="shared" si="12"/>
        <v>0.4</v>
      </c>
      <c r="Z48" s="379">
        <f t="shared" si="13"/>
        <v>0</v>
      </c>
      <c r="AA48" s="380">
        <f t="shared" si="14"/>
        <v>0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</row>
    <row r="49" spans="1:39" ht="12.75" customHeight="1">
      <c r="A49" s="398" t="s">
        <v>218</v>
      </c>
      <c r="B49" s="398" t="s">
        <v>215</v>
      </c>
      <c r="C49" s="274">
        <f t="shared" si="38"/>
        <v>1.8933937422552669E-4</v>
      </c>
      <c r="D49" s="2505">
        <v>5</v>
      </c>
      <c r="E49" s="2506">
        <v>1</v>
      </c>
      <c r="F49" s="2506">
        <v>4</v>
      </c>
      <c r="G49" s="2506">
        <v>80</v>
      </c>
      <c r="H49" s="2264">
        <f t="shared" ref="H49:H52" si="50">P49*1.2</f>
        <v>7.9976951672862493E-4</v>
      </c>
      <c r="I49" s="2264">
        <v>5.7870370370370366E-5</v>
      </c>
      <c r="J49" s="2264">
        <v>3.9351851851851857E-3</v>
      </c>
      <c r="K49" s="2507" t="s">
        <v>2426</v>
      </c>
      <c r="L49" s="2508">
        <f t="shared" si="48"/>
        <v>0.31677181030973944</v>
      </c>
      <c r="M49" s="2509">
        <v>1</v>
      </c>
      <c r="N49" s="2264">
        <f t="shared" ref="N49:N52" si="51">P49*E49*F49+I49*E49*F49+J49*E49</f>
        <v>6.832565055762083E-3</v>
      </c>
      <c r="O49" s="2265">
        <f t="shared" ref="O49:O52" si="52">C49*(G49/25)</f>
        <v>6.058859975216855E-4</v>
      </c>
      <c r="P49" s="2185">
        <f>((2*O49*M49)+2*1.2*(M49*O49))/4</f>
        <v>6.6647459727385409E-4</v>
      </c>
      <c r="Q49" s="2510" t="s">
        <v>278</v>
      </c>
      <c r="R49" s="2511">
        <f t="shared" si="49"/>
        <v>320</v>
      </c>
      <c r="S49" s="229">
        <f t="shared" si="6"/>
        <v>0.32</v>
      </c>
      <c r="T49" s="230">
        <f t="shared" si="7"/>
        <v>9.6941759603469679E-3</v>
      </c>
      <c r="U49" s="374">
        <f t="shared" si="8"/>
        <v>0</v>
      </c>
      <c r="V49" s="375">
        <f t="shared" si="9"/>
        <v>0</v>
      </c>
      <c r="W49" s="376">
        <f t="shared" si="10"/>
        <v>0</v>
      </c>
      <c r="X49" s="377">
        <f t="shared" si="11"/>
        <v>0</v>
      </c>
      <c r="Y49" s="378">
        <f t="shared" si="12"/>
        <v>0.32</v>
      </c>
      <c r="Z49" s="379">
        <f t="shared" si="13"/>
        <v>0</v>
      </c>
      <c r="AA49" s="380">
        <f t="shared" si="14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</row>
    <row r="50" spans="1:39" ht="12.75" customHeight="1">
      <c r="A50" s="398" t="s">
        <v>458</v>
      </c>
      <c r="B50" s="398" t="s">
        <v>215</v>
      </c>
      <c r="C50" s="274">
        <f t="shared" si="38"/>
        <v>1.8933937422552669E-4</v>
      </c>
      <c r="D50" s="2505">
        <v>5</v>
      </c>
      <c r="E50" s="2506">
        <v>1</v>
      </c>
      <c r="F50" s="2506">
        <v>1</v>
      </c>
      <c r="G50" s="2506">
        <v>80</v>
      </c>
      <c r="H50" s="2264">
        <f t="shared" si="50"/>
        <v>7.2706319702602257E-4</v>
      </c>
      <c r="I50" s="2264">
        <v>5.7870370370370366E-5</v>
      </c>
      <c r="J50" s="2264">
        <v>5.5555555555555558E-3</v>
      </c>
      <c r="K50" s="2507" t="s">
        <v>2425</v>
      </c>
      <c r="L50" s="2508">
        <f t="shared" si="48"/>
        <v>0.32360437536550152</v>
      </c>
      <c r="M50" s="2509">
        <v>1</v>
      </c>
      <c r="N50" s="2264">
        <f t="shared" si="51"/>
        <v>6.2193119234476117E-3</v>
      </c>
      <c r="O50" s="2265">
        <f t="shared" si="52"/>
        <v>6.058859975216855E-4</v>
      </c>
      <c r="P50" s="2185">
        <f t="shared" si="46"/>
        <v>6.058859975216855E-4</v>
      </c>
      <c r="Q50" s="2510" t="s">
        <v>278</v>
      </c>
      <c r="R50" s="2511">
        <f t="shared" si="49"/>
        <v>80</v>
      </c>
      <c r="S50" s="229">
        <f t="shared" si="6"/>
        <v>0.08</v>
      </c>
      <c r="T50" s="230">
        <f t="shared" si="7"/>
        <v>2.423543990086742E-3</v>
      </c>
      <c r="U50" s="374">
        <f t="shared" si="8"/>
        <v>0</v>
      </c>
      <c r="V50" s="375">
        <f t="shared" si="9"/>
        <v>0</v>
      </c>
      <c r="W50" s="376">
        <f t="shared" si="10"/>
        <v>0</v>
      </c>
      <c r="X50" s="377">
        <f t="shared" si="11"/>
        <v>0</v>
      </c>
      <c r="Y50" s="378">
        <f t="shared" si="12"/>
        <v>0.08</v>
      </c>
      <c r="Z50" s="379">
        <f t="shared" si="13"/>
        <v>0</v>
      </c>
      <c r="AA50" s="380">
        <f t="shared" si="14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</row>
    <row r="51" spans="1:39" ht="12.75" customHeight="1">
      <c r="A51" s="398" t="s">
        <v>219</v>
      </c>
      <c r="B51" s="398" t="s">
        <v>215</v>
      </c>
      <c r="C51" s="274">
        <f t="shared" si="38"/>
        <v>1.8933937422552669E-4</v>
      </c>
      <c r="D51" s="2505">
        <v>5</v>
      </c>
      <c r="E51" s="2506">
        <v>1</v>
      </c>
      <c r="F51" s="2506">
        <v>1</v>
      </c>
      <c r="G51" s="2506">
        <v>70</v>
      </c>
      <c r="H51" s="2264">
        <f t="shared" si="50"/>
        <v>4.8985882899628267E-4</v>
      </c>
      <c r="I51" s="2264">
        <v>5.7870370370370366E-5</v>
      </c>
      <c r="J51" s="2264">
        <v>5.5555555555555558E-3</v>
      </c>
      <c r="K51" s="2507" t="s">
        <v>2428</v>
      </c>
      <c r="L51" s="2508">
        <f t="shared" si="48"/>
        <v>0.32982368728894912</v>
      </c>
      <c r="M51" s="2509">
        <v>1</v>
      </c>
      <c r="N51" s="2264">
        <f t="shared" si="51"/>
        <v>6.0216416167561612E-3</v>
      </c>
      <c r="O51" s="2265">
        <f t="shared" si="52"/>
        <v>5.301502478314747E-4</v>
      </c>
      <c r="P51" s="2185">
        <f>((0.35*O51*M51)+0.35*1.2*(M51*O51))/1</f>
        <v>4.0821569083023554E-4</v>
      </c>
      <c r="Q51" s="2510" t="s">
        <v>278</v>
      </c>
      <c r="R51" s="2511">
        <f t="shared" si="49"/>
        <v>70</v>
      </c>
      <c r="S51" s="229">
        <f t="shared" si="6"/>
        <v>7.0000000000000007E-2</v>
      </c>
      <c r="T51" s="230">
        <f t="shared" si="7"/>
        <v>2.1206009913258988E-3</v>
      </c>
      <c r="U51" s="374">
        <f t="shared" si="8"/>
        <v>0</v>
      </c>
      <c r="V51" s="375">
        <f t="shared" si="9"/>
        <v>0</v>
      </c>
      <c r="W51" s="376">
        <f t="shared" si="10"/>
        <v>0</v>
      </c>
      <c r="X51" s="377">
        <f t="shared" si="11"/>
        <v>0</v>
      </c>
      <c r="Y51" s="378">
        <f t="shared" si="12"/>
        <v>7.0000000000000007E-2</v>
      </c>
      <c r="Z51" s="379">
        <f t="shared" si="13"/>
        <v>0</v>
      </c>
      <c r="AA51" s="380">
        <f t="shared" si="14"/>
        <v>0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</row>
    <row r="52" spans="1:39" ht="12.75" customHeight="1">
      <c r="A52" s="398"/>
      <c r="B52" s="398" t="s">
        <v>215</v>
      </c>
      <c r="C52" s="274">
        <f t="shared" si="38"/>
        <v>1.8933937422552669E-4</v>
      </c>
      <c r="D52" s="2505">
        <v>5</v>
      </c>
      <c r="E52" s="2506">
        <v>1</v>
      </c>
      <c r="F52" s="2506">
        <v>1</v>
      </c>
      <c r="G52" s="2506">
        <v>80</v>
      </c>
      <c r="H52" s="2264">
        <f t="shared" si="50"/>
        <v>7.2706319702602257E-4</v>
      </c>
      <c r="I52" s="2264">
        <v>5.7870370370370366E-5</v>
      </c>
      <c r="J52" s="2264">
        <v>5.5555555555555558E-3</v>
      </c>
      <c r="K52" s="2507" t="s">
        <v>2429</v>
      </c>
      <c r="L52" s="2508">
        <f t="shared" si="48"/>
        <v>0.33584532890570529</v>
      </c>
      <c r="M52" s="2509">
        <v>1</v>
      </c>
      <c r="N52" s="2264">
        <f t="shared" si="51"/>
        <v>6.2193119234476117E-3</v>
      </c>
      <c r="O52" s="2265">
        <f t="shared" si="52"/>
        <v>6.058859975216855E-4</v>
      </c>
      <c r="P52" s="2185">
        <f>(O52*M52)</f>
        <v>6.058859975216855E-4</v>
      </c>
      <c r="Q52" s="2510" t="s">
        <v>278</v>
      </c>
      <c r="R52" s="2511">
        <f t="shared" si="49"/>
        <v>80</v>
      </c>
      <c r="S52" s="229">
        <f t="shared" si="6"/>
        <v>0.08</v>
      </c>
      <c r="T52" s="230">
        <f t="shared" si="7"/>
        <v>2.423543990086742E-3</v>
      </c>
      <c r="U52" s="374">
        <f t="shared" si="8"/>
        <v>0</v>
      </c>
      <c r="V52" s="375">
        <f t="shared" si="9"/>
        <v>0</v>
      </c>
      <c r="W52" s="376">
        <f t="shared" si="10"/>
        <v>0</v>
      </c>
      <c r="X52" s="377">
        <f t="shared" si="11"/>
        <v>0</v>
      </c>
      <c r="Y52" s="378">
        <f t="shared" si="12"/>
        <v>0.08</v>
      </c>
      <c r="Z52" s="379">
        <f t="shared" si="13"/>
        <v>0</v>
      </c>
      <c r="AA52" s="380">
        <f t="shared" si="14"/>
        <v>0</v>
      </c>
      <c r="AC52" s="231"/>
      <c r="AD52" s="231"/>
      <c r="AE52" s="231"/>
      <c r="AF52" s="231"/>
      <c r="AG52" s="231"/>
      <c r="AH52" s="231"/>
      <c r="AI52" s="213"/>
      <c r="AJ52" s="213"/>
      <c r="AK52" s="213"/>
      <c r="AL52" s="213"/>
      <c r="AM52" s="213"/>
    </row>
    <row r="53" spans="1:39" ht="12.75" customHeight="1">
      <c r="A53" s="398"/>
      <c r="B53" s="398"/>
      <c r="C53" s="274">
        <f t="shared" si="38"/>
        <v>0</v>
      </c>
      <c r="D53" s="1357"/>
      <c r="E53" s="809"/>
      <c r="F53" s="809"/>
      <c r="G53" s="809"/>
      <c r="H53" s="2552"/>
      <c r="I53" s="2552"/>
      <c r="J53" s="2552"/>
      <c r="K53" s="2553"/>
      <c r="L53" s="1003">
        <f t="shared" si="48"/>
        <v>0.34206464082915289</v>
      </c>
      <c r="M53" s="2554"/>
      <c r="N53" s="1439">
        <f>SUM(N45:N52)</f>
        <v>4.6925751940263993E-2</v>
      </c>
      <c r="O53" s="2555"/>
      <c r="P53" s="204"/>
      <c r="Q53" s="1358"/>
      <c r="R53" s="1440">
        <f>SUM(R45:R52)</f>
        <v>2190</v>
      </c>
      <c r="S53" s="229">
        <f t="shared" si="6"/>
        <v>0</v>
      </c>
      <c r="T53" s="230">
        <f t="shared" si="7"/>
        <v>0</v>
      </c>
      <c r="U53" s="374">
        <f t="shared" si="8"/>
        <v>0</v>
      </c>
      <c r="V53" s="375">
        <f t="shared" si="9"/>
        <v>0</v>
      </c>
      <c r="W53" s="376">
        <f t="shared" si="10"/>
        <v>0</v>
      </c>
      <c r="X53" s="377">
        <f t="shared" si="11"/>
        <v>0</v>
      </c>
      <c r="Y53" s="378">
        <f t="shared" si="12"/>
        <v>0</v>
      </c>
      <c r="Z53" s="379">
        <f t="shared" si="13"/>
        <v>0</v>
      </c>
      <c r="AA53" s="380">
        <f t="shared" si="14"/>
        <v>0</v>
      </c>
      <c r="AC53" s="231"/>
      <c r="AD53" s="231"/>
      <c r="AE53" s="231"/>
      <c r="AF53" s="231"/>
      <c r="AG53" s="231"/>
      <c r="AH53" s="231"/>
      <c r="AI53" s="213"/>
      <c r="AJ53" s="213"/>
      <c r="AK53" s="213"/>
      <c r="AL53" s="213"/>
      <c r="AM53" s="213"/>
    </row>
    <row r="54" spans="1:39" ht="12.75" customHeight="1">
      <c r="A54" s="398" t="s">
        <v>217</v>
      </c>
      <c r="B54" s="398" t="s">
        <v>461</v>
      </c>
      <c r="C54" s="274">
        <f t="shared" si="38"/>
        <v>2.2880964381720439E-4</v>
      </c>
      <c r="D54" s="547">
        <v>1</v>
      </c>
      <c r="E54" s="1194">
        <v>1</v>
      </c>
      <c r="F54" s="1194">
        <v>1</v>
      </c>
      <c r="G54" s="1194">
        <v>500</v>
      </c>
      <c r="H54" s="274"/>
      <c r="I54" s="274">
        <v>0</v>
      </c>
      <c r="J54" s="274">
        <v>0</v>
      </c>
      <c r="K54" s="277" t="s">
        <v>269</v>
      </c>
      <c r="L54" s="993">
        <v>0.80208333333333337</v>
      </c>
      <c r="M54" s="1195">
        <v>1</v>
      </c>
      <c r="N54" s="274">
        <f t="shared" ref="N54:N55" si="53">P54*E54*F54+I54*E54*F54+J54*E54</f>
        <v>4.5761928763440882E-3</v>
      </c>
      <c r="O54" s="1196">
        <f t="shared" ref="O54" si="54">C54*(G54/25)</f>
        <v>4.5761928763440882E-3</v>
      </c>
      <c r="P54" s="1196">
        <f t="shared" ref="P54:P62" si="55">O54*M54</f>
        <v>4.5761928763440882E-3</v>
      </c>
      <c r="Q54" s="548">
        <v>147</v>
      </c>
      <c r="R54" s="1194">
        <f t="shared" ref="R54:R62" si="56">E54*F54*G54</f>
        <v>500</v>
      </c>
      <c r="S54" s="229">
        <f t="shared" si="6"/>
        <v>0.5</v>
      </c>
      <c r="T54" s="230">
        <f t="shared" si="7"/>
        <v>1.8304771505376353E-2</v>
      </c>
      <c r="U54" s="374">
        <f t="shared" si="8"/>
        <v>0.5</v>
      </c>
      <c r="V54" s="375">
        <f t="shared" si="9"/>
        <v>0</v>
      </c>
      <c r="W54" s="376">
        <f t="shared" si="10"/>
        <v>0</v>
      </c>
      <c r="X54" s="377">
        <f t="shared" si="11"/>
        <v>0</v>
      </c>
      <c r="Y54" s="378">
        <f t="shared" si="12"/>
        <v>0</v>
      </c>
      <c r="Z54" s="379">
        <f t="shared" si="13"/>
        <v>0</v>
      </c>
      <c r="AA54" s="380">
        <f t="shared" si="14"/>
        <v>0</v>
      </c>
      <c r="AC54" s="231"/>
      <c r="AD54" s="231"/>
      <c r="AE54" s="231"/>
      <c r="AF54" s="231"/>
      <c r="AG54" s="231"/>
      <c r="AH54" s="231"/>
      <c r="AI54" s="213"/>
      <c r="AJ54" s="213"/>
      <c r="AK54" s="213"/>
      <c r="AL54" s="213"/>
      <c r="AM54" s="213"/>
    </row>
    <row r="55" spans="1:39" ht="12.75" customHeight="1">
      <c r="A55" s="398" t="s">
        <v>459</v>
      </c>
      <c r="B55" s="398" t="s">
        <v>461</v>
      </c>
      <c r="C55" s="274">
        <f t="shared" si="38"/>
        <v>1.8229166666666673E-4</v>
      </c>
      <c r="D55" s="895">
        <v>6</v>
      </c>
      <c r="E55" s="1167">
        <v>1</v>
      </c>
      <c r="F55" s="1167">
        <v>8</v>
      </c>
      <c r="G55" s="1167">
        <v>80</v>
      </c>
      <c r="H55" s="1052"/>
      <c r="I55" s="1052">
        <v>6.9444444444444447E-4</v>
      </c>
      <c r="J55" s="1052">
        <v>0</v>
      </c>
      <c r="K55" s="1065" t="s">
        <v>1055</v>
      </c>
      <c r="L55" s="1052">
        <f t="shared" ref="L55:L63" si="57">L54+N54</f>
        <v>0.80665952620967751</v>
      </c>
      <c r="M55" s="1168">
        <v>1.1399999999999999</v>
      </c>
      <c r="N55" s="1052">
        <f t="shared" si="53"/>
        <v>1.1088355555555558E-2</v>
      </c>
      <c r="O55" s="1169">
        <f>C55*(G55/25)*1.04</f>
        <v>6.0666666666666692E-4</v>
      </c>
      <c r="P55" s="6306">
        <f t="shared" si="55"/>
        <v>6.9160000000000022E-4</v>
      </c>
      <c r="Q55" s="1171">
        <v>177</v>
      </c>
      <c r="R55" s="1167">
        <f t="shared" si="56"/>
        <v>640</v>
      </c>
      <c r="S55" s="229">
        <f t="shared" si="6"/>
        <v>0.64</v>
      </c>
      <c r="T55" s="230">
        <f t="shared" si="7"/>
        <v>1.9413333333333341E-2</v>
      </c>
      <c r="U55" s="374">
        <f t="shared" si="8"/>
        <v>0</v>
      </c>
      <c r="V55" s="375">
        <f t="shared" si="9"/>
        <v>0</v>
      </c>
      <c r="W55" s="376">
        <f t="shared" si="10"/>
        <v>0</v>
      </c>
      <c r="X55" s="377">
        <f t="shared" si="11"/>
        <v>0</v>
      </c>
      <c r="Y55" s="378">
        <f t="shared" si="12"/>
        <v>0</v>
      </c>
      <c r="Z55" s="379">
        <f t="shared" si="13"/>
        <v>0.64</v>
      </c>
      <c r="AA55" s="380">
        <f t="shared" si="14"/>
        <v>0</v>
      </c>
      <c r="AC55" s="231"/>
      <c r="AD55" s="231"/>
      <c r="AE55" s="231"/>
      <c r="AF55" s="231"/>
      <c r="AG55" s="231"/>
      <c r="AH55" s="231"/>
      <c r="AI55" s="213"/>
      <c r="AJ55" s="213"/>
      <c r="AK55" s="213"/>
      <c r="AL55" s="213"/>
      <c r="AM55" s="213"/>
    </row>
    <row r="56" spans="1:39" ht="12.75" customHeight="1">
      <c r="A56" s="398" t="s">
        <v>458</v>
      </c>
      <c r="B56" s="398" t="s">
        <v>461</v>
      </c>
      <c r="C56" s="274">
        <f t="shared" si="38"/>
        <v>2.1908757716049393E-4</v>
      </c>
      <c r="D56" s="890">
        <v>2</v>
      </c>
      <c r="E56" s="1173">
        <v>1</v>
      </c>
      <c r="F56" s="1173">
        <v>4</v>
      </c>
      <c r="G56" s="1173">
        <v>25</v>
      </c>
      <c r="H56" s="299"/>
      <c r="I56" s="299">
        <v>1.3888888888888889E-4</v>
      </c>
      <c r="J56" s="299">
        <v>1.3888888888888889E-3</v>
      </c>
      <c r="K56" s="1123" t="s">
        <v>1052</v>
      </c>
      <c r="L56" s="1149">
        <f t="shared" si="57"/>
        <v>0.81774788176523305</v>
      </c>
      <c r="M56" s="1174">
        <v>1</v>
      </c>
      <c r="N56" s="299">
        <f>P56*E56*F56+I56*E56*F56+J56*E56</f>
        <v>2.8207947530864202E-3</v>
      </c>
      <c r="O56" s="1175">
        <f t="shared" ref="O56" si="58">C56*(G56/25)</f>
        <v>2.1908757716049393E-4</v>
      </c>
      <c r="P56" s="1175">
        <f t="shared" si="55"/>
        <v>2.1908757716049393E-4</v>
      </c>
      <c r="Q56" s="550">
        <v>146</v>
      </c>
      <c r="R56" s="1176">
        <f t="shared" si="56"/>
        <v>100</v>
      </c>
      <c r="S56" s="229">
        <f t="shared" si="6"/>
        <v>0.1</v>
      </c>
      <c r="T56" s="230">
        <f t="shared" si="7"/>
        <v>3.5054012345679029E-3</v>
      </c>
      <c r="U56" s="374">
        <f t="shared" si="8"/>
        <v>0</v>
      </c>
      <c r="V56" s="375">
        <f t="shared" si="9"/>
        <v>0.1</v>
      </c>
      <c r="W56" s="376">
        <f t="shared" si="10"/>
        <v>0</v>
      </c>
      <c r="X56" s="377">
        <f t="shared" si="11"/>
        <v>0</v>
      </c>
      <c r="Y56" s="378">
        <f t="shared" si="12"/>
        <v>0</v>
      </c>
      <c r="Z56" s="379">
        <f t="shared" si="13"/>
        <v>0</v>
      </c>
      <c r="AA56" s="380">
        <f t="shared" si="14"/>
        <v>0</v>
      </c>
      <c r="AC56" s="231"/>
      <c r="AD56" s="231"/>
      <c r="AE56" s="231"/>
      <c r="AF56" s="231"/>
      <c r="AG56" s="231"/>
      <c r="AH56" s="231"/>
      <c r="AI56" s="213"/>
      <c r="AJ56" s="213"/>
      <c r="AK56" s="213"/>
      <c r="AL56" s="213"/>
      <c r="AM56" s="213"/>
    </row>
    <row r="57" spans="1:39" ht="12.75" customHeight="1">
      <c r="A57" s="398" t="s">
        <v>218</v>
      </c>
      <c r="B57" s="398" t="s">
        <v>461</v>
      </c>
      <c r="C57" s="274">
        <f t="shared" si="38"/>
        <v>1.8229166666666673E-4</v>
      </c>
      <c r="D57" s="895">
        <v>6</v>
      </c>
      <c r="E57" s="1167">
        <v>1</v>
      </c>
      <c r="F57" s="1167">
        <v>4</v>
      </c>
      <c r="G57" s="1167">
        <v>20</v>
      </c>
      <c r="H57" s="1052"/>
      <c r="I57" s="1052">
        <v>3.4722222222222224E-4</v>
      </c>
      <c r="J57" s="1052">
        <v>0</v>
      </c>
      <c r="K57" s="1065" t="s">
        <v>2250</v>
      </c>
      <c r="L57" s="1052">
        <f t="shared" si="57"/>
        <v>0.82056867651831944</v>
      </c>
      <c r="M57" s="1168">
        <v>1.04</v>
      </c>
      <c r="N57" s="1052">
        <f t="shared" ref="N57:N61" si="59">P57*E57*F57+I57*E57*F57+J57*E57</f>
        <v>1.995555555555556E-3</v>
      </c>
      <c r="O57" s="1169">
        <f>C57*(G57/25)</f>
        <v>1.458333333333334E-4</v>
      </c>
      <c r="P57" s="6306">
        <f t="shared" si="55"/>
        <v>1.5166666666666673E-4</v>
      </c>
      <c r="Q57" s="1171">
        <v>177</v>
      </c>
      <c r="R57" s="1167">
        <f t="shared" si="56"/>
        <v>80</v>
      </c>
      <c r="S57" s="229">
        <f t="shared" si="6"/>
        <v>0.08</v>
      </c>
      <c r="T57" s="230">
        <f t="shared" si="7"/>
        <v>2.3333333333333344E-3</v>
      </c>
      <c r="U57" s="374">
        <f t="shared" si="8"/>
        <v>0</v>
      </c>
      <c r="V57" s="375">
        <f t="shared" si="9"/>
        <v>0</v>
      </c>
      <c r="W57" s="376">
        <f t="shared" si="10"/>
        <v>0</v>
      </c>
      <c r="X57" s="377">
        <f t="shared" si="11"/>
        <v>0</v>
      </c>
      <c r="Y57" s="378">
        <f t="shared" si="12"/>
        <v>0</v>
      </c>
      <c r="Z57" s="379">
        <f t="shared" si="13"/>
        <v>0.08</v>
      </c>
      <c r="AA57" s="380">
        <f t="shared" si="14"/>
        <v>0</v>
      </c>
      <c r="AC57" s="231"/>
      <c r="AD57" s="231"/>
      <c r="AE57" s="231"/>
      <c r="AF57" s="231"/>
      <c r="AG57" s="231"/>
      <c r="AH57" s="231"/>
      <c r="AI57" s="213"/>
      <c r="AJ57" s="213"/>
      <c r="AK57" s="213"/>
      <c r="AL57" s="213"/>
      <c r="AM57" s="213"/>
    </row>
    <row r="58" spans="1:39" ht="12.75" customHeight="1">
      <c r="A58" s="398" t="s">
        <v>458</v>
      </c>
      <c r="B58" s="398"/>
      <c r="C58" s="6901">
        <f t="shared" si="38"/>
        <v>2.0247664488766629E-4</v>
      </c>
      <c r="D58" s="6902">
        <v>4</v>
      </c>
      <c r="E58" s="6903">
        <v>4</v>
      </c>
      <c r="F58" s="6903">
        <v>1</v>
      </c>
      <c r="G58" s="6904">
        <v>400</v>
      </c>
      <c r="H58" s="6905" t="s">
        <v>2430</v>
      </c>
      <c r="I58" s="6905">
        <v>1.3888888888888889E-3</v>
      </c>
      <c r="J58" s="6905">
        <v>1.3888888888888889E-3</v>
      </c>
      <c r="K58" s="6906" t="s">
        <v>2434</v>
      </c>
      <c r="L58" s="6905">
        <f>L57+N57</f>
        <v>0.82256423207387497</v>
      </c>
      <c r="M58" s="6907">
        <v>1.1000000000000001</v>
      </c>
      <c r="N58" s="6905">
        <f t="shared" si="59"/>
        <v>2.5365466911202821E-2</v>
      </c>
      <c r="O58" s="6908">
        <f>C58*(G58/25)</f>
        <v>3.2396263182026606E-3</v>
      </c>
      <c r="P58" s="6909">
        <f t="shared" si="55"/>
        <v>3.563588950022927E-3</v>
      </c>
      <c r="Q58" s="6910">
        <v>150</v>
      </c>
      <c r="R58" s="6910">
        <f t="shared" si="56"/>
        <v>1600</v>
      </c>
      <c r="S58" s="229"/>
      <c r="T58" s="230"/>
      <c r="U58" s="374"/>
      <c r="V58" s="375"/>
      <c r="W58" s="376"/>
      <c r="X58" s="377"/>
      <c r="Y58" s="378"/>
      <c r="Z58" s="379"/>
      <c r="AA58" s="380"/>
      <c r="AC58" s="231"/>
      <c r="AD58" s="231"/>
      <c r="AE58" s="231"/>
      <c r="AF58" s="231"/>
      <c r="AG58" s="231"/>
      <c r="AH58" s="231"/>
      <c r="AI58" s="213"/>
      <c r="AJ58" s="213"/>
      <c r="AK58" s="213"/>
      <c r="AL58" s="213"/>
      <c r="AM58" s="213"/>
    </row>
    <row r="59" spans="1:39" ht="12.75" customHeight="1">
      <c r="A59" s="398" t="s">
        <v>219</v>
      </c>
      <c r="B59" s="398" t="s">
        <v>461</v>
      </c>
      <c r="C59" s="274">
        <f t="shared" si="38"/>
        <v>1.8229166666666673E-4</v>
      </c>
      <c r="D59" s="4578">
        <v>6</v>
      </c>
      <c r="E59" s="6042">
        <v>5</v>
      </c>
      <c r="F59" s="6043">
        <v>5</v>
      </c>
      <c r="G59" s="4582">
        <v>20</v>
      </c>
      <c r="H59" s="4684" t="s">
        <v>2432</v>
      </c>
      <c r="I59" s="4684">
        <v>4.0509259259259258E-4</v>
      </c>
      <c r="J59" s="4585">
        <v>0</v>
      </c>
      <c r="K59" s="4582" t="s">
        <v>1970</v>
      </c>
      <c r="L59" s="6300">
        <f>L57+N57</f>
        <v>0.82256423207387497</v>
      </c>
      <c r="M59" s="4584">
        <v>1</v>
      </c>
      <c r="N59" s="6300">
        <f t="shared" si="59"/>
        <v>1.3918981481481484E-2</v>
      </c>
      <c r="O59" s="4586">
        <f>C59*(G59/25)*1.04</f>
        <v>1.5166666666666673E-4</v>
      </c>
      <c r="P59" s="6309">
        <f t="shared" si="55"/>
        <v>1.5166666666666673E-4</v>
      </c>
      <c r="Q59" s="4588">
        <v>177</v>
      </c>
      <c r="R59" s="4561">
        <f t="shared" si="56"/>
        <v>500</v>
      </c>
      <c r="S59" s="229">
        <f t="shared" si="6"/>
        <v>0.5</v>
      </c>
      <c r="T59" s="230">
        <f t="shared" si="7"/>
        <v>1.5166666666666674E-2</v>
      </c>
      <c r="U59" s="374">
        <f t="shared" si="8"/>
        <v>0</v>
      </c>
      <c r="V59" s="375">
        <f t="shared" si="9"/>
        <v>0</v>
      </c>
      <c r="W59" s="376">
        <f t="shared" si="10"/>
        <v>0</v>
      </c>
      <c r="X59" s="377">
        <f t="shared" si="11"/>
        <v>0</v>
      </c>
      <c r="Y59" s="378">
        <f t="shared" si="12"/>
        <v>0</v>
      </c>
      <c r="Z59" s="379">
        <f t="shared" si="13"/>
        <v>0.5</v>
      </c>
      <c r="AA59" s="380">
        <f t="shared" si="14"/>
        <v>0</v>
      </c>
      <c r="AC59" s="231"/>
      <c r="AD59" s="231"/>
      <c r="AE59" s="231"/>
      <c r="AF59" s="231"/>
      <c r="AG59" s="231"/>
      <c r="AH59" s="231"/>
      <c r="AI59" s="213"/>
      <c r="AJ59" s="213"/>
      <c r="AK59" s="213"/>
      <c r="AL59" s="213"/>
      <c r="AM59" s="213"/>
    </row>
    <row r="60" spans="1:39" ht="12.75" customHeight="1">
      <c r="A60" s="398"/>
      <c r="B60" s="398" t="s">
        <v>461</v>
      </c>
      <c r="C60" s="274">
        <f t="shared" si="38"/>
        <v>1.8229166666666673E-4</v>
      </c>
      <c r="D60" s="4578">
        <v>6</v>
      </c>
      <c r="E60" s="6045">
        <v>5</v>
      </c>
      <c r="F60" s="6043">
        <v>3</v>
      </c>
      <c r="G60" s="6046">
        <v>17.5</v>
      </c>
      <c r="H60" s="4684" t="s">
        <v>2432</v>
      </c>
      <c r="I60" s="4684">
        <v>3.4722222222222224E-4</v>
      </c>
      <c r="J60" s="4585">
        <v>0</v>
      </c>
      <c r="K60" s="4582" t="s">
        <v>1971</v>
      </c>
      <c r="L60" s="6300">
        <f t="shared" si="57"/>
        <v>0.83648321355535649</v>
      </c>
      <c r="M60" s="4584">
        <v>1</v>
      </c>
      <c r="N60" s="6300">
        <f t="shared" si="59"/>
        <v>7.198958333333335E-3</v>
      </c>
      <c r="O60" s="4586">
        <f>C60*(G60/25)*1.04</f>
        <v>1.3270833333333339E-4</v>
      </c>
      <c r="P60" s="6309">
        <f t="shared" si="55"/>
        <v>1.3270833333333339E-4</v>
      </c>
      <c r="Q60" s="4588">
        <v>177</v>
      </c>
      <c r="R60" s="4561">
        <f t="shared" si="56"/>
        <v>262.5</v>
      </c>
      <c r="S60" s="229">
        <f t="shared" si="6"/>
        <v>0.26250000000000001</v>
      </c>
      <c r="T60" s="230">
        <f t="shared" si="7"/>
        <v>7.9625000000000043E-3</v>
      </c>
      <c r="U60" s="374">
        <f t="shared" si="8"/>
        <v>0</v>
      </c>
      <c r="V60" s="375">
        <f t="shared" si="9"/>
        <v>0</v>
      </c>
      <c r="W60" s="376">
        <f t="shared" si="10"/>
        <v>0</v>
      </c>
      <c r="X60" s="377">
        <f t="shared" si="11"/>
        <v>0</v>
      </c>
      <c r="Y60" s="378">
        <f t="shared" si="12"/>
        <v>0</v>
      </c>
      <c r="Z60" s="379">
        <f t="shared" si="13"/>
        <v>0.26250000000000001</v>
      </c>
      <c r="AA60" s="380">
        <f t="shared" si="14"/>
        <v>0</v>
      </c>
      <c r="AC60" s="231"/>
      <c r="AD60" s="231"/>
      <c r="AE60" s="231"/>
      <c r="AF60" s="231"/>
      <c r="AG60" s="231"/>
      <c r="AH60" s="231"/>
      <c r="AI60" s="213"/>
      <c r="AJ60" s="213"/>
      <c r="AK60" s="213"/>
      <c r="AL60" s="213"/>
      <c r="AM60" s="213"/>
    </row>
    <row r="61" spans="1:39" ht="12.75" customHeight="1">
      <c r="A61" s="398"/>
      <c r="B61" s="398" t="s">
        <v>461</v>
      </c>
      <c r="C61" s="274">
        <f t="shared" si="38"/>
        <v>1.8229166666666673E-4</v>
      </c>
      <c r="D61" s="4578">
        <v>6</v>
      </c>
      <c r="E61" s="6047">
        <v>3</v>
      </c>
      <c r="F61" s="6043">
        <v>1</v>
      </c>
      <c r="G61" s="4582">
        <v>15</v>
      </c>
      <c r="H61" s="4684" t="s">
        <v>2432</v>
      </c>
      <c r="I61" s="4684">
        <v>0</v>
      </c>
      <c r="J61" s="4585">
        <v>3.472222222222222E-3</v>
      </c>
      <c r="K61" s="4582" t="s">
        <v>1972</v>
      </c>
      <c r="L61" s="6300">
        <f t="shared" si="57"/>
        <v>0.84368217188868977</v>
      </c>
      <c r="M61" s="4584">
        <v>1</v>
      </c>
      <c r="N61" s="6300">
        <f t="shared" si="59"/>
        <v>1.0757916666666666E-2</v>
      </c>
      <c r="O61" s="4586">
        <f>C61*(G61/25)*1.04</f>
        <v>1.1375000000000004E-4</v>
      </c>
      <c r="P61" s="6309">
        <f t="shared" si="55"/>
        <v>1.1375000000000004E-4</v>
      </c>
      <c r="Q61" s="4588">
        <v>177</v>
      </c>
      <c r="R61" s="4561">
        <f t="shared" si="56"/>
        <v>45</v>
      </c>
      <c r="S61" s="229">
        <f t="shared" si="6"/>
        <v>4.4999999999999998E-2</v>
      </c>
      <c r="T61" s="230">
        <f t="shared" si="7"/>
        <v>1.3650000000000005E-3</v>
      </c>
      <c r="U61" s="374">
        <f t="shared" si="8"/>
        <v>0</v>
      </c>
      <c r="V61" s="375">
        <f t="shared" si="9"/>
        <v>0</v>
      </c>
      <c r="W61" s="376">
        <f t="shared" si="10"/>
        <v>0</v>
      </c>
      <c r="X61" s="377">
        <f t="shared" si="11"/>
        <v>0</v>
      </c>
      <c r="Y61" s="378">
        <f t="shared" si="12"/>
        <v>0</v>
      </c>
      <c r="Z61" s="379">
        <f t="shared" si="13"/>
        <v>4.4999999999999998E-2</v>
      </c>
      <c r="AA61" s="380">
        <f t="shared" si="14"/>
        <v>0</v>
      </c>
      <c r="AC61" s="231"/>
      <c r="AD61" s="231"/>
      <c r="AE61" s="231"/>
      <c r="AF61" s="231"/>
      <c r="AG61" s="231"/>
      <c r="AH61" s="231"/>
      <c r="AI61" s="213"/>
      <c r="AJ61" s="213"/>
      <c r="AK61" s="213"/>
      <c r="AL61" s="213"/>
      <c r="AM61" s="213"/>
    </row>
    <row r="62" spans="1:39" ht="12.75" customHeight="1">
      <c r="A62" s="398"/>
      <c r="B62" s="398" t="s">
        <v>461</v>
      </c>
      <c r="C62" s="274">
        <f t="shared" si="38"/>
        <v>1.7682291666666674E-4</v>
      </c>
      <c r="D62" s="897">
        <v>7</v>
      </c>
      <c r="E62" s="1257">
        <v>1</v>
      </c>
      <c r="F62" s="1187">
        <v>6</v>
      </c>
      <c r="G62" s="1187">
        <v>20</v>
      </c>
      <c r="H62" s="1051"/>
      <c r="I62" s="1051">
        <v>4.6296296296296293E-4</v>
      </c>
      <c r="J62" s="1188">
        <v>6.9444444444444447E-4</v>
      </c>
      <c r="K62" s="1187" t="s">
        <v>1966</v>
      </c>
      <c r="L62" s="1189">
        <f t="shared" si="57"/>
        <v>0.85444008855535647</v>
      </c>
      <c r="M62" s="1190">
        <v>0.9</v>
      </c>
      <c r="N62" s="1188">
        <f>SUM(N54:N61)</f>
        <v>7.7722222133225938E-2</v>
      </c>
      <c r="O62" s="1191">
        <f t="shared" ref="O62" si="60">C62*(G62/25)</f>
        <v>1.4145833333333339E-4</v>
      </c>
      <c r="P62" s="6305">
        <f t="shared" si="55"/>
        <v>1.2731250000000007E-4</v>
      </c>
      <c r="Q62" s="1366">
        <v>179</v>
      </c>
      <c r="R62" s="1187">
        <f t="shared" si="56"/>
        <v>120</v>
      </c>
      <c r="S62" s="229">
        <f t="shared" si="6"/>
        <v>0.12</v>
      </c>
      <c r="T62" s="230">
        <f t="shared" si="7"/>
        <v>3.3950000000000013E-3</v>
      </c>
      <c r="U62" s="374">
        <f t="shared" si="8"/>
        <v>0</v>
      </c>
      <c r="V62" s="375">
        <f t="shared" si="9"/>
        <v>0</v>
      </c>
      <c r="W62" s="376">
        <f t="shared" si="10"/>
        <v>0</v>
      </c>
      <c r="X62" s="377">
        <f t="shared" si="11"/>
        <v>0</v>
      </c>
      <c r="Y62" s="378">
        <f t="shared" si="12"/>
        <v>0</v>
      </c>
      <c r="Z62" s="379">
        <f t="shared" si="13"/>
        <v>0</v>
      </c>
      <c r="AA62" s="380">
        <f t="shared" si="14"/>
        <v>0.12</v>
      </c>
      <c r="AC62" s="231"/>
      <c r="AD62" s="231"/>
      <c r="AE62" s="231"/>
      <c r="AF62" s="231"/>
      <c r="AG62" s="231"/>
      <c r="AH62" s="231"/>
      <c r="AI62" s="213"/>
      <c r="AJ62" s="213"/>
      <c r="AK62" s="213"/>
      <c r="AL62" s="213"/>
      <c r="AM62" s="213"/>
    </row>
    <row r="63" spans="1:39" ht="12.75" customHeight="1">
      <c r="A63" s="398"/>
      <c r="B63" s="398"/>
      <c r="C63" s="274">
        <f t="shared" si="38"/>
        <v>0</v>
      </c>
      <c r="D63" s="1357"/>
      <c r="E63" s="809"/>
      <c r="F63" s="809"/>
      <c r="G63" s="809"/>
      <c r="H63" s="2552"/>
      <c r="I63" s="2552"/>
      <c r="J63" s="2552"/>
      <c r="K63" s="2553"/>
      <c r="L63" s="1003">
        <f t="shared" si="57"/>
        <v>0.93216231068858235</v>
      </c>
      <c r="M63" s="2554"/>
      <c r="N63" s="1439">
        <f>SUM(N62,N53)</f>
        <v>0.12464797407348993</v>
      </c>
      <c r="O63" s="2555"/>
      <c r="P63" s="204"/>
      <c r="Q63" s="1358"/>
      <c r="R63" s="1440">
        <f>SUM(R54:R62)</f>
        <v>3847.5</v>
      </c>
      <c r="S63" s="229">
        <f t="shared" si="6"/>
        <v>0</v>
      </c>
      <c r="T63" s="230">
        <f t="shared" si="7"/>
        <v>0</v>
      </c>
      <c r="U63" s="374">
        <f t="shared" si="8"/>
        <v>0</v>
      </c>
      <c r="V63" s="375">
        <f t="shared" si="9"/>
        <v>0</v>
      </c>
      <c r="W63" s="376">
        <f t="shared" si="10"/>
        <v>0</v>
      </c>
      <c r="X63" s="377">
        <f t="shared" si="11"/>
        <v>0</v>
      </c>
      <c r="Y63" s="378">
        <f t="shared" si="12"/>
        <v>0</v>
      </c>
      <c r="Z63" s="379">
        <f t="shared" si="13"/>
        <v>0</v>
      </c>
      <c r="AA63" s="380">
        <f t="shared" si="14"/>
        <v>0</v>
      </c>
      <c r="AC63" s="231"/>
      <c r="AD63" s="231"/>
      <c r="AE63" s="231"/>
      <c r="AF63" s="231"/>
      <c r="AG63" s="231"/>
      <c r="AH63" s="231"/>
      <c r="AI63" s="213"/>
      <c r="AJ63" s="213"/>
      <c r="AK63" s="213"/>
      <c r="AL63" s="213"/>
      <c r="AM63" s="213"/>
    </row>
    <row r="64" spans="1:39" ht="12.75" customHeight="1">
      <c r="A64" s="851" t="s">
        <v>218</v>
      </c>
      <c r="B64" s="1124" t="s">
        <v>461</v>
      </c>
      <c r="C64" s="274">
        <f t="shared" si="38"/>
        <v>2.2880964381720439E-4</v>
      </c>
      <c r="D64" s="547">
        <v>1</v>
      </c>
      <c r="E64" s="275">
        <v>1</v>
      </c>
      <c r="F64" s="275">
        <v>1</v>
      </c>
      <c r="G64" s="275">
        <v>200</v>
      </c>
      <c r="H64" s="276"/>
      <c r="I64" s="276">
        <v>0</v>
      </c>
      <c r="J64" s="276">
        <v>1.1574074074074073E-4</v>
      </c>
      <c r="K64" s="312" t="s">
        <v>899</v>
      </c>
      <c r="L64" s="1004">
        <v>0.79166666666666663</v>
      </c>
      <c r="M64" s="451">
        <v>1.2</v>
      </c>
      <c r="N64" s="276">
        <f t="shared" ref="N64:N69" si="61">P64*E64*F64+I64*E64*F64+J64*E64</f>
        <v>2.312313321385903E-3</v>
      </c>
      <c r="O64" s="296">
        <f t="shared" ref="O64:O66" si="62">C64*(G64/25)</f>
        <v>1.8304771505376352E-3</v>
      </c>
      <c r="P64" s="296">
        <f>O64*M64</f>
        <v>2.1965725806451621E-3</v>
      </c>
      <c r="Q64" s="548">
        <v>129</v>
      </c>
      <c r="R64" s="275">
        <f>E64*F64*G64</f>
        <v>200</v>
      </c>
      <c r="S64" s="229">
        <f t="shared" si="6"/>
        <v>0.2</v>
      </c>
      <c r="T64" s="230">
        <f t="shared" si="7"/>
        <v>7.3219086021505406E-3</v>
      </c>
      <c r="U64" s="374">
        <f t="shared" si="8"/>
        <v>0.2</v>
      </c>
      <c r="V64" s="375">
        <f t="shared" si="9"/>
        <v>0</v>
      </c>
      <c r="W64" s="376">
        <f t="shared" si="10"/>
        <v>0</v>
      </c>
      <c r="X64" s="377">
        <f t="shared" si="11"/>
        <v>0</v>
      </c>
      <c r="Y64" s="378">
        <f t="shared" si="12"/>
        <v>0</v>
      </c>
      <c r="Z64" s="379">
        <f t="shared" si="13"/>
        <v>0</v>
      </c>
      <c r="AA64" s="380">
        <f t="shared" si="14"/>
        <v>0</v>
      </c>
      <c r="AC64" s="231"/>
      <c r="AD64" s="231"/>
      <c r="AE64" s="231"/>
      <c r="AF64" s="231"/>
      <c r="AG64" s="231"/>
      <c r="AH64" s="231"/>
      <c r="AI64" s="213"/>
      <c r="AJ64" s="213"/>
      <c r="AK64" s="213"/>
      <c r="AL64" s="213"/>
      <c r="AM64" s="213"/>
    </row>
    <row r="65" spans="1:40" ht="12.75" customHeight="1">
      <c r="A65" s="851" t="s">
        <v>139</v>
      </c>
      <c r="B65" s="1124" t="s">
        <v>461</v>
      </c>
      <c r="C65" s="274">
        <f t="shared" si="38"/>
        <v>2.1222190799396687E-4</v>
      </c>
      <c r="D65" s="891">
        <v>3</v>
      </c>
      <c r="E65" s="280">
        <v>1</v>
      </c>
      <c r="F65" s="280">
        <v>4</v>
      </c>
      <c r="G65" s="280">
        <v>200</v>
      </c>
      <c r="H65" s="281"/>
      <c r="I65" s="281">
        <v>3.4722222222222224E-4</v>
      </c>
      <c r="J65" s="281">
        <v>1.3888888888888889E-3</v>
      </c>
      <c r="K65" s="1328" t="s">
        <v>300</v>
      </c>
      <c r="L65" s="995">
        <f t="shared" ref="L65:L70" si="63">L64+N64</f>
        <v>0.79397897998805256</v>
      </c>
      <c r="M65" s="453">
        <v>1.1000000000000001</v>
      </c>
      <c r="N65" s="281">
        <f t="shared" si="61"/>
        <v>1.0247988939165412E-2</v>
      </c>
      <c r="O65" s="298">
        <f t="shared" si="62"/>
        <v>1.6977752639517349E-3</v>
      </c>
      <c r="P65" s="298">
        <f>O65*M65</f>
        <v>1.8675527903469085E-3</v>
      </c>
      <c r="Q65" s="333">
        <v>165</v>
      </c>
      <c r="R65" s="280">
        <f>E65*F65*G65</f>
        <v>800</v>
      </c>
      <c r="S65" s="229">
        <f t="shared" si="6"/>
        <v>0.8</v>
      </c>
      <c r="T65" s="230">
        <f t="shared" si="7"/>
        <v>2.7164404223227759E-2</v>
      </c>
      <c r="U65" s="374">
        <f t="shared" si="8"/>
        <v>0</v>
      </c>
      <c r="V65" s="375">
        <f t="shared" si="9"/>
        <v>0</v>
      </c>
      <c r="W65" s="376">
        <f t="shared" si="10"/>
        <v>0.8</v>
      </c>
      <c r="X65" s="377">
        <f t="shared" si="11"/>
        <v>0</v>
      </c>
      <c r="Y65" s="378">
        <f t="shared" si="12"/>
        <v>0</v>
      </c>
      <c r="Z65" s="379">
        <f t="shared" si="13"/>
        <v>0</v>
      </c>
      <c r="AA65" s="380">
        <f t="shared" si="14"/>
        <v>0</v>
      </c>
      <c r="AC65" s="231"/>
      <c r="AD65" s="231"/>
      <c r="AE65" s="231"/>
      <c r="AF65" s="231"/>
      <c r="AG65" s="231"/>
      <c r="AH65" s="231"/>
      <c r="AI65" s="213"/>
      <c r="AJ65" s="213"/>
      <c r="AK65" s="213"/>
      <c r="AL65" s="213"/>
      <c r="AM65" s="213"/>
    </row>
    <row r="66" spans="1:40" ht="12.75" customHeight="1">
      <c r="A66" s="851" t="s">
        <v>458</v>
      </c>
      <c r="B66" s="1124" t="s">
        <v>461</v>
      </c>
      <c r="C66" s="274">
        <f>IF(D66=1,U$5,IF(D66=2,V$5,IF(D66=3,W$5,IF(D66=4,X$5,IF(D66=5,Y$5,IF(D66=6,Z$5,IF(D66=7,AA$5,0)))))))</f>
        <v>2.2880964381720439E-4</v>
      </c>
      <c r="D66" s="890">
        <v>1</v>
      </c>
      <c r="E66" s="300">
        <v>1</v>
      </c>
      <c r="F66" s="300">
        <v>1</v>
      </c>
      <c r="G66" s="300">
        <v>200</v>
      </c>
      <c r="H66" s="301"/>
      <c r="I66" s="301">
        <v>5.2083333333333333E-4</v>
      </c>
      <c r="J66" s="301">
        <v>1.3888888888888889E-3</v>
      </c>
      <c r="K66" s="1123" t="s">
        <v>424</v>
      </c>
      <c r="L66" s="994">
        <f t="shared" si="63"/>
        <v>0.80422696892721801</v>
      </c>
      <c r="M66" s="455">
        <v>1</v>
      </c>
      <c r="N66" s="301">
        <f t="shared" si="61"/>
        <v>3.7401993727598573E-3</v>
      </c>
      <c r="O66" s="302">
        <f t="shared" si="62"/>
        <v>1.8304771505376352E-3</v>
      </c>
      <c r="P66" s="302">
        <f>O66*M66</f>
        <v>1.8304771505376352E-3</v>
      </c>
      <c r="Q66" s="550">
        <v>196</v>
      </c>
      <c r="R66" s="369">
        <f>E66*F66*G66</f>
        <v>200</v>
      </c>
      <c r="S66" s="229">
        <f t="shared" si="6"/>
        <v>0.2</v>
      </c>
      <c r="T66" s="230">
        <f t="shared" si="7"/>
        <v>7.3219086021505406E-3</v>
      </c>
      <c r="U66" s="374">
        <f t="shared" si="8"/>
        <v>0.2</v>
      </c>
      <c r="V66" s="375">
        <f t="shared" si="9"/>
        <v>0</v>
      </c>
      <c r="W66" s="376">
        <f t="shared" si="10"/>
        <v>0</v>
      </c>
      <c r="X66" s="377">
        <f t="shared" si="11"/>
        <v>0</v>
      </c>
      <c r="Y66" s="378">
        <f t="shared" si="12"/>
        <v>0</v>
      </c>
      <c r="Z66" s="379">
        <f t="shared" si="13"/>
        <v>0</v>
      </c>
      <c r="AA66" s="380">
        <f t="shared" si="14"/>
        <v>0</v>
      </c>
      <c r="AC66" s="231"/>
      <c r="AD66" s="231"/>
      <c r="AE66" s="231"/>
      <c r="AF66" s="231"/>
      <c r="AG66" s="231"/>
      <c r="AH66" s="231"/>
      <c r="AI66" s="213"/>
      <c r="AJ66" s="213"/>
      <c r="AK66" s="213"/>
      <c r="AL66" s="213"/>
      <c r="AM66" s="213"/>
    </row>
    <row r="67" spans="1:40" ht="12.75" customHeight="1">
      <c r="A67" s="851" t="s">
        <v>462</v>
      </c>
      <c r="B67" s="1124" t="s">
        <v>461</v>
      </c>
      <c r="C67" s="274">
        <f>IF(D67=1,U$5,IF(D67=2,V$5,IF(D67=3,W$5,IF(D67=4,X$5,IF(D67=5,Y$5,IF(D67=6,Z$5,IF(D67=7,AA$5,0)))))))</f>
        <v>1.8933937422552669E-4</v>
      </c>
      <c r="D67" s="2505">
        <v>5</v>
      </c>
      <c r="E67" s="2506">
        <v>2</v>
      </c>
      <c r="F67" s="2506">
        <v>3</v>
      </c>
      <c r="G67" s="2506">
        <v>40</v>
      </c>
      <c r="H67" s="2264"/>
      <c r="I67" s="2264">
        <v>1.3888888888888889E-3</v>
      </c>
      <c r="J67" s="2264">
        <v>2.0833333333333333E-3</v>
      </c>
      <c r="K67" s="2507" t="s">
        <v>1351</v>
      </c>
      <c r="L67" s="2508">
        <f t="shared" si="63"/>
        <v>0.80796716829997783</v>
      </c>
      <c r="M67" s="2509">
        <v>1</v>
      </c>
      <c r="N67" s="2264">
        <f t="shared" si="61"/>
        <v>1.4317657992565055E-2</v>
      </c>
      <c r="O67" s="2265">
        <f>C67*(G67/25)</f>
        <v>3.0294299876084275E-4</v>
      </c>
      <c r="P67" s="2185">
        <f t="shared" ref="P67" si="64">O67*M67</f>
        <v>3.0294299876084275E-4</v>
      </c>
      <c r="Q67" s="2510" t="s">
        <v>278</v>
      </c>
      <c r="R67" s="2511">
        <f t="shared" ref="R67" si="65">E67*F67*G67</f>
        <v>240</v>
      </c>
      <c r="S67" s="229">
        <f t="shared" si="6"/>
        <v>0.24</v>
      </c>
      <c r="T67" s="230">
        <f t="shared" si="7"/>
        <v>7.270631970260226E-3</v>
      </c>
      <c r="U67" s="374">
        <f t="shared" si="8"/>
        <v>0</v>
      </c>
      <c r="V67" s="375">
        <f t="shared" si="9"/>
        <v>0</v>
      </c>
      <c r="W67" s="376">
        <f t="shared" si="10"/>
        <v>0</v>
      </c>
      <c r="X67" s="377">
        <f t="shared" si="11"/>
        <v>0</v>
      </c>
      <c r="Y67" s="378">
        <f t="shared" si="12"/>
        <v>0.24</v>
      </c>
      <c r="Z67" s="379">
        <f t="shared" si="13"/>
        <v>0</v>
      </c>
      <c r="AA67" s="380">
        <f t="shared" si="14"/>
        <v>0</v>
      </c>
      <c r="AC67" s="231"/>
      <c r="AD67" s="231"/>
      <c r="AE67" s="231"/>
      <c r="AF67" s="231"/>
      <c r="AG67" s="231"/>
      <c r="AH67" s="231"/>
      <c r="AI67" s="213"/>
      <c r="AJ67" s="213"/>
      <c r="AK67" s="213"/>
      <c r="AL67" s="213"/>
      <c r="AM67" s="213"/>
    </row>
    <row r="68" spans="1:40" ht="12.75" customHeight="1">
      <c r="A68" s="851" t="s">
        <v>460</v>
      </c>
      <c r="B68" s="1124" t="s">
        <v>461</v>
      </c>
      <c r="C68" s="274">
        <f>IF(D68=1,U$5,IF(D68=2,V$5,IF(D68=3,W$5,IF(D68=4,X$5,IF(D68=5,Y$5,IF(D68=6,Z$5,IF(D68=7,AA$5,0)))))))</f>
        <v>2.2880964381720439E-4</v>
      </c>
      <c r="D68" s="890">
        <v>1</v>
      </c>
      <c r="E68" s="300">
        <v>1</v>
      </c>
      <c r="F68" s="300">
        <v>1</v>
      </c>
      <c r="G68" s="300">
        <v>500</v>
      </c>
      <c r="H68" s="301"/>
      <c r="I68" s="301">
        <v>5.2083333333333333E-4</v>
      </c>
      <c r="J68" s="301">
        <v>1.3888888888888889E-3</v>
      </c>
      <c r="K68" s="1123" t="s">
        <v>424</v>
      </c>
      <c r="L68" s="994">
        <f t="shared" si="63"/>
        <v>0.82228482629254285</v>
      </c>
      <c r="M68" s="455">
        <v>1</v>
      </c>
      <c r="N68" s="301">
        <f t="shared" si="61"/>
        <v>6.4859150985663106E-3</v>
      </c>
      <c r="O68" s="302">
        <f t="shared" ref="O68" si="66">C68*(G68/25)</f>
        <v>4.5761928763440882E-3</v>
      </c>
      <c r="P68" s="302">
        <f>O68*M68</f>
        <v>4.5761928763440882E-3</v>
      </c>
      <c r="Q68" s="550">
        <v>196</v>
      </c>
      <c r="R68" s="369">
        <f>E68*F68*G68</f>
        <v>500</v>
      </c>
      <c r="S68" s="229">
        <f t="shared" si="6"/>
        <v>0.5</v>
      </c>
      <c r="T68" s="230">
        <f t="shared" si="7"/>
        <v>1.8304771505376353E-2</v>
      </c>
      <c r="U68" s="374">
        <f t="shared" si="8"/>
        <v>0.5</v>
      </c>
      <c r="V68" s="375">
        <f t="shared" si="9"/>
        <v>0</v>
      </c>
      <c r="W68" s="376">
        <f t="shared" si="10"/>
        <v>0</v>
      </c>
      <c r="X68" s="377">
        <f t="shared" si="11"/>
        <v>0</v>
      </c>
      <c r="Y68" s="378">
        <f t="shared" si="12"/>
        <v>0</v>
      </c>
      <c r="Z68" s="379">
        <f t="shared" si="13"/>
        <v>0</v>
      </c>
      <c r="AA68" s="380">
        <f t="shared" si="14"/>
        <v>0</v>
      </c>
      <c r="AC68" s="231"/>
      <c r="AD68" s="231"/>
      <c r="AE68" s="231"/>
      <c r="AF68" s="231"/>
      <c r="AG68" s="231"/>
      <c r="AH68" s="231"/>
      <c r="AI68" s="213"/>
      <c r="AJ68" s="213"/>
      <c r="AK68" s="213"/>
      <c r="AL68" s="213"/>
      <c r="AM68" s="213"/>
    </row>
    <row r="69" spans="1:40" ht="12.75" customHeight="1">
      <c r="A69" s="851" t="s">
        <v>458</v>
      </c>
      <c r="B69" s="1124" t="s">
        <v>461</v>
      </c>
      <c r="C69" s="274">
        <f t="shared" ref="C69:C76" si="67">IF(D69=1,U$5,IF(D69=2,V$5,IF(D69=3,W$5,IF(D69=4,X$5,IF(D69=5,Y$5,IF(D69=6,Z$5,IF(D69=7,AA$5,0)))))))</f>
        <v>1.7682291666666674E-4</v>
      </c>
      <c r="D69" s="1054">
        <v>7</v>
      </c>
      <c r="E69" s="1043">
        <v>1</v>
      </c>
      <c r="F69" s="1043">
        <v>20</v>
      </c>
      <c r="G69" s="1043">
        <v>25</v>
      </c>
      <c r="H69" s="1044"/>
      <c r="I69" s="1044">
        <v>3.4722222222222224E-4</v>
      </c>
      <c r="J69" s="1044">
        <v>0</v>
      </c>
      <c r="K69" s="1323" t="s">
        <v>893</v>
      </c>
      <c r="L69" s="1007">
        <f t="shared" si="63"/>
        <v>0.82877074139110918</v>
      </c>
      <c r="M69" s="1063">
        <v>1</v>
      </c>
      <c r="N69" s="1044">
        <f t="shared" si="61"/>
        <v>1.048090277777778E-2</v>
      </c>
      <c r="O69" s="439">
        <f>C69*(G69/25)</f>
        <v>1.7682291666666674E-4</v>
      </c>
      <c r="P69" s="587">
        <f>O69*M69</f>
        <v>1.7682291666666674E-4</v>
      </c>
      <c r="Q69" s="446" t="s">
        <v>316</v>
      </c>
      <c r="R69" s="1045">
        <f>E69*F69*G69</f>
        <v>500</v>
      </c>
      <c r="S69" s="229">
        <f t="shared" ref="S69:S76" si="68">E69*F69*G69/1000</f>
        <v>0.5</v>
      </c>
      <c r="T69" s="230">
        <f t="shared" ref="T69:T76" si="69">E69*F69*O69*4</f>
        <v>1.4145833333333338E-2</v>
      </c>
      <c r="U69" s="374">
        <f t="shared" ref="U69:U76" si="70">IF(C69*4&gt;=$U$4,S69,0)</f>
        <v>0</v>
      </c>
      <c r="V69" s="375">
        <f t="shared" ref="V69:V76" si="71">IF(AND(C69*4&gt;=$V$4,C69*4&lt;$U$4),S69,0)</f>
        <v>0</v>
      </c>
      <c r="W69" s="376">
        <f t="shared" ref="W69:W76" si="72">IF(AND(C69*4&gt;=$W$4,C69*4&lt;$V$4),S69,0)</f>
        <v>0</v>
      </c>
      <c r="X69" s="377">
        <f t="shared" ref="X69:X76" si="73">IF(AND(C69*4&gt;=$X$4,C69*4&lt;$W$4),S69,0)</f>
        <v>0</v>
      </c>
      <c r="Y69" s="378">
        <f t="shared" ref="Y69:Y76" si="74">IF(AND(C69*4&gt;=$Y$4,C69*4&lt;$X$4),S69,0)</f>
        <v>0</v>
      </c>
      <c r="Z69" s="379">
        <f t="shared" ref="Z69:Z76" si="75">IF(AND(C69*4&gt;=$Z$4,C69*4&lt;$Y$4),S69,0)</f>
        <v>0</v>
      </c>
      <c r="AA69" s="380">
        <f t="shared" ref="AA69:AA76" si="76">IF(AND(C69*4&gt;=$AA$4,C69*4&lt;$Z$4),S69,0)</f>
        <v>0.5</v>
      </c>
      <c r="AC69" s="231"/>
      <c r="AD69" s="231"/>
      <c r="AE69" s="231"/>
      <c r="AF69" s="231"/>
      <c r="AG69" s="231"/>
      <c r="AH69" s="231"/>
      <c r="AI69" s="213"/>
      <c r="AJ69" s="213"/>
      <c r="AK69" s="213"/>
      <c r="AL69" s="213"/>
      <c r="AM69" s="213"/>
    </row>
    <row r="70" spans="1:40" ht="12.75" customHeight="1" thickBot="1">
      <c r="A70" s="851" t="s">
        <v>219</v>
      </c>
      <c r="B70" s="1124"/>
      <c r="C70" s="274">
        <f t="shared" si="67"/>
        <v>0</v>
      </c>
      <c r="D70" s="959"/>
      <c r="E70" s="642"/>
      <c r="F70" s="642"/>
      <c r="G70" s="642"/>
      <c r="H70" s="642"/>
      <c r="I70" s="642"/>
      <c r="J70" s="642"/>
      <c r="K70" s="642"/>
      <c r="L70" s="1003">
        <f t="shared" si="63"/>
        <v>0.83925164416888698</v>
      </c>
      <c r="M70" s="643"/>
      <c r="N70" s="644">
        <f>SUM(N64:N69)</f>
        <v>4.7584977502220321E-2</v>
      </c>
      <c r="O70" s="642"/>
      <c r="P70" s="642"/>
      <c r="Q70" s="642"/>
      <c r="R70" s="645">
        <f>SUM(R64:R69)</f>
        <v>2440</v>
      </c>
      <c r="S70" s="229">
        <f t="shared" si="68"/>
        <v>0</v>
      </c>
      <c r="T70" s="230">
        <f t="shared" si="69"/>
        <v>0</v>
      </c>
      <c r="U70" s="374">
        <f t="shared" si="70"/>
        <v>0</v>
      </c>
      <c r="V70" s="375">
        <f t="shared" si="71"/>
        <v>0</v>
      </c>
      <c r="W70" s="376">
        <f t="shared" si="72"/>
        <v>0</v>
      </c>
      <c r="X70" s="377">
        <f t="shared" si="73"/>
        <v>0</v>
      </c>
      <c r="Y70" s="378">
        <f t="shared" si="74"/>
        <v>0</v>
      </c>
      <c r="Z70" s="379">
        <f t="shared" si="75"/>
        <v>0</v>
      </c>
      <c r="AA70" s="380">
        <f t="shared" si="76"/>
        <v>0</v>
      </c>
      <c r="AC70" s="231"/>
      <c r="AD70" s="231"/>
      <c r="AE70" s="231"/>
      <c r="AF70" s="231"/>
      <c r="AG70" s="231"/>
      <c r="AH70" s="231"/>
      <c r="AI70" s="213"/>
      <c r="AJ70" s="213"/>
      <c r="AK70" s="213"/>
      <c r="AL70" s="213"/>
      <c r="AM70" s="213"/>
    </row>
    <row r="71" spans="1:40" ht="12.75" customHeight="1">
      <c r="A71" s="398" t="s">
        <v>219</v>
      </c>
      <c r="B71" s="398" t="s">
        <v>459</v>
      </c>
      <c r="C71" s="274">
        <f t="shared" si="67"/>
        <v>2.2880964381720439E-4</v>
      </c>
      <c r="D71" s="547">
        <v>1</v>
      </c>
      <c r="E71" s="275">
        <v>1</v>
      </c>
      <c r="F71" s="275">
        <v>1</v>
      </c>
      <c r="G71" s="275">
        <v>800</v>
      </c>
      <c r="H71" s="276"/>
      <c r="I71" s="276">
        <v>0</v>
      </c>
      <c r="J71" s="276">
        <v>1.0532407407407407E-2</v>
      </c>
      <c r="K71" s="312" t="s">
        <v>1367</v>
      </c>
      <c r="L71" s="1235">
        <v>0.34375</v>
      </c>
      <c r="M71" s="451">
        <v>1.2</v>
      </c>
      <c r="N71" s="276">
        <f t="shared" ref="N71:N75" si="77">P71*E71*F71+I71*E71*F71+J71*E71</f>
        <v>1.9318697729988055E-2</v>
      </c>
      <c r="O71" s="296">
        <f t="shared" ref="O71" si="78">C71*(G71/25)</f>
        <v>7.3219086021505406E-3</v>
      </c>
      <c r="P71" s="296">
        <f>O71*M71</f>
        <v>8.7862903225806484E-3</v>
      </c>
      <c r="Q71" s="548">
        <v>129</v>
      </c>
      <c r="R71" s="275">
        <f>E71*F71*G71</f>
        <v>800</v>
      </c>
      <c r="S71" s="229">
        <f t="shared" si="68"/>
        <v>0.8</v>
      </c>
      <c r="T71" s="230">
        <f t="shared" si="69"/>
        <v>2.9287634408602162E-2</v>
      </c>
      <c r="U71" s="374">
        <f t="shared" si="70"/>
        <v>0.8</v>
      </c>
      <c r="V71" s="375">
        <f t="shared" si="71"/>
        <v>0</v>
      </c>
      <c r="W71" s="376">
        <f t="shared" si="72"/>
        <v>0</v>
      </c>
      <c r="X71" s="377">
        <f t="shared" si="73"/>
        <v>0</v>
      </c>
      <c r="Y71" s="378">
        <f t="shared" si="74"/>
        <v>0</v>
      </c>
      <c r="Z71" s="379">
        <f t="shared" si="75"/>
        <v>0</v>
      </c>
      <c r="AA71" s="380">
        <f t="shared" si="76"/>
        <v>0</v>
      </c>
      <c r="AC71" s="231"/>
      <c r="AD71" s="231"/>
      <c r="AE71" s="231"/>
      <c r="AF71" s="231"/>
      <c r="AG71" s="231"/>
      <c r="AH71" s="231"/>
      <c r="AI71" s="213"/>
      <c r="AJ71" s="213"/>
      <c r="AK71" s="213"/>
      <c r="AL71" s="213"/>
      <c r="AM71" s="213"/>
    </row>
    <row r="72" spans="1:40" ht="12.75" customHeight="1">
      <c r="A72" s="398" t="s">
        <v>138</v>
      </c>
      <c r="B72" s="398" t="s">
        <v>459</v>
      </c>
      <c r="C72" s="274">
        <f t="shared" si="67"/>
        <v>0</v>
      </c>
      <c r="D72" s="2532"/>
      <c r="E72" s="2533"/>
      <c r="F72" s="2533"/>
      <c r="G72" s="2533"/>
      <c r="H72" s="2534"/>
      <c r="I72" s="2534"/>
      <c r="J72" s="2534"/>
      <c r="K72" s="2557" t="s">
        <v>1366</v>
      </c>
      <c r="L72" s="2556">
        <f>L71+N71</f>
        <v>0.36306869772998807</v>
      </c>
      <c r="M72" s="2536"/>
      <c r="N72" s="1235">
        <v>3.8194444444444441E-2</v>
      </c>
      <c r="O72" s="2538"/>
      <c r="P72" s="296">
        <f>O72*M72</f>
        <v>0</v>
      </c>
      <c r="Q72" s="2539"/>
      <c r="R72" s="809"/>
      <c r="S72" s="229">
        <f t="shared" si="68"/>
        <v>0</v>
      </c>
      <c r="T72" s="230">
        <f t="shared" si="69"/>
        <v>0</v>
      </c>
      <c r="U72" s="374">
        <f t="shared" si="70"/>
        <v>0</v>
      </c>
      <c r="V72" s="375">
        <f t="shared" si="71"/>
        <v>0</v>
      </c>
      <c r="W72" s="376">
        <f t="shared" si="72"/>
        <v>0</v>
      </c>
      <c r="X72" s="377">
        <f t="shared" si="73"/>
        <v>0</v>
      </c>
      <c r="Y72" s="378">
        <f t="shared" si="74"/>
        <v>0</v>
      </c>
      <c r="Z72" s="379">
        <f t="shared" si="75"/>
        <v>0</v>
      </c>
      <c r="AA72" s="380">
        <f t="shared" si="76"/>
        <v>0</v>
      </c>
      <c r="AC72" s="231"/>
      <c r="AD72" s="231"/>
      <c r="AE72" s="231"/>
      <c r="AF72" s="231"/>
      <c r="AG72" s="231"/>
      <c r="AH72" s="231"/>
      <c r="AI72" s="213"/>
      <c r="AJ72" s="213"/>
      <c r="AK72" s="213"/>
      <c r="AL72" s="213"/>
      <c r="AM72" s="213"/>
    </row>
    <row r="73" spans="1:40" ht="12.75" customHeight="1">
      <c r="A73" s="398"/>
      <c r="B73" s="398"/>
      <c r="C73" s="274">
        <f t="shared" ref="C73" si="79">IF(D73=1,U$5,IF(D73=2,V$5,IF(D73=3,W$5,IF(D73=4,X$5,IF(D73=5,Y$5,IF(D73=6,Z$5,IF(D73=7,AA$5,0)))))))</f>
        <v>1.7682291666666674E-4</v>
      </c>
      <c r="D73" s="1054">
        <v>7</v>
      </c>
      <c r="E73" s="1043">
        <v>3</v>
      </c>
      <c r="F73" s="1043">
        <v>4</v>
      </c>
      <c r="G73" s="1043">
        <v>150</v>
      </c>
      <c r="H73" s="6911" t="s">
        <v>2430</v>
      </c>
      <c r="I73" s="1044">
        <v>3.4722222222222224E-4</v>
      </c>
      <c r="J73" s="1044">
        <v>2.0833333333333333E-3</v>
      </c>
      <c r="K73" s="1493" t="s">
        <v>2435</v>
      </c>
      <c r="L73" s="1007">
        <f>L72+N72</f>
        <v>0.40126314217443249</v>
      </c>
      <c r="M73" s="1063">
        <v>1.1000000000000001</v>
      </c>
      <c r="N73" s="1044">
        <f t="shared" ref="N73" si="80">P73*E73*F73+I73*E73*F73+J73*E73</f>
        <v>2.4421041666666671E-2</v>
      </c>
      <c r="O73" s="439">
        <f>C73*(G73/25)</f>
        <v>1.0609375000000005E-3</v>
      </c>
      <c r="P73" s="587">
        <f>O73*M73</f>
        <v>1.1670312500000005E-3</v>
      </c>
      <c r="Q73" s="446" t="s">
        <v>316</v>
      </c>
      <c r="R73" s="1045">
        <f>E73*F73*G73</f>
        <v>1800</v>
      </c>
      <c r="S73" s="229"/>
      <c r="T73" s="230"/>
      <c r="U73" s="374"/>
      <c r="V73" s="375"/>
      <c r="W73" s="376"/>
      <c r="X73" s="377"/>
      <c r="Y73" s="378"/>
      <c r="Z73" s="379"/>
      <c r="AA73" s="380"/>
      <c r="AC73" s="231"/>
      <c r="AD73" s="231"/>
      <c r="AE73" s="231"/>
      <c r="AF73" s="231"/>
      <c r="AG73" s="231"/>
      <c r="AH73" s="231"/>
      <c r="AI73" s="213"/>
      <c r="AJ73" s="213"/>
      <c r="AK73" s="213"/>
      <c r="AL73" s="213"/>
      <c r="AM73" s="213"/>
    </row>
    <row r="74" spans="1:40" ht="12" customHeight="1">
      <c r="A74" s="398" t="s">
        <v>779</v>
      </c>
      <c r="B74" s="398" t="s">
        <v>459</v>
      </c>
      <c r="C74" s="274">
        <f t="shared" si="67"/>
        <v>1.7682291666666674E-4</v>
      </c>
      <c r="D74" s="1054">
        <v>7</v>
      </c>
      <c r="E74" s="1043">
        <v>6</v>
      </c>
      <c r="F74" s="1043">
        <v>2</v>
      </c>
      <c r="G74" s="1043">
        <v>50</v>
      </c>
      <c r="H74" s="6911" t="s">
        <v>2432</v>
      </c>
      <c r="I74" s="1044">
        <v>3.4722222222222224E-4</v>
      </c>
      <c r="J74" s="1044">
        <v>2.7777777777777779E-3</v>
      </c>
      <c r="K74" s="1493" t="s">
        <v>2436</v>
      </c>
      <c r="L74" s="1007">
        <f>L72+N72</f>
        <v>0.40126314217443249</v>
      </c>
      <c r="M74" s="1063">
        <v>0.95</v>
      </c>
      <c r="N74" s="1044">
        <f t="shared" si="77"/>
        <v>2.4864895833333334E-2</v>
      </c>
      <c r="O74" s="439">
        <f>C74*(G74/25)</f>
        <v>3.5364583333333347E-4</v>
      </c>
      <c r="P74" s="587">
        <f>O74*M74</f>
        <v>3.3596354166666676E-4</v>
      </c>
      <c r="Q74" s="446" t="s">
        <v>316</v>
      </c>
      <c r="R74" s="1045">
        <f>E74*F74*G74</f>
        <v>600</v>
      </c>
      <c r="S74" s="229">
        <f t="shared" si="68"/>
        <v>0.6</v>
      </c>
      <c r="T74" s="230">
        <f t="shared" si="69"/>
        <v>1.6975000000000007E-2</v>
      </c>
      <c r="U74" s="374">
        <f t="shared" si="70"/>
        <v>0</v>
      </c>
      <c r="V74" s="375">
        <f t="shared" si="71"/>
        <v>0</v>
      </c>
      <c r="W74" s="376">
        <f t="shared" si="72"/>
        <v>0</v>
      </c>
      <c r="X74" s="377">
        <f t="shared" si="73"/>
        <v>0</v>
      </c>
      <c r="Y74" s="378">
        <f t="shared" si="74"/>
        <v>0</v>
      </c>
      <c r="Z74" s="379">
        <f t="shared" si="75"/>
        <v>0</v>
      </c>
      <c r="AA74" s="380">
        <f t="shared" si="76"/>
        <v>0.6</v>
      </c>
      <c r="AC74" s="231"/>
      <c r="AD74" s="231"/>
      <c r="AE74" s="231"/>
      <c r="AF74" s="231"/>
      <c r="AG74" s="231"/>
      <c r="AH74" s="231"/>
      <c r="AI74" s="213"/>
      <c r="AJ74" s="213"/>
      <c r="AK74" s="213"/>
      <c r="AL74" s="213"/>
      <c r="AM74" s="213"/>
    </row>
    <row r="75" spans="1:40" ht="12.75" customHeight="1">
      <c r="A75" s="398" t="s">
        <v>138</v>
      </c>
      <c r="B75" s="398" t="s">
        <v>459</v>
      </c>
      <c r="C75" s="274">
        <f>IF(D75=1,U$5,IF(D75=2,V$5,IF(D75=3,W$5,IF(D75=4,X$5,IF(D75=5,Y$5,IF(D75=6,Z$5,IF(D75=7,AA$5,0)))))))</f>
        <v>2.1908757716049393E-4</v>
      </c>
      <c r="D75" s="890">
        <v>2</v>
      </c>
      <c r="E75" s="300">
        <v>1</v>
      </c>
      <c r="F75" s="300">
        <v>1</v>
      </c>
      <c r="G75" s="300">
        <v>500</v>
      </c>
      <c r="H75" s="301"/>
      <c r="I75" s="301">
        <v>5.2083333333333333E-4</v>
      </c>
      <c r="J75" s="301">
        <v>1.3888888888888889E-3</v>
      </c>
      <c r="K75" s="1123" t="s">
        <v>901</v>
      </c>
      <c r="L75" s="994">
        <f t="shared" ref="L75" si="81">L74+N74</f>
        <v>0.42612803800776583</v>
      </c>
      <c r="M75" s="455">
        <v>1</v>
      </c>
      <c r="N75" s="301">
        <f t="shared" si="77"/>
        <v>6.2914737654321011E-3</v>
      </c>
      <c r="O75" s="302">
        <f t="shared" ref="O75" si="82">C75*(G75/25)</f>
        <v>4.3817515432098787E-3</v>
      </c>
      <c r="P75" s="302">
        <f>O75*M75</f>
        <v>4.3817515432098787E-3</v>
      </c>
      <c r="Q75" s="550">
        <v>196</v>
      </c>
      <c r="R75" s="369">
        <f>E75*F75*G75</f>
        <v>500</v>
      </c>
      <c r="S75" s="229">
        <f t="shared" si="68"/>
        <v>0.5</v>
      </c>
      <c r="T75" s="230">
        <f t="shared" si="69"/>
        <v>1.7527006172839515E-2</v>
      </c>
      <c r="U75" s="374">
        <f t="shared" si="70"/>
        <v>0</v>
      </c>
      <c r="V75" s="375">
        <f t="shared" si="71"/>
        <v>0.5</v>
      </c>
      <c r="W75" s="376">
        <f t="shared" si="72"/>
        <v>0</v>
      </c>
      <c r="X75" s="377">
        <f t="shared" si="73"/>
        <v>0</v>
      </c>
      <c r="Y75" s="378">
        <f t="shared" si="74"/>
        <v>0</v>
      </c>
      <c r="Z75" s="379">
        <f t="shared" si="75"/>
        <v>0</v>
      </c>
      <c r="AA75" s="380">
        <f t="shared" si="76"/>
        <v>0</v>
      </c>
      <c r="AC75" s="231"/>
      <c r="AD75" s="231"/>
      <c r="AE75" s="231"/>
      <c r="AF75" s="231"/>
      <c r="AG75" s="231"/>
      <c r="AH75" s="231"/>
      <c r="AI75" s="213"/>
      <c r="AJ75" s="213"/>
      <c r="AK75" s="213"/>
      <c r="AL75" s="213"/>
      <c r="AM75" s="213"/>
    </row>
    <row r="76" spans="1:40" ht="12.75" customHeight="1" thickBot="1">
      <c r="A76" s="398" t="s">
        <v>220</v>
      </c>
      <c r="B76" s="398" t="s">
        <v>459</v>
      </c>
      <c r="C76" s="274">
        <f t="shared" si="67"/>
        <v>0</v>
      </c>
      <c r="D76" s="1357"/>
      <c r="E76" s="809"/>
      <c r="F76" s="809"/>
      <c r="G76" s="809"/>
      <c r="H76" s="2552"/>
      <c r="I76" s="2552"/>
      <c r="J76" s="2552"/>
      <c r="K76" s="2553"/>
      <c r="L76" s="1003">
        <f>L75+N75</f>
        <v>0.43241951177319793</v>
      </c>
      <c r="M76" s="2554"/>
      <c r="N76" s="1439"/>
      <c r="O76" s="2555"/>
      <c r="P76" s="204"/>
      <c r="Q76" s="1358"/>
      <c r="R76" s="1440">
        <f>SUM(R71:R74)</f>
        <v>3200</v>
      </c>
      <c r="S76" s="229">
        <f t="shared" si="68"/>
        <v>0</v>
      </c>
      <c r="T76" s="230">
        <f t="shared" si="69"/>
        <v>0</v>
      </c>
      <c r="U76" s="374">
        <f t="shared" si="70"/>
        <v>0</v>
      </c>
      <c r="V76" s="375">
        <f t="shared" si="71"/>
        <v>0</v>
      </c>
      <c r="W76" s="376">
        <f t="shared" si="72"/>
        <v>0</v>
      </c>
      <c r="X76" s="377">
        <f t="shared" si="73"/>
        <v>0</v>
      </c>
      <c r="Y76" s="378">
        <f t="shared" si="74"/>
        <v>0</v>
      </c>
      <c r="Z76" s="379">
        <f t="shared" si="75"/>
        <v>0</v>
      </c>
      <c r="AA76" s="380">
        <f t="shared" si="76"/>
        <v>0</v>
      </c>
      <c r="AC76" s="231"/>
      <c r="AD76" s="231"/>
      <c r="AE76" s="231"/>
      <c r="AF76" s="231"/>
      <c r="AG76" s="231"/>
      <c r="AH76" s="231"/>
      <c r="AI76" s="213"/>
      <c r="AJ76" s="213"/>
      <c r="AK76" s="213"/>
      <c r="AL76" s="213"/>
      <c r="AM76" s="213"/>
    </row>
    <row r="77" spans="1:40" ht="15" customHeight="1" thickTop="1" thickBot="1">
      <c r="A77" s="851"/>
      <c r="B77" s="1124"/>
      <c r="C77" s="205"/>
      <c r="D77" s="4444"/>
      <c r="E77" s="4594">
        <f>U77*100000/$Q$77</f>
        <v>18.19126819126819</v>
      </c>
      <c r="F77" s="4594">
        <f t="shared" ref="F77:K77" si="83">V77*100000/$Q$77</f>
        <v>19.057519057519059</v>
      </c>
      <c r="G77" s="4594">
        <f t="shared" si="83"/>
        <v>17.758142758142757</v>
      </c>
      <c r="H77" s="4594">
        <f t="shared" si="83"/>
        <v>6.2370062370062369</v>
      </c>
      <c r="I77" s="4594">
        <f t="shared" si="83"/>
        <v>7.6663201663201672</v>
      </c>
      <c r="J77" s="4594">
        <f t="shared" si="83"/>
        <v>14.758749133749134</v>
      </c>
      <c r="K77" s="4595">
        <f t="shared" si="83"/>
        <v>16.330994455994457</v>
      </c>
      <c r="L77" s="4378" t="s">
        <v>1922</v>
      </c>
      <c r="M77" s="525"/>
      <c r="N77" s="235"/>
      <c r="O77" s="235"/>
      <c r="P77" s="235"/>
      <c r="Q77" s="7879">
        <f>AB77*1000</f>
        <v>23088</v>
      </c>
      <c r="R77" s="7880"/>
      <c r="S77" s="4640"/>
      <c r="T77" s="239"/>
      <c r="U77" s="240">
        <f t="shared" ref="U77:AA77" si="84">SUM(U6:U76)</f>
        <v>4.2</v>
      </c>
      <c r="V77" s="240">
        <f t="shared" si="84"/>
        <v>4.4000000000000004</v>
      </c>
      <c r="W77" s="240">
        <f t="shared" si="84"/>
        <v>4.0999999999999996</v>
      </c>
      <c r="X77" s="240">
        <f t="shared" si="84"/>
        <v>1.44</v>
      </c>
      <c r="Y77" s="240">
        <f t="shared" si="84"/>
        <v>1.7700000000000002</v>
      </c>
      <c r="Z77" s="240">
        <f t="shared" si="84"/>
        <v>3.4075000000000002</v>
      </c>
      <c r="AA77" s="240">
        <f t="shared" si="84"/>
        <v>3.7705000000000002</v>
      </c>
      <c r="AB77" s="565">
        <f>SUM(U77:AA77)</f>
        <v>23.088000000000001</v>
      </c>
      <c r="AC77" s="231">
        <v>0</v>
      </c>
      <c r="AD77" s="231">
        <v>0</v>
      </c>
      <c r="AE77" s="222"/>
      <c r="AF77" s="222"/>
      <c r="AG77" s="222"/>
      <c r="AH77" s="222"/>
      <c r="AI77" s="222"/>
    </row>
    <row r="78" spans="1:40" ht="14" customHeight="1" thickBot="1">
      <c r="A78" s="851"/>
      <c r="B78" s="1124"/>
      <c r="C78" s="144"/>
      <c r="D78" s="4444"/>
      <c r="E78" s="4521">
        <f>E77*15/100</f>
        <v>2.7286902286902284</v>
      </c>
      <c r="F78" s="4522">
        <f t="shared" ref="F78:K78" si="85">F77*15/100</f>
        <v>2.8586278586278588</v>
      </c>
      <c r="G78" s="4523">
        <f t="shared" si="85"/>
        <v>2.6637214137214134</v>
      </c>
      <c r="H78" s="4524">
        <f t="shared" si="85"/>
        <v>0.93555093555093549</v>
      </c>
      <c r="I78" s="4525">
        <f t="shared" si="85"/>
        <v>1.1499480249480252</v>
      </c>
      <c r="J78" s="4526">
        <f t="shared" si="85"/>
        <v>2.2138123700623704</v>
      </c>
      <c r="K78" s="4527">
        <f t="shared" si="85"/>
        <v>2.4496491683991684</v>
      </c>
      <c r="L78" s="4378" t="s">
        <v>1252</v>
      </c>
      <c r="M78" s="144"/>
      <c r="N78" s="144"/>
      <c r="O78" s="144"/>
      <c r="P78" s="144"/>
      <c r="Q78" s="144"/>
      <c r="R78" s="144"/>
      <c r="S78" s="144"/>
      <c r="T78" s="144"/>
      <c r="U78" s="566">
        <f>IF(U77&gt;0,U77,#REF!)</f>
        <v>4.2</v>
      </c>
      <c r="V78" s="566">
        <f>IF(V77&gt;0,V77,#REF!)</f>
        <v>4.4000000000000004</v>
      </c>
      <c r="W78" s="566">
        <f>IF(W77&gt;0,W77,#REF!)</f>
        <v>4.0999999999999996</v>
      </c>
      <c r="X78" s="566">
        <f>IF(X77&gt;0,X77,#REF!)</f>
        <v>1.44</v>
      </c>
      <c r="Y78" s="566">
        <f>IF(Y77&gt;0,Y77,#REF!)</f>
        <v>1.7700000000000002</v>
      </c>
      <c r="Z78" s="566">
        <f>IF(Z77&gt;0,Z77,#REF!)</f>
        <v>3.4075000000000002</v>
      </c>
      <c r="AA78" s="566">
        <f>IF(AA77&gt;0,AA77,#REF!)</f>
        <v>3.7705000000000002</v>
      </c>
      <c r="AB78" s="144"/>
      <c r="AC78" s="213"/>
      <c r="AD78" s="213"/>
      <c r="AE78" s="222"/>
      <c r="AF78" s="222"/>
      <c r="AG78" s="222"/>
      <c r="AH78" s="222"/>
      <c r="AI78" s="222"/>
      <c r="AJ78" s="213"/>
      <c r="AK78" s="213"/>
      <c r="AL78" s="213"/>
      <c r="AM78" s="213"/>
    </row>
    <row r="79" spans="1:40" s="245" customFormat="1" ht="15" customHeight="1">
      <c r="A79" s="851"/>
      <c r="B79" s="112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566">
        <f t="shared" ref="U79:AA94" si="86">IF(U78&gt;0,U78,U77)</f>
        <v>4.2</v>
      </c>
      <c r="V79" s="566">
        <f t="shared" si="86"/>
        <v>4.4000000000000004</v>
      </c>
      <c r="W79" s="566">
        <f t="shared" si="86"/>
        <v>4.0999999999999996</v>
      </c>
      <c r="X79" s="566">
        <f t="shared" si="86"/>
        <v>1.44</v>
      </c>
      <c r="Y79" s="566">
        <f t="shared" si="86"/>
        <v>1.7700000000000002</v>
      </c>
      <c r="Z79" s="566">
        <f t="shared" si="86"/>
        <v>3.4075000000000002</v>
      </c>
      <c r="AA79" s="566">
        <f t="shared" si="86"/>
        <v>3.7705000000000002</v>
      </c>
      <c r="AB79" s="144"/>
      <c r="AC79" s="214"/>
      <c r="AD79" s="214"/>
      <c r="AE79" s="222"/>
      <c r="AF79" s="222"/>
      <c r="AG79" s="222"/>
      <c r="AH79" s="222"/>
      <c r="AI79" s="222"/>
      <c r="AJ79" s="214"/>
      <c r="AK79" s="214"/>
      <c r="AL79" s="214"/>
      <c r="AM79" s="214"/>
      <c r="AN79" s="244"/>
    </row>
    <row r="80" spans="1:40" ht="10.25" customHeight="1">
      <c r="A80" s="851"/>
      <c r="B80" s="112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566">
        <f t="shared" si="86"/>
        <v>4.2</v>
      </c>
      <c r="V80" s="566">
        <f t="shared" si="86"/>
        <v>4.4000000000000004</v>
      </c>
      <c r="W80" s="566">
        <f t="shared" si="86"/>
        <v>4.0999999999999996</v>
      </c>
      <c r="X80" s="566">
        <f t="shared" si="86"/>
        <v>1.44</v>
      </c>
      <c r="Y80" s="566">
        <f t="shared" si="86"/>
        <v>1.7700000000000002</v>
      </c>
      <c r="Z80" s="566">
        <f t="shared" si="86"/>
        <v>3.4075000000000002</v>
      </c>
      <c r="AA80" s="566">
        <f t="shared" si="86"/>
        <v>3.7705000000000002</v>
      </c>
      <c r="AB80" s="144"/>
      <c r="AE80" s="222"/>
      <c r="AF80" s="222"/>
      <c r="AG80" s="222"/>
      <c r="AH80" s="222"/>
      <c r="AI80" s="222"/>
    </row>
    <row r="81" spans="1:40" ht="15.75" customHeight="1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566">
        <f t="shared" si="86"/>
        <v>4.2</v>
      </c>
      <c r="V81" s="566">
        <f t="shared" si="86"/>
        <v>4.4000000000000004</v>
      </c>
      <c r="W81" s="566">
        <f t="shared" si="86"/>
        <v>4.0999999999999996</v>
      </c>
      <c r="X81" s="566">
        <f t="shared" si="86"/>
        <v>1.44</v>
      </c>
      <c r="Y81" s="566">
        <f t="shared" si="86"/>
        <v>1.7700000000000002</v>
      </c>
      <c r="Z81" s="566">
        <f t="shared" si="86"/>
        <v>3.4075000000000002</v>
      </c>
      <c r="AA81" s="566">
        <f t="shared" si="86"/>
        <v>3.7705000000000002</v>
      </c>
      <c r="AB81" s="144"/>
    </row>
    <row r="82" spans="1:40" ht="72" customHeight="1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566">
        <f t="shared" si="86"/>
        <v>4.2</v>
      </c>
      <c r="V82" s="566">
        <f t="shared" si="86"/>
        <v>4.4000000000000004</v>
      </c>
      <c r="W82" s="566">
        <f t="shared" si="86"/>
        <v>4.0999999999999996</v>
      </c>
      <c r="X82" s="566">
        <f t="shared" si="86"/>
        <v>1.44</v>
      </c>
      <c r="Y82" s="566">
        <f t="shared" si="86"/>
        <v>1.7700000000000002</v>
      </c>
      <c r="Z82" s="566">
        <f t="shared" si="86"/>
        <v>3.4075000000000002</v>
      </c>
      <c r="AA82" s="566">
        <f t="shared" si="86"/>
        <v>3.7705000000000002</v>
      </c>
      <c r="AB82" s="144"/>
      <c r="AC82" s="221"/>
      <c r="AD82" s="222"/>
      <c r="AE82" s="222"/>
      <c r="AF82" s="222"/>
      <c r="AG82" s="222"/>
      <c r="AH82" s="222"/>
      <c r="AI82" s="220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566">
        <f t="shared" si="86"/>
        <v>4.2</v>
      </c>
      <c r="V83" s="566">
        <f t="shared" si="86"/>
        <v>4.4000000000000004</v>
      </c>
      <c r="W83" s="566">
        <f t="shared" si="86"/>
        <v>4.0999999999999996</v>
      </c>
      <c r="X83" s="566">
        <f t="shared" si="86"/>
        <v>1.44</v>
      </c>
      <c r="Y83" s="566">
        <f t="shared" si="86"/>
        <v>1.7700000000000002</v>
      </c>
      <c r="Z83" s="566">
        <f t="shared" si="86"/>
        <v>3.4075000000000002</v>
      </c>
      <c r="AA83" s="566">
        <f t="shared" si="86"/>
        <v>3.7705000000000002</v>
      </c>
      <c r="AB83" s="144"/>
      <c r="AC83" s="231" t="s">
        <v>193</v>
      </c>
      <c r="AD83" s="227"/>
      <c r="AE83" s="227"/>
      <c r="AF83" s="227"/>
      <c r="AG83" s="227"/>
      <c r="AH83" s="227"/>
      <c r="AI83" s="225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566">
        <f t="shared" si="86"/>
        <v>4.2</v>
      </c>
      <c r="V84" s="566">
        <f t="shared" si="86"/>
        <v>4.4000000000000004</v>
      </c>
      <c r="W84" s="566">
        <f t="shared" si="86"/>
        <v>4.0999999999999996</v>
      </c>
      <c r="X84" s="566">
        <f t="shared" si="86"/>
        <v>1.44</v>
      </c>
      <c r="Y84" s="566">
        <f t="shared" si="86"/>
        <v>1.7700000000000002</v>
      </c>
      <c r="Z84" s="566">
        <f t="shared" si="86"/>
        <v>3.4075000000000002</v>
      </c>
      <c r="AA84" s="566">
        <f t="shared" si="86"/>
        <v>3.7705000000000002</v>
      </c>
      <c r="AB84" s="144"/>
      <c r="AC84" s="231">
        <v>0</v>
      </c>
      <c r="AD84" s="231">
        <v>0</v>
      </c>
      <c r="AE84" s="231">
        <v>0</v>
      </c>
      <c r="AF84" s="231">
        <v>0</v>
      </c>
      <c r="AG84" s="231">
        <v>0</v>
      </c>
      <c r="AH84" s="231">
        <v>0</v>
      </c>
      <c r="AI84" s="225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566">
        <f t="shared" si="86"/>
        <v>4.2</v>
      </c>
      <c r="V85" s="566">
        <f t="shared" si="86"/>
        <v>4.4000000000000004</v>
      </c>
      <c r="W85" s="566">
        <f t="shared" si="86"/>
        <v>4.0999999999999996</v>
      </c>
      <c r="X85" s="566">
        <f t="shared" si="86"/>
        <v>1.44</v>
      </c>
      <c r="Y85" s="566">
        <f t="shared" si="86"/>
        <v>1.7700000000000002</v>
      </c>
      <c r="Z85" s="566">
        <f t="shared" si="86"/>
        <v>3.4075000000000002</v>
      </c>
      <c r="AA85" s="566">
        <f t="shared" si="86"/>
        <v>3.7705000000000002</v>
      </c>
      <c r="AB85" s="144"/>
      <c r="AC85" s="231"/>
      <c r="AD85" s="231"/>
      <c r="AE85" s="231"/>
      <c r="AF85" s="231"/>
      <c r="AG85" s="231"/>
      <c r="AH85" s="231"/>
      <c r="AI85" s="225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566">
        <f t="shared" si="86"/>
        <v>4.2</v>
      </c>
      <c r="V86" s="566">
        <f t="shared" si="86"/>
        <v>4.4000000000000004</v>
      </c>
      <c r="W86" s="566">
        <f t="shared" si="86"/>
        <v>4.0999999999999996</v>
      </c>
      <c r="X86" s="566">
        <f t="shared" si="86"/>
        <v>1.44</v>
      </c>
      <c r="Y86" s="566">
        <f t="shared" si="86"/>
        <v>1.7700000000000002</v>
      </c>
      <c r="Z86" s="566">
        <f t="shared" si="86"/>
        <v>3.4075000000000002</v>
      </c>
      <c r="AA86" s="566">
        <f t="shared" si="86"/>
        <v>3.7705000000000002</v>
      </c>
      <c r="AB86" s="144"/>
      <c r="AC86" s="231"/>
      <c r="AD86" s="231"/>
      <c r="AE86" s="231"/>
      <c r="AF86" s="231"/>
      <c r="AG86" s="231"/>
      <c r="AH86" s="231"/>
      <c r="AI86" s="225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566">
        <f t="shared" si="86"/>
        <v>4.2</v>
      </c>
      <c r="V87" s="566">
        <f t="shared" si="86"/>
        <v>4.4000000000000004</v>
      </c>
      <c r="W87" s="566">
        <f t="shared" si="86"/>
        <v>4.0999999999999996</v>
      </c>
      <c r="X87" s="566">
        <f t="shared" si="86"/>
        <v>1.44</v>
      </c>
      <c r="Y87" s="566">
        <f t="shared" si="86"/>
        <v>1.7700000000000002</v>
      </c>
      <c r="Z87" s="566">
        <f t="shared" si="86"/>
        <v>3.4075000000000002</v>
      </c>
      <c r="AA87" s="566">
        <f t="shared" si="86"/>
        <v>3.7705000000000002</v>
      </c>
      <c r="AB87" s="144"/>
      <c r="AC87" s="231">
        <v>0</v>
      </c>
      <c r="AD87" s="231">
        <v>0</v>
      </c>
      <c r="AE87" s="231">
        <v>0</v>
      </c>
      <c r="AF87" s="231">
        <v>0</v>
      </c>
      <c r="AG87" s="231">
        <v>0</v>
      </c>
      <c r="AH87" s="231">
        <v>0</v>
      </c>
      <c r="AI87" s="225"/>
      <c r="AJ87" s="204"/>
      <c r="AK87" s="204"/>
      <c r="AL87" s="204"/>
      <c r="AM87" s="204"/>
      <c r="AN87" s="204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566">
        <f t="shared" si="86"/>
        <v>4.2</v>
      </c>
      <c r="V88" s="566">
        <f t="shared" si="86"/>
        <v>4.4000000000000004</v>
      </c>
      <c r="W88" s="566">
        <f t="shared" si="86"/>
        <v>4.0999999999999996</v>
      </c>
      <c r="X88" s="566">
        <f t="shared" si="86"/>
        <v>1.44</v>
      </c>
      <c r="Y88" s="566">
        <f t="shared" si="86"/>
        <v>1.7700000000000002</v>
      </c>
      <c r="Z88" s="566">
        <f t="shared" si="86"/>
        <v>3.4075000000000002</v>
      </c>
      <c r="AA88" s="566">
        <f t="shared" si="86"/>
        <v>3.7705000000000002</v>
      </c>
      <c r="AB88" s="144"/>
      <c r="AC88" s="231">
        <v>0</v>
      </c>
      <c r="AD88" s="231">
        <v>0</v>
      </c>
      <c r="AE88" s="231">
        <v>0</v>
      </c>
      <c r="AF88" s="231">
        <v>0</v>
      </c>
      <c r="AG88" s="231">
        <v>0</v>
      </c>
      <c r="AH88" s="231">
        <v>0</v>
      </c>
      <c r="AI88" s="213"/>
      <c r="AJ88" s="204"/>
      <c r="AK88" s="204"/>
      <c r="AL88" s="204"/>
      <c r="AM88" s="204"/>
      <c r="AN88" s="204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566">
        <f t="shared" si="86"/>
        <v>4.2</v>
      </c>
      <c r="V89" s="566">
        <f t="shared" si="86"/>
        <v>4.4000000000000004</v>
      </c>
      <c r="W89" s="566">
        <f t="shared" si="86"/>
        <v>4.0999999999999996</v>
      </c>
      <c r="X89" s="566">
        <f t="shared" si="86"/>
        <v>1.44</v>
      </c>
      <c r="Y89" s="566">
        <f t="shared" si="86"/>
        <v>1.7700000000000002</v>
      </c>
      <c r="Z89" s="566">
        <f t="shared" si="86"/>
        <v>3.4075000000000002</v>
      </c>
      <c r="AA89" s="566">
        <f t="shared" si="86"/>
        <v>3.7705000000000002</v>
      </c>
      <c r="AB89" s="144"/>
      <c r="AC89" s="231"/>
      <c r="AD89" s="231"/>
      <c r="AE89" s="231"/>
      <c r="AF89" s="231"/>
      <c r="AG89" s="231"/>
      <c r="AH89" s="231"/>
      <c r="AI89" s="213"/>
      <c r="AJ89" s="204"/>
      <c r="AK89" s="204"/>
      <c r="AL89" s="204"/>
      <c r="AM89" s="204"/>
      <c r="AN89" s="204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566">
        <f t="shared" si="86"/>
        <v>4.2</v>
      </c>
      <c r="V90" s="566">
        <f t="shared" si="86"/>
        <v>4.4000000000000004</v>
      </c>
      <c r="W90" s="566">
        <f t="shared" si="86"/>
        <v>4.0999999999999996</v>
      </c>
      <c r="X90" s="566">
        <f t="shared" si="86"/>
        <v>1.44</v>
      </c>
      <c r="Y90" s="566">
        <f t="shared" si="86"/>
        <v>1.7700000000000002</v>
      </c>
      <c r="Z90" s="566">
        <f t="shared" si="86"/>
        <v>3.4075000000000002</v>
      </c>
      <c r="AA90" s="566">
        <f t="shared" si="86"/>
        <v>3.7705000000000002</v>
      </c>
      <c r="AB90" s="144"/>
      <c r="AC90" s="231"/>
      <c r="AD90" s="231"/>
      <c r="AE90" s="231"/>
      <c r="AF90" s="231"/>
      <c r="AG90" s="231"/>
      <c r="AH90" s="231"/>
      <c r="AI90" s="213"/>
      <c r="AJ90" s="204"/>
      <c r="AK90" s="204"/>
      <c r="AL90" s="204"/>
      <c r="AM90" s="204"/>
      <c r="AN90" s="204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566">
        <f t="shared" si="86"/>
        <v>4.2</v>
      </c>
      <c r="V91" s="566">
        <f t="shared" si="86"/>
        <v>4.4000000000000004</v>
      </c>
      <c r="W91" s="566">
        <f t="shared" si="86"/>
        <v>4.0999999999999996</v>
      </c>
      <c r="X91" s="566">
        <f t="shared" si="86"/>
        <v>1.44</v>
      </c>
      <c r="Y91" s="566">
        <f t="shared" si="86"/>
        <v>1.7700000000000002</v>
      </c>
      <c r="Z91" s="566">
        <f t="shared" si="86"/>
        <v>3.4075000000000002</v>
      </c>
      <c r="AA91" s="566">
        <f t="shared" si="86"/>
        <v>3.7705000000000002</v>
      </c>
      <c r="AB91" s="144"/>
      <c r="AC91" s="231">
        <v>0</v>
      </c>
      <c r="AD91" s="231">
        <v>0</v>
      </c>
      <c r="AE91" s="231">
        <v>0</v>
      </c>
      <c r="AF91" s="231">
        <v>0</v>
      </c>
      <c r="AG91" s="231">
        <v>0</v>
      </c>
      <c r="AH91" s="231">
        <v>0</v>
      </c>
      <c r="AI91" s="213"/>
      <c r="AJ91" s="204"/>
      <c r="AK91" s="204"/>
      <c r="AL91" s="204"/>
      <c r="AM91" s="204"/>
      <c r="AN91" s="204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566">
        <f t="shared" si="86"/>
        <v>4.2</v>
      </c>
      <c r="V92" s="566">
        <f t="shared" si="86"/>
        <v>4.4000000000000004</v>
      </c>
      <c r="W92" s="566">
        <f t="shared" si="86"/>
        <v>4.0999999999999996</v>
      </c>
      <c r="X92" s="566">
        <f t="shared" si="86"/>
        <v>1.44</v>
      </c>
      <c r="Y92" s="566">
        <f t="shared" si="86"/>
        <v>1.7700000000000002</v>
      </c>
      <c r="Z92" s="566">
        <f t="shared" si="86"/>
        <v>3.4075000000000002</v>
      </c>
      <c r="AA92" s="566">
        <f t="shared" si="86"/>
        <v>3.7705000000000002</v>
      </c>
      <c r="AB92" s="144"/>
      <c r="AC92" s="231">
        <v>0</v>
      </c>
      <c r="AD92" s="231">
        <v>0</v>
      </c>
      <c r="AE92" s="231">
        <v>0</v>
      </c>
      <c r="AF92" s="231">
        <v>0</v>
      </c>
      <c r="AG92" s="231">
        <v>0</v>
      </c>
      <c r="AH92" s="231">
        <v>0</v>
      </c>
      <c r="AI92" s="213"/>
      <c r="AJ92" s="204"/>
      <c r="AK92" s="204"/>
      <c r="AL92" s="204"/>
      <c r="AM92" s="204"/>
      <c r="AN92" s="204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566">
        <f t="shared" si="86"/>
        <v>4.2</v>
      </c>
      <c r="V93" s="566">
        <f t="shared" si="86"/>
        <v>4.4000000000000004</v>
      </c>
      <c r="W93" s="566">
        <f t="shared" si="86"/>
        <v>4.0999999999999996</v>
      </c>
      <c r="X93" s="566">
        <f t="shared" si="86"/>
        <v>1.44</v>
      </c>
      <c r="Y93" s="566">
        <f t="shared" si="86"/>
        <v>1.7700000000000002</v>
      </c>
      <c r="Z93" s="566">
        <f t="shared" si="86"/>
        <v>3.4075000000000002</v>
      </c>
      <c r="AA93" s="566">
        <f t="shared" si="86"/>
        <v>3.7705000000000002</v>
      </c>
      <c r="AB93" s="144"/>
      <c r="AC93" s="231">
        <v>0</v>
      </c>
      <c r="AD93" s="231">
        <v>0</v>
      </c>
      <c r="AE93" s="231">
        <v>0</v>
      </c>
      <c r="AF93" s="231">
        <v>0</v>
      </c>
      <c r="AG93" s="231">
        <v>0</v>
      </c>
      <c r="AH93" s="231">
        <v>0</v>
      </c>
      <c r="AI93" s="213"/>
      <c r="AJ93" s="204"/>
      <c r="AK93" s="204"/>
      <c r="AL93" s="204"/>
      <c r="AM93" s="204"/>
      <c r="AN93" s="204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566">
        <f t="shared" si="86"/>
        <v>4.2</v>
      </c>
      <c r="V94" s="566">
        <f t="shared" si="86"/>
        <v>4.4000000000000004</v>
      </c>
      <c r="W94" s="566">
        <f t="shared" si="86"/>
        <v>4.0999999999999996</v>
      </c>
      <c r="X94" s="566">
        <f t="shared" si="86"/>
        <v>1.44</v>
      </c>
      <c r="Y94" s="566">
        <f t="shared" si="86"/>
        <v>1.7700000000000002</v>
      </c>
      <c r="Z94" s="566">
        <f t="shared" si="86"/>
        <v>3.4075000000000002</v>
      </c>
      <c r="AA94" s="566">
        <f t="shared" si="86"/>
        <v>3.7705000000000002</v>
      </c>
      <c r="AB94" s="144"/>
      <c r="AC94" s="231">
        <v>0</v>
      </c>
      <c r="AD94" s="231">
        <v>0</v>
      </c>
      <c r="AE94" s="231">
        <v>0</v>
      </c>
      <c r="AF94" s="231">
        <v>0</v>
      </c>
      <c r="AG94" s="231">
        <v>0</v>
      </c>
      <c r="AH94" s="231">
        <v>0</v>
      </c>
      <c r="AI94" s="213"/>
      <c r="AJ94" s="204"/>
      <c r="AK94" s="204"/>
      <c r="AL94" s="204"/>
      <c r="AM94" s="204"/>
      <c r="AN94" s="204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566">
        <f t="shared" ref="U95:AA110" si="87">IF(U94&gt;0,U94,U93)</f>
        <v>4.2</v>
      </c>
      <c r="V95" s="566">
        <f t="shared" si="87"/>
        <v>4.4000000000000004</v>
      </c>
      <c r="W95" s="566">
        <f t="shared" si="87"/>
        <v>4.0999999999999996</v>
      </c>
      <c r="X95" s="566">
        <f t="shared" si="87"/>
        <v>1.44</v>
      </c>
      <c r="Y95" s="566">
        <f t="shared" si="87"/>
        <v>1.7700000000000002</v>
      </c>
      <c r="Z95" s="566">
        <f t="shared" si="87"/>
        <v>3.4075000000000002</v>
      </c>
      <c r="AA95" s="566">
        <f t="shared" si="87"/>
        <v>3.7705000000000002</v>
      </c>
      <c r="AB95" s="144"/>
      <c r="AC95" s="231"/>
      <c r="AD95" s="231"/>
      <c r="AE95" s="231"/>
      <c r="AF95" s="231"/>
      <c r="AG95" s="231"/>
      <c r="AH95" s="231"/>
      <c r="AI95" s="213"/>
      <c r="AJ95" s="204"/>
      <c r="AK95" s="204"/>
      <c r="AL95" s="204"/>
      <c r="AM95" s="204"/>
      <c r="AN95" s="204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566">
        <f t="shared" si="87"/>
        <v>4.2</v>
      </c>
      <c r="V96" s="566">
        <f t="shared" si="87"/>
        <v>4.4000000000000004</v>
      </c>
      <c r="W96" s="566">
        <f t="shared" si="87"/>
        <v>4.0999999999999996</v>
      </c>
      <c r="X96" s="566">
        <f t="shared" si="87"/>
        <v>1.44</v>
      </c>
      <c r="Y96" s="566">
        <f t="shared" si="87"/>
        <v>1.7700000000000002</v>
      </c>
      <c r="Z96" s="566">
        <f t="shared" si="87"/>
        <v>3.4075000000000002</v>
      </c>
      <c r="AA96" s="566">
        <f t="shared" si="87"/>
        <v>3.7705000000000002</v>
      </c>
      <c r="AB96" s="144"/>
      <c r="AC96" s="231"/>
      <c r="AD96" s="231"/>
      <c r="AE96" s="231"/>
      <c r="AF96" s="231"/>
      <c r="AG96" s="231"/>
      <c r="AH96" s="231"/>
      <c r="AI96" s="213"/>
      <c r="AJ96" s="204"/>
      <c r="AK96" s="204"/>
      <c r="AL96" s="204"/>
      <c r="AM96" s="204"/>
      <c r="AN96" s="204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566">
        <f t="shared" si="87"/>
        <v>4.2</v>
      </c>
      <c r="V97" s="566">
        <f t="shared" si="87"/>
        <v>4.4000000000000004</v>
      </c>
      <c r="W97" s="566">
        <f t="shared" si="87"/>
        <v>4.0999999999999996</v>
      </c>
      <c r="X97" s="566">
        <f t="shared" si="87"/>
        <v>1.44</v>
      </c>
      <c r="Y97" s="566">
        <f t="shared" si="87"/>
        <v>1.7700000000000002</v>
      </c>
      <c r="Z97" s="566">
        <f t="shared" si="87"/>
        <v>3.4075000000000002</v>
      </c>
      <c r="AA97" s="566">
        <f t="shared" si="87"/>
        <v>3.7705000000000002</v>
      </c>
      <c r="AB97" s="144"/>
      <c r="AC97" s="231">
        <v>0</v>
      </c>
      <c r="AD97" s="231">
        <v>0</v>
      </c>
      <c r="AE97" s="231">
        <v>0</v>
      </c>
      <c r="AF97" s="231">
        <v>0</v>
      </c>
      <c r="AG97" s="231">
        <v>0</v>
      </c>
      <c r="AH97" s="231">
        <v>0</v>
      </c>
      <c r="AI97" s="213"/>
      <c r="AJ97" s="204"/>
      <c r="AK97" s="204"/>
      <c r="AL97" s="204"/>
      <c r="AM97" s="204"/>
      <c r="AN97" s="204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566">
        <f t="shared" si="87"/>
        <v>4.2</v>
      </c>
      <c r="V98" s="566">
        <f t="shared" si="87"/>
        <v>4.4000000000000004</v>
      </c>
      <c r="W98" s="566">
        <f t="shared" si="87"/>
        <v>4.0999999999999996</v>
      </c>
      <c r="X98" s="566">
        <f t="shared" si="87"/>
        <v>1.44</v>
      </c>
      <c r="Y98" s="566">
        <f t="shared" si="87"/>
        <v>1.7700000000000002</v>
      </c>
      <c r="Z98" s="566">
        <f t="shared" si="87"/>
        <v>3.4075000000000002</v>
      </c>
      <c r="AA98" s="566">
        <f t="shared" si="87"/>
        <v>3.7705000000000002</v>
      </c>
      <c r="AB98" s="144"/>
      <c r="AC98" s="231">
        <v>0</v>
      </c>
      <c r="AD98" s="231">
        <v>0</v>
      </c>
      <c r="AE98" s="231">
        <v>0</v>
      </c>
      <c r="AF98" s="231">
        <v>0</v>
      </c>
      <c r="AG98" s="231">
        <v>0</v>
      </c>
      <c r="AH98" s="231">
        <v>0</v>
      </c>
      <c r="AI98" s="213"/>
      <c r="AJ98" s="204"/>
      <c r="AK98" s="204"/>
      <c r="AL98" s="204"/>
      <c r="AM98" s="204"/>
      <c r="AN98" s="204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566">
        <f t="shared" si="87"/>
        <v>4.2</v>
      </c>
      <c r="V99" s="566">
        <f t="shared" si="87"/>
        <v>4.4000000000000004</v>
      </c>
      <c r="W99" s="566">
        <f t="shared" si="87"/>
        <v>4.0999999999999996</v>
      </c>
      <c r="X99" s="566">
        <f t="shared" si="87"/>
        <v>1.44</v>
      </c>
      <c r="Y99" s="566">
        <f t="shared" si="87"/>
        <v>1.7700000000000002</v>
      </c>
      <c r="Z99" s="566">
        <f t="shared" si="87"/>
        <v>3.4075000000000002</v>
      </c>
      <c r="AA99" s="566">
        <f t="shared" si="87"/>
        <v>3.7705000000000002</v>
      </c>
      <c r="AB99" s="144"/>
      <c r="AC99" s="231">
        <v>0</v>
      </c>
      <c r="AD99" s="231">
        <v>0</v>
      </c>
      <c r="AE99" s="231">
        <v>0</v>
      </c>
      <c r="AF99" s="231">
        <v>0</v>
      </c>
      <c r="AG99" s="231">
        <v>0</v>
      </c>
      <c r="AH99" s="231">
        <v>0</v>
      </c>
      <c r="AI99" s="213"/>
      <c r="AJ99" s="204"/>
      <c r="AK99" s="204"/>
      <c r="AL99" s="204"/>
      <c r="AM99" s="204"/>
      <c r="AN99" s="204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566">
        <f t="shared" si="87"/>
        <v>4.2</v>
      </c>
      <c r="V100" s="566">
        <f t="shared" si="87"/>
        <v>4.4000000000000004</v>
      </c>
      <c r="W100" s="566">
        <f t="shared" si="87"/>
        <v>4.0999999999999996</v>
      </c>
      <c r="X100" s="566">
        <f t="shared" si="87"/>
        <v>1.44</v>
      </c>
      <c r="Y100" s="566">
        <f t="shared" si="87"/>
        <v>1.7700000000000002</v>
      </c>
      <c r="Z100" s="566">
        <f t="shared" si="87"/>
        <v>3.4075000000000002</v>
      </c>
      <c r="AA100" s="566">
        <f t="shared" si="87"/>
        <v>3.7705000000000002</v>
      </c>
      <c r="AB100" s="144"/>
      <c r="AC100" s="231"/>
      <c r="AD100" s="231"/>
      <c r="AE100" s="231"/>
      <c r="AF100" s="231"/>
      <c r="AG100" s="231"/>
      <c r="AH100" s="231"/>
      <c r="AI100" s="213"/>
      <c r="AJ100" s="204"/>
      <c r="AK100" s="204"/>
      <c r="AL100" s="204"/>
      <c r="AM100" s="204"/>
      <c r="AN100" s="204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566">
        <f t="shared" si="87"/>
        <v>4.2</v>
      </c>
      <c r="V101" s="566">
        <f t="shared" si="87"/>
        <v>4.4000000000000004</v>
      </c>
      <c r="W101" s="566">
        <f t="shared" si="87"/>
        <v>4.0999999999999996</v>
      </c>
      <c r="X101" s="566">
        <f t="shared" si="87"/>
        <v>1.44</v>
      </c>
      <c r="Y101" s="566">
        <f t="shared" si="87"/>
        <v>1.7700000000000002</v>
      </c>
      <c r="Z101" s="566">
        <f t="shared" si="87"/>
        <v>3.4075000000000002</v>
      </c>
      <c r="AA101" s="566">
        <f t="shared" si="87"/>
        <v>3.7705000000000002</v>
      </c>
      <c r="AB101" s="144"/>
      <c r="AC101" s="231"/>
      <c r="AD101" s="231"/>
      <c r="AE101" s="231"/>
      <c r="AF101" s="231"/>
      <c r="AG101" s="231"/>
      <c r="AH101" s="231"/>
      <c r="AI101" s="213"/>
      <c r="AJ101" s="204"/>
      <c r="AK101" s="204"/>
      <c r="AL101" s="204"/>
      <c r="AM101" s="204"/>
      <c r="AN101" s="204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566">
        <f t="shared" si="87"/>
        <v>4.2</v>
      </c>
      <c r="V102" s="566">
        <f t="shared" si="87"/>
        <v>4.4000000000000004</v>
      </c>
      <c r="W102" s="566">
        <f t="shared" si="87"/>
        <v>4.0999999999999996</v>
      </c>
      <c r="X102" s="566">
        <f t="shared" si="87"/>
        <v>1.44</v>
      </c>
      <c r="Y102" s="566">
        <f t="shared" si="87"/>
        <v>1.7700000000000002</v>
      </c>
      <c r="Z102" s="566">
        <f t="shared" si="87"/>
        <v>3.4075000000000002</v>
      </c>
      <c r="AA102" s="566">
        <f t="shared" si="87"/>
        <v>3.7705000000000002</v>
      </c>
      <c r="AB102" s="144"/>
      <c r="AC102" s="231">
        <v>0</v>
      </c>
      <c r="AD102" s="231">
        <v>0</v>
      </c>
      <c r="AE102" s="231">
        <v>0</v>
      </c>
      <c r="AF102" s="231">
        <v>0</v>
      </c>
      <c r="AG102" s="231">
        <v>0</v>
      </c>
      <c r="AH102" s="231">
        <v>0</v>
      </c>
      <c r="AI102" s="213"/>
      <c r="AJ102" s="204"/>
      <c r="AK102" s="204"/>
      <c r="AL102" s="204"/>
      <c r="AM102" s="204"/>
      <c r="AN102" s="204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566">
        <f t="shared" si="87"/>
        <v>4.2</v>
      </c>
      <c r="V103" s="566">
        <f t="shared" si="87"/>
        <v>4.4000000000000004</v>
      </c>
      <c r="W103" s="566">
        <f t="shared" si="87"/>
        <v>4.0999999999999996</v>
      </c>
      <c r="X103" s="566">
        <f t="shared" si="87"/>
        <v>1.44</v>
      </c>
      <c r="Y103" s="566">
        <f t="shared" si="87"/>
        <v>1.7700000000000002</v>
      </c>
      <c r="Z103" s="566">
        <f t="shared" si="87"/>
        <v>3.4075000000000002</v>
      </c>
      <c r="AA103" s="566">
        <f t="shared" si="87"/>
        <v>3.7705000000000002</v>
      </c>
      <c r="AB103" s="144"/>
      <c r="AC103" s="231">
        <v>0</v>
      </c>
      <c r="AD103" s="231">
        <v>0</v>
      </c>
      <c r="AE103" s="231">
        <v>0</v>
      </c>
      <c r="AF103" s="231">
        <v>0</v>
      </c>
      <c r="AG103" s="231">
        <v>0</v>
      </c>
      <c r="AH103" s="231">
        <v>0</v>
      </c>
      <c r="AI103" s="213"/>
      <c r="AJ103" s="204"/>
      <c r="AK103" s="204"/>
      <c r="AL103" s="204"/>
      <c r="AM103" s="204"/>
      <c r="AN103" s="204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566">
        <f t="shared" si="87"/>
        <v>4.2</v>
      </c>
      <c r="V104" s="566">
        <f t="shared" si="87"/>
        <v>4.4000000000000004</v>
      </c>
      <c r="W104" s="566">
        <f t="shared" si="87"/>
        <v>4.0999999999999996</v>
      </c>
      <c r="X104" s="566">
        <f t="shared" si="87"/>
        <v>1.44</v>
      </c>
      <c r="Y104" s="566">
        <f t="shared" si="87"/>
        <v>1.7700000000000002</v>
      </c>
      <c r="Z104" s="566">
        <f t="shared" si="87"/>
        <v>3.4075000000000002</v>
      </c>
      <c r="AA104" s="566">
        <f t="shared" si="87"/>
        <v>3.7705000000000002</v>
      </c>
      <c r="AB104" s="144"/>
      <c r="AC104" s="231">
        <v>0</v>
      </c>
      <c r="AD104" s="231">
        <v>0</v>
      </c>
      <c r="AE104" s="231">
        <v>0</v>
      </c>
      <c r="AF104" s="231">
        <v>0</v>
      </c>
      <c r="AG104" s="231">
        <v>0</v>
      </c>
      <c r="AH104" s="231">
        <v>0</v>
      </c>
      <c r="AI104" s="213"/>
      <c r="AJ104" s="204"/>
      <c r="AK104" s="204"/>
      <c r="AL104" s="204"/>
      <c r="AM104" s="204"/>
      <c r="AN104" s="204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566">
        <f t="shared" si="87"/>
        <v>4.2</v>
      </c>
      <c r="V105" s="566">
        <f t="shared" si="87"/>
        <v>4.4000000000000004</v>
      </c>
      <c r="W105" s="566">
        <f t="shared" si="87"/>
        <v>4.0999999999999996</v>
      </c>
      <c r="X105" s="566">
        <f t="shared" si="87"/>
        <v>1.44</v>
      </c>
      <c r="Y105" s="566">
        <f t="shared" si="87"/>
        <v>1.7700000000000002</v>
      </c>
      <c r="Z105" s="566">
        <f t="shared" si="87"/>
        <v>3.4075000000000002</v>
      </c>
      <c r="AA105" s="566">
        <f t="shared" si="87"/>
        <v>3.7705000000000002</v>
      </c>
      <c r="AB105" s="144"/>
      <c r="AC105" s="231"/>
      <c r="AD105" s="231"/>
      <c r="AE105" s="231"/>
      <c r="AF105" s="231"/>
      <c r="AG105" s="231"/>
      <c r="AH105" s="231"/>
      <c r="AI105" s="213"/>
      <c r="AJ105" s="204"/>
      <c r="AK105" s="204"/>
      <c r="AL105" s="204"/>
      <c r="AM105" s="204"/>
      <c r="AN105" s="204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566">
        <f t="shared" si="87"/>
        <v>4.2</v>
      </c>
      <c r="V106" s="566">
        <f t="shared" si="87"/>
        <v>4.4000000000000004</v>
      </c>
      <c r="W106" s="566">
        <f t="shared" si="87"/>
        <v>4.0999999999999996</v>
      </c>
      <c r="X106" s="566">
        <f t="shared" si="87"/>
        <v>1.44</v>
      </c>
      <c r="Y106" s="566">
        <f t="shared" si="87"/>
        <v>1.7700000000000002</v>
      </c>
      <c r="Z106" s="566">
        <f t="shared" si="87"/>
        <v>3.4075000000000002</v>
      </c>
      <c r="AA106" s="566">
        <f t="shared" si="87"/>
        <v>3.7705000000000002</v>
      </c>
      <c r="AB106" s="144"/>
      <c r="AC106" s="231"/>
      <c r="AD106" s="231"/>
      <c r="AE106" s="231"/>
      <c r="AF106" s="231"/>
      <c r="AG106" s="231"/>
      <c r="AH106" s="231"/>
      <c r="AI106" s="213"/>
      <c r="AJ106" s="204"/>
      <c r="AK106" s="204"/>
      <c r="AL106" s="204"/>
      <c r="AM106" s="204"/>
      <c r="AN106" s="204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566">
        <f t="shared" si="87"/>
        <v>4.2</v>
      </c>
      <c r="V107" s="566">
        <f t="shared" si="87"/>
        <v>4.4000000000000004</v>
      </c>
      <c r="W107" s="566">
        <f t="shared" si="87"/>
        <v>4.0999999999999996</v>
      </c>
      <c r="X107" s="566">
        <f t="shared" si="87"/>
        <v>1.44</v>
      </c>
      <c r="Y107" s="566">
        <f t="shared" si="87"/>
        <v>1.7700000000000002</v>
      </c>
      <c r="Z107" s="566">
        <f t="shared" si="87"/>
        <v>3.4075000000000002</v>
      </c>
      <c r="AA107" s="566">
        <f t="shared" si="87"/>
        <v>3.7705000000000002</v>
      </c>
      <c r="AB107" s="144"/>
      <c r="AC107" s="231">
        <v>0</v>
      </c>
      <c r="AD107" s="231">
        <v>0</v>
      </c>
      <c r="AE107" s="231">
        <v>0</v>
      </c>
      <c r="AF107" s="231">
        <v>0</v>
      </c>
      <c r="AG107" s="231">
        <v>0</v>
      </c>
      <c r="AH107" s="231">
        <v>0</v>
      </c>
      <c r="AI107" s="213"/>
      <c r="AJ107" s="204"/>
      <c r="AK107" s="204"/>
      <c r="AL107" s="204"/>
      <c r="AM107" s="204"/>
      <c r="AN107" s="204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566">
        <f t="shared" si="87"/>
        <v>4.2</v>
      </c>
      <c r="V108" s="566">
        <f t="shared" si="87"/>
        <v>4.4000000000000004</v>
      </c>
      <c r="W108" s="566">
        <f t="shared" si="87"/>
        <v>4.0999999999999996</v>
      </c>
      <c r="X108" s="566">
        <f t="shared" si="87"/>
        <v>1.44</v>
      </c>
      <c r="Y108" s="566">
        <f t="shared" si="87"/>
        <v>1.7700000000000002</v>
      </c>
      <c r="Z108" s="566">
        <f t="shared" si="87"/>
        <v>3.4075000000000002</v>
      </c>
      <c r="AA108" s="566">
        <f t="shared" si="87"/>
        <v>3.7705000000000002</v>
      </c>
      <c r="AB108" s="144"/>
      <c r="AC108" s="231">
        <v>0</v>
      </c>
      <c r="AD108" s="231">
        <v>0</v>
      </c>
      <c r="AE108" s="231">
        <v>0</v>
      </c>
      <c r="AF108" s="231">
        <v>0</v>
      </c>
      <c r="AG108" s="231">
        <v>0</v>
      </c>
      <c r="AH108" s="231">
        <v>0</v>
      </c>
      <c r="AI108" s="213"/>
      <c r="AJ108" s="204"/>
      <c r="AK108" s="204"/>
      <c r="AL108" s="204"/>
      <c r="AM108" s="204"/>
      <c r="AN108" s="204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566">
        <f t="shared" si="87"/>
        <v>4.2</v>
      </c>
      <c r="V109" s="566">
        <f t="shared" si="87"/>
        <v>4.4000000000000004</v>
      </c>
      <c r="W109" s="566">
        <f t="shared" si="87"/>
        <v>4.0999999999999996</v>
      </c>
      <c r="X109" s="566">
        <f t="shared" si="87"/>
        <v>1.44</v>
      </c>
      <c r="Y109" s="566">
        <f t="shared" si="87"/>
        <v>1.7700000000000002</v>
      </c>
      <c r="Z109" s="566">
        <f t="shared" si="87"/>
        <v>3.4075000000000002</v>
      </c>
      <c r="AA109" s="566">
        <f t="shared" si="87"/>
        <v>3.7705000000000002</v>
      </c>
      <c r="AB109" s="144"/>
      <c r="AC109" s="231"/>
      <c r="AD109" s="231"/>
      <c r="AE109" s="231"/>
      <c r="AF109" s="231"/>
      <c r="AG109" s="231"/>
      <c r="AH109" s="231"/>
      <c r="AI109" s="213"/>
      <c r="AJ109" s="204"/>
      <c r="AK109" s="204"/>
      <c r="AL109" s="204"/>
      <c r="AM109" s="204"/>
      <c r="AN109" s="204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566">
        <f t="shared" si="87"/>
        <v>4.2</v>
      </c>
      <c r="V110" s="566">
        <f t="shared" si="87"/>
        <v>4.4000000000000004</v>
      </c>
      <c r="W110" s="566">
        <f t="shared" si="87"/>
        <v>4.0999999999999996</v>
      </c>
      <c r="X110" s="566">
        <f t="shared" si="87"/>
        <v>1.44</v>
      </c>
      <c r="Y110" s="566">
        <f t="shared" si="87"/>
        <v>1.7700000000000002</v>
      </c>
      <c r="Z110" s="566">
        <f t="shared" si="87"/>
        <v>3.4075000000000002</v>
      </c>
      <c r="AA110" s="566">
        <f t="shared" si="87"/>
        <v>3.7705000000000002</v>
      </c>
      <c r="AB110" s="144"/>
      <c r="AC110" s="231"/>
      <c r="AD110" s="231"/>
      <c r="AE110" s="231"/>
      <c r="AF110" s="231"/>
      <c r="AG110" s="231"/>
      <c r="AH110" s="231"/>
      <c r="AI110" s="213"/>
      <c r="AJ110" s="204"/>
      <c r="AK110" s="204"/>
      <c r="AL110" s="204"/>
      <c r="AM110" s="204"/>
      <c r="AN110" s="204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566">
        <f t="shared" ref="U111:AA126" si="88">IF(U110&gt;0,U110,U109)</f>
        <v>4.2</v>
      </c>
      <c r="V111" s="566">
        <f t="shared" si="88"/>
        <v>4.4000000000000004</v>
      </c>
      <c r="W111" s="566">
        <f t="shared" si="88"/>
        <v>4.0999999999999996</v>
      </c>
      <c r="X111" s="566">
        <f t="shared" si="88"/>
        <v>1.44</v>
      </c>
      <c r="Y111" s="566">
        <f t="shared" si="88"/>
        <v>1.7700000000000002</v>
      </c>
      <c r="Z111" s="566">
        <f t="shared" si="88"/>
        <v>3.4075000000000002</v>
      </c>
      <c r="AA111" s="566">
        <f t="shared" si="88"/>
        <v>3.7705000000000002</v>
      </c>
      <c r="AB111" s="144"/>
      <c r="AC111" s="231">
        <v>0</v>
      </c>
      <c r="AD111" s="231">
        <v>0</v>
      </c>
      <c r="AE111" s="231">
        <v>0</v>
      </c>
      <c r="AF111" s="231">
        <v>0</v>
      </c>
      <c r="AG111" s="231">
        <v>0</v>
      </c>
      <c r="AH111" s="231">
        <v>0</v>
      </c>
      <c r="AI111" s="213"/>
      <c r="AJ111" s="204"/>
      <c r="AK111" s="204"/>
      <c r="AL111" s="204"/>
      <c r="AM111" s="204"/>
      <c r="AN111" s="204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566">
        <f t="shared" si="88"/>
        <v>4.2</v>
      </c>
      <c r="V112" s="566">
        <f t="shared" si="88"/>
        <v>4.4000000000000004</v>
      </c>
      <c r="W112" s="566">
        <f t="shared" si="88"/>
        <v>4.0999999999999996</v>
      </c>
      <c r="X112" s="566">
        <f t="shared" si="88"/>
        <v>1.44</v>
      </c>
      <c r="Y112" s="566">
        <f t="shared" si="88"/>
        <v>1.7700000000000002</v>
      </c>
      <c r="Z112" s="566">
        <f t="shared" si="88"/>
        <v>3.4075000000000002</v>
      </c>
      <c r="AA112" s="566">
        <f t="shared" si="88"/>
        <v>3.7705000000000002</v>
      </c>
      <c r="AB112" s="144"/>
      <c r="AC112" s="231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13"/>
      <c r="AJ112" s="204"/>
      <c r="AK112" s="204"/>
      <c r="AL112" s="204"/>
      <c r="AM112" s="204"/>
      <c r="AN112" s="204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566">
        <f t="shared" si="88"/>
        <v>4.2</v>
      </c>
      <c r="V113" s="566">
        <f t="shared" si="88"/>
        <v>4.4000000000000004</v>
      </c>
      <c r="W113" s="566">
        <f t="shared" si="88"/>
        <v>4.0999999999999996</v>
      </c>
      <c r="X113" s="566">
        <f t="shared" si="88"/>
        <v>1.44</v>
      </c>
      <c r="Y113" s="566">
        <f t="shared" si="88"/>
        <v>1.7700000000000002</v>
      </c>
      <c r="Z113" s="566">
        <f t="shared" si="88"/>
        <v>3.4075000000000002</v>
      </c>
      <c r="AA113" s="566">
        <f t="shared" si="88"/>
        <v>3.7705000000000002</v>
      </c>
      <c r="AB113" s="144"/>
      <c r="AC113" s="231">
        <v>0</v>
      </c>
      <c r="AD113" s="231">
        <v>0</v>
      </c>
      <c r="AE113" s="231">
        <v>0</v>
      </c>
      <c r="AF113" s="231">
        <v>0</v>
      </c>
      <c r="AG113" s="231">
        <v>0</v>
      </c>
      <c r="AH113" s="231">
        <v>0</v>
      </c>
      <c r="AI113" s="213"/>
      <c r="AJ113" s="204"/>
      <c r="AK113" s="204"/>
      <c r="AL113" s="204"/>
      <c r="AM113" s="204"/>
      <c r="AN113" s="204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566">
        <f t="shared" si="88"/>
        <v>4.2</v>
      </c>
      <c r="V114" s="566">
        <f t="shared" si="88"/>
        <v>4.4000000000000004</v>
      </c>
      <c r="W114" s="566">
        <f t="shared" si="88"/>
        <v>4.0999999999999996</v>
      </c>
      <c r="X114" s="566">
        <f t="shared" si="88"/>
        <v>1.44</v>
      </c>
      <c r="Y114" s="566">
        <f t="shared" si="88"/>
        <v>1.7700000000000002</v>
      </c>
      <c r="Z114" s="566">
        <f t="shared" si="88"/>
        <v>3.4075000000000002</v>
      </c>
      <c r="AA114" s="566">
        <f t="shared" si="88"/>
        <v>3.7705000000000002</v>
      </c>
      <c r="AB114" s="144"/>
      <c r="AC114" s="231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13"/>
      <c r="AJ114" s="204"/>
      <c r="AK114" s="204"/>
      <c r="AL114" s="204"/>
      <c r="AM114" s="204"/>
      <c r="AN114" s="204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566">
        <f t="shared" si="88"/>
        <v>4.2</v>
      </c>
      <c r="V115" s="566">
        <f t="shared" si="88"/>
        <v>4.4000000000000004</v>
      </c>
      <c r="W115" s="566">
        <f t="shared" si="88"/>
        <v>4.0999999999999996</v>
      </c>
      <c r="X115" s="566">
        <f t="shared" si="88"/>
        <v>1.44</v>
      </c>
      <c r="Y115" s="566">
        <f t="shared" si="88"/>
        <v>1.7700000000000002</v>
      </c>
      <c r="Z115" s="566">
        <f t="shared" si="88"/>
        <v>3.4075000000000002</v>
      </c>
      <c r="AA115" s="566">
        <f t="shared" si="88"/>
        <v>3.7705000000000002</v>
      </c>
      <c r="AB115" s="144"/>
      <c r="AC115" s="231"/>
      <c r="AD115" s="231"/>
      <c r="AE115" s="231"/>
      <c r="AF115" s="231"/>
      <c r="AG115" s="231"/>
      <c r="AH115" s="231"/>
      <c r="AI115" s="213"/>
      <c r="AJ115" s="204"/>
      <c r="AK115" s="204"/>
      <c r="AL115" s="204"/>
      <c r="AM115" s="204"/>
      <c r="AN115" s="204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566">
        <f t="shared" si="88"/>
        <v>4.2</v>
      </c>
      <c r="V116" s="566">
        <f t="shared" si="88"/>
        <v>4.4000000000000004</v>
      </c>
      <c r="W116" s="566">
        <f t="shared" si="88"/>
        <v>4.0999999999999996</v>
      </c>
      <c r="X116" s="566">
        <f t="shared" si="88"/>
        <v>1.44</v>
      </c>
      <c r="Y116" s="566">
        <f t="shared" si="88"/>
        <v>1.7700000000000002</v>
      </c>
      <c r="Z116" s="566">
        <f t="shared" si="88"/>
        <v>3.4075000000000002</v>
      </c>
      <c r="AA116" s="566">
        <f t="shared" si="88"/>
        <v>3.7705000000000002</v>
      </c>
      <c r="AB116" s="144"/>
      <c r="AC116" s="231">
        <v>0</v>
      </c>
      <c r="AD116" s="231">
        <v>0</v>
      </c>
      <c r="AE116" s="231">
        <v>0</v>
      </c>
      <c r="AF116" s="231">
        <v>0</v>
      </c>
      <c r="AG116" s="231">
        <v>0</v>
      </c>
      <c r="AH116" s="231">
        <v>0</v>
      </c>
      <c r="AI116" s="213"/>
      <c r="AJ116" s="204"/>
      <c r="AK116" s="204"/>
      <c r="AL116" s="204"/>
      <c r="AM116" s="204"/>
      <c r="AN116" s="204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566">
        <f t="shared" si="88"/>
        <v>4.2</v>
      </c>
      <c r="V117" s="566">
        <f t="shared" si="88"/>
        <v>4.4000000000000004</v>
      </c>
      <c r="W117" s="566">
        <f t="shared" si="88"/>
        <v>4.0999999999999996</v>
      </c>
      <c r="X117" s="566">
        <f t="shared" si="88"/>
        <v>1.44</v>
      </c>
      <c r="Y117" s="566">
        <f t="shared" si="88"/>
        <v>1.7700000000000002</v>
      </c>
      <c r="Z117" s="566">
        <f t="shared" si="88"/>
        <v>3.4075000000000002</v>
      </c>
      <c r="AA117" s="566">
        <f t="shared" si="88"/>
        <v>3.7705000000000002</v>
      </c>
      <c r="AB117" s="144"/>
      <c r="AC117" s="231">
        <v>0</v>
      </c>
      <c r="AD117" s="231">
        <v>0</v>
      </c>
      <c r="AE117" s="231">
        <v>0</v>
      </c>
      <c r="AF117" s="231">
        <v>0</v>
      </c>
      <c r="AG117" s="231">
        <v>0</v>
      </c>
      <c r="AH117" s="231">
        <v>0</v>
      </c>
      <c r="AI117" s="213"/>
      <c r="AJ117" s="204"/>
      <c r="AK117" s="204"/>
      <c r="AL117" s="204"/>
      <c r="AM117" s="204"/>
      <c r="AN117" s="204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566">
        <f t="shared" si="88"/>
        <v>4.2</v>
      </c>
      <c r="V118" s="566">
        <f t="shared" si="88"/>
        <v>4.4000000000000004</v>
      </c>
      <c r="W118" s="566">
        <f t="shared" si="88"/>
        <v>4.0999999999999996</v>
      </c>
      <c r="X118" s="566">
        <f t="shared" si="88"/>
        <v>1.44</v>
      </c>
      <c r="Y118" s="566">
        <f t="shared" si="88"/>
        <v>1.7700000000000002</v>
      </c>
      <c r="Z118" s="566">
        <f t="shared" si="88"/>
        <v>3.4075000000000002</v>
      </c>
      <c r="AA118" s="566">
        <f t="shared" si="88"/>
        <v>3.7705000000000002</v>
      </c>
      <c r="AB118" s="144"/>
      <c r="AC118" s="231"/>
      <c r="AD118" s="231"/>
      <c r="AE118" s="231"/>
      <c r="AF118" s="231"/>
      <c r="AG118" s="231"/>
      <c r="AH118" s="231"/>
      <c r="AI118" s="213"/>
      <c r="AJ118" s="204"/>
      <c r="AK118" s="204"/>
      <c r="AL118" s="204"/>
      <c r="AM118" s="204"/>
      <c r="AN118" s="204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566">
        <f t="shared" si="88"/>
        <v>4.2</v>
      </c>
      <c r="V119" s="566">
        <f t="shared" si="88"/>
        <v>4.4000000000000004</v>
      </c>
      <c r="W119" s="566">
        <f t="shared" si="88"/>
        <v>4.0999999999999996</v>
      </c>
      <c r="X119" s="566">
        <f t="shared" si="88"/>
        <v>1.44</v>
      </c>
      <c r="Y119" s="566">
        <f t="shared" si="88"/>
        <v>1.7700000000000002</v>
      </c>
      <c r="Z119" s="566">
        <f t="shared" si="88"/>
        <v>3.4075000000000002</v>
      </c>
      <c r="AA119" s="566">
        <f t="shared" si="88"/>
        <v>3.7705000000000002</v>
      </c>
      <c r="AB119" s="144"/>
      <c r="AC119" s="231"/>
      <c r="AD119" s="231"/>
      <c r="AE119" s="231"/>
      <c r="AF119" s="231"/>
      <c r="AG119" s="231"/>
      <c r="AH119" s="231"/>
      <c r="AI119" s="213"/>
      <c r="AJ119" s="204"/>
      <c r="AK119" s="204"/>
      <c r="AL119" s="204"/>
      <c r="AM119" s="204"/>
      <c r="AN119" s="204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566">
        <f t="shared" si="88"/>
        <v>4.2</v>
      </c>
      <c r="V120" s="566">
        <f t="shared" si="88"/>
        <v>4.4000000000000004</v>
      </c>
      <c r="W120" s="566">
        <f t="shared" si="88"/>
        <v>4.0999999999999996</v>
      </c>
      <c r="X120" s="566">
        <f t="shared" si="88"/>
        <v>1.44</v>
      </c>
      <c r="Y120" s="566">
        <f t="shared" si="88"/>
        <v>1.7700000000000002</v>
      </c>
      <c r="Z120" s="566">
        <f t="shared" si="88"/>
        <v>3.4075000000000002</v>
      </c>
      <c r="AA120" s="566">
        <f t="shared" si="88"/>
        <v>3.7705000000000002</v>
      </c>
      <c r="AB120" s="144"/>
      <c r="AC120" s="231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13"/>
      <c r="AJ120" s="204"/>
      <c r="AK120" s="204"/>
      <c r="AL120" s="204"/>
      <c r="AM120" s="204"/>
      <c r="AN120" s="204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566">
        <f t="shared" si="88"/>
        <v>4.2</v>
      </c>
      <c r="V121" s="566">
        <f t="shared" si="88"/>
        <v>4.4000000000000004</v>
      </c>
      <c r="W121" s="566">
        <f t="shared" si="88"/>
        <v>4.0999999999999996</v>
      </c>
      <c r="X121" s="566">
        <f t="shared" si="88"/>
        <v>1.44</v>
      </c>
      <c r="Y121" s="566">
        <f t="shared" si="88"/>
        <v>1.7700000000000002</v>
      </c>
      <c r="Z121" s="566">
        <f t="shared" si="88"/>
        <v>3.4075000000000002</v>
      </c>
      <c r="AA121" s="566">
        <f t="shared" si="88"/>
        <v>3.7705000000000002</v>
      </c>
      <c r="AB121" s="144"/>
      <c r="AC121" s="231">
        <v>0</v>
      </c>
      <c r="AD121" s="231">
        <v>0</v>
      </c>
      <c r="AE121" s="231">
        <v>0</v>
      </c>
      <c r="AF121" s="231">
        <v>0</v>
      </c>
      <c r="AG121" s="231">
        <v>0</v>
      </c>
      <c r="AH121" s="231">
        <v>0</v>
      </c>
      <c r="AI121" s="213"/>
      <c r="AJ121" s="204"/>
      <c r="AK121" s="204"/>
      <c r="AL121" s="204"/>
      <c r="AM121" s="204"/>
      <c r="AN121" s="204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566">
        <f t="shared" si="88"/>
        <v>4.2</v>
      </c>
      <c r="V122" s="566">
        <f t="shared" si="88"/>
        <v>4.4000000000000004</v>
      </c>
      <c r="W122" s="566">
        <f t="shared" si="88"/>
        <v>4.0999999999999996</v>
      </c>
      <c r="X122" s="566">
        <f t="shared" si="88"/>
        <v>1.44</v>
      </c>
      <c r="Y122" s="566">
        <f t="shared" si="88"/>
        <v>1.7700000000000002</v>
      </c>
      <c r="Z122" s="566">
        <f t="shared" si="88"/>
        <v>3.4075000000000002</v>
      </c>
      <c r="AA122" s="566">
        <f t="shared" si="88"/>
        <v>3.7705000000000002</v>
      </c>
      <c r="AB122" s="144"/>
      <c r="AC122" s="231">
        <v>0</v>
      </c>
      <c r="AD122" s="231">
        <v>0</v>
      </c>
      <c r="AE122" s="231">
        <v>0</v>
      </c>
      <c r="AF122" s="231">
        <v>0</v>
      </c>
      <c r="AG122" s="231">
        <v>0</v>
      </c>
      <c r="AH122" s="231">
        <v>0</v>
      </c>
      <c r="AI122" s="213"/>
      <c r="AJ122" s="204"/>
      <c r="AK122" s="204"/>
      <c r="AL122" s="204"/>
      <c r="AM122" s="204"/>
      <c r="AN122" s="204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566">
        <f t="shared" si="88"/>
        <v>4.2</v>
      </c>
      <c r="V123" s="566">
        <f t="shared" si="88"/>
        <v>4.4000000000000004</v>
      </c>
      <c r="W123" s="566">
        <f t="shared" si="88"/>
        <v>4.0999999999999996</v>
      </c>
      <c r="X123" s="566">
        <f t="shared" si="88"/>
        <v>1.44</v>
      </c>
      <c r="Y123" s="566">
        <f t="shared" si="88"/>
        <v>1.7700000000000002</v>
      </c>
      <c r="Z123" s="566">
        <f t="shared" si="88"/>
        <v>3.4075000000000002</v>
      </c>
      <c r="AA123" s="566">
        <f t="shared" si="88"/>
        <v>3.7705000000000002</v>
      </c>
      <c r="AB123" s="144"/>
      <c r="AC123" s="231"/>
      <c r="AD123" s="231"/>
      <c r="AE123" s="231"/>
      <c r="AF123" s="231"/>
      <c r="AG123" s="231"/>
      <c r="AH123" s="231"/>
      <c r="AI123" s="213"/>
      <c r="AJ123" s="204"/>
      <c r="AK123" s="204"/>
      <c r="AL123" s="204"/>
      <c r="AM123" s="204"/>
      <c r="AN123" s="204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566">
        <f t="shared" si="88"/>
        <v>4.2</v>
      </c>
      <c r="V124" s="566">
        <f t="shared" si="88"/>
        <v>4.4000000000000004</v>
      </c>
      <c r="W124" s="566">
        <f t="shared" si="88"/>
        <v>4.0999999999999996</v>
      </c>
      <c r="X124" s="566">
        <f t="shared" si="88"/>
        <v>1.44</v>
      </c>
      <c r="Y124" s="566">
        <f t="shared" si="88"/>
        <v>1.7700000000000002</v>
      </c>
      <c r="Z124" s="566">
        <f t="shared" si="88"/>
        <v>3.4075000000000002</v>
      </c>
      <c r="AA124" s="566">
        <f t="shared" si="88"/>
        <v>3.7705000000000002</v>
      </c>
      <c r="AB124" s="144"/>
      <c r="AC124" s="231"/>
      <c r="AD124" s="231"/>
      <c r="AE124" s="231"/>
      <c r="AF124" s="231"/>
      <c r="AG124" s="231"/>
      <c r="AH124" s="231"/>
      <c r="AI124" s="213"/>
      <c r="AJ124" s="204"/>
      <c r="AK124" s="204"/>
      <c r="AL124" s="204"/>
      <c r="AM124" s="204"/>
      <c r="AN124" s="204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566">
        <f t="shared" si="88"/>
        <v>4.2</v>
      </c>
      <c r="V125" s="566">
        <f t="shared" si="88"/>
        <v>4.4000000000000004</v>
      </c>
      <c r="W125" s="566">
        <f t="shared" si="88"/>
        <v>4.0999999999999996</v>
      </c>
      <c r="X125" s="566">
        <f t="shared" si="88"/>
        <v>1.44</v>
      </c>
      <c r="Y125" s="566">
        <f t="shared" si="88"/>
        <v>1.7700000000000002</v>
      </c>
      <c r="Z125" s="566">
        <f t="shared" si="88"/>
        <v>3.4075000000000002</v>
      </c>
      <c r="AA125" s="566">
        <f t="shared" si="88"/>
        <v>3.7705000000000002</v>
      </c>
      <c r="AB125" s="144"/>
      <c r="AC125" s="231">
        <v>0</v>
      </c>
      <c r="AD125" s="231">
        <v>0</v>
      </c>
      <c r="AE125" s="231">
        <v>0</v>
      </c>
      <c r="AF125" s="231">
        <v>0</v>
      </c>
      <c r="AG125" s="231">
        <v>0</v>
      </c>
      <c r="AH125" s="231">
        <v>0</v>
      </c>
      <c r="AI125" s="213"/>
      <c r="AJ125" s="204"/>
      <c r="AK125" s="204"/>
      <c r="AL125" s="204"/>
      <c r="AM125" s="204"/>
      <c r="AN125" s="204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566">
        <f t="shared" si="88"/>
        <v>4.2</v>
      </c>
      <c r="V126" s="566">
        <f t="shared" si="88"/>
        <v>4.4000000000000004</v>
      </c>
      <c r="W126" s="566">
        <f t="shared" si="88"/>
        <v>4.0999999999999996</v>
      </c>
      <c r="X126" s="566">
        <f t="shared" si="88"/>
        <v>1.44</v>
      </c>
      <c r="Y126" s="566">
        <f t="shared" si="88"/>
        <v>1.7700000000000002</v>
      </c>
      <c r="Z126" s="566">
        <f t="shared" si="88"/>
        <v>3.4075000000000002</v>
      </c>
      <c r="AA126" s="566">
        <f t="shared" si="88"/>
        <v>3.7705000000000002</v>
      </c>
      <c r="AB126" s="144"/>
      <c r="AC126" s="231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13"/>
      <c r="AJ126" s="204"/>
      <c r="AK126" s="204"/>
      <c r="AL126" s="204"/>
      <c r="AM126" s="204"/>
      <c r="AN126" s="204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566">
        <f t="shared" ref="U127:AA133" si="89">IF(U126&gt;0,U126,U125)</f>
        <v>4.2</v>
      </c>
      <c r="V127" s="566">
        <f t="shared" si="89"/>
        <v>4.4000000000000004</v>
      </c>
      <c r="W127" s="566">
        <f t="shared" si="89"/>
        <v>4.0999999999999996</v>
      </c>
      <c r="X127" s="566">
        <f t="shared" si="89"/>
        <v>1.44</v>
      </c>
      <c r="Y127" s="566">
        <f t="shared" si="89"/>
        <v>1.7700000000000002</v>
      </c>
      <c r="Z127" s="566">
        <f t="shared" si="89"/>
        <v>3.4075000000000002</v>
      </c>
      <c r="AA127" s="566">
        <f t="shared" si="89"/>
        <v>3.7705000000000002</v>
      </c>
      <c r="AB127" s="144"/>
      <c r="AC127" s="231">
        <v>0</v>
      </c>
      <c r="AD127" s="231">
        <v>0</v>
      </c>
      <c r="AE127" s="231">
        <v>0</v>
      </c>
      <c r="AF127" s="231">
        <v>0</v>
      </c>
      <c r="AG127" s="231">
        <v>0</v>
      </c>
      <c r="AH127" s="231">
        <v>0</v>
      </c>
      <c r="AI127" s="213"/>
      <c r="AJ127" s="204"/>
      <c r="AK127" s="204"/>
      <c r="AL127" s="204"/>
      <c r="AM127" s="204"/>
      <c r="AN127" s="204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566">
        <f t="shared" si="89"/>
        <v>4.2</v>
      </c>
      <c r="V128" s="566">
        <f t="shared" si="89"/>
        <v>4.4000000000000004</v>
      </c>
      <c r="W128" s="566">
        <f t="shared" si="89"/>
        <v>4.0999999999999996</v>
      </c>
      <c r="X128" s="566">
        <f t="shared" si="89"/>
        <v>1.44</v>
      </c>
      <c r="Y128" s="566">
        <f t="shared" si="89"/>
        <v>1.7700000000000002</v>
      </c>
      <c r="Z128" s="566">
        <f t="shared" si="89"/>
        <v>3.4075000000000002</v>
      </c>
      <c r="AA128" s="566">
        <f t="shared" si="89"/>
        <v>3.7705000000000002</v>
      </c>
      <c r="AB128" s="144"/>
      <c r="AC128" s="231"/>
      <c r="AD128" s="231"/>
      <c r="AE128" s="231"/>
      <c r="AF128" s="231"/>
      <c r="AG128" s="231"/>
      <c r="AH128" s="231"/>
      <c r="AI128" s="213"/>
      <c r="AJ128" s="204"/>
      <c r="AK128" s="204"/>
      <c r="AL128" s="204"/>
      <c r="AM128" s="204"/>
      <c r="AN128" s="204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566">
        <f t="shared" si="89"/>
        <v>4.2</v>
      </c>
      <c r="V129" s="566">
        <f t="shared" si="89"/>
        <v>4.4000000000000004</v>
      </c>
      <c r="W129" s="566">
        <f t="shared" si="89"/>
        <v>4.0999999999999996</v>
      </c>
      <c r="X129" s="566">
        <f t="shared" si="89"/>
        <v>1.44</v>
      </c>
      <c r="Y129" s="566">
        <f t="shared" si="89"/>
        <v>1.7700000000000002</v>
      </c>
      <c r="Z129" s="566">
        <f t="shared" si="89"/>
        <v>3.4075000000000002</v>
      </c>
      <c r="AA129" s="566">
        <f t="shared" si="89"/>
        <v>3.7705000000000002</v>
      </c>
      <c r="AB129" s="144"/>
      <c r="AC129" s="231"/>
      <c r="AD129" s="231"/>
      <c r="AE129" s="231"/>
      <c r="AF129" s="231"/>
      <c r="AG129" s="231"/>
      <c r="AH129" s="231"/>
      <c r="AI129" s="213"/>
      <c r="AJ129" s="204"/>
      <c r="AK129" s="204"/>
      <c r="AL129" s="204"/>
      <c r="AM129" s="204"/>
      <c r="AN129" s="204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566">
        <f t="shared" si="89"/>
        <v>4.2</v>
      </c>
      <c r="V130" s="566">
        <f t="shared" si="89"/>
        <v>4.4000000000000004</v>
      </c>
      <c r="W130" s="566">
        <f t="shared" si="89"/>
        <v>4.0999999999999996</v>
      </c>
      <c r="X130" s="566">
        <f t="shared" si="89"/>
        <v>1.44</v>
      </c>
      <c r="Y130" s="566">
        <f t="shared" si="89"/>
        <v>1.7700000000000002</v>
      </c>
      <c r="Z130" s="566">
        <f t="shared" si="89"/>
        <v>3.4075000000000002</v>
      </c>
      <c r="AA130" s="566">
        <f t="shared" si="89"/>
        <v>3.7705000000000002</v>
      </c>
      <c r="AB130" s="144"/>
      <c r="AC130" s="231">
        <v>0</v>
      </c>
      <c r="AD130" s="231">
        <v>0</v>
      </c>
      <c r="AE130" s="231">
        <v>0</v>
      </c>
      <c r="AF130" s="231">
        <v>0</v>
      </c>
      <c r="AG130" s="231">
        <v>0</v>
      </c>
      <c r="AH130" s="231">
        <v>0</v>
      </c>
      <c r="AI130" s="213"/>
      <c r="AJ130" s="204"/>
      <c r="AK130" s="204"/>
      <c r="AL130" s="204"/>
      <c r="AM130" s="204"/>
      <c r="AN130" s="204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566">
        <f t="shared" si="89"/>
        <v>4.2</v>
      </c>
      <c r="V131" s="566">
        <f t="shared" si="89"/>
        <v>4.4000000000000004</v>
      </c>
      <c r="W131" s="566">
        <f t="shared" si="89"/>
        <v>4.0999999999999996</v>
      </c>
      <c r="X131" s="566">
        <f t="shared" si="89"/>
        <v>1.44</v>
      </c>
      <c r="Y131" s="566">
        <f t="shared" si="89"/>
        <v>1.7700000000000002</v>
      </c>
      <c r="Z131" s="566">
        <f t="shared" si="89"/>
        <v>3.4075000000000002</v>
      </c>
      <c r="AA131" s="566">
        <f t="shared" si="89"/>
        <v>3.7705000000000002</v>
      </c>
      <c r="AB131" s="144"/>
      <c r="AC131" s="231">
        <v>0</v>
      </c>
      <c r="AD131" s="231">
        <v>0</v>
      </c>
      <c r="AE131" s="231">
        <v>0</v>
      </c>
      <c r="AF131" s="231">
        <v>0</v>
      </c>
      <c r="AG131" s="231">
        <v>0</v>
      </c>
      <c r="AH131" s="231">
        <v>0</v>
      </c>
      <c r="AI131" s="213"/>
      <c r="AJ131" s="204"/>
      <c r="AK131" s="204"/>
      <c r="AL131" s="204"/>
      <c r="AM131" s="204"/>
      <c r="AN131" s="204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566">
        <f t="shared" si="89"/>
        <v>4.2</v>
      </c>
      <c r="V132" s="566">
        <f t="shared" si="89"/>
        <v>4.4000000000000004</v>
      </c>
      <c r="W132" s="566">
        <f t="shared" si="89"/>
        <v>4.0999999999999996</v>
      </c>
      <c r="X132" s="566">
        <f t="shared" si="89"/>
        <v>1.44</v>
      </c>
      <c r="Y132" s="566">
        <f t="shared" si="89"/>
        <v>1.7700000000000002</v>
      </c>
      <c r="Z132" s="566">
        <f t="shared" si="89"/>
        <v>3.4075000000000002</v>
      </c>
      <c r="AA132" s="566">
        <f t="shared" si="89"/>
        <v>3.7705000000000002</v>
      </c>
      <c r="AB132" s="144"/>
      <c r="AC132" s="231">
        <v>0</v>
      </c>
      <c r="AD132" s="231">
        <v>0</v>
      </c>
      <c r="AE132" s="231">
        <v>0</v>
      </c>
      <c r="AF132" s="231">
        <v>0</v>
      </c>
      <c r="AG132" s="231">
        <v>0</v>
      </c>
      <c r="AH132" s="231">
        <v>0</v>
      </c>
      <c r="AI132" s="213"/>
      <c r="AJ132" s="204"/>
      <c r="AK132" s="204"/>
      <c r="AL132" s="204"/>
      <c r="AM132" s="204"/>
      <c r="AN132" s="204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567">
        <f>IF(U132&gt;0,U132,U131)</f>
        <v>4.2</v>
      </c>
      <c r="V133" s="567">
        <f t="shared" si="89"/>
        <v>4.4000000000000004</v>
      </c>
      <c r="W133" s="567">
        <f t="shared" si="89"/>
        <v>4.0999999999999996</v>
      </c>
      <c r="X133" s="567">
        <f t="shared" si="89"/>
        <v>1.44</v>
      </c>
      <c r="Y133" s="567">
        <f t="shared" si="89"/>
        <v>1.7700000000000002</v>
      </c>
      <c r="Z133" s="567">
        <f t="shared" si="89"/>
        <v>3.4075000000000002</v>
      </c>
      <c r="AA133" s="567">
        <f t="shared" si="89"/>
        <v>3.7705000000000002</v>
      </c>
      <c r="AB133" s="144"/>
      <c r="AC133" s="231"/>
      <c r="AD133" s="231"/>
      <c r="AE133" s="231"/>
      <c r="AF133" s="231"/>
      <c r="AG133" s="231"/>
      <c r="AH133" s="231"/>
      <c r="AI133" s="213"/>
      <c r="AJ133" s="204"/>
      <c r="AK133" s="204"/>
      <c r="AL133" s="204"/>
      <c r="AM133" s="204"/>
      <c r="AN133" s="204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222"/>
      <c r="V134" s="222"/>
      <c r="W134" s="222"/>
      <c r="X134" s="222"/>
      <c r="Y134" s="222"/>
      <c r="Z134" s="222"/>
      <c r="AA134" s="222"/>
      <c r="AB134" s="144"/>
      <c r="AC134" s="231"/>
      <c r="AD134" s="231"/>
      <c r="AE134" s="231"/>
      <c r="AF134" s="231"/>
      <c r="AG134" s="231"/>
      <c r="AH134" s="231"/>
      <c r="AI134" s="213"/>
      <c r="AJ134" s="204"/>
      <c r="AK134" s="204"/>
      <c r="AL134" s="204"/>
      <c r="AM134" s="204"/>
      <c r="AN134" s="204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222"/>
      <c r="V135" s="222"/>
      <c r="W135" s="222"/>
      <c r="X135" s="222"/>
      <c r="Y135" s="222"/>
      <c r="Z135" s="222"/>
      <c r="AA135" s="222"/>
      <c r="AB135" s="144"/>
      <c r="AC135" s="231">
        <v>0</v>
      </c>
      <c r="AD135" s="231">
        <v>0</v>
      </c>
      <c r="AE135" s="231">
        <v>0</v>
      </c>
      <c r="AF135" s="231">
        <v>0</v>
      </c>
      <c r="AG135" s="231">
        <v>0</v>
      </c>
      <c r="AH135" s="231">
        <v>0</v>
      </c>
      <c r="AI135" s="213"/>
      <c r="AN135" s="204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222"/>
      <c r="V136" s="222"/>
      <c r="W136" s="222"/>
      <c r="X136" s="222"/>
      <c r="Y136" s="222"/>
      <c r="Z136" s="222"/>
      <c r="AA136" s="222"/>
      <c r="AB136" s="144"/>
      <c r="AC136" s="231"/>
      <c r="AD136" s="231"/>
      <c r="AE136" s="231"/>
      <c r="AF136" s="231"/>
      <c r="AG136" s="231"/>
      <c r="AH136" s="231"/>
      <c r="AN136" s="204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222"/>
      <c r="V137" s="222"/>
      <c r="W137" s="222"/>
      <c r="X137" s="222"/>
      <c r="Y137" s="222"/>
      <c r="Z137" s="222"/>
      <c r="AA137" s="222"/>
      <c r="AB137" s="144"/>
      <c r="AN137" s="204"/>
    </row>
    <row r="138" spans="1:40" ht="15" customHeight="1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222"/>
      <c r="V138" s="222"/>
      <c r="W138" s="222"/>
      <c r="X138" s="222"/>
      <c r="Y138" s="222"/>
      <c r="Z138" s="222"/>
      <c r="AA138" s="222"/>
      <c r="AB138" s="144"/>
      <c r="AN138" s="204"/>
    </row>
    <row r="139" spans="1:40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222"/>
      <c r="V139" s="222"/>
      <c r="W139" s="222"/>
      <c r="X139" s="222"/>
      <c r="Y139" s="222"/>
      <c r="Z139" s="222"/>
      <c r="AA139" s="222"/>
      <c r="AB139" s="144"/>
      <c r="AN139" s="204"/>
    </row>
    <row r="140" spans="1:40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222"/>
      <c r="V140" s="222"/>
      <c r="W140" s="222"/>
      <c r="X140" s="222"/>
      <c r="Y140" s="222"/>
      <c r="Z140" s="222"/>
      <c r="AA140" s="222"/>
      <c r="AB140" s="144"/>
      <c r="AN140" s="204"/>
    </row>
    <row r="141" spans="1:40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222"/>
      <c r="V141" s="222"/>
      <c r="W141" s="222"/>
      <c r="X141" s="222"/>
      <c r="Y141" s="222"/>
      <c r="Z141" s="222"/>
      <c r="AA141" s="222"/>
      <c r="AB141" s="144"/>
      <c r="AN141" s="204"/>
    </row>
    <row r="142" spans="1:40">
      <c r="A142" s="144"/>
      <c r="B142" s="144"/>
      <c r="C142" s="144"/>
      <c r="D142" s="906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222"/>
      <c r="V142" s="222"/>
      <c r="W142" s="222"/>
      <c r="X142" s="222"/>
      <c r="Y142" s="222"/>
      <c r="Z142" s="222"/>
      <c r="AA142" s="222"/>
      <c r="AB142" s="144"/>
      <c r="AN142" s="204"/>
    </row>
    <row r="143" spans="1:40">
      <c r="A143" s="144"/>
      <c r="B143" s="144"/>
      <c r="C143" s="144"/>
      <c r="D143" s="906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222"/>
      <c r="V143" s="222"/>
      <c r="W143" s="222"/>
      <c r="X143" s="222"/>
      <c r="Y143" s="222"/>
      <c r="Z143" s="222"/>
      <c r="AA143" s="222"/>
      <c r="AB143" s="144"/>
      <c r="AN143" s="204"/>
    </row>
    <row r="144" spans="1:40">
      <c r="A144" s="144"/>
      <c r="B144" s="144"/>
      <c r="C144" s="144"/>
      <c r="D144" s="906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222"/>
      <c r="V144" s="222"/>
      <c r="W144" s="222"/>
      <c r="X144" s="222"/>
      <c r="Y144" s="222"/>
      <c r="Z144" s="222"/>
      <c r="AA144" s="222"/>
      <c r="AB144" s="144"/>
      <c r="AN144" s="204"/>
    </row>
    <row r="145" spans="1:40">
      <c r="A145" s="144"/>
      <c r="B145" s="144"/>
      <c r="C145" s="144"/>
      <c r="D145" s="906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222"/>
      <c r="V145" s="222"/>
      <c r="W145" s="222"/>
      <c r="X145" s="222"/>
      <c r="Y145" s="222"/>
      <c r="Z145" s="222"/>
      <c r="AA145" s="222"/>
      <c r="AB145" s="144"/>
      <c r="AN145" s="204"/>
    </row>
    <row r="146" spans="1:40">
      <c r="A146" s="144"/>
      <c r="B146" s="144"/>
      <c r="C146" s="144"/>
      <c r="D146" s="906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222"/>
      <c r="V146" s="222"/>
      <c r="W146" s="222"/>
      <c r="X146" s="222"/>
      <c r="Y146" s="222"/>
      <c r="Z146" s="222"/>
      <c r="AA146" s="222"/>
      <c r="AB146" s="144"/>
      <c r="AN146" s="204"/>
    </row>
    <row r="147" spans="1:40">
      <c r="A147" s="144"/>
      <c r="B147" s="144"/>
      <c r="C147" s="144"/>
      <c r="D147" s="906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222"/>
      <c r="V147" s="222"/>
      <c r="W147" s="222"/>
      <c r="X147" s="222"/>
      <c r="Y147" s="222"/>
      <c r="Z147" s="222"/>
      <c r="AA147" s="222"/>
      <c r="AB147" s="144"/>
      <c r="AN147" s="204"/>
    </row>
    <row r="148" spans="1:40">
      <c r="A148" s="144"/>
      <c r="B148" s="144"/>
      <c r="C148" s="144"/>
      <c r="D148" s="906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222"/>
      <c r="V148" s="222"/>
      <c r="W148" s="222"/>
      <c r="X148" s="222"/>
      <c r="Y148" s="222"/>
      <c r="Z148" s="222"/>
      <c r="AA148" s="222"/>
      <c r="AB148" s="144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  <c r="AN148" s="204"/>
    </row>
    <row r="149" spans="1:40" s="247" customFormat="1" ht="11">
      <c r="A149" s="144"/>
      <c r="B149" s="144"/>
      <c r="C149" s="144"/>
      <c r="D149" s="906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222"/>
      <c r="V149" s="222"/>
      <c r="W149" s="222"/>
      <c r="X149" s="222"/>
      <c r="Y149" s="222"/>
      <c r="Z149" s="222"/>
      <c r="AA149" s="222"/>
      <c r="AB149" s="144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1:40" s="247" customFormat="1" ht="11">
      <c r="A150" s="144"/>
      <c r="B150" s="144"/>
      <c r="C150" s="144"/>
      <c r="D150" s="906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222"/>
      <c r="V150" s="222"/>
      <c r="W150" s="222"/>
      <c r="X150" s="222"/>
      <c r="Y150" s="222"/>
      <c r="Z150" s="222"/>
      <c r="AA150" s="222"/>
      <c r="AB150" s="14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1:40" s="247" customFormat="1" ht="11">
      <c r="A151" s="144"/>
      <c r="B151" s="144"/>
      <c r="C151" s="144"/>
      <c r="D151" s="906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222"/>
      <c r="V151" s="222"/>
      <c r="W151" s="222"/>
      <c r="X151" s="222"/>
      <c r="Y151" s="222"/>
      <c r="Z151" s="222"/>
      <c r="AA151" s="222"/>
      <c r="AB151" s="14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1:40" s="247" customFormat="1" ht="11">
      <c r="A152" s="144"/>
      <c r="B152" s="144"/>
      <c r="C152" s="144"/>
      <c r="D152" s="906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222"/>
      <c r="V152" s="222"/>
      <c r="W152" s="222"/>
      <c r="X152" s="222"/>
      <c r="Y152" s="222"/>
      <c r="Z152" s="222"/>
      <c r="AA152" s="222"/>
      <c r="AB152" s="14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1:40" s="247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222"/>
      <c r="V153" s="222"/>
      <c r="W153" s="222"/>
      <c r="X153" s="222"/>
      <c r="Y153" s="222"/>
      <c r="Z153" s="222"/>
      <c r="AA153" s="222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1:40" s="247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222"/>
      <c r="V154" s="222"/>
      <c r="W154" s="222"/>
      <c r="X154" s="222"/>
      <c r="Y154" s="222"/>
      <c r="Z154" s="222"/>
      <c r="AA154" s="222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1:40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222"/>
      <c r="V155" s="222"/>
      <c r="W155" s="222"/>
      <c r="X155" s="222"/>
      <c r="Y155" s="222"/>
      <c r="Z155" s="222"/>
      <c r="AA155" s="222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1:40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222"/>
      <c r="V156" s="222"/>
      <c r="W156" s="222"/>
      <c r="X156" s="222"/>
      <c r="Y156" s="222"/>
      <c r="Z156" s="222"/>
      <c r="AA156" s="222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1:40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1:40" s="247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1:40" s="247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1:40" s="247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39" s="247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39" s="247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39" s="247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39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39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39" s="247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39" s="247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39" s="247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39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39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39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39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39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39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39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39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41" s="247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41" s="247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B178" s="247">
        <f>SUBTOTAL(9,AB136:AB177)</f>
        <v>0</v>
      </c>
      <c r="AC178" s="214">
        <f>SUBTOTAL(9,AC136:AC177)</f>
        <v>0</v>
      </c>
      <c r="AD178" s="214">
        <f>SUBTOTAL(9,AD136:AD177)</f>
        <v>0</v>
      </c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41" s="247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B179" s="247">
        <v>0</v>
      </c>
      <c r="AC179" s="214">
        <v>0</v>
      </c>
      <c r="AD179" s="214">
        <v>0</v>
      </c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41" s="247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B180" s="247">
        <v>0</v>
      </c>
      <c r="AC180" s="214">
        <v>0</v>
      </c>
      <c r="AD180" s="214">
        <v>0</v>
      </c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41" s="247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B181" s="247">
        <v>0</v>
      </c>
      <c r="AC181" s="214">
        <v>0</v>
      </c>
      <c r="AD181" s="214">
        <v>0</v>
      </c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41" s="247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B182" s="247">
        <v>0</v>
      </c>
      <c r="AC182" s="214">
        <v>0</v>
      </c>
      <c r="AD182" s="214">
        <v>0</v>
      </c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41" s="247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B183" s="247">
        <v>0</v>
      </c>
      <c r="AC183" s="214">
        <v>0</v>
      </c>
      <c r="AD183" s="214">
        <v>0</v>
      </c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41" s="247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B184" s="247">
        <v>0</v>
      </c>
      <c r="AC184" s="214">
        <v>0</v>
      </c>
      <c r="AD184" s="214">
        <v>0</v>
      </c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41" s="247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B185" s="247">
        <v>0</v>
      </c>
      <c r="AC185" s="214">
        <v>0</v>
      </c>
      <c r="AD185" s="214">
        <v>0</v>
      </c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41" s="247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B186" s="247">
        <v>0</v>
      </c>
      <c r="AC186" s="214">
        <v>0</v>
      </c>
      <c r="AD186" s="214">
        <v>0</v>
      </c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41" s="247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B187" s="247">
        <v>0</v>
      </c>
      <c r="AC187" s="214">
        <v>0</v>
      </c>
      <c r="AD187" s="214">
        <v>0</v>
      </c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41" s="247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B188" s="247">
        <v>0</v>
      </c>
      <c r="AC188" s="214">
        <v>0</v>
      </c>
      <c r="AD188" s="214">
        <v>0</v>
      </c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41" s="247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>
        <f>SUBTOTAL(9,U147:U188)</f>
        <v>0</v>
      </c>
      <c r="V189" s="146">
        <f t="shared" ref="V189:AA189" si="90">SUBTOTAL(9,V147:V188)</f>
        <v>0</v>
      </c>
      <c r="W189" s="146">
        <f t="shared" si="90"/>
        <v>0</v>
      </c>
      <c r="X189" s="146">
        <f t="shared" si="90"/>
        <v>0</v>
      </c>
      <c r="Y189" s="146">
        <f t="shared" si="90"/>
        <v>0</v>
      </c>
      <c r="Z189" s="146">
        <f t="shared" si="90"/>
        <v>0</v>
      </c>
      <c r="AA189" s="146">
        <f t="shared" si="90"/>
        <v>0</v>
      </c>
      <c r="AB189" s="247">
        <v>0</v>
      </c>
      <c r="AC189" s="214">
        <v>0</v>
      </c>
      <c r="AD189" s="214">
        <v>0</v>
      </c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41" s="213" customFormat="1" ht="14" thickBot="1">
      <c r="B190" s="139"/>
      <c r="C190" s="138"/>
      <c r="D190" s="908"/>
      <c r="E190" s="138"/>
      <c r="F190" s="140"/>
      <c r="G190" s="141"/>
      <c r="H190" s="141"/>
      <c r="I190" s="141"/>
      <c r="J190" s="141"/>
      <c r="K190" s="141"/>
      <c r="L190" s="141"/>
      <c r="M190" s="458"/>
      <c r="N190" s="140"/>
      <c r="O190" s="141"/>
      <c r="P190" s="141"/>
      <c r="Q190" s="148"/>
      <c r="R190" s="148"/>
      <c r="S190" s="149"/>
      <c r="T190" s="149"/>
      <c r="U190" s="150"/>
      <c r="V190" s="150"/>
      <c r="W190" s="150"/>
      <c r="X190" s="150"/>
      <c r="Y190" s="150"/>
      <c r="Z190" s="150"/>
      <c r="AA190" s="150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41" s="213" customFormat="1" ht="15" thickTop="1" thickBot="1">
      <c r="B191" s="139"/>
      <c r="C191" s="138"/>
      <c r="D191" s="908"/>
      <c r="E191" s="138"/>
      <c r="F191" s="140"/>
      <c r="G191" s="141"/>
      <c r="H191" s="141"/>
      <c r="I191" s="141"/>
      <c r="J191" s="141"/>
      <c r="K191" s="141"/>
      <c r="L191" s="141"/>
      <c r="M191" s="458"/>
      <c r="N191" s="140"/>
      <c r="O191" s="141"/>
      <c r="P191" s="141"/>
      <c r="Q191" s="148"/>
      <c r="R191" s="148"/>
      <c r="S191" s="148"/>
      <c r="T191" s="149"/>
      <c r="U191" s="151"/>
      <c r="V191" s="152"/>
      <c r="W191" s="153"/>
      <c r="X191" s="153"/>
      <c r="Y191" s="153"/>
      <c r="Z191" s="153"/>
      <c r="AA191" s="154"/>
      <c r="AB191" s="246"/>
      <c r="AC191" s="246"/>
      <c r="AE191" s="214"/>
      <c r="AF191" s="214"/>
      <c r="AG191" s="214"/>
      <c r="AH191" s="214"/>
      <c r="AI191" s="214"/>
      <c r="AJ191" s="214"/>
      <c r="AK191" s="214"/>
      <c r="AL191" s="214"/>
      <c r="AM191" s="214"/>
      <c r="AN191" s="214"/>
      <c r="AO191" s="214"/>
    </row>
    <row r="192" spans="2:41" s="247" customFormat="1" ht="12" thickTop="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39" s="247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39" s="247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39" s="247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39" s="247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39" s="247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39" s="247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39" s="247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39" s="247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39" s="247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39" s="247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39" s="247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39" s="247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39" s="247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39" s="247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39" s="247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39" s="247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39" s="247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39" s="247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39" s="247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39" s="247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39" s="247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39" s="247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39" s="247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39" s="247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39" s="247" customFormat="1" ht="11">
      <c r="B217" s="144"/>
      <c r="C217" s="143"/>
      <c r="D217" s="907"/>
      <c r="E217" s="143"/>
      <c r="F217" s="145"/>
      <c r="G217" s="146"/>
      <c r="H217" s="146"/>
      <c r="I217" s="146"/>
      <c r="J217" s="146"/>
      <c r="K217" s="146"/>
      <c r="L217" s="146"/>
      <c r="M217" s="458"/>
      <c r="N217" s="145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39" s="247" customFormat="1" ht="11">
      <c r="B218" s="144"/>
      <c r="C218" s="143"/>
      <c r="D218" s="907"/>
      <c r="E218" s="143"/>
      <c r="F218" s="145"/>
      <c r="G218" s="146"/>
      <c r="H218" s="146"/>
      <c r="I218" s="146"/>
      <c r="J218" s="146"/>
      <c r="K218" s="146"/>
      <c r="L218" s="146"/>
      <c r="M218" s="458"/>
      <c r="N218" s="145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39" s="247" customFormat="1" ht="11">
      <c r="B219" s="144"/>
      <c r="C219" s="143"/>
      <c r="D219" s="907"/>
      <c r="E219" s="143"/>
      <c r="F219" s="145"/>
      <c r="G219" s="146"/>
      <c r="H219" s="146"/>
      <c r="I219" s="146"/>
      <c r="J219" s="146"/>
      <c r="K219" s="146"/>
      <c r="L219" s="146"/>
      <c r="M219" s="458"/>
      <c r="N219" s="145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39" s="247" customFormat="1" ht="11">
      <c r="B220" s="144"/>
      <c r="C220" s="143"/>
      <c r="D220" s="907"/>
      <c r="E220" s="143"/>
      <c r="F220" s="145"/>
      <c r="G220" s="146"/>
      <c r="H220" s="146"/>
      <c r="I220" s="146"/>
      <c r="J220" s="146"/>
      <c r="K220" s="146"/>
      <c r="L220" s="146"/>
      <c r="M220" s="458"/>
      <c r="N220" s="145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39" s="247" customFormat="1" ht="11">
      <c r="B221" s="144"/>
      <c r="C221" s="143"/>
      <c r="D221" s="907"/>
      <c r="E221" s="143"/>
      <c r="F221" s="145"/>
      <c r="G221" s="146"/>
      <c r="H221" s="146"/>
      <c r="I221" s="146"/>
      <c r="J221" s="146"/>
      <c r="K221" s="146"/>
      <c r="L221" s="146"/>
      <c r="M221" s="458"/>
      <c r="N221" s="145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</row>
    <row r="222" spans="2:39" s="247" customFormat="1" ht="11">
      <c r="B222" s="144"/>
      <c r="C222" s="143"/>
      <c r="D222" s="907"/>
      <c r="E222" s="143"/>
      <c r="F222" s="145"/>
      <c r="G222" s="146"/>
      <c r="H222" s="146"/>
      <c r="I222" s="146"/>
      <c r="J222" s="146"/>
      <c r="K222" s="146"/>
      <c r="L222" s="146"/>
      <c r="M222" s="458"/>
      <c r="N222" s="145"/>
      <c r="O222" s="146"/>
      <c r="P222" s="146"/>
      <c r="Q222" s="147"/>
      <c r="R222" s="147"/>
      <c r="S222" s="142"/>
      <c r="T222" s="142"/>
      <c r="U222" s="146"/>
      <c r="V222" s="146"/>
      <c r="W222" s="146"/>
      <c r="X222" s="146"/>
      <c r="Y222" s="146"/>
      <c r="Z222" s="146"/>
      <c r="AA222" s="146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39" s="247" customFormat="1" ht="11">
      <c r="B223" s="144"/>
      <c r="C223" s="143"/>
      <c r="D223" s="907"/>
      <c r="E223" s="143"/>
      <c r="F223" s="145"/>
      <c r="G223" s="146"/>
      <c r="H223" s="146"/>
      <c r="I223" s="146"/>
      <c r="J223" s="146"/>
      <c r="K223" s="146"/>
      <c r="L223" s="146"/>
      <c r="M223" s="458"/>
      <c r="N223" s="145"/>
      <c r="O223" s="146"/>
      <c r="P223" s="146"/>
      <c r="Q223" s="147"/>
      <c r="R223" s="147"/>
      <c r="S223" s="142"/>
      <c r="T223" s="142"/>
      <c r="U223" s="146"/>
      <c r="V223" s="146"/>
      <c r="W223" s="146"/>
      <c r="X223" s="146"/>
      <c r="Y223" s="146"/>
      <c r="Z223" s="146"/>
      <c r="AA223" s="146"/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</row>
    <row r="224" spans="2:39" s="247" customFormat="1" ht="11">
      <c r="B224" s="144"/>
      <c r="C224" s="143"/>
      <c r="D224" s="907"/>
      <c r="E224" s="143"/>
      <c r="F224" s="145"/>
      <c r="G224" s="146"/>
      <c r="H224" s="146"/>
      <c r="I224" s="146"/>
      <c r="J224" s="146"/>
      <c r="K224" s="146"/>
      <c r="L224" s="146"/>
      <c r="M224" s="458"/>
      <c r="N224" s="145"/>
      <c r="O224" s="146"/>
      <c r="P224" s="146"/>
      <c r="Q224" s="147"/>
      <c r="R224" s="147"/>
      <c r="S224" s="142"/>
      <c r="T224" s="142"/>
      <c r="U224" s="146"/>
      <c r="V224" s="146"/>
      <c r="W224" s="146"/>
      <c r="X224" s="146"/>
      <c r="Y224" s="146"/>
      <c r="Z224" s="146"/>
      <c r="AA224" s="146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2:41" s="247" customFormat="1" ht="11">
      <c r="B225" s="144"/>
      <c r="C225" s="143"/>
      <c r="D225" s="907"/>
      <c r="E225" s="143"/>
      <c r="F225" s="145"/>
      <c r="G225" s="146"/>
      <c r="H225" s="146"/>
      <c r="I225" s="146"/>
      <c r="J225" s="146"/>
      <c r="K225" s="146"/>
      <c r="L225" s="146"/>
      <c r="M225" s="458"/>
      <c r="N225" s="145"/>
      <c r="O225" s="146"/>
      <c r="P225" s="146"/>
      <c r="Q225" s="147"/>
      <c r="R225" s="147"/>
      <c r="S225" s="142"/>
      <c r="T225" s="142"/>
      <c r="U225" s="146"/>
      <c r="V225" s="146"/>
      <c r="W225" s="146"/>
      <c r="X225" s="146"/>
      <c r="Y225" s="146"/>
      <c r="Z225" s="146"/>
      <c r="AA225" s="146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</row>
    <row r="226" spans="2:41" s="247" customFormat="1" ht="11">
      <c r="B226" s="144"/>
      <c r="C226" s="143"/>
      <c r="D226" s="907"/>
      <c r="E226" s="143"/>
      <c r="F226" s="145"/>
      <c r="G226" s="146"/>
      <c r="H226" s="146"/>
      <c r="I226" s="146"/>
      <c r="J226" s="146"/>
      <c r="K226" s="146"/>
      <c r="L226" s="146"/>
      <c r="M226" s="458"/>
      <c r="N226" s="145"/>
      <c r="O226" s="146"/>
      <c r="P226" s="146"/>
      <c r="Q226" s="147"/>
      <c r="R226" s="147"/>
      <c r="S226" s="142"/>
      <c r="T226" s="142"/>
      <c r="U226" s="146"/>
      <c r="V226" s="146"/>
      <c r="W226" s="146"/>
      <c r="X226" s="146"/>
      <c r="Y226" s="146"/>
      <c r="Z226" s="146"/>
      <c r="AA226" s="146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2:41" s="247" customFormat="1" ht="11">
      <c r="B227" s="144"/>
      <c r="C227" s="143"/>
      <c r="D227" s="907"/>
      <c r="E227" s="143"/>
      <c r="F227" s="145"/>
      <c r="G227" s="146"/>
      <c r="H227" s="146"/>
      <c r="I227" s="146"/>
      <c r="J227" s="146"/>
      <c r="K227" s="146"/>
      <c r="L227" s="146"/>
      <c r="M227" s="458"/>
      <c r="N227" s="145"/>
      <c r="O227" s="146"/>
      <c r="P227" s="146"/>
      <c r="Q227" s="147"/>
      <c r="R227" s="147"/>
      <c r="S227" s="142"/>
      <c r="T227" s="142"/>
      <c r="U227" s="146"/>
      <c r="V227" s="146"/>
      <c r="W227" s="146"/>
      <c r="X227" s="146"/>
      <c r="Y227" s="146"/>
      <c r="Z227" s="146"/>
      <c r="AA227" s="146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2:41" s="247" customFormat="1" ht="11">
      <c r="B228" s="248"/>
      <c r="D228" s="909"/>
      <c r="F228" s="249"/>
      <c r="G228" s="250"/>
      <c r="H228" s="250"/>
      <c r="I228" s="250"/>
      <c r="J228" s="250"/>
      <c r="K228" s="250"/>
      <c r="L228" s="250"/>
      <c r="M228" s="459"/>
      <c r="N228" s="249"/>
      <c r="O228" s="146"/>
      <c r="P228" s="146"/>
      <c r="Q228" s="147"/>
      <c r="R228" s="147"/>
      <c r="S228" s="142"/>
      <c r="T228" s="142"/>
      <c r="U228" s="146"/>
      <c r="V228" s="146"/>
      <c r="W228" s="146"/>
      <c r="X228" s="146"/>
      <c r="Y228" s="146"/>
      <c r="Z228" s="146"/>
      <c r="AA228" s="146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2:41" s="247" customFormat="1" ht="11">
      <c r="B229" s="248"/>
      <c r="D229" s="909"/>
      <c r="F229" s="249"/>
      <c r="G229" s="250"/>
      <c r="H229" s="250"/>
      <c r="I229" s="250"/>
      <c r="J229" s="250"/>
      <c r="K229" s="250"/>
      <c r="L229" s="250"/>
      <c r="M229" s="459"/>
      <c r="N229" s="249"/>
      <c r="O229" s="146"/>
      <c r="P229" s="146"/>
      <c r="Q229" s="147"/>
      <c r="R229" s="147"/>
      <c r="S229" s="142"/>
      <c r="T229" s="142"/>
      <c r="U229" s="146"/>
      <c r="V229" s="146"/>
      <c r="W229" s="146"/>
      <c r="X229" s="146"/>
      <c r="Y229" s="146"/>
      <c r="Z229" s="146"/>
      <c r="AA229" s="146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2:41" s="247" customFormat="1" ht="11">
      <c r="B230" s="248"/>
      <c r="D230" s="909"/>
      <c r="F230" s="249"/>
      <c r="G230" s="250"/>
      <c r="H230" s="250"/>
      <c r="I230" s="250"/>
      <c r="J230" s="250"/>
      <c r="K230" s="250"/>
      <c r="L230" s="250"/>
      <c r="M230" s="459"/>
      <c r="N230" s="249"/>
      <c r="O230" s="146"/>
      <c r="P230" s="146"/>
      <c r="Q230" s="147"/>
      <c r="R230" s="147"/>
      <c r="S230" s="142"/>
      <c r="T230" s="142"/>
      <c r="U230" s="146"/>
      <c r="V230" s="146"/>
      <c r="W230" s="146"/>
      <c r="X230" s="146"/>
      <c r="Y230" s="146"/>
      <c r="Z230" s="146"/>
      <c r="AA230" s="146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</row>
    <row r="231" spans="2:41" s="247" customFormat="1" ht="11">
      <c r="B231" s="248"/>
      <c r="D231" s="909"/>
      <c r="F231" s="249"/>
      <c r="G231" s="250"/>
      <c r="H231" s="250"/>
      <c r="I231" s="250"/>
      <c r="J231" s="250"/>
      <c r="K231" s="250"/>
      <c r="L231" s="250"/>
      <c r="M231" s="459"/>
      <c r="N231" s="249"/>
      <c r="O231" s="146"/>
      <c r="P231" s="146"/>
      <c r="Q231" s="147"/>
      <c r="R231" s="147"/>
      <c r="S231" s="142"/>
      <c r="T231" s="142"/>
      <c r="U231" s="146"/>
      <c r="V231" s="146"/>
      <c r="W231" s="146"/>
      <c r="X231" s="146"/>
      <c r="Y231" s="146"/>
      <c r="Z231" s="146"/>
      <c r="AA231" s="146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2:41" s="247" customFormat="1" ht="11">
      <c r="B232" s="248"/>
      <c r="D232" s="909"/>
      <c r="F232" s="249"/>
      <c r="G232" s="250"/>
      <c r="H232" s="250"/>
      <c r="I232" s="250"/>
      <c r="J232" s="250"/>
      <c r="K232" s="250"/>
      <c r="L232" s="250"/>
      <c r="M232" s="459"/>
      <c r="N232" s="249"/>
      <c r="O232" s="146"/>
      <c r="P232" s="146"/>
      <c r="Q232" s="147"/>
      <c r="R232" s="147"/>
      <c r="S232" s="142"/>
      <c r="T232" s="142"/>
      <c r="U232" s="146">
        <f>SUBTOTAL(9,U190:U231)</f>
        <v>0</v>
      </c>
      <c r="V232" s="146">
        <f t="shared" ref="V232:AA232" si="91">SUBTOTAL(9,V190:V231)</f>
        <v>0</v>
      </c>
      <c r="W232" s="146">
        <f t="shared" si="91"/>
        <v>0</v>
      </c>
      <c r="X232" s="146">
        <f t="shared" si="91"/>
        <v>0</v>
      </c>
      <c r="Y232" s="146">
        <f t="shared" si="91"/>
        <v>0</v>
      </c>
      <c r="Z232" s="146">
        <f t="shared" si="91"/>
        <v>0</v>
      </c>
      <c r="AA232" s="146">
        <f t="shared" si="91"/>
        <v>0</v>
      </c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2:41" s="213" customFormat="1" ht="14" thickBot="1">
      <c r="B233" s="225"/>
      <c r="D233" s="910"/>
      <c r="F233" s="242"/>
      <c r="G233" s="243"/>
      <c r="H233" s="243"/>
      <c r="I233" s="243"/>
      <c r="J233" s="243"/>
      <c r="K233" s="243"/>
      <c r="L233" s="243"/>
      <c r="M233" s="459"/>
      <c r="N233" s="242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2:41" s="213" customFormat="1" ht="15" thickTop="1" thickBot="1">
      <c r="B234" s="225"/>
      <c r="D234" s="910"/>
      <c r="F234" s="242"/>
      <c r="G234" s="243"/>
      <c r="H234" s="243"/>
      <c r="I234" s="243"/>
      <c r="J234" s="243"/>
      <c r="K234" s="243"/>
      <c r="L234" s="243"/>
      <c r="M234" s="459"/>
      <c r="N234" s="242"/>
      <c r="O234" s="141"/>
      <c r="P234" s="141"/>
      <c r="Q234" s="148"/>
      <c r="R234" s="148"/>
      <c r="S234" s="148"/>
      <c r="T234" s="148"/>
      <c r="U234" s="151">
        <f>SUBTOTAL(9,U192:U233)</f>
        <v>0</v>
      </c>
      <c r="V234" s="152">
        <f t="shared" ref="V234:AA234" si="92">SUBTOTAL(9,V192:V233)</f>
        <v>0</v>
      </c>
      <c r="W234" s="153">
        <f t="shared" si="92"/>
        <v>0</v>
      </c>
      <c r="X234" s="153">
        <f t="shared" si="92"/>
        <v>0</v>
      </c>
      <c r="Y234" s="153">
        <f t="shared" si="92"/>
        <v>0</v>
      </c>
      <c r="Z234" s="153">
        <f t="shared" si="92"/>
        <v>0</v>
      </c>
      <c r="AA234" s="154">
        <f t="shared" si="92"/>
        <v>0</v>
      </c>
      <c r="AB234" s="246"/>
      <c r="AC234" s="246"/>
      <c r="AE234" s="214"/>
      <c r="AF234" s="214"/>
      <c r="AG234" s="214"/>
      <c r="AH234" s="214"/>
      <c r="AI234" s="214"/>
      <c r="AJ234" s="214"/>
      <c r="AK234" s="214"/>
      <c r="AL234" s="214"/>
      <c r="AM234" s="214"/>
      <c r="AN234" s="214"/>
      <c r="AO234" s="214"/>
    </row>
    <row r="235" spans="2:41" s="213" customFormat="1" ht="14" thickTop="1">
      <c r="B235" s="225"/>
      <c r="D235" s="910"/>
      <c r="F235" s="242"/>
      <c r="G235" s="243"/>
      <c r="H235" s="243"/>
      <c r="I235" s="243"/>
      <c r="J235" s="243"/>
      <c r="K235" s="243"/>
      <c r="L235" s="243"/>
      <c r="M235" s="459"/>
      <c r="N235" s="242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</row>
    <row r="236" spans="2:41" s="213" customFormat="1">
      <c r="B236" s="225"/>
      <c r="D236" s="910"/>
      <c r="F236" s="242"/>
      <c r="G236" s="243"/>
      <c r="H236" s="243"/>
      <c r="I236" s="243"/>
      <c r="J236" s="243"/>
      <c r="K236" s="243"/>
      <c r="L236" s="243"/>
      <c r="M236" s="459"/>
      <c r="N236" s="242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14"/>
      <c r="AD236" s="214"/>
      <c r="AE236" s="214"/>
      <c r="AF236" s="214"/>
      <c r="AG236" s="214"/>
      <c r="AH236" s="214"/>
      <c r="AI236" s="214"/>
      <c r="AJ236" s="214"/>
      <c r="AK236" s="214"/>
      <c r="AL236" s="214"/>
      <c r="AM236" s="214"/>
    </row>
    <row r="237" spans="2:41" s="213" customFormat="1">
      <c r="B237" s="225"/>
      <c r="D237" s="910"/>
      <c r="F237" s="242"/>
      <c r="G237" s="243"/>
      <c r="H237" s="243"/>
      <c r="I237" s="243"/>
      <c r="J237" s="243"/>
      <c r="K237" s="243"/>
      <c r="L237" s="243"/>
      <c r="M237" s="459"/>
      <c r="N237" s="242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14"/>
      <c r="AD237" s="214"/>
      <c r="AE237" s="214"/>
      <c r="AF237" s="214"/>
      <c r="AG237" s="214"/>
      <c r="AH237" s="214"/>
      <c r="AI237" s="214"/>
      <c r="AJ237" s="214"/>
      <c r="AK237" s="214"/>
      <c r="AL237" s="214"/>
      <c r="AM237" s="214"/>
    </row>
    <row r="238" spans="2:41" s="213" customFormat="1">
      <c r="B238" s="225"/>
      <c r="D238" s="910"/>
      <c r="F238" s="242"/>
      <c r="G238" s="243"/>
      <c r="H238" s="243"/>
      <c r="I238" s="243"/>
      <c r="J238" s="243"/>
      <c r="K238" s="243"/>
      <c r="L238" s="243"/>
      <c r="M238" s="459"/>
      <c r="N238" s="242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14"/>
      <c r="AD238" s="214"/>
      <c r="AE238" s="214"/>
      <c r="AF238" s="214"/>
      <c r="AG238" s="214"/>
      <c r="AH238" s="214"/>
      <c r="AI238" s="214"/>
      <c r="AJ238" s="214"/>
      <c r="AK238" s="214"/>
      <c r="AL238" s="214"/>
      <c r="AM238" s="214"/>
    </row>
    <row r="239" spans="2:41" s="213" customFormat="1">
      <c r="B239" s="225"/>
      <c r="D239" s="910"/>
      <c r="F239" s="242"/>
      <c r="G239" s="243"/>
      <c r="H239" s="243"/>
      <c r="I239" s="243"/>
      <c r="J239" s="243"/>
      <c r="K239" s="243"/>
      <c r="L239" s="243"/>
      <c r="M239" s="459"/>
      <c r="N239" s="242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14"/>
      <c r="AD239" s="214"/>
      <c r="AE239" s="214"/>
      <c r="AF239" s="214"/>
      <c r="AG239" s="214"/>
      <c r="AH239" s="214"/>
      <c r="AI239" s="214"/>
      <c r="AJ239" s="214"/>
      <c r="AK239" s="214"/>
      <c r="AL239" s="214"/>
      <c r="AM239" s="214"/>
    </row>
    <row r="240" spans="2:41" s="213" customFormat="1">
      <c r="B240" s="225"/>
      <c r="D240" s="910"/>
      <c r="F240" s="242"/>
      <c r="G240" s="243"/>
      <c r="H240" s="243"/>
      <c r="I240" s="243"/>
      <c r="J240" s="243"/>
      <c r="K240" s="243"/>
      <c r="L240" s="243"/>
      <c r="M240" s="459"/>
      <c r="N240" s="242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14"/>
      <c r="AD240" s="214"/>
      <c r="AE240" s="214"/>
      <c r="AF240" s="214"/>
      <c r="AG240" s="214"/>
      <c r="AH240" s="214"/>
      <c r="AI240" s="214"/>
      <c r="AJ240" s="214"/>
      <c r="AK240" s="214"/>
      <c r="AL240" s="214"/>
      <c r="AM240" s="214"/>
    </row>
    <row r="241" spans="2:39" s="213" customFormat="1">
      <c r="B241" s="225"/>
      <c r="D241" s="910"/>
      <c r="F241" s="242"/>
      <c r="G241" s="243"/>
      <c r="H241" s="243"/>
      <c r="I241" s="243"/>
      <c r="J241" s="243"/>
      <c r="K241" s="243"/>
      <c r="L241" s="243"/>
      <c r="M241" s="459"/>
      <c r="N241" s="242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14"/>
      <c r="AD241" s="214"/>
      <c r="AE241" s="214"/>
      <c r="AF241" s="214"/>
      <c r="AG241" s="214"/>
      <c r="AH241" s="214"/>
      <c r="AI241" s="214"/>
      <c r="AJ241" s="214"/>
      <c r="AK241" s="214"/>
      <c r="AL241" s="214"/>
      <c r="AM241" s="214"/>
    </row>
    <row r="242" spans="2:39" s="213" customFormat="1">
      <c r="B242" s="225"/>
      <c r="D242" s="910"/>
      <c r="F242" s="242"/>
      <c r="G242" s="243"/>
      <c r="H242" s="243"/>
      <c r="I242" s="243"/>
      <c r="J242" s="243"/>
      <c r="K242" s="243"/>
      <c r="L242" s="243"/>
      <c r="M242" s="459"/>
      <c r="N242" s="242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14"/>
      <c r="AD242" s="214"/>
      <c r="AE242" s="214"/>
      <c r="AF242" s="214"/>
      <c r="AG242" s="214"/>
      <c r="AH242" s="214"/>
      <c r="AI242" s="214"/>
      <c r="AJ242" s="214"/>
      <c r="AK242" s="214"/>
      <c r="AL242" s="214"/>
      <c r="AM242" s="214"/>
    </row>
    <row r="243" spans="2:39" s="213" customFormat="1">
      <c r="B243" s="225"/>
      <c r="D243" s="910"/>
      <c r="F243" s="242"/>
      <c r="G243" s="243"/>
      <c r="H243" s="243"/>
      <c r="I243" s="243"/>
      <c r="J243" s="243"/>
      <c r="K243" s="243"/>
      <c r="L243" s="243"/>
      <c r="M243" s="459"/>
      <c r="N243" s="242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14"/>
      <c r="AD243" s="214"/>
      <c r="AE243" s="214"/>
      <c r="AF243" s="214"/>
      <c r="AG243" s="214"/>
      <c r="AH243" s="214"/>
      <c r="AI243" s="214"/>
      <c r="AJ243" s="214"/>
      <c r="AK243" s="214"/>
      <c r="AL243" s="214"/>
      <c r="AM243" s="214"/>
    </row>
    <row r="244" spans="2:39" s="213" customFormat="1">
      <c r="B244" s="225"/>
      <c r="D244" s="910"/>
      <c r="F244" s="242"/>
      <c r="G244" s="243"/>
      <c r="H244" s="243"/>
      <c r="I244" s="243"/>
      <c r="J244" s="243"/>
      <c r="K244" s="243"/>
      <c r="L244" s="243"/>
      <c r="M244" s="459"/>
      <c r="N244" s="242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14"/>
      <c r="AD244" s="214"/>
      <c r="AE244" s="214"/>
      <c r="AF244" s="214"/>
      <c r="AG244" s="214"/>
      <c r="AH244" s="214"/>
      <c r="AI244" s="214"/>
      <c r="AJ244" s="214"/>
      <c r="AK244" s="214"/>
      <c r="AL244" s="214"/>
      <c r="AM244" s="214"/>
    </row>
    <row r="245" spans="2:39" s="213" customFormat="1">
      <c r="B245" s="225"/>
      <c r="D245" s="910"/>
      <c r="F245" s="242"/>
      <c r="G245" s="243"/>
      <c r="H245" s="243"/>
      <c r="I245" s="243"/>
      <c r="J245" s="243"/>
      <c r="K245" s="243"/>
      <c r="L245" s="243"/>
      <c r="M245" s="459"/>
      <c r="N245" s="242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14"/>
      <c r="AD245" s="214"/>
      <c r="AE245" s="214"/>
      <c r="AF245" s="214"/>
      <c r="AG245" s="214"/>
      <c r="AH245" s="214"/>
      <c r="AI245" s="214"/>
      <c r="AJ245" s="214"/>
      <c r="AK245" s="214"/>
      <c r="AL245" s="214"/>
      <c r="AM245" s="214"/>
    </row>
    <row r="246" spans="2:39" s="213" customFormat="1">
      <c r="B246" s="225"/>
      <c r="D246" s="910"/>
      <c r="F246" s="242"/>
      <c r="G246" s="243"/>
      <c r="H246" s="243"/>
      <c r="I246" s="243"/>
      <c r="J246" s="243"/>
      <c r="K246" s="243"/>
      <c r="L246" s="243"/>
      <c r="M246" s="459"/>
      <c r="N246" s="242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14"/>
      <c r="AD246" s="214"/>
      <c r="AE246" s="214"/>
      <c r="AF246" s="214"/>
      <c r="AG246" s="214"/>
      <c r="AH246" s="214"/>
      <c r="AI246" s="214"/>
      <c r="AJ246" s="214"/>
      <c r="AK246" s="214"/>
      <c r="AL246" s="214"/>
      <c r="AM246" s="214"/>
    </row>
    <row r="247" spans="2:39" s="213" customFormat="1">
      <c r="B247" s="225"/>
      <c r="D247" s="910"/>
      <c r="F247" s="242"/>
      <c r="G247" s="243"/>
      <c r="H247" s="243"/>
      <c r="I247" s="243"/>
      <c r="J247" s="243"/>
      <c r="K247" s="243"/>
      <c r="L247" s="243"/>
      <c r="M247" s="459"/>
      <c r="N247" s="242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14"/>
      <c r="AD247" s="214"/>
      <c r="AE247" s="214"/>
      <c r="AF247" s="214"/>
      <c r="AG247" s="214"/>
      <c r="AH247" s="214"/>
      <c r="AI247" s="214"/>
      <c r="AJ247" s="214"/>
      <c r="AK247" s="214"/>
      <c r="AL247" s="214"/>
      <c r="AM247" s="214"/>
    </row>
    <row r="248" spans="2:39" s="213" customFormat="1">
      <c r="B248" s="225"/>
      <c r="D248" s="910"/>
      <c r="F248" s="242"/>
      <c r="G248" s="243"/>
      <c r="H248" s="243"/>
      <c r="I248" s="243"/>
      <c r="J248" s="243"/>
      <c r="K248" s="243"/>
      <c r="L248" s="243"/>
      <c r="M248" s="459"/>
      <c r="N248" s="242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14"/>
      <c r="AD248" s="214"/>
      <c r="AE248" s="214"/>
      <c r="AF248" s="214"/>
      <c r="AG248" s="214"/>
      <c r="AH248" s="214"/>
      <c r="AI248" s="214"/>
      <c r="AJ248" s="214"/>
      <c r="AK248" s="214"/>
      <c r="AL248" s="214"/>
      <c r="AM248" s="214"/>
    </row>
    <row r="249" spans="2:39" s="213" customFormat="1">
      <c r="B249" s="225"/>
      <c r="D249" s="910"/>
      <c r="F249" s="242"/>
      <c r="G249" s="243"/>
      <c r="H249" s="243"/>
      <c r="I249" s="243"/>
      <c r="J249" s="243"/>
      <c r="K249" s="243"/>
      <c r="L249" s="243"/>
      <c r="M249" s="459"/>
      <c r="N249" s="242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14"/>
      <c r="AD249" s="214"/>
      <c r="AE249" s="214"/>
      <c r="AF249" s="214"/>
      <c r="AG249" s="214"/>
      <c r="AH249" s="214"/>
      <c r="AI249" s="214"/>
      <c r="AJ249" s="214"/>
      <c r="AK249" s="214"/>
      <c r="AL249" s="214"/>
      <c r="AM249" s="214"/>
    </row>
    <row r="250" spans="2:39" s="213" customFormat="1">
      <c r="B250" s="225"/>
      <c r="D250" s="910"/>
      <c r="F250" s="242"/>
      <c r="G250" s="243"/>
      <c r="H250" s="243"/>
      <c r="I250" s="243"/>
      <c r="J250" s="243"/>
      <c r="K250" s="243"/>
      <c r="L250" s="243"/>
      <c r="M250" s="459"/>
      <c r="N250" s="242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14"/>
      <c r="AD250" s="214"/>
      <c r="AE250" s="214"/>
      <c r="AF250" s="214"/>
      <c r="AG250" s="214"/>
      <c r="AH250" s="214"/>
      <c r="AI250" s="214"/>
      <c r="AJ250" s="214"/>
      <c r="AK250" s="214"/>
      <c r="AL250" s="214"/>
      <c r="AM250" s="214"/>
    </row>
    <row r="251" spans="2:39" s="213" customFormat="1">
      <c r="B251" s="225"/>
      <c r="D251" s="910"/>
      <c r="F251" s="242"/>
      <c r="G251" s="243"/>
      <c r="H251" s="243"/>
      <c r="I251" s="243"/>
      <c r="J251" s="243"/>
      <c r="K251" s="243"/>
      <c r="L251" s="243"/>
      <c r="M251" s="459"/>
      <c r="N251" s="242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14"/>
      <c r="AD251" s="214"/>
      <c r="AE251" s="214"/>
      <c r="AF251" s="214"/>
      <c r="AG251" s="214"/>
      <c r="AH251" s="214"/>
      <c r="AI251" s="214"/>
      <c r="AJ251" s="214"/>
      <c r="AK251" s="214"/>
      <c r="AL251" s="214"/>
      <c r="AM251" s="214"/>
    </row>
    <row r="252" spans="2:39" s="213" customFormat="1">
      <c r="B252" s="225"/>
      <c r="D252" s="910"/>
      <c r="F252" s="242"/>
      <c r="G252" s="243"/>
      <c r="H252" s="243"/>
      <c r="I252" s="243"/>
      <c r="J252" s="243"/>
      <c r="K252" s="243"/>
      <c r="L252" s="243"/>
      <c r="M252" s="459"/>
      <c r="N252" s="242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14"/>
      <c r="AD252" s="214"/>
      <c r="AE252" s="214"/>
      <c r="AF252" s="214"/>
      <c r="AG252" s="214"/>
      <c r="AH252" s="214"/>
      <c r="AI252" s="214"/>
      <c r="AJ252" s="214"/>
      <c r="AK252" s="214"/>
      <c r="AL252" s="214"/>
      <c r="AM252" s="214"/>
    </row>
    <row r="253" spans="2:39" s="213" customFormat="1">
      <c r="B253" s="225"/>
      <c r="D253" s="910"/>
      <c r="F253" s="242"/>
      <c r="G253" s="243"/>
      <c r="H253" s="243"/>
      <c r="I253" s="243"/>
      <c r="J253" s="243"/>
      <c r="K253" s="243"/>
      <c r="L253" s="243"/>
      <c r="M253" s="459"/>
      <c r="N253" s="242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14"/>
      <c r="AD253" s="214"/>
      <c r="AE253" s="214"/>
      <c r="AF253" s="214"/>
      <c r="AG253" s="214"/>
      <c r="AH253" s="214"/>
      <c r="AI253" s="214"/>
      <c r="AJ253" s="214"/>
      <c r="AK253" s="214"/>
      <c r="AL253" s="214"/>
      <c r="AM253" s="214"/>
    </row>
    <row r="254" spans="2:39" s="213" customFormat="1">
      <c r="B254" s="225"/>
      <c r="D254" s="910"/>
      <c r="F254" s="242"/>
      <c r="G254" s="243"/>
      <c r="H254" s="243"/>
      <c r="I254" s="243"/>
      <c r="J254" s="243"/>
      <c r="K254" s="243"/>
      <c r="L254" s="243"/>
      <c r="M254" s="459"/>
      <c r="N254" s="242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14"/>
      <c r="AD254" s="214"/>
      <c r="AE254" s="214"/>
      <c r="AF254" s="214"/>
      <c r="AG254" s="214"/>
      <c r="AH254" s="214"/>
      <c r="AI254" s="214"/>
      <c r="AJ254" s="214"/>
      <c r="AK254" s="214"/>
      <c r="AL254" s="214"/>
      <c r="AM254" s="214"/>
    </row>
    <row r="255" spans="2:39" s="213" customFormat="1">
      <c r="B255" s="225"/>
      <c r="D255" s="910"/>
      <c r="F255" s="242"/>
      <c r="G255" s="243"/>
      <c r="H255" s="243"/>
      <c r="I255" s="243"/>
      <c r="J255" s="243"/>
      <c r="K255" s="243"/>
      <c r="L255" s="243"/>
      <c r="M255" s="459"/>
      <c r="N255" s="242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14"/>
      <c r="AD255" s="214"/>
      <c r="AE255" s="214"/>
      <c r="AF255" s="214"/>
      <c r="AG255" s="214"/>
      <c r="AH255" s="214"/>
      <c r="AI255" s="214"/>
      <c r="AJ255" s="214"/>
      <c r="AK255" s="214"/>
      <c r="AL255" s="214"/>
      <c r="AM255" s="214"/>
    </row>
    <row r="256" spans="2:39" s="213" customFormat="1">
      <c r="B256" s="225"/>
      <c r="D256" s="910"/>
      <c r="F256" s="242"/>
      <c r="G256" s="243"/>
      <c r="H256" s="243"/>
      <c r="I256" s="243"/>
      <c r="J256" s="243"/>
      <c r="K256" s="243"/>
      <c r="L256" s="243"/>
      <c r="M256" s="459"/>
      <c r="N256" s="242"/>
      <c r="O256" s="141"/>
      <c r="P256" s="141"/>
      <c r="Q256" s="148"/>
      <c r="R256" s="148"/>
      <c r="S256" s="149"/>
      <c r="T256" s="149"/>
      <c r="U256" s="150"/>
      <c r="V256" s="150"/>
      <c r="W256" s="150"/>
      <c r="X256" s="150"/>
      <c r="Y256" s="150"/>
      <c r="Z256" s="150"/>
      <c r="AA256" s="150"/>
      <c r="AC256" s="214"/>
      <c r="AD256" s="214"/>
      <c r="AE256" s="214"/>
      <c r="AF256" s="214"/>
      <c r="AG256" s="214"/>
      <c r="AH256" s="214"/>
      <c r="AI256" s="214"/>
      <c r="AJ256" s="214"/>
      <c r="AK256" s="214"/>
      <c r="AL256" s="214"/>
      <c r="AM256" s="214"/>
    </row>
    <row r="257" spans="1:40" s="213" customFormat="1">
      <c r="B257" s="225"/>
      <c r="D257" s="910"/>
      <c r="F257" s="242"/>
      <c r="G257" s="243"/>
      <c r="H257" s="243"/>
      <c r="I257" s="243"/>
      <c r="J257" s="243"/>
      <c r="K257" s="243"/>
      <c r="L257" s="243"/>
      <c r="M257" s="459"/>
      <c r="N257" s="242"/>
      <c r="O257" s="141"/>
      <c r="P257" s="141"/>
      <c r="Q257" s="148"/>
      <c r="R257" s="148"/>
      <c r="S257" s="149"/>
      <c r="T257" s="149"/>
      <c r="U257" s="150"/>
      <c r="V257" s="150"/>
      <c r="W257" s="150"/>
      <c r="X257" s="150"/>
      <c r="Y257" s="150"/>
      <c r="Z257" s="150"/>
      <c r="AA257" s="150"/>
      <c r="AC257" s="214"/>
      <c r="AD257" s="214"/>
      <c r="AE257" s="214"/>
      <c r="AF257" s="214"/>
      <c r="AG257" s="214"/>
      <c r="AH257" s="214"/>
      <c r="AI257" s="214"/>
      <c r="AJ257" s="214"/>
      <c r="AK257" s="214"/>
      <c r="AL257" s="214"/>
      <c r="AM257" s="214"/>
    </row>
    <row r="258" spans="1:40" s="213" customFormat="1">
      <c r="B258" s="225"/>
      <c r="D258" s="910"/>
      <c r="F258" s="242"/>
      <c r="G258" s="243"/>
      <c r="H258" s="243"/>
      <c r="I258" s="243"/>
      <c r="J258" s="243"/>
      <c r="K258" s="243"/>
      <c r="L258" s="243"/>
      <c r="M258" s="459"/>
      <c r="N258" s="242"/>
      <c r="O258" s="141"/>
      <c r="P258" s="141"/>
      <c r="Q258" s="148"/>
      <c r="R258" s="148"/>
      <c r="S258" s="149"/>
      <c r="T258" s="149"/>
      <c r="U258" s="150"/>
      <c r="V258" s="150"/>
      <c r="W258" s="150"/>
      <c r="X258" s="150"/>
      <c r="Y258" s="150"/>
      <c r="Z258" s="150"/>
      <c r="AA258" s="150"/>
      <c r="AC258" s="214"/>
      <c r="AD258" s="214"/>
      <c r="AE258" s="214"/>
      <c r="AF258" s="214"/>
      <c r="AG258" s="214"/>
      <c r="AH258" s="214"/>
      <c r="AI258" s="214"/>
      <c r="AJ258" s="214"/>
      <c r="AK258" s="214"/>
      <c r="AL258" s="214"/>
      <c r="AM258" s="214"/>
    </row>
    <row r="259" spans="1:40" s="213" customFormat="1">
      <c r="B259" s="225"/>
      <c r="D259" s="910"/>
      <c r="F259" s="242"/>
      <c r="G259" s="243"/>
      <c r="H259" s="243"/>
      <c r="I259" s="243"/>
      <c r="J259" s="243"/>
      <c r="K259" s="243"/>
      <c r="L259" s="243"/>
      <c r="M259" s="459"/>
      <c r="N259" s="242"/>
      <c r="O259" s="141"/>
      <c r="P259" s="141"/>
      <c r="Q259" s="148"/>
      <c r="R259" s="148"/>
      <c r="S259" s="149"/>
      <c r="T259" s="149"/>
      <c r="U259" s="150"/>
      <c r="V259" s="150"/>
      <c r="W259" s="150"/>
      <c r="X259" s="150"/>
      <c r="Y259" s="150"/>
      <c r="Z259" s="150"/>
      <c r="AA259" s="150"/>
      <c r="AC259" s="214"/>
      <c r="AD259" s="214"/>
      <c r="AE259" s="214"/>
      <c r="AF259" s="214"/>
      <c r="AG259" s="214"/>
      <c r="AH259" s="214"/>
      <c r="AI259" s="214"/>
      <c r="AJ259" s="214"/>
      <c r="AK259" s="214"/>
      <c r="AL259" s="214"/>
      <c r="AM259" s="214"/>
    </row>
    <row r="260" spans="1:40" s="213" customFormat="1">
      <c r="B260" s="225"/>
      <c r="D260" s="910"/>
      <c r="F260" s="242"/>
      <c r="G260" s="243"/>
      <c r="H260" s="243"/>
      <c r="I260" s="243"/>
      <c r="J260" s="243"/>
      <c r="K260" s="243"/>
      <c r="L260" s="243"/>
      <c r="M260" s="459"/>
      <c r="N260" s="242"/>
      <c r="O260" s="141"/>
      <c r="P260" s="141"/>
      <c r="Q260" s="148"/>
      <c r="R260" s="148"/>
      <c r="S260" s="149"/>
      <c r="T260" s="149"/>
      <c r="U260" s="150"/>
      <c r="V260" s="150"/>
      <c r="W260" s="150"/>
      <c r="X260" s="150"/>
      <c r="Y260" s="150"/>
      <c r="Z260" s="150"/>
      <c r="AA260" s="150"/>
      <c r="AC260" s="214"/>
      <c r="AD260" s="214"/>
      <c r="AE260" s="214"/>
      <c r="AF260" s="214"/>
      <c r="AG260" s="214"/>
      <c r="AH260" s="214"/>
      <c r="AI260" s="214"/>
      <c r="AJ260" s="214"/>
      <c r="AK260" s="214"/>
      <c r="AL260" s="214"/>
      <c r="AM260" s="214"/>
    </row>
    <row r="261" spans="1:40" s="213" customFormat="1">
      <c r="B261" s="225"/>
      <c r="D261" s="910"/>
      <c r="F261" s="242"/>
      <c r="G261" s="243"/>
      <c r="H261" s="243"/>
      <c r="I261" s="243"/>
      <c r="J261" s="243"/>
      <c r="K261" s="243"/>
      <c r="L261" s="243"/>
      <c r="M261" s="459"/>
      <c r="N261" s="242"/>
      <c r="O261" s="141"/>
      <c r="P261" s="141"/>
      <c r="Q261" s="148"/>
      <c r="R261" s="148"/>
      <c r="S261" s="149"/>
      <c r="T261" s="149"/>
      <c r="U261" s="150"/>
      <c r="V261" s="150"/>
      <c r="W261" s="150"/>
      <c r="X261" s="150"/>
      <c r="Y261" s="150"/>
      <c r="Z261" s="150"/>
      <c r="AA261" s="150"/>
      <c r="AC261" s="214"/>
      <c r="AD261" s="214"/>
      <c r="AE261" s="214"/>
      <c r="AF261" s="214"/>
      <c r="AG261" s="214"/>
      <c r="AH261" s="214"/>
      <c r="AI261" s="214"/>
      <c r="AJ261" s="214"/>
      <c r="AK261" s="214"/>
      <c r="AL261" s="214"/>
      <c r="AM261" s="214"/>
    </row>
    <row r="262" spans="1:40" s="213" customFormat="1">
      <c r="B262" s="225"/>
      <c r="D262" s="910"/>
      <c r="F262" s="242"/>
      <c r="G262" s="243"/>
      <c r="H262" s="243"/>
      <c r="I262" s="243"/>
      <c r="J262" s="243"/>
      <c r="K262" s="243"/>
      <c r="L262" s="243"/>
      <c r="M262" s="459"/>
      <c r="N262" s="242"/>
      <c r="O262" s="141"/>
      <c r="P262" s="141"/>
      <c r="Q262" s="148"/>
      <c r="R262" s="148"/>
      <c r="S262" s="149"/>
      <c r="T262" s="149"/>
      <c r="U262" s="150"/>
      <c r="V262" s="150"/>
      <c r="W262" s="150"/>
      <c r="X262" s="150"/>
      <c r="Y262" s="150"/>
      <c r="Z262" s="150"/>
      <c r="AA262" s="150"/>
      <c r="AC262" s="214"/>
      <c r="AD262" s="214"/>
      <c r="AE262" s="214"/>
      <c r="AF262" s="214"/>
      <c r="AG262" s="214"/>
      <c r="AH262" s="214"/>
      <c r="AI262" s="214"/>
      <c r="AJ262" s="214"/>
      <c r="AK262" s="214"/>
      <c r="AL262" s="214"/>
      <c r="AM262" s="214"/>
    </row>
    <row r="263" spans="1:40" s="213" customFormat="1">
      <c r="B263" s="225"/>
      <c r="D263" s="910"/>
      <c r="F263" s="242"/>
      <c r="G263" s="243"/>
      <c r="H263" s="243"/>
      <c r="I263" s="243"/>
      <c r="J263" s="243"/>
      <c r="K263" s="243"/>
      <c r="L263" s="243"/>
      <c r="M263" s="459"/>
      <c r="N263" s="242"/>
      <c r="O263" s="141"/>
      <c r="P263" s="141"/>
      <c r="Q263" s="148"/>
      <c r="R263" s="148"/>
      <c r="S263" s="149"/>
      <c r="T263" s="149"/>
      <c r="U263" s="150"/>
      <c r="V263" s="150"/>
      <c r="W263" s="150"/>
      <c r="X263" s="150"/>
      <c r="Y263" s="150"/>
      <c r="Z263" s="150"/>
      <c r="AA263" s="150"/>
      <c r="AC263" s="214"/>
      <c r="AD263" s="214"/>
      <c r="AE263" s="214"/>
      <c r="AF263" s="214"/>
      <c r="AG263" s="214"/>
      <c r="AH263" s="214"/>
      <c r="AI263" s="214"/>
      <c r="AJ263" s="214"/>
      <c r="AK263" s="214"/>
      <c r="AL263" s="214"/>
      <c r="AM263" s="214"/>
    </row>
    <row r="264" spans="1:40" s="213" customFormat="1">
      <c r="B264" s="225"/>
      <c r="D264" s="910"/>
      <c r="F264" s="242"/>
      <c r="G264" s="243"/>
      <c r="H264" s="243"/>
      <c r="I264" s="243"/>
      <c r="J264" s="243"/>
      <c r="K264" s="243"/>
      <c r="L264" s="243"/>
      <c r="M264" s="459"/>
      <c r="N264" s="242"/>
      <c r="O264" s="141"/>
      <c r="P264" s="141"/>
      <c r="Q264" s="148"/>
      <c r="R264" s="148"/>
      <c r="S264" s="149"/>
      <c r="T264" s="149"/>
      <c r="U264" s="150"/>
      <c r="V264" s="150"/>
      <c r="W264" s="150"/>
      <c r="X264" s="150"/>
      <c r="Y264" s="150"/>
      <c r="Z264" s="150"/>
      <c r="AA264" s="150"/>
      <c r="AC264" s="214"/>
      <c r="AD264" s="214"/>
      <c r="AE264" s="214"/>
      <c r="AF264" s="214"/>
      <c r="AG264" s="214"/>
      <c r="AH264" s="214"/>
      <c r="AI264" s="214"/>
      <c r="AJ264" s="214"/>
      <c r="AK264" s="214"/>
      <c r="AL264" s="214"/>
      <c r="AM264" s="214"/>
    </row>
    <row r="265" spans="1:40" s="213" customFormat="1">
      <c r="B265" s="225"/>
      <c r="D265" s="910"/>
      <c r="F265" s="242"/>
      <c r="G265" s="243"/>
      <c r="H265" s="243"/>
      <c r="I265" s="243"/>
      <c r="J265" s="243"/>
      <c r="K265" s="243"/>
      <c r="L265" s="243"/>
      <c r="M265" s="459"/>
      <c r="N265" s="242"/>
      <c r="O265" s="141"/>
      <c r="P265" s="141"/>
      <c r="Q265" s="148"/>
      <c r="R265" s="148"/>
      <c r="S265" s="149"/>
      <c r="T265" s="149"/>
      <c r="U265" s="150"/>
      <c r="V265" s="150"/>
      <c r="W265" s="150"/>
      <c r="X265" s="150"/>
      <c r="Y265" s="150"/>
      <c r="Z265" s="150"/>
      <c r="AA265" s="150"/>
      <c r="AC265" s="214"/>
      <c r="AD265" s="214"/>
      <c r="AE265" s="214"/>
      <c r="AF265" s="214"/>
      <c r="AG265" s="214"/>
      <c r="AH265" s="214"/>
      <c r="AI265" s="214"/>
      <c r="AJ265" s="214"/>
      <c r="AK265" s="214"/>
      <c r="AL265" s="214"/>
      <c r="AM265" s="214"/>
    </row>
    <row r="266" spans="1:40">
      <c r="A266" s="204"/>
      <c r="O266" s="155"/>
      <c r="P266" s="155"/>
      <c r="Q266" s="156"/>
      <c r="R266" s="156"/>
      <c r="S266" s="251"/>
      <c r="T266" s="251"/>
      <c r="U266" s="252"/>
      <c r="V266" s="252"/>
      <c r="W266" s="252"/>
      <c r="X266" s="252"/>
      <c r="Y266" s="252"/>
      <c r="Z266" s="252"/>
      <c r="AA266" s="252"/>
      <c r="AN266" s="204"/>
    </row>
    <row r="267" spans="1:40">
      <c r="A267" s="204"/>
      <c r="O267" s="155"/>
      <c r="P267" s="155"/>
      <c r="Q267" s="156"/>
      <c r="R267" s="156"/>
      <c r="S267" s="251"/>
      <c r="T267" s="251"/>
      <c r="U267" s="252"/>
      <c r="V267" s="252"/>
      <c r="W267" s="252"/>
      <c r="X267" s="252"/>
      <c r="Y267" s="252"/>
      <c r="Z267" s="252"/>
      <c r="AA267" s="252"/>
      <c r="AN267" s="204"/>
    </row>
    <row r="268" spans="1:40">
      <c r="A268" s="204"/>
      <c r="O268" s="155"/>
      <c r="P268" s="155"/>
      <c r="Q268" s="156"/>
      <c r="R268" s="156"/>
      <c r="S268" s="251"/>
      <c r="T268" s="251"/>
      <c r="U268" s="252"/>
      <c r="V268" s="252"/>
      <c r="W268" s="252"/>
      <c r="X268" s="252"/>
      <c r="Y268" s="252"/>
      <c r="Z268" s="252"/>
      <c r="AA268" s="252"/>
      <c r="AN268" s="204"/>
    </row>
    <row r="269" spans="1:40">
      <c r="A269" s="204"/>
      <c r="O269" s="155"/>
      <c r="P269" s="155"/>
      <c r="Q269" s="156"/>
      <c r="R269" s="156"/>
      <c r="S269" s="251"/>
      <c r="T269" s="251"/>
      <c r="U269" s="252"/>
      <c r="V269" s="252"/>
      <c r="W269" s="252"/>
      <c r="X269" s="252"/>
      <c r="Y269" s="252"/>
      <c r="Z269" s="252"/>
      <c r="AA269" s="252"/>
      <c r="AN269" s="204"/>
    </row>
    <row r="270" spans="1:40">
      <c r="A270" s="204"/>
      <c r="O270" s="155"/>
      <c r="P270" s="155"/>
      <c r="Q270" s="156"/>
      <c r="R270" s="156"/>
      <c r="S270" s="251"/>
      <c r="T270" s="251"/>
      <c r="U270" s="252"/>
      <c r="V270" s="252"/>
      <c r="W270" s="252"/>
      <c r="X270" s="252"/>
      <c r="Y270" s="252"/>
      <c r="Z270" s="252"/>
      <c r="AA270" s="252"/>
      <c r="AN270" s="204"/>
    </row>
    <row r="271" spans="1:40">
      <c r="A271" s="204"/>
      <c r="O271" s="155"/>
      <c r="P271" s="155"/>
      <c r="Q271" s="156"/>
      <c r="R271" s="156"/>
      <c r="S271" s="251"/>
      <c r="T271" s="251"/>
      <c r="U271" s="252"/>
      <c r="V271" s="252"/>
      <c r="W271" s="252"/>
      <c r="X271" s="252"/>
      <c r="Y271" s="252"/>
      <c r="Z271" s="252"/>
      <c r="AA271" s="252"/>
      <c r="AN271" s="204"/>
    </row>
    <row r="272" spans="1:40">
      <c r="A272" s="204"/>
      <c r="O272" s="155"/>
      <c r="P272" s="155"/>
      <c r="Q272" s="156"/>
      <c r="R272" s="156"/>
      <c r="S272" s="251"/>
      <c r="T272" s="251"/>
      <c r="U272" s="252"/>
      <c r="V272" s="252"/>
      <c r="W272" s="252"/>
      <c r="X272" s="252"/>
      <c r="Y272" s="252"/>
      <c r="Z272" s="252"/>
      <c r="AA272" s="252"/>
      <c r="AN272" s="204"/>
    </row>
    <row r="273" spans="1:40">
      <c r="A273" s="204"/>
      <c r="O273" s="155"/>
      <c r="P273" s="155"/>
      <c r="Q273" s="156"/>
      <c r="R273" s="156"/>
      <c r="S273" s="251"/>
      <c r="T273" s="251"/>
      <c r="U273" s="252"/>
      <c r="V273" s="252"/>
      <c r="W273" s="252"/>
      <c r="X273" s="252"/>
      <c r="Y273" s="252"/>
      <c r="Z273" s="252"/>
      <c r="AA273" s="252"/>
      <c r="AN273" s="204"/>
    </row>
    <row r="274" spans="1:40">
      <c r="A274" s="204"/>
      <c r="O274" s="155"/>
      <c r="P274" s="155"/>
      <c r="Q274" s="156"/>
      <c r="R274" s="156"/>
      <c r="S274" s="251"/>
      <c r="T274" s="251"/>
      <c r="U274" s="252"/>
      <c r="V274" s="252"/>
      <c r="W274" s="252"/>
      <c r="X274" s="252"/>
      <c r="Y274" s="252"/>
      <c r="Z274" s="252"/>
      <c r="AA274" s="252"/>
      <c r="AN274" s="204"/>
    </row>
    <row r="275" spans="1:40">
      <c r="A275" s="204"/>
      <c r="O275" s="155"/>
      <c r="P275" s="155"/>
      <c r="Q275" s="156"/>
      <c r="R275" s="156"/>
      <c r="S275" s="251"/>
      <c r="T275" s="251"/>
      <c r="U275" s="252"/>
      <c r="V275" s="252"/>
      <c r="W275" s="252"/>
      <c r="X275" s="252"/>
      <c r="Y275" s="252"/>
      <c r="Z275" s="252"/>
      <c r="AA275" s="252"/>
      <c r="AN275" s="204"/>
    </row>
    <row r="276" spans="1:40">
      <c r="A276" s="204"/>
      <c r="O276" s="155"/>
      <c r="P276" s="155"/>
      <c r="Q276" s="156"/>
      <c r="R276" s="156"/>
      <c r="S276" s="251"/>
      <c r="T276" s="251"/>
      <c r="U276" s="252"/>
      <c r="V276" s="252"/>
      <c r="W276" s="252"/>
      <c r="X276" s="252"/>
      <c r="Y276" s="252"/>
      <c r="Z276" s="252"/>
      <c r="AA276" s="252"/>
      <c r="AN276" s="204"/>
    </row>
    <row r="277" spans="1:40">
      <c r="A277" s="204"/>
      <c r="O277" s="155"/>
      <c r="P277" s="155"/>
      <c r="Q277" s="156"/>
      <c r="R277" s="156"/>
      <c r="S277" s="251"/>
      <c r="T277" s="251"/>
      <c r="U277" s="252"/>
      <c r="V277" s="252"/>
      <c r="W277" s="252"/>
      <c r="X277" s="252"/>
      <c r="Y277" s="252"/>
      <c r="Z277" s="252"/>
      <c r="AA277" s="252"/>
      <c r="AN277" s="204"/>
    </row>
    <row r="278" spans="1:40">
      <c r="A278" s="204"/>
      <c r="O278" s="155"/>
      <c r="P278" s="155"/>
      <c r="Q278" s="156"/>
      <c r="R278" s="156"/>
      <c r="S278" s="251"/>
      <c r="T278" s="251"/>
      <c r="U278" s="252"/>
      <c r="V278" s="252"/>
      <c r="W278" s="252"/>
      <c r="X278" s="252"/>
      <c r="Y278" s="252"/>
      <c r="Z278" s="252"/>
      <c r="AA278" s="252"/>
      <c r="AN278" s="204"/>
    </row>
    <row r="279" spans="1:40">
      <c r="A279" s="204"/>
      <c r="B279" s="204"/>
      <c r="D279" s="204"/>
      <c r="F279" s="204"/>
      <c r="G279" s="204"/>
      <c r="H279" s="204"/>
      <c r="I279" s="204"/>
      <c r="J279" s="204"/>
      <c r="K279" s="204"/>
      <c r="L279" s="204"/>
      <c r="M279" s="204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  <c r="AA279" s="204"/>
      <c r="AB279" s="204"/>
      <c r="AC279" s="204"/>
      <c r="AD279" s="204"/>
      <c r="AE279" s="204"/>
      <c r="AF279" s="204"/>
      <c r="AG279" s="204"/>
      <c r="AH279" s="204"/>
      <c r="AI279" s="204"/>
      <c r="AJ279" s="204"/>
      <c r="AK279" s="204"/>
      <c r="AL279" s="204"/>
      <c r="AM279" s="204"/>
      <c r="AN279" s="204"/>
    </row>
    <row r="280" spans="1:40">
      <c r="A280" s="204"/>
      <c r="B280" s="204"/>
      <c r="D280" s="204"/>
      <c r="F280" s="204"/>
      <c r="G280" s="204"/>
      <c r="H280" s="204"/>
      <c r="I280" s="204"/>
      <c r="J280" s="204"/>
      <c r="K280" s="204"/>
      <c r="L280" s="204"/>
      <c r="M280" s="204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  <c r="AA280" s="204"/>
      <c r="AB280" s="204"/>
      <c r="AC280" s="204"/>
      <c r="AD280" s="204"/>
      <c r="AE280" s="204"/>
      <c r="AF280" s="204"/>
      <c r="AG280" s="204"/>
      <c r="AH280" s="204"/>
      <c r="AI280" s="204"/>
      <c r="AJ280" s="204"/>
      <c r="AK280" s="204"/>
      <c r="AL280" s="204"/>
      <c r="AM280" s="204"/>
      <c r="AN280" s="204"/>
    </row>
    <row r="281" spans="1:40">
      <c r="A281" s="204"/>
      <c r="B281" s="204"/>
      <c r="D281" s="204"/>
      <c r="F281" s="204"/>
      <c r="G281" s="204"/>
      <c r="H281" s="204"/>
      <c r="I281" s="204"/>
      <c r="J281" s="204"/>
      <c r="K281" s="204"/>
      <c r="L281" s="204"/>
      <c r="M281" s="204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204"/>
      <c r="AB281" s="204"/>
      <c r="AC281" s="204"/>
      <c r="AD281" s="204"/>
      <c r="AE281" s="204"/>
      <c r="AF281" s="204"/>
      <c r="AG281" s="204"/>
      <c r="AH281" s="204"/>
      <c r="AI281" s="204"/>
      <c r="AJ281" s="204"/>
      <c r="AK281" s="204"/>
      <c r="AL281" s="204"/>
      <c r="AM281" s="204"/>
      <c r="AN281" s="204"/>
    </row>
    <row r="282" spans="1:40">
      <c r="A282" s="204"/>
      <c r="B282" s="204"/>
      <c r="D282" s="204"/>
      <c r="F282" s="204"/>
      <c r="G282" s="204"/>
      <c r="H282" s="204"/>
      <c r="I282" s="204"/>
      <c r="J282" s="204"/>
      <c r="K282" s="204"/>
      <c r="L282" s="204"/>
      <c r="M282" s="204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204"/>
      <c r="AB282" s="204"/>
      <c r="AC282" s="204"/>
      <c r="AD282" s="204"/>
      <c r="AE282" s="204"/>
      <c r="AF282" s="204"/>
      <c r="AG282" s="204"/>
      <c r="AH282" s="204"/>
      <c r="AI282" s="204"/>
      <c r="AJ282" s="204"/>
      <c r="AK282" s="204"/>
      <c r="AL282" s="204"/>
      <c r="AM282" s="204"/>
      <c r="AN282" s="204"/>
    </row>
    <row r="283" spans="1:40">
      <c r="A283" s="204"/>
      <c r="B283" s="204"/>
      <c r="D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  <c r="AH283" s="204"/>
      <c r="AI283" s="204"/>
      <c r="AJ283" s="204"/>
      <c r="AK283" s="204"/>
      <c r="AL283" s="204"/>
      <c r="AM283" s="204"/>
      <c r="AN283" s="204"/>
    </row>
    <row r="284" spans="1:40">
      <c r="A284" s="204"/>
      <c r="B284" s="204"/>
      <c r="D284" s="204"/>
      <c r="F284" s="204"/>
      <c r="G284" s="204"/>
      <c r="H284" s="204"/>
      <c r="I284" s="204"/>
      <c r="J284" s="204"/>
      <c r="K284" s="204"/>
      <c r="L284" s="204"/>
      <c r="M284" s="204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204"/>
      <c r="AB284" s="204"/>
      <c r="AC284" s="204"/>
      <c r="AD284" s="204"/>
      <c r="AE284" s="204"/>
      <c r="AF284" s="204"/>
      <c r="AG284" s="204"/>
      <c r="AH284" s="204"/>
      <c r="AI284" s="204"/>
      <c r="AJ284" s="204"/>
      <c r="AK284" s="204"/>
      <c r="AL284" s="204"/>
      <c r="AM284" s="204"/>
      <c r="AN284" s="204"/>
    </row>
    <row r="285" spans="1:40">
      <c r="A285" s="204"/>
      <c r="B285" s="204"/>
      <c r="D285" s="204"/>
      <c r="F285" s="204"/>
      <c r="G285" s="204"/>
      <c r="H285" s="204"/>
      <c r="I285" s="204"/>
      <c r="J285" s="204"/>
      <c r="K285" s="204"/>
      <c r="L285" s="204"/>
      <c r="M285" s="204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204"/>
      <c r="AB285" s="204"/>
      <c r="AC285" s="204"/>
      <c r="AD285" s="204"/>
      <c r="AE285" s="204"/>
      <c r="AF285" s="204"/>
      <c r="AG285" s="204"/>
      <c r="AH285" s="204"/>
      <c r="AI285" s="204"/>
      <c r="AJ285" s="204"/>
      <c r="AK285" s="204"/>
      <c r="AL285" s="204"/>
      <c r="AM285" s="204"/>
      <c r="AN285" s="204"/>
    </row>
    <row r="286" spans="1:40">
      <c r="A286" s="204"/>
      <c r="B286" s="204"/>
      <c r="D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204"/>
      <c r="AB286" s="204"/>
      <c r="AC286" s="204"/>
      <c r="AD286" s="204"/>
      <c r="AE286" s="204"/>
      <c r="AF286" s="204"/>
      <c r="AG286" s="204"/>
      <c r="AH286" s="204"/>
      <c r="AI286" s="204"/>
      <c r="AJ286" s="204"/>
      <c r="AK286" s="204"/>
      <c r="AL286" s="204"/>
      <c r="AM286" s="204"/>
      <c r="AN286" s="204"/>
    </row>
    <row r="287" spans="1:40">
      <c r="A287" s="204"/>
      <c r="B287" s="204"/>
      <c r="D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204"/>
      <c r="AB287" s="204"/>
      <c r="AC287" s="204"/>
      <c r="AD287" s="204"/>
      <c r="AE287" s="204"/>
      <c r="AF287" s="204"/>
      <c r="AG287" s="204"/>
      <c r="AH287" s="204"/>
      <c r="AI287" s="204"/>
      <c r="AJ287" s="204"/>
      <c r="AK287" s="204"/>
      <c r="AL287" s="204"/>
      <c r="AM287" s="204"/>
      <c r="AN287" s="204"/>
    </row>
    <row r="288" spans="1:40">
      <c r="A288" s="204"/>
      <c r="B288" s="204"/>
      <c r="D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204"/>
      <c r="AB288" s="204"/>
      <c r="AC288" s="204"/>
      <c r="AD288" s="204"/>
      <c r="AE288" s="204"/>
      <c r="AF288" s="204"/>
      <c r="AG288" s="204"/>
      <c r="AH288" s="204"/>
      <c r="AI288" s="204"/>
      <c r="AJ288" s="204"/>
      <c r="AK288" s="204"/>
      <c r="AL288" s="204"/>
      <c r="AM288" s="204"/>
      <c r="AN288" s="204"/>
    </row>
    <row r="289" spans="1:40">
      <c r="A289" s="204"/>
      <c r="B289" s="204"/>
      <c r="D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204"/>
      <c r="AB289" s="204"/>
      <c r="AC289" s="204"/>
      <c r="AD289" s="204"/>
      <c r="AE289" s="204"/>
      <c r="AF289" s="204"/>
      <c r="AG289" s="204"/>
      <c r="AH289" s="204"/>
      <c r="AI289" s="204"/>
      <c r="AJ289" s="204"/>
      <c r="AK289" s="204"/>
      <c r="AL289" s="204"/>
      <c r="AM289" s="204"/>
      <c r="AN289" s="204"/>
    </row>
    <row r="290" spans="1:40">
      <c r="A290" s="204"/>
      <c r="B290" s="204"/>
      <c r="D290" s="204"/>
      <c r="F290" s="204"/>
      <c r="G290" s="204"/>
      <c r="H290" s="204"/>
      <c r="I290" s="204"/>
      <c r="J290" s="204"/>
      <c r="K290" s="204"/>
      <c r="L290" s="204"/>
      <c r="M290" s="204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204"/>
      <c r="AB290" s="204"/>
      <c r="AC290" s="204"/>
      <c r="AD290" s="204"/>
      <c r="AE290" s="204"/>
      <c r="AF290" s="204"/>
      <c r="AG290" s="204"/>
      <c r="AH290" s="204"/>
      <c r="AI290" s="204"/>
      <c r="AJ290" s="204"/>
      <c r="AK290" s="204"/>
      <c r="AL290" s="204"/>
      <c r="AM290" s="204"/>
      <c r="AN290" s="204"/>
    </row>
    <row r="291" spans="1:40">
      <c r="A291" s="204"/>
      <c r="B291" s="204"/>
      <c r="D291" s="204"/>
      <c r="F291" s="204"/>
      <c r="G291" s="204"/>
      <c r="H291" s="204"/>
      <c r="I291" s="204"/>
      <c r="J291" s="204"/>
      <c r="K291" s="204"/>
      <c r="L291" s="204"/>
      <c r="M291" s="204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204"/>
      <c r="AB291" s="204"/>
      <c r="AC291" s="204"/>
      <c r="AD291" s="204"/>
      <c r="AE291" s="204"/>
      <c r="AF291" s="204"/>
      <c r="AG291" s="204"/>
      <c r="AH291" s="204"/>
      <c r="AI291" s="204"/>
      <c r="AJ291" s="204"/>
      <c r="AK291" s="204"/>
      <c r="AL291" s="204"/>
      <c r="AM291" s="204"/>
      <c r="AN291" s="204"/>
    </row>
    <row r="292" spans="1:40">
      <c r="A292" s="204"/>
      <c r="B292" s="204"/>
      <c r="D292" s="204"/>
      <c r="F292" s="204"/>
      <c r="G292" s="204"/>
      <c r="H292" s="204"/>
      <c r="I292" s="204"/>
      <c r="J292" s="204"/>
      <c r="K292" s="204"/>
      <c r="L292" s="204"/>
      <c r="M292" s="204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204"/>
      <c r="AB292" s="204"/>
      <c r="AC292" s="204"/>
      <c r="AD292" s="204"/>
      <c r="AE292" s="204"/>
      <c r="AF292" s="204"/>
      <c r="AG292" s="204"/>
      <c r="AH292" s="204"/>
      <c r="AI292" s="204"/>
      <c r="AJ292" s="204"/>
      <c r="AK292" s="204"/>
      <c r="AL292" s="204"/>
      <c r="AM292" s="204"/>
      <c r="AN292" s="204"/>
    </row>
    <row r="293" spans="1:40">
      <c r="A293" s="204"/>
      <c r="B293" s="204"/>
      <c r="D293" s="204"/>
      <c r="F293" s="204"/>
      <c r="G293" s="204"/>
      <c r="H293" s="204"/>
      <c r="I293" s="204"/>
      <c r="J293" s="204"/>
      <c r="K293" s="204"/>
      <c r="L293" s="204"/>
      <c r="M293" s="204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204"/>
      <c r="AB293" s="204"/>
      <c r="AC293" s="204"/>
      <c r="AD293" s="204"/>
      <c r="AE293" s="204"/>
      <c r="AF293" s="204"/>
      <c r="AG293" s="204"/>
      <c r="AH293" s="204"/>
      <c r="AI293" s="204"/>
      <c r="AJ293" s="204"/>
      <c r="AK293" s="204"/>
      <c r="AL293" s="204"/>
      <c r="AM293" s="204"/>
      <c r="AN293" s="204"/>
    </row>
    <row r="294" spans="1:40">
      <c r="A294" s="204"/>
      <c r="B294" s="204"/>
      <c r="D294" s="204"/>
      <c r="F294" s="204"/>
      <c r="G294" s="204"/>
      <c r="H294" s="204"/>
      <c r="I294" s="204"/>
      <c r="J294" s="204"/>
      <c r="K294" s="204"/>
      <c r="L294" s="204"/>
      <c r="M294" s="204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  <c r="AA294" s="204"/>
      <c r="AB294" s="204"/>
      <c r="AC294" s="204"/>
      <c r="AD294" s="204"/>
      <c r="AE294" s="204"/>
      <c r="AF294" s="204"/>
      <c r="AG294" s="204"/>
      <c r="AH294" s="204"/>
      <c r="AI294" s="204"/>
      <c r="AJ294" s="204"/>
      <c r="AK294" s="204"/>
      <c r="AL294" s="204"/>
      <c r="AM294" s="204"/>
      <c r="AN294" s="204"/>
    </row>
    <row r="295" spans="1:40">
      <c r="A295" s="204"/>
      <c r="B295" s="204"/>
      <c r="D295" s="204"/>
      <c r="F295" s="204"/>
      <c r="G295" s="204"/>
      <c r="H295" s="204"/>
      <c r="I295" s="204"/>
      <c r="J295" s="204"/>
      <c r="K295" s="204"/>
      <c r="L295" s="204"/>
      <c r="M295" s="204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204"/>
      <c r="AB295" s="204"/>
      <c r="AC295" s="204"/>
      <c r="AD295" s="204"/>
      <c r="AE295" s="204"/>
      <c r="AF295" s="204"/>
      <c r="AG295" s="204"/>
      <c r="AH295" s="204"/>
      <c r="AI295" s="204"/>
      <c r="AJ295" s="204"/>
      <c r="AK295" s="204"/>
      <c r="AL295" s="204"/>
      <c r="AM295" s="204"/>
      <c r="AN295" s="204"/>
    </row>
    <row r="296" spans="1:40">
      <c r="A296" s="204"/>
      <c r="B296" s="204"/>
      <c r="D296" s="204"/>
      <c r="F296" s="204"/>
      <c r="G296" s="204"/>
      <c r="H296" s="204"/>
      <c r="I296" s="204"/>
      <c r="J296" s="204"/>
      <c r="K296" s="204"/>
      <c r="L296" s="204"/>
      <c r="M296" s="204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204"/>
      <c r="AB296" s="204"/>
      <c r="AC296" s="204"/>
      <c r="AD296" s="204"/>
      <c r="AE296" s="204"/>
      <c r="AF296" s="204"/>
      <c r="AG296" s="204"/>
      <c r="AH296" s="204"/>
      <c r="AI296" s="204"/>
      <c r="AJ296" s="204"/>
      <c r="AK296" s="204"/>
      <c r="AL296" s="204"/>
      <c r="AM296" s="204"/>
      <c r="AN296" s="204"/>
    </row>
    <row r="297" spans="1:40">
      <c r="A297" s="204"/>
      <c r="B297" s="204"/>
      <c r="D297" s="204"/>
      <c r="F297" s="204"/>
      <c r="G297" s="204"/>
      <c r="H297" s="204"/>
      <c r="I297" s="204"/>
      <c r="J297" s="204"/>
      <c r="K297" s="204"/>
      <c r="L297" s="204"/>
      <c r="M297" s="204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204"/>
      <c r="AB297" s="204"/>
      <c r="AC297" s="204"/>
      <c r="AD297" s="204"/>
      <c r="AE297" s="204"/>
      <c r="AF297" s="204"/>
      <c r="AG297" s="204"/>
      <c r="AH297" s="204"/>
      <c r="AI297" s="204"/>
      <c r="AJ297" s="204"/>
      <c r="AK297" s="204"/>
      <c r="AL297" s="204"/>
      <c r="AM297" s="204"/>
      <c r="AN297" s="204"/>
    </row>
    <row r="298" spans="1:40">
      <c r="A298" s="204"/>
      <c r="B298" s="204"/>
      <c r="D298" s="204"/>
      <c r="F298" s="204"/>
      <c r="G298" s="204"/>
      <c r="H298" s="204"/>
      <c r="I298" s="204"/>
      <c r="J298" s="204"/>
      <c r="K298" s="204"/>
      <c r="L298" s="204"/>
      <c r="M298" s="204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204"/>
      <c r="AB298" s="204"/>
      <c r="AC298" s="204"/>
      <c r="AD298" s="204"/>
      <c r="AE298" s="204"/>
      <c r="AF298" s="204"/>
      <c r="AG298" s="204"/>
      <c r="AH298" s="204"/>
      <c r="AI298" s="204"/>
      <c r="AJ298" s="204"/>
      <c r="AK298" s="204"/>
      <c r="AL298" s="204"/>
      <c r="AM298" s="204"/>
      <c r="AN298" s="204"/>
    </row>
    <row r="299" spans="1:40">
      <c r="A299" s="204"/>
      <c r="B299" s="204"/>
      <c r="D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204"/>
      <c r="AB299" s="204"/>
      <c r="AC299" s="204"/>
      <c r="AD299" s="204"/>
      <c r="AE299" s="204"/>
      <c r="AF299" s="204"/>
      <c r="AG299" s="204"/>
      <c r="AH299" s="204"/>
      <c r="AI299" s="204"/>
      <c r="AJ299" s="204"/>
      <c r="AK299" s="204"/>
      <c r="AL299" s="204"/>
      <c r="AM299" s="204"/>
      <c r="AN299" s="204"/>
    </row>
    <row r="300" spans="1:40">
      <c r="A300" s="204"/>
      <c r="B300" s="204"/>
      <c r="D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204"/>
      <c r="AB300" s="204"/>
      <c r="AC300" s="204"/>
      <c r="AD300" s="204"/>
      <c r="AE300" s="204"/>
      <c r="AF300" s="204"/>
      <c r="AG300" s="204"/>
      <c r="AH300" s="204"/>
      <c r="AI300" s="204"/>
      <c r="AJ300" s="204"/>
      <c r="AK300" s="204"/>
      <c r="AL300" s="204"/>
      <c r="AM300" s="204"/>
      <c r="AN300" s="204"/>
    </row>
    <row r="301" spans="1:40">
      <c r="A301" s="204"/>
      <c r="B301" s="204"/>
      <c r="D301" s="204"/>
      <c r="F301" s="204"/>
      <c r="G301" s="204"/>
      <c r="H301" s="204"/>
      <c r="I301" s="204"/>
      <c r="J301" s="204"/>
      <c r="K301" s="204"/>
      <c r="L301" s="204"/>
      <c r="M301" s="204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204"/>
      <c r="AB301" s="204"/>
      <c r="AC301" s="204"/>
      <c r="AD301" s="204"/>
      <c r="AE301" s="204"/>
      <c r="AF301" s="204"/>
      <c r="AG301" s="204"/>
      <c r="AH301" s="204"/>
      <c r="AI301" s="204"/>
      <c r="AJ301" s="204"/>
      <c r="AK301" s="204"/>
      <c r="AL301" s="204"/>
      <c r="AM301" s="204"/>
      <c r="AN301" s="204"/>
    </row>
    <row r="302" spans="1:40">
      <c r="A302" s="204"/>
      <c r="B302" s="204"/>
      <c r="D302" s="204"/>
      <c r="F302" s="204"/>
      <c r="G302" s="204"/>
      <c r="H302" s="204"/>
      <c r="I302" s="204"/>
      <c r="J302" s="204"/>
      <c r="K302" s="204"/>
      <c r="L302" s="204"/>
      <c r="M302" s="204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204"/>
      <c r="AB302" s="204"/>
      <c r="AC302" s="204"/>
      <c r="AD302" s="204"/>
      <c r="AE302" s="204"/>
      <c r="AF302" s="204"/>
      <c r="AG302" s="204"/>
      <c r="AH302" s="204"/>
      <c r="AI302" s="204"/>
      <c r="AJ302" s="204"/>
      <c r="AK302" s="204"/>
      <c r="AL302" s="204"/>
      <c r="AM302" s="204"/>
      <c r="AN302" s="204"/>
    </row>
    <row r="303" spans="1:40">
      <c r="A303" s="204"/>
      <c r="B303" s="204"/>
      <c r="D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204"/>
      <c r="AB303" s="204"/>
      <c r="AC303" s="204"/>
      <c r="AD303" s="204"/>
      <c r="AE303" s="204"/>
      <c r="AF303" s="204"/>
      <c r="AG303" s="204"/>
      <c r="AH303" s="204"/>
      <c r="AI303" s="204"/>
      <c r="AJ303" s="204"/>
      <c r="AK303" s="204"/>
      <c r="AL303" s="204"/>
      <c r="AM303" s="204"/>
      <c r="AN303" s="204"/>
    </row>
    <row r="304" spans="1:40">
      <c r="A304" s="204"/>
      <c r="B304" s="204"/>
      <c r="D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204"/>
      <c r="AB304" s="204"/>
      <c r="AC304" s="204"/>
      <c r="AD304" s="204"/>
      <c r="AE304" s="204"/>
      <c r="AF304" s="204"/>
      <c r="AG304" s="204"/>
      <c r="AH304" s="204"/>
      <c r="AI304" s="204"/>
      <c r="AJ304" s="204"/>
      <c r="AK304" s="204"/>
      <c r="AL304" s="204"/>
      <c r="AM304" s="204"/>
      <c r="AN304" s="204"/>
    </row>
    <row r="305" spans="1:40">
      <c r="A305" s="204"/>
      <c r="B305" s="204"/>
      <c r="D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204"/>
      <c r="AB305" s="204"/>
      <c r="AC305" s="204"/>
      <c r="AD305" s="204"/>
      <c r="AE305" s="204"/>
      <c r="AF305" s="204"/>
      <c r="AG305" s="204"/>
      <c r="AH305" s="204"/>
      <c r="AI305" s="204"/>
      <c r="AJ305" s="204"/>
      <c r="AK305" s="204"/>
      <c r="AL305" s="204"/>
      <c r="AM305" s="204"/>
      <c r="AN305" s="204"/>
    </row>
    <row r="306" spans="1:40">
      <c r="A306" s="204"/>
      <c r="B306" s="204"/>
      <c r="D306" s="204"/>
      <c r="F306" s="204"/>
      <c r="G306" s="204"/>
      <c r="H306" s="204"/>
      <c r="I306" s="204"/>
      <c r="J306" s="204"/>
      <c r="K306" s="204"/>
      <c r="L306" s="204"/>
      <c r="M306" s="204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  <c r="AA306" s="204"/>
      <c r="AB306" s="204"/>
      <c r="AC306" s="204"/>
      <c r="AD306" s="204"/>
      <c r="AE306" s="204"/>
      <c r="AF306" s="204"/>
      <c r="AG306" s="204"/>
      <c r="AH306" s="204"/>
      <c r="AI306" s="204"/>
      <c r="AJ306" s="204"/>
      <c r="AK306" s="204"/>
      <c r="AL306" s="204"/>
      <c r="AM306" s="204"/>
      <c r="AN306" s="204"/>
    </row>
    <row r="307" spans="1:40">
      <c r="A307" s="204"/>
      <c r="B307" s="204"/>
      <c r="D307" s="204"/>
      <c r="F307" s="204"/>
      <c r="G307" s="204"/>
      <c r="H307" s="204"/>
      <c r="I307" s="204"/>
      <c r="J307" s="204"/>
      <c r="K307" s="204"/>
      <c r="L307" s="204"/>
      <c r="M307" s="204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204"/>
      <c r="AB307" s="204"/>
      <c r="AC307" s="204"/>
      <c r="AD307" s="204"/>
      <c r="AE307" s="204"/>
      <c r="AF307" s="204"/>
      <c r="AG307" s="204"/>
      <c r="AH307" s="204"/>
      <c r="AI307" s="204"/>
      <c r="AJ307" s="204"/>
      <c r="AK307" s="204"/>
      <c r="AL307" s="204"/>
      <c r="AM307" s="204"/>
      <c r="AN307" s="204"/>
    </row>
    <row r="308" spans="1:40">
      <c r="A308" s="204"/>
      <c r="B308" s="204"/>
      <c r="D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204"/>
      <c r="AB308" s="204"/>
      <c r="AC308" s="204"/>
      <c r="AD308" s="204"/>
      <c r="AE308" s="204"/>
      <c r="AF308" s="204"/>
      <c r="AG308" s="204"/>
      <c r="AH308" s="204"/>
      <c r="AI308" s="204"/>
      <c r="AJ308" s="204"/>
      <c r="AK308" s="204"/>
      <c r="AL308" s="204"/>
      <c r="AM308" s="204"/>
      <c r="AN308" s="204"/>
    </row>
    <row r="309" spans="1:40">
      <c r="A309" s="204"/>
      <c r="B309" s="204"/>
      <c r="D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204"/>
      <c r="AB309" s="204"/>
      <c r="AC309" s="204"/>
      <c r="AD309" s="204"/>
      <c r="AE309" s="204"/>
      <c r="AF309" s="204"/>
      <c r="AG309" s="204"/>
      <c r="AH309" s="204"/>
      <c r="AI309" s="204"/>
      <c r="AJ309" s="204"/>
      <c r="AK309" s="204"/>
      <c r="AL309" s="204"/>
      <c r="AM309" s="204"/>
      <c r="AN309" s="204"/>
    </row>
  </sheetData>
  <mergeCells count="1">
    <mergeCell ref="Q77:R77"/>
  </mergeCells>
  <phoneticPr fontId="21" type="noConversion"/>
  <conditionalFormatting sqref="H25">
    <cfRule type="cellIs" dxfId="638" priority="5" stopIfTrue="1" operator="equal">
      <formula>1</formula>
    </cfRule>
  </conditionalFormatting>
  <conditionalFormatting sqref="F31:G32 D31:D32 I31:K32">
    <cfRule type="cellIs" dxfId="637" priority="4" stopIfTrue="1" operator="equal">
      <formula>1</formula>
    </cfRule>
  </conditionalFormatting>
  <conditionalFormatting sqref="D25 F25:G25 I25:K25">
    <cfRule type="cellIs" dxfId="636" priority="6" stopIfTrue="1" operator="equal">
      <formula>1</formula>
    </cfRule>
  </conditionalFormatting>
  <conditionalFormatting sqref="H57:H58 H54:H55">
    <cfRule type="cellIs" dxfId="635" priority="1" stopIfTrue="1" operator="equal">
      <formula>1</formula>
    </cfRule>
  </conditionalFormatting>
  <conditionalFormatting sqref="F54:G55 D54:D55 D57:D58 I54:K55 F57:G57 G58 I57:K58">
    <cfRule type="cellIs" dxfId="634" priority="2" stopIfTrue="1" operator="equal">
      <formula>1</formula>
    </cfRule>
  </conditionalFormatting>
  <conditionalFormatting sqref="H31:H32">
    <cfRule type="cellIs" dxfId="633" priority="3" stopIfTrue="1" operator="equal">
      <formula>1</formula>
    </cfRule>
  </conditionalFormatting>
  <conditionalFormatting sqref="AB8:AH8">
    <cfRule type="cellIs" dxfId="632" priority="7" stopIfTrue="1" operator="lessThan">
      <formula>0</formula>
    </cfRule>
  </conditionalFormatting>
  <printOptions horizontalCentered="1" verticalCentered="1"/>
  <pageMargins left="0" right="0" top="0.94488188976377963" bottom="1.0629921259842521" header="0.35433070866141736" footer="0"/>
  <pageSetup paperSize="9" scale="92" orientation="landscape" horizontalDpi="0" verticalDpi="0"/>
  <headerFooter>
    <oddHeader>&amp;L&amp;A&amp;F&amp;C&amp;D&amp;R&amp;P de &amp;N</oddHead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30D1-8598-FC4B-98E9-8C8FC547820E}">
  <sheetPr codeName="Hoja28"/>
  <dimension ref="A1:AO302"/>
  <sheetViews>
    <sheetView zoomScale="150" zoomScaleNormal="150" workbookViewId="0">
      <pane xSplit="17" ySplit="4" topLeftCell="R5" activePane="bottomRight" state="frozen"/>
      <selection pane="topRight" activeCell="R1" sqref="R1"/>
      <selection pane="bottomLeft" activeCell="A5" sqref="A5"/>
      <selection pane="bottomRight" activeCell="AE70" sqref="AE70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6640625" style="1" customWidth="1"/>
    <col min="4" max="4" width="0.83203125" style="3082" customWidth="1"/>
    <col min="5" max="5" width="5.33203125" style="1" customWidth="1"/>
    <col min="6" max="6" width="2.6640625" style="2818" customWidth="1"/>
    <col min="7" max="7" width="5.6640625" style="780" customWidth="1"/>
    <col min="8" max="8" width="8" style="780" customWidth="1"/>
    <col min="9" max="9" width="8.83203125" style="780" customWidth="1"/>
    <col min="10" max="10" width="9" style="780" customWidth="1"/>
    <col min="11" max="11" width="29.83203125" style="780" customWidth="1"/>
    <col min="12" max="12" width="7.6640625" style="780" customWidth="1"/>
    <col min="13" max="13" width="1" style="2820" customWidth="1"/>
    <col min="14" max="14" width="10.1640625" style="2818" customWidth="1"/>
    <col min="15" max="15" width="2.1640625" style="780" customWidth="1"/>
    <col min="16" max="16" width="9" style="780" customWidth="1"/>
    <col min="17" max="17" width="7.33203125" style="2821" customWidth="1"/>
    <col min="18" max="18" width="7.6640625" style="2821" customWidth="1"/>
    <col min="19" max="19" width="1.33203125" style="2822" customWidth="1"/>
    <col min="20" max="20" width="0.33203125" style="2822" customWidth="1"/>
    <col min="21" max="21" width="6.33203125" style="2823" customWidth="1"/>
    <col min="22" max="22" width="5.6640625" style="2823" customWidth="1"/>
    <col min="23" max="23" width="6.33203125" style="2823" customWidth="1"/>
    <col min="24" max="24" width="5.33203125" style="2823" customWidth="1"/>
    <col min="25" max="25" width="6" style="2823" customWidth="1"/>
    <col min="26" max="27" width="5.3320312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33203125" style="2826" customWidth="1"/>
    <col min="40" max="40" width="11.5" style="2825"/>
    <col min="41" max="16384" width="11.5" style="1"/>
  </cols>
  <sheetData>
    <row r="1" spans="1:40" ht="18" customHeight="1">
      <c r="A1" s="3080" t="s">
        <v>1975</v>
      </c>
      <c r="B1" s="1"/>
      <c r="C1" s="2816"/>
      <c r="D1" s="3081"/>
      <c r="E1" s="2817"/>
      <c r="V1" s="2824"/>
      <c r="AI1" s="2825"/>
      <c r="AJ1" s="2825"/>
      <c r="AK1" s="2825"/>
      <c r="AL1" s="2825"/>
      <c r="AM1" s="2825"/>
    </row>
    <row r="2" spans="1:40" ht="12" customHeight="1" thickBot="1">
      <c r="F2" s="527"/>
      <c r="G2" s="155"/>
      <c r="H2" s="155"/>
      <c r="I2" s="155"/>
      <c r="J2" s="3083"/>
      <c r="K2" s="583">
        <v>45229</v>
      </c>
      <c r="L2" s="583"/>
      <c r="U2" s="2827" t="s">
        <v>345</v>
      </c>
      <c r="AI2" s="2825"/>
      <c r="AJ2" s="2825"/>
      <c r="AK2" s="2825"/>
      <c r="AL2" s="2825"/>
      <c r="AM2" s="2825"/>
    </row>
    <row r="3" spans="1:40" s="2839" customFormat="1" ht="61.5" customHeight="1" thickTop="1" thickBot="1">
      <c r="A3" s="3084" t="s">
        <v>346</v>
      </c>
      <c r="B3" s="3085" t="s">
        <v>347</v>
      </c>
      <c r="C3" s="3086" t="s">
        <v>348</v>
      </c>
      <c r="D3" s="3087"/>
      <c r="E3" s="3086" t="s">
        <v>349</v>
      </c>
      <c r="F3" s="3088" t="s">
        <v>350</v>
      </c>
      <c r="G3" s="3089" t="s">
        <v>351</v>
      </c>
      <c r="H3" s="3089" t="s">
        <v>624</v>
      </c>
      <c r="I3" s="3089" t="s">
        <v>352</v>
      </c>
      <c r="J3" s="3088" t="s">
        <v>353</v>
      </c>
      <c r="K3" s="3089" t="s">
        <v>354</v>
      </c>
      <c r="L3" s="3089"/>
      <c r="M3" s="3090" t="s">
        <v>355</v>
      </c>
      <c r="N3" s="3089" t="s">
        <v>445</v>
      </c>
      <c r="O3" s="3086" t="s">
        <v>446</v>
      </c>
      <c r="P3" s="3086" t="s">
        <v>447</v>
      </c>
      <c r="Q3" s="3091" t="s">
        <v>448</v>
      </c>
      <c r="R3" s="3092" t="s">
        <v>371</v>
      </c>
      <c r="S3" s="2828" t="s">
        <v>449</v>
      </c>
      <c r="T3" s="2828" t="s">
        <v>450</v>
      </c>
      <c r="U3" s="2829" t="s">
        <v>451</v>
      </c>
      <c r="V3" s="2830" t="s">
        <v>452</v>
      </c>
      <c r="W3" s="2831" t="s">
        <v>453</v>
      </c>
      <c r="X3" s="2832" t="s">
        <v>454</v>
      </c>
      <c r="Y3" s="2833" t="s">
        <v>455</v>
      </c>
      <c r="Z3" s="2834" t="s">
        <v>456</v>
      </c>
      <c r="AA3" s="2835" t="s">
        <v>457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2839" customFormat="1" ht="9" customHeight="1" thickBot="1">
      <c r="A4" s="3093"/>
      <c r="B4" s="3094"/>
      <c r="C4" s="3095"/>
      <c r="D4" s="3096"/>
      <c r="E4" s="3095"/>
      <c r="F4" s="3097"/>
      <c r="G4" s="3095"/>
      <c r="H4" s="3095"/>
      <c r="I4" s="3095"/>
      <c r="J4" s="3097"/>
      <c r="K4" s="3095"/>
      <c r="L4" s="3095"/>
      <c r="M4" s="3098"/>
      <c r="N4" s="3095"/>
      <c r="O4" s="3095"/>
      <c r="P4" s="3095"/>
      <c r="Q4" s="3099"/>
      <c r="R4" s="3100"/>
      <c r="S4" s="2840"/>
      <c r="T4" s="2840"/>
      <c r="U4" s="2843">
        <v>9.1523857526881758E-4</v>
      </c>
      <c r="V4" s="2843">
        <v>8.7635030864197572E-4</v>
      </c>
      <c r="W4" s="2843">
        <v>8.4888763197586746E-4</v>
      </c>
      <c r="X4" s="2843">
        <v>8.0990657955066516E-4</v>
      </c>
      <c r="Y4" s="2843">
        <v>7.5735749690210676E-4</v>
      </c>
      <c r="Z4" s="2843">
        <v>7.2916666666666692E-4</v>
      </c>
      <c r="AA4" s="3043">
        <v>7.0729166666666694E-4</v>
      </c>
      <c r="AB4" s="2836"/>
      <c r="AC4" s="2837"/>
      <c r="AD4" s="2838"/>
      <c r="AE4" s="2838"/>
      <c r="AF4" s="2838"/>
      <c r="AG4" s="2838"/>
      <c r="AH4" s="2838"/>
      <c r="AI4" s="2836"/>
      <c r="AJ4" s="2836"/>
      <c r="AK4" s="2836"/>
      <c r="AL4" s="2836"/>
      <c r="AM4" s="2836"/>
      <c r="AN4" s="2836"/>
    </row>
    <row r="5" spans="1:40" s="63" customFormat="1" ht="3" customHeight="1" thickBot="1">
      <c r="A5" s="3101"/>
      <c r="B5" s="3102"/>
      <c r="C5" s="3103"/>
      <c r="D5" s="3104"/>
      <c r="E5" s="3103"/>
      <c r="F5" s="3105"/>
      <c r="G5" s="3106"/>
      <c r="H5" s="3106"/>
      <c r="I5" s="3106"/>
      <c r="J5" s="3105"/>
      <c r="K5" s="3106"/>
      <c r="L5" s="3106"/>
      <c r="M5" s="3107"/>
      <c r="N5" s="3828"/>
      <c r="O5" s="3103"/>
      <c r="P5" s="3103"/>
      <c r="Q5" s="3103"/>
      <c r="R5" s="3108"/>
      <c r="S5" s="2842"/>
      <c r="T5" s="2842"/>
      <c r="U5" s="2843">
        <f>U4/4</f>
        <v>2.2880964381720439E-4</v>
      </c>
      <c r="V5" s="2843">
        <f t="shared" ref="V5:AA5" si="0">V4/4</f>
        <v>2.1908757716049393E-4</v>
      </c>
      <c r="W5" s="2843">
        <f t="shared" si="0"/>
        <v>2.1222190799396687E-4</v>
      </c>
      <c r="X5" s="2843">
        <f t="shared" si="0"/>
        <v>2.0247664488766629E-4</v>
      </c>
      <c r="Y5" s="2843">
        <f t="shared" si="0"/>
        <v>1.8933937422552669E-4</v>
      </c>
      <c r="Z5" s="2843">
        <f t="shared" si="0"/>
        <v>1.8229166666666673E-4</v>
      </c>
      <c r="AA5" s="2843">
        <f t="shared" si="0"/>
        <v>1.7682291666666674E-4</v>
      </c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ht="12.75" customHeight="1" thickTop="1">
      <c r="A6" s="1"/>
      <c r="B6" s="2184" t="s">
        <v>215</v>
      </c>
      <c r="C6" s="2256">
        <f t="shared" ref="C6:C69" si="1">IF(D6=1,U$5,IF(D6=2,V$5,IF(D6=3,W$5,IF(D6=4,X$5,IF(D6=5,Y$5,IF(D6=6,Z$5,IF(D6=7,AA$5,0)))))))</f>
        <v>2.2880964381720439E-4</v>
      </c>
      <c r="D6" s="4596">
        <v>1</v>
      </c>
      <c r="E6" s="2529">
        <v>1</v>
      </c>
      <c r="F6" s="2529">
        <v>1</v>
      </c>
      <c r="G6" s="2529">
        <v>300</v>
      </c>
      <c r="H6" s="2528"/>
      <c r="I6" s="2528">
        <v>1.1574074074074073E-4</v>
      </c>
      <c r="J6" s="2528">
        <v>1.3888888888888889E-3</v>
      </c>
      <c r="K6" s="2338" t="s">
        <v>762</v>
      </c>
      <c r="L6" s="3119">
        <v>0.2986111111111111</v>
      </c>
      <c r="M6" s="4597">
        <v>0.9</v>
      </c>
      <c r="N6" s="6940">
        <f>P6*E6*F6+I6*E6*F6+J6*E6</f>
        <v>3.9757737828554377E-3</v>
      </c>
      <c r="O6" s="2359">
        <f t="shared" ref="O6:O17" si="2">C6*(G6/25)</f>
        <v>2.7457157258064528E-3</v>
      </c>
      <c r="P6" s="2359">
        <f t="shared" ref="P6:P17" si="3">O6*M6</f>
        <v>2.4711441532258077E-3</v>
      </c>
      <c r="Q6" s="2341">
        <v>129</v>
      </c>
      <c r="R6" s="2529">
        <f t="shared" ref="R6:R17" si="4">E6*F6*G6</f>
        <v>300</v>
      </c>
      <c r="S6" s="2844">
        <f t="shared" ref="S6" si="5">E6*F6*G6/1000</f>
        <v>0.3</v>
      </c>
      <c r="T6" s="2845">
        <f t="shared" ref="T6" si="6">E6*F6*O6*4</f>
        <v>1.0982862903225811E-2</v>
      </c>
      <c r="U6" s="374">
        <f t="shared" ref="U6" si="7">IF(C6*4&gt;=$U$4,S6,0)</f>
        <v>0.3</v>
      </c>
      <c r="V6" s="2846">
        <f t="shared" ref="V6" si="8">IF(AND(C6*4&gt;=$V$4,C6*4&lt;$U$4),S6,0)</f>
        <v>0</v>
      </c>
      <c r="W6" s="2847">
        <f t="shared" ref="W6" si="9">IF(AND(C6*4&gt;=$W$4,C6*4&lt;$V$4),S6,0)</f>
        <v>0</v>
      </c>
      <c r="X6" s="2848">
        <f t="shared" ref="X6" si="10">IF(AND(C6*4&gt;=$X$4,C6*4&lt;$W$4),S6,0)</f>
        <v>0</v>
      </c>
      <c r="Y6" s="2849">
        <f t="shared" ref="Y6" si="11">IF(AND(C6*4&gt;=$Y$4,C6*4&lt;$X$4),S6,0)</f>
        <v>0</v>
      </c>
      <c r="Z6" s="2850">
        <f t="shared" ref="Z6" si="12">IF(AND(C6*4&gt;=$Z$4,C6*4&lt;$Y$4),S6,0)</f>
        <v>0</v>
      </c>
      <c r="AA6" s="2851">
        <f t="shared" ref="AA6" si="13">IF(AND(C6*4&gt;=$AA$4,C6*4&lt;$Z$4),S6,0)</f>
        <v>0</v>
      </c>
      <c r="AC6" s="2867"/>
      <c r="AD6" s="2867"/>
      <c r="AE6" s="2867"/>
      <c r="AF6" s="2867"/>
      <c r="AG6" s="2867"/>
      <c r="AH6" s="2867"/>
      <c r="AI6" s="2825"/>
      <c r="AJ6" s="2825"/>
      <c r="AK6" s="2825"/>
      <c r="AL6" s="2825"/>
      <c r="AM6" s="2825"/>
    </row>
    <row r="7" spans="1:40" ht="12.75" customHeight="1">
      <c r="A7" s="2183"/>
      <c r="B7" s="2184" t="s">
        <v>215</v>
      </c>
      <c r="C7" s="2256">
        <f t="shared" si="1"/>
        <v>2.1222190799396687E-4</v>
      </c>
      <c r="D7" s="4708">
        <v>3</v>
      </c>
      <c r="E7" s="4731">
        <v>1</v>
      </c>
      <c r="F7" s="4731">
        <v>6</v>
      </c>
      <c r="G7" s="4710">
        <v>50</v>
      </c>
      <c r="H7" s="4732"/>
      <c r="I7" s="4733">
        <v>6.9444444444444447E-4</v>
      </c>
      <c r="J7" s="4733">
        <v>1.0416666666666667E-3</v>
      </c>
      <c r="K7" s="4734" t="s">
        <v>1567</v>
      </c>
      <c r="L7" s="4711">
        <f>L6+N6</f>
        <v>0.30258688489396657</v>
      </c>
      <c r="M7" s="4730">
        <v>1</v>
      </c>
      <c r="N7" s="4847">
        <f t="shared" ref="N7:N8" si="14">P7*E7*F7+I7*E7*F7+J7*E7</f>
        <v>7.754996229260935E-3</v>
      </c>
      <c r="O7" s="4847">
        <f t="shared" si="2"/>
        <v>4.2444381598793373E-4</v>
      </c>
      <c r="P7" s="4847">
        <f t="shared" si="3"/>
        <v>4.2444381598793373E-4</v>
      </c>
      <c r="Q7" s="4714">
        <v>161</v>
      </c>
      <c r="R7" s="4710">
        <f t="shared" si="4"/>
        <v>300</v>
      </c>
      <c r="S7" s="2844">
        <f t="shared" ref="S7:S69" si="15">E7*F7*G7/1000</f>
        <v>0.3</v>
      </c>
      <c r="T7" s="2845">
        <f t="shared" ref="T7:T69" si="16">E7*F7*O7*4</f>
        <v>1.018665158371041E-2</v>
      </c>
      <c r="U7" s="374">
        <f t="shared" ref="U7:U69" si="17">IF(C7*4&gt;=$U$4,S7,0)</f>
        <v>0</v>
      </c>
      <c r="V7" s="2846">
        <f t="shared" ref="V7:V69" si="18">IF(AND(C7*4&gt;=$V$4,C7*4&lt;$U$4),S7,0)</f>
        <v>0</v>
      </c>
      <c r="W7" s="2847">
        <f t="shared" ref="W7:W69" si="19">IF(AND(C7*4&gt;=$W$4,C7*4&lt;$V$4),S7,0)</f>
        <v>0.3</v>
      </c>
      <c r="X7" s="2848">
        <f t="shared" ref="X7:X69" si="20">IF(AND(C7*4&gt;=$X$4,C7*4&lt;$W$4),S7,0)</f>
        <v>0</v>
      </c>
      <c r="Y7" s="2849">
        <f t="shared" ref="Y7:Y69" si="21">IF(AND(C7*4&gt;=$Y$4,C7*4&lt;$X$4),S7,0)</f>
        <v>0</v>
      </c>
      <c r="Z7" s="2850">
        <f t="shared" ref="Z7:Z69" si="22">IF(AND(C7*4&gt;=$Z$4,C7*4&lt;$Y$4),S7,0)</f>
        <v>0</v>
      </c>
      <c r="AA7" s="2851">
        <f t="shared" ref="AA7:AA69" si="23">IF(AND(C7*4&gt;=$AA$4,C7*4&lt;$Z$4),S7,0)</f>
        <v>0</v>
      </c>
      <c r="AC7" s="2867"/>
      <c r="AD7" s="2867"/>
      <c r="AE7" s="2867"/>
      <c r="AF7" s="2867"/>
      <c r="AG7" s="2867"/>
      <c r="AH7" s="2867"/>
      <c r="AI7" s="2825"/>
      <c r="AJ7" s="2825"/>
      <c r="AK7" s="2825"/>
      <c r="AL7" s="2825"/>
      <c r="AM7" s="2825"/>
    </row>
    <row r="8" spans="1:40" ht="14" customHeight="1">
      <c r="A8" s="2183"/>
      <c r="B8" s="2184" t="s">
        <v>215</v>
      </c>
      <c r="C8" s="2256">
        <f t="shared" si="1"/>
        <v>1.7682291666666674E-4</v>
      </c>
      <c r="D8" s="4785">
        <v>7</v>
      </c>
      <c r="E8" s="4767">
        <v>1</v>
      </c>
      <c r="F8" s="4767">
        <v>4</v>
      </c>
      <c r="G8" s="4768">
        <v>50</v>
      </c>
      <c r="H8" s="4767"/>
      <c r="I8" s="4769">
        <v>6.9444444444444447E-4</v>
      </c>
      <c r="J8" s="4770">
        <v>1.0416666666666667E-3</v>
      </c>
      <c r="K8" s="4722" t="s">
        <v>1567</v>
      </c>
      <c r="L8" s="4725">
        <f t="shared" ref="L8:L11" si="24">L7+N7</f>
        <v>0.31034188112322753</v>
      </c>
      <c r="M8" s="4771">
        <v>1</v>
      </c>
      <c r="N8" s="4725">
        <f t="shared" si="14"/>
        <v>5.2340277777777784E-3</v>
      </c>
      <c r="O8" s="6938">
        <f t="shared" si="2"/>
        <v>3.5364583333333347E-4</v>
      </c>
      <c r="P8" s="4725">
        <f t="shared" si="3"/>
        <v>3.5364583333333347E-4</v>
      </c>
      <c r="Q8" s="4772">
        <v>161</v>
      </c>
      <c r="R8" s="3939">
        <f t="shared" si="4"/>
        <v>200</v>
      </c>
      <c r="S8" s="2844">
        <f t="shared" si="15"/>
        <v>0.2</v>
      </c>
      <c r="T8" s="2845">
        <f t="shared" si="16"/>
        <v>5.6583333333333355E-3</v>
      </c>
      <c r="U8" s="374">
        <f t="shared" si="17"/>
        <v>0</v>
      </c>
      <c r="V8" s="2846">
        <f t="shared" si="18"/>
        <v>0</v>
      </c>
      <c r="W8" s="2847">
        <f t="shared" si="19"/>
        <v>0</v>
      </c>
      <c r="X8" s="2848">
        <f t="shared" si="20"/>
        <v>0</v>
      </c>
      <c r="Y8" s="2849">
        <f t="shared" si="21"/>
        <v>0</v>
      </c>
      <c r="Z8" s="2850">
        <f t="shared" si="22"/>
        <v>0</v>
      </c>
      <c r="AA8" s="2851">
        <f t="shared" si="23"/>
        <v>0.2</v>
      </c>
      <c r="AC8" s="2867"/>
      <c r="AD8" s="2867"/>
      <c r="AE8" s="2867"/>
      <c r="AF8" s="2867"/>
      <c r="AG8" s="2867"/>
      <c r="AH8" s="2867"/>
      <c r="AI8" s="2825"/>
      <c r="AJ8" s="2825"/>
      <c r="AK8" s="2825"/>
      <c r="AL8" s="2825"/>
      <c r="AM8" s="2825"/>
    </row>
    <row r="9" spans="1:40" ht="13" customHeight="1" thickBot="1">
      <c r="A9" s="2183" t="s">
        <v>214</v>
      </c>
      <c r="B9" s="2184" t="s">
        <v>215</v>
      </c>
      <c r="C9" s="2256">
        <f t="shared" si="1"/>
        <v>2.1222190799396687E-4</v>
      </c>
      <c r="D9" s="4418">
        <v>3</v>
      </c>
      <c r="E9" s="4710">
        <v>1</v>
      </c>
      <c r="F9" s="4710">
        <v>8</v>
      </c>
      <c r="G9" s="4710">
        <v>75</v>
      </c>
      <c r="H9" s="4710"/>
      <c r="I9" s="4711">
        <v>1.7361111111111112E-4</v>
      </c>
      <c r="J9" s="4711">
        <v>1.3888888888888889E-3</v>
      </c>
      <c r="K9" s="4712" t="s">
        <v>2027</v>
      </c>
      <c r="L9" s="4711">
        <f t="shared" si="24"/>
        <v>0.31557590890100529</v>
      </c>
      <c r="M9" s="4712">
        <v>1.1499999999999999</v>
      </c>
      <c r="N9" s="4847">
        <f t="shared" ref="N9:N10" si="25">P9*E9*F9+I9*F9*E9+J9*E9</f>
        <v>8.6351024384112626E-3</v>
      </c>
      <c r="O9" s="4713">
        <f>C9*(G9/25)</f>
        <v>6.366657239819006E-4</v>
      </c>
      <c r="P9" s="4847">
        <f t="shared" si="3"/>
        <v>7.3216558257918564E-4</v>
      </c>
      <c r="Q9" s="4714">
        <v>144</v>
      </c>
      <c r="R9" s="4710">
        <f>E9*F9*G9</f>
        <v>600</v>
      </c>
      <c r="S9" s="2844">
        <f t="shared" si="15"/>
        <v>0.6</v>
      </c>
      <c r="T9" s="2845">
        <f t="shared" si="16"/>
        <v>2.0373303167420819E-2</v>
      </c>
      <c r="U9" s="374">
        <f t="shared" si="17"/>
        <v>0</v>
      </c>
      <c r="V9" s="2846">
        <f t="shared" si="18"/>
        <v>0</v>
      </c>
      <c r="W9" s="2847">
        <f t="shared" si="19"/>
        <v>0.6</v>
      </c>
      <c r="X9" s="2848">
        <f t="shared" si="20"/>
        <v>0</v>
      </c>
      <c r="Y9" s="2849">
        <f t="shared" si="21"/>
        <v>0</v>
      </c>
      <c r="Z9" s="2850">
        <f t="shared" si="22"/>
        <v>0</v>
      </c>
      <c r="AA9" s="2851">
        <f t="shared" si="23"/>
        <v>0</v>
      </c>
      <c r="AC9" s="2867"/>
      <c r="AD9" s="2867"/>
      <c r="AE9" s="2867"/>
      <c r="AF9" s="2867"/>
      <c r="AG9" s="2867"/>
      <c r="AH9" s="2867"/>
      <c r="AI9" s="2825"/>
      <c r="AJ9" s="2825"/>
      <c r="AK9" s="2825"/>
      <c r="AL9" s="2825"/>
      <c r="AM9" s="2825"/>
    </row>
    <row r="10" spans="1:40" ht="12.75" customHeight="1">
      <c r="A10" s="2183" t="s">
        <v>459</v>
      </c>
      <c r="B10" s="2184" t="s">
        <v>215</v>
      </c>
      <c r="C10" s="2256">
        <f t="shared" si="1"/>
        <v>1.7682291666666674E-4</v>
      </c>
      <c r="D10" s="920">
        <v>7</v>
      </c>
      <c r="E10" s="4717">
        <v>1</v>
      </c>
      <c r="F10" s="4718">
        <v>10</v>
      </c>
      <c r="G10" s="4718">
        <v>25</v>
      </c>
      <c r="H10" s="4719"/>
      <c r="I10" s="4720">
        <v>1.1574074074074073E-3</v>
      </c>
      <c r="J10" s="4721">
        <v>1.3888888888888889E-3</v>
      </c>
      <c r="K10" s="4722" t="s">
        <v>2438</v>
      </c>
      <c r="L10" s="4721">
        <f>L9+N9</f>
        <v>0.32421101133941654</v>
      </c>
      <c r="M10" s="4723">
        <v>1</v>
      </c>
      <c r="N10" s="4848">
        <f t="shared" si="25"/>
        <v>1.4731192129629631E-2</v>
      </c>
      <c r="O10" s="4725">
        <f>C10*(G10/25)</f>
        <v>1.7682291666666674E-4</v>
      </c>
      <c r="P10" s="4848">
        <f t="shared" si="3"/>
        <v>1.7682291666666674E-4</v>
      </c>
      <c r="Q10" s="4726">
        <v>144</v>
      </c>
      <c r="R10" s="4727">
        <f>E10*F10*G10</f>
        <v>250</v>
      </c>
      <c r="S10" s="2844">
        <f t="shared" si="15"/>
        <v>0.25</v>
      </c>
      <c r="T10" s="2845">
        <f t="shared" si="16"/>
        <v>7.0729166666666692E-3</v>
      </c>
      <c r="U10" s="374">
        <f t="shared" si="17"/>
        <v>0</v>
      </c>
      <c r="V10" s="2846">
        <f t="shared" si="18"/>
        <v>0</v>
      </c>
      <c r="W10" s="2847">
        <f t="shared" si="19"/>
        <v>0</v>
      </c>
      <c r="X10" s="2848">
        <f t="shared" si="20"/>
        <v>0</v>
      </c>
      <c r="Y10" s="2849">
        <f t="shared" si="21"/>
        <v>0</v>
      </c>
      <c r="Z10" s="2850">
        <f t="shared" si="22"/>
        <v>0</v>
      </c>
      <c r="AA10" s="2851">
        <f t="shared" si="23"/>
        <v>0.25</v>
      </c>
      <c r="AC10" s="2867"/>
      <c r="AD10" s="2867"/>
      <c r="AE10" s="2867"/>
      <c r="AF10" s="2867"/>
      <c r="AG10" s="2867"/>
      <c r="AH10" s="2867"/>
      <c r="AI10" s="2825"/>
      <c r="AJ10" s="2825"/>
      <c r="AK10" s="2825"/>
      <c r="AL10" s="2825"/>
      <c r="AM10" s="2825"/>
    </row>
    <row r="11" spans="1:40" ht="12.75" customHeight="1" thickBot="1">
      <c r="A11" s="2183" t="s">
        <v>460</v>
      </c>
      <c r="B11" s="2184" t="s">
        <v>215</v>
      </c>
      <c r="C11" s="2256">
        <f t="shared" si="1"/>
        <v>0</v>
      </c>
      <c r="D11" s="4407">
        <v>8</v>
      </c>
      <c r="E11" s="4728"/>
      <c r="F11" s="144"/>
      <c r="G11" s="144"/>
      <c r="H11" s="144"/>
      <c r="I11" s="144"/>
      <c r="J11" s="144"/>
      <c r="K11" s="144"/>
      <c r="L11" s="4711">
        <f t="shared" si="24"/>
        <v>0.33894220346904619</v>
      </c>
      <c r="M11" s="839">
        <v>2</v>
      </c>
      <c r="N11" s="4852"/>
      <c r="O11" s="4849"/>
      <c r="P11" s="4849"/>
      <c r="Q11" s="839"/>
      <c r="R11" s="4729">
        <f>SUM(R6:R10)</f>
        <v>1650</v>
      </c>
      <c r="S11" s="2844">
        <f t="shared" si="15"/>
        <v>0</v>
      </c>
      <c r="T11" s="2845">
        <f t="shared" si="16"/>
        <v>0</v>
      </c>
      <c r="U11" s="374">
        <f t="shared" si="17"/>
        <v>0</v>
      </c>
      <c r="V11" s="2846">
        <f t="shared" si="18"/>
        <v>0</v>
      </c>
      <c r="W11" s="2847">
        <f t="shared" si="19"/>
        <v>0</v>
      </c>
      <c r="X11" s="2848">
        <f t="shared" si="20"/>
        <v>0</v>
      </c>
      <c r="Y11" s="2849">
        <f t="shared" si="21"/>
        <v>0</v>
      </c>
      <c r="Z11" s="2850">
        <f t="shared" si="22"/>
        <v>0</v>
      </c>
      <c r="AA11" s="2851">
        <f t="shared" si="23"/>
        <v>0</v>
      </c>
      <c r="AC11" s="2867"/>
      <c r="AD11" s="2867"/>
      <c r="AE11" s="2867"/>
      <c r="AF11" s="2867"/>
      <c r="AG11" s="2867"/>
      <c r="AH11" s="2867"/>
      <c r="AI11" s="2825"/>
      <c r="AJ11" s="2825"/>
      <c r="AK11" s="2825"/>
      <c r="AL11" s="2825"/>
      <c r="AM11" s="2825"/>
    </row>
    <row r="12" spans="1:40" ht="12.75" customHeight="1">
      <c r="A12" s="2183" t="s">
        <v>458</v>
      </c>
      <c r="B12" s="2184"/>
      <c r="C12" s="2256">
        <f t="shared" si="1"/>
        <v>0</v>
      </c>
      <c r="D12" s="6917"/>
      <c r="E12" s="6918"/>
      <c r="F12" s="6918"/>
      <c r="G12" s="6918"/>
      <c r="H12" s="6919"/>
      <c r="I12" s="6919"/>
      <c r="J12" s="6919"/>
      <c r="K12" s="5789"/>
      <c r="L12" s="6920"/>
      <c r="M12" s="6921"/>
      <c r="N12" s="6941"/>
      <c r="O12" s="6405"/>
      <c r="P12" s="6405"/>
      <c r="Q12" s="5792"/>
      <c r="R12" s="6922"/>
      <c r="S12" s="2844">
        <f t="shared" si="15"/>
        <v>0</v>
      </c>
      <c r="T12" s="2845">
        <f t="shared" si="16"/>
        <v>0</v>
      </c>
      <c r="U12" s="374">
        <f t="shared" si="17"/>
        <v>0</v>
      </c>
      <c r="V12" s="2846">
        <f t="shared" si="18"/>
        <v>0</v>
      </c>
      <c r="W12" s="2847">
        <f t="shared" si="19"/>
        <v>0</v>
      </c>
      <c r="X12" s="2848">
        <f t="shared" si="20"/>
        <v>0</v>
      </c>
      <c r="Y12" s="2849">
        <f t="shared" si="21"/>
        <v>0</v>
      </c>
      <c r="Z12" s="2850">
        <f t="shared" si="22"/>
        <v>0</v>
      </c>
      <c r="AA12" s="2851">
        <f t="shared" si="23"/>
        <v>0</v>
      </c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</row>
    <row r="13" spans="1:40" ht="12.75" customHeight="1">
      <c r="A13" s="2183" t="s">
        <v>219</v>
      </c>
      <c r="B13" s="2184" t="s">
        <v>461</v>
      </c>
      <c r="C13" s="2256">
        <f t="shared" si="1"/>
        <v>2.1908757716049393E-4</v>
      </c>
      <c r="D13" s="4598">
        <v>2</v>
      </c>
      <c r="E13" s="4599">
        <v>1</v>
      </c>
      <c r="F13" s="4599">
        <v>1</v>
      </c>
      <c r="G13" s="4599">
        <v>400</v>
      </c>
      <c r="H13" s="4600">
        <v>5.5555555555555558E-3</v>
      </c>
      <c r="I13" s="4600"/>
      <c r="J13" s="4600">
        <v>1.3888888888888889E-3</v>
      </c>
      <c r="K13" s="2278" t="s">
        <v>703</v>
      </c>
      <c r="L13" s="3119">
        <v>0.80208333333333337</v>
      </c>
      <c r="M13" s="4601">
        <v>1</v>
      </c>
      <c r="N13" s="6942">
        <f>H13*F13*E13</f>
        <v>5.5555555555555558E-3</v>
      </c>
      <c r="O13" s="2281">
        <f t="shared" si="2"/>
        <v>3.5054012345679029E-3</v>
      </c>
      <c r="P13" s="2281">
        <f t="shared" si="3"/>
        <v>3.5054012345679029E-3</v>
      </c>
      <c r="Q13" s="2282">
        <v>146</v>
      </c>
      <c r="R13" s="4602">
        <f t="shared" si="4"/>
        <v>400</v>
      </c>
      <c r="S13" s="2844">
        <f t="shared" si="15"/>
        <v>0.4</v>
      </c>
      <c r="T13" s="2845">
        <f t="shared" si="16"/>
        <v>1.4021604938271611E-2</v>
      </c>
      <c r="U13" s="374">
        <f t="shared" si="17"/>
        <v>0</v>
      </c>
      <c r="V13" s="2846">
        <f t="shared" si="18"/>
        <v>0.4</v>
      </c>
      <c r="W13" s="2847">
        <f t="shared" si="19"/>
        <v>0</v>
      </c>
      <c r="X13" s="2848">
        <f t="shared" si="20"/>
        <v>0</v>
      </c>
      <c r="Y13" s="2849">
        <f t="shared" si="21"/>
        <v>0</v>
      </c>
      <c r="Z13" s="2850">
        <f t="shared" si="22"/>
        <v>0</v>
      </c>
      <c r="AA13" s="2851">
        <f t="shared" si="23"/>
        <v>0</v>
      </c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</row>
    <row r="14" spans="1:40" ht="12.75" customHeight="1">
      <c r="A14" s="2183"/>
      <c r="B14" s="2184" t="s">
        <v>461</v>
      </c>
      <c r="C14" s="2256">
        <f t="shared" si="1"/>
        <v>2.1222190799396687E-4</v>
      </c>
      <c r="D14" s="4603">
        <v>3</v>
      </c>
      <c r="E14" s="2261">
        <v>1</v>
      </c>
      <c r="F14" s="2261">
        <v>10</v>
      </c>
      <c r="G14" s="2261">
        <v>50</v>
      </c>
      <c r="H14" s="4604"/>
      <c r="I14" s="4604">
        <v>1.7361111111111112E-4</v>
      </c>
      <c r="J14" s="4604">
        <v>1.3888888888888889E-3</v>
      </c>
      <c r="K14" s="2310" t="s">
        <v>1506</v>
      </c>
      <c r="L14" s="2504">
        <f t="shared" ref="L14:L18" si="26">L13+N13</f>
        <v>0.80763888888888891</v>
      </c>
      <c r="M14" s="4605">
        <v>1</v>
      </c>
      <c r="N14" s="6943">
        <f>P14*E14*F14+I14*E14*F14+J14*E14</f>
        <v>7.3694381598793371E-3</v>
      </c>
      <c r="O14" s="2262">
        <f t="shared" si="2"/>
        <v>4.2444381598793373E-4</v>
      </c>
      <c r="P14" s="2262">
        <f t="shared" si="3"/>
        <v>4.2444381598793373E-4</v>
      </c>
      <c r="Q14" s="3120">
        <v>164</v>
      </c>
      <c r="R14" s="4606">
        <f t="shared" si="4"/>
        <v>500</v>
      </c>
      <c r="S14" s="2844">
        <f t="shared" si="15"/>
        <v>0.5</v>
      </c>
      <c r="T14" s="2845">
        <f t="shared" si="16"/>
        <v>1.6977752639517348E-2</v>
      </c>
      <c r="U14" s="374">
        <f t="shared" si="17"/>
        <v>0</v>
      </c>
      <c r="V14" s="2846">
        <f t="shared" si="18"/>
        <v>0</v>
      </c>
      <c r="W14" s="2847">
        <f t="shared" si="19"/>
        <v>0.5</v>
      </c>
      <c r="X14" s="2848">
        <f t="shared" si="20"/>
        <v>0</v>
      </c>
      <c r="Y14" s="2849">
        <f t="shared" si="21"/>
        <v>0</v>
      </c>
      <c r="Z14" s="2850">
        <f t="shared" si="22"/>
        <v>0</v>
      </c>
      <c r="AA14" s="2851">
        <f t="shared" si="23"/>
        <v>0</v>
      </c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</row>
    <row r="15" spans="1:40" ht="12.75" customHeight="1">
      <c r="A15" s="2183"/>
      <c r="B15" s="2184" t="s">
        <v>461</v>
      </c>
      <c r="C15" s="2256">
        <f t="shared" si="1"/>
        <v>1.8933937422552669E-4</v>
      </c>
      <c r="D15" s="4607">
        <v>5</v>
      </c>
      <c r="E15" s="4608">
        <v>6</v>
      </c>
      <c r="F15" s="4608">
        <v>1</v>
      </c>
      <c r="G15" s="4608">
        <v>100</v>
      </c>
      <c r="H15" s="4609"/>
      <c r="I15" s="4609">
        <v>5.7870370370370366E-5</v>
      </c>
      <c r="J15" s="4609">
        <v>2.0833333333333333E-3</v>
      </c>
      <c r="K15" s="2884" t="s">
        <v>1507</v>
      </c>
      <c r="L15" s="2508">
        <f t="shared" si="26"/>
        <v>0.81500832704876824</v>
      </c>
      <c r="M15" s="4610">
        <v>1</v>
      </c>
      <c r="N15" s="6944">
        <f>P15*E15*F15+I15*E15*F15+J15*E15</f>
        <v>1.7391367203634864E-2</v>
      </c>
      <c r="O15" s="2265">
        <f t="shared" si="2"/>
        <v>7.5735749690210676E-4</v>
      </c>
      <c r="P15" s="2185">
        <f t="shared" si="3"/>
        <v>7.5735749690210676E-4</v>
      </c>
      <c r="Q15" s="2518" t="s">
        <v>278</v>
      </c>
      <c r="R15" s="3122">
        <f t="shared" si="4"/>
        <v>600</v>
      </c>
      <c r="S15" s="2844">
        <f t="shared" si="15"/>
        <v>0.6</v>
      </c>
      <c r="T15" s="2845">
        <f t="shared" si="16"/>
        <v>1.8176579925650561E-2</v>
      </c>
      <c r="U15" s="374">
        <f t="shared" si="17"/>
        <v>0</v>
      </c>
      <c r="V15" s="2846">
        <f t="shared" si="18"/>
        <v>0</v>
      </c>
      <c r="W15" s="2847">
        <f t="shared" si="19"/>
        <v>0</v>
      </c>
      <c r="X15" s="2848">
        <f t="shared" si="20"/>
        <v>0</v>
      </c>
      <c r="Y15" s="2849">
        <f t="shared" si="21"/>
        <v>0.6</v>
      </c>
      <c r="Z15" s="2850">
        <f t="shared" si="22"/>
        <v>0</v>
      </c>
      <c r="AA15" s="2851">
        <f t="shared" si="23"/>
        <v>0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  <c r="AN15" s="1"/>
    </row>
    <row r="16" spans="1:40" ht="12.75" customHeight="1">
      <c r="A16" s="2183"/>
      <c r="B16" s="2184" t="s">
        <v>461</v>
      </c>
      <c r="C16" s="2256">
        <f t="shared" si="1"/>
        <v>2.1908757716049393E-4</v>
      </c>
      <c r="D16" s="4598">
        <v>2</v>
      </c>
      <c r="E16" s="4599">
        <v>1</v>
      </c>
      <c r="F16" s="4599">
        <v>8</v>
      </c>
      <c r="G16" s="4599">
        <v>75</v>
      </c>
      <c r="H16" s="4600"/>
      <c r="I16" s="4600">
        <v>1.3888888888888889E-4</v>
      </c>
      <c r="J16" s="4600">
        <v>1.3888888888888889E-3</v>
      </c>
      <c r="K16" s="2278" t="s">
        <v>894</v>
      </c>
      <c r="L16" s="2503">
        <f t="shared" si="26"/>
        <v>0.83239969425240312</v>
      </c>
      <c r="M16" s="4601">
        <v>1</v>
      </c>
      <c r="N16" s="6942">
        <f>P16*E16*F16+I16*E16*F16+J16*E16</f>
        <v>7.7581018518518546E-3</v>
      </c>
      <c r="O16" s="2281">
        <f t="shared" si="2"/>
        <v>6.5726273148148176E-4</v>
      </c>
      <c r="P16" s="2281">
        <f t="shared" si="3"/>
        <v>6.5726273148148176E-4</v>
      </c>
      <c r="Q16" s="2282">
        <v>146</v>
      </c>
      <c r="R16" s="4602">
        <f t="shared" si="4"/>
        <v>600</v>
      </c>
      <c r="S16" s="2844">
        <f t="shared" si="15"/>
        <v>0.6</v>
      </c>
      <c r="T16" s="2845">
        <f t="shared" si="16"/>
        <v>2.1032407407407416E-2</v>
      </c>
      <c r="U16" s="374">
        <f t="shared" si="17"/>
        <v>0</v>
      </c>
      <c r="V16" s="2846">
        <f t="shared" si="18"/>
        <v>0.6</v>
      </c>
      <c r="W16" s="2847">
        <f t="shared" si="19"/>
        <v>0</v>
      </c>
      <c r="X16" s="2848">
        <f t="shared" si="20"/>
        <v>0</v>
      </c>
      <c r="Y16" s="2849">
        <f t="shared" si="21"/>
        <v>0</v>
      </c>
      <c r="Z16" s="2850">
        <f t="shared" si="22"/>
        <v>0</v>
      </c>
      <c r="AA16" s="2851">
        <f t="shared" si="23"/>
        <v>0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  <c r="AN16" s="1"/>
    </row>
    <row r="17" spans="1:40" ht="12.75" customHeight="1">
      <c r="A17" s="2183"/>
      <c r="B17" s="2184" t="s">
        <v>461</v>
      </c>
      <c r="C17" s="2256">
        <f t="shared" si="1"/>
        <v>1.7682291666666674E-4</v>
      </c>
      <c r="D17" s="3123">
        <v>7</v>
      </c>
      <c r="E17" s="3124">
        <v>4</v>
      </c>
      <c r="F17" s="3124">
        <v>4</v>
      </c>
      <c r="G17" s="3124">
        <v>25</v>
      </c>
      <c r="H17" s="2377" t="s">
        <v>1508</v>
      </c>
      <c r="I17" s="2377">
        <v>3.4722222222222224E-4</v>
      </c>
      <c r="J17" s="2377">
        <v>6.9444444444444447E-4</v>
      </c>
      <c r="K17" s="3125" t="s">
        <v>1509</v>
      </c>
      <c r="L17" s="2515">
        <f t="shared" si="26"/>
        <v>0.84015779610425501</v>
      </c>
      <c r="M17" s="3126">
        <v>1</v>
      </c>
      <c r="N17" s="2513">
        <f>P17*E17*F17+I17*E17*F17+J17*E17</f>
        <v>1.1162500000000002E-2</v>
      </c>
      <c r="O17" s="2271">
        <f t="shared" si="2"/>
        <v>1.7682291666666674E-4</v>
      </c>
      <c r="P17" s="2517">
        <f t="shared" si="3"/>
        <v>1.7682291666666674E-4</v>
      </c>
      <c r="Q17" s="2518" t="s">
        <v>316</v>
      </c>
      <c r="R17" s="3122">
        <f t="shared" si="4"/>
        <v>400</v>
      </c>
      <c r="S17" s="2844">
        <f t="shared" si="15"/>
        <v>0.4</v>
      </c>
      <c r="T17" s="2845">
        <f t="shared" si="16"/>
        <v>1.1316666666666671E-2</v>
      </c>
      <c r="U17" s="374">
        <f t="shared" si="17"/>
        <v>0</v>
      </c>
      <c r="V17" s="2846">
        <f t="shared" si="18"/>
        <v>0</v>
      </c>
      <c r="W17" s="2847">
        <f t="shared" si="19"/>
        <v>0</v>
      </c>
      <c r="X17" s="2848">
        <f t="shared" si="20"/>
        <v>0</v>
      </c>
      <c r="Y17" s="2849">
        <f t="shared" si="21"/>
        <v>0</v>
      </c>
      <c r="Z17" s="2850">
        <f t="shared" si="22"/>
        <v>0</v>
      </c>
      <c r="AA17" s="2851">
        <f t="shared" si="23"/>
        <v>0.4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  <c r="AN17" s="1"/>
    </row>
    <row r="18" spans="1:40" ht="12.75" customHeight="1" thickBot="1">
      <c r="A18" s="2183"/>
      <c r="B18" s="2184"/>
      <c r="C18" s="2256">
        <f t="shared" si="1"/>
        <v>0</v>
      </c>
      <c r="D18" s="4611"/>
      <c r="E18" s="4612"/>
      <c r="F18" s="4612"/>
      <c r="G18" s="4612"/>
      <c r="H18" s="4612"/>
      <c r="I18" s="4612"/>
      <c r="J18" s="4612"/>
      <c r="K18" s="4612"/>
      <c r="L18" s="2182">
        <f t="shared" si="26"/>
        <v>0.85132029610425497</v>
      </c>
      <c r="M18" s="4613"/>
      <c r="N18" s="6945">
        <f>SUM(N13:N17)</f>
        <v>4.9236962770921613E-2</v>
      </c>
      <c r="O18" s="4612"/>
      <c r="P18" s="4612"/>
      <c r="Q18" s="4612"/>
      <c r="R18" s="3118">
        <f>SUM(R13:R17)</f>
        <v>2500</v>
      </c>
      <c r="S18" s="2844">
        <f t="shared" si="15"/>
        <v>0</v>
      </c>
      <c r="T18" s="2845">
        <f t="shared" si="16"/>
        <v>0</v>
      </c>
      <c r="U18" s="374">
        <f t="shared" si="17"/>
        <v>0</v>
      </c>
      <c r="V18" s="2846">
        <f t="shared" si="18"/>
        <v>0</v>
      </c>
      <c r="W18" s="2847">
        <f t="shared" si="19"/>
        <v>0</v>
      </c>
      <c r="X18" s="2848">
        <f t="shared" si="20"/>
        <v>0</v>
      </c>
      <c r="Y18" s="2849">
        <f t="shared" si="21"/>
        <v>0</v>
      </c>
      <c r="Z18" s="2850">
        <f t="shared" si="22"/>
        <v>0</v>
      </c>
      <c r="AA18" s="2851">
        <f t="shared" si="23"/>
        <v>0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1"/>
    </row>
    <row r="19" spans="1:40" ht="12.75" customHeight="1" thickBot="1">
      <c r="A19" s="3109"/>
      <c r="B19" s="3110" t="s">
        <v>215</v>
      </c>
      <c r="C19" s="2256">
        <f t="shared" si="1"/>
        <v>2.1908757716049393E-4</v>
      </c>
      <c r="D19" s="4598">
        <v>2</v>
      </c>
      <c r="E19" s="4599">
        <v>1</v>
      </c>
      <c r="F19" s="4599">
        <v>4</v>
      </c>
      <c r="G19" s="4599">
        <v>100</v>
      </c>
      <c r="H19" s="4600"/>
      <c r="I19" s="4600">
        <v>2.3148148148148146E-4</v>
      </c>
      <c r="J19" s="4600">
        <v>1.3888888888888889E-3</v>
      </c>
      <c r="K19" s="2278" t="s">
        <v>1331</v>
      </c>
      <c r="L19" s="2503">
        <v>0.34027777777777773</v>
      </c>
      <c r="M19" s="4601">
        <v>1.2</v>
      </c>
      <c r="N19" s="6942">
        <f>P19*E19*F19+I19*E19*F19+J19*E19</f>
        <v>6.5212962962962976E-3</v>
      </c>
      <c r="O19" s="2281">
        <f t="shared" ref="O19:O61" si="27">C19*(G19/25)</f>
        <v>8.7635030864197572E-4</v>
      </c>
      <c r="P19" s="2281">
        <f t="shared" ref="P19:P24" si="28">O19*M19</f>
        <v>1.0516203703703707E-3</v>
      </c>
      <c r="Q19" s="2282">
        <v>129</v>
      </c>
      <c r="R19" s="4602">
        <f t="shared" ref="R19:R24" si="29">E19*F19*G19</f>
        <v>400</v>
      </c>
      <c r="S19" s="2844">
        <f t="shared" si="15"/>
        <v>0.4</v>
      </c>
      <c r="T19" s="2845">
        <f t="shared" si="16"/>
        <v>1.4021604938271611E-2</v>
      </c>
      <c r="U19" s="374">
        <f t="shared" si="17"/>
        <v>0</v>
      </c>
      <c r="V19" s="2846">
        <f t="shared" si="18"/>
        <v>0.4</v>
      </c>
      <c r="W19" s="2847">
        <f t="shared" si="19"/>
        <v>0</v>
      </c>
      <c r="X19" s="2848">
        <f t="shared" si="20"/>
        <v>0</v>
      </c>
      <c r="Y19" s="2849">
        <f t="shared" si="21"/>
        <v>0</v>
      </c>
      <c r="Z19" s="2850">
        <f t="shared" si="22"/>
        <v>0</v>
      </c>
      <c r="AA19" s="2851">
        <f t="shared" si="23"/>
        <v>0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1"/>
    </row>
    <row r="20" spans="1:40" ht="12.75" customHeight="1" thickBot="1">
      <c r="A20" s="3109"/>
      <c r="B20" s="3110" t="s">
        <v>215</v>
      </c>
      <c r="C20" s="2256">
        <f t="shared" si="1"/>
        <v>2.1908757716049393E-4</v>
      </c>
      <c r="D20" s="4598">
        <v>2</v>
      </c>
      <c r="E20" s="4599">
        <v>1</v>
      </c>
      <c r="F20" s="4599">
        <v>8</v>
      </c>
      <c r="G20" s="4599">
        <v>50</v>
      </c>
      <c r="H20" s="4600"/>
      <c r="I20" s="4600">
        <v>1.7361111111111112E-4</v>
      </c>
      <c r="J20" s="4600">
        <v>1.3888888888888889E-3</v>
      </c>
      <c r="K20" s="2278" t="s">
        <v>300</v>
      </c>
      <c r="L20" s="2503">
        <f>L19+N19</f>
        <v>0.34679907407407401</v>
      </c>
      <c r="M20" s="4601">
        <v>1.1000000000000001</v>
      </c>
      <c r="N20" s="6942">
        <f>P20*E20*F20+I20*E20*F20+J20*E20</f>
        <v>6.6337191358024714E-3</v>
      </c>
      <c r="O20" s="2281">
        <f t="shared" si="27"/>
        <v>4.3817515432098786E-4</v>
      </c>
      <c r="P20" s="2281">
        <f t="shared" si="28"/>
        <v>4.8199266975308669E-4</v>
      </c>
      <c r="Q20" s="2282">
        <v>165</v>
      </c>
      <c r="R20" s="4602">
        <f t="shared" si="29"/>
        <v>400</v>
      </c>
      <c r="S20" s="2844">
        <f t="shared" si="15"/>
        <v>0.4</v>
      </c>
      <c r="T20" s="2845">
        <f t="shared" si="16"/>
        <v>1.4021604938271611E-2</v>
      </c>
      <c r="U20" s="374">
        <f t="shared" si="17"/>
        <v>0</v>
      </c>
      <c r="V20" s="2846">
        <f t="shared" si="18"/>
        <v>0.4</v>
      </c>
      <c r="W20" s="2847">
        <f t="shared" si="19"/>
        <v>0</v>
      </c>
      <c r="X20" s="2848">
        <f t="shared" si="20"/>
        <v>0</v>
      </c>
      <c r="Y20" s="2849">
        <f t="shared" si="21"/>
        <v>0</v>
      </c>
      <c r="Z20" s="2850">
        <f t="shared" si="22"/>
        <v>0</v>
      </c>
      <c r="AA20" s="2851">
        <f t="shared" si="23"/>
        <v>0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1"/>
    </row>
    <row r="21" spans="1:40" ht="12.75" customHeight="1" thickBot="1">
      <c r="A21" s="3109"/>
      <c r="B21" s="3110" t="s">
        <v>215</v>
      </c>
      <c r="C21" s="2256">
        <f t="shared" si="1"/>
        <v>2.1222190799396687E-4</v>
      </c>
      <c r="D21" s="4603">
        <v>3</v>
      </c>
      <c r="E21" s="2261">
        <v>1</v>
      </c>
      <c r="F21" s="2261">
        <v>12</v>
      </c>
      <c r="G21" s="2261">
        <v>50</v>
      </c>
      <c r="H21" s="4604"/>
      <c r="I21" s="4604">
        <v>3.4722222222222224E-4</v>
      </c>
      <c r="J21" s="4604">
        <v>1.3888888888888889E-3</v>
      </c>
      <c r="K21" s="2259" t="s">
        <v>980</v>
      </c>
      <c r="L21" s="2504">
        <f>L20+N20</f>
        <v>0.35343279320987647</v>
      </c>
      <c r="M21" s="4605">
        <v>1.25</v>
      </c>
      <c r="N21" s="6943">
        <f>P21*E21*F21+I21*E21*F21+J21*E21</f>
        <v>1.1922212795374561E-2</v>
      </c>
      <c r="O21" s="2262">
        <f t="shared" si="27"/>
        <v>4.2444381598793373E-4</v>
      </c>
      <c r="P21" s="2262">
        <f t="shared" si="28"/>
        <v>5.3055476998491711E-4</v>
      </c>
      <c r="Q21" s="2274">
        <v>147</v>
      </c>
      <c r="R21" s="2261">
        <f t="shared" si="29"/>
        <v>600</v>
      </c>
      <c r="S21" s="2844">
        <f t="shared" si="15"/>
        <v>0.6</v>
      </c>
      <c r="T21" s="2845">
        <f t="shared" si="16"/>
        <v>2.0373303167420819E-2</v>
      </c>
      <c r="U21" s="374">
        <f t="shared" si="17"/>
        <v>0</v>
      </c>
      <c r="V21" s="2846">
        <f t="shared" si="18"/>
        <v>0</v>
      </c>
      <c r="W21" s="2847">
        <f t="shared" si="19"/>
        <v>0.6</v>
      </c>
      <c r="X21" s="2848">
        <f t="shared" si="20"/>
        <v>0</v>
      </c>
      <c r="Y21" s="2849">
        <f t="shared" si="21"/>
        <v>0</v>
      </c>
      <c r="Z21" s="2850">
        <f t="shared" si="22"/>
        <v>0</v>
      </c>
      <c r="AA21" s="2851">
        <f t="shared" si="23"/>
        <v>0</v>
      </c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1"/>
    </row>
    <row r="22" spans="1:40" ht="12.75" customHeight="1" thickBot="1">
      <c r="A22" s="3109"/>
      <c r="B22" s="3110" t="s">
        <v>215</v>
      </c>
      <c r="C22" s="2256">
        <f t="shared" si="1"/>
        <v>2.2880964381720439E-4</v>
      </c>
      <c r="D22" s="4596">
        <v>1</v>
      </c>
      <c r="E22" s="2529">
        <v>1</v>
      </c>
      <c r="F22" s="2529">
        <v>1</v>
      </c>
      <c r="G22" s="2529">
        <v>200</v>
      </c>
      <c r="H22" s="2528">
        <v>1.9097222222222222E-3</v>
      </c>
      <c r="I22" s="2528"/>
      <c r="J22" s="2528">
        <v>1.3888888888888889E-3</v>
      </c>
      <c r="K22" s="2338" t="s">
        <v>1332</v>
      </c>
      <c r="L22" s="2501">
        <f>L21+N21</f>
        <v>0.36535500600525106</v>
      </c>
      <c r="M22" s="4597">
        <v>1</v>
      </c>
      <c r="N22" s="3874">
        <f>H22*F22*E22</f>
        <v>1.9097222222222222E-3</v>
      </c>
      <c r="O22" s="2359">
        <f t="shared" si="27"/>
        <v>1.8304771505376352E-3</v>
      </c>
      <c r="P22" s="2359">
        <f t="shared" si="28"/>
        <v>1.8304771505376352E-3</v>
      </c>
      <c r="Q22" s="2341">
        <v>164</v>
      </c>
      <c r="R22" s="2529">
        <f t="shared" si="29"/>
        <v>200</v>
      </c>
      <c r="S22" s="2844">
        <f t="shared" si="15"/>
        <v>0.2</v>
      </c>
      <c r="T22" s="2845">
        <f t="shared" si="16"/>
        <v>7.3219086021505406E-3</v>
      </c>
      <c r="U22" s="374">
        <f t="shared" si="17"/>
        <v>0.2</v>
      </c>
      <c r="V22" s="2846">
        <f t="shared" si="18"/>
        <v>0</v>
      </c>
      <c r="W22" s="2847">
        <f t="shared" si="19"/>
        <v>0</v>
      </c>
      <c r="X22" s="2848">
        <f t="shared" si="20"/>
        <v>0</v>
      </c>
      <c r="Y22" s="2849">
        <f t="shared" si="21"/>
        <v>0</v>
      </c>
      <c r="Z22" s="2850">
        <f t="shared" si="22"/>
        <v>0</v>
      </c>
      <c r="AA22" s="2851">
        <f t="shared" si="23"/>
        <v>0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1"/>
    </row>
    <row r="23" spans="1:40" ht="12.75" customHeight="1" thickBot="1">
      <c r="A23" s="3109" t="s">
        <v>215</v>
      </c>
      <c r="B23" s="3110" t="s">
        <v>215</v>
      </c>
      <c r="C23" s="2256">
        <f t="shared" si="1"/>
        <v>1.7682291666666674E-4</v>
      </c>
      <c r="D23" s="3123">
        <v>7</v>
      </c>
      <c r="E23" s="3124">
        <v>4</v>
      </c>
      <c r="F23" s="3124">
        <v>4</v>
      </c>
      <c r="G23" s="3124">
        <v>25</v>
      </c>
      <c r="H23" s="2377" t="s">
        <v>1508</v>
      </c>
      <c r="I23" s="2377">
        <v>3.4722222222222224E-4</v>
      </c>
      <c r="J23" s="2377">
        <v>6.9444444444444447E-4</v>
      </c>
      <c r="K23" s="2514" t="s">
        <v>1513</v>
      </c>
      <c r="L23" s="2515">
        <f>L22+N22</f>
        <v>0.3672647282274733</v>
      </c>
      <c r="M23" s="3126">
        <v>1</v>
      </c>
      <c r="N23" s="2513">
        <f>P23*E23*F23+I23*E23*F23+J23*E23</f>
        <v>1.1162500000000002E-2</v>
      </c>
      <c r="O23" s="2271">
        <f>C23*(G23/25)</f>
        <v>1.7682291666666674E-4</v>
      </c>
      <c r="P23" s="2517">
        <f>O23*M23</f>
        <v>1.7682291666666674E-4</v>
      </c>
      <c r="Q23" s="3130" t="s">
        <v>316</v>
      </c>
      <c r="R23" s="3122">
        <f>E23*F23*G23</f>
        <v>400</v>
      </c>
      <c r="S23" s="2844">
        <f t="shared" si="15"/>
        <v>0.4</v>
      </c>
      <c r="T23" s="2845">
        <f t="shared" si="16"/>
        <v>1.1316666666666671E-2</v>
      </c>
      <c r="U23" s="374">
        <f t="shared" si="17"/>
        <v>0</v>
      </c>
      <c r="V23" s="2846">
        <f t="shared" si="18"/>
        <v>0</v>
      </c>
      <c r="W23" s="2847">
        <f t="shared" si="19"/>
        <v>0</v>
      </c>
      <c r="X23" s="2848">
        <f t="shared" si="20"/>
        <v>0</v>
      </c>
      <c r="Y23" s="2849">
        <f t="shared" si="21"/>
        <v>0</v>
      </c>
      <c r="Z23" s="2850">
        <f t="shared" si="22"/>
        <v>0</v>
      </c>
      <c r="AA23" s="2851">
        <f t="shared" si="23"/>
        <v>0.4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1"/>
    </row>
    <row r="24" spans="1:40" ht="12.75" customHeight="1" thickBot="1">
      <c r="A24" s="3109" t="s">
        <v>138</v>
      </c>
      <c r="B24" s="3110" t="s">
        <v>215</v>
      </c>
      <c r="C24" s="2256">
        <f t="shared" si="1"/>
        <v>2.0247664488766629E-4</v>
      </c>
      <c r="D24" s="4624">
        <v>4</v>
      </c>
      <c r="E24" s="4625">
        <v>1</v>
      </c>
      <c r="F24" s="4625">
        <v>4</v>
      </c>
      <c r="G24" s="4625">
        <v>300</v>
      </c>
      <c r="H24" s="4626"/>
      <c r="I24" s="4626">
        <v>6.3657407407407402E-4</v>
      </c>
      <c r="J24" s="4626">
        <v>1.3888888888888889E-3</v>
      </c>
      <c r="K24" s="2523" t="s">
        <v>1514</v>
      </c>
      <c r="L24" s="2524">
        <f>L22+N22</f>
        <v>0.3672647282274733</v>
      </c>
      <c r="M24" s="4627">
        <v>1.2</v>
      </c>
      <c r="N24" s="6946">
        <f>P24*E24*F24+I24*E24*F24+J24*E24</f>
        <v>1.5597839930714763E-2</v>
      </c>
      <c r="O24" s="2526">
        <f t="shared" si="27"/>
        <v>2.4297197386519954E-3</v>
      </c>
      <c r="P24" s="2526">
        <f t="shared" si="28"/>
        <v>2.9156636863823943E-3</v>
      </c>
      <c r="Q24" s="3132">
        <v>196</v>
      </c>
      <c r="R24" s="4628">
        <f t="shared" si="29"/>
        <v>1200</v>
      </c>
      <c r="S24" s="2844">
        <f t="shared" si="15"/>
        <v>1.2</v>
      </c>
      <c r="T24" s="2845">
        <f t="shared" si="16"/>
        <v>3.8875515818431926E-2</v>
      </c>
      <c r="U24" s="374">
        <f t="shared" si="17"/>
        <v>0</v>
      </c>
      <c r="V24" s="2846">
        <f t="shared" si="18"/>
        <v>0</v>
      </c>
      <c r="W24" s="2847">
        <f t="shared" si="19"/>
        <v>0</v>
      </c>
      <c r="X24" s="2848">
        <f t="shared" si="20"/>
        <v>1.2</v>
      </c>
      <c r="Y24" s="2849">
        <f t="shared" si="21"/>
        <v>0</v>
      </c>
      <c r="Z24" s="2850">
        <f t="shared" si="22"/>
        <v>0</v>
      </c>
      <c r="AA24" s="2851">
        <f t="shared" si="23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2.75" customHeight="1" thickBot="1">
      <c r="A25" s="3109" t="s">
        <v>462</v>
      </c>
      <c r="B25" s="3110"/>
      <c r="C25" s="2256">
        <f t="shared" si="1"/>
        <v>0</v>
      </c>
      <c r="D25" s="4596"/>
      <c r="E25" s="2529"/>
      <c r="F25" s="2529"/>
      <c r="G25" s="2529"/>
      <c r="H25" s="2528"/>
      <c r="I25" s="2528"/>
      <c r="J25" s="2528"/>
      <c r="K25" s="2338"/>
      <c r="L25" s="2182">
        <f>L24+N24</f>
        <v>0.38286256815818809</v>
      </c>
      <c r="M25" s="4597"/>
      <c r="N25" s="3874">
        <f>SUM(N19:N24)</f>
        <v>5.3747290380410324E-2</v>
      </c>
      <c r="O25" s="2359">
        <f t="shared" si="27"/>
        <v>0</v>
      </c>
      <c r="P25" s="2359"/>
      <c r="Q25" s="2341"/>
      <c r="R25" s="2529">
        <f>SUM(R19:R24)</f>
        <v>3200</v>
      </c>
      <c r="S25" s="2844">
        <f t="shared" si="15"/>
        <v>0</v>
      </c>
      <c r="T25" s="2845">
        <f t="shared" si="16"/>
        <v>0</v>
      </c>
      <c r="U25" s="374">
        <f t="shared" si="17"/>
        <v>0</v>
      </c>
      <c r="V25" s="2846">
        <f t="shared" si="18"/>
        <v>0</v>
      </c>
      <c r="W25" s="2847">
        <f t="shared" si="19"/>
        <v>0</v>
      </c>
      <c r="X25" s="2848">
        <f t="shared" si="20"/>
        <v>0</v>
      </c>
      <c r="Y25" s="2849">
        <f t="shared" si="21"/>
        <v>0</v>
      </c>
      <c r="Z25" s="2850">
        <f t="shared" si="22"/>
        <v>0</v>
      </c>
      <c r="AA25" s="2851">
        <f t="shared" si="23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</row>
    <row r="26" spans="1:40" ht="12.75" customHeight="1" thickBot="1">
      <c r="A26" s="3109" t="s">
        <v>461</v>
      </c>
      <c r="B26" s="3110" t="s">
        <v>461</v>
      </c>
      <c r="C26" s="2256">
        <f t="shared" si="1"/>
        <v>2.1908757716049393E-4</v>
      </c>
      <c r="D26" s="4598">
        <v>2</v>
      </c>
      <c r="E26" s="4599">
        <v>1</v>
      </c>
      <c r="F26" s="4599">
        <v>2</v>
      </c>
      <c r="G26" s="4599">
        <v>350</v>
      </c>
      <c r="H26" s="4600"/>
      <c r="I26" s="4600">
        <v>1.7361111111111112E-4</v>
      </c>
      <c r="J26" s="4600">
        <v>1.3888888888888889E-3</v>
      </c>
      <c r="K26" s="2278" t="s">
        <v>1515</v>
      </c>
      <c r="L26" s="2503">
        <v>0.8125</v>
      </c>
      <c r="M26" s="4601">
        <v>1.1000000000000001</v>
      </c>
      <c r="N26" s="6942">
        <f>P26*E26*F26+I26*E26*F26+J26*E26</f>
        <v>8.4840084876543244E-3</v>
      </c>
      <c r="O26" s="2281">
        <f t="shared" si="27"/>
        <v>3.0672260802469152E-3</v>
      </c>
      <c r="P26" s="2281">
        <f>O26*M26</f>
        <v>3.3739486882716071E-3</v>
      </c>
      <c r="Q26" s="2282">
        <v>164</v>
      </c>
      <c r="R26" s="4602">
        <f>E26*F26*G26</f>
        <v>700</v>
      </c>
      <c r="S26" s="2844">
        <f t="shared" si="15"/>
        <v>0.7</v>
      </c>
      <c r="T26" s="2845">
        <f t="shared" si="16"/>
        <v>2.4537808641975321E-2</v>
      </c>
      <c r="U26" s="374">
        <f t="shared" si="17"/>
        <v>0</v>
      </c>
      <c r="V26" s="2846">
        <f t="shared" si="18"/>
        <v>0.7</v>
      </c>
      <c r="W26" s="2847">
        <f t="shared" si="19"/>
        <v>0</v>
      </c>
      <c r="X26" s="2848">
        <f t="shared" si="20"/>
        <v>0</v>
      </c>
      <c r="Y26" s="2849">
        <f t="shared" si="21"/>
        <v>0</v>
      </c>
      <c r="Z26" s="2850">
        <f t="shared" si="22"/>
        <v>0</v>
      </c>
      <c r="AA26" s="2851">
        <f t="shared" si="23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</row>
    <row r="27" spans="1:40" ht="12.75" customHeight="1" thickBot="1">
      <c r="A27" s="3109" t="s">
        <v>458</v>
      </c>
      <c r="B27" s="3110" t="s">
        <v>461</v>
      </c>
      <c r="C27" s="2256">
        <f t="shared" si="1"/>
        <v>2.1222190799396687E-4</v>
      </c>
      <c r="D27" s="4603">
        <v>3</v>
      </c>
      <c r="E27" s="2261">
        <v>1</v>
      </c>
      <c r="F27" s="2261">
        <v>14</v>
      </c>
      <c r="G27" s="2261">
        <v>50</v>
      </c>
      <c r="H27" s="4604"/>
      <c r="I27" s="4604">
        <v>1.7361111111111112E-4</v>
      </c>
      <c r="J27" s="4604">
        <v>1.3888888888888889E-3</v>
      </c>
      <c r="K27" s="2355" t="s">
        <v>1334</v>
      </c>
      <c r="L27" s="2504">
        <f t="shared" ref="L27:L28" si="30">L26+N26</f>
        <v>0.82098400848765429</v>
      </c>
      <c r="M27" s="4605">
        <v>1.1000000000000001</v>
      </c>
      <c r="N27" s="6943">
        <f t="shared" ref="N27:N30" si="31">P27*E27*F27+I27*E27*F27+J27*E27</f>
        <v>1.0355879210658624E-2</v>
      </c>
      <c r="O27" s="2262">
        <f t="shared" si="27"/>
        <v>4.2444381598793373E-4</v>
      </c>
      <c r="P27" s="2262">
        <f t="shared" ref="P27:P30" si="32">O27*M27</f>
        <v>4.6688819758672714E-4</v>
      </c>
      <c r="Q27" s="2274">
        <v>164</v>
      </c>
      <c r="R27" s="2261">
        <f t="shared" ref="R27:R30" si="33">E27*F27*G27</f>
        <v>700</v>
      </c>
      <c r="S27" s="2844">
        <f t="shared" si="15"/>
        <v>0.7</v>
      </c>
      <c r="T27" s="2845">
        <f t="shared" si="16"/>
        <v>2.3768853695324291E-2</v>
      </c>
      <c r="U27" s="374">
        <f t="shared" si="17"/>
        <v>0</v>
      </c>
      <c r="V27" s="2846">
        <f t="shared" si="18"/>
        <v>0</v>
      </c>
      <c r="W27" s="2847">
        <f t="shared" si="19"/>
        <v>0.7</v>
      </c>
      <c r="X27" s="2848">
        <f t="shared" si="20"/>
        <v>0</v>
      </c>
      <c r="Y27" s="2849">
        <f t="shared" si="21"/>
        <v>0</v>
      </c>
      <c r="Z27" s="2850">
        <f t="shared" si="22"/>
        <v>0</v>
      </c>
      <c r="AA27" s="2851">
        <f t="shared" si="23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</row>
    <row r="28" spans="1:40" ht="12.75" customHeight="1" thickBot="1">
      <c r="A28" s="3109" t="s">
        <v>219</v>
      </c>
      <c r="B28" s="3110" t="s">
        <v>461</v>
      </c>
      <c r="C28" s="2256">
        <f t="shared" si="1"/>
        <v>1.8933937422552669E-4</v>
      </c>
      <c r="D28" s="4607">
        <v>5</v>
      </c>
      <c r="E28" s="4608">
        <v>1</v>
      </c>
      <c r="F28" s="4608">
        <v>8</v>
      </c>
      <c r="G28" s="4608">
        <v>20</v>
      </c>
      <c r="H28" s="6112" t="s">
        <v>2440</v>
      </c>
      <c r="I28" s="4609">
        <v>8.6805555555555551E-4</v>
      </c>
      <c r="J28" s="4609">
        <v>1.3888888888888889E-3</v>
      </c>
      <c r="K28" s="3127" t="s">
        <v>1516</v>
      </c>
      <c r="L28" s="2508">
        <f t="shared" si="30"/>
        <v>0.83133988769831291</v>
      </c>
      <c r="M28" s="4610">
        <v>1.1000000000000001</v>
      </c>
      <c r="N28" s="6944">
        <f t="shared" si="31"/>
        <v>9.666282527881041E-3</v>
      </c>
      <c r="O28" s="2265">
        <f t="shared" si="27"/>
        <v>1.5147149938042137E-4</v>
      </c>
      <c r="P28" s="2185">
        <f t="shared" si="32"/>
        <v>1.6661864931846352E-4</v>
      </c>
      <c r="Q28" s="4629">
        <v>164</v>
      </c>
      <c r="R28" s="4608">
        <f t="shared" si="33"/>
        <v>160</v>
      </c>
      <c r="S28" s="2844">
        <f t="shared" si="15"/>
        <v>0.16</v>
      </c>
      <c r="T28" s="2845">
        <f t="shared" si="16"/>
        <v>4.847087980173484E-3</v>
      </c>
      <c r="U28" s="374">
        <f t="shared" si="17"/>
        <v>0</v>
      </c>
      <c r="V28" s="2846">
        <f t="shared" si="18"/>
        <v>0</v>
      </c>
      <c r="W28" s="2847">
        <f t="shared" si="19"/>
        <v>0</v>
      </c>
      <c r="X28" s="2848">
        <f t="shared" si="20"/>
        <v>0</v>
      </c>
      <c r="Y28" s="2849">
        <f t="shared" si="21"/>
        <v>0.16</v>
      </c>
      <c r="Z28" s="2850">
        <f t="shared" si="22"/>
        <v>0</v>
      </c>
      <c r="AA28" s="2851">
        <f t="shared" si="23"/>
        <v>0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</row>
    <row r="29" spans="1:40" ht="12.75" customHeight="1" thickBot="1">
      <c r="A29" s="3109"/>
      <c r="B29" s="3110"/>
      <c r="C29" s="2256">
        <f t="shared" si="1"/>
        <v>1.8933937422552669E-4</v>
      </c>
      <c r="D29" s="4607">
        <v>5</v>
      </c>
      <c r="E29" s="6923">
        <v>6</v>
      </c>
      <c r="F29" s="6923">
        <v>2</v>
      </c>
      <c r="G29" s="6923">
        <v>75</v>
      </c>
      <c r="H29" s="6926" t="s">
        <v>2439</v>
      </c>
      <c r="I29" s="6924">
        <v>5.7870370370370366E-5</v>
      </c>
      <c r="J29" s="4609">
        <v>6.9444444444444447E-4</v>
      </c>
      <c r="K29" s="6925" t="s">
        <v>300</v>
      </c>
      <c r="L29" s="5767">
        <f>L28</f>
        <v>0.83133988769831291</v>
      </c>
      <c r="M29" s="4610">
        <v>1</v>
      </c>
      <c r="N29" s="6944">
        <f t="shared" ref="N29" si="34">P29*E29*F29+I29*E29*F29+J29*E29</f>
        <v>1.1677328583230073E-2</v>
      </c>
      <c r="O29" s="2265">
        <f t="shared" ref="O29" si="35">C29*(G29/25)</f>
        <v>5.6801812267658004E-4</v>
      </c>
      <c r="P29" s="2185">
        <f t="shared" ref="P29" si="36">O29*M29</f>
        <v>5.6801812267658004E-4</v>
      </c>
      <c r="Q29" s="4629">
        <v>164</v>
      </c>
      <c r="R29" s="4608">
        <f t="shared" ref="R29" si="37">E29*F29*G29</f>
        <v>900</v>
      </c>
      <c r="S29" s="2844">
        <f t="shared" si="15"/>
        <v>0.9</v>
      </c>
      <c r="T29" s="2845">
        <f t="shared" si="16"/>
        <v>2.7264869888475842E-2</v>
      </c>
      <c r="U29" s="374">
        <f t="shared" si="17"/>
        <v>0</v>
      </c>
      <c r="V29" s="2846">
        <f t="shared" si="18"/>
        <v>0</v>
      </c>
      <c r="W29" s="2847">
        <f t="shared" si="19"/>
        <v>0</v>
      </c>
      <c r="X29" s="2848">
        <f t="shared" si="20"/>
        <v>0</v>
      </c>
      <c r="Y29" s="2849">
        <f t="shared" si="21"/>
        <v>0.9</v>
      </c>
      <c r="Z29" s="2850">
        <f t="shared" si="22"/>
        <v>0</v>
      </c>
      <c r="AA29" s="2851">
        <f t="shared" si="23"/>
        <v>0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</row>
    <row r="30" spans="1:40" ht="12.75" customHeight="1" thickBot="1">
      <c r="A30" s="3109"/>
      <c r="B30" s="3110" t="s">
        <v>461</v>
      </c>
      <c r="C30" s="2256">
        <f t="shared" si="1"/>
        <v>2.1222190799396687E-4</v>
      </c>
      <c r="D30" s="4603">
        <v>3</v>
      </c>
      <c r="E30" s="2261">
        <v>1</v>
      </c>
      <c r="F30" s="2261">
        <v>2</v>
      </c>
      <c r="G30" s="2261">
        <v>300</v>
      </c>
      <c r="H30" s="4604"/>
      <c r="I30" s="4604">
        <v>2.8935185185185189E-4</v>
      </c>
      <c r="J30" s="4604">
        <v>1.3888888888888889E-3</v>
      </c>
      <c r="K30" s="2355" t="s">
        <v>1517</v>
      </c>
      <c r="L30" s="2504">
        <f>L28+N28</f>
        <v>0.84100617022619395</v>
      </c>
      <c r="M30" s="4605">
        <v>1.1000000000000001</v>
      </c>
      <c r="N30" s="6943">
        <f t="shared" si="31"/>
        <v>7.5702509636333187E-3</v>
      </c>
      <c r="O30" s="2262">
        <f t="shared" si="27"/>
        <v>2.5466628959276024E-3</v>
      </c>
      <c r="P30" s="2262">
        <f t="shared" si="32"/>
        <v>2.8013291855203629E-3</v>
      </c>
      <c r="Q30" s="2274">
        <v>164</v>
      </c>
      <c r="R30" s="2261">
        <f t="shared" si="33"/>
        <v>600</v>
      </c>
      <c r="S30" s="2844">
        <f t="shared" si="15"/>
        <v>0.6</v>
      </c>
      <c r="T30" s="2845">
        <f t="shared" si="16"/>
        <v>2.0373303167420819E-2</v>
      </c>
      <c r="U30" s="374">
        <f t="shared" si="17"/>
        <v>0</v>
      </c>
      <c r="V30" s="2846">
        <f t="shared" si="18"/>
        <v>0</v>
      </c>
      <c r="W30" s="2847">
        <f t="shared" si="19"/>
        <v>0.6</v>
      </c>
      <c r="X30" s="2848">
        <f t="shared" si="20"/>
        <v>0</v>
      </c>
      <c r="Y30" s="2849">
        <f t="shared" si="21"/>
        <v>0</v>
      </c>
      <c r="Z30" s="2850">
        <f t="shared" si="22"/>
        <v>0</v>
      </c>
      <c r="AA30" s="2851">
        <f t="shared" si="23"/>
        <v>0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</row>
    <row r="31" spans="1:40" ht="12.75" customHeight="1" thickBot="1">
      <c r="A31" s="3109"/>
      <c r="B31" s="3110" t="s">
        <v>461</v>
      </c>
      <c r="C31" s="2256">
        <f t="shared" si="1"/>
        <v>2.0247664488766629E-4</v>
      </c>
      <c r="D31" s="4624">
        <v>4</v>
      </c>
      <c r="E31" s="4625">
        <v>1</v>
      </c>
      <c r="F31" s="4625">
        <v>8</v>
      </c>
      <c r="G31" s="4625">
        <v>50</v>
      </c>
      <c r="H31" s="4626">
        <v>8.6805555555555551E-4</v>
      </c>
      <c r="I31" s="4626"/>
      <c r="J31" s="4626">
        <v>1.3888888888888889E-3</v>
      </c>
      <c r="K31" s="2523" t="s">
        <v>1336</v>
      </c>
      <c r="L31" s="2524">
        <f>L30+N30</f>
        <v>0.84857642118982723</v>
      </c>
      <c r="M31" s="4627">
        <v>1</v>
      </c>
      <c r="N31" s="6946">
        <f>H31*F31*E31</f>
        <v>6.9444444444444441E-3</v>
      </c>
      <c r="O31" s="2526">
        <f t="shared" si="27"/>
        <v>4.0495328977533258E-4</v>
      </c>
      <c r="P31" s="2517">
        <f>O31*M31</f>
        <v>4.0495328977533258E-4</v>
      </c>
      <c r="Q31" s="2518">
        <v>166</v>
      </c>
      <c r="R31" s="3122">
        <f>E31*F31*G31</f>
        <v>400</v>
      </c>
      <c r="S31" s="2844">
        <f t="shared" si="15"/>
        <v>0.4</v>
      </c>
      <c r="T31" s="2845">
        <f t="shared" si="16"/>
        <v>1.2958505272810643E-2</v>
      </c>
      <c r="U31" s="374">
        <f t="shared" si="17"/>
        <v>0</v>
      </c>
      <c r="V31" s="2846">
        <f t="shared" si="18"/>
        <v>0</v>
      </c>
      <c r="W31" s="2847">
        <f t="shared" si="19"/>
        <v>0</v>
      </c>
      <c r="X31" s="2848">
        <f t="shared" si="20"/>
        <v>0.4</v>
      </c>
      <c r="Y31" s="2849">
        <f t="shared" si="21"/>
        <v>0</v>
      </c>
      <c r="Z31" s="2850">
        <f t="shared" si="22"/>
        <v>0</v>
      </c>
      <c r="AA31" s="2851">
        <f t="shared" si="23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</row>
    <row r="32" spans="1:40" ht="12.75" customHeight="1" thickBot="1">
      <c r="A32" s="3109"/>
      <c r="B32" s="3110"/>
      <c r="C32" s="2256">
        <f t="shared" si="1"/>
        <v>2.0247664488766629E-4</v>
      </c>
      <c r="D32" s="6927">
        <v>4</v>
      </c>
      <c r="E32" s="6155">
        <v>4</v>
      </c>
      <c r="F32" s="6155">
        <v>3</v>
      </c>
      <c r="G32" s="6155">
        <v>150</v>
      </c>
      <c r="H32" s="6930" t="s">
        <v>2439</v>
      </c>
      <c r="I32" s="6156">
        <v>1.1574074074074073E-4</v>
      </c>
      <c r="J32" s="4626">
        <v>1.3888888888888889E-3</v>
      </c>
      <c r="K32" s="5869" t="s">
        <v>2441</v>
      </c>
      <c r="L32" s="5870">
        <f>L31</f>
        <v>0.84857642118982723</v>
      </c>
      <c r="M32" s="4627">
        <v>1</v>
      </c>
      <c r="N32" s="6947">
        <f t="shared" ref="N32" si="38">P32*E32*F32+I32*E32*F32+J32*E32</f>
        <v>2.1522762876356415E-2</v>
      </c>
      <c r="O32" s="2526">
        <f t="shared" si="27"/>
        <v>1.2148598693259977E-3</v>
      </c>
      <c r="P32" s="2517">
        <f t="shared" ref="P32" si="39">O32*M32</f>
        <v>1.2148598693259977E-3</v>
      </c>
      <c r="Q32" s="5807">
        <v>164</v>
      </c>
      <c r="R32" s="6929">
        <f t="shared" ref="R32" si="40">E32*F32*G32</f>
        <v>1800</v>
      </c>
      <c r="S32" s="2844">
        <f t="shared" si="15"/>
        <v>1.8</v>
      </c>
      <c r="T32" s="2845">
        <f t="shared" si="16"/>
        <v>5.8313273727647885E-2</v>
      </c>
      <c r="U32" s="374">
        <f t="shared" si="17"/>
        <v>0</v>
      </c>
      <c r="V32" s="2846">
        <f t="shared" si="18"/>
        <v>0</v>
      </c>
      <c r="W32" s="2847">
        <f t="shared" si="19"/>
        <v>0</v>
      </c>
      <c r="X32" s="2848">
        <f t="shared" si="20"/>
        <v>1.8</v>
      </c>
      <c r="Y32" s="2849">
        <f t="shared" si="21"/>
        <v>0</v>
      </c>
      <c r="Z32" s="2850">
        <f t="shared" si="22"/>
        <v>0</v>
      </c>
      <c r="AA32" s="2851">
        <f t="shared" si="23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</row>
    <row r="33" spans="1:39" ht="12.75" customHeight="1" thickBot="1">
      <c r="A33" s="3109"/>
      <c r="B33" s="3110" t="s">
        <v>461</v>
      </c>
      <c r="C33" s="2256">
        <f t="shared" si="1"/>
        <v>2.1908757716049393E-4</v>
      </c>
      <c r="D33" s="4598">
        <v>2</v>
      </c>
      <c r="E33" s="4599">
        <v>1</v>
      </c>
      <c r="F33" s="4599">
        <v>1</v>
      </c>
      <c r="G33" s="4599">
        <v>400</v>
      </c>
      <c r="H33" s="6107" t="s">
        <v>2440</v>
      </c>
      <c r="I33" s="4600">
        <v>5.7870370370370366E-5</v>
      </c>
      <c r="J33" s="4600">
        <v>2.3148148148148146E-4</v>
      </c>
      <c r="K33" s="2278" t="s">
        <v>882</v>
      </c>
      <c r="L33" s="2503">
        <f>L31+N31</f>
        <v>0.85552086563427165</v>
      </c>
      <c r="M33" s="4601">
        <v>1.25</v>
      </c>
      <c r="N33" s="6942">
        <f>P33*E33*F33+I33*E33*F33+J33*E33</f>
        <v>4.671103395061731E-3</v>
      </c>
      <c r="O33" s="2281">
        <f t="shared" si="27"/>
        <v>3.5054012345679029E-3</v>
      </c>
      <c r="P33" s="2281">
        <f>O33*M33</f>
        <v>4.3817515432098787E-3</v>
      </c>
      <c r="Q33" s="2282">
        <v>147</v>
      </c>
      <c r="R33" s="4602">
        <f>E33*F33*G33</f>
        <v>400</v>
      </c>
      <c r="S33" s="2844">
        <f t="shared" si="15"/>
        <v>0.4</v>
      </c>
      <c r="T33" s="2845">
        <f t="shared" si="16"/>
        <v>1.4021604938271611E-2</v>
      </c>
      <c r="U33" s="374">
        <f t="shared" si="17"/>
        <v>0</v>
      </c>
      <c r="V33" s="2846">
        <f t="shared" si="18"/>
        <v>0.4</v>
      </c>
      <c r="W33" s="2847">
        <f t="shared" si="19"/>
        <v>0</v>
      </c>
      <c r="X33" s="2848">
        <f t="shared" si="20"/>
        <v>0</v>
      </c>
      <c r="Y33" s="2849">
        <f t="shared" si="21"/>
        <v>0</v>
      </c>
      <c r="Z33" s="2850">
        <f t="shared" si="22"/>
        <v>0</v>
      </c>
      <c r="AA33" s="2851">
        <f t="shared" si="23"/>
        <v>0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</row>
    <row r="34" spans="1:39" ht="12.75" customHeight="1" thickBot="1">
      <c r="A34" s="3109"/>
      <c r="B34" s="3110" t="s">
        <v>461</v>
      </c>
      <c r="C34" s="2256">
        <f t="shared" si="1"/>
        <v>1.7682291666666674E-4</v>
      </c>
      <c r="D34" s="3123">
        <v>7</v>
      </c>
      <c r="E34" s="3124">
        <v>1</v>
      </c>
      <c r="F34" s="3124">
        <v>5</v>
      </c>
      <c r="G34" s="3124">
        <v>15</v>
      </c>
      <c r="H34" s="3793" t="s">
        <v>2440</v>
      </c>
      <c r="I34" s="2377">
        <v>1.1574074074074073E-4</v>
      </c>
      <c r="J34" s="2377">
        <v>2.3148148148148146E-4</v>
      </c>
      <c r="K34" s="2514" t="s">
        <v>410</v>
      </c>
      <c r="L34" s="2515">
        <f>L33+N33</f>
        <v>0.86019196902933337</v>
      </c>
      <c r="M34" s="3687">
        <v>1</v>
      </c>
      <c r="N34" s="2513">
        <f>P34*E34*F34+I34*E34*F34+J34*E34</f>
        <v>1.3406539351851852E-3</v>
      </c>
      <c r="O34" s="2271">
        <f t="shared" si="27"/>
        <v>1.0609375000000004E-4</v>
      </c>
      <c r="P34" s="2517">
        <f>O34*M34</f>
        <v>1.0609375000000004E-4</v>
      </c>
      <c r="Q34" s="2518" t="s">
        <v>316</v>
      </c>
      <c r="R34" s="3122">
        <f>E34*F34*G34</f>
        <v>75</v>
      </c>
      <c r="S34" s="2844">
        <f t="shared" si="15"/>
        <v>7.4999999999999997E-2</v>
      </c>
      <c r="T34" s="2845">
        <f t="shared" si="16"/>
        <v>2.1218750000000009E-3</v>
      </c>
      <c r="U34" s="374">
        <f t="shared" si="17"/>
        <v>0</v>
      </c>
      <c r="V34" s="2846">
        <f t="shared" si="18"/>
        <v>0</v>
      </c>
      <c r="W34" s="2847">
        <f t="shared" si="19"/>
        <v>0</v>
      </c>
      <c r="X34" s="2848">
        <f t="shared" si="20"/>
        <v>0</v>
      </c>
      <c r="Y34" s="2849">
        <f t="shared" si="21"/>
        <v>0</v>
      </c>
      <c r="Z34" s="2850">
        <f t="shared" si="22"/>
        <v>0</v>
      </c>
      <c r="AA34" s="2851">
        <f t="shared" si="23"/>
        <v>7.4999999999999997E-2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</row>
    <row r="35" spans="1:39" ht="12.75" customHeight="1" thickBot="1">
      <c r="A35" s="6931"/>
      <c r="B35" s="6932"/>
      <c r="C35" s="2256">
        <f t="shared" si="1"/>
        <v>0</v>
      </c>
      <c r="D35" s="4596"/>
      <c r="E35" s="2529"/>
      <c r="F35" s="2529"/>
      <c r="G35" s="2529"/>
      <c r="H35" s="2528"/>
      <c r="I35" s="2528"/>
      <c r="J35" s="2528"/>
      <c r="K35" s="2338"/>
      <c r="L35" s="2182">
        <f>L34+N34</f>
        <v>0.8615326229645186</v>
      </c>
      <c r="M35" s="4597"/>
      <c r="N35" s="3874">
        <f>SUM(N26:N34)</f>
        <v>8.2232714424105166E-2</v>
      </c>
      <c r="O35" s="2359"/>
      <c r="P35" s="2359"/>
      <c r="Q35" s="2341"/>
      <c r="R35" s="2529">
        <f>R26+R27+R28+R30+R31+R33+R34</f>
        <v>3035</v>
      </c>
      <c r="S35" s="2844">
        <f t="shared" si="15"/>
        <v>0</v>
      </c>
      <c r="T35" s="2845">
        <f t="shared" si="16"/>
        <v>0</v>
      </c>
      <c r="U35" s="374">
        <f t="shared" si="17"/>
        <v>0</v>
      </c>
      <c r="V35" s="2846">
        <f t="shared" si="18"/>
        <v>0</v>
      </c>
      <c r="W35" s="2847">
        <f t="shared" si="19"/>
        <v>0</v>
      </c>
      <c r="X35" s="2848">
        <f t="shared" si="20"/>
        <v>0</v>
      </c>
      <c r="Y35" s="2849">
        <f t="shared" si="21"/>
        <v>0</v>
      </c>
      <c r="Z35" s="2850">
        <f t="shared" si="22"/>
        <v>0</v>
      </c>
      <c r="AA35" s="2851">
        <f t="shared" si="23"/>
        <v>0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</row>
    <row r="36" spans="1:39" ht="12.75" customHeight="1" thickBot="1">
      <c r="A36" s="6931" t="s">
        <v>215</v>
      </c>
      <c r="B36" s="6932"/>
      <c r="C36" s="2256">
        <f t="shared" si="1"/>
        <v>2.2880964381720439E-4</v>
      </c>
      <c r="D36" s="547">
        <v>1</v>
      </c>
      <c r="E36" s="275">
        <v>1</v>
      </c>
      <c r="F36" s="275">
        <v>2</v>
      </c>
      <c r="G36" s="275">
        <v>300</v>
      </c>
      <c r="H36" s="276"/>
      <c r="I36" s="276">
        <v>2.3148148148148146E-4</v>
      </c>
      <c r="J36" s="276"/>
      <c r="K36" s="312" t="s">
        <v>1118</v>
      </c>
      <c r="L36" s="1004">
        <v>0.38194444444444442</v>
      </c>
      <c r="M36" s="451">
        <v>1.17</v>
      </c>
      <c r="N36" s="6948">
        <f t="shared" ref="N36:N39" si="41">P36*E36*F36+I36*F36*E36+J36*E36</f>
        <v>6.8879377613500622E-3</v>
      </c>
      <c r="O36" s="296">
        <f>C36*(G36/25)</f>
        <v>2.7457157258064528E-3</v>
      </c>
      <c r="P36" s="296">
        <f>O36*M36</f>
        <v>3.2124873991935497E-3</v>
      </c>
      <c r="Q36" s="548">
        <v>180</v>
      </c>
      <c r="R36" s="646">
        <f>E36*F36*G36</f>
        <v>600</v>
      </c>
      <c r="S36" s="2844">
        <f t="shared" si="15"/>
        <v>0.6</v>
      </c>
      <c r="T36" s="2845">
        <f t="shared" si="16"/>
        <v>2.1965725806451623E-2</v>
      </c>
      <c r="U36" s="374">
        <f t="shared" si="17"/>
        <v>0.6</v>
      </c>
      <c r="V36" s="2846">
        <f t="shared" si="18"/>
        <v>0</v>
      </c>
      <c r="W36" s="2847">
        <f t="shared" si="19"/>
        <v>0</v>
      </c>
      <c r="X36" s="2848">
        <f t="shared" si="20"/>
        <v>0</v>
      </c>
      <c r="Y36" s="2849">
        <f t="shared" si="21"/>
        <v>0</v>
      </c>
      <c r="Z36" s="2850">
        <f t="shared" si="22"/>
        <v>0</v>
      </c>
      <c r="AA36" s="2851">
        <f t="shared" si="23"/>
        <v>0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</row>
    <row r="37" spans="1:39" ht="12.75" customHeight="1" thickBot="1">
      <c r="A37" s="6931" t="s">
        <v>139</v>
      </c>
      <c r="B37" s="6932"/>
      <c r="C37" s="2256">
        <f t="shared" si="1"/>
        <v>2.0247664488766629E-4</v>
      </c>
      <c r="D37" s="920">
        <v>4</v>
      </c>
      <c r="E37" s="2013">
        <v>1</v>
      </c>
      <c r="F37" s="1881">
        <v>2</v>
      </c>
      <c r="G37" s="1881">
        <v>100</v>
      </c>
      <c r="H37" s="6951" t="s">
        <v>2440</v>
      </c>
      <c r="I37" s="1989">
        <v>3.4722222222222224E-4</v>
      </c>
      <c r="J37" s="1989">
        <v>1.9675925925925928E-3</v>
      </c>
      <c r="K37" s="1994" t="s">
        <v>2445</v>
      </c>
      <c r="L37" s="1876">
        <f>L36+N36</f>
        <v>0.38883238220579447</v>
      </c>
      <c r="M37" s="2011">
        <v>1.5</v>
      </c>
      <c r="N37" s="6936">
        <f t="shared" si="41"/>
        <v>5.0917567756890332E-3</v>
      </c>
      <c r="O37" s="1877">
        <f>C37*(G37/25)</f>
        <v>8.0990657955066516E-4</v>
      </c>
      <c r="P37" s="6936">
        <f>O37*M37</f>
        <v>1.2148598693259977E-3</v>
      </c>
      <c r="Q37" s="1878">
        <v>180</v>
      </c>
      <c r="R37" s="1879">
        <f>E37*F37*G37</f>
        <v>200</v>
      </c>
      <c r="S37" s="2844">
        <f t="shared" si="15"/>
        <v>0.2</v>
      </c>
      <c r="T37" s="2845">
        <f t="shared" si="16"/>
        <v>6.4792526364053213E-3</v>
      </c>
      <c r="U37" s="374">
        <f t="shared" si="17"/>
        <v>0</v>
      </c>
      <c r="V37" s="2846">
        <f t="shared" si="18"/>
        <v>0</v>
      </c>
      <c r="W37" s="2847">
        <f t="shared" si="19"/>
        <v>0</v>
      </c>
      <c r="X37" s="2848">
        <f t="shared" si="20"/>
        <v>0.2</v>
      </c>
      <c r="Y37" s="2849">
        <f t="shared" si="21"/>
        <v>0</v>
      </c>
      <c r="Z37" s="2850">
        <f t="shared" si="22"/>
        <v>0</v>
      </c>
      <c r="AA37" s="2851">
        <f t="shared" si="23"/>
        <v>0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</row>
    <row r="38" spans="1:39" ht="12.75" customHeight="1" thickBot="1">
      <c r="A38" s="6931" t="s">
        <v>458</v>
      </c>
      <c r="B38" s="6932"/>
      <c r="C38" s="2256">
        <f t="shared" si="1"/>
        <v>2.0247664488766629E-4</v>
      </c>
      <c r="D38" s="1977">
        <v>4</v>
      </c>
      <c r="E38" s="1981">
        <v>2</v>
      </c>
      <c r="F38" s="1988">
        <v>1</v>
      </c>
      <c r="G38" s="1881">
        <v>1000</v>
      </c>
      <c r="H38" s="6949" t="s">
        <v>2439</v>
      </c>
      <c r="I38" s="1989">
        <v>0</v>
      </c>
      <c r="J38" s="1989">
        <v>1.3888888888888889E-3</v>
      </c>
      <c r="K38" s="1994" t="s">
        <v>881</v>
      </c>
      <c r="L38" s="1876">
        <f>L36+N36</f>
        <v>0.38883238220579447</v>
      </c>
      <c r="M38" s="2011">
        <v>1.25</v>
      </c>
      <c r="N38" s="6936">
        <f t="shared" si="41"/>
        <v>2.3025442266544405E-2</v>
      </c>
      <c r="O38" s="1877">
        <f>C38*(G38/25)</f>
        <v>8.0990657955066509E-3</v>
      </c>
      <c r="P38" s="6936">
        <f>O38*M38</f>
        <v>1.0123832244383313E-2</v>
      </c>
      <c r="Q38" s="1878">
        <v>180</v>
      </c>
      <c r="R38" s="1879">
        <f>-E38*F38*G38</f>
        <v>-2000</v>
      </c>
      <c r="S38" s="2844">
        <f t="shared" si="15"/>
        <v>2</v>
      </c>
      <c r="T38" s="2845">
        <f t="shared" si="16"/>
        <v>6.4792526364053207E-2</v>
      </c>
      <c r="U38" s="374">
        <f t="shared" si="17"/>
        <v>0</v>
      </c>
      <c r="V38" s="2846">
        <f t="shared" si="18"/>
        <v>0</v>
      </c>
      <c r="W38" s="2847">
        <f t="shared" si="19"/>
        <v>0</v>
      </c>
      <c r="X38" s="2848">
        <f t="shared" si="20"/>
        <v>2</v>
      </c>
      <c r="Y38" s="2849">
        <f t="shared" si="21"/>
        <v>0</v>
      </c>
      <c r="Z38" s="2850">
        <f t="shared" si="22"/>
        <v>0</v>
      </c>
      <c r="AA38" s="2851">
        <f t="shared" si="23"/>
        <v>0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</row>
    <row r="39" spans="1:39" ht="12.75" customHeight="1" thickBot="1">
      <c r="A39" s="6931" t="s">
        <v>462</v>
      </c>
      <c r="B39" s="6932"/>
      <c r="C39" s="2256">
        <f t="shared" si="1"/>
        <v>2.1908757716049393E-4</v>
      </c>
      <c r="D39" s="1987">
        <v>2</v>
      </c>
      <c r="E39" s="1978">
        <v>2</v>
      </c>
      <c r="F39" s="1303">
        <v>1</v>
      </c>
      <c r="G39" s="300">
        <v>200</v>
      </c>
      <c r="H39" s="6950" t="s">
        <v>2439</v>
      </c>
      <c r="I39" s="301">
        <v>0</v>
      </c>
      <c r="J39" s="301">
        <v>3.4722222222222224E-4</v>
      </c>
      <c r="K39" s="1123" t="s">
        <v>2446</v>
      </c>
      <c r="L39" s="994">
        <v>0</v>
      </c>
      <c r="M39" s="455">
        <v>1.2</v>
      </c>
      <c r="N39" s="2172">
        <f t="shared" si="41"/>
        <v>4.9009259259259275E-3</v>
      </c>
      <c r="O39" s="302">
        <f t="shared" ref="O39" si="42">C39*(G39/25)</f>
        <v>1.7527006172839514E-3</v>
      </c>
      <c r="P39" s="302">
        <f t="shared" ref="P39" si="43">O39*M39</f>
        <v>2.1032407407407415E-3</v>
      </c>
      <c r="Q39" s="550">
        <v>180</v>
      </c>
      <c r="R39" s="369">
        <f>-E39*F39*G39</f>
        <v>-400</v>
      </c>
      <c r="S39" s="2844">
        <f t="shared" si="15"/>
        <v>0.4</v>
      </c>
      <c r="T39" s="2845">
        <f t="shared" si="16"/>
        <v>1.4021604938271611E-2</v>
      </c>
      <c r="U39" s="374">
        <f t="shared" si="17"/>
        <v>0</v>
      </c>
      <c r="V39" s="2846">
        <f t="shared" si="18"/>
        <v>0.4</v>
      </c>
      <c r="W39" s="2847">
        <f t="shared" si="19"/>
        <v>0</v>
      </c>
      <c r="X39" s="2848">
        <f t="shared" si="20"/>
        <v>0</v>
      </c>
      <c r="Y39" s="2849">
        <f t="shared" si="21"/>
        <v>0</v>
      </c>
      <c r="Z39" s="2850">
        <f t="shared" si="22"/>
        <v>0</v>
      </c>
      <c r="AA39" s="2851">
        <f t="shared" si="23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</row>
    <row r="40" spans="1:39" ht="12.75" customHeight="1" thickBot="1">
      <c r="A40" s="6931" t="s">
        <v>140</v>
      </c>
      <c r="B40" s="6932"/>
      <c r="C40" s="2256">
        <f t="shared" si="1"/>
        <v>2.0247664488766629E-4</v>
      </c>
      <c r="D40" s="1977">
        <v>4</v>
      </c>
      <c r="E40" s="6934">
        <v>3</v>
      </c>
      <c r="F40" s="1988">
        <v>1</v>
      </c>
      <c r="G40" s="1881">
        <v>100</v>
      </c>
      <c r="H40" s="1999" t="s">
        <v>2440</v>
      </c>
      <c r="I40" s="1989">
        <v>0</v>
      </c>
      <c r="J40" s="1989">
        <v>1.3888888888888889E-3</v>
      </c>
      <c r="K40" s="1994" t="s">
        <v>1119</v>
      </c>
      <c r="L40" s="1876">
        <f>L37+N37</f>
        <v>0.39392413898148348</v>
      </c>
      <c r="M40" s="2011">
        <v>1</v>
      </c>
      <c r="N40" s="6936">
        <f t="shared" ref="N40:N43" si="44">P40*E40*F40+I40*F40*E40+J40*E40</f>
        <v>6.5963864053186615E-3</v>
      </c>
      <c r="O40" s="1877">
        <f>C40*(G40/25)</f>
        <v>8.0990657955066516E-4</v>
      </c>
      <c r="P40" s="6936">
        <f>O40*M40</f>
        <v>8.0990657955066516E-4</v>
      </c>
      <c r="Q40" s="1878">
        <v>180</v>
      </c>
      <c r="R40" s="1879">
        <f>E40*F40*G40</f>
        <v>300</v>
      </c>
      <c r="S40" s="2844">
        <f t="shared" si="15"/>
        <v>0.3</v>
      </c>
      <c r="T40" s="2845">
        <f t="shared" si="16"/>
        <v>9.7188789546079814E-3</v>
      </c>
      <c r="U40" s="374">
        <f t="shared" si="17"/>
        <v>0</v>
      </c>
      <c r="V40" s="2846">
        <f t="shared" si="18"/>
        <v>0</v>
      </c>
      <c r="W40" s="2847">
        <f t="shared" si="19"/>
        <v>0</v>
      </c>
      <c r="X40" s="2848">
        <f t="shared" si="20"/>
        <v>0.3</v>
      </c>
      <c r="Y40" s="2849">
        <f t="shared" si="21"/>
        <v>0</v>
      </c>
      <c r="Z40" s="2850">
        <f t="shared" si="22"/>
        <v>0</v>
      </c>
      <c r="AA40" s="2851">
        <f t="shared" si="23"/>
        <v>0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</row>
    <row r="41" spans="1:39" ht="12.75" customHeight="1" thickBot="1">
      <c r="A41" s="6931" t="s">
        <v>674</v>
      </c>
      <c r="B41" s="6932"/>
      <c r="C41" s="2256">
        <f t="shared" si="1"/>
        <v>2.1908757716049393E-4</v>
      </c>
      <c r="D41" s="1987">
        <v>2</v>
      </c>
      <c r="E41" s="6935">
        <v>3</v>
      </c>
      <c r="F41" s="1303">
        <v>1</v>
      </c>
      <c r="G41" s="300">
        <v>150</v>
      </c>
      <c r="H41" s="6952" t="s">
        <v>2440</v>
      </c>
      <c r="I41" s="301">
        <v>0</v>
      </c>
      <c r="J41" s="301">
        <v>3.4722222222222224E-4</v>
      </c>
      <c r="K41" s="1123" t="s">
        <v>1120</v>
      </c>
      <c r="L41" s="994">
        <f t="shared" ref="L41:L42" si="45">L40+N40</f>
        <v>0.40052052538680216</v>
      </c>
      <c r="M41" s="455">
        <v>1</v>
      </c>
      <c r="N41" s="2172">
        <f t="shared" si="44"/>
        <v>4.985243055555557E-3</v>
      </c>
      <c r="O41" s="302">
        <f t="shared" ref="O41:O42" si="46">C41*(G41/25)</f>
        <v>1.3145254629629635E-3</v>
      </c>
      <c r="P41" s="302">
        <f t="shared" ref="P41:P42" si="47">O41*M41</f>
        <v>1.3145254629629635E-3</v>
      </c>
      <c r="Q41" s="550">
        <v>180</v>
      </c>
      <c r="R41" s="369">
        <f t="shared" ref="R41:R42" si="48">E41*F41*G41</f>
        <v>450</v>
      </c>
      <c r="S41" s="2844">
        <f t="shared" si="15"/>
        <v>0.45</v>
      </c>
      <c r="T41" s="2845">
        <f t="shared" si="16"/>
        <v>1.5774305555555562E-2</v>
      </c>
      <c r="U41" s="374">
        <f t="shared" si="17"/>
        <v>0</v>
      </c>
      <c r="V41" s="2846">
        <f t="shared" si="18"/>
        <v>0.45</v>
      </c>
      <c r="W41" s="2847">
        <f t="shared" si="19"/>
        <v>0</v>
      </c>
      <c r="X41" s="2848">
        <f t="shared" si="20"/>
        <v>0</v>
      </c>
      <c r="Y41" s="2849">
        <f t="shared" si="21"/>
        <v>0</v>
      </c>
      <c r="Z41" s="2850">
        <f t="shared" si="22"/>
        <v>0</v>
      </c>
      <c r="AA41" s="2851">
        <f t="shared" si="23"/>
        <v>0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</row>
    <row r="42" spans="1:39" ht="12.75" customHeight="1" thickBot="1">
      <c r="A42" s="6931" t="s">
        <v>214</v>
      </c>
      <c r="B42" s="6932"/>
      <c r="C42" s="2256">
        <f t="shared" si="1"/>
        <v>2.1908757716049393E-4</v>
      </c>
      <c r="D42" s="1357">
        <v>2</v>
      </c>
      <c r="E42" s="6933">
        <v>3</v>
      </c>
      <c r="F42" s="1303">
        <v>1</v>
      </c>
      <c r="G42" s="300">
        <v>200</v>
      </c>
      <c r="H42" s="6952" t="s">
        <v>2440</v>
      </c>
      <c r="I42" s="301">
        <v>0</v>
      </c>
      <c r="J42" s="301">
        <v>1.736111111111111E-3</v>
      </c>
      <c r="K42" s="1123" t="s">
        <v>1121</v>
      </c>
      <c r="L42" s="994">
        <f t="shared" si="45"/>
        <v>0.40550576844235769</v>
      </c>
      <c r="M42" s="455">
        <v>1.17</v>
      </c>
      <c r="N42" s="2172">
        <f t="shared" si="44"/>
        <v>1.1360312500000004E-2</v>
      </c>
      <c r="O42" s="302">
        <f t="shared" si="46"/>
        <v>1.7527006172839514E-3</v>
      </c>
      <c r="P42" s="302">
        <f t="shared" si="47"/>
        <v>2.0506597222222232E-3</v>
      </c>
      <c r="Q42" s="550">
        <v>180</v>
      </c>
      <c r="R42" s="369">
        <f t="shared" si="48"/>
        <v>600</v>
      </c>
      <c r="S42" s="2844">
        <f t="shared" si="15"/>
        <v>0.6</v>
      </c>
      <c r="T42" s="2845">
        <f t="shared" si="16"/>
        <v>2.1032407407407416E-2</v>
      </c>
      <c r="U42" s="374">
        <f t="shared" si="17"/>
        <v>0</v>
      </c>
      <c r="V42" s="2846">
        <f t="shared" si="18"/>
        <v>0.6</v>
      </c>
      <c r="W42" s="2847">
        <f t="shared" si="19"/>
        <v>0</v>
      </c>
      <c r="X42" s="2848">
        <f t="shared" si="20"/>
        <v>0</v>
      </c>
      <c r="Y42" s="2849">
        <f t="shared" si="21"/>
        <v>0</v>
      </c>
      <c r="Z42" s="2850">
        <f t="shared" si="22"/>
        <v>0</v>
      </c>
      <c r="AA42" s="2851">
        <f t="shared" si="23"/>
        <v>0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</row>
    <row r="43" spans="1:39" ht="12.75" customHeight="1" thickBot="1">
      <c r="A43" s="6931" t="s">
        <v>458</v>
      </c>
      <c r="B43" s="6932"/>
      <c r="C43" s="2256">
        <f t="shared" si="1"/>
        <v>1.8933937422552669E-4</v>
      </c>
      <c r="D43" s="2015">
        <v>5</v>
      </c>
      <c r="E43" s="307">
        <v>6</v>
      </c>
      <c r="F43" s="307">
        <v>1</v>
      </c>
      <c r="G43" s="307">
        <v>100</v>
      </c>
      <c r="H43" s="1601" t="s">
        <v>2440</v>
      </c>
      <c r="I43" s="306">
        <v>5.7870370370370366E-5</v>
      </c>
      <c r="J43" s="306">
        <v>6.9444444444444447E-4</v>
      </c>
      <c r="K43" s="1251" t="s">
        <v>2187</v>
      </c>
      <c r="L43" s="1250">
        <f>L42+N42</f>
        <v>0.41686608094235772</v>
      </c>
      <c r="M43" s="1252">
        <v>1.1000000000000001</v>
      </c>
      <c r="N43" s="6937">
        <f t="shared" si="44"/>
        <v>9.5124483684427934E-3</v>
      </c>
      <c r="O43" s="305">
        <f>C43*(G43/25)</f>
        <v>7.5735749690210676E-4</v>
      </c>
      <c r="P43" s="6937">
        <f>O43*M43</f>
        <v>8.3309324659231756E-4</v>
      </c>
      <c r="Q43" s="786">
        <v>180</v>
      </c>
      <c r="R43" s="290">
        <f>E43*F43*G43</f>
        <v>600</v>
      </c>
      <c r="S43" s="2844">
        <f t="shared" si="15"/>
        <v>0.6</v>
      </c>
      <c r="T43" s="2845">
        <f t="shared" si="16"/>
        <v>1.8176579925650561E-2</v>
      </c>
      <c r="U43" s="374">
        <f t="shared" si="17"/>
        <v>0</v>
      </c>
      <c r="V43" s="2846">
        <f t="shared" si="18"/>
        <v>0</v>
      </c>
      <c r="W43" s="2847">
        <f t="shared" si="19"/>
        <v>0</v>
      </c>
      <c r="X43" s="2848">
        <f t="shared" si="20"/>
        <v>0</v>
      </c>
      <c r="Y43" s="2849">
        <f t="shared" si="21"/>
        <v>0.6</v>
      </c>
      <c r="Z43" s="2850">
        <f t="shared" si="22"/>
        <v>0</v>
      </c>
      <c r="AA43" s="2851">
        <f t="shared" si="23"/>
        <v>0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</row>
    <row r="44" spans="1:39" ht="12.75" customHeight="1" thickBot="1">
      <c r="A44" s="6931" t="s">
        <v>219</v>
      </c>
      <c r="B44" s="6932"/>
      <c r="C44" s="2256">
        <f t="shared" si="1"/>
        <v>0</v>
      </c>
      <c r="D44" s="920"/>
      <c r="E44" s="1416"/>
      <c r="F44" s="1416"/>
      <c r="G44" s="1416"/>
      <c r="H44" s="1417"/>
      <c r="I44" s="1417"/>
      <c r="J44" s="1417"/>
      <c r="K44" s="1418"/>
      <c r="L44" s="1444">
        <f>L43+N43</f>
        <v>0.4263785293108005</v>
      </c>
      <c r="M44" s="1419"/>
      <c r="N44" s="1420"/>
      <c r="O44" s="6939"/>
      <c r="P44" s="1420"/>
      <c r="Q44" s="1421"/>
      <c r="R44" s="1422">
        <f>SUM(R36:R43)-R38-R39</f>
        <v>2750</v>
      </c>
      <c r="S44" s="2844">
        <f t="shared" si="15"/>
        <v>0</v>
      </c>
      <c r="T44" s="2845">
        <f t="shared" si="16"/>
        <v>0</v>
      </c>
      <c r="U44" s="374">
        <f t="shared" si="17"/>
        <v>0</v>
      </c>
      <c r="V44" s="2846">
        <f t="shared" si="18"/>
        <v>0</v>
      </c>
      <c r="W44" s="2847">
        <f t="shared" si="19"/>
        <v>0</v>
      </c>
      <c r="X44" s="2848">
        <f t="shared" si="20"/>
        <v>0</v>
      </c>
      <c r="Y44" s="2849">
        <f t="shared" si="21"/>
        <v>0</v>
      </c>
      <c r="Z44" s="2850">
        <f t="shared" si="22"/>
        <v>0</v>
      </c>
      <c r="AA44" s="2851">
        <f t="shared" si="23"/>
        <v>0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</row>
    <row r="45" spans="1:39" ht="12.75" customHeight="1" thickBot="1">
      <c r="A45" s="3134"/>
      <c r="B45" s="3135" t="s">
        <v>215</v>
      </c>
      <c r="C45" s="2256">
        <f t="shared" si="1"/>
        <v>2.1908757716049393E-4</v>
      </c>
      <c r="D45" s="4598">
        <v>2</v>
      </c>
      <c r="E45" s="4599">
        <v>1</v>
      </c>
      <c r="F45" s="4599">
        <v>2</v>
      </c>
      <c r="G45" s="4599">
        <v>350</v>
      </c>
      <c r="H45" s="4600"/>
      <c r="I45" s="4600">
        <v>1.7361111111111112E-4</v>
      </c>
      <c r="J45" s="4600">
        <v>1.3888888888888889E-3</v>
      </c>
      <c r="K45" s="2278" t="s">
        <v>1515</v>
      </c>
      <c r="L45" s="2503">
        <v>0.2986111111111111</v>
      </c>
      <c r="M45" s="4601">
        <v>1.1000000000000001</v>
      </c>
      <c r="N45" s="6942">
        <f>P45*E45*F45+I45*E45*F45+J45*E45</f>
        <v>8.4840084876543244E-3</v>
      </c>
      <c r="O45" s="2281">
        <f t="shared" ref="O45:O47" si="49">C45*(G45/25)</f>
        <v>3.0672260802469152E-3</v>
      </c>
      <c r="P45" s="2281">
        <f>O45*M45</f>
        <v>3.3739486882716071E-3</v>
      </c>
      <c r="Q45" s="2282">
        <v>164</v>
      </c>
      <c r="R45" s="4602">
        <f>E45*F45*G45</f>
        <v>700</v>
      </c>
      <c r="S45" s="2844">
        <f t="shared" si="15"/>
        <v>0.7</v>
      </c>
      <c r="T45" s="2845">
        <f t="shared" si="16"/>
        <v>2.4537808641975321E-2</v>
      </c>
      <c r="U45" s="374">
        <f t="shared" si="17"/>
        <v>0</v>
      </c>
      <c r="V45" s="2846">
        <f t="shared" si="18"/>
        <v>0.7</v>
      </c>
      <c r="W45" s="2847">
        <f t="shared" si="19"/>
        <v>0</v>
      </c>
      <c r="X45" s="2848">
        <f t="shared" si="20"/>
        <v>0</v>
      </c>
      <c r="Y45" s="2849">
        <f t="shared" si="21"/>
        <v>0</v>
      </c>
      <c r="Z45" s="2850">
        <f t="shared" si="22"/>
        <v>0</v>
      </c>
      <c r="AA45" s="2851">
        <f t="shared" si="23"/>
        <v>0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</row>
    <row r="46" spans="1:39" ht="12.75" customHeight="1" thickBot="1">
      <c r="A46" s="3134" t="s">
        <v>217</v>
      </c>
      <c r="B46" s="3135" t="s">
        <v>215</v>
      </c>
      <c r="C46" s="2256">
        <f t="shared" si="1"/>
        <v>2.2880964381720439E-4</v>
      </c>
      <c r="D46" s="4630">
        <v>1</v>
      </c>
      <c r="E46" s="4631">
        <v>1</v>
      </c>
      <c r="F46" s="4631">
        <v>3</v>
      </c>
      <c r="G46" s="4632">
        <v>100</v>
      </c>
      <c r="H46" s="325"/>
      <c r="I46" s="325">
        <v>1.1574074074074073E-4</v>
      </c>
      <c r="J46" s="325">
        <v>6.9444444444444447E-4</v>
      </c>
      <c r="K46" s="312" t="s">
        <v>24</v>
      </c>
      <c r="L46" s="1374">
        <f>L45+N45</f>
        <v>0.30709511959876545</v>
      </c>
      <c r="M46" s="4633">
        <v>0.9</v>
      </c>
      <c r="N46" s="2130">
        <v>3.90505592357911E-3</v>
      </c>
      <c r="O46" s="296">
        <f t="shared" si="49"/>
        <v>9.1523857526881758E-4</v>
      </c>
      <c r="P46" s="548"/>
      <c r="Q46" s="548"/>
      <c r="R46" s="4632">
        <f t="shared" ref="R46:R51" si="50">E46*F46*G46</f>
        <v>300</v>
      </c>
      <c r="S46" s="2844">
        <f t="shared" si="15"/>
        <v>0.3</v>
      </c>
      <c r="T46" s="2845">
        <f t="shared" si="16"/>
        <v>1.0982862903225811E-2</v>
      </c>
      <c r="U46" s="374">
        <f t="shared" si="17"/>
        <v>0.3</v>
      </c>
      <c r="V46" s="2846">
        <f t="shared" si="18"/>
        <v>0</v>
      </c>
      <c r="W46" s="2847">
        <f t="shared" si="19"/>
        <v>0</v>
      </c>
      <c r="X46" s="2848">
        <f t="shared" si="20"/>
        <v>0</v>
      </c>
      <c r="Y46" s="2849">
        <f t="shared" si="21"/>
        <v>0</v>
      </c>
      <c r="Z46" s="2850">
        <f t="shared" si="22"/>
        <v>0</v>
      </c>
      <c r="AA46" s="2851">
        <f t="shared" si="23"/>
        <v>0</v>
      </c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</row>
    <row r="47" spans="1:39" ht="12.75" customHeight="1" thickBot="1">
      <c r="A47" s="3134" t="s">
        <v>459</v>
      </c>
      <c r="B47" s="3135" t="s">
        <v>215</v>
      </c>
      <c r="C47" s="2256">
        <f t="shared" si="1"/>
        <v>2.1908757716049393E-4</v>
      </c>
      <c r="D47" s="4634">
        <v>2</v>
      </c>
      <c r="E47" s="2045">
        <v>2</v>
      </c>
      <c r="F47" s="2045">
        <v>1</v>
      </c>
      <c r="G47" s="4615">
        <v>200</v>
      </c>
      <c r="H47" s="4616"/>
      <c r="I47" s="4616">
        <v>1.7361111111111112E-4</v>
      </c>
      <c r="J47" s="4616">
        <v>2.3148148148148146E-4</v>
      </c>
      <c r="K47" s="1123" t="s">
        <v>724</v>
      </c>
      <c r="L47" s="1376">
        <f t="shared" ref="L47:L52" si="51">L46+N46</f>
        <v>0.31100017552234455</v>
      </c>
      <c r="M47" s="4617">
        <v>1.3</v>
      </c>
      <c r="N47" s="3368">
        <v>6.0905435528120725E-3</v>
      </c>
      <c r="O47" s="302">
        <f t="shared" si="49"/>
        <v>1.7527006172839514E-3</v>
      </c>
      <c r="P47" s="550"/>
      <c r="Q47" s="550"/>
      <c r="R47" s="4618">
        <f t="shared" si="50"/>
        <v>400</v>
      </c>
      <c r="S47" s="2844">
        <f t="shared" si="15"/>
        <v>0.4</v>
      </c>
      <c r="T47" s="2845">
        <f t="shared" si="16"/>
        <v>1.4021604938271611E-2</v>
      </c>
      <c r="U47" s="374">
        <f t="shared" si="17"/>
        <v>0</v>
      </c>
      <c r="V47" s="2846">
        <f t="shared" si="18"/>
        <v>0.4</v>
      </c>
      <c r="W47" s="2847">
        <f t="shared" si="19"/>
        <v>0</v>
      </c>
      <c r="X47" s="2848">
        <f t="shared" si="20"/>
        <v>0</v>
      </c>
      <c r="Y47" s="2849">
        <f t="shared" si="21"/>
        <v>0</v>
      </c>
      <c r="Z47" s="2850">
        <f t="shared" si="22"/>
        <v>0</v>
      </c>
      <c r="AA47" s="2851">
        <f t="shared" si="23"/>
        <v>0</v>
      </c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</row>
    <row r="48" spans="1:39" ht="12.75" customHeight="1" thickBot="1">
      <c r="A48" s="3134" t="s">
        <v>458</v>
      </c>
      <c r="B48" s="3135" t="s">
        <v>215</v>
      </c>
      <c r="C48" s="2256">
        <f t="shared" si="1"/>
        <v>1.7682291666666674E-4</v>
      </c>
      <c r="D48" s="1062">
        <v>7</v>
      </c>
      <c r="E48" s="1045">
        <v>1</v>
      </c>
      <c r="F48" s="1045">
        <v>2</v>
      </c>
      <c r="G48" s="1045">
        <v>15</v>
      </c>
      <c r="H48" s="1041"/>
      <c r="I48" s="1041">
        <v>1.3888888888888889E-3</v>
      </c>
      <c r="J48" s="1046">
        <v>1.3888888888888889E-3</v>
      </c>
      <c r="K48" s="438" t="s">
        <v>912</v>
      </c>
      <c r="L48" s="4576">
        <f t="shared" si="51"/>
        <v>0.31709071907515662</v>
      </c>
      <c r="M48" s="1055">
        <v>1.05</v>
      </c>
      <c r="N48" s="4491">
        <f t="shared" ref="N48:N51" si="52">P48*E48*F48+I48*E48*F48+J48*E48</f>
        <v>4.3983754166666668E-3</v>
      </c>
      <c r="O48" s="439">
        <f t="shared" ref="O48:O51" si="53">C48*(G48/25)*1.04</f>
        <v>1.1033750000000005E-4</v>
      </c>
      <c r="P48" s="4636">
        <f t="shared" ref="P48:P51" si="54">O48*M48</f>
        <v>1.1585437500000005E-4</v>
      </c>
      <c r="Q48" s="788">
        <v>177</v>
      </c>
      <c r="R48" s="438">
        <f t="shared" si="50"/>
        <v>30</v>
      </c>
      <c r="S48" s="2844">
        <f t="shared" si="15"/>
        <v>0.03</v>
      </c>
      <c r="T48" s="2845">
        <f t="shared" si="16"/>
        <v>8.8270000000000037E-4</v>
      </c>
      <c r="U48" s="374">
        <f t="shared" si="17"/>
        <v>0</v>
      </c>
      <c r="V48" s="2846">
        <f t="shared" si="18"/>
        <v>0</v>
      </c>
      <c r="W48" s="2847">
        <f t="shared" si="19"/>
        <v>0</v>
      </c>
      <c r="X48" s="2848">
        <f t="shared" si="20"/>
        <v>0</v>
      </c>
      <c r="Y48" s="2849">
        <f t="shared" si="21"/>
        <v>0</v>
      </c>
      <c r="Z48" s="2850">
        <f t="shared" si="22"/>
        <v>0</v>
      </c>
      <c r="AA48" s="2851">
        <f t="shared" si="23"/>
        <v>0.03</v>
      </c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</row>
    <row r="49" spans="1:39" ht="12.75" customHeight="1" thickBot="1">
      <c r="A49" s="3134" t="s">
        <v>218</v>
      </c>
      <c r="B49" s="3135" t="s">
        <v>215</v>
      </c>
      <c r="C49" s="2256">
        <f t="shared" si="1"/>
        <v>1.7682291666666674E-4</v>
      </c>
      <c r="D49" s="1062">
        <v>7</v>
      </c>
      <c r="E49" s="1045">
        <v>1</v>
      </c>
      <c r="F49" s="1045">
        <v>2</v>
      </c>
      <c r="G49" s="1045">
        <v>15</v>
      </c>
      <c r="H49" s="1041"/>
      <c r="I49" s="1041">
        <v>2.0833333333333333E-3</v>
      </c>
      <c r="J49" s="1046">
        <v>2.0833333333333333E-3</v>
      </c>
      <c r="K49" s="438" t="s">
        <v>913</v>
      </c>
      <c r="L49" s="4576">
        <f t="shared" si="51"/>
        <v>0.32148909449182328</v>
      </c>
      <c r="M49" s="1055">
        <v>1.05</v>
      </c>
      <c r="N49" s="4491">
        <f t="shared" si="52"/>
        <v>6.4817087500000006E-3</v>
      </c>
      <c r="O49" s="439">
        <f t="shared" si="53"/>
        <v>1.1033750000000005E-4</v>
      </c>
      <c r="P49" s="4636">
        <f t="shared" si="54"/>
        <v>1.1585437500000005E-4</v>
      </c>
      <c r="Q49" s="788">
        <v>177</v>
      </c>
      <c r="R49" s="438">
        <f t="shared" si="50"/>
        <v>30</v>
      </c>
      <c r="S49" s="2844">
        <f t="shared" si="15"/>
        <v>0.03</v>
      </c>
      <c r="T49" s="2845">
        <f t="shared" si="16"/>
        <v>8.8270000000000037E-4</v>
      </c>
      <c r="U49" s="374">
        <f t="shared" si="17"/>
        <v>0</v>
      </c>
      <c r="V49" s="2846">
        <f t="shared" si="18"/>
        <v>0</v>
      </c>
      <c r="W49" s="2847">
        <f t="shared" si="19"/>
        <v>0</v>
      </c>
      <c r="X49" s="2848">
        <f t="shared" si="20"/>
        <v>0</v>
      </c>
      <c r="Y49" s="2849">
        <f t="shared" si="21"/>
        <v>0</v>
      </c>
      <c r="Z49" s="2850">
        <f t="shared" si="22"/>
        <v>0</v>
      </c>
      <c r="AA49" s="2851">
        <f t="shared" si="23"/>
        <v>0.03</v>
      </c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</row>
    <row r="50" spans="1:39" ht="12.75" customHeight="1" thickBot="1">
      <c r="A50" s="3134" t="s">
        <v>458</v>
      </c>
      <c r="B50" s="3135" t="s">
        <v>215</v>
      </c>
      <c r="C50" s="2256">
        <f t="shared" si="1"/>
        <v>1.7682291666666674E-4</v>
      </c>
      <c r="D50" s="1062">
        <v>7</v>
      </c>
      <c r="E50" s="1045">
        <v>1</v>
      </c>
      <c r="F50" s="1045">
        <v>2</v>
      </c>
      <c r="G50" s="1045">
        <v>30</v>
      </c>
      <c r="H50" s="1041"/>
      <c r="I50" s="1041">
        <v>2.0833333333333333E-3</v>
      </c>
      <c r="J50" s="1046">
        <v>2.0833333333333333E-3</v>
      </c>
      <c r="K50" s="438" t="s">
        <v>914</v>
      </c>
      <c r="L50" s="4576">
        <f t="shared" si="51"/>
        <v>0.32797080324182326</v>
      </c>
      <c r="M50" s="1055">
        <v>1.05</v>
      </c>
      <c r="N50" s="4491">
        <f t="shared" si="52"/>
        <v>6.7134175000000008E-3</v>
      </c>
      <c r="O50" s="439">
        <f t="shared" si="53"/>
        <v>2.2067500000000009E-4</v>
      </c>
      <c r="P50" s="4636">
        <f t="shared" si="54"/>
        <v>2.317087500000001E-4</v>
      </c>
      <c r="Q50" s="788">
        <v>177</v>
      </c>
      <c r="R50" s="438">
        <f t="shared" si="50"/>
        <v>60</v>
      </c>
      <c r="S50" s="2844">
        <f t="shared" si="15"/>
        <v>0.06</v>
      </c>
      <c r="T50" s="2845">
        <f t="shared" si="16"/>
        <v>1.7654000000000007E-3</v>
      </c>
      <c r="U50" s="374">
        <f t="shared" si="17"/>
        <v>0</v>
      </c>
      <c r="V50" s="2846">
        <f t="shared" si="18"/>
        <v>0</v>
      </c>
      <c r="W50" s="2847">
        <f t="shared" si="19"/>
        <v>0</v>
      </c>
      <c r="X50" s="2848">
        <f t="shared" si="20"/>
        <v>0</v>
      </c>
      <c r="Y50" s="2849">
        <f t="shared" si="21"/>
        <v>0</v>
      </c>
      <c r="Z50" s="2850">
        <f t="shared" si="22"/>
        <v>0</v>
      </c>
      <c r="AA50" s="2851">
        <f t="shared" si="23"/>
        <v>0.06</v>
      </c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</row>
    <row r="51" spans="1:39" ht="12.75" customHeight="1">
      <c r="A51" s="3134" t="s">
        <v>219</v>
      </c>
      <c r="B51" s="3135" t="s">
        <v>215</v>
      </c>
      <c r="C51" s="2256">
        <f t="shared" si="1"/>
        <v>1.7682291666666674E-4</v>
      </c>
      <c r="D51" s="1062">
        <v>7</v>
      </c>
      <c r="E51" s="1045">
        <v>1</v>
      </c>
      <c r="F51" s="1045">
        <v>2</v>
      </c>
      <c r="G51" s="1045">
        <v>15</v>
      </c>
      <c r="H51" s="1041"/>
      <c r="I51" s="1041">
        <v>2.0833333333333333E-3</v>
      </c>
      <c r="J51" s="1046"/>
      <c r="K51" s="438" t="s">
        <v>915</v>
      </c>
      <c r="L51" s="4576">
        <f t="shared" si="51"/>
        <v>0.33468422074182325</v>
      </c>
      <c r="M51" s="1055">
        <v>1.05</v>
      </c>
      <c r="N51" s="4491">
        <f t="shared" si="52"/>
        <v>4.3983754166666668E-3</v>
      </c>
      <c r="O51" s="439">
        <f t="shared" si="53"/>
        <v>1.1033750000000005E-4</v>
      </c>
      <c r="P51" s="4636">
        <f t="shared" si="54"/>
        <v>1.1585437500000005E-4</v>
      </c>
      <c r="Q51" s="788">
        <v>177</v>
      </c>
      <c r="R51" s="438">
        <f t="shared" si="50"/>
        <v>30</v>
      </c>
      <c r="S51" s="2844">
        <f t="shared" si="15"/>
        <v>0.03</v>
      </c>
      <c r="T51" s="2845">
        <f t="shared" si="16"/>
        <v>8.8270000000000037E-4</v>
      </c>
      <c r="U51" s="374">
        <f t="shared" si="17"/>
        <v>0</v>
      </c>
      <c r="V51" s="2846">
        <f t="shared" si="18"/>
        <v>0</v>
      </c>
      <c r="W51" s="2847">
        <f t="shared" si="19"/>
        <v>0</v>
      </c>
      <c r="X51" s="2848">
        <f t="shared" si="20"/>
        <v>0</v>
      </c>
      <c r="Y51" s="2849">
        <f t="shared" si="21"/>
        <v>0</v>
      </c>
      <c r="Z51" s="2850">
        <f t="shared" si="22"/>
        <v>0</v>
      </c>
      <c r="AA51" s="2851">
        <f t="shared" si="23"/>
        <v>0.03</v>
      </c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</row>
    <row r="52" spans="1:39" ht="12.75" customHeight="1" thickBot="1">
      <c r="A52" s="3134"/>
      <c r="B52" s="3138"/>
      <c r="C52" s="2256">
        <f t="shared" si="1"/>
        <v>0</v>
      </c>
      <c r="D52" s="4637"/>
      <c r="E52" s="1494"/>
      <c r="F52" s="1494"/>
      <c r="G52" s="1494">
        <f>SUM(G48:G51)</f>
        <v>75</v>
      </c>
      <c r="H52" s="1494"/>
      <c r="I52" s="1494"/>
      <c r="J52" s="1494"/>
      <c r="K52" s="1494"/>
      <c r="L52" s="1378">
        <f t="shared" si="51"/>
        <v>0.3390825961584899</v>
      </c>
      <c r="M52" s="4638"/>
      <c r="N52" s="2130">
        <f>SUM(N45:N51)</f>
        <v>4.0471485047378838E-2</v>
      </c>
      <c r="O52" s="1494">
        <f t="shared" ref="O52" si="55">C52*(G52/25)</f>
        <v>0</v>
      </c>
      <c r="P52" s="1494">
        <f>SUM(P48:P51)</f>
        <v>5.7927187500000032E-4</v>
      </c>
      <c r="Q52" s="1494">
        <f>SUM(Q48:Q51)</f>
        <v>708</v>
      </c>
      <c r="R52" s="1238">
        <f>SUM(R45:R51)</f>
        <v>1550</v>
      </c>
      <c r="S52" s="2844">
        <f t="shared" si="15"/>
        <v>0</v>
      </c>
      <c r="T52" s="2845">
        <f t="shared" si="16"/>
        <v>0</v>
      </c>
      <c r="U52" s="374">
        <f t="shared" si="17"/>
        <v>0</v>
      </c>
      <c r="V52" s="2846">
        <f t="shared" si="18"/>
        <v>0</v>
      </c>
      <c r="W52" s="2847">
        <f t="shared" si="19"/>
        <v>0</v>
      </c>
      <c r="X52" s="2848">
        <f t="shared" si="20"/>
        <v>0</v>
      </c>
      <c r="Y52" s="2849">
        <f t="shared" si="21"/>
        <v>0</v>
      </c>
      <c r="Z52" s="2850">
        <f t="shared" si="22"/>
        <v>0</v>
      </c>
      <c r="AA52" s="2851">
        <f t="shared" si="23"/>
        <v>0</v>
      </c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</row>
    <row r="53" spans="1:39" ht="12.75" customHeight="1" thickBot="1">
      <c r="A53" s="3134"/>
      <c r="B53" s="3135" t="s">
        <v>461</v>
      </c>
      <c r="C53" s="2256">
        <f t="shared" si="1"/>
        <v>2.1908757716049393E-4</v>
      </c>
      <c r="D53" s="4598">
        <v>2</v>
      </c>
      <c r="E53" s="4599">
        <v>1</v>
      </c>
      <c r="F53" s="4599">
        <v>2</v>
      </c>
      <c r="G53" s="4599">
        <v>350</v>
      </c>
      <c r="H53" s="4600"/>
      <c r="I53" s="4600">
        <v>1.7361111111111112E-4</v>
      </c>
      <c r="J53" s="4600">
        <v>1.3888888888888889E-3</v>
      </c>
      <c r="K53" s="2278" t="s">
        <v>1333</v>
      </c>
      <c r="L53" s="2503">
        <v>0.80208333333333337</v>
      </c>
      <c r="M53" s="4601">
        <v>1.1000000000000001</v>
      </c>
      <c r="N53" s="6942">
        <f>P53*E53*F53+I53*E53*F53+J53*E53</f>
        <v>8.4840084876543244E-3</v>
      </c>
      <c r="O53" s="2281">
        <f t="shared" si="27"/>
        <v>3.0672260802469152E-3</v>
      </c>
      <c r="P53" s="2281">
        <f>O53*M53</f>
        <v>3.3739486882716071E-3</v>
      </c>
      <c r="Q53" s="2282">
        <v>164</v>
      </c>
      <c r="R53" s="4602">
        <f>E53*F53*G53</f>
        <v>700</v>
      </c>
      <c r="S53" s="2844">
        <f t="shared" si="15"/>
        <v>0.7</v>
      </c>
      <c r="T53" s="2845">
        <f t="shared" si="16"/>
        <v>2.4537808641975321E-2</v>
      </c>
      <c r="U53" s="374">
        <f t="shared" si="17"/>
        <v>0</v>
      </c>
      <c r="V53" s="2846">
        <f t="shared" si="18"/>
        <v>0.7</v>
      </c>
      <c r="W53" s="2847">
        <f t="shared" si="19"/>
        <v>0</v>
      </c>
      <c r="X53" s="2848">
        <f t="shared" si="20"/>
        <v>0</v>
      </c>
      <c r="Y53" s="2849">
        <f t="shared" si="21"/>
        <v>0</v>
      </c>
      <c r="Z53" s="2850">
        <f t="shared" si="22"/>
        <v>0</v>
      </c>
      <c r="AA53" s="2851">
        <f t="shared" si="23"/>
        <v>0</v>
      </c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</row>
    <row r="54" spans="1:39" ht="12.75" customHeight="1" thickBot="1">
      <c r="A54" s="1"/>
      <c r="B54" s="3135" t="s">
        <v>461</v>
      </c>
      <c r="C54" s="2256">
        <f t="shared" si="1"/>
        <v>2.1222190799396687E-4</v>
      </c>
      <c r="D54" s="4603">
        <v>3</v>
      </c>
      <c r="E54" s="2261">
        <v>1</v>
      </c>
      <c r="F54" s="2261">
        <v>14</v>
      </c>
      <c r="G54" s="2261">
        <v>50</v>
      </c>
      <c r="H54" s="4604"/>
      <c r="I54" s="4604">
        <v>1.7361111111111112E-4</v>
      </c>
      <c r="J54" s="4604">
        <v>1.3888888888888889E-3</v>
      </c>
      <c r="K54" s="2355" t="s">
        <v>1334</v>
      </c>
      <c r="L54" s="2504">
        <f t="shared" ref="L54:L55" si="56">L53+N53</f>
        <v>0.81056734182098766</v>
      </c>
      <c r="M54" s="4605">
        <v>1.1000000000000001</v>
      </c>
      <c r="N54" s="6943">
        <f t="shared" ref="N54:N57" si="57">P54*E54*F54+I54*E54*F54+J54*E54</f>
        <v>1.0355879210658624E-2</v>
      </c>
      <c r="O54" s="2262">
        <f t="shared" si="27"/>
        <v>4.2444381598793373E-4</v>
      </c>
      <c r="P54" s="2262">
        <f t="shared" ref="P54:P57" si="58">O54*M54</f>
        <v>4.6688819758672714E-4</v>
      </c>
      <c r="Q54" s="2274">
        <v>164</v>
      </c>
      <c r="R54" s="2261">
        <f t="shared" ref="R54:R57" si="59">E54*F54*G54</f>
        <v>700</v>
      </c>
      <c r="S54" s="2844">
        <f t="shared" si="15"/>
        <v>0.7</v>
      </c>
      <c r="T54" s="2845">
        <f t="shared" si="16"/>
        <v>2.3768853695324291E-2</v>
      </c>
      <c r="U54" s="374">
        <f t="shared" si="17"/>
        <v>0</v>
      </c>
      <c r="V54" s="2846">
        <f t="shared" si="18"/>
        <v>0</v>
      </c>
      <c r="W54" s="2847">
        <f t="shared" si="19"/>
        <v>0.7</v>
      </c>
      <c r="X54" s="2848">
        <f t="shared" si="20"/>
        <v>0</v>
      </c>
      <c r="Y54" s="2849">
        <f t="shared" si="21"/>
        <v>0</v>
      </c>
      <c r="Z54" s="2850">
        <f t="shared" si="22"/>
        <v>0</v>
      </c>
      <c r="AA54" s="2851">
        <f t="shared" si="23"/>
        <v>0</v>
      </c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</row>
    <row r="55" spans="1:39" ht="12.75" customHeight="1" thickBot="1">
      <c r="A55" s="3134" t="s">
        <v>217</v>
      </c>
      <c r="B55" s="3135" t="s">
        <v>461</v>
      </c>
      <c r="C55" s="2256">
        <f t="shared" si="1"/>
        <v>1.8933937422552669E-4</v>
      </c>
      <c r="D55" s="4607">
        <v>5</v>
      </c>
      <c r="E55" s="4608">
        <v>1</v>
      </c>
      <c r="F55" s="4608">
        <v>8</v>
      </c>
      <c r="G55" s="4608">
        <v>20</v>
      </c>
      <c r="H55" s="4609"/>
      <c r="I55" s="4609">
        <v>8.6805555555555551E-4</v>
      </c>
      <c r="J55" s="4609">
        <v>1.3888888888888889E-3</v>
      </c>
      <c r="K55" s="3127" t="s">
        <v>2442</v>
      </c>
      <c r="L55" s="2508">
        <f t="shared" si="56"/>
        <v>0.82092322103164628</v>
      </c>
      <c r="M55" s="4610">
        <v>1.1000000000000001</v>
      </c>
      <c r="N55" s="6944">
        <f t="shared" si="57"/>
        <v>9.666282527881041E-3</v>
      </c>
      <c r="O55" s="2265">
        <f t="shared" si="27"/>
        <v>1.5147149938042137E-4</v>
      </c>
      <c r="P55" s="2185">
        <f t="shared" si="58"/>
        <v>1.6661864931846352E-4</v>
      </c>
      <c r="Q55" s="4629">
        <v>164</v>
      </c>
      <c r="R55" s="4608">
        <f t="shared" si="59"/>
        <v>160</v>
      </c>
      <c r="S55" s="2844">
        <f t="shared" si="15"/>
        <v>0.16</v>
      </c>
      <c r="T55" s="2845">
        <f t="shared" si="16"/>
        <v>4.847087980173484E-3</v>
      </c>
      <c r="U55" s="374">
        <f t="shared" si="17"/>
        <v>0</v>
      </c>
      <c r="V55" s="2846">
        <f t="shared" si="18"/>
        <v>0</v>
      </c>
      <c r="W55" s="2847">
        <f t="shared" si="19"/>
        <v>0</v>
      </c>
      <c r="X55" s="2848">
        <f t="shared" si="20"/>
        <v>0</v>
      </c>
      <c r="Y55" s="2849">
        <f t="shared" si="21"/>
        <v>0.16</v>
      </c>
      <c r="Z55" s="2850">
        <f t="shared" si="22"/>
        <v>0</v>
      </c>
      <c r="AA55" s="2851">
        <f t="shared" si="23"/>
        <v>0</v>
      </c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</row>
    <row r="56" spans="1:39" ht="12.75" customHeight="1" thickBot="1">
      <c r="A56" s="3134" t="s">
        <v>459</v>
      </c>
      <c r="B56" s="3135" t="s">
        <v>461</v>
      </c>
      <c r="C56" s="2256">
        <f t="shared" si="1"/>
        <v>1.8933937422552669E-4</v>
      </c>
      <c r="D56" s="4607">
        <v>5</v>
      </c>
      <c r="E56" s="6923">
        <v>1</v>
      </c>
      <c r="F56" s="6923">
        <v>1</v>
      </c>
      <c r="G56" s="6923">
        <v>800</v>
      </c>
      <c r="H56" s="6926" t="s">
        <v>2439</v>
      </c>
      <c r="I56" s="4609">
        <v>0</v>
      </c>
      <c r="J56" s="4609">
        <v>1.3888888888888889E-3</v>
      </c>
      <c r="K56" s="3127" t="s">
        <v>2443</v>
      </c>
      <c r="L56" s="2508">
        <f t="shared" ref="L56" si="60">L55+N55</f>
        <v>0.83058950355952732</v>
      </c>
      <c r="M56" s="4610">
        <v>1.1000000000000001</v>
      </c>
      <c r="N56" s="6944">
        <f t="shared" ref="N56" si="61">P56*E56*F56+I56*E56*F56+J56*E56</f>
        <v>8.0536348616274296E-3</v>
      </c>
      <c r="O56" s="2265">
        <f t="shared" ref="O56" si="62">C56*(G56/25)</f>
        <v>6.0588599752168541E-3</v>
      </c>
      <c r="P56" s="2185">
        <f t="shared" ref="P56" si="63">O56*M56</f>
        <v>6.6647459727385405E-3</v>
      </c>
      <c r="Q56" s="4629">
        <v>164</v>
      </c>
      <c r="R56" s="4608">
        <f t="shared" ref="R56" si="64">E56*F56*G56</f>
        <v>800</v>
      </c>
      <c r="S56" s="2844">
        <f t="shared" si="15"/>
        <v>0.8</v>
      </c>
      <c r="T56" s="2845">
        <f t="shared" si="16"/>
        <v>2.4235439900867416E-2</v>
      </c>
      <c r="U56" s="374">
        <f t="shared" si="17"/>
        <v>0</v>
      </c>
      <c r="V56" s="2846">
        <f t="shared" si="18"/>
        <v>0</v>
      </c>
      <c r="W56" s="2847">
        <f t="shared" si="19"/>
        <v>0</v>
      </c>
      <c r="X56" s="2848">
        <f t="shared" si="20"/>
        <v>0</v>
      </c>
      <c r="Y56" s="2849">
        <f t="shared" si="21"/>
        <v>0.8</v>
      </c>
      <c r="Z56" s="2850">
        <f t="shared" si="22"/>
        <v>0</v>
      </c>
      <c r="AA56" s="2851">
        <f t="shared" si="23"/>
        <v>0</v>
      </c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</row>
    <row r="57" spans="1:39" ht="12.75" customHeight="1" thickBot="1">
      <c r="A57" s="3134" t="s">
        <v>458</v>
      </c>
      <c r="B57" s="3135" t="s">
        <v>461</v>
      </c>
      <c r="C57" s="2256">
        <f t="shared" si="1"/>
        <v>2.1222190799396687E-4</v>
      </c>
      <c r="D57" s="4603">
        <v>3</v>
      </c>
      <c r="E57" s="2261">
        <v>1</v>
      </c>
      <c r="F57" s="2261">
        <v>2</v>
      </c>
      <c r="G57" s="2261">
        <v>300</v>
      </c>
      <c r="H57" s="4604"/>
      <c r="I57" s="4604">
        <v>2.8935185185185189E-4</v>
      </c>
      <c r="J57" s="4604">
        <v>1.3888888888888889E-3</v>
      </c>
      <c r="K57" s="2355" t="s">
        <v>1335</v>
      </c>
      <c r="L57" s="2504">
        <f>L55+N55</f>
        <v>0.83058950355952732</v>
      </c>
      <c r="M57" s="4605">
        <v>1.1000000000000001</v>
      </c>
      <c r="N57" s="6943">
        <f t="shared" si="57"/>
        <v>7.5702509636333187E-3</v>
      </c>
      <c r="O57" s="2262">
        <f t="shared" si="27"/>
        <v>2.5466628959276024E-3</v>
      </c>
      <c r="P57" s="2262">
        <f t="shared" si="58"/>
        <v>2.8013291855203629E-3</v>
      </c>
      <c r="Q57" s="2274">
        <v>164</v>
      </c>
      <c r="R57" s="2261">
        <f t="shared" si="59"/>
        <v>600</v>
      </c>
      <c r="S57" s="2844">
        <f t="shared" si="15"/>
        <v>0.6</v>
      </c>
      <c r="T57" s="2845">
        <f t="shared" si="16"/>
        <v>2.0373303167420819E-2</v>
      </c>
      <c r="U57" s="374">
        <f t="shared" si="17"/>
        <v>0</v>
      </c>
      <c r="V57" s="2846">
        <f t="shared" si="18"/>
        <v>0</v>
      </c>
      <c r="W57" s="2847">
        <f t="shared" si="19"/>
        <v>0.6</v>
      </c>
      <c r="X57" s="2848">
        <f t="shared" si="20"/>
        <v>0</v>
      </c>
      <c r="Y57" s="2849">
        <f t="shared" si="21"/>
        <v>0</v>
      </c>
      <c r="Z57" s="2850">
        <f t="shared" si="22"/>
        <v>0</v>
      </c>
      <c r="AA57" s="2851">
        <f t="shared" si="23"/>
        <v>0</v>
      </c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</row>
    <row r="58" spans="1:39" ht="12.75" customHeight="1" thickBot="1">
      <c r="A58" s="3134" t="s">
        <v>218</v>
      </c>
      <c r="B58" s="3135" t="s">
        <v>461</v>
      </c>
      <c r="C58" s="2256">
        <f t="shared" si="1"/>
        <v>2.0247664488766629E-4</v>
      </c>
      <c r="D58" s="4624">
        <v>4</v>
      </c>
      <c r="E58" s="4625">
        <v>1</v>
      </c>
      <c r="F58" s="4625">
        <v>8</v>
      </c>
      <c r="G58" s="4625">
        <v>50</v>
      </c>
      <c r="H58" s="4626">
        <v>8.6805555555555551E-4</v>
      </c>
      <c r="I58" s="4626">
        <v>0</v>
      </c>
      <c r="J58" s="4626">
        <v>1.3888888888888889E-3</v>
      </c>
      <c r="K58" s="2523" t="s">
        <v>1336</v>
      </c>
      <c r="L58" s="2524">
        <f>L57+N57</f>
        <v>0.83815975452316061</v>
      </c>
      <c r="M58" s="4627">
        <v>1</v>
      </c>
      <c r="N58" s="6946">
        <f>H58*F58*E58</f>
        <v>6.9444444444444441E-3</v>
      </c>
      <c r="O58" s="2526">
        <f t="shared" si="27"/>
        <v>4.0495328977533258E-4</v>
      </c>
      <c r="P58" s="2517">
        <f>O58*M58</f>
        <v>4.0495328977533258E-4</v>
      </c>
      <c r="Q58" s="2518">
        <v>166</v>
      </c>
      <c r="R58" s="3122">
        <f>E58*F58*G58</f>
        <v>400</v>
      </c>
      <c r="S58" s="2844">
        <f t="shared" si="15"/>
        <v>0.4</v>
      </c>
      <c r="T58" s="2845">
        <f t="shared" si="16"/>
        <v>1.2958505272810643E-2</v>
      </c>
      <c r="U58" s="374">
        <f t="shared" si="17"/>
        <v>0</v>
      </c>
      <c r="V58" s="2846">
        <f t="shared" si="18"/>
        <v>0</v>
      </c>
      <c r="W58" s="2847">
        <f t="shared" si="19"/>
        <v>0</v>
      </c>
      <c r="X58" s="2848">
        <f t="shared" si="20"/>
        <v>0.4</v>
      </c>
      <c r="Y58" s="2849">
        <f t="shared" si="21"/>
        <v>0</v>
      </c>
      <c r="Z58" s="2850">
        <f t="shared" si="22"/>
        <v>0</v>
      </c>
      <c r="AA58" s="2851">
        <f t="shared" si="23"/>
        <v>0</v>
      </c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</row>
    <row r="59" spans="1:39" ht="12.75" customHeight="1" thickBot="1">
      <c r="A59" s="3134" t="s">
        <v>458</v>
      </c>
      <c r="B59" s="3135" t="s">
        <v>461</v>
      </c>
      <c r="C59" s="2256">
        <f t="shared" si="1"/>
        <v>2.0247664488766629E-4</v>
      </c>
      <c r="D59" s="6927">
        <v>4</v>
      </c>
      <c r="E59" s="6155">
        <v>2</v>
      </c>
      <c r="F59" s="6155">
        <v>1</v>
      </c>
      <c r="G59" s="6155">
        <v>300</v>
      </c>
      <c r="H59" s="6930" t="s">
        <v>2439</v>
      </c>
      <c r="I59" s="6156">
        <v>2.8935185185185189E-4</v>
      </c>
      <c r="J59" s="4626">
        <v>1.3888888888888889E-3</v>
      </c>
      <c r="K59" s="5869" t="s">
        <v>2444</v>
      </c>
      <c r="L59" s="5870">
        <f>L58</f>
        <v>0.83815975452316061</v>
      </c>
      <c r="M59" s="6928">
        <v>1.1000000000000001</v>
      </c>
      <c r="N59" s="6946">
        <v>8.0536348616274296E-3</v>
      </c>
      <c r="O59" s="2526">
        <v>6.0588599752168541E-3</v>
      </c>
      <c r="P59" s="2517">
        <v>6.6647459727385405E-3</v>
      </c>
      <c r="Q59" s="2518">
        <v>164</v>
      </c>
      <c r="R59" s="3122">
        <v>800</v>
      </c>
      <c r="S59" s="2844">
        <f t="shared" si="15"/>
        <v>0.6</v>
      </c>
      <c r="T59" s="2845">
        <f t="shared" si="16"/>
        <v>4.8470879801734833E-2</v>
      </c>
      <c r="U59" s="374">
        <f t="shared" si="17"/>
        <v>0</v>
      </c>
      <c r="V59" s="2846">
        <f t="shared" si="18"/>
        <v>0</v>
      </c>
      <c r="W59" s="2847">
        <f t="shared" si="19"/>
        <v>0</v>
      </c>
      <c r="X59" s="2848">
        <f t="shared" si="20"/>
        <v>0.6</v>
      </c>
      <c r="Y59" s="2849">
        <f t="shared" si="21"/>
        <v>0</v>
      </c>
      <c r="Z59" s="2850">
        <f t="shared" si="22"/>
        <v>0</v>
      </c>
      <c r="AA59" s="2851">
        <f t="shared" si="23"/>
        <v>0</v>
      </c>
      <c r="AC59" s="2867"/>
      <c r="AD59" s="2867"/>
      <c r="AE59" s="2867"/>
      <c r="AF59" s="2867"/>
      <c r="AG59" s="2867"/>
      <c r="AH59" s="2867"/>
      <c r="AI59" s="2825"/>
      <c r="AJ59" s="2825"/>
      <c r="AK59" s="2825"/>
      <c r="AL59" s="2825"/>
      <c r="AM59" s="2825"/>
    </row>
    <row r="60" spans="1:39" ht="13" customHeight="1" thickBot="1">
      <c r="A60" s="3134" t="s">
        <v>219</v>
      </c>
      <c r="B60" s="3135" t="s">
        <v>461</v>
      </c>
      <c r="C60" s="2256">
        <f t="shared" si="1"/>
        <v>2.1908757716049393E-4</v>
      </c>
      <c r="D60" s="4598">
        <v>2</v>
      </c>
      <c r="E60" s="4599">
        <v>1</v>
      </c>
      <c r="F60" s="4599">
        <v>1</v>
      </c>
      <c r="G60" s="4599">
        <v>400</v>
      </c>
      <c r="H60" s="4600"/>
      <c r="I60" s="4600">
        <v>5.7870370370370366E-5</v>
      </c>
      <c r="J60" s="4600">
        <v>2.3148148148148146E-4</v>
      </c>
      <c r="K60" s="2278" t="s">
        <v>882</v>
      </c>
      <c r="L60" s="2503">
        <f>L58+N58</f>
        <v>0.84510419896760502</v>
      </c>
      <c r="M60" s="4601">
        <v>1.25</v>
      </c>
      <c r="N60" s="6942">
        <f>P60*E60*F60+I60*E60*F60+J60*E60</f>
        <v>4.671103395061731E-3</v>
      </c>
      <c r="O60" s="2281">
        <f t="shared" si="27"/>
        <v>3.5054012345679029E-3</v>
      </c>
      <c r="P60" s="2281">
        <f>O60*M60</f>
        <v>4.3817515432098787E-3</v>
      </c>
      <c r="Q60" s="2282">
        <v>147</v>
      </c>
      <c r="R60" s="4602">
        <f>E60*F60*G60</f>
        <v>400</v>
      </c>
      <c r="S60" s="2844">
        <f t="shared" si="15"/>
        <v>0.4</v>
      </c>
      <c r="T60" s="2845">
        <f t="shared" si="16"/>
        <v>1.4021604938271611E-2</v>
      </c>
      <c r="U60" s="374">
        <f t="shared" si="17"/>
        <v>0</v>
      </c>
      <c r="V60" s="2846">
        <f t="shared" si="18"/>
        <v>0.4</v>
      </c>
      <c r="W60" s="2847">
        <f t="shared" si="19"/>
        <v>0</v>
      </c>
      <c r="X60" s="2848">
        <f t="shared" si="20"/>
        <v>0</v>
      </c>
      <c r="Y60" s="2849">
        <f t="shared" si="21"/>
        <v>0</v>
      </c>
      <c r="Z60" s="2850">
        <f t="shared" si="22"/>
        <v>0</v>
      </c>
      <c r="AA60" s="2851">
        <f t="shared" si="23"/>
        <v>0</v>
      </c>
      <c r="AC60" s="2867"/>
      <c r="AD60" s="2867"/>
      <c r="AE60" s="2867"/>
      <c r="AF60" s="2867"/>
      <c r="AG60" s="2867"/>
      <c r="AH60" s="2867"/>
      <c r="AI60" s="2825"/>
      <c r="AJ60" s="2825"/>
      <c r="AK60" s="2825"/>
      <c r="AL60" s="2825"/>
      <c r="AM60" s="2825"/>
    </row>
    <row r="61" spans="1:39" ht="13" customHeight="1">
      <c r="A61" s="1"/>
      <c r="B61" s="3135" t="s">
        <v>461</v>
      </c>
      <c r="C61" s="2256">
        <f t="shared" si="1"/>
        <v>1.7682291666666674E-4</v>
      </c>
      <c r="D61" s="3123">
        <v>7</v>
      </c>
      <c r="E61" s="3124">
        <v>1</v>
      </c>
      <c r="F61" s="3124">
        <v>5</v>
      </c>
      <c r="G61" s="3124">
        <v>15</v>
      </c>
      <c r="H61" s="2377"/>
      <c r="I61" s="2377">
        <v>1.1574074074074073E-4</v>
      </c>
      <c r="J61" s="2377">
        <v>2.3148148148148146E-4</v>
      </c>
      <c r="K61" s="2514" t="s">
        <v>410</v>
      </c>
      <c r="L61" s="2515">
        <f>L60+N60</f>
        <v>0.84977530236266674</v>
      </c>
      <c r="M61" s="3687">
        <v>1</v>
      </c>
      <c r="N61" s="2513">
        <f>P61*E61*F61+I61*E61*F61+J61*E61</f>
        <v>1.3406539351851852E-3</v>
      </c>
      <c r="O61" s="2271">
        <f t="shared" si="27"/>
        <v>1.0609375000000004E-4</v>
      </c>
      <c r="P61" s="2517">
        <f>O61*M61</f>
        <v>1.0609375000000004E-4</v>
      </c>
      <c r="Q61" s="2518" t="s">
        <v>316</v>
      </c>
      <c r="R61" s="3122">
        <f>E61*F61*G61</f>
        <v>75</v>
      </c>
      <c r="S61" s="2844">
        <f t="shared" si="15"/>
        <v>7.4999999999999997E-2</v>
      </c>
      <c r="T61" s="2845">
        <f t="shared" si="16"/>
        <v>2.1218750000000009E-3</v>
      </c>
      <c r="U61" s="374">
        <f t="shared" si="17"/>
        <v>0</v>
      </c>
      <c r="V61" s="2846">
        <f t="shared" si="18"/>
        <v>0</v>
      </c>
      <c r="W61" s="2847">
        <f t="shared" si="19"/>
        <v>0</v>
      </c>
      <c r="X61" s="2848">
        <f t="shared" si="20"/>
        <v>0</v>
      </c>
      <c r="Y61" s="2849">
        <f t="shared" si="21"/>
        <v>0</v>
      </c>
      <c r="Z61" s="2850">
        <f t="shared" si="22"/>
        <v>0</v>
      </c>
      <c r="AA61" s="2851">
        <f t="shared" si="23"/>
        <v>7.4999999999999997E-2</v>
      </c>
      <c r="AC61" s="2867"/>
      <c r="AD61" s="2867"/>
      <c r="AE61" s="2867"/>
      <c r="AF61" s="2867"/>
      <c r="AG61" s="2867"/>
      <c r="AH61" s="2867"/>
      <c r="AI61" s="2825"/>
      <c r="AJ61" s="2825"/>
      <c r="AK61" s="2825"/>
      <c r="AL61" s="2825"/>
      <c r="AM61" s="2825"/>
    </row>
    <row r="62" spans="1:39" ht="12.75" customHeight="1" thickBot="1">
      <c r="A62" s="3134"/>
      <c r="B62" s="3138"/>
      <c r="C62" s="2256">
        <f t="shared" si="1"/>
        <v>0</v>
      </c>
      <c r="D62" s="4596"/>
      <c r="E62" s="2529"/>
      <c r="F62" s="2529"/>
      <c r="G62" s="2529"/>
      <c r="H62" s="2528"/>
      <c r="I62" s="2528"/>
      <c r="J62" s="2528"/>
      <c r="K62" s="2338"/>
      <c r="L62" s="2182">
        <f>L61+N61</f>
        <v>0.85111595629785197</v>
      </c>
      <c r="M62" s="4597"/>
      <c r="N62" s="3874">
        <f>SUM(N53:N61)</f>
        <v>6.5139892687773523E-2</v>
      </c>
      <c r="O62" s="2359"/>
      <c r="P62" s="2359"/>
      <c r="Q62" s="2341"/>
      <c r="R62" s="2529">
        <f>R53+R54+R55+R57+R58+R60+R61</f>
        <v>3035</v>
      </c>
      <c r="S62" s="2844">
        <f t="shared" si="15"/>
        <v>0</v>
      </c>
      <c r="T62" s="2845">
        <f t="shared" si="16"/>
        <v>0</v>
      </c>
      <c r="U62" s="374">
        <f t="shared" si="17"/>
        <v>0</v>
      </c>
      <c r="V62" s="2846">
        <f t="shared" si="18"/>
        <v>0</v>
      </c>
      <c r="W62" s="2847">
        <f t="shared" si="19"/>
        <v>0</v>
      </c>
      <c r="X62" s="2848">
        <f t="shared" si="20"/>
        <v>0</v>
      </c>
      <c r="Y62" s="2849">
        <f t="shared" si="21"/>
        <v>0</v>
      </c>
      <c r="Z62" s="2850">
        <f t="shared" si="22"/>
        <v>0</v>
      </c>
      <c r="AA62" s="2851">
        <f t="shared" si="23"/>
        <v>0</v>
      </c>
      <c r="AC62" s="2867"/>
      <c r="AD62" s="2867"/>
      <c r="AE62" s="2867"/>
      <c r="AF62" s="2867"/>
      <c r="AG62" s="2867"/>
      <c r="AH62" s="2867"/>
      <c r="AI62" s="2825"/>
      <c r="AJ62" s="2825"/>
      <c r="AK62" s="2825"/>
      <c r="AL62" s="2825"/>
      <c r="AM62" s="2825"/>
    </row>
    <row r="63" spans="1:39" ht="12.75" customHeight="1" thickBot="1">
      <c r="A63" s="3109" t="s">
        <v>218</v>
      </c>
      <c r="B63" s="3110" t="s">
        <v>215</v>
      </c>
      <c r="C63" s="2256">
        <f t="shared" si="1"/>
        <v>2.1908757716049393E-4</v>
      </c>
      <c r="D63" s="4598">
        <v>2</v>
      </c>
      <c r="E63" s="4599">
        <v>1</v>
      </c>
      <c r="F63" s="4599">
        <v>8</v>
      </c>
      <c r="G63" s="4599">
        <v>100</v>
      </c>
      <c r="H63" s="4600"/>
      <c r="I63" s="4600">
        <v>2.3148148148148146E-4</v>
      </c>
      <c r="J63" s="4600">
        <v>1.3888888888888889E-3</v>
      </c>
      <c r="K63" s="2278" t="s">
        <v>1518</v>
      </c>
      <c r="L63" s="2503">
        <v>0.34375</v>
      </c>
      <c r="M63" s="4601">
        <v>1.2</v>
      </c>
      <c r="N63" s="6942">
        <f>P63*E63*F63+I63*E63*F63+J63*E63</f>
        <v>1.1653703703703706E-2</v>
      </c>
      <c r="O63" s="2281">
        <f t="shared" ref="O63:O66" si="65">C63*(G63/25)</f>
        <v>8.7635030864197572E-4</v>
      </c>
      <c r="P63" s="2281">
        <f t="shared" ref="P63:P66" si="66">O63*M63</f>
        <v>1.0516203703703707E-3</v>
      </c>
      <c r="Q63" s="2282">
        <v>129</v>
      </c>
      <c r="R63" s="4639">
        <f t="shared" ref="R63:R66" si="67">E63*F63*G63</f>
        <v>800</v>
      </c>
      <c r="S63" s="2844">
        <f t="shared" si="15"/>
        <v>0.8</v>
      </c>
      <c r="T63" s="2845">
        <f t="shared" si="16"/>
        <v>2.8043209876543223E-2</v>
      </c>
      <c r="U63" s="374">
        <f t="shared" si="17"/>
        <v>0</v>
      </c>
      <c r="V63" s="2846">
        <f t="shared" si="18"/>
        <v>0.8</v>
      </c>
      <c r="W63" s="2847">
        <f t="shared" si="19"/>
        <v>0</v>
      </c>
      <c r="X63" s="2848">
        <f t="shared" si="20"/>
        <v>0</v>
      </c>
      <c r="Y63" s="2849">
        <f t="shared" si="21"/>
        <v>0</v>
      </c>
      <c r="Z63" s="2850">
        <f t="shared" si="22"/>
        <v>0</v>
      </c>
      <c r="AA63" s="2851">
        <f t="shared" si="23"/>
        <v>0</v>
      </c>
      <c r="AC63" s="2867"/>
      <c r="AD63" s="2867"/>
      <c r="AE63" s="2867"/>
      <c r="AF63" s="2867"/>
      <c r="AG63" s="2867"/>
      <c r="AH63" s="2867"/>
      <c r="AI63" s="2825"/>
      <c r="AJ63" s="2825"/>
      <c r="AK63" s="2825"/>
      <c r="AL63" s="2825"/>
      <c r="AM63" s="2825"/>
    </row>
    <row r="64" spans="1:39" ht="12.75" customHeight="1" thickBot="1">
      <c r="A64" s="3109" t="s">
        <v>139</v>
      </c>
      <c r="B64" s="3110" t="s">
        <v>215</v>
      </c>
      <c r="C64" s="2256">
        <f t="shared" si="1"/>
        <v>2.1908757716049393E-4</v>
      </c>
      <c r="D64" s="4598">
        <v>2</v>
      </c>
      <c r="E64" s="4599">
        <v>1</v>
      </c>
      <c r="F64" s="4599">
        <v>16</v>
      </c>
      <c r="G64" s="4599">
        <v>50</v>
      </c>
      <c r="H64" s="4600"/>
      <c r="I64" s="4600">
        <v>1.7361111111111112E-4</v>
      </c>
      <c r="J64" s="4600">
        <v>1.3888888888888889E-3</v>
      </c>
      <c r="K64" s="2278" t="s">
        <v>1519</v>
      </c>
      <c r="L64" s="2503">
        <f>L63+N63</f>
        <v>0.35540370370370372</v>
      </c>
      <c r="M64" s="4601">
        <v>1.1000000000000001</v>
      </c>
      <c r="N64" s="6942">
        <f>P64*E64*F64+I64*E64*F64+J64*E64</f>
        <v>1.1878549382716054E-2</v>
      </c>
      <c r="O64" s="2281">
        <f t="shared" si="65"/>
        <v>4.3817515432098786E-4</v>
      </c>
      <c r="P64" s="2281">
        <f t="shared" si="66"/>
        <v>4.8199266975308669E-4</v>
      </c>
      <c r="Q64" s="3140">
        <v>165</v>
      </c>
      <c r="R64" s="4639">
        <f t="shared" si="67"/>
        <v>800</v>
      </c>
      <c r="S64" s="2844">
        <f t="shared" si="15"/>
        <v>0.8</v>
      </c>
      <c r="T64" s="2845">
        <f t="shared" si="16"/>
        <v>2.8043209876543223E-2</v>
      </c>
      <c r="U64" s="374">
        <f t="shared" si="17"/>
        <v>0</v>
      </c>
      <c r="V64" s="2846">
        <f t="shared" si="18"/>
        <v>0.8</v>
      </c>
      <c r="W64" s="2847">
        <f t="shared" si="19"/>
        <v>0</v>
      </c>
      <c r="X64" s="2848">
        <f t="shared" si="20"/>
        <v>0</v>
      </c>
      <c r="Y64" s="2849">
        <f t="shared" si="21"/>
        <v>0</v>
      </c>
      <c r="Z64" s="2850">
        <f t="shared" si="22"/>
        <v>0</v>
      </c>
      <c r="AA64" s="2851">
        <f t="shared" si="23"/>
        <v>0</v>
      </c>
      <c r="AC64" s="2867"/>
      <c r="AD64" s="2867"/>
      <c r="AE64" s="2867"/>
      <c r="AF64" s="2867"/>
      <c r="AG64" s="2867"/>
      <c r="AH64" s="2867"/>
      <c r="AI64" s="2825"/>
      <c r="AJ64" s="2825"/>
      <c r="AK64" s="2825"/>
      <c r="AL64" s="2825"/>
      <c r="AM64" s="2825"/>
    </row>
    <row r="65" spans="1:40" ht="12.75" customHeight="1" thickBot="1">
      <c r="A65" s="3109" t="s">
        <v>458</v>
      </c>
      <c r="B65" s="3110" t="s">
        <v>215</v>
      </c>
      <c r="C65" s="2256">
        <f t="shared" si="1"/>
        <v>2.1222190799396687E-4</v>
      </c>
      <c r="D65" s="4603">
        <v>3</v>
      </c>
      <c r="E65" s="2261">
        <v>1</v>
      </c>
      <c r="F65" s="2261">
        <v>12</v>
      </c>
      <c r="G65" s="2261">
        <v>50</v>
      </c>
      <c r="H65" s="4604"/>
      <c r="I65" s="4604">
        <v>3.4722222222222224E-4</v>
      </c>
      <c r="J65" s="4604">
        <v>1.3888888888888889E-3</v>
      </c>
      <c r="K65" s="2259" t="s">
        <v>980</v>
      </c>
      <c r="L65" s="2504">
        <f>L64+N64</f>
        <v>0.36728225308641976</v>
      </c>
      <c r="M65" s="4605">
        <v>1.25</v>
      </c>
      <c r="N65" s="6943">
        <f>P65*E65*F65+I65*E65*F65+J65*E65</f>
        <v>1.1922212795374561E-2</v>
      </c>
      <c r="O65" s="2262">
        <f t="shared" si="65"/>
        <v>4.2444381598793373E-4</v>
      </c>
      <c r="P65" s="2262">
        <f t="shared" si="66"/>
        <v>5.3055476998491711E-4</v>
      </c>
      <c r="Q65" s="2274">
        <v>147</v>
      </c>
      <c r="R65" s="2261">
        <f t="shared" si="67"/>
        <v>600</v>
      </c>
      <c r="S65" s="2844">
        <f t="shared" si="15"/>
        <v>0.6</v>
      </c>
      <c r="T65" s="2845">
        <f t="shared" si="16"/>
        <v>2.0373303167420819E-2</v>
      </c>
      <c r="U65" s="374">
        <f t="shared" si="17"/>
        <v>0</v>
      </c>
      <c r="V65" s="2846">
        <f t="shared" si="18"/>
        <v>0</v>
      </c>
      <c r="W65" s="2847">
        <f t="shared" si="19"/>
        <v>0.6</v>
      </c>
      <c r="X65" s="2848">
        <f t="shared" si="20"/>
        <v>0</v>
      </c>
      <c r="Y65" s="2849">
        <f t="shared" si="21"/>
        <v>0</v>
      </c>
      <c r="Z65" s="2850">
        <f t="shared" si="22"/>
        <v>0</v>
      </c>
      <c r="AA65" s="2851">
        <f t="shared" si="23"/>
        <v>0</v>
      </c>
      <c r="AC65" s="2867"/>
      <c r="AD65" s="2867"/>
      <c r="AE65" s="2867"/>
      <c r="AF65" s="2867"/>
      <c r="AG65" s="2867"/>
      <c r="AH65" s="2867"/>
      <c r="AI65" s="2825"/>
      <c r="AJ65" s="2825"/>
      <c r="AK65" s="2825"/>
      <c r="AL65" s="2825"/>
      <c r="AM65" s="2825"/>
    </row>
    <row r="66" spans="1:40" ht="12.75" customHeight="1" thickBot="1">
      <c r="A66" s="3109" t="s">
        <v>462</v>
      </c>
      <c r="B66" s="3110" t="s">
        <v>215</v>
      </c>
      <c r="C66" s="2256">
        <f t="shared" si="1"/>
        <v>2.2880964381720439E-4</v>
      </c>
      <c r="D66" s="4596">
        <v>1</v>
      </c>
      <c r="E66" s="2529">
        <v>1</v>
      </c>
      <c r="F66" s="2529">
        <v>1</v>
      </c>
      <c r="G66" s="2529">
        <v>200</v>
      </c>
      <c r="H66" s="2528">
        <v>1.9097222222222222E-3</v>
      </c>
      <c r="I66" s="2528"/>
      <c r="J66" s="2528">
        <v>1.3888888888888889E-3</v>
      </c>
      <c r="K66" s="2338" t="s">
        <v>1332</v>
      </c>
      <c r="L66" s="2501">
        <f>L65+N65</f>
        <v>0.37920446588179435</v>
      </c>
      <c r="M66" s="4597">
        <v>1</v>
      </c>
      <c r="N66" s="3874">
        <f>H66*F66*E66</f>
        <v>1.9097222222222222E-3</v>
      </c>
      <c r="O66" s="2359">
        <f t="shared" si="65"/>
        <v>1.8304771505376352E-3</v>
      </c>
      <c r="P66" s="2359">
        <f t="shared" si="66"/>
        <v>1.8304771505376352E-3</v>
      </c>
      <c r="Q66" s="2341">
        <v>164</v>
      </c>
      <c r="R66" s="2529">
        <f t="shared" si="67"/>
        <v>200</v>
      </c>
      <c r="S66" s="2844">
        <f t="shared" si="15"/>
        <v>0.2</v>
      </c>
      <c r="T66" s="2845">
        <f t="shared" si="16"/>
        <v>7.3219086021505406E-3</v>
      </c>
      <c r="U66" s="374">
        <f t="shared" si="17"/>
        <v>0.2</v>
      </c>
      <c r="V66" s="2846">
        <f t="shared" si="18"/>
        <v>0</v>
      </c>
      <c r="W66" s="2847">
        <f t="shared" si="19"/>
        <v>0</v>
      </c>
      <c r="X66" s="2848">
        <f t="shared" si="20"/>
        <v>0</v>
      </c>
      <c r="Y66" s="2849">
        <f t="shared" si="21"/>
        <v>0</v>
      </c>
      <c r="Z66" s="2850">
        <f t="shared" si="22"/>
        <v>0</v>
      </c>
      <c r="AA66" s="2851">
        <f t="shared" si="23"/>
        <v>0</v>
      </c>
      <c r="AC66" s="2867"/>
      <c r="AD66" s="2867"/>
      <c r="AE66" s="2867"/>
      <c r="AF66" s="2867"/>
      <c r="AG66" s="2867"/>
      <c r="AH66" s="2867"/>
      <c r="AI66" s="2825"/>
      <c r="AJ66" s="2825"/>
      <c r="AK66" s="2825"/>
      <c r="AL66" s="2825"/>
      <c r="AM66" s="2825"/>
    </row>
    <row r="67" spans="1:40" ht="12.75" customHeight="1" thickBot="1">
      <c r="A67" s="3109" t="s">
        <v>460</v>
      </c>
      <c r="B67" s="3110" t="s">
        <v>215</v>
      </c>
      <c r="C67" s="2256">
        <f t="shared" si="1"/>
        <v>1.7682291666666674E-4</v>
      </c>
      <c r="D67" s="3123">
        <v>7</v>
      </c>
      <c r="E67" s="3124">
        <v>4</v>
      </c>
      <c r="F67" s="3124">
        <v>4</v>
      </c>
      <c r="G67" s="3124">
        <v>25</v>
      </c>
      <c r="H67" s="2377" t="s">
        <v>1508</v>
      </c>
      <c r="I67" s="2377">
        <v>3.4722222222222224E-4</v>
      </c>
      <c r="J67" s="2377">
        <v>6.9444444444444447E-4</v>
      </c>
      <c r="K67" s="2514" t="s">
        <v>1513</v>
      </c>
      <c r="L67" s="2515">
        <f>L66+N66</f>
        <v>0.38111418810401659</v>
      </c>
      <c r="M67" s="3126">
        <v>1</v>
      </c>
      <c r="N67" s="2513">
        <f>P67*E67*F67+I67*E67*F67+J67*E67</f>
        <v>1.1162500000000002E-2</v>
      </c>
      <c r="O67" s="2271">
        <f>C67*(G67/25)</f>
        <v>1.7682291666666674E-4</v>
      </c>
      <c r="P67" s="2517">
        <f>O67*M67</f>
        <v>1.7682291666666674E-4</v>
      </c>
      <c r="Q67" s="3130" t="s">
        <v>316</v>
      </c>
      <c r="R67" s="3122">
        <f>E67*F67*G67</f>
        <v>400</v>
      </c>
      <c r="S67" s="2844">
        <f t="shared" si="15"/>
        <v>0.4</v>
      </c>
      <c r="T67" s="2845">
        <f t="shared" si="16"/>
        <v>1.1316666666666671E-2</v>
      </c>
      <c r="U67" s="374">
        <f t="shared" si="17"/>
        <v>0</v>
      </c>
      <c r="V67" s="2846">
        <f t="shared" si="18"/>
        <v>0</v>
      </c>
      <c r="W67" s="2847">
        <f t="shared" si="19"/>
        <v>0</v>
      </c>
      <c r="X67" s="2848">
        <f t="shared" si="20"/>
        <v>0</v>
      </c>
      <c r="Y67" s="2849">
        <f t="shared" si="21"/>
        <v>0</v>
      </c>
      <c r="Z67" s="2850">
        <f t="shared" si="22"/>
        <v>0</v>
      </c>
      <c r="AA67" s="2851">
        <f t="shared" si="23"/>
        <v>0.4</v>
      </c>
      <c r="AC67" s="2867"/>
      <c r="AD67" s="2867"/>
      <c r="AE67" s="2867"/>
      <c r="AF67" s="2867"/>
      <c r="AG67" s="2867"/>
      <c r="AH67" s="2867"/>
      <c r="AI67" s="2825"/>
      <c r="AJ67" s="2825"/>
      <c r="AK67" s="2825"/>
      <c r="AL67" s="2825"/>
      <c r="AM67" s="2825"/>
    </row>
    <row r="68" spans="1:40" ht="12.75" customHeight="1" thickBot="1">
      <c r="A68" s="3109" t="s">
        <v>458</v>
      </c>
      <c r="B68" s="3110" t="s">
        <v>215</v>
      </c>
      <c r="C68" s="2256">
        <f t="shared" si="1"/>
        <v>2.0247664488766629E-4</v>
      </c>
      <c r="D68" s="4624">
        <v>4</v>
      </c>
      <c r="E68" s="4625">
        <v>1</v>
      </c>
      <c r="F68" s="4625">
        <v>4</v>
      </c>
      <c r="G68" s="4625">
        <v>300</v>
      </c>
      <c r="H68" s="4626"/>
      <c r="I68" s="4626">
        <v>6.3657407407407402E-4</v>
      </c>
      <c r="J68" s="4626">
        <v>1.3888888888888889E-3</v>
      </c>
      <c r="K68" s="2523" t="s">
        <v>1514</v>
      </c>
      <c r="L68" s="2524">
        <f>L66+N66</f>
        <v>0.38111418810401659</v>
      </c>
      <c r="M68" s="4627">
        <v>1.2</v>
      </c>
      <c r="N68" s="6946">
        <f>P68*E68*F68+I68*E68*F68+J68*E68</f>
        <v>1.5597839930714763E-2</v>
      </c>
      <c r="O68" s="2526">
        <f t="shared" ref="O68:O69" si="68">C68*(G68/25)</f>
        <v>2.4297197386519954E-3</v>
      </c>
      <c r="P68" s="2526">
        <f t="shared" ref="P68" si="69">O68*M68</f>
        <v>2.9156636863823943E-3</v>
      </c>
      <c r="Q68" s="3132">
        <v>196</v>
      </c>
      <c r="R68" s="4628">
        <f t="shared" ref="R68" si="70">E68*F68*G68</f>
        <v>1200</v>
      </c>
      <c r="S68" s="2844">
        <f t="shared" si="15"/>
        <v>1.2</v>
      </c>
      <c r="T68" s="2845">
        <f t="shared" si="16"/>
        <v>3.8875515818431926E-2</v>
      </c>
      <c r="U68" s="374">
        <f t="shared" si="17"/>
        <v>0</v>
      </c>
      <c r="V68" s="2846">
        <f t="shared" si="18"/>
        <v>0</v>
      </c>
      <c r="W68" s="2847">
        <f t="shared" si="19"/>
        <v>0</v>
      </c>
      <c r="X68" s="2848">
        <f t="shared" si="20"/>
        <v>1.2</v>
      </c>
      <c r="Y68" s="2849">
        <f t="shared" si="21"/>
        <v>0</v>
      </c>
      <c r="Z68" s="2850">
        <f t="shared" si="22"/>
        <v>0</v>
      </c>
      <c r="AA68" s="2851">
        <f t="shared" si="23"/>
        <v>0</v>
      </c>
      <c r="AC68" s="2867"/>
      <c r="AD68" s="2867"/>
      <c r="AE68" s="2867"/>
      <c r="AF68" s="2867"/>
      <c r="AG68" s="2867"/>
      <c r="AH68" s="2867"/>
      <c r="AI68" s="2825"/>
      <c r="AJ68" s="2825"/>
      <c r="AK68" s="2825"/>
      <c r="AL68" s="2825"/>
      <c r="AM68" s="2825"/>
    </row>
    <row r="69" spans="1:40" ht="12.75" customHeight="1" thickBot="1">
      <c r="A69" s="3109" t="s">
        <v>219</v>
      </c>
      <c r="B69" s="3110"/>
      <c r="C69" s="2256">
        <f t="shared" si="1"/>
        <v>0</v>
      </c>
      <c r="D69" s="4596"/>
      <c r="E69" s="2529"/>
      <c r="F69" s="2529"/>
      <c r="G69" s="2529"/>
      <c r="H69" s="2528"/>
      <c r="I69" s="2528"/>
      <c r="J69" s="2528"/>
      <c r="K69" s="2338"/>
      <c r="L69" s="2182">
        <f>L68+N68</f>
        <v>0.39671202803473138</v>
      </c>
      <c r="M69" s="4597"/>
      <c r="N69" s="3874">
        <f>SUM(N63:N68)</f>
        <v>6.4124528034731301E-2</v>
      </c>
      <c r="O69" s="2359">
        <f t="shared" si="68"/>
        <v>0</v>
      </c>
      <c r="P69" s="2359"/>
      <c r="Q69" s="2341"/>
      <c r="R69" s="2529">
        <f>SUM(R63:R68)</f>
        <v>4000</v>
      </c>
      <c r="S69" s="2844">
        <f t="shared" si="15"/>
        <v>0</v>
      </c>
      <c r="T69" s="2845">
        <f t="shared" si="16"/>
        <v>0</v>
      </c>
      <c r="U69" s="374">
        <f t="shared" si="17"/>
        <v>0</v>
      </c>
      <c r="V69" s="2846">
        <f t="shared" si="18"/>
        <v>0</v>
      </c>
      <c r="W69" s="2847">
        <f t="shared" si="19"/>
        <v>0</v>
      </c>
      <c r="X69" s="2848">
        <f t="shared" si="20"/>
        <v>0</v>
      </c>
      <c r="Y69" s="2849">
        <f t="shared" si="21"/>
        <v>0</v>
      </c>
      <c r="Z69" s="2850">
        <f t="shared" si="22"/>
        <v>0</v>
      </c>
      <c r="AA69" s="2851">
        <f t="shared" si="23"/>
        <v>0</v>
      </c>
      <c r="AC69" s="2867"/>
      <c r="AD69" s="2867"/>
      <c r="AE69" s="2867"/>
      <c r="AF69" s="2867"/>
      <c r="AG69" s="2867"/>
      <c r="AH69" s="2867"/>
      <c r="AI69" s="2825"/>
      <c r="AJ69" s="2825"/>
      <c r="AK69" s="2825"/>
      <c r="AL69" s="2825"/>
      <c r="AM69" s="2825"/>
    </row>
    <row r="70" spans="1:40" ht="16.5" customHeight="1" thickTop="1" thickBot="1">
      <c r="A70" s="1"/>
      <c r="B70" s="1"/>
      <c r="C70" s="1126"/>
      <c r="D70" s="4444"/>
      <c r="E70" s="4594">
        <f>U70*100000/$Q$70</f>
        <v>5.6697377746279241</v>
      </c>
      <c r="F70" s="4594">
        <f t="shared" ref="F70:K70" si="71">V70*100000/$Q$70</f>
        <v>28.880226789510989</v>
      </c>
      <c r="G70" s="4594">
        <f t="shared" si="71"/>
        <v>18.42664776754075</v>
      </c>
      <c r="H70" s="4594">
        <f t="shared" si="71"/>
        <v>28.703047484053865</v>
      </c>
      <c r="I70" s="4594">
        <f t="shared" si="71"/>
        <v>11.410347271438699</v>
      </c>
      <c r="J70" s="4594">
        <f t="shared" si="71"/>
        <v>0</v>
      </c>
      <c r="K70" s="4595">
        <f t="shared" si="71"/>
        <v>6.9099929128277839</v>
      </c>
      <c r="L70" s="4378" t="s">
        <v>1922</v>
      </c>
      <c r="M70" s="4535"/>
      <c r="N70" s="4536"/>
      <c r="O70" s="4536"/>
      <c r="P70" s="4536"/>
      <c r="Q70" s="7881">
        <f>AB70*1000</f>
        <v>28219.999999999996</v>
      </c>
      <c r="R70" s="7882"/>
      <c r="S70" s="3153"/>
      <c r="T70" s="3154"/>
      <c r="U70" s="3155">
        <f t="shared" ref="U70:AA70" si="72">SUM(U6:U69)</f>
        <v>1.6</v>
      </c>
      <c r="V70" s="3155">
        <f t="shared" si="72"/>
        <v>8.15</v>
      </c>
      <c r="W70" s="3155">
        <f t="shared" si="72"/>
        <v>5.1999999999999993</v>
      </c>
      <c r="X70" s="3155">
        <f t="shared" si="72"/>
        <v>8.1</v>
      </c>
      <c r="Y70" s="3155">
        <f t="shared" si="72"/>
        <v>3.2200000000000006</v>
      </c>
      <c r="Z70" s="3155">
        <f t="shared" si="72"/>
        <v>0</v>
      </c>
      <c r="AA70" s="3155">
        <f t="shared" si="72"/>
        <v>1.9500000000000002</v>
      </c>
      <c r="AB70" s="3156">
        <f>SUM(U70:AA70)</f>
        <v>28.219999999999995</v>
      </c>
      <c r="AC70" s="2867">
        <v>0</v>
      </c>
      <c r="AD70" s="2867">
        <v>0</v>
      </c>
      <c r="AE70" s="2838"/>
      <c r="AF70" s="2838"/>
      <c r="AG70" s="2838"/>
      <c r="AH70" s="2838"/>
      <c r="AI70" s="2838"/>
    </row>
    <row r="71" spans="1:40" ht="20.25" customHeight="1" thickBot="1">
      <c r="A71" s="144" t="s">
        <v>60</v>
      </c>
      <c r="B71" s="144"/>
      <c r="C71" s="144"/>
      <c r="D71" s="4444"/>
      <c r="E71" s="4521">
        <f>E70*15/100</f>
        <v>0.8504606661941887</v>
      </c>
      <c r="F71" s="4522">
        <f t="shared" ref="F71:K71" si="73">F70*15/100</f>
        <v>4.3320340184266488</v>
      </c>
      <c r="G71" s="4523">
        <f t="shared" si="73"/>
        <v>2.7639971651311122</v>
      </c>
      <c r="H71" s="4524">
        <f t="shared" si="73"/>
        <v>4.3054571226080798</v>
      </c>
      <c r="I71" s="4525">
        <f t="shared" si="73"/>
        <v>1.7115520907158048</v>
      </c>
      <c r="J71" s="4526">
        <f t="shared" si="73"/>
        <v>0</v>
      </c>
      <c r="K71" s="4527">
        <f t="shared" si="73"/>
        <v>1.0364989369241675</v>
      </c>
      <c r="L71" s="4378" t="s">
        <v>1252</v>
      </c>
      <c r="M71" s="144"/>
      <c r="N71" s="146"/>
      <c r="O71" s="146"/>
      <c r="P71" s="146"/>
      <c r="Q71" s="144"/>
      <c r="R71" s="144"/>
      <c r="S71" s="144"/>
      <c r="T71" s="144"/>
      <c r="U71" s="3157">
        <f>IF(U70&gt;0,U70,#REF!)</f>
        <v>1.6</v>
      </c>
      <c r="V71" s="3157">
        <f>IF(V70&gt;0,V70,#REF!)</f>
        <v>8.15</v>
      </c>
      <c r="W71" s="3157">
        <f>IF(W70&gt;0,W70,#REF!)</f>
        <v>5.1999999999999993</v>
      </c>
      <c r="X71" s="3157">
        <f>IF(X70&gt;0,X70,#REF!)</f>
        <v>8.1</v>
      </c>
      <c r="Y71" s="3157">
        <f>IF(Y70&gt;0,Y70,#REF!)</f>
        <v>3.2200000000000006</v>
      </c>
      <c r="Z71" s="3157" t="e">
        <f>IF(Z70&gt;0,Z70,#REF!)</f>
        <v>#REF!</v>
      </c>
      <c r="AA71" s="3157">
        <f>IF(AA70&gt;0,AA70,#REF!)</f>
        <v>1.9500000000000002</v>
      </c>
      <c r="AB71" s="144"/>
      <c r="AC71" s="2825"/>
      <c r="AD71" s="2825"/>
      <c r="AE71" s="2838"/>
      <c r="AF71" s="2838"/>
      <c r="AG71" s="2838"/>
      <c r="AH71" s="2838"/>
      <c r="AI71" s="2838"/>
      <c r="AJ71" s="2825"/>
      <c r="AK71" s="2825"/>
      <c r="AL71" s="2825"/>
      <c r="AM71" s="2825"/>
    </row>
    <row r="72" spans="1:40" s="2914" customFormat="1" ht="19.5" customHeight="1">
      <c r="A72" s="144"/>
      <c r="B72" s="144"/>
      <c r="C72" s="144"/>
      <c r="D72" s="906"/>
      <c r="E72" s="144"/>
      <c r="F72" s="144"/>
      <c r="G72" s="144"/>
      <c r="H72" s="144"/>
      <c r="I72" s="144"/>
      <c r="K72" s="144"/>
      <c r="L72" s="144"/>
      <c r="M72" s="144"/>
      <c r="N72" s="146"/>
      <c r="O72" s="146"/>
      <c r="P72" s="146"/>
      <c r="Q72" s="144"/>
      <c r="R72" s="144"/>
      <c r="S72" s="144"/>
      <c r="T72" s="144"/>
      <c r="U72" s="3157">
        <f t="shared" ref="U72:AA87" si="74">IF(U71&gt;0,U71,U70)</f>
        <v>1.6</v>
      </c>
      <c r="V72" s="3157">
        <f t="shared" si="74"/>
        <v>8.15</v>
      </c>
      <c r="W72" s="3157">
        <f t="shared" si="74"/>
        <v>5.1999999999999993</v>
      </c>
      <c r="X72" s="3157">
        <f t="shared" si="74"/>
        <v>8.1</v>
      </c>
      <c r="Y72" s="3157">
        <f t="shared" si="74"/>
        <v>3.2200000000000006</v>
      </c>
      <c r="Z72" s="3157" t="e">
        <f t="shared" si="74"/>
        <v>#REF!</v>
      </c>
      <c r="AA72" s="3157">
        <f t="shared" si="74"/>
        <v>1.9500000000000002</v>
      </c>
      <c r="AB72" s="144"/>
      <c r="AC72" s="2826"/>
      <c r="AD72" s="2826"/>
      <c r="AE72" s="2838"/>
      <c r="AF72" s="2838"/>
      <c r="AG72" s="2838"/>
      <c r="AH72" s="2838"/>
      <c r="AI72" s="2838"/>
      <c r="AJ72" s="2826"/>
      <c r="AK72" s="2826"/>
      <c r="AL72" s="2826"/>
      <c r="AM72" s="2826"/>
      <c r="AN72" s="2913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6"/>
      <c r="O73" s="146"/>
      <c r="P73" s="146"/>
      <c r="Q73" s="144"/>
      <c r="R73" s="144"/>
      <c r="S73" s="144"/>
      <c r="T73" s="144"/>
      <c r="U73" s="3157">
        <f t="shared" si="74"/>
        <v>1.6</v>
      </c>
      <c r="V73" s="3157">
        <f t="shared" si="74"/>
        <v>8.15</v>
      </c>
      <c r="W73" s="3157">
        <f t="shared" si="74"/>
        <v>5.1999999999999993</v>
      </c>
      <c r="X73" s="3157">
        <f t="shared" si="74"/>
        <v>8.1</v>
      </c>
      <c r="Y73" s="3157">
        <f t="shared" si="74"/>
        <v>3.2200000000000006</v>
      </c>
      <c r="Z73" s="3157" t="e">
        <f t="shared" si="74"/>
        <v>#REF!</v>
      </c>
      <c r="AA73" s="3157">
        <f t="shared" si="74"/>
        <v>1.9500000000000002</v>
      </c>
      <c r="AB73" s="144"/>
      <c r="AE73" s="2838"/>
      <c r="AF73" s="2838"/>
      <c r="AG73" s="2838"/>
      <c r="AH73" s="2838"/>
      <c r="AI73" s="2838"/>
    </row>
    <row r="74" spans="1:40" ht="15.75" customHeight="1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6"/>
      <c r="O74" s="146"/>
      <c r="P74" s="146"/>
      <c r="Q74" s="144"/>
      <c r="R74" s="144"/>
      <c r="S74" s="144"/>
      <c r="T74" s="144"/>
      <c r="U74" s="3157">
        <f t="shared" si="74"/>
        <v>1.6</v>
      </c>
      <c r="V74" s="3157">
        <f t="shared" si="74"/>
        <v>8.15</v>
      </c>
      <c r="W74" s="3157">
        <f t="shared" si="74"/>
        <v>5.1999999999999993</v>
      </c>
      <c r="X74" s="3157">
        <f t="shared" si="74"/>
        <v>8.1</v>
      </c>
      <c r="Y74" s="3157">
        <f t="shared" si="74"/>
        <v>3.2200000000000006</v>
      </c>
      <c r="Z74" s="3157" t="e">
        <f t="shared" si="74"/>
        <v>#REF!</v>
      </c>
      <c r="AA74" s="3157">
        <f t="shared" si="74"/>
        <v>1.9500000000000002</v>
      </c>
      <c r="AB74" s="144"/>
    </row>
    <row r="75" spans="1:40" ht="72" customHeight="1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6"/>
      <c r="O75" s="146"/>
      <c r="P75" s="146"/>
      <c r="Q75" s="144"/>
      <c r="R75" s="144"/>
      <c r="S75" s="144"/>
      <c r="T75" s="144"/>
      <c r="U75" s="3157">
        <f t="shared" si="74"/>
        <v>1.6</v>
      </c>
      <c r="V75" s="3157">
        <f t="shared" si="74"/>
        <v>8.15</v>
      </c>
      <c r="W75" s="3157">
        <f t="shared" si="74"/>
        <v>5.1999999999999993</v>
      </c>
      <c r="X75" s="3157">
        <f t="shared" si="74"/>
        <v>8.1</v>
      </c>
      <c r="Y75" s="3157">
        <f t="shared" si="74"/>
        <v>3.2200000000000006</v>
      </c>
      <c r="Z75" s="3157" t="e">
        <f t="shared" si="74"/>
        <v>#REF!</v>
      </c>
      <c r="AA75" s="3157">
        <f t="shared" si="74"/>
        <v>1.9500000000000002</v>
      </c>
      <c r="AB75" s="144"/>
      <c r="AC75" s="2837"/>
      <c r="AD75" s="2838"/>
      <c r="AE75" s="2838"/>
      <c r="AF75" s="2838"/>
      <c r="AG75" s="2838"/>
      <c r="AH75" s="2838"/>
      <c r="AI75" s="2836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6"/>
      <c r="O76" s="146"/>
      <c r="P76" s="146"/>
      <c r="Q76" s="144"/>
      <c r="R76" s="144"/>
      <c r="S76" s="144"/>
      <c r="T76" s="144"/>
      <c r="U76" s="3157">
        <f t="shared" si="74"/>
        <v>1.6</v>
      </c>
      <c r="V76" s="3157">
        <f t="shared" si="74"/>
        <v>8.15</v>
      </c>
      <c r="W76" s="3157">
        <f t="shared" si="74"/>
        <v>5.1999999999999993</v>
      </c>
      <c r="X76" s="3157">
        <f t="shared" si="74"/>
        <v>8.1</v>
      </c>
      <c r="Y76" s="3157">
        <f t="shared" si="74"/>
        <v>3.2200000000000006</v>
      </c>
      <c r="Z76" s="3157" t="e">
        <f t="shared" si="74"/>
        <v>#REF!</v>
      </c>
      <c r="AA76" s="3157">
        <f t="shared" si="74"/>
        <v>1.9500000000000002</v>
      </c>
      <c r="AB76" s="144"/>
      <c r="AC76" s="2867" t="s">
        <v>193</v>
      </c>
      <c r="AD76" s="2937"/>
      <c r="AE76" s="2937"/>
      <c r="AF76" s="2937"/>
      <c r="AG76" s="2937"/>
      <c r="AH76" s="2937"/>
      <c r="AI76" s="2935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6"/>
      <c r="O77" s="146"/>
      <c r="P77" s="146"/>
      <c r="Q77" s="144"/>
      <c r="R77" s="144"/>
      <c r="S77" s="144"/>
      <c r="T77" s="144"/>
      <c r="U77" s="3157">
        <f t="shared" si="74"/>
        <v>1.6</v>
      </c>
      <c r="V77" s="3157">
        <f t="shared" si="74"/>
        <v>8.15</v>
      </c>
      <c r="W77" s="3157">
        <f t="shared" si="74"/>
        <v>5.1999999999999993</v>
      </c>
      <c r="X77" s="3157">
        <f t="shared" si="74"/>
        <v>8.1</v>
      </c>
      <c r="Y77" s="3157">
        <f t="shared" si="74"/>
        <v>3.2200000000000006</v>
      </c>
      <c r="Z77" s="3157" t="e">
        <f t="shared" si="74"/>
        <v>#REF!</v>
      </c>
      <c r="AA77" s="3157">
        <f t="shared" si="74"/>
        <v>1.9500000000000002</v>
      </c>
      <c r="AB77" s="144"/>
      <c r="AC77" s="2867">
        <v>0</v>
      </c>
      <c r="AD77" s="2867">
        <v>0</v>
      </c>
      <c r="AE77" s="2867">
        <v>0</v>
      </c>
      <c r="AF77" s="2867">
        <v>0</v>
      </c>
      <c r="AG77" s="2867">
        <v>0</v>
      </c>
      <c r="AH77" s="2867">
        <v>0</v>
      </c>
      <c r="AI77" s="2935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6"/>
      <c r="O78" s="146"/>
      <c r="P78" s="146"/>
      <c r="Q78" s="144"/>
      <c r="R78" s="144"/>
      <c r="S78" s="144"/>
      <c r="T78" s="144"/>
      <c r="U78" s="3157">
        <f t="shared" si="74"/>
        <v>1.6</v>
      </c>
      <c r="V78" s="3157">
        <f t="shared" si="74"/>
        <v>8.15</v>
      </c>
      <c r="W78" s="3157">
        <f t="shared" si="74"/>
        <v>5.1999999999999993</v>
      </c>
      <c r="X78" s="3157">
        <f t="shared" si="74"/>
        <v>8.1</v>
      </c>
      <c r="Y78" s="3157">
        <f t="shared" si="74"/>
        <v>3.2200000000000006</v>
      </c>
      <c r="Z78" s="3157" t="e">
        <f t="shared" si="74"/>
        <v>#REF!</v>
      </c>
      <c r="AA78" s="3157">
        <f t="shared" si="74"/>
        <v>1.9500000000000002</v>
      </c>
      <c r="AB78" s="144"/>
      <c r="AC78" s="2867"/>
      <c r="AD78" s="2867"/>
      <c r="AE78" s="2867"/>
      <c r="AF78" s="2867"/>
      <c r="AG78" s="2867"/>
      <c r="AH78" s="2867"/>
      <c r="AI78" s="2935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6"/>
      <c r="O79" s="146"/>
      <c r="P79" s="146"/>
      <c r="Q79" s="144"/>
      <c r="R79" s="144"/>
      <c r="S79" s="144"/>
      <c r="T79" s="144"/>
      <c r="U79" s="3157">
        <f t="shared" si="74"/>
        <v>1.6</v>
      </c>
      <c r="V79" s="3157">
        <f t="shared" si="74"/>
        <v>8.15</v>
      </c>
      <c r="W79" s="3157">
        <f t="shared" si="74"/>
        <v>5.1999999999999993</v>
      </c>
      <c r="X79" s="3157">
        <f t="shared" si="74"/>
        <v>8.1</v>
      </c>
      <c r="Y79" s="3157">
        <f t="shared" si="74"/>
        <v>3.2200000000000006</v>
      </c>
      <c r="Z79" s="3157" t="e">
        <f t="shared" si="74"/>
        <v>#REF!</v>
      </c>
      <c r="AA79" s="3157">
        <f t="shared" si="74"/>
        <v>1.9500000000000002</v>
      </c>
      <c r="AB79" s="144"/>
      <c r="AC79" s="2867"/>
      <c r="AD79" s="2867"/>
      <c r="AE79" s="2867"/>
      <c r="AF79" s="2867"/>
      <c r="AG79" s="2867"/>
      <c r="AH79" s="2867"/>
      <c r="AI79" s="2935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6"/>
      <c r="O80" s="146"/>
      <c r="P80" s="146"/>
      <c r="Q80" s="144"/>
      <c r="R80" s="144"/>
      <c r="S80" s="144"/>
      <c r="T80" s="144"/>
      <c r="U80" s="3157">
        <f t="shared" si="74"/>
        <v>1.6</v>
      </c>
      <c r="V80" s="3157">
        <f t="shared" si="74"/>
        <v>8.15</v>
      </c>
      <c r="W80" s="3157">
        <f t="shared" si="74"/>
        <v>5.1999999999999993</v>
      </c>
      <c r="X80" s="3157">
        <f t="shared" si="74"/>
        <v>8.1</v>
      </c>
      <c r="Y80" s="3157">
        <f t="shared" si="74"/>
        <v>3.2200000000000006</v>
      </c>
      <c r="Z80" s="3157" t="e">
        <f t="shared" si="74"/>
        <v>#REF!</v>
      </c>
      <c r="AA80" s="3157">
        <f t="shared" si="74"/>
        <v>1.9500000000000002</v>
      </c>
      <c r="AB80" s="144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935"/>
      <c r="AJ80" s="1"/>
      <c r="AK80" s="1"/>
      <c r="AL80" s="1"/>
      <c r="AM80" s="1"/>
      <c r="AN80" s="1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6"/>
      <c r="O81" s="146"/>
      <c r="P81" s="146"/>
      <c r="Q81" s="144"/>
      <c r="R81" s="144"/>
      <c r="S81" s="144"/>
      <c r="T81" s="144"/>
      <c r="U81" s="3157">
        <f t="shared" si="74"/>
        <v>1.6</v>
      </c>
      <c r="V81" s="3157">
        <f t="shared" si="74"/>
        <v>8.15</v>
      </c>
      <c r="W81" s="3157">
        <f t="shared" si="74"/>
        <v>5.1999999999999993</v>
      </c>
      <c r="X81" s="3157">
        <f t="shared" si="74"/>
        <v>8.1</v>
      </c>
      <c r="Y81" s="3157">
        <f t="shared" si="74"/>
        <v>3.2200000000000006</v>
      </c>
      <c r="Z81" s="3157" t="e">
        <f t="shared" si="74"/>
        <v>#REF!</v>
      </c>
      <c r="AA81" s="3157">
        <f t="shared" si="74"/>
        <v>1.9500000000000002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6"/>
      <c r="O82" s="146"/>
      <c r="P82" s="146"/>
      <c r="Q82" s="144"/>
      <c r="R82" s="144"/>
      <c r="S82" s="144"/>
      <c r="T82" s="144"/>
      <c r="U82" s="3157">
        <f t="shared" si="74"/>
        <v>1.6</v>
      </c>
      <c r="V82" s="3157">
        <f t="shared" si="74"/>
        <v>8.15</v>
      </c>
      <c r="W82" s="3157">
        <f t="shared" si="74"/>
        <v>5.1999999999999993</v>
      </c>
      <c r="X82" s="3157">
        <f t="shared" si="74"/>
        <v>8.1</v>
      </c>
      <c r="Y82" s="3157">
        <f t="shared" si="74"/>
        <v>3.2200000000000006</v>
      </c>
      <c r="Z82" s="3157" t="e">
        <f t="shared" si="74"/>
        <v>#REF!</v>
      </c>
      <c r="AA82" s="3157">
        <f t="shared" si="74"/>
        <v>1.9500000000000002</v>
      </c>
      <c r="AB82" s="144"/>
      <c r="AC82" s="2867"/>
      <c r="AD82" s="2867"/>
      <c r="AE82" s="2867"/>
      <c r="AF82" s="2867"/>
      <c r="AG82" s="2867"/>
      <c r="AH82" s="2867"/>
      <c r="AI82" s="282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6"/>
      <c r="O83" s="146"/>
      <c r="P83" s="146"/>
      <c r="Q83" s="144"/>
      <c r="R83" s="144"/>
      <c r="S83" s="144"/>
      <c r="T83" s="144"/>
      <c r="U83" s="3157">
        <f t="shared" si="74"/>
        <v>1.6</v>
      </c>
      <c r="V83" s="3157">
        <f t="shared" si="74"/>
        <v>8.15</v>
      </c>
      <c r="W83" s="3157">
        <f t="shared" si="74"/>
        <v>5.1999999999999993</v>
      </c>
      <c r="X83" s="3157">
        <f t="shared" si="74"/>
        <v>8.1</v>
      </c>
      <c r="Y83" s="3157">
        <f t="shared" si="74"/>
        <v>3.2200000000000006</v>
      </c>
      <c r="Z83" s="3157" t="e">
        <f t="shared" si="74"/>
        <v>#REF!</v>
      </c>
      <c r="AA83" s="3157">
        <f t="shared" si="74"/>
        <v>1.9500000000000002</v>
      </c>
      <c r="AB83" s="144"/>
      <c r="AC83" s="2867"/>
      <c r="AD83" s="2867"/>
      <c r="AE83" s="2867"/>
      <c r="AF83" s="2867"/>
      <c r="AG83" s="2867"/>
      <c r="AH83" s="2867"/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6"/>
      <c r="O84" s="146"/>
      <c r="P84" s="146"/>
      <c r="Q84" s="144"/>
      <c r="R84" s="144"/>
      <c r="S84" s="144"/>
      <c r="T84" s="144"/>
      <c r="U84" s="3157">
        <f t="shared" si="74"/>
        <v>1.6</v>
      </c>
      <c r="V84" s="3157">
        <f t="shared" si="74"/>
        <v>8.15</v>
      </c>
      <c r="W84" s="3157">
        <f t="shared" si="74"/>
        <v>5.1999999999999993</v>
      </c>
      <c r="X84" s="3157">
        <f t="shared" si="74"/>
        <v>8.1</v>
      </c>
      <c r="Y84" s="3157">
        <f t="shared" si="74"/>
        <v>3.2200000000000006</v>
      </c>
      <c r="Z84" s="3157" t="e">
        <f t="shared" si="74"/>
        <v>#REF!</v>
      </c>
      <c r="AA84" s="3157">
        <f t="shared" si="74"/>
        <v>1.9500000000000002</v>
      </c>
      <c r="AB84" s="144"/>
      <c r="AC84" s="2867">
        <v>0</v>
      </c>
      <c r="AD84" s="2867">
        <v>0</v>
      </c>
      <c r="AE84" s="2867">
        <v>0</v>
      </c>
      <c r="AF84" s="2867">
        <v>0</v>
      </c>
      <c r="AG84" s="2867">
        <v>0</v>
      </c>
      <c r="AH84" s="2867">
        <v>0</v>
      </c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6"/>
      <c r="O85" s="146"/>
      <c r="P85" s="146"/>
      <c r="Q85" s="144"/>
      <c r="R85" s="144"/>
      <c r="S85" s="144"/>
      <c r="T85" s="144"/>
      <c r="U85" s="3157">
        <f t="shared" si="74"/>
        <v>1.6</v>
      </c>
      <c r="V85" s="3157">
        <f t="shared" si="74"/>
        <v>8.15</v>
      </c>
      <c r="W85" s="3157">
        <f t="shared" si="74"/>
        <v>5.1999999999999993</v>
      </c>
      <c r="X85" s="3157">
        <f t="shared" si="74"/>
        <v>8.1</v>
      </c>
      <c r="Y85" s="3157">
        <f t="shared" si="74"/>
        <v>3.2200000000000006</v>
      </c>
      <c r="Z85" s="3157" t="e">
        <f t="shared" si="74"/>
        <v>#REF!</v>
      </c>
      <c r="AA85" s="3157">
        <f t="shared" si="74"/>
        <v>1.9500000000000002</v>
      </c>
      <c r="AB85" s="144"/>
      <c r="AC85" s="2867">
        <v>0</v>
      </c>
      <c r="AD85" s="2867">
        <v>0</v>
      </c>
      <c r="AE85" s="2867">
        <v>0</v>
      </c>
      <c r="AF85" s="2867">
        <v>0</v>
      </c>
      <c r="AG85" s="2867">
        <v>0</v>
      </c>
      <c r="AH85" s="2867">
        <v>0</v>
      </c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6"/>
      <c r="O86" s="146"/>
      <c r="P86" s="146"/>
      <c r="Q86" s="144"/>
      <c r="R86" s="144"/>
      <c r="S86" s="144"/>
      <c r="T86" s="144"/>
      <c r="U86" s="3157">
        <f t="shared" si="74"/>
        <v>1.6</v>
      </c>
      <c r="V86" s="3157">
        <f t="shared" si="74"/>
        <v>8.15</v>
      </c>
      <c r="W86" s="3157">
        <f t="shared" si="74"/>
        <v>5.1999999999999993</v>
      </c>
      <c r="X86" s="3157">
        <f t="shared" si="74"/>
        <v>8.1</v>
      </c>
      <c r="Y86" s="3157">
        <f t="shared" si="74"/>
        <v>3.2200000000000006</v>
      </c>
      <c r="Z86" s="3157" t="e">
        <f t="shared" si="74"/>
        <v>#REF!</v>
      </c>
      <c r="AA86" s="3157">
        <f t="shared" si="74"/>
        <v>1.9500000000000002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6"/>
      <c r="O87" s="146"/>
      <c r="P87" s="146"/>
      <c r="Q87" s="144"/>
      <c r="R87" s="144"/>
      <c r="S87" s="144"/>
      <c r="T87" s="144"/>
      <c r="U87" s="3157">
        <f t="shared" si="74"/>
        <v>1.6</v>
      </c>
      <c r="V87" s="3157">
        <f t="shared" si="74"/>
        <v>8.15</v>
      </c>
      <c r="W87" s="3157">
        <f t="shared" si="74"/>
        <v>5.1999999999999993</v>
      </c>
      <c r="X87" s="3157">
        <f t="shared" si="74"/>
        <v>8.1</v>
      </c>
      <c r="Y87" s="3157">
        <f t="shared" si="74"/>
        <v>3.2200000000000006</v>
      </c>
      <c r="Z87" s="3157" t="e">
        <f t="shared" si="74"/>
        <v>#REF!</v>
      </c>
      <c r="AA87" s="3157">
        <f t="shared" si="74"/>
        <v>1.9500000000000002</v>
      </c>
      <c r="AB87" s="144"/>
      <c r="AC87" s="2867">
        <v>0</v>
      </c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6"/>
      <c r="O88" s="146"/>
      <c r="P88" s="146"/>
      <c r="Q88" s="144"/>
      <c r="R88" s="144"/>
      <c r="S88" s="144"/>
      <c r="T88" s="144"/>
      <c r="U88" s="3157">
        <f t="shared" ref="U88:AA103" si="75">IF(U87&gt;0,U87,U86)</f>
        <v>1.6</v>
      </c>
      <c r="V88" s="3157">
        <f t="shared" si="75"/>
        <v>8.15</v>
      </c>
      <c r="W88" s="3157">
        <f t="shared" si="75"/>
        <v>5.1999999999999993</v>
      </c>
      <c r="X88" s="3157">
        <f t="shared" si="75"/>
        <v>8.1</v>
      </c>
      <c r="Y88" s="3157">
        <f t="shared" si="75"/>
        <v>3.2200000000000006</v>
      </c>
      <c r="Z88" s="3157" t="e">
        <f t="shared" si="75"/>
        <v>#REF!</v>
      </c>
      <c r="AA88" s="3157">
        <f t="shared" si="75"/>
        <v>1.9500000000000002</v>
      </c>
      <c r="AB88" s="144"/>
      <c r="AC88" s="2867"/>
      <c r="AD88" s="2867"/>
      <c r="AE88" s="2867"/>
      <c r="AF88" s="2867"/>
      <c r="AG88" s="2867"/>
      <c r="AH88" s="2867"/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6"/>
      <c r="O89" s="146"/>
      <c r="P89" s="146"/>
      <c r="Q89" s="144"/>
      <c r="R89" s="144"/>
      <c r="S89" s="144"/>
      <c r="T89" s="144"/>
      <c r="U89" s="3157">
        <f t="shared" si="75"/>
        <v>1.6</v>
      </c>
      <c r="V89" s="3157">
        <f t="shared" si="75"/>
        <v>8.15</v>
      </c>
      <c r="W89" s="3157">
        <f t="shared" si="75"/>
        <v>5.1999999999999993</v>
      </c>
      <c r="X89" s="3157">
        <f t="shared" si="75"/>
        <v>8.1</v>
      </c>
      <c r="Y89" s="3157">
        <f t="shared" si="75"/>
        <v>3.2200000000000006</v>
      </c>
      <c r="Z89" s="3157" t="e">
        <f t="shared" si="75"/>
        <v>#REF!</v>
      </c>
      <c r="AA89" s="3157">
        <f t="shared" si="75"/>
        <v>1.9500000000000002</v>
      </c>
      <c r="AB89" s="144"/>
      <c r="AC89" s="2867"/>
      <c r="AD89" s="2867"/>
      <c r="AE89" s="2867"/>
      <c r="AF89" s="2867"/>
      <c r="AG89" s="2867"/>
      <c r="AH89" s="2867"/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6"/>
      <c r="O90" s="146"/>
      <c r="P90" s="146"/>
      <c r="Q90" s="144"/>
      <c r="R90" s="144"/>
      <c r="S90" s="144"/>
      <c r="T90" s="144"/>
      <c r="U90" s="3157">
        <f t="shared" si="75"/>
        <v>1.6</v>
      </c>
      <c r="V90" s="3157">
        <f t="shared" si="75"/>
        <v>8.15</v>
      </c>
      <c r="W90" s="3157">
        <f t="shared" si="75"/>
        <v>5.1999999999999993</v>
      </c>
      <c r="X90" s="3157">
        <f t="shared" si="75"/>
        <v>8.1</v>
      </c>
      <c r="Y90" s="3157">
        <f t="shared" si="75"/>
        <v>3.2200000000000006</v>
      </c>
      <c r="Z90" s="3157" t="e">
        <f t="shared" si="75"/>
        <v>#REF!</v>
      </c>
      <c r="AA90" s="3157">
        <f t="shared" si="75"/>
        <v>1.9500000000000002</v>
      </c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1"/>
      <c r="AK90" s="1"/>
      <c r="AL90" s="1"/>
      <c r="AM90" s="1"/>
      <c r="AN90" s="1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6"/>
      <c r="O91" s="146"/>
      <c r="P91" s="146"/>
      <c r="Q91" s="144"/>
      <c r="R91" s="144"/>
      <c r="S91" s="144"/>
      <c r="T91" s="144"/>
      <c r="U91" s="3157">
        <f t="shared" si="75"/>
        <v>1.6</v>
      </c>
      <c r="V91" s="3157">
        <f t="shared" si="75"/>
        <v>8.15</v>
      </c>
      <c r="W91" s="3157">
        <f t="shared" si="75"/>
        <v>5.1999999999999993</v>
      </c>
      <c r="X91" s="3157">
        <f t="shared" si="75"/>
        <v>8.1</v>
      </c>
      <c r="Y91" s="3157">
        <f t="shared" si="75"/>
        <v>3.2200000000000006</v>
      </c>
      <c r="Z91" s="3157" t="e">
        <f t="shared" si="75"/>
        <v>#REF!</v>
      </c>
      <c r="AA91" s="3157">
        <f t="shared" si="75"/>
        <v>1.9500000000000002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6"/>
      <c r="O92" s="146"/>
      <c r="P92" s="146"/>
      <c r="Q92" s="144"/>
      <c r="R92" s="144"/>
      <c r="S92" s="144"/>
      <c r="T92" s="144"/>
      <c r="U92" s="3157">
        <f t="shared" si="75"/>
        <v>1.6</v>
      </c>
      <c r="V92" s="3157">
        <f t="shared" si="75"/>
        <v>8.15</v>
      </c>
      <c r="W92" s="3157">
        <f t="shared" si="75"/>
        <v>5.1999999999999993</v>
      </c>
      <c r="X92" s="3157">
        <f t="shared" si="75"/>
        <v>8.1</v>
      </c>
      <c r="Y92" s="3157">
        <f t="shared" si="75"/>
        <v>3.2200000000000006</v>
      </c>
      <c r="Z92" s="3157" t="e">
        <f t="shared" si="75"/>
        <v>#REF!</v>
      </c>
      <c r="AA92" s="3157">
        <f t="shared" si="75"/>
        <v>1.9500000000000002</v>
      </c>
      <c r="AB92" s="144"/>
      <c r="AC92" s="2867">
        <v>0</v>
      </c>
      <c r="AD92" s="2867">
        <v>0</v>
      </c>
      <c r="AE92" s="2867">
        <v>0</v>
      </c>
      <c r="AF92" s="2867">
        <v>0</v>
      </c>
      <c r="AG92" s="2867">
        <v>0</v>
      </c>
      <c r="AH92" s="2867">
        <v>0</v>
      </c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6"/>
      <c r="O93" s="146"/>
      <c r="P93" s="146"/>
      <c r="Q93" s="144"/>
      <c r="R93" s="144"/>
      <c r="S93" s="144"/>
      <c r="T93" s="144"/>
      <c r="U93" s="3157">
        <f t="shared" si="75"/>
        <v>1.6</v>
      </c>
      <c r="V93" s="3157">
        <f t="shared" si="75"/>
        <v>8.15</v>
      </c>
      <c r="W93" s="3157">
        <f t="shared" si="75"/>
        <v>5.1999999999999993</v>
      </c>
      <c r="X93" s="3157">
        <f t="shared" si="75"/>
        <v>8.1</v>
      </c>
      <c r="Y93" s="3157">
        <f t="shared" si="75"/>
        <v>3.2200000000000006</v>
      </c>
      <c r="Z93" s="3157" t="e">
        <f t="shared" si="75"/>
        <v>#REF!</v>
      </c>
      <c r="AA93" s="3157">
        <f t="shared" si="75"/>
        <v>1.9500000000000002</v>
      </c>
      <c r="AB93" s="144"/>
      <c r="AC93" s="2867"/>
      <c r="AD93" s="2867"/>
      <c r="AE93" s="2867"/>
      <c r="AF93" s="2867"/>
      <c r="AG93" s="2867"/>
      <c r="AH93" s="2867"/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6"/>
      <c r="O94" s="146"/>
      <c r="P94" s="146"/>
      <c r="Q94" s="144"/>
      <c r="R94" s="144"/>
      <c r="S94" s="144"/>
      <c r="T94" s="144"/>
      <c r="U94" s="3157">
        <f t="shared" si="75"/>
        <v>1.6</v>
      </c>
      <c r="V94" s="3157">
        <f t="shared" si="75"/>
        <v>8.15</v>
      </c>
      <c r="W94" s="3157">
        <f t="shared" si="75"/>
        <v>5.1999999999999993</v>
      </c>
      <c r="X94" s="3157">
        <f t="shared" si="75"/>
        <v>8.1</v>
      </c>
      <c r="Y94" s="3157">
        <f t="shared" si="75"/>
        <v>3.2200000000000006</v>
      </c>
      <c r="Z94" s="3157" t="e">
        <f t="shared" si="75"/>
        <v>#REF!</v>
      </c>
      <c r="AA94" s="3157">
        <f t="shared" si="75"/>
        <v>1.9500000000000002</v>
      </c>
      <c r="AB94" s="144"/>
      <c r="AC94" s="2867"/>
      <c r="AD94" s="2867"/>
      <c r="AE94" s="2867"/>
      <c r="AF94" s="2867"/>
      <c r="AG94" s="2867"/>
      <c r="AH94" s="2867"/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6"/>
      <c r="O95" s="146"/>
      <c r="P95" s="146"/>
      <c r="Q95" s="144"/>
      <c r="R95" s="144"/>
      <c r="S95" s="144"/>
      <c r="T95" s="144"/>
      <c r="U95" s="3157">
        <f t="shared" si="75"/>
        <v>1.6</v>
      </c>
      <c r="V95" s="3157">
        <f t="shared" si="75"/>
        <v>8.15</v>
      </c>
      <c r="W95" s="3157">
        <f t="shared" si="75"/>
        <v>5.1999999999999993</v>
      </c>
      <c r="X95" s="3157">
        <f t="shared" si="75"/>
        <v>8.1</v>
      </c>
      <c r="Y95" s="3157">
        <f t="shared" si="75"/>
        <v>3.2200000000000006</v>
      </c>
      <c r="Z95" s="3157" t="e">
        <f t="shared" si="75"/>
        <v>#REF!</v>
      </c>
      <c r="AA95" s="3157">
        <f t="shared" si="75"/>
        <v>1.9500000000000002</v>
      </c>
      <c r="AB95" s="144"/>
      <c r="AC95" s="2867">
        <v>0</v>
      </c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82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6"/>
      <c r="O96" s="146"/>
      <c r="P96" s="146"/>
      <c r="Q96" s="144"/>
      <c r="R96" s="144"/>
      <c r="S96" s="144"/>
      <c r="T96" s="144"/>
      <c r="U96" s="3157">
        <f t="shared" si="75"/>
        <v>1.6</v>
      </c>
      <c r="V96" s="3157">
        <f t="shared" si="75"/>
        <v>8.15</v>
      </c>
      <c r="W96" s="3157">
        <f t="shared" si="75"/>
        <v>5.1999999999999993</v>
      </c>
      <c r="X96" s="3157">
        <f t="shared" si="75"/>
        <v>8.1</v>
      </c>
      <c r="Y96" s="3157">
        <f t="shared" si="75"/>
        <v>3.2200000000000006</v>
      </c>
      <c r="Z96" s="3157" t="e">
        <f t="shared" si="75"/>
        <v>#REF!</v>
      </c>
      <c r="AA96" s="3157">
        <f t="shared" si="75"/>
        <v>1.9500000000000002</v>
      </c>
      <c r="AB96" s="144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6"/>
      <c r="O97" s="146"/>
      <c r="P97" s="146"/>
      <c r="Q97" s="144"/>
      <c r="R97" s="144"/>
      <c r="S97" s="144"/>
      <c r="T97" s="144"/>
      <c r="U97" s="3157">
        <f t="shared" si="75"/>
        <v>1.6</v>
      </c>
      <c r="V97" s="3157">
        <f t="shared" si="75"/>
        <v>8.15</v>
      </c>
      <c r="W97" s="3157">
        <f t="shared" si="75"/>
        <v>5.1999999999999993</v>
      </c>
      <c r="X97" s="3157">
        <f t="shared" si="75"/>
        <v>8.1</v>
      </c>
      <c r="Y97" s="3157">
        <f t="shared" si="75"/>
        <v>3.2200000000000006</v>
      </c>
      <c r="Z97" s="3157" t="e">
        <f t="shared" si="75"/>
        <v>#REF!</v>
      </c>
      <c r="AA97" s="3157">
        <f t="shared" si="75"/>
        <v>1.9500000000000002</v>
      </c>
      <c r="AB97" s="144"/>
      <c r="AC97" s="2867">
        <v>0</v>
      </c>
      <c r="AD97" s="2867">
        <v>0</v>
      </c>
      <c r="AE97" s="2867">
        <v>0</v>
      </c>
      <c r="AF97" s="2867">
        <v>0</v>
      </c>
      <c r="AG97" s="2867">
        <v>0</v>
      </c>
      <c r="AH97" s="2867">
        <v>0</v>
      </c>
      <c r="AI97" s="2825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6"/>
      <c r="O98" s="146"/>
      <c r="P98" s="146"/>
      <c r="Q98" s="144"/>
      <c r="R98" s="144"/>
      <c r="S98" s="144"/>
      <c r="T98" s="144"/>
      <c r="U98" s="3157">
        <f t="shared" si="75"/>
        <v>1.6</v>
      </c>
      <c r="V98" s="3157">
        <f t="shared" si="75"/>
        <v>8.15</v>
      </c>
      <c r="W98" s="3157">
        <f t="shared" si="75"/>
        <v>5.1999999999999993</v>
      </c>
      <c r="X98" s="3157">
        <f t="shared" si="75"/>
        <v>8.1</v>
      </c>
      <c r="Y98" s="3157">
        <f t="shared" si="75"/>
        <v>3.2200000000000006</v>
      </c>
      <c r="Z98" s="3157" t="e">
        <f t="shared" si="75"/>
        <v>#REF!</v>
      </c>
      <c r="AA98" s="3157">
        <f t="shared" si="75"/>
        <v>1.9500000000000002</v>
      </c>
      <c r="AB98" s="144"/>
      <c r="AC98" s="2867"/>
      <c r="AD98" s="2867"/>
      <c r="AE98" s="2867"/>
      <c r="AF98" s="2867"/>
      <c r="AG98" s="2867"/>
      <c r="AH98" s="2867"/>
      <c r="AI98" s="2825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6"/>
      <c r="O99" s="146"/>
      <c r="P99" s="146"/>
      <c r="Q99" s="144"/>
      <c r="R99" s="144"/>
      <c r="S99" s="144"/>
      <c r="T99" s="144"/>
      <c r="U99" s="3157">
        <f t="shared" si="75"/>
        <v>1.6</v>
      </c>
      <c r="V99" s="3157">
        <f t="shared" si="75"/>
        <v>8.15</v>
      </c>
      <c r="W99" s="3157">
        <f t="shared" si="75"/>
        <v>5.1999999999999993</v>
      </c>
      <c r="X99" s="3157">
        <f t="shared" si="75"/>
        <v>8.1</v>
      </c>
      <c r="Y99" s="3157">
        <f t="shared" si="75"/>
        <v>3.2200000000000006</v>
      </c>
      <c r="Z99" s="3157" t="e">
        <f t="shared" si="75"/>
        <v>#REF!</v>
      </c>
      <c r="AA99" s="3157">
        <f t="shared" si="75"/>
        <v>1.9500000000000002</v>
      </c>
      <c r="AB99" s="144"/>
      <c r="AC99" s="2867"/>
      <c r="AD99" s="2867"/>
      <c r="AE99" s="2867"/>
      <c r="AF99" s="2867"/>
      <c r="AG99" s="2867"/>
      <c r="AH99" s="2867"/>
      <c r="AI99" s="2825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6"/>
      <c r="O100" s="146"/>
      <c r="P100" s="146"/>
      <c r="Q100" s="144"/>
      <c r="R100" s="144"/>
      <c r="S100" s="144"/>
      <c r="T100" s="144"/>
      <c r="U100" s="3157">
        <f t="shared" si="75"/>
        <v>1.6</v>
      </c>
      <c r="V100" s="3157">
        <f t="shared" si="75"/>
        <v>8.15</v>
      </c>
      <c r="W100" s="3157">
        <f t="shared" si="75"/>
        <v>5.1999999999999993</v>
      </c>
      <c r="X100" s="3157">
        <f t="shared" si="75"/>
        <v>8.1</v>
      </c>
      <c r="Y100" s="3157">
        <f t="shared" si="75"/>
        <v>3.2200000000000006</v>
      </c>
      <c r="Z100" s="3157" t="e">
        <f t="shared" si="75"/>
        <v>#REF!</v>
      </c>
      <c r="AA100" s="3157">
        <f t="shared" si="75"/>
        <v>1.9500000000000002</v>
      </c>
      <c r="AB100" s="144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6"/>
      <c r="O101" s="146"/>
      <c r="P101" s="146"/>
      <c r="Q101" s="144"/>
      <c r="R101" s="144"/>
      <c r="S101" s="144"/>
      <c r="T101" s="144"/>
      <c r="U101" s="3157">
        <f t="shared" si="75"/>
        <v>1.6</v>
      </c>
      <c r="V101" s="3157">
        <f t="shared" si="75"/>
        <v>8.15</v>
      </c>
      <c r="W101" s="3157">
        <f t="shared" si="75"/>
        <v>5.1999999999999993</v>
      </c>
      <c r="X101" s="3157">
        <f t="shared" si="75"/>
        <v>8.1</v>
      </c>
      <c r="Y101" s="3157">
        <f t="shared" si="75"/>
        <v>3.2200000000000006</v>
      </c>
      <c r="Z101" s="3157" t="e">
        <f t="shared" si="75"/>
        <v>#REF!</v>
      </c>
      <c r="AA101" s="3157">
        <f t="shared" si="75"/>
        <v>1.9500000000000002</v>
      </c>
      <c r="AB101" s="144"/>
      <c r="AC101" s="2867">
        <v>0</v>
      </c>
      <c r="AD101" s="2867">
        <v>0</v>
      </c>
      <c r="AE101" s="2867">
        <v>0</v>
      </c>
      <c r="AF101" s="2867">
        <v>0</v>
      </c>
      <c r="AG101" s="2867">
        <v>0</v>
      </c>
      <c r="AH101" s="2867">
        <v>0</v>
      </c>
      <c r="AI101" s="2825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6"/>
      <c r="O102" s="146"/>
      <c r="P102" s="146"/>
      <c r="Q102" s="144"/>
      <c r="R102" s="144"/>
      <c r="S102" s="144"/>
      <c r="T102" s="144"/>
      <c r="U102" s="3157">
        <f t="shared" si="75"/>
        <v>1.6</v>
      </c>
      <c r="V102" s="3157">
        <f t="shared" si="75"/>
        <v>8.15</v>
      </c>
      <c r="W102" s="3157">
        <f t="shared" si="75"/>
        <v>5.1999999999999993</v>
      </c>
      <c r="X102" s="3157">
        <f t="shared" si="75"/>
        <v>8.1</v>
      </c>
      <c r="Y102" s="3157">
        <f t="shared" si="75"/>
        <v>3.2200000000000006</v>
      </c>
      <c r="Z102" s="3157" t="e">
        <f t="shared" si="75"/>
        <v>#REF!</v>
      </c>
      <c r="AA102" s="3157">
        <f t="shared" si="75"/>
        <v>1.9500000000000002</v>
      </c>
      <c r="AB102" s="144"/>
      <c r="AC102" s="2867"/>
      <c r="AD102" s="2867"/>
      <c r="AE102" s="2867"/>
      <c r="AF102" s="2867"/>
      <c r="AG102" s="2867"/>
      <c r="AH102" s="2867"/>
      <c r="AI102" s="2825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6"/>
      <c r="O103" s="146"/>
      <c r="P103" s="146"/>
      <c r="Q103" s="144"/>
      <c r="R103" s="144"/>
      <c r="S103" s="144"/>
      <c r="T103" s="144"/>
      <c r="U103" s="3157">
        <f t="shared" si="75"/>
        <v>1.6</v>
      </c>
      <c r="V103" s="3157">
        <f t="shared" si="75"/>
        <v>8.15</v>
      </c>
      <c r="W103" s="3157">
        <f t="shared" si="75"/>
        <v>5.1999999999999993</v>
      </c>
      <c r="X103" s="3157">
        <f t="shared" si="75"/>
        <v>8.1</v>
      </c>
      <c r="Y103" s="3157">
        <f t="shared" si="75"/>
        <v>3.2200000000000006</v>
      </c>
      <c r="Z103" s="3157" t="e">
        <f t="shared" si="75"/>
        <v>#REF!</v>
      </c>
      <c r="AA103" s="3157">
        <f t="shared" si="75"/>
        <v>1.9500000000000002</v>
      </c>
      <c r="AB103" s="144"/>
      <c r="AC103" s="2867"/>
      <c r="AD103" s="2867"/>
      <c r="AE103" s="2867"/>
      <c r="AF103" s="2867"/>
      <c r="AG103" s="2867"/>
      <c r="AH103" s="2867"/>
      <c r="AI103" s="2825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6"/>
      <c r="O104" s="146"/>
      <c r="P104" s="146"/>
      <c r="Q104" s="144"/>
      <c r="R104" s="144"/>
      <c r="S104" s="144"/>
      <c r="T104" s="144"/>
      <c r="U104" s="3157">
        <f t="shared" ref="U104:AA119" si="76">IF(U103&gt;0,U103,U102)</f>
        <v>1.6</v>
      </c>
      <c r="V104" s="3157">
        <f t="shared" si="76"/>
        <v>8.15</v>
      </c>
      <c r="W104" s="3157">
        <f t="shared" si="76"/>
        <v>5.1999999999999993</v>
      </c>
      <c r="X104" s="3157">
        <f t="shared" si="76"/>
        <v>8.1</v>
      </c>
      <c r="Y104" s="3157">
        <f t="shared" si="76"/>
        <v>3.2200000000000006</v>
      </c>
      <c r="Z104" s="3157" t="e">
        <f t="shared" si="76"/>
        <v>#REF!</v>
      </c>
      <c r="AA104" s="3157">
        <f t="shared" si="76"/>
        <v>1.9500000000000002</v>
      </c>
      <c r="AB104" s="144"/>
      <c r="AC104" s="2867">
        <v>0</v>
      </c>
      <c r="AD104" s="2867">
        <v>0</v>
      </c>
      <c r="AE104" s="2867">
        <v>0</v>
      </c>
      <c r="AF104" s="2867">
        <v>0</v>
      </c>
      <c r="AG104" s="2867">
        <v>0</v>
      </c>
      <c r="AH104" s="2867">
        <v>0</v>
      </c>
      <c r="AI104" s="2825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6"/>
      <c r="O105" s="146"/>
      <c r="P105" s="146"/>
      <c r="Q105" s="144"/>
      <c r="R105" s="144"/>
      <c r="S105" s="144"/>
      <c r="T105" s="144"/>
      <c r="U105" s="3157">
        <f t="shared" si="76"/>
        <v>1.6</v>
      </c>
      <c r="V105" s="3157">
        <f t="shared" si="76"/>
        <v>8.15</v>
      </c>
      <c r="W105" s="3157">
        <f t="shared" si="76"/>
        <v>5.1999999999999993</v>
      </c>
      <c r="X105" s="3157">
        <f t="shared" si="76"/>
        <v>8.1</v>
      </c>
      <c r="Y105" s="3157">
        <f t="shared" si="76"/>
        <v>3.2200000000000006</v>
      </c>
      <c r="Z105" s="3157" t="e">
        <f t="shared" si="76"/>
        <v>#REF!</v>
      </c>
      <c r="AA105" s="3157">
        <f t="shared" si="76"/>
        <v>1.9500000000000002</v>
      </c>
      <c r="AB105" s="144"/>
      <c r="AC105" s="2867">
        <v>0</v>
      </c>
      <c r="AD105" s="2867">
        <v>0</v>
      </c>
      <c r="AE105" s="2867">
        <v>0</v>
      </c>
      <c r="AF105" s="2867">
        <v>0</v>
      </c>
      <c r="AG105" s="2867">
        <v>0</v>
      </c>
      <c r="AH105" s="2867">
        <v>0</v>
      </c>
      <c r="AI105" s="2825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6"/>
      <c r="O106" s="146"/>
      <c r="P106" s="146"/>
      <c r="Q106" s="144"/>
      <c r="R106" s="144"/>
      <c r="S106" s="144"/>
      <c r="T106" s="144"/>
      <c r="U106" s="3157">
        <f t="shared" si="76"/>
        <v>1.6</v>
      </c>
      <c r="V106" s="3157">
        <f t="shared" si="76"/>
        <v>8.15</v>
      </c>
      <c r="W106" s="3157">
        <f t="shared" si="76"/>
        <v>5.1999999999999993</v>
      </c>
      <c r="X106" s="3157">
        <f t="shared" si="76"/>
        <v>8.1</v>
      </c>
      <c r="Y106" s="3157">
        <f t="shared" si="76"/>
        <v>3.2200000000000006</v>
      </c>
      <c r="Z106" s="3157" t="e">
        <f t="shared" si="76"/>
        <v>#REF!</v>
      </c>
      <c r="AA106" s="3157">
        <f t="shared" si="76"/>
        <v>1.9500000000000002</v>
      </c>
      <c r="AB106" s="144"/>
      <c r="AC106" s="2867">
        <v>0</v>
      </c>
      <c r="AD106" s="2867">
        <v>0</v>
      </c>
      <c r="AE106" s="2867">
        <v>0</v>
      </c>
      <c r="AF106" s="2867">
        <v>0</v>
      </c>
      <c r="AG106" s="2867">
        <v>0</v>
      </c>
      <c r="AH106" s="2867">
        <v>0</v>
      </c>
      <c r="AI106" s="2825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6"/>
      <c r="O107" s="146"/>
      <c r="P107" s="146"/>
      <c r="Q107" s="144"/>
      <c r="R107" s="144"/>
      <c r="S107" s="144"/>
      <c r="T107" s="144"/>
      <c r="U107" s="3157">
        <f t="shared" si="76"/>
        <v>1.6</v>
      </c>
      <c r="V107" s="3157">
        <f t="shared" si="76"/>
        <v>8.15</v>
      </c>
      <c r="W107" s="3157">
        <f t="shared" si="76"/>
        <v>5.1999999999999993</v>
      </c>
      <c r="X107" s="3157">
        <f t="shared" si="76"/>
        <v>8.1</v>
      </c>
      <c r="Y107" s="3157">
        <f t="shared" si="76"/>
        <v>3.2200000000000006</v>
      </c>
      <c r="Z107" s="3157" t="e">
        <f t="shared" si="76"/>
        <v>#REF!</v>
      </c>
      <c r="AA107" s="3157">
        <f t="shared" si="76"/>
        <v>1.9500000000000002</v>
      </c>
      <c r="AB107" s="144"/>
      <c r="AC107" s="2867">
        <v>0</v>
      </c>
      <c r="AD107" s="2867">
        <v>0</v>
      </c>
      <c r="AE107" s="2867">
        <v>0</v>
      </c>
      <c r="AF107" s="2867">
        <v>0</v>
      </c>
      <c r="AG107" s="2867">
        <v>0</v>
      </c>
      <c r="AH107" s="2867">
        <v>0</v>
      </c>
      <c r="AI107" s="2825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6"/>
      <c r="O108" s="146"/>
      <c r="P108" s="146"/>
      <c r="Q108" s="144"/>
      <c r="R108" s="144"/>
      <c r="S108" s="144"/>
      <c r="T108" s="144"/>
      <c r="U108" s="3157">
        <f t="shared" si="76"/>
        <v>1.6</v>
      </c>
      <c r="V108" s="3157">
        <f t="shared" si="76"/>
        <v>8.15</v>
      </c>
      <c r="W108" s="3157">
        <f t="shared" si="76"/>
        <v>5.1999999999999993</v>
      </c>
      <c r="X108" s="3157">
        <f t="shared" si="76"/>
        <v>8.1</v>
      </c>
      <c r="Y108" s="3157">
        <f t="shared" si="76"/>
        <v>3.2200000000000006</v>
      </c>
      <c r="Z108" s="3157" t="e">
        <f t="shared" si="76"/>
        <v>#REF!</v>
      </c>
      <c r="AA108" s="3157">
        <f t="shared" si="76"/>
        <v>1.9500000000000002</v>
      </c>
      <c r="AB108" s="144"/>
      <c r="AC108" s="2867"/>
      <c r="AD108" s="2867"/>
      <c r="AE108" s="2867"/>
      <c r="AF108" s="2867"/>
      <c r="AG108" s="2867"/>
      <c r="AH108" s="2867"/>
      <c r="AI108" s="2825"/>
      <c r="AJ108" s="1"/>
      <c r="AK108" s="1"/>
      <c r="AL108" s="1"/>
      <c r="AM108" s="1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6"/>
      <c r="O109" s="146"/>
      <c r="P109" s="146"/>
      <c r="Q109" s="144"/>
      <c r="R109" s="144"/>
      <c r="S109" s="144"/>
      <c r="T109" s="144"/>
      <c r="U109" s="3157">
        <f t="shared" si="76"/>
        <v>1.6</v>
      </c>
      <c r="V109" s="3157">
        <f t="shared" si="76"/>
        <v>8.15</v>
      </c>
      <c r="W109" s="3157">
        <f t="shared" si="76"/>
        <v>5.1999999999999993</v>
      </c>
      <c r="X109" s="3157">
        <f t="shared" si="76"/>
        <v>8.1</v>
      </c>
      <c r="Y109" s="3157">
        <f t="shared" si="76"/>
        <v>3.2200000000000006</v>
      </c>
      <c r="Z109" s="3157" t="e">
        <f t="shared" si="76"/>
        <v>#REF!</v>
      </c>
      <c r="AA109" s="3157">
        <f t="shared" si="76"/>
        <v>1.9500000000000002</v>
      </c>
      <c r="AB109" s="144"/>
      <c r="AC109" s="2867">
        <v>0</v>
      </c>
      <c r="AD109" s="2867">
        <v>0</v>
      </c>
      <c r="AE109" s="2867">
        <v>0</v>
      </c>
      <c r="AF109" s="2867">
        <v>0</v>
      </c>
      <c r="AG109" s="2867">
        <v>0</v>
      </c>
      <c r="AH109" s="2867">
        <v>0</v>
      </c>
      <c r="AI109" s="2825"/>
      <c r="AJ109" s="1"/>
      <c r="AK109" s="1"/>
      <c r="AL109" s="1"/>
      <c r="AM109" s="1"/>
      <c r="AN109" s="1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6"/>
      <c r="O110" s="146"/>
      <c r="P110" s="146"/>
      <c r="Q110" s="144"/>
      <c r="R110" s="144"/>
      <c r="S110" s="144"/>
      <c r="T110" s="144"/>
      <c r="U110" s="3157">
        <f t="shared" si="76"/>
        <v>1.6</v>
      </c>
      <c r="V110" s="3157">
        <f t="shared" si="76"/>
        <v>8.15</v>
      </c>
      <c r="W110" s="3157">
        <f t="shared" si="76"/>
        <v>5.1999999999999993</v>
      </c>
      <c r="X110" s="3157">
        <f t="shared" si="76"/>
        <v>8.1</v>
      </c>
      <c r="Y110" s="3157">
        <f t="shared" si="76"/>
        <v>3.2200000000000006</v>
      </c>
      <c r="Z110" s="3157" t="e">
        <f t="shared" si="76"/>
        <v>#REF!</v>
      </c>
      <c r="AA110" s="3157">
        <f t="shared" si="76"/>
        <v>1.9500000000000002</v>
      </c>
      <c r="AB110" s="144"/>
      <c r="AC110" s="2867">
        <v>0</v>
      </c>
      <c r="AD110" s="2867">
        <v>0</v>
      </c>
      <c r="AE110" s="2867">
        <v>0</v>
      </c>
      <c r="AF110" s="2867">
        <v>0</v>
      </c>
      <c r="AG110" s="2867">
        <v>0</v>
      </c>
      <c r="AH110" s="2867">
        <v>0</v>
      </c>
      <c r="AI110" s="2825"/>
      <c r="AJ110" s="1"/>
      <c r="AK110" s="1"/>
      <c r="AL110" s="1"/>
      <c r="AM110" s="1"/>
      <c r="AN110" s="1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6"/>
      <c r="O111" s="146"/>
      <c r="P111" s="146"/>
      <c r="Q111" s="144"/>
      <c r="R111" s="144"/>
      <c r="S111" s="144"/>
      <c r="T111" s="144"/>
      <c r="U111" s="3157">
        <f t="shared" si="76"/>
        <v>1.6</v>
      </c>
      <c r="V111" s="3157">
        <f t="shared" si="76"/>
        <v>8.15</v>
      </c>
      <c r="W111" s="3157">
        <f t="shared" si="76"/>
        <v>5.1999999999999993</v>
      </c>
      <c r="X111" s="3157">
        <f t="shared" si="76"/>
        <v>8.1</v>
      </c>
      <c r="Y111" s="3157">
        <f t="shared" si="76"/>
        <v>3.2200000000000006</v>
      </c>
      <c r="Z111" s="3157" t="e">
        <f t="shared" si="76"/>
        <v>#REF!</v>
      </c>
      <c r="AA111" s="3157">
        <f t="shared" si="76"/>
        <v>1.9500000000000002</v>
      </c>
      <c r="AB111" s="144"/>
      <c r="AC111" s="2867"/>
      <c r="AD111" s="2867"/>
      <c r="AE111" s="2867"/>
      <c r="AF111" s="2867"/>
      <c r="AG111" s="2867"/>
      <c r="AH111" s="2867"/>
      <c r="AI111" s="2825"/>
      <c r="AJ111" s="1"/>
      <c r="AK111" s="1"/>
      <c r="AL111" s="1"/>
      <c r="AM111" s="1"/>
      <c r="AN111" s="1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6"/>
      <c r="O112" s="146"/>
      <c r="P112" s="146"/>
      <c r="Q112" s="144"/>
      <c r="R112" s="144"/>
      <c r="S112" s="144"/>
      <c r="T112" s="144"/>
      <c r="U112" s="3157">
        <f t="shared" si="76"/>
        <v>1.6</v>
      </c>
      <c r="V112" s="3157">
        <f t="shared" si="76"/>
        <v>8.15</v>
      </c>
      <c r="W112" s="3157">
        <f t="shared" si="76"/>
        <v>5.1999999999999993</v>
      </c>
      <c r="X112" s="3157">
        <f t="shared" si="76"/>
        <v>8.1</v>
      </c>
      <c r="Y112" s="3157">
        <f t="shared" si="76"/>
        <v>3.2200000000000006</v>
      </c>
      <c r="Z112" s="3157" t="e">
        <f t="shared" si="76"/>
        <v>#REF!</v>
      </c>
      <c r="AA112" s="3157">
        <f t="shared" si="76"/>
        <v>1.9500000000000002</v>
      </c>
      <c r="AB112" s="144"/>
      <c r="AC112" s="2867"/>
      <c r="AD112" s="2867"/>
      <c r="AE112" s="2867"/>
      <c r="AF112" s="2867"/>
      <c r="AG112" s="2867"/>
      <c r="AH112" s="2867"/>
      <c r="AI112" s="2825"/>
      <c r="AJ112" s="1"/>
      <c r="AK112" s="1"/>
      <c r="AL112" s="1"/>
      <c r="AM112" s="1"/>
      <c r="AN112" s="1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6"/>
      <c r="O113" s="146"/>
      <c r="P113" s="146"/>
      <c r="Q113" s="144"/>
      <c r="R113" s="144"/>
      <c r="S113" s="144"/>
      <c r="T113" s="144"/>
      <c r="U113" s="3157">
        <f t="shared" si="76"/>
        <v>1.6</v>
      </c>
      <c r="V113" s="3157">
        <f t="shared" si="76"/>
        <v>8.15</v>
      </c>
      <c r="W113" s="3157">
        <f t="shared" si="76"/>
        <v>5.1999999999999993</v>
      </c>
      <c r="X113" s="3157">
        <f t="shared" si="76"/>
        <v>8.1</v>
      </c>
      <c r="Y113" s="3157">
        <f t="shared" si="76"/>
        <v>3.2200000000000006</v>
      </c>
      <c r="Z113" s="3157" t="e">
        <f t="shared" si="76"/>
        <v>#REF!</v>
      </c>
      <c r="AA113" s="3157">
        <f t="shared" si="76"/>
        <v>1.9500000000000002</v>
      </c>
      <c r="AB113" s="144"/>
      <c r="AC113" s="2867">
        <v>0</v>
      </c>
      <c r="AD113" s="2867">
        <v>0</v>
      </c>
      <c r="AE113" s="2867">
        <v>0</v>
      </c>
      <c r="AF113" s="2867">
        <v>0</v>
      </c>
      <c r="AG113" s="2867">
        <v>0</v>
      </c>
      <c r="AH113" s="2867">
        <v>0</v>
      </c>
      <c r="AI113" s="2825"/>
      <c r="AJ113" s="1"/>
      <c r="AK113" s="1"/>
      <c r="AL113" s="1"/>
      <c r="AM113" s="1"/>
      <c r="AN113" s="1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6"/>
      <c r="O114" s="146"/>
      <c r="P114" s="146"/>
      <c r="Q114" s="144"/>
      <c r="R114" s="144"/>
      <c r="S114" s="144"/>
      <c r="T114" s="144"/>
      <c r="U114" s="3157">
        <f t="shared" si="76"/>
        <v>1.6</v>
      </c>
      <c r="V114" s="3157">
        <f t="shared" si="76"/>
        <v>8.15</v>
      </c>
      <c r="W114" s="3157">
        <f t="shared" si="76"/>
        <v>5.1999999999999993</v>
      </c>
      <c r="X114" s="3157">
        <f t="shared" si="76"/>
        <v>8.1</v>
      </c>
      <c r="Y114" s="3157">
        <f t="shared" si="76"/>
        <v>3.2200000000000006</v>
      </c>
      <c r="Z114" s="3157" t="e">
        <f t="shared" si="76"/>
        <v>#REF!</v>
      </c>
      <c r="AA114" s="3157">
        <f t="shared" si="76"/>
        <v>1.9500000000000002</v>
      </c>
      <c r="AB114" s="144"/>
      <c r="AC114" s="2867">
        <v>0</v>
      </c>
      <c r="AD114" s="2867">
        <v>0</v>
      </c>
      <c r="AE114" s="2867">
        <v>0</v>
      </c>
      <c r="AF114" s="2867">
        <v>0</v>
      </c>
      <c r="AG114" s="2867">
        <v>0</v>
      </c>
      <c r="AH114" s="2867">
        <v>0</v>
      </c>
      <c r="AI114" s="2825"/>
      <c r="AJ114" s="1"/>
      <c r="AK114" s="1"/>
      <c r="AL114" s="1"/>
      <c r="AM114" s="1"/>
      <c r="AN114" s="1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6"/>
      <c r="O115" s="146"/>
      <c r="P115" s="146"/>
      <c r="Q115" s="144"/>
      <c r="R115" s="144"/>
      <c r="S115" s="144"/>
      <c r="T115" s="144"/>
      <c r="U115" s="3157">
        <f t="shared" si="76"/>
        <v>1.6</v>
      </c>
      <c r="V115" s="3157">
        <f t="shared" si="76"/>
        <v>8.15</v>
      </c>
      <c r="W115" s="3157">
        <f t="shared" si="76"/>
        <v>5.1999999999999993</v>
      </c>
      <c r="X115" s="3157">
        <f t="shared" si="76"/>
        <v>8.1</v>
      </c>
      <c r="Y115" s="3157">
        <f t="shared" si="76"/>
        <v>3.2200000000000006</v>
      </c>
      <c r="Z115" s="3157" t="e">
        <f t="shared" si="76"/>
        <v>#REF!</v>
      </c>
      <c r="AA115" s="3157">
        <f t="shared" si="76"/>
        <v>1.9500000000000002</v>
      </c>
      <c r="AB115" s="144"/>
      <c r="AC115" s="2867">
        <v>0</v>
      </c>
      <c r="AD115" s="2867">
        <v>0</v>
      </c>
      <c r="AE115" s="2867">
        <v>0</v>
      </c>
      <c r="AF115" s="2867">
        <v>0</v>
      </c>
      <c r="AG115" s="2867">
        <v>0</v>
      </c>
      <c r="AH115" s="2867">
        <v>0</v>
      </c>
      <c r="AI115" s="2825"/>
      <c r="AJ115" s="1"/>
      <c r="AK115" s="1"/>
      <c r="AL115" s="1"/>
      <c r="AM115" s="1"/>
      <c r="AN115" s="1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6"/>
      <c r="O116" s="146"/>
      <c r="P116" s="146"/>
      <c r="Q116" s="144"/>
      <c r="R116" s="144"/>
      <c r="S116" s="144"/>
      <c r="T116" s="144"/>
      <c r="U116" s="3157">
        <f t="shared" si="76"/>
        <v>1.6</v>
      </c>
      <c r="V116" s="3157">
        <f t="shared" si="76"/>
        <v>8.15</v>
      </c>
      <c r="W116" s="3157">
        <f t="shared" si="76"/>
        <v>5.1999999999999993</v>
      </c>
      <c r="X116" s="3157">
        <f t="shared" si="76"/>
        <v>8.1</v>
      </c>
      <c r="Y116" s="3157">
        <f t="shared" si="76"/>
        <v>3.2200000000000006</v>
      </c>
      <c r="Z116" s="3157" t="e">
        <f t="shared" si="76"/>
        <v>#REF!</v>
      </c>
      <c r="AA116" s="3157">
        <f t="shared" si="76"/>
        <v>1.9500000000000002</v>
      </c>
      <c r="AB116" s="144"/>
      <c r="AC116" s="2867"/>
      <c r="AD116" s="2867"/>
      <c r="AE116" s="2867"/>
      <c r="AF116" s="2867"/>
      <c r="AG116" s="2867"/>
      <c r="AH116" s="2867"/>
      <c r="AI116" s="2825"/>
      <c r="AJ116" s="1"/>
      <c r="AK116" s="1"/>
      <c r="AL116" s="1"/>
      <c r="AM116" s="1"/>
      <c r="AN116" s="1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6"/>
      <c r="O117" s="146"/>
      <c r="P117" s="146"/>
      <c r="Q117" s="144"/>
      <c r="R117" s="144"/>
      <c r="S117" s="144"/>
      <c r="T117" s="144"/>
      <c r="U117" s="3157">
        <f t="shared" si="76"/>
        <v>1.6</v>
      </c>
      <c r="V117" s="3157">
        <f t="shared" si="76"/>
        <v>8.15</v>
      </c>
      <c r="W117" s="3157">
        <f t="shared" si="76"/>
        <v>5.1999999999999993</v>
      </c>
      <c r="X117" s="3157">
        <f t="shared" si="76"/>
        <v>8.1</v>
      </c>
      <c r="Y117" s="3157">
        <f t="shared" si="76"/>
        <v>3.2200000000000006</v>
      </c>
      <c r="Z117" s="3157" t="e">
        <f t="shared" si="76"/>
        <v>#REF!</v>
      </c>
      <c r="AA117" s="3157">
        <f t="shared" si="76"/>
        <v>1.9500000000000002</v>
      </c>
      <c r="AB117" s="144"/>
      <c r="AC117" s="2867"/>
      <c r="AD117" s="2867"/>
      <c r="AE117" s="2867"/>
      <c r="AF117" s="2867"/>
      <c r="AG117" s="2867"/>
      <c r="AH117" s="2867"/>
      <c r="AI117" s="2825"/>
      <c r="AJ117" s="1"/>
      <c r="AK117" s="1"/>
      <c r="AL117" s="1"/>
      <c r="AM117" s="1"/>
      <c r="AN117" s="1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6"/>
      <c r="O118" s="146"/>
      <c r="P118" s="146"/>
      <c r="Q118" s="144"/>
      <c r="R118" s="144"/>
      <c r="S118" s="144"/>
      <c r="T118" s="144"/>
      <c r="U118" s="3157">
        <f t="shared" si="76"/>
        <v>1.6</v>
      </c>
      <c r="V118" s="3157">
        <f t="shared" si="76"/>
        <v>8.15</v>
      </c>
      <c r="W118" s="3157">
        <f t="shared" si="76"/>
        <v>5.1999999999999993</v>
      </c>
      <c r="X118" s="3157">
        <f t="shared" si="76"/>
        <v>8.1</v>
      </c>
      <c r="Y118" s="3157">
        <f t="shared" si="76"/>
        <v>3.2200000000000006</v>
      </c>
      <c r="Z118" s="3157" t="e">
        <f t="shared" si="76"/>
        <v>#REF!</v>
      </c>
      <c r="AA118" s="3157">
        <f t="shared" si="76"/>
        <v>1.9500000000000002</v>
      </c>
      <c r="AB118" s="144"/>
      <c r="AC118" s="2867">
        <v>0</v>
      </c>
      <c r="AD118" s="2867">
        <v>0</v>
      </c>
      <c r="AE118" s="2867">
        <v>0</v>
      </c>
      <c r="AF118" s="2867">
        <v>0</v>
      </c>
      <c r="AG118" s="2867">
        <v>0</v>
      </c>
      <c r="AH118" s="2867">
        <v>0</v>
      </c>
      <c r="AI118" s="2825"/>
      <c r="AJ118" s="1"/>
      <c r="AK118" s="1"/>
      <c r="AL118" s="1"/>
      <c r="AM118" s="1"/>
      <c r="AN118" s="1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6"/>
      <c r="O119" s="146"/>
      <c r="P119" s="146"/>
      <c r="Q119" s="144"/>
      <c r="R119" s="144"/>
      <c r="S119" s="144"/>
      <c r="T119" s="144"/>
      <c r="U119" s="3157">
        <f t="shared" si="76"/>
        <v>1.6</v>
      </c>
      <c r="V119" s="3157">
        <f t="shared" si="76"/>
        <v>8.15</v>
      </c>
      <c r="W119" s="3157">
        <f t="shared" si="76"/>
        <v>5.1999999999999993</v>
      </c>
      <c r="X119" s="3157">
        <f t="shared" si="76"/>
        <v>8.1</v>
      </c>
      <c r="Y119" s="3157">
        <f t="shared" si="76"/>
        <v>3.2200000000000006</v>
      </c>
      <c r="Z119" s="3157" t="e">
        <f t="shared" si="76"/>
        <v>#REF!</v>
      </c>
      <c r="AA119" s="3157">
        <f t="shared" si="76"/>
        <v>1.9500000000000002</v>
      </c>
      <c r="AB119" s="144"/>
      <c r="AC119" s="2867">
        <v>0</v>
      </c>
      <c r="AD119" s="2867">
        <v>0</v>
      </c>
      <c r="AE119" s="2867">
        <v>0</v>
      </c>
      <c r="AF119" s="2867">
        <v>0</v>
      </c>
      <c r="AG119" s="2867">
        <v>0</v>
      </c>
      <c r="AH119" s="2867">
        <v>0</v>
      </c>
      <c r="AI119" s="2825"/>
      <c r="AJ119" s="1"/>
      <c r="AK119" s="1"/>
      <c r="AL119" s="1"/>
      <c r="AM119" s="1"/>
      <c r="AN119" s="1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6"/>
      <c r="O120" s="146"/>
      <c r="P120" s="146"/>
      <c r="Q120" s="144"/>
      <c r="R120" s="144"/>
      <c r="S120" s="144"/>
      <c r="T120" s="144"/>
      <c r="U120" s="3157">
        <f t="shared" ref="U120:AA126" si="77">IF(U119&gt;0,U119,U118)</f>
        <v>1.6</v>
      </c>
      <c r="V120" s="3157">
        <f t="shared" si="77"/>
        <v>8.15</v>
      </c>
      <c r="W120" s="3157">
        <f t="shared" si="77"/>
        <v>5.1999999999999993</v>
      </c>
      <c r="X120" s="3157">
        <f t="shared" si="77"/>
        <v>8.1</v>
      </c>
      <c r="Y120" s="3157">
        <f t="shared" si="77"/>
        <v>3.2200000000000006</v>
      </c>
      <c r="Z120" s="3157" t="e">
        <f t="shared" si="77"/>
        <v>#REF!</v>
      </c>
      <c r="AA120" s="3157">
        <f t="shared" si="77"/>
        <v>1.9500000000000002</v>
      </c>
      <c r="AB120" s="144"/>
      <c r="AC120" s="2867">
        <v>0</v>
      </c>
      <c r="AD120" s="2867">
        <v>0</v>
      </c>
      <c r="AE120" s="2867">
        <v>0</v>
      </c>
      <c r="AF120" s="2867">
        <v>0</v>
      </c>
      <c r="AG120" s="2867">
        <v>0</v>
      </c>
      <c r="AH120" s="2867">
        <v>0</v>
      </c>
      <c r="AI120" s="2825"/>
      <c r="AJ120" s="1"/>
      <c r="AK120" s="1"/>
      <c r="AL120" s="1"/>
      <c r="AM120" s="1"/>
      <c r="AN120" s="1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6"/>
      <c r="O121" s="146"/>
      <c r="P121" s="146"/>
      <c r="Q121" s="144"/>
      <c r="R121" s="144"/>
      <c r="S121" s="144"/>
      <c r="T121" s="144"/>
      <c r="U121" s="3157">
        <f t="shared" si="77"/>
        <v>1.6</v>
      </c>
      <c r="V121" s="3157">
        <f t="shared" si="77"/>
        <v>8.15</v>
      </c>
      <c r="W121" s="3157">
        <f t="shared" si="77"/>
        <v>5.1999999999999993</v>
      </c>
      <c r="X121" s="3157">
        <f t="shared" si="77"/>
        <v>8.1</v>
      </c>
      <c r="Y121" s="3157">
        <f t="shared" si="77"/>
        <v>3.2200000000000006</v>
      </c>
      <c r="Z121" s="3157" t="e">
        <f t="shared" si="77"/>
        <v>#REF!</v>
      </c>
      <c r="AA121" s="3157">
        <f t="shared" si="77"/>
        <v>1.9500000000000002</v>
      </c>
      <c r="AB121" s="144"/>
      <c r="AC121" s="2867"/>
      <c r="AD121" s="2867"/>
      <c r="AE121" s="2867"/>
      <c r="AF121" s="2867"/>
      <c r="AG121" s="2867"/>
      <c r="AH121" s="2867"/>
      <c r="AI121" s="2825"/>
      <c r="AJ121" s="1"/>
      <c r="AK121" s="1"/>
      <c r="AL121" s="1"/>
      <c r="AM121" s="1"/>
      <c r="AN121" s="1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6"/>
      <c r="O122" s="146"/>
      <c r="P122" s="146"/>
      <c r="Q122" s="144"/>
      <c r="R122" s="144"/>
      <c r="S122" s="144"/>
      <c r="T122" s="144"/>
      <c r="U122" s="3157">
        <f t="shared" si="77"/>
        <v>1.6</v>
      </c>
      <c r="V122" s="3157">
        <f t="shared" si="77"/>
        <v>8.15</v>
      </c>
      <c r="W122" s="3157">
        <f t="shared" si="77"/>
        <v>5.1999999999999993</v>
      </c>
      <c r="X122" s="3157">
        <f t="shared" si="77"/>
        <v>8.1</v>
      </c>
      <c r="Y122" s="3157">
        <f t="shared" si="77"/>
        <v>3.2200000000000006</v>
      </c>
      <c r="Z122" s="3157" t="e">
        <f t="shared" si="77"/>
        <v>#REF!</v>
      </c>
      <c r="AA122" s="3157">
        <f t="shared" si="77"/>
        <v>1.9500000000000002</v>
      </c>
      <c r="AB122" s="144"/>
      <c r="AC122" s="2867"/>
      <c r="AD122" s="2867"/>
      <c r="AE122" s="2867"/>
      <c r="AF122" s="2867"/>
      <c r="AG122" s="2867"/>
      <c r="AH122" s="2867"/>
      <c r="AI122" s="2825"/>
      <c r="AJ122" s="1"/>
      <c r="AK122" s="1"/>
      <c r="AL122" s="1"/>
      <c r="AM122" s="1"/>
      <c r="AN122" s="1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6"/>
      <c r="O123" s="146"/>
      <c r="P123" s="146"/>
      <c r="Q123" s="144"/>
      <c r="R123" s="144"/>
      <c r="S123" s="144"/>
      <c r="T123" s="144"/>
      <c r="U123" s="3157">
        <f t="shared" si="77"/>
        <v>1.6</v>
      </c>
      <c r="V123" s="3157">
        <f t="shared" si="77"/>
        <v>8.15</v>
      </c>
      <c r="W123" s="3157">
        <f t="shared" si="77"/>
        <v>5.1999999999999993</v>
      </c>
      <c r="X123" s="3157">
        <f t="shared" si="77"/>
        <v>8.1</v>
      </c>
      <c r="Y123" s="3157">
        <f t="shared" si="77"/>
        <v>3.2200000000000006</v>
      </c>
      <c r="Z123" s="3157" t="e">
        <f t="shared" si="77"/>
        <v>#REF!</v>
      </c>
      <c r="AA123" s="3157">
        <f t="shared" si="77"/>
        <v>1.9500000000000002</v>
      </c>
      <c r="AB123" s="144"/>
      <c r="AC123" s="2867">
        <v>0</v>
      </c>
      <c r="AD123" s="2867">
        <v>0</v>
      </c>
      <c r="AE123" s="2867">
        <v>0</v>
      </c>
      <c r="AF123" s="2867">
        <v>0</v>
      </c>
      <c r="AG123" s="2867">
        <v>0</v>
      </c>
      <c r="AH123" s="2867">
        <v>0</v>
      </c>
      <c r="AI123" s="2825"/>
      <c r="AJ123" s="1"/>
      <c r="AK123" s="1"/>
      <c r="AL123" s="1"/>
      <c r="AM123" s="1"/>
      <c r="AN123" s="1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6"/>
      <c r="O124" s="146"/>
      <c r="P124" s="146"/>
      <c r="Q124" s="144"/>
      <c r="R124" s="144"/>
      <c r="S124" s="144"/>
      <c r="T124" s="144"/>
      <c r="U124" s="3157">
        <f t="shared" si="77"/>
        <v>1.6</v>
      </c>
      <c r="V124" s="3157">
        <f t="shared" si="77"/>
        <v>8.15</v>
      </c>
      <c r="W124" s="3157">
        <f t="shared" si="77"/>
        <v>5.1999999999999993</v>
      </c>
      <c r="X124" s="3157">
        <f t="shared" si="77"/>
        <v>8.1</v>
      </c>
      <c r="Y124" s="3157">
        <f t="shared" si="77"/>
        <v>3.2200000000000006</v>
      </c>
      <c r="Z124" s="3157" t="e">
        <f t="shared" si="77"/>
        <v>#REF!</v>
      </c>
      <c r="AA124" s="3157">
        <f t="shared" si="77"/>
        <v>1.9500000000000002</v>
      </c>
      <c r="AB124" s="144"/>
      <c r="AC124" s="2867">
        <v>0</v>
      </c>
      <c r="AD124" s="2867">
        <v>0</v>
      </c>
      <c r="AE124" s="2867">
        <v>0</v>
      </c>
      <c r="AF124" s="2867">
        <v>0</v>
      </c>
      <c r="AG124" s="2867">
        <v>0</v>
      </c>
      <c r="AH124" s="2867">
        <v>0</v>
      </c>
      <c r="AI124" s="2825"/>
      <c r="AJ124" s="1"/>
      <c r="AK124" s="1"/>
      <c r="AL124" s="1"/>
      <c r="AM124" s="1"/>
      <c r="AN124" s="1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6"/>
      <c r="O125" s="146"/>
      <c r="P125" s="146"/>
      <c r="Q125" s="144"/>
      <c r="R125" s="144"/>
      <c r="S125" s="144"/>
      <c r="T125" s="144"/>
      <c r="U125" s="3157">
        <f t="shared" si="77"/>
        <v>1.6</v>
      </c>
      <c r="V125" s="3157">
        <f t="shared" si="77"/>
        <v>8.15</v>
      </c>
      <c r="W125" s="3157">
        <f t="shared" si="77"/>
        <v>5.1999999999999993</v>
      </c>
      <c r="X125" s="3157">
        <f t="shared" si="77"/>
        <v>8.1</v>
      </c>
      <c r="Y125" s="3157">
        <f t="shared" si="77"/>
        <v>3.2200000000000006</v>
      </c>
      <c r="Z125" s="3157" t="e">
        <f t="shared" si="77"/>
        <v>#REF!</v>
      </c>
      <c r="AA125" s="3157">
        <f t="shared" si="77"/>
        <v>1.9500000000000002</v>
      </c>
      <c r="AB125" s="144"/>
      <c r="AC125" s="2867">
        <v>0</v>
      </c>
      <c r="AD125" s="2867">
        <v>0</v>
      </c>
      <c r="AE125" s="2867">
        <v>0</v>
      </c>
      <c r="AF125" s="2867">
        <v>0</v>
      </c>
      <c r="AG125" s="2867">
        <v>0</v>
      </c>
      <c r="AH125" s="2867">
        <v>0</v>
      </c>
      <c r="AI125" s="2825"/>
      <c r="AJ125" s="1"/>
      <c r="AK125" s="1"/>
      <c r="AL125" s="1"/>
      <c r="AM125" s="1"/>
      <c r="AN125" s="1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6"/>
      <c r="O126" s="146"/>
      <c r="P126" s="146"/>
      <c r="Q126" s="144"/>
      <c r="R126" s="144"/>
      <c r="S126" s="144"/>
      <c r="T126" s="144"/>
      <c r="U126" s="3158">
        <f>IF(U125&gt;0,U125,U124)</f>
        <v>1.6</v>
      </c>
      <c r="V126" s="3158">
        <f t="shared" si="77"/>
        <v>8.15</v>
      </c>
      <c r="W126" s="3158">
        <f t="shared" si="77"/>
        <v>5.1999999999999993</v>
      </c>
      <c r="X126" s="3158">
        <f t="shared" si="77"/>
        <v>8.1</v>
      </c>
      <c r="Y126" s="3158">
        <f t="shared" si="77"/>
        <v>3.2200000000000006</v>
      </c>
      <c r="Z126" s="3158" t="e">
        <f t="shared" si="77"/>
        <v>#REF!</v>
      </c>
      <c r="AA126" s="3158">
        <f t="shared" si="77"/>
        <v>1.9500000000000002</v>
      </c>
      <c r="AB126" s="144"/>
      <c r="AC126" s="2867"/>
      <c r="AD126" s="2867"/>
      <c r="AE126" s="2867"/>
      <c r="AF126" s="2867"/>
      <c r="AG126" s="2867"/>
      <c r="AH126" s="2867"/>
      <c r="AI126" s="2825"/>
      <c r="AJ126" s="1"/>
      <c r="AK126" s="1"/>
      <c r="AL126" s="1"/>
      <c r="AM126" s="1"/>
      <c r="AN126" s="1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6"/>
      <c r="O127" s="146"/>
      <c r="P127" s="146"/>
      <c r="Q127" s="144"/>
      <c r="R127" s="144"/>
      <c r="S127" s="144"/>
      <c r="T127" s="144"/>
      <c r="U127" s="2838"/>
      <c r="V127" s="2838"/>
      <c r="W127" s="2838"/>
      <c r="X127" s="2838"/>
      <c r="Y127" s="2838"/>
      <c r="Z127" s="2838"/>
      <c r="AA127" s="2838"/>
      <c r="AB127" s="144"/>
      <c r="AC127" s="2867"/>
      <c r="AD127" s="2867"/>
      <c r="AE127" s="2867"/>
      <c r="AF127" s="2867"/>
      <c r="AG127" s="2867"/>
      <c r="AH127" s="2867"/>
      <c r="AI127" s="2825"/>
      <c r="AJ127" s="1"/>
      <c r="AK127" s="1"/>
      <c r="AL127" s="1"/>
      <c r="AM127" s="1"/>
      <c r="AN127" s="1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6"/>
      <c r="O128" s="146"/>
      <c r="P128" s="146"/>
      <c r="Q128" s="144"/>
      <c r="R128" s="144"/>
      <c r="S128" s="144"/>
      <c r="T128" s="144"/>
      <c r="U128" s="2838"/>
      <c r="V128" s="2838"/>
      <c r="W128" s="2838"/>
      <c r="X128" s="2838"/>
      <c r="Y128" s="2838"/>
      <c r="Z128" s="2838"/>
      <c r="AA128" s="2838"/>
      <c r="AB128" s="144"/>
      <c r="AC128" s="2867">
        <v>0</v>
      </c>
      <c r="AD128" s="2867">
        <v>0</v>
      </c>
      <c r="AE128" s="2867">
        <v>0</v>
      </c>
      <c r="AF128" s="2867">
        <v>0</v>
      </c>
      <c r="AG128" s="2867">
        <v>0</v>
      </c>
      <c r="AH128" s="2867">
        <v>0</v>
      </c>
      <c r="AI128" s="2825"/>
      <c r="AN128" s="1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6"/>
      <c r="O129" s="146"/>
      <c r="P129" s="146"/>
      <c r="Q129" s="144"/>
      <c r="R129" s="144"/>
      <c r="S129" s="144"/>
      <c r="T129" s="144"/>
      <c r="U129" s="2838"/>
      <c r="V129" s="2838"/>
      <c r="W129" s="2838"/>
      <c r="X129" s="2838"/>
      <c r="Y129" s="2838"/>
      <c r="Z129" s="2838"/>
      <c r="AA129" s="2838"/>
      <c r="AB129" s="144"/>
      <c r="AC129" s="2867"/>
      <c r="AD129" s="2867"/>
      <c r="AE129" s="2867"/>
      <c r="AF129" s="2867"/>
      <c r="AG129" s="2867"/>
      <c r="AH129" s="2867"/>
      <c r="AN129" s="1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6"/>
      <c r="O130" s="146"/>
      <c r="P130" s="146"/>
      <c r="Q130" s="144"/>
      <c r="R130" s="144"/>
      <c r="S130" s="144"/>
      <c r="T130" s="144"/>
      <c r="U130" s="2838"/>
      <c r="V130" s="2838"/>
      <c r="W130" s="2838"/>
      <c r="X130" s="2838"/>
      <c r="Y130" s="2838"/>
      <c r="Z130" s="2838"/>
      <c r="AA130" s="2838"/>
      <c r="AB130" s="144"/>
      <c r="AN130" s="1"/>
    </row>
    <row r="131" spans="1:40" ht="15" customHeight="1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6"/>
      <c r="O131" s="146"/>
      <c r="P131" s="146"/>
      <c r="Q131" s="144"/>
      <c r="R131" s="144"/>
      <c r="S131" s="144"/>
      <c r="T131" s="144"/>
      <c r="U131" s="2838"/>
      <c r="V131" s="2838"/>
      <c r="W131" s="2838"/>
      <c r="X131" s="2838"/>
      <c r="Y131" s="2838"/>
      <c r="Z131" s="2838"/>
      <c r="AA131" s="2838"/>
      <c r="AB131" s="144"/>
      <c r="AN131" s="1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6"/>
      <c r="O132" s="146"/>
      <c r="P132" s="146"/>
      <c r="Q132" s="144"/>
      <c r="R132" s="144"/>
      <c r="S132" s="144"/>
      <c r="T132" s="144"/>
      <c r="U132" s="2838"/>
      <c r="V132" s="2838"/>
      <c r="W132" s="2838"/>
      <c r="X132" s="2838"/>
      <c r="Y132" s="2838"/>
      <c r="Z132" s="2838"/>
      <c r="AA132" s="2838"/>
      <c r="AB132" s="144"/>
      <c r="AN132" s="1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6"/>
      <c r="O133" s="146"/>
      <c r="P133" s="146"/>
      <c r="Q133" s="144"/>
      <c r="R133" s="144"/>
      <c r="S133" s="144"/>
      <c r="T133" s="144"/>
      <c r="U133" s="2838"/>
      <c r="V133" s="2838"/>
      <c r="W133" s="2838"/>
      <c r="X133" s="2838"/>
      <c r="Y133" s="2838"/>
      <c r="Z133" s="2838"/>
      <c r="AA133" s="2838"/>
      <c r="AB133" s="144"/>
      <c r="AN133" s="1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6"/>
      <c r="O134" s="146"/>
      <c r="P134" s="146"/>
      <c r="Q134" s="144"/>
      <c r="R134" s="144"/>
      <c r="S134" s="144"/>
      <c r="T134" s="144"/>
      <c r="U134" s="2838"/>
      <c r="V134" s="2838"/>
      <c r="W134" s="2838"/>
      <c r="X134" s="2838"/>
      <c r="Y134" s="2838"/>
      <c r="Z134" s="2838"/>
      <c r="AA134" s="2838"/>
      <c r="AB134" s="144"/>
      <c r="AN134" s="1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6"/>
      <c r="O135" s="146"/>
      <c r="P135" s="146"/>
      <c r="Q135" s="144"/>
      <c r="R135" s="144"/>
      <c r="S135" s="144"/>
      <c r="T135" s="144"/>
      <c r="U135" s="2838"/>
      <c r="V135" s="2838"/>
      <c r="W135" s="2838"/>
      <c r="X135" s="2838"/>
      <c r="Y135" s="2838"/>
      <c r="Z135" s="2838"/>
      <c r="AA135" s="2838"/>
      <c r="AB135" s="144"/>
      <c r="AN135" s="1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6"/>
      <c r="O136" s="146"/>
      <c r="P136" s="146"/>
      <c r="Q136" s="144"/>
      <c r="R136" s="144"/>
      <c r="S136" s="144"/>
      <c r="T136" s="144"/>
      <c r="U136" s="2838"/>
      <c r="V136" s="2838"/>
      <c r="W136" s="2838"/>
      <c r="X136" s="2838"/>
      <c r="Y136" s="2838"/>
      <c r="Z136" s="2838"/>
      <c r="AA136" s="2838"/>
      <c r="AB136" s="144"/>
      <c r="AN136" s="1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6"/>
      <c r="O137" s="146"/>
      <c r="P137" s="146"/>
      <c r="Q137" s="144"/>
      <c r="R137" s="144"/>
      <c r="S137" s="144"/>
      <c r="T137" s="144"/>
      <c r="U137" s="2838"/>
      <c r="V137" s="2838"/>
      <c r="W137" s="2838"/>
      <c r="X137" s="2838"/>
      <c r="Y137" s="2838"/>
      <c r="Z137" s="2838"/>
      <c r="AA137" s="2838"/>
      <c r="AB137" s="144"/>
      <c r="AN137" s="1"/>
    </row>
    <row r="138" spans="1:40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6"/>
      <c r="O138" s="146"/>
      <c r="P138" s="146"/>
      <c r="Q138" s="144"/>
      <c r="R138" s="144"/>
      <c r="S138" s="144"/>
      <c r="T138" s="144"/>
      <c r="U138" s="2838"/>
      <c r="V138" s="2838"/>
      <c r="W138" s="2838"/>
      <c r="X138" s="2838"/>
      <c r="Y138" s="2838"/>
      <c r="Z138" s="2838"/>
      <c r="AA138" s="2838"/>
      <c r="AB138" s="144"/>
      <c r="AN138" s="1"/>
    </row>
    <row r="139" spans="1:40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6"/>
      <c r="O139" s="146"/>
      <c r="P139" s="146"/>
      <c r="Q139" s="144"/>
      <c r="R139" s="144"/>
      <c r="S139" s="144"/>
      <c r="T139" s="144"/>
      <c r="U139" s="2838"/>
      <c r="V139" s="2838"/>
      <c r="W139" s="2838"/>
      <c r="X139" s="2838"/>
      <c r="Y139" s="2838"/>
      <c r="Z139" s="2838"/>
      <c r="AA139" s="2838"/>
      <c r="AB139" s="144"/>
      <c r="AN139" s="1"/>
    </row>
    <row r="140" spans="1:40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6"/>
      <c r="O140" s="146"/>
      <c r="P140" s="146"/>
      <c r="Q140" s="144"/>
      <c r="R140" s="144"/>
      <c r="S140" s="144"/>
      <c r="T140" s="144"/>
      <c r="U140" s="2838"/>
      <c r="V140" s="2838"/>
      <c r="W140" s="2838"/>
      <c r="X140" s="2838"/>
      <c r="Y140" s="2838"/>
      <c r="Z140" s="2838"/>
      <c r="AA140" s="2838"/>
      <c r="AB140" s="144"/>
      <c r="AN140" s="1"/>
    </row>
    <row r="141" spans="1:40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4"/>
      <c r="M141" s="144"/>
      <c r="N141" s="146"/>
      <c r="O141" s="146"/>
      <c r="P141" s="146"/>
      <c r="Q141" s="144"/>
      <c r="R141" s="144"/>
      <c r="S141" s="144"/>
      <c r="T141" s="144"/>
      <c r="U141" s="2838"/>
      <c r="V141" s="2838"/>
      <c r="W141" s="2838"/>
      <c r="X141" s="2838"/>
      <c r="Y141" s="2838"/>
      <c r="Z141" s="2838"/>
      <c r="AA141" s="2838"/>
      <c r="AB141" s="144"/>
      <c r="AC141" s="2825"/>
      <c r="AD141" s="2825"/>
      <c r="AE141" s="2825"/>
      <c r="AF141" s="2825"/>
      <c r="AG141" s="2825"/>
      <c r="AH141" s="2825"/>
      <c r="AI141" s="2825"/>
      <c r="AJ141" s="2825"/>
      <c r="AK141" s="2825"/>
      <c r="AL141" s="2825"/>
      <c r="AM141" s="2825"/>
      <c r="AN141" s="1"/>
    </row>
    <row r="142" spans="1:40" s="3021" customFormat="1" ht="11">
      <c r="A142" s="144"/>
      <c r="B142" s="144"/>
      <c r="C142" s="144"/>
      <c r="D142" s="906"/>
      <c r="E142" s="144"/>
      <c r="F142" s="144"/>
      <c r="G142" s="144"/>
      <c r="H142" s="144"/>
      <c r="I142" s="144"/>
      <c r="J142" s="144"/>
      <c r="K142" s="144"/>
      <c r="L142" s="144"/>
      <c r="M142" s="144"/>
      <c r="N142" s="146"/>
      <c r="O142" s="146"/>
      <c r="P142" s="146"/>
      <c r="Q142" s="144"/>
      <c r="R142" s="144"/>
      <c r="S142" s="144"/>
      <c r="T142" s="144"/>
      <c r="U142" s="2838"/>
      <c r="V142" s="2838"/>
      <c r="W142" s="2838"/>
      <c r="X142" s="2838"/>
      <c r="Y142" s="2838"/>
      <c r="Z142" s="2838"/>
      <c r="AA142" s="2838"/>
      <c r="AB142" s="144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1:40" s="3021" customFormat="1" ht="11">
      <c r="A143" s="144"/>
      <c r="B143" s="144"/>
      <c r="C143" s="144"/>
      <c r="D143" s="906"/>
      <c r="E143" s="144"/>
      <c r="F143" s="144"/>
      <c r="G143" s="144"/>
      <c r="H143" s="144"/>
      <c r="I143" s="144"/>
      <c r="J143" s="144"/>
      <c r="K143" s="144"/>
      <c r="L143" s="144"/>
      <c r="M143" s="144"/>
      <c r="N143" s="146"/>
      <c r="O143" s="146"/>
      <c r="P143" s="146"/>
      <c r="Q143" s="144"/>
      <c r="R143" s="144"/>
      <c r="S143" s="144"/>
      <c r="T143" s="144"/>
      <c r="U143" s="2838"/>
      <c r="V143" s="2838"/>
      <c r="W143" s="2838"/>
      <c r="X143" s="2838"/>
      <c r="Y143" s="2838"/>
      <c r="Z143" s="2838"/>
      <c r="AA143" s="2838"/>
      <c r="AB143" s="144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1:40" s="3021" customFormat="1" ht="11">
      <c r="A144" s="144"/>
      <c r="B144" s="144"/>
      <c r="C144" s="144"/>
      <c r="D144" s="906"/>
      <c r="E144" s="144"/>
      <c r="F144" s="144"/>
      <c r="G144" s="144"/>
      <c r="H144" s="144"/>
      <c r="I144" s="144"/>
      <c r="J144" s="144"/>
      <c r="K144" s="144"/>
      <c r="L144" s="144"/>
      <c r="M144" s="144"/>
      <c r="N144" s="146"/>
      <c r="O144" s="146"/>
      <c r="P144" s="146"/>
      <c r="Q144" s="144"/>
      <c r="R144" s="144"/>
      <c r="S144" s="144"/>
      <c r="T144" s="144"/>
      <c r="U144" s="2838"/>
      <c r="V144" s="2838"/>
      <c r="W144" s="2838"/>
      <c r="X144" s="2838"/>
      <c r="Y144" s="2838"/>
      <c r="Z144" s="2838"/>
      <c r="AA144" s="2838"/>
      <c r="AB144" s="144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1:39" s="3021" customFormat="1" ht="11">
      <c r="A145" s="144"/>
      <c r="B145" s="144"/>
      <c r="C145" s="144"/>
      <c r="D145" s="906"/>
      <c r="E145" s="144"/>
      <c r="F145" s="144"/>
      <c r="G145" s="144"/>
      <c r="H145" s="144"/>
      <c r="I145" s="144"/>
      <c r="J145" s="144"/>
      <c r="K145" s="144"/>
      <c r="L145" s="144"/>
      <c r="M145" s="144"/>
      <c r="N145" s="146"/>
      <c r="O145" s="146"/>
      <c r="P145" s="146"/>
      <c r="Q145" s="144"/>
      <c r="R145" s="144"/>
      <c r="S145" s="144"/>
      <c r="T145" s="144"/>
      <c r="U145" s="2838"/>
      <c r="V145" s="2838"/>
      <c r="W145" s="2838"/>
      <c r="X145" s="2838"/>
      <c r="Y145" s="2838"/>
      <c r="Z145" s="2838"/>
      <c r="AA145" s="2838"/>
      <c r="AB145" s="144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1:39" s="3021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2838"/>
      <c r="V146" s="2838"/>
      <c r="W146" s="2838"/>
      <c r="X146" s="2838"/>
      <c r="Y146" s="2838"/>
      <c r="Z146" s="2838"/>
      <c r="AA146" s="2838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1:39" s="3021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2838"/>
      <c r="V147" s="2838"/>
      <c r="W147" s="2838"/>
      <c r="X147" s="2838"/>
      <c r="Y147" s="2838"/>
      <c r="Z147" s="2838"/>
      <c r="AA147" s="2838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1:39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2838"/>
      <c r="V148" s="2838"/>
      <c r="W148" s="2838"/>
      <c r="X148" s="2838"/>
      <c r="Y148" s="2838"/>
      <c r="Z148" s="2838"/>
      <c r="AA148" s="2838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1:39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2838"/>
      <c r="V149" s="2838"/>
      <c r="W149" s="2838"/>
      <c r="X149" s="2838"/>
      <c r="Y149" s="2838"/>
      <c r="Z149" s="2838"/>
      <c r="AA149" s="2838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1:39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1:39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1:39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1:39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1:39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1:39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1:39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1:39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1:39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1:39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1:39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B171" s="3021">
        <f>SUBTOTAL(9,AB129:AB170)</f>
        <v>0</v>
      </c>
      <c r="AC171" s="2826">
        <f>SUBTOTAL(9,AC129:AC170)</f>
        <v>0</v>
      </c>
      <c r="AD171" s="2826">
        <f>SUBTOTAL(9,AD129:AD170)</f>
        <v>0</v>
      </c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B172" s="3021">
        <v>0</v>
      </c>
      <c r="AC172" s="2826">
        <v>0</v>
      </c>
      <c r="AD172" s="2826">
        <v>0</v>
      </c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3021">
        <v>0</v>
      </c>
      <c r="AC173" s="2826">
        <v>0</v>
      </c>
      <c r="AD173" s="2826">
        <v>0</v>
      </c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3021">
        <v>0</v>
      </c>
      <c r="AC174" s="2826">
        <v>0</v>
      </c>
      <c r="AD174" s="2826">
        <v>0</v>
      </c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3021">
        <v>0</v>
      </c>
      <c r="AC175" s="2826">
        <v>0</v>
      </c>
      <c r="AD175" s="2826">
        <v>0</v>
      </c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B176" s="3021">
        <v>0</v>
      </c>
      <c r="AC176" s="2826">
        <v>0</v>
      </c>
      <c r="AD176" s="2826">
        <v>0</v>
      </c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B177" s="3021">
        <v>0</v>
      </c>
      <c r="AC177" s="2826">
        <v>0</v>
      </c>
      <c r="AD177" s="2826">
        <v>0</v>
      </c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B178" s="3021">
        <v>0</v>
      </c>
      <c r="AC178" s="2826">
        <v>0</v>
      </c>
      <c r="AD178" s="2826">
        <v>0</v>
      </c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41" s="3021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B179" s="3021">
        <v>0</v>
      </c>
      <c r="AC179" s="2826">
        <v>0</v>
      </c>
      <c r="AD179" s="2826">
        <v>0</v>
      </c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41" s="3021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B180" s="3021">
        <v>0</v>
      </c>
      <c r="AC180" s="2826">
        <v>0</v>
      </c>
      <c r="AD180" s="2826">
        <v>0</v>
      </c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41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B181" s="3021">
        <v>0</v>
      </c>
      <c r="AC181" s="2826">
        <v>0</v>
      </c>
      <c r="AD181" s="2826">
        <v>0</v>
      </c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41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>
        <f>SUBTOTAL(9,U140:U181)</f>
        <v>0</v>
      </c>
      <c r="V182" s="146">
        <f t="shared" ref="V182:AA182" si="78">SUBTOTAL(9,V140:V181)</f>
        <v>0</v>
      </c>
      <c r="W182" s="146">
        <f t="shared" si="78"/>
        <v>0</v>
      </c>
      <c r="X182" s="146">
        <f t="shared" si="78"/>
        <v>0</v>
      </c>
      <c r="Y182" s="146">
        <f t="shared" si="78"/>
        <v>0</v>
      </c>
      <c r="Z182" s="146">
        <f t="shared" si="78"/>
        <v>0</v>
      </c>
      <c r="AA182" s="146">
        <f t="shared" si="78"/>
        <v>0</v>
      </c>
      <c r="AB182" s="3021">
        <v>0</v>
      </c>
      <c r="AC182" s="2826">
        <v>0</v>
      </c>
      <c r="AD182" s="2826">
        <v>0</v>
      </c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2825" customFormat="1" ht="14" thickBot="1">
      <c r="B183" s="139"/>
      <c r="C183" s="138"/>
      <c r="D183" s="908"/>
      <c r="E183" s="138"/>
      <c r="F183" s="140"/>
      <c r="G183" s="141"/>
      <c r="H183" s="141"/>
      <c r="I183" s="141"/>
      <c r="J183" s="141"/>
      <c r="K183" s="141"/>
      <c r="L183" s="141"/>
      <c r="M183" s="458"/>
      <c r="N183" s="140"/>
      <c r="O183" s="141"/>
      <c r="P183" s="141"/>
      <c r="Q183" s="148"/>
      <c r="R183" s="148"/>
      <c r="S183" s="149"/>
      <c r="T183" s="149"/>
      <c r="U183" s="150"/>
      <c r="V183" s="150"/>
      <c r="W183" s="150"/>
      <c r="X183" s="150"/>
      <c r="Y183" s="150"/>
      <c r="Z183" s="150"/>
      <c r="AA183" s="150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41" s="2825" customFormat="1" ht="15" thickTop="1" thickBot="1">
      <c r="B184" s="139"/>
      <c r="C184" s="138"/>
      <c r="D184" s="908"/>
      <c r="E184" s="138"/>
      <c r="F184" s="140"/>
      <c r="G184" s="141"/>
      <c r="H184" s="141"/>
      <c r="I184" s="141"/>
      <c r="J184" s="141"/>
      <c r="K184" s="141"/>
      <c r="L184" s="141"/>
      <c r="M184" s="458"/>
      <c r="N184" s="140"/>
      <c r="O184" s="141"/>
      <c r="P184" s="141"/>
      <c r="Q184" s="148"/>
      <c r="R184" s="148"/>
      <c r="S184" s="148"/>
      <c r="T184" s="149"/>
      <c r="U184" s="151"/>
      <c r="V184" s="152"/>
      <c r="W184" s="153"/>
      <c r="X184" s="153"/>
      <c r="Y184" s="153"/>
      <c r="Z184" s="153"/>
      <c r="AA184" s="154"/>
      <c r="AB184" s="3022"/>
      <c r="AC184" s="3022"/>
      <c r="AE184" s="2826"/>
      <c r="AF184" s="2826"/>
      <c r="AG184" s="2826"/>
      <c r="AH184" s="2826"/>
      <c r="AI184" s="2826"/>
      <c r="AJ184" s="2826"/>
      <c r="AK184" s="2826"/>
      <c r="AL184" s="2826"/>
      <c r="AM184" s="2826"/>
      <c r="AN184" s="2826"/>
      <c r="AO184" s="2826"/>
    </row>
    <row r="185" spans="2:41" s="3021" customFormat="1" ht="12" thickTop="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41" s="3021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41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41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3021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3021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3021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3021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3021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3021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3021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3021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3021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39" s="3021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39" s="3021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39" s="3021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39" s="3021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39" s="3021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39" s="3021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39" s="3021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39" s="3021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39" s="3021" customFormat="1" ht="11">
      <c r="B217" s="144"/>
      <c r="C217" s="143"/>
      <c r="D217" s="907"/>
      <c r="E217" s="143"/>
      <c r="F217" s="145"/>
      <c r="G217" s="146"/>
      <c r="H217" s="146"/>
      <c r="I217" s="146"/>
      <c r="J217" s="146"/>
      <c r="K217" s="146"/>
      <c r="L217" s="146"/>
      <c r="M217" s="458"/>
      <c r="N217" s="145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39" s="3021" customFormat="1" ht="11">
      <c r="B218" s="144"/>
      <c r="C218" s="143"/>
      <c r="D218" s="907"/>
      <c r="E218" s="143"/>
      <c r="F218" s="145"/>
      <c r="G218" s="146"/>
      <c r="H218" s="146"/>
      <c r="I218" s="146"/>
      <c r="J218" s="146"/>
      <c r="K218" s="146"/>
      <c r="L218" s="146"/>
      <c r="M218" s="458"/>
      <c r="N218" s="145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39" s="3021" customFormat="1" ht="11">
      <c r="B219" s="144"/>
      <c r="C219" s="143"/>
      <c r="D219" s="907"/>
      <c r="E219" s="143"/>
      <c r="F219" s="145"/>
      <c r="G219" s="146"/>
      <c r="H219" s="146"/>
      <c r="I219" s="146"/>
      <c r="J219" s="146"/>
      <c r="K219" s="146"/>
      <c r="L219" s="146"/>
      <c r="M219" s="458"/>
      <c r="N219" s="145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39" s="3021" customFormat="1" ht="11">
      <c r="B220" s="144"/>
      <c r="C220" s="143"/>
      <c r="D220" s="907"/>
      <c r="E220" s="143"/>
      <c r="F220" s="145"/>
      <c r="G220" s="146"/>
      <c r="H220" s="146"/>
      <c r="I220" s="146"/>
      <c r="J220" s="146"/>
      <c r="K220" s="146"/>
      <c r="L220" s="146"/>
      <c r="M220" s="458"/>
      <c r="N220" s="145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39" s="3021" customFormat="1" ht="11">
      <c r="B221" s="3159"/>
      <c r="D221" s="3160"/>
      <c r="F221" s="3023"/>
      <c r="G221" s="3024"/>
      <c r="H221" s="3024"/>
      <c r="I221" s="3024"/>
      <c r="J221" s="3024"/>
      <c r="K221" s="3024"/>
      <c r="L221" s="3024"/>
      <c r="M221" s="3025"/>
      <c r="N221" s="3023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39" s="3021" customFormat="1" ht="11">
      <c r="B222" s="3159"/>
      <c r="D222" s="3160"/>
      <c r="F222" s="3023"/>
      <c r="G222" s="3024"/>
      <c r="H222" s="3024"/>
      <c r="I222" s="3024"/>
      <c r="J222" s="3024"/>
      <c r="K222" s="3024"/>
      <c r="L222" s="3024"/>
      <c r="M222" s="3025"/>
      <c r="N222" s="3023"/>
      <c r="O222" s="146"/>
      <c r="P222" s="146"/>
      <c r="Q222" s="147"/>
      <c r="R222" s="147"/>
      <c r="S222" s="142"/>
      <c r="T222" s="142"/>
      <c r="U222" s="146"/>
      <c r="V222" s="146"/>
      <c r="W222" s="146"/>
      <c r="X222" s="146"/>
      <c r="Y222" s="146"/>
      <c r="Z222" s="146"/>
      <c r="AA222" s="146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39" s="3021" customFormat="1" ht="11">
      <c r="B223" s="3159"/>
      <c r="D223" s="3160"/>
      <c r="F223" s="3023"/>
      <c r="G223" s="3024"/>
      <c r="H223" s="3024"/>
      <c r="I223" s="3024"/>
      <c r="J223" s="3024"/>
      <c r="K223" s="3024"/>
      <c r="L223" s="3024"/>
      <c r="M223" s="3025"/>
      <c r="N223" s="3023"/>
      <c r="O223" s="146"/>
      <c r="P223" s="146"/>
      <c r="Q223" s="147"/>
      <c r="R223" s="147"/>
      <c r="S223" s="142"/>
      <c r="T223" s="142"/>
      <c r="U223" s="146"/>
      <c r="V223" s="146"/>
      <c r="W223" s="146"/>
      <c r="X223" s="146"/>
      <c r="Y223" s="146"/>
      <c r="Z223" s="146"/>
      <c r="AA223" s="146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39" s="3021" customFormat="1" ht="11">
      <c r="B224" s="3159"/>
      <c r="D224" s="3160"/>
      <c r="F224" s="3023"/>
      <c r="G224" s="3024"/>
      <c r="H224" s="3024"/>
      <c r="I224" s="3024"/>
      <c r="J224" s="3024"/>
      <c r="K224" s="3024"/>
      <c r="L224" s="3024"/>
      <c r="M224" s="3025"/>
      <c r="N224" s="3023"/>
      <c r="O224" s="146"/>
      <c r="P224" s="146"/>
      <c r="Q224" s="147"/>
      <c r="R224" s="147"/>
      <c r="S224" s="142"/>
      <c r="T224" s="142"/>
      <c r="U224" s="146"/>
      <c r="V224" s="146"/>
      <c r="W224" s="146"/>
      <c r="X224" s="146"/>
      <c r="Y224" s="146"/>
      <c r="Z224" s="146"/>
      <c r="AA224" s="146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2:41" s="3021" customFormat="1" ht="11">
      <c r="B225" s="3159"/>
      <c r="D225" s="3160"/>
      <c r="F225" s="3023"/>
      <c r="G225" s="3024"/>
      <c r="H225" s="3024"/>
      <c r="I225" s="3024"/>
      <c r="J225" s="3024"/>
      <c r="K225" s="3024"/>
      <c r="L225" s="3024"/>
      <c r="M225" s="3025"/>
      <c r="N225" s="3023"/>
      <c r="O225" s="146"/>
      <c r="P225" s="146"/>
      <c r="Q225" s="147"/>
      <c r="R225" s="147"/>
      <c r="S225" s="142"/>
      <c r="T225" s="142"/>
      <c r="U225" s="146">
        <f>SUBTOTAL(9,U183:U224)</f>
        <v>0</v>
      </c>
      <c r="V225" s="146">
        <f t="shared" ref="V225:AA225" si="79">SUBTOTAL(9,V183:V224)</f>
        <v>0</v>
      </c>
      <c r="W225" s="146">
        <f t="shared" si="79"/>
        <v>0</v>
      </c>
      <c r="X225" s="146">
        <f t="shared" si="79"/>
        <v>0</v>
      </c>
      <c r="Y225" s="146">
        <f t="shared" si="79"/>
        <v>0</v>
      </c>
      <c r="Z225" s="146">
        <f t="shared" si="79"/>
        <v>0</v>
      </c>
      <c r="AA225" s="146">
        <f t="shared" si="79"/>
        <v>0</v>
      </c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41" s="2825" customFormat="1" ht="14" thickBot="1">
      <c r="B226" s="2935"/>
      <c r="D226" s="3161"/>
      <c r="F226" s="3026"/>
      <c r="G226" s="3027"/>
      <c r="H226" s="3027"/>
      <c r="I226" s="3027"/>
      <c r="J226" s="3027"/>
      <c r="K226" s="3027"/>
      <c r="L226" s="3027"/>
      <c r="M226" s="3025"/>
      <c r="N226" s="3026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2:41" s="2825" customFormat="1" ht="15" thickTop="1" thickBot="1">
      <c r="B227" s="2935"/>
      <c r="D227" s="3161"/>
      <c r="F227" s="3026"/>
      <c r="G227" s="3027"/>
      <c r="H227" s="3027"/>
      <c r="I227" s="3027"/>
      <c r="J227" s="3027"/>
      <c r="K227" s="3027"/>
      <c r="L227" s="3027"/>
      <c r="M227" s="3025"/>
      <c r="N227" s="3026"/>
      <c r="O227" s="141"/>
      <c r="P227" s="141"/>
      <c r="Q227" s="148"/>
      <c r="R227" s="148"/>
      <c r="S227" s="148"/>
      <c r="T227" s="148"/>
      <c r="U227" s="151">
        <f>SUBTOTAL(9,U185:U226)</f>
        <v>0</v>
      </c>
      <c r="V227" s="152">
        <f t="shared" ref="V227:AA227" si="80">SUBTOTAL(9,V185:V226)</f>
        <v>0</v>
      </c>
      <c r="W227" s="153">
        <f t="shared" si="80"/>
        <v>0</v>
      </c>
      <c r="X227" s="153">
        <f t="shared" si="80"/>
        <v>0</v>
      </c>
      <c r="Y227" s="153">
        <f t="shared" si="80"/>
        <v>0</v>
      </c>
      <c r="Z227" s="153">
        <f t="shared" si="80"/>
        <v>0</v>
      </c>
      <c r="AA227" s="154">
        <f t="shared" si="80"/>
        <v>0</v>
      </c>
      <c r="AB227" s="3022"/>
      <c r="AC227" s="3022"/>
      <c r="AE227" s="2826"/>
      <c r="AF227" s="2826"/>
      <c r="AG227" s="2826"/>
      <c r="AH227" s="2826"/>
      <c r="AI227" s="2826"/>
      <c r="AJ227" s="2826"/>
      <c r="AK227" s="2826"/>
      <c r="AL227" s="2826"/>
      <c r="AM227" s="2826"/>
      <c r="AN227" s="2826"/>
      <c r="AO227" s="2826"/>
    </row>
    <row r="228" spans="2:41" s="2825" customFormat="1" ht="14" thickTop="1">
      <c r="B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41" s="2825" customFormat="1">
      <c r="B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026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2:41" s="2825" customFormat="1">
      <c r="B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41" s="2825" customFormat="1">
      <c r="B231" s="2935"/>
      <c r="D231" s="3161"/>
      <c r="F231" s="3026"/>
      <c r="G231" s="3027"/>
      <c r="H231" s="3027"/>
      <c r="I231" s="3027"/>
      <c r="J231" s="3027"/>
      <c r="K231" s="3027"/>
      <c r="L231" s="3027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41" s="2825" customFormat="1">
      <c r="B232" s="2935"/>
      <c r="D232" s="3161"/>
      <c r="F232" s="3026"/>
      <c r="G232" s="3027"/>
      <c r="H232" s="3027"/>
      <c r="I232" s="3027"/>
      <c r="J232" s="3027"/>
      <c r="K232" s="3027"/>
      <c r="L232" s="3027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41" s="2825" customFormat="1">
      <c r="B233" s="2935"/>
      <c r="D233" s="3161"/>
      <c r="F233" s="3026"/>
      <c r="G233" s="3027"/>
      <c r="H233" s="3027"/>
      <c r="I233" s="3027"/>
      <c r="J233" s="3027"/>
      <c r="K233" s="3027"/>
      <c r="L233" s="3027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41" s="2825" customFormat="1">
      <c r="B234" s="2935"/>
      <c r="D234" s="3161"/>
      <c r="F234" s="3026"/>
      <c r="G234" s="3027"/>
      <c r="H234" s="3027"/>
      <c r="I234" s="3027"/>
      <c r="J234" s="3027"/>
      <c r="K234" s="3027"/>
      <c r="L234" s="3027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41" s="2825" customFormat="1">
      <c r="B235" s="2935"/>
      <c r="D235" s="3161"/>
      <c r="F235" s="3026"/>
      <c r="G235" s="3027"/>
      <c r="H235" s="3027"/>
      <c r="I235" s="3027"/>
      <c r="J235" s="3027"/>
      <c r="K235" s="3027"/>
      <c r="L235" s="3027"/>
      <c r="M235" s="3025"/>
      <c r="N235" s="3026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41" s="2825" customFormat="1">
      <c r="B236" s="2935"/>
      <c r="D236" s="3161"/>
      <c r="F236" s="3026"/>
      <c r="G236" s="3027"/>
      <c r="H236" s="3027"/>
      <c r="I236" s="3027"/>
      <c r="J236" s="3027"/>
      <c r="K236" s="3027"/>
      <c r="L236" s="3027"/>
      <c r="M236" s="3025"/>
      <c r="N236" s="3026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41" s="2825" customFormat="1">
      <c r="B237" s="2935"/>
      <c r="D237" s="3161"/>
      <c r="F237" s="3026"/>
      <c r="G237" s="3027"/>
      <c r="H237" s="3027"/>
      <c r="I237" s="3027"/>
      <c r="J237" s="3027"/>
      <c r="K237" s="3027"/>
      <c r="L237" s="3027"/>
      <c r="M237" s="3025"/>
      <c r="N237" s="3026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41" s="2825" customFormat="1">
      <c r="B238" s="2935"/>
      <c r="D238" s="3161"/>
      <c r="F238" s="3026"/>
      <c r="G238" s="3027"/>
      <c r="H238" s="3027"/>
      <c r="I238" s="3027"/>
      <c r="J238" s="3027"/>
      <c r="K238" s="3027"/>
      <c r="L238" s="3027"/>
      <c r="M238" s="3025"/>
      <c r="N238" s="3026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41" s="2825" customFormat="1">
      <c r="B239" s="2935"/>
      <c r="D239" s="3161"/>
      <c r="F239" s="3026"/>
      <c r="G239" s="3027"/>
      <c r="H239" s="3027"/>
      <c r="I239" s="3027"/>
      <c r="J239" s="3027"/>
      <c r="K239" s="3027"/>
      <c r="L239" s="3027"/>
      <c r="M239" s="3025"/>
      <c r="N239" s="3026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41" s="2825" customFormat="1">
      <c r="B240" s="2935"/>
      <c r="D240" s="3161"/>
      <c r="F240" s="3026"/>
      <c r="G240" s="3027"/>
      <c r="H240" s="3027"/>
      <c r="I240" s="3027"/>
      <c r="J240" s="3027"/>
      <c r="K240" s="3027"/>
      <c r="L240" s="3027"/>
      <c r="M240" s="3025"/>
      <c r="N240" s="3026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2:39" s="2825" customFormat="1">
      <c r="B241" s="2935"/>
      <c r="D241" s="3161"/>
      <c r="F241" s="3026"/>
      <c r="G241" s="3027"/>
      <c r="H241" s="3027"/>
      <c r="I241" s="3027"/>
      <c r="J241" s="3027"/>
      <c r="K241" s="3027"/>
      <c r="L241" s="3027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2:39" s="2825" customFormat="1">
      <c r="B242" s="2935"/>
      <c r="D242" s="3161"/>
      <c r="F242" s="3026"/>
      <c r="G242" s="3027"/>
      <c r="H242" s="3027"/>
      <c r="I242" s="3027"/>
      <c r="J242" s="3027"/>
      <c r="K242" s="3027"/>
      <c r="L242" s="3027"/>
      <c r="M242" s="3025"/>
      <c r="N242" s="3026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826"/>
      <c r="AD242" s="2826"/>
      <c r="AE242" s="2826"/>
      <c r="AF242" s="2826"/>
      <c r="AG242" s="2826"/>
      <c r="AH242" s="2826"/>
      <c r="AI242" s="2826"/>
      <c r="AJ242" s="2826"/>
      <c r="AK242" s="2826"/>
      <c r="AL242" s="2826"/>
      <c r="AM242" s="2826"/>
    </row>
    <row r="243" spans="2:39" s="2825" customFormat="1">
      <c r="B243" s="2935"/>
      <c r="D243" s="3161"/>
      <c r="F243" s="3026"/>
      <c r="G243" s="3027"/>
      <c r="H243" s="3027"/>
      <c r="I243" s="3027"/>
      <c r="J243" s="3027"/>
      <c r="K243" s="3027"/>
      <c r="L243" s="3027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2:39" s="2825" customFormat="1">
      <c r="B244" s="2935"/>
      <c r="D244" s="3161"/>
      <c r="F244" s="3026"/>
      <c r="G244" s="3027"/>
      <c r="H244" s="3027"/>
      <c r="I244" s="3027"/>
      <c r="J244" s="3027"/>
      <c r="K244" s="3027"/>
      <c r="L244" s="3027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2:39" s="2825" customFormat="1">
      <c r="B245" s="2935"/>
      <c r="D245" s="3161"/>
      <c r="F245" s="3026"/>
      <c r="G245" s="3027"/>
      <c r="H245" s="3027"/>
      <c r="I245" s="3027"/>
      <c r="J245" s="3027"/>
      <c r="K245" s="3027"/>
      <c r="L245" s="3027"/>
      <c r="M245" s="3025"/>
      <c r="N245" s="3026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826"/>
      <c r="AD245" s="2826"/>
      <c r="AE245" s="2826"/>
      <c r="AF245" s="2826"/>
      <c r="AG245" s="2826"/>
      <c r="AH245" s="2826"/>
      <c r="AI245" s="2826"/>
      <c r="AJ245" s="2826"/>
      <c r="AK245" s="2826"/>
      <c r="AL245" s="2826"/>
      <c r="AM245" s="2826"/>
    </row>
    <row r="246" spans="2:39" s="2825" customFormat="1">
      <c r="B246" s="2935"/>
      <c r="D246" s="3161"/>
      <c r="F246" s="3026"/>
      <c r="G246" s="3027"/>
      <c r="H246" s="3027"/>
      <c r="I246" s="3027"/>
      <c r="J246" s="3027"/>
      <c r="K246" s="3027"/>
      <c r="L246" s="3027"/>
      <c r="M246" s="3025"/>
      <c r="N246" s="3026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826"/>
      <c r="AD246" s="2826"/>
      <c r="AE246" s="2826"/>
      <c r="AF246" s="2826"/>
      <c r="AG246" s="2826"/>
      <c r="AH246" s="2826"/>
      <c r="AI246" s="2826"/>
      <c r="AJ246" s="2826"/>
      <c r="AK246" s="2826"/>
      <c r="AL246" s="2826"/>
      <c r="AM246" s="2826"/>
    </row>
    <row r="247" spans="2:39" s="2825" customFormat="1">
      <c r="B247" s="2935"/>
      <c r="D247" s="3161"/>
      <c r="F247" s="3026"/>
      <c r="G247" s="3027"/>
      <c r="H247" s="3027"/>
      <c r="I247" s="3027"/>
      <c r="J247" s="3027"/>
      <c r="K247" s="3027"/>
      <c r="L247" s="3027"/>
      <c r="M247" s="3025"/>
      <c r="N247" s="3026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826"/>
      <c r="AD247" s="2826"/>
      <c r="AE247" s="2826"/>
      <c r="AF247" s="2826"/>
      <c r="AG247" s="2826"/>
      <c r="AH247" s="2826"/>
      <c r="AI247" s="2826"/>
      <c r="AJ247" s="2826"/>
      <c r="AK247" s="2826"/>
      <c r="AL247" s="2826"/>
      <c r="AM247" s="2826"/>
    </row>
    <row r="248" spans="2:39" s="2825" customFormat="1">
      <c r="B248" s="2935"/>
      <c r="D248" s="3161"/>
      <c r="F248" s="3026"/>
      <c r="G248" s="3027"/>
      <c r="H248" s="3027"/>
      <c r="I248" s="3027"/>
      <c r="J248" s="3027"/>
      <c r="K248" s="3027"/>
      <c r="L248" s="3027"/>
      <c r="M248" s="3025"/>
      <c r="N248" s="3026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826"/>
      <c r="AD248" s="2826"/>
      <c r="AE248" s="2826"/>
      <c r="AF248" s="2826"/>
      <c r="AG248" s="2826"/>
      <c r="AH248" s="2826"/>
      <c r="AI248" s="2826"/>
      <c r="AJ248" s="2826"/>
      <c r="AK248" s="2826"/>
      <c r="AL248" s="2826"/>
      <c r="AM248" s="2826"/>
    </row>
    <row r="249" spans="2:39" s="2825" customFormat="1">
      <c r="B249" s="2935"/>
      <c r="D249" s="3161"/>
      <c r="F249" s="3026"/>
      <c r="G249" s="3027"/>
      <c r="H249" s="3027"/>
      <c r="I249" s="3027"/>
      <c r="J249" s="3027"/>
      <c r="K249" s="3027"/>
      <c r="L249" s="3027"/>
      <c r="M249" s="3025"/>
      <c r="N249" s="3026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826"/>
      <c r="AD249" s="2826"/>
      <c r="AE249" s="2826"/>
      <c r="AF249" s="2826"/>
      <c r="AG249" s="2826"/>
      <c r="AH249" s="2826"/>
      <c r="AI249" s="2826"/>
      <c r="AJ249" s="2826"/>
      <c r="AK249" s="2826"/>
      <c r="AL249" s="2826"/>
      <c r="AM249" s="2826"/>
    </row>
    <row r="250" spans="2:39" s="2825" customFormat="1">
      <c r="B250" s="2935"/>
      <c r="D250" s="3161"/>
      <c r="F250" s="3026"/>
      <c r="G250" s="3027"/>
      <c r="H250" s="3027"/>
      <c r="I250" s="3027"/>
      <c r="J250" s="3027"/>
      <c r="K250" s="3027"/>
      <c r="L250" s="3027"/>
      <c r="M250" s="3025"/>
      <c r="N250" s="3026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826"/>
      <c r="AD250" s="2826"/>
      <c r="AE250" s="2826"/>
      <c r="AF250" s="2826"/>
      <c r="AG250" s="2826"/>
      <c r="AH250" s="2826"/>
      <c r="AI250" s="2826"/>
      <c r="AJ250" s="2826"/>
      <c r="AK250" s="2826"/>
      <c r="AL250" s="2826"/>
      <c r="AM250" s="2826"/>
    </row>
    <row r="251" spans="2:39" s="2825" customFormat="1">
      <c r="B251" s="2935"/>
      <c r="D251" s="3161"/>
      <c r="F251" s="3026"/>
      <c r="G251" s="3027"/>
      <c r="H251" s="3027"/>
      <c r="I251" s="3027"/>
      <c r="J251" s="3027"/>
      <c r="K251" s="3027"/>
      <c r="L251" s="3027"/>
      <c r="M251" s="3025"/>
      <c r="N251" s="3026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826"/>
      <c r="AD251" s="2826"/>
      <c r="AE251" s="2826"/>
      <c r="AF251" s="2826"/>
      <c r="AG251" s="2826"/>
      <c r="AH251" s="2826"/>
      <c r="AI251" s="2826"/>
      <c r="AJ251" s="2826"/>
      <c r="AK251" s="2826"/>
      <c r="AL251" s="2826"/>
      <c r="AM251" s="2826"/>
    </row>
    <row r="252" spans="2:39" s="2825" customFormat="1">
      <c r="B252" s="2935"/>
      <c r="D252" s="3161"/>
      <c r="F252" s="3026"/>
      <c r="G252" s="3027"/>
      <c r="H252" s="3027"/>
      <c r="I252" s="3027"/>
      <c r="J252" s="3027"/>
      <c r="K252" s="3027"/>
      <c r="L252" s="3027"/>
      <c r="M252" s="3025"/>
      <c r="N252" s="3026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826"/>
      <c r="AD252" s="2826"/>
      <c r="AE252" s="2826"/>
      <c r="AF252" s="2826"/>
      <c r="AG252" s="2826"/>
      <c r="AH252" s="2826"/>
      <c r="AI252" s="2826"/>
      <c r="AJ252" s="2826"/>
      <c r="AK252" s="2826"/>
      <c r="AL252" s="2826"/>
      <c r="AM252" s="2826"/>
    </row>
    <row r="253" spans="2:39" s="2825" customFormat="1">
      <c r="B253" s="2935"/>
      <c r="D253" s="3161"/>
      <c r="F253" s="3026"/>
      <c r="G253" s="3027"/>
      <c r="H253" s="3027"/>
      <c r="I253" s="3027"/>
      <c r="J253" s="3027"/>
      <c r="K253" s="3027"/>
      <c r="L253" s="3027"/>
      <c r="M253" s="3025"/>
      <c r="N253" s="3026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826"/>
      <c r="AD253" s="2826"/>
      <c r="AE253" s="2826"/>
      <c r="AF253" s="2826"/>
      <c r="AG253" s="2826"/>
      <c r="AH253" s="2826"/>
      <c r="AI253" s="2826"/>
      <c r="AJ253" s="2826"/>
      <c r="AK253" s="2826"/>
      <c r="AL253" s="2826"/>
      <c r="AM253" s="2826"/>
    </row>
    <row r="254" spans="2:39" s="2825" customFormat="1">
      <c r="B254" s="2935"/>
      <c r="D254" s="3161"/>
      <c r="F254" s="3026"/>
      <c r="G254" s="3027"/>
      <c r="H254" s="3027"/>
      <c r="I254" s="3027"/>
      <c r="J254" s="3027"/>
      <c r="K254" s="3027"/>
      <c r="L254" s="3027"/>
      <c r="M254" s="3025"/>
      <c r="N254" s="3026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826"/>
      <c r="AD254" s="2826"/>
      <c r="AE254" s="2826"/>
      <c r="AF254" s="2826"/>
      <c r="AG254" s="2826"/>
      <c r="AH254" s="2826"/>
      <c r="AI254" s="2826"/>
      <c r="AJ254" s="2826"/>
      <c r="AK254" s="2826"/>
      <c r="AL254" s="2826"/>
      <c r="AM254" s="2826"/>
    </row>
    <row r="255" spans="2:39" s="2825" customFormat="1">
      <c r="B255" s="2935"/>
      <c r="D255" s="3161"/>
      <c r="F255" s="3026"/>
      <c r="G255" s="3027"/>
      <c r="H255" s="3027"/>
      <c r="I255" s="3027"/>
      <c r="J255" s="3027"/>
      <c r="K255" s="3027"/>
      <c r="L255" s="3027"/>
      <c r="M255" s="3025"/>
      <c r="N255" s="3026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826"/>
      <c r="AD255" s="2826"/>
      <c r="AE255" s="2826"/>
      <c r="AF255" s="2826"/>
      <c r="AG255" s="2826"/>
      <c r="AH255" s="2826"/>
      <c r="AI255" s="2826"/>
      <c r="AJ255" s="2826"/>
      <c r="AK255" s="2826"/>
      <c r="AL255" s="2826"/>
      <c r="AM255" s="2826"/>
    </row>
    <row r="256" spans="2:39" s="2825" customFormat="1">
      <c r="B256" s="2935"/>
      <c r="D256" s="3161"/>
      <c r="F256" s="3026"/>
      <c r="G256" s="3027"/>
      <c r="H256" s="3027"/>
      <c r="I256" s="3027"/>
      <c r="J256" s="3027"/>
      <c r="K256" s="3027"/>
      <c r="L256" s="3027"/>
      <c r="M256" s="3025"/>
      <c r="N256" s="3026"/>
      <c r="O256" s="141"/>
      <c r="P256" s="141"/>
      <c r="Q256" s="148"/>
      <c r="R256" s="148"/>
      <c r="S256" s="149"/>
      <c r="T256" s="149"/>
      <c r="U256" s="150"/>
      <c r="V256" s="150"/>
      <c r="W256" s="150"/>
      <c r="X256" s="150"/>
      <c r="Y256" s="150"/>
      <c r="Z256" s="150"/>
      <c r="AA256" s="150"/>
      <c r="AC256" s="2826"/>
      <c r="AD256" s="2826"/>
      <c r="AE256" s="2826"/>
      <c r="AF256" s="2826"/>
      <c r="AG256" s="2826"/>
      <c r="AH256" s="2826"/>
      <c r="AI256" s="2826"/>
      <c r="AJ256" s="2826"/>
      <c r="AK256" s="2826"/>
      <c r="AL256" s="2826"/>
      <c r="AM256" s="2826"/>
    </row>
    <row r="257" spans="1:40" s="2825" customFormat="1">
      <c r="B257" s="2935"/>
      <c r="D257" s="3161"/>
      <c r="F257" s="3026"/>
      <c r="G257" s="3027"/>
      <c r="H257" s="3027"/>
      <c r="I257" s="3027"/>
      <c r="J257" s="3027"/>
      <c r="K257" s="3027"/>
      <c r="L257" s="3027"/>
      <c r="M257" s="3025"/>
      <c r="N257" s="3026"/>
      <c r="O257" s="141"/>
      <c r="P257" s="141"/>
      <c r="Q257" s="148"/>
      <c r="R257" s="148"/>
      <c r="S257" s="149"/>
      <c r="T257" s="149"/>
      <c r="U257" s="150"/>
      <c r="V257" s="150"/>
      <c r="W257" s="150"/>
      <c r="X257" s="150"/>
      <c r="Y257" s="150"/>
      <c r="Z257" s="150"/>
      <c r="AA257" s="150"/>
      <c r="AC257" s="2826"/>
      <c r="AD257" s="2826"/>
      <c r="AE257" s="2826"/>
      <c r="AF257" s="2826"/>
      <c r="AG257" s="2826"/>
      <c r="AH257" s="2826"/>
      <c r="AI257" s="2826"/>
      <c r="AJ257" s="2826"/>
      <c r="AK257" s="2826"/>
      <c r="AL257" s="2826"/>
      <c r="AM257" s="2826"/>
    </row>
    <row r="258" spans="1:40" s="2825" customFormat="1">
      <c r="B258" s="2935"/>
      <c r="D258" s="3161"/>
      <c r="F258" s="3026"/>
      <c r="G258" s="3027"/>
      <c r="H258" s="3027"/>
      <c r="I258" s="3027"/>
      <c r="J258" s="3027"/>
      <c r="K258" s="3027"/>
      <c r="L258" s="3027"/>
      <c r="M258" s="3025"/>
      <c r="N258" s="3026"/>
      <c r="O258" s="141"/>
      <c r="P258" s="141"/>
      <c r="Q258" s="148"/>
      <c r="R258" s="148"/>
      <c r="S258" s="149"/>
      <c r="T258" s="149"/>
      <c r="U258" s="150"/>
      <c r="V258" s="150"/>
      <c r="W258" s="150"/>
      <c r="X258" s="150"/>
      <c r="Y258" s="150"/>
      <c r="Z258" s="150"/>
      <c r="AA258" s="150"/>
      <c r="AC258" s="2826"/>
      <c r="AD258" s="2826"/>
      <c r="AE258" s="2826"/>
      <c r="AF258" s="2826"/>
      <c r="AG258" s="2826"/>
      <c r="AH258" s="2826"/>
      <c r="AI258" s="2826"/>
      <c r="AJ258" s="2826"/>
      <c r="AK258" s="2826"/>
      <c r="AL258" s="2826"/>
      <c r="AM258" s="2826"/>
    </row>
    <row r="259" spans="1:40">
      <c r="A259" s="1"/>
      <c r="O259" s="155"/>
      <c r="P259" s="155"/>
      <c r="Q259" s="1131"/>
      <c r="R259" s="1131"/>
      <c r="S259" s="251"/>
      <c r="T259" s="251"/>
      <c r="U259" s="1132"/>
      <c r="V259" s="1132"/>
      <c r="W259" s="1132"/>
      <c r="X259" s="1132"/>
      <c r="Y259" s="1132"/>
      <c r="Z259" s="1132"/>
      <c r="AA259" s="1132"/>
      <c r="AN259" s="1"/>
    </row>
    <row r="260" spans="1:40">
      <c r="A260" s="1"/>
      <c r="O260" s="155"/>
      <c r="P260" s="155"/>
      <c r="Q260" s="1131"/>
      <c r="R260" s="1131"/>
      <c r="S260" s="251"/>
      <c r="T260" s="251"/>
      <c r="U260" s="1132"/>
      <c r="V260" s="1132"/>
      <c r="W260" s="1132"/>
      <c r="X260" s="1132"/>
      <c r="Y260" s="1132"/>
      <c r="Z260" s="1132"/>
      <c r="AA260" s="1132"/>
      <c r="AN260" s="1"/>
    </row>
    <row r="261" spans="1:40">
      <c r="A261" s="1"/>
      <c r="O261" s="155"/>
      <c r="P261" s="155"/>
      <c r="Q261" s="1131"/>
      <c r="R261" s="1131"/>
      <c r="S261" s="251"/>
      <c r="T261" s="251"/>
      <c r="U261" s="1132"/>
      <c r="V261" s="1132"/>
      <c r="W261" s="1132"/>
      <c r="X261" s="1132"/>
      <c r="Y261" s="1132"/>
      <c r="Z261" s="1132"/>
      <c r="AA261" s="1132"/>
      <c r="AN261" s="1"/>
    </row>
    <row r="262" spans="1:40">
      <c r="A262" s="1"/>
      <c r="O262" s="155"/>
      <c r="P262" s="155"/>
      <c r="Q262" s="1131"/>
      <c r="R262" s="1131"/>
      <c r="S262" s="251"/>
      <c r="T262" s="251"/>
      <c r="U262" s="1132"/>
      <c r="V262" s="1132"/>
      <c r="W262" s="1132"/>
      <c r="X262" s="1132"/>
      <c r="Y262" s="1132"/>
      <c r="Z262" s="1132"/>
      <c r="AA262" s="1132"/>
      <c r="AN262" s="1"/>
    </row>
    <row r="263" spans="1:40">
      <c r="A263" s="1"/>
      <c r="O263" s="155"/>
      <c r="P263" s="155"/>
      <c r="Q263" s="1131"/>
      <c r="R263" s="1131"/>
      <c r="S263" s="251"/>
      <c r="T263" s="251"/>
      <c r="U263" s="1132"/>
      <c r="V263" s="1132"/>
      <c r="W263" s="1132"/>
      <c r="X263" s="1132"/>
      <c r="Y263" s="1132"/>
      <c r="Z263" s="1132"/>
      <c r="AA263" s="1132"/>
      <c r="AN263" s="1"/>
    </row>
    <row r="264" spans="1:40">
      <c r="A264" s="1"/>
      <c r="O264" s="155"/>
      <c r="P264" s="155"/>
      <c r="Q264" s="1131"/>
      <c r="R264" s="1131"/>
      <c r="S264" s="251"/>
      <c r="T264" s="251"/>
      <c r="U264" s="1132"/>
      <c r="V264" s="1132"/>
      <c r="W264" s="1132"/>
      <c r="X264" s="1132"/>
      <c r="Y264" s="1132"/>
      <c r="Z264" s="1132"/>
      <c r="AA264" s="1132"/>
      <c r="AN264" s="1"/>
    </row>
    <row r="265" spans="1:40">
      <c r="A265" s="1"/>
      <c r="O265" s="155"/>
      <c r="P265" s="155"/>
      <c r="Q265" s="1131"/>
      <c r="R265" s="1131"/>
      <c r="S265" s="251"/>
      <c r="T265" s="251"/>
      <c r="U265" s="1132"/>
      <c r="V265" s="1132"/>
      <c r="W265" s="1132"/>
      <c r="X265" s="1132"/>
      <c r="Y265" s="1132"/>
      <c r="Z265" s="1132"/>
      <c r="AA265" s="1132"/>
      <c r="AN265" s="1"/>
    </row>
    <row r="266" spans="1:40">
      <c r="A266" s="1"/>
      <c r="O266" s="155"/>
      <c r="P266" s="155"/>
      <c r="Q266" s="1131"/>
      <c r="R266" s="1131"/>
      <c r="S266" s="251"/>
      <c r="T266" s="251"/>
      <c r="U266" s="1132"/>
      <c r="V266" s="1132"/>
      <c r="W266" s="1132"/>
      <c r="X266" s="1132"/>
      <c r="Y266" s="1132"/>
      <c r="Z266" s="1132"/>
      <c r="AA266" s="1132"/>
      <c r="AN266" s="1"/>
    </row>
    <row r="267" spans="1:40">
      <c r="A267" s="1"/>
      <c r="O267" s="155"/>
      <c r="P267" s="155"/>
      <c r="Q267" s="1131"/>
      <c r="R267" s="1131"/>
      <c r="S267" s="251"/>
      <c r="T267" s="251"/>
      <c r="U267" s="1132"/>
      <c r="V267" s="1132"/>
      <c r="W267" s="1132"/>
      <c r="X267" s="1132"/>
      <c r="Y267" s="1132"/>
      <c r="Z267" s="1132"/>
      <c r="AA267" s="1132"/>
      <c r="AN267" s="1"/>
    </row>
    <row r="268" spans="1:40">
      <c r="A268" s="1"/>
      <c r="O268" s="155"/>
      <c r="P268" s="155"/>
      <c r="Q268" s="1131"/>
      <c r="R268" s="1131"/>
      <c r="S268" s="251"/>
      <c r="T268" s="251"/>
      <c r="U268" s="1132"/>
      <c r="V268" s="1132"/>
      <c r="W268" s="1132"/>
      <c r="X268" s="1132"/>
      <c r="Y268" s="1132"/>
      <c r="Z268" s="1132"/>
      <c r="AA268" s="1132"/>
      <c r="AN268" s="1"/>
    </row>
    <row r="269" spans="1:40">
      <c r="A269" s="1"/>
      <c r="O269" s="155"/>
      <c r="P269" s="155"/>
      <c r="Q269" s="1131"/>
      <c r="R269" s="1131"/>
      <c r="S269" s="251"/>
      <c r="T269" s="251"/>
      <c r="U269" s="1132"/>
      <c r="V269" s="1132"/>
      <c r="W269" s="1132"/>
      <c r="X269" s="1132"/>
      <c r="Y269" s="1132"/>
      <c r="Z269" s="1132"/>
      <c r="AA269" s="1132"/>
      <c r="AN269" s="1"/>
    </row>
    <row r="270" spans="1:40">
      <c r="A270" s="1"/>
      <c r="O270" s="155"/>
      <c r="P270" s="155"/>
      <c r="Q270" s="1131"/>
      <c r="R270" s="1131"/>
      <c r="S270" s="251"/>
      <c r="T270" s="251"/>
      <c r="U270" s="1132"/>
      <c r="V270" s="1132"/>
      <c r="W270" s="1132"/>
      <c r="X270" s="1132"/>
      <c r="Y270" s="1132"/>
      <c r="Z270" s="1132"/>
      <c r="AA270" s="1132"/>
      <c r="AN270" s="1"/>
    </row>
    <row r="271" spans="1:40">
      <c r="A271" s="1"/>
      <c r="O271" s="155"/>
      <c r="P271" s="155"/>
      <c r="Q271" s="1131"/>
      <c r="R271" s="1131"/>
      <c r="S271" s="251"/>
      <c r="T271" s="251"/>
      <c r="U271" s="1132"/>
      <c r="V271" s="1132"/>
      <c r="W271" s="1132"/>
      <c r="X271" s="1132"/>
      <c r="Y271" s="1132"/>
      <c r="Z271" s="1132"/>
      <c r="AA271" s="1132"/>
      <c r="AN271" s="1"/>
    </row>
    <row r="272" spans="1:40">
      <c r="A272" s="1"/>
      <c r="B272" s="1"/>
      <c r="D272" s="1"/>
      <c r="F272" s="1"/>
      <c r="G272" s="1"/>
      <c r="H272" s="1"/>
      <c r="I272" s="1"/>
      <c r="J272" s="1"/>
      <c r="K272" s="1"/>
      <c r="L272" s="1"/>
      <c r="M272" s="1"/>
      <c r="N272" s="52"/>
      <c r="O272" s="52"/>
      <c r="P272" s="52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>
      <c r="A273" s="1"/>
      <c r="B273" s="1"/>
      <c r="D273" s="1"/>
      <c r="F273" s="1"/>
      <c r="G273" s="1"/>
      <c r="H273" s="1"/>
      <c r="I273" s="1"/>
      <c r="J273" s="1"/>
      <c r="K273" s="1"/>
      <c r="L273" s="1"/>
      <c r="M273" s="1"/>
      <c r="N273" s="52"/>
      <c r="O273" s="52"/>
      <c r="P273" s="52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>
      <c r="A274" s="1"/>
      <c r="B274" s="1"/>
      <c r="D274" s="1"/>
      <c r="F274" s="1"/>
      <c r="G274" s="1"/>
      <c r="H274" s="1"/>
      <c r="I274" s="1"/>
      <c r="J274" s="1"/>
      <c r="K274" s="1"/>
      <c r="L274" s="1"/>
      <c r="M274" s="1"/>
      <c r="N274" s="52"/>
      <c r="O274" s="52"/>
      <c r="P274" s="52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>
      <c r="A275" s="1"/>
      <c r="B275" s="1"/>
      <c r="D275" s="1"/>
      <c r="F275" s="1"/>
      <c r="G275" s="1"/>
      <c r="H275" s="1"/>
      <c r="I275" s="1"/>
      <c r="J275" s="1"/>
      <c r="K275" s="1"/>
      <c r="L275" s="1"/>
      <c r="M275" s="1"/>
      <c r="N275" s="52"/>
      <c r="O275" s="52"/>
      <c r="P275" s="52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>
      <c r="A276" s="1"/>
      <c r="B276" s="1"/>
      <c r="D276" s="1"/>
      <c r="F276" s="1"/>
      <c r="G276" s="1"/>
      <c r="H276" s="1"/>
      <c r="I276" s="1"/>
      <c r="J276" s="1"/>
      <c r="K276" s="1"/>
      <c r="L276" s="1"/>
      <c r="M276" s="1"/>
      <c r="N276" s="52"/>
      <c r="O276" s="52"/>
      <c r="P276" s="52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>
      <c r="A277" s="1"/>
      <c r="B277" s="1"/>
      <c r="D277" s="1"/>
      <c r="F277" s="1"/>
      <c r="G277" s="1"/>
      <c r="H277" s="1"/>
      <c r="I277" s="1"/>
      <c r="J277" s="1"/>
      <c r="K277" s="1"/>
      <c r="L277" s="1"/>
      <c r="M277" s="1"/>
      <c r="N277" s="52"/>
      <c r="O277" s="52"/>
      <c r="P277" s="52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>
      <c r="A278" s="1"/>
      <c r="B278" s="1"/>
      <c r="D278" s="1"/>
      <c r="F278" s="1"/>
      <c r="G278" s="1"/>
      <c r="H278" s="1"/>
      <c r="I278" s="1"/>
      <c r="J278" s="1"/>
      <c r="K278" s="1"/>
      <c r="L278" s="1"/>
      <c r="M278" s="1"/>
      <c r="N278" s="52"/>
      <c r="O278" s="52"/>
      <c r="P278" s="52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>
      <c r="A279" s="1"/>
      <c r="B279" s="1"/>
      <c r="D279" s="1"/>
      <c r="F279" s="1"/>
      <c r="G279" s="1"/>
      <c r="H279" s="1"/>
      <c r="I279" s="1"/>
      <c r="J279" s="1"/>
      <c r="K279" s="1"/>
      <c r="L279" s="1"/>
      <c r="M279" s="1"/>
      <c r="N279" s="52"/>
      <c r="O279" s="52"/>
      <c r="P279" s="52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>
      <c r="A280" s="1"/>
      <c r="B280" s="1"/>
      <c r="D280" s="1"/>
      <c r="F280" s="1"/>
      <c r="G280" s="1"/>
      <c r="H280" s="1"/>
      <c r="I280" s="1"/>
      <c r="J280" s="1"/>
      <c r="K280" s="1"/>
      <c r="L280" s="1"/>
      <c r="M280" s="1"/>
      <c r="N280" s="52"/>
      <c r="O280" s="52"/>
      <c r="P280" s="52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>
      <c r="A281" s="1"/>
      <c r="B281" s="1"/>
      <c r="D281" s="1"/>
      <c r="F281" s="1"/>
      <c r="G281" s="1"/>
      <c r="H281" s="1"/>
      <c r="I281" s="1"/>
      <c r="J281" s="1"/>
      <c r="K281" s="1"/>
      <c r="L281" s="1"/>
      <c r="M281" s="1"/>
      <c r="N281" s="52"/>
      <c r="O281" s="52"/>
      <c r="P281" s="52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>
      <c r="A282" s="1"/>
      <c r="B282" s="1"/>
      <c r="D282" s="1"/>
      <c r="F282" s="1"/>
      <c r="G282" s="1"/>
      <c r="H282" s="1"/>
      <c r="I282" s="1"/>
      <c r="J282" s="1"/>
      <c r="K282" s="1"/>
      <c r="L282" s="1"/>
      <c r="M282" s="1"/>
      <c r="N282" s="52"/>
      <c r="O282" s="52"/>
      <c r="P282" s="52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>
      <c r="A283" s="1"/>
      <c r="B283" s="1"/>
      <c r="D283" s="1"/>
      <c r="F283" s="1"/>
      <c r="G283" s="1"/>
      <c r="H283" s="1"/>
      <c r="I283" s="1"/>
      <c r="J283" s="1"/>
      <c r="K283" s="1"/>
      <c r="L283" s="1"/>
      <c r="M283" s="1"/>
      <c r="N283" s="52"/>
      <c r="O283" s="52"/>
      <c r="P283" s="52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>
      <c r="A284" s="1"/>
      <c r="B284" s="1"/>
      <c r="D284" s="1"/>
      <c r="F284" s="1"/>
      <c r="G284" s="1"/>
      <c r="H284" s="1"/>
      <c r="I284" s="1"/>
      <c r="J284" s="1"/>
      <c r="K284" s="1"/>
      <c r="L284" s="1"/>
      <c r="M284" s="1"/>
      <c r="N284" s="52"/>
      <c r="O284" s="52"/>
      <c r="P284" s="52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>
      <c r="A285" s="1"/>
      <c r="B285" s="1"/>
      <c r="D285" s="1"/>
      <c r="F285" s="1"/>
      <c r="G285" s="1"/>
      <c r="H285" s="1"/>
      <c r="I285" s="1"/>
      <c r="J285" s="1"/>
      <c r="K285" s="1"/>
      <c r="L285" s="1"/>
      <c r="M285" s="1"/>
      <c r="N285" s="52"/>
      <c r="O285" s="52"/>
      <c r="P285" s="52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>
      <c r="A286" s="1"/>
      <c r="B286" s="1"/>
      <c r="D286" s="1"/>
      <c r="F286" s="1"/>
      <c r="G286" s="1"/>
      <c r="H286" s="1"/>
      <c r="I286" s="1"/>
      <c r="J286" s="1"/>
      <c r="K286" s="1"/>
      <c r="L286" s="1"/>
      <c r="M286" s="1"/>
      <c r="N286" s="52"/>
      <c r="O286" s="52"/>
      <c r="P286" s="52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>
      <c r="A287" s="1"/>
      <c r="B287" s="1"/>
      <c r="D287" s="1"/>
      <c r="F287" s="1"/>
      <c r="G287" s="1"/>
      <c r="H287" s="1"/>
      <c r="I287" s="1"/>
      <c r="J287" s="1"/>
      <c r="K287" s="1"/>
      <c r="L287" s="1"/>
      <c r="M287" s="1"/>
      <c r="N287" s="52"/>
      <c r="O287" s="52"/>
      <c r="P287" s="52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>
      <c r="A288" s="1"/>
      <c r="B288" s="1"/>
      <c r="D288" s="1"/>
      <c r="F288" s="1"/>
      <c r="G288" s="1"/>
      <c r="H288" s="1"/>
      <c r="I288" s="1"/>
      <c r="J288" s="1"/>
      <c r="K288" s="1"/>
      <c r="L288" s="1"/>
      <c r="M288" s="1"/>
      <c r="N288" s="52"/>
      <c r="O288" s="52"/>
      <c r="P288" s="52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>
      <c r="A289" s="1"/>
      <c r="B289" s="1"/>
      <c r="D289" s="1"/>
      <c r="F289" s="1"/>
      <c r="G289" s="1"/>
      <c r="H289" s="1"/>
      <c r="I289" s="1"/>
      <c r="J289" s="1"/>
      <c r="K289" s="1"/>
      <c r="L289" s="1"/>
      <c r="M289" s="1"/>
      <c r="N289" s="52"/>
      <c r="O289" s="52"/>
      <c r="P289" s="52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>
      <c r="A290" s="1"/>
      <c r="B290" s="1"/>
      <c r="D290" s="1"/>
      <c r="F290" s="1"/>
      <c r="G290" s="1"/>
      <c r="H290" s="1"/>
      <c r="I290" s="1"/>
      <c r="J290" s="1"/>
      <c r="K290" s="1"/>
      <c r="L290" s="1"/>
      <c r="M290" s="1"/>
      <c r="N290" s="52"/>
      <c r="O290" s="52"/>
      <c r="P290" s="52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>
      <c r="A291" s="1"/>
      <c r="B291" s="1"/>
      <c r="D291" s="1"/>
      <c r="F291" s="1"/>
      <c r="G291" s="1"/>
      <c r="H291" s="1"/>
      <c r="I291" s="1"/>
      <c r="J291" s="1"/>
      <c r="K291" s="1"/>
      <c r="L291" s="1"/>
      <c r="M291" s="1"/>
      <c r="N291" s="52"/>
      <c r="O291" s="52"/>
      <c r="P291" s="52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>
      <c r="A292" s="1"/>
      <c r="B292" s="1"/>
      <c r="D292" s="1"/>
      <c r="F292" s="1"/>
      <c r="G292" s="1"/>
      <c r="H292" s="1"/>
      <c r="I292" s="1"/>
      <c r="J292" s="1"/>
      <c r="K292" s="1"/>
      <c r="L292" s="1"/>
      <c r="M292" s="1"/>
      <c r="N292" s="52"/>
      <c r="O292" s="52"/>
      <c r="P292" s="52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>
      <c r="A293" s="1"/>
      <c r="B293" s="1"/>
      <c r="D293" s="1"/>
      <c r="F293" s="1"/>
      <c r="G293" s="1"/>
      <c r="H293" s="1"/>
      <c r="I293" s="1"/>
      <c r="J293" s="1"/>
      <c r="K293" s="1"/>
      <c r="L293" s="1"/>
      <c r="M293" s="1"/>
      <c r="N293" s="52"/>
      <c r="O293" s="52"/>
      <c r="P293" s="52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>
      <c r="A294" s="1"/>
      <c r="B294" s="1"/>
      <c r="D294" s="1"/>
      <c r="F294" s="1"/>
      <c r="G294" s="1"/>
      <c r="H294" s="1"/>
      <c r="I294" s="1"/>
      <c r="J294" s="1"/>
      <c r="K294" s="1"/>
      <c r="L294" s="1"/>
      <c r="M294" s="1"/>
      <c r="N294" s="52"/>
      <c r="O294" s="52"/>
      <c r="P294" s="52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>
      <c r="A295" s="1"/>
      <c r="B295" s="1"/>
      <c r="D295" s="1"/>
      <c r="F295" s="1"/>
      <c r="G295" s="1"/>
      <c r="H295" s="1"/>
      <c r="I295" s="1"/>
      <c r="J295" s="1"/>
      <c r="K295" s="1"/>
      <c r="L295" s="1"/>
      <c r="M295" s="1"/>
      <c r="N295" s="52"/>
      <c r="O295" s="52"/>
      <c r="P295" s="52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>
      <c r="A296" s="1"/>
      <c r="B296" s="1"/>
      <c r="D296" s="1"/>
      <c r="F296" s="1"/>
      <c r="G296" s="1"/>
      <c r="H296" s="1"/>
      <c r="I296" s="1"/>
      <c r="J296" s="1"/>
      <c r="K296" s="1"/>
      <c r="L296" s="1"/>
      <c r="M296" s="1"/>
      <c r="N296" s="52"/>
      <c r="O296" s="52"/>
      <c r="P296" s="52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>
      <c r="A297" s="1"/>
      <c r="B297" s="1"/>
      <c r="D297" s="1"/>
      <c r="F297" s="1"/>
      <c r="G297" s="1"/>
      <c r="H297" s="1"/>
      <c r="I297" s="1"/>
      <c r="J297" s="1"/>
      <c r="K297" s="1"/>
      <c r="L297" s="1"/>
      <c r="M297" s="1"/>
      <c r="N297" s="52"/>
      <c r="O297" s="52"/>
      <c r="P297" s="52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>
      <c r="A298" s="1"/>
      <c r="B298" s="1"/>
      <c r="D298" s="1"/>
      <c r="F298" s="1"/>
      <c r="G298" s="1"/>
      <c r="H298" s="1"/>
      <c r="I298" s="1"/>
      <c r="J298" s="1"/>
      <c r="K298" s="1"/>
      <c r="L298" s="1"/>
      <c r="M298" s="1"/>
      <c r="N298" s="52"/>
      <c r="O298" s="52"/>
      <c r="P298" s="52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>
      <c r="A299" s="1"/>
      <c r="B299" s="1"/>
      <c r="D299" s="1"/>
      <c r="F299" s="1"/>
      <c r="G299" s="1"/>
      <c r="H299" s="1"/>
      <c r="I299" s="1"/>
      <c r="J299" s="1"/>
      <c r="K299" s="1"/>
      <c r="L299" s="1"/>
      <c r="M299" s="1"/>
      <c r="N299" s="52"/>
      <c r="O299" s="52"/>
      <c r="P299" s="52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>
      <c r="A300" s="1"/>
      <c r="B300" s="1"/>
      <c r="D300" s="1"/>
      <c r="F300" s="1"/>
      <c r="G300" s="1"/>
      <c r="H300" s="1"/>
      <c r="I300" s="1"/>
      <c r="J300" s="1"/>
      <c r="K300" s="1"/>
      <c r="L300" s="1"/>
      <c r="M300" s="1"/>
      <c r="N300" s="52"/>
      <c r="O300" s="52"/>
      <c r="P300" s="52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>
      <c r="A301" s="1"/>
      <c r="B301" s="1"/>
      <c r="D301" s="1"/>
      <c r="F301" s="1"/>
      <c r="G301" s="1"/>
      <c r="H301" s="1"/>
      <c r="I301" s="1"/>
      <c r="J301" s="1"/>
      <c r="K301" s="1"/>
      <c r="L301" s="1"/>
      <c r="M301" s="1"/>
      <c r="N301" s="52"/>
      <c r="O301" s="52"/>
      <c r="P301" s="52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>
      <c r="A302" s="1"/>
      <c r="B302" s="1"/>
      <c r="D302" s="1"/>
      <c r="F302" s="1"/>
      <c r="G302" s="1"/>
      <c r="H302" s="1"/>
      <c r="I302" s="1"/>
      <c r="J302" s="1"/>
      <c r="K302" s="1"/>
      <c r="L302" s="1"/>
      <c r="M302" s="1"/>
      <c r="N302" s="52"/>
      <c r="O302" s="52"/>
      <c r="P302" s="52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</sheetData>
  <mergeCells count="1">
    <mergeCell ref="Q70:R70"/>
  </mergeCells>
  <conditionalFormatting sqref="E46">
    <cfRule type="cellIs" dxfId="631" priority="1" stopIfTrue="1" operator="equal">
      <formula>1</formula>
    </cfRule>
  </conditionalFormatting>
  <conditionalFormatting sqref="F46:K46 D46">
    <cfRule type="cellIs" dxfId="630" priority="2" stopIfTrue="1" operator="equal">
      <formula>1</formula>
    </cfRule>
  </conditionalFormatting>
  <printOptions horizontalCentered="1" verticalCentered="1"/>
  <pageMargins left="0" right="0" top="0.74803149606299213" bottom="0.39370078740157483" header="0.31496062992125984" footer="0"/>
  <pageSetup paperSize="9" scale="110" orientation="landscape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7E4ED-FF91-5747-B424-DA67E98966F2}">
  <sheetPr codeName="Hoja29">
    <pageSetUpPr fitToPage="1"/>
  </sheetPr>
  <dimension ref="A1:AO309"/>
  <sheetViews>
    <sheetView topLeftCell="A50" zoomScale="150" zoomScaleNormal="150" workbookViewId="0">
      <selection activeCell="K2" sqref="K2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6640625" style="204" customWidth="1"/>
    <col min="4" max="4" width="1" style="902" customWidth="1"/>
    <col min="5" max="5" width="4.33203125" style="204" customWidth="1"/>
    <col min="6" max="6" width="5.1640625" style="207" customWidth="1"/>
    <col min="7" max="7" width="5.6640625" style="208" customWidth="1"/>
    <col min="8" max="8" width="9.5" style="208" customWidth="1"/>
    <col min="9" max="9" width="8.83203125" style="208" customWidth="1"/>
    <col min="10" max="10" width="9" style="208" customWidth="1"/>
    <col min="11" max="11" width="29.1640625" style="208" customWidth="1"/>
    <col min="12" max="12" width="7.1640625" style="208" customWidth="1"/>
    <col min="13" max="13" width="1" style="449" customWidth="1"/>
    <col min="14" max="14" width="7.83203125" style="207" customWidth="1"/>
    <col min="15" max="15" width="0.6640625" style="208" customWidth="1"/>
    <col min="16" max="16" width="9" style="208" customWidth="1"/>
    <col min="17" max="17" width="7.33203125" style="209" customWidth="1"/>
    <col min="18" max="18" width="8.33203125" style="209" customWidth="1"/>
    <col min="19" max="19" width="1.33203125" style="210" customWidth="1"/>
    <col min="20" max="20" width="0.33203125" style="210" customWidth="1"/>
    <col min="21" max="21" width="6.33203125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18" customHeight="1" thickBot="1">
      <c r="A1" s="203" t="s">
        <v>1888</v>
      </c>
      <c r="B1" s="204"/>
      <c r="C1" s="205"/>
      <c r="D1" s="901"/>
      <c r="E1" s="206"/>
      <c r="K1" s="3162"/>
      <c r="L1" s="3163"/>
      <c r="M1" s="3164"/>
      <c r="N1" s="3165"/>
      <c r="O1" s="3163"/>
      <c r="P1" s="3166"/>
      <c r="V1" s="212"/>
      <c r="AI1" s="213"/>
      <c r="AJ1" s="213"/>
      <c r="AK1" s="213"/>
      <c r="AL1" s="213"/>
      <c r="AM1" s="213"/>
    </row>
    <row r="2" spans="1:40" ht="12" customHeight="1" thickBot="1">
      <c r="F2" s="527"/>
      <c r="G2" s="155"/>
      <c r="H2" s="155"/>
      <c r="I2" s="155"/>
      <c r="J2" s="217"/>
      <c r="K2" s="583">
        <v>45236</v>
      </c>
      <c r="L2" s="583"/>
      <c r="U2" s="218" t="s">
        <v>345</v>
      </c>
      <c r="AI2" s="213"/>
      <c r="AJ2" s="213"/>
      <c r="AK2" s="213"/>
      <c r="AL2" s="213"/>
      <c r="AM2" s="213"/>
    </row>
    <row r="3" spans="1:40" s="223" customFormat="1" ht="61.5" customHeight="1" thickTop="1" thickBot="1">
      <c r="A3" s="351" t="s">
        <v>346</v>
      </c>
      <c r="B3" s="352" t="s">
        <v>347</v>
      </c>
      <c r="C3" s="353" t="s">
        <v>348</v>
      </c>
      <c r="D3" s="903"/>
      <c r="E3" s="353" t="s">
        <v>349</v>
      </c>
      <c r="F3" s="35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350"/>
      <c r="M3" s="450" t="s">
        <v>355</v>
      </c>
      <c r="N3" s="350" t="s">
        <v>445</v>
      </c>
      <c r="O3" s="353" t="s">
        <v>446</v>
      </c>
      <c r="P3" s="353" t="s">
        <v>447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3" customFormat="1" ht="9" customHeight="1" thickBot="1">
      <c r="A4" s="911"/>
      <c r="B4" s="912"/>
      <c r="C4" s="913"/>
      <c r="D4" s="914"/>
      <c r="E4" s="913"/>
      <c r="F4" s="915"/>
      <c r="G4" s="913"/>
      <c r="H4" s="913"/>
      <c r="I4" s="913"/>
      <c r="J4" s="915"/>
      <c r="K4" s="913"/>
      <c r="L4" s="913"/>
      <c r="M4" s="916"/>
      <c r="N4" s="913"/>
      <c r="O4" s="913"/>
      <c r="P4" s="913"/>
      <c r="Q4" s="917"/>
      <c r="R4" s="918"/>
      <c r="S4" s="919"/>
      <c r="T4" s="919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0"/>
      <c r="AC4" s="221"/>
      <c r="AD4" s="222"/>
      <c r="AE4" s="222"/>
      <c r="AF4" s="222"/>
      <c r="AG4" s="222"/>
      <c r="AH4" s="222"/>
      <c r="AI4" s="220"/>
      <c r="AJ4" s="220"/>
      <c r="AK4" s="220"/>
      <c r="AL4" s="220"/>
      <c r="AM4" s="220"/>
      <c r="AN4" s="220"/>
    </row>
    <row r="5" spans="1:40" s="228" customFormat="1" ht="3" customHeight="1" thickBot="1">
      <c r="A5" s="621"/>
      <c r="B5" s="622"/>
      <c r="C5" s="623"/>
      <c r="D5" s="938"/>
      <c r="E5" s="623"/>
      <c r="F5" s="624"/>
      <c r="G5" s="625"/>
      <c r="H5" s="625"/>
      <c r="I5" s="625"/>
      <c r="J5" s="624"/>
      <c r="K5" s="625"/>
      <c r="L5" s="625"/>
      <c r="M5" s="626"/>
      <c r="N5" s="625"/>
      <c r="O5" s="623"/>
      <c r="P5" s="623"/>
      <c r="Q5" s="623"/>
      <c r="R5" s="627"/>
      <c r="S5" s="224"/>
      <c r="T5" s="224"/>
      <c r="U5" s="111">
        <f>U4/4</f>
        <v>2.2880964381720439E-4</v>
      </c>
      <c r="V5" s="111">
        <f t="shared" ref="V5:AA5" si="0">V4/4</f>
        <v>2.1908757716049393E-4</v>
      </c>
      <c r="W5" s="111">
        <f t="shared" si="0"/>
        <v>2.1222190799396687E-4</v>
      </c>
      <c r="X5" s="111">
        <f t="shared" si="0"/>
        <v>2.0247664488766629E-4</v>
      </c>
      <c r="Y5" s="111">
        <f t="shared" si="0"/>
        <v>1.8933937422552669E-4</v>
      </c>
      <c r="Z5" s="111">
        <f t="shared" si="0"/>
        <v>1.8229166666666673E-4</v>
      </c>
      <c r="AA5" s="111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ht="12.75" customHeight="1" thickTop="1" thickBot="1">
      <c r="A6" s="851" t="s">
        <v>214</v>
      </c>
      <c r="B6" s="1124" t="s">
        <v>215</v>
      </c>
      <c r="C6" s="2256">
        <f t="shared" ref="C6" si="1">IF(D6=1,U$5,IF(D6=2,V$5,IF(D6=3,W$5,IF(D6=4,X$5,IF(D6=5,Y$5,IF(D6=6,Z$5,IF(D6=7,AA$5,0)))))))</f>
        <v>2.1908757716049393E-4</v>
      </c>
      <c r="D6" s="2286">
        <v>2</v>
      </c>
      <c r="E6" s="2276">
        <v>1</v>
      </c>
      <c r="F6" s="2276">
        <v>1</v>
      </c>
      <c r="G6" s="2276">
        <v>500</v>
      </c>
      <c r="H6" s="2277"/>
      <c r="I6" s="2277">
        <v>2.3148148148148146E-4</v>
      </c>
      <c r="J6" s="2277">
        <v>2.3148148148148146E-4</v>
      </c>
      <c r="K6" s="2278" t="s">
        <v>1346</v>
      </c>
      <c r="L6" s="2503">
        <v>0.30208333333333331</v>
      </c>
      <c r="M6" s="2280">
        <v>1.25</v>
      </c>
      <c r="N6" s="2277">
        <f t="shared" ref="N6" si="2">P6*E6*F6+I6*E6*F6+J6*E6</f>
        <v>5.9401523919753122E-3</v>
      </c>
      <c r="O6" s="2281">
        <f t="shared" ref="O6" si="3">C6*(G6/25)</f>
        <v>4.3817515432098787E-3</v>
      </c>
      <c r="P6" s="2281">
        <f t="shared" ref="P6" si="4">O6*M6</f>
        <v>5.4771894290123486E-3</v>
      </c>
      <c r="Q6" s="2282">
        <v>147</v>
      </c>
      <c r="R6" s="2283">
        <f t="shared" ref="R6" si="5">E6*F6*G6</f>
        <v>500</v>
      </c>
      <c r="S6" s="229">
        <f t="shared" ref="S6" si="6">E6*F6*G6/1000</f>
        <v>0.5</v>
      </c>
      <c r="T6" s="230">
        <f t="shared" ref="T6" si="7">E6*F6*O6*4</f>
        <v>1.7527006172839515E-2</v>
      </c>
      <c r="U6" s="374">
        <f t="shared" ref="U6" si="8">IF(C6*4&gt;=$U$4,S6,0)</f>
        <v>0</v>
      </c>
      <c r="V6" s="375">
        <f t="shared" ref="V6" si="9">IF(AND(C6*4&gt;=$V$4,C6*4&lt;$U$4),S6,0)</f>
        <v>0.5</v>
      </c>
      <c r="W6" s="376">
        <f t="shared" ref="W6" si="10">IF(AND(C6*4&gt;=$W$4,C6*4&lt;$V$4),S6,0)</f>
        <v>0</v>
      </c>
      <c r="X6" s="377">
        <f t="shared" ref="X6" si="11">IF(AND(C6*4&gt;=$X$4,C6*4&lt;$W$4),S6,0)</f>
        <v>0</v>
      </c>
      <c r="Y6" s="378">
        <f t="shared" ref="Y6" si="12">IF(AND(C6*4&gt;=$Y$4,C6*4&lt;$X$4),S6,0)</f>
        <v>0</v>
      </c>
      <c r="Z6" s="379">
        <f t="shared" ref="Z6" si="13">IF(AND(C6*4&gt;=$Z$4,C6*4&lt;$Y$4),S6,0)</f>
        <v>0</v>
      </c>
      <c r="AA6" s="380">
        <f t="shared" ref="AA6" si="14">IF(AND(C6*4&gt;=$AA$4,C6*4&lt;$Z$4),S6,0)</f>
        <v>0</v>
      </c>
      <c r="AB6" s="82" t="s">
        <v>214</v>
      </c>
      <c r="AC6" s="82" t="s">
        <v>215</v>
      </c>
      <c r="AD6" s="82" t="s">
        <v>216</v>
      </c>
      <c r="AE6" s="82" t="s">
        <v>217</v>
      </c>
      <c r="AF6" s="82" t="s">
        <v>218</v>
      </c>
      <c r="AG6" s="82" t="s">
        <v>219</v>
      </c>
      <c r="AH6" s="82" t="s">
        <v>220</v>
      </c>
      <c r="AI6" s="213"/>
      <c r="AJ6" s="213"/>
      <c r="AK6" s="213"/>
      <c r="AL6" s="213"/>
      <c r="AM6" s="213"/>
    </row>
    <row r="7" spans="1:40" ht="12.75" customHeight="1" thickBot="1">
      <c r="A7" s="851" t="s">
        <v>459</v>
      </c>
      <c r="B7" s="1124" t="s">
        <v>215</v>
      </c>
      <c r="C7" s="2256">
        <f t="shared" ref="C7:C33" si="15">IF(D7=1,U$5,IF(D7=2,V$5,IF(D7=3,W$5,IF(D7=4,X$5,IF(D7=5,Y$5,IF(D7=6,Z$5,IF(D7=7,AA$5,0)))))))</f>
        <v>2.1222190799396687E-4</v>
      </c>
      <c r="D7" s="2309">
        <v>3</v>
      </c>
      <c r="E7" s="2257">
        <v>1</v>
      </c>
      <c r="F7" s="2257">
        <v>4</v>
      </c>
      <c r="G7" s="2257">
        <v>100</v>
      </c>
      <c r="H7" s="2258"/>
      <c r="I7" s="2258">
        <v>2.8935185185185189E-4</v>
      </c>
      <c r="J7" s="2258">
        <v>2.3148148148148146E-4</v>
      </c>
      <c r="K7" s="2355" t="s">
        <v>1524</v>
      </c>
      <c r="L7" s="2504">
        <f>L6+N6</f>
        <v>0.30802348572530863</v>
      </c>
      <c r="M7" s="2326">
        <v>1.25</v>
      </c>
      <c r="N7" s="2258">
        <f>P7*E7*F7+I7*E7*F7+J7*E7</f>
        <v>5.633327048768226E-3</v>
      </c>
      <c r="O7" s="2262">
        <f t="shared" ref="O7" si="16">C7*(G7/25)</f>
        <v>8.4888763197586746E-4</v>
      </c>
      <c r="P7" s="2262">
        <f t="shared" ref="P7:P12" si="17">O7*M7</f>
        <v>1.0611095399698342E-3</v>
      </c>
      <c r="Q7" s="2274">
        <v>147</v>
      </c>
      <c r="R7" s="2257">
        <f t="shared" ref="R7:R12" si="18">E7*F7*G7</f>
        <v>400</v>
      </c>
      <c r="S7" s="229">
        <f t="shared" ref="S7:S70" si="19">E7*F7*G7/1000</f>
        <v>0.4</v>
      </c>
      <c r="T7" s="230">
        <f t="shared" ref="T7:T70" si="20">E7*F7*O7*4</f>
        <v>1.3582202111613879E-2</v>
      </c>
      <c r="U7" s="374">
        <f t="shared" ref="U7:U70" si="21">IF(C7*4&gt;=$U$4,S7,0)</f>
        <v>0</v>
      </c>
      <c r="V7" s="375">
        <f t="shared" ref="V7:V70" si="22">IF(AND(C7*4&gt;=$V$4,C7*4&lt;$U$4),S7,0)</f>
        <v>0</v>
      </c>
      <c r="W7" s="376">
        <f t="shared" ref="W7:W70" si="23">IF(AND(C7*4&gt;=$W$4,C7*4&lt;$V$4),S7,0)</f>
        <v>0.4</v>
      </c>
      <c r="X7" s="377">
        <f t="shared" ref="X7:X70" si="24">IF(AND(C7*4&gt;=$X$4,C7*4&lt;$W$4),S7,0)</f>
        <v>0</v>
      </c>
      <c r="Y7" s="378">
        <f t="shared" ref="Y7:Y70" si="25">IF(AND(C7*4&gt;=$Y$4,C7*4&lt;$X$4),S7,0)</f>
        <v>0</v>
      </c>
      <c r="Z7" s="379">
        <f t="shared" ref="Z7:Z70" si="26">IF(AND(C7*4&gt;=$Z$4,C7*4&lt;$Y$4),S7,0)</f>
        <v>0</v>
      </c>
      <c r="AA7" s="380">
        <f t="shared" ref="AA7:AA70" si="27">IF(AND(C7*4&gt;=$AA$4,C7*4&lt;$Z$4),S7,0)</f>
        <v>0</v>
      </c>
      <c r="AB7" s="535">
        <v>600.16666666666663</v>
      </c>
      <c r="AC7" s="535">
        <v>600.16666666666663</v>
      </c>
      <c r="AD7" s="535">
        <v>600.16666666666663</v>
      </c>
      <c r="AE7" s="535">
        <v>600.16666666666663</v>
      </c>
      <c r="AF7" s="535">
        <v>600.16666666666663</v>
      </c>
      <c r="AG7" s="535">
        <v>600.16666666666663</v>
      </c>
      <c r="AH7" s="535">
        <v>1</v>
      </c>
      <c r="AI7" s="213"/>
      <c r="AJ7" s="213"/>
      <c r="AK7" s="213"/>
      <c r="AL7" s="213"/>
      <c r="AM7" s="213"/>
    </row>
    <row r="8" spans="1:40" ht="12.75" customHeight="1" thickBot="1">
      <c r="A8" s="851" t="s">
        <v>460</v>
      </c>
      <c r="B8" s="1124" t="s">
        <v>215</v>
      </c>
      <c r="C8" s="2256">
        <f t="shared" si="15"/>
        <v>1.8229166666666673E-4</v>
      </c>
      <c r="D8" s="2541">
        <v>6</v>
      </c>
      <c r="E8" s="2542">
        <v>1</v>
      </c>
      <c r="F8" s="2542">
        <v>8</v>
      </c>
      <c r="G8" s="2542">
        <v>50</v>
      </c>
      <c r="H8" s="2543" t="s">
        <v>1338</v>
      </c>
      <c r="I8" s="2544">
        <v>6.9444444444444447E-4</v>
      </c>
      <c r="J8" s="2544">
        <v>2.0833333333333333E-3</v>
      </c>
      <c r="K8" s="2545" t="s">
        <v>1340</v>
      </c>
      <c r="L8" s="2546">
        <f>L7+N7</f>
        <v>0.31365681277407687</v>
      </c>
      <c r="M8" s="2547">
        <v>1</v>
      </c>
      <c r="N8" s="2544">
        <f>P8*E8*F8+I8*E8*F8+J8*E8</f>
        <v>1.0555555555555556E-2</v>
      </c>
      <c r="O8" s="2548">
        <f>C8*(G8/25)</f>
        <v>3.6458333333333346E-4</v>
      </c>
      <c r="P8" s="2549">
        <f t="shared" si="17"/>
        <v>3.6458333333333346E-4</v>
      </c>
      <c r="Q8" s="2550" t="s">
        <v>278</v>
      </c>
      <c r="R8" s="2551">
        <f t="shared" si="18"/>
        <v>400</v>
      </c>
      <c r="S8" s="229">
        <f t="shared" si="19"/>
        <v>0.4</v>
      </c>
      <c r="T8" s="230">
        <f t="shared" si="20"/>
        <v>1.1666666666666671E-2</v>
      </c>
      <c r="U8" s="374">
        <f t="shared" si="21"/>
        <v>0</v>
      </c>
      <c r="V8" s="375">
        <f t="shared" si="22"/>
        <v>0</v>
      </c>
      <c r="W8" s="376">
        <f t="shared" si="23"/>
        <v>0</v>
      </c>
      <c r="X8" s="377">
        <f t="shared" si="24"/>
        <v>0</v>
      </c>
      <c r="Y8" s="378">
        <f t="shared" si="25"/>
        <v>0</v>
      </c>
      <c r="Z8" s="379">
        <f t="shared" si="26"/>
        <v>0.4</v>
      </c>
      <c r="AA8" s="380">
        <f t="shared" si="27"/>
        <v>0</v>
      </c>
      <c r="AB8" s="500">
        <v>787.66666666666663</v>
      </c>
      <c r="AC8" s="500">
        <v>787.66666666666663</v>
      </c>
      <c r="AD8" s="500">
        <v>372.47454545454536</v>
      </c>
      <c r="AE8" s="500">
        <v>0</v>
      </c>
      <c r="AF8" s="500">
        <v>787.66666666666663</v>
      </c>
      <c r="AG8" s="500">
        <v>787.66666666666663</v>
      </c>
      <c r="AH8" s="500">
        <v>1</v>
      </c>
      <c r="AI8" s="213"/>
      <c r="AJ8" s="213"/>
      <c r="AK8" s="213"/>
      <c r="AL8" s="213"/>
      <c r="AM8" s="213"/>
    </row>
    <row r="9" spans="1:40" ht="12.75" customHeight="1" thickBot="1">
      <c r="A9" s="851" t="s">
        <v>458</v>
      </c>
      <c r="B9" s="1124" t="s">
        <v>215</v>
      </c>
      <c r="C9" s="2256">
        <f t="shared" si="15"/>
        <v>1.8229166666666673E-4</v>
      </c>
      <c r="D9" s="2541">
        <v>6</v>
      </c>
      <c r="E9" s="2542">
        <v>1</v>
      </c>
      <c r="F9" s="2542">
        <v>12</v>
      </c>
      <c r="G9" s="2542">
        <v>50</v>
      </c>
      <c r="H9" s="2543" t="s">
        <v>1339</v>
      </c>
      <c r="I9" s="2544">
        <v>1.0416666666666667E-3</v>
      </c>
      <c r="J9" s="2544">
        <v>0</v>
      </c>
      <c r="K9" s="2545" t="s">
        <v>1337</v>
      </c>
      <c r="L9" s="2546">
        <f>L6+N6</f>
        <v>0.30802348572530863</v>
      </c>
      <c r="M9" s="2547">
        <v>1.1000000000000001</v>
      </c>
      <c r="N9" s="2544">
        <f>P9*E9*F9+I9*E9*F9+J9*E9</f>
        <v>1.7312500000000001E-2</v>
      </c>
      <c r="O9" s="2548">
        <f t="shared" ref="O9:O12" si="28">C9*(G9/25)</f>
        <v>3.6458333333333346E-4</v>
      </c>
      <c r="P9" s="2549">
        <f t="shared" si="17"/>
        <v>4.0104166666666684E-4</v>
      </c>
      <c r="Q9" s="2550">
        <v>164</v>
      </c>
      <c r="R9" s="2551">
        <f t="shared" si="18"/>
        <v>600</v>
      </c>
      <c r="S9" s="229">
        <f t="shared" si="19"/>
        <v>0.6</v>
      </c>
      <c r="T9" s="230">
        <f t="shared" si="20"/>
        <v>1.7500000000000005E-2</v>
      </c>
      <c r="U9" s="374">
        <f t="shared" si="21"/>
        <v>0</v>
      </c>
      <c r="V9" s="375">
        <f t="shared" si="22"/>
        <v>0</v>
      </c>
      <c r="W9" s="376">
        <f t="shared" si="23"/>
        <v>0</v>
      </c>
      <c r="X9" s="377">
        <f t="shared" si="24"/>
        <v>0</v>
      </c>
      <c r="Y9" s="378">
        <f t="shared" si="25"/>
        <v>0</v>
      </c>
      <c r="Z9" s="379">
        <f t="shared" si="26"/>
        <v>0.6</v>
      </c>
      <c r="AA9" s="380">
        <f t="shared" si="27"/>
        <v>0</v>
      </c>
      <c r="AB9" s="501">
        <v>0</v>
      </c>
      <c r="AC9" s="501">
        <v>1473.3272727272727</v>
      </c>
      <c r="AD9" s="501">
        <v>1964.4363636363637</v>
      </c>
      <c r="AE9" s="501">
        <v>0</v>
      </c>
      <c r="AF9" s="501">
        <v>654.97878787878813</v>
      </c>
      <c r="AG9" s="501">
        <v>818.34848484848476</v>
      </c>
      <c r="AH9" s="501">
        <v>1</v>
      </c>
      <c r="AI9" s="213"/>
      <c r="AJ9" s="213"/>
      <c r="AK9" s="213"/>
      <c r="AL9" s="213"/>
      <c r="AM9" s="213"/>
    </row>
    <row r="10" spans="1:40" ht="12.75" customHeight="1" thickBot="1">
      <c r="A10" s="851" t="s">
        <v>219</v>
      </c>
      <c r="B10" s="1124" t="s">
        <v>215</v>
      </c>
      <c r="C10" s="2256">
        <f t="shared" si="15"/>
        <v>2.1908757716049393E-4</v>
      </c>
      <c r="D10" s="890">
        <v>2</v>
      </c>
      <c r="E10" s="300">
        <v>1</v>
      </c>
      <c r="F10" s="300">
        <v>1</v>
      </c>
      <c r="G10" s="300">
        <v>400</v>
      </c>
      <c r="H10" s="301"/>
      <c r="I10" s="301">
        <v>1.0416666666666667E-3</v>
      </c>
      <c r="J10" s="301">
        <v>1.3888888888888889E-3</v>
      </c>
      <c r="K10" s="1123" t="s">
        <v>702</v>
      </c>
      <c r="L10" s="994">
        <f>L9+N9</f>
        <v>0.32533598572530864</v>
      </c>
      <c r="M10" s="455">
        <v>1</v>
      </c>
      <c r="N10" s="301">
        <f>P10*E10*F10+J10*E10</f>
        <v>4.8942901234567916E-3</v>
      </c>
      <c r="O10" s="302">
        <f t="shared" si="28"/>
        <v>3.5054012345679029E-3</v>
      </c>
      <c r="P10" s="302">
        <f t="shared" si="17"/>
        <v>3.5054012345679029E-3</v>
      </c>
      <c r="Q10" s="550">
        <v>164</v>
      </c>
      <c r="R10" s="369">
        <f t="shared" si="18"/>
        <v>400</v>
      </c>
      <c r="S10" s="229">
        <f t="shared" si="19"/>
        <v>0.4</v>
      </c>
      <c r="T10" s="230">
        <f t="shared" si="20"/>
        <v>1.4021604938271611E-2</v>
      </c>
      <c r="U10" s="374">
        <f t="shared" si="21"/>
        <v>0</v>
      </c>
      <c r="V10" s="375">
        <f t="shared" si="22"/>
        <v>0.4</v>
      </c>
      <c r="W10" s="376">
        <f t="shared" si="23"/>
        <v>0</v>
      </c>
      <c r="X10" s="377">
        <f t="shared" si="24"/>
        <v>0</v>
      </c>
      <c r="Y10" s="378">
        <f t="shared" si="25"/>
        <v>0</v>
      </c>
      <c r="Z10" s="379">
        <f t="shared" si="26"/>
        <v>0</v>
      </c>
      <c r="AA10" s="380">
        <f t="shared" si="27"/>
        <v>0</v>
      </c>
      <c r="AB10" s="502">
        <v>0</v>
      </c>
      <c r="AC10" s="502">
        <v>0</v>
      </c>
      <c r="AD10" s="502">
        <v>1227.8727272727274</v>
      </c>
      <c r="AE10" s="502">
        <v>2865.0363636363636</v>
      </c>
      <c r="AF10" s="502">
        <v>0</v>
      </c>
      <c r="AG10" s="502">
        <v>0</v>
      </c>
      <c r="AH10" s="502">
        <v>0</v>
      </c>
      <c r="AI10" s="213"/>
      <c r="AJ10" s="213"/>
      <c r="AK10" s="213"/>
      <c r="AL10" s="213"/>
      <c r="AM10" s="213"/>
    </row>
    <row r="11" spans="1:40" ht="12.75" customHeight="1" thickBot="1">
      <c r="A11" s="851"/>
      <c r="B11" s="1124" t="s">
        <v>215</v>
      </c>
      <c r="C11" s="2256">
        <f t="shared" si="15"/>
        <v>1.7682291666666674E-4</v>
      </c>
      <c r="D11" s="2318">
        <v>7</v>
      </c>
      <c r="E11" s="2512">
        <v>1</v>
      </c>
      <c r="F11" s="2512">
        <v>4</v>
      </c>
      <c r="G11" s="2512">
        <v>27</v>
      </c>
      <c r="H11" s="2270"/>
      <c r="I11" s="2270">
        <v>1.0416666666666667E-3</v>
      </c>
      <c r="J11" s="2270">
        <v>2.3148148148148146E-4</v>
      </c>
      <c r="K11" s="2514" t="s">
        <v>1978</v>
      </c>
      <c r="L11" s="2515">
        <f>L10+N10</f>
        <v>0.33023027584876541</v>
      </c>
      <c r="M11" s="2516">
        <v>1</v>
      </c>
      <c r="N11" s="2270">
        <f>P11*E11*F11+I11*E11*F11+J11*E11</f>
        <v>5.1620231481481491E-3</v>
      </c>
      <c r="O11" s="2271">
        <f t="shared" si="28"/>
        <v>1.9096875000000008E-4</v>
      </c>
      <c r="P11" s="2517">
        <f t="shared" si="17"/>
        <v>1.9096875000000008E-4</v>
      </c>
      <c r="Q11" s="2518" t="s">
        <v>316</v>
      </c>
      <c r="R11" s="2519">
        <f t="shared" si="18"/>
        <v>108</v>
      </c>
      <c r="S11" s="229">
        <f t="shared" si="19"/>
        <v>0.108</v>
      </c>
      <c r="T11" s="230">
        <f t="shared" si="20"/>
        <v>3.0555000000000014E-3</v>
      </c>
      <c r="U11" s="374">
        <f t="shared" si="21"/>
        <v>0</v>
      </c>
      <c r="V11" s="375">
        <f t="shared" si="22"/>
        <v>0</v>
      </c>
      <c r="W11" s="376">
        <f t="shared" si="23"/>
        <v>0</v>
      </c>
      <c r="X11" s="377">
        <f t="shared" si="24"/>
        <v>0</v>
      </c>
      <c r="Y11" s="378">
        <f t="shared" si="25"/>
        <v>0</v>
      </c>
      <c r="Z11" s="379">
        <f t="shared" si="26"/>
        <v>0</v>
      </c>
      <c r="AA11" s="380">
        <f t="shared" si="27"/>
        <v>0.108</v>
      </c>
      <c r="AB11" s="503">
        <v>982.21818181818207</v>
      </c>
      <c r="AC11" s="503">
        <v>491.10909090909081</v>
      </c>
      <c r="AD11" s="503">
        <v>0</v>
      </c>
      <c r="AE11" s="503">
        <v>2455.545454545455</v>
      </c>
      <c r="AF11" s="503">
        <v>0</v>
      </c>
      <c r="AG11" s="503">
        <v>982.21818181818207</v>
      </c>
      <c r="AH11" s="503">
        <v>0</v>
      </c>
      <c r="AI11" s="213"/>
      <c r="AJ11" s="213"/>
      <c r="AK11" s="213"/>
      <c r="AL11" s="213"/>
      <c r="AM11" s="213"/>
    </row>
    <row r="12" spans="1:40" ht="12.75" customHeight="1" thickBot="1">
      <c r="A12" s="851"/>
      <c r="B12" s="1124" t="s">
        <v>215</v>
      </c>
      <c r="C12" s="2256">
        <f t="shared" si="15"/>
        <v>2.1908757716049393E-4</v>
      </c>
      <c r="D12" s="2309">
        <v>2</v>
      </c>
      <c r="E12" s="2257">
        <v>1</v>
      </c>
      <c r="F12" s="2257">
        <v>4</v>
      </c>
      <c r="G12" s="2257">
        <v>150</v>
      </c>
      <c r="H12" s="2258"/>
      <c r="I12" s="2258">
        <v>1.7361111111111112E-4</v>
      </c>
      <c r="J12" s="2258">
        <v>2.3148148148148146E-4</v>
      </c>
      <c r="K12" s="2355" t="s">
        <v>1341</v>
      </c>
      <c r="L12" s="2504">
        <f>L11+N11</f>
        <v>0.33539229899691358</v>
      </c>
      <c r="M12" s="2326">
        <v>1.25</v>
      </c>
      <c r="N12" s="2258">
        <f>P12*E12*F12+I12*E12*F12+J12*E12</f>
        <v>7.498553240740744E-3</v>
      </c>
      <c r="O12" s="2262">
        <f t="shared" si="28"/>
        <v>1.3145254629629635E-3</v>
      </c>
      <c r="P12" s="2262">
        <f t="shared" si="17"/>
        <v>1.6431568287037044E-3</v>
      </c>
      <c r="Q12" s="2274">
        <v>147</v>
      </c>
      <c r="R12" s="2257">
        <f t="shared" si="18"/>
        <v>600</v>
      </c>
      <c r="S12" s="229">
        <f t="shared" si="19"/>
        <v>0.6</v>
      </c>
      <c r="T12" s="230">
        <f t="shared" si="20"/>
        <v>2.1032407407407416E-2</v>
      </c>
      <c r="U12" s="374">
        <f t="shared" si="21"/>
        <v>0</v>
      </c>
      <c r="V12" s="375">
        <f t="shared" si="22"/>
        <v>0.6</v>
      </c>
      <c r="W12" s="376">
        <f t="shared" si="23"/>
        <v>0</v>
      </c>
      <c r="X12" s="377">
        <f t="shared" si="24"/>
        <v>0</v>
      </c>
      <c r="Y12" s="378">
        <f t="shared" si="25"/>
        <v>0</v>
      </c>
      <c r="Z12" s="379">
        <f t="shared" si="26"/>
        <v>0</v>
      </c>
      <c r="AA12" s="380">
        <f t="shared" si="27"/>
        <v>0</v>
      </c>
      <c r="AB12" s="504">
        <v>225.16666666666666</v>
      </c>
      <c r="AC12" s="504">
        <v>225.16666666666666</v>
      </c>
      <c r="AD12" s="504">
        <v>225.16666666666666</v>
      </c>
      <c r="AE12" s="504">
        <v>225.16666666666666</v>
      </c>
      <c r="AF12" s="504">
        <v>225.16666666666666</v>
      </c>
      <c r="AG12" s="504">
        <v>225.16666666666666</v>
      </c>
      <c r="AH12" s="504">
        <v>1</v>
      </c>
      <c r="AI12" s="213"/>
      <c r="AJ12" s="213"/>
      <c r="AK12" s="213"/>
      <c r="AL12" s="213"/>
      <c r="AM12" s="213"/>
    </row>
    <row r="13" spans="1:40" ht="12.75" customHeight="1">
      <c r="A13" s="397"/>
      <c r="B13" s="403"/>
      <c r="C13" s="2256">
        <f t="shared" si="15"/>
        <v>0</v>
      </c>
      <c r="D13" s="2335"/>
      <c r="E13" s="2336"/>
      <c r="F13" s="2336"/>
      <c r="G13" s="2336"/>
      <c r="H13" s="2337"/>
      <c r="I13" s="2337"/>
      <c r="J13" s="2337"/>
      <c r="K13" s="2338"/>
      <c r="L13" s="2182">
        <f>L12+N12</f>
        <v>0.34289085223765431</v>
      </c>
      <c r="M13" s="2502"/>
      <c r="N13" s="2528">
        <f>SUM(N6:N12)</f>
        <v>5.6996401508644781E-2</v>
      </c>
      <c r="O13" s="2359"/>
      <c r="P13" s="2359"/>
      <c r="Q13" s="2341"/>
      <c r="R13" s="2529">
        <f>SUM(R6:R12)</f>
        <v>3008</v>
      </c>
      <c r="S13" s="229">
        <f t="shared" si="19"/>
        <v>0</v>
      </c>
      <c r="T13" s="230">
        <f t="shared" si="20"/>
        <v>0</v>
      </c>
      <c r="U13" s="374">
        <f t="shared" si="21"/>
        <v>0</v>
      </c>
      <c r="V13" s="375">
        <f t="shared" si="22"/>
        <v>0</v>
      </c>
      <c r="W13" s="376">
        <f t="shared" si="23"/>
        <v>0</v>
      </c>
      <c r="X13" s="377">
        <f t="shared" si="24"/>
        <v>0</v>
      </c>
      <c r="Y13" s="378">
        <f t="shared" si="25"/>
        <v>0</v>
      </c>
      <c r="Z13" s="379">
        <f t="shared" si="26"/>
        <v>0</v>
      </c>
      <c r="AA13" s="380">
        <f t="shared" si="27"/>
        <v>0</v>
      </c>
      <c r="AC13" s="231"/>
      <c r="AD13" s="231"/>
      <c r="AE13" s="231"/>
      <c r="AF13" s="231"/>
      <c r="AG13" s="231"/>
      <c r="AH13" s="231"/>
      <c r="AI13" s="213"/>
      <c r="AJ13" s="213"/>
      <c r="AK13" s="213"/>
      <c r="AL13" s="213"/>
      <c r="AM13" s="213"/>
    </row>
    <row r="14" spans="1:40" ht="12.75" customHeight="1">
      <c r="A14" s="851" t="s">
        <v>214</v>
      </c>
      <c r="B14" s="1124" t="s">
        <v>461</v>
      </c>
      <c r="C14" s="2256">
        <f t="shared" si="15"/>
        <v>2.1908757716049393E-4</v>
      </c>
      <c r="D14" s="2286">
        <v>2</v>
      </c>
      <c r="E14" s="2276">
        <v>1</v>
      </c>
      <c r="F14" s="2276">
        <v>8</v>
      </c>
      <c r="G14" s="2276">
        <v>50</v>
      </c>
      <c r="H14" s="2277"/>
      <c r="I14" s="2277">
        <v>2.3148148148148146E-4</v>
      </c>
      <c r="J14" s="2277">
        <v>2.3148148148148146E-4</v>
      </c>
      <c r="K14" s="2278" t="s">
        <v>1347</v>
      </c>
      <c r="L14" s="2503">
        <v>0.80208333333333337</v>
      </c>
      <c r="M14" s="2280">
        <v>1.25</v>
      </c>
      <c r="N14" s="2277">
        <f t="shared" ref="N14:N19" si="29">P14*E14*F14+I14*E14*F14+J14*E14</f>
        <v>6.4650848765432124E-3</v>
      </c>
      <c r="O14" s="2281">
        <f t="shared" ref="O14:O15" si="30">C14*(G14/25)</f>
        <v>4.3817515432098786E-4</v>
      </c>
      <c r="P14" s="2281">
        <f t="shared" ref="P14:P18" si="31">O14*M14</f>
        <v>5.4771894290123484E-4</v>
      </c>
      <c r="Q14" s="2282">
        <v>147</v>
      </c>
      <c r="R14" s="2283">
        <f t="shared" ref="R14:R18" si="32">E14*F14*G14</f>
        <v>400</v>
      </c>
      <c r="S14" s="229">
        <f t="shared" si="19"/>
        <v>0.4</v>
      </c>
      <c r="T14" s="230">
        <f t="shared" si="20"/>
        <v>1.4021604938271611E-2</v>
      </c>
      <c r="U14" s="374">
        <f t="shared" si="21"/>
        <v>0</v>
      </c>
      <c r="V14" s="375">
        <f t="shared" si="22"/>
        <v>0.4</v>
      </c>
      <c r="W14" s="376">
        <f t="shared" si="23"/>
        <v>0</v>
      </c>
      <c r="X14" s="377">
        <f t="shared" si="24"/>
        <v>0</v>
      </c>
      <c r="Y14" s="378">
        <f t="shared" si="25"/>
        <v>0</v>
      </c>
      <c r="Z14" s="379">
        <f t="shared" si="26"/>
        <v>0</v>
      </c>
      <c r="AA14" s="380">
        <f t="shared" si="27"/>
        <v>0</v>
      </c>
      <c r="AC14" s="231"/>
      <c r="AD14" s="231"/>
      <c r="AE14" s="231"/>
      <c r="AF14" s="231"/>
      <c r="AG14" s="231"/>
      <c r="AH14" s="231"/>
      <c r="AI14" s="213"/>
      <c r="AJ14" s="213"/>
      <c r="AK14" s="213"/>
      <c r="AL14" s="213"/>
      <c r="AM14" s="213"/>
    </row>
    <row r="15" spans="1:40" ht="12.75" customHeight="1">
      <c r="A15" s="851" t="s">
        <v>459</v>
      </c>
      <c r="B15" s="1124" t="s">
        <v>461</v>
      </c>
      <c r="C15" s="2256">
        <f t="shared" si="15"/>
        <v>2.1222190799396687E-4</v>
      </c>
      <c r="D15" s="2309">
        <v>3</v>
      </c>
      <c r="E15" s="2257">
        <v>1</v>
      </c>
      <c r="F15" s="2257">
        <v>12</v>
      </c>
      <c r="G15" s="2257">
        <v>50</v>
      </c>
      <c r="H15" s="2258"/>
      <c r="I15" s="2258">
        <v>2.8935185185185189E-4</v>
      </c>
      <c r="J15" s="2258">
        <v>1.3888888888888889E-3</v>
      </c>
      <c r="K15" s="2355" t="s">
        <v>1976</v>
      </c>
      <c r="L15" s="2504">
        <f t="shared" ref="L15:L18" si="33">L14+N14</f>
        <v>0.80854841820987655</v>
      </c>
      <c r="M15" s="2326">
        <v>1</v>
      </c>
      <c r="N15" s="2258">
        <f t="shared" si="29"/>
        <v>9.9544369029663168E-3</v>
      </c>
      <c r="O15" s="2262">
        <f t="shared" si="30"/>
        <v>4.2444381598793373E-4</v>
      </c>
      <c r="P15" s="2262">
        <f t="shared" si="31"/>
        <v>4.2444381598793373E-4</v>
      </c>
      <c r="Q15" s="2274">
        <v>146</v>
      </c>
      <c r="R15" s="2257">
        <f t="shared" si="32"/>
        <v>600</v>
      </c>
      <c r="S15" s="229">
        <f t="shared" si="19"/>
        <v>0.6</v>
      </c>
      <c r="T15" s="230">
        <f t="shared" si="20"/>
        <v>2.0373303167420819E-2</v>
      </c>
      <c r="U15" s="374">
        <f t="shared" si="21"/>
        <v>0</v>
      </c>
      <c r="V15" s="375">
        <f t="shared" si="22"/>
        <v>0</v>
      </c>
      <c r="W15" s="376">
        <f t="shared" si="23"/>
        <v>0.6</v>
      </c>
      <c r="X15" s="377">
        <f t="shared" si="24"/>
        <v>0</v>
      </c>
      <c r="Y15" s="378">
        <f t="shared" si="25"/>
        <v>0</v>
      </c>
      <c r="Z15" s="379">
        <f t="shared" si="26"/>
        <v>0</v>
      </c>
      <c r="AA15" s="380">
        <f t="shared" si="27"/>
        <v>0</v>
      </c>
      <c r="AC15" s="231"/>
      <c r="AD15" s="231"/>
      <c r="AE15" s="231"/>
      <c r="AF15" s="231"/>
      <c r="AG15" s="231"/>
      <c r="AH15" s="231"/>
      <c r="AI15" s="213"/>
      <c r="AJ15" s="213"/>
      <c r="AK15" s="213"/>
      <c r="AL15" s="213"/>
      <c r="AM15" s="213"/>
    </row>
    <row r="16" spans="1:40" ht="12.75" customHeight="1">
      <c r="A16" s="851" t="s">
        <v>460</v>
      </c>
      <c r="B16" s="1124" t="s">
        <v>461</v>
      </c>
      <c r="C16" s="2256">
        <f t="shared" si="15"/>
        <v>1.7682291666666674E-4</v>
      </c>
      <c r="D16" s="6041">
        <v>7</v>
      </c>
      <c r="E16" s="6042">
        <v>5</v>
      </c>
      <c r="F16" s="6043">
        <v>5</v>
      </c>
      <c r="G16" s="4582">
        <v>35</v>
      </c>
      <c r="H16" s="4684"/>
      <c r="I16" s="4684">
        <v>4.0509259259259258E-4</v>
      </c>
      <c r="J16" s="4585">
        <v>0</v>
      </c>
      <c r="K16" s="4582" t="s">
        <v>1970</v>
      </c>
      <c r="L16" s="6044">
        <f t="shared" si="33"/>
        <v>0.81850285511284282</v>
      </c>
      <c r="M16" s="4584">
        <v>1.05</v>
      </c>
      <c r="N16" s="6311">
        <f t="shared" si="29"/>
        <v>1.6625557002314814E-2</v>
      </c>
      <c r="O16" s="4586">
        <f>C16*(G16/25)</f>
        <v>2.475520833333334E-4</v>
      </c>
      <c r="P16" s="4587">
        <f t="shared" si="31"/>
        <v>2.5992968750000007E-4</v>
      </c>
      <c r="Q16" s="4588">
        <v>177</v>
      </c>
      <c r="R16" s="4582">
        <f t="shared" si="32"/>
        <v>875</v>
      </c>
      <c r="S16" s="229">
        <f t="shared" si="19"/>
        <v>0.875</v>
      </c>
      <c r="T16" s="230">
        <f t="shared" si="20"/>
        <v>2.4755208333333341E-2</v>
      </c>
      <c r="U16" s="374">
        <f t="shared" si="21"/>
        <v>0</v>
      </c>
      <c r="V16" s="375">
        <f t="shared" si="22"/>
        <v>0</v>
      </c>
      <c r="W16" s="376">
        <f t="shared" si="23"/>
        <v>0</v>
      </c>
      <c r="X16" s="377">
        <f t="shared" si="24"/>
        <v>0</v>
      </c>
      <c r="Y16" s="378">
        <f t="shared" si="25"/>
        <v>0</v>
      </c>
      <c r="Z16" s="379">
        <f t="shared" si="26"/>
        <v>0</v>
      </c>
      <c r="AA16" s="380">
        <f t="shared" si="27"/>
        <v>0.875</v>
      </c>
      <c r="AC16" s="231"/>
      <c r="AD16" s="231"/>
      <c r="AE16" s="231"/>
      <c r="AF16" s="231"/>
      <c r="AG16" s="231"/>
      <c r="AH16" s="231"/>
      <c r="AI16" s="213"/>
      <c r="AJ16" s="213"/>
      <c r="AK16" s="213"/>
      <c r="AL16" s="213"/>
      <c r="AM16" s="213"/>
    </row>
    <row r="17" spans="1:40" ht="12.75" customHeight="1">
      <c r="A17" s="851" t="s">
        <v>458</v>
      </c>
      <c r="B17" s="1124" t="s">
        <v>461</v>
      </c>
      <c r="C17" s="2256">
        <f t="shared" si="15"/>
        <v>1.7682291666666674E-4</v>
      </c>
      <c r="D17" s="6041">
        <v>7</v>
      </c>
      <c r="E17" s="6045">
        <v>5</v>
      </c>
      <c r="F17" s="6043">
        <v>3</v>
      </c>
      <c r="G17" s="6046">
        <v>12.5</v>
      </c>
      <c r="H17" s="4684"/>
      <c r="I17" s="4684">
        <v>3.4722222222222224E-4</v>
      </c>
      <c r="J17" s="4585">
        <v>0</v>
      </c>
      <c r="K17" s="4582" t="s">
        <v>1971</v>
      </c>
      <c r="L17" s="6044">
        <f t="shared" si="33"/>
        <v>0.83512841211515765</v>
      </c>
      <c r="M17" s="4584">
        <v>1.05</v>
      </c>
      <c r="N17" s="6311">
        <f t="shared" si="29"/>
        <v>6.6008138020833343E-3</v>
      </c>
      <c r="O17" s="4586">
        <f t="shared" ref="O17:O18" si="34">C17*(G17/25)</f>
        <v>8.8411458333333368E-5</v>
      </c>
      <c r="P17" s="4587">
        <f t="shared" si="31"/>
        <v>9.2832031250000046E-5</v>
      </c>
      <c r="Q17" s="4588">
        <v>177</v>
      </c>
      <c r="R17" s="4582">
        <f t="shared" si="32"/>
        <v>187.5</v>
      </c>
      <c r="S17" s="229">
        <f t="shared" si="19"/>
        <v>0.1875</v>
      </c>
      <c r="T17" s="230">
        <f t="shared" si="20"/>
        <v>5.3046875000000021E-3</v>
      </c>
      <c r="U17" s="374">
        <f t="shared" si="21"/>
        <v>0</v>
      </c>
      <c r="V17" s="375">
        <f t="shared" si="22"/>
        <v>0</v>
      </c>
      <c r="W17" s="376">
        <f t="shared" si="23"/>
        <v>0</v>
      </c>
      <c r="X17" s="377">
        <f t="shared" si="24"/>
        <v>0</v>
      </c>
      <c r="Y17" s="378">
        <f t="shared" si="25"/>
        <v>0</v>
      </c>
      <c r="Z17" s="379">
        <f t="shared" si="26"/>
        <v>0</v>
      </c>
      <c r="AA17" s="380">
        <f t="shared" si="27"/>
        <v>0.1875</v>
      </c>
      <c r="AC17" s="231"/>
      <c r="AD17" s="231"/>
      <c r="AE17" s="231"/>
      <c r="AF17" s="231"/>
      <c r="AG17" s="231"/>
      <c r="AH17" s="231"/>
      <c r="AI17" s="213"/>
      <c r="AJ17" s="213"/>
      <c r="AK17" s="213"/>
      <c r="AL17" s="213"/>
      <c r="AM17" s="213"/>
    </row>
    <row r="18" spans="1:40" ht="12.75" customHeight="1">
      <c r="A18" s="851" t="s">
        <v>219</v>
      </c>
      <c r="B18" s="1124" t="s">
        <v>461</v>
      </c>
      <c r="C18" s="2256">
        <f t="shared" si="15"/>
        <v>1.7682291666666674E-4</v>
      </c>
      <c r="D18" s="6041">
        <v>7</v>
      </c>
      <c r="E18" s="6047">
        <v>2</v>
      </c>
      <c r="F18" s="6043">
        <v>1</v>
      </c>
      <c r="G18" s="4582">
        <v>15</v>
      </c>
      <c r="H18" s="4684"/>
      <c r="I18" s="4684">
        <v>2.0833333333333333E-3</v>
      </c>
      <c r="J18" s="4585">
        <v>3.472222222222222E-3</v>
      </c>
      <c r="K18" s="4582" t="s">
        <v>1972</v>
      </c>
      <c r="L18" s="6044">
        <f t="shared" si="33"/>
        <v>0.84172922591724098</v>
      </c>
      <c r="M18" s="4584">
        <v>1.05</v>
      </c>
      <c r="N18" s="6311">
        <f t="shared" si="29"/>
        <v>1.133390798611111E-2</v>
      </c>
      <c r="O18" s="4586">
        <f t="shared" si="34"/>
        <v>1.0609375000000004E-4</v>
      </c>
      <c r="P18" s="4587">
        <f t="shared" si="31"/>
        <v>1.1139843750000005E-4</v>
      </c>
      <c r="Q18" s="4588">
        <v>177</v>
      </c>
      <c r="R18" s="4582">
        <f t="shared" si="32"/>
        <v>30</v>
      </c>
      <c r="S18" s="229">
        <f t="shared" si="19"/>
        <v>0.03</v>
      </c>
      <c r="T18" s="230">
        <f t="shared" si="20"/>
        <v>8.4875000000000033E-4</v>
      </c>
      <c r="U18" s="374">
        <f t="shared" si="21"/>
        <v>0</v>
      </c>
      <c r="V18" s="375">
        <f t="shared" si="22"/>
        <v>0</v>
      </c>
      <c r="W18" s="376">
        <f t="shared" si="23"/>
        <v>0</v>
      </c>
      <c r="X18" s="377">
        <f t="shared" si="24"/>
        <v>0</v>
      </c>
      <c r="Y18" s="378">
        <f t="shared" si="25"/>
        <v>0</v>
      </c>
      <c r="Z18" s="379">
        <f t="shared" si="26"/>
        <v>0</v>
      </c>
      <c r="AA18" s="380">
        <f t="shared" si="27"/>
        <v>0.03</v>
      </c>
      <c r="AC18" s="231"/>
      <c r="AD18" s="231"/>
      <c r="AE18" s="231"/>
      <c r="AF18" s="231"/>
      <c r="AG18" s="231"/>
      <c r="AH18" s="231"/>
      <c r="AI18" s="213"/>
      <c r="AJ18" s="213"/>
      <c r="AK18" s="213"/>
      <c r="AL18" s="213"/>
      <c r="AM18" s="213"/>
    </row>
    <row r="19" spans="1:40" ht="12.75" customHeight="1">
      <c r="A19" s="851"/>
      <c r="B19" s="1124" t="s">
        <v>461</v>
      </c>
      <c r="C19" s="274">
        <f t="shared" si="15"/>
        <v>1.7682291666666674E-4</v>
      </c>
      <c r="D19" s="1054">
        <v>7</v>
      </c>
      <c r="E19" s="1043">
        <v>1</v>
      </c>
      <c r="F19" s="1043">
        <v>8</v>
      </c>
      <c r="G19" s="1043">
        <v>25</v>
      </c>
      <c r="H19" s="1044"/>
      <c r="I19" s="1044">
        <v>3.4722222222222224E-4</v>
      </c>
      <c r="J19" s="1044">
        <v>0</v>
      </c>
      <c r="K19" s="1323" t="s">
        <v>1977</v>
      </c>
      <c r="L19" s="1007">
        <f>L18+N18</f>
        <v>0.85306313390335209</v>
      </c>
      <c r="M19" s="1063">
        <v>2</v>
      </c>
      <c r="N19" s="1044">
        <f t="shared" si="29"/>
        <v>5.6069444444444456E-3</v>
      </c>
      <c r="O19" s="439">
        <f>C19*(G19/25)</f>
        <v>1.7682291666666674E-4</v>
      </c>
      <c r="P19" s="587">
        <f>O19*M19</f>
        <v>3.5364583333333347E-4</v>
      </c>
      <c r="Q19" s="446" t="s">
        <v>316</v>
      </c>
      <c r="R19" s="1045">
        <f>E19*F19*G19</f>
        <v>200</v>
      </c>
      <c r="S19" s="229">
        <f t="shared" si="19"/>
        <v>0.2</v>
      </c>
      <c r="T19" s="230">
        <f t="shared" si="20"/>
        <v>5.6583333333333355E-3</v>
      </c>
      <c r="U19" s="374">
        <f t="shared" si="21"/>
        <v>0</v>
      </c>
      <c r="V19" s="375">
        <f t="shared" si="22"/>
        <v>0</v>
      </c>
      <c r="W19" s="376">
        <f t="shared" si="23"/>
        <v>0</v>
      </c>
      <c r="X19" s="377">
        <f t="shared" si="24"/>
        <v>0</v>
      </c>
      <c r="Y19" s="378">
        <f t="shared" si="25"/>
        <v>0</v>
      </c>
      <c r="Z19" s="379">
        <f t="shared" si="26"/>
        <v>0</v>
      </c>
      <c r="AA19" s="380">
        <f t="shared" si="27"/>
        <v>0.2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</row>
    <row r="20" spans="1:40" ht="12.75" customHeight="1" thickBot="1">
      <c r="A20" s="851"/>
      <c r="B20" s="1124" t="s">
        <v>215</v>
      </c>
      <c r="C20" s="2256">
        <f t="shared" si="15"/>
        <v>0</v>
      </c>
      <c r="D20" s="2532"/>
      <c r="E20" s="2533"/>
      <c r="F20" s="2533"/>
      <c r="G20" s="2533"/>
      <c r="H20" s="2534"/>
      <c r="I20" s="2534"/>
      <c r="J20" s="2534"/>
      <c r="K20" s="2535"/>
      <c r="L20" s="2182">
        <f t="shared" ref="L20" si="35">L19+N19</f>
        <v>0.85867007834779652</v>
      </c>
      <c r="M20" s="2536">
        <v>2</v>
      </c>
      <c r="N20" s="2537">
        <f>SUM(N14:N19)</f>
        <v>5.658674501446323E-2</v>
      </c>
      <c r="O20" s="2538"/>
      <c r="P20" s="2538"/>
      <c r="Q20" s="2539"/>
      <c r="R20" s="2540">
        <f>SUM(R14:R19)</f>
        <v>2292.5</v>
      </c>
      <c r="S20" s="229">
        <f t="shared" si="19"/>
        <v>0</v>
      </c>
      <c r="T20" s="230">
        <f t="shared" si="20"/>
        <v>0</v>
      </c>
      <c r="U20" s="374">
        <f t="shared" si="21"/>
        <v>0</v>
      </c>
      <c r="V20" s="375">
        <f t="shared" si="22"/>
        <v>0</v>
      </c>
      <c r="W20" s="376">
        <f t="shared" si="23"/>
        <v>0</v>
      </c>
      <c r="X20" s="377">
        <f t="shared" si="24"/>
        <v>0</v>
      </c>
      <c r="Y20" s="378">
        <f t="shared" si="25"/>
        <v>0</v>
      </c>
      <c r="Z20" s="379">
        <f t="shared" si="26"/>
        <v>0</v>
      </c>
      <c r="AA20" s="380">
        <f t="shared" si="27"/>
        <v>0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</row>
    <row r="21" spans="1:40" ht="12.75" customHeight="1" thickBot="1">
      <c r="A21" s="398"/>
      <c r="B21" s="1117" t="s">
        <v>215</v>
      </c>
      <c r="C21" s="2256">
        <f t="shared" si="15"/>
        <v>2.2880964381720439E-4</v>
      </c>
      <c r="D21" s="2335">
        <v>1</v>
      </c>
      <c r="E21" s="2336">
        <v>1</v>
      </c>
      <c r="F21" s="2336">
        <v>1</v>
      </c>
      <c r="G21" s="2336">
        <v>300</v>
      </c>
      <c r="H21" s="2337"/>
      <c r="I21" s="2337">
        <v>0</v>
      </c>
      <c r="J21" s="2337">
        <v>1.1574074074074073E-4</v>
      </c>
      <c r="K21" s="2500" t="s">
        <v>1522</v>
      </c>
      <c r="L21" s="2501">
        <v>0.51041666666666663</v>
      </c>
      <c r="M21" s="2502">
        <v>1</v>
      </c>
      <c r="N21" s="2337">
        <f t="shared" ref="N21:N27" si="36">P21*E21*F21+I21*E21*F21+J21*E21</f>
        <v>2.8614564665471937E-3</v>
      </c>
      <c r="O21" s="2359">
        <f t="shared" ref="O21:O23" si="37">C21*(G21/25)</f>
        <v>2.7457157258064528E-3</v>
      </c>
      <c r="P21" s="2359">
        <f t="shared" ref="P21:P27" si="38">O21*M21</f>
        <v>2.7457157258064528E-3</v>
      </c>
      <c r="Q21" s="2341">
        <v>129</v>
      </c>
      <c r="R21" s="2336">
        <f t="shared" ref="R21:R27" si="39">E21*F21*G21</f>
        <v>300</v>
      </c>
      <c r="S21" s="229">
        <f t="shared" si="19"/>
        <v>0.3</v>
      </c>
      <c r="T21" s="230">
        <f t="shared" si="20"/>
        <v>1.0982862903225811E-2</v>
      </c>
      <c r="U21" s="374">
        <f t="shared" si="21"/>
        <v>0.3</v>
      </c>
      <c r="V21" s="375">
        <f t="shared" si="22"/>
        <v>0</v>
      </c>
      <c r="W21" s="376">
        <f t="shared" si="23"/>
        <v>0</v>
      </c>
      <c r="X21" s="377">
        <f t="shared" si="24"/>
        <v>0</v>
      </c>
      <c r="Y21" s="378">
        <f t="shared" si="25"/>
        <v>0</v>
      </c>
      <c r="Z21" s="379">
        <f t="shared" si="26"/>
        <v>0</v>
      </c>
      <c r="AA21" s="380">
        <f t="shared" si="27"/>
        <v>0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</row>
    <row r="22" spans="1:40" ht="12.75" customHeight="1" thickBot="1">
      <c r="A22" s="398"/>
      <c r="B22" s="1117" t="s">
        <v>215</v>
      </c>
      <c r="C22" s="2256">
        <f t="shared" si="15"/>
        <v>2.1908757716049393E-4</v>
      </c>
      <c r="D22" s="2286">
        <v>2</v>
      </c>
      <c r="E22" s="2276">
        <v>1</v>
      </c>
      <c r="F22" s="2276">
        <v>4</v>
      </c>
      <c r="G22" s="2276">
        <v>100</v>
      </c>
      <c r="H22" s="2277"/>
      <c r="I22" s="2277">
        <v>2.3148148148148146E-4</v>
      </c>
      <c r="J22" s="2277">
        <v>2.3148148148148146E-4</v>
      </c>
      <c r="K22" s="1323" t="s">
        <v>1526</v>
      </c>
      <c r="L22" s="2503">
        <f>L21+N21</f>
        <v>0.51327812313321386</v>
      </c>
      <c r="M22" s="2280">
        <v>1.25</v>
      </c>
      <c r="N22" s="2277">
        <f t="shared" si="36"/>
        <v>5.539158950617286E-3</v>
      </c>
      <c r="O22" s="2281">
        <f t="shared" si="37"/>
        <v>8.7635030864197572E-4</v>
      </c>
      <c r="P22" s="2281">
        <f t="shared" si="38"/>
        <v>1.0954378858024697E-3</v>
      </c>
      <c r="Q22" s="2282">
        <v>147</v>
      </c>
      <c r="R22" s="2283">
        <f t="shared" si="39"/>
        <v>400</v>
      </c>
      <c r="S22" s="229">
        <f t="shared" si="19"/>
        <v>0.4</v>
      </c>
      <c r="T22" s="230">
        <f t="shared" si="20"/>
        <v>1.4021604938271611E-2</v>
      </c>
      <c r="U22" s="374">
        <f t="shared" si="21"/>
        <v>0</v>
      </c>
      <c r="V22" s="375">
        <f t="shared" si="22"/>
        <v>0.4</v>
      </c>
      <c r="W22" s="376">
        <f t="shared" si="23"/>
        <v>0</v>
      </c>
      <c r="X22" s="377">
        <f t="shared" si="24"/>
        <v>0</v>
      </c>
      <c r="Y22" s="378">
        <f t="shared" si="25"/>
        <v>0</v>
      </c>
      <c r="Z22" s="379">
        <f t="shared" si="26"/>
        <v>0</v>
      </c>
      <c r="AA22" s="380">
        <f t="shared" si="27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</row>
    <row r="23" spans="1:40" ht="13" customHeight="1" thickBot="1">
      <c r="A23" s="398"/>
      <c r="B23" s="1117" t="s">
        <v>215</v>
      </c>
      <c r="C23" s="2256">
        <f t="shared" si="15"/>
        <v>2.1222190799396687E-4</v>
      </c>
      <c r="D23" s="2309">
        <v>3</v>
      </c>
      <c r="E23" s="2257">
        <v>1</v>
      </c>
      <c r="F23" s="2257">
        <v>4</v>
      </c>
      <c r="G23" s="2257">
        <v>100</v>
      </c>
      <c r="H23" s="2258"/>
      <c r="I23" s="2258">
        <v>2.8935185185185189E-4</v>
      </c>
      <c r="J23" s="2258">
        <v>2.3148148148148146E-4</v>
      </c>
      <c r="K23" s="2355" t="s">
        <v>1342</v>
      </c>
      <c r="L23" s="2504">
        <f>L22+N22</f>
        <v>0.51881728208383115</v>
      </c>
      <c r="M23" s="2326">
        <v>1.25</v>
      </c>
      <c r="N23" s="2258">
        <f t="shared" si="36"/>
        <v>5.633327048768226E-3</v>
      </c>
      <c r="O23" s="2262">
        <f t="shared" si="37"/>
        <v>8.4888763197586746E-4</v>
      </c>
      <c r="P23" s="2262">
        <f t="shared" si="38"/>
        <v>1.0611095399698342E-3</v>
      </c>
      <c r="Q23" s="2274">
        <v>147</v>
      </c>
      <c r="R23" s="2257">
        <f t="shared" si="39"/>
        <v>400</v>
      </c>
      <c r="S23" s="229">
        <f t="shared" si="19"/>
        <v>0.4</v>
      </c>
      <c r="T23" s="230">
        <f t="shared" si="20"/>
        <v>1.3582202111613879E-2</v>
      </c>
      <c r="U23" s="374">
        <f t="shared" si="21"/>
        <v>0</v>
      </c>
      <c r="V23" s="375">
        <f t="shared" si="22"/>
        <v>0</v>
      </c>
      <c r="W23" s="376">
        <f t="shared" si="23"/>
        <v>0.4</v>
      </c>
      <c r="X23" s="377">
        <f t="shared" si="24"/>
        <v>0</v>
      </c>
      <c r="Y23" s="378">
        <f t="shared" si="25"/>
        <v>0</v>
      </c>
      <c r="Z23" s="379">
        <f t="shared" si="26"/>
        <v>0</v>
      </c>
      <c r="AA23" s="380">
        <f t="shared" si="27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</row>
    <row r="24" spans="1:40" ht="13" customHeight="1" thickBot="1">
      <c r="A24" s="398"/>
      <c r="B24" s="1117" t="s">
        <v>215</v>
      </c>
      <c r="C24" s="274">
        <f t="shared" ref="C24" si="40">IF(D24=1,U$4,IF(D24=2,V$4,IF(D24=3,W$4,IF(D24=4,X$4,IF(D24=5,Y$4,IF(D24=6,Z$4,IF(D24=7,AA$4,0)))))))</f>
        <v>8.0990657955066516E-4</v>
      </c>
      <c r="D24" s="920">
        <v>4</v>
      </c>
      <c r="E24" s="4688">
        <v>1</v>
      </c>
      <c r="F24" s="1934">
        <v>6</v>
      </c>
      <c r="G24" s="1934">
        <v>125</v>
      </c>
      <c r="H24" s="4680"/>
      <c r="I24" s="3040">
        <v>3.4722222222222224E-4</v>
      </c>
      <c r="J24" s="3040">
        <v>1.9675925925925928E-3</v>
      </c>
      <c r="K24" s="1994" t="s">
        <v>1569</v>
      </c>
      <c r="L24" s="4689">
        <f>L23+N23</f>
        <v>0.52445060913259933</v>
      </c>
      <c r="M24" s="2011">
        <v>1.17</v>
      </c>
      <c r="N24" s="4689">
        <f t="shared" ref="N24" si="41">P24*E24*F24+I24*F24*E24+J24*E24</f>
        <v>3.2478646868154271E-2</v>
      </c>
      <c r="O24" s="2429">
        <f>C24*(G24/25)</f>
        <v>4.0495328977533255E-3</v>
      </c>
      <c r="P24" s="4689">
        <f>O24*M24</f>
        <v>4.7379534903713907E-3</v>
      </c>
      <c r="Q24" s="4690">
        <v>180</v>
      </c>
      <c r="R24" s="4691">
        <f>E24*F24*G24</f>
        <v>750</v>
      </c>
      <c r="S24" s="229">
        <f t="shared" si="19"/>
        <v>0.75</v>
      </c>
      <c r="T24" s="230">
        <f t="shared" si="20"/>
        <v>9.7188789546079818E-2</v>
      </c>
      <c r="U24" s="374">
        <f t="shared" si="21"/>
        <v>0.75</v>
      </c>
      <c r="V24" s="375">
        <f t="shared" si="22"/>
        <v>0</v>
      </c>
      <c r="W24" s="376">
        <f t="shared" si="23"/>
        <v>0</v>
      </c>
      <c r="X24" s="377">
        <f t="shared" si="24"/>
        <v>0</v>
      </c>
      <c r="Y24" s="378">
        <f t="shared" si="25"/>
        <v>0</v>
      </c>
      <c r="Z24" s="379">
        <f t="shared" si="26"/>
        <v>0</v>
      </c>
      <c r="AA24" s="380">
        <f t="shared" si="27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</row>
    <row r="25" spans="1:40" ht="12.75" customHeight="1" thickBot="1">
      <c r="A25" s="398" t="s">
        <v>215</v>
      </c>
      <c r="B25" s="1117" t="s">
        <v>215</v>
      </c>
      <c r="C25" s="2256">
        <f t="shared" si="15"/>
        <v>1.7682291666666674E-4</v>
      </c>
      <c r="D25" s="1054">
        <v>7</v>
      </c>
      <c r="E25" s="1043">
        <v>1</v>
      </c>
      <c r="F25" s="1043">
        <v>5</v>
      </c>
      <c r="G25" s="1043">
        <v>30</v>
      </c>
      <c r="H25" s="1044"/>
      <c r="I25" s="1044">
        <v>1.3888888888888889E-3</v>
      </c>
      <c r="J25" s="1044">
        <v>0</v>
      </c>
      <c r="K25" s="1323" t="s">
        <v>1528</v>
      </c>
      <c r="L25" s="1007">
        <f t="shared" ref="L25:L28" si="42">L24+N24</f>
        <v>0.5569292560007536</v>
      </c>
      <c r="M25" s="1063">
        <v>1</v>
      </c>
      <c r="N25" s="1044">
        <f t="shared" si="36"/>
        <v>8.0053819444444452E-3</v>
      </c>
      <c r="O25" s="439">
        <f t="shared" ref="O25:O27" si="43">C25*(G25/25)</f>
        <v>2.1218750000000008E-4</v>
      </c>
      <c r="P25" s="587">
        <f t="shared" si="38"/>
        <v>2.1218750000000008E-4</v>
      </c>
      <c r="Q25" s="446" t="s">
        <v>316</v>
      </c>
      <c r="R25" s="1045">
        <f t="shared" si="39"/>
        <v>150</v>
      </c>
      <c r="S25" s="229">
        <f t="shared" si="19"/>
        <v>0.15</v>
      </c>
      <c r="T25" s="230">
        <f t="shared" si="20"/>
        <v>4.2437500000000019E-3</v>
      </c>
      <c r="U25" s="374">
        <f t="shared" si="21"/>
        <v>0</v>
      </c>
      <c r="V25" s="375">
        <f t="shared" si="22"/>
        <v>0</v>
      </c>
      <c r="W25" s="376">
        <f t="shared" si="23"/>
        <v>0</v>
      </c>
      <c r="X25" s="377">
        <f t="shared" si="24"/>
        <v>0</v>
      </c>
      <c r="Y25" s="378">
        <f t="shared" si="25"/>
        <v>0</v>
      </c>
      <c r="Z25" s="379">
        <f t="shared" si="26"/>
        <v>0</v>
      </c>
      <c r="AA25" s="380">
        <f t="shared" si="27"/>
        <v>0.15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</row>
    <row r="26" spans="1:40" ht="12.75" customHeight="1" thickBot="1">
      <c r="A26" s="398" t="s">
        <v>138</v>
      </c>
      <c r="B26" s="1117" t="s">
        <v>215</v>
      </c>
      <c r="C26" s="274">
        <f t="shared" si="15"/>
        <v>1.8229166666666673E-4</v>
      </c>
      <c r="D26" s="4619">
        <v>6</v>
      </c>
      <c r="E26" s="4561">
        <v>1</v>
      </c>
      <c r="F26" s="4561">
        <v>8</v>
      </c>
      <c r="G26" s="4561">
        <v>50</v>
      </c>
      <c r="H26" s="4561"/>
      <c r="I26" s="6300">
        <v>6.9444444444444447E-4</v>
      </c>
      <c r="J26" s="6300">
        <v>3.472222222222222E-3</v>
      </c>
      <c r="K26" s="4561" t="s">
        <v>974</v>
      </c>
      <c r="L26" s="6300">
        <f>L25+N25</f>
        <v>0.56493463794519805</v>
      </c>
      <c r="M26" s="6307">
        <v>1</v>
      </c>
      <c r="N26" s="6300">
        <f t="shared" si="36"/>
        <v>1.2002777777777779E-2</v>
      </c>
      <c r="O26" s="4586">
        <f>C26*(G26/25)*1.02</f>
        <v>3.7187500000000014E-4</v>
      </c>
      <c r="P26" s="4686">
        <f t="shared" si="38"/>
        <v>3.7187500000000014E-4</v>
      </c>
      <c r="Q26" s="6303">
        <v>177</v>
      </c>
      <c r="R26" s="4561">
        <f t="shared" si="39"/>
        <v>400</v>
      </c>
      <c r="S26" s="229">
        <f t="shared" si="19"/>
        <v>0.4</v>
      </c>
      <c r="T26" s="230">
        <f t="shared" si="20"/>
        <v>1.1900000000000004E-2</v>
      </c>
      <c r="U26" s="374">
        <f t="shared" si="21"/>
        <v>0</v>
      </c>
      <c r="V26" s="375">
        <f t="shared" si="22"/>
        <v>0</v>
      </c>
      <c r="W26" s="376">
        <f t="shared" si="23"/>
        <v>0</v>
      </c>
      <c r="X26" s="377">
        <f t="shared" si="24"/>
        <v>0</v>
      </c>
      <c r="Y26" s="378">
        <f t="shared" si="25"/>
        <v>0</v>
      </c>
      <c r="Z26" s="379">
        <f t="shared" si="26"/>
        <v>0.4</v>
      </c>
      <c r="AA26" s="380">
        <f t="shared" si="27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</row>
    <row r="27" spans="1:40" ht="12.75" customHeight="1" thickBot="1">
      <c r="A27" s="398" t="s">
        <v>462</v>
      </c>
      <c r="B27" s="1117" t="s">
        <v>215</v>
      </c>
      <c r="C27" s="2256">
        <f t="shared" si="15"/>
        <v>1.7682291666666674E-4</v>
      </c>
      <c r="D27" s="1054">
        <v>7</v>
      </c>
      <c r="E27" s="1043">
        <v>1</v>
      </c>
      <c r="F27" s="1043">
        <v>6</v>
      </c>
      <c r="G27" s="1043">
        <v>20</v>
      </c>
      <c r="H27" s="1044"/>
      <c r="I27" s="1044">
        <v>1.0416666666666667E-3</v>
      </c>
      <c r="J27" s="1044">
        <v>0</v>
      </c>
      <c r="K27" s="1323" t="s">
        <v>413</v>
      </c>
      <c r="L27" s="1007">
        <f t="shared" si="42"/>
        <v>0.57693741572297585</v>
      </c>
      <c r="M27" s="1063">
        <v>2</v>
      </c>
      <c r="N27" s="1044">
        <f t="shared" si="36"/>
        <v>7.9475000000000014E-3</v>
      </c>
      <c r="O27" s="439">
        <f t="shared" si="43"/>
        <v>1.4145833333333339E-4</v>
      </c>
      <c r="P27" s="587">
        <f t="shared" si="38"/>
        <v>2.8291666666666678E-4</v>
      </c>
      <c r="Q27" s="446" t="s">
        <v>316</v>
      </c>
      <c r="R27" s="1045">
        <f t="shared" si="39"/>
        <v>120</v>
      </c>
      <c r="S27" s="229">
        <f t="shared" si="19"/>
        <v>0.12</v>
      </c>
      <c r="T27" s="230">
        <f t="shared" si="20"/>
        <v>3.3950000000000013E-3</v>
      </c>
      <c r="U27" s="374">
        <f t="shared" si="21"/>
        <v>0</v>
      </c>
      <c r="V27" s="375">
        <f t="shared" si="22"/>
        <v>0</v>
      </c>
      <c r="W27" s="376">
        <f t="shared" si="23"/>
        <v>0</v>
      </c>
      <c r="X27" s="377">
        <f t="shared" si="24"/>
        <v>0</v>
      </c>
      <c r="Y27" s="378">
        <f t="shared" si="25"/>
        <v>0</v>
      </c>
      <c r="Z27" s="379">
        <f t="shared" si="26"/>
        <v>0</v>
      </c>
      <c r="AA27" s="380">
        <f t="shared" si="27"/>
        <v>0.12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40" ht="12.75" customHeight="1" thickBot="1">
      <c r="A28" s="398" t="s">
        <v>461</v>
      </c>
      <c r="B28" s="1117"/>
      <c r="C28" s="2256">
        <f t="shared" si="15"/>
        <v>0</v>
      </c>
      <c r="D28" s="2532"/>
      <c r="E28" s="2533"/>
      <c r="F28" s="2533"/>
      <c r="G28" s="2533"/>
      <c r="H28" s="2534"/>
      <c r="I28" s="2534"/>
      <c r="J28" s="2534"/>
      <c r="K28" s="2535"/>
      <c r="L28" s="2182">
        <f t="shared" si="42"/>
        <v>0.58488491572297585</v>
      </c>
      <c r="M28" s="2536"/>
      <c r="N28" s="2537">
        <f>SUM(N21:N27)</f>
        <v>7.4468249056309194E-2</v>
      </c>
      <c r="O28" s="2538"/>
      <c r="P28" s="2538"/>
      <c r="Q28" s="2539"/>
      <c r="R28" s="2540">
        <f>SUM(R21:R27)</f>
        <v>2520</v>
      </c>
      <c r="S28" s="229">
        <f t="shared" si="19"/>
        <v>0</v>
      </c>
      <c r="T28" s="230">
        <f t="shared" si="20"/>
        <v>0</v>
      </c>
      <c r="U28" s="374">
        <f t="shared" si="21"/>
        <v>0</v>
      </c>
      <c r="V28" s="375">
        <f t="shared" si="22"/>
        <v>0</v>
      </c>
      <c r="W28" s="376">
        <f t="shared" si="23"/>
        <v>0</v>
      </c>
      <c r="X28" s="377">
        <f t="shared" si="24"/>
        <v>0</v>
      </c>
      <c r="Y28" s="378">
        <f t="shared" si="25"/>
        <v>0</v>
      </c>
      <c r="Z28" s="379">
        <f t="shared" si="26"/>
        <v>0</v>
      </c>
      <c r="AA28" s="380">
        <f t="shared" si="27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40" ht="12.75" customHeight="1" thickBot="1">
      <c r="A29" s="398" t="s">
        <v>458</v>
      </c>
      <c r="B29" s="1117" t="s">
        <v>461</v>
      </c>
      <c r="C29" s="274">
        <f t="shared" si="15"/>
        <v>2.1908757716049393E-4</v>
      </c>
      <c r="D29" s="890">
        <v>2</v>
      </c>
      <c r="E29" s="300">
        <v>1</v>
      </c>
      <c r="F29" s="300">
        <v>3</v>
      </c>
      <c r="G29" s="300">
        <v>200</v>
      </c>
      <c r="H29" s="301"/>
      <c r="I29" s="301">
        <v>1.7361111111111112E-4</v>
      </c>
      <c r="J29" s="301">
        <v>1.3888888888888889E-3</v>
      </c>
      <c r="K29" s="1123" t="s">
        <v>1343</v>
      </c>
      <c r="L29" s="994">
        <v>0.80208333333333337</v>
      </c>
      <c r="M29" s="455">
        <v>1</v>
      </c>
      <c r="N29" s="301">
        <f t="shared" ref="N29:N35" si="44">P29*E29*F29+I29*E29*F29+J29*E29</f>
        <v>7.1678240740740765E-3</v>
      </c>
      <c r="O29" s="302">
        <f t="shared" ref="O29:O37" si="45">C29*(G29/25)</f>
        <v>1.7527006172839514E-3</v>
      </c>
      <c r="P29" s="302">
        <f t="shared" ref="P29:P32" si="46">O29*M29</f>
        <v>1.7527006172839514E-3</v>
      </c>
      <c r="Q29" s="550">
        <v>164</v>
      </c>
      <c r="R29" s="369">
        <f t="shared" ref="R29:R32" si="47">E29*F29*G29</f>
        <v>600</v>
      </c>
      <c r="S29" s="229">
        <f t="shared" si="19"/>
        <v>0.6</v>
      </c>
      <c r="T29" s="230">
        <f t="shared" si="20"/>
        <v>2.1032407407407416E-2</v>
      </c>
      <c r="U29" s="374">
        <f t="shared" si="21"/>
        <v>0</v>
      </c>
      <c r="V29" s="375">
        <f t="shared" si="22"/>
        <v>0.6</v>
      </c>
      <c r="W29" s="376">
        <f t="shared" si="23"/>
        <v>0</v>
      </c>
      <c r="X29" s="377">
        <f t="shared" si="24"/>
        <v>0</v>
      </c>
      <c r="Y29" s="378">
        <f t="shared" si="25"/>
        <v>0</v>
      </c>
      <c r="Z29" s="379">
        <f t="shared" si="26"/>
        <v>0</v>
      </c>
      <c r="AA29" s="380">
        <f t="shared" si="27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</row>
    <row r="30" spans="1:40" ht="12.75" customHeight="1" thickBot="1">
      <c r="A30" s="398" t="s">
        <v>219</v>
      </c>
      <c r="B30" s="1117" t="s">
        <v>461</v>
      </c>
      <c r="C30" s="274">
        <f t="shared" si="15"/>
        <v>2.1908757716049393E-4</v>
      </c>
      <c r="D30" s="890">
        <v>2</v>
      </c>
      <c r="E30" s="300">
        <v>1</v>
      </c>
      <c r="F30" s="300">
        <v>7</v>
      </c>
      <c r="G30" s="300">
        <v>50</v>
      </c>
      <c r="H30" s="301"/>
      <c r="I30" s="301">
        <v>2.8935185185185189E-4</v>
      </c>
      <c r="J30" s="301">
        <v>1.3888888888888889E-3</v>
      </c>
      <c r="K30" s="1123" t="s">
        <v>1530</v>
      </c>
      <c r="L30" s="994">
        <f t="shared" ref="L30:L36" si="48">L29+N29</f>
        <v>0.8092511574074075</v>
      </c>
      <c r="M30" s="455">
        <v>1</v>
      </c>
      <c r="N30" s="301">
        <f t="shared" si="44"/>
        <v>6.4815779320987676E-3</v>
      </c>
      <c r="O30" s="302">
        <f t="shared" si="45"/>
        <v>4.3817515432098786E-4</v>
      </c>
      <c r="P30" s="302">
        <f t="shared" si="46"/>
        <v>4.3817515432098786E-4</v>
      </c>
      <c r="Q30" s="550">
        <v>146</v>
      </c>
      <c r="R30" s="369">
        <f t="shared" si="47"/>
        <v>350</v>
      </c>
      <c r="S30" s="229">
        <f t="shared" si="19"/>
        <v>0.35</v>
      </c>
      <c r="T30" s="230">
        <f t="shared" si="20"/>
        <v>1.2268904320987661E-2</v>
      </c>
      <c r="U30" s="374">
        <f t="shared" si="21"/>
        <v>0</v>
      </c>
      <c r="V30" s="375">
        <f t="shared" si="22"/>
        <v>0.35</v>
      </c>
      <c r="W30" s="376">
        <f t="shared" si="23"/>
        <v>0</v>
      </c>
      <c r="X30" s="377">
        <f t="shared" si="24"/>
        <v>0</v>
      </c>
      <c r="Y30" s="378">
        <f t="shared" si="25"/>
        <v>0</v>
      </c>
      <c r="Z30" s="379">
        <f t="shared" si="26"/>
        <v>0</v>
      </c>
      <c r="AA30" s="380">
        <f t="shared" si="27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  <c r="AN30" s="204"/>
    </row>
    <row r="31" spans="1:40" ht="12.75" customHeight="1" thickBot="1">
      <c r="A31" s="398"/>
      <c r="B31" s="1117" t="s">
        <v>461</v>
      </c>
      <c r="C31" s="274">
        <f t="shared" si="15"/>
        <v>2.1222190799396687E-4</v>
      </c>
      <c r="D31" s="2309">
        <v>3</v>
      </c>
      <c r="E31" s="2257">
        <v>1</v>
      </c>
      <c r="F31" s="2257">
        <v>14</v>
      </c>
      <c r="G31" s="2257">
        <v>50</v>
      </c>
      <c r="H31" s="2258"/>
      <c r="I31" s="2258">
        <v>1.7361111111111112E-4</v>
      </c>
      <c r="J31" s="2258">
        <v>1.3888888888888889E-3</v>
      </c>
      <c r="K31" s="2355"/>
      <c r="L31" s="2503">
        <v>0.41666666666666669</v>
      </c>
      <c r="M31" s="2326">
        <v>1.1000000000000001</v>
      </c>
      <c r="N31" s="2258">
        <f t="shared" si="44"/>
        <v>1.0355879210658624E-2</v>
      </c>
      <c r="O31" s="2262">
        <f t="shared" si="45"/>
        <v>4.2444381598793373E-4</v>
      </c>
      <c r="P31" s="2262">
        <f t="shared" si="46"/>
        <v>4.6688819758672714E-4</v>
      </c>
      <c r="Q31" s="2274">
        <v>164</v>
      </c>
      <c r="R31" s="2257">
        <f t="shared" si="47"/>
        <v>700</v>
      </c>
      <c r="S31" s="229">
        <f t="shared" si="19"/>
        <v>0.7</v>
      </c>
      <c r="T31" s="230">
        <f t="shared" si="20"/>
        <v>2.3768853695324291E-2</v>
      </c>
      <c r="U31" s="374">
        <f t="shared" si="21"/>
        <v>0</v>
      </c>
      <c r="V31" s="375">
        <f t="shared" si="22"/>
        <v>0</v>
      </c>
      <c r="W31" s="376">
        <f t="shared" si="23"/>
        <v>0.7</v>
      </c>
      <c r="X31" s="377">
        <f t="shared" si="24"/>
        <v>0</v>
      </c>
      <c r="Y31" s="378">
        <f t="shared" si="25"/>
        <v>0</v>
      </c>
      <c r="Z31" s="379">
        <f t="shared" si="26"/>
        <v>0</v>
      </c>
      <c r="AA31" s="380">
        <f t="shared" si="27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  <c r="AN31" s="204"/>
    </row>
    <row r="32" spans="1:40" ht="12.75" customHeight="1" thickBot="1">
      <c r="A32" s="398"/>
      <c r="B32" s="1117" t="s">
        <v>461</v>
      </c>
      <c r="C32" s="274">
        <f t="shared" si="15"/>
        <v>1.8229166666666673E-4</v>
      </c>
      <c r="D32" s="4619">
        <v>6</v>
      </c>
      <c r="E32" s="4561">
        <v>1</v>
      </c>
      <c r="F32" s="4561">
        <v>6</v>
      </c>
      <c r="G32" s="4561">
        <v>80</v>
      </c>
      <c r="H32" s="4561"/>
      <c r="I32" s="6300">
        <v>3.4722222222222224E-4</v>
      </c>
      <c r="J32" s="6300">
        <v>6.9444444444444441E-3</v>
      </c>
      <c r="K32" s="4561" t="s">
        <v>974</v>
      </c>
      <c r="L32" s="6300">
        <v>0.79861111111111116</v>
      </c>
      <c r="M32" s="6307">
        <v>1</v>
      </c>
      <c r="N32" s="6300">
        <f t="shared" si="44"/>
        <v>1.2527777777777778E-2</v>
      </c>
      <c r="O32" s="4586">
        <f>C32*(G32/25)</f>
        <v>5.833333333333336E-4</v>
      </c>
      <c r="P32" s="4686">
        <f t="shared" si="46"/>
        <v>5.833333333333336E-4</v>
      </c>
      <c r="Q32" s="6303">
        <v>177</v>
      </c>
      <c r="R32" s="4561">
        <f t="shared" si="47"/>
        <v>480</v>
      </c>
      <c r="S32" s="229">
        <f t="shared" si="19"/>
        <v>0.48</v>
      </c>
      <c r="T32" s="230">
        <f t="shared" si="20"/>
        <v>1.4000000000000005E-2</v>
      </c>
      <c r="U32" s="374">
        <f t="shared" si="21"/>
        <v>0</v>
      </c>
      <c r="V32" s="375">
        <f t="shared" si="22"/>
        <v>0</v>
      </c>
      <c r="W32" s="376">
        <f t="shared" si="23"/>
        <v>0</v>
      </c>
      <c r="X32" s="377">
        <f t="shared" si="24"/>
        <v>0</v>
      </c>
      <c r="Y32" s="378">
        <f t="shared" si="25"/>
        <v>0</v>
      </c>
      <c r="Z32" s="379">
        <f t="shared" si="26"/>
        <v>0.48</v>
      </c>
      <c r="AA32" s="380">
        <f t="shared" si="27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  <c r="AN32" s="204"/>
    </row>
    <row r="33" spans="1:40" ht="12.75" customHeight="1" thickBot="1">
      <c r="A33" s="398"/>
      <c r="B33" s="1117" t="s">
        <v>461</v>
      </c>
      <c r="C33" s="274">
        <f t="shared" si="15"/>
        <v>2.1222190799396687E-4</v>
      </c>
      <c r="D33" s="891">
        <v>3</v>
      </c>
      <c r="E33" s="280">
        <v>1</v>
      </c>
      <c r="F33" s="280">
        <v>3</v>
      </c>
      <c r="G33" s="280">
        <v>200</v>
      </c>
      <c r="H33" s="281"/>
      <c r="I33" s="281">
        <v>3.4722222222222224E-4</v>
      </c>
      <c r="J33" s="281">
        <v>1.3888888888888889E-3</v>
      </c>
      <c r="K33" s="1328" t="s">
        <v>300</v>
      </c>
      <c r="L33" s="995">
        <f t="shared" si="48"/>
        <v>0.81113888888888896</v>
      </c>
      <c r="M33" s="453">
        <v>1.1000000000000001</v>
      </c>
      <c r="N33" s="281">
        <f t="shared" si="44"/>
        <v>8.0332139265962815E-3</v>
      </c>
      <c r="O33" s="298">
        <f t="shared" si="45"/>
        <v>1.6977752639517349E-3</v>
      </c>
      <c r="P33" s="298">
        <f>O33*M33</f>
        <v>1.8675527903469085E-3</v>
      </c>
      <c r="Q33" s="333">
        <v>165</v>
      </c>
      <c r="R33" s="280">
        <f>E33*F33*G33</f>
        <v>600</v>
      </c>
      <c r="S33" s="229">
        <f t="shared" si="19"/>
        <v>0.6</v>
      </c>
      <c r="T33" s="230">
        <f t="shared" si="20"/>
        <v>2.0373303167420819E-2</v>
      </c>
      <c r="U33" s="374">
        <f t="shared" si="21"/>
        <v>0</v>
      </c>
      <c r="V33" s="375">
        <f t="shared" si="22"/>
        <v>0</v>
      </c>
      <c r="W33" s="376">
        <f t="shared" si="23"/>
        <v>0.6</v>
      </c>
      <c r="X33" s="377">
        <f t="shared" si="24"/>
        <v>0</v>
      </c>
      <c r="Y33" s="378">
        <f t="shared" si="25"/>
        <v>0</v>
      </c>
      <c r="Z33" s="379">
        <f t="shared" si="26"/>
        <v>0</v>
      </c>
      <c r="AA33" s="380">
        <f t="shared" si="27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  <c r="AN33" s="204"/>
    </row>
    <row r="34" spans="1:40" ht="12.75" customHeight="1" thickBot="1">
      <c r="A34" s="398"/>
      <c r="B34" s="1117" t="s">
        <v>461</v>
      </c>
      <c r="C34" s="274">
        <f t="shared" ref="C34" si="49">IF(D34=1,U$4,IF(D34=2,V$4,IF(D34=3,W$4,IF(D34=4,X$4,IF(D34=5,Y$4,IF(D34=6,Z$4,IF(D34=7,AA$4,0)))))))</f>
        <v>8.0990657955066516E-4</v>
      </c>
      <c r="D34" s="2031">
        <v>4</v>
      </c>
      <c r="E34" s="1934">
        <v>1</v>
      </c>
      <c r="F34" s="1934">
        <v>3</v>
      </c>
      <c r="G34" s="1934">
        <v>200</v>
      </c>
      <c r="H34" s="3040"/>
      <c r="I34" s="3040">
        <v>9.2592592592592585E-4</v>
      </c>
      <c r="J34" s="3040">
        <v>0</v>
      </c>
      <c r="K34" s="1994" t="s">
        <v>2249</v>
      </c>
      <c r="L34" s="2178">
        <f>L33+N33</f>
        <v>0.81917210281548525</v>
      </c>
      <c r="M34" s="2428">
        <v>1.1000000000000001</v>
      </c>
      <c r="N34" s="3040">
        <f>P34*E34*F34+I34*E34*F34+J34*E34</f>
        <v>2.4159311477915339E-2</v>
      </c>
      <c r="O34" s="2429">
        <f t="shared" si="45"/>
        <v>6.4792526364053213E-3</v>
      </c>
      <c r="P34" s="2429">
        <f>O34*M34</f>
        <v>7.127177900045854E-3</v>
      </c>
      <c r="Q34" s="2032">
        <v>170</v>
      </c>
      <c r="R34" s="3364">
        <f>E34*F34*G34</f>
        <v>600</v>
      </c>
      <c r="S34" s="229">
        <f t="shared" si="19"/>
        <v>0.6</v>
      </c>
      <c r="T34" s="230">
        <f t="shared" si="20"/>
        <v>7.7751031636863852E-2</v>
      </c>
      <c r="U34" s="374">
        <f t="shared" si="21"/>
        <v>0.6</v>
      </c>
      <c r="V34" s="375">
        <f t="shared" si="22"/>
        <v>0</v>
      </c>
      <c r="W34" s="376">
        <f t="shared" si="23"/>
        <v>0</v>
      </c>
      <c r="X34" s="377">
        <f t="shared" si="24"/>
        <v>0</v>
      </c>
      <c r="Y34" s="378">
        <f t="shared" si="25"/>
        <v>0</v>
      </c>
      <c r="Z34" s="379">
        <f t="shared" si="26"/>
        <v>0</v>
      </c>
      <c r="AA34" s="380">
        <f t="shared" si="27"/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  <c r="AN34" s="204"/>
    </row>
    <row r="35" spans="1:40" ht="12.75" customHeight="1">
      <c r="A35" s="398"/>
      <c r="B35" s="1117" t="s">
        <v>461</v>
      </c>
      <c r="C35" s="274">
        <f t="shared" ref="C35:C36" si="50">IF(D35=1,U$5,IF(D35=2,V$5,IF(D35=3,W$5,IF(D35=4,X$5,IF(D35=5,Y$5,IF(D35=6,Z$5,IF(D35=7,AA$5,0)))))))</f>
        <v>1.7682291666666674E-4</v>
      </c>
      <c r="D35" s="1054">
        <v>7</v>
      </c>
      <c r="E35" s="1043">
        <v>1</v>
      </c>
      <c r="F35" s="1043">
        <v>20</v>
      </c>
      <c r="G35" s="1043">
        <v>25</v>
      </c>
      <c r="H35" s="1044"/>
      <c r="I35" s="1044">
        <v>3.4722222222222224E-4</v>
      </c>
      <c r="J35" s="1044">
        <v>0</v>
      </c>
      <c r="K35" s="1323" t="s">
        <v>893</v>
      </c>
      <c r="L35" s="1007">
        <f>L34+N34</f>
        <v>0.84333141429340064</v>
      </c>
      <c r="M35" s="1063">
        <v>1</v>
      </c>
      <c r="N35" s="1044">
        <f t="shared" si="44"/>
        <v>1.048090277777778E-2</v>
      </c>
      <c r="O35" s="439">
        <f>C35*(G35/25)</f>
        <v>1.7682291666666674E-4</v>
      </c>
      <c r="P35" s="587">
        <f>O35*M35</f>
        <v>1.7682291666666674E-4</v>
      </c>
      <c r="Q35" s="446" t="s">
        <v>316</v>
      </c>
      <c r="R35" s="1045">
        <f>E35*F35*G35</f>
        <v>500</v>
      </c>
      <c r="S35" s="229">
        <f t="shared" si="19"/>
        <v>0.5</v>
      </c>
      <c r="T35" s="230">
        <f t="shared" si="20"/>
        <v>1.4145833333333338E-2</v>
      </c>
      <c r="U35" s="374">
        <f t="shared" si="21"/>
        <v>0</v>
      </c>
      <c r="V35" s="375">
        <f t="shared" si="22"/>
        <v>0</v>
      </c>
      <c r="W35" s="376">
        <f t="shared" si="23"/>
        <v>0</v>
      </c>
      <c r="X35" s="377">
        <f t="shared" si="24"/>
        <v>0</v>
      </c>
      <c r="Y35" s="378">
        <f t="shared" si="25"/>
        <v>0</v>
      </c>
      <c r="Z35" s="379">
        <f t="shared" si="26"/>
        <v>0</v>
      </c>
      <c r="AA35" s="380">
        <f t="shared" si="27"/>
        <v>0.5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  <c r="AN35" s="204"/>
    </row>
    <row r="36" spans="1:40" ht="12.75" customHeight="1" thickBot="1">
      <c r="A36" s="204"/>
      <c r="B36" s="204"/>
      <c r="C36" s="274">
        <f t="shared" si="50"/>
        <v>0</v>
      </c>
      <c r="D36" s="959"/>
      <c r="E36" s="642"/>
      <c r="F36" s="642"/>
      <c r="G36" s="642"/>
      <c r="H36" s="642"/>
      <c r="I36" s="642"/>
      <c r="J36" s="642"/>
      <c r="K36" s="642"/>
      <c r="L36" s="1003">
        <f t="shared" si="48"/>
        <v>0.85381231707117844</v>
      </c>
      <c r="M36" s="643"/>
      <c r="N36" s="644">
        <f>SUM(N33:N35)</f>
        <v>4.2673428182289398E-2</v>
      </c>
      <c r="O36" s="642"/>
      <c r="P36" s="642"/>
      <c r="Q36" s="642"/>
      <c r="R36" s="645">
        <f>SUM(R29:R35)</f>
        <v>3830</v>
      </c>
      <c r="S36" s="229">
        <f t="shared" si="19"/>
        <v>0</v>
      </c>
      <c r="T36" s="230">
        <f t="shared" si="20"/>
        <v>0</v>
      </c>
      <c r="U36" s="374">
        <f t="shared" si="21"/>
        <v>0</v>
      </c>
      <c r="V36" s="375">
        <f t="shared" si="22"/>
        <v>0</v>
      </c>
      <c r="W36" s="376">
        <f t="shared" si="23"/>
        <v>0</v>
      </c>
      <c r="X36" s="377">
        <f t="shared" si="24"/>
        <v>0</v>
      </c>
      <c r="Y36" s="378">
        <f t="shared" si="25"/>
        <v>0</v>
      </c>
      <c r="Z36" s="379">
        <f t="shared" si="26"/>
        <v>0</v>
      </c>
      <c r="AA36" s="380">
        <f t="shared" si="27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</row>
    <row r="37" spans="1:40" ht="12.75" customHeight="1">
      <c r="A37" s="851"/>
      <c r="B37" s="1124" t="s">
        <v>215</v>
      </c>
      <c r="C37" s="274">
        <f>IF(D37=1,U$5,IF(D37=2,V$5,IF(D37=3,W$5,IF(D37=4,X$5,IF(D37=5,Y$5,IF(D37=6,Z$5,IF(D37=7,AA$5,0)))))))</f>
        <v>2.1908757716049393E-4</v>
      </c>
      <c r="D37" s="890">
        <v>2</v>
      </c>
      <c r="E37" s="300">
        <v>3</v>
      </c>
      <c r="F37" s="300">
        <v>8</v>
      </c>
      <c r="G37" s="300">
        <v>25</v>
      </c>
      <c r="H37" s="301"/>
      <c r="I37" s="301">
        <v>5.7870370370370366E-5</v>
      </c>
      <c r="J37" s="301">
        <v>2.3148148148148146E-4</v>
      </c>
      <c r="K37" s="1123" t="s">
        <v>1352</v>
      </c>
      <c r="L37" s="2503">
        <v>0.30208333333333331</v>
      </c>
      <c r="M37" s="455">
        <v>1.25</v>
      </c>
      <c r="N37" s="301">
        <f>P37*E37*F37+I37*E37*F37+J37*E37</f>
        <v>8.6559606481481505E-3</v>
      </c>
      <c r="O37" s="302">
        <f t="shared" si="45"/>
        <v>2.1908757716049393E-4</v>
      </c>
      <c r="P37" s="302">
        <f>O37*M37</f>
        <v>2.7385947145061742E-4</v>
      </c>
      <c r="Q37" s="550">
        <v>147</v>
      </c>
      <c r="R37" s="369">
        <f>E37*F37*G37</f>
        <v>600</v>
      </c>
      <c r="S37" s="229">
        <f t="shared" si="19"/>
        <v>0.6</v>
      </c>
      <c r="T37" s="230">
        <f t="shared" si="20"/>
        <v>2.1032407407407416E-2</v>
      </c>
      <c r="U37" s="374">
        <f t="shared" si="21"/>
        <v>0</v>
      </c>
      <c r="V37" s="375">
        <f t="shared" si="22"/>
        <v>0.6</v>
      </c>
      <c r="W37" s="376">
        <f t="shared" si="23"/>
        <v>0</v>
      </c>
      <c r="X37" s="377">
        <f t="shared" si="24"/>
        <v>0</v>
      </c>
      <c r="Y37" s="378">
        <f t="shared" si="25"/>
        <v>0</v>
      </c>
      <c r="Z37" s="379">
        <f t="shared" si="26"/>
        <v>0</v>
      </c>
      <c r="AA37" s="380">
        <f t="shared" si="27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</row>
    <row r="38" spans="1:40" ht="12.75" customHeight="1">
      <c r="A38" s="851"/>
      <c r="B38" s="1124" t="s">
        <v>215</v>
      </c>
      <c r="C38" s="274">
        <f t="shared" ref="C38:C44" si="51">IF(D38=1,U$5,IF(D38=2,V$5,IF(D38=3,W$5,IF(D38=4,X$5,IF(D38=5,Y$5,IF(D38=6,Z$5,IF(D38=7,AA$5,0)))))))</f>
        <v>1.8933937422552669E-4</v>
      </c>
      <c r="D38" s="2505">
        <v>5</v>
      </c>
      <c r="E38" s="2506">
        <v>1</v>
      </c>
      <c r="F38" s="2506">
        <v>8</v>
      </c>
      <c r="G38" s="2506">
        <v>50</v>
      </c>
      <c r="H38" s="2264"/>
      <c r="I38" s="2264">
        <v>8.1018518518518516E-4</v>
      </c>
      <c r="J38" s="2264">
        <v>2.0833333333333333E-3</v>
      </c>
      <c r="K38" s="2507" t="s">
        <v>1353</v>
      </c>
      <c r="L38" s="2508">
        <f>L37+N37</f>
        <v>0.31073929398148148</v>
      </c>
      <c r="M38" s="2509">
        <v>1</v>
      </c>
      <c r="N38" s="2264">
        <f>P38*E38*F38+I38*E38*F38+J38*E38</f>
        <v>1.1594244802423241E-2</v>
      </c>
      <c r="O38" s="2265">
        <f>C38*(G38/25)</f>
        <v>3.7867874845105338E-4</v>
      </c>
      <c r="P38" s="2185">
        <f t="shared" ref="P38:P41" si="52">O38*M38</f>
        <v>3.7867874845105338E-4</v>
      </c>
      <c r="Q38" s="2510" t="s">
        <v>278</v>
      </c>
      <c r="R38" s="2511">
        <f t="shared" ref="R38:R41" si="53">E38*F38*G38</f>
        <v>400</v>
      </c>
      <c r="S38" s="229">
        <f t="shared" si="19"/>
        <v>0.4</v>
      </c>
      <c r="T38" s="230">
        <f t="shared" si="20"/>
        <v>1.2117719950433708E-2</v>
      </c>
      <c r="U38" s="374">
        <f t="shared" si="21"/>
        <v>0</v>
      </c>
      <c r="V38" s="375">
        <f t="shared" si="22"/>
        <v>0</v>
      </c>
      <c r="W38" s="376">
        <f t="shared" si="23"/>
        <v>0</v>
      </c>
      <c r="X38" s="377">
        <f t="shared" si="24"/>
        <v>0</v>
      </c>
      <c r="Y38" s="378">
        <f t="shared" si="25"/>
        <v>0.4</v>
      </c>
      <c r="Z38" s="379">
        <f t="shared" si="26"/>
        <v>0</v>
      </c>
      <c r="AA38" s="380">
        <f t="shared" si="27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</row>
    <row r="39" spans="1:40" ht="12.75" customHeight="1">
      <c r="A39" s="851"/>
      <c r="B39" s="1124" t="s">
        <v>215</v>
      </c>
      <c r="C39" s="274">
        <f t="shared" si="51"/>
        <v>1.8933937422552669E-4</v>
      </c>
      <c r="D39" s="2505">
        <v>5</v>
      </c>
      <c r="E39" s="2506">
        <v>1</v>
      </c>
      <c r="F39" s="2506">
        <v>3</v>
      </c>
      <c r="G39" s="2506">
        <v>30</v>
      </c>
      <c r="H39" s="2264"/>
      <c r="I39" s="2264">
        <v>8.1018518518518516E-4</v>
      </c>
      <c r="J39" s="2264">
        <v>2.0833333333333333E-3</v>
      </c>
      <c r="K39" s="2507" t="s">
        <v>1355</v>
      </c>
      <c r="L39" s="2508">
        <f t="shared" ref="L39:L40" si="54">L38+N38</f>
        <v>0.32233353878390469</v>
      </c>
      <c r="M39" s="2509">
        <v>2</v>
      </c>
      <c r="N39" s="2264">
        <f t="shared" ref="N39:N40" si="55">P39*E39*F39+I39*E39*F39+J39*E39</f>
        <v>5.8771323833126804E-3</v>
      </c>
      <c r="O39" s="2265">
        <f t="shared" ref="O39:O42" si="56">C39*(G39/25)</f>
        <v>2.2720724907063201E-4</v>
      </c>
      <c r="P39" s="2185">
        <f t="shared" si="52"/>
        <v>4.5441449814126401E-4</v>
      </c>
      <c r="Q39" s="2510" t="s">
        <v>278</v>
      </c>
      <c r="R39" s="2511">
        <f t="shared" si="53"/>
        <v>90</v>
      </c>
      <c r="S39" s="229">
        <f t="shared" si="19"/>
        <v>0.09</v>
      </c>
      <c r="T39" s="230">
        <f t="shared" si="20"/>
        <v>2.7264869888475839E-3</v>
      </c>
      <c r="U39" s="374">
        <f t="shared" si="21"/>
        <v>0</v>
      </c>
      <c r="V39" s="375">
        <f t="shared" si="22"/>
        <v>0</v>
      </c>
      <c r="W39" s="376">
        <f t="shared" si="23"/>
        <v>0</v>
      </c>
      <c r="X39" s="377">
        <f t="shared" si="24"/>
        <v>0</v>
      </c>
      <c r="Y39" s="378">
        <f t="shared" si="25"/>
        <v>0.09</v>
      </c>
      <c r="Z39" s="379">
        <f t="shared" si="26"/>
        <v>0</v>
      </c>
      <c r="AA39" s="380">
        <f t="shared" si="27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</row>
    <row r="40" spans="1:40" ht="12.75" customHeight="1">
      <c r="A40" s="851" t="s">
        <v>215</v>
      </c>
      <c r="B40" s="1124" t="s">
        <v>215</v>
      </c>
      <c r="C40" s="274">
        <f t="shared" si="51"/>
        <v>1.8933937422552669E-4</v>
      </c>
      <c r="D40" s="2505">
        <v>5</v>
      </c>
      <c r="E40" s="2506">
        <v>1</v>
      </c>
      <c r="F40" s="2506">
        <v>3</v>
      </c>
      <c r="G40" s="2506">
        <v>30</v>
      </c>
      <c r="H40" s="2264"/>
      <c r="I40" s="2264">
        <v>8.1018518518518516E-4</v>
      </c>
      <c r="J40" s="2264">
        <v>2.0833333333333333E-3</v>
      </c>
      <c r="K40" s="2507" t="s">
        <v>1354</v>
      </c>
      <c r="L40" s="2508">
        <f t="shared" si="54"/>
        <v>0.32821067116721736</v>
      </c>
      <c r="M40" s="2509">
        <v>3</v>
      </c>
      <c r="N40" s="2264">
        <f t="shared" si="55"/>
        <v>6.5587541305245772E-3</v>
      </c>
      <c r="O40" s="2265">
        <f t="shared" si="56"/>
        <v>2.2720724907063201E-4</v>
      </c>
      <c r="P40" s="2185">
        <f t="shared" si="52"/>
        <v>6.8162174721189597E-4</v>
      </c>
      <c r="Q40" s="2510" t="s">
        <v>278</v>
      </c>
      <c r="R40" s="2511">
        <f t="shared" si="53"/>
        <v>90</v>
      </c>
      <c r="S40" s="229">
        <f t="shared" si="19"/>
        <v>0.09</v>
      </c>
      <c r="T40" s="230">
        <f t="shared" si="20"/>
        <v>2.7264869888475839E-3</v>
      </c>
      <c r="U40" s="374">
        <f t="shared" si="21"/>
        <v>0</v>
      </c>
      <c r="V40" s="375">
        <f t="shared" si="22"/>
        <v>0</v>
      </c>
      <c r="W40" s="376">
        <f t="shared" si="23"/>
        <v>0</v>
      </c>
      <c r="X40" s="377">
        <f t="shared" si="24"/>
        <v>0</v>
      </c>
      <c r="Y40" s="378">
        <f t="shared" si="25"/>
        <v>0.09</v>
      </c>
      <c r="Z40" s="379">
        <f t="shared" si="26"/>
        <v>0</v>
      </c>
      <c r="AA40" s="380">
        <f t="shared" si="27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</row>
    <row r="41" spans="1:40" ht="12.75" customHeight="1">
      <c r="A41" s="851" t="s">
        <v>139</v>
      </c>
      <c r="B41" s="1124" t="s">
        <v>215</v>
      </c>
      <c r="C41" s="2256">
        <f t="shared" si="51"/>
        <v>2.0247664488766629E-4</v>
      </c>
      <c r="D41" s="2031">
        <v>4</v>
      </c>
      <c r="E41" s="1934">
        <v>2</v>
      </c>
      <c r="F41" s="1934">
        <v>12</v>
      </c>
      <c r="G41" s="1934">
        <v>50</v>
      </c>
      <c r="H41" s="3040" t="s">
        <v>1357</v>
      </c>
      <c r="I41" s="3040">
        <v>4.6296296296296293E-4</v>
      </c>
      <c r="J41" s="3040">
        <v>1.3888888888888889E-3</v>
      </c>
      <c r="K41" s="1994" t="s">
        <v>1356</v>
      </c>
      <c r="L41" s="2178">
        <f>L37+N37</f>
        <v>0.31073929398148148</v>
      </c>
      <c r="M41" s="2428">
        <v>1.1000000000000001</v>
      </c>
      <c r="N41" s="3040">
        <f>P41*E41*F41+I41*E41*F41+J41*E41</f>
        <v>2.4579655738957668E-2</v>
      </c>
      <c r="O41" s="2429">
        <f t="shared" si="56"/>
        <v>4.0495328977533258E-4</v>
      </c>
      <c r="P41" s="2429">
        <f t="shared" si="52"/>
        <v>4.4544861875286587E-4</v>
      </c>
      <c r="Q41" s="2032">
        <v>164</v>
      </c>
      <c r="R41" s="3364">
        <f t="shared" si="53"/>
        <v>1200</v>
      </c>
      <c r="S41" s="229">
        <f t="shared" si="19"/>
        <v>1.2</v>
      </c>
      <c r="T41" s="230">
        <f t="shared" si="20"/>
        <v>3.8875515818431926E-2</v>
      </c>
      <c r="U41" s="374">
        <f t="shared" si="21"/>
        <v>0</v>
      </c>
      <c r="V41" s="375">
        <f t="shared" si="22"/>
        <v>0</v>
      </c>
      <c r="W41" s="376">
        <f t="shared" si="23"/>
        <v>0</v>
      </c>
      <c r="X41" s="377">
        <f t="shared" si="24"/>
        <v>1.2</v>
      </c>
      <c r="Y41" s="378">
        <f t="shared" si="25"/>
        <v>0</v>
      </c>
      <c r="Z41" s="379">
        <f t="shared" si="26"/>
        <v>0</v>
      </c>
      <c r="AA41" s="380">
        <f t="shared" si="27"/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</row>
    <row r="42" spans="1:40" ht="12.75" customHeight="1">
      <c r="A42" s="851" t="s">
        <v>458</v>
      </c>
      <c r="B42" s="1124" t="s">
        <v>215</v>
      </c>
      <c r="C42" s="274">
        <f>IF(D42=1,U$5,IF(D42=2,V$5,IF(D42=3,W$5,IF(D42=4,X$5,IF(D42=5,Y$5,IF(D42=6,Z$5,IF(D42=7,AA$5,0)))))))</f>
        <v>2.2880964381720439E-4</v>
      </c>
      <c r="D42" s="890">
        <v>1</v>
      </c>
      <c r="E42" s="300">
        <v>1</v>
      </c>
      <c r="F42" s="300">
        <v>1</v>
      </c>
      <c r="G42" s="300">
        <v>200</v>
      </c>
      <c r="H42" s="301"/>
      <c r="I42" s="301">
        <v>5.2083333333333333E-4</v>
      </c>
      <c r="J42" s="301">
        <v>1.3888888888888889E-3</v>
      </c>
      <c r="K42" s="1123" t="s">
        <v>424</v>
      </c>
      <c r="L42" s="994">
        <f>L41+N41</f>
        <v>0.33531894972043913</v>
      </c>
      <c r="M42" s="455">
        <v>1</v>
      </c>
      <c r="N42" s="301">
        <f>P42*E42*F42+I42*E42*F42+J42*E42</f>
        <v>3.7401993727598573E-3</v>
      </c>
      <c r="O42" s="302">
        <f t="shared" si="56"/>
        <v>1.8304771505376352E-3</v>
      </c>
      <c r="P42" s="302">
        <f>O42*M42</f>
        <v>1.8304771505376352E-3</v>
      </c>
      <c r="Q42" s="550">
        <v>196</v>
      </c>
      <c r="R42" s="369">
        <f>E42*F42*G42</f>
        <v>200</v>
      </c>
      <c r="S42" s="229">
        <f t="shared" si="19"/>
        <v>0.2</v>
      </c>
      <c r="T42" s="230">
        <f t="shared" si="20"/>
        <v>7.3219086021505406E-3</v>
      </c>
      <c r="U42" s="374">
        <f t="shared" si="21"/>
        <v>0.2</v>
      </c>
      <c r="V42" s="375">
        <f t="shared" si="22"/>
        <v>0</v>
      </c>
      <c r="W42" s="376">
        <f t="shared" si="23"/>
        <v>0</v>
      </c>
      <c r="X42" s="377">
        <f t="shared" si="24"/>
        <v>0</v>
      </c>
      <c r="Y42" s="378">
        <f t="shared" si="25"/>
        <v>0</v>
      </c>
      <c r="Z42" s="379">
        <f t="shared" si="26"/>
        <v>0</v>
      </c>
      <c r="AA42" s="380">
        <f t="shared" si="27"/>
        <v>0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</row>
    <row r="43" spans="1:40" ht="12.75" customHeight="1">
      <c r="A43" s="851" t="s">
        <v>462</v>
      </c>
      <c r="B43" s="1124" t="s">
        <v>215</v>
      </c>
      <c r="C43" s="274">
        <f t="shared" ref="C43" si="57">IF(D43=1,U$5,IF(D43=2,V$5,IF(D43=3,W$5,IF(D43=4,X$5,IF(D43=5,Y$5,IF(D43=6,Z$5,IF(D43=7,AA$5,0)))))))</f>
        <v>1.7682291666666674E-4</v>
      </c>
      <c r="D43" s="1054">
        <v>7</v>
      </c>
      <c r="E43" s="1043">
        <v>1</v>
      </c>
      <c r="F43" s="1043">
        <v>8</v>
      </c>
      <c r="G43" s="1043">
        <v>25</v>
      </c>
      <c r="H43" s="1044"/>
      <c r="I43" s="1044">
        <v>3.4722222222222224E-4</v>
      </c>
      <c r="J43" s="1044">
        <v>0</v>
      </c>
      <c r="K43" s="1323" t="s">
        <v>1358</v>
      </c>
      <c r="L43" s="1007">
        <f>L42+N42</f>
        <v>0.33905914909319901</v>
      </c>
      <c r="M43" s="1063">
        <v>1</v>
      </c>
      <c r="N43" s="1044">
        <f>P43*E43*F43+I43*E43*F43+J43*E43</f>
        <v>4.192361111111112E-3</v>
      </c>
      <c r="O43" s="439">
        <f>C43*(G43/25)</f>
        <v>1.7682291666666674E-4</v>
      </c>
      <c r="P43" s="587">
        <f>O43*M43</f>
        <v>1.7682291666666674E-4</v>
      </c>
      <c r="Q43" s="446" t="s">
        <v>316</v>
      </c>
      <c r="R43" s="1045">
        <f>E43*F43*G43</f>
        <v>200</v>
      </c>
      <c r="S43" s="229">
        <f t="shared" si="19"/>
        <v>0.2</v>
      </c>
      <c r="T43" s="230">
        <f t="shared" si="20"/>
        <v>5.6583333333333355E-3</v>
      </c>
      <c r="U43" s="374">
        <f t="shared" si="21"/>
        <v>0</v>
      </c>
      <c r="V43" s="375">
        <f t="shared" si="22"/>
        <v>0</v>
      </c>
      <c r="W43" s="376">
        <f t="shared" si="23"/>
        <v>0</v>
      </c>
      <c r="X43" s="377">
        <f t="shared" si="24"/>
        <v>0</v>
      </c>
      <c r="Y43" s="378">
        <f t="shared" si="25"/>
        <v>0</v>
      </c>
      <c r="Z43" s="379">
        <f t="shared" si="26"/>
        <v>0</v>
      </c>
      <c r="AA43" s="380">
        <f t="shared" si="27"/>
        <v>0.2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</row>
    <row r="44" spans="1:40" ht="12.75" customHeight="1">
      <c r="A44" s="851" t="s">
        <v>140</v>
      </c>
      <c r="B44" s="1124"/>
      <c r="C44" s="274">
        <f t="shared" si="51"/>
        <v>0</v>
      </c>
      <c r="D44" s="1357"/>
      <c r="E44" s="809"/>
      <c r="F44" s="809"/>
      <c r="G44" s="809"/>
      <c r="H44" s="2552"/>
      <c r="I44" s="2552"/>
      <c r="J44" s="2552"/>
      <c r="K44" s="2553"/>
      <c r="L44" s="1003">
        <f>L43+N43</f>
        <v>0.34325151020431011</v>
      </c>
      <c r="M44" s="2554"/>
      <c r="N44" s="1439">
        <f>SUM(N37:N43)</f>
        <v>6.5198308187237292E-2</v>
      </c>
      <c r="O44" s="2555"/>
      <c r="P44" s="204"/>
      <c r="Q44" s="1358"/>
      <c r="R44" s="1440">
        <f>SUM(R37:R43)</f>
        <v>2780</v>
      </c>
      <c r="S44" s="229">
        <f t="shared" si="19"/>
        <v>0</v>
      </c>
      <c r="T44" s="230">
        <f t="shared" si="20"/>
        <v>0</v>
      </c>
      <c r="U44" s="374">
        <f t="shared" si="21"/>
        <v>0</v>
      </c>
      <c r="V44" s="375">
        <f t="shared" si="22"/>
        <v>0</v>
      </c>
      <c r="W44" s="376">
        <f t="shared" si="23"/>
        <v>0</v>
      </c>
      <c r="X44" s="377">
        <f t="shared" si="24"/>
        <v>0</v>
      </c>
      <c r="Y44" s="378">
        <f t="shared" si="25"/>
        <v>0</v>
      </c>
      <c r="Z44" s="379">
        <f t="shared" si="26"/>
        <v>0</v>
      </c>
      <c r="AA44" s="380">
        <f t="shared" si="27"/>
        <v>0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</row>
    <row r="45" spans="1:40" ht="12.75" customHeight="1">
      <c r="A45" s="851" t="s">
        <v>674</v>
      </c>
      <c r="B45" s="1124" t="s">
        <v>461</v>
      </c>
      <c r="C45" s="274">
        <f t="shared" ref="C45:C64" si="58">IF(D45=1,U$5,IF(D45=2,V$5,IF(D45=3,W$5,IF(D45=4,X$5,IF(D45=5,Y$5,IF(D45=6,Z$5,IF(D45=7,AA$5,0)))))))</f>
        <v>2.2880964381720439E-4</v>
      </c>
      <c r="D45" s="1263">
        <v>1</v>
      </c>
      <c r="E45" s="1295">
        <v>1</v>
      </c>
      <c r="F45" s="1239">
        <v>1</v>
      </c>
      <c r="G45" s="1239">
        <v>500</v>
      </c>
      <c r="H45" s="1162"/>
      <c r="I45" s="1162">
        <v>0</v>
      </c>
      <c r="J45" s="1162">
        <v>0</v>
      </c>
      <c r="K45" s="1240" t="s">
        <v>703</v>
      </c>
      <c r="L45" s="1235">
        <v>0.2951388888888889</v>
      </c>
      <c r="M45" s="1241">
        <v>0.9</v>
      </c>
      <c r="N45" s="1162">
        <f t="shared" ref="N45:N48" si="59">P45*E45*F45+I45*E45*F45+J45*E45</f>
        <v>4.1185735887096795E-3</v>
      </c>
      <c r="O45" s="1196">
        <f>C45*(G45/25)</f>
        <v>4.5761928763440882E-3</v>
      </c>
      <c r="P45" s="1242">
        <f t="shared" ref="P45:P53" si="60">O45*M45</f>
        <v>4.1185735887096795E-3</v>
      </c>
      <c r="Q45" s="985">
        <v>129</v>
      </c>
      <c r="R45" s="1243">
        <f t="shared" ref="R45:R46" si="61">E45*F45*G45</f>
        <v>500</v>
      </c>
      <c r="S45" s="229">
        <f t="shared" si="19"/>
        <v>0.5</v>
      </c>
      <c r="T45" s="230">
        <f t="shared" si="20"/>
        <v>1.8304771505376353E-2</v>
      </c>
      <c r="U45" s="374">
        <f t="shared" si="21"/>
        <v>0.5</v>
      </c>
      <c r="V45" s="375">
        <f t="shared" si="22"/>
        <v>0</v>
      </c>
      <c r="W45" s="376">
        <f t="shared" si="23"/>
        <v>0</v>
      </c>
      <c r="X45" s="377">
        <f t="shared" si="24"/>
        <v>0</v>
      </c>
      <c r="Y45" s="378">
        <f t="shared" si="25"/>
        <v>0</v>
      </c>
      <c r="Z45" s="379">
        <f t="shared" si="26"/>
        <v>0</v>
      </c>
      <c r="AA45" s="380">
        <f t="shared" si="27"/>
        <v>0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</row>
    <row r="46" spans="1:40" ht="12.75" customHeight="1">
      <c r="A46" s="851" t="s">
        <v>214</v>
      </c>
      <c r="B46" s="1124" t="s">
        <v>461</v>
      </c>
      <c r="C46" s="274">
        <f t="shared" si="58"/>
        <v>2.1908757716049393E-4</v>
      </c>
      <c r="D46" s="1028">
        <v>2</v>
      </c>
      <c r="E46" s="1296">
        <v>3</v>
      </c>
      <c r="F46" s="1296">
        <v>3</v>
      </c>
      <c r="G46" s="1173">
        <v>50</v>
      </c>
      <c r="H46" s="299"/>
      <c r="I46" s="299">
        <v>1.7361111111111112E-4</v>
      </c>
      <c r="J46" s="299">
        <v>6.9444444444444447E-4</v>
      </c>
      <c r="K46" s="1123" t="s">
        <v>878</v>
      </c>
      <c r="L46" s="1149">
        <f t="shared" ref="L46:L48" si="62">L45+N45</f>
        <v>0.2992574624775986</v>
      </c>
      <c r="M46" s="1174">
        <v>1</v>
      </c>
      <c r="N46" s="299">
        <f t="shared" si="59"/>
        <v>7.5894097222222231E-3</v>
      </c>
      <c r="O46" s="1175">
        <f>C46*2</f>
        <v>4.3817515432098786E-4</v>
      </c>
      <c r="P46" s="1175">
        <f t="shared" si="60"/>
        <v>4.3817515432098786E-4</v>
      </c>
      <c r="Q46" s="550">
        <v>153</v>
      </c>
      <c r="R46" s="1176">
        <f t="shared" si="61"/>
        <v>450</v>
      </c>
      <c r="S46" s="229">
        <f t="shared" si="19"/>
        <v>0.45</v>
      </c>
      <c r="T46" s="230">
        <f t="shared" si="20"/>
        <v>1.5774305555555562E-2</v>
      </c>
      <c r="U46" s="374">
        <f t="shared" si="21"/>
        <v>0</v>
      </c>
      <c r="V46" s="375">
        <f t="shared" si="22"/>
        <v>0.45</v>
      </c>
      <c r="W46" s="376">
        <f t="shared" si="23"/>
        <v>0</v>
      </c>
      <c r="X46" s="377">
        <f t="shared" si="24"/>
        <v>0</v>
      </c>
      <c r="Y46" s="378">
        <f t="shared" si="25"/>
        <v>0</v>
      </c>
      <c r="Z46" s="379">
        <f t="shared" si="26"/>
        <v>0</v>
      </c>
      <c r="AA46" s="380">
        <f t="shared" si="27"/>
        <v>0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</row>
    <row r="47" spans="1:40" ht="12.75" customHeight="1">
      <c r="A47" s="851" t="s">
        <v>458</v>
      </c>
      <c r="B47" s="1124" t="s">
        <v>461</v>
      </c>
      <c r="C47" s="274">
        <f t="shared" si="58"/>
        <v>2.1222190799396687E-4</v>
      </c>
      <c r="D47" s="1236">
        <v>3</v>
      </c>
      <c r="E47" s="1161">
        <v>3</v>
      </c>
      <c r="F47" s="1161">
        <v>1</v>
      </c>
      <c r="G47" s="1161">
        <v>200</v>
      </c>
      <c r="H47" s="1161"/>
      <c r="I47" s="1163">
        <v>0</v>
      </c>
      <c r="J47" s="1163">
        <v>6.9444444444444447E-4</v>
      </c>
      <c r="K47" s="1163" t="s">
        <v>882</v>
      </c>
      <c r="L47" s="1148">
        <f t="shared" si="62"/>
        <v>0.30684687219982082</v>
      </c>
      <c r="M47" s="1164">
        <v>1.05</v>
      </c>
      <c r="N47" s="1164">
        <f t="shared" si="59"/>
        <v>7.4313254147812986E-3</v>
      </c>
      <c r="O47" s="1163">
        <f>C47*(G47/25)</f>
        <v>1.6977752639517349E-3</v>
      </c>
      <c r="P47" s="1165">
        <f t="shared" si="60"/>
        <v>1.7826640271493218E-3</v>
      </c>
      <c r="Q47" s="333">
        <v>164</v>
      </c>
      <c r="R47" s="1161">
        <f>E47*F47*G47</f>
        <v>600</v>
      </c>
      <c r="S47" s="229">
        <f t="shared" si="19"/>
        <v>0.6</v>
      </c>
      <c r="T47" s="230">
        <f t="shared" si="20"/>
        <v>2.0373303167420819E-2</v>
      </c>
      <c r="U47" s="374">
        <f t="shared" si="21"/>
        <v>0</v>
      </c>
      <c r="V47" s="375">
        <f t="shared" si="22"/>
        <v>0</v>
      </c>
      <c r="W47" s="376">
        <f t="shared" si="23"/>
        <v>0.6</v>
      </c>
      <c r="X47" s="377">
        <f t="shared" si="24"/>
        <v>0</v>
      </c>
      <c r="Y47" s="378">
        <f t="shared" si="25"/>
        <v>0</v>
      </c>
      <c r="Z47" s="379">
        <f t="shared" si="26"/>
        <v>0</v>
      </c>
      <c r="AA47" s="380">
        <f t="shared" si="27"/>
        <v>0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</row>
    <row r="48" spans="1:40" ht="12.75" customHeight="1">
      <c r="A48" s="851" t="s">
        <v>219</v>
      </c>
      <c r="B48" s="1124" t="s">
        <v>461</v>
      </c>
      <c r="C48" s="274">
        <f t="shared" si="58"/>
        <v>2.0247664488766629E-4</v>
      </c>
      <c r="D48" s="2031">
        <v>4</v>
      </c>
      <c r="E48" s="1934">
        <v>1</v>
      </c>
      <c r="F48" s="1934">
        <v>3</v>
      </c>
      <c r="G48" s="1934">
        <v>80</v>
      </c>
      <c r="H48" s="3040"/>
      <c r="I48" s="3040">
        <v>2.3148148148148146E-4</v>
      </c>
      <c r="J48" s="3040">
        <v>1.3888888888888889E-3</v>
      </c>
      <c r="K48" s="1994" t="s">
        <v>1359</v>
      </c>
      <c r="L48" s="2178">
        <f t="shared" si="62"/>
        <v>0.31427819761460213</v>
      </c>
      <c r="M48" s="2428">
        <v>1</v>
      </c>
      <c r="N48" s="3040">
        <f t="shared" si="59"/>
        <v>4.1048601558917944E-3</v>
      </c>
      <c r="O48" s="2429">
        <f>C48*(G48/25)*1.04</f>
        <v>6.7384227418615351E-4</v>
      </c>
      <c r="P48" s="2429">
        <f t="shared" si="60"/>
        <v>6.7384227418615351E-4</v>
      </c>
      <c r="Q48" s="2032">
        <v>177</v>
      </c>
      <c r="R48" s="3364">
        <f t="shared" ref="R48:R53" si="63">E48*F48*G48</f>
        <v>240</v>
      </c>
      <c r="S48" s="229">
        <f t="shared" si="19"/>
        <v>0.24</v>
      </c>
      <c r="T48" s="230">
        <f t="shared" si="20"/>
        <v>8.0861072902338425E-3</v>
      </c>
      <c r="U48" s="374">
        <f t="shared" si="21"/>
        <v>0</v>
      </c>
      <c r="V48" s="375">
        <f t="shared" si="22"/>
        <v>0</v>
      </c>
      <c r="W48" s="376">
        <f t="shared" si="23"/>
        <v>0</v>
      </c>
      <c r="X48" s="377">
        <f t="shared" si="24"/>
        <v>0.24</v>
      </c>
      <c r="Y48" s="378">
        <f t="shared" si="25"/>
        <v>0</v>
      </c>
      <c r="Z48" s="379">
        <f t="shared" si="26"/>
        <v>0</v>
      </c>
      <c r="AA48" s="380">
        <f t="shared" si="27"/>
        <v>0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</row>
    <row r="49" spans="1:39" ht="12.75" customHeight="1">
      <c r="A49" s="204"/>
      <c r="B49" s="1124" t="s">
        <v>461</v>
      </c>
      <c r="C49" s="274">
        <f t="shared" si="58"/>
        <v>1.8933937422552669E-4</v>
      </c>
      <c r="D49" s="2505">
        <v>5</v>
      </c>
      <c r="E49" s="2506">
        <v>1</v>
      </c>
      <c r="F49" s="2506">
        <v>5</v>
      </c>
      <c r="G49" s="2506">
        <v>80</v>
      </c>
      <c r="H49" s="2264"/>
      <c r="I49" s="2264">
        <v>5.7870370370370366E-5</v>
      </c>
      <c r="J49" s="2264">
        <v>3.2407407407407406E-3</v>
      </c>
      <c r="K49" s="2507" t="s">
        <v>1360</v>
      </c>
      <c r="L49" s="2508">
        <f>L48+N48</f>
        <v>0.31838305777049392</v>
      </c>
      <c r="M49" s="2509">
        <v>1</v>
      </c>
      <c r="N49" s="2264">
        <f>P49*E49*F49+I49*E49*F49+J49*E49</f>
        <v>6.55952258020102E-3</v>
      </c>
      <c r="O49" s="2265">
        <f>C49*(G49/25)</f>
        <v>6.058859975216855E-4</v>
      </c>
      <c r="P49" s="2185">
        <f t="shared" si="60"/>
        <v>6.058859975216855E-4</v>
      </c>
      <c r="Q49" s="2510" t="s">
        <v>278</v>
      </c>
      <c r="R49" s="2511">
        <f t="shared" si="63"/>
        <v>400</v>
      </c>
      <c r="S49" s="229">
        <f t="shared" si="19"/>
        <v>0.4</v>
      </c>
      <c r="T49" s="230">
        <f t="shared" si="20"/>
        <v>1.211771995043371E-2</v>
      </c>
      <c r="U49" s="374">
        <f t="shared" si="21"/>
        <v>0</v>
      </c>
      <c r="V49" s="375">
        <f t="shared" si="22"/>
        <v>0</v>
      </c>
      <c r="W49" s="376">
        <f t="shared" si="23"/>
        <v>0</v>
      </c>
      <c r="X49" s="377">
        <f t="shared" si="24"/>
        <v>0</v>
      </c>
      <c r="Y49" s="378">
        <f t="shared" si="25"/>
        <v>0.4</v>
      </c>
      <c r="Z49" s="379">
        <f t="shared" si="26"/>
        <v>0</v>
      </c>
      <c r="AA49" s="380">
        <f t="shared" si="27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</row>
    <row r="50" spans="1:39" ht="12.75" customHeight="1">
      <c r="A50" s="204"/>
      <c r="B50" s="1124" t="s">
        <v>461</v>
      </c>
      <c r="C50" s="274">
        <f t="shared" si="58"/>
        <v>1.8933937422552669E-4</v>
      </c>
      <c r="D50" s="2505">
        <v>5</v>
      </c>
      <c r="E50" s="2506">
        <v>1</v>
      </c>
      <c r="F50" s="2506">
        <v>4</v>
      </c>
      <c r="G50" s="2506">
        <v>80</v>
      </c>
      <c r="H50" s="2264"/>
      <c r="I50" s="2264">
        <v>5.7870370370370366E-5</v>
      </c>
      <c r="J50" s="2264">
        <v>3.9351851851851857E-3</v>
      </c>
      <c r="K50" s="2507" t="s">
        <v>1361</v>
      </c>
      <c r="L50" s="2508">
        <f t="shared" ref="L50:L53" si="64">L49+N49</f>
        <v>0.32494258035069495</v>
      </c>
      <c r="M50" s="2509">
        <v>2</v>
      </c>
      <c r="N50" s="2264">
        <f t="shared" ref="N50:N53" si="65">P50*E50*F50+I50*E50*F50+J50*E50</f>
        <v>9.0137546468401514E-3</v>
      </c>
      <c r="O50" s="2265">
        <f t="shared" ref="O50:O53" si="66">C50*(G50/25)</f>
        <v>6.058859975216855E-4</v>
      </c>
      <c r="P50" s="2185">
        <f t="shared" si="60"/>
        <v>1.211771995043371E-3</v>
      </c>
      <c r="Q50" s="2510" t="s">
        <v>278</v>
      </c>
      <c r="R50" s="2511">
        <f t="shared" si="63"/>
        <v>320</v>
      </c>
      <c r="S50" s="229">
        <f t="shared" si="19"/>
        <v>0.32</v>
      </c>
      <c r="T50" s="230">
        <f t="shared" si="20"/>
        <v>9.6941759603469679E-3</v>
      </c>
      <c r="U50" s="374">
        <f t="shared" si="21"/>
        <v>0</v>
      </c>
      <c r="V50" s="375">
        <f t="shared" si="22"/>
        <v>0</v>
      </c>
      <c r="W50" s="376">
        <f t="shared" si="23"/>
        <v>0</v>
      </c>
      <c r="X50" s="377">
        <f t="shared" si="24"/>
        <v>0</v>
      </c>
      <c r="Y50" s="378">
        <f t="shared" si="25"/>
        <v>0.32</v>
      </c>
      <c r="Z50" s="379">
        <f t="shared" si="26"/>
        <v>0</v>
      </c>
      <c r="AA50" s="380">
        <f t="shared" si="27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</row>
    <row r="51" spans="1:39" ht="12.75" customHeight="1">
      <c r="A51" s="204"/>
      <c r="B51" s="1124" t="s">
        <v>461</v>
      </c>
      <c r="C51" s="274">
        <f t="shared" si="58"/>
        <v>1.8933937422552669E-4</v>
      </c>
      <c r="D51" s="2505">
        <v>5</v>
      </c>
      <c r="E51" s="2506">
        <v>2</v>
      </c>
      <c r="F51" s="2506">
        <v>1</v>
      </c>
      <c r="G51" s="2506">
        <v>80</v>
      </c>
      <c r="H51" s="2264"/>
      <c r="I51" s="2264">
        <v>5.7870370370370366E-5</v>
      </c>
      <c r="J51" s="2264">
        <v>5.5555555555555558E-3</v>
      </c>
      <c r="K51" s="2507" t="s">
        <v>1362</v>
      </c>
      <c r="L51" s="2508">
        <f t="shared" si="64"/>
        <v>0.33395633499753513</v>
      </c>
      <c r="M51" s="2509">
        <v>3</v>
      </c>
      <c r="N51" s="2264">
        <f t="shared" si="65"/>
        <v>1.4862167836981965E-2</v>
      </c>
      <c r="O51" s="2265">
        <f t="shared" si="66"/>
        <v>6.058859975216855E-4</v>
      </c>
      <c r="P51" s="2185">
        <f t="shared" si="60"/>
        <v>1.8176579925650565E-3</v>
      </c>
      <c r="Q51" s="2510" t="s">
        <v>278</v>
      </c>
      <c r="R51" s="2511">
        <f t="shared" si="63"/>
        <v>160</v>
      </c>
      <c r="S51" s="229">
        <f t="shared" si="19"/>
        <v>0.16</v>
      </c>
      <c r="T51" s="230">
        <f t="shared" si="20"/>
        <v>4.847087980173484E-3</v>
      </c>
      <c r="U51" s="374">
        <f t="shared" si="21"/>
        <v>0</v>
      </c>
      <c r="V51" s="375">
        <f t="shared" si="22"/>
        <v>0</v>
      </c>
      <c r="W51" s="376">
        <f t="shared" si="23"/>
        <v>0</v>
      </c>
      <c r="X51" s="377">
        <f t="shared" si="24"/>
        <v>0</v>
      </c>
      <c r="Y51" s="378">
        <f t="shared" si="25"/>
        <v>0.16</v>
      </c>
      <c r="Z51" s="379">
        <f t="shared" si="26"/>
        <v>0</v>
      </c>
      <c r="AA51" s="380">
        <f t="shared" si="27"/>
        <v>0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</row>
    <row r="52" spans="1:39" ht="12.75" customHeight="1">
      <c r="A52" s="204"/>
      <c r="B52" s="1124" t="s">
        <v>461</v>
      </c>
      <c r="C52" s="274">
        <f t="shared" si="58"/>
        <v>1.8933937422552669E-4</v>
      </c>
      <c r="D52" s="2505">
        <v>5</v>
      </c>
      <c r="E52" s="2506">
        <v>2</v>
      </c>
      <c r="F52" s="2506">
        <v>1</v>
      </c>
      <c r="G52" s="2506">
        <v>80</v>
      </c>
      <c r="H52" s="2264"/>
      <c r="I52" s="2264">
        <v>5.7870370370370366E-5</v>
      </c>
      <c r="J52" s="2264">
        <v>5.5555555555555558E-3</v>
      </c>
      <c r="K52" s="2507" t="s">
        <v>1363</v>
      </c>
      <c r="L52" s="2508">
        <f t="shared" si="64"/>
        <v>0.3488185028345171</v>
      </c>
      <c r="M52" s="2509">
        <v>4</v>
      </c>
      <c r="N52" s="2264">
        <f t="shared" si="65"/>
        <v>1.6073939832025336E-2</v>
      </c>
      <c r="O52" s="2265">
        <f t="shared" si="66"/>
        <v>6.058859975216855E-4</v>
      </c>
      <c r="P52" s="2185">
        <f t="shared" si="60"/>
        <v>2.423543990086742E-3</v>
      </c>
      <c r="Q52" s="2510" t="s">
        <v>278</v>
      </c>
      <c r="R52" s="2511">
        <f t="shared" si="63"/>
        <v>160</v>
      </c>
      <c r="S52" s="229">
        <f t="shared" si="19"/>
        <v>0.16</v>
      </c>
      <c r="T52" s="230">
        <f t="shared" si="20"/>
        <v>4.847087980173484E-3</v>
      </c>
      <c r="U52" s="374">
        <f t="shared" si="21"/>
        <v>0</v>
      </c>
      <c r="V52" s="375">
        <f t="shared" si="22"/>
        <v>0</v>
      </c>
      <c r="W52" s="376">
        <f t="shared" si="23"/>
        <v>0</v>
      </c>
      <c r="X52" s="377">
        <f t="shared" si="24"/>
        <v>0</v>
      </c>
      <c r="Y52" s="378">
        <f t="shared" si="25"/>
        <v>0.16</v>
      </c>
      <c r="Z52" s="379">
        <f t="shared" si="26"/>
        <v>0</v>
      </c>
      <c r="AA52" s="380">
        <f t="shared" si="27"/>
        <v>0</v>
      </c>
      <c r="AC52" s="231"/>
      <c r="AD52" s="231"/>
      <c r="AE52" s="231"/>
      <c r="AF52" s="231"/>
      <c r="AG52" s="231"/>
      <c r="AH52" s="231"/>
      <c r="AI52" s="213"/>
      <c r="AJ52" s="213"/>
      <c r="AK52" s="213"/>
      <c r="AL52" s="213"/>
      <c r="AM52" s="213"/>
    </row>
    <row r="53" spans="1:39" ht="12.75" customHeight="1">
      <c r="A53" s="204"/>
      <c r="B53" s="1124" t="s">
        <v>461</v>
      </c>
      <c r="C53" s="274">
        <f t="shared" si="58"/>
        <v>1.8933937422552669E-4</v>
      </c>
      <c r="D53" s="2505">
        <v>5</v>
      </c>
      <c r="E53" s="2506">
        <v>2</v>
      </c>
      <c r="F53" s="2506">
        <v>1</v>
      </c>
      <c r="G53" s="2506">
        <v>80</v>
      </c>
      <c r="H53" s="2264"/>
      <c r="I53" s="2264">
        <v>5.7870370370370366E-5</v>
      </c>
      <c r="J53" s="2264">
        <v>5.5555555555555558E-3</v>
      </c>
      <c r="K53" s="2507" t="s">
        <v>1364</v>
      </c>
      <c r="L53" s="2508">
        <f t="shared" si="64"/>
        <v>0.36489244266654242</v>
      </c>
      <c r="M53" s="2509">
        <v>5</v>
      </c>
      <c r="N53" s="2264">
        <f t="shared" si="65"/>
        <v>1.7285711827068707E-2</v>
      </c>
      <c r="O53" s="2265">
        <f t="shared" si="66"/>
        <v>6.058859975216855E-4</v>
      </c>
      <c r="P53" s="2185">
        <f t="shared" si="60"/>
        <v>3.0294299876084275E-3</v>
      </c>
      <c r="Q53" s="2510" t="s">
        <v>278</v>
      </c>
      <c r="R53" s="2511">
        <f t="shared" si="63"/>
        <v>160</v>
      </c>
      <c r="S53" s="229">
        <f t="shared" si="19"/>
        <v>0.16</v>
      </c>
      <c r="T53" s="230">
        <f t="shared" si="20"/>
        <v>4.847087980173484E-3</v>
      </c>
      <c r="U53" s="374">
        <f t="shared" si="21"/>
        <v>0</v>
      </c>
      <c r="V53" s="375">
        <f t="shared" si="22"/>
        <v>0</v>
      </c>
      <c r="W53" s="376">
        <f t="shared" si="23"/>
        <v>0</v>
      </c>
      <c r="X53" s="377">
        <f t="shared" si="24"/>
        <v>0</v>
      </c>
      <c r="Y53" s="378">
        <f t="shared" si="25"/>
        <v>0.16</v>
      </c>
      <c r="Z53" s="379">
        <f t="shared" si="26"/>
        <v>0</v>
      </c>
      <c r="AA53" s="380">
        <f t="shared" si="27"/>
        <v>0</v>
      </c>
      <c r="AC53" s="231"/>
      <c r="AD53" s="231"/>
      <c r="AE53" s="231"/>
      <c r="AF53" s="231"/>
      <c r="AG53" s="231"/>
      <c r="AH53" s="231"/>
      <c r="AI53" s="213"/>
      <c r="AJ53" s="213"/>
      <c r="AK53" s="213"/>
      <c r="AL53" s="213"/>
      <c r="AM53" s="213"/>
    </row>
    <row r="54" spans="1:39" ht="12.75" customHeight="1">
      <c r="A54" s="851"/>
      <c r="B54" s="1124"/>
      <c r="C54" s="274">
        <f t="shared" si="58"/>
        <v>0</v>
      </c>
      <c r="D54" s="1357"/>
      <c r="E54" s="809"/>
      <c r="F54" s="809"/>
      <c r="G54" s="809"/>
      <c r="H54" s="2552"/>
      <c r="I54" s="2552"/>
      <c r="J54" s="2552"/>
      <c r="K54" s="2553"/>
      <c r="L54" s="1003">
        <f>L53+N53</f>
        <v>0.38217815449361114</v>
      </c>
      <c r="M54" s="2554"/>
      <c r="N54" s="1439">
        <f>SUM(N47:N53)</f>
        <v>7.5331282293790269E-2</v>
      </c>
      <c r="O54" s="2555"/>
      <c r="P54" s="204"/>
      <c r="Q54" s="1358"/>
      <c r="R54" s="1440">
        <f>SUM(R45:R53)</f>
        <v>2990</v>
      </c>
      <c r="S54" s="229">
        <f t="shared" si="19"/>
        <v>0</v>
      </c>
      <c r="T54" s="230">
        <f t="shared" si="20"/>
        <v>0</v>
      </c>
      <c r="U54" s="374">
        <f t="shared" si="21"/>
        <v>0</v>
      </c>
      <c r="V54" s="375">
        <f t="shared" si="22"/>
        <v>0</v>
      </c>
      <c r="W54" s="376">
        <f t="shared" si="23"/>
        <v>0</v>
      </c>
      <c r="X54" s="377">
        <f t="shared" si="24"/>
        <v>0</v>
      </c>
      <c r="Y54" s="378">
        <f t="shared" si="25"/>
        <v>0</v>
      </c>
      <c r="Z54" s="379">
        <f t="shared" si="26"/>
        <v>0</v>
      </c>
      <c r="AA54" s="380">
        <f t="shared" si="27"/>
        <v>0</v>
      </c>
      <c r="AC54" s="231"/>
      <c r="AD54" s="231"/>
      <c r="AE54" s="231"/>
      <c r="AF54" s="231"/>
      <c r="AG54" s="231"/>
      <c r="AH54" s="231"/>
      <c r="AI54" s="213"/>
      <c r="AJ54" s="213"/>
      <c r="AK54" s="213"/>
      <c r="AL54" s="213"/>
      <c r="AM54" s="213"/>
    </row>
    <row r="55" spans="1:39" ht="12.75" customHeight="1">
      <c r="A55" s="398" t="s">
        <v>217</v>
      </c>
      <c r="B55" s="398" t="s">
        <v>459</v>
      </c>
      <c r="C55" s="274">
        <f t="shared" si="58"/>
        <v>2.2880964381720439E-4</v>
      </c>
      <c r="D55" s="547">
        <v>1</v>
      </c>
      <c r="E55" s="1194">
        <v>1</v>
      </c>
      <c r="F55" s="1194">
        <v>1</v>
      </c>
      <c r="G55" s="1194">
        <v>500</v>
      </c>
      <c r="H55" s="274"/>
      <c r="I55" s="274">
        <v>0</v>
      </c>
      <c r="J55" s="274">
        <v>0</v>
      </c>
      <c r="K55" s="277" t="s">
        <v>269</v>
      </c>
      <c r="L55" s="993">
        <v>0.80208333333333337</v>
      </c>
      <c r="M55" s="1195">
        <v>1</v>
      </c>
      <c r="N55" s="274">
        <f t="shared" ref="N55:N56" si="67">P55*E55*F55+I55*E55*F55+J55*E55</f>
        <v>4.5761928763440882E-3</v>
      </c>
      <c r="O55" s="1196">
        <f t="shared" ref="O55" si="68">C55*(G55/25)</f>
        <v>4.5761928763440882E-3</v>
      </c>
      <c r="P55" s="1196">
        <f t="shared" ref="P55:P62" si="69">O55*M55</f>
        <v>4.5761928763440882E-3</v>
      </c>
      <c r="Q55" s="548">
        <v>147</v>
      </c>
      <c r="R55" s="1194">
        <f t="shared" ref="R55:R62" si="70">E55*F55*G55</f>
        <v>500</v>
      </c>
      <c r="S55" s="229">
        <f t="shared" si="19"/>
        <v>0.5</v>
      </c>
      <c r="T55" s="230">
        <f t="shared" si="20"/>
        <v>1.8304771505376353E-2</v>
      </c>
      <c r="U55" s="374">
        <f t="shared" si="21"/>
        <v>0.5</v>
      </c>
      <c r="V55" s="375">
        <f t="shared" si="22"/>
        <v>0</v>
      </c>
      <c r="W55" s="376">
        <f t="shared" si="23"/>
        <v>0</v>
      </c>
      <c r="X55" s="377">
        <f t="shared" si="24"/>
        <v>0</v>
      </c>
      <c r="Y55" s="378">
        <f t="shared" si="25"/>
        <v>0</v>
      </c>
      <c r="Z55" s="379">
        <f t="shared" si="26"/>
        <v>0</v>
      </c>
      <c r="AA55" s="380">
        <f t="shared" si="27"/>
        <v>0</v>
      </c>
      <c r="AC55" s="231"/>
      <c r="AD55" s="231"/>
      <c r="AE55" s="231"/>
      <c r="AF55" s="231"/>
      <c r="AG55" s="231"/>
      <c r="AH55" s="231"/>
      <c r="AI55" s="213"/>
      <c r="AJ55" s="213"/>
      <c r="AK55" s="213"/>
      <c r="AL55" s="213"/>
      <c r="AM55" s="213"/>
    </row>
    <row r="56" spans="1:39" ht="12.75" customHeight="1">
      <c r="A56" s="398" t="s">
        <v>459</v>
      </c>
      <c r="B56" s="398" t="s">
        <v>459</v>
      </c>
      <c r="C56" s="274">
        <f t="shared" si="58"/>
        <v>1.8229166666666673E-4</v>
      </c>
      <c r="D56" s="895">
        <v>6</v>
      </c>
      <c r="E56" s="1167">
        <v>1</v>
      </c>
      <c r="F56" s="1167">
        <v>8</v>
      </c>
      <c r="G56" s="1167">
        <v>80</v>
      </c>
      <c r="H56" s="1052"/>
      <c r="I56" s="1052">
        <v>6.9444444444444447E-4</v>
      </c>
      <c r="J56" s="1052">
        <v>0</v>
      </c>
      <c r="K56" s="1065" t="s">
        <v>1055</v>
      </c>
      <c r="L56" s="1052">
        <f t="shared" ref="L56:L63" si="71">L55+N55</f>
        <v>0.80665952620967751</v>
      </c>
      <c r="M56" s="1168">
        <v>1.1399999999999999</v>
      </c>
      <c r="N56" s="1052">
        <f t="shared" si="67"/>
        <v>1.1088355555555558E-2</v>
      </c>
      <c r="O56" s="1169">
        <f>C56*(G56/25)*1.04</f>
        <v>6.0666666666666692E-4</v>
      </c>
      <c r="P56" s="6306">
        <f t="shared" si="69"/>
        <v>6.9160000000000022E-4</v>
      </c>
      <c r="Q56" s="1171">
        <v>177</v>
      </c>
      <c r="R56" s="1167">
        <f t="shared" si="70"/>
        <v>640</v>
      </c>
      <c r="S56" s="229">
        <f t="shared" si="19"/>
        <v>0.64</v>
      </c>
      <c r="T56" s="230">
        <f t="shared" si="20"/>
        <v>1.9413333333333341E-2</v>
      </c>
      <c r="U56" s="374">
        <f t="shared" si="21"/>
        <v>0</v>
      </c>
      <c r="V56" s="375">
        <f t="shared" si="22"/>
        <v>0</v>
      </c>
      <c r="W56" s="376">
        <f t="shared" si="23"/>
        <v>0</v>
      </c>
      <c r="X56" s="377">
        <f t="shared" si="24"/>
        <v>0</v>
      </c>
      <c r="Y56" s="378">
        <f t="shared" si="25"/>
        <v>0</v>
      </c>
      <c r="Z56" s="379">
        <f t="shared" si="26"/>
        <v>0.64</v>
      </c>
      <c r="AA56" s="380">
        <f t="shared" si="27"/>
        <v>0</v>
      </c>
      <c r="AC56" s="231"/>
      <c r="AD56" s="231"/>
      <c r="AE56" s="231"/>
      <c r="AF56" s="231"/>
      <c r="AG56" s="231"/>
      <c r="AH56" s="231"/>
      <c r="AI56" s="213"/>
      <c r="AJ56" s="213"/>
      <c r="AK56" s="213"/>
      <c r="AL56" s="213"/>
      <c r="AM56" s="213"/>
    </row>
    <row r="57" spans="1:39" ht="12.75" customHeight="1">
      <c r="A57" s="398" t="s">
        <v>458</v>
      </c>
      <c r="B57" s="398" t="s">
        <v>459</v>
      </c>
      <c r="C57" s="274">
        <f t="shared" si="58"/>
        <v>2.1908757716049393E-4</v>
      </c>
      <c r="D57" s="890">
        <v>2</v>
      </c>
      <c r="E57" s="1173">
        <v>1</v>
      </c>
      <c r="F57" s="1173">
        <v>4</v>
      </c>
      <c r="G57" s="1173">
        <v>25</v>
      </c>
      <c r="H57" s="299"/>
      <c r="I57" s="299">
        <v>1.3888888888888889E-4</v>
      </c>
      <c r="J57" s="299">
        <v>1.3888888888888889E-3</v>
      </c>
      <c r="K57" s="1123" t="s">
        <v>1052</v>
      </c>
      <c r="L57" s="1149">
        <f t="shared" si="71"/>
        <v>0.81774788176523305</v>
      </c>
      <c r="M57" s="1174">
        <v>1</v>
      </c>
      <c r="N57" s="299">
        <f>P57*E57*F57+I57*E57*F57+J57*E57</f>
        <v>2.8207947530864202E-3</v>
      </c>
      <c r="O57" s="1175">
        <f t="shared" ref="O57" si="72">C57*(G57/25)</f>
        <v>2.1908757716049393E-4</v>
      </c>
      <c r="P57" s="1175">
        <f t="shared" si="69"/>
        <v>2.1908757716049393E-4</v>
      </c>
      <c r="Q57" s="550">
        <v>146</v>
      </c>
      <c r="R57" s="1176">
        <f t="shared" si="70"/>
        <v>100</v>
      </c>
      <c r="S57" s="229">
        <f t="shared" si="19"/>
        <v>0.1</v>
      </c>
      <c r="T57" s="230">
        <f t="shared" si="20"/>
        <v>3.5054012345679029E-3</v>
      </c>
      <c r="U57" s="374">
        <f t="shared" si="21"/>
        <v>0</v>
      </c>
      <c r="V57" s="375">
        <f t="shared" si="22"/>
        <v>0.1</v>
      </c>
      <c r="W57" s="376">
        <f t="shared" si="23"/>
        <v>0</v>
      </c>
      <c r="X57" s="377">
        <f t="shared" si="24"/>
        <v>0</v>
      </c>
      <c r="Y57" s="378">
        <f t="shared" si="25"/>
        <v>0</v>
      </c>
      <c r="Z57" s="379">
        <f t="shared" si="26"/>
        <v>0</v>
      </c>
      <c r="AA57" s="380">
        <f t="shared" si="27"/>
        <v>0</v>
      </c>
      <c r="AC57" s="231"/>
      <c r="AD57" s="231"/>
      <c r="AE57" s="231"/>
      <c r="AF57" s="231"/>
      <c r="AG57" s="231"/>
      <c r="AH57" s="231"/>
      <c r="AI57" s="213"/>
      <c r="AJ57" s="213"/>
      <c r="AK57" s="213"/>
      <c r="AL57" s="213"/>
      <c r="AM57" s="213"/>
    </row>
    <row r="58" spans="1:39" ht="12.75" customHeight="1">
      <c r="A58" s="398" t="s">
        <v>218</v>
      </c>
      <c r="B58" s="398" t="s">
        <v>459</v>
      </c>
      <c r="C58" s="274">
        <f t="shared" si="58"/>
        <v>1.8229166666666673E-4</v>
      </c>
      <c r="D58" s="895">
        <v>6</v>
      </c>
      <c r="E58" s="1167">
        <v>1</v>
      </c>
      <c r="F58" s="1167">
        <v>4</v>
      </c>
      <c r="G58" s="1167">
        <v>20</v>
      </c>
      <c r="H58" s="1052"/>
      <c r="I58" s="1052">
        <v>3.4722222222222224E-4</v>
      </c>
      <c r="J58" s="1052">
        <v>0</v>
      </c>
      <c r="K58" s="1065" t="s">
        <v>2250</v>
      </c>
      <c r="L58" s="1052">
        <f t="shared" si="71"/>
        <v>0.82056867651831944</v>
      </c>
      <c r="M58" s="1168">
        <v>1.04</v>
      </c>
      <c r="N58" s="1052">
        <f t="shared" ref="N58:N61" si="73">P58*E58*F58+I58*E58*F58+J58*E58</f>
        <v>1.995555555555556E-3</v>
      </c>
      <c r="O58" s="1169">
        <f>C58*(G58/25)</f>
        <v>1.458333333333334E-4</v>
      </c>
      <c r="P58" s="6306">
        <f t="shared" si="69"/>
        <v>1.5166666666666673E-4</v>
      </c>
      <c r="Q58" s="1171">
        <v>177</v>
      </c>
      <c r="R58" s="1167">
        <f t="shared" si="70"/>
        <v>80</v>
      </c>
      <c r="S58" s="229">
        <f t="shared" si="19"/>
        <v>0.08</v>
      </c>
      <c r="T58" s="230">
        <f t="shared" si="20"/>
        <v>2.3333333333333344E-3</v>
      </c>
      <c r="U58" s="374">
        <f t="shared" si="21"/>
        <v>0</v>
      </c>
      <c r="V58" s="375">
        <f t="shared" si="22"/>
        <v>0</v>
      </c>
      <c r="W58" s="376">
        <f t="shared" si="23"/>
        <v>0</v>
      </c>
      <c r="X58" s="377">
        <f t="shared" si="24"/>
        <v>0</v>
      </c>
      <c r="Y58" s="378">
        <f t="shared" si="25"/>
        <v>0</v>
      </c>
      <c r="Z58" s="379">
        <f t="shared" si="26"/>
        <v>0.08</v>
      </c>
      <c r="AA58" s="380">
        <f t="shared" si="27"/>
        <v>0</v>
      </c>
      <c r="AC58" s="231"/>
      <c r="AD58" s="231"/>
      <c r="AE58" s="231"/>
      <c r="AF58" s="231"/>
      <c r="AG58" s="231"/>
      <c r="AH58" s="231"/>
      <c r="AI58" s="213"/>
      <c r="AJ58" s="213"/>
      <c r="AK58" s="213"/>
      <c r="AL58" s="213"/>
      <c r="AM58" s="213"/>
    </row>
    <row r="59" spans="1:39" ht="12.75" customHeight="1">
      <c r="A59" s="398" t="s">
        <v>458</v>
      </c>
      <c r="B59" s="398" t="s">
        <v>459</v>
      </c>
      <c r="C59" s="274">
        <f t="shared" si="58"/>
        <v>1.8229166666666673E-4</v>
      </c>
      <c r="D59" s="4578">
        <v>6</v>
      </c>
      <c r="E59" s="6042">
        <v>5</v>
      </c>
      <c r="F59" s="6043">
        <v>5</v>
      </c>
      <c r="G59" s="4582">
        <v>20</v>
      </c>
      <c r="H59" s="4684"/>
      <c r="I59" s="4684">
        <v>4.0509259259259258E-4</v>
      </c>
      <c r="J59" s="4585">
        <v>0</v>
      </c>
      <c r="K59" s="4582" t="s">
        <v>1970</v>
      </c>
      <c r="L59" s="6300">
        <f t="shared" si="71"/>
        <v>0.82256423207387497</v>
      </c>
      <c r="M59" s="4584">
        <v>1</v>
      </c>
      <c r="N59" s="6300">
        <f t="shared" si="73"/>
        <v>1.3918981481481484E-2</v>
      </c>
      <c r="O59" s="4586">
        <f>C59*(G59/25)*1.04</f>
        <v>1.5166666666666673E-4</v>
      </c>
      <c r="P59" s="6309">
        <f t="shared" si="69"/>
        <v>1.5166666666666673E-4</v>
      </c>
      <c r="Q59" s="4588">
        <v>177</v>
      </c>
      <c r="R59" s="4561">
        <f t="shared" si="70"/>
        <v>500</v>
      </c>
      <c r="S59" s="229">
        <f t="shared" si="19"/>
        <v>0.5</v>
      </c>
      <c r="T59" s="230">
        <f t="shared" si="20"/>
        <v>1.5166666666666674E-2</v>
      </c>
      <c r="U59" s="374">
        <f t="shared" si="21"/>
        <v>0</v>
      </c>
      <c r="V59" s="375">
        <f t="shared" si="22"/>
        <v>0</v>
      </c>
      <c r="W59" s="376">
        <f t="shared" si="23"/>
        <v>0</v>
      </c>
      <c r="X59" s="377">
        <f t="shared" si="24"/>
        <v>0</v>
      </c>
      <c r="Y59" s="378">
        <f t="shared" si="25"/>
        <v>0</v>
      </c>
      <c r="Z59" s="379">
        <f t="shared" si="26"/>
        <v>0.5</v>
      </c>
      <c r="AA59" s="380">
        <f t="shared" si="27"/>
        <v>0</v>
      </c>
      <c r="AC59" s="231"/>
      <c r="AD59" s="231"/>
      <c r="AE59" s="231"/>
      <c r="AF59" s="231"/>
      <c r="AG59" s="231"/>
      <c r="AH59" s="231"/>
      <c r="AI59" s="213"/>
      <c r="AJ59" s="213"/>
      <c r="AK59" s="213"/>
      <c r="AL59" s="213"/>
      <c r="AM59" s="213"/>
    </row>
    <row r="60" spans="1:39" ht="12.75" customHeight="1">
      <c r="A60" s="398" t="s">
        <v>219</v>
      </c>
      <c r="B60" s="398" t="s">
        <v>459</v>
      </c>
      <c r="C60" s="274">
        <f t="shared" si="58"/>
        <v>1.8229166666666673E-4</v>
      </c>
      <c r="D60" s="4578">
        <v>6</v>
      </c>
      <c r="E60" s="6045">
        <v>5</v>
      </c>
      <c r="F60" s="6043">
        <v>3</v>
      </c>
      <c r="G60" s="6046">
        <v>17.5</v>
      </c>
      <c r="H60" s="4684"/>
      <c r="I60" s="4684">
        <v>3.4722222222222224E-4</v>
      </c>
      <c r="J60" s="4585">
        <v>0</v>
      </c>
      <c r="K60" s="4582" t="s">
        <v>1971</v>
      </c>
      <c r="L60" s="6300">
        <f t="shared" si="71"/>
        <v>0.83648321355535649</v>
      </c>
      <c r="M60" s="4584">
        <v>1</v>
      </c>
      <c r="N60" s="6300">
        <f t="shared" si="73"/>
        <v>7.198958333333335E-3</v>
      </c>
      <c r="O60" s="4586">
        <f>C60*(G60/25)*1.04</f>
        <v>1.3270833333333339E-4</v>
      </c>
      <c r="P60" s="6309">
        <f t="shared" si="69"/>
        <v>1.3270833333333339E-4</v>
      </c>
      <c r="Q60" s="4588">
        <v>177</v>
      </c>
      <c r="R60" s="4561">
        <f t="shared" si="70"/>
        <v>262.5</v>
      </c>
      <c r="S60" s="229">
        <f t="shared" si="19"/>
        <v>0.26250000000000001</v>
      </c>
      <c r="T60" s="230">
        <f t="shared" si="20"/>
        <v>7.9625000000000043E-3</v>
      </c>
      <c r="U60" s="374">
        <f t="shared" si="21"/>
        <v>0</v>
      </c>
      <c r="V60" s="375">
        <f t="shared" si="22"/>
        <v>0</v>
      </c>
      <c r="W60" s="376">
        <f t="shared" si="23"/>
        <v>0</v>
      </c>
      <c r="X60" s="377">
        <f t="shared" si="24"/>
        <v>0</v>
      </c>
      <c r="Y60" s="378">
        <f t="shared" si="25"/>
        <v>0</v>
      </c>
      <c r="Z60" s="379">
        <f t="shared" si="26"/>
        <v>0.26250000000000001</v>
      </c>
      <c r="AA60" s="380">
        <f t="shared" si="27"/>
        <v>0</v>
      </c>
      <c r="AC60" s="231"/>
      <c r="AD60" s="231"/>
      <c r="AE60" s="231"/>
      <c r="AF60" s="231"/>
      <c r="AG60" s="231"/>
      <c r="AH60" s="231"/>
      <c r="AI60" s="213"/>
      <c r="AJ60" s="213"/>
      <c r="AK60" s="213"/>
      <c r="AL60" s="213"/>
      <c r="AM60" s="213"/>
    </row>
    <row r="61" spans="1:39" ht="12.75" customHeight="1">
      <c r="A61" s="398"/>
      <c r="B61" s="398" t="s">
        <v>459</v>
      </c>
      <c r="C61" s="274">
        <f t="shared" si="58"/>
        <v>1.8229166666666673E-4</v>
      </c>
      <c r="D61" s="4578">
        <v>6</v>
      </c>
      <c r="E61" s="6047">
        <v>3</v>
      </c>
      <c r="F61" s="6043">
        <v>1</v>
      </c>
      <c r="G61" s="4582">
        <v>15</v>
      </c>
      <c r="H61" s="4684"/>
      <c r="I61" s="4684">
        <v>0</v>
      </c>
      <c r="J61" s="4585">
        <v>3.472222222222222E-3</v>
      </c>
      <c r="K61" s="4582" t="s">
        <v>1972</v>
      </c>
      <c r="L61" s="6300">
        <f t="shared" si="71"/>
        <v>0.84368217188868977</v>
      </c>
      <c r="M61" s="4584">
        <v>1</v>
      </c>
      <c r="N61" s="6300">
        <f t="shared" si="73"/>
        <v>1.0757916666666666E-2</v>
      </c>
      <c r="O61" s="4586">
        <f>C61*(G61/25)*1.04</f>
        <v>1.1375000000000004E-4</v>
      </c>
      <c r="P61" s="6309">
        <f t="shared" si="69"/>
        <v>1.1375000000000004E-4</v>
      </c>
      <c r="Q61" s="4588">
        <v>177</v>
      </c>
      <c r="R61" s="4561">
        <f t="shared" si="70"/>
        <v>45</v>
      </c>
      <c r="S61" s="229">
        <f t="shared" si="19"/>
        <v>4.4999999999999998E-2</v>
      </c>
      <c r="T61" s="230">
        <f t="shared" si="20"/>
        <v>1.3650000000000005E-3</v>
      </c>
      <c r="U61" s="374">
        <f t="shared" si="21"/>
        <v>0</v>
      </c>
      <c r="V61" s="375">
        <f t="shared" si="22"/>
        <v>0</v>
      </c>
      <c r="W61" s="376">
        <f t="shared" si="23"/>
        <v>0</v>
      </c>
      <c r="X61" s="377">
        <f t="shared" si="24"/>
        <v>0</v>
      </c>
      <c r="Y61" s="378">
        <f t="shared" si="25"/>
        <v>0</v>
      </c>
      <c r="Z61" s="379">
        <f t="shared" si="26"/>
        <v>4.4999999999999998E-2</v>
      </c>
      <c r="AA61" s="380">
        <f t="shared" si="27"/>
        <v>0</v>
      </c>
      <c r="AC61" s="231"/>
      <c r="AD61" s="231"/>
      <c r="AE61" s="231"/>
      <c r="AF61" s="231"/>
      <c r="AG61" s="231"/>
      <c r="AH61" s="231"/>
      <c r="AI61" s="213"/>
      <c r="AJ61" s="213"/>
      <c r="AK61" s="213"/>
      <c r="AL61" s="213"/>
      <c r="AM61" s="213"/>
    </row>
    <row r="62" spans="1:39" ht="12.75" customHeight="1">
      <c r="A62" s="398"/>
      <c r="B62" s="398" t="s">
        <v>459</v>
      </c>
      <c r="C62" s="274">
        <f t="shared" si="58"/>
        <v>1.7682291666666674E-4</v>
      </c>
      <c r="D62" s="897">
        <v>7</v>
      </c>
      <c r="E62" s="1257">
        <v>1</v>
      </c>
      <c r="F62" s="1187">
        <v>6</v>
      </c>
      <c r="G62" s="1187">
        <v>20</v>
      </c>
      <c r="H62" s="1051"/>
      <c r="I62" s="1051">
        <v>4.6296296296296293E-4</v>
      </c>
      <c r="J62" s="1188">
        <v>6.9444444444444447E-4</v>
      </c>
      <c r="K62" s="1187" t="s">
        <v>1966</v>
      </c>
      <c r="L62" s="1189">
        <f t="shared" si="71"/>
        <v>0.85444008855535647</v>
      </c>
      <c r="M62" s="1190">
        <v>0.9</v>
      </c>
      <c r="N62" s="1188">
        <f>SUM(N55:N61)</f>
        <v>5.2356755222023106E-2</v>
      </c>
      <c r="O62" s="1191">
        <f t="shared" ref="O62" si="74">C62*(G62/25)</f>
        <v>1.4145833333333339E-4</v>
      </c>
      <c r="P62" s="6305">
        <f t="shared" si="69"/>
        <v>1.2731250000000007E-4</v>
      </c>
      <c r="Q62" s="1366">
        <v>179</v>
      </c>
      <c r="R62" s="1187">
        <f t="shared" si="70"/>
        <v>120</v>
      </c>
      <c r="S62" s="229">
        <f t="shared" si="19"/>
        <v>0.12</v>
      </c>
      <c r="T62" s="230">
        <f t="shared" si="20"/>
        <v>3.3950000000000013E-3</v>
      </c>
      <c r="U62" s="374">
        <f t="shared" si="21"/>
        <v>0</v>
      </c>
      <c r="V62" s="375">
        <f t="shared" si="22"/>
        <v>0</v>
      </c>
      <c r="W62" s="376">
        <f t="shared" si="23"/>
        <v>0</v>
      </c>
      <c r="X62" s="377">
        <f t="shared" si="24"/>
        <v>0</v>
      </c>
      <c r="Y62" s="378">
        <f t="shared" si="25"/>
        <v>0</v>
      </c>
      <c r="Z62" s="379">
        <f t="shared" si="26"/>
        <v>0</v>
      </c>
      <c r="AA62" s="380">
        <f t="shared" si="27"/>
        <v>0.12</v>
      </c>
      <c r="AC62" s="231"/>
      <c r="AD62" s="231"/>
      <c r="AE62" s="231"/>
      <c r="AF62" s="231"/>
      <c r="AG62" s="231"/>
      <c r="AH62" s="231"/>
      <c r="AI62" s="213"/>
      <c r="AJ62" s="213"/>
      <c r="AK62" s="213"/>
      <c r="AL62" s="213"/>
      <c r="AM62" s="213"/>
    </row>
    <row r="63" spans="1:39" ht="12.75" customHeight="1">
      <c r="A63" s="398"/>
      <c r="B63" s="398"/>
      <c r="C63" s="274">
        <f t="shared" si="58"/>
        <v>0</v>
      </c>
      <c r="D63" s="1357"/>
      <c r="E63" s="809"/>
      <c r="F63" s="809"/>
      <c r="G63" s="809"/>
      <c r="H63" s="2552"/>
      <c r="I63" s="2552"/>
      <c r="J63" s="2552"/>
      <c r="K63" s="2553"/>
      <c r="L63" s="1003">
        <f t="shared" si="71"/>
        <v>0.90679684377737957</v>
      </c>
      <c r="M63" s="2554"/>
      <c r="N63" s="1439">
        <f>SUM(N62,N54)</f>
        <v>0.12768803751581337</v>
      </c>
      <c r="O63" s="2555"/>
      <c r="P63" s="204"/>
      <c r="Q63" s="1358"/>
      <c r="R63" s="1440">
        <f>SUM(R55:R62)</f>
        <v>2247.5</v>
      </c>
      <c r="S63" s="229">
        <f t="shared" si="19"/>
        <v>0</v>
      </c>
      <c r="T63" s="230">
        <f t="shared" si="20"/>
        <v>0</v>
      </c>
      <c r="U63" s="374">
        <f t="shared" si="21"/>
        <v>0</v>
      </c>
      <c r="V63" s="375">
        <f t="shared" si="22"/>
        <v>0</v>
      </c>
      <c r="W63" s="376">
        <f t="shared" si="23"/>
        <v>0</v>
      </c>
      <c r="X63" s="377">
        <f t="shared" si="24"/>
        <v>0</v>
      </c>
      <c r="Y63" s="378">
        <f t="shared" si="25"/>
        <v>0</v>
      </c>
      <c r="Z63" s="379">
        <f t="shared" si="26"/>
        <v>0</v>
      </c>
      <c r="AA63" s="380">
        <f t="shared" si="27"/>
        <v>0</v>
      </c>
      <c r="AC63" s="231"/>
      <c r="AD63" s="231"/>
      <c r="AE63" s="231"/>
      <c r="AF63" s="231"/>
      <c r="AG63" s="231"/>
      <c r="AH63" s="231"/>
      <c r="AI63" s="213"/>
      <c r="AJ63" s="213"/>
      <c r="AK63" s="213"/>
      <c r="AL63" s="213"/>
      <c r="AM63" s="213"/>
    </row>
    <row r="64" spans="1:39" ht="12.75" customHeight="1">
      <c r="A64" s="851"/>
      <c r="B64" s="1124"/>
      <c r="C64" s="274">
        <f t="shared" si="58"/>
        <v>0</v>
      </c>
      <c r="D64" s="1357"/>
      <c r="E64" s="809"/>
      <c r="F64" s="809"/>
      <c r="G64" s="809"/>
      <c r="H64" s="2552"/>
      <c r="I64" s="2552"/>
      <c r="J64" s="2552"/>
      <c r="K64" s="2553"/>
      <c r="L64" s="1003"/>
      <c r="M64" s="2554"/>
      <c r="N64" s="1439"/>
      <c r="O64" s="2555"/>
      <c r="P64" s="204"/>
      <c r="Q64" s="1358"/>
      <c r="R64" s="1440"/>
      <c r="S64" s="229">
        <f t="shared" si="19"/>
        <v>0</v>
      </c>
      <c r="T64" s="230">
        <f t="shared" si="20"/>
        <v>0</v>
      </c>
      <c r="U64" s="374">
        <f t="shared" si="21"/>
        <v>0</v>
      </c>
      <c r="V64" s="375">
        <f t="shared" si="22"/>
        <v>0</v>
      </c>
      <c r="W64" s="376">
        <f t="shared" si="23"/>
        <v>0</v>
      </c>
      <c r="X64" s="377">
        <f t="shared" si="24"/>
        <v>0</v>
      </c>
      <c r="Y64" s="378">
        <f t="shared" si="25"/>
        <v>0</v>
      </c>
      <c r="Z64" s="379">
        <f t="shared" si="26"/>
        <v>0</v>
      </c>
      <c r="AA64" s="380">
        <f t="shared" si="27"/>
        <v>0</v>
      </c>
      <c r="AC64" s="231"/>
      <c r="AD64" s="231"/>
      <c r="AE64" s="231"/>
      <c r="AF64" s="231"/>
      <c r="AG64" s="231"/>
      <c r="AH64" s="231"/>
      <c r="AI64" s="213"/>
      <c r="AJ64" s="213"/>
      <c r="AK64" s="213"/>
      <c r="AL64" s="213"/>
      <c r="AM64" s="213"/>
    </row>
    <row r="65" spans="1:40" ht="12.75" customHeight="1">
      <c r="A65" s="851" t="s">
        <v>218</v>
      </c>
      <c r="B65" s="1124" t="s">
        <v>461</v>
      </c>
      <c r="C65" s="274">
        <f t="shared" ref="C65:C66" si="75">IF(D65=1,U$5,IF(D65=2,V$5,IF(D65=3,W$5,IF(D65=4,X$5,IF(D65=5,Y$5,IF(D65=6,Z$5,IF(D65=7,AA$5,0)))))))</f>
        <v>2.2880964381720439E-4</v>
      </c>
      <c r="D65" s="547">
        <v>1</v>
      </c>
      <c r="E65" s="275">
        <v>1</v>
      </c>
      <c r="F65" s="275">
        <v>1</v>
      </c>
      <c r="G65" s="275">
        <v>200</v>
      </c>
      <c r="H65" s="276"/>
      <c r="I65" s="276">
        <v>0</v>
      </c>
      <c r="J65" s="276">
        <v>1.1574074074074073E-4</v>
      </c>
      <c r="K65" s="312" t="s">
        <v>899</v>
      </c>
      <c r="L65" s="1004">
        <v>0.79166666666666663</v>
      </c>
      <c r="M65" s="451">
        <v>1.2</v>
      </c>
      <c r="N65" s="276">
        <f t="shared" ref="N65:N70" si="76">P65*E65*F65+I65*E65*F65+J65*E65</f>
        <v>2.312313321385903E-3</v>
      </c>
      <c r="O65" s="296">
        <f t="shared" ref="O65:O67" si="77">C65*(G65/25)</f>
        <v>1.8304771505376352E-3</v>
      </c>
      <c r="P65" s="296">
        <f>O65*M65</f>
        <v>2.1965725806451621E-3</v>
      </c>
      <c r="Q65" s="548">
        <v>129</v>
      </c>
      <c r="R65" s="275">
        <f>E65*F65*G65</f>
        <v>200</v>
      </c>
      <c r="S65" s="229">
        <f t="shared" si="19"/>
        <v>0.2</v>
      </c>
      <c r="T65" s="230">
        <f t="shared" si="20"/>
        <v>7.3219086021505406E-3</v>
      </c>
      <c r="U65" s="374">
        <f t="shared" si="21"/>
        <v>0.2</v>
      </c>
      <c r="V65" s="375">
        <f t="shared" si="22"/>
        <v>0</v>
      </c>
      <c r="W65" s="376">
        <f t="shared" si="23"/>
        <v>0</v>
      </c>
      <c r="X65" s="377">
        <f t="shared" si="24"/>
        <v>0</v>
      </c>
      <c r="Y65" s="378">
        <f t="shared" si="25"/>
        <v>0</v>
      </c>
      <c r="Z65" s="379">
        <f t="shared" si="26"/>
        <v>0</v>
      </c>
      <c r="AA65" s="380">
        <f t="shared" si="27"/>
        <v>0</v>
      </c>
      <c r="AC65" s="231"/>
      <c r="AD65" s="231"/>
      <c r="AE65" s="231"/>
      <c r="AF65" s="231"/>
      <c r="AG65" s="231"/>
      <c r="AH65" s="231"/>
      <c r="AI65" s="213"/>
      <c r="AJ65" s="213"/>
      <c r="AK65" s="213"/>
      <c r="AL65" s="213"/>
      <c r="AM65" s="213"/>
    </row>
    <row r="66" spans="1:40" ht="12.75" customHeight="1">
      <c r="A66" s="851" t="s">
        <v>139</v>
      </c>
      <c r="B66" s="1124" t="s">
        <v>461</v>
      </c>
      <c r="C66" s="274">
        <f t="shared" si="75"/>
        <v>2.1222190799396687E-4</v>
      </c>
      <c r="D66" s="891">
        <v>3</v>
      </c>
      <c r="E66" s="280">
        <v>1</v>
      </c>
      <c r="F66" s="280">
        <v>4</v>
      </c>
      <c r="G66" s="280">
        <v>200</v>
      </c>
      <c r="H66" s="281"/>
      <c r="I66" s="281">
        <v>3.4722222222222224E-4</v>
      </c>
      <c r="J66" s="281">
        <v>1.3888888888888889E-3</v>
      </c>
      <c r="K66" s="1328" t="s">
        <v>300</v>
      </c>
      <c r="L66" s="995">
        <f t="shared" ref="L66:L71" si="78">L65+N65</f>
        <v>0.79397897998805256</v>
      </c>
      <c r="M66" s="453">
        <v>1.1000000000000001</v>
      </c>
      <c r="N66" s="281">
        <f t="shared" si="76"/>
        <v>1.0247988939165412E-2</v>
      </c>
      <c r="O66" s="298">
        <f t="shared" si="77"/>
        <v>1.6977752639517349E-3</v>
      </c>
      <c r="P66" s="298">
        <f>O66*M66</f>
        <v>1.8675527903469085E-3</v>
      </c>
      <c r="Q66" s="333">
        <v>165</v>
      </c>
      <c r="R66" s="280">
        <f>E66*F66*G66</f>
        <v>800</v>
      </c>
      <c r="S66" s="229">
        <f t="shared" si="19"/>
        <v>0.8</v>
      </c>
      <c r="T66" s="230">
        <f t="shared" si="20"/>
        <v>2.7164404223227759E-2</v>
      </c>
      <c r="U66" s="374">
        <f t="shared" si="21"/>
        <v>0</v>
      </c>
      <c r="V66" s="375">
        <f t="shared" si="22"/>
        <v>0</v>
      </c>
      <c r="W66" s="376">
        <f t="shared" si="23"/>
        <v>0.8</v>
      </c>
      <c r="X66" s="377">
        <f t="shared" si="24"/>
        <v>0</v>
      </c>
      <c r="Y66" s="378">
        <f t="shared" si="25"/>
        <v>0</v>
      </c>
      <c r="Z66" s="379">
        <f t="shared" si="26"/>
        <v>0</v>
      </c>
      <c r="AA66" s="380">
        <f t="shared" si="27"/>
        <v>0</v>
      </c>
      <c r="AC66" s="231"/>
      <c r="AD66" s="231"/>
      <c r="AE66" s="231"/>
      <c r="AF66" s="231"/>
      <c r="AG66" s="231"/>
      <c r="AH66" s="231"/>
      <c r="AI66" s="213"/>
      <c r="AJ66" s="213"/>
      <c r="AK66" s="213"/>
      <c r="AL66" s="213"/>
      <c r="AM66" s="213"/>
    </row>
    <row r="67" spans="1:40" ht="12.75" customHeight="1">
      <c r="A67" s="851" t="s">
        <v>458</v>
      </c>
      <c r="B67" s="1124" t="s">
        <v>461</v>
      </c>
      <c r="C67" s="274">
        <f>IF(D67=1,U$5,IF(D67=2,V$5,IF(D67=3,W$5,IF(D67=4,X$5,IF(D67=5,Y$5,IF(D67=6,Z$5,IF(D67=7,AA$5,0)))))))</f>
        <v>2.2880964381720439E-4</v>
      </c>
      <c r="D67" s="890">
        <v>1</v>
      </c>
      <c r="E67" s="300">
        <v>1</v>
      </c>
      <c r="F67" s="300">
        <v>1</v>
      </c>
      <c r="G67" s="300">
        <v>200</v>
      </c>
      <c r="H67" s="301"/>
      <c r="I67" s="301">
        <v>5.2083333333333333E-4</v>
      </c>
      <c r="J67" s="301">
        <v>1.3888888888888889E-3</v>
      </c>
      <c r="K67" s="1123" t="s">
        <v>424</v>
      </c>
      <c r="L67" s="994">
        <f t="shared" si="78"/>
        <v>0.80422696892721801</v>
      </c>
      <c r="M67" s="455">
        <v>1</v>
      </c>
      <c r="N67" s="301">
        <f t="shared" si="76"/>
        <v>3.7401993727598573E-3</v>
      </c>
      <c r="O67" s="302">
        <f t="shared" si="77"/>
        <v>1.8304771505376352E-3</v>
      </c>
      <c r="P67" s="302">
        <f>O67*M67</f>
        <v>1.8304771505376352E-3</v>
      </c>
      <c r="Q67" s="550">
        <v>196</v>
      </c>
      <c r="R67" s="369">
        <f>E67*F67*G67</f>
        <v>200</v>
      </c>
      <c r="S67" s="229">
        <f t="shared" si="19"/>
        <v>0.2</v>
      </c>
      <c r="T67" s="230">
        <f t="shared" si="20"/>
        <v>7.3219086021505406E-3</v>
      </c>
      <c r="U67" s="374">
        <f t="shared" si="21"/>
        <v>0.2</v>
      </c>
      <c r="V67" s="375">
        <f t="shared" si="22"/>
        <v>0</v>
      </c>
      <c r="W67" s="376">
        <f t="shared" si="23"/>
        <v>0</v>
      </c>
      <c r="X67" s="377">
        <f t="shared" si="24"/>
        <v>0</v>
      </c>
      <c r="Y67" s="378">
        <f t="shared" si="25"/>
        <v>0</v>
      </c>
      <c r="Z67" s="379">
        <f t="shared" si="26"/>
        <v>0</v>
      </c>
      <c r="AA67" s="380">
        <f t="shared" si="27"/>
        <v>0</v>
      </c>
      <c r="AC67" s="231"/>
      <c r="AD67" s="231"/>
      <c r="AE67" s="231"/>
      <c r="AF67" s="231"/>
      <c r="AG67" s="231"/>
      <c r="AH67" s="231"/>
      <c r="AI67" s="213"/>
      <c r="AJ67" s="213"/>
      <c r="AK67" s="213"/>
      <c r="AL67" s="213"/>
      <c r="AM67" s="213"/>
    </row>
    <row r="68" spans="1:40" ht="12.75" customHeight="1">
      <c r="A68" s="851" t="s">
        <v>462</v>
      </c>
      <c r="B68" s="1124" t="s">
        <v>461</v>
      </c>
      <c r="C68" s="274">
        <f>IF(D68=1,U$5,IF(D68=2,V$5,IF(D68=3,W$5,IF(D68=4,X$5,IF(D68=5,Y$5,IF(D68=6,Z$5,IF(D68=7,AA$5,0)))))))</f>
        <v>1.8933937422552669E-4</v>
      </c>
      <c r="D68" s="2505">
        <v>5</v>
      </c>
      <c r="E68" s="2506">
        <v>2</v>
      </c>
      <c r="F68" s="2506">
        <v>3</v>
      </c>
      <c r="G68" s="2506">
        <v>40</v>
      </c>
      <c r="H68" s="2264"/>
      <c r="I68" s="2264">
        <v>1.3888888888888889E-3</v>
      </c>
      <c r="J68" s="2264">
        <v>2.0833333333333333E-3</v>
      </c>
      <c r="K68" s="2507" t="s">
        <v>1351</v>
      </c>
      <c r="L68" s="2508">
        <f t="shared" si="78"/>
        <v>0.80796716829997783</v>
      </c>
      <c r="M68" s="2509">
        <v>1</v>
      </c>
      <c r="N68" s="2264">
        <f t="shared" si="76"/>
        <v>1.4317657992565055E-2</v>
      </c>
      <c r="O68" s="2265">
        <f>C68*(G68/25)</f>
        <v>3.0294299876084275E-4</v>
      </c>
      <c r="P68" s="2185">
        <f t="shared" ref="P68" si="79">O68*M68</f>
        <v>3.0294299876084275E-4</v>
      </c>
      <c r="Q68" s="2510" t="s">
        <v>278</v>
      </c>
      <c r="R68" s="2511">
        <f t="shared" ref="R68" si="80">E68*F68*G68</f>
        <v>240</v>
      </c>
      <c r="S68" s="229">
        <f t="shared" si="19"/>
        <v>0.24</v>
      </c>
      <c r="T68" s="230">
        <f t="shared" si="20"/>
        <v>7.270631970260226E-3</v>
      </c>
      <c r="U68" s="374">
        <f t="shared" si="21"/>
        <v>0</v>
      </c>
      <c r="V68" s="375">
        <f t="shared" si="22"/>
        <v>0</v>
      </c>
      <c r="W68" s="376">
        <f t="shared" si="23"/>
        <v>0</v>
      </c>
      <c r="X68" s="377">
        <f t="shared" si="24"/>
        <v>0</v>
      </c>
      <c r="Y68" s="378">
        <f t="shared" si="25"/>
        <v>0.24</v>
      </c>
      <c r="Z68" s="379">
        <f t="shared" si="26"/>
        <v>0</v>
      </c>
      <c r="AA68" s="380">
        <f t="shared" si="27"/>
        <v>0</v>
      </c>
      <c r="AC68" s="231"/>
      <c r="AD68" s="231"/>
      <c r="AE68" s="231"/>
      <c r="AF68" s="231"/>
      <c r="AG68" s="231"/>
      <c r="AH68" s="231"/>
      <c r="AI68" s="213"/>
      <c r="AJ68" s="213"/>
      <c r="AK68" s="213"/>
      <c r="AL68" s="213"/>
      <c r="AM68" s="213"/>
    </row>
    <row r="69" spans="1:40" ht="12.75" customHeight="1">
      <c r="A69" s="851" t="s">
        <v>460</v>
      </c>
      <c r="B69" s="1124" t="s">
        <v>461</v>
      </c>
      <c r="C69" s="274">
        <f>IF(D69=1,U$5,IF(D69=2,V$5,IF(D69=3,W$5,IF(D69=4,X$5,IF(D69=5,Y$5,IF(D69=6,Z$5,IF(D69=7,AA$5,0)))))))</f>
        <v>2.2880964381720439E-4</v>
      </c>
      <c r="D69" s="890">
        <v>1</v>
      </c>
      <c r="E69" s="300">
        <v>1</v>
      </c>
      <c r="F69" s="300">
        <v>1</v>
      </c>
      <c r="G69" s="300">
        <v>500</v>
      </c>
      <c r="H69" s="301"/>
      <c r="I69" s="301">
        <v>5.2083333333333333E-4</v>
      </c>
      <c r="J69" s="301">
        <v>1.3888888888888889E-3</v>
      </c>
      <c r="K69" s="1123" t="s">
        <v>424</v>
      </c>
      <c r="L69" s="994">
        <f t="shared" si="78"/>
        <v>0.82228482629254285</v>
      </c>
      <c r="M69" s="455">
        <v>1</v>
      </c>
      <c r="N69" s="301">
        <f t="shared" si="76"/>
        <v>6.4859150985663106E-3</v>
      </c>
      <c r="O69" s="302">
        <f t="shared" ref="O69" si="81">C69*(G69/25)</f>
        <v>4.5761928763440882E-3</v>
      </c>
      <c r="P69" s="302">
        <f>O69*M69</f>
        <v>4.5761928763440882E-3</v>
      </c>
      <c r="Q69" s="550">
        <v>196</v>
      </c>
      <c r="R69" s="369">
        <f>E69*F69*G69</f>
        <v>500</v>
      </c>
      <c r="S69" s="229">
        <f t="shared" si="19"/>
        <v>0.5</v>
      </c>
      <c r="T69" s="230">
        <f t="shared" si="20"/>
        <v>1.8304771505376353E-2</v>
      </c>
      <c r="U69" s="374">
        <f t="shared" si="21"/>
        <v>0.5</v>
      </c>
      <c r="V69" s="375">
        <f t="shared" si="22"/>
        <v>0</v>
      </c>
      <c r="W69" s="376">
        <f t="shared" si="23"/>
        <v>0</v>
      </c>
      <c r="X69" s="377">
        <f t="shared" si="24"/>
        <v>0</v>
      </c>
      <c r="Y69" s="378">
        <f t="shared" si="25"/>
        <v>0</v>
      </c>
      <c r="Z69" s="379">
        <f t="shared" si="26"/>
        <v>0</v>
      </c>
      <c r="AA69" s="380">
        <f t="shared" si="27"/>
        <v>0</v>
      </c>
      <c r="AC69" s="231"/>
      <c r="AD69" s="231"/>
      <c r="AE69" s="231"/>
      <c r="AF69" s="231"/>
      <c r="AG69" s="231"/>
      <c r="AH69" s="231"/>
      <c r="AI69" s="213"/>
      <c r="AJ69" s="213"/>
      <c r="AK69" s="213"/>
      <c r="AL69" s="213"/>
      <c r="AM69" s="213"/>
    </row>
    <row r="70" spans="1:40" ht="12.75" customHeight="1">
      <c r="A70" s="851" t="s">
        <v>458</v>
      </c>
      <c r="B70" s="1124" t="s">
        <v>461</v>
      </c>
      <c r="C70" s="274">
        <f t="shared" ref="C70:C76" si="82">IF(D70=1,U$5,IF(D70=2,V$5,IF(D70=3,W$5,IF(D70=4,X$5,IF(D70=5,Y$5,IF(D70=6,Z$5,IF(D70=7,AA$5,0)))))))</f>
        <v>1.7682291666666674E-4</v>
      </c>
      <c r="D70" s="1054">
        <v>7</v>
      </c>
      <c r="E70" s="1043">
        <v>1</v>
      </c>
      <c r="F70" s="1043">
        <v>20</v>
      </c>
      <c r="G70" s="1043">
        <v>25</v>
      </c>
      <c r="H70" s="1044"/>
      <c r="I70" s="1044">
        <v>3.4722222222222224E-4</v>
      </c>
      <c r="J70" s="1044">
        <v>0</v>
      </c>
      <c r="K70" s="1323" t="s">
        <v>893</v>
      </c>
      <c r="L70" s="1007">
        <f t="shared" si="78"/>
        <v>0.82877074139110918</v>
      </c>
      <c r="M70" s="1063">
        <v>1</v>
      </c>
      <c r="N70" s="1044">
        <f t="shared" si="76"/>
        <v>1.048090277777778E-2</v>
      </c>
      <c r="O70" s="439">
        <f>C70*(G70/25)</f>
        <v>1.7682291666666674E-4</v>
      </c>
      <c r="P70" s="587">
        <f>O70*M70</f>
        <v>1.7682291666666674E-4</v>
      </c>
      <c r="Q70" s="446" t="s">
        <v>316</v>
      </c>
      <c r="R70" s="1045">
        <f>E70*F70*G70</f>
        <v>500</v>
      </c>
      <c r="S70" s="229">
        <f t="shared" si="19"/>
        <v>0.5</v>
      </c>
      <c r="T70" s="230">
        <f t="shared" si="20"/>
        <v>1.4145833333333338E-2</v>
      </c>
      <c r="U70" s="374">
        <f t="shared" si="21"/>
        <v>0</v>
      </c>
      <c r="V70" s="375">
        <f t="shared" si="22"/>
        <v>0</v>
      </c>
      <c r="W70" s="376">
        <f t="shared" si="23"/>
        <v>0</v>
      </c>
      <c r="X70" s="377">
        <f t="shared" si="24"/>
        <v>0</v>
      </c>
      <c r="Y70" s="378">
        <f t="shared" si="25"/>
        <v>0</v>
      </c>
      <c r="Z70" s="379">
        <f t="shared" si="26"/>
        <v>0</v>
      </c>
      <c r="AA70" s="380">
        <f t="shared" si="27"/>
        <v>0.5</v>
      </c>
      <c r="AC70" s="231"/>
      <c r="AD70" s="231"/>
      <c r="AE70" s="231"/>
      <c r="AF70" s="231"/>
      <c r="AG70" s="231"/>
      <c r="AH70" s="231"/>
      <c r="AI70" s="213"/>
      <c r="AJ70" s="213"/>
      <c r="AK70" s="213"/>
      <c r="AL70" s="213"/>
      <c r="AM70" s="213"/>
    </row>
    <row r="71" spans="1:40" ht="12.75" customHeight="1" thickBot="1">
      <c r="A71" s="851" t="s">
        <v>219</v>
      </c>
      <c r="B71" s="1124"/>
      <c r="C71" s="274">
        <f t="shared" si="82"/>
        <v>0</v>
      </c>
      <c r="D71" s="959"/>
      <c r="E71" s="642"/>
      <c r="F71" s="642"/>
      <c r="G71" s="642"/>
      <c r="H71" s="642"/>
      <c r="I71" s="642"/>
      <c r="J71" s="642"/>
      <c r="K71" s="642"/>
      <c r="L71" s="1003">
        <f t="shared" si="78"/>
        <v>0.83925164416888698</v>
      </c>
      <c r="M71" s="643"/>
      <c r="N71" s="644">
        <f>SUM(N65:N70)</f>
        <v>4.7584977502220321E-2</v>
      </c>
      <c r="O71" s="642"/>
      <c r="P71" s="642"/>
      <c r="Q71" s="642"/>
      <c r="R71" s="645">
        <f>SUM(R65:R70)</f>
        <v>2440</v>
      </c>
      <c r="S71" s="229">
        <f t="shared" ref="S71:S76" si="83">E71*F71*G71/1000</f>
        <v>0</v>
      </c>
      <c r="T71" s="230">
        <f t="shared" ref="T71:T76" si="84">E71*F71*O71*4</f>
        <v>0</v>
      </c>
      <c r="U71" s="374">
        <f t="shared" ref="U71:U76" si="85">IF(C71*4&gt;=$U$4,S71,0)</f>
        <v>0</v>
      </c>
      <c r="V71" s="375">
        <f t="shared" ref="V71:V76" si="86">IF(AND(C71*4&gt;=$V$4,C71*4&lt;$U$4),S71,0)</f>
        <v>0</v>
      </c>
      <c r="W71" s="376">
        <f t="shared" ref="W71:W76" si="87">IF(AND(C71*4&gt;=$W$4,C71*4&lt;$V$4),S71,0)</f>
        <v>0</v>
      </c>
      <c r="X71" s="377">
        <f t="shared" ref="X71:X76" si="88">IF(AND(C71*4&gt;=$X$4,C71*4&lt;$W$4),S71,0)</f>
        <v>0</v>
      </c>
      <c r="Y71" s="378">
        <f t="shared" ref="Y71:Y76" si="89">IF(AND(C71*4&gt;=$Y$4,C71*4&lt;$X$4),S71,0)</f>
        <v>0</v>
      </c>
      <c r="Z71" s="379">
        <f t="shared" ref="Z71:Z76" si="90">IF(AND(C71*4&gt;=$Z$4,C71*4&lt;$Y$4),S71,0)</f>
        <v>0</v>
      </c>
      <c r="AA71" s="380">
        <f t="shared" ref="AA71:AA76" si="91">IF(AND(C71*4&gt;=$AA$4,C71*4&lt;$Z$4),S71,0)</f>
        <v>0</v>
      </c>
      <c r="AC71" s="231"/>
      <c r="AD71" s="231"/>
      <c r="AE71" s="231"/>
      <c r="AF71" s="231"/>
      <c r="AG71" s="231"/>
      <c r="AH71" s="231"/>
      <c r="AI71" s="213"/>
      <c r="AJ71" s="213"/>
      <c r="AK71" s="213"/>
      <c r="AL71" s="213"/>
      <c r="AM71" s="213"/>
    </row>
    <row r="72" spans="1:40" ht="12.75" customHeight="1">
      <c r="A72" s="398" t="s">
        <v>219</v>
      </c>
      <c r="B72" s="398" t="s">
        <v>459</v>
      </c>
      <c r="C72" s="274">
        <f t="shared" si="82"/>
        <v>2.2880964381720439E-4</v>
      </c>
      <c r="D72" s="547">
        <v>1</v>
      </c>
      <c r="E72" s="275">
        <v>1</v>
      </c>
      <c r="F72" s="275">
        <v>1</v>
      </c>
      <c r="G72" s="275">
        <v>800</v>
      </c>
      <c r="H72" s="276"/>
      <c r="I72" s="276">
        <v>0</v>
      </c>
      <c r="J72" s="276">
        <v>1.0532407407407407E-2</v>
      </c>
      <c r="K72" s="312" t="s">
        <v>1367</v>
      </c>
      <c r="L72" s="1235">
        <v>0.34375</v>
      </c>
      <c r="M72" s="451">
        <v>1.2</v>
      </c>
      <c r="N72" s="276">
        <f t="shared" ref="N72:N75" si="92">P72*E72*F72+I72*E72*F72+J72*E72</f>
        <v>1.9318697729988055E-2</v>
      </c>
      <c r="O72" s="296">
        <f t="shared" ref="O72" si="93">C72*(G72/25)</f>
        <v>7.3219086021505406E-3</v>
      </c>
      <c r="P72" s="296">
        <f>O72*M72</f>
        <v>8.7862903225806484E-3</v>
      </c>
      <c r="Q72" s="548">
        <v>129</v>
      </c>
      <c r="R72" s="275">
        <f>E72*F72*G72</f>
        <v>800</v>
      </c>
      <c r="S72" s="229">
        <f t="shared" si="83"/>
        <v>0.8</v>
      </c>
      <c r="T72" s="230">
        <f t="shared" si="84"/>
        <v>2.9287634408602162E-2</v>
      </c>
      <c r="U72" s="374">
        <f t="shared" si="85"/>
        <v>0.8</v>
      </c>
      <c r="V72" s="375">
        <f t="shared" si="86"/>
        <v>0</v>
      </c>
      <c r="W72" s="376">
        <f t="shared" si="87"/>
        <v>0</v>
      </c>
      <c r="X72" s="377">
        <f t="shared" si="88"/>
        <v>0</v>
      </c>
      <c r="Y72" s="378">
        <f t="shared" si="89"/>
        <v>0</v>
      </c>
      <c r="Z72" s="379">
        <f t="shared" si="90"/>
        <v>0</v>
      </c>
      <c r="AA72" s="380">
        <f t="shared" si="91"/>
        <v>0</v>
      </c>
      <c r="AC72" s="231"/>
      <c r="AD72" s="231"/>
      <c r="AE72" s="231"/>
      <c r="AF72" s="231"/>
      <c r="AG72" s="231"/>
      <c r="AH72" s="231"/>
      <c r="AI72" s="213"/>
      <c r="AJ72" s="213"/>
      <c r="AK72" s="213"/>
      <c r="AL72" s="213"/>
      <c r="AM72" s="213"/>
    </row>
    <row r="73" spans="1:40" ht="12.75" customHeight="1">
      <c r="A73" s="398" t="s">
        <v>138</v>
      </c>
      <c r="B73" s="398" t="s">
        <v>459</v>
      </c>
      <c r="C73" s="274">
        <f t="shared" si="82"/>
        <v>0</v>
      </c>
      <c r="D73" s="2532"/>
      <c r="E73" s="2533"/>
      <c r="F73" s="2533"/>
      <c r="G73" s="2533"/>
      <c r="H73" s="2534"/>
      <c r="I73" s="2534"/>
      <c r="J73" s="2534"/>
      <c r="K73" s="2557" t="s">
        <v>1366</v>
      </c>
      <c r="L73" s="2556">
        <f>L72+N72</f>
        <v>0.36306869772998807</v>
      </c>
      <c r="M73" s="2536"/>
      <c r="N73" s="1235">
        <v>3.472222222222222E-3</v>
      </c>
      <c r="O73" s="2538"/>
      <c r="P73" s="296">
        <f>O73*M73</f>
        <v>0</v>
      </c>
      <c r="Q73" s="2539"/>
      <c r="R73" s="809"/>
      <c r="S73" s="229">
        <f t="shared" si="83"/>
        <v>0</v>
      </c>
      <c r="T73" s="230">
        <f t="shared" si="84"/>
        <v>0</v>
      </c>
      <c r="U73" s="374">
        <f t="shared" si="85"/>
        <v>0</v>
      </c>
      <c r="V73" s="375">
        <f t="shared" si="86"/>
        <v>0</v>
      </c>
      <c r="W73" s="376">
        <f t="shared" si="87"/>
        <v>0</v>
      </c>
      <c r="X73" s="377">
        <f t="shared" si="88"/>
        <v>0</v>
      </c>
      <c r="Y73" s="378">
        <f t="shared" si="89"/>
        <v>0</v>
      </c>
      <c r="Z73" s="379">
        <f t="shared" si="90"/>
        <v>0</v>
      </c>
      <c r="AA73" s="380">
        <f t="shared" si="91"/>
        <v>0</v>
      </c>
      <c r="AC73" s="231"/>
      <c r="AD73" s="231"/>
      <c r="AE73" s="231"/>
      <c r="AF73" s="231"/>
      <c r="AG73" s="231"/>
      <c r="AH73" s="231"/>
      <c r="AI73" s="213"/>
      <c r="AJ73" s="213"/>
      <c r="AK73" s="213"/>
      <c r="AL73" s="213"/>
      <c r="AM73" s="213"/>
    </row>
    <row r="74" spans="1:40" ht="12" customHeight="1">
      <c r="A74" s="398" t="s">
        <v>779</v>
      </c>
      <c r="B74" s="398" t="s">
        <v>459</v>
      </c>
      <c r="C74" s="274">
        <f t="shared" si="82"/>
        <v>1.7682291666666674E-4</v>
      </c>
      <c r="D74" s="1054">
        <v>7</v>
      </c>
      <c r="E74" s="1043">
        <v>6</v>
      </c>
      <c r="F74" s="1043">
        <v>2</v>
      </c>
      <c r="G74" s="1043">
        <v>50</v>
      </c>
      <c r="H74" s="6352" t="s">
        <v>2251</v>
      </c>
      <c r="I74" s="1044">
        <v>3.4722222222222224E-4</v>
      </c>
      <c r="J74" s="1044">
        <v>3.472222222222222E-3</v>
      </c>
      <c r="K74" s="1323" t="s">
        <v>1365</v>
      </c>
      <c r="L74" s="1007">
        <f>L72+N72</f>
        <v>0.36306869772998807</v>
      </c>
      <c r="M74" s="1063">
        <v>0.95</v>
      </c>
      <c r="N74" s="1044">
        <f t="shared" si="92"/>
        <v>2.90315625E-2</v>
      </c>
      <c r="O74" s="439">
        <f>C74*(G74/25)</f>
        <v>3.5364583333333347E-4</v>
      </c>
      <c r="P74" s="587">
        <f>O74*M74</f>
        <v>3.3596354166666676E-4</v>
      </c>
      <c r="Q74" s="446" t="s">
        <v>316</v>
      </c>
      <c r="R74" s="1045">
        <f>E74*F74*G74</f>
        <v>600</v>
      </c>
      <c r="S74" s="229">
        <f t="shared" si="83"/>
        <v>0.6</v>
      </c>
      <c r="T74" s="230">
        <f t="shared" si="84"/>
        <v>1.6975000000000007E-2</v>
      </c>
      <c r="U74" s="374">
        <f t="shared" si="85"/>
        <v>0</v>
      </c>
      <c r="V74" s="375">
        <f t="shared" si="86"/>
        <v>0</v>
      </c>
      <c r="W74" s="376">
        <f t="shared" si="87"/>
        <v>0</v>
      </c>
      <c r="X74" s="377">
        <f t="shared" si="88"/>
        <v>0</v>
      </c>
      <c r="Y74" s="378">
        <f t="shared" si="89"/>
        <v>0</v>
      </c>
      <c r="Z74" s="379">
        <f t="shared" si="90"/>
        <v>0</v>
      </c>
      <c r="AA74" s="380">
        <f t="shared" si="91"/>
        <v>0.6</v>
      </c>
      <c r="AC74" s="231"/>
      <c r="AD74" s="231"/>
      <c r="AE74" s="231"/>
      <c r="AF74" s="231"/>
      <c r="AG74" s="231"/>
      <c r="AH74" s="231"/>
      <c r="AI74" s="213"/>
      <c r="AJ74" s="213"/>
      <c r="AK74" s="213"/>
      <c r="AL74" s="213"/>
      <c r="AM74" s="213"/>
    </row>
    <row r="75" spans="1:40" ht="12.75" customHeight="1">
      <c r="A75" s="398" t="s">
        <v>138</v>
      </c>
      <c r="B75" s="398" t="s">
        <v>459</v>
      </c>
      <c r="C75" s="274">
        <f>IF(D75=1,U$5,IF(D75=2,V$5,IF(D75=3,W$5,IF(D75=4,X$5,IF(D75=5,Y$5,IF(D75=6,Z$5,IF(D75=7,AA$5,0)))))))</f>
        <v>2.1908757716049393E-4</v>
      </c>
      <c r="D75" s="890">
        <v>2</v>
      </c>
      <c r="E75" s="300">
        <v>1</v>
      </c>
      <c r="F75" s="300">
        <v>1</v>
      </c>
      <c r="G75" s="300">
        <v>500</v>
      </c>
      <c r="H75" s="301"/>
      <c r="I75" s="301">
        <v>5.2083333333333333E-4</v>
      </c>
      <c r="J75" s="301">
        <v>1.3888888888888889E-3</v>
      </c>
      <c r="K75" s="1123" t="s">
        <v>424</v>
      </c>
      <c r="L75" s="994">
        <f t="shared" ref="L75" si="94">L74+N74</f>
        <v>0.39210026022998806</v>
      </c>
      <c r="M75" s="455">
        <v>1</v>
      </c>
      <c r="N75" s="301">
        <f t="shared" si="92"/>
        <v>6.2914737654321011E-3</v>
      </c>
      <c r="O75" s="302">
        <f t="shared" ref="O75" si="95">C75*(G75/25)</f>
        <v>4.3817515432098787E-3</v>
      </c>
      <c r="P75" s="302">
        <f>O75*M75</f>
        <v>4.3817515432098787E-3</v>
      </c>
      <c r="Q75" s="550">
        <v>196</v>
      </c>
      <c r="R75" s="369">
        <f>E75*F75*G75</f>
        <v>500</v>
      </c>
      <c r="S75" s="229">
        <f t="shared" si="83"/>
        <v>0.5</v>
      </c>
      <c r="T75" s="230">
        <f t="shared" si="84"/>
        <v>1.7527006172839515E-2</v>
      </c>
      <c r="U75" s="374">
        <f t="shared" si="85"/>
        <v>0</v>
      </c>
      <c r="V75" s="375">
        <f t="shared" si="86"/>
        <v>0.5</v>
      </c>
      <c r="W75" s="376">
        <f t="shared" si="87"/>
        <v>0</v>
      </c>
      <c r="X75" s="377">
        <f t="shared" si="88"/>
        <v>0</v>
      </c>
      <c r="Y75" s="378">
        <f t="shared" si="89"/>
        <v>0</v>
      </c>
      <c r="Z75" s="379">
        <f t="shared" si="90"/>
        <v>0</v>
      </c>
      <c r="AA75" s="380">
        <f t="shared" si="91"/>
        <v>0</v>
      </c>
      <c r="AC75" s="231"/>
      <c r="AD75" s="231"/>
      <c r="AE75" s="231"/>
      <c r="AF75" s="231"/>
      <c r="AG75" s="231"/>
      <c r="AH75" s="231"/>
      <c r="AI75" s="213"/>
      <c r="AJ75" s="213"/>
      <c r="AK75" s="213"/>
      <c r="AL75" s="213"/>
      <c r="AM75" s="213"/>
    </row>
    <row r="76" spans="1:40" ht="12.75" customHeight="1" thickBot="1">
      <c r="A76" s="398" t="s">
        <v>220</v>
      </c>
      <c r="B76" s="398" t="s">
        <v>459</v>
      </c>
      <c r="C76" s="274">
        <f t="shared" si="82"/>
        <v>0</v>
      </c>
      <c r="D76" s="1357"/>
      <c r="E76" s="809"/>
      <c r="F76" s="809"/>
      <c r="G76" s="809"/>
      <c r="H76" s="2552"/>
      <c r="I76" s="2552"/>
      <c r="J76" s="2552"/>
      <c r="K76" s="2553"/>
      <c r="L76" s="1003">
        <f>L75+N75</f>
        <v>0.39839173399542016</v>
      </c>
      <c r="M76" s="2554"/>
      <c r="N76" s="1439">
        <f>SUM(N72:N75)</f>
        <v>5.8113956217642371E-2</v>
      </c>
      <c r="O76" s="2555"/>
      <c r="P76" s="204"/>
      <c r="Q76" s="1358"/>
      <c r="R76" s="1440">
        <f>SUM(R72:R74)</f>
        <v>1400</v>
      </c>
      <c r="S76" s="229">
        <f t="shared" si="83"/>
        <v>0</v>
      </c>
      <c r="T76" s="230">
        <f t="shared" si="84"/>
        <v>0</v>
      </c>
      <c r="U76" s="374">
        <f t="shared" si="85"/>
        <v>0</v>
      </c>
      <c r="V76" s="375">
        <f t="shared" si="86"/>
        <v>0</v>
      </c>
      <c r="W76" s="376">
        <f t="shared" si="87"/>
        <v>0</v>
      </c>
      <c r="X76" s="377">
        <f t="shared" si="88"/>
        <v>0</v>
      </c>
      <c r="Y76" s="378">
        <f t="shared" si="89"/>
        <v>0</v>
      </c>
      <c r="Z76" s="379">
        <f t="shared" si="90"/>
        <v>0</v>
      </c>
      <c r="AA76" s="380">
        <f t="shared" si="91"/>
        <v>0</v>
      </c>
      <c r="AC76" s="231"/>
      <c r="AD76" s="231"/>
      <c r="AE76" s="231"/>
      <c r="AF76" s="231"/>
      <c r="AG76" s="231"/>
      <c r="AH76" s="231"/>
      <c r="AI76" s="213"/>
      <c r="AJ76" s="213"/>
      <c r="AK76" s="213"/>
      <c r="AL76" s="213"/>
      <c r="AM76" s="213"/>
    </row>
    <row r="77" spans="1:40" ht="15" customHeight="1" thickTop="1" thickBot="1">
      <c r="A77" s="851"/>
      <c r="B77" s="1124"/>
      <c r="C77" s="205"/>
      <c r="D77" s="4444"/>
      <c r="E77" s="4594">
        <f>U77*100000/$Q$77</f>
        <v>18.952015994668447</v>
      </c>
      <c r="F77" s="4594">
        <f t="shared" ref="F77:K77" si="96">V77*100000/$Q$77</f>
        <v>20.409863378873709</v>
      </c>
      <c r="G77" s="4594">
        <f t="shared" si="96"/>
        <v>17.077640786404533</v>
      </c>
      <c r="H77" s="4594">
        <f t="shared" si="96"/>
        <v>5.9980006664445193</v>
      </c>
      <c r="I77" s="4594">
        <f t="shared" si="96"/>
        <v>8.413862045984672</v>
      </c>
      <c r="J77" s="4594">
        <f t="shared" si="96"/>
        <v>14.193185604798403</v>
      </c>
      <c r="K77" s="4595">
        <f t="shared" si="96"/>
        <v>14.95543152282573</v>
      </c>
      <c r="L77" s="4378" t="s">
        <v>1922</v>
      </c>
      <c r="M77" s="525"/>
      <c r="N77" s="235"/>
      <c r="O77" s="235"/>
      <c r="P77" s="235"/>
      <c r="Q77" s="7879">
        <f>AB77*1000</f>
        <v>24007.999999999996</v>
      </c>
      <c r="R77" s="7880"/>
      <c r="S77" s="4640"/>
      <c r="T77" s="239"/>
      <c r="U77" s="240">
        <f t="shared" ref="U77:AA77" si="97">SUM(U6:U76)</f>
        <v>4.55</v>
      </c>
      <c r="V77" s="240">
        <f t="shared" si="97"/>
        <v>4.8999999999999995</v>
      </c>
      <c r="W77" s="240">
        <f t="shared" si="97"/>
        <v>4.0999999999999996</v>
      </c>
      <c r="X77" s="240">
        <f t="shared" si="97"/>
        <v>1.44</v>
      </c>
      <c r="Y77" s="240">
        <f t="shared" si="97"/>
        <v>2.0199999999999996</v>
      </c>
      <c r="Z77" s="240">
        <f t="shared" si="97"/>
        <v>3.4075000000000002</v>
      </c>
      <c r="AA77" s="240">
        <f t="shared" si="97"/>
        <v>3.5905000000000005</v>
      </c>
      <c r="AB77" s="565">
        <f>SUM(U77:AA77)</f>
        <v>24.007999999999996</v>
      </c>
      <c r="AC77" s="231">
        <v>0</v>
      </c>
      <c r="AD77" s="231">
        <v>0</v>
      </c>
      <c r="AE77" s="222"/>
      <c r="AF77" s="222"/>
      <c r="AG77" s="222"/>
      <c r="AH77" s="222"/>
      <c r="AI77" s="222"/>
    </row>
    <row r="78" spans="1:40" ht="14" customHeight="1" thickBot="1">
      <c r="A78" s="851"/>
      <c r="B78" s="1124"/>
      <c r="C78" s="144"/>
      <c r="D78" s="4444"/>
      <c r="E78" s="4521">
        <f>E77*15/100</f>
        <v>2.8428023992002669</v>
      </c>
      <c r="F78" s="4522">
        <f t="shared" ref="F78:K78" si="98">F77*15/100</f>
        <v>3.0614795068310565</v>
      </c>
      <c r="G78" s="4523">
        <f t="shared" si="98"/>
        <v>2.56164611796068</v>
      </c>
      <c r="H78" s="4524">
        <f t="shared" si="98"/>
        <v>0.89970009996667788</v>
      </c>
      <c r="I78" s="4525">
        <f t="shared" si="98"/>
        <v>1.2620793068977008</v>
      </c>
      <c r="J78" s="4526">
        <f t="shared" si="98"/>
        <v>2.1289778407197604</v>
      </c>
      <c r="K78" s="4527">
        <f t="shared" si="98"/>
        <v>2.2433147284238597</v>
      </c>
      <c r="L78" s="4378" t="s">
        <v>1252</v>
      </c>
      <c r="M78" s="144"/>
      <c r="N78" s="144"/>
      <c r="O78" s="144"/>
      <c r="P78" s="144"/>
      <c r="Q78" s="144"/>
      <c r="R78" s="144"/>
      <c r="S78" s="144"/>
      <c r="T78" s="144"/>
      <c r="U78" s="566">
        <f>IF(U77&gt;0,U77,#REF!)</f>
        <v>4.55</v>
      </c>
      <c r="V78" s="566">
        <f>IF(V77&gt;0,V77,#REF!)</f>
        <v>4.8999999999999995</v>
      </c>
      <c r="W78" s="566">
        <f>IF(W77&gt;0,W77,#REF!)</f>
        <v>4.0999999999999996</v>
      </c>
      <c r="X78" s="566">
        <f>IF(X77&gt;0,X77,#REF!)</f>
        <v>1.44</v>
      </c>
      <c r="Y78" s="566">
        <f>IF(Y77&gt;0,Y77,#REF!)</f>
        <v>2.0199999999999996</v>
      </c>
      <c r="Z78" s="566">
        <f>IF(Z77&gt;0,Z77,#REF!)</f>
        <v>3.4075000000000002</v>
      </c>
      <c r="AA78" s="566">
        <f>IF(AA77&gt;0,AA77,#REF!)</f>
        <v>3.5905000000000005</v>
      </c>
      <c r="AB78" s="144"/>
      <c r="AC78" s="213"/>
      <c r="AD78" s="213"/>
      <c r="AE78" s="222"/>
      <c r="AF78" s="222"/>
      <c r="AG78" s="222"/>
      <c r="AH78" s="222"/>
      <c r="AI78" s="222"/>
      <c r="AJ78" s="213"/>
      <c r="AK78" s="213"/>
      <c r="AL78" s="213"/>
      <c r="AM78" s="213"/>
    </row>
    <row r="79" spans="1:40" s="245" customFormat="1" ht="15" customHeight="1">
      <c r="A79" s="851"/>
      <c r="B79" s="112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566">
        <f t="shared" ref="U79:AA94" si="99">IF(U78&gt;0,U78,U77)</f>
        <v>4.55</v>
      </c>
      <c r="V79" s="566">
        <f t="shared" si="99"/>
        <v>4.8999999999999995</v>
      </c>
      <c r="W79" s="566">
        <f t="shared" si="99"/>
        <v>4.0999999999999996</v>
      </c>
      <c r="X79" s="566">
        <f t="shared" si="99"/>
        <v>1.44</v>
      </c>
      <c r="Y79" s="566">
        <f t="shared" si="99"/>
        <v>2.0199999999999996</v>
      </c>
      <c r="Z79" s="566">
        <f t="shared" si="99"/>
        <v>3.4075000000000002</v>
      </c>
      <c r="AA79" s="566">
        <f t="shared" si="99"/>
        <v>3.5905000000000005</v>
      </c>
      <c r="AB79" s="144"/>
      <c r="AC79" s="214"/>
      <c r="AD79" s="214"/>
      <c r="AE79" s="222"/>
      <c r="AF79" s="222"/>
      <c r="AG79" s="222"/>
      <c r="AH79" s="222"/>
      <c r="AI79" s="222"/>
      <c r="AJ79" s="214"/>
      <c r="AK79" s="214"/>
      <c r="AL79" s="214"/>
      <c r="AM79" s="214"/>
      <c r="AN79" s="244"/>
    </row>
    <row r="80" spans="1:40" ht="10.25" customHeight="1">
      <c r="A80" s="851"/>
      <c r="B80" s="112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566">
        <f t="shared" si="99"/>
        <v>4.55</v>
      </c>
      <c r="V80" s="566">
        <f t="shared" si="99"/>
        <v>4.8999999999999995</v>
      </c>
      <c r="W80" s="566">
        <f t="shared" si="99"/>
        <v>4.0999999999999996</v>
      </c>
      <c r="X80" s="566">
        <f t="shared" si="99"/>
        <v>1.44</v>
      </c>
      <c r="Y80" s="566">
        <f t="shared" si="99"/>
        <v>2.0199999999999996</v>
      </c>
      <c r="Z80" s="566">
        <f t="shared" si="99"/>
        <v>3.4075000000000002</v>
      </c>
      <c r="AA80" s="566">
        <f t="shared" si="99"/>
        <v>3.5905000000000005</v>
      </c>
      <c r="AB80" s="144"/>
      <c r="AE80" s="222"/>
      <c r="AF80" s="222"/>
      <c r="AG80" s="222"/>
      <c r="AH80" s="222"/>
      <c r="AI80" s="222"/>
    </row>
    <row r="81" spans="1:40" ht="15.75" customHeight="1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566">
        <f t="shared" si="99"/>
        <v>4.55</v>
      </c>
      <c r="V81" s="566">
        <f t="shared" si="99"/>
        <v>4.8999999999999995</v>
      </c>
      <c r="W81" s="566">
        <f t="shared" si="99"/>
        <v>4.0999999999999996</v>
      </c>
      <c r="X81" s="566">
        <f t="shared" si="99"/>
        <v>1.44</v>
      </c>
      <c r="Y81" s="566">
        <f t="shared" si="99"/>
        <v>2.0199999999999996</v>
      </c>
      <c r="Z81" s="566">
        <f t="shared" si="99"/>
        <v>3.4075000000000002</v>
      </c>
      <c r="AA81" s="566">
        <f t="shared" si="99"/>
        <v>3.5905000000000005</v>
      </c>
      <c r="AB81" s="144"/>
    </row>
    <row r="82" spans="1:40" ht="72" customHeight="1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566">
        <f t="shared" si="99"/>
        <v>4.55</v>
      </c>
      <c r="V82" s="566">
        <f t="shared" si="99"/>
        <v>4.8999999999999995</v>
      </c>
      <c r="W82" s="566">
        <f t="shared" si="99"/>
        <v>4.0999999999999996</v>
      </c>
      <c r="X82" s="566">
        <f t="shared" si="99"/>
        <v>1.44</v>
      </c>
      <c r="Y82" s="566">
        <f t="shared" si="99"/>
        <v>2.0199999999999996</v>
      </c>
      <c r="Z82" s="566">
        <f t="shared" si="99"/>
        <v>3.4075000000000002</v>
      </c>
      <c r="AA82" s="566">
        <f t="shared" si="99"/>
        <v>3.5905000000000005</v>
      </c>
      <c r="AB82" s="144"/>
      <c r="AC82" s="221"/>
      <c r="AD82" s="222"/>
      <c r="AE82" s="222"/>
      <c r="AF82" s="222"/>
      <c r="AG82" s="222"/>
      <c r="AH82" s="222"/>
      <c r="AI82" s="220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566">
        <f t="shared" si="99"/>
        <v>4.55</v>
      </c>
      <c r="V83" s="566">
        <f t="shared" si="99"/>
        <v>4.8999999999999995</v>
      </c>
      <c r="W83" s="566">
        <f t="shared" si="99"/>
        <v>4.0999999999999996</v>
      </c>
      <c r="X83" s="566">
        <f t="shared" si="99"/>
        <v>1.44</v>
      </c>
      <c r="Y83" s="566">
        <f t="shared" si="99"/>
        <v>2.0199999999999996</v>
      </c>
      <c r="Z83" s="566">
        <f t="shared" si="99"/>
        <v>3.4075000000000002</v>
      </c>
      <c r="AA83" s="566">
        <f t="shared" si="99"/>
        <v>3.5905000000000005</v>
      </c>
      <c r="AB83" s="144"/>
      <c r="AC83" s="231" t="s">
        <v>193</v>
      </c>
      <c r="AD83" s="227"/>
      <c r="AE83" s="227"/>
      <c r="AF83" s="227"/>
      <c r="AG83" s="227"/>
      <c r="AH83" s="227"/>
      <c r="AI83" s="225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566">
        <f t="shared" si="99"/>
        <v>4.55</v>
      </c>
      <c r="V84" s="566">
        <f t="shared" si="99"/>
        <v>4.8999999999999995</v>
      </c>
      <c r="W84" s="566">
        <f t="shared" si="99"/>
        <v>4.0999999999999996</v>
      </c>
      <c r="X84" s="566">
        <f t="shared" si="99"/>
        <v>1.44</v>
      </c>
      <c r="Y84" s="566">
        <f t="shared" si="99"/>
        <v>2.0199999999999996</v>
      </c>
      <c r="Z84" s="566">
        <f t="shared" si="99"/>
        <v>3.4075000000000002</v>
      </c>
      <c r="AA84" s="566">
        <f t="shared" si="99"/>
        <v>3.5905000000000005</v>
      </c>
      <c r="AB84" s="144"/>
      <c r="AC84" s="231">
        <v>0</v>
      </c>
      <c r="AD84" s="231">
        <v>0</v>
      </c>
      <c r="AE84" s="231">
        <v>0</v>
      </c>
      <c r="AF84" s="231">
        <v>0</v>
      </c>
      <c r="AG84" s="231">
        <v>0</v>
      </c>
      <c r="AH84" s="231">
        <v>0</v>
      </c>
      <c r="AI84" s="225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566">
        <f t="shared" si="99"/>
        <v>4.55</v>
      </c>
      <c r="V85" s="566">
        <f t="shared" si="99"/>
        <v>4.8999999999999995</v>
      </c>
      <c r="W85" s="566">
        <f t="shared" si="99"/>
        <v>4.0999999999999996</v>
      </c>
      <c r="X85" s="566">
        <f t="shared" si="99"/>
        <v>1.44</v>
      </c>
      <c r="Y85" s="566">
        <f t="shared" si="99"/>
        <v>2.0199999999999996</v>
      </c>
      <c r="Z85" s="566">
        <f t="shared" si="99"/>
        <v>3.4075000000000002</v>
      </c>
      <c r="AA85" s="566">
        <f t="shared" si="99"/>
        <v>3.5905000000000005</v>
      </c>
      <c r="AB85" s="144"/>
      <c r="AC85" s="231"/>
      <c r="AD85" s="231"/>
      <c r="AE85" s="231"/>
      <c r="AF85" s="231"/>
      <c r="AG85" s="231"/>
      <c r="AH85" s="231"/>
      <c r="AI85" s="225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566">
        <f t="shared" si="99"/>
        <v>4.55</v>
      </c>
      <c r="V86" s="566">
        <f t="shared" si="99"/>
        <v>4.8999999999999995</v>
      </c>
      <c r="W86" s="566">
        <f t="shared" si="99"/>
        <v>4.0999999999999996</v>
      </c>
      <c r="X86" s="566">
        <f t="shared" si="99"/>
        <v>1.44</v>
      </c>
      <c r="Y86" s="566">
        <f t="shared" si="99"/>
        <v>2.0199999999999996</v>
      </c>
      <c r="Z86" s="566">
        <f t="shared" si="99"/>
        <v>3.4075000000000002</v>
      </c>
      <c r="AA86" s="566">
        <f t="shared" si="99"/>
        <v>3.5905000000000005</v>
      </c>
      <c r="AB86" s="144"/>
      <c r="AC86" s="231"/>
      <c r="AD86" s="231"/>
      <c r="AE86" s="231"/>
      <c r="AF86" s="231"/>
      <c r="AG86" s="231"/>
      <c r="AH86" s="231"/>
      <c r="AI86" s="225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566">
        <f t="shared" si="99"/>
        <v>4.55</v>
      </c>
      <c r="V87" s="566">
        <f t="shared" si="99"/>
        <v>4.8999999999999995</v>
      </c>
      <c r="W87" s="566">
        <f t="shared" si="99"/>
        <v>4.0999999999999996</v>
      </c>
      <c r="X87" s="566">
        <f t="shared" si="99"/>
        <v>1.44</v>
      </c>
      <c r="Y87" s="566">
        <f t="shared" si="99"/>
        <v>2.0199999999999996</v>
      </c>
      <c r="Z87" s="566">
        <f t="shared" si="99"/>
        <v>3.4075000000000002</v>
      </c>
      <c r="AA87" s="566">
        <f t="shared" si="99"/>
        <v>3.5905000000000005</v>
      </c>
      <c r="AB87" s="144"/>
      <c r="AC87" s="231">
        <v>0</v>
      </c>
      <c r="AD87" s="231">
        <v>0</v>
      </c>
      <c r="AE87" s="231">
        <v>0</v>
      </c>
      <c r="AF87" s="231">
        <v>0</v>
      </c>
      <c r="AG87" s="231">
        <v>0</v>
      </c>
      <c r="AH87" s="231">
        <v>0</v>
      </c>
      <c r="AI87" s="225"/>
      <c r="AJ87" s="204"/>
      <c r="AK87" s="204"/>
      <c r="AL87" s="204"/>
      <c r="AM87" s="204"/>
      <c r="AN87" s="204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566">
        <f t="shared" si="99"/>
        <v>4.55</v>
      </c>
      <c r="V88" s="566">
        <f t="shared" si="99"/>
        <v>4.8999999999999995</v>
      </c>
      <c r="W88" s="566">
        <f t="shared" si="99"/>
        <v>4.0999999999999996</v>
      </c>
      <c r="X88" s="566">
        <f t="shared" si="99"/>
        <v>1.44</v>
      </c>
      <c r="Y88" s="566">
        <f t="shared" si="99"/>
        <v>2.0199999999999996</v>
      </c>
      <c r="Z88" s="566">
        <f t="shared" si="99"/>
        <v>3.4075000000000002</v>
      </c>
      <c r="AA88" s="566">
        <f t="shared" si="99"/>
        <v>3.5905000000000005</v>
      </c>
      <c r="AB88" s="144"/>
      <c r="AC88" s="231">
        <v>0</v>
      </c>
      <c r="AD88" s="231">
        <v>0</v>
      </c>
      <c r="AE88" s="231">
        <v>0</v>
      </c>
      <c r="AF88" s="231">
        <v>0</v>
      </c>
      <c r="AG88" s="231">
        <v>0</v>
      </c>
      <c r="AH88" s="231">
        <v>0</v>
      </c>
      <c r="AI88" s="213"/>
      <c r="AJ88" s="204"/>
      <c r="AK88" s="204"/>
      <c r="AL88" s="204"/>
      <c r="AM88" s="204"/>
      <c r="AN88" s="204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566">
        <f t="shared" si="99"/>
        <v>4.55</v>
      </c>
      <c r="V89" s="566">
        <f t="shared" si="99"/>
        <v>4.8999999999999995</v>
      </c>
      <c r="W89" s="566">
        <f t="shared" si="99"/>
        <v>4.0999999999999996</v>
      </c>
      <c r="X89" s="566">
        <f t="shared" si="99"/>
        <v>1.44</v>
      </c>
      <c r="Y89" s="566">
        <f t="shared" si="99"/>
        <v>2.0199999999999996</v>
      </c>
      <c r="Z89" s="566">
        <f t="shared" si="99"/>
        <v>3.4075000000000002</v>
      </c>
      <c r="AA89" s="566">
        <f t="shared" si="99"/>
        <v>3.5905000000000005</v>
      </c>
      <c r="AB89" s="144"/>
      <c r="AC89" s="231"/>
      <c r="AD89" s="231"/>
      <c r="AE89" s="231"/>
      <c r="AF89" s="231"/>
      <c r="AG89" s="231"/>
      <c r="AH89" s="231"/>
      <c r="AI89" s="213"/>
      <c r="AJ89" s="204"/>
      <c r="AK89" s="204"/>
      <c r="AL89" s="204"/>
      <c r="AM89" s="204"/>
      <c r="AN89" s="204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566">
        <f t="shared" si="99"/>
        <v>4.55</v>
      </c>
      <c r="V90" s="566">
        <f t="shared" si="99"/>
        <v>4.8999999999999995</v>
      </c>
      <c r="W90" s="566">
        <f t="shared" si="99"/>
        <v>4.0999999999999996</v>
      </c>
      <c r="X90" s="566">
        <f t="shared" si="99"/>
        <v>1.44</v>
      </c>
      <c r="Y90" s="566">
        <f t="shared" si="99"/>
        <v>2.0199999999999996</v>
      </c>
      <c r="Z90" s="566">
        <f t="shared" si="99"/>
        <v>3.4075000000000002</v>
      </c>
      <c r="AA90" s="566">
        <f t="shared" si="99"/>
        <v>3.5905000000000005</v>
      </c>
      <c r="AB90" s="144"/>
      <c r="AC90" s="231"/>
      <c r="AD90" s="231"/>
      <c r="AE90" s="231"/>
      <c r="AF90" s="231"/>
      <c r="AG90" s="231"/>
      <c r="AH90" s="231"/>
      <c r="AI90" s="213"/>
      <c r="AJ90" s="204"/>
      <c r="AK90" s="204"/>
      <c r="AL90" s="204"/>
      <c r="AM90" s="204"/>
      <c r="AN90" s="204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566">
        <f t="shared" si="99"/>
        <v>4.55</v>
      </c>
      <c r="V91" s="566">
        <f t="shared" si="99"/>
        <v>4.8999999999999995</v>
      </c>
      <c r="W91" s="566">
        <f t="shared" si="99"/>
        <v>4.0999999999999996</v>
      </c>
      <c r="X91" s="566">
        <f t="shared" si="99"/>
        <v>1.44</v>
      </c>
      <c r="Y91" s="566">
        <f t="shared" si="99"/>
        <v>2.0199999999999996</v>
      </c>
      <c r="Z91" s="566">
        <f t="shared" si="99"/>
        <v>3.4075000000000002</v>
      </c>
      <c r="AA91" s="566">
        <f t="shared" si="99"/>
        <v>3.5905000000000005</v>
      </c>
      <c r="AB91" s="144"/>
      <c r="AC91" s="231">
        <v>0</v>
      </c>
      <c r="AD91" s="231">
        <v>0</v>
      </c>
      <c r="AE91" s="231">
        <v>0</v>
      </c>
      <c r="AF91" s="231">
        <v>0</v>
      </c>
      <c r="AG91" s="231">
        <v>0</v>
      </c>
      <c r="AH91" s="231">
        <v>0</v>
      </c>
      <c r="AI91" s="213"/>
      <c r="AJ91" s="204"/>
      <c r="AK91" s="204"/>
      <c r="AL91" s="204"/>
      <c r="AM91" s="204"/>
      <c r="AN91" s="204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566">
        <f t="shared" si="99"/>
        <v>4.55</v>
      </c>
      <c r="V92" s="566">
        <f t="shared" si="99"/>
        <v>4.8999999999999995</v>
      </c>
      <c r="W92" s="566">
        <f t="shared" si="99"/>
        <v>4.0999999999999996</v>
      </c>
      <c r="X92" s="566">
        <f t="shared" si="99"/>
        <v>1.44</v>
      </c>
      <c r="Y92" s="566">
        <f t="shared" si="99"/>
        <v>2.0199999999999996</v>
      </c>
      <c r="Z92" s="566">
        <f t="shared" si="99"/>
        <v>3.4075000000000002</v>
      </c>
      <c r="AA92" s="566">
        <f t="shared" si="99"/>
        <v>3.5905000000000005</v>
      </c>
      <c r="AB92" s="144"/>
      <c r="AC92" s="231">
        <v>0</v>
      </c>
      <c r="AD92" s="231">
        <v>0</v>
      </c>
      <c r="AE92" s="231">
        <v>0</v>
      </c>
      <c r="AF92" s="231">
        <v>0</v>
      </c>
      <c r="AG92" s="231">
        <v>0</v>
      </c>
      <c r="AH92" s="231">
        <v>0</v>
      </c>
      <c r="AI92" s="213"/>
      <c r="AJ92" s="204"/>
      <c r="AK92" s="204"/>
      <c r="AL92" s="204"/>
      <c r="AM92" s="204"/>
      <c r="AN92" s="204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566">
        <f t="shared" si="99"/>
        <v>4.55</v>
      </c>
      <c r="V93" s="566">
        <f t="shared" si="99"/>
        <v>4.8999999999999995</v>
      </c>
      <c r="W93" s="566">
        <f t="shared" si="99"/>
        <v>4.0999999999999996</v>
      </c>
      <c r="X93" s="566">
        <f t="shared" si="99"/>
        <v>1.44</v>
      </c>
      <c r="Y93" s="566">
        <f t="shared" si="99"/>
        <v>2.0199999999999996</v>
      </c>
      <c r="Z93" s="566">
        <f t="shared" si="99"/>
        <v>3.4075000000000002</v>
      </c>
      <c r="AA93" s="566">
        <f t="shared" si="99"/>
        <v>3.5905000000000005</v>
      </c>
      <c r="AB93" s="144"/>
      <c r="AC93" s="231">
        <v>0</v>
      </c>
      <c r="AD93" s="231">
        <v>0</v>
      </c>
      <c r="AE93" s="231">
        <v>0</v>
      </c>
      <c r="AF93" s="231">
        <v>0</v>
      </c>
      <c r="AG93" s="231">
        <v>0</v>
      </c>
      <c r="AH93" s="231">
        <v>0</v>
      </c>
      <c r="AI93" s="213"/>
      <c r="AJ93" s="204"/>
      <c r="AK93" s="204"/>
      <c r="AL93" s="204"/>
      <c r="AM93" s="204"/>
      <c r="AN93" s="204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566">
        <f t="shared" si="99"/>
        <v>4.55</v>
      </c>
      <c r="V94" s="566">
        <f t="shared" si="99"/>
        <v>4.8999999999999995</v>
      </c>
      <c r="W94" s="566">
        <f t="shared" si="99"/>
        <v>4.0999999999999996</v>
      </c>
      <c r="X94" s="566">
        <f t="shared" si="99"/>
        <v>1.44</v>
      </c>
      <c r="Y94" s="566">
        <f t="shared" si="99"/>
        <v>2.0199999999999996</v>
      </c>
      <c r="Z94" s="566">
        <f t="shared" si="99"/>
        <v>3.4075000000000002</v>
      </c>
      <c r="AA94" s="566">
        <f t="shared" si="99"/>
        <v>3.5905000000000005</v>
      </c>
      <c r="AB94" s="144"/>
      <c r="AC94" s="231">
        <v>0</v>
      </c>
      <c r="AD94" s="231">
        <v>0</v>
      </c>
      <c r="AE94" s="231">
        <v>0</v>
      </c>
      <c r="AF94" s="231">
        <v>0</v>
      </c>
      <c r="AG94" s="231">
        <v>0</v>
      </c>
      <c r="AH94" s="231">
        <v>0</v>
      </c>
      <c r="AI94" s="213"/>
      <c r="AJ94" s="204"/>
      <c r="AK94" s="204"/>
      <c r="AL94" s="204"/>
      <c r="AM94" s="204"/>
      <c r="AN94" s="204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566">
        <f t="shared" ref="U95:AA110" si="100">IF(U94&gt;0,U94,U93)</f>
        <v>4.55</v>
      </c>
      <c r="V95" s="566">
        <f t="shared" si="100"/>
        <v>4.8999999999999995</v>
      </c>
      <c r="W95" s="566">
        <f t="shared" si="100"/>
        <v>4.0999999999999996</v>
      </c>
      <c r="X95" s="566">
        <f t="shared" si="100"/>
        <v>1.44</v>
      </c>
      <c r="Y95" s="566">
        <f t="shared" si="100"/>
        <v>2.0199999999999996</v>
      </c>
      <c r="Z95" s="566">
        <f t="shared" si="100"/>
        <v>3.4075000000000002</v>
      </c>
      <c r="AA95" s="566">
        <f t="shared" si="100"/>
        <v>3.5905000000000005</v>
      </c>
      <c r="AB95" s="144"/>
      <c r="AC95" s="231"/>
      <c r="AD95" s="231"/>
      <c r="AE95" s="231"/>
      <c r="AF95" s="231"/>
      <c r="AG95" s="231"/>
      <c r="AH95" s="231"/>
      <c r="AI95" s="213"/>
      <c r="AJ95" s="204"/>
      <c r="AK95" s="204"/>
      <c r="AL95" s="204"/>
      <c r="AM95" s="204"/>
      <c r="AN95" s="204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566">
        <f t="shared" si="100"/>
        <v>4.55</v>
      </c>
      <c r="V96" s="566">
        <f t="shared" si="100"/>
        <v>4.8999999999999995</v>
      </c>
      <c r="W96" s="566">
        <f t="shared" si="100"/>
        <v>4.0999999999999996</v>
      </c>
      <c r="X96" s="566">
        <f t="shared" si="100"/>
        <v>1.44</v>
      </c>
      <c r="Y96" s="566">
        <f t="shared" si="100"/>
        <v>2.0199999999999996</v>
      </c>
      <c r="Z96" s="566">
        <f t="shared" si="100"/>
        <v>3.4075000000000002</v>
      </c>
      <c r="AA96" s="566">
        <f t="shared" si="100"/>
        <v>3.5905000000000005</v>
      </c>
      <c r="AB96" s="144"/>
      <c r="AC96" s="231"/>
      <c r="AD96" s="231"/>
      <c r="AE96" s="231"/>
      <c r="AF96" s="231"/>
      <c r="AG96" s="231"/>
      <c r="AH96" s="231"/>
      <c r="AI96" s="213"/>
      <c r="AJ96" s="204"/>
      <c r="AK96" s="204"/>
      <c r="AL96" s="204"/>
      <c r="AM96" s="204"/>
      <c r="AN96" s="204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566">
        <f t="shared" si="100"/>
        <v>4.55</v>
      </c>
      <c r="V97" s="566">
        <f t="shared" si="100"/>
        <v>4.8999999999999995</v>
      </c>
      <c r="W97" s="566">
        <f t="shared" si="100"/>
        <v>4.0999999999999996</v>
      </c>
      <c r="X97" s="566">
        <f t="shared" si="100"/>
        <v>1.44</v>
      </c>
      <c r="Y97" s="566">
        <f t="shared" si="100"/>
        <v>2.0199999999999996</v>
      </c>
      <c r="Z97" s="566">
        <f t="shared" si="100"/>
        <v>3.4075000000000002</v>
      </c>
      <c r="AA97" s="566">
        <f t="shared" si="100"/>
        <v>3.5905000000000005</v>
      </c>
      <c r="AB97" s="144"/>
      <c r="AC97" s="231">
        <v>0</v>
      </c>
      <c r="AD97" s="231">
        <v>0</v>
      </c>
      <c r="AE97" s="231">
        <v>0</v>
      </c>
      <c r="AF97" s="231">
        <v>0</v>
      </c>
      <c r="AG97" s="231">
        <v>0</v>
      </c>
      <c r="AH97" s="231">
        <v>0</v>
      </c>
      <c r="AI97" s="213"/>
      <c r="AJ97" s="204"/>
      <c r="AK97" s="204"/>
      <c r="AL97" s="204"/>
      <c r="AM97" s="204"/>
      <c r="AN97" s="204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566">
        <f t="shared" si="100"/>
        <v>4.55</v>
      </c>
      <c r="V98" s="566">
        <f t="shared" si="100"/>
        <v>4.8999999999999995</v>
      </c>
      <c r="W98" s="566">
        <f t="shared" si="100"/>
        <v>4.0999999999999996</v>
      </c>
      <c r="X98" s="566">
        <f t="shared" si="100"/>
        <v>1.44</v>
      </c>
      <c r="Y98" s="566">
        <f t="shared" si="100"/>
        <v>2.0199999999999996</v>
      </c>
      <c r="Z98" s="566">
        <f t="shared" si="100"/>
        <v>3.4075000000000002</v>
      </c>
      <c r="AA98" s="566">
        <f t="shared" si="100"/>
        <v>3.5905000000000005</v>
      </c>
      <c r="AB98" s="144"/>
      <c r="AC98" s="231">
        <v>0</v>
      </c>
      <c r="AD98" s="231">
        <v>0</v>
      </c>
      <c r="AE98" s="231">
        <v>0</v>
      </c>
      <c r="AF98" s="231">
        <v>0</v>
      </c>
      <c r="AG98" s="231">
        <v>0</v>
      </c>
      <c r="AH98" s="231">
        <v>0</v>
      </c>
      <c r="AI98" s="213"/>
      <c r="AJ98" s="204"/>
      <c r="AK98" s="204"/>
      <c r="AL98" s="204"/>
      <c r="AM98" s="204"/>
      <c r="AN98" s="204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566">
        <f t="shared" si="100"/>
        <v>4.55</v>
      </c>
      <c r="V99" s="566">
        <f t="shared" si="100"/>
        <v>4.8999999999999995</v>
      </c>
      <c r="W99" s="566">
        <f t="shared" si="100"/>
        <v>4.0999999999999996</v>
      </c>
      <c r="X99" s="566">
        <f t="shared" si="100"/>
        <v>1.44</v>
      </c>
      <c r="Y99" s="566">
        <f t="shared" si="100"/>
        <v>2.0199999999999996</v>
      </c>
      <c r="Z99" s="566">
        <f t="shared" si="100"/>
        <v>3.4075000000000002</v>
      </c>
      <c r="AA99" s="566">
        <f t="shared" si="100"/>
        <v>3.5905000000000005</v>
      </c>
      <c r="AB99" s="144"/>
      <c r="AC99" s="231">
        <v>0</v>
      </c>
      <c r="AD99" s="231">
        <v>0</v>
      </c>
      <c r="AE99" s="231">
        <v>0</v>
      </c>
      <c r="AF99" s="231">
        <v>0</v>
      </c>
      <c r="AG99" s="231">
        <v>0</v>
      </c>
      <c r="AH99" s="231">
        <v>0</v>
      </c>
      <c r="AI99" s="213"/>
      <c r="AJ99" s="204"/>
      <c r="AK99" s="204"/>
      <c r="AL99" s="204"/>
      <c r="AM99" s="204"/>
      <c r="AN99" s="204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566">
        <f t="shared" si="100"/>
        <v>4.55</v>
      </c>
      <c r="V100" s="566">
        <f t="shared" si="100"/>
        <v>4.8999999999999995</v>
      </c>
      <c r="W100" s="566">
        <f t="shared" si="100"/>
        <v>4.0999999999999996</v>
      </c>
      <c r="X100" s="566">
        <f t="shared" si="100"/>
        <v>1.44</v>
      </c>
      <c r="Y100" s="566">
        <f t="shared" si="100"/>
        <v>2.0199999999999996</v>
      </c>
      <c r="Z100" s="566">
        <f t="shared" si="100"/>
        <v>3.4075000000000002</v>
      </c>
      <c r="AA100" s="566">
        <f t="shared" si="100"/>
        <v>3.5905000000000005</v>
      </c>
      <c r="AB100" s="144"/>
      <c r="AC100" s="231"/>
      <c r="AD100" s="231"/>
      <c r="AE100" s="231"/>
      <c r="AF100" s="231"/>
      <c r="AG100" s="231"/>
      <c r="AH100" s="231"/>
      <c r="AI100" s="213"/>
      <c r="AJ100" s="204"/>
      <c r="AK100" s="204"/>
      <c r="AL100" s="204"/>
      <c r="AM100" s="204"/>
      <c r="AN100" s="204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566">
        <f t="shared" si="100"/>
        <v>4.55</v>
      </c>
      <c r="V101" s="566">
        <f t="shared" si="100"/>
        <v>4.8999999999999995</v>
      </c>
      <c r="W101" s="566">
        <f t="shared" si="100"/>
        <v>4.0999999999999996</v>
      </c>
      <c r="X101" s="566">
        <f t="shared" si="100"/>
        <v>1.44</v>
      </c>
      <c r="Y101" s="566">
        <f t="shared" si="100"/>
        <v>2.0199999999999996</v>
      </c>
      <c r="Z101" s="566">
        <f t="shared" si="100"/>
        <v>3.4075000000000002</v>
      </c>
      <c r="AA101" s="566">
        <f t="shared" si="100"/>
        <v>3.5905000000000005</v>
      </c>
      <c r="AB101" s="144"/>
      <c r="AC101" s="231"/>
      <c r="AD101" s="231"/>
      <c r="AE101" s="231"/>
      <c r="AF101" s="231"/>
      <c r="AG101" s="231"/>
      <c r="AH101" s="231"/>
      <c r="AI101" s="213"/>
      <c r="AJ101" s="204"/>
      <c r="AK101" s="204"/>
      <c r="AL101" s="204"/>
      <c r="AM101" s="204"/>
      <c r="AN101" s="204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566">
        <f t="shared" si="100"/>
        <v>4.55</v>
      </c>
      <c r="V102" s="566">
        <f t="shared" si="100"/>
        <v>4.8999999999999995</v>
      </c>
      <c r="W102" s="566">
        <f t="shared" si="100"/>
        <v>4.0999999999999996</v>
      </c>
      <c r="X102" s="566">
        <f t="shared" si="100"/>
        <v>1.44</v>
      </c>
      <c r="Y102" s="566">
        <f t="shared" si="100"/>
        <v>2.0199999999999996</v>
      </c>
      <c r="Z102" s="566">
        <f t="shared" si="100"/>
        <v>3.4075000000000002</v>
      </c>
      <c r="AA102" s="566">
        <f t="shared" si="100"/>
        <v>3.5905000000000005</v>
      </c>
      <c r="AB102" s="144"/>
      <c r="AC102" s="231">
        <v>0</v>
      </c>
      <c r="AD102" s="231">
        <v>0</v>
      </c>
      <c r="AE102" s="231">
        <v>0</v>
      </c>
      <c r="AF102" s="231">
        <v>0</v>
      </c>
      <c r="AG102" s="231">
        <v>0</v>
      </c>
      <c r="AH102" s="231">
        <v>0</v>
      </c>
      <c r="AI102" s="213"/>
      <c r="AJ102" s="204"/>
      <c r="AK102" s="204"/>
      <c r="AL102" s="204"/>
      <c r="AM102" s="204"/>
      <c r="AN102" s="204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566">
        <f t="shared" si="100"/>
        <v>4.55</v>
      </c>
      <c r="V103" s="566">
        <f t="shared" si="100"/>
        <v>4.8999999999999995</v>
      </c>
      <c r="W103" s="566">
        <f t="shared" si="100"/>
        <v>4.0999999999999996</v>
      </c>
      <c r="X103" s="566">
        <f t="shared" si="100"/>
        <v>1.44</v>
      </c>
      <c r="Y103" s="566">
        <f t="shared" si="100"/>
        <v>2.0199999999999996</v>
      </c>
      <c r="Z103" s="566">
        <f t="shared" si="100"/>
        <v>3.4075000000000002</v>
      </c>
      <c r="AA103" s="566">
        <f t="shared" si="100"/>
        <v>3.5905000000000005</v>
      </c>
      <c r="AB103" s="144"/>
      <c r="AC103" s="231">
        <v>0</v>
      </c>
      <c r="AD103" s="231">
        <v>0</v>
      </c>
      <c r="AE103" s="231">
        <v>0</v>
      </c>
      <c r="AF103" s="231">
        <v>0</v>
      </c>
      <c r="AG103" s="231">
        <v>0</v>
      </c>
      <c r="AH103" s="231">
        <v>0</v>
      </c>
      <c r="AI103" s="213"/>
      <c r="AJ103" s="204"/>
      <c r="AK103" s="204"/>
      <c r="AL103" s="204"/>
      <c r="AM103" s="204"/>
      <c r="AN103" s="204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566">
        <f t="shared" si="100"/>
        <v>4.55</v>
      </c>
      <c r="V104" s="566">
        <f t="shared" si="100"/>
        <v>4.8999999999999995</v>
      </c>
      <c r="W104" s="566">
        <f t="shared" si="100"/>
        <v>4.0999999999999996</v>
      </c>
      <c r="X104" s="566">
        <f t="shared" si="100"/>
        <v>1.44</v>
      </c>
      <c r="Y104" s="566">
        <f t="shared" si="100"/>
        <v>2.0199999999999996</v>
      </c>
      <c r="Z104" s="566">
        <f t="shared" si="100"/>
        <v>3.4075000000000002</v>
      </c>
      <c r="AA104" s="566">
        <f t="shared" si="100"/>
        <v>3.5905000000000005</v>
      </c>
      <c r="AB104" s="144"/>
      <c r="AC104" s="231">
        <v>0</v>
      </c>
      <c r="AD104" s="231">
        <v>0</v>
      </c>
      <c r="AE104" s="231">
        <v>0</v>
      </c>
      <c r="AF104" s="231">
        <v>0</v>
      </c>
      <c r="AG104" s="231">
        <v>0</v>
      </c>
      <c r="AH104" s="231">
        <v>0</v>
      </c>
      <c r="AI104" s="213"/>
      <c r="AJ104" s="204"/>
      <c r="AK104" s="204"/>
      <c r="AL104" s="204"/>
      <c r="AM104" s="204"/>
      <c r="AN104" s="204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566">
        <f t="shared" si="100"/>
        <v>4.55</v>
      </c>
      <c r="V105" s="566">
        <f t="shared" si="100"/>
        <v>4.8999999999999995</v>
      </c>
      <c r="W105" s="566">
        <f t="shared" si="100"/>
        <v>4.0999999999999996</v>
      </c>
      <c r="X105" s="566">
        <f t="shared" si="100"/>
        <v>1.44</v>
      </c>
      <c r="Y105" s="566">
        <f t="shared" si="100"/>
        <v>2.0199999999999996</v>
      </c>
      <c r="Z105" s="566">
        <f t="shared" si="100"/>
        <v>3.4075000000000002</v>
      </c>
      <c r="AA105" s="566">
        <f t="shared" si="100"/>
        <v>3.5905000000000005</v>
      </c>
      <c r="AB105" s="144"/>
      <c r="AC105" s="231"/>
      <c r="AD105" s="231"/>
      <c r="AE105" s="231"/>
      <c r="AF105" s="231"/>
      <c r="AG105" s="231"/>
      <c r="AH105" s="231"/>
      <c r="AI105" s="213"/>
      <c r="AJ105" s="204"/>
      <c r="AK105" s="204"/>
      <c r="AL105" s="204"/>
      <c r="AM105" s="204"/>
      <c r="AN105" s="204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566">
        <f t="shared" si="100"/>
        <v>4.55</v>
      </c>
      <c r="V106" s="566">
        <f t="shared" si="100"/>
        <v>4.8999999999999995</v>
      </c>
      <c r="W106" s="566">
        <f t="shared" si="100"/>
        <v>4.0999999999999996</v>
      </c>
      <c r="X106" s="566">
        <f t="shared" si="100"/>
        <v>1.44</v>
      </c>
      <c r="Y106" s="566">
        <f t="shared" si="100"/>
        <v>2.0199999999999996</v>
      </c>
      <c r="Z106" s="566">
        <f t="shared" si="100"/>
        <v>3.4075000000000002</v>
      </c>
      <c r="AA106" s="566">
        <f t="shared" si="100"/>
        <v>3.5905000000000005</v>
      </c>
      <c r="AB106" s="144"/>
      <c r="AC106" s="231"/>
      <c r="AD106" s="231"/>
      <c r="AE106" s="231"/>
      <c r="AF106" s="231"/>
      <c r="AG106" s="231"/>
      <c r="AH106" s="231"/>
      <c r="AI106" s="213"/>
      <c r="AJ106" s="204"/>
      <c r="AK106" s="204"/>
      <c r="AL106" s="204"/>
      <c r="AM106" s="204"/>
      <c r="AN106" s="204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566">
        <f t="shared" si="100"/>
        <v>4.55</v>
      </c>
      <c r="V107" s="566">
        <f t="shared" si="100"/>
        <v>4.8999999999999995</v>
      </c>
      <c r="W107" s="566">
        <f t="shared" si="100"/>
        <v>4.0999999999999996</v>
      </c>
      <c r="X107" s="566">
        <f t="shared" si="100"/>
        <v>1.44</v>
      </c>
      <c r="Y107" s="566">
        <f t="shared" si="100"/>
        <v>2.0199999999999996</v>
      </c>
      <c r="Z107" s="566">
        <f t="shared" si="100"/>
        <v>3.4075000000000002</v>
      </c>
      <c r="AA107" s="566">
        <f t="shared" si="100"/>
        <v>3.5905000000000005</v>
      </c>
      <c r="AB107" s="144"/>
      <c r="AC107" s="231">
        <v>0</v>
      </c>
      <c r="AD107" s="231">
        <v>0</v>
      </c>
      <c r="AE107" s="231">
        <v>0</v>
      </c>
      <c r="AF107" s="231">
        <v>0</v>
      </c>
      <c r="AG107" s="231">
        <v>0</v>
      </c>
      <c r="AH107" s="231">
        <v>0</v>
      </c>
      <c r="AI107" s="213"/>
      <c r="AJ107" s="204"/>
      <c r="AK107" s="204"/>
      <c r="AL107" s="204"/>
      <c r="AM107" s="204"/>
      <c r="AN107" s="204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566">
        <f t="shared" si="100"/>
        <v>4.55</v>
      </c>
      <c r="V108" s="566">
        <f t="shared" si="100"/>
        <v>4.8999999999999995</v>
      </c>
      <c r="W108" s="566">
        <f t="shared" si="100"/>
        <v>4.0999999999999996</v>
      </c>
      <c r="X108" s="566">
        <f t="shared" si="100"/>
        <v>1.44</v>
      </c>
      <c r="Y108" s="566">
        <f t="shared" si="100"/>
        <v>2.0199999999999996</v>
      </c>
      <c r="Z108" s="566">
        <f t="shared" si="100"/>
        <v>3.4075000000000002</v>
      </c>
      <c r="AA108" s="566">
        <f t="shared" si="100"/>
        <v>3.5905000000000005</v>
      </c>
      <c r="AB108" s="144"/>
      <c r="AC108" s="231">
        <v>0</v>
      </c>
      <c r="AD108" s="231">
        <v>0</v>
      </c>
      <c r="AE108" s="231">
        <v>0</v>
      </c>
      <c r="AF108" s="231">
        <v>0</v>
      </c>
      <c r="AG108" s="231">
        <v>0</v>
      </c>
      <c r="AH108" s="231">
        <v>0</v>
      </c>
      <c r="AI108" s="213"/>
      <c r="AJ108" s="204"/>
      <c r="AK108" s="204"/>
      <c r="AL108" s="204"/>
      <c r="AM108" s="204"/>
      <c r="AN108" s="204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566">
        <f t="shared" si="100"/>
        <v>4.55</v>
      </c>
      <c r="V109" s="566">
        <f t="shared" si="100"/>
        <v>4.8999999999999995</v>
      </c>
      <c r="W109" s="566">
        <f t="shared" si="100"/>
        <v>4.0999999999999996</v>
      </c>
      <c r="X109" s="566">
        <f t="shared" si="100"/>
        <v>1.44</v>
      </c>
      <c r="Y109" s="566">
        <f t="shared" si="100"/>
        <v>2.0199999999999996</v>
      </c>
      <c r="Z109" s="566">
        <f t="shared" si="100"/>
        <v>3.4075000000000002</v>
      </c>
      <c r="AA109" s="566">
        <f t="shared" si="100"/>
        <v>3.5905000000000005</v>
      </c>
      <c r="AB109" s="144"/>
      <c r="AC109" s="231"/>
      <c r="AD109" s="231"/>
      <c r="AE109" s="231"/>
      <c r="AF109" s="231"/>
      <c r="AG109" s="231"/>
      <c r="AH109" s="231"/>
      <c r="AI109" s="213"/>
      <c r="AJ109" s="204"/>
      <c r="AK109" s="204"/>
      <c r="AL109" s="204"/>
      <c r="AM109" s="204"/>
      <c r="AN109" s="204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566">
        <f t="shared" si="100"/>
        <v>4.55</v>
      </c>
      <c r="V110" s="566">
        <f t="shared" si="100"/>
        <v>4.8999999999999995</v>
      </c>
      <c r="W110" s="566">
        <f t="shared" si="100"/>
        <v>4.0999999999999996</v>
      </c>
      <c r="X110" s="566">
        <f t="shared" si="100"/>
        <v>1.44</v>
      </c>
      <c r="Y110" s="566">
        <f t="shared" si="100"/>
        <v>2.0199999999999996</v>
      </c>
      <c r="Z110" s="566">
        <f t="shared" si="100"/>
        <v>3.4075000000000002</v>
      </c>
      <c r="AA110" s="566">
        <f t="shared" si="100"/>
        <v>3.5905000000000005</v>
      </c>
      <c r="AB110" s="144"/>
      <c r="AC110" s="231"/>
      <c r="AD110" s="231"/>
      <c r="AE110" s="231"/>
      <c r="AF110" s="231"/>
      <c r="AG110" s="231"/>
      <c r="AH110" s="231"/>
      <c r="AI110" s="213"/>
      <c r="AJ110" s="204"/>
      <c r="AK110" s="204"/>
      <c r="AL110" s="204"/>
      <c r="AM110" s="204"/>
      <c r="AN110" s="204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566">
        <f t="shared" ref="U111:AA126" si="101">IF(U110&gt;0,U110,U109)</f>
        <v>4.55</v>
      </c>
      <c r="V111" s="566">
        <f t="shared" si="101"/>
        <v>4.8999999999999995</v>
      </c>
      <c r="W111" s="566">
        <f t="shared" si="101"/>
        <v>4.0999999999999996</v>
      </c>
      <c r="X111" s="566">
        <f t="shared" si="101"/>
        <v>1.44</v>
      </c>
      <c r="Y111" s="566">
        <f t="shared" si="101"/>
        <v>2.0199999999999996</v>
      </c>
      <c r="Z111" s="566">
        <f t="shared" si="101"/>
        <v>3.4075000000000002</v>
      </c>
      <c r="AA111" s="566">
        <f t="shared" si="101"/>
        <v>3.5905000000000005</v>
      </c>
      <c r="AB111" s="144"/>
      <c r="AC111" s="231">
        <v>0</v>
      </c>
      <c r="AD111" s="231">
        <v>0</v>
      </c>
      <c r="AE111" s="231">
        <v>0</v>
      </c>
      <c r="AF111" s="231">
        <v>0</v>
      </c>
      <c r="AG111" s="231">
        <v>0</v>
      </c>
      <c r="AH111" s="231">
        <v>0</v>
      </c>
      <c r="AI111" s="213"/>
      <c r="AJ111" s="204"/>
      <c r="AK111" s="204"/>
      <c r="AL111" s="204"/>
      <c r="AM111" s="204"/>
      <c r="AN111" s="204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566">
        <f t="shared" si="101"/>
        <v>4.55</v>
      </c>
      <c r="V112" s="566">
        <f t="shared" si="101"/>
        <v>4.8999999999999995</v>
      </c>
      <c r="W112" s="566">
        <f t="shared" si="101"/>
        <v>4.0999999999999996</v>
      </c>
      <c r="X112" s="566">
        <f t="shared" si="101"/>
        <v>1.44</v>
      </c>
      <c r="Y112" s="566">
        <f t="shared" si="101"/>
        <v>2.0199999999999996</v>
      </c>
      <c r="Z112" s="566">
        <f t="shared" si="101"/>
        <v>3.4075000000000002</v>
      </c>
      <c r="AA112" s="566">
        <f t="shared" si="101"/>
        <v>3.5905000000000005</v>
      </c>
      <c r="AB112" s="144"/>
      <c r="AC112" s="231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13"/>
      <c r="AJ112" s="204"/>
      <c r="AK112" s="204"/>
      <c r="AL112" s="204"/>
      <c r="AM112" s="204"/>
      <c r="AN112" s="204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566">
        <f t="shared" si="101"/>
        <v>4.55</v>
      </c>
      <c r="V113" s="566">
        <f t="shared" si="101"/>
        <v>4.8999999999999995</v>
      </c>
      <c r="W113" s="566">
        <f t="shared" si="101"/>
        <v>4.0999999999999996</v>
      </c>
      <c r="X113" s="566">
        <f t="shared" si="101"/>
        <v>1.44</v>
      </c>
      <c r="Y113" s="566">
        <f t="shared" si="101"/>
        <v>2.0199999999999996</v>
      </c>
      <c r="Z113" s="566">
        <f t="shared" si="101"/>
        <v>3.4075000000000002</v>
      </c>
      <c r="AA113" s="566">
        <f t="shared" si="101"/>
        <v>3.5905000000000005</v>
      </c>
      <c r="AB113" s="144"/>
      <c r="AC113" s="231">
        <v>0</v>
      </c>
      <c r="AD113" s="231">
        <v>0</v>
      </c>
      <c r="AE113" s="231">
        <v>0</v>
      </c>
      <c r="AF113" s="231">
        <v>0</v>
      </c>
      <c r="AG113" s="231">
        <v>0</v>
      </c>
      <c r="AH113" s="231">
        <v>0</v>
      </c>
      <c r="AI113" s="213"/>
      <c r="AJ113" s="204"/>
      <c r="AK113" s="204"/>
      <c r="AL113" s="204"/>
      <c r="AM113" s="204"/>
      <c r="AN113" s="204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566">
        <f t="shared" si="101"/>
        <v>4.55</v>
      </c>
      <c r="V114" s="566">
        <f t="shared" si="101"/>
        <v>4.8999999999999995</v>
      </c>
      <c r="W114" s="566">
        <f t="shared" si="101"/>
        <v>4.0999999999999996</v>
      </c>
      <c r="X114" s="566">
        <f t="shared" si="101"/>
        <v>1.44</v>
      </c>
      <c r="Y114" s="566">
        <f t="shared" si="101"/>
        <v>2.0199999999999996</v>
      </c>
      <c r="Z114" s="566">
        <f t="shared" si="101"/>
        <v>3.4075000000000002</v>
      </c>
      <c r="AA114" s="566">
        <f t="shared" si="101"/>
        <v>3.5905000000000005</v>
      </c>
      <c r="AB114" s="144"/>
      <c r="AC114" s="231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13"/>
      <c r="AJ114" s="204"/>
      <c r="AK114" s="204"/>
      <c r="AL114" s="204"/>
      <c r="AM114" s="204"/>
      <c r="AN114" s="204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566">
        <f t="shared" si="101"/>
        <v>4.55</v>
      </c>
      <c r="V115" s="566">
        <f t="shared" si="101"/>
        <v>4.8999999999999995</v>
      </c>
      <c r="W115" s="566">
        <f t="shared" si="101"/>
        <v>4.0999999999999996</v>
      </c>
      <c r="X115" s="566">
        <f t="shared" si="101"/>
        <v>1.44</v>
      </c>
      <c r="Y115" s="566">
        <f t="shared" si="101"/>
        <v>2.0199999999999996</v>
      </c>
      <c r="Z115" s="566">
        <f t="shared" si="101"/>
        <v>3.4075000000000002</v>
      </c>
      <c r="AA115" s="566">
        <f t="shared" si="101"/>
        <v>3.5905000000000005</v>
      </c>
      <c r="AB115" s="144"/>
      <c r="AC115" s="231"/>
      <c r="AD115" s="231"/>
      <c r="AE115" s="231"/>
      <c r="AF115" s="231"/>
      <c r="AG115" s="231"/>
      <c r="AH115" s="231"/>
      <c r="AI115" s="213"/>
      <c r="AJ115" s="204"/>
      <c r="AK115" s="204"/>
      <c r="AL115" s="204"/>
      <c r="AM115" s="204"/>
      <c r="AN115" s="204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566">
        <f t="shared" si="101"/>
        <v>4.55</v>
      </c>
      <c r="V116" s="566">
        <f t="shared" si="101"/>
        <v>4.8999999999999995</v>
      </c>
      <c r="W116" s="566">
        <f t="shared" si="101"/>
        <v>4.0999999999999996</v>
      </c>
      <c r="X116" s="566">
        <f t="shared" si="101"/>
        <v>1.44</v>
      </c>
      <c r="Y116" s="566">
        <f t="shared" si="101"/>
        <v>2.0199999999999996</v>
      </c>
      <c r="Z116" s="566">
        <f t="shared" si="101"/>
        <v>3.4075000000000002</v>
      </c>
      <c r="AA116" s="566">
        <f t="shared" si="101"/>
        <v>3.5905000000000005</v>
      </c>
      <c r="AB116" s="144"/>
      <c r="AC116" s="231">
        <v>0</v>
      </c>
      <c r="AD116" s="231">
        <v>0</v>
      </c>
      <c r="AE116" s="231">
        <v>0</v>
      </c>
      <c r="AF116" s="231">
        <v>0</v>
      </c>
      <c r="AG116" s="231">
        <v>0</v>
      </c>
      <c r="AH116" s="231">
        <v>0</v>
      </c>
      <c r="AI116" s="213"/>
      <c r="AJ116" s="204"/>
      <c r="AK116" s="204"/>
      <c r="AL116" s="204"/>
      <c r="AM116" s="204"/>
      <c r="AN116" s="204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566">
        <f t="shared" si="101"/>
        <v>4.55</v>
      </c>
      <c r="V117" s="566">
        <f t="shared" si="101"/>
        <v>4.8999999999999995</v>
      </c>
      <c r="W117" s="566">
        <f t="shared" si="101"/>
        <v>4.0999999999999996</v>
      </c>
      <c r="X117" s="566">
        <f t="shared" si="101"/>
        <v>1.44</v>
      </c>
      <c r="Y117" s="566">
        <f t="shared" si="101"/>
        <v>2.0199999999999996</v>
      </c>
      <c r="Z117" s="566">
        <f t="shared" si="101"/>
        <v>3.4075000000000002</v>
      </c>
      <c r="AA117" s="566">
        <f t="shared" si="101"/>
        <v>3.5905000000000005</v>
      </c>
      <c r="AB117" s="144"/>
      <c r="AC117" s="231">
        <v>0</v>
      </c>
      <c r="AD117" s="231">
        <v>0</v>
      </c>
      <c r="AE117" s="231">
        <v>0</v>
      </c>
      <c r="AF117" s="231">
        <v>0</v>
      </c>
      <c r="AG117" s="231">
        <v>0</v>
      </c>
      <c r="AH117" s="231">
        <v>0</v>
      </c>
      <c r="AI117" s="213"/>
      <c r="AJ117" s="204"/>
      <c r="AK117" s="204"/>
      <c r="AL117" s="204"/>
      <c r="AM117" s="204"/>
      <c r="AN117" s="204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566">
        <f t="shared" si="101"/>
        <v>4.55</v>
      </c>
      <c r="V118" s="566">
        <f t="shared" si="101"/>
        <v>4.8999999999999995</v>
      </c>
      <c r="W118" s="566">
        <f t="shared" si="101"/>
        <v>4.0999999999999996</v>
      </c>
      <c r="X118" s="566">
        <f t="shared" si="101"/>
        <v>1.44</v>
      </c>
      <c r="Y118" s="566">
        <f t="shared" si="101"/>
        <v>2.0199999999999996</v>
      </c>
      <c r="Z118" s="566">
        <f t="shared" si="101"/>
        <v>3.4075000000000002</v>
      </c>
      <c r="AA118" s="566">
        <f t="shared" si="101"/>
        <v>3.5905000000000005</v>
      </c>
      <c r="AB118" s="144"/>
      <c r="AC118" s="231"/>
      <c r="AD118" s="231"/>
      <c r="AE118" s="231"/>
      <c r="AF118" s="231"/>
      <c r="AG118" s="231"/>
      <c r="AH118" s="231"/>
      <c r="AI118" s="213"/>
      <c r="AJ118" s="204"/>
      <c r="AK118" s="204"/>
      <c r="AL118" s="204"/>
      <c r="AM118" s="204"/>
      <c r="AN118" s="204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566">
        <f t="shared" si="101"/>
        <v>4.55</v>
      </c>
      <c r="V119" s="566">
        <f t="shared" si="101"/>
        <v>4.8999999999999995</v>
      </c>
      <c r="W119" s="566">
        <f t="shared" si="101"/>
        <v>4.0999999999999996</v>
      </c>
      <c r="X119" s="566">
        <f t="shared" si="101"/>
        <v>1.44</v>
      </c>
      <c r="Y119" s="566">
        <f t="shared" si="101"/>
        <v>2.0199999999999996</v>
      </c>
      <c r="Z119" s="566">
        <f t="shared" si="101"/>
        <v>3.4075000000000002</v>
      </c>
      <c r="AA119" s="566">
        <f t="shared" si="101"/>
        <v>3.5905000000000005</v>
      </c>
      <c r="AB119" s="144"/>
      <c r="AC119" s="231"/>
      <c r="AD119" s="231"/>
      <c r="AE119" s="231"/>
      <c r="AF119" s="231"/>
      <c r="AG119" s="231"/>
      <c r="AH119" s="231"/>
      <c r="AI119" s="213"/>
      <c r="AJ119" s="204"/>
      <c r="AK119" s="204"/>
      <c r="AL119" s="204"/>
      <c r="AM119" s="204"/>
      <c r="AN119" s="204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566">
        <f t="shared" si="101"/>
        <v>4.55</v>
      </c>
      <c r="V120" s="566">
        <f t="shared" si="101"/>
        <v>4.8999999999999995</v>
      </c>
      <c r="W120" s="566">
        <f t="shared" si="101"/>
        <v>4.0999999999999996</v>
      </c>
      <c r="X120" s="566">
        <f t="shared" si="101"/>
        <v>1.44</v>
      </c>
      <c r="Y120" s="566">
        <f t="shared" si="101"/>
        <v>2.0199999999999996</v>
      </c>
      <c r="Z120" s="566">
        <f t="shared" si="101"/>
        <v>3.4075000000000002</v>
      </c>
      <c r="AA120" s="566">
        <f t="shared" si="101"/>
        <v>3.5905000000000005</v>
      </c>
      <c r="AB120" s="144"/>
      <c r="AC120" s="231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13"/>
      <c r="AJ120" s="204"/>
      <c r="AK120" s="204"/>
      <c r="AL120" s="204"/>
      <c r="AM120" s="204"/>
      <c r="AN120" s="204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566">
        <f t="shared" si="101"/>
        <v>4.55</v>
      </c>
      <c r="V121" s="566">
        <f t="shared" si="101"/>
        <v>4.8999999999999995</v>
      </c>
      <c r="W121" s="566">
        <f t="shared" si="101"/>
        <v>4.0999999999999996</v>
      </c>
      <c r="X121" s="566">
        <f t="shared" si="101"/>
        <v>1.44</v>
      </c>
      <c r="Y121" s="566">
        <f t="shared" si="101"/>
        <v>2.0199999999999996</v>
      </c>
      <c r="Z121" s="566">
        <f t="shared" si="101"/>
        <v>3.4075000000000002</v>
      </c>
      <c r="AA121" s="566">
        <f t="shared" si="101"/>
        <v>3.5905000000000005</v>
      </c>
      <c r="AB121" s="144"/>
      <c r="AC121" s="231">
        <v>0</v>
      </c>
      <c r="AD121" s="231">
        <v>0</v>
      </c>
      <c r="AE121" s="231">
        <v>0</v>
      </c>
      <c r="AF121" s="231">
        <v>0</v>
      </c>
      <c r="AG121" s="231">
        <v>0</v>
      </c>
      <c r="AH121" s="231">
        <v>0</v>
      </c>
      <c r="AI121" s="213"/>
      <c r="AJ121" s="204"/>
      <c r="AK121" s="204"/>
      <c r="AL121" s="204"/>
      <c r="AM121" s="204"/>
      <c r="AN121" s="204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566">
        <f t="shared" si="101"/>
        <v>4.55</v>
      </c>
      <c r="V122" s="566">
        <f t="shared" si="101"/>
        <v>4.8999999999999995</v>
      </c>
      <c r="W122" s="566">
        <f t="shared" si="101"/>
        <v>4.0999999999999996</v>
      </c>
      <c r="X122" s="566">
        <f t="shared" si="101"/>
        <v>1.44</v>
      </c>
      <c r="Y122" s="566">
        <f t="shared" si="101"/>
        <v>2.0199999999999996</v>
      </c>
      <c r="Z122" s="566">
        <f t="shared" si="101"/>
        <v>3.4075000000000002</v>
      </c>
      <c r="AA122" s="566">
        <f t="shared" si="101"/>
        <v>3.5905000000000005</v>
      </c>
      <c r="AB122" s="144"/>
      <c r="AC122" s="231">
        <v>0</v>
      </c>
      <c r="AD122" s="231">
        <v>0</v>
      </c>
      <c r="AE122" s="231">
        <v>0</v>
      </c>
      <c r="AF122" s="231">
        <v>0</v>
      </c>
      <c r="AG122" s="231">
        <v>0</v>
      </c>
      <c r="AH122" s="231">
        <v>0</v>
      </c>
      <c r="AI122" s="213"/>
      <c r="AJ122" s="204"/>
      <c r="AK122" s="204"/>
      <c r="AL122" s="204"/>
      <c r="AM122" s="204"/>
      <c r="AN122" s="204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566">
        <f t="shared" si="101"/>
        <v>4.55</v>
      </c>
      <c r="V123" s="566">
        <f t="shared" si="101"/>
        <v>4.8999999999999995</v>
      </c>
      <c r="W123" s="566">
        <f t="shared" si="101"/>
        <v>4.0999999999999996</v>
      </c>
      <c r="X123" s="566">
        <f t="shared" si="101"/>
        <v>1.44</v>
      </c>
      <c r="Y123" s="566">
        <f t="shared" si="101"/>
        <v>2.0199999999999996</v>
      </c>
      <c r="Z123" s="566">
        <f t="shared" si="101"/>
        <v>3.4075000000000002</v>
      </c>
      <c r="AA123" s="566">
        <f t="shared" si="101"/>
        <v>3.5905000000000005</v>
      </c>
      <c r="AB123" s="144"/>
      <c r="AC123" s="231"/>
      <c r="AD123" s="231"/>
      <c r="AE123" s="231"/>
      <c r="AF123" s="231"/>
      <c r="AG123" s="231"/>
      <c r="AH123" s="231"/>
      <c r="AI123" s="213"/>
      <c r="AJ123" s="204"/>
      <c r="AK123" s="204"/>
      <c r="AL123" s="204"/>
      <c r="AM123" s="204"/>
      <c r="AN123" s="204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566">
        <f t="shared" si="101"/>
        <v>4.55</v>
      </c>
      <c r="V124" s="566">
        <f t="shared" si="101"/>
        <v>4.8999999999999995</v>
      </c>
      <c r="W124" s="566">
        <f t="shared" si="101"/>
        <v>4.0999999999999996</v>
      </c>
      <c r="X124" s="566">
        <f t="shared" si="101"/>
        <v>1.44</v>
      </c>
      <c r="Y124" s="566">
        <f t="shared" si="101"/>
        <v>2.0199999999999996</v>
      </c>
      <c r="Z124" s="566">
        <f t="shared" si="101"/>
        <v>3.4075000000000002</v>
      </c>
      <c r="AA124" s="566">
        <f t="shared" si="101"/>
        <v>3.5905000000000005</v>
      </c>
      <c r="AB124" s="144"/>
      <c r="AC124" s="231"/>
      <c r="AD124" s="231"/>
      <c r="AE124" s="231"/>
      <c r="AF124" s="231"/>
      <c r="AG124" s="231"/>
      <c r="AH124" s="231"/>
      <c r="AI124" s="213"/>
      <c r="AJ124" s="204"/>
      <c r="AK124" s="204"/>
      <c r="AL124" s="204"/>
      <c r="AM124" s="204"/>
      <c r="AN124" s="204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566">
        <f t="shared" si="101"/>
        <v>4.55</v>
      </c>
      <c r="V125" s="566">
        <f t="shared" si="101"/>
        <v>4.8999999999999995</v>
      </c>
      <c r="W125" s="566">
        <f t="shared" si="101"/>
        <v>4.0999999999999996</v>
      </c>
      <c r="X125" s="566">
        <f t="shared" si="101"/>
        <v>1.44</v>
      </c>
      <c r="Y125" s="566">
        <f t="shared" si="101"/>
        <v>2.0199999999999996</v>
      </c>
      <c r="Z125" s="566">
        <f t="shared" si="101"/>
        <v>3.4075000000000002</v>
      </c>
      <c r="AA125" s="566">
        <f t="shared" si="101"/>
        <v>3.5905000000000005</v>
      </c>
      <c r="AB125" s="144"/>
      <c r="AC125" s="231">
        <v>0</v>
      </c>
      <c r="AD125" s="231">
        <v>0</v>
      </c>
      <c r="AE125" s="231">
        <v>0</v>
      </c>
      <c r="AF125" s="231">
        <v>0</v>
      </c>
      <c r="AG125" s="231">
        <v>0</v>
      </c>
      <c r="AH125" s="231">
        <v>0</v>
      </c>
      <c r="AI125" s="213"/>
      <c r="AJ125" s="204"/>
      <c r="AK125" s="204"/>
      <c r="AL125" s="204"/>
      <c r="AM125" s="204"/>
      <c r="AN125" s="204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566">
        <f t="shared" si="101"/>
        <v>4.55</v>
      </c>
      <c r="V126" s="566">
        <f t="shared" si="101"/>
        <v>4.8999999999999995</v>
      </c>
      <c r="W126" s="566">
        <f t="shared" si="101"/>
        <v>4.0999999999999996</v>
      </c>
      <c r="X126" s="566">
        <f t="shared" si="101"/>
        <v>1.44</v>
      </c>
      <c r="Y126" s="566">
        <f t="shared" si="101"/>
        <v>2.0199999999999996</v>
      </c>
      <c r="Z126" s="566">
        <f t="shared" si="101"/>
        <v>3.4075000000000002</v>
      </c>
      <c r="AA126" s="566">
        <f t="shared" si="101"/>
        <v>3.5905000000000005</v>
      </c>
      <c r="AB126" s="144"/>
      <c r="AC126" s="231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13"/>
      <c r="AJ126" s="204"/>
      <c r="AK126" s="204"/>
      <c r="AL126" s="204"/>
      <c r="AM126" s="204"/>
      <c r="AN126" s="204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566">
        <f t="shared" ref="U127:AA133" si="102">IF(U126&gt;0,U126,U125)</f>
        <v>4.55</v>
      </c>
      <c r="V127" s="566">
        <f t="shared" si="102"/>
        <v>4.8999999999999995</v>
      </c>
      <c r="W127" s="566">
        <f t="shared" si="102"/>
        <v>4.0999999999999996</v>
      </c>
      <c r="X127" s="566">
        <f t="shared" si="102"/>
        <v>1.44</v>
      </c>
      <c r="Y127" s="566">
        <f t="shared" si="102"/>
        <v>2.0199999999999996</v>
      </c>
      <c r="Z127" s="566">
        <f t="shared" si="102"/>
        <v>3.4075000000000002</v>
      </c>
      <c r="AA127" s="566">
        <f t="shared" si="102"/>
        <v>3.5905000000000005</v>
      </c>
      <c r="AB127" s="144"/>
      <c r="AC127" s="231">
        <v>0</v>
      </c>
      <c r="AD127" s="231">
        <v>0</v>
      </c>
      <c r="AE127" s="231">
        <v>0</v>
      </c>
      <c r="AF127" s="231">
        <v>0</v>
      </c>
      <c r="AG127" s="231">
        <v>0</v>
      </c>
      <c r="AH127" s="231">
        <v>0</v>
      </c>
      <c r="AI127" s="213"/>
      <c r="AJ127" s="204"/>
      <c r="AK127" s="204"/>
      <c r="AL127" s="204"/>
      <c r="AM127" s="204"/>
      <c r="AN127" s="204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566">
        <f t="shared" si="102"/>
        <v>4.55</v>
      </c>
      <c r="V128" s="566">
        <f t="shared" si="102"/>
        <v>4.8999999999999995</v>
      </c>
      <c r="W128" s="566">
        <f t="shared" si="102"/>
        <v>4.0999999999999996</v>
      </c>
      <c r="X128" s="566">
        <f t="shared" si="102"/>
        <v>1.44</v>
      </c>
      <c r="Y128" s="566">
        <f t="shared" si="102"/>
        <v>2.0199999999999996</v>
      </c>
      <c r="Z128" s="566">
        <f t="shared" si="102"/>
        <v>3.4075000000000002</v>
      </c>
      <c r="AA128" s="566">
        <f t="shared" si="102"/>
        <v>3.5905000000000005</v>
      </c>
      <c r="AB128" s="144"/>
      <c r="AC128" s="231"/>
      <c r="AD128" s="231"/>
      <c r="AE128" s="231"/>
      <c r="AF128" s="231"/>
      <c r="AG128" s="231"/>
      <c r="AH128" s="231"/>
      <c r="AI128" s="213"/>
      <c r="AJ128" s="204"/>
      <c r="AK128" s="204"/>
      <c r="AL128" s="204"/>
      <c r="AM128" s="204"/>
      <c r="AN128" s="204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566">
        <f t="shared" si="102"/>
        <v>4.55</v>
      </c>
      <c r="V129" s="566">
        <f t="shared" si="102"/>
        <v>4.8999999999999995</v>
      </c>
      <c r="W129" s="566">
        <f t="shared" si="102"/>
        <v>4.0999999999999996</v>
      </c>
      <c r="X129" s="566">
        <f t="shared" si="102"/>
        <v>1.44</v>
      </c>
      <c r="Y129" s="566">
        <f t="shared" si="102"/>
        <v>2.0199999999999996</v>
      </c>
      <c r="Z129" s="566">
        <f t="shared" si="102"/>
        <v>3.4075000000000002</v>
      </c>
      <c r="AA129" s="566">
        <f t="shared" si="102"/>
        <v>3.5905000000000005</v>
      </c>
      <c r="AB129" s="144"/>
      <c r="AC129" s="231"/>
      <c r="AD129" s="231"/>
      <c r="AE129" s="231"/>
      <c r="AF129" s="231"/>
      <c r="AG129" s="231"/>
      <c r="AH129" s="231"/>
      <c r="AI129" s="213"/>
      <c r="AJ129" s="204"/>
      <c r="AK129" s="204"/>
      <c r="AL129" s="204"/>
      <c r="AM129" s="204"/>
      <c r="AN129" s="204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566">
        <f t="shared" si="102"/>
        <v>4.55</v>
      </c>
      <c r="V130" s="566">
        <f t="shared" si="102"/>
        <v>4.8999999999999995</v>
      </c>
      <c r="W130" s="566">
        <f t="shared" si="102"/>
        <v>4.0999999999999996</v>
      </c>
      <c r="X130" s="566">
        <f t="shared" si="102"/>
        <v>1.44</v>
      </c>
      <c r="Y130" s="566">
        <f t="shared" si="102"/>
        <v>2.0199999999999996</v>
      </c>
      <c r="Z130" s="566">
        <f t="shared" si="102"/>
        <v>3.4075000000000002</v>
      </c>
      <c r="AA130" s="566">
        <f t="shared" si="102"/>
        <v>3.5905000000000005</v>
      </c>
      <c r="AB130" s="144"/>
      <c r="AC130" s="231">
        <v>0</v>
      </c>
      <c r="AD130" s="231">
        <v>0</v>
      </c>
      <c r="AE130" s="231">
        <v>0</v>
      </c>
      <c r="AF130" s="231">
        <v>0</v>
      </c>
      <c r="AG130" s="231">
        <v>0</v>
      </c>
      <c r="AH130" s="231">
        <v>0</v>
      </c>
      <c r="AI130" s="213"/>
      <c r="AJ130" s="204"/>
      <c r="AK130" s="204"/>
      <c r="AL130" s="204"/>
      <c r="AM130" s="204"/>
      <c r="AN130" s="204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566">
        <f t="shared" si="102"/>
        <v>4.55</v>
      </c>
      <c r="V131" s="566">
        <f t="shared" si="102"/>
        <v>4.8999999999999995</v>
      </c>
      <c r="W131" s="566">
        <f t="shared" si="102"/>
        <v>4.0999999999999996</v>
      </c>
      <c r="X131" s="566">
        <f t="shared" si="102"/>
        <v>1.44</v>
      </c>
      <c r="Y131" s="566">
        <f t="shared" si="102"/>
        <v>2.0199999999999996</v>
      </c>
      <c r="Z131" s="566">
        <f t="shared" si="102"/>
        <v>3.4075000000000002</v>
      </c>
      <c r="AA131" s="566">
        <f t="shared" si="102"/>
        <v>3.5905000000000005</v>
      </c>
      <c r="AB131" s="144"/>
      <c r="AC131" s="231">
        <v>0</v>
      </c>
      <c r="AD131" s="231">
        <v>0</v>
      </c>
      <c r="AE131" s="231">
        <v>0</v>
      </c>
      <c r="AF131" s="231">
        <v>0</v>
      </c>
      <c r="AG131" s="231">
        <v>0</v>
      </c>
      <c r="AH131" s="231">
        <v>0</v>
      </c>
      <c r="AI131" s="213"/>
      <c r="AJ131" s="204"/>
      <c r="AK131" s="204"/>
      <c r="AL131" s="204"/>
      <c r="AM131" s="204"/>
      <c r="AN131" s="204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566">
        <f t="shared" si="102"/>
        <v>4.55</v>
      </c>
      <c r="V132" s="566">
        <f t="shared" si="102"/>
        <v>4.8999999999999995</v>
      </c>
      <c r="W132" s="566">
        <f t="shared" si="102"/>
        <v>4.0999999999999996</v>
      </c>
      <c r="X132" s="566">
        <f t="shared" si="102"/>
        <v>1.44</v>
      </c>
      <c r="Y132" s="566">
        <f t="shared" si="102"/>
        <v>2.0199999999999996</v>
      </c>
      <c r="Z132" s="566">
        <f t="shared" si="102"/>
        <v>3.4075000000000002</v>
      </c>
      <c r="AA132" s="566">
        <f t="shared" si="102"/>
        <v>3.5905000000000005</v>
      </c>
      <c r="AB132" s="144"/>
      <c r="AC132" s="231">
        <v>0</v>
      </c>
      <c r="AD132" s="231">
        <v>0</v>
      </c>
      <c r="AE132" s="231">
        <v>0</v>
      </c>
      <c r="AF132" s="231">
        <v>0</v>
      </c>
      <c r="AG132" s="231">
        <v>0</v>
      </c>
      <c r="AH132" s="231">
        <v>0</v>
      </c>
      <c r="AI132" s="213"/>
      <c r="AJ132" s="204"/>
      <c r="AK132" s="204"/>
      <c r="AL132" s="204"/>
      <c r="AM132" s="204"/>
      <c r="AN132" s="204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567">
        <f>IF(U132&gt;0,U132,U131)</f>
        <v>4.55</v>
      </c>
      <c r="V133" s="567">
        <f t="shared" si="102"/>
        <v>4.8999999999999995</v>
      </c>
      <c r="W133" s="567">
        <f t="shared" si="102"/>
        <v>4.0999999999999996</v>
      </c>
      <c r="X133" s="567">
        <f t="shared" si="102"/>
        <v>1.44</v>
      </c>
      <c r="Y133" s="567">
        <f t="shared" si="102"/>
        <v>2.0199999999999996</v>
      </c>
      <c r="Z133" s="567">
        <f t="shared" si="102"/>
        <v>3.4075000000000002</v>
      </c>
      <c r="AA133" s="567">
        <f t="shared" si="102"/>
        <v>3.5905000000000005</v>
      </c>
      <c r="AB133" s="144"/>
      <c r="AC133" s="231"/>
      <c r="AD133" s="231"/>
      <c r="AE133" s="231"/>
      <c r="AF133" s="231"/>
      <c r="AG133" s="231"/>
      <c r="AH133" s="231"/>
      <c r="AI133" s="213"/>
      <c r="AJ133" s="204"/>
      <c r="AK133" s="204"/>
      <c r="AL133" s="204"/>
      <c r="AM133" s="204"/>
      <c r="AN133" s="204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222"/>
      <c r="V134" s="222"/>
      <c r="W134" s="222"/>
      <c r="X134" s="222"/>
      <c r="Y134" s="222"/>
      <c r="Z134" s="222"/>
      <c r="AA134" s="222"/>
      <c r="AB134" s="144"/>
      <c r="AC134" s="231"/>
      <c r="AD134" s="231"/>
      <c r="AE134" s="231"/>
      <c r="AF134" s="231"/>
      <c r="AG134" s="231"/>
      <c r="AH134" s="231"/>
      <c r="AI134" s="213"/>
      <c r="AJ134" s="204"/>
      <c r="AK134" s="204"/>
      <c r="AL134" s="204"/>
      <c r="AM134" s="204"/>
      <c r="AN134" s="204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222"/>
      <c r="V135" s="222"/>
      <c r="W135" s="222"/>
      <c r="X135" s="222"/>
      <c r="Y135" s="222"/>
      <c r="Z135" s="222"/>
      <c r="AA135" s="222"/>
      <c r="AB135" s="144"/>
      <c r="AC135" s="231">
        <v>0</v>
      </c>
      <c r="AD135" s="231">
        <v>0</v>
      </c>
      <c r="AE135" s="231">
        <v>0</v>
      </c>
      <c r="AF135" s="231">
        <v>0</v>
      </c>
      <c r="AG135" s="231">
        <v>0</v>
      </c>
      <c r="AH135" s="231">
        <v>0</v>
      </c>
      <c r="AI135" s="213"/>
      <c r="AN135" s="204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222"/>
      <c r="V136" s="222"/>
      <c r="W136" s="222"/>
      <c r="X136" s="222"/>
      <c r="Y136" s="222"/>
      <c r="Z136" s="222"/>
      <c r="AA136" s="222"/>
      <c r="AB136" s="144"/>
      <c r="AC136" s="231"/>
      <c r="AD136" s="231"/>
      <c r="AE136" s="231"/>
      <c r="AF136" s="231"/>
      <c r="AG136" s="231"/>
      <c r="AH136" s="231"/>
      <c r="AN136" s="204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222"/>
      <c r="V137" s="222"/>
      <c r="W137" s="222"/>
      <c r="X137" s="222"/>
      <c r="Y137" s="222"/>
      <c r="Z137" s="222"/>
      <c r="AA137" s="222"/>
      <c r="AB137" s="144"/>
      <c r="AN137" s="204"/>
    </row>
    <row r="138" spans="1:40" ht="15" customHeight="1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222"/>
      <c r="V138" s="222"/>
      <c r="W138" s="222"/>
      <c r="X138" s="222"/>
      <c r="Y138" s="222"/>
      <c r="Z138" s="222"/>
      <c r="AA138" s="222"/>
      <c r="AB138" s="144"/>
      <c r="AN138" s="204"/>
    </row>
    <row r="139" spans="1:40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222"/>
      <c r="V139" s="222"/>
      <c r="W139" s="222"/>
      <c r="X139" s="222"/>
      <c r="Y139" s="222"/>
      <c r="Z139" s="222"/>
      <c r="AA139" s="222"/>
      <c r="AB139" s="144"/>
      <c r="AN139" s="204"/>
    </row>
    <row r="140" spans="1:40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222"/>
      <c r="V140" s="222"/>
      <c r="W140" s="222"/>
      <c r="X140" s="222"/>
      <c r="Y140" s="222"/>
      <c r="Z140" s="222"/>
      <c r="AA140" s="222"/>
      <c r="AB140" s="144"/>
      <c r="AN140" s="204"/>
    </row>
    <row r="141" spans="1:40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222"/>
      <c r="V141" s="222"/>
      <c r="W141" s="222"/>
      <c r="X141" s="222"/>
      <c r="Y141" s="222"/>
      <c r="Z141" s="222"/>
      <c r="AA141" s="222"/>
      <c r="AB141" s="144"/>
      <c r="AN141" s="204"/>
    </row>
    <row r="142" spans="1:40">
      <c r="A142" s="144"/>
      <c r="B142" s="144"/>
      <c r="C142" s="144"/>
      <c r="D142" s="906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222"/>
      <c r="V142" s="222"/>
      <c r="W142" s="222"/>
      <c r="X142" s="222"/>
      <c r="Y142" s="222"/>
      <c r="Z142" s="222"/>
      <c r="AA142" s="222"/>
      <c r="AB142" s="144"/>
      <c r="AN142" s="204"/>
    </row>
    <row r="143" spans="1:40">
      <c r="A143" s="144"/>
      <c r="B143" s="144"/>
      <c r="C143" s="144"/>
      <c r="D143" s="906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222"/>
      <c r="V143" s="222"/>
      <c r="W143" s="222"/>
      <c r="X143" s="222"/>
      <c r="Y143" s="222"/>
      <c r="Z143" s="222"/>
      <c r="AA143" s="222"/>
      <c r="AB143" s="144"/>
      <c r="AN143" s="204"/>
    </row>
    <row r="144" spans="1:40">
      <c r="A144" s="144"/>
      <c r="B144" s="144"/>
      <c r="C144" s="144"/>
      <c r="D144" s="906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222"/>
      <c r="V144" s="222"/>
      <c r="W144" s="222"/>
      <c r="X144" s="222"/>
      <c r="Y144" s="222"/>
      <c r="Z144" s="222"/>
      <c r="AA144" s="222"/>
      <c r="AB144" s="144"/>
      <c r="AN144" s="204"/>
    </row>
    <row r="145" spans="1:40">
      <c r="A145" s="144"/>
      <c r="B145" s="144"/>
      <c r="C145" s="144"/>
      <c r="D145" s="906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222"/>
      <c r="V145" s="222"/>
      <c r="W145" s="222"/>
      <c r="X145" s="222"/>
      <c r="Y145" s="222"/>
      <c r="Z145" s="222"/>
      <c r="AA145" s="222"/>
      <c r="AB145" s="144"/>
      <c r="AN145" s="204"/>
    </row>
    <row r="146" spans="1:40">
      <c r="A146" s="144"/>
      <c r="B146" s="144"/>
      <c r="C146" s="144"/>
      <c r="D146" s="906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222"/>
      <c r="V146" s="222"/>
      <c r="W146" s="222"/>
      <c r="X146" s="222"/>
      <c r="Y146" s="222"/>
      <c r="Z146" s="222"/>
      <c r="AA146" s="222"/>
      <c r="AB146" s="144"/>
      <c r="AN146" s="204"/>
    </row>
    <row r="147" spans="1:40">
      <c r="A147" s="144"/>
      <c r="B147" s="144"/>
      <c r="C147" s="144"/>
      <c r="D147" s="906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222"/>
      <c r="V147" s="222"/>
      <c r="W147" s="222"/>
      <c r="X147" s="222"/>
      <c r="Y147" s="222"/>
      <c r="Z147" s="222"/>
      <c r="AA147" s="222"/>
      <c r="AB147" s="144"/>
      <c r="AN147" s="204"/>
    </row>
    <row r="148" spans="1:40">
      <c r="A148" s="144"/>
      <c r="B148" s="144"/>
      <c r="C148" s="144"/>
      <c r="D148" s="906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222"/>
      <c r="V148" s="222"/>
      <c r="W148" s="222"/>
      <c r="X148" s="222"/>
      <c r="Y148" s="222"/>
      <c r="Z148" s="222"/>
      <c r="AA148" s="222"/>
      <c r="AB148" s="144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  <c r="AN148" s="204"/>
    </row>
    <row r="149" spans="1:40" s="247" customFormat="1" ht="11">
      <c r="A149" s="144"/>
      <c r="B149" s="144"/>
      <c r="C149" s="144"/>
      <c r="D149" s="906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222"/>
      <c r="V149" s="222"/>
      <c r="W149" s="222"/>
      <c r="X149" s="222"/>
      <c r="Y149" s="222"/>
      <c r="Z149" s="222"/>
      <c r="AA149" s="222"/>
      <c r="AB149" s="144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1:40" s="247" customFormat="1" ht="11">
      <c r="A150" s="144"/>
      <c r="B150" s="144"/>
      <c r="C150" s="144"/>
      <c r="D150" s="906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222"/>
      <c r="V150" s="222"/>
      <c r="W150" s="222"/>
      <c r="X150" s="222"/>
      <c r="Y150" s="222"/>
      <c r="Z150" s="222"/>
      <c r="AA150" s="222"/>
      <c r="AB150" s="14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1:40" s="247" customFormat="1" ht="11">
      <c r="A151" s="144"/>
      <c r="B151" s="144"/>
      <c r="C151" s="144"/>
      <c r="D151" s="906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222"/>
      <c r="V151" s="222"/>
      <c r="W151" s="222"/>
      <c r="X151" s="222"/>
      <c r="Y151" s="222"/>
      <c r="Z151" s="222"/>
      <c r="AA151" s="222"/>
      <c r="AB151" s="14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1:40" s="247" customFormat="1" ht="11">
      <c r="A152" s="144"/>
      <c r="B152" s="144"/>
      <c r="C152" s="144"/>
      <c r="D152" s="906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222"/>
      <c r="V152" s="222"/>
      <c r="W152" s="222"/>
      <c r="X152" s="222"/>
      <c r="Y152" s="222"/>
      <c r="Z152" s="222"/>
      <c r="AA152" s="222"/>
      <c r="AB152" s="14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1:40" s="247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222"/>
      <c r="V153" s="222"/>
      <c r="W153" s="222"/>
      <c r="X153" s="222"/>
      <c r="Y153" s="222"/>
      <c r="Z153" s="222"/>
      <c r="AA153" s="222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1:40" s="247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222"/>
      <c r="V154" s="222"/>
      <c r="W154" s="222"/>
      <c r="X154" s="222"/>
      <c r="Y154" s="222"/>
      <c r="Z154" s="222"/>
      <c r="AA154" s="222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1:40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222"/>
      <c r="V155" s="222"/>
      <c r="W155" s="222"/>
      <c r="X155" s="222"/>
      <c r="Y155" s="222"/>
      <c r="Z155" s="222"/>
      <c r="AA155" s="222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1:40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222"/>
      <c r="V156" s="222"/>
      <c r="W156" s="222"/>
      <c r="X156" s="222"/>
      <c r="Y156" s="222"/>
      <c r="Z156" s="222"/>
      <c r="AA156" s="222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1:40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1:40" s="247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1:40" s="247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1:40" s="247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39" s="247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39" s="247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39" s="247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39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39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39" s="247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39" s="247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39" s="247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39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39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39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39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39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39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39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39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41" s="247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41" s="247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B178" s="247">
        <f>SUBTOTAL(9,AB136:AB177)</f>
        <v>0</v>
      </c>
      <c r="AC178" s="214">
        <f>SUBTOTAL(9,AC136:AC177)</f>
        <v>0</v>
      </c>
      <c r="AD178" s="214">
        <f>SUBTOTAL(9,AD136:AD177)</f>
        <v>0</v>
      </c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41" s="247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B179" s="247">
        <v>0</v>
      </c>
      <c r="AC179" s="214">
        <v>0</v>
      </c>
      <c r="AD179" s="214">
        <v>0</v>
      </c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41" s="247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B180" s="247">
        <v>0</v>
      </c>
      <c r="AC180" s="214">
        <v>0</v>
      </c>
      <c r="AD180" s="214">
        <v>0</v>
      </c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41" s="247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B181" s="247">
        <v>0</v>
      </c>
      <c r="AC181" s="214">
        <v>0</v>
      </c>
      <c r="AD181" s="214">
        <v>0</v>
      </c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41" s="247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B182" s="247">
        <v>0</v>
      </c>
      <c r="AC182" s="214">
        <v>0</v>
      </c>
      <c r="AD182" s="214">
        <v>0</v>
      </c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41" s="247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B183" s="247">
        <v>0</v>
      </c>
      <c r="AC183" s="214">
        <v>0</v>
      </c>
      <c r="AD183" s="214">
        <v>0</v>
      </c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41" s="247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B184" s="247">
        <v>0</v>
      </c>
      <c r="AC184" s="214">
        <v>0</v>
      </c>
      <c r="AD184" s="214">
        <v>0</v>
      </c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41" s="247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B185" s="247">
        <v>0</v>
      </c>
      <c r="AC185" s="214">
        <v>0</v>
      </c>
      <c r="AD185" s="214">
        <v>0</v>
      </c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41" s="247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B186" s="247">
        <v>0</v>
      </c>
      <c r="AC186" s="214">
        <v>0</v>
      </c>
      <c r="AD186" s="214">
        <v>0</v>
      </c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41" s="247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B187" s="247">
        <v>0</v>
      </c>
      <c r="AC187" s="214">
        <v>0</v>
      </c>
      <c r="AD187" s="214">
        <v>0</v>
      </c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41" s="247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B188" s="247">
        <v>0</v>
      </c>
      <c r="AC188" s="214">
        <v>0</v>
      </c>
      <c r="AD188" s="214">
        <v>0</v>
      </c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41" s="247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>
        <f>SUBTOTAL(9,U147:U188)</f>
        <v>0</v>
      </c>
      <c r="V189" s="146">
        <f t="shared" ref="V189:AA189" si="103">SUBTOTAL(9,V147:V188)</f>
        <v>0</v>
      </c>
      <c r="W189" s="146">
        <f t="shared" si="103"/>
        <v>0</v>
      </c>
      <c r="X189" s="146">
        <f t="shared" si="103"/>
        <v>0</v>
      </c>
      <c r="Y189" s="146">
        <f t="shared" si="103"/>
        <v>0</v>
      </c>
      <c r="Z189" s="146">
        <f t="shared" si="103"/>
        <v>0</v>
      </c>
      <c r="AA189" s="146">
        <f t="shared" si="103"/>
        <v>0</v>
      </c>
      <c r="AB189" s="247">
        <v>0</v>
      </c>
      <c r="AC189" s="214">
        <v>0</v>
      </c>
      <c r="AD189" s="214">
        <v>0</v>
      </c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41" s="213" customFormat="1" ht="14" thickBot="1">
      <c r="B190" s="139"/>
      <c r="C190" s="138"/>
      <c r="D190" s="908"/>
      <c r="E190" s="138"/>
      <c r="F190" s="140"/>
      <c r="G190" s="141"/>
      <c r="H190" s="141"/>
      <c r="I190" s="141"/>
      <c r="J190" s="141"/>
      <c r="K190" s="141"/>
      <c r="L190" s="141"/>
      <c r="M190" s="458"/>
      <c r="N190" s="140"/>
      <c r="O190" s="141"/>
      <c r="P190" s="141"/>
      <c r="Q190" s="148"/>
      <c r="R190" s="148"/>
      <c r="S190" s="149"/>
      <c r="T190" s="149"/>
      <c r="U190" s="150"/>
      <c r="V190" s="150"/>
      <c r="W190" s="150"/>
      <c r="X190" s="150"/>
      <c r="Y190" s="150"/>
      <c r="Z190" s="150"/>
      <c r="AA190" s="150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41" s="213" customFormat="1" ht="15" thickTop="1" thickBot="1">
      <c r="B191" s="139"/>
      <c r="C191" s="138"/>
      <c r="D191" s="908"/>
      <c r="E191" s="138"/>
      <c r="F191" s="140"/>
      <c r="G191" s="141"/>
      <c r="H191" s="141"/>
      <c r="I191" s="141"/>
      <c r="J191" s="141"/>
      <c r="K191" s="141"/>
      <c r="L191" s="141"/>
      <c r="M191" s="458"/>
      <c r="N191" s="140"/>
      <c r="O191" s="141"/>
      <c r="P191" s="141"/>
      <c r="Q191" s="148"/>
      <c r="R191" s="148"/>
      <c r="S191" s="148"/>
      <c r="T191" s="149"/>
      <c r="U191" s="151"/>
      <c r="V191" s="152"/>
      <c r="W191" s="153"/>
      <c r="X191" s="153"/>
      <c r="Y191" s="153"/>
      <c r="Z191" s="153"/>
      <c r="AA191" s="154"/>
      <c r="AB191" s="246"/>
      <c r="AC191" s="246"/>
      <c r="AE191" s="214"/>
      <c r="AF191" s="214"/>
      <c r="AG191" s="214"/>
      <c r="AH191" s="214"/>
      <c r="AI191" s="214"/>
      <c r="AJ191" s="214"/>
      <c r="AK191" s="214"/>
      <c r="AL191" s="214"/>
      <c r="AM191" s="214"/>
      <c r="AN191" s="214"/>
      <c r="AO191" s="214"/>
    </row>
    <row r="192" spans="2:41" s="247" customFormat="1" ht="12" thickTop="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39" s="247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39" s="247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39" s="247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39" s="247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39" s="247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39" s="247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39" s="247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39" s="247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39" s="247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39" s="247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39" s="247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39" s="247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39" s="247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39" s="247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39" s="247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39" s="247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39" s="247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39" s="247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39" s="247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39" s="247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39" s="247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39" s="247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39" s="247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39" s="247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39" s="247" customFormat="1" ht="11">
      <c r="B217" s="144"/>
      <c r="C217" s="143"/>
      <c r="D217" s="907"/>
      <c r="E217" s="143"/>
      <c r="F217" s="145"/>
      <c r="G217" s="146"/>
      <c r="H217" s="146"/>
      <c r="I217" s="146"/>
      <c r="J217" s="146"/>
      <c r="K217" s="146"/>
      <c r="L217" s="146"/>
      <c r="M217" s="458"/>
      <c r="N217" s="145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39" s="247" customFormat="1" ht="11">
      <c r="B218" s="144"/>
      <c r="C218" s="143"/>
      <c r="D218" s="907"/>
      <c r="E218" s="143"/>
      <c r="F218" s="145"/>
      <c r="G218" s="146"/>
      <c r="H218" s="146"/>
      <c r="I218" s="146"/>
      <c r="J218" s="146"/>
      <c r="K218" s="146"/>
      <c r="L218" s="146"/>
      <c r="M218" s="458"/>
      <c r="N218" s="145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39" s="247" customFormat="1" ht="11">
      <c r="B219" s="144"/>
      <c r="C219" s="143"/>
      <c r="D219" s="907"/>
      <c r="E219" s="143"/>
      <c r="F219" s="145"/>
      <c r="G219" s="146"/>
      <c r="H219" s="146"/>
      <c r="I219" s="146"/>
      <c r="J219" s="146"/>
      <c r="K219" s="146"/>
      <c r="L219" s="146"/>
      <c r="M219" s="458"/>
      <c r="N219" s="145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39" s="247" customFormat="1" ht="11">
      <c r="B220" s="144"/>
      <c r="C220" s="143"/>
      <c r="D220" s="907"/>
      <c r="E220" s="143"/>
      <c r="F220" s="145"/>
      <c r="G220" s="146"/>
      <c r="H220" s="146"/>
      <c r="I220" s="146"/>
      <c r="J220" s="146"/>
      <c r="K220" s="146"/>
      <c r="L220" s="146"/>
      <c r="M220" s="458"/>
      <c r="N220" s="145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39" s="247" customFormat="1" ht="11">
      <c r="B221" s="144"/>
      <c r="C221" s="143"/>
      <c r="D221" s="907"/>
      <c r="E221" s="143"/>
      <c r="F221" s="145"/>
      <c r="G221" s="146"/>
      <c r="H221" s="146"/>
      <c r="I221" s="146"/>
      <c r="J221" s="146"/>
      <c r="K221" s="146"/>
      <c r="L221" s="146"/>
      <c r="M221" s="458"/>
      <c r="N221" s="145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</row>
    <row r="222" spans="2:39" s="247" customFormat="1" ht="11">
      <c r="B222" s="144"/>
      <c r="C222" s="143"/>
      <c r="D222" s="907"/>
      <c r="E222" s="143"/>
      <c r="F222" s="145"/>
      <c r="G222" s="146"/>
      <c r="H222" s="146"/>
      <c r="I222" s="146"/>
      <c r="J222" s="146"/>
      <c r="K222" s="146"/>
      <c r="L222" s="146"/>
      <c r="M222" s="458"/>
      <c r="N222" s="145"/>
      <c r="O222" s="146"/>
      <c r="P222" s="146"/>
      <c r="Q222" s="147"/>
      <c r="R222" s="147"/>
      <c r="S222" s="142"/>
      <c r="T222" s="142"/>
      <c r="U222" s="146"/>
      <c r="V222" s="146"/>
      <c r="W222" s="146"/>
      <c r="X222" s="146"/>
      <c r="Y222" s="146"/>
      <c r="Z222" s="146"/>
      <c r="AA222" s="146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39" s="247" customFormat="1" ht="11">
      <c r="B223" s="144"/>
      <c r="C223" s="143"/>
      <c r="D223" s="907"/>
      <c r="E223" s="143"/>
      <c r="F223" s="145"/>
      <c r="G223" s="146"/>
      <c r="H223" s="146"/>
      <c r="I223" s="146"/>
      <c r="J223" s="146"/>
      <c r="K223" s="146"/>
      <c r="L223" s="146"/>
      <c r="M223" s="458"/>
      <c r="N223" s="145"/>
      <c r="O223" s="146"/>
      <c r="P223" s="146"/>
      <c r="Q223" s="147"/>
      <c r="R223" s="147"/>
      <c r="S223" s="142"/>
      <c r="T223" s="142"/>
      <c r="U223" s="146"/>
      <c r="V223" s="146"/>
      <c r="W223" s="146"/>
      <c r="X223" s="146"/>
      <c r="Y223" s="146"/>
      <c r="Z223" s="146"/>
      <c r="AA223" s="146"/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</row>
    <row r="224" spans="2:39" s="247" customFormat="1" ht="11">
      <c r="B224" s="144"/>
      <c r="C224" s="143"/>
      <c r="D224" s="907"/>
      <c r="E224" s="143"/>
      <c r="F224" s="145"/>
      <c r="G224" s="146"/>
      <c r="H224" s="146"/>
      <c r="I224" s="146"/>
      <c r="J224" s="146"/>
      <c r="K224" s="146"/>
      <c r="L224" s="146"/>
      <c r="M224" s="458"/>
      <c r="N224" s="145"/>
      <c r="O224" s="146"/>
      <c r="P224" s="146"/>
      <c r="Q224" s="147"/>
      <c r="R224" s="147"/>
      <c r="S224" s="142"/>
      <c r="T224" s="142"/>
      <c r="U224" s="146"/>
      <c r="V224" s="146"/>
      <c r="W224" s="146"/>
      <c r="X224" s="146"/>
      <c r="Y224" s="146"/>
      <c r="Z224" s="146"/>
      <c r="AA224" s="146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2:41" s="247" customFormat="1" ht="11">
      <c r="B225" s="144"/>
      <c r="C225" s="143"/>
      <c r="D225" s="907"/>
      <c r="E225" s="143"/>
      <c r="F225" s="145"/>
      <c r="G225" s="146"/>
      <c r="H225" s="146"/>
      <c r="I225" s="146"/>
      <c r="J225" s="146"/>
      <c r="K225" s="146"/>
      <c r="L225" s="146"/>
      <c r="M225" s="458"/>
      <c r="N225" s="145"/>
      <c r="O225" s="146"/>
      <c r="P225" s="146"/>
      <c r="Q225" s="147"/>
      <c r="R225" s="147"/>
      <c r="S225" s="142"/>
      <c r="T225" s="142"/>
      <c r="U225" s="146"/>
      <c r="V225" s="146"/>
      <c r="W225" s="146"/>
      <c r="X225" s="146"/>
      <c r="Y225" s="146"/>
      <c r="Z225" s="146"/>
      <c r="AA225" s="146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</row>
    <row r="226" spans="2:41" s="247" customFormat="1" ht="11">
      <c r="B226" s="144"/>
      <c r="C226" s="143"/>
      <c r="D226" s="907"/>
      <c r="E226" s="143"/>
      <c r="F226" s="145"/>
      <c r="G226" s="146"/>
      <c r="H226" s="146"/>
      <c r="I226" s="146"/>
      <c r="J226" s="146"/>
      <c r="K226" s="146"/>
      <c r="L226" s="146"/>
      <c r="M226" s="458"/>
      <c r="N226" s="145"/>
      <c r="O226" s="146"/>
      <c r="P226" s="146"/>
      <c r="Q226" s="147"/>
      <c r="R226" s="147"/>
      <c r="S226" s="142"/>
      <c r="T226" s="142"/>
      <c r="U226" s="146"/>
      <c r="V226" s="146"/>
      <c r="W226" s="146"/>
      <c r="X226" s="146"/>
      <c r="Y226" s="146"/>
      <c r="Z226" s="146"/>
      <c r="AA226" s="146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2:41" s="247" customFormat="1" ht="11">
      <c r="B227" s="144"/>
      <c r="C227" s="143"/>
      <c r="D227" s="907"/>
      <c r="E227" s="143"/>
      <c r="F227" s="145"/>
      <c r="G227" s="146"/>
      <c r="H227" s="146"/>
      <c r="I227" s="146"/>
      <c r="J227" s="146"/>
      <c r="K227" s="146"/>
      <c r="L227" s="146"/>
      <c r="M227" s="458"/>
      <c r="N227" s="145"/>
      <c r="O227" s="146"/>
      <c r="P227" s="146"/>
      <c r="Q227" s="147"/>
      <c r="R227" s="147"/>
      <c r="S227" s="142"/>
      <c r="T227" s="142"/>
      <c r="U227" s="146"/>
      <c r="V227" s="146"/>
      <c r="W227" s="146"/>
      <c r="X227" s="146"/>
      <c r="Y227" s="146"/>
      <c r="Z227" s="146"/>
      <c r="AA227" s="146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2:41" s="247" customFormat="1" ht="11">
      <c r="B228" s="248"/>
      <c r="D228" s="909"/>
      <c r="F228" s="249"/>
      <c r="G228" s="250"/>
      <c r="H228" s="250"/>
      <c r="I228" s="250"/>
      <c r="J228" s="250"/>
      <c r="K228" s="250"/>
      <c r="L228" s="250"/>
      <c r="M228" s="459"/>
      <c r="N228" s="249"/>
      <c r="O228" s="146"/>
      <c r="P228" s="146"/>
      <c r="Q228" s="147"/>
      <c r="R228" s="147"/>
      <c r="S228" s="142"/>
      <c r="T228" s="142"/>
      <c r="U228" s="146"/>
      <c r="V228" s="146"/>
      <c r="W228" s="146"/>
      <c r="X228" s="146"/>
      <c r="Y228" s="146"/>
      <c r="Z228" s="146"/>
      <c r="AA228" s="146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2:41" s="247" customFormat="1" ht="11">
      <c r="B229" s="248"/>
      <c r="D229" s="909"/>
      <c r="F229" s="249"/>
      <c r="G229" s="250"/>
      <c r="H229" s="250"/>
      <c r="I229" s="250"/>
      <c r="J229" s="250"/>
      <c r="K229" s="250"/>
      <c r="L229" s="250"/>
      <c r="M229" s="459"/>
      <c r="N229" s="249"/>
      <c r="O229" s="146"/>
      <c r="P229" s="146"/>
      <c r="Q229" s="147"/>
      <c r="R229" s="147"/>
      <c r="S229" s="142"/>
      <c r="T229" s="142"/>
      <c r="U229" s="146"/>
      <c r="V229" s="146"/>
      <c r="W229" s="146"/>
      <c r="X229" s="146"/>
      <c r="Y229" s="146"/>
      <c r="Z229" s="146"/>
      <c r="AA229" s="146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2:41" s="247" customFormat="1" ht="11">
      <c r="B230" s="248"/>
      <c r="D230" s="909"/>
      <c r="F230" s="249"/>
      <c r="G230" s="250"/>
      <c r="H230" s="250"/>
      <c r="I230" s="250"/>
      <c r="J230" s="250"/>
      <c r="K230" s="250"/>
      <c r="L230" s="250"/>
      <c r="M230" s="459"/>
      <c r="N230" s="249"/>
      <c r="O230" s="146"/>
      <c r="P230" s="146"/>
      <c r="Q230" s="147"/>
      <c r="R230" s="147"/>
      <c r="S230" s="142"/>
      <c r="T230" s="142"/>
      <c r="U230" s="146"/>
      <c r="V230" s="146"/>
      <c r="W230" s="146"/>
      <c r="X230" s="146"/>
      <c r="Y230" s="146"/>
      <c r="Z230" s="146"/>
      <c r="AA230" s="146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</row>
    <row r="231" spans="2:41" s="247" customFormat="1" ht="11">
      <c r="B231" s="248"/>
      <c r="D231" s="909"/>
      <c r="F231" s="249"/>
      <c r="G231" s="250"/>
      <c r="H231" s="250"/>
      <c r="I231" s="250"/>
      <c r="J231" s="250"/>
      <c r="K231" s="250"/>
      <c r="L231" s="250"/>
      <c r="M231" s="459"/>
      <c r="N231" s="249"/>
      <c r="O231" s="146"/>
      <c r="P231" s="146"/>
      <c r="Q231" s="147"/>
      <c r="R231" s="147"/>
      <c r="S231" s="142"/>
      <c r="T231" s="142"/>
      <c r="U231" s="146"/>
      <c r="V231" s="146"/>
      <c r="W231" s="146"/>
      <c r="X231" s="146"/>
      <c r="Y231" s="146"/>
      <c r="Z231" s="146"/>
      <c r="AA231" s="146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2:41" s="247" customFormat="1" ht="11">
      <c r="B232" s="248"/>
      <c r="D232" s="909"/>
      <c r="F232" s="249"/>
      <c r="G232" s="250"/>
      <c r="H232" s="250"/>
      <c r="I232" s="250"/>
      <c r="J232" s="250"/>
      <c r="K232" s="250"/>
      <c r="L232" s="250"/>
      <c r="M232" s="459"/>
      <c r="N232" s="249"/>
      <c r="O232" s="146"/>
      <c r="P232" s="146"/>
      <c r="Q232" s="147"/>
      <c r="R232" s="147"/>
      <c r="S232" s="142"/>
      <c r="T232" s="142"/>
      <c r="U232" s="146">
        <f>SUBTOTAL(9,U190:U231)</f>
        <v>0</v>
      </c>
      <c r="V232" s="146">
        <f t="shared" ref="V232:AA232" si="104">SUBTOTAL(9,V190:V231)</f>
        <v>0</v>
      </c>
      <c r="W232" s="146">
        <f t="shared" si="104"/>
        <v>0</v>
      </c>
      <c r="X232" s="146">
        <f t="shared" si="104"/>
        <v>0</v>
      </c>
      <c r="Y232" s="146">
        <f t="shared" si="104"/>
        <v>0</v>
      </c>
      <c r="Z232" s="146">
        <f t="shared" si="104"/>
        <v>0</v>
      </c>
      <c r="AA232" s="146">
        <f t="shared" si="104"/>
        <v>0</v>
      </c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2:41" s="213" customFormat="1" ht="14" thickBot="1">
      <c r="B233" s="225"/>
      <c r="D233" s="910"/>
      <c r="F233" s="242"/>
      <c r="G233" s="243"/>
      <c r="H233" s="243"/>
      <c r="I233" s="243"/>
      <c r="J233" s="243"/>
      <c r="K233" s="243"/>
      <c r="L233" s="243"/>
      <c r="M233" s="459"/>
      <c r="N233" s="242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2:41" s="213" customFormat="1" ht="15" thickTop="1" thickBot="1">
      <c r="B234" s="225"/>
      <c r="D234" s="910"/>
      <c r="F234" s="242"/>
      <c r="G234" s="243"/>
      <c r="H234" s="243"/>
      <c r="I234" s="243"/>
      <c r="J234" s="243"/>
      <c r="K234" s="243"/>
      <c r="L234" s="243"/>
      <c r="M234" s="459"/>
      <c r="N234" s="242"/>
      <c r="O234" s="141"/>
      <c r="P234" s="141"/>
      <c r="Q234" s="148"/>
      <c r="R234" s="148"/>
      <c r="S234" s="148"/>
      <c r="T234" s="148"/>
      <c r="U234" s="151">
        <f>SUBTOTAL(9,U192:U233)</f>
        <v>0</v>
      </c>
      <c r="V234" s="152">
        <f t="shared" ref="V234:AA234" si="105">SUBTOTAL(9,V192:V233)</f>
        <v>0</v>
      </c>
      <c r="W234" s="153">
        <f t="shared" si="105"/>
        <v>0</v>
      </c>
      <c r="X234" s="153">
        <f t="shared" si="105"/>
        <v>0</v>
      </c>
      <c r="Y234" s="153">
        <f t="shared" si="105"/>
        <v>0</v>
      </c>
      <c r="Z234" s="153">
        <f t="shared" si="105"/>
        <v>0</v>
      </c>
      <c r="AA234" s="154">
        <f t="shared" si="105"/>
        <v>0</v>
      </c>
      <c r="AB234" s="246"/>
      <c r="AC234" s="246"/>
      <c r="AE234" s="214"/>
      <c r="AF234" s="214"/>
      <c r="AG234" s="214"/>
      <c r="AH234" s="214"/>
      <c r="AI234" s="214"/>
      <c r="AJ234" s="214"/>
      <c r="AK234" s="214"/>
      <c r="AL234" s="214"/>
      <c r="AM234" s="214"/>
      <c r="AN234" s="214"/>
      <c r="AO234" s="214"/>
    </row>
    <row r="235" spans="2:41" s="213" customFormat="1" ht="14" thickTop="1">
      <c r="B235" s="225"/>
      <c r="D235" s="910"/>
      <c r="F235" s="242"/>
      <c r="G235" s="243"/>
      <c r="H235" s="243"/>
      <c r="I235" s="243"/>
      <c r="J235" s="243"/>
      <c r="K235" s="243"/>
      <c r="L235" s="243"/>
      <c r="M235" s="459"/>
      <c r="N235" s="242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</row>
    <row r="236" spans="2:41" s="213" customFormat="1">
      <c r="B236" s="225"/>
      <c r="D236" s="910"/>
      <c r="F236" s="242"/>
      <c r="G236" s="243"/>
      <c r="H236" s="243"/>
      <c r="I236" s="243"/>
      <c r="J236" s="243"/>
      <c r="K236" s="243"/>
      <c r="L236" s="243"/>
      <c r="M236" s="459"/>
      <c r="N236" s="242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14"/>
      <c r="AD236" s="214"/>
      <c r="AE236" s="214"/>
      <c r="AF236" s="214"/>
      <c r="AG236" s="214"/>
      <c r="AH236" s="214"/>
      <c r="AI236" s="214"/>
      <c r="AJ236" s="214"/>
      <c r="AK236" s="214"/>
      <c r="AL236" s="214"/>
      <c r="AM236" s="214"/>
    </row>
    <row r="237" spans="2:41" s="213" customFormat="1">
      <c r="B237" s="225"/>
      <c r="D237" s="910"/>
      <c r="F237" s="242"/>
      <c r="G237" s="243"/>
      <c r="H237" s="243"/>
      <c r="I237" s="243"/>
      <c r="J237" s="243"/>
      <c r="K237" s="243"/>
      <c r="L237" s="243"/>
      <c r="M237" s="459"/>
      <c r="N237" s="242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14"/>
      <c r="AD237" s="214"/>
      <c r="AE237" s="214"/>
      <c r="AF237" s="214"/>
      <c r="AG237" s="214"/>
      <c r="AH237" s="214"/>
      <c r="AI237" s="214"/>
      <c r="AJ237" s="214"/>
      <c r="AK237" s="214"/>
      <c r="AL237" s="214"/>
      <c r="AM237" s="214"/>
    </row>
    <row r="238" spans="2:41" s="213" customFormat="1">
      <c r="B238" s="225"/>
      <c r="D238" s="910"/>
      <c r="F238" s="242"/>
      <c r="G238" s="243"/>
      <c r="H238" s="243"/>
      <c r="I238" s="243"/>
      <c r="J238" s="243"/>
      <c r="K238" s="243"/>
      <c r="L238" s="243"/>
      <c r="M238" s="459"/>
      <c r="N238" s="242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14"/>
      <c r="AD238" s="214"/>
      <c r="AE238" s="214"/>
      <c r="AF238" s="214"/>
      <c r="AG238" s="214"/>
      <c r="AH238" s="214"/>
      <c r="AI238" s="214"/>
      <c r="AJ238" s="214"/>
      <c r="AK238" s="214"/>
      <c r="AL238" s="214"/>
      <c r="AM238" s="214"/>
    </row>
    <row r="239" spans="2:41" s="213" customFormat="1">
      <c r="B239" s="225"/>
      <c r="D239" s="910"/>
      <c r="F239" s="242"/>
      <c r="G239" s="243"/>
      <c r="H239" s="243"/>
      <c r="I239" s="243"/>
      <c r="J239" s="243"/>
      <c r="K239" s="243"/>
      <c r="L239" s="243"/>
      <c r="M239" s="459"/>
      <c r="N239" s="242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14"/>
      <c r="AD239" s="214"/>
      <c r="AE239" s="214"/>
      <c r="AF239" s="214"/>
      <c r="AG239" s="214"/>
      <c r="AH239" s="214"/>
      <c r="AI239" s="214"/>
      <c r="AJ239" s="214"/>
      <c r="AK239" s="214"/>
      <c r="AL239" s="214"/>
      <c r="AM239" s="214"/>
    </row>
    <row r="240" spans="2:41" s="213" customFormat="1">
      <c r="B240" s="225"/>
      <c r="D240" s="910"/>
      <c r="F240" s="242"/>
      <c r="G240" s="243"/>
      <c r="H240" s="243"/>
      <c r="I240" s="243"/>
      <c r="J240" s="243"/>
      <c r="K240" s="243"/>
      <c r="L240" s="243"/>
      <c r="M240" s="459"/>
      <c r="N240" s="242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14"/>
      <c r="AD240" s="214"/>
      <c r="AE240" s="214"/>
      <c r="AF240" s="214"/>
      <c r="AG240" s="214"/>
      <c r="AH240" s="214"/>
      <c r="AI240" s="214"/>
      <c r="AJ240" s="214"/>
      <c r="AK240" s="214"/>
      <c r="AL240" s="214"/>
      <c r="AM240" s="214"/>
    </row>
    <row r="241" spans="2:39" s="213" customFormat="1">
      <c r="B241" s="225"/>
      <c r="D241" s="910"/>
      <c r="F241" s="242"/>
      <c r="G241" s="243"/>
      <c r="H241" s="243"/>
      <c r="I241" s="243"/>
      <c r="J241" s="243"/>
      <c r="K241" s="243"/>
      <c r="L241" s="243"/>
      <c r="M241" s="459"/>
      <c r="N241" s="242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14"/>
      <c r="AD241" s="214"/>
      <c r="AE241" s="214"/>
      <c r="AF241" s="214"/>
      <c r="AG241" s="214"/>
      <c r="AH241" s="214"/>
      <c r="AI241" s="214"/>
      <c r="AJ241" s="214"/>
      <c r="AK241" s="214"/>
      <c r="AL241" s="214"/>
      <c r="AM241" s="214"/>
    </row>
    <row r="242" spans="2:39" s="213" customFormat="1">
      <c r="B242" s="225"/>
      <c r="D242" s="910"/>
      <c r="F242" s="242"/>
      <c r="G242" s="243"/>
      <c r="H242" s="243"/>
      <c r="I242" s="243"/>
      <c r="J242" s="243"/>
      <c r="K242" s="243"/>
      <c r="L242" s="243"/>
      <c r="M242" s="459"/>
      <c r="N242" s="242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14"/>
      <c r="AD242" s="214"/>
      <c r="AE242" s="214"/>
      <c r="AF242" s="214"/>
      <c r="AG242" s="214"/>
      <c r="AH242" s="214"/>
      <c r="AI242" s="214"/>
      <c r="AJ242" s="214"/>
      <c r="AK242" s="214"/>
      <c r="AL242" s="214"/>
      <c r="AM242" s="214"/>
    </row>
    <row r="243" spans="2:39" s="213" customFormat="1">
      <c r="B243" s="225"/>
      <c r="D243" s="910"/>
      <c r="F243" s="242"/>
      <c r="G243" s="243"/>
      <c r="H243" s="243"/>
      <c r="I243" s="243"/>
      <c r="J243" s="243"/>
      <c r="K243" s="243"/>
      <c r="L243" s="243"/>
      <c r="M243" s="459"/>
      <c r="N243" s="242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14"/>
      <c r="AD243" s="214"/>
      <c r="AE243" s="214"/>
      <c r="AF243" s="214"/>
      <c r="AG243" s="214"/>
      <c r="AH243" s="214"/>
      <c r="AI243" s="214"/>
      <c r="AJ243" s="214"/>
      <c r="AK243" s="214"/>
      <c r="AL243" s="214"/>
      <c r="AM243" s="214"/>
    </row>
    <row r="244" spans="2:39" s="213" customFormat="1">
      <c r="B244" s="225"/>
      <c r="D244" s="910"/>
      <c r="F244" s="242"/>
      <c r="G244" s="243"/>
      <c r="H244" s="243"/>
      <c r="I244" s="243"/>
      <c r="J244" s="243"/>
      <c r="K244" s="243"/>
      <c r="L244" s="243"/>
      <c r="M244" s="459"/>
      <c r="N244" s="242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14"/>
      <c r="AD244" s="214"/>
      <c r="AE244" s="214"/>
      <c r="AF244" s="214"/>
      <c r="AG244" s="214"/>
      <c r="AH244" s="214"/>
      <c r="AI244" s="214"/>
      <c r="AJ244" s="214"/>
      <c r="AK244" s="214"/>
      <c r="AL244" s="214"/>
      <c r="AM244" s="214"/>
    </row>
    <row r="245" spans="2:39" s="213" customFormat="1">
      <c r="B245" s="225"/>
      <c r="D245" s="910"/>
      <c r="F245" s="242"/>
      <c r="G245" s="243"/>
      <c r="H245" s="243"/>
      <c r="I245" s="243"/>
      <c r="J245" s="243"/>
      <c r="K245" s="243"/>
      <c r="L245" s="243"/>
      <c r="M245" s="459"/>
      <c r="N245" s="242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14"/>
      <c r="AD245" s="214"/>
      <c r="AE245" s="214"/>
      <c r="AF245" s="214"/>
      <c r="AG245" s="214"/>
      <c r="AH245" s="214"/>
      <c r="AI245" s="214"/>
      <c r="AJ245" s="214"/>
      <c r="AK245" s="214"/>
      <c r="AL245" s="214"/>
      <c r="AM245" s="214"/>
    </row>
    <row r="246" spans="2:39" s="213" customFormat="1">
      <c r="B246" s="225"/>
      <c r="D246" s="910"/>
      <c r="F246" s="242"/>
      <c r="G246" s="243"/>
      <c r="H246" s="243"/>
      <c r="I246" s="243"/>
      <c r="J246" s="243"/>
      <c r="K246" s="243"/>
      <c r="L246" s="243"/>
      <c r="M246" s="459"/>
      <c r="N246" s="242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14"/>
      <c r="AD246" s="214"/>
      <c r="AE246" s="214"/>
      <c r="AF246" s="214"/>
      <c r="AG246" s="214"/>
      <c r="AH246" s="214"/>
      <c r="AI246" s="214"/>
      <c r="AJ246" s="214"/>
      <c r="AK246" s="214"/>
      <c r="AL246" s="214"/>
      <c r="AM246" s="214"/>
    </row>
    <row r="247" spans="2:39" s="213" customFormat="1">
      <c r="B247" s="225"/>
      <c r="D247" s="910"/>
      <c r="F247" s="242"/>
      <c r="G247" s="243"/>
      <c r="H247" s="243"/>
      <c r="I247" s="243"/>
      <c r="J247" s="243"/>
      <c r="K247" s="243"/>
      <c r="L247" s="243"/>
      <c r="M247" s="459"/>
      <c r="N247" s="242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14"/>
      <c r="AD247" s="214"/>
      <c r="AE247" s="214"/>
      <c r="AF247" s="214"/>
      <c r="AG247" s="214"/>
      <c r="AH247" s="214"/>
      <c r="AI247" s="214"/>
      <c r="AJ247" s="214"/>
      <c r="AK247" s="214"/>
      <c r="AL247" s="214"/>
      <c r="AM247" s="214"/>
    </row>
    <row r="248" spans="2:39" s="213" customFormat="1">
      <c r="B248" s="225"/>
      <c r="D248" s="910"/>
      <c r="F248" s="242"/>
      <c r="G248" s="243"/>
      <c r="H248" s="243"/>
      <c r="I248" s="243"/>
      <c r="J248" s="243"/>
      <c r="K248" s="243"/>
      <c r="L248" s="243"/>
      <c r="M248" s="459"/>
      <c r="N248" s="242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14"/>
      <c r="AD248" s="214"/>
      <c r="AE248" s="214"/>
      <c r="AF248" s="214"/>
      <c r="AG248" s="214"/>
      <c r="AH248" s="214"/>
      <c r="AI248" s="214"/>
      <c r="AJ248" s="214"/>
      <c r="AK248" s="214"/>
      <c r="AL248" s="214"/>
      <c r="AM248" s="214"/>
    </row>
    <row r="249" spans="2:39" s="213" customFormat="1">
      <c r="B249" s="225"/>
      <c r="D249" s="910"/>
      <c r="F249" s="242"/>
      <c r="G249" s="243"/>
      <c r="H249" s="243"/>
      <c r="I249" s="243"/>
      <c r="J249" s="243"/>
      <c r="K249" s="243"/>
      <c r="L249" s="243"/>
      <c r="M249" s="459"/>
      <c r="N249" s="242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14"/>
      <c r="AD249" s="214"/>
      <c r="AE249" s="214"/>
      <c r="AF249" s="214"/>
      <c r="AG249" s="214"/>
      <c r="AH249" s="214"/>
      <c r="AI249" s="214"/>
      <c r="AJ249" s="214"/>
      <c r="AK249" s="214"/>
      <c r="AL249" s="214"/>
      <c r="AM249" s="214"/>
    </row>
    <row r="250" spans="2:39" s="213" customFormat="1">
      <c r="B250" s="225"/>
      <c r="D250" s="910"/>
      <c r="F250" s="242"/>
      <c r="G250" s="243"/>
      <c r="H250" s="243"/>
      <c r="I250" s="243"/>
      <c r="J250" s="243"/>
      <c r="K250" s="243"/>
      <c r="L250" s="243"/>
      <c r="M250" s="459"/>
      <c r="N250" s="242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14"/>
      <c r="AD250" s="214"/>
      <c r="AE250" s="214"/>
      <c r="AF250" s="214"/>
      <c r="AG250" s="214"/>
      <c r="AH250" s="214"/>
      <c r="AI250" s="214"/>
      <c r="AJ250" s="214"/>
      <c r="AK250" s="214"/>
      <c r="AL250" s="214"/>
      <c r="AM250" s="214"/>
    </row>
    <row r="251" spans="2:39" s="213" customFormat="1">
      <c r="B251" s="225"/>
      <c r="D251" s="910"/>
      <c r="F251" s="242"/>
      <c r="G251" s="243"/>
      <c r="H251" s="243"/>
      <c r="I251" s="243"/>
      <c r="J251" s="243"/>
      <c r="K251" s="243"/>
      <c r="L251" s="243"/>
      <c r="M251" s="459"/>
      <c r="N251" s="242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14"/>
      <c r="AD251" s="214"/>
      <c r="AE251" s="214"/>
      <c r="AF251" s="214"/>
      <c r="AG251" s="214"/>
      <c r="AH251" s="214"/>
      <c r="AI251" s="214"/>
      <c r="AJ251" s="214"/>
      <c r="AK251" s="214"/>
      <c r="AL251" s="214"/>
      <c r="AM251" s="214"/>
    </row>
    <row r="252" spans="2:39" s="213" customFormat="1">
      <c r="B252" s="225"/>
      <c r="D252" s="910"/>
      <c r="F252" s="242"/>
      <c r="G252" s="243"/>
      <c r="H252" s="243"/>
      <c r="I252" s="243"/>
      <c r="J252" s="243"/>
      <c r="K252" s="243"/>
      <c r="L252" s="243"/>
      <c r="M252" s="459"/>
      <c r="N252" s="242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14"/>
      <c r="AD252" s="214"/>
      <c r="AE252" s="214"/>
      <c r="AF252" s="214"/>
      <c r="AG252" s="214"/>
      <c r="AH252" s="214"/>
      <c r="AI252" s="214"/>
      <c r="AJ252" s="214"/>
      <c r="AK252" s="214"/>
      <c r="AL252" s="214"/>
      <c r="AM252" s="214"/>
    </row>
    <row r="253" spans="2:39" s="213" customFormat="1">
      <c r="B253" s="225"/>
      <c r="D253" s="910"/>
      <c r="F253" s="242"/>
      <c r="G253" s="243"/>
      <c r="H253" s="243"/>
      <c r="I253" s="243"/>
      <c r="J253" s="243"/>
      <c r="K253" s="243"/>
      <c r="L253" s="243"/>
      <c r="M253" s="459"/>
      <c r="N253" s="242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14"/>
      <c r="AD253" s="214"/>
      <c r="AE253" s="214"/>
      <c r="AF253" s="214"/>
      <c r="AG253" s="214"/>
      <c r="AH253" s="214"/>
      <c r="AI253" s="214"/>
      <c r="AJ253" s="214"/>
      <c r="AK253" s="214"/>
      <c r="AL253" s="214"/>
      <c r="AM253" s="214"/>
    </row>
    <row r="254" spans="2:39" s="213" customFormat="1">
      <c r="B254" s="225"/>
      <c r="D254" s="910"/>
      <c r="F254" s="242"/>
      <c r="G254" s="243"/>
      <c r="H254" s="243"/>
      <c r="I254" s="243"/>
      <c r="J254" s="243"/>
      <c r="K254" s="243"/>
      <c r="L254" s="243"/>
      <c r="M254" s="459"/>
      <c r="N254" s="242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14"/>
      <c r="AD254" s="214"/>
      <c r="AE254" s="214"/>
      <c r="AF254" s="214"/>
      <c r="AG254" s="214"/>
      <c r="AH254" s="214"/>
      <c r="AI254" s="214"/>
      <c r="AJ254" s="214"/>
      <c r="AK254" s="214"/>
      <c r="AL254" s="214"/>
      <c r="AM254" s="214"/>
    </row>
    <row r="255" spans="2:39" s="213" customFormat="1">
      <c r="B255" s="225"/>
      <c r="D255" s="910"/>
      <c r="F255" s="242"/>
      <c r="G255" s="243"/>
      <c r="H255" s="243"/>
      <c r="I255" s="243"/>
      <c r="J255" s="243"/>
      <c r="K255" s="243"/>
      <c r="L255" s="243"/>
      <c r="M255" s="459"/>
      <c r="N255" s="242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14"/>
      <c r="AD255" s="214"/>
      <c r="AE255" s="214"/>
      <c r="AF255" s="214"/>
      <c r="AG255" s="214"/>
      <c r="AH255" s="214"/>
      <c r="AI255" s="214"/>
      <c r="AJ255" s="214"/>
      <c r="AK255" s="214"/>
      <c r="AL255" s="214"/>
      <c r="AM255" s="214"/>
    </row>
    <row r="256" spans="2:39" s="213" customFormat="1">
      <c r="B256" s="225"/>
      <c r="D256" s="910"/>
      <c r="F256" s="242"/>
      <c r="G256" s="243"/>
      <c r="H256" s="243"/>
      <c r="I256" s="243"/>
      <c r="J256" s="243"/>
      <c r="K256" s="243"/>
      <c r="L256" s="243"/>
      <c r="M256" s="459"/>
      <c r="N256" s="242"/>
      <c r="O256" s="141"/>
      <c r="P256" s="141"/>
      <c r="Q256" s="148"/>
      <c r="R256" s="148"/>
      <c r="S256" s="149"/>
      <c r="T256" s="149"/>
      <c r="U256" s="150"/>
      <c r="V256" s="150"/>
      <c r="W256" s="150"/>
      <c r="X256" s="150"/>
      <c r="Y256" s="150"/>
      <c r="Z256" s="150"/>
      <c r="AA256" s="150"/>
      <c r="AC256" s="214"/>
      <c r="AD256" s="214"/>
      <c r="AE256" s="214"/>
      <c r="AF256" s="214"/>
      <c r="AG256" s="214"/>
      <c r="AH256" s="214"/>
      <c r="AI256" s="214"/>
      <c r="AJ256" s="214"/>
      <c r="AK256" s="214"/>
      <c r="AL256" s="214"/>
      <c r="AM256" s="214"/>
    </row>
    <row r="257" spans="1:40" s="213" customFormat="1">
      <c r="B257" s="225"/>
      <c r="D257" s="910"/>
      <c r="F257" s="242"/>
      <c r="G257" s="243"/>
      <c r="H257" s="243"/>
      <c r="I257" s="243"/>
      <c r="J257" s="243"/>
      <c r="K257" s="243"/>
      <c r="L257" s="243"/>
      <c r="M257" s="459"/>
      <c r="N257" s="242"/>
      <c r="O257" s="141"/>
      <c r="P257" s="141"/>
      <c r="Q257" s="148"/>
      <c r="R257" s="148"/>
      <c r="S257" s="149"/>
      <c r="T257" s="149"/>
      <c r="U257" s="150"/>
      <c r="V257" s="150"/>
      <c r="W257" s="150"/>
      <c r="X257" s="150"/>
      <c r="Y257" s="150"/>
      <c r="Z257" s="150"/>
      <c r="AA257" s="150"/>
      <c r="AC257" s="214"/>
      <c r="AD257" s="214"/>
      <c r="AE257" s="214"/>
      <c r="AF257" s="214"/>
      <c r="AG257" s="214"/>
      <c r="AH257" s="214"/>
      <c r="AI257" s="214"/>
      <c r="AJ257" s="214"/>
      <c r="AK257" s="214"/>
      <c r="AL257" s="214"/>
      <c r="AM257" s="214"/>
    </row>
    <row r="258" spans="1:40" s="213" customFormat="1">
      <c r="B258" s="225"/>
      <c r="D258" s="910"/>
      <c r="F258" s="242"/>
      <c r="G258" s="243"/>
      <c r="H258" s="243"/>
      <c r="I258" s="243"/>
      <c r="J258" s="243"/>
      <c r="K258" s="243"/>
      <c r="L258" s="243"/>
      <c r="M258" s="459"/>
      <c r="N258" s="242"/>
      <c r="O258" s="141"/>
      <c r="P258" s="141"/>
      <c r="Q258" s="148"/>
      <c r="R258" s="148"/>
      <c r="S258" s="149"/>
      <c r="T258" s="149"/>
      <c r="U258" s="150"/>
      <c r="V258" s="150"/>
      <c r="W258" s="150"/>
      <c r="X258" s="150"/>
      <c r="Y258" s="150"/>
      <c r="Z258" s="150"/>
      <c r="AA258" s="150"/>
      <c r="AC258" s="214"/>
      <c r="AD258" s="214"/>
      <c r="AE258" s="214"/>
      <c r="AF258" s="214"/>
      <c r="AG258" s="214"/>
      <c r="AH258" s="214"/>
      <c r="AI258" s="214"/>
      <c r="AJ258" s="214"/>
      <c r="AK258" s="214"/>
      <c r="AL258" s="214"/>
      <c r="AM258" s="214"/>
    </row>
    <row r="259" spans="1:40" s="213" customFormat="1">
      <c r="B259" s="225"/>
      <c r="D259" s="910"/>
      <c r="F259" s="242"/>
      <c r="G259" s="243"/>
      <c r="H259" s="243"/>
      <c r="I259" s="243"/>
      <c r="J259" s="243"/>
      <c r="K259" s="243"/>
      <c r="L259" s="243"/>
      <c r="M259" s="459"/>
      <c r="N259" s="242"/>
      <c r="O259" s="141"/>
      <c r="P259" s="141"/>
      <c r="Q259" s="148"/>
      <c r="R259" s="148"/>
      <c r="S259" s="149"/>
      <c r="T259" s="149"/>
      <c r="U259" s="150"/>
      <c r="V259" s="150"/>
      <c r="W259" s="150"/>
      <c r="X259" s="150"/>
      <c r="Y259" s="150"/>
      <c r="Z259" s="150"/>
      <c r="AA259" s="150"/>
      <c r="AC259" s="214"/>
      <c r="AD259" s="214"/>
      <c r="AE259" s="214"/>
      <c r="AF259" s="214"/>
      <c r="AG259" s="214"/>
      <c r="AH259" s="214"/>
      <c r="AI259" s="214"/>
      <c r="AJ259" s="214"/>
      <c r="AK259" s="214"/>
      <c r="AL259" s="214"/>
      <c r="AM259" s="214"/>
    </row>
    <row r="260" spans="1:40" s="213" customFormat="1">
      <c r="B260" s="225"/>
      <c r="D260" s="910"/>
      <c r="F260" s="242"/>
      <c r="G260" s="243"/>
      <c r="H260" s="243"/>
      <c r="I260" s="243"/>
      <c r="J260" s="243"/>
      <c r="K260" s="243"/>
      <c r="L260" s="243"/>
      <c r="M260" s="459"/>
      <c r="N260" s="242"/>
      <c r="O260" s="141"/>
      <c r="P260" s="141"/>
      <c r="Q260" s="148"/>
      <c r="R260" s="148"/>
      <c r="S260" s="149"/>
      <c r="T260" s="149"/>
      <c r="U260" s="150"/>
      <c r="V260" s="150"/>
      <c r="W260" s="150"/>
      <c r="X260" s="150"/>
      <c r="Y260" s="150"/>
      <c r="Z260" s="150"/>
      <c r="AA260" s="150"/>
      <c r="AC260" s="214"/>
      <c r="AD260" s="214"/>
      <c r="AE260" s="214"/>
      <c r="AF260" s="214"/>
      <c r="AG260" s="214"/>
      <c r="AH260" s="214"/>
      <c r="AI260" s="214"/>
      <c r="AJ260" s="214"/>
      <c r="AK260" s="214"/>
      <c r="AL260" s="214"/>
      <c r="AM260" s="214"/>
    </row>
    <row r="261" spans="1:40" s="213" customFormat="1">
      <c r="B261" s="225"/>
      <c r="D261" s="910"/>
      <c r="F261" s="242"/>
      <c r="G261" s="243"/>
      <c r="H261" s="243"/>
      <c r="I261" s="243"/>
      <c r="J261" s="243"/>
      <c r="K261" s="243"/>
      <c r="L261" s="243"/>
      <c r="M261" s="459"/>
      <c r="N261" s="242"/>
      <c r="O261" s="141"/>
      <c r="P261" s="141"/>
      <c r="Q261" s="148"/>
      <c r="R261" s="148"/>
      <c r="S261" s="149"/>
      <c r="T261" s="149"/>
      <c r="U261" s="150"/>
      <c r="V261" s="150"/>
      <c r="W261" s="150"/>
      <c r="X261" s="150"/>
      <c r="Y261" s="150"/>
      <c r="Z261" s="150"/>
      <c r="AA261" s="150"/>
      <c r="AC261" s="214"/>
      <c r="AD261" s="214"/>
      <c r="AE261" s="214"/>
      <c r="AF261" s="214"/>
      <c r="AG261" s="214"/>
      <c r="AH261" s="214"/>
      <c r="AI261" s="214"/>
      <c r="AJ261" s="214"/>
      <c r="AK261" s="214"/>
      <c r="AL261" s="214"/>
      <c r="AM261" s="214"/>
    </row>
    <row r="262" spans="1:40" s="213" customFormat="1">
      <c r="B262" s="225"/>
      <c r="D262" s="910"/>
      <c r="F262" s="242"/>
      <c r="G262" s="243"/>
      <c r="H262" s="243"/>
      <c r="I262" s="243"/>
      <c r="J262" s="243"/>
      <c r="K262" s="243"/>
      <c r="L262" s="243"/>
      <c r="M262" s="459"/>
      <c r="N262" s="242"/>
      <c r="O262" s="141"/>
      <c r="P262" s="141"/>
      <c r="Q262" s="148"/>
      <c r="R262" s="148"/>
      <c r="S262" s="149"/>
      <c r="T262" s="149"/>
      <c r="U262" s="150"/>
      <c r="V262" s="150"/>
      <c r="W262" s="150"/>
      <c r="X262" s="150"/>
      <c r="Y262" s="150"/>
      <c r="Z262" s="150"/>
      <c r="AA262" s="150"/>
      <c r="AC262" s="214"/>
      <c r="AD262" s="214"/>
      <c r="AE262" s="214"/>
      <c r="AF262" s="214"/>
      <c r="AG262" s="214"/>
      <c r="AH262" s="214"/>
      <c r="AI262" s="214"/>
      <c r="AJ262" s="214"/>
      <c r="AK262" s="214"/>
      <c r="AL262" s="214"/>
      <c r="AM262" s="214"/>
    </row>
    <row r="263" spans="1:40" s="213" customFormat="1">
      <c r="B263" s="225"/>
      <c r="D263" s="910"/>
      <c r="F263" s="242"/>
      <c r="G263" s="243"/>
      <c r="H263" s="243"/>
      <c r="I263" s="243"/>
      <c r="J263" s="243"/>
      <c r="K263" s="243"/>
      <c r="L263" s="243"/>
      <c r="M263" s="459"/>
      <c r="N263" s="242"/>
      <c r="O263" s="141"/>
      <c r="P263" s="141"/>
      <c r="Q263" s="148"/>
      <c r="R263" s="148"/>
      <c r="S263" s="149"/>
      <c r="T263" s="149"/>
      <c r="U263" s="150"/>
      <c r="V263" s="150"/>
      <c r="W263" s="150"/>
      <c r="X263" s="150"/>
      <c r="Y263" s="150"/>
      <c r="Z263" s="150"/>
      <c r="AA263" s="150"/>
      <c r="AC263" s="214"/>
      <c r="AD263" s="214"/>
      <c r="AE263" s="214"/>
      <c r="AF263" s="214"/>
      <c r="AG263" s="214"/>
      <c r="AH263" s="214"/>
      <c r="AI263" s="214"/>
      <c r="AJ263" s="214"/>
      <c r="AK263" s="214"/>
      <c r="AL263" s="214"/>
      <c r="AM263" s="214"/>
    </row>
    <row r="264" spans="1:40" s="213" customFormat="1">
      <c r="B264" s="225"/>
      <c r="D264" s="910"/>
      <c r="F264" s="242"/>
      <c r="G264" s="243"/>
      <c r="H264" s="243"/>
      <c r="I264" s="243"/>
      <c r="J264" s="243"/>
      <c r="K264" s="243"/>
      <c r="L264" s="243"/>
      <c r="M264" s="459"/>
      <c r="N264" s="242"/>
      <c r="O264" s="141"/>
      <c r="P264" s="141"/>
      <c r="Q264" s="148"/>
      <c r="R264" s="148"/>
      <c r="S264" s="149"/>
      <c r="T264" s="149"/>
      <c r="U264" s="150"/>
      <c r="V264" s="150"/>
      <c r="W264" s="150"/>
      <c r="X264" s="150"/>
      <c r="Y264" s="150"/>
      <c r="Z264" s="150"/>
      <c r="AA264" s="150"/>
      <c r="AC264" s="214"/>
      <c r="AD264" s="214"/>
      <c r="AE264" s="214"/>
      <c r="AF264" s="214"/>
      <c r="AG264" s="214"/>
      <c r="AH264" s="214"/>
      <c r="AI264" s="214"/>
      <c r="AJ264" s="214"/>
      <c r="AK264" s="214"/>
      <c r="AL264" s="214"/>
      <c r="AM264" s="214"/>
    </row>
    <row r="265" spans="1:40" s="213" customFormat="1">
      <c r="B265" s="225"/>
      <c r="D265" s="910"/>
      <c r="F265" s="242"/>
      <c r="G265" s="243"/>
      <c r="H265" s="243"/>
      <c r="I265" s="243"/>
      <c r="J265" s="243"/>
      <c r="K265" s="243"/>
      <c r="L265" s="243"/>
      <c r="M265" s="459"/>
      <c r="N265" s="242"/>
      <c r="O265" s="141"/>
      <c r="P265" s="141"/>
      <c r="Q265" s="148"/>
      <c r="R265" s="148"/>
      <c r="S265" s="149"/>
      <c r="T265" s="149"/>
      <c r="U265" s="150"/>
      <c r="V265" s="150"/>
      <c r="W265" s="150"/>
      <c r="X265" s="150"/>
      <c r="Y265" s="150"/>
      <c r="Z265" s="150"/>
      <c r="AA265" s="150"/>
      <c r="AC265" s="214"/>
      <c r="AD265" s="214"/>
      <c r="AE265" s="214"/>
      <c r="AF265" s="214"/>
      <c r="AG265" s="214"/>
      <c r="AH265" s="214"/>
      <c r="AI265" s="214"/>
      <c r="AJ265" s="214"/>
      <c r="AK265" s="214"/>
      <c r="AL265" s="214"/>
      <c r="AM265" s="214"/>
    </row>
    <row r="266" spans="1:40">
      <c r="A266" s="204"/>
      <c r="O266" s="155"/>
      <c r="P266" s="155"/>
      <c r="Q266" s="156"/>
      <c r="R266" s="156"/>
      <c r="S266" s="251"/>
      <c r="T266" s="251"/>
      <c r="U266" s="252"/>
      <c r="V266" s="252"/>
      <c r="W266" s="252"/>
      <c r="X266" s="252"/>
      <c r="Y266" s="252"/>
      <c r="Z266" s="252"/>
      <c r="AA266" s="252"/>
      <c r="AN266" s="204"/>
    </row>
    <row r="267" spans="1:40">
      <c r="A267" s="204"/>
      <c r="O267" s="155"/>
      <c r="P267" s="155"/>
      <c r="Q267" s="156"/>
      <c r="R267" s="156"/>
      <c r="S267" s="251"/>
      <c r="T267" s="251"/>
      <c r="U267" s="252"/>
      <c r="V267" s="252"/>
      <c r="W267" s="252"/>
      <c r="X267" s="252"/>
      <c r="Y267" s="252"/>
      <c r="Z267" s="252"/>
      <c r="AA267" s="252"/>
      <c r="AN267" s="204"/>
    </row>
    <row r="268" spans="1:40">
      <c r="A268" s="204"/>
      <c r="O268" s="155"/>
      <c r="P268" s="155"/>
      <c r="Q268" s="156"/>
      <c r="R268" s="156"/>
      <c r="S268" s="251"/>
      <c r="T268" s="251"/>
      <c r="U268" s="252"/>
      <c r="V268" s="252"/>
      <c r="W268" s="252"/>
      <c r="X268" s="252"/>
      <c r="Y268" s="252"/>
      <c r="Z268" s="252"/>
      <c r="AA268" s="252"/>
      <c r="AN268" s="204"/>
    </row>
    <row r="269" spans="1:40">
      <c r="A269" s="204"/>
      <c r="O269" s="155"/>
      <c r="P269" s="155"/>
      <c r="Q269" s="156"/>
      <c r="R269" s="156"/>
      <c r="S269" s="251"/>
      <c r="T269" s="251"/>
      <c r="U269" s="252"/>
      <c r="V269" s="252"/>
      <c r="W269" s="252"/>
      <c r="X269" s="252"/>
      <c r="Y269" s="252"/>
      <c r="Z269" s="252"/>
      <c r="AA269" s="252"/>
      <c r="AN269" s="204"/>
    </row>
    <row r="270" spans="1:40">
      <c r="A270" s="204"/>
      <c r="O270" s="155"/>
      <c r="P270" s="155"/>
      <c r="Q270" s="156"/>
      <c r="R270" s="156"/>
      <c r="S270" s="251"/>
      <c r="T270" s="251"/>
      <c r="U270" s="252"/>
      <c r="V270" s="252"/>
      <c r="W270" s="252"/>
      <c r="X270" s="252"/>
      <c r="Y270" s="252"/>
      <c r="Z270" s="252"/>
      <c r="AA270" s="252"/>
      <c r="AN270" s="204"/>
    </row>
    <row r="271" spans="1:40">
      <c r="A271" s="204"/>
      <c r="O271" s="155"/>
      <c r="P271" s="155"/>
      <c r="Q271" s="156"/>
      <c r="R271" s="156"/>
      <c r="S271" s="251"/>
      <c r="T271" s="251"/>
      <c r="U271" s="252"/>
      <c r="V271" s="252"/>
      <c r="W271" s="252"/>
      <c r="X271" s="252"/>
      <c r="Y271" s="252"/>
      <c r="Z271" s="252"/>
      <c r="AA271" s="252"/>
      <c r="AN271" s="204"/>
    </row>
    <row r="272" spans="1:40">
      <c r="A272" s="204"/>
      <c r="O272" s="155"/>
      <c r="P272" s="155"/>
      <c r="Q272" s="156"/>
      <c r="R272" s="156"/>
      <c r="S272" s="251"/>
      <c r="T272" s="251"/>
      <c r="U272" s="252"/>
      <c r="V272" s="252"/>
      <c r="W272" s="252"/>
      <c r="X272" s="252"/>
      <c r="Y272" s="252"/>
      <c r="Z272" s="252"/>
      <c r="AA272" s="252"/>
      <c r="AN272" s="204"/>
    </row>
    <row r="273" spans="1:40">
      <c r="A273" s="204"/>
      <c r="O273" s="155"/>
      <c r="P273" s="155"/>
      <c r="Q273" s="156"/>
      <c r="R273" s="156"/>
      <c r="S273" s="251"/>
      <c r="T273" s="251"/>
      <c r="U273" s="252"/>
      <c r="V273" s="252"/>
      <c r="W273" s="252"/>
      <c r="X273" s="252"/>
      <c r="Y273" s="252"/>
      <c r="Z273" s="252"/>
      <c r="AA273" s="252"/>
      <c r="AN273" s="204"/>
    </row>
    <row r="274" spans="1:40">
      <c r="A274" s="204"/>
      <c r="O274" s="155"/>
      <c r="P274" s="155"/>
      <c r="Q274" s="156"/>
      <c r="R274" s="156"/>
      <c r="S274" s="251"/>
      <c r="T274" s="251"/>
      <c r="U274" s="252"/>
      <c r="V274" s="252"/>
      <c r="W274" s="252"/>
      <c r="X274" s="252"/>
      <c r="Y274" s="252"/>
      <c r="Z274" s="252"/>
      <c r="AA274" s="252"/>
      <c r="AN274" s="204"/>
    </row>
    <row r="275" spans="1:40">
      <c r="A275" s="204"/>
      <c r="O275" s="155"/>
      <c r="P275" s="155"/>
      <c r="Q275" s="156"/>
      <c r="R275" s="156"/>
      <c r="S275" s="251"/>
      <c r="T275" s="251"/>
      <c r="U275" s="252"/>
      <c r="V275" s="252"/>
      <c r="W275" s="252"/>
      <c r="X275" s="252"/>
      <c r="Y275" s="252"/>
      <c r="Z275" s="252"/>
      <c r="AA275" s="252"/>
      <c r="AN275" s="204"/>
    </row>
    <row r="276" spans="1:40">
      <c r="A276" s="204"/>
      <c r="O276" s="155"/>
      <c r="P276" s="155"/>
      <c r="Q276" s="156"/>
      <c r="R276" s="156"/>
      <c r="S276" s="251"/>
      <c r="T276" s="251"/>
      <c r="U276" s="252"/>
      <c r="V276" s="252"/>
      <c r="W276" s="252"/>
      <c r="X276" s="252"/>
      <c r="Y276" s="252"/>
      <c r="Z276" s="252"/>
      <c r="AA276" s="252"/>
      <c r="AN276" s="204"/>
    </row>
    <row r="277" spans="1:40">
      <c r="A277" s="204"/>
      <c r="O277" s="155"/>
      <c r="P277" s="155"/>
      <c r="Q277" s="156"/>
      <c r="R277" s="156"/>
      <c r="S277" s="251"/>
      <c r="T277" s="251"/>
      <c r="U277" s="252"/>
      <c r="V277" s="252"/>
      <c r="W277" s="252"/>
      <c r="X277" s="252"/>
      <c r="Y277" s="252"/>
      <c r="Z277" s="252"/>
      <c r="AA277" s="252"/>
      <c r="AN277" s="204"/>
    </row>
    <row r="278" spans="1:40">
      <c r="A278" s="204"/>
      <c r="O278" s="155"/>
      <c r="P278" s="155"/>
      <c r="Q278" s="156"/>
      <c r="R278" s="156"/>
      <c r="S278" s="251"/>
      <c r="T278" s="251"/>
      <c r="U278" s="252"/>
      <c r="V278" s="252"/>
      <c r="W278" s="252"/>
      <c r="X278" s="252"/>
      <c r="Y278" s="252"/>
      <c r="Z278" s="252"/>
      <c r="AA278" s="252"/>
      <c r="AN278" s="204"/>
    </row>
    <row r="279" spans="1:40">
      <c r="A279" s="204"/>
      <c r="B279" s="204"/>
      <c r="D279" s="204"/>
      <c r="F279" s="204"/>
      <c r="G279" s="204"/>
      <c r="H279" s="204"/>
      <c r="I279" s="204"/>
      <c r="J279" s="204"/>
      <c r="K279" s="204"/>
      <c r="L279" s="204"/>
      <c r="M279" s="204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  <c r="AA279" s="204"/>
      <c r="AB279" s="204"/>
      <c r="AC279" s="204"/>
      <c r="AD279" s="204"/>
      <c r="AE279" s="204"/>
      <c r="AF279" s="204"/>
      <c r="AG279" s="204"/>
      <c r="AH279" s="204"/>
      <c r="AI279" s="204"/>
      <c r="AJ279" s="204"/>
      <c r="AK279" s="204"/>
      <c r="AL279" s="204"/>
      <c r="AM279" s="204"/>
      <c r="AN279" s="204"/>
    </row>
    <row r="280" spans="1:40">
      <c r="A280" s="204"/>
      <c r="B280" s="204"/>
      <c r="D280" s="204"/>
      <c r="F280" s="204"/>
      <c r="G280" s="204"/>
      <c r="H280" s="204"/>
      <c r="I280" s="204"/>
      <c r="J280" s="204"/>
      <c r="K280" s="204"/>
      <c r="L280" s="204"/>
      <c r="M280" s="204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  <c r="AA280" s="204"/>
      <c r="AB280" s="204"/>
      <c r="AC280" s="204"/>
      <c r="AD280" s="204"/>
      <c r="AE280" s="204"/>
      <c r="AF280" s="204"/>
      <c r="AG280" s="204"/>
      <c r="AH280" s="204"/>
      <c r="AI280" s="204"/>
      <c r="AJ280" s="204"/>
      <c r="AK280" s="204"/>
      <c r="AL280" s="204"/>
      <c r="AM280" s="204"/>
      <c r="AN280" s="204"/>
    </row>
    <row r="281" spans="1:40">
      <c r="A281" s="204"/>
      <c r="B281" s="204"/>
      <c r="D281" s="204"/>
      <c r="F281" s="204"/>
      <c r="G281" s="204"/>
      <c r="H281" s="204"/>
      <c r="I281" s="204"/>
      <c r="J281" s="204"/>
      <c r="K281" s="204"/>
      <c r="L281" s="204"/>
      <c r="M281" s="204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204"/>
      <c r="AB281" s="204"/>
      <c r="AC281" s="204"/>
      <c r="AD281" s="204"/>
      <c r="AE281" s="204"/>
      <c r="AF281" s="204"/>
      <c r="AG281" s="204"/>
      <c r="AH281" s="204"/>
      <c r="AI281" s="204"/>
      <c r="AJ281" s="204"/>
      <c r="AK281" s="204"/>
      <c r="AL281" s="204"/>
      <c r="AM281" s="204"/>
      <c r="AN281" s="204"/>
    </row>
    <row r="282" spans="1:40">
      <c r="A282" s="204"/>
      <c r="B282" s="204"/>
      <c r="D282" s="204"/>
      <c r="F282" s="204"/>
      <c r="G282" s="204"/>
      <c r="H282" s="204"/>
      <c r="I282" s="204"/>
      <c r="J282" s="204"/>
      <c r="K282" s="204"/>
      <c r="L282" s="204"/>
      <c r="M282" s="204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204"/>
      <c r="AB282" s="204"/>
      <c r="AC282" s="204"/>
      <c r="AD282" s="204"/>
      <c r="AE282" s="204"/>
      <c r="AF282" s="204"/>
      <c r="AG282" s="204"/>
      <c r="AH282" s="204"/>
      <c r="AI282" s="204"/>
      <c r="AJ282" s="204"/>
      <c r="AK282" s="204"/>
      <c r="AL282" s="204"/>
      <c r="AM282" s="204"/>
      <c r="AN282" s="204"/>
    </row>
    <row r="283" spans="1:40">
      <c r="A283" s="204"/>
      <c r="B283" s="204"/>
      <c r="D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  <c r="AH283" s="204"/>
      <c r="AI283" s="204"/>
      <c r="AJ283" s="204"/>
      <c r="AK283" s="204"/>
      <c r="AL283" s="204"/>
      <c r="AM283" s="204"/>
      <c r="AN283" s="204"/>
    </row>
    <row r="284" spans="1:40">
      <c r="A284" s="204"/>
      <c r="B284" s="204"/>
      <c r="D284" s="204"/>
      <c r="F284" s="204"/>
      <c r="G284" s="204"/>
      <c r="H284" s="204"/>
      <c r="I284" s="204"/>
      <c r="J284" s="204"/>
      <c r="K284" s="204"/>
      <c r="L284" s="204"/>
      <c r="M284" s="204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204"/>
      <c r="AB284" s="204"/>
      <c r="AC284" s="204"/>
      <c r="AD284" s="204"/>
      <c r="AE284" s="204"/>
      <c r="AF284" s="204"/>
      <c r="AG284" s="204"/>
      <c r="AH284" s="204"/>
      <c r="AI284" s="204"/>
      <c r="AJ284" s="204"/>
      <c r="AK284" s="204"/>
      <c r="AL284" s="204"/>
      <c r="AM284" s="204"/>
      <c r="AN284" s="204"/>
    </row>
    <row r="285" spans="1:40">
      <c r="A285" s="204"/>
      <c r="B285" s="204"/>
      <c r="D285" s="204"/>
      <c r="F285" s="204"/>
      <c r="G285" s="204"/>
      <c r="H285" s="204"/>
      <c r="I285" s="204"/>
      <c r="J285" s="204"/>
      <c r="K285" s="204"/>
      <c r="L285" s="204"/>
      <c r="M285" s="204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204"/>
      <c r="AB285" s="204"/>
      <c r="AC285" s="204"/>
      <c r="AD285" s="204"/>
      <c r="AE285" s="204"/>
      <c r="AF285" s="204"/>
      <c r="AG285" s="204"/>
      <c r="AH285" s="204"/>
      <c r="AI285" s="204"/>
      <c r="AJ285" s="204"/>
      <c r="AK285" s="204"/>
      <c r="AL285" s="204"/>
      <c r="AM285" s="204"/>
      <c r="AN285" s="204"/>
    </row>
    <row r="286" spans="1:40">
      <c r="A286" s="204"/>
      <c r="B286" s="204"/>
      <c r="D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204"/>
      <c r="AB286" s="204"/>
      <c r="AC286" s="204"/>
      <c r="AD286" s="204"/>
      <c r="AE286" s="204"/>
      <c r="AF286" s="204"/>
      <c r="AG286" s="204"/>
      <c r="AH286" s="204"/>
      <c r="AI286" s="204"/>
      <c r="AJ286" s="204"/>
      <c r="AK286" s="204"/>
      <c r="AL286" s="204"/>
      <c r="AM286" s="204"/>
      <c r="AN286" s="204"/>
    </row>
    <row r="287" spans="1:40">
      <c r="A287" s="204"/>
      <c r="B287" s="204"/>
      <c r="D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204"/>
      <c r="AB287" s="204"/>
      <c r="AC287" s="204"/>
      <c r="AD287" s="204"/>
      <c r="AE287" s="204"/>
      <c r="AF287" s="204"/>
      <c r="AG287" s="204"/>
      <c r="AH287" s="204"/>
      <c r="AI287" s="204"/>
      <c r="AJ287" s="204"/>
      <c r="AK287" s="204"/>
      <c r="AL287" s="204"/>
      <c r="AM287" s="204"/>
      <c r="AN287" s="204"/>
    </row>
    <row r="288" spans="1:40">
      <c r="A288" s="204"/>
      <c r="B288" s="204"/>
      <c r="D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204"/>
      <c r="AB288" s="204"/>
      <c r="AC288" s="204"/>
      <c r="AD288" s="204"/>
      <c r="AE288" s="204"/>
      <c r="AF288" s="204"/>
      <c r="AG288" s="204"/>
      <c r="AH288" s="204"/>
      <c r="AI288" s="204"/>
      <c r="AJ288" s="204"/>
      <c r="AK288" s="204"/>
      <c r="AL288" s="204"/>
      <c r="AM288" s="204"/>
      <c r="AN288" s="204"/>
    </row>
    <row r="289" spans="1:40">
      <c r="A289" s="204"/>
      <c r="B289" s="204"/>
      <c r="D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204"/>
      <c r="AB289" s="204"/>
      <c r="AC289" s="204"/>
      <c r="AD289" s="204"/>
      <c r="AE289" s="204"/>
      <c r="AF289" s="204"/>
      <c r="AG289" s="204"/>
      <c r="AH289" s="204"/>
      <c r="AI289" s="204"/>
      <c r="AJ289" s="204"/>
      <c r="AK289" s="204"/>
      <c r="AL289" s="204"/>
      <c r="AM289" s="204"/>
      <c r="AN289" s="204"/>
    </row>
    <row r="290" spans="1:40">
      <c r="A290" s="204"/>
      <c r="B290" s="204"/>
      <c r="D290" s="204"/>
      <c r="F290" s="204"/>
      <c r="G290" s="204"/>
      <c r="H290" s="204"/>
      <c r="I290" s="204"/>
      <c r="J290" s="204"/>
      <c r="K290" s="204"/>
      <c r="L290" s="204"/>
      <c r="M290" s="204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204"/>
      <c r="AB290" s="204"/>
      <c r="AC290" s="204"/>
      <c r="AD290" s="204"/>
      <c r="AE290" s="204"/>
      <c r="AF290" s="204"/>
      <c r="AG290" s="204"/>
      <c r="AH290" s="204"/>
      <c r="AI290" s="204"/>
      <c r="AJ290" s="204"/>
      <c r="AK290" s="204"/>
      <c r="AL290" s="204"/>
      <c r="AM290" s="204"/>
      <c r="AN290" s="204"/>
    </row>
    <row r="291" spans="1:40">
      <c r="A291" s="204"/>
      <c r="B291" s="204"/>
      <c r="D291" s="204"/>
      <c r="F291" s="204"/>
      <c r="G291" s="204"/>
      <c r="H291" s="204"/>
      <c r="I291" s="204"/>
      <c r="J291" s="204"/>
      <c r="K291" s="204"/>
      <c r="L291" s="204"/>
      <c r="M291" s="204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204"/>
      <c r="AB291" s="204"/>
      <c r="AC291" s="204"/>
      <c r="AD291" s="204"/>
      <c r="AE291" s="204"/>
      <c r="AF291" s="204"/>
      <c r="AG291" s="204"/>
      <c r="AH291" s="204"/>
      <c r="AI291" s="204"/>
      <c r="AJ291" s="204"/>
      <c r="AK291" s="204"/>
      <c r="AL291" s="204"/>
      <c r="AM291" s="204"/>
      <c r="AN291" s="204"/>
    </row>
    <row r="292" spans="1:40">
      <c r="A292" s="204"/>
      <c r="B292" s="204"/>
      <c r="D292" s="204"/>
      <c r="F292" s="204"/>
      <c r="G292" s="204"/>
      <c r="H292" s="204"/>
      <c r="I292" s="204"/>
      <c r="J292" s="204"/>
      <c r="K292" s="204"/>
      <c r="L292" s="204"/>
      <c r="M292" s="204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204"/>
      <c r="AB292" s="204"/>
      <c r="AC292" s="204"/>
      <c r="AD292" s="204"/>
      <c r="AE292" s="204"/>
      <c r="AF292" s="204"/>
      <c r="AG292" s="204"/>
      <c r="AH292" s="204"/>
      <c r="AI292" s="204"/>
      <c r="AJ292" s="204"/>
      <c r="AK292" s="204"/>
      <c r="AL292" s="204"/>
      <c r="AM292" s="204"/>
      <c r="AN292" s="204"/>
    </row>
    <row r="293" spans="1:40">
      <c r="A293" s="204"/>
      <c r="B293" s="204"/>
      <c r="D293" s="204"/>
      <c r="F293" s="204"/>
      <c r="G293" s="204"/>
      <c r="H293" s="204"/>
      <c r="I293" s="204"/>
      <c r="J293" s="204"/>
      <c r="K293" s="204"/>
      <c r="L293" s="204"/>
      <c r="M293" s="204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204"/>
      <c r="AB293" s="204"/>
      <c r="AC293" s="204"/>
      <c r="AD293" s="204"/>
      <c r="AE293" s="204"/>
      <c r="AF293" s="204"/>
      <c r="AG293" s="204"/>
      <c r="AH293" s="204"/>
      <c r="AI293" s="204"/>
      <c r="AJ293" s="204"/>
      <c r="AK293" s="204"/>
      <c r="AL293" s="204"/>
      <c r="AM293" s="204"/>
      <c r="AN293" s="204"/>
    </row>
    <row r="294" spans="1:40">
      <c r="A294" s="204"/>
      <c r="B294" s="204"/>
      <c r="D294" s="204"/>
      <c r="F294" s="204"/>
      <c r="G294" s="204"/>
      <c r="H294" s="204"/>
      <c r="I294" s="204"/>
      <c r="J294" s="204"/>
      <c r="K294" s="204"/>
      <c r="L294" s="204"/>
      <c r="M294" s="204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  <c r="AA294" s="204"/>
      <c r="AB294" s="204"/>
      <c r="AC294" s="204"/>
      <c r="AD294" s="204"/>
      <c r="AE294" s="204"/>
      <c r="AF294" s="204"/>
      <c r="AG294" s="204"/>
      <c r="AH294" s="204"/>
      <c r="AI294" s="204"/>
      <c r="AJ294" s="204"/>
      <c r="AK294" s="204"/>
      <c r="AL294" s="204"/>
      <c r="AM294" s="204"/>
      <c r="AN294" s="204"/>
    </row>
    <row r="295" spans="1:40">
      <c r="A295" s="204"/>
      <c r="B295" s="204"/>
      <c r="D295" s="204"/>
      <c r="F295" s="204"/>
      <c r="G295" s="204"/>
      <c r="H295" s="204"/>
      <c r="I295" s="204"/>
      <c r="J295" s="204"/>
      <c r="K295" s="204"/>
      <c r="L295" s="204"/>
      <c r="M295" s="204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204"/>
      <c r="AB295" s="204"/>
      <c r="AC295" s="204"/>
      <c r="AD295" s="204"/>
      <c r="AE295" s="204"/>
      <c r="AF295" s="204"/>
      <c r="AG295" s="204"/>
      <c r="AH295" s="204"/>
      <c r="AI295" s="204"/>
      <c r="AJ295" s="204"/>
      <c r="AK295" s="204"/>
      <c r="AL295" s="204"/>
      <c r="AM295" s="204"/>
      <c r="AN295" s="204"/>
    </row>
    <row r="296" spans="1:40">
      <c r="A296" s="204"/>
      <c r="B296" s="204"/>
      <c r="D296" s="204"/>
      <c r="F296" s="204"/>
      <c r="G296" s="204"/>
      <c r="H296" s="204"/>
      <c r="I296" s="204"/>
      <c r="J296" s="204"/>
      <c r="K296" s="204"/>
      <c r="L296" s="204"/>
      <c r="M296" s="204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204"/>
      <c r="AB296" s="204"/>
      <c r="AC296" s="204"/>
      <c r="AD296" s="204"/>
      <c r="AE296" s="204"/>
      <c r="AF296" s="204"/>
      <c r="AG296" s="204"/>
      <c r="AH296" s="204"/>
      <c r="AI296" s="204"/>
      <c r="AJ296" s="204"/>
      <c r="AK296" s="204"/>
      <c r="AL296" s="204"/>
      <c r="AM296" s="204"/>
      <c r="AN296" s="204"/>
    </row>
    <row r="297" spans="1:40">
      <c r="A297" s="204"/>
      <c r="B297" s="204"/>
      <c r="D297" s="204"/>
      <c r="F297" s="204"/>
      <c r="G297" s="204"/>
      <c r="H297" s="204"/>
      <c r="I297" s="204"/>
      <c r="J297" s="204"/>
      <c r="K297" s="204"/>
      <c r="L297" s="204"/>
      <c r="M297" s="204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204"/>
      <c r="AB297" s="204"/>
      <c r="AC297" s="204"/>
      <c r="AD297" s="204"/>
      <c r="AE297" s="204"/>
      <c r="AF297" s="204"/>
      <c r="AG297" s="204"/>
      <c r="AH297" s="204"/>
      <c r="AI297" s="204"/>
      <c r="AJ297" s="204"/>
      <c r="AK297" s="204"/>
      <c r="AL297" s="204"/>
      <c r="AM297" s="204"/>
      <c r="AN297" s="204"/>
    </row>
    <row r="298" spans="1:40">
      <c r="A298" s="204"/>
      <c r="B298" s="204"/>
      <c r="D298" s="204"/>
      <c r="F298" s="204"/>
      <c r="G298" s="204"/>
      <c r="H298" s="204"/>
      <c r="I298" s="204"/>
      <c r="J298" s="204"/>
      <c r="K298" s="204"/>
      <c r="L298" s="204"/>
      <c r="M298" s="204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204"/>
      <c r="AB298" s="204"/>
      <c r="AC298" s="204"/>
      <c r="AD298" s="204"/>
      <c r="AE298" s="204"/>
      <c r="AF298" s="204"/>
      <c r="AG298" s="204"/>
      <c r="AH298" s="204"/>
      <c r="AI298" s="204"/>
      <c r="AJ298" s="204"/>
      <c r="AK298" s="204"/>
      <c r="AL298" s="204"/>
      <c r="AM298" s="204"/>
      <c r="AN298" s="204"/>
    </row>
    <row r="299" spans="1:40">
      <c r="A299" s="204"/>
      <c r="B299" s="204"/>
      <c r="D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204"/>
      <c r="AB299" s="204"/>
      <c r="AC299" s="204"/>
      <c r="AD299" s="204"/>
      <c r="AE299" s="204"/>
      <c r="AF299" s="204"/>
      <c r="AG299" s="204"/>
      <c r="AH299" s="204"/>
      <c r="AI299" s="204"/>
      <c r="AJ299" s="204"/>
      <c r="AK299" s="204"/>
      <c r="AL299" s="204"/>
      <c r="AM299" s="204"/>
      <c r="AN299" s="204"/>
    </row>
    <row r="300" spans="1:40">
      <c r="A300" s="204"/>
      <c r="B300" s="204"/>
      <c r="D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204"/>
      <c r="AB300" s="204"/>
      <c r="AC300" s="204"/>
      <c r="AD300" s="204"/>
      <c r="AE300" s="204"/>
      <c r="AF300" s="204"/>
      <c r="AG300" s="204"/>
      <c r="AH300" s="204"/>
      <c r="AI300" s="204"/>
      <c r="AJ300" s="204"/>
      <c r="AK300" s="204"/>
      <c r="AL300" s="204"/>
      <c r="AM300" s="204"/>
      <c r="AN300" s="204"/>
    </row>
    <row r="301" spans="1:40">
      <c r="A301" s="204"/>
      <c r="B301" s="204"/>
      <c r="D301" s="204"/>
      <c r="F301" s="204"/>
      <c r="G301" s="204"/>
      <c r="H301" s="204"/>
      <c r="I301" s="204"/>
      <c r="J301" s="204"/>
      <c r="K301" s="204"/>
      <c r="L301" s="204"/>
      <c r="M301" s="204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204"/>
      <c r="AB301" s="204"/>
      <c r="AC301" s="204"/>
      <c r="AD301" s="204"/>
      <c r="AE301" s="204"/>
      <c r="AF301" s="204"/>
      <c r="AG301" s="204"/>
      <c r="AH301" s="204"/>
      <c r="AI301" s="204"/>
      <c r="AJ301" s="204"/>
      <c r="AK301" s="204"/>
      <c r="AL301" s="204"/>
      <c r="AM301" s="204"/>
      <c r="AN301" s="204"/>
    </row>
    <row r="302" spans="1:40">
      <c r="A302" s="204"/>
      <c r="B302" s="204"/>
      <c r="D302" s="204"/>
      <c r="F302" s="204"/>
      <c r="G302" s="204"/>
      <c r="H302" s="204"/>
      <c r="I302" s="204"/>
      <c r="J302" s="204"/>
      <c r="K302" s="204"/>
      <c r="L302" s="204"/>
      <c r="M302" s="204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204"/>
      <c r="AB302" s="204"/>
      <c r="AC302" s="204"/>
      <c r="AD302" s="204"/>
      <c r="AE302" s="204"/>
      <c r="AF302" s="204"/>
      <c r="AG302" s="204"/>
      <c r="AH302" s="204"/>
      <c r="AI302" s="204"/>
      <c r="AJ302" s="204"/>
      <c r="AK302" s="204"/>
      <c r="AL302" s="204"/>
      <c r="AM302" s="204"/>
      <c r="AN302" s="204"/>
    </row>
    <row r="303" spans="1:40">
      <c r="A303" s="204"/>
      <c r="B303" s="204"/>
      <c r="D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204"/>
      <c r="AB303" s="204"/>
      <c r="AC303" s="204"/>
      <c r="AD303" s="204"/>
      <c r="AE303" s="204"/>
      <c r="AF303" s="204"/>
      <c r="AG303" s="204"/>
      <c r="AH303" s="204"/>
      <c r="AI303" s="204"/>
      <c r="AJ303" s="204"/>
      <c r="AK303" s="204"/>
      <c r="AL303" s="204"/>
      <c r="AM303" s="204"/>
      <c r="AN303" s="204"/>
    </row>
    <row r="304" spans="1:40">
      <c r="A304" s="204"/>
      <c r="B304" s="204"/>
      <c r="D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204"/>
      <c r="AB304" s="204"/>
      <c r="AC304" s="204"/>
      <c r="AD304" s="204"/>
      <c r="AE304" s="204"/>
      <c r="AF304" s="204"/>
      <c r="AG304" s="204"/>
      <c r="AH304" s="204"/>
      <c r="AI304" s="204"/>
      <c r="AJ304" s="204"/>
      <c r="AK304" s="204"/>
      <c r="AL304" s="204"/>
      <c r="AM304" s="204"/>
      <c r="AN304" s="204"/>
    </row>
    <row r="305" spans="1:40">
      <c r="A305" s="204"/>
      <c r="B305" s="204"/>
      <c r="D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204"/>
      <c r="AB305" s="204"/>
      <c r="AC305" s="204"/>
      <c r="AD305" s="204"/>
      <c r="AE305" s="204"/>
      <c r="AF305" s="204"/>
      <c r="AG305" s="204"/>
      <c r="AH305" s="204"/>
      <c r="AI305" s="204"/>
      <c r="AJ305" s="204"/>
      <c r="AK305" s="204"/>
      <c r="AL305" s="204"/>
      <c r="AM305" s="204"/>
      <c r="AN305" s="204"/>
    </row>
    <row r="306" spans="1:40">
      <c r="A306" s="204"/>
      <c r="B306" s="204"/>
      <c r="D306" s="204"/>
      <c r="F306" s="204"/>
      <c r="G306" s="204"/>
      <c r="H306" s="204"/>
      <c r="I306" s="204"/>
      <c r="J306" s="204"/>
      <c r="K306" s="204"/>
      <c r="L306" s="204"/>
      <c r="M306" s="204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  <c r="AA306" s="204"/>
      <c r="AB306" s="204"/>
      <c r="AC306" s="204"/>
      <c r="AD306" s="204"/>
      <c r="AE306" s="204"/>
      <c r="AF306" s="204"/>
      <c r="AG306" s="204"/>
      <c r="AH306" s="204"/>
      <c r="AI306" s="204"/>
      <c r="AJ306" s="204"/>
      <c r="AK306" s="204"/>
      <c r="AL306" s="204"/>
      <c r="AM306" s="204"/>
      <c r="AN306" s="204"/>
    </row>
    <row r="307" spans="1:40">
      <c r="A307" s="204"/>
      <c r="B307" s="204"/>
      <c r="D307" s="204"/>
      <c r="F307" s="204"/>
      <c r="G307" s="204"/>
      <c r="H307" s="204"/>
      <c r="I307" s="204"/>
      <c r="J307" s="204"/>
      <c r="K307" s="204"/>
      <c r="L307" s="204"/>
      <c r="M307" s="204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204"/>
      <c r="AB307" s="204"/>
      <c r="AC307" s="204"/>
      <c r="AD307" s="204"/>
      <c r="AE307" s="204"/>
      <c r="AF307" s="204"/>
      <c r="AG307" s="204"/>
      <c r="AH307" s="204"/>
      <c r="AI307" s="204"/>
      <c r="AJ307" s="204"/>
      <c r="AK307" s="204"/>
      <c r="AL307" s="204"/>
      <c r="AM307" s="204"/>
      <c r="AN307" s="204"/>
    </row>
    <row r="308" spans="1:40">
      <c r="A308" s="204"/>
      <c r="B308" s="204"/>
      <c r="D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204"/>
      <c r="AB308" s="204"/>
      <c r="AC308" s="204"/>
      <c r="AD308" s="204"/>
      <c r="AE308" s="204"/>
      <c r="AF308" s="204"/>
      <c r="AG308" s="204"/>
      <c r="AH308" s="204"/>
      <c r="AI308" s="204"/>
      <c r="AJ308" s="204"/>
      <c r="AK308" s="204"/>
      <c r="AL308" s="204"/>
      <c r="AM308" s="204"/>
      <c r="AN308" s="204"/>
    </row>
    <row r="309" spans="1:40">
      <c r="A309" s="204"/>
      <c r="B309" s="204"/>
      <c r="D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204"/>
      <c r="AB309" s="204"/>
      <c r="AC309" s="204"/>
      <c r="AD309" s="204"/>
      <c r="AE309" s="204"/>
      <c r="AF309" s="204"/>
      <c r="AG309" s="204"/>
      <c r="AH309" s="204"/>
      <c r="AI309" s="204"/>
      <c r="AJ309" s="204"/>
      <c r="AK309" s="204"/>
      <c r="AL309" s="204"/>
      <c r="AM309" s="204"/>
      <c r="AN309" s="204"/>
    </row>
  </sheetData>
  <mergeCells count="1">
    <mergeCell ref="Q77:R77"/>
  </mergeCells>
  <conditionalFormatting sqref="AB8:AH8">
    <cfRule type="cellIs" dxfId="629" priority="7" stopIfTrue="1" operator="lessThan">
      <formula>0</formula>
    </cfRule>
  </conditionalFormatting>
  <conditionalFormatting sqref="H32">
    <cfRule type="cellIs" dxfId="628" priority="3" stopIfTrue="1" operator="equal">
      <formula>1</formula>
    </cfRule>
  </conditionalFormatting>
  <conditionalFormatting sqref="D26 F26:G26 I26:K26">
    <cfRule type="cellIs" dxfId="627" priority="6" stopIfTrue="1" operator="equal">
      <formula>1</formula>
    </cfRule>
  </conditionalFormatting>
  <conditionalFormatting sqref="H26">
    <cfRule type="cellIs" dxfId="626" priority="5" stopIfTrue="1" operator="equal">
      <formula>1</formula>
    </cfRule>
  </conditionalFormatting>
  <conditionalFormatting sqref="F32:G32 D32 I32:K32">
    <cfRule type="cellIs" dxfId="625" priority="4" stopIfTrue="1" operator="equal">
      <formula>1</formula>
    </cfRule>
  </conditionalFormatting>
  <conditionalFormatting sqref="F55:G56 D55:D56 D58 F58:G58 I58:K58 I55:K56">
    <cfRule type="cellIs" dxfId="624" priority="2" stopIfTrue="1" operator="equal">
      <formula>1</formula>
    </cfRule>
  </conditionalFormatting>
  <conditionalFormatting sqref="H58 H55:H56">
    <cfRule type="cellIs" dxfId="623" priority="1" stopIfTrue="1" operator="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fitToHeight="2" orientation="landscape" horizontalDpi="0" verticalDpi="0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1B6E4-88A9-5443-A80B-83237AE8AE12}">
  <sheetPr codeName="Hoja31"/>
  <dimension ref="A1:AO267"/>
  <sheetViews>
    <sheetView topLeftCell="A33" zoomScale="150" zoomScaleNormal="150" workbookViewId="0">
      <selection activeCell="K2" sqref="K2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33203125" style="1" customWidth="1"/>
    <col min="4" max="4" width="0.83203125" style="3082" customWidth="1"/>
    <col min="5" max="5" width="2.5" style="1" customWidth="1"/>
    <col min="6" max="6" width="3" style="2818" customWidth="1"/>
    <col min="7" max="7" width="5.6640625" style="780" customWidth="1"/>
    <col min="8" max="8" width="6.5" style="780" customWidth="1"/>
    <col min="9" max="10" width="7.33203125" style="780" customWidth="1"/>
    <col min="11" max="11" width="27.6640625" style="780" customWidth="1"/>
    <col min="12" max="12" width="8" style="780" customWidth="1"/>
    <col min="13" max="13" width="1" style="2820" customWidth="1"/>
    <col min="14" max="14" width="9.5" style="2818" customWidth="1"/>
    <col min="15" max="15" width="1" style="780" customWidth="1"/>
    <col min="16" max="16" width="9" style="780" customWidth="1"/>
    <col min="17" max="17" width="6.6640625" style="2821" customWidth="1"/>
    <col min="18" max="18" width="7.6640625" style="2821" customWidth="1"/>
    <col min="19" max="19" width="1.33203125" style="2822" customWidth="1"/>
    <col min="20" max="20" width="0.3320312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33203125" style="2823" customWidth="1"/>
    <col min="25" max="25" width="6" style="2823" customWidth="1"/>
    <col min="26" max="27" width="5.3320312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33203125" style="2826" customWidth="1"/>
    <col min="40" max="40" width="11.5" style="2825"/>
    <col min="41" max="16384" width="11.5" style="1"/>
  </cols>
  <sheetData>
    <row r="1" spans="1:40" ht="17.25" customHeight="1" thickBot="1">
      <c r="A1" s="3080" t="s">
        <v>344</v>
      </c>
      <c r="F1" s="527"/>
      <c r="G1" s="155"/>
      <c r="H1" s="155"/>
      <c r="I1" s="155"/>
      <c r="J1" s="3083"/>
      <c r="K1" s="3779" t="s">
        <v>2447</v>
      </c>
      <c r="L1" s="1009"/>
      <c r="U1" s="2827" t="s">
        <v>345</v>
      </c>
      <c r="AI1" s="2825"/>
      <c r="AJ1" s="2825"/>
      <c r="AK1" s="2825"/>
      <c r="AL1" s="2825"/>
      <c r="AM1" s="2825"/>
    </row>
    <row r="2" spans="1:40" s="2839" customFormat="1" ht="71.25" customHeight="1" thickTop="1" thickBot="1">
      <c r="A2" s="3084" t="s">
        <v>346</v>
      </c>
      <c r="B2" s="3085" t="s">
        <v>347</v>
      </c>
      <c r="C2" s="3086" t="s">
        <v>348</v>
      </c>
      <c r="D2" s="3087"/>
      <c r="E2" s="4692" t="s">
        <v>349</v>
      </c>
      <c r="F2" s="3088" t="s">
        <v>350</v>
      </c>
      <c r="G2" s="3089" t="s">
        <v>351</v>
      </c>
      <c r="H2" s="3089" t="s">
        <v>624</v>
      </c>
      <c r="I2" s="3089" t="s">
        <v>352</v>
      </c>
      <c r="J2" s="3088" t="s">
        <v>353</v>
      </c>
      <c r="K2" s="3089" t="s">
        <v>354</v>
      </c>
      <c r="L2" s="3089"/>
      <c r="M2" s="3090" t="s">
        <v>355</v>
      </c>
      <c r="N2" s="3089" t="s">
        <v>445</v>
      </c>
      <c r="O2" s="3086" t="s">
        <v>446</v>
      </c>
      <c r="P2" s="3086" t="s">
        <v>447</v>
      </c>
      <c r="Q2" s="3091" t="s">
        <v>448</v>
      </c>
      <c r="R2" s="3092" t="s">
        <v>371</v>
      </c>
      <c r="S2" s="2828" t="s">
        <v>449</v>
      </c>
      <c r="T2" s="2828" t="s">
        <v>450</v>
      </c>
      <c r="U2" s="2829" t="s">
        <v>451</v>
      </c>
      <c r="V2" s="2830" t="s">
        <v>452</v>
      </c>
      <c r="W2" s="2831" t="s">
        <v>453</v>
      </c>
      <c r="X2" s="2832" t="s">
        <v>454</v>
      </c>
      <c r="Y2" s="2833" t="s">
        <v>455</v>
      </c>
      <c r="Z2" s="2834" t="s">
        <v>456</v>
      </c>
      <c r="AA2" s="2835" t="s">
        <v>457</v>
      </c>
      <c r="AB2" s="2836"/>
      <c r="AC2" s="2837"/>
      <c r="AD2" s="2838"/>
      <c r="AE2" s="2838"/>
      <c r="AF2" s="2838"/>
      <c r="AG2" s="2838"/>
      <c r="AH2" s="2838"/>
      <c r="AI2" s="2836"/>
      <c r="AJ2" s="2836"/>
      <c r="AK2" s="2836"/>
      <c r="AL2" s="2836"/>
      <c r="AM2" s="2836"/>
      <c r="AN2" s="2836"/>
    </row>
    <row r="3" spans="1:40" s="2839" customFormat="1" ht="11" customHeight="1" thickBot="1">
      <c r="A3" s="3093"/>
      <c r="B3" s="3912"/>
      <c r="C3" s="3913"/>
      <c r="D3" s="3914"/>
      <c r="E3" s="4693"/>
      <c r="F3" s="3915"/>
      <c r="G3" s="3913"/>
      <c r="H3" s="3913"/>
      <c r="I3" s="3913"/>
      <c r="J3" s="3915"/>
      <c r="K3" s="3913"/>
      <c r="L3" s="3913"/>
      <c r="M3" s="3916"/>
      <c r="N3" s="3913"/>
      <c r="O3" s="3913"/>
      <c r="P3" s="3913"/>
      <c r="Q3" s="3917"/>
      <c r="R3" s="3918"/>
      <c r="S3" s="3919"/>
      <c r="T3" s="3919"/>
      <c r="U3" s="3920">
        <v>9.3287037037037058E-4</v>
      </c>
      <c r="V3" s="4694">
        <v>8.6111111111111121E-4</v>
      </c>
      <c r="W3" s="4694">
        <v>7.8935185185185206E-4</v>
      </c>
      <c r="X3" s="4694">
        <v>7.175925925925927E-4</v>
      </c>
      <c r="Y3" s="4694">
        <v>7.1400462962962975E-4</v>
      </c>
      <c r="Z3" s="4694">
        <v>7.0324074074074082E-4</v>
      </c>
      <c r="AA3" s="4695">
        <v>6.8888888888888895E-4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63" customFormat="1" ht="4.25" customHeight="1" thickBot="1">
      <c r="A4" s="3101"/>
      <c r="B4" s="3923"/>
      <c r="C4" s="4696"/>
      <c r="D4" s="4697"/>
      <c r="E4" s="4696"/>
      <c r="F4" s="4698"/>
      <c r="G4" s="4699"/>
      <c r="H4" s="4699"/>
      <c r="I4" s="4699"/>
      <c r="J4" s="4698"/>
      <c r="K4" s="4699"/>
      <c r="L4" s="4699"/>
      <c r="M4" s="4700"/>
      <c r="N4" s="4701"/>
      <c r="O4" s="4696"/>
      <c r="P4" s="4696"/>
      <c r="Q4" s="4696"/>
      <c r="R4" s="4702"/>
      <c r="S4" s="2842"/>
      <c r="T4" s="2842"/>
      <c r="U4" s="2843">
        <f>U3/4</f>
        <v>2.3321759259259265E-4</v>
      </c>
      <c r="V4" s="2843">
        <f t="shared" ref="V4:AA4" si="0">V3/4</f>
        <v>2.152777777777778E-4</v>
      </c>
      <c r="W4" s="2843">
        <f t="shared" si="0"/>
        <v>1.9733796296296302E-4</v>
      </c>
      <c r="X4" s="2843">
        <f t="shared" si="0"/>
        <v>1.7939814814814817E-4</v>
      </c>
      <c r="Y4" s="2843">
        <f t="shared" si="0"/>
        <v>1.7850115740740744E-4</v>
      </c>
      <c r="Z4" s="2843">
        <f t="shared" si="0"/>
        <v>1.7581018518518521E-4</v>
      </c>
      <c r="AA4" s="2843">
        <f t="shared" si="0"/>
        <v>1.7222222222222224E-4</v>
      </c>
      <c r="AB4" s="2935"/>
      <c r="AC4" s="2936"/>
      <c r="AD4" s="2937"/>
      <c r="AE4" s="2937"/>
      <c r="AF4" s="2937"/>
      <c r="AG4" s="2937"/>
      <c r="AH4" s="2937"/>
      <c r="AI4" s="2935"/>
      <c r="AJ4" s="2935"/>
      <c r="AK4" s="2935"/>
      <c r="AL4" s="2935"/>
      <c r="AM4" s="2935"/>
      <c r="AN4" s="2935"/>
    </row>
    <row r="5" spans="1:40" ht="17" customHeight="1" thickTop="1" thickBot="1">
      <c r="A5" s="3622" t="s">
        <v>214</v>
      </c>
      <c r="B5" s="2530" t="s">
        <v>215</v>
      </c>
      <c r="C5" s="629">
        <f>IF(D5=1,U$4,IF(D5=2,V$4,IF(D5=3,W$4,IF(D5=4,X$4,IF(D5=5,Y$4,IF(D5=6,Z$4,IF(D5=7,AA$4,0)))))))</f>
        <v>2.152777777777778E-4</v>
      </c>
      <c r="D5" s="4703">
        <v>2</v>
      </c>
      <c r="E5" s="1979">
        <v>1</v>
      </c>
      <c r="F5" s="1979">
        <v>40</v>
      </c>
      <c r="G5" s="1979">
        <v>25</v>
      </c>
      <c r="H5" s="1979"/>
      <c r="I5" s="1985">
        <v>3.4722222222222224E-4</v>
      </c>
      <c r="J5" s="1985">
        <v>2.3148148148148146E-4</v>
      </c>
      <c r="K5" s="1986" t="s">
        <v>2252</v>
      </c>
      <c r="L5" s="1985">
        <v>0.34375</v>
      </c>
      <c r="M5" s="4730">
        <v>1</v>
      </c>
      <c r="N5" s="4847">
        <f t="shared" ref="N5:N9" si="1">P5*E5*F5+I5*F5*E5+J5*E5</f>
        <v>2.2731481481481484E-2</v>
      </c>
      <c r="O5" s="4711">
        <f>C5*(G5/25)</f>
        <v>2.152777777777778E-4</v>
      </c>
      <c r="P5" s="4847">
        <f t="shared" ref="P5:P9" si="2">O5*M5</f>
        <v>2.152777777777778E-4</v>
      </c>
      <c r="Q5" s="4714">
        <v>144</v>
      </c>
      <c r="R5" s="4710">
        <f>E5*F5*G5</f>
        <v>1000</v>
      </c>
      <c r="S5" s="2844">
        <f>E5*F5*G5/1000</f>
        <v>1</v>
      </c>
      <c r="T5" s="2845">
        <f>E5*F5*O5*4</f>
        <v>3.4444444444444451E-2</v>
      </c>
      <c r="U5" s="374">
        <f>IF(C5*4&gt;=$U$3,S5,0)</f>
        <v>0</v>
      </c>
      <c r="V5" s="2846">
        <f>IF(AND(C5*4&gt;=$V$3,C5*4&lt;$U$3),S5,0)</f>
        <v>1</v>
      </c>
      <c r="W5" s="2847">
        <f>IF(AND(C5*4&gt;=$W$3,C5*4&lt;$V$3),S5,0)</f>
        <v>0</v>
      </c>
      <c r="X5" s="2848">
        <f>IF(AND(C5*4&gt;=$X$3,C5*4&lt;$W$3),S5,0)</f>
        <v>0</v>
      </c>
      <c r="Y5" s="2849">
        <f>IF(AND(C5*4&gt;=$Y$3,C5*4&lt;$X$3),S5,0)</f>
        <v>0</v>
      </c>
      <c r="Z5" s="2850">
        <f>IF(AND(C5*4&gt;=$Z$3,C5*4&lt;$Y$3),S5,0)</f>
        <v>0</v>
      </c>
      <c r="AA5" s="2851">
        <f>IF(AND(C5*4&gt;=$AA$3,C5*4&lt;$Z$3),S5,0)</f>
        <v>0</v>
      </c>
      <c r="AB5" s="484">
        <v>1363.8030303030303</v>
      </c>
      <c r="AC5" s="484">
        <v>1363.8030303030303</v>
      </c>
      <c r="AD5" s="484">
        <v>1363.8030303030303</v>
      </c>
      <c r="AE5" s="484">
        <v>1363.8030303030303</v>
      </c>
      <c r="AF5" s="484">
        <v>1363.8030303030303</v>
      </c>
      <c r="AG5" s="484">
        <v>1363.8030303030303</v>
      </c>
      <c r="AH5" s="484">
        <v>1</v>
      </c>
      <c r="AI5" s="2825"/>
      <c r="AJ5" s="2825"/>
      <c r="AK5" s="2825"/>
      <c r="AL5" s="2825"/>
      <c r="AM5" s="2825"/>
    </row>
    <row r="6" spans="1:40" ht="17" customHeight="1" thickBot="1">
      <c r="A6" s="2183" t="s">
        <v>460</v>
      </c>
      <c r="B6" s="2530" t="s">
        <v>215</v>
      </c>
      <c r="C6" s="629">
        <f t="shared" ref="C6:C64" si="3">IF(D6=1,U$4,IF(D6=2,V$4,IF(D6=3,W$4,IF(D6=4,X$4,IF(D6=5,Y$4,IF(D6=6,Z$4,IF(D6=7,AA$4,0)))))))</f>
        <v>1.9733796296296302E-4</v>
      </c>
      <c r="D6" s="4708">
        <v>3</v>
      </c>
      <c r="E6" s="4731">
        <v>1</v>
      </c>
      <c r="F6" s="4731">
        <v>6</v>
      </c>
      <c r="G6" s="4710">
        <v>30</v>
      </c>
      <c r="H6" s="4732"/>
      <c r="I6" s="4733">
        <v>6.9444444444444447E-4</v>
      </c>
      <c r="J6" s="4733">
        <v>1.0416666666666667E-3</v>
      </c>
      <c r="K6" s="4734" t="s">
        <v>1567</v>
      </c>
      <c r="L6" s="4711">
        <f>L5+N5</f>
        <v>0.36648148148148146</v>
      </c>
      <c r="M6" s="4730">
        <v>1</v>
      </c>
      <c r="N6" s="4847">
        <f t="shared" ref="N6:N7" si="4">P6*E6*F6+I6*E6*F6+J6*E6</f>
        <v>6.6291666666666669E-3</v>
      </c>
      <c r="O6" s="4711">
        <f t="shared" ref="O6:O7" si="5">C6*(G6/25)</f>
        <v>2.3680555555555561E-4</v>
      </c>
      <c r="P6" s="4847">
        <f t="shared" si="2"/>
        <v>2.3680555555555561E-4</v>
      </c>
      <c r="Q6" s="4714">
        <v>161</v>
      </c>
      <c r="R6" s="4710">
        <f t="shared" ref="R6:R7" si="6">E6*F6*G6</f>
        <v>180</v>
      </c>
      <c r="S6" s="2844">
        <f t="shared" ref="S6:S64" si="7">E6*F6*G6/1000</f>
        <v>0.18</v>
      </c>
      <c r="T6" s="2845">
        <f t="shared" ref="T6:T64" si="8">E6*F6*O6*4</f>
        <v>5.6833333333333345E-3</v>
      </c>
      <c r="U6" s="374">
        <f t="shared" ref="U6:U64" si="9">IF(C6*4&gt;=$U$3,S6,0)</f>
        <v>0</v>
      </c>
      <c r="V6" s="2846">
        <f t="shared" ref="V6:V64" si="10">IF(AND(C6*4&gt;=$V$3,C6*4&lt;$U$3),S6,0)</f>
        <v>0</v>
      </c>
      <c r="W6" s="2847">
        <f t="shared" ref="W6:W64" si="11">IF(AND(C6*4&gt;=$W$3,C6*4&lt;$V$3),S6,0)</f>
        <v>0.18</v>
      </c>
      <c r="X6" s="2848">
        <f t="shared" ref="X6:X64" si="12">IF(AND(C6*4&gt;=$X$3,C6*4&lt;$W$3),S6,0)</f>
        <v>0</v>
      </c>
      <c r="Y6" s="2849">
        <f t="shared" ref="Y6:Y64" si="13">IF(AND(C6*4&gt;=$Y$3,C6*4&lt;$X$3),S6,0)</f>
        <v>0</v>
      </c>
      <c r="Z6" s="2850">
        <f t="shared" ref="Z6:Z64" si="14">IF(AND(C6*4&gt;=$Z$3,C6*4&lt;$Y$3),S6,0)</f>
        <v>0</v>
      </c>
      <c r="AA6" s="2851">
        <f t="shared" ref="AA6:AA64" si="15">IF(AND(C6*4&gt;=$AA$3,C6*4&lt;$Z$3),S6,0)</f>
        <v>0</v>
      </c>
      <c r="AB6" s="535">
        <v>1636.530303030303</v>
      </c>
      <c r="AC6" s="535">
        <v>1636.530303030303</v>
      </c>
      <c r="AD6" s="535">
        <v>1636.530303030303</v>
      </c>
      <c r="AE6" s="535">
        <v>1636.530303030303</v>
      </c>
      <c r="AF6" s="535">
        <v>1636.530303030303</v>
      </c>
      <c r="AG6" s="535">
        <v>1636.530303030303</v>
      </c>
      <c r="AH6" s="535">
        <v>1</v>
      </c>
      <c r="AI6" s="2825"/>
      <c r="AJ6" s="2825"/>
      <c r="AK6" s="2825"/>
      <c r="AL6" s="2825"/>
      <c r="AM6" s="2825"/>
    </row>
    <row r="7" spans="1:40" ht="17" customHeight="1" thickBot="1">
      <c r="A7" s="2183" t="s">
        <v>458</v>
      </c>
      <c r="B7" s="2530" t="s">
        <v>215</v>
      </c>
      <c r="C7" s="629">
        <f t="shared" si="3"/>
        <v>1.7222222222222224E-4</v>
      </c>
      <c r="D7" s="4785">
        <v>7</v>
      </c>
      <c r="E7" s="4767">
        <v>1</v>
      </c>
      <c r="F7" s="4767">
        <v>4</v>
      </c>
      <c r="G7" s="4768">
        <v>30</v>
      </c>
      <c r="H7" s="4767"/>
      <c r="I7" s="4769">
        <v>6.9444444444444447E-4</v>
      </c>
      <c r="J7" s="4770">
        <v>1.0416666666666667E-3</v>
      </c>
      <c r="K7" s="4722" t="s">
        <v>1567</v>
      </c>
      <c r="L7" s="4725">
        <f t="shared" ref="L7:L10" si="16">L6+N6</f>
        <v>0.37311064814814815</v>
      </c>
      <c r="M7" s="4771">
        <v>1</v>
      </c>
      <c r="N7" s="4725">
        <f t="shared" si="4"/>
        <v>4.6461111111111113E-3</v>
      </c>
      <c r="O7" s="4770">
        <f t="shared" si="5"/>
        <v>2.0666666666666668E-4</v>
      </c>
      <c r="P7" s="4725">
        <f t="shared" si="2"/>
        <v>2.0666666666666668E-4</v>
      </c>
      <c r="Q7" s="4772">
        <v>161</v>
      </c>
      <c r="R7" s="3939">
        <f t="shared" si="6"/>
        <v>120</v>
      </c>
      <c r="S7" s="2844">
        <f t="shared" si="7"/>
        <v>0.12</v>
      </c>
      <c r="T7" s="2845">
        <f t="shared" si="8"/>
        <v>3.306666666666667E-3</v>
      </c>
      <c r="U7" s="374">
        <f t="shared" si="9"/>
        <v>0</v>
      </c>
      <c r="V7" s="2846">
        <f t="shared" si="10"/>
        <v>0</v>
      </c>
      <c r="W7" s="2847">
        <f t="shared" si="11"/>
        <v>0</v>
      </c>
      <c r="X7" s="2848">
        <f t="shared" si="12"/>
        <v>0</v>
      </c>
      <c r="Y7" s="2849">
        <f t="shared" si="13"/>
        <v>0</v>
      </c>
      <c r="Z7" s="2850">
        <f t="shared" si="14"/>
        <v>0</v>
      </c>
      <c r="AA7" s="2851">
        <f t="shared" si="15"/>
        <v>0.12</v>
      </c>
      <c r="AB7" s="500">
        <v>1431.9848484848483</v>
      </c>
      <c r="AC7" s="500">
        <v>1431.9848484848483</v>
      </c>
      <c r="AD7" s="500">
        <v>65.315151515151911</v>
      </c>
      <c r="AE7" s="500">
        <v>0</v>
      </c>
      <c r="AF7" s="500">
        <v>1431.9848484848483</v>
      </c>
      <c r="AG7" s="500">
        <v>1431.9848484848483</v>
      </c>
      <c r="AH7" s="500">
        <v>1</v>
      </c>
      <c r="AI7" s="2825"/>
      <c r="AJ7" s="2825"/>
      <c r="AK7" s="2825"/>
      <c r="AL7" s="2825"/>
      <c r="AM7" s="2825"/>
    </row>
    <row r="8" spans="1:40" ht="14" customHeight="1" thickBot="1">
      <c r="A8" s="2183" t="s">
        <v>219</v>
      </c>
      <c r="B8" s="2184" t="s">
        <v>215</v>
      </c>
      <c r="C8" s="629">
        <f t="shared" si="3"/>
        <v>1.9733796296296302E-4</v>
      </c>
      <c r="D8" s="4418">
        <v>3</v>
      </c>
      <c r="E8" s="4710">
        <v>1</v>
      </c>
      <c r="F8" s="4710">
        <v>8</v>
      </c>
      <c r="G8" s="4710">
        <v>75</v>
      </c>
      <c r="H8" s="4710"/>
      <c r="I8" s="4711">
        <v>1.7361111111111112E-4</v>
      </c>
      <c r="J8" s="4711">
        <v>1.3888888888888889E-3</v>
      </c>
      <c r="K8" s="4712" t="s">
        <v>2027</v>
      </c>
      <c r="L8" s="4711">
        <f t="shared" si="16"/>
        <v>0.37775675925925928</v>
      </c>
      <c r="M8" s="4712">
        <v>1.1499999999999999</v>
      </c>
      <c r="N8" s="4847">
        <f t="shared" si="1"/>
        <v>8.2243055555555576E-3</v>
      </c>
      <c r="O8" s="4713">
        <f>C8*(G8/25)</f>
        <v>5.920138888888891E-4</v>
      </c>
      <c r="P8" s="4847">
        <f t="shared" si="2"/>
        <v>6.8081597222222241E-4</v>
      </c>
      <c r="Q8" s="4714">
        <v>144</v>
      </c>
      <c r="R8" s="4710">
        <f>E8*F8*G8</f>
        <v>600</v>
      </c>
      <c r="S8" s="2844">
        <f t="shared" si="7"/>
        <v>0.6</v>
      </c>
      <c r="T8" s="2845">
        <f t="shared" si="8"/>
        <v>1.8944444444444451E-2</v>
      </c>
      <c r="U8" s="374">
        <f t="shared" si="9"/>
        <v>0</v>
      </c>
      <c r="V8" s="2846">
        <f t="shared" si="10"/>
        <v>0</v>
      </c>
      <c r="W8" s="2847">
        <f t="shared" si="11"/>
        <v>0.6</v>
      </c>
      <c r="X8" s="2848">
        <f t="shared" si="12"/>
        <v>0</v>
      </c>
      <c r="Y8" s="2849">
        <f t="shared" si="13"/>
        <v>0</v>
      </c>
      <c r="Z8" s="2850">
        <f t="shared" si="14"/>
        <v>0</v>
      </c>
      <c r="AA8" s="2851">
        <f t="shared" si="15"/>
        <v>0</v>
      </c>
      <c r="AB8" s="501">
        <v>0</v>
      </c>
      <c r="AC8" s="501">
        <v>0</v>
      </c>
      <c r="AD8" s="501">
        <v>7</v>
      </c>
      <c r="AE8" s="501">
        <v>0</v>
      </c>
      <c r="AF8" s="501">
        <v>-1</v>
      </c>
      <c r="AG8" s="501">
        <v>1</v>
      </c>
      <c r="AH8" s="501">
        <v>1</v>
      </c>
      <c r="AI8" s="2825"/>
      <c r="AJ8" s="2825"/>
      <c r="AK8" s="2825"/>
      <c r="AL8" s="2825"/>
      <c r="AM8" s="2825"/>
    </row>
    <row r="9" spans="1:40" ht="14" customHeight="1" thickBot="1">
      <c r="A9" s="1"/>
      <c r="B9" s="2184" t="s">
        <v>215</v>
      </c>
      <c r="C9" s="629">
        <f t="shared" si="3"/>
        <v>1.7222222222222224E-4</v>
      </c>
      <c r="D9" s="920">
        <v>7</v>
      </c>
      <c r="E9" s="4717">
        <v>1</v>
      </c>
      <c r="F9" s="4718">
        <v>4</v>
      </c>
      <c r="G9" s="4718">
        <v>25</v>
      </c>
      <c r="H9" s="4719"/>
      <c r="I9" s="4720">
        <v>1.1574074074074073E-3</v>
      </c>
      <c r="J9" s="4721">
        <v>1.3888888888888889E-3</v>
      </c>
      <c r="K9" s="4722" t="s">
        <v>2022</v>
      </c>
      <c r="L9" s="4721">
        <f>L8+N8</f>
        <v>0.38598106481481481</v>
      </c>
      <c r="M9" s="4723">
        <v>1</v>
      </c>
      <c r="N9" s="4848">
        <f t="shared" si="1"/>
        <v>6.7074074074074076E-3</v>
      </c>
      <c r="O9" s="4725">
        <f>C9*(G9/25)</f>
        <v>1.7222222222222224E-4</v>
      </c>
      <c r="P9" s="4848">
        <f t="shared" si="2"/>
        <v>1.7222222222222224E-4</v>
      </c>
      <c r="Q9" s="4726">
        <v>144</v>
      </c>
      <c r="R9" s="4727">
        <f>E9*F9*G9</f>
        <v>100</v>
      </c>
      <c r="S9" s="2844">
        <f t="shared" si="7"/>
        <v>0.1</v>
      </c>
      <c r="T9" s="2845">
        <f t="shared" si="8"/>
        <v>2.7555555555555558E-3</v>
      </c>
      <c r="U9" s="374">
        <f t="shared" si="9"/>
        <v>0</v>
      </c>
      <c r="V9" s="2846">
        <f t="shared" si="10"/>
        <v>0</v>
      </c>
      <c r="W9" s="2847">
        <f t="shared" si="11"/>
        <v>0</v>
      </c>
      <c r="X9" s="2848">
        <f t="shared" si="12"/>
        <v>0</v>
      </c>
      <c r="Y9" s="2849">
        <f t="shared" si="13"/>
        <v>0</v>
      </c>
      <c r="Z9" s="2850">
        <f t="shared" si="14"/>
        <v>0</v>
      </c>
      <c r="AA9" s="2851">
        <f t="shared" si="15"/>
        <v>0.1</v>
      </c>
      <c r="AB9" s="503">
        <v>7</v>
      </c>
      <c r="AC9" s="503">
        <v>0</v>
      </c>
      <c r="AD9" s="503">
        <v>0</v>
      </c>
      <c r="AE9" s="503">
        <v>7</v>
      </c>
      <c r="AF9" s="503">
        <v>0</v>
      </c>
      <c r="AG9" s="503">
        <v>7</v>
      </c>
      <c r="AH9" s="503">
        <v>0</v>
      </c>
      <c r="AI9" s="2825"/>
      <c r="AJ9" s="2825"/>
      <c r="AK9" s="2825"/>
      <c r="AL9" s="2825"/>
      <c r="AM9" s="2825"/>
    </row>
    <row r="10" spans="1:40" ht="12" customHeight="1" thickBot="1">
      <c r="A10" s="1"/>
      <c r="B10" s="3336"/>
      <c r="C10" s="629">
        <f t="shared" si="3"/>
        <v>0</v>
      </c>
      <c r="D10" s="4407">
        <v>8</v>
      </c>
      <c r="E10" s="4728"/>
      <c r="F10" s="144"/>
      <c r="G10" s="144"/>
      <c r="H10" s="144"/>
      <c r="I10" s="144"/>
      <c r="J10" s="144"/>
      <c r="K10" s="144"/>
      <c r="L10" s="4711">
        <f t="shared" si="16"/>
        <v>0.3926884722222222</v>
      </c>
      <c r="M10" s="839">
        <v>2</v>
      </c>
      <c r="N10" s="4852"/>
      <c r="O10" s="839"/>
      <c r="P10" s="4849"/>
      <c r="Q10" s="839"/>
      <c r="R10" s="4729">
        <f>SUM(R5:R9)</f>
        <v>2000</v>
      </c>
      <c r="S10" s="2844">
        <f t="shared" si="7"/>
        <v>0</v>
      </c>
      <c r="T10" s="2845">
        <f t="shared" si="8"/>
        <v>0</v>
      </c>
      <c r="U10" s="374">
        <f t="shared" si="9"/>
        <v>0</v>
      </c>
      <c r="V10" s="2846">
        <f t="shared" si="10"/>
        <v>0</v>
      </c>
      <c r="W10" s="2847">
        <f t="shared" si="11"/>
        <v>0</v>
      </c>
      <c r="X10" s="2848">
        <f t="shared" si="12"/>
        <v>0</v>
      </c>
      <c r="Y10" s="2849">
        <f t="shared" si="13"/>
        <v>0</v>
      </c>
      <c r="Z10" s="2850">
        <f t="shared" si="14"/>
        <v>0</v>
      </c>
      <c r="AA10" s="2851">
        <f t="shared" si="15"/>
        <v>0</v>
      </c>
      <c r="AB10" s="504">
        <v>409.25757575757575</v>
      </c>
      <c r="AC10" s="504">
        <v>409.25757575757575</v>
      </c>
      <c r="AD10" s="504">
        <v>409.25757575757575</v>
      </c>
      <c r="AE10" s="504">
        <v>409.25757575757575</v>
      </c>
      <c r="AF10" s="504">
        <v>409.25757575757575</v>
      </c>
      <c r="AG10" s="504">
        <v>409.25757575757575</v>
      </c>
      <c r="AH10" s="504">
        <v>1</v>
      </c>
      <c r="AI10" s="2825"/>
      <c r="AJ10" s="2825"/>
      <c r="AK10" s="2825"/>
      <c r="AL10" s="2825"/>
      <c r="AM10" s="2825"/>
    </row>
    <row r="11" spans="1:40" ht="12" customHeight="1" thickBot="1">
      <c r="A11" s="3622" t="s">
        <v>214</v>
      </c>
      <c r="B11" s="2184" t="s">
        <v>461</v>
      </c>
      <c r="C11" s="629">
        <f t="shared" si="3"/>
        <v>2.3321759259259265E-4</v>
      </c>
      <c r="D11" s="920">
        <v>1</v>
      </c>
      <c r="E11" s="1979">
        <v>1</v>
      </c>
      <c r="F11" s="1979">
        <v>4</v>
      </c>
      <c r="G11" s="1979">
        <v>100</v>
      </c>
      <c r="H11" s="1979"/>
      <c r="I11" s="1985">
        <v>1.7361111111111112E-4</v>
      </c>
      <c r="J11" s="1985">
        <v>8.1018518518518516E-4</v>
      </c>
      <c r="K11" s="1986" t="s">
        <v>1109</v>
      </c>
      <c r="L11" s="1985">
        <v>0.79861111111111116</v>
      </c>
      <c r="M11" s="4730">
        <v>1.2</v>
      </c>
      <c r="N11" s="4847">
        <f t="shared" ref="N11:N16" si="17">P11*E11*F11+I11*F11*E11+J11*E11</f>
        <v>5.9824074074074085E-3</v>
      </c>
      <c r="O11" s="4711">
        <f t="shared" ref="O11:O16" si="18">C11*(G11/25)</f>
        <v>9.3287037037037058E-4</v>
      </c>
      <c r="P11" s="4847">
        <f t="shared" ref="P11:P16" si="19">O11*M11</f>
        <v>1.1194444444444446E-3</v>
      </c>
      <c r="Q11" s="4714">
        <v>160</v>
      </c>
      <c r="R11" s="4710">
        <f t="shared" ref="R11:R16" si="20">E11*F11*G11</f>
        <v>400</v>
      </c>
      <c r="S11" s="2844">
        <f t="shared" si="7"/>
        <v>0.4</v>
      </c>
      <c r="T11" s="2845">
        <f t="shared" si="8"/>
        <v>1.4925925925925929E-2</v>
      </c>
      <c r="U11" s="374">
        <f t="shared" si="9"/>
        <v>0.4</v>
      </c>
      <c r="V11" s="2846">
        <f t="shared" si="10"/>
        <v>0</v>
      </c>
      <c r="W11" s="2847">
        <f t="shared" si="11"/>
        <v>0</v>
      </c>
      <c r="X11" s="2848">
        <f t="shared" si="12"/>
        <v>0</v>
      </c>
      <c r="Y11" s="2849">
        <f t="shared" si="13"/>
        <v>0</v>
      </c>
      <c r="Z11" s="2850">
        <f t="shared" si="14"/>
        <v>0</v>
      </c>
      <c r="AA11" s="2851">
        <f t="shared" si="15"/>
        <v>0</v>
      </c>
      <c r="AC11" s="2867"/>
      <c r="AD11" s="2867"/>
      <c r="AE11" s="2867"/>
      <c r="AF11" s="2867"/>
      <c r="AG11" s="2867"/>
      <c r="AH11" s="2867"/>
      <c r="AI11" s="2825"/>
      <c r="AJ11" s="2825"/>
      <c r="AK11" s="2825"/>
      <c r="AL11" s="2825"/>
      <c r="AM11" s="2825"/>
    </row>
    <row r="12" spans="1:40" ht="14" customHeight="1" thickBot="1">
      <c r="A12" s="2183" t="s">
        <v>459</v>
      </c>
      <c r="B12" s="2184" t="s">
        <v>461</v>
      </c>
      <c r="C12" s="629">
        <f t="shared" si="3"/>
        <v>1.9733796296296302E-4</v>
      </c>
      <c r="D12" s="920">
        <v>3</v>
      </c>
      <c r="E12" s="4731">
        <v>1</v>
      </c>
      <c r="F12" s="4731">
        <v>10</v>
      </c>
      <c r="G12" s="4710">
        <v>50</v>
      </c>
      <c r="H12" s="4732"/>
      <c r="I12" s="4733">
        <v>2.8935185185185189E-4</v>
      </c>
      <c r="J12" s="4733">
        <v>9.8379629629629642E-4</v>
      </c>
      <c r="K12" s="4734" t="s">
        <v>2023</v>
      </c>
      <c r="L12" s="4711">
        <f t="shared" ref="L12:L16" si="21">L11+N11</f>
        <v>0.80459351851851857</v>
      </c>
      <c r="M12" s="4730">
        <v>1.1000000000000001</v>
      </c>
      <c r="N12" s="4847">
        <f t="shared" si="17"/>
        <v>8.2187500000000021E-3</v>
      </c>
      <c r="O12" s="4711">
        <f t="shared" si="18"/>
        <v>3.9467592592592603E-4</v>
      </c>
      <c r="P12" s="4847">
        <f t="shared" si="19"/>
        <v>4.3414351851851866E-4</v>
      </c>
      <c r="Q12" s="4714">
        <v>160</v>
      </c>
      <c r="R12" s="4710">
        <f t="shared" si="20"/>
        <v>500</v>
      </c>
      <c r="S12" s="2844">
        <f t="shared" si="7"/>
        <v>0.5</v>
      </c>
      <c r="T12" s="2845">
        <f t="shared" si="8"/>
        <v>1.578703703703704E-2</v>
      </c>
      <c r="U12" s="374">
        <f t="shared" si="9"/>
        <v>0</v>
      </c>
      <c r="V12" s="2846">
        <f t="shared" si="10"/>
        <v>0</v>
      </c>
      <c r="W12" s="2847">
        <f t="shared" si="11"/>
        <v>0.5</v>
      </c>
      <c r="X12" s="2848">
        <f t="shared" si="12"/>
        <v>0</v>
      </c>
      <c r="Y12" s="2849">
        <f t="shared" si="13"/>
        <v>0</v>
      </c>
      <c r="Z12" s="2850">
        <f t="shared" si="14"/>
        <v>0</v>
      </c>
      <c r="AA12" s="2851">
        <f t="shared" si="15"/>
        <v>0</v>
      </c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</row>
    <row r="13" spans="1:40" ht="12" customHeight="1" thickBot="1">
      <c r="A13" s="2183" t="s">
        <v>460</v>
      </c>
      <c r="B13" s="2184" t="s">
        <v>461</v>
      </c>
      <c r="C13" s="629">
        <f t="shared" si="3"/>
        <v>2.152777777777778E-4</v>
      </c>
      <c r="D13" s="920">
        <v>2</v>
      </c>
      <c r="E13" s="4735">
        <v>2</v>
      </c>
      <c r="F13" s="4736">
        <v>1</v>
      </c>
      <c r="G13" s="4737">
        <v>100</v>
      </c>
      <c r="H13" s="4738"/>
      <c r="I13" s="4738">
        <v>0</v>
      </c>
      <c r="J13" s="4739">
        <v>2.8935185185185189E-4</v>
      </c>
      <c r="K13" s="4740" t="s">
        <v>1110</v>
      </c>
      <c r="L13" s="4739">
        <f t="shared" si="21"/>
        <v>0.81281226851851862</v>
      </c>
      <c r="M13" s="4740">
        <v>1.1000000000000001</v>
      </c>
      <c r="N13" s="4850">
        <f t="shared" si="17"/>
        <v>2.4731481481481488E-3</v>
      </c>
      <c r="O13" s="4741">
        <f t="shared" si="18"/>
        <v>8.6111111111111121E-4</v>
      </c>
      <c r="P13" s="4850">
        <f t="shared" si="19"/>
        <v>9.4722222222222245E-4</v>
      </c>
      <c r="Q13" s="4742">
        <v>144</v>
      </c>
      <c r="R13" s="3965">
        <f t="shared" si="20"/>
        <v>200</v>
      </c>
      <c r="S13" s="2844">
        <f t="shared" si="7"/>
        <v>0.2</v>
      </c>
      <c r="T13" s="2845">
        <f t="shared" si="8"/>
        <v>6.8888888888888897E-3</v>
      </c>
      <c r="U13" s="374">
        <f t="shared" si="9"/>
        <v>0</v>
      </c>
      <c r="V13" s="2846">
        <f t="shared" si="10"/>
        <v>0.2</v>
      </c>
      <c r="W13" s="2847">
        <f t="shared" si="11"/>
        <v>0</v>
      </c>
      <c r="X13" s="2848">
        <f t="shared" si="12"/>
        <v>0</v>
      </c>
      <c r="Y13" s="2849">
        <f t="shared" si="13"/>
        <v>0</v>
      </c>
      <c r="Z13" s="2850">
        <f t="shared" si="14"/>
        <v>0</v>
      </c>
      <c r="AA13" s="2851">
        <f t="shared" si="15"/>
        <v>0</v>
      </c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</row>
    <row r="14" spans="1:40" ht="12" customHeight="1" thickBot="1">
      <c r="A14" s="2183" t="s">
        <v>458</v>
      </c>
      <c r="B14" s="2184" t="s">
        <v>461</v>
      </c>
      <c r="C14" s="629">
        <f t="shared" si="3"/>
        <v>2.152777777777778E-4</v>
      </c>
      <c r="D14" s="920">
        <v>2</v>
      </c>
      <c r="E14" s="4743">
        <v>2</v>
      </c>
      <c r="F14" s="4736">
        <v>1</v>
      </c>
      <c r="G14" s="4737">
        <v>200</v>
      </c>
      <c r="H14" s="4738"/>
      <c r="I14" s="4738">
        <v>0</v>
      </c>
      <c r="J14" s="4739">
        <v>2.3148148148148146E-4</v>
      </c>
      <c r="K14" s="4740" t="s">
        <v>1111</v>
      </c>
      <c r="L14" s="4739">
        <f t="shared" si="21"/>
        <v>0.81528541666666676</v>
      </c>
      <c r="M14" s="4740">
        <v>1.1000000000000001</v>
      </c>
      <c r="N14" s="4850">
        <f t="shared" si="17"/>
        <v>4.251851851851853E-3</v>
      </c>
      <c r="O14" s="4741">
        <f t="shared" si="18"/>
        <v>1.7222222222222224E-3</v>
      </c>
      <c r="P14" s="4850">
        <f t="shared" si="19"/>
        <v>1.8944444444444449E-3</v>
      </c>
      <c r="Q14" s="4742">
        <v>144</v>
      </c>
      <c r="R14" s="3965">
        <f t="shared" si="20"/>
        <v>400</v>
      </c>
      <c r="S14" s="2844">
        <f t="shared" si="7"/>
        <v>0.4</v>
      </c>
      <c r="T14" s="2845">
        <f t="shared" si="8"/>
        <v>1.3777777777777779E-2</v>
      </c>
      <c r="U14" s="374">
        <f t="shared" si="9"/>
        <v>0</v>
      </c>
      <c r="V14" s="2846">
        <f t="shared" si="10"/>
        <v>0.4</v>
      </c>
      <c r="W14" s="2847">
        <f t="shared" si="11"/>
        <v>0</v>
      </c>
      <c r="X14" s="2848">
        <f t="shared" si="12"/>
        <v>0</v>
      </c>
      <c r="Y14" s="2849">
        <f t="shared" si="13"/>
        <v>0</v>
      </c>
      <c r="Z14" s="2850">
        <f t="shared" si="14"/>
        <v>0</v>
      </c>
      <c r="AA14" s="2851">
        <f t="shared" si="15"/>
        <v>0</v>
      </c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</row>
    <row r="15" spans="1:40" ht="14" customHeight="1" thickBot="1">
      <c r="A15" s="2183" t="s">
        <v>219</v>
      </c>
      <c r="B15" s="3336" t="s">
        <v>461</v>
      </c>
      <c r="C15" s="629">
        <f t="shared" si="3"/>
        <v>1.7939814814814817E-4</v>
      </c>
      <c r="D15" s="920">
        <v>4</v>
      </c>
      <c r="E15" s="4743">
        <v>2</v>
      </c>
      <c r="F15" s="4744">
        <v>1</v>
      </c>
      <c r="G15" s="4745">
        <v>300</v>
      </c>
      <c r="H15" s="4746"/>
      <c r="I15" s="4746">
        <v>0</v>
      </c>
      <c r="J15" s="4747">
        <v>9.8379629629629642E-4</v>
      </c>
      <c r="K15" s="4748" t="s">
        <v>1112</v>
      </c>
      <c r="L15" s="4749">
        <f t="shared" si="21"/>
        <v>0.8195372685185186</v>
      </c>
      <c r="M15" s="4750">
        <v>1.22</v>
      </c>
      <c r="N15" s="4853">
        <f t="shared" si="17"/>
        <v>7.2203703703703718E-3</v>
      </c>
      <c r="O15" s="4749">
        <f t="shared" si="18"/>
        <v>2.1527777777777782E-3</v>
      </c>
      <c r="P15" s="4751">
        <f t="shared" si="19"/>
        <v>2.6263888888888895E-3</v>
      </c>
      <c r="Q15" s="4752">
        <v>185</v>
      </c>
      <c r="R15" s="4753">
        <f t="shared" si="20"/>
        <v>600</v>
      </c>
      <c r="S15" s="2844">
        <f t="shared" si="7"/>
        <v>0.6</v>
      </c>
      <c r="T15" s="2845">
        <f t="shared" si="8"/>
        <v>1.7222222222222226E-2</v>
      </c>
      <c r="U15" s="374">
        <f t="shared" si="9"/>
        <v>0</v>
      </c>
      <c r="V15" s="2846">
        <f t="shared" si="10"/>
        <v>0</v>
      </c>
      <c r="W15" s="2847">
        <f t="shared" si="11"/>
        <v>0</v>
      </c>
      <c r="X15" s="2848">
        <f t="shared" si="12"/>
        <v>0.6</v>
      </c>
      <c r="Y15" s="2849">
        <f t="shared" si="13"/>
        <v>0</v>
      </c>
      <c r="Z15" s="2850">
        <f t="shared" si="14"/>
        <v>0</v>
      </c>
      <c r="AA15" s="2851">
        <f t="shared" si="15"/>
        <v>0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</row>
    <row r="16" spans="1:40" ht="12" customHeight="1" thickBot="1">
      <c r="A16" s="2183"/>
      <c r="B16" s="2184"/>
      <c r="C16" s="629">
        <f t="shared" si="3"/>
        <v>1.7222222222222224E-4</v>
      </c>
      <c r="D16" s="920">
        <v>7</v>
      </c>
      <c r="E16" s="4754">
        <v>2</v>
      </c>
      <c r="F16" s="4718">
        <v>4</v>
      </c>
      <c r="G16" s="4718">
        <v>20</v>
      </c>
      <c r="H16" s="4719"/>
      <c r="I16" s="4720">
        <v>3.4722222222222224E-4</v>
      </c>
      <c r="J16" s="4721">
        <v>3.0671296296296297E-3</v>
      </c>
      <c r="K16" s="4722" t="s">
        <v>1113</v>
      </c>
      <c r="L16" s="4721">
        <f t="shared" si="21"/>
        <v>0.82675763888888898</v>
      </c>
      <c r="M16" s="4723">
        <v>1.1000000000000001</v>
      </c>
      <c r="N16" s="4848">
        <f t="shared" si="17"/>
        <v>1.0124481481481481E-2</v>
      </c>
      <c r="O16" s="4725">
        <f t="shared" si="18"/>
        <v>1.3777777777777779E-4</v>
      </c>
      <c r="P16" s="4848">
        <f t="shared" si="19"/>
        <v>1.5155555555555557E-4</v>
      </c>
      <c r="Q16" s="4726">
        <v>144</v>
      </c>
      <c r="R16" s="4727">
        <f t="shared" si="20"/>
        <v>160</v>
      </c>
      <c r="S16" s="2844">
        <f t="shared" si="7"/>
        <v>0.16</v>
      </c>
      <c r="T16" s="2845">
        <f t="shared" si="8"/>
        <v>4.4088888888888893E-3</v>
      </c>
      <c r="U16" s="374">
        <f t="shared" si="9"/>
        <v>0</v>
      </c>
      <c r="V16" s="2846">
        <f t="shared" si="10"/>
        <v>0</v>
      </c>
      <c r="W16" s="2847">
        <f t="shared" si="11"/>
        <v>0</v>
      </c>
      <c r="X16" s="2848">
        <f t="shared" si="12"/>
        <v>0</v>
      </c>
      <c r="Y16" s="2849">
        <f t="shared" si="13"/>
        <v>0</v>
      </c>
      <c r="Z16" s="2850">
        <f t="shared" si="14"/>
        <v>0</v>
      </c>
      <c r="AA16" s="2851">
        <f t="shared" si="15"/>
        <v>0.16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</row>
    <row r="17" spans="1:40" ht="14" customHeight="1" thickBot="1">
      <c r="A17" s="2183"/>
      <c r="B17" s="1033"/>
      <c r="C17" s="629">
        <f t="shared" si="3"/>
        <v>0</v>
      </c>
      <c r="D17" s="920"/>
      <c r="E17" s="4755"/>
      <c r="F17" s="4755"/>
      <c r="G17" s="4756"/>
      <c r="H17" s="4757"/>
      <c r="I17" s="4757"/>
      <c r="J17" s="4758"/>
      <c r="K17" s="4759"/>
      <c r="L17" s="4760">
        <f>L16+N16</f>
        <v>0.83688212037037046</v>
      </c>
      <c r="M17" s="4761">
        <v>1.2</v>
      </c>
      <c r="N17" s="4762">
        <f>SUM(N11:N16)</f>
        <v>3.8271009259259262E-2</v>
      </c>
      <c r="O17" s="4758">
        <f>C17*(G17/25)</f>
        <v>0</v>
      </c>
      <c r="P17" s="4762"/>
      <c r="Q17" s="4763"/>
      <c r="R17" s="4756">
        <f>SUM(R11:R16)</f>
        <v>2260</v>
      </c>
      <c r="S17" s="2844">
        <f t="shared" si="7"/>
        <v>0</v>
      </c>
      <c r="T17" s="2845">
        <f t="shared" si="8"/>
        <v>0</v>
      </c>
      <c r="U17" s="374">
        <f t="shared" si="9"/>
        <v>0</v>
      </c>
      <c r="V17" s="2846">
        <f t="shared" si="10"/>
        <v>0</v>
      </c>
      <c r="W17" s="2847">
        <f t="shared" si="11"/>
        <v>0</v>
      </c>
      <c r="X17" s="2848">
        <f t="shared" si="12"/>
        <v>0</v>
      </c>
      <c r="Y17" s="2849">
        <f t="shared" si="13"/>
        <v>0</v>
      </c>
      <c r="Z17" s="2850">
        <f t="shared" si="14"/>
        <v>0</v>
      </c>
      <c r="AA17" s="2851">
        <f t="shared" si="15"/>
        <v>0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</row>
    <row r="18" spans="1:40" ht="14" customHeight="1" thickBot="1">
      <c r="A18" s="3109" t="s">
        <v>215</v>
      </c>
      <c r="B18" s="3110" t="s">
        <v>215</v>
      </c>
      <c r="C18" s="629">
        <f t="shared" si="3"/>
        <v>2.3321759259259265E-4</v>
      </c>
      <c r="D18" s="920">
        <v>1</v>
      </c>
      <c r="E18" s="1979">
        <v>1</v>
      </c>
      <c r="F18" s="1979">
        <v>1</v>
      </c>
      <c r="G18" s="2647">
        <v>400</v>
      </c>
      <c r="H18" s="4764"/>
      <c r="I18" s="2648">
        <v>0</v>
      </c>
      <c r="J18" s="631">
        <v>1.1574074074074073E-4</v>
      </c>
      <c r="K18" s="632" t="s">
        <v>717</v>
      </c>
      <c r="L18" s="4765">
        <v>0.34375</v>
      </c>
      <c r="M18" s="633">
        <v>1.2</v>
      </c>
      <c r="N18" s="634">
        <f>P18*E18*F18+I18*E18*F18+J18*E18</f>
        <v>4.5935185185185193E-3</v>
      </c>
      <c r="O18" s="634">
        <f>C18*(G18/25)</f>
        <v>3.7314814814814823E-3</v>
      </c>
      <c r="P18" s="634">
        <f>O18*M18</f>
        <v>4.4777777777777784E-3</v>
      </c>
      <c r="Q18" s="635">
        <v>129</v>
      </c>
      <c r="R18" s="4766">
        <f t="shared" ref="R18:R22" si="22">E18*F18*G18</f>
        <v>400</v>
      </c>
      <c r="S18" s="2844">
        <f t="shared" si="7"/>
        <v>0.4</v>
      </c>
      <c r="T18" s="2845">
        <f t="shared" si="8"/>
        <v>1.4925925925925929E-2</v>
      </c>
      <c r="U18" s="374">
        <f t="shared" si="9"/>
        <v>0.4</v>
      </c>
      <c r="V18" s="2846">
        <f t="shared" si="10"/>
        <v>0</v>
      </c>
      <c r="W18" s="2847">
        <f t="shared" si="11"/>
        <v>0</v>
      </c>
      <c r="X18" s="2848">
        <f t="shared" si="12"/>
        <v>0</v>
      </c>
      <c r="Y18" s="2849">
        <f t="shared" si="13"/>
        <v>0</v>
      </c>
      <c r="Z18" s="2850">
        <f t="shared" si="14"/>
        <v>0</v>
      </c>
      <c r="AA18" s="2851">
        <f t="shared" si="15"/>
        <v>0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</row>
    <row r="19" spans="1:40" ht="14" customHeight="1" thickBot="1">
      <c r="A19" s="3109" t="s">
        <v>138</v>
      </c>
      <c r="B19" s="3110" t="s">
        <v>215</v>
      </c>
      <c r="C19" s="629">
        <f t="shared" si="3"/>
        <v>1.7939814814814817E-4</v>
      </c>
      <c r="D19" s="4708">
        <v>4</v>
      </c>
      <c r="E19" s="4710">
        <v>1</v>
      </c>
      <c r="F19" s="4710">
        <v>8</v>
      </c>
      <c r="G19" s="4710">
        <v>50</v>
      </c>
      <c r="H19" s="4710" t="s">
        <v>1417</v>
      </c>
      <c r="I19" s="4711">
        <v>4.0509259259259258E-4</v>
      </c>
      <c r="J19" s="4711">
        <v>1.3888888888888889E-3</v>
      </c>
      <c r="K19" s="4712" t="s">
        <v>2028</v>
      </c>
      <c r="L19" s="4711">
        <f>L18+N18</f>
        <v>0.34834351851851852</v>
      </c>
      <c r="M19" s="4712">
        <v>1.05</v>
      </c>
      <c r="N19" s="4847">
        <f t="shared" ref="N19:N21" si="23">P19*E19*F19+I19*E19*F19+J19*E19</f>
        <v>7.6435185185185191E-3</v>
      </c>
      <c r="O19" s="4713">
        <f t="shared" ref="O19:O31" si="24">C19*(G19/25)</f>
        <v>3.5879629629629635E-4</v>
      </c>
      <c r="P19" s="4847">
        <f>O19*M19</f>
        <v>3.7673611111111116E-4</v>
      </c>
      <c r="Q19" s="4714">
        <v>160</v>
      </c>
      <c r="R19" s="4710">
        <f>E19*F19*G19</f>
        <v>400</v>
      </c>
      <c r="S19" s="2844">
        <f t="shared" si="7"/>
        <v>0.4</v>
      </c>
      <c r="T19" s="2845">
        <f t="shared" si="8"/>
        <v>1.1481481481481483E-2</v>
      </c>
      <c r="U19" s="374">
        <f t="shared" si="9"/>
        <v>0</v>
      </c>
      <c r="V19" s="2846">
        <f t="shared" si="10"/>
        <v>0</v>
      </c>
      <c r="W19" s="2847">
        <f t="shared" si="11"/>
        <v>0</v>
      </c>
      <c r="X19" s="2848">
        <f t="shared" si="12"/>
        <v>0.4</v>
      </c>
      <c r="Y19" s="2849">
        <f t="shared" si="13"/>
        <v>0</v>
      </c>
      <c r="Z19" s="2850">
        <f t="shared" si="14"/>
        <v>0</v>
      </c>
      <c r="AA19" s="2851">
        <f t="shared" si="15"/>
        <v>0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</row>
    <row r="20" spans="1:40" ht="14" customHeight="1" thickBot="1">
      <c r="A20" s="3109" t="s">
        <v>462</v>
      </c>
      <c r="B20" s="3110" t="s">
        <v>215</v>
      </c>
      <c r="C20" s="629">
        <f t="shared" si="3"/>
        <v>1.7939814814814817E-4</v>
      </c>
      <c r="D20" s="4708">
        <v>4</v>
      </c>
      <c r="E20" s="4710">
        <v>1</v>
      </c>
      <c r="F20" s="4710">
        <v>8</v>
      </c>
      <c r="G20" s="4710">
        <v>75</v>
      </c>
      <c r="H20" s="4710" t="s">
        <v>300</v>
      </c>
      <c r="I20" s="4711">
        <v>4.0509259259259258E-4</v>
      </c>
      <c r="J20" s="4711">
        <v>1.3888888888888889E-3</v>
      </c>
      <c r="K20" s="4712" t="s">
        <v>2029</v>
      </c>
      <c r="L20" s="4711">
        <f>L19+N19</f>
        <v>0.35598703703703705</v>
      </c>
      <c r="M20" s="4712">
        <v>1</v>
      </c>
      <c r="N20" s="4847">
        <f t="shared" si="23"/>
        <v>8.9351851851851866E-3</v>
      </c>
      <c r="O20" s="4713">
        <f t="shared" si="24"/>
        <v>5.3819444444444455E-4</v>
      </c>
      <c r="P20" s="4847">
        <f t="shared" ref="P20:P21" si="25">O20*M20</f>
        <v>5.3819444444444455E-4</v>
      </c>
      <c r="Q20" s="4714">
        <v>161</v>
      </c>
      <c r="R20" s="4710">
        <f t="shared" ref="R20:R21" si="26">E20*F20*G20</f>
        <v>600</v>
      </c>
      <c r="S20" s="2844">
        <f t="shared" si="7"/>
        <v>0.6</v>
      </c>
      <c r="T20" s="2845">
        <f t="shared" si="8"/>
        <v>1.7222222222222226E-2</v>
      </c>
      <c r="U20" s="374">
        <f t="shared" si="9"/>
        <v>0</v>
      </c>
      <c r="V20" s="2846">
        <f t="shared" si="10"/>
        <v>0</v>
      </c>
      <c r="W20" s="2847">
        <f t="shared" si="11"/>
        <v>0</v>
      </c>
      <c r="X20" s="2848">
        <f t="shared" si="12"/>
        <v>0.6</v>
      </c>
      <c r="Y20" s="2849">
        <f t="shared" si="13"/>
        <v>0</v>
      </c>
      <c r="Z20" s="2850">
        <f t="shared" si="14"/>
        <v>0</v>
      </c>
      <c r="AA20" s="2851">
        <f t="shared" si="15"/>
        <v>0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</row>
    <row r="21" spans="1:40" ht="14" customHeight="1" thickBot="1">
      <c r="A21" s="3109" t="s">
        <v>461</v>
      </c>
      <c r="B21" s="3110" t="s">
        <v>215</v>
      </c>
      <c r="C21" s="629">
        <f t="shared" si="3"/>
        <v>1.7939814814814817E-4</v>
      </c>
      <c r="D21" s="4709">
        <v>4</v>
      </c>
      <c r="E21" s="4710">
        <v>1</v>
      </c>
      <c r="F21" s="4710">
        <v>8</v>
      </c>
      <c r="G21" s="4710">
        <v>25</v>
      </c>
      <c r="H21" s="4710" t="s">
        <v>1385</v>
      </c>
      <c r="I21" s="4711">
        <v>4.0509259259259258E-4</v>
      </c>
      <c r="J21" s="4711">
        <v>1.3888888888888889E-3</v>
      </c>
      <c r="K21" s="4712" t="s">
        <v>2030</v>
      </c>
      <c r="L21" s="4711">
        <f>L20+N20</f>
        <v>0.36492222222222226</v>
      </c>
      <c r="M21" s="4712">
        <v>1</v>
      </c>
      <c r="N21" s="4847">
        <f t="shared" si="23"/>
        <v>6.0648148148148154E-3</v>
      </c>
      <c r="O21" s="4713">
        <f t="shared" si="24"/>
        <v>1.7939814814814817E-4</v>
      </c>
      <c r="P21" s="4847">
        <f t="shared" si="25"/>
        <v>1.7939814814814817E-4</v>
      </c>
      <c r="Q21" s="4714">
        <v>162</v>
      </c>
      <c r="R21" s="4710">
        <f t="shared" si="26"/>
        <v>200</v>
      </c>
      <c r="S21" s="2844">
        <f t="shared" si="7"/>
        <v>0.2</v>
      </c>
      <c r="T21" s="2845">
        <f t="shared" si="8"/>
        <v>5.7407407407407416E-3</v>
      </c>
      <c r="U21" s="374">
        <f t="shared" si="9"/>
        <v>0</v>
      </c>
      <c r="V21" s="2846">
        <f t="shared" si="10"/>
        <v>0</v>
      </c>
      <c r="W21" s="2847">
        <f t="shared" si="11"/>
        <v>0</v>
      </c>
      <c r="X21" s="2848">
        <f t="shared" si="12"/>
        <v>0.2</v>
      </c>
      <c r="Y21" s="2849">
        <f t="shared" si="13"/>
        <v>0</v>
      </c>
      <c r="Z21" s="2850">
        <f t="shared" si="14"/>
        <v>0</v>
      </c>
      <c r="AA21" s="2851">
        <f t="shared" si="15"/>
        <v>0</v>
      </c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</row>
    <row r="22" spans="1:40" ht="14" customHeight="1" thickBot="1">
      <c r="A22" s="3109" t="s">
        <v>458</v>
      </c>
      <c r="B22" s="3110" t="s">
        <v>215</v>
      </c>
      <c r="C22" s="629">
        <f t="shared" si="3"/>
        <v>1.7222222222222224E-4</v>
      </c>
      <c r="D22" s="920">
        <v>7</v>
      </c>
      <c r="E22" s="4717">
        <v>1</v>
      </c>
      <c r="F22" s="4717">
        <v>6</v>
      </c>
      <c r="G22" s="4860">
        <v>30</v>
      </c>
      <c r="H22" s="4717"/>
      <c r="I22" s="4861">
        <v>4.0509259259259258E-4</v>
      </c>
      <c r="J22" s="4721">
        <v>1.3888888888888889E-3</v>
      </c>
      <c r="K22" s="4722" t="s">
        <v>1568</v>
      </c>
      <c r="L22" s="4725">
        <f t="shared" ref="L22" si="27">L21+N21</f>
        <v>0.37098703703703706</v>
      </c>
      <c r="M22" s="4862">
        <v>1.2</v>
      </c>
      <c r="N22" s="4725">
        <f t="shared" ref="N22" si="28">P22*E22*F22+I22*F22*E22+J22*E22</f>
        <v>5.3074444444444445E-3</v>
      </c>
      <c r="O22" s="4721">
        <f t="shared" si="24"/>
        <v>2.0666666666666668E-4</v>
      </c>
      <c r="P22" s="4725">
        <f>O22*M22</f>
        <v>2.4800000000000001E-4</v>
      </c>
      <c r="Q22" s="4772"/>
      <c r="R22" s="4727">
        <f t="shared" si="22"/>
        <v>180</v>
      </c>
      <c r="S22" s="2844">
        <f t="shared" si="7"/>
        <v>0.18</v>
      </c>
      <c r="T22" s="2845">
        <f t="shared" si="8"/>
        <v>4.9600000000000009E-3</v>
      </c>
      <c r="U22" s="374">
        <f t="shared" si="9"/>
        <v>0</v>
      </c>
      <c r="V22" s="2846">
        <f t="shared" si="10"/>
        <v>0</v>
      </c>
      <c r="W22" s="2847">
        <f t="shared" si="11"/>
        <v>0</v>
      </c>
      <c r="X22" s="2848">
        <f t="shared" si="12"/>
        <v>0</v>
      </c>
      <c r="Y22" s="2849">
        <f t="shared" si="13"/>
        <v>0</v>
      </c>
      <c r="Z22" s="2850">
        <f t="shared" si="14"/>
        <v>0</v>
      </c>
      <c r="AA22" s="2851">
        <f t="shared" si="15"/>
        <v>0.18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</row>
    <row r="23" spans="1:40" ht="14" customHeight="1" thickBot="1">
      <c r="A23" s="3109" t="s">
        <v>215</v>
      </c>
      <c r="B23" s="3110"/>
      <c r="C23" s="629">
        <f t="shared" si="3"/>
        <v>0</v>
      </c>
      <c r="D23" s="4407"/>
      <c r="E23" s="4728"/>
      <c r="F23" s="144"/>
      <c r="G23" s="144"/>
      <c r="H23" s="144"/>
      <c r="I23" s="144"/>
      <c r="J23" s="144"/>
      <c r="K23" s="144"/>
      <c r="L23" s="4711">
        <f>L22+N22</f>
        <v>0.37629448148148148</v>
      </c>
      <c r="M23" s="839">
        <v>1.2</v>
      </c>
      <c r="N23" s="4852">
        <f>SUM(N18:N22)</f>
        <v>3.254448148148148E-2</v>
      </c>
      <c r="O23" s="839">
        <f t="shared" si="24"/>
        <v>0</v>
      </c>
      <c r="P23" s="4849"/>
      <c r="Q23" s="839"/>
      <c r="R23" s="4729">
        <f>SUM(R18:R22)</f>
        <v>1780</v>
      </c>
      <c r="S23" s="2844">
        <f t="shared" si="7"/>
        <v>0</v>
      </c>
      <c r="T23" s="2845">
        <f t="shared" si="8"/>
        <v>0</v>
      </c>
      <c r="U23" s="374">
        <f t="shared" si="9"/>
        <v>0</v>
      </c>
      <c r="V23" s="2846">
        <f t="shared" si="10"/>
        <v>0</v>
      </c>
      <c r="W23" s="2847">
        <f t="shared" si="11"/>
        <v>0</v>
      </c>
      <c r="X23" s="2848">
        <f t="shared" si="12"/>
        <v>0</v>
      </c>
      <c r="Y23" s="2849">
        <f t="shared" si="13"/>
        <v>0</v>
      </c>
      <c r="Z23" s="2850">
        <f t="shared" si="14"/>
        <v>0</v>
      </c>
      <c r="AA23" s="2851">
        <f t="shared" si="15"/>
        <v>0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</row>
    <row r="24" spans="1:40" ht="12" customHeight="1" thickBot="1">
      <c r="A24" s="3109" t="s">
        <v>138</v>
      </c>
      <c r="B24" s="3110" t="s">
        <v>461</v>
      </c>
      <c r="C24" s="629">
        <f t="shared" si="3"/>
        <v>2.3321759259259265E-4</v>
      </c>
      <c r="D24" s="920">
        <v>1</v>
      </c>
      <c r="E24" s="3323">
        <v>1</v>
      </c>
      <c r="F24" s="275">
        <v>1</v>
      </c>
      <c r="G24" s="275">
        <v>400</v>
      </c>
      <c r="H24" s="275"/>
      <c r="I24" s="1960">
        <v>0</v>
      </c>
      <c r="J24" s="1960">
        <v>6.9444444444444447E-4</v>
      </c>
      <c r="K24" s="312" t="s">
        <v>1556</v>
      </c>
      <c r="L24" s="1667">
        <v>0.38194444444444442</v>
      </c>
      <c r="M24" s="1942">
        <v>1</v>
      </c>
      <c r="N24" s="1943">
        <f t="shared" ref="N24:N31" si="29">P24*E24*F24+I24*F24*E24+J24*E24</f>
        <v>4.4259259259259269E-3</v>
      </c>
      <c r="O24" s="1944">
        <f t="shared" si="24"/>
        <v>3.7314814814814823E-3</v>
      </c>
      <c r="P24" s="1945">
        <f t="shared" ref="P24:P31" si="30">O24*M24</f>
        <v>3.7314814814814823E-3</v>
      </c>
      <c r="Q24" s="1946">
        <v>144</v>
      </c>
      <c r="R24" s="1947">
        <f t="shared" ref="R24:R31" si="31">E24*F24*G24</f>
        <v>400</v>
      </c>
      <c r="S24" s="2844">
        <f t="shared" si="7"/>
        <v>0.4</v>
      </c>
      <c r="T24" s="2845">
        <f t="shared" si="8"/>
        <v>1.4925925925925929E-2</v>
      </c>
      <c r="U24" s="374">
        <f t="shared" si="9"/>
        <v>0.4</v>
      </c>
      <c r="V24" s="2846">
        <f t="shared" si="10"/>
        <v>0</v>
      </c>
      <c r="W24" s="2847">
        <f t="shared" si="11"/>
        <v>0</v>
      </c>
      <c r="X24" s="2848">
        <f t="shared" si="12"/>
        <v>0</v>
      </c>
      <c r="Y24" s="2849">
        <f t="shared" si="13"/>
        <v>0</v>
      </c>
      <c r="Z24" s="2850">
        <f t="shared" si="14"/>
        <v>0</v>
      </c>
      <c r="AA24" s="2851">
        <f t="shared" si="15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4" customHeight="1" thickBot="1">
      <c r="A25" s="3109" t="s">
        <v>462</v>
      </c>
      <c r="B25" s="3110" t="s">
        <v>461</v>
      </c>
      <c r="C25" s="629">
        <f t="shared" si="3"/>
        <v>1.9733796296296302E-4</v>
      </c>
      <c r="D25" s="895">
        <v>3</v>
      </c>
      <c r="E25" s="3325">
        <v>3</v>
      </c>
      <c r="F25" s="3321">
        <v>4</v>
      </c>
      <c r="G25" s="1948">
        <v>35</v>
      </c>
      <c r="H25" s="1948"/>
      <c r="I25" s="1961">
        <v>1.7361111111111112E-4</v>
      </c>
      <c r="J25" s="1961">
        <v>6.9444444444444447E-4</v>
      </c>
      <c r="K25" s="1949" t="s">
        <v>1557</v>
      </c>
      <c r="L25" s="1953">
        <f t="shared" ref="L25:L30" si="32">L24+N24</f>
        <v>0.38637037037037036</v>
      </c>
      <c r="M25" s="1949">
        <v>1</v>
      </c>
      <c r="N25" s="1950">
        <f t="shared" si="29"/>
        <v>7.4819444444444456E-3</v>
      </c>
      <c r="O25" s="1949">
        <f t="shared" si="24"/>
        <v>2.7627314814814821E-4</v>
      </c>
      <c r="P25" s="1945">
        <f t="shared" si="30"/>
        <v>2.7627314814814821E-4</v>
      </c>
      <c r="Q25" s="1957">
        <v>144</v>
      </c>
      <c r="R25" s="1947">
        <f t="shared" si="31"/>
        <v>420</v>
      </c>
      <c r="S25" s="2844">
        <f t="shared" si="7"/>
        <v>0.42</v>
      </c>
      <c r="T25" s="2845">
        <f t="shared" si="8"/>
        <v>1.3261111111111114E-2</v>
      </c>
      <c r="U25" s="374">
        <f t="shared" si="9"/>
        <v>0</v>
      </c>
      <c r="V25" s="2846">
        <f t="shared" si="10"/>
        <v>0</v>
      </c>
      <c r="W25" s="2847">
        <f t="shared" si="11"/>
        <v>0.42</v>
      </c>
      <c r="X25" s="2848">
        <f t="shared" si="12"/>
        <v>0</v>
      </c>
      <c r="Y25" s="2849">
        <f t="shared" si="13"/>
        <v>0</v>
      </c>
      <c r="Z25" s="2850">
        <f t="shared" si="14"/>
        <v>0</v>
      </c>
      <c r="AA25" s="2851">
        <f t="shared" si="15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5" customHeight="1" thickBot="1">
      <c r="A26" s="3109" t="s">
        <v>461</v>
      </c>
      <c r="B26" s="3110" t="s">
        <v>461</v>
      </c>
      <c r="C26" s="629">
        <f t="shared" si="3"/>
        <v>2.152777777777778E-4</v>
      </c>
      <c r="D26" s="895">
        <v>2</v>
      </c>
      <c r="E26" s="3326">
        <v>3</v>
      </c>
      <c r="F26" s="3322">
        <v>4</v>
      </c>
      <c r="G26" s="1321">
        <v>20</v>
      </c>
      <c r="H26" s="1323" t="s">
        <v>284</v>
      </c>
      <c r="I26" s="1322">
        <v>1.7361111111111112E-4</v>
      </c>
      <c r="J26" s="1322">
        <v>6.9444444444444447E-4</v>
      </c>
      <c r="K26" s="1039" t="s">
        <v>1988</v>
      </c>
      <c r="L26" s="1954">
        <f t="shared" si="32"/>
        <v>0.39385231481481481</v>
      </c>
      <c r="M26" s="517">
        <v>0.9</v>
      </c>
      <c r="N26" s="1051">
        <f t="shared" si="29"/>
        <v>6.0266666666666663E-3</v>
      </c>
      <c r="O26" s="436">
        <f t="shared" si="24"/>
        <v>1.7222222222222226E-4</v>
      </c>
      <c r="P26" s="1191">
        <f t="shared" si="30"/>
        <v>1.5500000000000005E-4</v>
      </c>
      <c r="Q26" s="789">
        <v>144</v>
      </c>
      <c r="R26" s="1608">
        <f t="shared" si="31"/>
        <v>240</v>
      </c>
      <c r="S26" s="2844">
        <f t="shared" si="7"/>
        <v>0.24</v>
      </c>
      <c r="T26" s="2845">
        <f t="shared" si="8"/>
        <v>8.2666666666666687E-3</v>
      </c>
      <c r="U26" s="374">
        <f t="shared" si="9"/>
        <v>0</v>
      </c>
      <c r="V26" s="2846">
        <f t="shared" si="10"/>
        <v>0.24</v>
      </c>
      <c r="W26" s="2847">
        <f t="shared" si="11"/>
        <v>0</v>
      </c>
      <c r="X26" s="2848">
        <f t="shared" si="12"/>
        <v>0</v>
      </c>
      <c r="Y26" s="2849">
        <f t="shared" si="13"/>
        <v>0</v>
      </c>
      <c r="Z26" s="2850">
        <f t="shared" si="14"/>
        <v>0</v>
      </c>
      <c r="AA26" s="2851">
        <f t="shared" si="15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3.25" customHeight="1" thickBot="1">
      <c r="A27" s="3109" t="s">
        <v>458</v>
      </c>
      <c r="B27" s="3110" t="s">
        <v>461</v>
      </c>
      <c r="C27" s="629">
        <f t="shared" si="3"/>
        <v>1.9733796296296302E-4</v>
      </c>
      <c r="D27" s="960">
        <v>3</v>
      </c>
      <c r="E27" s="3324">
        <v>1</v>
      </c>
      <c r="F27" s="280">
        <v>8</v>
      </c>
      <c r="G27" s="280">
        <v>50</v>
      </c>
      <c r="H27" s="280"/>
      <c r="I27" s="1962">
        <v>2.3148148148148146E-4</v>
      </c>
      <c r="J27" s="1962">
        <v>2.3148148148148146E-4</v>
      </c>
      <c r="K27" s="1074" t="s">
        <v>1560</v>
      </c>
      <c r="L27" s="1147">
        <f t="shared" si="32"/>
        <v>0.39987898148148149</v>
      </c>
      <c r="M27" s="842">
        <v>1</v>
      </c>
      <c r="N27" s="1599">
        <f t="shared" si="29"/>
        <v>5.240740740740742E-3</v>
      </c>
      <c r="O27" s="795">
        <f t="shared" si="24"/>
        <v>3.9467592592592603E-4</v>
      </c>
      <c r="P27" s="1600">
        <f t="shared" si="30"/>
        <v>3.9467592592592603E-4</v>
      </c>
      <c r="Q27" s="843">
        <v>144</v>
      </c>
      <c r="R27" s="1610">
        <f t="shared" si="31"/>
        <v>400</v>
      </c>
      <c r="S27" s="2844">
        <f t="shared" si="7"/>
        <v>0.4</v>
      </c>
      <c r="T27" s="2845">
        <f t="shared" si="8"/>
        <v>1.2629629629629633E-2</v>
      </c>
      <c r="U27" s="374">
        <f t="shared" si="9"/>
        <v>0</v>
      </c>
      <c r="V27" s="2846">
        <f t="shared" si="10"/>
        <v>0</v>
      </c>
      <c r="W27" s="2847">
        <f t="shared" si="11"/>
        <v>0.4</v>
      </c>
      <c r="X27" s="2848">
        <f t="shared" si="12"/>
        <v>0</v>
      </c>
      <c r="Y27" s="2849">
        <f t="shared" si="13"/>
        <v>0</v>
      </c>
      <c r="Z27" s="2850">
        <f t="shared" si="14"/>
        <v>0</v>
      </c>
      <c r="AA27" s="2851">
        <f t="shared" si="15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3.25" customHeight="1" thickBot="1">
      <c r="A28" s="3109" t="s">
        <v>219</v>
      </c>
      <c r="B28" s="3110" t="s">
        <v>461</v>
      </c>
      <c r="C28" s="629">
        <f t="shared" si="3"/>
        <v>1.9733796296296302E-4</v>
      </c>
      <c r="D28" s="960">
        <v>3</v>
      </c>
      <c r="E28" s="280">
        <v>1</v>
      </c>
      <c r="F28" s="280">
        <v>8</v>
      </c>
      <c r="G28" s="280">
        <v>50</v>
      </c>
      <c r="H28" s="280"/>
      <c r="I28" s="1962">
        <v>2.3148148148148146E-4</v>
      </c>
      <c r="J28" s="1962">
        <v>1.3888888888888889E-3</v>
      </c>
      <c r="K28" s="1074" t="s">
        <v>1561</v>
      </c>
      <c r="L28" s="1147">
        <f t="shared" si="32"/>
        <v>0.40511972222222226</v>
      </c>
      <c r="M28" s="842">
        <v>1</v>
      </c>
      <c r="N28" s="1599">
        <f t="shared" si="29"/>
        <v>6.3981481481481493E-3</v>
      </c>
      <c r="O28" s="795">
        <f t="shared" si="24"/>
        <v>3.9467592592592603E-4</v>
      </c>
      <c r="P28" s="1600">
        <f t="shared" si="30"/>
        <v>3.9467592592592603E-4</v>
      </c>
      <c r="Q28" s="843">
        <v>144</v>
      </c>
      <c r="R28" s="1610">
        <f t="shared" si="31"/>
        <v>400</v>
      </c>
      <c r="S28" s="2844">
        <f t="shared" si="7"/>
        <v>0.4</v>
      </c>
      <c r="T28" s="2845">
        <f t="shared" si="8"/>
        <v>1.2629629629629633E-2</v>
      </c>
      <c r="U28" s="374">
        <f t="shared" si="9"/>
        <v>0</v>
      </c>
      <c r="V28" s="2846">
        <f t="shared" si="10"/>
        <v>0</v>
      </c>
      <c r="W28" s="2847">
        <f t="shared" si="11"/>
        <v>0.4</v>
      </c>
      <c r="X28" s="2848">
        <f t="shared" si="12"/>
        <v>0</v>
      </c>
      <c r="Y28" s="2849">
        <f t="shared" si="13"/>
        <v>0</v>
      </c>
      <c r="Z28" s="2850">
        <f t="shared" si="14"/>
        <v>0</v>
      </c>
      <c r="AA28" s="2851">
        <f t="shared" si="15"/>
        <v>0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4" customHeight="1" thickBot="1">
      <c r="A29" s="3109"/>
      <c r="B29" s="3110" t="s">
        <v>461</v>
      </c>
      <c r="C29" s="629">
        <f t="shared" si="3"/>
        <v>1.9733796296296302E-4</v>
      </c>
      <c r="D29" s="1010">
        <v>3</v>
      </c>
      <c r="E29" s="960">
        <v>1</v>
      </c>
      <c r="F29" s="280">
        <v>8</v>
      </c>
      <c r="G29" s="280">
        <v>100</v>
      </c>
      <c r="H29" s="280"/>
      <c r="I29" s="1962">
        <v>2.3148148148148146E-4</v>
      </c>
      <c r="J29" s="1962">
        <v>1.3888888888888889E-3</v>
      </c>
      <c r="K29" s="1892" t="s">
        <v>1105</v>
      </c>
      <c r="L29" s="1147">
        <f t="shared" si="32"/>
        <v>0.41151787037037041</v>
      </c>
      <c r="M29" s="842">
        <v>1</v>
      </c>
      <c r="N29" s="1599">
        <f t="shared" si="29"/>
        <v>9.5555555555555567E-3</v>
      </c>
      <c r="O29" s="1599">
        <f t="shared" si="24"/>
        <v>7.8935185185185206E-4</v>
      </c>
      <c r="P29" s="795">
        <f t="shared" si="30"/>
        <v>7.8935185185185206E-4</v>
      </c>
      <c r="Q29" s="843">
        <v>144</v>
      </c>
      <c r="R29" s="1610">
        <f t="shared" si="31"/>
        <v>800</v>
      </c>
      <c r="S29" s="2844">
        <f t="shared" si="7"/>
        <v>0.8</v>
      </c>
      <c r="T29" s="2845">
        <f t="shared" si="8"/>
        <v>2.5259259259259266E-2</v>
      </c>
      <c r="U29" s="374">
        <f t="shared" si="9"/>
        <v>0</v>
      </c>
      <c r="V29" s="2846">
        <f t="shared" si="10"/>
        <v>0</v>
      </c>
      <c r="W29" s="2847">
        <f t="shared" si="11"/>
        <v>0.8</v>
      </c>
      <c r="X29" s="2848">
        <f t="shared" si="12"/>
        <v>0</v>
      </c>
      <c r="Y29" s="2849">
        <f t="shared" si="13"/>
        <v>0</v>
      </c>
      <c r="Z29" s="2850">
        <f t="shared" si="14"/>
        <v>0</v>
      </c>
      <c r="AA29" s="2851">
        <f t="shared" si="15"/>
        <v>0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3.25" customHeight="1" thickBot="1">
      <c r="A30" s="3109"/>
      <c r="B30" s="3110" t="s">
        <v>461</v>
      </c>
      <c r="C30" s="629">
        <f t="shared" si="3"/>
        <v>1.7222222222222224E-4</v>
      </c>
      <c r="D30" s="920">
        <v>7</v>
      </c>
      <c r="E30" s="4717">
        <v>1</v>
      </c>
      <c r="F30" s="4717">
        <v>6</v>
      </c>
      <c r="G30" s="4860">
        <v>30</v>
      </c>
      <c r="H30" s="4717"/>
      <c r="I30" s="4861">
        <v>4.0509259259259258E-4</v>
      </c>
      <c r="J30" s="4721">
        <v>1.3888888888888889E-3</v>
      </c>
      <c r="K30" s="4722" t="s">
        <v>1568</v>
      </c>
      <c r="L30" s="4725">
        <f t="shared" si="32"/>
        <v>0.42107342592592595</v>
      </c>
      <c r="M30" s="4862">
        <v>1.2</v>
      </c>
      <c r="N30" s="4725">
        <f t="shared" si="29"/>
        <v>5.3074444444444445E-3</v>
      </c>
      <c r="O30" s="4721">
        <f t="shared" ref="O30" si="33">C30*(G30/25)</f>
        <v>2.0666666666666668E-4</v>
      </c>
      <c r="P30" s="4725">
        <f>O30*M30</f>
        <v>2.4800000000000001E-4</v>
      </c>
      <c r="Q30" s="4772"/>
      <c r="R30" s="4727">
        <f t="shared" si="31"/>
        <v>180</v>
      </c>
      <c r="S30" s="2844">
        <f t="shared" si="7"/>
        <v>0.18</v>
      </c>
      <c r="T30" s="2845">
        <f t="shared" si="8"/>
        <v>4.9600000000000009E-3</v>
      </c>
      <c r="U30" s="374">
        <f t="shared" si="9"/>
        <v>0</v>
      </c>
      <c r="V30" s="2846">
        <f t="shared" si="10"/>
        <v>0</v>
      </c>
      <c r="W30" s="2847">
        <f t="shared" si="11"/>
        <v>0</v>
      </c>
      <c r="X30" s="2848">
        <f t="shared" si="12"/>
        <v>0</v>
      </c>
      <c r="Y30" s="2849">
        <f t="shared" si="13"/>
        <v>0</v>
      </c>
      <c r="Z30" s="2850">
        <f t="shared" si="14"/>
        <v>0</v>
      </c>
      <c r="AA30" s="2851">
        <f t="shared" si="15"/>
        <v>0.18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2.75" customHeight="1" thickBot="1">
      <c r="A31" s="4786"/>
      <c r="B31" s="4787"/>
      <c r="C31" s="629">
        <f t="shared" si="3"/>
        <v>2.152777777777778E-4</v>
      </c>
      <c r="D31" s="1881">
        <v>2</v>
      </c>
      <c r="E31" s="1881">
        <v>1</v>
      </c>
      <c r="F31" s="1881">
        <v>16</v>
      </c>
      <c r="G31" s="1881">
        <v>25</v>
      </c>
      <c r="H31" s="1881"/>
      <c r="I31" s="1989">
        <v>5.7870370370370366E-5</v>
      </c>
      <c r="J31" s="1989">
        <v>6.9444444444444447E-4</v>
      </c>
      <c r="K31" s="1994" t="s">
        <v>1989</v>
      </c>
      <c r="L31" s="4648">
        <f>L30+N30</f>
        <v>0.42638087037037037</v>
      </c>
      <c r="M31" s="1992">
        <v>1</v>
      </c>
      <c r="N31" s="3040">
        <f t="shared" si="29"/>
        <v>5.0648148148148154E-3</v>
      </c>
      <c r="O31" s="1877">
        <f t="shared" si="24"/>
        <v>2.152777777777778E-4</v>
      </c>
      <c r="P31" s="2429">
        <f t="shared" si="30"/>
        <v>2.152777777777778E-4</v>
      </c>
      <c r="Q31" s="2032">
        <v>144</v>
      </c>
      <c r="R31" s="4649">
        <f t="shared" si="31"/>
        <v>400</v>
      </c>
      <c r="S31" s="2844">
        <f t="shared" si="7"/>
        <v>0.4</v>
      </c>
      <c r="T31" s="2845">
        <f t="shared" si="8"/>
        <v>1.3777777777777779E-2</v>
      </c>
      <c r="U31" s="374">
        <f t="shared" si="9"/>
        <v>0</v>
      </c>
      <c r="V31" s="2846">
        <f t="shared" si="10"/>
        <v>0.4</v>
      </c>
      <c r="W31" s="2847">
        <f t="shared" si="11"/>
        <v>0</v>
      </c>
      <c r="X31" s="2848">
        <f t="shared" si="12"/>
        <v>0</v>
      </c>
      <c r="Y31" s="2849">
        <f t="shared" si="13"/>
        <v>0</v>
      </c>
      <c r="Z31" s="2850">
        <f t="shared" si="14"/>
        <v>0</v>
      </c>
      <c r="AA31" s="2851">
        <f t="shared" si="15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2.75" customHeight="1" thickBot="1">
      <c r="A32" s="4865" t="s">
        <v>215</v>
      </c>
      <c r="B32" s="4865" t="s">
        <v>215</v>
      </c>
      <c r="C32" s="4868">
        <f t="shared" si="3"/>
        <v>0</v>
      </c>
      <c r="D32" s="4407"/>
      <c r="E32" s="4728"/>
      <c r="F32" s="144"/>
      <c r="G32" s="144"/>
      <c r="H32" s="144"/>
      <c r="I32" s="144"/>
      <c r="J32" s="144"/>
      <c r="K32" s="144"/>
      <c r="L32" s="4711">
        <f>L31+N31</f>
        <v>0.43144568518518517</v>
      </c>
      <c r="M32" s="839">
        <v>1.2</v>
      </c>
      <c r="N32" s="4852">
        <f>SUM(N24:N31)</f>
        <v>4.9501240740740748E-2</v>
      </c>
      <c r="O32" s="839">
        <f t="shared" ref="O32" si="34">C32*(G32/25)</f>
        <v>0</v>
      </c>
      <c r="P32" s="4849"/>
      <c r="Q32" s="839"/>
      <c r="R32" s="4729">
        <f>SUM(R24:R31)</f>
        <v>3240</v>
      </c>
      <c r="S32" s="2844">
        <f t="shared" si="7"/>
        <v>0</v>
      </c>
      <c r="T32" s="2845">
        <f t="shared" si="8"/>
        <v>0</v>
      </c>
      <c r="U32" s="374">
        <f t="shared" si="9"/>
        <v>0</v>
      </c>
      <c r="V32" s="2846">
        <f t="shared" si="10"/>
        <v>0</v>
      </c>
      <c r="W32" s="2847">
        <f t="shared" si="11"/>
        <v>0</v>
      </c>
      <c r="X32" s="2848">
        <f t="shared" si="12"/>
        <v>0</v>
      </c>
      <c r="Y32" s="2849">
        <f t="shared" si="13"/>
        <v>0</v>
      </c>
      <c r="Z32" s="2850">
        <f t="shared" si="14"/>
        <v>0</v>
      </c>
      <c r="AA32" s="2851">
        <f t="shared" si="15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2.75" customHeight="1" thickBot="1">
      <c r="A33" s="4788" t="s">
        <v>139</v>
      </c>
      <c r="B33" s="3336" t="s">
        <v>461</v>
      </c>
      <c r="C33" s="629">
        <f t="shared" si="3"/>
        <v>2.3321759259259265E-4</v>
      </c>
      <c r="D33" s="4773">
        <v>1</v>
      </c>
      <c r="E33" s="4704">
        <v>1</v>
      </c>
      <c r="F33" s="4704">
        <v>1</v>
      </c>
      <c r="G33" s="4704">
        <v>300</v>
      </c>
      <c r="H33" s="4705"/>
      <c r="I33" s="4705">
        <v>2.3148148148148146E-4</v>
      </c>
      <c r="J33" s="4705"/>
      <c r="K33" s="4706" t="s">
        <v>1570</v>
      </c>
      <c r="L33" s="4774">
        <v>0.79861111111111116</v>
      </c>
      <c r="M33" s="4775">
        <v>1.17</v>
      </c>
      <c r="N33" s="4851">
        <f t="shared" ref="N33:N39" si="35">P33*E33*F33+I33*F33*E33+J33*E33</f>
        <v>3.5058564814814822E-3</v>
      </c>
      <c r="O33" s="4707">
        <f>C33*(G33/25)</f>
        <v>2.798611111111112E-3</v>
      </c>
      <c r="P33" s="4707">
        <f>O33*M33</f>
        <v>3.2743750000000008E-3</v>
      </c>
      <c r="Q33" s="4776">
        <v>180</v>
      </c>
      <c r="R33" s="4777">
        <f>E33*F33*G33</f>
        <v>300</v>
      </c>
      <c r="S33" s="2844">
        <f t="shared" si="7"/>
        <v>0.3</v>
      </c>
      <c r="T33" s="2845">
        <f t="shared" si="8"/>
        <v>1.1194444444444448E-2</v>
      </c>
      <c r="U33" s="374">
        <f t="shared" si="9"/>
        <v>0.3</v>
      </c>
      <c r="V33" s="2846">
        <f t="shared" si="10"/>
        <v>0</v>
      </c>
      <c r="W33" s="2847">
        <f t="shared" si="11"/>
        <v>0</v>
      </c>
      <c r="X33" s="2848">
        <f t="shared" si="12"/>
        <v>0</v>
      </c>
      <c r="Y33" s="2849">
        <f t="shared" si="13"/>
        <v>0</v>
      </c>
      <c r="Z33" s="2850">
        <f t="shared" si="14"/>
        <v>0</v>
      </c>
      <c r="AA33" s="2851">
        <f t="shared" si="15"/>
        <v>0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2.75" customHeight="1" thickBot="1">
      <c r="A34" s="4788" t="s">
        <v>458</v>
      </c>
      <c r="B34" s="3336" t="s">
        <v>461</v>
      </c>
      <c r="C34" s="629">
        <f t="shared" si="3"/>
        <v>1.9733796296296302E-4</v>
      </c>
      <c r="D34" s="920">
        <v>3</v>
      </c>
      <c r="E34" s="4710">
        <v>1</v>
      </c>
      <c r="F34" s="4710">
        <v>6</v>
      </c>
      <c r="G34" s="4710">
        <v>125</v>
      </c>
      <c r="H34" s="4710"/>
      <c r="I34" s="4711">
        <v>3.4722222222222224E-4</v>
      </c>
      <c r="J34" s="4711">
        <v>1.9675925925925928E-3</v>
      </c>
      <c r="K34" s="4712" t="s">
        <v>2031</v>
      </c>
      <c r="L34" s="4711">
        <f>L33+N33</f>
        <v>0.80211696759259266</v>
      </c>
      <c r="M34" s="4712">
        <v>1.17</v>
      </c>
      <c r="N34" s="4847">
        <f t="shared" si="35"/>
        <v>1.0977488425925927E-2</v>
      </c>
      <c r="O34" s="4713">
        <f>C34*(G34/25)</f>
        <v>9.8668981481481502E-4</v>
      </c>
      <c r="P34" s="4847">
        <f>O34*M34</f>
        <v>1.1544270833333335E-3</v>
      </c>
      <c r="Q34" s="4714">
        <v>180</v>
      </c>
      <c r="R34" s="4710">
        <f>E34*F34*G34</f>
        <v>750</v>
      </c>
      <c r="S34" s="2844">
        <f t="shared" si="7"/>
        <v>0.75</v>
      </c>
      <c r="T34" s="2845">
        <f t="shared" si="8"/>
        <v>2.3680555555555559E-2</v>
      </c>
      <c r="U34" s="374">
        <f t="shared" si="9"/>
        <v>0</v>
      </c>
      <c r="V34" s="2846">
        <f t="shared" si="10"/>
        <v>0</v>
      </c>
      <c r="W34" s="2847">
        <f t="shared" si="11"/>
        <v>0.75</v>
      </c>
      <c r="X34" s="2848">
        <f t="shared" si="12"/>
        <v>0</v>
      </c>
      <c r="Y34" s="2849">
        <f t="shared" si="13"/>
        <v>0</v>
      </c>
      <c r="Z34" s="2850">
        <f t="shared" si="14"/>
        <v>0</v>
      </c>
      <c r="AA34" s="2851">
        <f t="shared" si="15"/>
        <v>0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2.75" customHeight="1" thickBot="1">
      <c r="A35" s="4788" t="s">
        <v>462</v>
      </c>
      <c r="B35" s="3336" t="s">
        <v>461</v>
      </c>
      <c r="C35" s="629">
        <f t="shared" si="3"/>
        <v>1.9733796296296302E-4</v>
      </c>
      <c r="D35" s="1977">
        <v>3</v>
      </c>
      <c r="E35" s="4790">
        <v>3</v>
      </c>
      <c r="F35" s="4710">
        <v>1</v>
      </c>
      <c r="G35" s="4710">
        <v>100</v>
      </c>
      <c r="H35" s="4710"/>
      <c r="I35" s="4711">
        <v>3.4722222222222224E-4</v>
      </c>
      <c r="J35" s="4711">
        <v>1.3888888888888889E-3</v>
      </c>
      <c r="K35" s="4712" t="s">
        <v>2032</v>
      </c>
      <c r="L35" s="4711">
        <f>L34+N34</f>
        <v>0.8130944560185186</v>
      </c>
      <c r="M35" s="4712">
        <v>1.17</v>
      </c>
      <c r="N35" s="4847">
        <f t="shared" si="35"/>
        <v>7.9789583333333344E-3</v>
      </c>
      <c r="O35" s="4713">
        <f>C35*(G35/25)</f>
        <v>7.8935185185185206E-4</v>
      </c>
      <c r="P35" s="4847">
        <f>O35*M35</f>
        <v>9.2354166666666691E-4</v>
      </c>
      <c r="Q35" s="4714">
        <v>180</v>
      </c>
      <c r="R35" s="4710">
        <f>E35*F35*G35</f>
        <v>300</v>
      </c>
      <c r="S35" s="2844">
        <f t="shared" si="7"/>
        <v>0.3</v>
      </c>
      <c r="T35" s="2845">
        <f t="shared" si="8"/>
        <v>9.4722222222222256E-3</v>
      </c>
      <c r="U35" s="374">
        <f t="shared" si="9"/>
        <v>0</v>
      </c>
      <c r="V35" s="2846">
        <f t="shared" si="10"/>
        <v>0</v>
      </c>
      <c r="W35" s="2847">
        <f t="shared" si="11"/>
        <v>0.3</v>
      </c>
      <c r="X35" s="2848">
        <f t="shared" si="12"/>
        <v>0</v>
      </c>
      <c r="Y35" s="2849">
        <f t="shared" si="13"/>
        <v>0</v>
      </c>
      <c r="Z35" s="2850">
        <f t="shared" si="14"/>
        <v>0</v>
      </c>
      <c r="AA35" s="2851">
        <f t="shared" si="15"/>
        <v>0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2.75" customHeight="1" thickBot="1">
      <c r="A36" s="4788" t="s">
        <v>140</v>
      </c>
      <c r="B36" s="3336" t="s">
        <v>461</v>
      </c>
      <c r="C36" s="629">
        <f t="shared" si="3"/>
        <v>2.152777777777778E-4</v>
      </c>
      <c r="D36" s="4791">
        <v>2</v>
      </c>
      <c r="E36" s="4792">
        <v>3</v>
      </c>
      <c r="F36" s="4793">
        <v>1</v>
      </c>
      <c r="G36" s="4736">
        <v>200</v>
      </c>
      <c r="H36" s="4739"/>
      <c r="I36" s="4739">
        <v>3.4722222222222224E-4</v>
      </c>
      <c r="J36" s="4739">
        <v>3.4722222222222224E-4</v>
      </c>
      <c r="K36" s="4740" t="s">
        <v>2021</v>
      </c>
      <c r="L36" s="4781">
        <f t="shared" ref="L36:L37" si="36">L35+N35</f>
        <v>0.82107341435185188</v>
      </c>
      <c r="M36" s="4782">
        <v>1.17</v>
      </c>
      <c r="N36" s="4850">
        <f t="shared" si="35"/>
        <v>8.1283333333333346E-3</v>
      </c>
      <c r="O36" s="4741">
        <f t="shared" ref="O36:O37" si="37">C36*(G36/25)</f>
        <v>1.7222222222222224E-3</v>
      </c>
      <c r="P36" s="4741">
        <f t="shared" ref="P36:P37" si="38">O36*M36</f>
        <v>2.0150000000000003E-3</v>
      </c>
      <c r="Q36" s="4783">
        <v>180</v>
      </c>
      <c r="R36" s="3965">
        <f t="shared" ref="R36:R37" si="39">E36*F36*G36</f>
        <v>600</v>
      </c>
      <c r="S36" s="2844">
        <f t="shared" si="7"/>
        <v>0.6</v>
      </c>
      <c r="T36" s="2845">
        <f t="shared" si="8"/>
        <v>2.066666666666667E-2</v>
      </c>
      <c r="U36" s="374">
        <f t="shared" si="9"/>
        <v>0</v>
      </c>
      <c r="V36" s="2846">
        <f t="shared" si="10"/>
        <v>0.6</v>
      </c>
      <c r="W36" s="2847">
        <f t="shared" si="11"/>
        <v>0</v>
      </c>
      <c r="X36" s="2848">
        <f t="shared" si="12"/>
        <v>0</v>
      </c>
      <c r="Y36" s="2849">
        <f t="shared" si="13"/>
        <v>0</v>
      </c>
      <c r="Z36" s="2850">
        <f t="shared" si="14"/>
        <v>0</v>
      </c>
      <c r="AA36" s="2851">
        <f t="shared" si="15"/>
        <v>0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2.75" customHeight="1" thickBot="1">
      <c r="A37" s="4788" t="s">
        <v>674</v>
      </c>
      <c r="B37" s="3336" t="s">
        <v>461</v>
      </c>
      <c r="C37" s="629">
        <f t="shared" si="3"/>
        <v>2.152777777777778E-4</v>
      </c>
      <c r="D37" s="4794">
        <v>2</v>
      </c>
      <c r="E37" s="4795">
        <v>2</v>
      </c>
      <c r="F37" s="4793">
        <v>1</v>
      </c>
      <c r="G37" s="4736">
        <v>400</v>
      </c>
      <c r="H37" s="4739"/>
      <c r="I37" s="4739">
        <v>3.4722222222222224E-4</v>
      </c>
      <c r="J37" s="4739">
        <v>1.736111111111111E-3</v>
      </c>
      <c r="K37" s="4740" t="s">
        <v>1121</v>
      </c>
      <c r="L37" s="4781">
        <f t="shared" si="36"/>
        <v>0.82920174768518518</v>
      </c>
      <c r="M37" s="4782">
        <v>1.17</v>
      </c>
      <c r="N37" s="4850">
        <f t="shared" si="35"/>
        <v>1.2226666666666667E-2</v>
      </c>
      <c r="O37" s="4741">
        <f t="shared" si="37"/>
        <v>3.4444444444444449E-3</v>
      </c>
      <c r="P37" s="4741">
        <f t="shared" si="38"/>
        <v>4.0300000000000006E-3</v>
      </c>
      <c r="Q37" s="4783">
        <v>180</v>
      </c>
      <c r="R37" s="3965">
        <f t="shared" si="39"/>
        <v>800</v>
      </c>
      <c r="S37" s="2844">
        <f t="shared" si="7"/>
        <v>0.8</v>
      </c>
      <c r="T37" s="2845">
        <f t="shared" si="8"/>
        <v>2.7555555555555559E-2</v>
      </c>
      <c r="U37" s="374">
        <f t="shared" si="9"/>
        <v>0</v>
      </c>
      <c r="V37" s="2846">
        <f t="shared" si="10"/>
        <v>0.8</v>
      </c>
      <c r="W37" s="2847">
        <f t="shared" si="11"/>
        <v>0</v>
      </c>
      <c r="X37" s="2848">
        <f t="shared" si="12"/>
        <v>0</v>
      </c>
      <c r="Y37" s="2849">
        <f t="shared" si="13"/>
        <v>0</v>
      </c>
      <c r="Z37" s="2850">
        <f t="shared" si="14"/>
        <v>0</v>
      </c>
      <c r="AA37" s="2851">
        <f t="shared" si="15"/>
        <v>0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1"/>
    </row>
    <row r="38" spans="1:40" ht="13.25" customHeight="1" thickBot="1">
      <c r="A38" s="4788" t="s">
        <v>214</v>
      </c>
      <c r="B38" s="3336" t="s">
        <v>461</v>
      </c>
      <c r="C38" s="629">
        <f t="shared" si="3"/>
        <v>1.9733796296296302E-4</v>
      </c>
      <c r="D38" s="4418">
        <v>3</v>
      </c>
      <c r="E38" s="4796">
        <v>1</v>
      </c>
      <c r="F38" s="4710">
        <v>3</v>
      </c>
      <c r="G38" s="4710">
        <v>100</v>
      </c>
      <c r="H38" s="4710"/>
      <c r="I38" s="4711">
        <v>2.3148148148148146E-4</v>
      </c>
      <c r="J38" s="4711">
        <v>9.2592592592592585E-4</v>
      </c>
      <c r="K38" s="4712" t="s">
        <v>1571</v>
      </c>
      <c r="L38" s="4711">
        <f>L37+N37</f>
        <v>0.84142841435185189</v>
      </c>
      <c r="M38" s="4712">
        <v>1.17</v>
      </c>
      <c r="N38" s="4847">
        <f t="shared" si="35"/>
        <v>4.3909953703703706E-3</v>
      </c>
      <c r="O38" s="4713">
        <f>C38*(G38/25)</f>
        <v>7.8935185185185206E-4</v>
      </c>
      <c r="P38" s="4847">
        <f>O38*M38</f>
        <v>9.2354166666666691E-4</v>
      </c>
      <c r="Q38" s="4714">
        <v>160</v>
      </c>
      <c r="R38" s="4710">
        <f>E38*F38*G38</f>
        <v>300</v>
      </c>
      <c r="S38" s="2844">
        <f t="shared" si="7"/>
        <v>0.3</v>
      </c>
      <c r="T38" s="2845">
        <f t="shared" si="8"/>
        <v>9.4722222222222256E-3</v>
      </c>
      <c r="U38" s="374">
        <f t="shared" si="9"/>
        <v>0</v>
      </c>
      <c r="V38" s="2846">
        <f t="shared" si="10"/>
        <v>0</v>
      </c>
      <c r="W38" s="2847">
        <f t="shared" si="11"/>
        <v>0.3</v>
      </c>
      <c r="X38" s="2848">
        <f t="shared" si="12"/>
        <v>0</v>
      </c>
      <c r="Y38" s="2849">
        <f t="shared" si="13"/>
        <v>0</v>
      </c>
      <c r="Z38" s="2850">
        <f t="shared" si="14"/>
        <v>0</v>
      </c>
      <c r="AA38" s="2851">
        <f t="shared" si="15"/>
        <v>0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1"/>
    </row>
    <row r="39" spans="1:40" ht="13.25" customHeight="1" thickBot="1">
      <c r="A39" s="4788" t="s">
        <v>458</v>
      </c>
      <c r="B39" s="3336" t="s">
        <v>461</v>
      </c>
      <c r="C39" s="629">
        <f t="shared" si="3"/>
        <v>1.7939814814814817E-4</v>
      </c>
      <c r="D39" s="4824">
        <v>4</v>
      </c>
      <c r="E39" s="4753">
        <v>10</v>
      </c>
      <c r="F39" s="4753">
        <v>1</v>
      </c>
      <c r="G39" s="4753">
        <v>75</v>
      </c>
      <c r="H39" s="4747"/>
      <c r="I39" s="4747">
        <v>5.7870370370370366E-5</v>
      </c>
      <c r="J39" s="4747">
        <v>6.9444444444444447E-4</v>
      </c>
      <c r="K39" s="4789" t="s">
        <v>2033</v>
      </c>
      <c r="L39" s="4825">
        <f>L38+N38</f>
        <v>0.84581940972222225</v>
      </c>
      <c r="M39" s="4750">
        <v>1.1000000000000001</v>
      </c>
      <c r="N39" s="4857">
        <f t="shared" si="35"/>
        <v>1.344328703703704E-2</v>
      </c>
      <c r="O39" s="4751">
        <f>C39*(G39/25)</f>
        <v>5.3819444444444455E-4</v>
      </c>
      <c r="P39" s="4751">
        <f>O39*M39</f>
        <v>5.920138888888891E-4</v>
      </c>
      <c r="Q39" s="4826">
        <v>180</v>
      </c>
      <c r="R39" s="4827">
        <f>E39*F39*G39</f>
        <v>750</v>
      </c>
      <c r="S39" s="2844">
        <f t="shared" si="7"/>
        <v>0.75</v>
      </c>
      <c r="T39" s="2845">
        <f t="shared" si="8"/>
        <v>2.1527777777777781E-2</v>
      </c>
      <c r="U39" s="374">
        <f t="shared" si="9"/>
        <v>0</v>
      </c>
      <c r="V39" s="2846">
        <f t="shared" si="10"/>
        <v>0</v>
      </c>
      <c r="W39" s="2847">
        <f t="shared" si="11"/>
        <v>0</v>
      </c>
      <c r="X39" s="2848">
        <f t="shared" si="12"/>
        <v>0.75</v>
      </c>
      <c r="Y39" s="2849">
        <f t="shared" si="13"/>
        <v>0</v>
      </c>
      <c r="Z39" s="2850">
        <f t="shared" si="14"/>
        <v>0</v>
      </c>
      <c r="AA39" s="2851">
        <f t="shared" si="15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1"/>
    </row>
    <row r="40" spans="1:40" ht="14" customHeight="1" thickBot="1">
      <c r="A40" s="4788" t="s">
        <v>219</v>
      </c>
      <c r="B40" s="3336"/>
      <c r="C40" s="629">
        <f t="shared" si="3"/>
        <v>0</v>
      </c>
      <c r="D40" s="920"/>
      <c r="E40" s="4755"/>
      <c r="F40" s="4755"/>
      <c r="G40" s="4755"/>
      <c r="H40" s="4758"/>
      <c r="I40" s="4758"/>
      <c r="J40" s="4758"/>
      <c r="K40" s="4759"/>
      <c r="L40" s="4760">
        <f>L39+N39</f>
        <v>0.85926269675925926</v>
      </c>
      <c r="M40" s="4761"/>
      <c r="N40" s="4762">
        <f>SUM(N33:N39)</f>
        <v>6.0651585648148154E-2</v>
      </c>
      <c r="O40" s="4758"/>
      <c r="P40" s="4762"/>
      <c r="Q40" s="4763"/>
      <c r="R40" s="4756">
        <f>SUM(R33:R39)</f>
        <v>3800</v>
      </c>
      <c r="S40" s="2844">
        <f t="shared" si="7"/>
        <v>0</v>
      </c>
      <c r="T40" s="2845">
        <f t="shared" si="8"/>
        <v>0</v>
      </c>
      <c r="U40" s="374">
        <f t="shared" si="9"/>
        <v>0</v>
      </c>
      <c r="V40" s="2846">
        <f t="shared" si="10"/>
        <v>0</v>
      </c>
      <c r="W40" s="2847">
        <f t="shared" si="11"/>
        <v>0</v>
      </c>
      <c r="X40" s="2848">
        <f t="shared" si="12"/>
        <v>0</v>
      </c>
      <c r="Y40" s="2849">
        <f t="shared" si="13"/>
        <v>0</v>
      </c>
      <c r="Z40" s="2850">
        <f t="shared" si="14"/>
        <v>0</v>
      </c>
      <c r="AA40" s="2851">
        <f t="shared" si="15"/>
        <v>0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  <c r="AN40" s="1"/>
    </row>
    <row r="41" spans="1:40" ht="14" customHeight="1" thickBot="1">
      <c r="A41" s="3109" t="s">
        <v>217</v>
      </c>
      <c r="B41" s="3110" t="s">
        <v>215</v>
      </c>
      <c r="C41" s="629">
        <f t="shared" si="3"/>
        <v>2.152777777777778E-4</v>
      </c>
      <c r="D41" s="1441">
        <v>2</v>
      </c>
      <c r="E41" s="4797">
        <v>1</v>
      </c>
      <c r="F41" s="4797">
        <v>8</v>
      </c>
      <c r="G41" s="4797">
        <v>25</v>
      </c>
      <c r="H41" s="4798"/>
      <c r="I41" s="4798">
        <v>5.7870370370370366E-5</v>
      </c>
      <c r="J41" s="4798">
        <v>6.9444444444444447E-4</v>
      </c>
      <c r="K41" s="4799" t="s">
        <v>1567</v>
      </c>
      <c r="L41" s="4800">
        <v>0.79861111111111116</v>
      </c>
      <c r="M41" s="4801">
        <v>1.17</v>
      </c>
      <c r="N41" s="4802">
        <f t="shared" ref="N41:N47" si="40">P41*E41*F41+I41*F41*E41+J41*E41</f>
        <v>3.1724074074074076E-3</v>
      </c>
      <c r="O41" s="4802">
        <f t="shared" ref="O41:O47" si="41">C41*(G41/25)</f>
        <v>2.152777777777778E-4</v>
      </c>
      <c r="P41" s="4802">
        <f t="shared" ref="P41:P47" si="42">O41*M41</f>
        <v>2.5187500000000004E-4</v>
      </c>
      <c r="Q41" s="4803">
        <v>160</v>
      </c>
      <c r="R41" s="4804">
        <f t="shared" ref="R41:R47" si="43">E41*F41*G41</f>
        <v>200</v>
      </c>
      <c r="S41" s="2844">
        <f t="shared" si="7"/>
        <v>0.2</v>
      </c>
      <c r="T41" s="2845">
        <f t="shared" si="8"/>
        <v>6.8888888888888897E-3</v>
      </c>
      <c r="U41" s="374">
        <f t="shared" si="9"/>
        <v>0</v>
      </c>
      <c r="V41" s="2846">
        <f t="shared" si="10"/>
        <v>0.2</v>
      </c>
      <c r="W41" s="2847">
        <f t="shared" si="11"/>
        <v>0</v>
      </c>
      <c r="X41" s="2848">
        <f t="shared" si="12"/>
        <v>0</v>
      </c>
      <c r="Y41" s="2849">
        <f t="shared" si="13"/>
        <v>0</v>
      </c>
      <c r="Z41" s="2850">
        <f t="shared" si="14"/>
        <v>0</v>
      </c>
      <c r="AA41" s="2851">
        <f t="shared" si="15"/>
        <v>0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  <c r="AN41" s="1"/>
    </row>
    <row r="42" spans="1:40" ht="14" customHeight="1" thickBot="1">
      <c r="A42" s="3109" t="s">
        <v>459</v>
      </c>
      <c r="B42" s="3110" t="s">
        <v>215</v>
      </c>
      <c r="C42" s="629">
        <f t="shared" si="3"/>
        <v>1.7222222222222224E-4</v>
      </c>
      <c r="D42" s="1441">
        <v>7</v>
      </c>
      <c r="E42" s="4805">
        <v>1</v>
      </c>
      <c r="F42" s="4805">
        <v>4</v>
      </c>
      <c r="G42" s="4805">
        <v>25</v>
      </c>
      <c r="H42" s="4806"/>
      <c r="I42" s="4806">
        <v>1.1574074074074073E-3</v>
      </c>
      <c r="J42" s="4806">
        <v>1.3888888888888889E-3</v>
      </c>
      <c r="K42" s="3572" t="s">
        <v>1572</v>
      </c>
      <c r="L42" s="4807">
        <f t="shared" ref="L42:L47" si="44">L41+N41</f>
        <v>0.80178351851851859</v>
      </c>
      <c r="M42" s="4808">
        <v>1.17</v>
      </c>
      <c r="N42" s="4854">
        <f t="shared" si="40"/>
        <v>6.8245185185185188E-3</v>
      </c>
      <c r="O42" s="4809">
        <f t="shared" si="41"/>
        <v>1.7222222222222224E-4</v>
      </c>
      <c r="P42" s="2048">
        <f t="shared" si="42"/>
        <v>2.0149999999999999E-4</v>
      </c>
      <c r="Q42" s="4810">
        <v>160</v>
      </c>
      <c r="R42" s="3808">
        <f t="shared" si="43"/>
        <v>100</v>
      </c>
      <c r="S42" s="2844">
        <f t="shared" si="7"/>
        <v>0.1</v>
      </c>
      <c r="T42" s="2845">
        <f t="shared" si="8"/>
        <v>2.7555555555555558E-3</v>
      </c>
      <c r="U42" s="374">
        <f t="shared" si="9"/>
        <v>0</v>
      </c>
      <c r="V42" s="2846">
        <f t="shared" si="10"/>
        <v>0</v>
      </c>
      <c r="W42" s="2847">
        <f t="shared" si="11"/>
        <v>0</v>
      </c>
      <c r="X42" s="2848">
        <f t="shared" si="12"/>
        <v>0</v>
      </c>
      <c r="Y42" s="2849">
        <f t="shared" si="13"/>
        <v>0</v>
      </c>
      <c r="Z42" s="2850">
        <f t="shared" si="14"/>
        <v>0</v>
      </c>
      <c r="AA42" s="2851">
        <f t="shared" si="15"/>
        <v>0.1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  <c r="AN42" s="1"/>
    </row>
    <row r="43" spans="1:40" ht="14" customHeight="1" thickBot="1">
      <c r="A43" s="3109" t="s">
        <v>458</v>
      </c>
      <c r="B43" s="3110" t="s">
        <v>215</v>
      </c>
      <c r="C43" s="629">
        <f t="shared" si="3"/>
        <v>1.9733796296296302E-4</v>
      </c>
      <c r="D43" s="1441">
        <v>3</v>
      </c>
      <c r="E43" s="4811">
        <v>1</v>
      </c>
      <c r="F43" s="4811">
        <v>8</v>
      </c>
      <c r="G43" s="4811">
        <v>25</v>
      </c>
      <c r="H43" s="4812"/>
      <c r="I43" s="4812">
        <v>2.8935185185185189E-4</v>
      </c>
      <c r="J43" s="4812">
        <v>1.3888888888888889E-3</v>
      </c>
      <c r="K43" s="4813" t="s">
        <v>1567</v>
      </c>
      <c r="L43" s="4814">
        <f t="shared" si="44"/>
        <v>0.8086080370370371</v>
      </c>
      <c r="M43" s="4815">
        <v>1.17</v>
      </c>
      <c r="N43" s="4855">
        <f t="shared" si="40"/>
        <v>5.5507870370370381E-3</v>
      </c>
      <c r="O43" s="4816">
        <f t="shared" si="41"/>
        <v>1.9733796296296302E-4</v>
      </c>
      <c r="P43" s="4817">
        <f t="shared" si="42"/>
        <v>2.3088541666666673E-4</v>
      </c>
      <c r="Q43" s="4818">
        <v>160</v>
      </c>
      <c r="R43" s="4819">
        <f t="shared" si="43"/>
        <v>200</v>
      </c>
      <c r="S43" s="2844">
        <f t="shared" si="7"/>
        <v>0.2</v>
      </c>
      <c r="T43" s="2845">
        <f t="shared" si="8"/>
        <v>6.3148148148148165E-3</v>
      </c>
      <c r="U43" s="374">
        <f t="shared" si="9"/>
        <v>0</v>
      </c>
      <c r="V43" s="2846">
        <f t="shared" si="10"/>
        <v>0</v>
      </c>
      <c r="W43" s="2847">
        <f t="shared" si="11"/>
        <v>0.2</v>
      </c>
      <c r="X43" s="2848">
        <f t="shared" si="12"/>
        <v>0</v>
      </c>
      <c r="Y43" s="2849">
        <f t="shared" si="13"/>
        <v>0</v>
      </c>
      <c r="Z43" s="2850">
        <f t="shared" si="14"/>
        <v>0</v>
      </c>
      <c r="AA43" s="2851">
        <f t="shared" si="15"/>
        <v>0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  <c r="AN43" s="1"/>
    </row>
    <row r="44" spans="1:40" ht="14" customHeight="1" thickBot="1">
      <c r="A44" s="3109" t="s">
        <v>218</v>
      </c>
      <c r="B44" s="3110" t="s">
        <v>215</v>
      </c>
      <c r="C44" s="629">
        <f t="shared" si="3"/>
        <v>1.7222222222222224E-4</v>
      </c>
      <c r="D44" s="1441">
        <v>7</v>
      </c>
      <c r="E44" s="4805">
        <v>1</v>
      </c>
      <c r="F44" s="4805">
        <v>1</v>
      </c>
      <c r="G44" s="4805">
        <v>35</v>
      </c>
      <c r="H44" s="4806"/>
      <c r="I44" s="4806">
        <v>2.3148148148148146E-4</v>
      </c>
      <c r="J44" s="4806">
        <v>1.3888888888888889E-3</v>
      </c>
      <c r="K44" s="3572" t="s">
        <v>284</v>
      </c>
      <c r="L44" s="4807">
        <f t="shared" si="44"/>
        <v>0.81415882407407414</v>
      </c>
      <c r="M44" s="4808">
        <v>1.17</v>
      </c>
      <c r="N44" s="4854">
        <f t="shared" si="40"/>
        <v>1.9024703703703705E-3</v>
      </c>
      <c r="O44" s="4809">
        <f t="shared" si="41"/>
        <v>2.4111111111111111E-4</v>
      </c>
      <c r="P44" s="2048">
        <f t="shared" si="42"/>
        <v>2.8209999999999997E-4</v>
      </c>
      <c r="Q44" s="4810">
        <v>160</v>
      </c>
      <c r="R44" s="3808">
        <f t="shared" si="43"/>
        <v>35</v>
      </c>
      <c r="S44" s="2844">
        <f t="shared" si="7"/>
        <v>3.5000000000000003E-2</v>
      </c>
      <c r="T44" s="2845">
        <f t="shared" si="8"/>
        <v>9.6444444444444442E-4</v>
      </c>
      <c r="U44" s="374">
        <f t="shared" si="9"/>
        <v>0</v>
      </c>
      <c r="V44" s="2846">
        <f t="shared" si="10"/>
        <v>0</v>
      </c>
      <c r="W44" s="2847">
        <f t="shared" si="11"/>
        <v>0</v>
      </c>
      <c r="X44" s="2848">
        <f t="shared" si="12"/>
        <v>0</v>
      </c>
      <c r="Y44" s="2849">
        <f t="shared" si="13"/>
        <v>0</v>
      </c>
      <c r="Z44" s="2850">
        <f t="shared" si="14"/>
        <v>0</v>
      </c>
      <c r="AA44" s="2851">
        <f t="shared" si="15"/>
        <v>3.5000000000000003E-2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  <c r="AN44" s="1"/>
    </row>
    <row r="45" spans="1:40" ht="14" customHeight="1" thickBot="1">
      <c r="A45" s="3109" t="s">
        <v>458</v>
      </c>
      <c r="B45" s="3110" t="s">
        <v>215</v>
      </c>
      <c r="C45" s="629">
        <f t="shared" si="3"/>
        <v>1.9733796296296302E-4</v>
      </c>
      <c r="D45" s="1441">
        <v>3</v>
      </c>
      <c r="E45" s="4811">
        <v>1</v>
      </c>
      <c r="F45" s="4811">
        <v>8</v>
      </c>
      <c r="G45" s="4811">
        <v>25</v>
      </c>
      <c r="H45" s="4812"/>
      <c r="I45" s="4812">
        <v>2.8935185185185189E-4</v>
      </c>
      <c r="J45" s="4812">
        <v>1.3888888888888889E-3</v>
      </c>
      <c r="K45" s="4813" t="s">
        <v>1567</v>
      </c>
      <c r="L45" s="4814">
        <f t="shared" si="44"/>
        <v>0.81606129444444453</v>
      </c>
      <c r="M45" s="4815">
        <v>1.17</v>
      </c>
      <c r="N45" s="4855">
        <f t="shared" si="40"/>
        <v>5.5507870370370381E-3</v>
      </c>
      <c r="O45" s="4816">
        <f t="shared" si="41"/>
        <v>1.9733796296296302E-4</v>
      </c>
      <c r="P45" s="4817">
        <f t="shared" si="42"/>
        <v>2.3088541666666673E-4</v>
      </c>
      <c r="Q45" s="4818">
        <v>160</v>
      </c>
      <c r="R45" s="4819">
        <f t="shared" si="43"/>
        <v>200</v>
      </c>
      <c r="S45" s="2844">
        <f t="shared" si="7"/>
        <v>0.2</v>
      </c>
      <c r="T45" s="2845">
        <f t="shared" si="8"/>
        <v>6.3148148148148165E-3</v>
      </c>
      <c r="U45" s="374">
        <f t="shared" si="9"/>
        <v>0</v>
      </c>
      <c r="V45" s="2846">
        <f t="shared" si="10"/>
        <v>0</v>
      </c>
      <c r="W45" s="2847">
        <f t="shared" si="11"/>
        <v>0.2</v>
      </c>
      <c r="X45" s="2848">
        <f t="shared" si="12"/>
        <v>0</v>
      </c>
      <c r="Y45" s="2849">
        <f t="shared" si="13"/>
        <v>0</v>
      </c>
      <c r="Z45" s="2850">
        <f t="shared" si="14"/>
        <v>0</v>
      </c>
      <c r="AA45" s="2851">
        <f t="shared" si="15"/>
        <v>0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  <c r="AN45" s="1"/>
    </row>
    <row r="46" spans="1:40" ht="14" customHeight="1" thickBot="1">
      <c r="A46" s="3109" t="s">
        <v>219</v>
      </c>
      <c r="B46" s="3110" t="s">
        <v>215</v>
      </c>
      <c r="C46" s="629">
        <f t="shared" si="3"/>
        <v>1.7939814814814817E-4</v>
      </c>
      <c r="D46" s="1441">
        <v>4</v>
      </c>
      <c r="E46" s="4811">
        <v>4</v>
      </c>
      <c r="F46" s="4811">
        <v>4</v>
      </c>
      <c r="G46" s="4811">
        <v>50</v>
      </c>
      <c r="H46" s="4812"/>
      <c r="I46" s="4812">
        <v>6.9444444444444447E-4</v>
      </c>
      <c r="J46" s="4812">
        <v>1.1574074074074073E-3</v>
      </c>
      <c r="K46" s="4813" t="s">
        <v>1455</v>
      </c>
      <c r="L46" s="4814">
        <f t="shared" si="44"/>
        <v>0.82161208148148157</v>
      </c>
      <c r="M46" s="4815">
        <v>1.17</v>
      </c>
      <c r="N46" s="4855">
        <f t="shared" si="40"/>
        <v>2.2457407407407409E-2</v>
      </c>
      <c r="O46" s="4816">
        <f t="shared" si="41"/>
        <v>3.5879629629629635E-4</v>
      </c>
      <c r="P46" s="4817">
        <f t="shared" si="42"/>
        <v>4.1979166666666667E-4</v>
      </c>
      <c r="Q46" s="4818">
        <v>160</v>
      </c>
      <c r="R46" s="4819">
        <f t="shared" si="43"/>
        <v>800</v>
      </c>
      <c r="S46" s="2844">
        <f t="shared" si="7"/>
        <v>0.8</v>
      </c>
      <c r="T46" s="2845">
        <f t="shared" si="8"/>
        <v>2.2962962962962966E-2</v>
      </c>
      <c r="U46" s="374">
        <f t="shared" si="9"/>
        <v>0</v>
      </c>
      <c r="V46" s="2846">
        <f t="shared" si="10"/>
        <v>0</v>
      </c>
      <c r="W46" s="2847">
        <f t="shared" si="11"/>
        <v>0</v>
      </c>
      <c r="X46" s="2848">
        <f t="shared" si="12"/>
        <v>0.8</v>
      </c>
      <c r="Y46" s="2849">
        <f t="shared" si="13"/>
        <v>0</v>
      </c>
      <c r="Z46" s="2850">
        <f t="shared" si="14"/>
        <v>0</v>
      </c>
      <c r="AA46" s="2851">
        <f t="shared" si="15"/>
        <v>0</v>
      </c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  <c r="AN46" s="1"/>
    </row>
    <row r="47" spans="1:40" ht="13.25" customHeight="1" thickBot="1">
      <c r="A47" s="3109"/>
      <c r="B47" s="3110" t="s">
        <v>215</v>
      </c>
      <c r="C47" s="629">
        <f t="shared" si="3"/>
        <v>1.7939814814814817E-4</v>
      </c>
      <c r="D47" s="1441">
        <v>4</v>
      </c>
      <c r="E47" s="4811">
        <v>4</v>
      </c>
      <c r="F47" s="4811">
        <v>4</v>
      </c>
      <c r="G47" s="4811">
        <v>30</v>
      </c>
      <c r="H47" s="4812"/>
      <c r="I47" s="4812">
        <v>8.6805555555555551E-4</v>
      </c>
      <c r="J47" s="4812">
        <v>2.8935185185185189E-4</v>
      </c>
      <c r="K47" s="4813" t="s">
        <v>1573</v>
      </c>
      <c r="L47" s="4814">
        <f t="shared" si="44"/>
        <v>0.844069488888889</v>
      </c>
      <c r="M47" s="4815">
        <v>1.17</v>
      </c>
      <c r="N47" s="4855">
        <f t="shared" si="40"/>
        <v>1.9076296296296296E-2</v>
      </c>
      <c r="O47" s="4816">
        <f t="shared" si="41"/>
        <v>2.152777777777778E-4</v>
      </c>
      <c r="P47" s="4817">
        <f t="shared" si="42"/>
        <v>2.5187500000000004E-4</v>
      </c>
      <c r="Q47" s="4818">
        <v>160</v>
      </c>
      <c r="R47" s="4819">
        <f t="shared" si="43"/>
        <v>480</v>
      </c>
      <c r="S47" s="2844">
        <f t="shared" si="7"/>
        <v>0.48</v>
      </c>
      <c r="T47" s="2845">
        <f t="shared" si="8"/>
        <v>1.3777777777777779E-2</v>
      </c>
      <c r="U47" s="374">
        <f t="shared" si="9"/>
        <v>0</v>
      </c>
      <c r="V47" s="2846">
        <f t="shared" si="10"/>
        <v>0</v>
      </c>
      <c r="W47" s="2847">
        <f t="shared" si="11"/>
        <v>0</v>
      </c>
      <c r="X47" s="2848">
        <f t="shared" si="12"/>
        <v>0.48</v>
      </c>
      <c r="Y47" s="2849">
        <f t="shared" si="13"/>
        <v>0</v>
      </c>
      <c r="Z47" s="2850">
        <f t="shared" si="14"/>
        <v>0</v>
      </c>
      <c r="AA47" s="2851">
        <f t="shared" si="15"/>
        <v>0</v>
      </c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  <c r="AN47" s="1"/>
    </row>
    <row r="48" spans="1:40" ht="14" customHeight="1" thickBot="1">
      <c r="A48" s="3109" t="s">
        <v>217</v>
      </c>
      <c r="B48" s="3110"/>
      <c r="C48" s="629">
        <f t="shared" si="3"/>
        <v>0</v>
      </c>
      <c r="D48" s="920"/>
      <c r="E48" s="845"/>
      <c r="F48" s="839"/>
      <c r="G48" s="839"/>
      <c r="H48" s="839"/>
      <c r="I48" s="839"/>
      <c r="J48" s="839"/>
      <c r="K48" s="839"/>
      <c r="L48" s="4049">
        <f>L47+N47</f>
        <v>0.86314578518518525</v>
      </c>
      <c r="M48" s="839"/>
      <c r="N48" s="4852"/>
      <c r="O48" s="839"/>
      <c r="P48" s="4849"/>
      <c r="Q48" s="839"/>
      <c r="R48" s="4729">
        <f>SUM(R41:R47)</f>
        <v>2015</v>
      </c>
      <c r="S48" s="2844">
        <f t="shared" si="7"/>
        <v>0</v>
      </c>
      <c r="T48" s="2845">
        <f t="shared" si="8"/>
        <v>0</v>
      </c>
      <c r="U48" s="374">
        <f t="shared" si="9"/>
        <v>0</v>
      </c>
      <c r="V48" s="2846">
        <f t="shared" si="10"/>
        <v>0</v>
      </c>
      <c r="W48" s="2847">
        <f t="shared" si="11"/>
        <v>0</v>
      </c>
      <c r="X48" s="2848">
        <f t="shared" si="12"/>
        <v>0</v>
      </c>
      <c r="Y48" s="2849">
        <f t="shared" si="13"/>
        <v>0</v>
      </c>
      <c r="Z48" s="2850">
        <f t="shared" si="14"/>
        <v>0</v>
      </c>
      <c r="AA48" s="2851">
        <f t="shared" si="15"/>
        <v>0</v>
      </c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  <c r="AN48" s="1"/>
    </row>
    <row r="49" spans="1:40" ht="14" customHeight="1" thickBot="1">
      <c r="A49" s="3109" t="s">
        <v>459</v>
      </c>
      <c r="B49" s="3115" t="s">
        <v>461</v>
      </c>
      <c r="C49" s="629">
        <f t="shared" si="3"/>
        <v>2.3321759259259265E-4</v>
      </c>
      <c r="D49" s="4773">
        <v>1</v>
      </c>
      <c r="E49" s="4704">
        <v>1</v>
      </c>
      <c r="F49" s="4704">
        <v>6</v>
      </c>
      <c r="G49" s="4704">
        <v>200</v>
      </c>
      <c r="H49" s="4705"/>
      <c r="I49" s="4705">
        <v>1.1574074074074073E-4</v>
      </c>
      <c r="J49" s="4705">
        <v>1.1574074074074073E-4</v>
      </c>
      <c r="K49" s="4706" t="s">
        <v>2254</v>
      </c>
      <c r="L49" s="4774">
        <v>0.78472222222222221</v>
      </c>
      <c r="M49" s="4775">
        <v>1.1000000000000001</v>
      </c>
      <c r="N49" s="4851">
        <f>P49*E49*F49+I49*E49*F49+J49*E49</f>
        <v>1.3124074074074076E-2</v>
      </c>
      <c r="O49" s="4707">
        <f t="shared" ref="O49:O61" si="45">C49*(G49/25)</f>
        <v>1.8657407407407412E-3</v>
      </c>
      <c r="P49" s="4707">
        <f>O49*M49</f>
        <v>2.0523148148148154E-3</v>
      </c>
      <c r="Q49" s="4776">
        <v>129</v>
      </c>
      <c r="R49" s="4777">
        <f>E49*F49*G49</f>
        <v>1200</v>
      </c>
      <c r="S49" s="2844">
        <f t="shared" si="7"/>
        <v>1.2</v>
      </c>
      <c r="T49" s="2845">
        <f t="shared" si="8"/>
        <v>4.4777777777777791E-2</v>
      </c>
      <c r="U49" s="374">
        <f t="shared" si="9"/>
        <v>1.2</v>
      </c>
      <c r="V49" s="2846">
        <f t="shared" si="10"/>
        <v>0</v>
      </c>
      <c r="W49" s="2847">
        <f t="shared" si="11"/>
        <v>0</v>
      </c>
      <c r="X49" s="2848">
        <f t="shared" si="12"/>
        <v>0</v>
      </c>
      <c r="Y49" s="2849">
        <f t="shared" si="13"/>
        <v>0</v>
      </c>
      <c r="Z49" s="2850">
        <f t="shared" si="14"/>
        <v>0</v>
      </c>
      <c r="AA49" s="2851">
        <f t="shared" si="15"/>
        <v>0</v>
      </c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  <c r="AN49" s="1"/>
    </row>
    <row r="50" spans="1:40" ht="14" customHeight="1" thickBot="1">
      <c r="A50" s="3109" t="s">
        <v>458</v>
      </c>
      <c r="B50" s="3115" t="s">
        <v>461</v>
      </c>
      <c r="C50" s="629">
        <f t="shared" si="3"/>
        <v>1.7850115740740744E-4</v>
      </c>
      <c r="D50" s="4824">
        <v>5</v>
      </c>
      <c r="E50" s="4753">
        <v>2</v>
      </c>
      <c r="F50" s="4753">
        <v>3</v>
      </c>
      <c r="G50" s="4753">
        <v>105</v>
      </c>
      <c r="H50" s="4747"/>
      <c r="I50" s="4747">
        <v>3.4722222222222224E-4</v>
      </c>
      <c r="J50" s="4747">
        <v>1.3888888888888889E-3</v>
      </c>
      <c r="K50" s="4789" t="s">
        <v>1576</v>
      </c>
      <c r="L50" s="4825">
        <f>L49+N49</f>
        <v>0.79784629629629633</v>
      </c>
      <c r="M50" s="4750">
        <v>1</v>
      </c>
      <c r="N50" s="4857">
        <f>P50*E50*F50+I50*E50*F50+J50*E50</f>
        <v>9.3593402777777789E-3</v>
      </c>
      <c r="O50" s="4751">
        <f t="shared" si="45"/>
        <v>7.4970486111111125E-4</v>
      </c>
      <c r="P50" s="4751">
        <f>O50*M50</f>
        <v>7.4970486111111125E-4</v>
      </c>
      <c r="Q50" s="4826">
        <v>158</v>
      </c>
      <c r="R50" s="4827">
        <f>E50*F50*G50</f>
        <v>630</v>
      </c>
      <c r="S50" s="2844">
        <f t="shared" si="7"/>
        <v>0.63</v>
      </c>
      <c r="T50" s="2845">
        <f t="shared" si="8"/>
        <v>1.7992916666666671E-2</v>
      </c>
      <c r="U50" s="374">
        <f t="shared" si="9"/>
        <v>0</v>
      </c>
      <c r="V50" s="2846">
        <f t="shared" si="10"/>
        <v>0</v>
      </c>
      <c r="W50" s="2847">
        <f t="shared" si="11"/>
        <v>0</v>
      </c>
      <c r="X50" s="2848">
        <f t="shared" si="12"/>
        <v>0</v>
      </c>
      <c r="Y50" s="2849">
        <f t="shared" si="13"/>
        <v>0.63</v>
      </c>
      <c r="Z50" s="2850">
        <f t="shared" si="14"/>
        <v>0</v>
      </c>
      <c r="AA50" s="2851">
        <f t="shared" si="15"/>
        <v>0</v>
      </c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  <c r="AN50" s="1"/>
    </row>
    <row r="51" spans="1:40" ht="14" customHeight="1" thickBot="1">
      <c r="A51" s="3109" t="s">
        <v>218</v>
      </c>
      <c r="B51" s="3115" t="s">
        <v>461</v>
      </c>
      <c r="C51" s="629">
        <f t="shared" si="3"/>
        <v>2.152777777777778E-4</v>
      </c>
      <c r="D51" s="4780">
        <v>2</v>
      </c>
      <c r="E51" s="4736">
        <v>1</v>
      </c>
      <c r="F51" s="4736">
        <v>6</v>
      </c>
      <c r="G51" s="4736">
        <v>200</v>
      </c>
      <c r="H51" s="4739"/>
      <c r="I51" s="4739">
        <v>4.6296296296296293E-4</v>
      </c>
      <c r="J51" s="4739">
        <v>6.9444444444444447E-4</v>
      </c>
      <c r="K51" s="4740" t="s">
        <v>2255</v>
      </c>
      <c r="L51" s="4781">
        <f>L50+N50</f>
        <v>0.80720563657407407</v>
      </c>
      <c r="M51" s="4782">
        <v>1.1499999999999999</v>
      </c>
      <c r="N51" s="4850">
        <f>P51*E51*F51+I51*E51*F51+J51*E51</f>
        <v>1.5355555555555555E-2</v>
      </c>
      <c r="O51" s="4741">
        <f t="shared" si="45"/>
        <v>1.7222222222222224E-3</v>
      </c>
      <c r="P51" s="4741">
        <f>O51*M51</f>
        <v>1.9805555555555557E-3</v>
      </c>
      <c r="Q51" s="4783">
        <v>147</v>
      </c>
      <c r="R51" s="3965">
        <f>E51*F51*G51</f>
        <v>1200</v>
      </c>
      <c r="S51" s="2844">
        <f t="shared" si="7"/>
        <v>1.2</v>
      </c>
      <c r="T51" s="2845">
        <f t="shared" si="8"/>
        <v>4.133333333333334E-2</v>
      </c>
      <c r="U51" s="374">
        <f t="shared" si="9"/>
        <v>0</v>
      </c>
      <c r="V51" s="2846">
        <f t="shared" si="10"/>
        <v>1.2</v>
      </c>
      <c r="W51" s="2847">
        <f t="shared" si="11"/>
        <v>0</v>
      </c>
      <c r="X51" s="2848">
        <f t="shared" si="12"/>
        <v>0</v>
      </c>
      <c r="Y51" s="2849">
        <f t="shared" si="13"/>
        <v>0</v>
      </c>
      <c r="Z51" s="2850">
        <f t="shared" si="14"/>
        <v>0</v>
      </c>
      <c r="AA51" s="2851">
        <f t="shared" si="15"/>
        <v>0</v>
      </c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  <c r="AN51" s="1"/>
    </row>
    <row r="52" spans="1:40" ht="14" customHeight="1" thickBot="1">
      <c r="A52" s="3109" t="s">
        <v>458</v>
      </c>
      <c r="B52" s="3115" t="s">
        <v>461</v>
      </c>
      <c r="C52" s="629">
        <f t="shared" si="3"/>
        <v>1.7939814814814817E-4</v>
      </c>
      <c r="D52" s="4824">
        <v>4</v>
      </c>
      <c r="E52" s="4753">
        <v>1</v>
      </c>
      <c r="F52" s="4753">
        <v>6</v>
      </c>
      <c r="G52" s="4753">
        <v>200</v>
      </c>
      <c r="H52" s="4747"/>
      <c r="I52" s="4747">
        <v>9.2592592592592585E-4</v>
      </c>
      <c r="J52" s="4747">
        <v>0</v>
      </c>
      <c r="K52" s="4789" t="s">
        <v>2256</v>
      </c>
      <c r="L52" s="4825">
        <f>L51+N51</f>
        <v>0.82256119212962964</v>
      </c>
      <c r="M52" s="4750">
        <v>1.1000000000000001</v>
      </c>
      <c r="N52" s="4857">
        <f>P52*E52*F52+I52*E52*F52+J52*E52</f>
        <v>1.5027777777777781E-2</v>
      </c>
      <c r="O52" s="4751">
        <f t="shared" si="45"/>
        <v>1.4351851851851854E-3</v>
      </c>
      <c r="P52" s="4751">
        <f>O52*M52</f>
        <v>1.5787037037037041E-3</v>
      </c>
      <c r="Q52" s="4826">
        <v>170</v>
      </c>
      <c r="R52" s="4827">
        <f>E52*F52*G52</f>
        <v>1200</v>
      </c>
      <c r="S52" s="2844">
        <f t="shared" si="7"/>
        <v>1.2</v>
      </c>
      <c r="T52" s="2845">
        <f t="shared" si="8"/>
        <v>3.4444444444444451E-2</v>
      </c>
      <c r="U52" s="374">
        <f t="shared" si="9"/>
        <v>0</v>
      </c>
      <c r="V52" s="2846">
        <f t="shared" si="10"/>
        <v>0</v>
      </c>
      <c r="W52" s="2847">
        <f t="shared" si="11"/>
        <v>0</v>
      </c>
      <c r="X52" s="2848">
        <f t="shared" si="12"/>
        <v>1.2</v>
      </c>
      <c r="Y52" s="2849">
        <f t="shared" si="13"/>
        <v>0</v>
      </c>
      <c r="Z52" s="2850">
        <f t="shared" si="14"/>
        <v>0</v>
      </c>
      <c r="AA52" s="2851">
        <f t="shared" si="15"/>
        <v>0</v>
      </c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  <c r="AN52" s="1"/>
    </row>
    <row r="53" spans="1:40" ht="14" customHeight="1" thickBot="1">
      <c r="A53" s="3109"/>
      <c r="B53" s="3115"/>
      <c r="C53" s="629">
        <f t="shared" si="3"/>
        <v>1.7222222222222224E-4</v>
      </c>
      <c r="D53" s="1441">
        <v>7</v>
      </c>
      <c r="E53" s="4805">
        <v>1</v>
      </c>
      <c r="F53" s="4805">
        <v>16</v>
      </c>
      <c r="G53" s="4805">
        <v>20</v>
      </c>
      <c r="H53" s="4806" t="s">
        <v>284</v>
      </c>
      <c r="I53" s="4806">
        <v>6.9444444444444447E-4</v>
      </c>
      <c r="J53" s="4806">
        <v>0</v>
      </c>
      <c r="K53" s="3572" t="s">
        <v>2253</v>
      </c>
      <c r="L53" s="4807">
        <f>L52+N52</f>
        <v>0.83758896990740739</v>
      </c>
      <c r="M53" s="4808">
        <v>1</v>
      </c>
      <c r="N53" s="4854">
        <f t="shared" ref="N53" si="46">P53*E53*F53+I53*F53*E53+J53*E53</f>
        <v>1.3315555555555556E-2</v>
      </c>
      <c r="O53" s="4809">
        <f t="shared" si="45"/>
        <v>1.3777777777777779E-4</v>
      </c>
      <c r="P53" s="2048">
        <f t="shared" ref="P53" si="47">O53*M53</f>
        <v>1.3777777777777779E-4</v>
      </c>
      <c r="Q53" s="4810">
        <v>160</v>
      </c>
      <c r="R53" s="3808">
        <f t="shared" ref="R53" si="48">E53*F53*G53</f>
        <v>320</v>
      </c>
      <c r="S53" s="2844">
        <f t="shared" ref="S53" si="49">E53*F53*G53/1000</f>
        <v>0.32</v>
      </c>
      <c r="T53" s="2845">
        <f t="shared" ref="T53" si="50">E53*F53*O53*4</f>
        <v>8.8177777777777785E-3</v>
      </c>
      <c r="U53" s="374">
        <f t="shared" ref="U53" si="51">IF(C53*4&gt;=$U$3,S53,0)</f>
        <v>0</v>
      </c>
      <c r="V53" s="2846">
        <f t="shared" ref="V53" si="52">IF(AND(C53*4&gt;=$V$3,C53*4&lt;$U$3),S53,0)</f>
        <v>0</v>
      </c>
      <c r="W53" s="2847">
        <f t="shared" ref="W53" si="53">IF(AND(C53*4&gt;=$W$3,C53*4&lt;$V$3),S53,0)</f>
        <v>0</v>
      </c>
      <c r="X53" s="2848">
        <f t="shared" ref="X53" si="54">IF(AND(C53*4&gt;=$X$3,C53*4&lt;$W$3),S53,0)</f>
        <v>0</v>
      </c>
      <c r="Y53" s="2849">
        <f t="shared" ref="Y53" si="55">IF(AND(C53*4&gt;=$Y$3,C53*4&lt;$X$3),S53,0)</f>
        <v>0</v>
      </c>
      <c r="Z53" s="2850">
        <f t="shared" ref="Z53" si="56">IF(AND(C53*4&gt;=$Z$3,C53*4&lt;$Y$3),S53,0)</f>
        <v>0</v>
      </c>
      <c r="AA53" s="2851">
        <f t="shared" ref="AA53" si="57">IF(AND(C53*4&gt;=$AA$3,C53*4&lt;$Z$3),S53,0)</f>
        <v>0.32</v>
      </c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  <c r="AN53" s="1"/>
    </row>
    <row r="54" spans="1:40" ht="13" customHeight="1" thickBot="1">
      <c r="A54" s="3109" t="s">
        <v>219</v>
      </c>
      <c r="B54" s="3115"/>
      <c r="C54" s="629">
        <f t="shared" si="3"/>
        <v>0</v>
      </c>
      <c r="D54" s="906"/>
      <c r="E54" s="4755"/>
      <c r="F54" s="4755"/>
      <c r="G54" s="4756"/>
      <c r="H54" s="4757"/>
      <c r="I54" s="4757"/>
      <c r="J54" s="4758"/>
      <c r="K54" s="4759"/>
      <c r="L54" s="4760">
        <f>L52+N52</f>
        <v>0.83758896990740739</v>
      </c>
      <c r="M54" s="4761"/>
      <c r="N54" s="4762">
        <f>SUM(N49:N52)</f>
        <v>5.2866747685185185E-2</v>
      </c>
      <c r="O54" s="4758">
        <f t="shared" si="45"/>
        <v>0</v>
      </c>
      <c r="P54" s="4762"/>
      <c r="Q54" s="4763"/>
      <c r="R54" s="4756">
        <f>SUM(R49:R52)</f>
        <v>4230</v>
      </c>
      <c r="S54" s="2844">
        <f t="shared" si="7"/>
        <v>0</v>
      </c>
      <c r="T54" s="2845">
        <f t="shared" si="8"/>
        <v>0</v>
      </c>
      <c r="U54" s="374">
        <f t="shared" si="9"/>
        <v>0</v>
      </c>
      <c r="V54" s="2846">
        <f t="shared" si="10"/>
        <v>0</v>
      </c>
      <c r="W54" s="2847">
        <f t="shared" si="11"/>
        <v>0</v>
      </c>
      <c r="X54" s="2848">
        <f t="shared" si="12"/>
        <v>0</v>
      </c>
      <c r="Y54" s="2849">
        <f t="shared" si="13"/>
        <v>0</v>
      </c>
      <c r="Z54" s="2850">
        <f t="shared" si="14"/>
        <v>0</v>
      </c>
      <c r="AA54" s="2851">
        <f t="shared" si="15"/>
        <v>0</v>
      </c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  <c r="AN54" s="1"/>
    </row>
    <row r="55" spans="1:40" ht="13.25" customHeight="1" thickBot="1">
      <c r="A55" s="4863" t="s">
        <v>218</v>
      </c>
      <c r="B55" s="4864" t="s">
        <v>215</v>
      </c>
      <c r="C55" s="629">
        <f t="shared" si="3"/>
        <v>2.3321759259259265E-4</v>
      </c>
      <c r="D55" s="920">
        <v>1</v>
      </c>
      <c r="E55" s="630">
        <v>1</v>
      </c>
      <c r="F55" s="630">
        <v>3</v>
      </c>
      <c r="G55" s="630">
        <v>600</v>
      </c>
      <c r="H55" s="631"/>
      <c r="I55" s="1066">
        <v>0</v>
      </c>
      <c r="J55" s="1066">
        <v>1.1574074074074073E-4</v>
      </c>
      <c r="K55" s="1067" t="s">
        <v>717</v>
      </c>
      <c r="L55" s="4822">
        <v>0.34375</v>
      </c>
      <c r="M55" s="1069">
        <v>0.9</v>
      </c>
      <c r="N55" s="4856">
        <f>P55*E55*F55+I55*E55*F55+J55*E55</f>
        <v>1.5228240740740747E-2</v>
      </c>
      <c r="O55" s="1070">
        <f t="shared" si="45"/>
        <v>5.5972222222222239E-3</v>
      </c>
      <c r="P55" s="1070">
        <f>O55*M55</f>
        <v>5.037500000000002E-3</v>
      </c>
      <c r="Q55" s="1071">
        <v>129</v>
      </c>
      <c r="R55" s="1072">
        <f>E55*F55*G55</f>
        <v>1800</v>
      </c>
      <c r="S55" s="2844">
        <f t="shared" si="7"/>
        <v>1.8</v>
      </c>
      <c r="T55" s="2845">
        <f t="shared" si="8"/>
        <v>6.716666666666668E-2</v>
      </c>
      <c r="U55" s="374">
        <f t="shared" si="9"/>
        <v>1.8</v>
      </c>
      <c r="V55" s="2846">
        <f t="shared" si="10"/>
        <v>0</v>
      </c>
      <c r="W55" s="2847">
        <f t="shared" si="11"/>
        <v>0</v>
      </c>
      <c r="X55" s="2848">
        <f t="shared" si="12"/>
        <v>0</v>
      </c>
      <c r="Y55" s="2849">
        <f t="shared" si="13"/>
        <v>0</v>
      </c>
      <c r="Z55" s="2850">
        <f t="shared" si="14"/>
        <v>0</v>
      </c>
      <c r="AA55" s="2851">
        <f t="shared" si="15"/>
        <v>0</v>
      </c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</row>
    <row r="56" spans="1:40" ht="15" customHeight="1" thickBot="1">
      <c r="A56" s="4865" t="s">
        <v>139</v>
      </c>
      <c r="B56" s="4866" t="s">
        <v>215</v>
      </c>
      <c r="C56" s="629">
        <v>7</v>
      </c>
      <c r="D56" s="3436">
        <v>6</v>
      </c>
      <c r="E56" s="4805">
        <v>1</v>
      </c>
      <c r="F56" s="4805">
        <v>20</v>
      </c>
      <c r="G56" s="4805">
        <v>20</v>
      </c>
      <c r="H56" s="4806"/>
      <c r="I56" s="4806">
        <v>3.4722222222222224E-4</v>
      </c>
      <c r="J56" s="4806">
        <v>6.9444444444444447E-4</v>
      </c>
      <c r="K56" s="3572" t="s">
        <v>1574</v>
      </c>
      <c r="L56" s="4807">
        <f>L55+N55</f>
        <v>0.35897824074074075</v>
      </c>
      <c r="M56" s="4808">
        <v>1</v>
      </c>
      <c r="N56" s="4854">
        <f>P56*E56*F56+I56*E56*F56+J56*E56</f>
        <v>112.00763888888891</v>
      </c>
      <c r="O56" s="4809">
        <f t="shared" si="45"/>
        <v>5.6000000000000005</v>
      </c>
      <c r="P56" s="2048">
        <f>O56*M56</f>
        <v>5.6000000000000005</v>
      </c>
      <c r="Q56" s="4810" t="s">
        <v>297</v>
      </c>
      <c r="R56" s="3808">
        <f>E56*F56*G56</f>
        <v>400</v>
      </c>
      <c r="S56" s="2844">
        <f t="shared" si="7"/>
        <v>0.4</v>
      </c>
      <c r="T56" s="2845">
        <f t="shared" si="8"/>
        <v>448.00000000000006</v>
      </c>
      <c r="U56" s="374">
        <f t="shared" si="9"/>
        <v>0.4</v>
      </c>
      <c r="V56" s="2846">
        <f t="shared" si="10"/>
        <v>0</v>
      </c>
      <c r="W56" s="2847">
        <f t="shared" si="11"/>
        <v>0</v>
      </c>
      <c r="X56" s="2848">
        <f t="shared" si="12"/>
        <v>0</v>
      </c>
      <c r="Y56" s="2849">
        <f t="shared" si="13"/>
        <v>0</v>
      </c>
      <c r="Z56" s="2850">
        <f t="shared" si="14"/>
        <v>0</v>
      </c>
      <c r="AA56" s="2851">
        <f t="shared" si="15"/>
        <v>0</v>
      </c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</row>
    <row r="57" spans="1:40" ht="14" customHeight="1" thickBot="1">
      <c r="A57" s="4865" t="s">
        <v>458</v>
      </c>
      <c r="B57" s="4866" t="s">
        <v>215</v>
      </c>
      <c r="C57" s="629">
        <f t="shared" si="3"/>
        <v>1.9733796296296302E-4</v>
      </c>
      <c r="D57" s="4824">
        <v>3</v>
      </c>
      <c r="E57" s="4753">
        <v>1</v>
      </c>
      <c r="F57" s="4753">
        <v>4</v>
      </c>
      <c r="G57" s="4753">
        <v>125</v>
      </c>
      <c r="H57" s="4747"/>
      <c r="I57" s="4747">
        <v>2.3148148148148146E-4</v>
      </c>
      <c r="J57" s="4747">
        <v>1.3888888888888889E-3</v>
      </c>
      <c r="K57" s="4789" t="s">
        <v>300</v>
      </c>
      <c r="L57" s="4825">
        <f>L56+N56</f>
        <v>112.36661712962965</v>
      </c>
      <c r="M57" s="4750">
        <v>1.1000000000000001</v>
      </c>
      <c r="N57" s="4857">
        <f>P57*E57*F57+I57*E57*F57+J57*E57</f>
        <v>6.6562500000000016E-3</v>
      </c>
      <c r="O57" s="4751">
        <f t="shared" si="45"/>
        <v>9.8668981481481502E-4</v>
      </c>
      <c r="P57" s="4751">
        <f>O57*M57</f>
        <v>1.0853587962962967E-3</v>
      </c>
      <c r="Q57" s="4826">
        <v>147</v>
      </c>
      <c r="R57" s="4827">
        <f>E57*F57*G57</f>
        <v>500</v>
      </c>
      <c r="S57" s="2844">
        <f t="shared" si="7"/>
        <v>0.5</v>
      </c>
      <c r="T57" s="2845">
        <f t="shared" si="8"/>
        <v>1.578703703703704E-2</v>
      </c>
      <c r="U57" s="374">
        <f t="shared" si="9"/>
        <v>0</v>
      </c>
      <c r="V57" s="2846">
        <f t="shared" si="10"/>
        <v>0</v>
      </c>
      <c r="W57" s="2847">
        <f t="shared" si="11"/>
        <v>0.5</v>
      </c>
      <c r="X57" s="2848">
        <f t="shared" si="12"/>
        <v>0</v>
      </c>
      <c r="Y57" s="2849">
        <f t="shared" si="13"/>
        <v>0</v>
      </c>
      <c r="Z57" s="2850">
        <f t="shared" si="14"/>
        <v>0</v>
      </c>
      <c r="AA57" s="2851">
        <f t="shared" si="15"/>
        <v>0</v>
      </c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</row>
    <row r="58" spans="1:40" ht="14" customHeight="1" thickBot="1">
      <c r="A58" s="4865" t="s">
        <v>462</v>
      </c>
      <c r="B58" s="4866" t="s">
        <v>215</v>
      </c>
      <c r="C58" s="629">
        <f t="shared" si="3"/>
        <v>1.7222222222222224E-4</v>
      </c>
      <c r="D58" s="4828">
        <v>7</v>
      </c>
      <c r="E58" s="4719">
        <v>1</v>
      </c>
      <c r="F58" s="4719">
        <v>4</v>
      </c>
      <c r="G58" s="4719">
        <v>35</v>
      </c>
      <c r="H58" s="4724"/>
      <c r="I58" s="4724">
        <v>1.1574074074074073E-4</v>
      </c>
      <c r="J58" s="4724">
        <v>2.3148148148148146E-4</v>
      </c>
      <c r="K58" s="4829" t="s">
        <v>1575</v>
      </c>
      <c r="L58" s="4830">
        <f>L57+N57</f>
        <v>112.37327337962965</v>
      </c>
      <c r="M58" s="4831">
        <v>1</v>
      </c>
      <c r="N58" s="4848">
        <f>P58*E58*F58+I58*E58*F58+J58*E58</f>
        <v>1.6588888888888888E-3</v>
      </c>
      <c r="O58" s="4725">
        <f t="shared" si="45"/>
        <v>2.4111111111111111E-4</v>
      </c>
      <c r="P58" s="2517">
        <f>O58*M58</f>
        <v>2.4111111111111111E-4</v>
      </c>
      <c r="Q58" s="4726" t="s">
        <v>316</v>
      </c>
      <c r="R58" s="3808">
        <f>E58*F58*G58</f>
        <v>140</v>
      </c>
      <c r="S58" s="2844">
        <f t="shared" si="7"/>
        <v>0.14000000000000001</v>
      </c>
      <c r="T58" s="2845">
        <f t="shared" si="8"/>
        <v>3.8577777777777777E-3</v>
      </c>
      <c r="U58" s="374">
        <f t="shared" si="9"/>
        <v>0</v>
      </c>
      <c r="V58" s="2846">
        <f t="shared" si="10"/>
        <v>0</v>
      </c>
      <c r="W58" s="2847">
        <f t="shared" si="11"/>
        <v>0</v>
      </c>
      <c r="X58" s="2848">
        <f t="shared" si="12"/>
        <v>0</v>
      </c>
      <c r="Y58" s="2849">
        <f t="shared" si="13"/>
        <v>0</v>
      </c>
      <c r="Z58" s="2850">
        <f t="shared" si="14"/>
        <v>0</v>
      </c>
      <c r="AA58" s="2851">
        <f t="shared" si="15"/>
        <v>0.14000000000000001</v>
      </c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</row>
    <row r="59" spans="1:40" ht="13" customHeight="1" thickBot="1">
      <c r="A59" s="4865" t="s">
        <v>460</v>
      </c>
      <c r="B59" s="4867"/>
      <c r="C59" s="629">
        <f t="shared" si="3"/>
        <v>0</v>
      </c>
      <c r="D59" s="1"/>
      <c r="E59" s="146"/>
      <c r="F59" s="146"/>
      <c r="G59" s="146"/>
      <c r="H59" s="146"/>
      <c r="I59" s="146"/>
      <c r="J59" s="146"/>
      <c r="K59" s="146"/>
      <c r="L59" s="2182">
        <f>L58+N58</f>
        <v>112.37493226851853</v>
      </c>
      <c r="M59" s="144"/>
      <c r="N59" s="4852">
        <f>SUM(N55:N58)</f>
        <v>112.03118226851853</v>
      </c>
      <c r="O59" s="144">
        <f t="shared" si="45"/>
        <v>0</v>
      </c>
      <c r="P59" s="146"/>
      <c r="Q59" s="144"/>
      <c r="R59" s="4729">
        <f>SUM(R55:R58)</f>
        <v>2840</v>
      </c>
      <c r="S59" s="2844">
        <f t="shared" si="7"/>
        <v>0</v>
      </c>
      <c r="T59" s="2845">
        <f t="shared" si="8"/>
        <v>0</v>
      </c>
      <c r="U59" s="374">
        <f t="shared" si="9"/>
        <v>0</v>
      </c>
      <c r="V59" s="2846">
        <f t="shared" si="10"/>
        <v>0</v>
      </c>
      <c r="W59" s="2847">
        <f t="shared" si="11"/>
        <v>0</v>
      </c>
      <c r="X59" s="2848">
        <f t="shared" si="12"/>
        <v>0</v>
      </c>
      <c r="Y59" s="2849">
        <f t="shared" si="13"/>
        <v>0</v>
      </c>
      <c r="Z59" s="2850">
        <f t="shared" si="14"/>
        <v>0</v>
      </c>
      <c r="AA59" s="2851">
        <f t="shared" si="15"/>
        <v>0</v>
      </c>
      <c r="AC59" s="2867"/>
      <c r="AD59" s="2867"/>
      <c r="AE59" s="2867"/>
      <c r="AF59" s="2867"/>
      <c r="AG59" s="2867"/>
      <c r="AH59" s="2867"/>
      <c r="AI59" s="2825"/>
      <c r="AJ59" s="2825"/>
      <c r="AK59" s="2825"/>
      <c r="AL59" s="2825"/>
      <c r="AM59" s="2825"/>
    </row>
    <row r="60" spans="1:40" ht="12.75" customHeight="1" thickBot="1">
      <c r="A60" s="3109" t="s">
        <v>219</v>
      </c>
      <c r="B60" s="3110" t="s">
        <v>215</v>
      </c>
      <c r="C60" s="629">
        <f t="shared" si="3"/>
        <v>1.9733796296296302E-4</v>
      </c>
      <c r="D60" s="4832">
        <v>3</v>
      </c>
      <c r="E60" s="4833">
        <v>1</v>
      </c>
      <c r="F60" s="4833">
        <v>8</v>
      </c>
      <c r="G60" s="4833">
        <v>100</v>
      </c>
      <c r="H60" s="4834"/>
      <c r="I60" s="4834">
        <v>3.4722222222222224E-4</v>
      </c>
      <c r="J60" s="4834">
        <v>1.3888888888888889E-3</v>
      </c>
      <c r="K60" s="6353" t="s">
        <v>2257</v>
      </c>
      <c r="L60" s="4834">
        <v>0.38541666666666669</v>
      </c>
      <c r="M60" s="4836">
        <v>1</v>
      </c>
      <c r="N60" s="4858">
        <f t="shared" ref="N60:N61" si="58">P60*E60*F60+I60*E60*F60+J60*E60</f>
        <v>1.0481481481481484E-2</v>
      </c>
      <c r="O60" s="4837">
        <f t="shared" si="45"/>
        <v>7.8935185185185206E-4</v>
      </c>
      <c r="P60" s="4837">
        <f>O60*M60</f>
        <v>7.8935185185185206E-4</v>
      </c>
      <c r="Q60" s="4838">
        <v>160</v>
      </c>
      <c r="R60" s="4833">
        <f t="shared" ref="R60:R64" si="59">E60*F60*G60</f>
        <v>800</v>
      </c>
      <c r="S60" s="2844">
        <f t="shared" si="7"/>
        <v>0.8</v>
      </c>
      <c r="T60" s="2845">
        <f t="shared" si="8"/>
        <v>2.5259259259259266E-2</v>
      </c>
      <c r="U60" s="374">
        <f t="shared" si="9"/>
        <v>0</v>
      </c>
      <c r="V60" s="2846">
        <f t="shared" si="10"/>
        <v>0</v>
      </c>
      <c r="W60" s="2847">
        <f t="shared" si="11"/>
        <v>0.8</v>
      </c>
      <c r="X60" s="2848">
        <f t="shared" si="12"/>
        <v>0</v>
      </c>
      <c r="Y60" s="2849">
        <f t="shared" si="13"/>
        <v>0</v>
      </c>
      <c r="Z60" s="2850">
        <f t="shared" si="14"/>
        <v>0</v>
      </c>
      <c r="AA60" s="2851">
        <f t="shared" si="15"/>
        <v>0</v>
      </c>
      <c r="AC60" s="2867"/>
      <c r="AD60" s="2867"/>
      <c r="AE60" s="2867"/>
      <c r="AF60" s="2867"/>
      <c r="AG60" s="2867"/>
      <c r="AH60" s="2867"/>
      <c r="AI60" s="2825"/>
      <c r="AJ60" s="2825"/>
      <c r="AK60" s="2825"/>
      <c r="AL60" s="2825"/>
      <c r="AM60" s="2825"/>
    </row>
    <row r="61" spans="1:40" ht="12.75" customHeight="1" thickBot="1">
      <c r="A61" s="3109" t="s">
        <v>138</v>
      </c>
      <c r="B61" s="3110" t="s">
        <v>215</v>
      </c>
      <c r="C61" s="629">
        <f t="shared" si="3"/>
        <v>1.9733796296296302E-4</v>
      </c>
      <c r="D61" s="4832">
        <v>3</v>
      </c>
      <c r="E61" s="4833">
        <v>1</v>
      </c>
      <c r="F61" s="4833">
        <v>1</v>
      </c>
      <c r="G61" s="4833">
        <v>100</v>
      </c>
      <c r="H61" s="4834"/>
      <c r="I61" s="4834">
        <v>3.4722222222222224E-4</v>
      </c>
      <c r="J61" s="4834">
        <v>1.3888888888888889E-3</v>
      </c>
      <c r="K61" s="4835" t="s">
        <v>2258</v>
      </c>
      <c r="L61" s="4834">
        <f>L60+N60</f>
        <v>0.39589814814814817</v>
      </c>
      <c r="M61" s="4836">
        <v>1</v>
      </c>
      <c r="N61" s="4858">
        <f t="shared" si="58"/>
        <v>2.5254629629629633E-3</v>
      </c>
      <c r="O61" s="4837">
        <f t="shared" si="45"/>
        <v>7.8935185185185206E-4</v>
      </c>
      <c r="P61" s="4837">
        <f>O61*M61</f>
        <v>7.8935185185185206E-4</v>
      </c>
      <c r="Q61" s="4838">
        <v>161</v>
      </c>
      <c r="R61" s="4833">
        <f t="shared" si="59"/>
        <v>100</v>
      </c>
      <c r="S61" s="2844">
        <f t="shared" si="7"/>
        <v>0.1</v>
      </c>
      <c r="T61" s="2845">
        <f t="shared" si="8"/>
        <v>3.1574074074074083E-3</v>
      </c>
      <c r="U61" s="374">
        <f t="shared" si="9"/>
        <v>0</v>
      </c>
      <c r="V61" s="2846">
        <f t="shared" si="10"/>
        <v>0</v>
      </c>
      <c r="W61" s="2847">
        <f t="shared" si="11"/>
        <v>0.1</v>
      </c>
      <c r="X61" s="2848">
        <f t="shared" si="12"/>
        <v>0</v>
      </c>
      <c r="Y61" s="2849">
        <f t="shared" si="13"/>
        <v>0</v>
      </c>
      <c r="Z61" s="2850">
        <f t="shared" si="14"/>
        <v>0</v>
      </c>
      <c r="AA61" s="2851">
        <f t="shared" si="15"/>
        <v>0</v>
      </c>
      <c r="AC61" s="2867"/>
      <c r="AD61" s="2867"/>
      <c r="AE61" s="2867"/>
      <c r="AF61" s="2867"/>
      <c r="AG61" s="2867"/>
      <c r="AH61" s="2867"/>
      <c r="AI61" s="2825"/>
      <c r="AJ61" s="2825"/>
      <c r="AK61" s="2825"/>
      <c r="AL61" s="2825"/>
      <c r="AM61" s="2825"/>
    </row>
    <row r="62" spans="1:40" ht="12.75" customHeight="1" thickBot="1">
      <c r="A62" s="3109" t="s">
        <v>779</v>
      </c>
      <c r="B62" s="3110" t="s">
        <v>215</v>
      </c>
      <c r="C62" s="629">
        <f t="shared" si="3"/>
        <v>1.9733796296296302E-4</v>
      </c>
      <c r="D62" s="4839">
        <v>3</v>
      </c>
      <c r="E62" s="4840">
        <v>1</v>
      </c>
      <c r="F62" s="4840">
        <v>1</v>
      </c>
      <c r="G62" s="4840">
        <v>100</v>
      </c>
      <c r="H62" s="4841"/>
      <c r="I62" s="4841"/>
      <c r="J62" s="4841">
        <v>1.3888888888888889E-3</v>
      </c>
      <c r="K62" s="4842" t="s">
        <v>2259</v>
      </c>
      <c r="L62" s="4841">
        <f t="shared" ref="L62:L64" si="60">L61+N61</f>
        <v>0.39842361111111113</v>
      </c>
      <c r="M62" s="4843">
        <v>1</v>
      </c>
      <c r="N62" s="4859">
        <f>H62*F62*E62</f>
        <v>0</v>
      </c>
      <c r="O62" s="4844">
        <f>C62*16*1.08</f>
        <v>3.4100000000000011E-3</v>
      </c>
      <c r="P62" s="4844">
        <f t="shared" ref="P62" si="61">O62*M62</f>
        <v>3.4100000000000011E-3</v>
      </c>
      <c r="Q62" s="4845">
        <v>153</v>
      </c>
      <c r="R62" s="4840">
        <f t="shared" si="59"/>
        <v>100</v>
      </c>
      <c r="S62" s="2844">
        <f t="shared" si="7"/>
        <v>0.1</v>
      </c>
      <c r="T62" s="2845">
        <f t="shared" si="8"/>
        <v>1.3640000000000005E-2</v>
      </c>
      <c r="U62" s="374">
        <f t="shared" si="9"/>
        <v>0</v>
      </c>
      <c r="V62" s="2846">
        <f t="shared" si="10"/>
        <v>0</v>
      </c>
      <c r="W62" s="2847">
        <f t="shared" si="11"/>
        <v>0.1</v>
      </c>
      <c r="X62" s="2848">
        <f t="shared" si="12"/>
        <v>0</v>
      </c>
      <c r="Y62" s="2849">
        <f t="shared" si="13"/>
        <v>0</v>
      </c>
      <c r="Z62" s="2850">
        <f t="shared" si="14"/>
        <v>0</v>
      </c>
      <c r="AA62" s="2851">
        <f t="shared" si="15"/>
        <v>0</v>
      </c>
      <c r="AC62" s="2867"/>
      <c r="AD62" s="2867"/>
      <c r="AE62" s="2867"/>
      <c r="AF62" s="2867"/>
      <c r="AG62" s="2867"/>
      <c r="AH62" s="2867"/>
      <c r="AI62" s="2825"/>
      <c r="AJ62" s="2825"/>
      <c r="AK62" s="2825"/>
      <c r="AL62" s="2825"/>
      <c r="AM62" s="2825"/>
    </row>
    <row r="63" spans="1:40" ht="14" customHeight="1" thickBot="1">
      <c r="A63" s="3109" t="s">
        <v>138</v>
      </c>
      <c r="B63" s="3110" t="s">
        <v>215</v>
      </c>
      <c r="C63" s="629">
        <f t="shared" si="3"/>
        <v>0</v>
      </c>
      <c r="D63" s="2746" t="s">
        <v>344</v>
      </c>
      <c r="E63" s="4840">
        <v>1</v>
      </c>
      <c r="F63" s="4840">
        <v>16</v>
      </c>
      <c r="G63" s="4840">
        <v>50</v>
      </c>
      <c r="H63" s="4841"/>
      <c r="I63" s="4841">
        <v>2.8935185185185189E-4</v>
      </c>
      <c r="J63" s="4841">
        <v>1.3888888888888889E-3</v>
      </c>
      <c r="K63" s="4842"/>
      <c r="L63" s="4841">
        <f t="shared" si="60"/>
        <v>0.39842361111111113</v>
      </c>
      <c r="M63" s="4843">
        <v>1</v>
      </c>
      <c r="N63" s="4859">
        <f t="shared" ref="N63:N64" si="62">P63*E63*F63+I63*E63*F63+J63*E63</f>
        <v>6.0185185185185194E-3</v>
      </c>
      <c r="O63" s="4844">
        <f t="shared" ref="O63:O64" si="63">C63*(G63/25)</f>
        <v>0</v>
      </c>
      <c r="P63" s="4844">
        <f>O63*M63</f>
        <v>0</v>
      </c>
      <c r="Q63" s="4845">
        <v>162</v>
      </c>
      <c r="R63" s="4840">
        <f t="shared" si="59"/>
        <v>800</v>
      </c>
      <c r="S63" s="2844">
        <f t="shared" si="7"/>
        <v>0.8</v>
      </c>
      <c r="T63" s="2845">
        <f t="shared" si="8"/>
        <v>0</v>
      </c>
      <c r="U63" s="374">
        <f t="shared" si="9"/>
        <v>0</v>
      </c>
      <c r="V63" s="2846">
        <f t="shared" si="10"/>
        <v>0</v>
      </c>
      <c r="W63" s="2847">
        <f t="shared" si="11"/>
        <v>0</v>
      </c>
      <c r="X63" s="2848">
        <f t="shared" si="12"/>
        <v>0</v>
      </c>
      <c r="Y63" s="2849">
        <f t="shared" si="13"/>
        <v>0</v>
      </c>
      <c r="Z63" s="2850">
        <f t="shared" si="14"/>
        <v>0</v>
      </c>
      <c r="AA63" s="2851">
        <f t="shared" si="15"/>
        <v>0</v>
      </c>
      <c r="AC63" s="2867"/>
      <c r="AD63" s="2867"/>
      <c r="AE63" s="2867"/>
      <c r="AF63" s="2867"/>
      <c r="AG63" s="2867"/>
      <c r="AH63" s="2867"/>
      <c r="AI63" s="2825"/>
      <c r="AJ63" s="2825"/>
      <c r="AK63" s="2825"/>
      <c r="AL63" s="2825"/>
      <c r="AM63" s="2825"/>
    </row>
    <row r="64" spans="1:40" ht="12.75" customHeight="1" thickBot="1">
      <c r="A64" s="3109" t="s">
        <v>220</v>
      </c>
      <c r="B64" s="3110" t="s">
        <v>215</v>
      </c>
      <c r="C64" s="629">
        <f t="shared" si="3"/>
        <v>1.9733796296296302E-4</v>
      </c>
      <c r="D64" s="4839">
        <v>3</v>
      </c>
      <c r="E64" s="4840">
        <v>1</v>
      </c>
      <c r="F64" s="4840">
        <v>1</v>
      </c>
      <c r="G64" s="4840">
        <v>100</v>
      </c>
      <c r="H64" s="4841"/>
      <c r="I64" s="4841">
        <v>2.3148148148148146E-4</v>
      </c>
      <c r="J64" s="4841">
        <v>1.3888888888888889E-3</v>
      </c>
      <c r="K64" s="4842" t="s">
        <v>2260</v>
      </c>
      <c r="L64" s="4841">
        <f t="shared" si="60"/>
        <v>0.40444212962962967</v>
      </c>
      <c r="M64" s="4843">
        <v>1</v>
      </c>
      <c r="N64" s="4859">
        <f t="shared" si="62"/>
        <v>2.4097222222222224E-3</v>
      </c>
      <c r="O64" s="4844">
        <f t="shared" si="63"/>
        <v>7.8935185185185206E-4</v>
      </c>
      <c r="P64" s="4844">
        <f>O64*M64</f>
        <v>7.8935185185185206E-4</v>
      </c>
      <c r="Q64" s="4845">
        <v>162</v>
      </c>
      <c r="R64" s="4840">
        <f t="shared" si="59"/>
        <v>100</v>
      </c>
      <c r="S64" s="2844">
        <f t="shared" si="7"/>
        <v>0.1</v>
      </c>
      <c r="T64" s="2845">
        <f t="shared" si="8"/>
        <v>3.1574074074074083E-3</v>
      </c>
      <c r="U64" s="374">
        <f t="shared" si="9"/>
        <v>0</v>
      </c>
      <c r="V64" s="2846">
        <f t="shared" si="10"/>
        <v>0</v>
      </c>
      <c r="W64" s="2847">
        <f t="shared" si="11"/>
        <v>0.1</v>
      </c>
      <c r="X64" s="2848">
        <f t="shared" si="12"/>
        <v>0</v>
      </c>
      <c r="Y64" s="2849">
        <f t="shared" si="13"/>
        <v>0</v>
      </c>
      <c r="Z64" s="2850">
        <f t="shared" si="14"/>
        <v>0</v>
      </c>
      <c r="AA64" s="2851">
        <f t="shared" si="15"/>
        <v>0</v>
      </c>
      <c r="AC64" s="2867"/>
      <c r="AD64" s="2867"/>
      <c r="AE64" s="2867"/>
      <c r="AF64" s="2867"/>
      <c r="AG64" s="2867"/>
      <c r="AH64" s="2867"/>
      <c r="AI64" s="2825"/>
      <c r="AJ64" s="2825"/>
      <c r="AK64" s="2825"/>
      <c r="AL64" s="2825"/>
      <c r="AM64" s="2825"/>
    </row>
    <row r="65" spans="1:40" ht="15" customHeight="1" thickBot="1">
      <c r="A65" s="3109" t="s">
        <v>674</v>
      </c>
      <c r="B65" s="3812"/>
      <c r="C65" s="629"/>
      <c r="D65" s="920"/>
      <c r="E65" s="845"/>
      <c r="F65" s="839"/>
      <c r="G65" s="839"/>
      <c r="H65" s="839"/>
      <c r="I65" s="839"/>
      <c r="J65" s="839"/>
      <c r="K65" s="839"/>
      <c r="L65" s="4049">
        <f>L63+N63</f>
        <v>0.40444212962962967</v>
      </c>
      <c r="M65" s="839">
        <v>1</v>
      </c>
      <c r="N65" s="4852">
        <f>SUM(N59:N63)</f>
        <v>112.05020773148149</v>
      </c>
      <c r="O65" s="839">
        <f>C65*(G65/25)</f>
        <v>0</v>
      </c>
      <c r="P65" s="4849"/>
      <c r="Q65" s="839"/>
      <c r="R65" s="4729">
        <f>SUM(R60:R64)</f>
        <v>1900</v>
      </c>
      <c r="S65" s="3813"/>
      <c r="T65" s="2845"/>
      <c r="U65" s="374"/>
      <c r="V65" s="2846"/>
      <c r="W65" s="2847"/>
      <c r="X65" s="2848"/>
      <c r="Y65" s="2849"/>
      <c r="Z65" s="2850"/>
      <c r="AA65" s="2851"/>
      <c r="AC65" s="2867"/>
      <c r="AD65" s="2867"/>
      <c r="AE65" s="2867"/>
      <c r="AF65" s="2867"/>
      <c r="AG65" s="2867"/>
      <c r="AH65" s="2867"/>
      <c r="AI65" s="2825"/>
      <c r="AJ65" s="2825"/>
      <c r="AK65" s="2825"/>
      <c r="AL65" s="2825"/>
      <c r="AM65" s="2825"/>
    </row>
    <row r="66" spans="1:40" ht="13.25" customHeight="1" thickTop="1" thickBot="1">
      <c r="A66" s="3109"/>
      <c r="B66" s="3611"/>
      <c r="C66" s="205"/>
      <c r="D66" s="4444"/>
      <c r="E66" s="4594">
        <f>U66*100000/$Q$66</f>
        <v>20.775916896332422</v>
      </c>
      <c r="F66" s="4594">
        <f t="shared" ref="F66:K66" si="64">V66*100000/$Q$66</f>
        <v>21.36951452194192</v>
      </c>
      <c r="G66" s="4594">
        <f t="shared" si="64"/>
        <v>28.195887216451133</v>
      </c>
      <c r="H66" s="4594">
        <f t="shared" si="64"/>
        <v>21.327114691541233</v>
      </c>
      <c r="I66" s="4594">
        <f t="shared" si="64"/>
        <v>2.6711893152427395</v>
      </c>
      <c r="J66" s="4594">
        <f t="shared" si="64"/>
        <v>0</v>
      </c>
      <c r="K66" s="4595">
        <f t="shared" si="64"/>
        <v>5.6603773584905666</v>
      </c>
      <c r="L66" s="4378" t="s">
        <v>1922</v>
      </c>
      <c r="M66" s="4535"/>
      <c r="N66" s="4536"/>
      <c r="O66" s="4536"/>
      <c r="P66" s="4536"/>
      <c r="Q66" s="7881">
        <f>AB66*1000</f>
        <v>23584.999999999996</v>
      </c>
      <c r="R66" s="7882"/>
      <c r="S66" s="3153"/>
      <c r="T66" s="3154"/>
      <c r="U66" s="3155">
        <f t="shared" ref="U66:AA66" si="65">SUM(U5:U64)</f>
        <v>4.9000000000000004</v>
      </c>
      <c r="V66" s="3155">
        <f t="shared" si="65"/>
        <v>5.0400000000000009</v>
      </c>
      <c r="W66" s="3155">
        <f t="shared" si="65"/>
        <v>6.6499999999999986</v>
      </c>
      <c r="X66" s="3155">
        <f t="shared" si="65"/>
        <v>5.0299999999999994</v>
      </c>
      <c r="Y66" s="3155">
        <f t="shared" si="65"/>
        <v>0.63</v>
      </c>
      <c r="Z66" s="3155">
        <f t="shared" si="65"/>
        <v>0</v>
      </c>
      <c r="AA66" s="3155">
        <f t="shared" si="65"/>
        <v>1.335</v>
      </c>
      <c r="AB66" s="3156">
        <f>SUM(U66:AA66)</f>
        <v>23.584999999999997</v>
      </c>
      <c r="AC66" s="2867">
        <v>0</v>
      </c>
      <c r="AD66" s="2867">
        <v>0</v>
      </c>
      <c r="AE66" s="2838"/>
      <c r="AF66" s="2838"/>
      <c r="AG66" s="2838"/>
      <c r="AH66" s="2838"/>
      <c r="AI66" s="2838"/>
    </row>
    <row r="67" spans="1:40" ht="20.25" customHeight="1" thickBot="1">
      <c r="A67" s="144"/>
      <c r="B67" s="144"/>
      <c r="C67" s="144"/>
      <c r="D67" s="4444"/>
      <c r="E67" s="4521">
        <f>E66*15/100</f>
        <v>3.1163875344498631</v>
      </c>
      <c r="F67" s="4522">
        <f t="shared" ref="F67:K67" si="66">F66*15/100</f>
        <v>3.2054271782912878</v>
      </c>
      <c r="G67" s="4523">
        <f t="shared" si="66"/>
        <v>4.2293830824676704</v>
      </c>
      <c r="H67" s="4524">
        <f t="shared" si="66"/>
        <v>3.1990672037311851</v>
      </c>
      <c r="I67" s="4525">
        <f t="shared" si="66"/>
        <v>0.40067839728641091</v>
      </c>
      <c r="J67" s="4526">
        <f t="shared" si="66"/>
        <v>0</v>
      </c>
      <c r="K67" s="4527">
        <f t="shared" si="66"/>
        <v>0.84905660377358505</v>
      </c>
      <c r="L67" s="4378" t="s">
        <v>1252</v>
      </c>
      <c r="M67" s="144"/>
      <c r="N67" s="144"/>
      <c r="O67" s="144"/>
      <c r="P67" s="144"/>
      <c r="Q67" s="144"/>
      <c r="R67" s="144"/>
      <c r="S67" s="144"/>
      <c r="T67" s="144"/>
      <c r="U67" s="3157">
        <f>IF(U66&gt;0,U66,#REF!)</f>
        <v>4.9000000000000004</v>
      </c>
      <c r="V67" s="3157">
        <f>IF(V66&gt;0,V66,#REF!)</f>
        <v>5.0400000000000009</v>
      </c>
      <c r="W67" s="3157">
        <f>IF(W66&gt;0,W66,#REF!)</f>
        <v>6.6499999999999986</v>
      </c>
      <c r="X67" s="3157">
        <f>IF(X66&gt;0,X66,#REF!)</f>
        <v>5.0299999999999994</v>
      </c>
      <c r="Y67" s="3157">
        <f>IF(Y66&gt;0,Y66,#REF!)</f>
        <v>0.63</v>
      </c>
      <c r="Z67" s="3157" t="e">
        <f>IF(Z66&gt;0,Z66,#REF!)</f>
        <v>#REF!</v>
      </c>
      <c r="AA67" s="3157">
        <f>IF(AA66&gt;0,AA66,#REF!)</f>
        <v>1.335</v>
      </c>
      <c r="AB67" s="144"/>
      <c r="AC67" s="2825"/>
      <c r="AD67" s="2825"/>
      <c r="AE67" s="2838"/>
      <c r="AF67" s="2838"/>
      <c r="AG67" s="2838"/>
      <c r="AH67" s="2838"/>
      <c r="AI67" s="2838"/>
      <c r="AJ67" s="2825"/>
      <c r="AK67" s="2825"/>
      <c r="AL67" s="2825"/>
      <c r="AM67" s="2825"/>
    </row>
    <row r="68" spans="1:40" s="2914" customFormat="1" ht="19.5" customHeight="1">
      <c r="A68" s="144"/>
      <c r="B68" s="144"/>
      <c r="C68" s="4846"/>
      <c r="D68" s="1034"/>
      <c r="E68" s="2817"/>
      <c r="F68" s="4846"/>
      <c r="G68" s="144"/>
      <c r="H68" s="144"/>
      <c r="I68" s="144"/>
      <c r="J68" s="144"/>
      <c r="K68" s="144"/>
      <c r="L68" s="144"/>
      <c r="M68" s="144"/>
      <c r="N68" s="146"/>
      <c r="O68" s="144"/>
      <c r="P68" s="146"/>
      <c r="Q68" s="144"/>
      <c r="R68" s="144"/>
      <c r="S68" s="144"/>
      <c r="T68" s="144"/>
      <c r="U68" s="3157">
        <f t="shared" ref="U68:AA83" si="67">IF(U67&gt;0,U67,U66)</f>
        <v>4.9000000000000004</v>
      </c>
      <c r="V68" s="3157">
        <f t="shared" si="67"/>
        <v>5.0400000000000009</v>
      </c>
      <c r="W68" s="3157">
        <f t="shared" si="67"/>
        <v>6.6499999999999986</v>
      </c>
      <c r="X68" s="3157">
        <f t="shared" si="67"/>
        <v>5.0299999999999994</v>
      </c>
      <c r="Y68" s="3157">
        <f t="shared" si="67"/>
        <v>0.63</v>
      </c>
      <c r="Z68" s="3157" t="e">
        <f t="shared" si="67"/>
        <v>#REF!</v>
      </c>
      <c r="AA68" s="3157">
        <f t="shared" si="67"/>
        <v>1.335</v>
      </c>
      <c r="AB68" s="144"/>
      <c r="AC68" s="2826"/>
      <c r="AD68" s="2826"/>
      <c r="AE68" s="2838"/>
      <c r="AF68" s="2838"/>
      <c r="AG68" s="2838"/>
      <c r="AH68" s="2838"/>
      <c r="AI68" s="2838"/>
      <c r="AJ68" s="2826"/>
      <c r="AK68" s="2826"/>
      <c r="AL68" s="2826"/>
      <c r="AM68" s="2826"/>
      <c r="AN68" s="2913"/>
    </row>
    <row r="69" spans="1:40" ht="20">
      <c r="A69" s="144"/>
      <c r="B69" s="144"/>
      <c r="C69" s="4846"/>
      <c r="D69" s="1034"/>
      <c r="E69" s="4846"/>
      <c r="F69" s="4846"/>
      <c r="G69" s="144"/>
      <c r="H69" s="144"/>
      <c r="I69" s="144"/>
      <c r="J69" s="144"/>
      <c r="K69" s="144"/>
      <c r="L69" s="144"/>
      <c r="M69" s="144"/>
      <c r="N69" s="146"/>
      <c r="O69" s="144"/>
      <c r="P69" s="146"/>
      <c r="Q69" s="144"/>
      <c r="R69" s="144"/>
      <c r="S69" s="144"/>
      <c r="T69" s="144"/>
      <c r="U69" s="3157">
        <f t="shared" si="67"/>
        <v>4.9000000000000004</v>
      </c>
      <c r="V69" s="3157">
        <f t="shared" si="67"/>
        <v>5.0400000000000009</v>
      </c>
      <c r="W69" s="3157">
        <f t="shared" si="67"/>
        <v>6.6499999999999986</v>
      </c>
      <c r="X69" s="3157">
        <f t="shared" si="67"/>
        <v>5.0299999999999994</v>
      </c>
      <c r="Y69" s="3157">
        <f t="shared" si="67"/>
        <v>0.63</v>
      </c>
      <c r="Z69" s="3157" t="e">
        <f t="shared" si="67"/>
        <v>#REF!</v>
      </c>
      <c r="AA69" s="3157">
        <f t="shared" si="67"/>
        <v>1.335</v>
      </c>
      <c r="AB69" s="144"/>
      <c r="AE69" s="2838"/>
      <c r="AF69" s="2838"/>
      <c r="AG69" s="2838"/>
      <c r="AH69" s="2838"/>
      <c r="AI69" s="2838"/>
    </row>
    <row r="70" spans="1:40" ht="15.75" customHeight="1">
      <c r="A70" s="144"/>
      <c r="B70" s="144"/>
      <c r="C70" s="144"/>
      <c r="D70" s="906"/>
      <c r="E70" s="4846"/>
      <c r="F70" s="4846"/>
      <c r="G70" s="144"/>
      <c r="H70" s="144"/>
      <c r="I70" s="144"/>
      <c r="J70" s="144"/>
      <c r="K70" s="144"/>
      <c r="L70" s="144"/>
      <c r="M70" s="144"/>
      <c r="N70" s="146"/>
      <c r="O70" s="144"/>
      <c r="P70" s="146"/>
      <c r="Q70" s="144"/>
      <c r="R70" s="144"/>
      <c r="S70" s="144"/>
      <c r="T70" s="144"/>
      <c r="U70" s="3157">
        <f t="shared" si="67"/>
        <v>4.9000000000000004</v>
      </c>
      <c r="V70" s="3157">
        <f t="shared" si="67"/>
        <v>5.0400000000000009</v>
      </c>
      <c r="W70" s="3157">
        <f t="shared" si="67"/>
        <v>6.6499999999999986</v>
      </c>
      <c r="X70" s="3157">
        <f t="shared" si="67"/>
        <v>5.0299999999999994</v>
      </c>
      <c r="Y70" s="3157">
        <f t="shared" si="67"/>
        <v>0.63</v>
      </c>
      <c r="Z70" s="3157" t="e">
        <f t="shared" si="67"/>
        <v>#REF!</v>
      </c>
      <c r="AA70" s="3157">
        <f t="shared" si="67"/>
        <v>1.335</v>
      </c>
      <c r="AB70" s="144"/>
    </row>
    <row r="71" spans="1:40" ht="72" customHeight="1">
      <c r="A71" s="144"/>
      <c r="B71" s="144"/>
      <c r="C71" s="144"/>
      <c r="D71" s="906"/>
      <c r="E71" s="4846"/>
      <c r="F71" s="4846"/>
      <c r="G71" s="144"/>
      <c r="H71" s="144"/>
      <c r="I71" s="144"/>
      <c r="J71" s="144"/>
      <c r="K71" s="144"/>
      <c r="L71" s="144"/>
      <c r="M71" s="144"/>
      <c r="N71" s="146"/>
      <c r="O71" s="144"/>
      <c r="P71" s="146"/>
      <c r="Q71" s="144"/>
      <c r="R71" s="144"/>
      <c r="S71" s="144"/>
      <c r="T71" s="144"/>
      <c r="U71" s="3157">
        <f t="shared" si="67"/>
        <v>4.9000000000000004</v>
      </c>
      <c r="V71" s="3157">
        <f t="shared" si="67"/>
        <v>5.0400000000000009</v>
      </c>
      <c r="W71" s="3157">
        <f t="shared" si="67"/>
        <v>6.6499999999999986</v>
      </c>
      <c r="X71" s="3157">
        <f t="shared" si="67"/>
        <v>5.0299999999999994</v>
      </c>
      <c r="Y71" s="3157">
        <f t="shared" si="67"/>
        <v>0.63</v>
      </c>
      <c r="Z71" s="3157" t="e">
        <f t="shared" si="67"/>
        <v>#REF!</v>
      </c>
      <c r="AA71" s="3157">
        <f t="shared" si="67"/>
        <v>1.335</v>
      </c>
      <c r="AB71" s="144"/>
      <c r="AC71" s="2837"/>
      <c r="AD71" s="2838"/>
      <c r="AE71" s="2838"/>
      <c r="AF71" s="2838"/>
      <c r="AG71" s="2838"/>
      <c r="AH71" s="2838"/>
      <c r="AI71" s="2836"/>
      <c r="AJ71" s="1"/>
      <c r="AK71" s="1"/>
      <c r="AL71" s="1"/>
      <c r="AM71" s="1"/>
      <c r="AN71" s="1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6"/>
      <c r="O72" s="144"/>
      <c r="P72" s="146"/>
      <c r="Q72" s="144"/>
      <c r="R72" s="144"/>
      <c r="S72" s="144"/>
      <c r="T72" s="144"/>
      <c r="U72" s="3157">
        <f t="shared" si="67"/>
        <v>4.9000000000000004</v>
      </c>
      <c r="V72" s="3157">
        <f t="shared" si="67"/>
        <v>5.0400000000000009</v>
      </c>
      <c r="W72" s="3157">
        <f t="shared" si="67"/>
        <v>6.6499999999999986</v>
      </c>
      <c r="X72" s="3157">
        <f t="shared" si="67"/>
        <v>5.0299999999999994</v>
      </c>
      <c r="Y72" s="3157">
        <f t="shared" si="67"/>
        <v>0.63</v>
      </c>
      <c r="Z72" s="3157" t="e">
        <f t="shared" si="67"/>
        <v>#REF!</v>
      </c>
      <c r="AA72" s="3157">
        <f t="shared" si="67"/>
        <v>1.335</v>
      </c>
      <c r="AB72" s="144"/>
      <c r="AC72" s="2867" t="s">
        <v>193</v>
      </c>
      <c r="AD72" s="2937"/>
      <c r="AE72" s="2937"/>
      <c r="AF72" s="2937"/>
      <c r="AG72" s="2937"/>
      <c r="AH72" s="2937"/>
      <c r="AI72" s="2935"/>
      <c r="AJ72" s="1"/>
      <c r="AK72" s="1"/>
      <c r="AL72" s="1"/>
      <c r="AM72" s="1"/>
      <c r="AN72" s="1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6"/>
      <c r="O73" s="144"/>
      <c r="P73" s="146"/>
      <c r="Q73" s="144"/>
      <c r="R73" s="144"/>
      <c r="S73" s="144"/>
      <c r="T73" s="144"/>
      <c r="U73" s="3157">
        <f t="shared" si="67"/>
        <v>4.9000000000000004</v>
      </c>
      <c r="V73" s="3157">
        <f t="shared" si="67"/>
        <v>5.0400000000000009</v>
      </c>
      <c r="W73" s="3157">
        <f t="shared" si="67"/>
        <v>6.6499999999999986</v>
      </c>
      <c r="X73" s="3157">
        <f t="shared" si="67"/>
        <v>5.0299999999999994</v>
      </c>
      <c r="Y73" s="3157">
        <f t="shared" si="67"/>
        <v>0.63</v>
      </c>
      <c r="Z73" s="3157" t="e">
        <f t="shared" si="67"/>
        <v>#REF!</v>
      </c>
      <c r="AA73" s="3157">
        <f t="shared" si="67"/>
        <v>1.335</v>
      </c>
      <c r="AB73" s="144"/>
      <c r="AC73" s="2867">
        <v>0</v>
      </c>
      <c r="AD73" s="2867">
        <v>0</v>
      </c>
      <c r="AE73" s="2867">
        <v>0</v>
      </c>
      <c r="AF73" s="2867">
        <v>0</v>
      </c>
      <c r="AG73" s="2867">
        <v>0</v>
      </c>
      <c r="AH73" s="2867">
        <v>0</v>
      </c>
      <c r="AI73" s="2935"/>
      <c r="AJ73" s="1"/>
      <c r="AK73" s="1"/>
      <c r="AL73" s="1"/>
      <c r="AM73" s="1"/>
      <c r="AN73" s="1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6"/>
      <c r="O74" s="144"/>
      <c r="P74" s="146"/>
      <c r="Q74" s="144"/>
      <c r="R74" s="144"/>
      <c r="S74" s="144"/>
      <c r="T74" s="144"/>
      <c r="U74" s="3157">
        <f t="shared" si="67"/>
        <v>4.9000000000000004</v>
      </c>
      <c r="V74" s="3157">
        <f t="shared" si="67"/>
        <v>5.0400000000000009</v>
      </c>
      <c r="W74" s="3157">
        <f t="shared" si="67"/>
        <v>6.6499999999999986</v>
      </c>
      <c r="X74" s="3157">
        <f t="shared" si="67"/>
        <v>5.0299999999999994</v>
      </c>
      <c r="Y74" s="3157">
        <f t="shared" si="67"/>
        <v>0.63</v>
      </c>
      <c r="Z74" s="3157" t="e">
        <f t="shared" si="67"/>
        <v>#REF!</v>
      </c>
      <c r="AA74" s="3157">
        <f t="shared" si="67"/>
        <v>1.335</v>
      </c>
      <c r="AB74" s="144"/>
      <c r="AC74" s="2867"/>
      <c r="AD74" s="2867"/>
      <c r="AE74" s="2867"/>
      <c r="AF74" s="2867"/>
      <c r="AG74" s="2867"/>
      <c r="AH74" s="2867"/>
      <c r="AI74" s="2935"/>
      <c r="AJ74" s="1"/>
      <c r="AK74" s="1"/>
      <c r="AL74" s="1"/>
      <c r="AM74" s="1"/>
      <c r="AN74" s="1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6"/>
      <c r="O75" s="144"/>
      <c r="P75" s="146"/>
      <c r="Q75" s="144"/>
      <c r="R75" s="144"/>
      <c r="S75" s="144"/>
      <c r="T75" s="144"/>
      <c r="U75" s="3157">
        <f t="shared" si="67"/>
        <v>4.9000000000000004</v>
      </c>
      <c r="V75" s="3157">
        <f t="shared" si="67"/>
        <v>5.0400000000000009</v>
      </c>
      <c r="W75" s="3157">
        <f t="shared" si="67"/>
        <v>6.6499999999999986</v>
      </c>
      <c r="X75" s="3157">
        <f t="shared" si="67"/>
        <v>5.0299999999999994</v>
      </c>
      <c r="Y75" s="3157">
        <f t="shared" si="67"/>
        <v>0.63</v>
      </c>
      <c r="Z75" s="3157" t="e">
        <f t="shared" si="67"/>
        <v>#REF!</v>
      </c>
      <c r="AA75" s="3157">
        <f t="shared" si="67"/>
        <v>1.335</v>
      </c>
      <c r="AB75" s="144"/>
      <c r="AC75" s="2867"/>
      <c r="AD75" s="2867"/>
      <c r="AE75" s="2867"/>
      <c r="AF75" s="2867"/>
      <c r="AG75" s="2867"/>
      <c r="AH75" s="2867"/>
      <c r="AI75" s="2935"/>
      <c r="AJ75" s="1"/>
      <c r="AK75" s="1"/>
      <c r="AL75" s="1"/>
      <c r="AM75" s="1"/>
      <c r="AN75" s="1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6"/>
      <c r="O76" s="144"/>
      <c r="P76" s="146"/>
      <c r="Q76" s="144"/>
      <c r="R76" s="144"/>
      <c r="S76" s="144"/>
      <c r="T76" s="144"/>
      <c r="U76" s="3157">
        <f t="shared" si="67"/>
        <v>4.9000000000000004</v>
      </c>
      <c r="V76" s="3157">
        <f t="shared" si="67"/>
        <v>5.0400000000000009</v>
      </c>
      <c r="W76" s="3157">
        <f t="shared" si="67"/>
        <v>6.6499999999999986</v>
      </c>
      <c r="X76" s="3157">
        <f t="shared" si="67"/>
        <v>5.0299999999999994</v>
      </c>
      <c r="Y76" s="3157">
        <f t="shared" si="67"/>
        <v>0.63</v>
      </c>
      <c r="Z76" s="3157" t="e">
        <f t="shared" si="67"/>
        <v>#REF!</v>
      </c>
      <c r="AA76" s="3157">
        <f t="shared" si="67"/>
        <v>1.335</v>
      </c>
      <c r="AB76" s="144"/>
      <c r="AC76" s="2867">
        <v>0</v>
      </c>
      <c r="AD76" s="2867">
        <v>0</v>
      </c>
      <c r="AE76" s="2867">
        <v>0</v>
      </c>
      <c r="AF76" s="2867">
        <v>0</v>
      </c>
      <c r="AG76" s="2867">
        <v>0</v>
      </c>
      <c r="AH76" s="2867">
        <v>0</v>
      </c>
      <c r="AI76" s="2935"/>
      <c r="AJ76" s="1"/>
      <c r="AK76" s="1"/>
      <c r="AL76" s="1"/>
      <c r="AM76" s="1"/>
      <c r="AN76" s="1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6"/>
      <c r="O77" s="144"/>
      <c r="P77" s="146"/>
      <c r="Q77" s="144"/>
      <c r="R77" s="144"/>
      <c r="S77" s="144"/>
      <c r="T77" s="144"/>
      <c r="U77" s="3157">
        <f t="shared" si="67"/>
        <v>4.9000000000000004</v>
      </c>
      <c r="V77" s="3157">
        <f t="shared" si="67"/>
        <v>5.0400000000000009</v>
      </c>
      <c r="W77" s="3157">
        <f t="shared" si="67"/>
        <v>6.6499999999999986</v>
      </c>
      <c r="X77" s="3157">
        <f t="shared" si="67"/>
        <v>5.0299999999999994</v>
      </c>
      <c r="Y77" s="3157">
        <f t="shared" si="67"/>
        <v>0.63</v>
      </c>
      <c r="Z77" s="3157" t="e">
        <f t="shared" si="67"/>
        <v>#REF!</v>
      </c>
      <c r="AA77" s="3157">
        <f t="shared" si="67"/>
        <v>1.335</v>
      </c>
      <c r="AB77" s="144"/>
      <c r="AC77" s="2867">
        <v>0</v>
      </c>
      <c r="AD77" s="2867">
        <v>0</v>
      </c>
      <c r="AE77" s="2867">
        <v>0</v>
      </c>
      <c r="AF77" s="2867">
        <v>0</v>
      </c>
      <c r="AG77" s="2867">
        <v>0</v>
      </c>
      <c r="AH77" s="2867">
        <v>0</v>
      </c>
      <c r="AI77" s="2825"/>
      <c r="AJ77" s="1"/>
      <c r="AK77" s="1"/>
      <c r="AL77" s="1"/>
      <c r="AM77" s="1"/>
      <c r="AN77" s="1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6"/>
      <c r="O78" s="144"/>
      <c r="P78" s="146"/>
      <c r="Q78" s="144"/>
      <c r="R78" s="144"/>
      <c r="S78" s="144"/>
      <c r="T78" s="144"/>
      <c r="U78" s="3157">
        <f t="shared" si="67"/>
        <v>4.9000000000000004</v>
      </c>
      <c r="V78" s="3157">
        <f t="shared" si="67"/>
        <v>5.0400000000000009</v>
      </c>
      <c r="W78" s="3157">
        <f t="shared" si="67"/>
        <v>6.6499999999999986</v>
      </c>
      <c r="X78" s="3157">
        <f t="shared" si="67"/>
        <v>5.0299999999999994</v>
      </c>
      <c r="Y78" s="3157">
        <f t="shared" si="67"/>
        <v>0.63</v>
      </c>
      <c r="Z78" s="3157" t="e">
        <f t="shared" si="67"/>
        <v>#REF!</v>
      </c>
      <c r="AA78" s="3157">
        <f t="shared" si="67"/>
        <v>1.335</v>
      </c>
      <c r="AB78" s="144"/>
      <c r="AC78" s="2867"/>
      <c r="AD78" s="2867"/>
      <c r="AE78" s="2867"/>
      <c r="AF78" s="2867"/>
      <c r="AG78" s="2867"/>
      <c r="AH78" s="2867"/>
      <c r="AI78" s="2825"/>
      <c r="AJ78" s="1"/>
      <c r="AK78" s="1"/>
      <c r="AL78" s="1"/>
      <c r="AM78" s="1"/>
      <c r="AN78" s="1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6"/>
      <c r="O79" s="144"/>
      <c r="P79" s="146"/>
      <c r="Q79" s="144"/>
      <c r="R79" s="144"/>
      <c r="S79" s="144"/>
      <c r="T79" s="144"/>
      <c r="U79" s="3157">
        <f t="shared" si="67"/>
        <v>4.9000000000000004</v>
      </c>
      <c r="V79" s="3157">
        <f t="shared" si="67"/>
        <v>5.0400000000000009</v>
      </c>
      <c r="W79" s="3157">
        <f t="shared" si="67"/>
        <v>6.6499999999999986</v>
      </c>
      <c r="X79" s="3157">
        <f t="shared" si="67"/>
        <v>5.0299999999999994</v>
      </c>
      <c r="Y79" s="3157">
        <f t="shared" si="67"/>
        <v>0.63</v>
      </c>
      <c r="Z79" s="3157" t="e">
        <f t="shared" si="67"/>
        <v>#REF!</v>
      </c>
      <c r="AA79" s="3157">
        <f t="shared" si="67"/>
        <v>1.335</v>
      </c>
      <c r="AB79" s="144"/>
      <c r="AC79" s="2867"/>
      <c r="AD79" s="2867"/>
      <c r="AE79" s="2867"/>
      <c r="AF79" s="2867"/>
      <c r="AG79" s="2867"/>
      <c r="AH79" s="2867"/>
      <c r="AI79" s="2825"/>
      <c r="AJ79" s="1"/>
      <c r="AK79" s="1"/>
      <c r="AL79" s="1"/>
      <c r="AM79" s="1"/>
      <c r="AN79" s="1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6"/>
      <c r="O80" s="144"/>
      <c r="P80" s="146"/>
      <c r="Q80" s="144"/>
      <c r="R80" s="144"/>
      <c r="S80" s="144"/>
      <c r="T80" s="144"/>
      <c r="U80" s="3157">
        <f t="shared" si="67"/>
        <v>4.9000000000000004</v>
      </c>
      <c r="V80" s="3157">
        <f t="shared" si="67"/>
        <v>5.0400000000000009</v>
      </c>
      <c r="W80" s="3157">
        <f t="shared" si="67"/>
        <v>6.6499999999999986</v>
      </c>
      <c r="X80" s="3157">
        <f t="shared" si="67"/>
        <v>5.0299999999999994</v>
      </c>
      <c r="Y80" s="3157">
        <f t="shared" si="67"/>
        <v>0.63</v>
      </c>
      <c r="Z80" s="3157" t="e">
        <f t="shared" si="67"/>
        <v>#REF!</v>
      </c>
      <c r="AA80" s="3157">
        <f t="shared" si="67"/>
        <v>1.335</v>
      </c>
      <c r="AB80" s="144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825"/>
      <c r="AJ80" s="1"/>
      <c r="AK80" s="1"/>
      <c r="AL80" s="1"/>
      <c r="AM80" s="1"/>
      <c r="AN80" s="1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6"/>
      <c r="O81" s="144"/>
      <c r="P81" s="146"/>
      <c r="Q81" s="144"/>
      <c r="R81" s="144"/>
      <c r="S81" s="144"/>
      <c r="T81" s="144"/>
      <c r="U81" s="3157">
        <f t="shared" si="67"/>
        <v>4.9000000000000004</v>
      </c>
      <c r="V81" s="3157">
        <f t="shared" si="67"/>
        <v>5.0400000000000009</v>
      </c>
      <c r="W81" s="3157">
        <f t="shared" si="67"/>
        <v>6.6499999999999986</v>
      </c>
      <c r="X81" s="3157">
        <f t="shared" si="67"/>
        <v>5.0299999999999994</v>
      </c>
      <c r="Y81" s="3157">
        <f t="shared" si="67"/>
        <v>0.63</v>
      </c>
      <c r="Z81" s="3157" t="e">
        <f t="shared" si="67"/>
        <v>#REF!</v>
      </c>
      <c r="AA81" s="3157">
        <f t="shared" si="67"/>
        <v>1.335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6"/>
      <c r="O82" s="144"/>
      <c r="P82" s="146"/>
      <c r="Q82" s="144"/>
      <c r="R82" s="144"/>
      <c r="S82" s="144"/>
      <c r="T82" s="144"/>
      <c r="U82" s="3157">
        <f t="shared" si="67"/>
        <v>4.9000000000000004</v>
      </c>
      <c r="V82" s="3157">
        <f t="shared" si="67"/>
        <v>5.0400000000000009</v>
      </c>
      <c r="W82" s="3157">
        <f t="shared" si="67"/>
        <v>6.6499999999999986</v>
      </c>
      <c r="X82" s="3157">
        <f t="shared" si="67"/>
        <v>5.0299999999999994</v>
      </c>
      <c r="Y82" s="3157">
        <f t="shared" si="67"/>
        <v>0.63</v>
      </c>
      <c r="Z82" s="3157" t="e">
        <f t="shared" si="67"/>
        <v>#REF!</v>
      </c>
      <c r="AA82" s="3157">
        <f t="shared" si="67"/>
        <v>1.335</v>
      </c>
      <c r="AB82" s="144"/>
      <c r="AC82" s="2867">
        <v>0</v>
      </c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82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6"/>
      <c r="O83" s="144"/>
      <c r="P83" s="146"/>
      <c r="Q83" s="144"/>
      <c r="R83" s="144"/>
      <c r="S83" s="144"/>
      <c r="T83" s="144"/>
      <c r="U83" s="3157">
        <f t="shared" si="67"/>
        <v>4.9000000000000004</v>
      </c>
      <c r="V83" s="3157">
        <f t="shared" si="67"/>
        <v>5.0400000000000009</v>
      </c>
      <c r="W83" s="3157">
        <f t="shared" si="67"/>
        <v>6.6499999999999986</v>
      </c>
      <c r="X83" s="3157">
        <f t="shared" si="67"/>
        <v>5.0299999999999994</v>
      </c>
      <c r="Y83" s="3157">
        <f t="shared" si="67"/>
        <v>0.63</v>
      </c>
      <c r="Z83" s="3157" t="e">
        <f t="shared" si="67"/>
        <v>#REF!</v>
      </c>
      <c r="AA83" s="3157">
        <f t="shared" si="67"/>
        <v>1.335</v>
      </c>
      <c r="AB83" s="144"/>
      <c r="AC83" s="2867">
        <v>0</v>
      </c>
      <c r="AD83" s="2867">
        <v>0</v>
      </c>
      <c r="AE83" s="2867">
        <v>0</v>
      </c>
      <c r="AF83" s="2867">
        <v>0</v>
      </c>
      <c r="AG83" s="2867">
        <v>0</v>
      </c>
      <c r="AH83" s="2867">
        <v>0</v>
      </c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6"/>
      <c r="O84" s="144"/>
      <c r="P84" s="146"/>
      <c r="Q84" s="144"/>
      <c r="R84" s="144"/>
      <c r="S84" s="144"/>
      <c r="T84" s="144"/>
      <c r="U84" s="3157">
        <f t="shared" ref="U84:AA99" si="68">IF(U83&gt;0,U83,U82)</f>
        <v>4.9000000000000004</v>
      </c>
      <c r="V84" s="3157">
        <f t="shared" si="68"/>
        <v>5.0400000000000009</v>
      </c>
      <c r="W84" s="3157">
        <f t="shared" si="68"/>
        <v>6.6499999999999986</v>
      </c>
      <c r="X84" s="3157">
        <f t="shared" si="68"/>
        <v>5.0299999999999994</v>
      </c>
      <c r="Y84" s="3157">
        <f t="shared" si="68"/>
        <v>0.63</v>
      </c>
      <c r="Z84" s="3157" t="e">
        <f t="shared" si="68"/>
        <v>#REF!</v>
      </c>
      <c r="AA84" s="3157">
        <f t="shared" si="68"/>
        <v>1.335</v>
      </c>
      <c r="AB84" s="144"/>
      <c r="AC84" s="2867"/>
      <c r="AD84" s="2867"/>
      <c r="AE84" s="2867"/>
      <c r="AF84" s="2867"/>
      <c r="AG84" s="2867"/>
      <c r="AH84" s="2867"/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6"/>
      <c r="O85" s="144"/>
      <c r="P85" s="146"/>
      <c r="Q85" s="144"/>
      <c r="R85" s="144"/>
      <c r="S85" s="144"/>
      <c r="T85" s="144"/>
      <c r="U85" s="3157">
        <f t="shared" si="68"/>
        <v>4.9000000000000004</v>
      </c>
      <c r="V85" s="3157">
        <f t="shared" si="68"/>
        <v>5.0400000000000009</v>
      </c>
      <c r="W85" s="3157">
        <f t="shared" si="68"/>
        <v>6.6499999999999986</v>
      </c>
      <c r="X85" s="3157">
        <f t="shared" si="68"/>
        <v>5.0299999999999994</v>
      </c>
      <c r="Y85" s="3157">
        <f t="shared" si="68"/>
        <v>0.63</v>
      </c>
      <c r="Z85" s="3157" t="e">
        <f t="shared" si="68"/>
        <v>#REF!</v>
      </c>
      <c r="AA85" s="3157">
        <f t="shared" si="68"/>
        <v>1.335</v>
      </c>
      <c r="AB85" s="144"/>
      <c r="AC85" s="2867"/>
      <c r="AD85" s="2867"/>
      <c r="AE85" s="2867"/>
      <c r="AF85" s="2867"/>
      <c r="AG85" s="2867"/>
      <c r="AH85" s="2867"/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6"/>
      <c r="O86" s="144"/>
      <c r="P86" s="146"/>
      <c r="Q86" s="144"/>
      <c r="R86" s="144"/>
      <c r="S86" s="144"/>
      <c r="T86" s="144"/>
      <c r="U86" s="3157">
        <f t="shared" si="68"/>
        <v>4.9000000000000004</v>
      </c>
      <c r="V86" s="3157">
        <f t="shared" si="68"/>
        <v>5.0400000000000009</v>
      </c>
      <c r="W86" s="3157">
        <f t="shared" si="68"/>
        <v>6.6499999999999986</v>
      </c>
      <c r="X86" s="3157">
        <f t="shared" si="68"/>
        <v>5.0299999999999994</v>
      </c>
      <c r="Y86" s="3157">
        <f t="shared" si="68"/>
        <v>0.63</v>
      </c>
      <c r="Z86" s="3157" t="e">
        <f t="shared" si="68"/>
        <v>#REF!</v>
      </c>
      <c r="AA86" s="3157">
        <f t="shared" si="68"/>
        <v>1.335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6"/>
      <c r="O87" s="144"/>
      <c r="P87" s="146"/>
      <c r="Q87" s="144"/>
      <c r="R87" s="144"/>
      <c r="S87" s="144"/>
      <c r="T87" s="144"/>
      <c r="U87" s="3157">
        <f t="shared" si="68"/>
        <v>4.9000000000000004</v>
      </c>
      <c r="V87" s="3157">
        <f t="shared" si="68"/>
        <v>5.0400000000000009</v>
      </c>
      <c r="W87" s="3157">
        <f t="shared" si="68"/>
        <v>6.6499999999999986</v>
      </c>
      <c r="X87" s="3157">
        <f t="shared" si="68"/>
        <v>5.0299999999999994</v>
      </c>
      <c r="Y87" s="3157">
        <f t="shared" si="68"/>
        <v>0.63</v>
      </c>
      <c r="Z87" s="3157" t="e">
        <f t="shared" si="68"/>
        <v>#REF!</v>
      </c>
      <c r="AA87" s="3157">
        <f t="shared" si="68"/>
        <v>1.335</v>
      </c>
      <c r="AB87" s="144"/>
      <c r="AC87" s="2867">
        <v>0</v>
      </c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6"/>
      <c r="O88" s="144"/>
      <c r="P88" s="146"/>
      <c r="Q88" s="144"/>
      <c r="R88" s="144"/>
      <c r="S88" s="144"/>
      <c r="T88" s="144"/>
      <c r="U88" s="3157">
        <f t="shared" si="68"/>
        <v>4.9000000000000004</v>
      </c>
      <c r="V88" s="3157">
        <f t="shared" si="68"/>
        <v>5.0400000000000009</v>
      </c>
      <c r="W88" s="3157">
        <f t="shared" si="68"/>
        <v>6.6499999999999986</v>
      </c>
      <c r="X88" s="3157">
        <f t="shared" si="68"/>
        <v>5.0299999999999994</v>
      </c>
      <c r="Y88" s="3157">
        <f t="shared" si="68"/>
        <v>0.63</v>
      </c>
      <c r="Z88" s="3157" t="e">
        <f t="shared" si="68"/>
        <v>#REF!</v>
      </c>
      <c r="AA88" s="3157">
        <f t="shared" si="68"/>
        <v>1.335</v>
      </c>
      <c r="AB88" s="144"/>
      <c r="AC88" s="2867">
        <v>0</v>
      </c>
      <c r="AD88" s="2867">
        <v>0</v>
      </c>
      <c r="AE88" s="2867">
        <v>0</v>
      </c>
      <c r="AF88" s="2867">
        <v>0</v>
      </c>
      <c r="AG88" s="2867">
        <v>0</v>
      </c>
      <c r="AH88" s="2867">
        <v>0</v>
      </c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6"/>
      <c r="O89" s="144"/>
      <c r="P89" s="146"/>
      <c r="Q89" s="144"/>
      <c r="R89" s="144"/>
      <c r="S89" s="144"/>
      <c r="T89" s="144"/>
      <c r="U89" s="3157">
        <f t="shared" si="68"/>
        <v>4.9000000000000004</v>
      </c>
      <c r="V89" s="3157">
        <f t="shared" si="68"/>
        <v>5.0400000000000009</v>
      </c>
      <c r="W89" s="3157">
        <f t="shared" si="68"/>
        <v>6.6499999999999986</v>
      </c>
      <c r="X89" s="3157">
        <f t="shared" si="68"/>
        <v>5.0299999999999994</v>
      </c>
      <c r="Y89" s="3157">
        <f t="shared" si="68"/>
        <v>0.63</v>
      </c>
      <c r="Z89" s="3157" t="e">
        <f t="shared" si="68"/>
        <v>#REF!</v>
      </c>
      <c r="AA89" s="3157">
        <f t="shared" si="68"/>
        <v>1.335</v>
      </c>
      <c r="AB89" s="144"/>
      <c r="AC89" s="2867"/>
      <c r="AD89" s="2867"/>
      <c r="AE89" s="2867"/>
      <c r="AF89" s="2867"/>
      <c r="AG89" s="2867"/>
      <c r="AH89" s="2867"/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6"/>
      <c r="O90" s="144"/>
      <c r="P90" s="146"/>
      <c r="Q90" s="144"/>
      <c r="R90" s="144"/>
      <c r="S90" s="144"/>
      <c r="T90" s="144"/>
      <c r="U90" s="3157">
        <f t="shared" si="68"/>
        <v>4.9000000000000004</v>
      </c>
      <c r="V90" s="3157">
        <f t="shared" si="68"/>
        <v>5.0400000000000009</v>
      </c>
      <c r="W90" s="3157">
        <f t="shared" si="68"/>
        <v>6.6499999999999986</v>
      </c>
      <c r="X90" s="3157">
        <f t="shared" si="68"/>
        <v>5.0299999999999994</v>
      </c>
      <c r="Y90" s="3157">
        <f t="shared" si="68"/>
        <v>0.63</v>
      </c>
      <c r="Z90" s="3157" t="e">
        <f t="shared" si="68"/>
        <v>#REF!</v>
      </c>
      <c r="AA90" s="3157">
        <f t="shared" si="68"/>
        <v>1.335</v>
      </c>
      <c r="AB90" s="144"/>
      <c r="AC90" s="2867"/>
      <c r="AD90" s="2867"/>
      <c r="AE90" s="2867"/>
      <c r="AF90" s="2867"/>
      <c r="AG90" s="2867"/>
      <c r="AH90" s="2867"/>
      <c r="AI90" s="2825"/>
      <c r="AJ90" s="1"/>
      <c r="AK90" s="1"/>
      <c r="AL90" s="1"/>
      <c r="AM90" s="1"/>
      <c r="AN90" s="1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6"/>
      <c r="O91" s="144"/>
      <c r="P91" s="146"/>
      <c r="Q91" s="144"/>
      <c r="R91" s="144"/>
      <c r="S91" s="144"/>
      <c r="T91" s="144"/>
      <c r="U91" s="3157">
        <f t="shared" si="68"/>
        <v>4.9000000000000004</v>
      </c>
      <c r="V91" s="3157">
        <f t="shared" si="68"/>
        <v>5.0400000000000009</v>
      </c>
      <c r="W91" s="3157">
        <f t="shared" si="68"/>
        <v>6.6499999999999986</v>
      </c>
      <c r="X91" s="3157">
        <f t="shared" si="68"/>
        <v>5.0299999999999994</v>
      </c>
      <c r="Y91" s="3157">
        <f t="shared" si="68"/>
        <v>0.63</v>
      </c>
      <c r="Z91" s="3157" t="e">
        <f t="shared" si="68"/>
        <v>#REF!</v>
      </c>
      <c r="AA91" s="3157">
        <f t="shared" si="68"/>
        <v>1.335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6"/>
      <c r="O92" s="144"/>
      <c r="P92" s="146"/>
      <c r="Q92" s="144"/>
      <c r="R92" s="144"/>
      <c r="S92" s="144"/>
      <c r="T92" s="144"/>
      <c r="U92" s="3157">
        <f t="shared" si="68"/>
        <v>4.9000000000000004</v>
      </c>
      <c r="V92" s="3157">
        <f t="shared" si="68"/>
        <v>5.0400000000000009</v>
      </c>
      <c r="W92" s="3157">
        <f t="shared" si="68"/>
        <v>6.6499999999999986</v>
      </c>
      <c r="X92" s="3157">
        <f t="shared" si="68"/>
        <v>5.0299999999999994</v>
      </c>
      <c r="Y92" s="3157">
        <f t="shared" si="68"/>
        <v>0.63</v>
      </c>
      <c r="Z92" s="3157" t="e">
        <f t="shared" si="68"/>
        <v>#REF!</v>
      </c>
      <c r="AA92" s="3157">
        <f t="shared" si="68"/>
        <v>1.335</v>
      </c>
      <c r="AB92" s="144"/>
      <c r="AC92" s="2867">
        <v>0</v>
      </c>
      <c r="AD92" s="2867">
        <v>0</v>
      </c>
      <c r="AE92" s="2867">
        <v>0</v>
      </c>
      <c r="AF92" s="2867">
        <v>0</v>
      </c>
      <c r="AG92" s="2867">
        <v>0</v>
      </c>
      <c r="AH92" s="2867">
        <v>0</v>
      </c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6"/>
      <c r="O93" s="144"/>
      <c r="P93" s="146"/>
      <c r="Q93" s="144"/>
      <c r="R93" s="144"/>
      <c r="S93" s="144"/>
      <c r="T93" s="144"/>
      <c r="U93" s="3157">
        <f t="shared" si="68"/>
        <v>4.9000000000000004</v>
      </c>
      <c r="V93" s="3157">
        <f t="shared" si="68"/>
        <v>5.0400000000000009</v>
      </c>
      <c r="W93" s="3157">
        <f t="shared" si="68"/>
        <v>6.6499999999999986</v>
      </c>
      <c r="X93" s="3157">
        <f t="shared" si="68"/>
        <v>5.0299999999999994</v>
      </c>
      <c r="Y93" s="3157">
        <f t="shared" si="68"/>
        <v>0.63</v>
      </c>
      <c r="Z93" s="3157" t="e">
        <f t="shared" si="68"/>
        <v>#REF!</v>
      </c>
      <c r="AA93" s="3157">
        <f t="shared" si="68"/>
        <v>1.335</v>
      </c>
      <c r="AB93" s="144"/>
      <c r="AC93" s="2867">
        <v>0</v>
      </c>
      <c r="AD93" s="2867">
        <v>0</v>
      </c>
      <c r="AE93" s="2867">
        <v>0</v>
      </c>
      <c r="AF93" s="2867">
        <v>0</v>
      </c>
      <c r="AG93" s="2867">
        <v>0</v>
      </c>
      <c r="AH93" s="2867">
        <v>0</v>
      </c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6"/>
      <c r="O94" s="144"/>
      <c r="P94" s="146"/>
      <c r="Q94" s="144"/>
      <c r="R94" s="144"/>
      <c r="S94" s="144"/>
      <c r="T94" s="144"/>
      <c r="U94" s="3157">
        <f t="shared" si="68"/>
        <v>4.9000000000000004</v>
      </c>
      <c r="V94" s="3157">
        <f t="shared" si="68"/>
        <v>5.0400000000000009</v>
      </c>
      <c r="W94" s="3157">
        <f t="shared" si="68"/>
        <v>6.6499999999999986</v>
      </c>
      <c r="X94" s="3157">
        <f t="shared" si="68"/>
        <v>5.0299999999999994</v>
      </c>
      <c r="Y94" s="3157">
        <f t="shared" si="68"/>
        <v>0.63</v>
      </c>
      <c r="Z94" s="3157" t="e">
        <f t="shared" si="68"/>
        <v>#REF!</v>
      </c>
      <c r="AA94" s="3157">
        <f t="shared" si="68"/>
        <v>1.335</v>
      </c>
      <c r="AB94" s="144"/>
      <c r="AC94" s="2867"/>
      <c r="AD94" s="2867"/>
      <c r="AE94" s="2867"/>
      <c r="AF94" s="2867"/>
      <c r="AG94" s="2867"/>
      <c r="AH94" s="2867"/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6"/>
      <c r="O95" s="144"/>
      <c r="P95" s="146"/>
      <c r="Q95" s="144"/>
      <c r="R95" s="144"/>
      <c r="S95" s="144"/>
      <c r="T95" s="144"/>
      <c r="U95" s="3157">
        <f t="shared" si="68"/>
        <v>4.9000000000000004</v>
      </c>
      <c r="V95" s="3157">
        <f t="shared" si="68"/>
        <v>5.0400000000000009</v>
      </c>
      <c r="W95" s="3157">
        <f t="shared" si="68"/>
        <v>6.6499999999999986</v>
      </c>
      <c r="X95" s="3157">
        <f t="shared" si="68"/>
        <v>5.0299999999999994</v>
      </c>
      <c r="Y95" s="3157">
        <f t="shared" si="68"/>
        <v>0.63</v>
      </c>
      <c r="Z95" s="3157" t="e">
        <f t="shared" si="68"/>
        <v>#REF!</v>
      </c>
      <c r="AA95" s="3157">
        <f t="shared" si="68"/>
        <v>1.335</v>
      </c>
      <c r="AB95" s="144"/>
      <c r="AC95" s="2867"/>
      <c r="AD95" s="2867"/>
      <c r="AE95" s="2867"/>
      <c r="AF95" s="2867"/>
      <c r="AG95" s="2867"/>
      <c r="AH95" s="2867"/>
      <c r="AI95" s="282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6"/>
      <c r="O96" s="144"/>
      <c r="P96" s="146"/>
      <c r="Q96" s="144"/>
      <c r="R96" s="144"/>
      <c r="S96" s="144"/>
      <c r="T96" s="144"/>
      <c r="U96" s="3157">
        <f t="shared" si="68"/>
        <v>4.9000000000000004</v>
      </c>
      <c r="V96" s="3157">
        <f t="shared" si="68"/>
        <v>5.0400000000000009</v>
      </c>
      <c r="W96" s="3157">
        <f t="shared" si="68"/>
        <v>6.6499999999999986</v>
      </c>
      <c r="X96" s="3157">
        <f t="shared" si="68"/>
        <v>5.0299999999999994</v>
      </c>
      <c r="Y96" s="3157">
        <f t="shared" si="68"/>
        <v>0.63</v>
      </c>
      <c r="Z96" s="3157" t="e">
        <f t="shared" si="68"/>
        <v>#REF!</v>
      </c>
      <c r="AA96" s="3157">
        <f t="shared" si="68"/>
        <v>1.335</v>
      </c>
      <c r="AB96" s="144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6"/>
      <c r="O97" s="144"/>
      <c r="P97" s="146"/>
      <c r="Q97" s="144"/>
      <c r="R97" s="144"/>
      <c r="S97" s="144"/>
      <c r="T97" s="144"/>
      <c r="U97" s="3157">
        <f t="shared" si="68"/>
        <v>4.9000000000000004</v>
      </c>
      <c r="V97" s="3157">
        <f t="shared" si="68"/>
        <v>5.0400000000000009</v>
      </c>
      <c r="W97" s="3157">
        <f t="shared" si="68"/>
        <v>6.6499999999999986</v>
      </c>
      <c r="X97" s="3157">
        <f t="shared" si="68"/>
        <v>5.0299999999999994</v>
      </c>
      <c r="Y97" s="3157">
        <f t="shared" si="68"/>
        <v>0.63</v>
      </c>
      <c r="Z97" s="3157" t="e">
        <f t="shared" si="68"/>
        <v>#REF!</v>
      </c>
      <c r="AA97" s="3157">
        <f t="shared" si="68"/>
        <v>1.335</v>
      </c>
      <c r="AB97" s="144"/>
      <c r="AC97" s="2867">
        <v>0</v>
      </c>
      <c r="AD97" s="2867">
        <v>0</v>
      </c>
      <c r="AE97" s="2867">
        <v>0</v>
      </c>
      <c r="AF97" s="2867">
        <v>0</v>
      </c>
      <c r="AG97" s="2867">
        <v>0</v>
      </c>
      <c r="AH97" s="2867">
        <v>0</v>
      </c>
      <c r="AI97" s="2825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6"/>
      <c r="O98" s="144"/>
      <c r="P98" s="146"/>
      <c r="Q98" s="144"/>
      <c r="R98" s="144"/>
      <c r="S98" s="144"/>
      <c r="T98" s="144"/>
      <c r="U98" s="3157">
        <f t="shared" si="68"/>
        <v>4.9000000000000004</v>
      </c>
      <c r="V98" s="3157">
        <f t="shared" si="68"/>
        <v>5.0400000000000009</v>
      </c>
      <c r="W98" s="3157">
        <f t="shared" si="68"/>
        <v>6.6499999999999986</v>
      </c>
      <c r="X98" s="3157">
        <f t="shared" si="68"/>
        <v>5.0299999999999994</v>
      </c>
      <c r="Y98" s="3157">
        <f t="shared" si="68"/>
        <v>0.63</v>
      </c>
      <c r="Z98" s="3157" t="e">
        <f t="shared" si="68"/>
        <v>#REF!</v>
      </c>
      <c r="AA98" s="3157">
        <f t="shared" si="68"/>
        <v>1.335</v>
      </c>
      <c r="AB98" s="144"/>
      <c r="AC98" s="2867"/>
      <c r="AD98" s="2867"/>
      <c r="AE98" s="2867"/>
      <c r="AF98" s="2867"/>
      <c r="AG98" s="2867"/>
      <c r="AH98" s="2867"/>
      <c r="AI98" s="2825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6"/>
      <c r="O99" s="144"/>
      <c r="P99" s="146"/>
      <c r="Q99" s="144"/>
      <c r="R99" s="144"/>
      <c r="S99" s="144"/>
      <c r="T99" s="144"/>
      <c r="U99" s="3157">
        <f t="shared" si="68"/>
        <v>4.9000000000000004</v>
      </c>
      <c r="V99" s="3157">
        <f t="shared" si="68"/>
        <v>5.0400000000000009</v>
      </c>
      <c r="W99" s="3157">
        <f t="shared" si="68"/>
        <v>6.6499999999999986</v>
      </c>
      <c r="X99" s="3157">
        <f t="shared" si="68"/>
        <v>5.0299999999999994</v>
      </c>
      <c r="Y99" s="3157">
        <f t="shared" si="68"/>
        <v>0.63</v>
      </c>
      <c r="Z99" s="3157" t="e">
        <f t="shared" si="68"/>
        <v>#REF!</v>
      </c>
      <c r="AA99" s="3157">
        <f t="shared" si="68"/>
        <v>1.335</v>
      </c>
      <c r="AB99" s="144"/>
      <c r="AC99" s="2867"/>
      <c r="AD99" s="2867"/>
      <c r="AE99" s="2867"/>
      <c r="AF99" s="2867"/>
      <c r="AG99" s="2867"/>
      <c r="AH99" s="2867"/>
      <c r="AI99" s="2825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6"/>
      <c r="O100" s="144"/>
      <c r="P100" s="146"/>
      <c r="Q100" s="144"/>
      <c r="R100" s="144"/>
      <c r="S100" s="144"/>
      <c r="T100" s="144"/>
      <c r="U100" s="3157">
        <f t="shared" ref="U100:AA115" si="69">IF(U99&gt;0,U99,U98)</f>
        <v>4.9000000000000004</v>
      </c>
      <c r="V100" s="3157">
        <f t="shared" si="69"/>
        <v>5.0400000000000009</v>
      </c>
      <c r="W100" s="3157">
        <f t="shared" si="69"/>
        <v>6.6499999999999986</v>
      </c>
      <c r="X100" s="3157">
        <f t="shared" si="69"/>
        <v>5.0299999999999994</v>
      </c>
      <c r="Y100" s="3157">
        <f t="shared" si="69"/>
        <v>0.63</v>
      </c>
      <c r="Z100" s="3157" t="e">
        <f t="shared" si="69"/>
        <v>#REF!</v>
      </c>
      <c r="AA100" s="3157">
        <f t="shared" si="69"/>
        <v>1.335</v>
      </c>
      <c r="AB100" s="144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6"/>
      <c r="O101" s="144"/>
      <c r="P101" s="146"/>
      <c r="Q101" s="144"/>
      <c r="R101" s="144"/>
      <c r="S101" s="144"/>
      <c r="T101" s="144"/>
      <c r="U101" s="3157">
        <f t="shared" si="69"/>
        <v>4.9000000000000004</v>
      </c>
      <c r="V101" s="3157">
        <f t="shared" si="69"/>
        <v>5.0400000000000009</v>
      </c>
      <c r="W101" s="3157">
        <f t="shared" si="69"/>
        <v>6.6499999999999986</v>
      </c>
      <c r="X101" s="3157">
        <f t="shared" si="69"/>
        <v>5.0299999999999994</v>
      </c>
      <c r="Y101" s="3157">
        <f t="shared" si="69"/>
        <v>0.63</v>
      </c>
      <c r="Z101" s="3157" t="e">
        <f t="shared" si="69"/>
        <v>#REF!</v>
      </c>
      <c r="AA101" s="3157">
        <f t="shared" si="69"/>
        <v>1.335</v>
      </c>
      <c r="AB101" s="144"/>
      <c r="AC101" s="2867">
        <v>0</v>
      </c>
      <c r="AD101" s="2867">
        <v>0</v>
      </c>
      <c r="AE101" s="2867">
        <v>0</v>
      </c>
      <c r="AF101" s="2867">
        <v>0</v>
      </c>
      <c r="AG101" s="2867">
        <v>0</v>
      </c>
      <c r="AH101" s="2867">
        <v>0</v>
      </c>
      <c r="AI101" s="2825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6"/>
      <c r="O102" s="144"/>
      <c r="P102" s="146"/>
      <c r="Q102" s="144"/>
      <c r="R102" s="144"/>
      <c r="S102" s="144"/>
      <c r="T102" s="144"/>
      <c r="U102" s="3157">
        <f t="shared" si="69"/>
        <v>4.9000000000000004</v>
      </c>
      <c r="V102" s="3157">
        <f t="shared" si="69"/>
        <v>5.0400000000000009</v>
      </c>
      <c r="W102" s="3157">
        <f t="shared" si="69"/>
        <v>6.6499999999999986</v>
      </c>
      <c r="X102" s="3157">
        <f t="shared" si="69"/>
        <v>5.0299999999999994</v>
      </c>
      <c r="Y102" s="3157">
        <f t="shared" si="69"/>
        <v>0.63</v>
      </c>
      <c r="Z102" s="3157" t="e">
        <f t="shared" si="69"/>
        <v>#REF!</v>
      </c>
      <c r="AA102" s="3157">
        <f t="shared" si="69"/>
        <v>1.335</v>
      </c>
      <c r="AB102" s="144"/>
      <c r="AC102" s="2867">
        <v>0</v>
      </c>
      <c r="AD102" s="2867">
        <v>0</v>
      </c>
      <c r="AE102" s="2867">
        <v>0</v>
      </c>
      <c r="AF102" s="2867">
        <v>0</v>
      </c>
      <c r="AG102" s="2867">
        <v>0</v>
      </c>
      <c r="AH102" s="2867">
        <v>0</v>
      </c>
      <c r="AI102" s="2825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6"/>
      <c r="O103" s="144"/>
      <c r="P103" s="146"/>
      <c r="Q103" s="144"/>
      <c r="R103" s="144"/>
      <c r="S103" s="144"/>
      <c r="T103" s="144"/>
      <c r="U103" s="3157">
        <f t="shared" si="69"/>
        <v>4.9000000000000004</v>
      </c>
      <c r="V103" s="3157">
        <f t="shared" si="69"/>
        <v>5.0400000000000009</v>
      </c>
      <c r="W103" s="3157">
        <f t="shared" si="69"/>
        <v>6.6499999999999986</v>
      </c>
      <c r="X103" s="3157">
        <f t="shared" si="69"/>
        <v>5.0299999999999994</v>
      </c>
      <c r="Y103" s="3157">
        <f t="shared" si="69"/>
        <v>0.63</v>
      </c>
      <c r="Z103" s="3157" t="e">
        <f t="shared" si="69"/>
        <v>#REF!</v>
      </c>
      <c r="AA103" s="3157">
        <f t="shared" si="69"/>
        <v>1.335</v>
      </c>
      <c r="AB103" s="144"/>
      <c r="AC103" s="2867">
        <v>0</v>
      </c>
      <c r="AD103" s="2867">
        <v>0</v>
      </c>
      <c r="AE103" s="2867">
        <v>0</v>
      </c>
      <c r="AF103" s="2867">
        <v>0</v>
      </c>
      <c r="AG103" s="2867">
        <v>0</v>
      </c>
      <c r="AH103" s="2867">
        <v>0</v>
      </c>
      <c r="AI103" s="2825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6"/>
      <c r="O104" s="144"/>
      <c r="P104" s="146"/>
      <c r="Q104" s="144"/>
      <c r="R104" s="144"/>
      <c r="S104" s="144"/>
      <c r="T104" s="144"/>
      <c r="U104" s="3157">
        <f t="shared" si="69"/>
        <v>4.9000000000000004</v>
      </c>
      <c r="V104" s="3157">
        <f t="shared" si="69"/>
        <v>5.0400000000000009</v>
      </c>
      <c r="W104" s="3157">
        <f t="shared" si="69"/>
        <v>6.6499999999999986</v>
      </c>
      <c r="X104" s="3157">
        <f t="shared" si="69"/>
        <v>5.0299999999999994</v>
      </c>
      <c r="Y104" s="3157">
        <f t="shared" si="69"/>
        <v>0.63</v>
      </c>
      <c r="Z104" s="3157" t="e">
        <f t="shared" si="69"/>
        <v>#REF!</v>
      </c>
      <c r="AA104" s="3157">
        <f t="shared" si="69"/>
        <v>1.335</v>
      </c>
      <c r="AB104" s="144"/>
      <c r="AC104" s="2867"/>
      <c r="AD104" s="2867"/>
      <c r="AE104" s="2867"/>
      <c r="AF104" s="2867"/>
      <c r="AG104" s="2867"/>
      <c r="AH104" s="2867"/>
      <c r="AI104" s="2825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6"/>
      <c r="O105" s="144"/>
      <c r="P105" s="146"/>
      <c r="Q105" s="144"/>
      <c r="R105" s="144"/>
      <c r="S105" s="144"/>
      <c r="T105" s="144"/>
      <c r="U105" s="3157">
        <f t="shared" si="69"/>
        <v>4.9000000000000004</v>
      </c>
      <c r="V105" s="3157">
        <f t="shared" si="69"/>
        <v>5.0400000000000009</v>
      </c>
      <c r="W105" s="3157">
        <f t="shared" si="69"/>
        <v>6.6499999999999986</v>
      </c>
      <c r="X105" s="3157">
        <f t="shared" si="69"/>
        <v>5.0299999999999994</v>
      </c>
      <c r="Y105" s="3157">
        <f t="shared" si="69"/>
        <v>0.63</v>
      </c>
      <c r="Z105" s="3157" t="e">
        <f t="shared" si="69"/>
        <v>#REF!</v>
      </c>
      <c r="AA105" s="3157">
        <f t="shared" si="69"/>
        <v>1.335</v>
      </c>
      <c r="AB105" s="144"/>
      <c r="AC105" s="2867">
        <v>0</v>
      </c>
      <c r="AD105" s="2867">
        <v>0</v>
      </c>
      <c r="AE105" s="2867">
        <v>0</v>
      </c>
      <c r="AF105" s="2867">
        <v>0</v>
      </c>
      <c r="AG105" s="2867">
        <v>0</v>
      </c>
      <c r="AH105" s="2867">
        <v>0</v>
      </c>
      <c r="AI105" s="2825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6"/>
      <c r="O106" s="144"/>
      <c r="P106" s="146"/>
      <c r="Q106" s="144"/>
      <c r="R106" s="144"/>
      <c r="S106" s="144"/>
      <c r="T106" s="144"/>
      <c r="U106" s="3157">
        <f t="shared" si="69"/>
        <v>4.9000000000000004</v>
      </c>
      <c r="V106" s="3157">
        <f t="shared" si="69"/>
        <v>5.0400000000000009</v>
      </c>
      <c r="W106" s="3157">
        <f t="shared" si="69"/>
        <v>6.6499999999999986</v>
      </c>
      <c r="X106" s="3157">
        <f t="shared" si="69"/>
        <v>5.0299999999999994</v>
      </c>
      <c r="Y106" s="3157">
        <f t="shared" si="69"/>
        <v>0.63</v>
      </c>
      <c r="Z106" s="3157" t="e">
        <f t="shared" si="69"/>
        <v>#REF!</v>
      </c>
      <c r="AA106" s="3157">
        <f t="shared" si="69"/>
        <v>1.335</v>
      </c>
      <c r="AB106" s="144"/>
      <c r="AC106" s="2867">
        <v>0</v>
      </c>
      <c r="AD106" s="2867">
        <v>0</v>
      </c>
      <c r="AE106" s="2867">
        <v>0</v>
      </c>
      <c r="AF106" s="2867">
        <v>0</v>
      </c>
      <c r="AG106" s="2867">
        <v>0</v>
      </c>
      <c r="AH106" s="2867">
        <v>0</v>
      </c>
      <c r="AI106" s="2825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6"/>
      <c r="O107" s="144"/>
      <c r="P107" s="146"/>
      <c r="Q107" s="144"/>
      <c r="R107" s="144"/>
      <c r="S107" s="144"/>
      <c r="T107" s="144"/>
      <c r="U107" s="3157">
        <f t="shared" si="69"/>
        <v>4.9000000000000004</v>
      </c>
      <c r="V107" s="3157">
        <f t="shared" si="69"/>
        <v>5.0400000000000009</v>
      </c>
      <c r="W107" s="3157">
        <f t="shared" si="69"/>
        <v>6.6499999999999986</v>
      </c>
      <c r="X107" s="3157">
        <f t="shared" si="69"/>
        <v>5.0299999999999994</v>
      </c>
      <c r="Y107" s="3157">
        <f t="shared" si="69"/>
        <v>0.63</v>
      </c>
      <c r="Z107" s="3157" t="e">
        <f t="shared" si="69"/>
        <v>#REF!</v>
      </c>
      <c r="AA107" s="3157">
        <f t="shared" si="69"/>
        <v>1.335</v>
      </c>
      <c r="AB107" s="144"/>
      <c r="AC107" s="2867"/>
      <c r="AD107" s="2867"/>
      <c r="AE107" s="2867"/>
      <c r="AF107" s="2867"/>
      <c r="AG107" s="2867"/>
      <c r="AH107" s="2867"/>
      <c r="AI107" s="2825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6"/>
      <c r="O108" s="144"/>
      <c r="P108" s="146"/>
      <c r="Q108" s="144"/>
      <c r="R108" s="144"/>
      <c r="S108" s="144"/>
      <c r="T108" s="144"/>
      <c r="U108" s="3157">
        <f t="shared" si="69"/>
        <v>4.9000000000000004</v>
      </c>
      <c r="V108" s="3157">
        <f t="shared" si="69"/>
        <v>5.0400000000000009</v>
      </c>
      <c r="W108" s="3157">
        <f t="shared" si="69"/>
        <v>6.6499999999999986</v>
      </c>
      <c r="X108" s="3157">
        <f t="shared" si="69"/>
        <v>5.0299999999999994</v>
      </c>
      <c r="Y108" s="3157">
        <f t="shared" si="69"/>
        <v>0.63</v>
      </c>
      <c r="Z108" s="3157" t="e">
        <f t="shared" si="69"/>
        <v>#REF!</v>
      </c>
      <c r="AA108" s="3157">
        <f t="shared" si="69"/>
        <v>1.335</v>
      </c>
      <c r="AB108" s="144"/>
      <c r="AC108" s="2867"/>
      <c r="AD108" s="2867"/>
      <c r="AE108" s="2867"/>
      <c r="AF108" s="2867"/>
      <c r="AG108" s="2867"/>
      <c r="AH108" s="2867"/>
      <c r="AI108" s="2825"/>
      <c r="AJ108" s="1"/>
      <c r="AK108" s="1"/>
      <c r="AL108" s="1"/>
      <c r="AM108" s="1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6"/>
      <c r="O109" s="144"/>
      <c r="P109" s="146"/>
      <c r="Q109" s="144"/>
      <c r="R109" s="144"/>
      <c r="S109" s="144"/>
      <c r="T109" s="144"/>
      <c r="U109" s="3157">
        <f t="shared" si="69"/>
        <v>4.9000000000000004</v>
      </c>
      <c r="V109" s="3157">
        <f t="shared" si="69"/>
        <v>5.0400000000000009</v>
      </c>
      <c r="W109" s="3157">
        <f t="shared" si="69"/>
        <v>6.6499999999999986</v>
      </c>
      <c r="X109" s="3157">
        <f t="shared" si="69"/>
        <v>5.0299999999999994</v>
      </c>
      <c r="Y109" s="3157">
        <f t="shared" si="69"/>
        <v>0.63</v>
      </c>
      <c r="Z109" s="3157" t="e">
        <f t="shared" si="69"/>
        <v>#REF!</v>
      </c>
      <c r="AA109" s="3157">
        <f t="shared" si="69"/>
        <v>1.335</v>
      </c>
      <c r="AB109" s="144"/>
      <c r="AC109" s="2867">
        <v>0</v>
      </c>
      <c r="AD109" s="2867">
        <v>0</v>
      </c>
      <c r="AE109" s="2867">
        <v>0</v>
      </c>
      <c r="AF109" s="2867">
        <v>0</v>
      </c>
      <c r="AG109" s="2867">
        <v>0</v>
      </c>
      <c r="AH109" s="2867">
        <v>0</v>
      </c>
      <c r="AI109" s="2825"/>
      <c r="AJ109" s="1"/>
      <c r="AK109" s="1"/>
      <c r="AL109" s="1"/>
      <c r="AM109" s="1"/>
      <c r="AN109" s="1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6"/>
      <c r="O110" s="144"/>
      <c r="P110" s="146"/>
      <c r="Q110" s="144"/>
      <c r="R110" s="144"/>
      <c r="S110" s="144"/>
      <c r="T110" s="144"/>
      <c r="U110" s="3157">
        <f t="shared" si="69"/>
        <v>4.9000000000000004</v>
      </c>
      <c r="V110" s="3157">
        <f t="shared" si="69"/>
        <v>5.0400000000000009</v>
      </c>
      <c r="W110" s="3157">
        <f t="shared" si="69"/>
        <v>6.6499999999999986</v>
      </c>
      <c r="X110" s="3157">
        <f t="shared" si="69"/>
        <v>5.0299999999999994</v>
      </c>
      <c r="Y110" s="3157">
        <f t="shared" si="69"/>
        <v>0.63</v>
      </c>
      <c r="Z110" s="3157" t="e">
        <f t="shared" si="69"/>
        <v>#REF!</v>
      </c>
      <c r="AA110" s="3157">
        <f t="shared" si="69"/>
        <v>1.335</v>
      </c>
      <c r="AB110" s="144"/>
      <c r="AC110" s="2867">
        <v>0</v>
      </c>
      <c r="AD110" s="2867">
        <v>0</v>
      </c>
      <c r="AE110" s="2867">
        <v>0</v>
      </c>
      <c r="AF110" s="2867">
        <v>0</v>
      </c>
      <c r="AG110" s="2867">
        <v>0</v>
      </c>
      <c r="AH110" s="2867">
        <v>0</v>
      </c>
      <c r="AI110" s="2825"/>
      <c r="AJ110" s="1"/>
      <c r="AK110" s="1"/>
      <c r="AL110" s="1"/>
      <c r="AM110" s="1"/>
      <c r="AN110" s="1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6"/>
      <c r="O111" s="144"/>
      <c r="P111" s="146"/>
      <c r="Q111" s="144"/>
      <c r="R111" s="144"/>
      <c r="S111" s="144"/>
      <c r="T111" s="144"/>
      <c r="U111" s="3157">
        <f t="shared" si="69"/>
        <v>4.9000000000000004</v>
      </c>
      <c r="V111" s="3157">
        <f t="shared" si="69"/>
        <v>5.0400000000000009</v>
      </c>
      <c r="W111" s="3157">
        <f t="shared" si="69"/>
        <v>6.6499999999999986</v>
      </c>
      <c r="X111" s="3157">
        <f t="shared" si="69"/>
        <v>5.0299999999999994</v>
      </c>
      <c r="Y111" s="3157">
        <f t="shared" si="69"/>
        <v>0.63</v>
      </c>
      <c r="Z111" s="3157" t="e">
        <f t="shared" si="69"/>
        <v>#REF!</v>
      </c>
      <c r="AA111" s="3157">
        <f t="shared" si="69"/>
        <v>1.335</v>
      </c>
      <c r="AB111" s="144"/>
      <c r="AC111" s="2867">
        <v>0</v>
      </c>
      <c r="AD111" s="2867">
        <v>0</v>
      </c>
      <c r="AE111" s="2867">
        <v>0</v>
      </c>
      <c r="AF111" s="2867">
        <v>0</v>
      </c>
      <c r="AG111" s="2867">
        <v>0</v>
      </c>
      <c r="AH111" s="2867">
        <v>0</v>
      </c>
      <c r="AI111" s="2825"/>
      <c r="AJ111" s="1"/>
      <c r="AK111" s="1"/>
      <c r="AL111" s="1"/>
      <c r="AM111" s="1"/>
      <c r="AN111" s="1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6"/>
      <c r="O112" s="144"/>
      <c r="P112" s="146"/>
      <c r="Q112" s="144"/>
      <c r="R112" s="144"/>
      <c r="S112" s="144"/>
      <c r="T112" s="144"/>
      <c r="U112" s="3157">
        <f t="shared" si="69"/>
        <v>4.9000000000000004</v>
      </c>
      <c r="V112" s="3157">
        <f t="shared" si="69"/>
        <v>5.0400000000000009</v>
      </c>
      <c r="W112" s="3157">
        <f t="shared" si="69"/>
        <v>6.6499999999999986</v>
      </c>
      <c r="X112" s="3157">
        <f t="shared" si="69"/>
        <v>5.0299999999999994</v>
      </c>
      <c r="Y112" s="3157">
        <f t="shared" si="69"/>
        <v>0.63</v>
      </c>
      <c r="Z112" s="3157" t="e">
        <f t="shared" si="69"/>
        <v>#REF!</v>
      </c>
      <c r="AA112" s="3157">
        <f t="shared" si="69"/>
        <v>1.335</v>
      </c>
      <c r="AB112" s="144"/>
      <c r="AC112" s="2867"/>
      <c r="AD112" s="2867"/>
      <c r="AE112" s="2867"/>
      <c r="AF112" s="2867"/>
      <c r="AG112" s="2867"/>
      <c r="AH112" s="2867"/>
      <c r="AI112" s="2825"/>
      <c r="AJ112" s="1"/>
      <c r="AK112" s="1"/>
      <c r="AL112" s="1"/>
      <c r="AM112" s="1"/>
      <c r="AN112" s="1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6"/>
      <c r="O113" s="144"/>
      <c r="P113" s="146"/>
      <c r="Q113" s="144"/>
      <c r="R113" s="144"/>
      <c r="S113" s="144"/>
      <c r="T113" s="144"/>
      <c r="U113" s="3157">
        <f t="shared" si="69"/>
        <v>4.9000000000000004</v>
      </c>
      <c r="V113" s="3157">
        <f t="shared" si="69"/>
        <v>5.0400000000000009</v>
      </c>
      <c r="W113" s="3157">
        <f t="shared" si="69"/>
        <v>6.6499999999999986</v>
      </c>
      <c r="X113" s="3157">
        <f t="shared" si="69"/>
        <v>5.0299999999999994</v>
      </c>
      <c r="Y113" s="3157">
        <f t="shared" si="69"/>
        <v>0.63</v>
      </c>
      <c r="Z113" s="3157" t="e">
        <f t="shared" si="69"/>
        <v>#REF!</v>
      </c>
      <c r="AA113" s="3157">
        <f t="shared" si="69"/>
        <v>1.335</v>
      </c>
      <c r="AB113" s="144"/>
      <c r="AC113" s="2867"/>
      <c r="AD113" s="2867"/>
      <c r="AE113" s="2867"/>
      <c r="AF113" s="2867"/>
      <c r="AG113" s="2867"/>
      <c r="AH113" s="2867"/>
      <c r="AI113" s="2825"/>
      <c r="AJ113" s="1"/>
      <c r="AK113" s="1"/>
      <c r="AL113" s="1"/>
      <c r="AM113" s="1"/>
      <c r="AN113" s="1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6"/>
      <c r="O114" s="144"/>
      <c r="P114" s="146"/>
      <c r="Q114" s="144"/>
      <c r="R114" s="144"/>
      <c r="S114" s="144"/>
      <c r="T114" s="144"/>
      <c r="U114" s="3157">
        <f t="shared" si="69"/>
        <v>4.9000000000000004</v>
      </c>
      <c r="V114" s="3157">
        <f t="shared" si="69"/>
        <v>5.0400000000000009</v>
      </c>
      <c r="W114" s="3157">
        <f t="shared" si="69"/>
        <v>6.6499999999999986</v>
      </c>
      <c r="X114" s="3157">
        <f t="shared" si="69"/>
        <v>5.0299999999999994</v>
      </c>
      <c r="Y114" s="3157">
        <f t="shared" si="69"/>
        <v>0.63</v>
      </c>
      <c r="Z114" s="3157" t="e">
        <f t="shared" si="69"/>
        <v>#REF!</v>
      </c>
      <c r="AA114" s="3157">
        <f t="shared" si="69"/>
        <v>1.335</v>
      </c>
      <c r="AB114" s="144"/>
      <c r="AC114" s="2867">
        <v>0</v>
      </c>
      <c r="AD114" s="2867">
        <v>0</v>
      </c>
      <c r="AE114" s="2867">
        <v>0</v>
      </c>
      <c r="AF114" s="2867">
        <v>0</v>
      </c>
      <c r="AG114" s="2867">
        <v>0</v>
      </c>
      <c r="AH114" s="2867">
        <v>0</v>
      </c>
      <c r="AI114" s="2825"/>
      <c r="AJ114" s="1"/>
      <c r="AK114" s="1"/>
      <c r="AL114" s="1"/>
      <c r="AM114" s="1"/>
      <c r="AN114" s="1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6"/>
      <c r="O115" s="144"/>
      <c r="P115" s="146"/>
      <c r="Q115" s="144"/>
      <c r="R115" s="144"/>
      <c r="S115" s="144"/>
      <c r="T115" s="144"/>
      <c r="U115" s="3157">
        <f t="shared" si="69"/>
        <v>4.9000000000000004</v>
      </c>
      <c r="V115" s="3157">
        <f t="shared" si="69"/>
        <v>5.0400000000000009</v>
      </c>
      <c r="W115" s="3157">
        <f t="shared" si="69"/>
        <v>6.6499999999999986</v>
      </c>
      <c r="X115" s="3157">
        <f t="shared" si="69"/>
        <v>5.0299999999999994</v>
      </c>
      <c r="Y115" s="3157">
        <f t="shared" si="69"/>
        <v>0.63</v>
      </c>
      <c r="Z115" s="3157" t="e">
        <f t="shared" si="69"/>
        <v>#REF!</v>
      </c>
      <c r="AA115" s="3157">
        <f t="shared" si="69"/>
        <v>1.335</v>
      </c>
      <c r="AB115" s="144"/>
      <c r="AC115" s="2867">
        <v>0</v>
      </c>
      <c r="AD115" s="2867">
        <v>0</v>
      </c>
      <c r="AE115" s="2867">
        <v>0</v>
      </c>
      <c r="AF115" s="2867">
        <v>0</v>
      </c>
      <c r="AG115" s="2867">
        <v>0</v>
      </c>
      <c r="AH115" s="2867">
        <v>0</v>
      </c>
      <c r="AI115" s="2825"/>
      <c r="AJ115" s="1"/>
      <c r="AK115" s="1"/>
      <c r="AL115" s="1"/>
      <c r="AM115" s="1"/>
      <c r="AN115" s="1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6"/>
      <c r="O116" s="144"/>
      <c r="P116" s="146"/>
      <c r="Q116" s="144"/>
      <c r="R116" s="144"/>
      <c r="S116" s="144"/>
      <c r="T116" s="144"/>
      <c r="U116" s="3157">
        <f t="shared" ref="U116:AA122" si="70">IF(U115&gt;0,U115,U114)</f>
        <v>4.9000000000000004</v>
      </c>
      <c r="V116" s="3157">
        <f t="shared" si="70"/>
        <v>5.0400000000000009</v>
      </c>
      <c r="W116" s="3157">
        <f t="shared" si="70"/>
        <v>6.6499999999999986</v>
      </c>
      <c r="X116" s="3157">
        <f t="shared" si="70"/>
        <v>5.0299999999999994</v>
      </c>
      <c r="Y116" s="3157">
        <f t="shared" si="70"/>
        <v>0.63</v>
      </c>
      <c r="Z116" s="3157" t="e">
        <f t="shared" si="70"/>
        <v>#REF!</v>
      </c>
      <c r="AA116" s="3157">
        <f t="shared" si="70"/>
        <v>1.335</v>
      </c>
      <c r="AB116" s="144"/>
      <c r="AC116" s="2867">
        <v>0</v>
      </c>
      <c r="AD116" s="2867">
        <v>0</v>
      </c>
      <c r="AE116" s="2867">
        <v>0</v>
      </c>
      <c r="AF116" s="2867">
        <v>0</v>
      </c>
      <c r="AG116" s="2867">
        <v>0</v>
      </c>
      <c r="AH116" s="2867">
        <v>0</v>
      </c>
      <c r="AI116" s="2825"/>
      <c r="AJ116" s="1"/>
      <c r="AK116" s="1"/>
      <c r="AL116" s="1"/>
      <c r="AM116" s="1"/>
      <c r="AN116" s="1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6"/>
      <c r="O117" s="144"/>
      <c r="P117" s="146"/>
      <c r="Q117" s="144"/>
      <c r="R117" s="144"/>
      <c r="S117" s="144"/>
      <c r="T117" s="144"/>
      <c r="U117" s="3157">
        <f t="shared" si="70"/>
        <v>4.9000000000000004</v>
      </c>
      <c r="V117" s="3157">
        <f t="shared" si="70"/>
        <v>5.0400000000000009</v>
      </c>
      <c r="W117" s="3157">
        <f t="shared" si="70"/>
        <v>6.6499999999999986</v>
      </c>
      <c r="X117" s="3157">
        <f t="shared" si="70"/>
        <v>5.0299999999999994</v>
      </c>
      <c r="Y117" s="3157">
        <f t="shared" si="70"/>
        <v>0.63</v>
      </c>
      <c r="Z117" s="3157" t="e">
        <f t="shared" si="70"/>
        <v>#REF!</v>
      </c>
      <c r="AA117" s="3157">
        <f t="shared" si="70"/>
        <v>1.335</v>
      </c>
      <c r="AB117" s="144"/>
      <c r="AC117" s="2867"/>
      <c r="AD117" s="2867"/>
      <c r="AE117" s="2867"/>
      <c r="AF117" s="2867"/>
      <c r="AG117" s="2867"/>
      <c r="AH117" s="2867"/>
      <c r="AI117" s="2825"/>
      <c r="AJ117" s="1"/>
      <c r="AK117" s="1"/>
      <c r="AL117" s="1"/>
      <c r="AM117" s="1"/>
      <c r="AN117" s="1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6"/>
      <c r="O118" s="144"/>
      <c r="P118" s="146"/>
      <c r="Q118" s="144"/>
      <c r="R118" s="144"/>
      <c r="S118" s="144"/>
      <c r="T118" s="144"/>
      <c r="U118" s="3157">
        <f t="shared" si="70"/>
        <v>4.9000000000000004</v>
      </c>
      <c r="V118" s="3157">
        <f t="shared" si="70"/>
        <v>5.0400000000000009</v>
      </c>
      <c r="W118" s="3157">
        <f t="shared" si="70"/>
        <v>6.6499999999999986</v>
      </c>
      <c r="X118" s="3157">
        <f t="shared" si="70"/>
        <v>5.0299999999999994</v>
      </c>
      <c r="Y118" s="3157">
        <f t="shared" si="70"/>
        <v>0.63</v>
      </c>
      <c r="Z118" s="3157" t="e">
        <f t="shared" si="70"/>
        <v>#REF!</v>
      </c>
      <c r="AA118" s="3157">
        <f t="shared" si="70"/>
        <v>1.335</v>
      </c>
      <c r="AB118" s="144"/>
      <c r="AC118" s="2867"/>
      <c r="AD118" s="2867"/>
      <c r="AE118" s="2867"/>
      <c r="AF118" s="2867"/>
      <c r="AG118" s="2867"/>
      <c r="AH118" s="2867"/>
      <c r="AI118" s="2825"/>
      <c r="AJ118" s="1"/>
      <c r="AK118" s="1"/>
      <c r="AL118" s="1"/>
      <c r="AM118" s="1"/>
      <c r="AN118" s="1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6"/>
      <c r="O119" s="144"/>
      <c r="P119" s="146"/>
      <c r="Q119" s="144"/>
      <c r="R119" s="144"/>
      <c r="S119" s="144"/>
      <c r="T119" s="144"/>
      <c r="U119" s="3157">
        <f t="shared" si="70"/>
        <v>4.9000000000000004</v>
      </c>
      <c r="V119" s="3157">
        <f t="shared" si="70"/>
        <v>5.0400000000000009</v>
      </c>
      <c r="W119" s="3157">
        <f t="shared" si="70"/>
        <v>6.6499999999999986</v>
      </c>
      <c r="X119" s="3157">
        <f t="shared" si="70"/>
        <v>5.0299999999999994</v>
      </c>
      <c r="Y119" s="3157">
        <f t="shared" si="70"/>
        <v>0.63</v>
      </c>
      <c r="Z119" s="3157" t="e">
        <f t="shared" si="70"/>
        <v>#REF!</v>
      </c>
      <c r="AA119" s="3157">
        <f t="shared" si="70"/>
        <v>1.335</v>
      </c>
      <c r="AB119" s="144"/>
      <c r="AC119" s="2867">
        <v>0</v>
      </c>
      <c r="AD119" s="2867">
        <v>0</v>
      </c>
      <c r="AE119" s="2867">
        <v>0</v>
      </c>
      <c r="AF119" s="2867">
        <v>0</v>
      </c>
      <c r="AG119" s="2867">
        <v>0</v>
      </c>
      <c r="AH119" s="2867">
        <v>0</v>
      </c>
      <c r="AI119" s="2825"/>
      <c r="AJ119" s="1"/>
      <c r="AK119" s="1"/>
      <c r="AL119" s="1"/>
      <c r="AM119" s="1"/>
      <c r="AN119" s="1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6"/>
      <c r="O120" s="144"/>
      <c r="P120" s="146"/>
      <c r="Q120" s="144"/>
      <c r="R120" s="144"/>
      <c r="S120" s="144"/>
      <c r="T120" s="144"/>
      <c r="U120" s="3157">
        <f t="shared" si="70"/>
        <v>4.9000000000000004</v>
      </c>
      <c r="V120" s="3157">
        <f t="shared" si="70"/>
        <v>5.0400000000000009</v>
      </c>
      <c r="W120" s="3157">
        <f t="shared" si="70"/>
        <v>6.6499999999999986</v>
      </c>
      <c r="X120" s="3157">
        <f t="shared" si="70"/>
        <v>5.0299999999999994</v>
      </c>
      <c r="Y120" s="3157">
        <f t="shared" si="70"/>
        <v>0.63</v>
      </c>
      <c r="Z120" s="3157" t="e">
        <f t="shared" si="70"/>
        <v>#REF!</v>
      </c>
      <c r="AA120" s="3157">
        <f t="shared" si="70"/>
        <v>1.335</v>
      </c>
      <c r="AB120" s="144"/>
      <c r="AC120" s="2867">
        <v>0</v>
      </c>
      <c r="AD120" s="2867">
        <v>0</v>
      </c>
      <c r="AE120" s="2867">
        <v>0</v>
      </c>
      <c r="AF120" s="2867">
        <v>0</v>
      </c>
      <c r="AG120" s="2867">
        <v>0</v>
      </c>
      <c r="AH120" s="2867">
        <v>0</v>
      </c>
      <c r="AI120" s="2825"/>
      <c r="AJ120" s="1"/>
      <c r="AK120" s="1"/>
      <c r="AL120" s="1"/>
      <c r="AM120" s="1"/>
      <c r="AN120" s="1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6"/>
      <c r="O121" s="144"/>
      <c r="P121" s="146"/>
      <c r="Q121" s="144"/>
      <c r="R121" s="144"/>
      <c r="S121" s="144"/>
      <c r="T121" s="144"/>
      <c r="U121" s="3157">
        <f t="shared" si="70"/>
        <v>4.9000000000000004</v>
      </c>
      <c r="V121" s="3157">
        <f t="shared" si="70"/>
        <v>5.0400000000000009</v>
      </c>
      <c r="W121" s="3157">
        <f t="shared" si="70"/>
        <v>6.6499999999999986</v>
      </c>
      <c r="X121" s="3157">
        <f t="shared" si="70"/>
        <v>5.0299999999999994</v>
      </c>
      <c r="Y121" s="3157">
        <f t="shared" si="70"/>
        <v>0.63</v>
      </c>
      <c r="Z121" s="3157" t="e">
        <f t="shared" si="70"/>
        <v>#REF!</v>
      </c>
      <c r="AA121" s="3157">
        <f t="shared" si="70"/>
        <v>1.335</v>
      </c>
      <c r="AB121" s="144"/>
      <c r="AC121" s="2867">
        <v>0</v>
      </c>
      <c r="AD121" s="2867">
        <v>0</v>
      </c>
      <c r="AE121" s="2867">
        <v>0</v>
      </c>
      <c r="AF121" s="2867">
        <v>0</v>
      </c>
      <c r="AG121" s="2867">
        <v>0</v>
      </c>
      <c r="AH121" s="2867">
        <v>0</v>
      </c>
      <c r="AI121" s="2825"/>
      <c r="AJ121" s="1"/>
      <c r="AK121" s="1"/>
      <c r="AL121" s="1"/>
      <c r="AM121" s="1"/>
      <c r="AN121" s="1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6"/>
      <c r="O122" s="144"/>
      <c r="P122" s="146"/>
      <c r="Q122" s="144"/>
      <c r="R122" s="144"/>
      <c r="S122" s="144"/>
      <c r="T122" s="144"/>
      <c r="U122" s="3158">
        <f>IF(U121&gt;0,U121,U120)</f>
        <v>4.9000000000000004</v>
      </c>
      <c r="V122" s="3158">
        <f t="shared" si="70"/>
        <v>5.0400000000000009</v>
      </c>
      <c r="W122" s="3158">
        <f t="shared" si="70"/>
        <v>6.6499999999999986</v>
      </c>
      <c r="X122" s="3158">
        <f t="shared" si="70"/>
        <v>5.0299999999999994</v>
      </c>
      <c r="Y122" s="3158">
        <f t="shared" si="70"/>
        <v>0.63</v>
      </c>
      <c r="Z122" s="3158" t="e">
        <f t="shared" si="70"/>
        <v>#REF!</v>
      </c>
      <c r="AA122" s="3158">
        <f t="shared" si="70"/>
        <v>1.335</v>
      </c>
      <c r="AB122" s="144"/>
      <c r="AC122" s="2867"/>
      <c r="AD122" s="2867"/>
      <c r="AE122" s="2867"/>
      <c r="AF122" s="2867"/>
      <c r="AG122" s="2867"/>
      <c r="AH122" s="2867"/>
      <c r="AI122" s="2825"/>
      <c r="AJ122" s="1"/>
      <c r="AK122" s="1"/>
      <c r="AL122" s="1"/>
      <c r="AM122" s="1"/>
      <c r="AN122" s="1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6"/>
      <c r="O123" s="144"/>
      <c r="P123" s="146"/>
      <c r="Q123" s="144"/>
      <c r="R123" s="144"/>
      <c r="S123" s="144"/>
      <c r="T123" s="144"/>
      <c r="U123" s="2838"/>
      <c r="V123" s="2838"/>
      <c r="W123" s="2838"/>
      <c r="X123" s="2838"/>
      <c r="Y123" s="2838"/>
      <c r="Z123" s="2838"/>
      <c r="AA123" s="2838"/>
      <c r="AB123" s="144"/>
      <c r="AC123" s="2867"/>
      <c r="AD123" s="2867"/>
      <c r="AE123" s="2867"/>
      <c r="AF123" s="2867"/>
      <c r="AG123" s="2867"/>
      <c r="AH123" s="2867"/>
      <c r="AI123" s="2825"/>
      <c r="AJ123" s="1"/>
      <c r="AK123" s="1"/>
      <c r="AL123" s="1"/>
      <c r="AM123" s="1"/>
      <c r="AN123" s="1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6"/>
      <c r="O124" s="144"/>
      <c r="P124" s="146"/>
      <c r="Q124" s="144"/>
      <c r="R124" s="144"/>
      <c r="S124" s="144"/>
      <c r="T124" s="144"/>
      <c r="U124" s="2838"/>
      <c r="V124" s="2838"/>
      <c r="W124" s="2838"/>
      <c r="X124" s="2838"/>
      <c r="Y124" s="2838"/>
      <c r="Z124" s="2838"/>
      <c r="AA124" s="2838"/>
      <c r="AB124" s="144"/>
      <c r="AC124" s="2867">
        <v>0</v>
      </c>
      <c r="AD124" s="2867">
        <v>0</v>
      </c>
      <c r="AE124" s="2867">
        <v>0</v>
      </c>
      <c r="AF124" s="2867">
        <v>0</v>
      </c>
      <c r="AG124" s="2867">
        <v>0</v>
      </c>
      <c r="AH124" s="2867">
        <v>0</v>
      </c>
      <c r="AI124" s="2825"/>
      <c r="AJ124" s="1"/>
      <c r="AK124" s="1"/>
      <c r="AL124" s="1"/>
      <c r="AM124" s="1"/>
      <c r="AN124" s="1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6"/>
      <c r="O125" s="144"/>
      <c r="P125" s="146"/>
      <c r="Q125" s="144"/>
      <c r="R125" s="144"/>
      <c r="S125" s="144"/>
      <c r="T125" s="144"/>
      <c r="U125" s="2838"/>
      <c r="V125" s="2838"/>
      <c r="W125" s="2838"/>
      <c r="X125" s="2838"/>
      <c r="Y125" s="2838"/>
      <c r="Z125" s="2838"/>
      <c r="AA125" s="2838"/>
      <c r="AB125" s="144"/>
      <c r="AC125" s="2867"/>
      <c r="AD125" s="2867"/>
      <c r="AE125" s="2867"/>
      <c r="AF125" s="2867"/>
      <c r="AG125" s="2867"/>
      <c r="AH125" s="2867"/>
      <c r="AJ125" s="1"/>
      <c r="AK125" s="1"/>
      <c r="AL125" s="1"/>
      <c r="AM125" s="1"/>
      <c r="AN125" s="1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6"/>
      <c r="O126" s="144"/>
      <c r="P126" s="146"/>
      <c r="Q126" s="144"/>
      <c r="R126" s="144"/>
      <c r="S126" s="144"/>
      <c r="T126" s="144"/>
      <c r="U126" s="2838"/>
      <c r="V126" s="2838"/>
      <c r="W126" s="2838"/>
      <c r="X126" s="2838"/>
      <c r="Y126" s="2838"/>
      <c r="Z126" s="2838"/>
      <c r="AA126" s="2838"/>
      <c r="AB126" s="144"/>
      <c r="AJ126" s="1"/>
      <c r="AK126" s="1"/>
      <c r="AL126" s="1"/>
      <c r="AM126" s="1"/>
      <c r="AN126" s="1"/>
    </row>
    <row r="127" spans="1:40" ht="15" customHeight="1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6"/>
      <c r="O127" s="144"/>
      <c r="P127" s="146"/>
      <c r="Q127" s="144"/>
      <c r="R127" s="144"/>
      <c r="S127" s="144"/>
      <c r="T127" s="144"/>
      <c r="U127" s="2838"/>
      <c r="V127" s="2838"/>
      <c r="W127" s="2838"/>
      <c r="X127" s="2838"/>
      <c r="Y127" s="2838"/>
      <c r="Z127" s="2838"/>
      <c r="AA127" s="2838"/>
      <c r="AB127" s="144"/>
      <c r="AJ127" s="1"/>
      <c r="AK127" s="1"/>
      <c r="AL127" s="1"/>
      <c r="AM127" s="1"/>
      <c r="AN127" s="1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6"/>
      <c r="O128" s="144"/>
      <c r="P128" s="146"/>
      <c r="Q128" s="144"/>
      <c r="R128" s="144"/>
      <c r="S128" s="144"/>
      <c r="T128" s="144"/>
      <c r="U128" s="2838"/>
      <c r="V128" s="2838"/>
      <c r="W128" s="2838"/>
      <c r="X128" s="2838"/>
      <c r="Y128" s="2838"/>
      <c r="Z128" s="2838"/>
      <c r="AA128" s="2838"/>
      <c r="AB128" s="144"/>
      <c r="AJ128" s="1"/>
      <c r="AK128" s="1"/>
      <c r="AL128" s="1"/>
      <c r="AM128" s="1"/>
      <c r="AN128" s="1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6"/>
      <c r="O129" s="144"/>
      <c r="P129" s="146"/>
      <c r="Q129" s="144"/>
      <c r="R129" s="144"/>
      <c r="S129" s="144"/>
      <c r="T129" s="144"/>
      <c r="U129" s="2838"/>
      <c r="V129" s="2838"/>
      <c r="W129" s="2838"/>
      <c r="X129" s="2838"/>
      <c r="Y129" s="2838"/>
      <c r="Z129" s="2838"/>
      <c r="AA129" s="2838"/>
      <c r="AB129" s="144"/>
      <c r="AJ129" s="1"/>
      <c r="AK129" s="1"/>
      <c r="AL129" s="1"/>
      <c r="AM129" s="1"/>
      <c r="AN129" s="1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6"/>
      <c r="O130" s="144"/>
      <c r="P130" s="146"/>
      <c r="Q130" s="144"/>
      <c r="R130" s="144"/>
      <c r="S130" s="144"/>
      <c r="T130" s="144"/>
      <c r="U130" s="2838"/>
      <c r="V130" s="2838"/>
      <c r="W130" s="2838"/>
      <c r="X130" s="2838"/>
      <c r="Y130" s="2838"/>
      <c r="Z130" s="2838"/>
      <c r="AA130" s="2838"/>
      <c r="AB130" s="144"/>
      <c r="AJ130" s="1"/>
      <c r="AK130" s="1"/>
      <c r="AL130" s="1"/>
      <c r="AM130" s="1"/>
      <c r="AN130" s="1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6"/>
      <c r="O131" s="144"/>
      <c r="P131" s="146"/>
      <c r="Q131" s="144"/>
      <c r="R131" s="144"/>
      <c r="S131" s="144"/>
      <c r="T131" s="144"/>
      <c r="U131" s="2838"/>
      <c r="V131" s="2838"/>
      <c r="W131" s="2838"/>
      <c r="X131" s="2838"/>
      <c r="Y131" s="2838"/>
      <c r="Z131" s="2838"/>
      <c r="AA131" s="2838"/>
      <c r="AB131" s="144"/>
      <c r="AJ131" s="1"/>
      <c r="AK131" s="1"/>
      <c r="AL131" s="1"/>
      <c r="AM131" s="1"/>
      <c r="AN131" s="1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6"/>
      <c r="O132" s="144"/>
      <c r="P132" s="146"/>
      <c r="Q132" s="144"/>
      <c r="R132" s="144"/>
      <c r="S132" s="144"/>
      <c r="T132" s="144"/>
      <c r="U132" s="2838"/>
      <c r="V132" s="2838"/>
      <c r="W132" s="2838"/>
      <c r="X132" s="2838"/>
      <c r="Y132" s="2838"/>
      <c r="Z132" s="2838"/>
      <c r="AA132" s="2838"/>
      <c r="AB132" s="144"/>
      <c r="AJ132" s="1"/>
      <c r="AK132" s="1"/>
      <c r="AL132" s="1"/>
      <c r="AM132" s="1"/>
      <c r="AN132" s="1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6"/>
      <c r="O133" s="144"/>
      <c r="P133" s="146"/>
      <c r="Q133" s="144"/>
      <c r="R133" s="144"/>
      <c r="S133" s="144"/>
      <c r="T133" s="144"/>
      <c r="U133" s="2838"/>
      <c r="V133" s="2838"/>
      <c r="W133" s="2838"/>
      <c r="X133" s="2838"/>
      <c r="Y133" s="2838"/>
      <c r="Z133" s="2838"/>
      <c r="AA133" s="2838"/>
      <c r="AB133" s="144"/>
      <c r="AJ133" s="1"/>
      <c r="AK133" s="1"/>
      <c r="AL133" s="1"/>
      <c r="AM133" s="1"/>
      <c r="AN133" s="1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6"/>
      <c r="O134" s="144"/>
      <c r="P134" s="146"/>
      <c r="Q134" s="144"/>
      <c r="R134" s="144"/>
      <c r="S134" s="144"/>
      <c r="T134" s="144"/>
      <c r="U134" s="2838"/>
      <c r="V134" s="2838"/>
      <c r="W134" s="2838"/>
      <c r="X134" s="2838"/>
      <c r="Y134" s="2838"/>
      <c r="Z134" s="2838"/>
      <c r="AA134" s="2838"/>
      <c r="AB134" s="144"/>
      <c r="AJ134" s="1"/>
      <c r="AK134" s="1"/>
      <c r="AL134" s="1"/>
      <c r="AM134" s="1"/>
      <c r="AN134" s="1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6"/>
      <c r="O135" s="144"/>
      <c r="P135" s="146"/>
      <c r="Q135" s="144"/>
      <c r="R135" s="144"/>
      <c r="S135" s="144"/>
      <c r="T135" s="144"/>
      <c r="U135" s="2838"/>
      <c r="V135" s="2838"/>
      <c r="W135" s="2838"/>
      <c r="X135" s="2838"/>
      <c r="Y135" s="2838"/>
      <c r="Z135" s="2838"/>
      <c r="AA135" s="2838"/>
      <c r="AB135" s="144"/>
      <c r="AN135" s="1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6"/>
      <c r="O136" s="144"/>
      <c r="P136" s="146"/>
      <c r="Q136" s="144"/>
      <c r="R136" s="144"/>
      <c r="S136" s="144"/>
      <c r="T136" s="144"/>
      <c r="U136" s="2838"/>
      <c r="V136" s="2838"/>
      <c r="W136" s="2838"/>
      <c r="X136" s="2838"/>
      <c r="Y136" s="2838"/>
      <c r="Z136" s="2838"/>
      <c r="AA136" s="2838"/>
      <c r="AB136" s="144"/>
      <c r="AN136" s="1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6"/>
      <c r="O137" s="144"/>
      <c r="P137" s="146"/>
      <c r="Q137" s="144"/>
      <c r="R137" s="144"/>
      <c r="S137" s="144"/>
      <c r="T137" s="144"/>
      <c r="U137" s="2838"/>
      <c r="V137" s="2838"/>
      <c r="W137" s="2838"/>
      <c r="X137" s="2838"/>
      <c r="Y137" s="2838"/>
      <c r="Z137" s="2838"/>
      <c r="AA137" s="2838"/>
      <c r="AB137" s="144"/>
      <c r="AC137" s="2825"/>
      <c r="AD137" s="2825"/>
      <c r="AE137" s="2825"/>
      <c r="AF137" s="2825"/>
      <c r="AG137" s="2825"/>
      <c r="AH137" s="2825"/>
      <c r="AI137" s="2825"/>
      <c r="AJ137" s="2825"/>
      <c r="AK137" s="2825"/>
      <c r="AL137" s="2825"/>
      <c r="AM137" s="2825"/>
      <c r="AN137" s="1"/>
    </row>
    <row r="138" spans="1:40" s="3021" customFormat="1" ht="11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6"/>
      <c r="O138" s="144"/>
      <c r="P138" s="146"/>
      <c r="Q138" s="144"/>
      <c r="R138" s="144"/>
      <c r="S138" s="144"/>
      <c r="T138" s="144"/>
      <c r="U138" s="2838"/>
      <c r="V138" s="2838"/>
      <c r="W138" s="2838"/>
      <c r="X138" s="2838"/>
      <c r="Y138" s="2838"/>
      <c r="Z138" s="2838"/>
      <c r="AA138" s="2838"/>
      <c r="AB138" s="144"/>
      <c r="AC138" s="2826"/>
      <c r="AD138" s="2826"/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1:40" s="3021" customFormat="1" ht="11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6"/>
      <c r="O139" s="144"/>
      <c r="P139" s="146"/>
      <c r="Q139" s="144"/>
      <c r="R139" s="144"/>
      <c r="S139" s="144"/>
      <c r="T139" s="144"/>
      <c r="U139" s="2838"/>
      <c r="V139" s="2838"/>
      <c r="W139" s="2838"/>
      <c r="X139" s="2838"/>
      <c r="Y139" s="2838"/>
      <c r="Z139" s="2838"/>
      <c r="AA139" s="2838"/>
      <c r="AB139" s="144"/>
      <c r="AC139" s="282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1:40" s="3021" customFormat="1" ht="11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6"/>
      <c r="O140" s="144"/>
      <c r="P140" s="146"/>
      <c r="Q140" s="144"/>
      <c r="R140" s="144"/>
      <c r="S140" s="144"/>
      <c r="T140" s="144"/>
      <c r="U140" s="2838"/>
      <c r="V140" s="2838"/>
      <c r="W140" s="2838"/>
      <c r="X140" s="2838"/>
      <c r="Y140" s="2838"/>
      <c r="Z140" s="2838"/>
      <c r="AA140" s="2838"/>
      <c r="AB140" s="144"/>
      <c r="AC140" s="2826"/>
      <c r="AD140" s="2826"/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1:40" s="3021" customFormat="1" ht="11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4"/>
      <c r="M141" s="144"/>
      <c r="N141" s="146"/>
      <c r="O141" s="144"/>
      <c r="P141" s="146"/>
      <c r="Q141" s="144"/>
      <c r="R141" s="144"/>
      <c r="S141" s="144"/>
      <c r="T141" s="144"/>
      <c r="U141" s="2838"/>
      <c r="V141" s="2838"/>
      <c r="W141" s="2838"/>
      <c r="X141" s="2838"/>
      <c r="Y141" s="2838"/>
      <c r="Z141" s="2838"/>
      <c r="AA141" s="2838"/>
      <c r="AB141" s="144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1:40" s="3021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2838"/>
      <c r="V142" s="2838"/>
      <c r="W142" s="2838"/>
      <c r="X142" s="2838"/>
      <c r="Y142" s="2838"/>
      <c r="Z142" s="2838"/>
      <c r="AA142" s="2838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1:40" s="3021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2838"/>
      <c r="V143" s="2838"/>
      <c r="W143" s="2838"/>
      <c r="X143" s="2838"/>
      <c r="Y143" s="2838"/>
      <c r="Z143" s="2838"/>
      <c r="AA143" s="2838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1:40" s="3021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2838"/>
      <c r="V144" s="2838"/>
      <c r="W144" s="2838"/>
      <c r="X144" s="2838"/>
      <c r="Y144" s="2838"/>
      <c r="Z144" s="2838"/>
      <c r="AA144" s="2838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39" s="3021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2838"/>
      <c r="V145" s="2838"/>
      <c r="W145" s="2838"/>
      <c r="X145" s="2838"/>
      <c r="Y145" s="2838"/>
      <c r="Z145" s="2838"/>
      <c r="AA145" s="2838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39" s="3021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39" s="3021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39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39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39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39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39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39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39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39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39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39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39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39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39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B167" s="3021">
        <f>SUBTOTAL(9,AB125:AB166)</f>
        <v>0</v>
      </c>
      <c r="AC167" s="2826">
        <f>SUBTOTAL(9,AC125:AC166)</f>
        <v>0</v>
      </c>
      <c r="AD167" s="2826">
        <f>SUBTOTAL(9,AD125:AD166)</f>
        <v>0</v>
      </c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B168" s="3021">
        <v>0</v>
      </c>
      <c r="AC168" s="2826">
        <v>0</v>
      </c>
      <c r="AD168" s="2826">
        <v>0</v>
      </c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B169" s="3021">
        <v>0</v>
      </c>
      <c r="AC169" s="2826">
        <v>0</v>
      </c>
      <c r="AD169" s="2826">
        <v>0</v>
      </c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B170" s="3021">
        <v>0</v>
      </c>
      <c r="AC170" s="2826">
        <v>0</v>
      </c>
      <c r="AD170" s="2826">
        <v>0</v>
      </c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B171" s="3021">
        <v>0</v>
      </c>
      <c r="AC171" s="2826">
        <v>0</v>
      </c>
      <c r="AD171" s="2826">
        <v>0</v>
      </c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B172" s="3021">
        <v>0</v>
      </c>
      <c r="AC172" s="2826">
        <v>0</v>
      </c>
      <c r="AD172" s="2826">
        <v>0</v>
      </c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3021">
        <v>0</v>
      </c>
      <c r="AC173" s="2826">
        <v>0</v>
      </c>
      <c r="AD173" s="2826">
        <v>0</v>
      </c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3021">
        <v>0</v>
      </c>
      <c r="AC174" s="2826">
        <v>0</v>
      </c>
      <c r="AD174" s="2826">
        <v>0</v>
      </c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3021">
        <v>0</v>
      </c>
      <c r="AC175" s="2826">
        <v>0</v>
      </c>
      <c r="AD175" s="2826">
        <v>0</v>
      </c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B176" s="3021">
        <v>0</v>
      </c>
      <c r="AC176" s="2826">
        <v>0</v>
      </c>
      <c r="AD176" s="2826">
        <v>0</v>
      </c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B177" s="3021">
        <v>0</v>
      </c>
      <c r="AC177" s="2826">
        <v>0</v>
      </c>
      <c r="AD177" s="2826">
        <v>0</v>
      </c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>
        <f>SUBTOTAL(9,U136:U177)</f>
        <v>0</v>
      </c>
      <c r="V178" s="146">
        <f t="shared" ref="V178:AA178" si="71">SUBTOTAL(9,V136:V177)</f>
        <v>0</v>
      </c>
      <c r="W178" s="146">
        <f t="shared" si="71"/>
        <v>0</v>
      </c>
      <c r="X178" s="146">
        <f t="shared" si="71"/>
        <v>0</v>
      </c>
      <c r="Y178" s="146">
        <f t="shared" si="71"/>
        <v>0</v>
      </c>
      <c r="Z178" s="146">
        <f t="shared" si="71"/>
        <v>0</v>
      </c>
      <c r="AA178" s="146">
        <f t="shared" si="71"/>
        <v>0</v>
      </c>
      <c r="AB178" s="3021">
        <v>0</v>
      </c>
      <c r="AC178" s="2826">
        <v>0</v>
      </c>
      <c r="AD178" s="2826">
        <v>0</v>
      </c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41" s="2825" customFormat="1" ht="14" thickBot="1">
      <c r="B179" s="139"/>
      <c r="C179" s="138"/>
      <c r="D179" s="908"/>
      <c r="E179" s="138"/>
      <c r="F179" s="140"/>
      <c r="G179" s="141"/>
      <c r="H179" s="141"/>
      <c r="I179" s="141"/>
      <c r="J179" s="141"/>
      <c r="K179" s="141"/>
      <c r="L179" s="141"/>
      <c r="M179" s="458"/>
      <c r="N179" s="140"/>
      <c r="O179" s="141"/>
      <c r="P179" s="141"/>
      <c r="Q179" s="148"/>
      <c r="R179" s="148"/>
      <c r="S179" s="149"/>
      <c r="T179" s="149"/>
      <c r="U179" s="150"/>
      <c r="V179" s="150"/>
      <c r="W179" s="150"/>
      <c r="X179" s="150"/>
      <c r="Y179" s="150"/>
      <c r="Z179" s="150"/>
      <c r="AA179" s="150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41" s="2825" customFormat="1" ht="15" thickTop="1" thickBot="1">
      <c r="B180" s="139"/>
      <c r="C180" s="138"/>
      <c r="D180" s="908"/>
      <c r="E180" s="138"/>
      <c r="F180" s="140"/>
      <c r="G180" s="141"/>
      <c r="H180" s="141"/>
      <c r="I180" s="141"/>
      <c r="J180" s="141"/>
      <c r="K180" s="141"/>
      <c r="L180" s="141"/>
      <c r="M180" s="458"/>
      <c r="N180" s="140"/>
      <c r="O180" s="141"/>
      <c r="P180" s="141"/>
      <c r="Q180" s="148"/>
      <c r="R180" s="148"/>
      <c r="S180" s="148"/>
      <c r="T180" s="149"/>
      <c r="U180" s="151"/>
      <c r="V180" s="152"/>
      <c r="W180" s="153"/>
      <c r="X180" s="153"/>
      <c r="Y180" s="153"/>
      <c r="Z180" s="153"/>
      <c r="AA180" s="154"/>
      <c r="AB180" s="3022"/>
      <c r="AC180" s="3022"/>
      <c r="AE180" s="2826"/>
      <c r="AF180" s="2826"/>
      <c r="AG180" s="2826"/>
      <c r="AH180" s="2826"/>
      <c r="AI180" s="2826"/>
      <c r="AJ180" s="2826"/>
      <c r="AK180" s="2826"/>
      <c r="AL180" s="2826"/>
      <c r="AM180" s="2826"/>
      <c r="AN180" s="2826"/>
      <c r="AO180" s="2826"/>
    </row>
    <row r="181" spans="2:41" s="3021" customFormat="1" ht="12" thickTop="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41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3021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41" s="3021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41" s="3021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41" s="3021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41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41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3021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3021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3021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3021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3021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3021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3021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3021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3021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41" s="3021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41" s="3021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41" s="3021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41" s="3021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41" s="3021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41" s="3021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41" s="3021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41" s="3021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41" s="3021" customFormat="1" ht="11">
      <c r="B217" s="3159"/>
      <c r="D217" s="3160"/>
      <c r="F217" s="3023"/>
      <c r="G217" s="3024"/>
      <c r="H217" s="3024"/>
      <c r="I217" s="3024"/>
      <c r="J217" s="3024"/>
      <c r="K217" s="3024"/>
      <c r="L217" s="3024"/>
      <c r="M217" s="3025"/>
      <c r="N217" s="3023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41" s="3021" customFormat="1" ht="11">
      <c r="B218" s="3159"/>
      <c r="D218" s="3160"/>
      <c r="F218" s="3023"/>
      <c r="G218" s="3024"/>
      <c r="H218" s="3024"/>
      <c r="I218" s="3024"/>
      <c r="J218" s="3024"/>
      <c r="K218" s="3024"/>
      <c r="L218" s="3024"/>
      <c r="M218" s="3025"/>
      <c r="N218" s="3023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41" s="3021" customFormat="1" ht="11">
      <c r="B219" s="3159"/>
      <c r="D219" s="3160"/>
      <c r="F219" s="3023"/>
      <c r="G219" s="3024"/>
      <c r="H219" s="3024"/>
      <c r="I219" s="3024"/>
      <c r="J219" s="3024"/>
      <c r="K219" s="3024"/>
      <c r="L219" s="3024"/>
      <c r="M219" s="3025"/>
      <c r="N219" s="3023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41" s="3021" customFormat="1" ht="11">
      <c r="B220" s="3159"/>
      <c r="D220" s="3160"/>
      <c r="F220" s="3023"/>
      <c r="G220" s="3024"/>
      <c r="H220" s="3024"/>
      <c r="I220" s="3024"/>
      <c r="J220" s="3024"/>
      <c r="K220" s="3024"/>
      <c r="L220" s="3024"/>
      <c r="M220" s="3025"/>
      <c r="N220" s="3023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41" s="3021" customFormat="1" ht="11">
      <c r="B221" s="3159"/>
      <c r="D221" s="3160"/>
      <c r="F221" s="3023"/>
      <c r="G221" s="3024"/>
      <c r="H221" s="3024"/>
      <c r="I221" s="3024"/>
      <c r="J221" s="3024"/>
      <c r="K221" s="3024"/>
      <c r="L221" s="3024"/>
      <c r="M221" s="3025"/>
      <c r="N221" s="3023"/>
      <c r="O221" s="146"/>
      <c r="P221" s="146"/>
      <c r="Q221" s="147"/>
      <c r="R221" s="147"/>
      <c r="S221" s="142"/>
      <c r="T221" s="142"/>
      <c r="U221" s="146">
        <f>SUBTOTAL(9,U179:U220)</f>
        <v>0</v>
      </c>
      <c r="V221" s="146">
        <f t="shared" ref="V221:AA221" si="72">SUBTOTAL(9,V179:V220)</f>
        <v>0</v>
      </c>
      <c r="W221" s="146">
        <f t="shared" si="72"/>
        <v>0</v>
      </c>
      <c r="X221" s="146">
        <f t="shared" si="72"/>
        <v>0</v>
      </c>
      <c r="Y221" s="146">
        <f t="shared" si="72"/>
        <v>0</v>
      </c>
      <c r="Z221" s="146">
        <f t="shared" si="72"/>
        <v>0</v>
      </c>
      <c r="AA221" s="146">
        <f t="shared" si="72"/>
        <v>0</v>
      </c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41" s="2825" customFormat="1" ht="14" thickBot="1">
      <c r="B222" s="2935"/>
      <c r="D222" s="3161"/>
      <c r="F222" s="3026"/>
      <c r="G222" s="3027"/>
      <c r="H222" s="3027"/>
      <c r="I222" s="3027"/>
      <c r="J222" s="3027"/>
      <c r="K222" s="3027"/>
      <c r="L222" s="3027"/>
      <c r="M222" s="3025"/>
      <c r="N222" s="3026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41" s="2825" customFormat="1" ht="15" thickTop="1" thickBot="1">
      <c r="B223" s="2935"/>
      <c r="D223" s="3161"/>
      <c r="F223" s="3026"/>
      <c r="G223" s="3027"/>
      <c r="H223" s="3027"/>
      <c r="I223" s="3027"/>
      <c r="J223" s="3027"/>
      <c r="K223" s="3027"/>
      <c r="L223" s="3027"/>
      <c r="M223" s="3025"/>
      <c r="N223" s="3026"/>
      <c r="O223" s="141"/>
      <c r="P223" s="141"/>
      <c r="Q223" s="148"/>
      <c r="R223" s="148"/>
      <c r="S223" s="148"/>
      <c r="T223" s="148"/>
      <c r="U223" s="151">
        <f>SUBTOTAL(9,U181:U222)</f>
        <v>0</v>
      </c>
      <c r="V223" s="152">
        <f t="shared" ref="V223:AA223" si="73">SUBTOTAL(9,V181:V222)</f>
        <v>0</v>
      </c>
      <c r="W223" s="153">
        <f t="shared" si="73"/>
        <v>0</v>
      </c>
      <c r="X223" s="153">
        <f t="shared" si="73"/>
        <v>0</v>
      </c>
      <c r="Y223" s="153">
        <f t="shared" si="73"/>
        <v>0</v>
      </c>
      <c r="Z223" s="153">
        <f t="shared" si="73"/>
        <v>0</v>
      </c>
      <c r="AA223" s="154">
        <f t="shared" si="73"/>
        <v>0</v>
      </c>
      <c r="AB223" s="3022"/>
      <c r="AC223" s="3022"/>
      <c r="AE223" s="2826"/>
      <c r="AF223" s="2826"/>
      <c r="AG223" s="2826"/>
      <c r="AH223" s="2826"/>
      <c r="AI223" s="2826"/>
      <c r="AJ223" s="2826"/>
      <c r="AK223" s="2826"/>
      <c r="AL223" s="2826"/>
      <c r="AM223" s="2826"/>
      <c r="AN223" s="2826"/>
      <c r="AO223" s="2826"/>
    </row>
    <row r="224" spans="2:41" s="2825" customFormat="1" ht="14" thickTop="1">
      <c r="B224" s="2935"/>
      <c r="D224" s="3161"/>
      <c r="F224" s="3026"/>
      <c r="G224" s="3027"/>
      <c r="H224" s="3027"/>
      <c r="I224" s="3027"/>
      <c r="J224" s="3027"/>
      <c r="K224" s="3027"/>
      <c r="L224" s="3027"/>
      <c r="M224" s="3025"/>
      <c r="N224" s="3026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2:39" s="2825" customFormat="1">
      <c r="B225" s="2935"/>
      <c r="D225" s="3161"/>
      <c r="F225" s="3026"/>
      <c r="G225" s="3027"/>
      <c r="H225" s="3027"/>
      <c r="I225" s="3027"/>
      <c r="J225" s="3027"/>
      <c r="K225" s="3027"/>
      <c r="L225" s="3027"/>
      <c r="M225" s="3025"/>
      <c r="N225" s="3026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39" s="2825" customFormat="1">
      <c r="B226" s="2935"/>
      <c r="D226" s="3161"/>
      <c r="F226" s="3026"/>
      <c r="G226" s="3027"/>
      <c r="H226" s="3027"/>
      <c r="I226" s="3027"/>
      <c r="J226" s="3027"/>
      <c r="K226" s="3027"/>
      <c r="L226" s="3027"/>
      <c r="M226" s="3025"/>
      <c r="N226" s="3026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2:39" s="2825" customFormat="1">
      <c r="B227" s="2935"/>
      <c r="D227" s="3161"/>
      <c r="F227" s="3026"/>
      <c r="G227" s="3027"/>
      <c r="H227" s="3027"/>
      <c r="I227" s="3027"/>
      <c r="J227" s="3027"/>
      <c r="K227" s="3027"/>
      <c r="L227" s="3027"/>
      <c r="M227" s="3025"/>
      <c r="N227" s="3026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2:39" s="2825" customFormat="1">
      <c r="B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39" s="2825" customFormat="1">
      <c r="B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026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2:39" s="2825" customFormat="1">
      <c r="B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39" s="2825" customFormat="1">
      <c r="B231" s="2935"/>
      <c r="D231" s="3161"/>
      <c r="F231" s="3026"/>
      <c r="G231" s="3027"/>
      <c r="H231" s="3027"/>
      <c r="I231" s="3027"/>
      <c r="J231" s="3027"/>
      <c r="K231" s="3027"/>
      <c r="L231" s="3027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39" s="2825" customFormat="1">
      <c r="B232" s="2935"/>
      <c r="D232" s="3161"/>
      <c r="F232" s="3026"/>
      <c r="G232" s="3027"/>
      <c r="H232" s="3027"/>
      <c r="I232" s="3027"/>
      <c r="J232" s="3027"/>
      <c r="K232" s="3027"/>
      <c r="L232" s="3027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39" s="2825" customFormat="1">
      <c r="B233" s="2935"/>
      <c r="D233" s="3161"/>
      <c r="F233" s="3026"/>
      <c r="G233" s="3027"/>
      <c r="H233" s="3027"/>
      <c r="I233" s="3027"/>
      <c r="J233" s="3027"/>
      <c r="K233" s="3027"/>
      <c r="L233" s="3027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39" s="2825" customFormat="1">
      <c r="B234" s="2935"/>
      <c r="D234" s="3161"/>
      <c r="F234" s="3026"/>
      <c r="G234" s="3027"/>
      <c r="H234" s="3027"/>
      <c r="I234" s="3027"/>
      <c r="J234" s="3027"/>
      <c r="K234" s="3027"/>
      <c r="L234" s="3027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39" s="2825" customFormat="1">
      <c r="B235" s="2935"/>
      <c r="D235" s="3161"/>
      <c r="F235" s="3026"/>
      <c r="G235" s="3027"/>
      <c r="H235" s="3027"/>
      <c r="I235" s="3027"/>
      <c r="J235" s="3027"/>
      <c r="K235" s="3027"/>
      <c r="L235" s="3027"/>
      <c r="M235" s="3025"/>
      <c r="N235" s="3026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39" s="2825" customFormat="1">
      <c r="B236" s="2935"/>
      <c r="D236" s="3161"/>
      <c r="F236" s="3026"/>
      <c r="G236" s="3027"/>
      <c r="H236" s="3027"/>
      <c r="I236" s="3027"/>
      <c r="J236" s="3027"/>
      <c r="K236" s="3027"/>
      <c r="L236" s="3027"/>
      <c r="M236" s="3025"/>
      <c r="N236" s="3026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39" s="2825" customFormat="1">
      <c r="B237" s="2935"/>
      <c r="D237" s="3161"/>
      <c r="F237" s="3026"/>
      <c r="G237" s="3027"/>
      <c r="H237" s="3027"/>
      <c r="I237" s="3027"/>
      <c r="J237" s="3027"/>
      <c r="K237" s="3027"/>
      <c r="L237" s="3027"/>
      <c r="M237" s="3025"/>
      <c r="N237" s="3026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39" s="2825" customFormat="1">
      <c r="B238" s="2935"/>
      <c r="D238" s="3161"/>
      <c r="F238" s="3026"/>
      <c r="G238" s="3027"/>
      <c r="H238" s="3027"/>
      <c r="I238" s="3027"/>
      <c r="J238" s="3027"/>
      <c r="K238" s="3027"/>
      <c r="L238" s="3027"/>
      <c r="M238" s="3025"/>
      <c r="N238" s="3026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39" s="2825" customFormat="1">
      <c r="B239" s="2935"/>
      <c r="D239" s="3161"/>
      <c r="F239" s="3026"/>
      <c r="G239" s="3027"/>
      <c r="H239" s="3027"/>
      <c r="I239" s="3027"/>
      <c r="J239" s="3027"/>
      <c r="K239" s="3027"/>
      <c r="L239" s="3027"/>
      <c r="M239" s="3025"/>
      <c r="N239" s="3026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39" s="2825" customFormat="1">
      <c r="B240" s="2935"/>
      <c r="D240" s="3161"/>
      <c r="F240" s="3026"/>
      <c r="G240" s="3027"/>
      <c r="H240" s="3027"/>
      <c r="I240" s="3027"/>
      <c r="J240" s="3027"/>
      <c r="K240" s="3027"/>
      <c r="L240" s="3027"/>
      <c r="M240" s="3025"/>
      <c r="N240" s="3026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1:40" s="2825" customFormat="1">
      <c r="B241" s="2935"/>
      <c r="D241" s="3161"/>
      <c r="F241" s="3026"/>
      <c r="G241" s="3027"/>
      <c r="H241" s="3027"/>
      <c r="I241" s="3027"/>
      <c r="J241" s="3027"/>
      <c r="K241" s="3027"/>
      <c r="L241" s="3027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1:40" s="2825" customFormat="1">
      <c r="B242" s="2935"/>
      <c r="D242" s="3161"/>
      <c r="F242" s="3026"/>
      <c r="G242" s="3027"/>
      <c r="H242" s="3027"/>
      <c r="I242" s="3027"/>
      <c r="J242" s="3027"/>
      <c r="K242" s="3027"/>
      <c r="L242" s="3027"/>
      <c r="M242" s="3025"/>
      <c r="N242" s="3026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826"/>
      <c r="AD242" s="2826"/>
      <c r="AE242" s="2826"/>
      <c r="AF242" s="2826"/>
      <c r="AG242" s="2826"/>
      <c r="AH242" s="2826"/>
      <c r="AI242" s="2826"/>
      <c r="AJ242" s="2826"/>
      <c r="AK242" s="2826"/>
      <c r="AL242" s="2826"/>
      <c r="AM242" s="2826"/>
    </row>
    <row r="243" spans="1:40" s="2825" customFormat="1">
      <c r="B243" s="2935"/>
      <c r="D243" s="3161"/>
      <c r="F243" s="3026"/>
      <c r="G243" s="3027"/>
      <c r="H243" s="3027"/>
      <c r="I243" s="3027"/>
      <c r="J243" s="3027"/>
      <c r="K243" s="3027"/>
      <c r="L243" s="3027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1:40" s="2825" customFormat="1">
      <c r="B244" s="2935"/>
      <c r="D244" s="3161"/>
      <c r="F244" s="3026"/>
      <c r="G244" s="3027"/>
      <c r="H244" s="3027"/>
      <c r="I244" s="3027"/>
      <c r="J244" s="3027"/>
      <c r="K244" s="3027"/>
      <c r="L244" s="3027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1:40" s="2825" customFormat="1">
      <c r="B245" s="2935"/>
      <c r="D245" s="3161"/>
      <c r="F245" s="3026"/>
      <c r="G245" s="3027"/>
      <c r="H245" s="3027"/>
      <c r="I245" s="3027"/>
      <c r="J245" s="3027"/>
      <c r="K245" s="3027"/>
      <c r="L245" s="3027"/>
      <c r="M245" s="3025"/>
      <c r="N245" s="3026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826"/>
      <c r="AD245" s="2826"/>
      <c r="AE245" s="2826"/>
      <c r="AF245" s="2826"/>
      <c r="AG245" s="2826"/>
      <c r="AH245" s="2826"/>
      <c r="AI245" s="2826"/>
      <c r="AJ245" s="2826"/>
      <c r="AK245" s="2826"/>
      <c r="AL245" s="2826"/>
      <c r="AM245" s="2826"/>
    </row>
    <row r="246" spans="1:40" s="2825" customFormat="1">
      <c r="B246" s="2935"/>
      <c r="D246" s="3161"/>
      <c r="F246" s="3026"/>
      <c r="G246" s="3027"/>
      <c r="H246" s="3027"/>
      <c r="I246" s="3027"/>
      <c r="J246" s="3027"/>
      <c r="K246" s="3027"/>
      <c r="L246" s="3027"/>
      <c r="M246" s="3025"/>
      <c r="N246" s="3026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826"/>
      <c r="AD246" s="2826"/>
      <c r="AE246" s="2826"/>
      <c r="AF246" s="2826"/>
      <c r="AG246" s="2826"/>
      <c r="AH246" s="2826"/>
      <c r="AI246" s="2826"/>
      <c r="AJ246" s="2826"/>
      <c r="AK246" s="2826"/>
      <c r="AL246" s="2826"/>
      <c r="AM246" s="2826"/>
    </row>
    <row r="247" spans="1:40" s="2825" customFormat="1">
      <c r="B247" s="2935"/>
      <c r="D247" s="3161"/>
      <c r="F247" s="3026"/>
      <c r="G247" s="3027"/>
      <c r="H247" s="3027"/>
      <c r="I247" s="3027"/>
      <c r="J247" s="3027"/>
      <c r="K247" s="3027"/>
      <c r="L247" s="3027"/>
      <c r="M247" s="3025"/>
      <c r="N247" s="3026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826"/>
      <c r="AD247" s="2826"/>
      <c r="AE247" s="2826"/>
      <c r="AF247" s="2826"/>
      <c r="AG247" s="2826"/>
      <c r="AH247" s="2826"/>
      <c r="AI247" s="2826"/>
      <c r="AJ247" s="2826"/>
      <c r="AK247" s="2826"/>
      <c r="AL247" s="2826"/>
      <c r="AM247" s="2826"/>
    </row>
    <row r="248" spans="1:40" s="2825" customFormat="1">
      <c r="B248" s="2935"/>
      <c r="D248" s="3161"/>
      <c r="F248" s="3026"/>
      <c r="G248" s="3027"/>
      <c r="H248" s="3027"/>
      <c r="I248" s="3027"/>
      <c r="J248" s="3027"/>
      <c r="K248" s="3027"/>
      <c r="L248" s="3027"/>
      <c r="M248" s="3025"/>
      <c r="N248" s="3026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826"/>
      <c r="AD248" s="2826"/>
      <c r="AE248" s="2826"/>
      <c r="AF248" s="2826"/>
      <c r="AG248" s="2826"/>
      <c r="AH248" s="2826"/>
      <c r="AI248" s="2826"/>
      <c r="AJ248" s="2826"/>
      <c r="AK248" s="2826"/>
      <c r="AL248" s="2826"/>
      <c r="AM248" s="2826"/>
    </row>
    <row r="249" spans="1:40" s="2825" customFormat="1">
      <c r="B249" s="2935"/>
      <c r="D249" s="3161"/>
      <c r="F249" s="3026"/>
      <c r="G249" s="3027"/>
      <c r="H249" s="3027"/>
      <c r="I249" s="3027"/>
      <c r="J249" s="3027"/>
      <c r="K249" s="3027"/>
      <c r="L249" s="3027"/>
      <c r="M249" s="3025"/>
      <c r="N249" s="3026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826"/>
      <c r="AD249" s="2826"/>
      <c r="AE249" s="2826"/>
      <c r="AF249" s="2826"/>
      <c r="AG249" s="2826"/>
      <c r="AH249" s="2826"/>
      <c r="AI249" s="2826"/>
      <c r="AJ249" s="2826"/>
      <c r="AK249" s="2826"/>
      <c r="AL249" s="2826"/>
      <c r="AM249" s="2826"/>
    </row>
    <row r="250" spans="1:40" s="2825" customFormat="1">
      <c r="B250" s="2935"/>
      <c r="D250" s="3161"/>
      <c r="F250" s="3026"/>
      <c r="G250" s="3027"/>
      <c r="H250" s="3027"/>
      <c r="I250" s="3027"/>
      <c r="J250" s="3027"/>
      <c r="K250" s="3027"/>
      <c r="L250" s="3027"/>
      <c r="M250" s="3025"/>
      <c r="N250" s="3026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826"/>
      <c r="AD250" s="2826"/>
      <c r="AE250" s="2826"/>
      <c r="AF250" s="2826"/>
      <c r="AG250" s="2826"/>
      <c r="AH250" s="2826"/>
      <c r="AI250" s="2826"/>
      <c r="AJ250" s="2826"/>
      <c r="AK250" s="2826"/>
      <c r="AL250" s="2826"/>
      <c r="AM250" s="2826"/>
    </row>
    <row r="251" spans="1:40" s="2825" customFormat="1">
      <c r="B251" s="2935"/>
      <c r="D251" s="3161"/>
      <c r="F251" s="3026"/>
      <c r="G251" s="3027"/>
      <c r="H251" s="3027"/>
      <c r="I251" s="3027"/>
      <c r="J251" s="3027"/>
      <c r="K251" s="3027"/>
      <c r="L251" s="3027"/>
      <c r="M251" s="3025"/>
      <c r="N251" s="3026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826"/>
      <c r="AD251" s="2826"/>
      <c r="AE251" s="2826"/>
      <c r="AF251" s="2826"/>
      <c r="AG251" s="2826"/>
      <c r="AH251" s="2826"/>
      <c r="AI251" s="2826"/>
      <c r="AJ251" s="2826"/>
      <c r="AK251" s="2826"/>
      <c r="AL251" s="2826"/>
      <c r="AM251" s="2826"/>
    </row>
    <row r="252" spans="1:40" s="2825" customFormat="1">
      <c r="B252" s="2935"/>
      <c r="D252" s="3161"/>
      <c r="F252" s="3026"/>
      <c r="G252" s="3027"/>
      <c r="H252" s="3027"/>
      <c r="I252" s="3027"/>
      <c r="J252" s="3027"/>
      <c r="K252" s="3027"/>
      <c r="L252" s="3027"/>
      <c r="M252" s="3025"/>
      <c r="N252" s="3026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826"/>
      <c r="AD252" s="2826"/>
      <c r="AE252" s="2826"/>
      <c r="AF252" s="2826"/>
      <c r="AG252" s="2826"/>
      <c r="AH252" s="2826"/>
      <c r="AI252" s="2826"/>
      <c r="AJ252" s="2826"/>
      <c r="AK252" s="2826"/>
      <c r="AL252" s="2826"/>
      <c r="AM252" s="2826"/>
    </row>
    <row r="253" spans="1:40" s="2825" customFormat="1">
      <c r="B253" s="2935"/>
      <c r="D253" s="3161"/>
      <c r="F253" s="3026"/>
      <c r="G253" s="3027"/>
      <c r="H253" s="3027"/>
      <c r="I253" s="3027"/>
      <c r="J253" s="3027"/>
      <c r="K253" s="3027"/>
      <c r="L253" s="3027"/>
      <c r="M253" s="3025"/>
      <c r="N253" s="3026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826"/>
      <c r="AD253" s="2826"/>
      <c r="AE253" s="2826"/>
      <c r="AF253" s="2826"/>
      <c r="AG253" s="2826"/>
      <c r="AH253" s="2826"/>
      <c r="AI253" s="2826"/>
      <c r="AJ253" s="2826"/>
      <c r="AK253" s="2826"/>
      <c r="AL253" s="2826"/>
      <c r="AM253" s="2826"/>
    </row>
    <row r="254" spans="1:40" s="2825" customFormat="1">
      <c r="B254" s="2935"/>
      <c r="D254" s="3161"/>
      <c r="F254" s="3026"/>
      <c r="G254" s="3027"/>
      <c r="H254" s="3027"/>
      <c r="I254" s="3027"/>
      <c r="J254" s="3027"/>
      <c r="K254" s="3027"/>
      <c r="L254" s="3027"/>
      <c r="M254" s="3025"/>
      <c r="N254" s="3026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826"/>
      <c r="AD254" s="2826"/>
      <c r="AE254" s="2826"/>
      <c r="AF254" s="2826"/>
      <c r="AG254" s="2826"/>
      <c r="AH254" s="2826"/>
      <c r="AI254" s="2826"/>
      <c r="AJ254" s="2826"/>
      <c r="AK254" s="2826"/>
      <c r="AL254" s="2826"/>
      <c r="AM254" s="2826"/>
    </row>
    <row r="255" spans="1:40">
      <c r="A255" s="1"/>
      <c r="O255" s="155"/>
      <c r="P255" s="155"/>
      <c r="Q255" s="1131"/>
      <c r="R255" s="1131"/>
      <c r="S255" s="251"/>
      <c r="T255" s="251"/>
      <c r="U255" s="1132"/>
      <c r="V255" s="1132"/>
      <c r="W255" s="1132"/>
      <c r="X255" s="1132"/>
      <c r="Y255" s="1132"/>
      <c r="Z255" s="1132"/>
      <c r="AA255" s="1132"/>
      <c r="AN255" s="1"/>
    </row>
    <row r="256" spans="1:40">
      <c r="A256" s="1"/>
      <c r="O256" s="155"/>
      <c r="P256" s="155"/>
      <c r="Q256" s="1131"/>
      <c r="R256" s="1131"/>
      <c r="S256" s="251"/>
      <c r="T256" s="251"/>
      <c r="U256" s="1132"/>
      <c r="V256" s="1132"/>
      <c r="W256" s="1132"/>
      <c r="X256" s="1132"/>
      <c r="Y256" s="1132"/>
      <c r="Z256" s="1132"/>
      <c r="AA256" s="1132"/>
      <c r="AN256" s="1"/>
    </row>
    <row r="257" spans="1:40">
      <c r="A257" s="1"/>
      <c r="O257" s="155"/>
      <c r="P257" s="155"/>
      <c r="Q257" s="1131"/>
      <c r="R257" s="1131"/>
      <c r="S257" s="251"/>
      <c r="T257" s="251"/>
      <c r="U257" s="1132"/>
      <c r="V257" s="1132"/>
      <c r="W257" s="1132"/>
      <c r="X257" s="1132"/>
      <c r="Y257" s="1132"/>
      <c r="Z257" s="1132"/>
      <c r="AA257" s="1132"/>
      <c r="AN257" s="1"/>
    </row>
    <row r="258" spans="1:40">
      <c r="A258" s="1"/>
      <c r="O258" s="155"/>
      <c r="P258" s="155"/>
      <c r="Q258" s="1131"/>
      <c r="R258" s="1131"/>
      <c r="S258" s="251"/>
      <c r="T258" s="251"/>
      <c r="U258" s="1132"/>
      <c r="V258" s="1132"/>
      <c r="W258" s="1132"/>
      <c r="X258" s="1132"/>
      <c r="Y258" s="1132"/>
      <c r="Z258" s="1132"/>
      <c r="AA258" s="1132"/>
      <c r="AN258" s="1"/>
    </row>
    <row r="259" spans="1:40">
      <c r="A259" s="1"/>
      <c r="O259" s="155"/>
      <c r="P259" s="155"/>
      <c r="Q259" s="1131"/>
      <c r="R259" s="1131"/>
      <c r="S259" s="251"/>
      <c r="T259" s="251"/>
      <c r="U259" s="1132"/>
      <c r="V259" s="1132"/>
      <c r="W259" s="1132"/>
      <c r="X259" s="1132"/>
      <c r="Y259" s="1132"/>
      <c r="Z259" s="1132"/>
      <c r="AA259" s="1132"/>
      <c r="AN259" s="1"/>
    </row>
    <row r="260" spans="1:40">
      <c r="A260" s="1"/>
      <c r="O260" s="155"/>
      <c r="P260" s="155"/>
      <c r="Q260" s="1131"/>
      <c r="R260" s="1131"/>
      <c r="S260" s="251"/>
      <c r="T260" s="251"/>
      <c r="U260" s="1132"/>
      <c r="V260" s="1132"/>
      <c r="W260" s="1132"/>
      <c r="X260" s="1132"/>
      <c r="Y260" s="1132"/>
      <c r="Z260" s="1132"/>
      <c r="AA260" s="1132"/>
      <c r="AN260" s="1"/>
    </row>
    <row r="261" spans="1:40">
      <c r="A261" s="1"/>
      <c r="O261" s="155"/>
      <c r="P261" s="155"/>
      <c r="Q261" s="1131"/>
      <c r="R261" s="1131"/>
      <c r="S261" s="251"/>
      <c r="T261" s="251"/>
      <c r="U261" s="1132"/>
      <c r="V261" s="1132"/>
      <c r="W261" s="1132"/>
      <c r="X261" s="1132"/>
      <c r="Y261" s="1132"/>
      <c r="Z261" s="1132"/>
      <c r="AA261" s="1132"/>
      <c r="AN261" s="1"/>
    </row>
    <row r="262" spans="1:40">
      <c r="A262" s="1"/>
      <c r="O262" s="155"/>
      <c r="P262" s="155"/>
      <c r="Q262" s="1131"/>
      <c r="R262" s="1131"/>
      <c r="S262" s="251"/>
      <c r="T262" s="251"/>
      <c r="U262" s="1132"/>
      <c r="V262" s="1132"/>
      <c r="W262" s="1132"/>
      <c r="X262" s="1132"/>
      <c r="Y262" s="1132"/>
      <c r="Z262" s="1132"/>
      <c r="AA262" s="1132"/>
      <c r="AN262" s="1"/>
    </row>
    <row r="263" spans="1:40">
      <c r="A263" s="1"/>
      <c r="B263" s="1"/>
      <c r="D263" s="1"/>
      <c r="F263" s="1"/>
      <c r="G263" s="1"/>
      <c r="H263" s="1"/>
      <c r="I263" s="1"/>
      <c r="J263" s="1"/>
      <c r="K263" s="1"/>
      <c r="L263" s="1"/>
      <c r="M263" s="1"/>
      <c r="N263" s="52"/>
      <c r="O263" s="155"/>
      <c r="P263" s="155"/>
      <c r="Q263" s="1131"/>
      <c r="R263" s="1131"/>
      <c r="S263" s="251"/>
      <c r="T263" s="251"/>
      <c r="U263" s="1132"/>
      <c r="V263" s="1132"/>
      <c r="W263" s="1132"/>
      <c r="X263" s="1132"/>
      <c r="Y263" s="1132"/>
      <c r="Z263" s="1132"/>
      <c r="AA263" s="1132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>
      <c r="A264" s="1"/>
      <c r="B264" s="1"/>
      <c r="D264" s="1"/>
      <c r="F264" s="1"/>
      <c r="G264" s="1"/>
      <c r="H264" s="1"/>
      <c r="I264" s="1"/>
      <c r="J264" s="1"/>
      <c r="K264" s="1"/>
      <c r="L264" s="1"/>
      <c r="M264" s="1"/>
      <c r="N264" s="52"/>
      <c r="O264" s="155"/>
      <c r="P264" s="155"/>
      <c r="Q264" s="1131"/>
      <c r="R264" s="1131"/>
      <c r="S264" s="251"/>
      <c r="T264" s="251"/>
      <c r="U264" s="1132"/>
      <c r="V264" s="1132"/>
      <c r="W264" s="1132"/>
      <c r="X264" s="1132"/>
      <c r="Y264" s="1132"/>
      <c r="Z264" s="1132"/>
      <c r="AA264" s="1132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>
      <c r="A265" s="1"/>
      <c r="B265" s="1"/>
      <c r="D265" s="1"/>
      <c r="F265" s="1"/>
      <c r="G265" s="1"/>
      <c r="H265" s="1"/>
      <c r="I265" s="1"/>
      <c r="J265" s="1"/>
      <c r="K265" s="1"/>
      <c r="L265" s="1"/>
      <c r="M265" s="1"/>
      <c r="N265" s="52"/>
      <c r="O265" s="155"/>
      <c r="P265" s="155"/>
      <c r="Q265" s="1131"/>
      <c r="R265" s="1131"/>
      <c r="S265" s="251"/>
      <c r="T265" s="251"/>
      <c r="U265" s="1132"/>
      <c r="V265" s="1132"/>
      <c r="W265" s="1132"/>
      <c r="X265" s="1132"/>
      <c r="Y265" s="1132"/>
      <c r="Z265" s="1132"/>
      <c r="AA265" s="1132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>
      <c r="A266" s="1"/>
      <c r="B266" s="1"/>
      <c r="D266" s="1"/>
      <c r="F266" s="1"/>
      <c r="G266" s="1"/>
      <c r="H266" s="1"/>
      <c r="I266" s="1"/>
      <c r="J266" s="1"/>
      <c r="K266" s="1"/>
      <c r="L266" s="1"/>
      <c r="M266" s="1"/>
      <c r="N266" s="52"/>
      <c r="O266" s="155"/>
      <c r="P266" s="155"/>
      <c r="Q266" s="1131"/>
      <c r="R266" s="1131"/>
      <c r="S266" s="251"/>
      <c r="T266" s="251"/>
      <c r="U266" s="1132"/>
      <c r="V266" s="1132"/>
      <c r="W266" s="1132"/>
      <c r="X266" s="1132"/>
      <c r="Y266" s="1132"/>
      <c r="Z266" s="1132"/>
      <c r="AA266" s="1132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>
      <c r="A267" s="1"/>
      <c r="B267" s="1"/>
      <c r="D267" s="1"/>
      <c r="F267" s="1"/>
      <c r="G267" s="1"/>
      <c r="H267" s="1"/>
      <c r="I267" s="1"/>
      <c r="J267" s="1"/>
      <c r="K267" s="1"/>
      <c r="L267" s="1"/>
      <c r="M267" s="1"/>
      <c r="N267" s="52"/>
      <c r="O267" s="155"/>
      <c r="P267" s="155"/>
      <c r="Q267" s="1131"/>
      <c r="R267" s="1131"/>
      <c r="S267" s="251"/>
      <c r="T267" s="251"/>
      <c r="U267" s="1132"/>
      <c r="V267" s="1132"/>
      <c r="W267" s="1132"/>
      <c r="X267" s="1132"/>
      <c r="Y267" s="1132"/>
      <c r="Z267" s="1132"/>
      <c r="AA267" s="1132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</sheetData>
  <mergeCells count="1">
    <mergeCell ref="Q66:R66"/>
  </mergeCells>
  <conditionalFormatting sqref="AB7:AH7">
    <cfRule type="cellIs" dxfId="622" priority="1" stopIfTrue="1" operator="lessThan">
      <formula>0</formula>
    </cfRule>
  </conditionalFormatting>
  <pageMargins left="0.7" right="0.7" top="0.75" bottom="0.75" header="0.3" footer="0.3"/>
  <pageSetup paperSize="9" orientation="landscape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20">
    <pageSetUpPr fitToPage="1"/>
  </sheetPr>
  <dimension ref="A1:AO200"/>
  <sheetViews>
    <sheetView topLeftCell="A2" zoomScale="151" zoomScaleNormal="151" workbookViewId="0">
      <selection activeCell="K19" sqref="K19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33203125" style="204" customWidth="1"/>
    <col min="4" max="4" width="1" style="902" customWidth="1"/>
    <col min="5" max="5" width="2.5" style="204" customWidth="1"/>
    <col min="6" max="6" width="3.33203125" style="207" customWidth="1"/>
    <col min="7" max="7" width="5.6640625" style="208" customWidth="1"/>
    <col min="8" max="8" width="7.33203125" style="208" customWidth="1"/>
    <col min="9" max="10" width="7.83203125" style="208" customWidth="1"/>
    <col min="11" max="11" width="29.33203125" style="208" customWidth="1"/>
    <col min="12" max="12" width="9.33203125" style="208" customWidth="1"/>
    <col min="13" max="13" width="0.6640625" style="449" customWidth="1"/>
    <col min="14" max="14" width="10.1640625" style="207" customWidth="1"/>
    <col min="15" max="15" width="1" style="208" customWidth="1"/>
    <col min="16" max="16" width="9.83203125" style="208" customWidth="1"/>
    <col min="17" max="18" width="7.33203125" style="209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26.25" customHeight="1">
      <c r="A1" s="203" t="s">
        <v>1979</v>
      </c>
      <c r="B1" s="204"/>
      <c r="C1" s="205"/>
      <c r="D1" s="901"/>
      <c r="E1" s="206"/>
      <c r="M1" s="743"/>
      <c r="V1" s="212"/>
      <c r="AI1" s="213"/>
      <c r="AJ1" s="213"/>
      <c r="AK1" s="213"/>
      <c r="AL1" s="213"/>
      <c r="AM1" s="213"/>
    </row>
    <row r="2" spans="1:40" ht="14.25" customHeight="1" thickBot="1">
      <c r="F2" s="527"/>
      <c r="G2" s="155"/>
      <c r="H2" s="155"/>
      <c r="I2" s="155"/>
      <c r="J2" s="217"/>
      <c r="K2" s="527">
        <v>45250</v>
      </c>
      <c r="L2" s="583"/>
      <c r="U2" s="218" t="s">
        <v>345</v>
      </c>
      <c r="AI2" s="213"/>
      <c r="AJ2" s="213"/>
      <c r="AK2" s="213"/>
      <c r="AL2" s="213"/>
      <c r="AM2" s="213"/>
    </row>
    <row r="3" spans="1:40" s="223" customFormat="1" ht="69.75" customHeight="1" thickTop="1" thickBot="1">
      <c r="A3" s="351" t="s">
        <v>346</v>
      </c>
      <c r="B3" s="352" t="s">
        <v>347</v>
      </c>
      <c r="C3" s="353" t="s">
        <v>348</v>
      </c>
      <c r="D3" s="903"/>
      <c r="E3" s="353" t="s">
        <v>349</v>
      </c>
      <c r="F3" s="35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350"/>
      <c r="M3" s="450" t="s">
        <v>355</v>
      </c>
      <c r="N3" s="350" t="s">
        <v>445</v>
      </c>
      <c r="O3" s="353" t="s">
        <v>446</v>
      </c>
      <c r="P3" s="353" t="s">
        <v>447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3" customFormat="1" ht="9.75" customHeight="1" thickBot="1">
      <c r="A4" s="911"/>
      <c r="B4" s="912"/>
      <c r="C4" s="913"/>
      <c r="D4" s="914"/>
      <c r="E4" s="913"/>
      <c r="F4" s="915"/>
      <c r="G4" s="913"/>
      <c r="H4" s="913"/>
      <c r="I4" s="913"/>
      <c r="J4" s="915"/>
      <c r="K4" s="913"/>
      <c r="L4" s="913"/>
      <c r="M4" s="916"/>
      <c r="N4" s="913"/>
      <c r="O4" s="913"/>
      <c r="P4" s="913"/>
      <c r="Q4" s="917"/>
      <c r="R4" s="918"/>
      <c r="S4" s="919"/>
      <c r="T4" s="919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0"/>
      <c r="AC4" s="221"/>
      <c r="AD4" s="222"/>
      <c r="AE4" s="222"/>
      <c r="AF4" s="222"/>
      <c r="AG4" s="222"/>
      <c r="AH4" s="222"/>
      <c r="AI4" s="220"/>
      <c r="AJ4" s="220"/>
      <c r="AK4" s="220"/>
      <c r="AL4" s="220"/>
      <c r="AM4" s="220"/>
      <c r="AN4" s="220"/>
    </row>
    <row r="5" spans="1:40" s="228" customFormat="1" ht="5.25" customHeight="1" thickBot="1">
      <c r="A5" s="357"/>
      <c r="B5" s="358"/>
      <c r="C5" s="359"/>
      <c r="D5" s="904"/>
      <c r="E5" s="359"/>
      <c r="F5" s="360"/>
      <c r="G5" s="361"/>
      <c r="H5" s="361"/>
      <c r="I5" s="361"/>
      <c r="J5" s="360"/>
      <c r="K5" s="361"/>
      <c r="L5" s="361"/>
      <c r="M5" s="524"/>
      <c r="N5" s="361"/>
      <c r="O5" s="359"/>
      <c r="P5" s="359"/>
      <c r="Q5" s="359"/>
      <c r="R5" s="362"/>
      <c r="S5" s="224"/>
      <c r="T5" s="224"/>
      <c r="U5" s="111">
        <f>U4/4</f>
        <v>2.2880964381720439E-4</v>
      </c>
      <c r="V5" s="111">
        <f t="shared" ref="V5:AA5" si="0">V4/4</f>
        <v>2.1908757716049393E-4</v>
      </c>
      <c r="W5" s="111">
        <f t="shared" si="0"/>
        <v>2.1222190799396687E-4</v>
      </c>
      <c r="X5" s="111">
        <f t="shared" si="0"/>
        <v>2.0247664488766629E-4</v>
      </c>
      <c r="Y5" s="111">
        <f t="shared" si="0"/>
        <v>1.8933937422552669E-4</v>
      </c>
      <c r="Z5" s="111">
        <f t="shared" si="0"/>
        <v>1.8229166666666673E-4</v>
      </c>
      <c r="AA5" s="111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s="228" customFormat="1" ht="15.75" customHeight="1" thickTop="1" thickBot="1">
      <c r="A6" s="401" t="s">
        <v>214</v>
      </c>
      <c r="B6" s="1117" t="s">
        <v>215</v>
      </c>
      <c r="C6" s="274">
        <f>IF(D6=1,U$5,IF(D6=2,V$5,IF(D6=3,W$5,IF(D6=4,X$5,IF(D6=5,Y$5,IF(D6=6,Z$5,IF(D6=7,AA$5,0)))))))</f>
        <v>2.2880964381720439E-4</v>
      </c>
      <c r="D6" s="547">
        <v>1</v>
      </c>
      <c r="E6" s="275">
        <v>1</v>
      </c>
      <c r="F6" s="275">
        <v>4</v>
      </c>
      <c r="G6" s="275">
        <v>50</v>
      </c>
      <c r="H6" s="276"/>
      <c r="I6" s="276">
        <v>3.4722222222222224E-4</v>
      </c>
      <c r="J6" s="276">
        <v>2.0833333333333333E-3</v>
      </c>
      <c r="K6" s="312" t="s">
        <v>2261</v>
      </c>
      <c r="L6" s="993">
        <v>0.34027777777777773</v>
      </c>
      <c r="M6" s="451">
        <v>1.1000000000000001</v>
      </c>
      <c r="N6" s="276">
        <f>P6*E6*F6+I6*E6*F6+J6*E6</f>
        <v>5.4857470878136218E-3</v>
      </c>
      <c r="O6" s="296">
        <f>C6*(G6/25)</f>
        <v>4.5761928763440879E-4</v>
      </c>
      <c r="P6" s="296">
        <f>O6*M6</f>
        <v>5.0338121639784974E-4</v>
      </c>
      <c r="Q6" s="548">
        <v>129</v>
      </c>
      <c r="R6" s="275">
        <f>E6*F6*G6</f>
        <v>200</v>
      </c>
      <c r="S6" s="229">
        <f>E6*F6*G6/1000</f>
        <v>0.2</v>
      </c>
      <c r="T6" s="230">
        <f>E6*F6*O6*4</f>
        <v>7.3219086021505406E-3</v>
      </c>
      <c r="U6" s="374">
        <f>IF(C6*4&gt;=$U$4,S6,0)</f>
        <v>0.2</v>
      </c>
      <c r="V6" s="375">
        <f>IF(AND(C6*4&gt;=$V$4,C6*4&lt;$U$4),S6,0)</f>
        <v>0</v>
      </c>
      <c r="W6" s="376">
        <f>IF(AND(C6*4&gt;=$W$4,C6*4&lt;$V$4),S6,0)</f>
        <v>0</v>
      </c>
      <c r="X6" s="377">
        <f>IF(AND(C6*4&gt;=$X$4,C6*4&lt;$W$4),S6,0)</f>
        <v>0</v>
      </c>
      <c r="Y6" s="378">
        <f>IF(AND(C6*4&gt;=$Y$4,C6*4&lt;$X$4),S6,0)</f>
        <v>0</v>
      </c>
      <c r="Z6" s="379">
        <f>IF(AND(C6*4&gt;=$Z$4,C6*4&lt;$Y$4),S6,0)</f>
        <v>0</v>
      </c>
      <c r="AA6" s="380">
        <f>IF(AND(C6*4&gt;=$AA$4,C6*4&lt;$Z$4),S6,0)</f>
        <v>0</v>
      </c>
      <c r="AB6" s="82" t="s">
        <v>214</v>
      </c>
      <c r="AC6" s="82" t="s">
        <v>215</v>
      </c>
      <c r="AD6" s="82" t="s">
        <v>216</v>
      </c>
      <c r="AE6" s="82" t="s">
        <v>217</v>
      </c>
      <c r="AF6" s="82" t="s">
        <v>218</v>
      </c>
      <c r="AG6" s="82" t="s">
        <v>219</v>
      </c>
      <c r="AH6" s="82" t="s">
        <v>220</v>
      </c>
      <c r="AI6" s="225"/>
      <c r="AJ6" s="225"/>
      <c r="AK6" s="225"/>
      <c r="AL6" s="225"/>
      <c r="AM6" s="225"/>
      <c r="AN6" s="225"/>
    </row>
    <row r="7" spans="1:40" s="228" customFormat="1" ht="13.5" customHeight="1" thickBot="1">
      <c r="A7" s="1116" t="s">
        <v>459</v>
      </c>
      <c r="B7" s="1117" t="s">
        <v>215</v>
      </c>
      <c r="C7" s="274">
        <f t="shared" ref="C7:C63" si="1">IF(D7=1,U$5,IF(D7=2,V$5,IF(D7=3,W$5,IF(D7=4,X$5,IF(D7=5,Y$5,IF(D7=6,Z$5,IF(D7=7,AA$5,0)))))))</f>
        <v>2.0247664488766629E-4</v>
      </c>
      <c r="D7" s="1384">
        <v>4</v>
      </c>
      <c r="E7" s="280">
        <v>1</v>
      </c>
      <c r="F7" s="280">
        <v>3</v>
      </c>
      <c r="G7" s="280">
        <v>200</v>
      </c>
      <c r="H7" s="281"/>
      <c r="I7" s="281">
        <v>3.4722222222222224E-4</v>
      </c>
      <c r="J7" s="281">
        <v>1.736111111111111E-3</v>
      </c>
      <c r="K7" s="1074" t="s">
        <v>2265</v>
      </c>
      <c r="L7" s="1148">
        <f>L6+N6</f>
        <v>0.34576352486559137</v>
      </c>
      <c r="M7" s="453">
        <v>1</v>
      </c>
      <c r="N7" s="1041">
        <f>H7*F7*E7</f>
        <v>0</v>
      </c>
      <c r="O7" s="439">
        <f>C7*(G7/25)*1.07</f>
        <v>1.7332000802384236E-3</v>
      </c>
      <c r="P7" s="587">
        <f t="shared" ref="P7:P8" si="2">O7*M7</f>
        <v>1.7332000802384236E-3</v>
      </c>
      <c r="Q7" s="789">
        <v>166</v>
      </c>
      <c r="R7" s="1045">
        <f t="shared" ref="R7:R8" si="3">E7*F7*G7</f>
        <v>600</v>
      </c>
      <c r="S7" s="229">
        <f t="shared" ref="S7:S13" si="4">E7*F7*G7/1000</f>
        <v>0.6</v>
      </c>
      <c r="T7" s="230">
        <f t="shared" ref="T7:T13" si="5">E7*F7*O7*4</f>
        <v>2.0798400962861084E-2</v>
      </c>
      <c r="U7" s="374">
        <f t="shared" ref="U7:U13" si="6">IF(C7*4&gt;=$U$4,S7,0)</f>
        <v>0</v>
      </c>
      <c r="V7" s="375">
        <f t="shared" ref="V7:V13" si="7">IF(AND(C7*4&gt;=$V$4,C7*4&lt;$U$4),S7,0)</f>
        <v>0</v>
      </c>
      <c r="W7" s="376">
        <f t="shared" ref="W7:W13" si="8">IF(AND(C7*4&gt;=$W$4,C7*4&lt;$V$4),S7,0)</f>
        <v>0</v>
      </c>
      <c r="X7" s="377">
        <f t="shared" ref="X7:X13" si="9">IF(AND(C7*4&gt;=$X$4,C7*4&lt;$W$4),S7,0)</f>
        <v>0.6</v>
      </c>
      <c r="Y7" s="378">
        <f t="shared" ref="Y7:Y13" si="10">IF(AND(C7*4&gt;=$Y$4,C7*4&lt;$X$4),S7,0)</f>
        <v>0</v>
      </c>
      <c r="Z7" s="379">
        <f t="shared" ref="Z7:Z13" si="11">IF(AND(C7*4&gt;=$Z$4,C7*4&lt;$Y$4),S7,0)</f>
        <v>0</v>
      </c>
      <c r="AA7" s="380">
        <f t="shared" ref="AA7:AA13" si="12">IF(AND(C7*4&gt;=$AA$4,C7*4&lt;$Z$4),S7,0)</f>
        <v>0</v>
      </c>
      <c r="AB7" s="484">
        <v>545.62121212121212</v>
      </c>
      <c r="AC7" s="484">
        <v>545.62121212121212</v>
      </c>
      <c r="AD7" s="484">
        <v>545.62121212121212</v>
      </c>
      <c r="AE7" s="484">
        <v>545.62121212121212</v>
      </c>
      <c r="AF7" s="484">
        <v>545.62121212121212</v>
      </c>
      <c r="AG7" s="484">
        <v>545.62121212121212</v>
      </c>
      <c r="AH7" s="484">
        <v>1</v>
      </c>
      <c r="AI7" s="225"/>
      <c r="AJ7" s="225"/>
      <c r="AK7" s="225"/>
      <c r="AL7" s="225"/>
      <c r="AM7" s="225"/>
      <c r="AN7" s="225"/>
    </row>
    <row r="8" spans="1:40" s="228" customFormat="1" ht="13.5" customHeight="1" thickBot="1">
      <c r="A8" s="1116" t="s">
        <v>460</v>
      </c>
      <c r="B8" s="1117" t="s">
        <v>215</v>
      </c>
      <c r="C8" s="274">
        <f t="shared" si="1"/>
        <v>2.0247664488766629E-4</v>
      </c>
      <c r="D8" s="1385">
        <v>4</v>
      </c>
      <c r="E8" s="1177">
        <v>1</v>
      </c>
      <c r="F8" s="1177">
        <v>2</v>
      </c>
      <c r="G8" s="365">
        <v>175</v>
      </c>
      <c r="H8" s="366"/>
      <c r="I8" s="366">
        <v>2.8935185185185189E-4</v>
      </c>
      <c r="J8" s="366">
        <v>1.3888888888888889E-3</v>
      </c>
      <c r="K8" s="1065" t="s">
        <v>2264</v>
      </c>
      <c r="L8" s="366">
        <f t="shared" ref="L8:L13" si="13">L7+N7</f>
        <v>0.34576352486559137</v>
      </c>
      <c r="M8" s="456">
        <v>1.1000000000000001</v>
      </c>
      <c r="N8" s="366">
        <f>P8*E8*F8+I8*E8*F8+J8*E8</f>
        <v>5.0857329238626538E-3</v>
      </c>
      <c r="O8" s="366">
        <f t="shared" ref="O8" si="14">C8*(G8/25)</f>
        <v>1.417336514213664E-3</v>
      </c>
      <c r="P8" s="368">
        <f t="shared" si="2"/>
        <v>1.5590701656350305E-3</v>
      </c>
      <c r="Q8" s="365">
        <v>146</v>
      </c>
      <c r="R8" s="365">
        <f t="shared" si="3"/>
        <v>350</v>
      </c>
      <c r="S8" s="229">
        <f t="shared" si="4"/>
        <v>0.35</v>
      </c>
      <c r="T8" s="230">
        <f t="shared" si="5"/>
        <v>1.1338692113709312E-2</v>
      </c>
      <c r="U8" s="374">
        <f t="shared" si="6"/>
        <v>0</v>
      </c>
      <c r="V8" s="375">
        <f t="shared" si="7"/>
        <v>0</v>
      </c>
      <c r="W8" s="376">
        <f t="shared" si="8"/>
        <v>0</v>
      </c>
      <c r="X8" s="377">
        <f t="shared" si="9"/>
        <v>0.35</v>
      </c>
      <c r="Y8" s="378">
        <f t="shared" si="10"/>
        <v>0</v>
      </c>
      <c r="Z8" s="379">
        <f t="shared" si="11"/>
        <v>0</v>
      </c>
      <c r="AA8" s="380">
        <f t="shared" si="12"/>
        <v>0</v>
      </c>
      <c r="AB8" s="535">
        <v>872.89393939393949</v>
      </c>
      <c r="AC8" s="535">
        <v>872.89393939393949</v>
      </c>
      <c r="AD8" s="535">
        <v>872.89393939393949</v>
      </c>
      <c r="AE8" s="535">
        <v>872.89393939393949</v>
      </c>
      <c r="AF8" s="535">
        <v>872.89393939393949</v>
      </c>
      <c r="AG8" s="535">
        <v>872.89393939393949</v>
      </c>
      <c r="AH8" s="535">
        <v>1</v>
      </c>
      <c r="AI8" s="225"/>
      <c r="AJ8" s="225"/>
      <c r="AK8" s="225"/>
      <c r="AL8" s="225"/>
      <c r="AM8" s="225"/>
      <c r="AN8" s="225"/>
    </row>
    <row r="9" spans="1:40" s="228" customFormat="1" ht="15.75" customHeight="1" thickBot="1">
      <c r="A9" s="1116" t="s">
        <v>458</v>
      </c>
      <c r="B9" s="1117" t="s">
        <v>215</v>
      </c>
      <c r="C9" s="274">
        <f t="shared" si="1"/>
        <v>2.0247664488766629E-4</v>
      </c>
      <c r="D9" s="1385">
        <v>4</v>
      </c>
      <c r="E9" s="1177">
        <v>8</v>
      </c>
      <c r="F9" s="1177">
        <v>1</v>
      </c>
      <c r="G9" s="365">
        <v>100</v>
      </c>
      <c r="H9" s="366"/>
      <c r="I9" s="366">
        <v>2.8935185185185189E-4</v>
      </c>
      <c r="J9" s="366">
        <v>6.9444444444444447E-4</v>
      </c>
      <c r="K9" s="1065" t="s">
        <v>2266</v>
      </c>
      <c r="L9" s="366">
        <f t="shared" si="13"/>
        <v>0.35084925778945403</v>
      </c>
      <c r="M9" s="456">
        <v>1.2</v>
      </c>
      <c r="N9" s="366">
        <f>P9*E9*F9+I9*E9*F9+J9*E9</f>
        <v>1.5645473534056757E-2</v>
      </c>
      <c r="O9" s="366">
        <f>C9*(G9/25)</f>
        <v>8.0990657955066516E-4</v>
      </c>
      <c r="P9" s="368">
        <f>O9*M9</f>
        <v>9.7188789546079812E-4</v>
      </c>
      <c r="Q9" s="365">
        <v>147</v>
      </c>
      <c r="R9" s="365">
        <f>E9*F9*G9</f>
        <v>800</v>
      </c>
      <c r="S9" s="229">
        <f t="shared" si="4"/>
        <v>0.8</v>
      </c>
      <c r="T9" s="230">
        <f t="shared" si="5"/>
        <v>2.5917010545621285E-2</v>
      </c>
      <c r="U9" s="374">
        <f t="shared" si="6"/>
        <v>0</v>
      </c>
      <c r="V9" s="375">
        <f t="shared" si="7"/>
        <v>0</v>
      </c>
      <c r="W9" s="376">
        <f t="shared" si="8"/>
        <v>0</v>
      </c>
      <c r="X9" s="377">
        <f t="shared" si="9"/>
        <v>0.8</v>
      </c>
      <c r="Y9" s="378">
        <f t="shared" si="10"/>
        <v>0</v>
      </c>
      <c r="Z9" s="379">
        <f t="shared" si="11"/>
        <v>0</v>
      </c>
      <c r="AA9" s="380">
        <f t="shared" si="12"/>
        <v>0</v>
      </c>
      <c r="AB9" s="500">
        <v>1527.439393939394</v>
      </c>
      <c r="AC9" s="500">
        <v>1527.439393939394</v>
      </c>
      <c r="AD9" s="500">
        <v>1527.439393939394</v>
      </c>
      <c r="AE9" s="500">
        <v>0</v>
      </c>
      <c r="AF9" s="500">
        <v>1527.439393939394</v>
      </c>
      <c r="AG9" s="500">
        <v>1527.439393939394</v>
      </c>
      <c r="AH9" s="500">
        <v>1</v>
      </c>
      <c r="AI9" s="225"/>
      <c r="AJ9" s="225"/>
      <c r="AK9" s="225"/>
      <c r="AL9" s="225"/>
      <c r="AM9" s="225"/>
      <c r="AN9" s="225"/>
    </row>
    <row r="10" spans="1:40" s="228" customFormat="1" ht="16.25" customHeight="1" thickBot="1">
      <c r="A10" s="1116" t="s">
        <v>219</v>
      </c>
      <c r="B10" s="1116" t="s">
        <v>215</v>
      </c>
      <c r="C10" s="274">
        <f t="shared" si="1"/>
        <v>1.8229166666666673E-4</v>
      </c>
      <c r="D10" s="1028">
        <v>6</v>
      </c>
      <c r="E10" s="1369">
        <v>2</v>
      </c>
      <c r="F10" s="300">
        <v>1</v>
      </c>
      <c r="G10" s="300">
        <v>200</v>
      </c>
      <c r="H10" s="301"/>
      <c r="I10" s="301">
        <v>2.3148148148148146E-4</v>
      </c>
      <c r="J10" s="302">
        <v>2.3148148148148146E-4</v>
      </c>
      <c r="K10" s="1373" t="s">
        <v>2262</v>
      </c>
      <c r="L10" s="994">
        <f t="shared" si="13"/>
        <v>0.36649473132351079</v>
      </c>
      <c r="M10" s="455">
        <v>1.1000000000000001</v>
      </c>
      <c r="N10" s="301">
        <f>P10*E10*F10+I10*E10*F10+J10*E10</f>
        <v>2.5300925925925929E-3</v>
      </c>
      <c r="O10" s="302">
        <f>C10*4</f>
        <v>7.2916666666666692E-4</v>
      </c>
      <c r="P10" s="302">
        <f>O10*M10</f>
        <v>8.0208333333333368E-4</v>
      </c>
      <c r="Q10" s="550">
        <f>INT(Q$39)</f>
        <v>129</v>
      </c>
      <c r="R10" s="369">
        <f>E10*F10*G10</f>
        <v>400</v>
      </c>
      <c r="S10" s="229">
        <f t="shared" si="4"/>
        <v>0.4</v>
      </c>
      <c r="T10" s="230">
        <f t="shared" si="5"/>
        <v>5.8333333333333353E-3</v>
      </c>
      <c r="U10" s="374">
        <f t="shared" si="6"/>
        <v>0</v>
      </c>
      <c r="V10" s="375">
        <f t="shared" si="7"/>
        <v>0</v>
      </c>
      <c r="W10" s="376">
        <f t="shared" si="8"/>
        <v>0</v>
      </c>
      <c r="X10" s="377">
        <f t="shared" si="9"/>
        <v>0</v>
      </c>
      <c r="Y10" s="378">
        <f t="shared" si="10"/>
        <v>0</v>
      </c>
      <c r="Z10" s="379">
        <f t="shared" si="11"/>
        <v>0.4</v>
      </c>
      <c r="AA10" s="380">
        <f t="shared" si="12"/>
        <v>0</v>
      </c>
      <c r="AB10" s="501">
        <v>0</v>
      </c>
      <c r="AC10" s="501">
        <v>0</v>
      </c>
      <c r="AD10" s="501">
        <v>7</v>
      </c>
      <c r="AE10" s="501">
        <v>0</v>
      </c>
      <c r="AF10" s="501">
        <v>-1</v>
      </c>
      <c r="AG10" s="501">
        <v>1</v>
      </c>
      <c r="AH10" s="501">
        <v>1</v>
      </c>
      <c r="AI10" s="225"/>
      <c r="AJ10" s="225"/>
      <c r="AK10" s="225"/>
      <c r="AL10" s="225"/>
      <c r="AM10" s="225"/>
      <c r="AN10" s="225"/>
    </row>
    <row r="11" spans="1:40" s="228" customFormat="1" ht="16.25" customHeight="1" thickBot="1">
      <c r="A11" s="401"/>
      <c r="B11" s="1116" t="s">
        <v>215</v>
      </c>
      <c r="C11" s="274">
        <f t="shared" si="1"/>
        <v>1.8229166666666673E-4</v>
      </c>
      <c r="D11" s="1304">
        <v>6</v>
      </c>
      <c r="E11" s="1372">
        <v>2</v>
      </c>
      <c r="F11" s="1370">
        <v>1</v>
      </c>
      <c r="G11" s="303">
        <v>50</v>
      </c>
      <c r="H11" s="304"/>
      <c r="I11" s="304">
        <v>3.4722222222222224E-4</v>
      </c>
      <c r="J11" s="304">
        <v>1.3888888888888889E-3</v>
      </c>
      <c r="K11" s="1373" t="s">
        <v>2263</v>
      </c>
      <c r="L11" s="996">
        <f t="shared" si="13"/>
        <v>0.36902482391610336</v>
      </c>
      <c r="M11" s="457">
        <v>0.95</v>
      </c>
      <c r="N11" s="304">
        <f>P11*E11*F11+I11*E11*F11+J11*E11</f>
        <v>4.1995659722222226E-3</v>
      </c>
      <c r="O11" s="297">
        <f>C11*2*1.05</f>
        <v>3.8281250000000012E-4</v>
      </c>
      <c r="P11" s="297">
        <f>O11*M11</f>
        <v>3.6367187500000012E-4</v>
      </c>
      <c r="Q11" s="334">
        <v>196</v>
      </c>
      <c r="R11" s="303">
        <f>E11*F11*G11</f>
        <v>100</v>
      </c>
      <c r="S11" s="229">
        <f t="shared" si="4"/>
        <v>0.1</v>
      </c>
      <c r="T11" s="230">
        <f t="shared" si="5"/>
        <v>3.062500000000001E-3</v>
      </c>
      <c r="U11" s="374">
        <f t="shared" si="6"/>
        <v>0</v>
      </c>
      <c r="V11" s="375">
        <f t="shared" si="7"/>
        <v>0</v>
      </c>
      <c r="W11" s="376">
        <f t="shared" si="8"/>
        <v>0</v>
      </c>
      <c r="X11" s="377">
        <f t="shared" si="9"/>
        <v>0</v>
      </c>
      <c r="Y11" s="378">
        <f t="shared" si="10"/>
        <v>0</v>
      </c>
      <c r="Z11" s="379">
        <f t="shared" si="11"/>
        <v>0.1</v>
      </c>
      <c r="AA11" s="380">
        <f t="shared" si="12"/>
        <v>0</v>
      </c>
      <c r="AB11" s="502">
        <v>0</v>
      </c>
      <c r="AC11" s="502">
        <v>0</v>
      </c>
      <c r="AD11" s="502">
        <v>982.41818181818189</v>
      </c>
      <c r="AE11" s="502">
        <v>2292.3090909090906</v>
      </c>
      <c r="AF11" s="502">
        <v>0</v>
      </c>
      <c r="AG11" s="502">
        <v>0</v>
      </c>
      <c r="AH11" s="502">
        <v>0</v>
      </c>
      <c r="AI11" s="225"/>
      <c r="AJ11" s="225"/>
      <c r="AK11" s="225"/>
      <c r="AL11" s="225"/>
      <c r="AM11" s="225"/>
      <c r="AN11" s="225"/>
    </row>
    <row r="12" spans="1:40" s="228" customFormat="1" ht="16.25" customHeight="1" thickBot="1">
      <c r="A12" s="401"/>
      <c r="B12" s="1116" t="s">
        <v>215</v>
      </c>
      <c r="C12" s="274">
        <f t="shared" si="1"/>
        <v>1.7682291666666674E-4</v>
      </c>
      <c r="D12" s="1054">
        <v>7</v>
      </c>
      <c r="E12" s="1371">
        <v>2</v>
      </c>
      <c r="F12" s="1040">
        <v>4</v>
      </c>
      <c r="G12" s="1040">
        <v>25</v>
      </c>
      <c r="H12" s="1041"/>
      <c r="I12" s="1041">
        <v>4.6296296296296293E-4</v>
      </c>
      <c r="J12" s="1041">
        <v>1.3888888888888889E-3</v>
      </c>
      <c r="K12" s="443"/>
      <c r="L12" s="1007">
        <f t="shared" si="13"/>
        <v>0.37322438988832557</v>
      </c>
      <c r="M12" s="1042">
        <v>0.9</v>
      </c>
      <c r="N12" s="1041">
        <f>P12*E12*F12+I12*E12*F12+J12*E12</f>
        <v>7.7546064814814821E-3</v>
      </c>
      <c r="O12" s="439">
        <f>C12</f>
        <v>1.7682291666666674E-4</v>
      </c>
      <c r="P12" s="587">
        <f>O12*M12</f>
        <v>1.5914062500000008E-4</v>
      </c>
      <c r="Q12" s="789" t="s">
        <v>274</v>
      </c>
      <c r="R12" s="1045">
        <f>E12*F12*G12</f>
        <v>200</v>
      </c>
      <c r="S12" s="229">
        <f t="shared" si="4"/>
        <v>0.2</v>
      </c>
      <c r="T12" s="230">
        <f t="shared" si="5"/>
        <v>5.6583333333333355E-3</v>
      </c>
      <c r="U12" s="374">
        <f t="shared" si="6"/>
        <v>0</v>
      </c>
      <c r="V12" s="375">
        <f t="shared" si="7"/>
        <v>0</v>
      </c>
      <c r="W12" s="376">
        <f t="shared" si="8"/>
        <v>0</v>
      </c>
      <c r="X12" s="377">
        <f t="shared" si="9"/>
        <v>0</v>
      </c>
      <c r="Y12" s="378">
        <f t="shared" si="10"/>
        <v>0</v>
      </c>
      <c r="Z12" s="379">
        <f t="shared" si="11"/>
        <v>0</v>
      </c>
      <c r="AA12" s="380">
        <f t="shared" si="12"/>
        <v>0.2</v>
      </c>
      <c r="AB12" s="503">
        <v>1047.6727272727276</v>
      </c>
      <c r="AC12" s="503">
        <v>523.83636363636379</v>
      </c>
      <c r="AD12" s="503">
        <v>0</v>
      </c>
      <c r="AE12" s="503">
        <v>2619.1818181818189</v>
      </c>
      <c r="AF12" s="503">
        <v>0</v>
      </c>
      <c r="AG12" s="503">
        <v>1047.6727272727276</v>
      </c>
      <c r="AH12" s="503">
        <v>0</v>
      </c>
      <c r="AI12" s="225"/>
      <c r="AJ12" s="225"/>
      <c r="AK12" s="225"/>
      <c r="AL12" s="225"/>
      <c r="AM12" s="225"/>
      <c r="AN12" s="225"/>
    </row>
    <row r="13" spans="1:40" s="228" customFormat="1" ht="16.25" customHeight="1" thickBot="1">
      <c r="A13" s="401"/>
      <c r="B13" s="1116"/>
      <c r="C13" s="274">
        <f t="shared" si="1"/>
        <v>0</v>
      </c>
      <c r="D13" s="899"/>
      <c r="E13" s="336"/>
      <c r="F13" s="336"/>
      <c r="G13" s="336"/>
      <c r="H13" s="336"/>
      <c r="I13" s="336"/>
      <c r="J13" s="336"/>
      <c r="K13" s="336"/>
      <c r="L13" s="1003">
        <f t="shared" si="13"/>
        <v>0.38097899636980703</v>
      </c>
      <c r="M13" s="448"/>
      <c r="N13" s="325">
        <f>SUM(N10:N12)</f>
        <v>1.4484265046296298E-2</v>
      </c>
      <c r="O13" s="336"/>
      <c r="P13" s="336"/>
      <c r="Q13" s="336"/>
      <c r="R13" s="363">
        <f>SUM(R6:R12)</f>
        <v>2650</v>
      </c>
      <c r="S13" s="229">
        <f t="shared" si="4"/>
        <v>0</v>
      </c>
      <c r="T13" s="230">
        <f t="shared" si="5"/>
        <v>0</v>
      </c>
      <c r="U13" s="374">
        <f t="shared" si="6"/>
        <v>0</v>
      </c>
      <c r="V13" s="375">
        <f t="shared" si="7"/>
        <v>0</v>
      </c>
      <c r="W13" s="376">
        <f t="shared" si="8"/>
        <v>0</v>
      </c>
      <c r="X13" s="377">
        <f t="shared" si="9"/>
        <v>0</v>
      </c>
      <c r="Y13" s="378">
        <f t="shared" si="10"/>
        <v>0</v>
      </c>
      <c r="Z13" s="379">
        <f t="shared" si="11"/>
        <v>0</v>
      </c>
      <c r="AA13" s="380">
        <f t="shared" si="12"/>
        <v>0</v>
      </c>
      <c r="AB13" s="504">
        <v>327.43939393939394</v>
      </c>
      <c r="AC13" s="504">
        <v>327.43939393939394</v>
      </c>
      <c r="AD13" s="504">
        <v>327.43939393939394</v>
      </c>
      <c r="AE13" s="504">
        <v>327.43939393939394</v>
      </c>
      <c r="AF13" s="504">
        <v>327.43939393939394</v>
      </c>
      <c r="AG13" s="504">
        <v>327.43939393939394</v>
      </c>
      <c r="AH13" s="504">
        <v>1</v>
      </c>
      <c r="AI13" s="225"/>
      <c r="AJ13" s="225"/>
      <c r="AK13" s="225"/>
      <c r="AL13" s="225"/>
      <c r="AM13" s="225"/>
      <c r="AN13" s="225"/>
    </row>
    <row r="14" spans="1:40" s="228" customFormat="1" ht="16.25" customHeight="1">
      <c r="A14" s="401" t="s">
        <v>214</v>
      </c>
      <c r="B14" s="1116" t="s">
        <v>461</v>
      </c>
      <c r="C14" s="274">
        <f t="shared" si="1"/>
        <v>2.2880964381720439E-4</v>
      </c>
      <c r="D14" s="547">
        <v>1</v>
      </c>
      <c r="E14" s="275">
        <v>1</v>
      </c>
      <c r="F14" s="275">
        <v>1</v>
      </c>
      <c r="G14" s="275">
        <v>400</v>
      </c>
      <c r="H14" s="276"/>
      <c r="I14" s="276">
        <v>0</v>
      </c>
      <c r="J14" s="276">
        <v>1.1574074074074073E-4</v>
      </c>
      <c r="K14" s="312" t="s">
        <v>300</v>
      </c>
      <c r="L14" s="1008">
        <v>0.80555555555555547</v>
      </c>
      <c r="M14" s="451">
        <v>1</v>
      </c>
      <c r="N14" s="276">
        <f t="shared" ref="N14:N16" si="15">P14*E14*F14+I14*E14*F14+J14*E14</f>
        <v>3.7766950418160112E-3</v>
      </c>
      <c r="O14" s="276">
        <f t="shared" ref="O14:O16" si="16">C14*(G14/25)</f>
        <v>3.6609543010752703E-3</v>
      </c>
      <c r="P14" s="296">
        <f t="shared" ref="P14:P16" si="17">O14*M14</f>
        <v>3.6609543010752703E-3</v>
      </c>
      <c r="Q14" s="548">
        <v>129</v>
      </c>
      <c r="R14" s="275">
        <f t="shared" ref="R14:R16" si="18">E14*F14*G14</f>
        <v>400</v>
      </c>
      <c r="S14" s="229">
        <f t="shared" ref="S14:S63" si="19">E14*F14*G14/1000</f>
        <v>0.4</v>
      </c>
      <c r="T14" s="230">
        <f t="shared" ref="T14:T63" si="20">E14*F14*O14*4</f>
        <v>1.4643817204301081E-2</v>
      </c>
      <c r="U14" s="374">
        <f t="shared" ref="U14:U63" si="21">IF(C14*4&gt;=$U$4,S14,0)</f>
        <v>0.4</v>
      </c>
      <c r="V14" s="375">
        <f t="shared" ref="V14:V63" si="22">IF(AND(C14*4&gt;=$V$4,C14*4&lt;$U$4),S14,0)</f>
        <v>0</v>
      </c>
      <c r="W14" s="376">
        <f t="shared" ref="W14:W63" si="23">IF(AND(C14*4&gt;=$W$4,C14*4&lt;$V$4),S14,0)</f>
        <v>0</v>
      </c>
      <c r="X14" s="377">
        <f t="shared" ref="X14:X63" si="24">IF(AND(C14*4&gt;=$X$4,C14*4&lt;$W$4),S14,0)</f>
        <v>0</v>
      </c>
      <c r="Y14" s="378">
        <f t="shared" ref="Y14:Y63" si="25">IF(AND(C14*4&gt;=$Y$4,C14*4&lt;$X$4),S14,0)</f>
        <v>0</v>
      </c>
      <c r="Z14" s="379">
        <f t="shared" ref="Z14:Z63" si="26">IF(AND(C14*4&gt;=$Z$4,C14*4&lt;$Y$4),S14,0)</f>
        <v>0</v>
      </c>
      <c r="AA14" s="380">
        <f t="shared" ref="AA14:AA63" si="27">IF(AND(C14*4&gt;=$AA$4,C14*4&lt;$Z$4),S14,0)</f>
        <v>0</v>
      </c>
      <c r="AB14" s="225"/>
      <c r="AC14" s="231"/>
      <c r="AD14" s="231"/>
      <c r="AE14" s="231"/>
      <c r="AF14" s="231"/>
      <c r="AG14" s="231"/>
      <c r="AH14" s="231"/>
      <c r="AI14" s="225"/>
      <c r="AJ14" s="225"/>
      <c r="AK14" s="225"/>
      <c r="AL14" s="225"/>
      <c r="AM14" s="225"/>
      <c r="AN14" s="225"/>
    </row>
    <row r="15" spans="1:40" s="228" customFormat="1" ht="16.25" customHeight="1">
      <c r="A15" s="1116" t="s">
        <v>459</v>
      </c>
      <c r="B15" s="1116" t="s">
        <v>461</v>
      </c>
      <c r="C15" s="274">
        <f t="shared" si="1"/>
        <v>2.1908757716049393E-4</v>
      </c>
      <c r="D15" s="890">
        <v>2</v>
      </c>
      <c r="E15" s="300">
        <v>1</v>
      </c>
      <c r="F15" s="300">
        <v>1</v>
      </c>
      <c r="G15" s="300">
        <v>400</v>
      </c>
      <c r="H15" s="301"/>
      <c r="I15" s="301">
        <v>2.8935185185185189E-4</v>
      </c>
      <c r="J15" s="301">
        <v>1.3888888888888889E-3</v>
      </c>
      <c r="K15" s="314" t="s">
        <v>256</v>
      </c>
      <c r="L15" s="994">
        <f t="shared" ref="L15:L20" si="28">L14+N14</f>
        <v>0.80933225059737146</v>
      </c>
      <c r="M15" s="455">
        <v>1</v>
      </c>
      <c r="N15" s="301">
        <f t="shared" si="15"/>
        <v>5.1836419753086439E-3</v>
      </c>
      <c r="O15" s="301">
        <f t="shared" si="16"/>
        <v>3.5054012345679029E-3</v>
      </c>
      <c r="P15" s="302">
        <f t="shared" si="17"/>
        <v>3.5054012345679029E-3</v>
      </c>
      <c r="Q15" s="550">
        <v>129</v>
      </c>
      <c r="R15" s="369">
        <f t="shared" si="18"/>
        <v>400</v>
      </c>
      <c r="S15" s="229">
        <f t="shared" si="19"/>
        <v>0.4</v>
      </c>
      <c r="T15" s="230">
        <f t="shared" si="20"/>
        <v>1.4021604938271611E-2</v>
      </c>
      <c r="U15" s="374">
        <f t="shared" si="21"/>
        <v>0</v>
      </c>
      <c r="V15" s="375">
        <f t="shared" si="22"/>
        <v>0.4</v>
      </c>
      <c r="W15" s="376">
        <f t="shared" si="23"/>
        <v>0</v>
      </c>
      <c r="X15" s="377">
        <f t="shared" si="24"/>
        <v>0</v>
      </c>
      <c r="Y15" s="378">
        <f t="shared" si="25"/>
        <v>0</v>
      </c>
      <c r="Z15" s="379">
        <f t="shared" si="26"/>
        <v>0</v>
      </c>
      <c r="AA15" s="380">
        <f t="shared" si="27"/>
        <v>0</v>
      </c>
      <c r="AB15" s="225"/>
      <c r="AC15" s="231"/>
      <c r="AD15" s="231"/>
      <c r="AE15" s="231"/>
      <c r="AF15" s="231"/>
      <c r="AG15" s="231"/>
      <c r="AH15" s="231"/>
      <c r="AI15" s="225"/>
      <c r="AJ15" s="225"/>
      <c r="AK15" s="225"/>
      <c r="AL15" s="225"/>
      <c r="AM15" s="225"/>
      <c r="AN15" s="225"/>
    </row>
    <row r="16" spans="1:40" s="228" customFormat="1" ht="16.25" customHeight="1">
      <c r="A16" s="1116" t="s">
        <v>460</v>
      </c>
      <c r="B16" s="1116" t="s">
        <v>461</v>
      </c>
      <c r="C16" s="274">
        <f t="shared" si="1"/>
        <v>2.1222190799396687E-4</v>
      </c>
      <c r="D16" s="890">
        <v>3</v>
      </c>
      <c r="E16" s="280">
        <v>1</v>
      </c>
      <c r="F16" s="280">
        <v>1</v>
      </c>
      <c r="G16" s="280">
        <v>200</v>
      </c>
      <c r="H16" s="281"/>
      <c r="I16" s="281">
        <v>2.3148148148148146E-4</v>
      </c>
      <c r="J16" s="281">
        <v>1.3888888888888889E-3</v>
      </c>
      <c r="K16" s="1074" t="s">
        <v>1982</v>
      </c>
      <c r="L16" s="995">
        <f t="shared" si="28"/>
        <v>0.81451589257268009</v>
      </c>
      <c r="M16" s="453">
        <v>1</v>
      </c>
      <c r="N16" s="281">
        <f t="shared" si="15"/>
        <v>3.318145634322105E-3</v>
      </c>
      <c r="O16" s="281">
        <f t="shared" si="16"/>
        <v>1.6977752639517349E-3</v>
      </c>
      <c r="P16" s="298">
        <f t="shared" si="17"/>
        <v>1.6977752639517349E-3</v>
      </c>
      <c r="Q16" s="333">
        <v>129</v>
      </c>
      <c r="R16" s="280">
        <f t="shared" si="18"/>
        <v>200</v>
      </c>
      <c r="S16" s="229">
        <f t="shared" si="19"/>
        <v>0.2</v>
      </c>
      <c r="T16" s="230">
        <f t="shared" si="20"/>
        <v>6.7911010558069397E-3</v>
      </c>
      <c r="U16" s="374">
        <f t="shared" si="21"/>
        <v>0</v>
      </c>
      <c r="V16" s="375">
        <f t="shared" si="22"/>
        <v>0</v>
      </c>
      <c r="W16" s="376">
        <f t="shared" si="23"/>
        <v>0.2</v>
      </c>
      <c r="X16" s="377">
        <f t="shared" si="24"/>
        <v>0</v>
      </c>
      <c r="Y16" s="378">
        <f t="shared" si="25"/>
        <v>0</v>
      </c>
      <c r="Z16" s="379">
        <f t="shared" si="26"/>
        <v>0</v>
      </c>
      <c r="AA16" s="380">
        <f t="shared" si="27"/>
        <v>0</v>
      </c>
      <c r="AB16" s="225"/>
      <c r="AC16" s="231"/>
      <c r="AD16" s="231"/>
      <c r="AE16" s="231"/>
      <c r="AF16" s="231"/>
      <c r="AG16" s="231"/>
      <c r="AH16" s="231"/>
      <c r="AI16" s="225"/>
      <c r="AJ16" s="225"/>
      <c r="AK16" s="225"/>
      <c r="AL16" s="225"/>
      <c r="AM16" s="225"/>
      <c r="AN16" s="225"/>
    </row>
    <row r="17" spans="1:40" s="228" customFormat="1" ht="16.25" customHeight="1">
      <c r="A17" s="1116" t="s">
        <v>458</v>
      </c>
      <c r="B17" s="1116" t="s">
        <v>461</v>
      </c>
      <c r="C17" s="274">
        <f t="shared" si="1"/>
        <v>1.8229166666666673E-4</v>
      </c>
      <c r="D17" s="4558">
        <v>6</v>
      </c>
      <c r="E17" s="4559">
        <v>2</v>
      </c>
      <c r="F17" s="4559">
        <v>4</v>
      </c>
      <c r="G17" s="4559">
        <v>35</v>
      </c>
      <c r="H17" s="4559"/>
      <c r="I17" s="4560">
        <v>3.4722222222222224E-4</v>
      </c>
      <c r="J17" s="4560">
        <v>6.9444444444444441E-3</v>
      </c>
      <c r="K17" s="4561" t="s">
        <v>974</v>
      </c>
      <c r="L17" s="4560">
        <f t="shared" si="28"/>
        <v>0.81783403820700218</v>
      </c>
      <c r="M17" s="4562">
        <v>1.07</v>
      </c>
      <c r="N17" s="4560">
        <f t="shared" ref="N17" si="29">P17*E17*F17+I17*E17*F17+J17*E17</f>
        <v>1.885125E-2</v>
      </c>
      <c r="O17" s="4563">
        <f>C17*(G17/25)</f>
        <v>2.5520833333333342E-4</v>
      </c>
      <c r="P17" s="4564">
        <f t="shared" ref="P17:P19" si="30">O17*M17</f>
        <v>2.7307291666666674E-4</v>
      </c>
      <c r="Q17" s="4565">
        <v>177</v>
      </c>
      <c r="R17" s="4559">
        <f t="shared" ref="R17:R19" si="31">E17*F17*G17</f>
        <v>280</v>
      </c>
      <c r="S17" s="229">
        <f t="shared" si="19"/>
        <v>0.28000000000000003</v>
      </c>
      <c r="T17" s="230">
        <f t="shared" si="20"/>
        <v>8.1666666666666693E-3</v>
      </c>
      <c r="U17" s="374">
        <f t="shared" si="21"/>
        <v>0</v>
      </c>
      <c r="V17" s="375">
        <f t="shared" si="22"/>
        <v>0</v>
      </c>
      <c r="W17" s="376">
        <f t="shared" si="23"/>
        <v>0</v>
      </c>
      <c r="X17" s="377">
        <f t="shared" si="24"/>
        <v>0</v>
      </c>
      <c r="Y17" s="378">
        <f t="shared" si="25"/>
        <v>0</v>
      </c>
      <c r="Z17" s="379">
        <f t="shared" si="26"/>
        <v>0.28000000000000003</v>
      </c>
      <c r="AA17" s="380">
        <f t="shared" si="27"/>
        <v>0</v>
      </c>
      <c r="AB17" s="225"/>
      <c r="AC17" s="231"/>
      <c r="AD17" s="231"/>
      <c r="AE17" s="231"/>
      <c r="AF17" s="231"/>
      <c r="AG17" s="231"/>
      <c r="AH17" s="231"/>
      <c r="AI17" s="225"/>
      <c r="AJ17" s="225"/>
      <c r="AK17" s="225"/>
      <c r="AL17" s="225"/>
      <c r="AM17" s="225"/>
      <c r="AN17" s="225"/>
    </row>
    <row r="18" spans="1:40" s="228" customFormat="1" ht="16.25" customHeight="1">
      <c r="A18" s="1116" t="s">
        <v>219</v>
      </c>
      <c r="B18" s="1116" t="s">
        <v>461</v>
      </c>
      <c r="C18" s="274">
        <f t="shared" si="1"/>
        <v>2.1908757716049393E-4</v>
      </c>
      <c r="D18" s="890">
        <v>2</v>
      </c>
      <c r="E18" s="300">
        <v>1</v>
      </c>
      <c r="F18" s="300">
        <v>2</v>
      </c>
      <c r="G18" s="300">
        <v>20</v>
      </c>
      <c r="H18" s="300"/>
      <c r="I18" s="301">
        <v>1.3888888888888889E-4</v>
      </c>
      <c r="J18" s="301">
        <v>1.3888888888888889E-3</v>
      </c>
      <c r="K18" s="1123" t="s">
        <v>894</v>
      </c>
      <c r="L18" s="994">
        <f t="shared" si="28"/>
        <v>0.83668528820700216</v>
      </c>
      <c r="M18" s="455">
        <v>1.2</v>
      </c>
      <c r="N18" s="301">
        <f>P18*E18*F18+I18*E18*F18+J18*E18</f>
        <v>2.0873148148148153E-3</v>
      </c>
      <c r="O18" s="302">
        <f t="shared" ref="O18" si="32">C18*(G18/25)</f>
        <v>1.7527006172839515E-4</v>
      </c>
      <c r="P18" s="302">
        <f t="shared" si="30"/>
        <v>2.1032407407407417E-4</v>
      </c>
      <c r="Q18" s="550">
        <v>146</v>
      </c>
      <c r="R18" s="369">
        <f t="shared" si="31"/>
        <v>40</v>
      </c>
      <c r="S18" s="229">
        <f t="shared" si="19"/>
        <v>0.04</v>
      </c>
      <c r="T18" s="230">
        <f t="shared" si="20"/>
        <v>1.4021604938271612E-3</v>
      </c>
      <c r="U18" s="374">
        <f t="shared" si="21"/>
        <v>0</v>
      </c>
      <c r="V18" s="375">
        <f t="shared" si="22"/>
        <v>0.04</v>
      </c>
      <c r="W18" s="376">
        <f t="shared" si="23"/>
        <v>0</v>
      </c>
      <c r="X18" s="377">
        <f t="shared" si="24"/>
        <v>0</v>
      </c>
      <c r="Y18" s="378">
        <f t="shared" si="25"/>
        <v>0</v>
      </c>
      <c r="Z18" s="379">
        <f t="shared" si="26"/>
        <v>0</v>
      </c>
      <c r="AA18" s="380">
        <f t="shared" si="27"/>
        <v>0</v>
      </c>
      <c r="AB18" s="225"/>
      <c r="AC18" s="231"/>
      <c r="AD18" s="231"/>
      <c r="AE18" s="231"/>
      <c r="AF18" s="231"/>
      <c r="AG18" s="231"/>
      <c r="AH18" s="231"/>
      <c r="AI18" s="225"/>
      <c r="AJ18" s="225"/>
      <c r="AK18" s="225"/>
      <c r="AL18" s="225"/>
      <c r="AM18" s="225"/>
      <c r="AN18" s="225"/>
    </row>
    <row r="19" spans="1:40" s="228" customFormat="1" ht="16.25" customHeight="1">
      <c r="A19" s="401"/>
      <c r="B19" s="1116" t="s">
        <v>461</v>
      </c>
      <c r="C19" s="274">
        <f t="shared" si="1"/>
        <v>1.8229166666666673E-4</v>
      </c>
      <c r="D19" s="4558">
        <v>6</v>
      </c>
      <c r="E19" s="4559">
        <v>2</v>
      </c>
      <c r="F19" s="4559">
        <v>5</v>
      </c>
      <c r="G19" s="4559">
        <v>25</v>
      </c>
      <c r="H19" s="4559"/>
      <c r="I19" s="4560">
        <v>4.6296296296296293E-4</v>
      </c>
      <c r="J19" s="4560">
        <v>3.472222222222222E-3</v>
      </c>
      <c r="K19" s="4561" t="s">
        <v>974</v>
      </c>
      <c r="L19" s="4560">
        <f t="shared" si="28"/>
        <v>0.838772603021817</v>
      </c>
      <c r="M19" s="4562">
        <v>1.05</v>
      </c>
      <c r="N19" s="4560">
        <f t="shared" ref="N19" si="33">P19*E19*F19+I19*E19*F19+J19*E19</f>
        <v>1.3526417824074075E-2</v>
      </c>
      <c r="O19" s="4563">
        <f>C19*(G19/25)*1.02</f>
        <v>1.8593750000000007E-4</v>
      </c>
      <c r="P19" s="4564">
        <f t="shared" si="30"/>
        <v>1.9523437500000007E-4</v>
      </c>
      <c r="Q19" s="4565">
        <v>177</v>
      </c>
      <c r="R19" s="4559">
        <f t="shared" si="31"/>
        <v>250</v>
      </c>
      <c r="S19" s="229">
        <f t="shared" si="19"/>
        <v>0.25</v>
      </c>
      <c r="T19" s="230">
        <f t="shared" si="20"/>
        <v>7.4375000000000031E-3</v>
      </c>
      <c r="U19" s="374">
        <f t="shared" si="21"/>
        <v>0</v>
      </c>
      <c r="V19" s="375">
        <f t="shared" si="22"/>
        <v>0</v>
      </c>
      <c r="W19" s="376">
        <f t="shared" si="23"/>
        <v>0</v>
      </c>
      <c r="X19" s="377">
        <f t="shared" si="24"/>
        <v>0</v>
      </c>
      <c r="Y19" s="378">
        <f t="shared" si="25"/>
        <v>0</v>
      </c>
      <c r="Z19" s="379">
        <f t="shared" si="26"/>
        <v>0.25</v>
      </c>
      <c r="AA19" s="380">
        <f t="shared" si="27"/>
        <v>0</v>
      </c>
      <c r="AB19" s="225"/>
      <c r="AC19" s="231"/>
      <c r="AD19" s="231"/>
      <c r="AE19" s="231"/>
      <c r="AF19" s="231"/>
      <c r="AG19" s="231"/>
      <c r="AH19" s="231"/>
      <c r="AI19" s="225"/>
      <c r="AJ19" s="225"/>
      <c r="AK19" s="225"/>
      <c r="AL19" s="225"/>
      <c r="AM19" s="225"/>
      <c r="AN19" s="225"/>
    </row>
    <row r="20" spans="1:40" s="228" customFormat="1" ht="16.25" customHeight="1">
      <c r="A20" s="401"/>
      <c r="B20" s="1116" t="s">
        <v>461</v>
      </c>
      <c r="C20" s="274">
        <f t="shared" si="1"/>
        <v>0</v>
      </c>
      <c r="D20" s="899"/>
      <c r="E20" s="336"/>
      <c r="F20" s="336"/>
      <c r="G20" s="336"/>
      <c r="H20" s="336"/>
      <c r="I20" s="336"/>
      <c r="J20" s="336"/>
      <c r="K20" s="336"/>
      <c r="L20" s="1003">
        <f t="shared" si="28"/>
        <v>0.85229902084589104</v>
      </c>
      <c r="M20" s="448"/>
      <c r="N20" s="4642">
        <f>SUM(N14:N19)</f>
        <v>4.6743465290335642E-2</v>
      </c>
      <c r="O20" s="336"/>
      <c r="P20" s="336"/>
      <c r="Q20" s="336"/>
      <c r="R20" s="363">
        <f>SUM(R14:R19)</f>
        <v>1570</v>
      </c>
      <c r="S20" s="229">
        <f t="shared" si="19"/>
        <v>0</v>
      </c>
      <c r="T20" s="230">
        <f t="shared" si="20"/>
        <v>0</v>
      </c>
      <c r="U20" s="374">
        <f t="shared" si="21"/>
        <v>0</v>
      </c>
      <c r="V20" s="375">
        <f t="shared" si="22"/>
        <v>0</v>
      </c>
      <c r="W20" s="376">
        <f t="shared" si="23"/>
        <v>0</v>
      </c>
      <c r="X20" s="377">
        <f t="shared" si="24"/>
        <v>0</v>
      </c>
      <c r="Y20" s="378">
        <f t="shared" si="25"/>
        <v>0</v>
      </c>
      <c r="Z20" s="379">
        <f t="shared" si="26"/>
        <v>0</v>
      </c>
      <c r="AA20" s="380">
        <f t="shared" si="27"/>
        <v>0</v>
      </c>
      <c r="AB20" s="225"/>
      <c r="AC20" s="231"/>
      <c r="AD20" s="231"/>
      <c r="AE20" s="231"/>
      <c r="AF20" s="231"/>
      <c r="AG20" s="231"/>
      <c r="AH20" s="231"/>
      <c r="AI20" s="225"/>
      <c r="AJ20" s="225"/>
      <c r="AK20" s="225"/>
      <c r="AL20" s="225"/>
      <c r="AM20" s="225"/>
      <c r="AN20" s="225"/>
    </row>
    <row r="21" spans="1:40" ht="15" customHeight="1">
      <c r="A21" s="397" t="s">
        <v>215</v>
      </c>
      <c r="B21" s="1124" t="s">
        <v>461</v>
      </c>
      <c r="C21" s="274">
        <f t="shared" si="1"/>
        <v>2.2880964381720439E-4</v>
      </c>
      <c r="D21" s="547">
        <v>1</v>
      </c>
      <c r="E21" s="275">
        <v>1</v>
      </c>
      <c r="F21" s="275">
        <v>2</v>
      </c>
      <c r="G21" s="275">
        <v>300</v>
      </c>
      <c r="H21" s="276"/>
      <c r="I21" s="276">
        <v>1.1574074074074073E-4</v>
      </c>
      <c r="J21" s="276">
        <v>1.3888888888888889E-3</v>
      </c>
      <c r="K21" s="312" t="s">
        <v>762</v>
      </c>
      <c r="L21" s="1008">
        <v>0.80555555555555547</v>
      </c>
      <c r="M21" s="451">
        <v>0.9</v>
      </c>
      <c r="N21" s="276">
        <f>P21*E21*F21+I21*E21*F21+J21*E21</f>
        <v>6.5626586768219863E-3</v>
      </c>
      <c r="O21" s="296">
        <f t="shared" ref="O21:O26" si="34">C21*(G21/25)</f>
        <v>2.7457157258064528E-3</v>
      </c>
      <c r="P21" s="296">
        <f t="shared" ref="P21:P26" si="35">O21*M21</f>
        <v>2.4711441532258077E-3</v>
      </c>
      <c r="Q21" s="548">
        <v>129</v>
      </c>
      <c r="R21" s="275">
        <f t="shared" ref="R21:R26" si="36">E21*F21*G21</f>
        <v>600</v>
      </c>
      <c r="S21" s="229">
        <f t="shared" si="19"/>
        <v>0.6</v>
      </c>
      <c r="T21" s="230">
        <f t="shared" si="20"/>
        <v>2.1965725806451623E-2</v>
      </c>
      <c r="U21" s="374">
        <f t="shared" si="21"/>
        <v>0.6</v>
      </c>
      <c r="V21" s="375">
        <f t="shared" si="22"/>
        <v>0</v>
      </c>
      <c r="W21" s="376">
        <f t="shared" si="23"/>
        <v>0</v>
      </c>
      <c r="X21" s="377">
        <f t="shared" si="24"/>
        <v>0</v>
      </c>
      <c r="Y21" s="378">
        <f t="shared" si="25"/>
        <v>0</v>
      </c>
      <c r="Z21" s="379">
        <f t="shared" si="26"/>
        <v>0</v>
      </c>
      <c r="AA21" s="380">
        <f t="shared" si="27"/>
        <v>0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</row>
    <row r="22" spans="1:40" ht="15" customHeight="1">
      <c r="A22" s="397" t="s">
        <v>138</v>
      </c>
      <c r="B22" s="403" t="s">
        <v>461</v>
      </c>
      <c r="C22" s="274">
        <f t="shared" si="1"/>
        <v>2.1908757716049393E-4</v>
      </c>
      <c r="D22" s="890">
        <v>2</v>
      </c>
      <c r="E22" s="300">
        <v>1</v>
      </c>
      <c r="F22" s="300">
        <v>2</v>
      </c>
      <c r="G22" s="300">
        <v>400</v>
      </c>
      <c r="H22" s="301">
        <v>5.5555555555555558E-3</v>
      </c>
      <c r="I22" s="301"/>
      <c r="J22" s="301">
        <v>1.3888888888888889E-3</v>
      </c>
      <c r="K22" s="314" t="s">
        <v>703</v>
      </c>
      <c r="L22" s="994">
        <f t="shared" ref="L22:L27" si="37">L21+N21</f>
        <v>0.81211821423237751</v>
      </c>
      <c r="M22" s="455">
        <v>1</v>
      </c>
      <c r="N22" s="301">
        <f>H22*F22*E22</f>
        <v>1.1111111111111112E-2</v>
      </c>
      <c r="O22" s="302">
        <f t="shared" si="34"/>
        <v>3.5054012345679029E-3</v>
      </c>
      <c r="P22" s="302">
        <f t="shared" si="35"/>
        <v>3.5054012345679029E-3</v>
      </c>
      <c r="Q22" s="550">
        <v>146</v>
      </c>
      <c r="R22" s="369">
        <f t="shared" si="36"/>
        <v>800</v>
      </c>
      <c r="S22" s="229">
        <f t="shared" si="19"/>
        <v>0.8</v>
      </c>
      <c r="T22" s="230">
        <f t="shared" si="20"/>
        <v>2.8043209876543223E-2</v>
      </c>
      <c r="U22" s="374">
        <f t="shared" si="21"/>
        <v>0</v>
      </c>
      <c r="V22" s="375">
        <f t="shared" si="22"/>
        <v>0.8</v>
      </c>
      <c r="W22" s="376">
        <f t="shared" si="23"/>
        <v>0</v>
      </c>
      <c r="X22" s="377">
        <f t="shared" si="24"/>
        <v>0</v>
      </c>
      <c r="Y22" s="378">
        <f t="shared" si="25"/>
        <v>0</v>
      </c>
      <c r="Z22" s="379">
        <f t="shared" si="26"/>
        <v>0</v>
      </c>
      <c r="AA22" s="380">
        <f t="shared" si="27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</row>
    <row r="23" spans="1:40" ht="14" customHeight="1">
      <c r="A23" s="397" t="s">
        <v>462</v>
      </c>
      <c r="B23" s="403" t="s">
        <v>461</v>
      </c>
      <c r="C23" s="274">
        <f t="shared" si="1"/>
        <v>2.1222190799396687E-4</v>
      </c>
      <c r="D23" s="891">
        <v>3</v>
      </c>
      <c r="E23" s="280">
        <v>1</v>
      </c>
      <c r="F23" s="280">
        <v>12</v>
      </c>
      <c r="G23" s="280">
        <v>50</v>
      </c>
      <c r="H23" s="281"/>
      <c r="I23" s="281">
        <v>8.1018518518518516E-5</v>
      </c>
      <c r="J23" s="281">
        <v>1.3888888888888889E-3</v>
      </c>
      <c r="K23" s="1073" t="s">
        <v>2267</v>
      </c>
      <c r="L23" s="995">
        <f t="shared" si="37"/>
        <v>0.82322932534348858</v>
      </c>
      <c r="M23" s="453">
        <v>1</v>
      </c>
      <c r="N23" s="281">
        <f>P23*E23*F23+I23*E23*F23+J23*E23</f>
        <v>7.4544369029663164E-3</v>
      </c>
      <c r="O23" s="298">
        <f t="shared" si="34"/>
        <v>4.2444381598793373E-4</v>
      </c>
      <c r="P23" s="298">
        <f t="shared" si="35"/>
        <v>4.2444381598793373E-4</v>
      </c>
      <c r="Q23" s="333">
        <v>164</v>
      </c>
      <c r="R23" s="280">
        <f t="shared" si="36"/>
        <v>600</v>
      </c>
      <c r="S23" s="229">
        <f t="shared" si="19"/>
        <v>0.6</v>
      </c>
      <c r="T23" s="230">
        <f t="shared" si="20"/>
        <v>2.0373303167420819E-2</v>
      </c>
      <c r="U23" s="374">
        <f t="shared" si="21"/>
        <v>0</v>
      </c>
      <c r="V23" s="375">
        <f t="shared" si="22"/>
        <v>0</v>
      </c>
      <c r="W23" s="376">
        <f t="shared" si="23"/>
        <v>0.6</v>
      </c>
      <c r="X23" s="377">
        <f t="shared" si="24"/>
        <v>0</v>
      </c>
      <c r="Y23" s="378">
        <f t="shared" si="25"/>
        <v>0</v>
      </c>
      <c r="Z23" s="379">
        <f t="shared" si="26"/>
        <v>0</v>
      </c>
      <c r="AA23" s="380">
        <f t="shared" si="27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</row>
    <row r="24" spans="1:40" ht="17" customHeight="1">
      <c r="A24" s="397" t="s">
        <v>461</v>
      </c>
      <c r="B24" s="403" t="s">
        <v>461</v>
      </c>
      <c r="C24" s="274">
        <f t="shared" si="1"/>
        <v>1.8933937422552669E-4</v>
      </c>
      <c r="D24" s="894">
        <v>5</v>
      </c>
      <c r="E24" s="308">
        <v>5</v>
      </c>
      <c r="F24" s="308">
        <v>1</v>
      </c>
      <c r="G24" s="309">
        <v>100</v>
      </c>
      <c r="H24" s="306"/>
      <c r="I24" s="306">
        <v>5.7870370370370366E-5</v>
      </c>
      <c r="J24" s="306">
        <v>2.0833333333333333E-3</v>
      </c>
      <c r="K24" s="534" t="s">
        <v>1304</v>
      </c>
      <c r="L24" s="1005">
        <f t="shared" si="37"/>
        <v>0.8306837622464549</v>
      </c>
      <c r="M24" s="452">
        <v>1</v>
      </c>
      <c r="N24" s="306">
        <f>P24*E24*F24+I24*E24*F24+J24*E24</f>
        <v>1.4492806003029051E-2</v>
      </c>
      <c r="O24" s="305">
        <f t="shared" si="34"/>
        <v>7.5735749690210676E-4</v>
      </c>
      <c r="P24" s="585">
        <f t="shared" si="35"/>
        <v>7.5735749690210676E-4</v>
      </c>
      <c r="Q24" s="786" t="s">
        <v>278</v>
      </c>
      <c r="R24" s="290">
        <f t="shared" si="36"/>
        <v>500</v>
      </c>
      <c r="S24" s="229">
        <f t="shared" si="19"/>
        <v>0.5</v>
      </c>
      <c r="T24" s="230">
        <f t="shared" si="20"/>
        <v>1.5147149938042136E-2</v>
      </c>
      <c r="U24" s="374">
        <f t="shared" si="21"/>
        <v>0</v>
      </c>
      <c r="V24" s="375">
        <f t="shared" si="22"/>
        <v>0</v>
      </c>
      <c r="W24" s="376">
        <f t="shared" si="23"/>
        <v>0</v>
      </c>
      <c r="X24" s="377">
        <f t="shared" si="24"/>
        <v>0</v>
      </c>
      <c r="Y24" s="378">
        <f t="shared" si="25"/>
        <v>0.5</v>
      </c>
      <c r="Z24" s="379">
        <f t="shared" si="26"/>
        <v>0</v>
      </c>
      <c r="AA24" s="380">
        <f t="shared" si="27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</row>
    <row r="25" spans="1:40" ht="14" customHeight="1" thickBot="1">
      <c r="A25" s="397" t="s">
        <v>458</v>
      </c>
      <c r="B25" s="403" t="s">
        <v>461</v>
      </c>
      <c r="C25" s="274">
        <f t="shared" si="1"/>
        <v>2.0247664488766629E-4</v>
      </c>
      <c r="D25" s="1304">
        <v>4</v>
      </c>
      <c r="E25" s="1372">
        <v>1</v>
      </c>
      <c r="F25" s="1370">
        <v>8</v>
      </c>
      <c r="G25" s="303">
        <v>50</v>
      </c>
      <c r="H25" s="304"/>
      <c r="I25" s="304">
        <v>1.3888888888888889E-4</v>
      </c>
      <c r="J25" s="304">
        <v>1.3888888888888889E-3</v>
      </c>
      <c r="K25" s="1373" t="s">
        <v>186</v>
      </c>
      <c r="L25" s="996">
        <f t="shared" si="37"/>
        <v>0.84517656824948395</v>
      </c>
      <c r="M25" s="457">
        <v>1</v>
      </c>
      <c r="N25" s="304">
        <f>P25*E25*F25+I25*E25*F25+J25*E25</f>
        <v>5.7396263182026607E-3</v>
      </c>
      <c r="O25" s="297">
        <f t="shared" si="34"/>
        <v>4.0495328977533258E-4</v>
      </c>
      <c r="P25" s="297">
        <f t="shared" si="35"/>
        <v>4.0495328977533258E-4</v>
      </c>
      <c r="Q25" s="334">
        <v>146</v>
      </c>
      <c r="R25" s="303">
        <f t="shared" si="36"/>
        <v>400</v>
      </c>
      <c r="S25" s="229">
        <f t="shared" si="19"/>
        <v>0.4</v>
      </c>
      <c r="T25" s="230">
        <f t="shared" si="20"/>
        <v>1.2958505272810643E-2</v>
      </c>
      <c r="U25" s="374">
        <f t="shared" si="21"/>
        <v>0</v>
      </c>
      <c r="V25" s="375">
        <f t="shared" si="22"/>
        <v>0</v>
      </c>
      <c r="W25" s="376">
        <f t="shared" si="23"/>
        <v>0</v>
      </c>
      <c r="X25" s="377">
        <f t="shared" si="24"/>
        <v>0.4</v>
      </c>
      <c r="Y25" s="378">
        <f t="shared" si="25"/>
        <v>0</v>
      </c>
      <c r="Z25" s="379">
        <f t="shared" si="26"/>
        <v>0</v>
      </c>
      <c r="AA25" s="380">
        <f t="shared" si="27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</row>
    <row r="26" spans="1:40" ht="15" customHeight="1">
      <c r="A26" s="397" t="s">
        <v>219</v>
      </c>
      <c r="B26" s="403" t="s">
        <v>461</v>
      </c>
      <c r="C26" s="274">
        <f t="shared" si="1"/>
        <v>1.7682291666666674E-4</v>
      </c>
      <c r="D26" s="293">
        <v>7</v>
      </c>
      <c r="E26" s="444">
        <v>1</v>
      </c>
      <c r="F26" s="444">
        <v>6</v>
      </c>
      <c r="G26" s="444">
        <v>25</v>
      </c>
      <c r="H26" s="434"/>
      <c r="I26" s="434">
        <v>4.6296296296296293E-4</v>
      </c>
      <c r="J26" s="434">
        <v>6.9444444444444447E-4</v>
      </c>
      <c r="K26" s="443" t="s">
        <v>1374</v>
      </c>
      <c r="L26" s="1007">
        <f t="shared" si="37"/>
        <v>0.85091619456768663</v>
      </c>
      <c r="M26" s="519">
        <v>1</v>
      </c>
      <c r="N26" s="434">
        <f>P26*E26*F26+I26*E26*F26+J26*E26</f>
        <v>4.5331597222222223E-3</v>
      </c>
      <c r="O26" s="436">
        <f t="shared" si="34"/>
        <v>1.7682291666666674E-4</v>
      </c>
      <c r="P26" s="439">
        <f t="shared" si="35"/>
        <v>1.7682291666666674E-4</v>
      </c>
      <c r="Q26" s="446">
        <v>129</v>
      </c>
      <c r="R26" s="435">
        <f t="shared" si="36"/>
        <v>150</v>
      </c>
      <c r="S26" s="229">
        <f t="shared" si="19"/>
        <v>0.15</v>
      </c>
      <c r="T26" s="230">
        <f t="shared" si="20"/>
        <v>4.2437500000000019E-3</v>
      </c>
      <c r="U26" s="374">
        <f t="shared" si="21"/>
        <v>0</v>
      </c>
      <c r="V26" s="375">
        <f t="shared" si="22"/>
        <v>0</v>
      </c>
      <c r="W26" s="376">
        <f t="shared" si="23"/>
        <v>0</v>
      </c>
      <c r="X26" s="377">
        <f t="shared" si="24"/>
        <v>0</v>
      </c>
      <c r="Y26" s="378">
        <f t="shared" si="25"/>
        <v>0</v>
      </c>
      <c r="Z26" s="379">
        <f t="shared" si="26"/>
        <v>0</v>
      </c>
      <c r="AA26" s="380">
        <f t="shared" si="27"/>
        <v>0.15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</row>
    <row r="27" spans="1:40" ht="15" customHeight="1" thickBot="1">
      <c r="A27" s="397"/>
      <c r="B27" s="403"/>
      <c r="C27" s="274">
        <f t="shared" si="1"/>
        <v>0</v>
      </c>
      <c r="D27" s="959"/>
      <c r="E27" s="642"/>
      <c r="F27" s="642"/>
      <c r="G27" s="642"/>
      <c r="H27" s="642"/>
      <c r="I27" s="642"/>
      <c r="J27" s="642"/>
      <c r="K27" s="642"/>
      <c r="L27" s="1003">
        <f t="shared" si="37"/>
        <v>0.85544935428990887</v>
      </c>
      <c r="M27" s="643"/>
      <c r="N27" s="644">
        <f>SUM(N21:N26)</f>
        <v>4.9893798734353352E-2</v>
      </c>
      <c r="O27" s="642"/>
      <c r="P27" s="642"/>
      <c r="Q27" s="642"/>
      <c r="R27" s="645">
        <f>SUM(R21:R26)</f>
        <v>3050</v>
      </c>
      <c r="S27" s="229">
        <f t="shared" si="19"/>
        <v>0</v>
      </c>
      <c r="T27" s="230">
        <f t="shared" si="20"/>
        <v>0</v>
      </c>
      <c r="U27" s="374">
        <f t="shared" si="21"/>
        <v>0</v>
      </c>
      <c r="V27" s="375">
        <f t="shared" si="22"/>
        <v>0</v>
      </c>
      <c r="W27" s="376">
        <f t="shared" si="23"/>
        <v>0</v>
      </c>
      <c r="X27" s="377">
        <f t="shared" si="24"/>
        <v>0</v>
      </c>
      <c r="Y27" s="378">
        <f t="shared" si="25"/>
        <v>0</v>
      </c>
      <c r="Z27" s="379">
        <f t="shared" si="26"/>
        <v>0</v>
      </c>
      <c r="AA27" s="380">
        <f t="shared" si="27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40" ht="15" customHeight="1" thickBot="1">
      <c r="A28" s="398"/>
      <c r="B28" s="402" t="s">
        <v>215</v>
      </c>
      <c r="C28" s="274">
        <f t="shared" si="1"/>
        <v>2.1908757716049393E-4</v>
      </c>
      <c r="D28" s="4614">
        <v>2</v>
      </c>
      <c r="E28" s="4615">
        <v>1</v>
      </c>
      <c r="F28" s="4615">
        <v>4</v>
      </c>
      <c r="G28" s="4615">
        <v>200</v>
      </c>
      <c r="H28" s="4615"/>
      <c r="I28" s="4616">
        <v>1.1574074074074073E-4</v>
      </c>
      <c r="J28" s="4616">
        <v>1.3888888888888889E-3</v>
      </c>
      <c r="K28" s="1123" t="s">
        <v>762</v>
      </c>
      <c r="L28" s="1149">
        <v>0.34027777777777773</v>
      </c>
      <c r="M28" s="4617">
        <v>0.9</v>
      </c>
      <c r="N28" s="4616">
        <f>P28*E28*F28+I28*E28*F28+J28*E28</f>
        <v>8.1615740740740763E-3</v>
      </c>
      <c r="O28" s="302">
        <f>C28*(G28/25)</f>
        <v>1.7527006172839514E-3</v>
      </c>
      <c r="P28" s="302">
        <f>O28*M28</f>
        <v>1.5774305555555563E-3</v>
      </c>
      <c r="Q28" s="550">
        <v>129</v>
      </c>
      <c r="R28" s="4618">
        <f>E28*F28*G28</f>
        <v>800</v>
      </c>
      <c r="S28" s="229">
        <f t="shared" si="19"/>
        <v>0.8</v>
      </c>
      <c r="T28" s="230">
        <f t="shared" si="20"/>
        <v>2.8043209876543223E-2</v>
      </c>
      <c r="U28" s="374">
        <f t="shared" si="21"/>
        <v>0</v>
      </c>
      <c r="V28" s="375">
        <f t="shared" si="22"/>
        <v>0.8</v>
      </c>
      <c r="W28" s="376">
        <f t="shared" si="23"/>
        <v>0</v>
      </c>
      <c r="X28" s="377">
        <f t="shared" si="24"/>
        <v>0</v>
      </c>
      <c r="Y28" s="378">
        <f t="shared" si="25"/>
        <v>0</v>
      </c>
      <c r="Z28" s="379">
        <f t="shared" si="26"/>
        <v>0</v>
      </c>
      <c r="AA28" s="380">
        <f t="shared" si="27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40" ht="15" customHeight="1" thickBot="1">
      <c r="A29" s="398"/>
      <c r="B29" s="402" t="s">
        <v>215</v>
      </c>
      <c r="C29" s="274">
        <f t="shared" si="1"/>
        <v>1.8229166666666673E-4</v>
      </c>
      <c r="D29" s="4619">
        <v>6</v>
      </c>
      <c r="E29" s="4620">
        <v>2</v>
      </c>
      <c r="F29" s="4620">
        <v>6</v>
      </c>
      <c r="G29" s="4620">
        <v>35</v>
      </c>
      <c r="H29" s="4620"/>
      <c r="I29" s="4621">
        <v>3.4722222222222224E-4</v>
      </c>
      <c r="J29" s="4621">
        <v>6.9444444444444441E-3</v>
      </c>
      <c r="K29" s="4561" t="s">
        <v>974</v>
      </c>
      <c r="L29" s="4621">
        <f t="shared" ref="L29:L30" si="38">L28+N28</f>
        <v>0.34843935185185182</v>
      </c>
      <c r="M29" s="4622">
        <v>1.07</v>
      </c>
      <c r="N29" s="4621">
        <f t="shared" ref="N29" si="39">P29*E29*F29+I29*E29*F29+J29*E29</f>
        <v>2.1332430555555556E-2</v>
      </c>
      <c r="O29" s="4563">
        <f>C29*(G29/25)</f>
        <v>2.5520833333333342E-4</v>
      </c>
      <c r="P29" s="4564">
        <f t="shared" ref="P29:P31" si="40">O29*M29</f>
        <v>2.7307291666666674E-4</v>
      </c>
      <c r="Q29" s="4623">
        <v>177</v>
      </c>
      <c r="R29" s="4620">
        <f t="shared" ref="R29:R31" si="41">E29*F29*G29</f>
        <v>420</v>
      </c>
      <c r="S29" s="229">
        <f t="shared" si="19"/>
        <v>0.42</v>
      </c>
      <c r="T29" s="230">
        <f t="shared" si="20"/>
        <v>1.2250000000000004E-2</v>
      </c>
      <c r="U29" s="374">
        <f t="shared" si="21"/>
        <v>0</v>
      </c>
      <c r="V29" s="375">
        <f t="shared" si="22"/>
        <v>0</v>
      </c>
      <c r="W29" s="376">
        <f t="shared" si="23"/>
        <v>0</v>
      </c>
      <c r="X29" s="377">
        <f t="shared" si="24"/>
        <v>0</v>
      </c>
      <c r="Y29" s="378">
        <f t="shared" si="25"/>
        <v>0</v>
      </c>
      <c r="Z29" s="379">
        <f t="shared" si="26"/>
        <v>0.42</v>
      </c>
      <c r="AA29" s="380">
        <f t="shared" si="27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</row>
    <row r="30" spans="1:40" ht="15" customHeight="1" thickBot="1">
      <c r="A30" s="398"/>
      <c r="B30" s="402" t="s">
        <v>215</v>
      </c>
      <c r="C30" s="274">
        <f t="shared" si="1"/>
        <v>2.1908757716049393E-4</v>
      </c>
      <c r="D30" s="4614">
        <v>2</v>
      </c>
      <c r="E30" s="4615">
        <v>1</v>
      </c>
      <c r="F30" s="4615">
        <v>2</v>
      </c>
      <c r="G30" s="4615">
        <v>20</v>
      </c>
      <c r="H30" s="4615"/>
      <c r="I30" s="4616">
        <v>1.3888888888888889E-4</v>
      </c>
      <c r="J30" s="4616">
        <v>1.3888888888888889E-3</v>
      </c>
      <c r="K30" s="1123" t="s">
        <v>894</v>
      </c>
      <c r="L30" s="1149">
        <f t="shared" si="38"/>
        <v>0.36977178240740738</v>
      </c>
      <c r="M30" s="4617">
        <v>1.2</v>
      </c>
      <c r="N30" s="4616">
        <f>P30*E30*F30+I30*E30*F30+J30*E30</f>
        <v>2.0873148148148153E-3</v>
      </c>
      <c r="O30" s="302">
        <f t="shared" ref="O30" si="42">C30*(G30/25)</f>
        <v>1.7527006172839515E-4</v>
      </c>
      <c r="P30" s="302">
        <f t="shared" si="40"/>
        <v>2.1032407407407417E-4</v>
      </c>
      <c r="Q30" s="550">
        <v>146</v>
      </c>
      <c r="R30" s="4618">
        <f t="shared" si="41"/>
        <v>40</v>
      </c>
      <c r="S30" s="229">
        <f t="shared" si="19"/>
        <v>0.04</v>
      </c>
      <c r="T30" s="230">
        <f t="shared" si="20"/>
        <v>1.4021604938271612E-3</v>
      </c>
      <c r="U30" s="374">
        <f t="shared" si="21"/>
        <v>0</v>
      </c>
      <c r="V30" s="375">
        <f t="shared" si="22"/>
        <v>0.04</v>
      </c>
      <c r="W30" s="376">
        <f t="shared" si="23"/>
        <v>0</v>
      </c>
      <c r="X30" s="377">
        <f t="shared" si="24"/>
        <v>0</v>
      </c>
      <c r="Y30" s="378">
        <f t="shared" si="25"/>
        <v>0</v>
      </c>
      <c r="Z30" s="379">
        <f t="shared" si="26"/>
        <v>0</v>
      </c>
      <c r="AA30" s="380">
        <f t="shared" si="27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</row>
    <row r="31" spans="1:40" ht="15" customHeight="1" thickBot="1">
      <c r="A31" s="398" t="s">
        <v>215</v>
      </c>
      <c r="B31" s="402" t="s">
        <v>215</v>
      </c>
      <c r="C31" s="274">
        <f t="shared" si="1"/>
        <v>1.8229166666666673E-4</v>
      </c>
      <c r="D31" s="4619">
        <v>6</v>
      </c>
      <c r="E31" s="4620">
        <v>1</v>
      </c>
      <c r="F31" s="4620">
        <v>8</v>
      </c>
      <c r="G31" s="4620">
        <v>25</v>
      </c>
      <c r="H31" s="4620"/>
      <c r="I31" s="4560">
        <v>4.6296296296296293E-4</v>
      </c>
      <c r="J31" s="4621">
        <v>3.472222222222222E-3</v>
      </c>
      <c r="K31" s="4561" t="s">
        <v>974</v>
      </c>
      <c r="L31" s="4621">
        <f>L29+N29</f>
        <v>0.36977178240740738</v>
      </c>
      <c r="M31" s="4622">
        <v>1.05</v>
      </c>
      <c r="N31" s="4621">
        <f t="shared" ref="N31" si="43">P31*E31*F31+I31*E31*F31+J31*E31</f>
        <v>8.7378009259259266E-3</v>
      </c>
      <c r="O31" s="4563">
        <f>C31*(G31/25)*1.02</f>
        <v>1.8593750000000007E-4</v>
      </c>
      <c r="P31" s="4564">
        <f t="shared" si="40"/>
        <v>1.9523437500000007E-4</v>
      </c>
      <c r="Q31" s="4623">
        <v>177</v>
      </c>
      <c r="R31" s="4620">
        <f t="shared" si="41"/>
        <v>200</v>
      </c>
      <c r="S31" s="229">
        <f t="shared" si="19"/>
        <v>0.2</v>
      </c>
      <c r="T31" s="230">
        <f t="shared" si="20"/>
        <v>5.9500000000000022E-3</v>
      </c>
      <c r="U31" s="374">
        <f t="shared" si="21"/>
        <v>0</v>
      </c>
      <c r="V31" s="375">
        <f t="shared" si="22"/>
        <v>0</v>
      </c>
      <c r="W31" s="376">
        <f t="shared" si="23"/>
        <v>0</v>
      </c>
      <c r="X31" s="377">
        <f t="shared" si="24"/>
        <v>0</v>
      </c>
      <c r="Y31" s="378">
        <f t="shared" si="25"/>
        <v>0</v>
      </c>
      <c r="Z31" s="379">
        <f t="shared" si="26"/>
        <v>0.2</v>
      </c>
      <c r="AA31" s="380">
        <f t="shared" si="27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</row>
    <row r="32" spans="1:40" ht="15" customHeight="1" thickBot="1">
      <c r="A32" s="398" t="s">
        <v>139</v>
      </c>
      <c r="B32" s="402" t="s">
        <v>215</v>
      </c>
      <c r="C32" s="274">
        <f t="shared" si="1"/>
        <v>1.7682291666666674E-4</v>
      </c>
      <c r="D32" s="3123">
        <v>7</v>
      </c>
      <c r="E32" s="3124">
        <v>5</v>
      </c>
      <c r="F32" s="3124">
        <v>4</v>
      </c>
      <c r="G32" s="3124">
        <v>25</v>
      </c>
      <c r="H32" s="2377" t="s">
        <v>1508</v>
      </c>
      <c r="I32" s="2377">
        <v>3.4722222222222224E-4</v>
      </c>
      <c r="J32" s="2377">
        <v>6.9444444444444447E-4</v>
      </c>
      <c r="K32" s="3125" t="s">
        <v>1983</v>
      </c>
      <c r="L32" s="2515">
        <f>L30+N30</f>
        <v>0.37185909722222221</v>
      </c>
      <c r="M32" s="3126">
        <v>1.05</v>
      </c>
      <c r="N32" s="2377">
        <f t="shared" ref="N32" si="44">P32*E32*F32+I32*E32*F32+J32*E32</f>
        <v>1.4204213541666668E-2</v>
      </c>
      <c r="O32" s="2271">
        <f>C32*(G32/25)*1.02</f>
        <v>1.8035937500000007E-4</v>
      </c>
      <c r="P32" s="2517">
        <f t="shared" ref="P32" si="45">O32*M32</f>
        <v>1.8937734375000008E-4</v>
      </c>
      <c r="Q32" s="3130">
        <v>177</v>
      </c>
      <c r="R32" s="3122">
        <f t="shared" ref="R32" si="46">E32*F32*G32</f>
        <v>500</v>
      </c>
      <c r="S32" s="229">
        <f t="shared" si="19"/>
        <v>0.5</v>
      </c>
      <c r="T32" s="230">
        <f t="shared" si="20"/>
        <v>1.4428750000000006E-2</v>
      </c>
      <c r="U32" s="374">
        <f t="shared" si="21"/>
        <v>0</v>
      </c>
      <c r="V32" s="375">
        <f t="shared" si="22"/>
        <v>0</v>
      </c>
      <c r="W32" s="376">
        <f t="shared" si="23"/>
        <v>0</v>
      </c>
      <c r="X32" s="377">
        <f t="shared" si="24"/>
        <v>0</v>
      </c>
      <c r="Y32" s="378">
        <f t="shared" si="25"/>
        <v>0</v>
      </c>
      <c r="Z32" s="379">
        <f t="shared" si="26"/>
        <v>0</v>
      </c>
      <c r="AA32" s="380">
        <f t="shared" si="27"/>
        <v>0.5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</row>
    <row r="33" spans="1:40" ht="15" customHeight="1" thickBot="1">
      <c r="A33" s="398" t="s">
        <v>458</v>
      </c>
      <c r="B33" s="402"/>
      <c r="C33" s="274">
        <f t="shared" si="1"/>
        <v>0</v>
      </c>
      <c r="D33" s="4611"/>
      <c r="E33" s="4612"/>
      <c r="F33" s="4612"/>
      <c r="G33" s="4612"/>
      <c r="H33" s="4612"/>
      <c r="I33" s="4612"/>
      <c r="J33" s="4612"/>
      <c r="K33" s="4612"/>
      <c r="L33" s="2182">
        <f>L32+N32</f>
        <v>0.38606331076388889</v>
      </c>
      <c r="M33" s="4613"/>
      <c r="N33" s="3117">
        <f>SUM(N28:N32)</f>
        <v>5.4523333912037043E-2</v>
      </c>
      <c r="O33" s="4612"/>
      <c r="P33" s="4612"/>
      <c r="Q33" s="4612"/>
      <c r="R33" s="3118">
        <f>SUM(R28:R32)</f>
        <v>1960</v>
      </c>
      <c r="S33" s="229">
        <f t="shared" si="19"/>
        <v>0</v>
      </c>
      <c r="T33" s="230">
        <f t="shared" si="20"/>
        <v>0</v>
      </c>
      <c r="U33" s="374">
        <f t="shared" si="21"/>
        <v>0</v>
      </c>
      <c r="V33" s="375">
        <f t="shared" si="22"/>
        <v>0</v>
      </c>
      <c r="W33" s="376">
        <f t="shared" si="23"/>
        <v>0</v>
      </c>
      <c r="X33" s="377">
        <f t="shared" si="24"/>
        <v>0</v>
      </c>
      <c r="Y33" s="378">
        <f t="shared" si="25"/>
        <v>0</v>
      </c>
      <c r="Z33" s="379">
        <f t="shared" si="26"/>
        <v>0</v>
      </c>
      <c r="AA33" s="380">
        <f t="shared" si="27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</row>
    <row r="34" spans="1:40" ht="15" customHeight="1" thickBot="1">
      <c r="A34" s="398" t="s">
        <v>462</v>
      </c>
      <c r="B34" s="402" t="s">
        <v>461</v>
      </c>
      <c r="C34" s="274">
        <f t="shared" si="1"/>
        <v>2.2880964381720439E-4</v>
      </c>
      <c r="D34" s="547">
        <v>1</v>
      </c>
      <c r="E34" s="275">
        <v>1</v>
      </c>
      <c r="F34" s="275">
        <v>1</v>
      </c>
      <c r="G34" s="275">
        <v>800</v>
      </c>
      <c r="H34" s="276"/>
      <c r="I34" s="276">
        <v>0</v>
      </c>
      <c r="J34" s="276">
        <v>1.1574074074074073E-4</v>
      </c>
      <c r="K34" s="4643" t="s">
        <v>1984</v>
      </c>
      <c r="L34" s="1008">
        <v>0.80555555555555547</v>
      </c>
      <c r="M34" s="451">
        <v>1</v>
      </c>
      <c r="N34" s="276">
        <f t="shared" ref="N34:N42" si="47">P34*E34*F34+I34*E34*F34+J34*E34</f>
        <v>7.4376493428912815E-3</v>
      </c>
      <c r="O34" s="276">
        <f t="shared" ref="O34:O42" si="48">C34*(G34/25)</f>
        <v>7.3219086021505406E-3</v>
      </c>
      <c r="P34" s="296">
        <f t="shared" ref="P34:P42" si="49">O34*M34</f>
        <v>7.3219086021505406E-3</v>
      </c>
      <c r="Q34" s="548">
        <v>129</v>
      </c>
      <c r="R34" s="275">
        <f t="shared" ref="R34:R42" si="50">E34*F34*G34</f>
        <v>800</v>
      </c>
      <c r="S34" s="229">
        <f t="shared" si="19"/>
        <v>0.8</v>
      </c>
      <c r="T34" s="230">
        <f t="shared" si="20"/>
        <v>2.9287634408602162E-2</v>
      </c>
      <c r="U34" s="374">
        <f t="shared" si="21"/>
        <v>0.8</v>
      </c>
      <c r="V34" s="375">
        <f t="shared" si="22"/>
        <v>0</v>
      </c>
      <c r="W34" s="376">
        <f t="shared" si="23"/>
        <v>0</v>
      </c>
      <c r="X34" s="377">
        <f t="shared" si="24"/>
        <v>0</v>
      </c>
      <c r="Y34" s="378">
        <f t="shared" si="25"/>
        <v>0</v>
      </c>
      <c r="Z34" s="379">
        <f t="shared" si="26"/>
        <v>0</v>
      </c>
      <c r="AA34" s="380">
        <f t="shared" si="27"/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  <c r="AN34" s="204"/>
    </row>
    <row r="35" spans="1:40" ht="16.25" customHeight="1" thickBot="1">
      <c r="A35" s="398" t="s">
        <v>140</v>
      </c>
      <c r="B35" s="402" t="s">
        <v>461</v>
      </c>
      <c r="C35" s="274">
        <f t="shared" si="1"/>
        <v>2.1908757716049393E-4</v>
      </c>
      <c r="D35" s="890">
        <v>2</v>
      </c>
      <c r="E35" s="300">
        <v>1</v>
      </c>
      <c r="F35" s="300">
        <v>1</v>
      </c>
      <c r="G35" s="300">
        <v>400</v>
      </c>
      <c r="H35" s="301"/>
      <c r="I35" s="301">
        <v>2.8935185185185189E-4</v>
      </c>
      <c r="J35" s="301">
        <v>1.3888888888888889E-3</v>
      </c>
      <c r="K35" s="4644" t="s">
        <v>1984</v>
      </c>
      <c r="L35" s="994">
        <f t="shared" ref="L35:L42" si="51">L34+N34</f>
        <v>0.81299320489844673</v>
      </c>
      <c r="M35" s="455">
        <v>1</v>
      </c>
      <c r="N35" s="301">
        <f t="shared" si="47"/>
        <v>5.1836419753086439E-3</v>
      </c>
      <c r="O35" s="301">
        <f t="shared" si="48"/>
        <v>3.5054012345679029E-3</v>
      </c>
      <c r="P35" s="302">
        <f t="shared" si="49"/>
        <v>3.5054012345679029E-3</v>
      </c>
      <c r="Q35" s="550">
        <v>129</v>
      </c>
      <c r="R35" s="369">
        <f t="shared" si="50"/>
        <v>400</v>
      </c>
      <c r="S35" s="229">
        <f t="shared" si="19"/>
        <v>0.4</v>
      </c>
      <c r="T35" s="230">
        <f t="shared" si="20"/>
        <v>1.4021604938271611E-2</v>
      </c>
      <c r="U35" s="374">
        <f t="shared" si="21"/>
        <v>0</v>
      </c>
      <c r="V35" s="375">
        <f t="shared" si="22"/>
        <v>0.4</v>
      </c>
      <c r="W35" s="376">
        <f t="shared" si="23"/>
        <v>0</v>
      </c>
      <c r="X35" s="377">
        <f t="shared" si="24"/>
        <v>0</v>
      </c>
      <c r="Y35" s="378">
        <f t="shared" si="25"/>
        <v>0</v>
      </c>
      <c r="Z35" s="379">
        <f t="shared" si="26"/>
        <v>0</v>
      </c>
      <c r="AA35" s="380">
        <f t="shared" si="27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  <c r="AN35" s="204"/>
    </row>
    <row r="36" spans="1:40" ht="14" customHeight="1" thickBot="1">
      <c r="A36" s="398" t="s">
        <v>674</v>
      </c>
      <c r="B36" s="402" t="s">
        <v>461</v>
      </c>
      <c r="C36" s="274">
        <f t="shared" si="1"/>
        <v>2.1222190799396687E-4</v>
      </c>
      <c r="D36" s="890">
        <v>3</v>
      </c>
      <c r="E36" s="280">
        <v>1</v>
      </c>
      <c r="F36" s="280">
        <v>1</v>
      </c>
      <c r="G36" s="280">
        <v>200</v>
      </c>
      <c r="H36" s="281"/>
      <c r="I36" s="281">
        <v>2.3148148148148146E-4</v>
      </c>
      <c r="J36" s="281">
        <v>1.3888888888888889E-3</v>
      </c>
      <c r="K36" s="4645" t="s">
        <v>1984</v>
      </c>
      <c r="L36" s="995">
        <f t="shared" si="51"/>
        <v>0.81817684687375536</v>
      </c>
      <c r="M36" s="453">
        <v>1</v>
      </c>
      <c r="N36" s="281">
        <f t="shared" si="47"/>
        <v>3.318145634322105E-3</v>
      </c>
      <c r="O36" s="281">
        <f t="shared" si="48"/>
        <v>1.6977752639517349E-3</v>
      </c>
      <c r="P36" s="298">
        <f t="shared" si="49"/>
        <v>1.6977752639517349E-3</v>
      </c>
      <c r="Q36" s="333">
        <v>129</v>
      </c>
      <c r="R36" s="280">
        <f t="shared" si="50"/>
        <v>200</v>
      </c>
      <c r="S36" s="229">
        <f t="shared" si="19"/>
        <v>0.2</v>
      </c>
      <c r="T36" s="230">
        <f t="shared" si="20"/>
        <v>6.7911010558069397E-3</v>
      </c>
      <c r="U36" s="374">
        <f t="shared" si="21"/>
        <v>0</v>
      </c>
      <c r="V36" s="375">
        <f t="shared" si="22"/>
        <v>0</v>
      </c>
      <c r="W36" s="376">
        <f t="shared" si="23"/>
        <v>0.2</v>
      </c>
      <c r="X36" s="377">
        <f t="shared" si="24"/>
        <v>0</v>
      </c>
      <c r="Y36" s="378">
        <f t="shared" si="25"/>
        <v>0</v>
      </c>
      <c r="Z36" s="379">
        <f t="shared" si="26"/>
        <v>0</v>
      </c>
      <c r="AA36" s="380">
        <f t="shared" si="27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  <c r="AN36" s="204"/>
    </row>
    <row r="37" spans="1:40" ht="14" customHeight="1" thickBot="1">
      <c r="A37" s="398" t="s">
        <v>214</v>
      </c>
      <c r="B37" s="402" t="s">
        <v>461</v>
      </c>
      <c r="C37" s="274">
        <f t="shared" si="1"/>
        <v>1.8933937422552669E-4</v>
      </c>
      <c r="D37" s="890">
        <v>5</v>
      </c>
      <c r="E37" s="307">
        <v>4</v>
      </c>
      <c r="F37" s="307">
        <v>1</v>
      </c>
      <c r="G37" s="307">
        <v>100</v>
      </c>
      <c r="H37" s="306"/>
      <c r="I37" s="306">
        <v>5.7870370370370366E-5</v>
      </c>
      <c r="J37" s="306">
        <v>2.0833333333333333E-3</v>
      </c>
      <c r="K37" s="1670" t="s">
        <v>1304</v>
      </c>
      <c r="L37" s="1005">
        <f t="shared" si="51"/>
        <v>0.82149499250807745</v>
      </c>
      <c r="M37" s="452">
        <v>1</v>
      </c>
      <c r="N37" s="306">
        <f t="shared" si="47"/>
        <v>1.1594244802423243E-2</v>
      </c>
      <c r="O37" s="306">
        <f t="shared" si="48"/>
        <v>7.5735749690210676E-4</v>
      </c>
      <c r="P37" s="305">
        <f t="shared" si="49"/>
        <v>7.5735749690210676E-4</v>
      </c>
      <c r="Q37" s="290">
        <v>129</v>
      </c>
      <c r="R37" s="290">
        <f t="shared" si="50"/>
        <v>400</v>
      </c>
      <c r="S37" s="229">
        <f t="shared" si="19"/>
        <v>0.4</v>
      </c>
      <c r="T37" s="230">
        <f t="shared" si="20"/>
        <v>1.2117719950433708E-2</v>
      </c>
      <c r="U37" s="374">
        <f t="shared" si="21"/>
        <v>0</v>
      </c>
      <c r="V37" s="375">
        <f t="shared" si="22"/>
        <v>0</v>
      </c>
      <c r="W37" s="376">
        <f t="shared" si="23"/>
        <v>0</v>
      </c>
      <c r="X37" s="377">
        <f t="shared" si="24"/>
        <v>0</v>
      </c>
      <c r="Y37" s="378">
        <f t="shared" si="25"/>
        <v>0.4</v>
      </c>
      <c r="Z37" s="379">
        <f t="shared" si="26"/>
        <v>0</v>
      </c>
      <c r="AA37" s="380">
        <f t="shared" si="27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  <c r="AN37" s="204"/>
    </row>
    <row r="38" spans="1:40" ht="14" customHeight="1" thickBot="1">
      <c r="A38" s="398" t="s">
        <v>458</v>
      </c>
      <c r="B38" s="402" t="s">
        <v>461</v>
      </c>
      <c r="C38" s="274">
        <f t="shared" si="1"/>
        <v>2.2880964381720439E-4</v>
      </c>
      <c r="D38" s="890">
        <v>1</v>
      </c>
      <c r="E38" s="275">
        <v>1</v>
      </c>
      <c r="F38" s="275">
        <v>4</v>
      </c>
      <c r="G38" s="275">
        <v>25</v>
      </c>
      <c r="H38" s="276"/>
      <c r="I38" s="276">
        <v>0</v>
      </c>
      <c r="J38" s="276">
        <v>1.1574074074074073E-4</v>
      </c>
      <c r="K38" s="4643" t="s">
        <v>1984</v>
      </c>
      <c r="L38" s="1008">
        <f t="shared" si="51"/>
        <v>0.83308923731050066</v>
      </c>
      <c r="M38" s="451">
        <v>1</v>
      </c>
      <c r="N38" s="276">
        <f t="shared" si="47"/>
        <v>1.0309793160095584E-3</v>
      </c>
      <c r="O38" s="276">
        <f t="shared" si="48"/>
        <v>2.2880964381720439E-4</v>
      </c>
      <c r="P38" s="296">
        <f t="shared" si="49"/>
        <v>2.2880964381720439E-4</v>
      </c>
      <c r="Q38" s="548">
        <v>129</v>
      </c>
      <c r="R38" s="275">
        <f t="shared" si="50"/>
        <v>100</v>
      </c>
      <c r="S38" s="229">
        <f t="shared" si="19"/>
        <v>0.1</v>
      </c>
      <c r="T38" s="230">
        <f t="shared" si="20"/>
        <v>3.6609543010752703E-3</v>
      </c>
      <c r="U38" s="374">
        <f t="shared" si="21"/>
        <v>0.1</v>
      </c>
      <c r="V38" s="375">
        <f t="shared" si="22"/>
        <v>0</v>
      </c>
      <c r="W38" s="376">
        <f t="shared" si="23"/>
        <v>0</v>
      </c>
      <c r="X38" s="377">
        <f t="shared" si="24"/>
        <v>0</v>
      </c>
      <c r="Y38" s="378">
        <f t="shared" si="25"/>
        <v>0</v>
      </c>
      <c r="Z38" s="379">
        <f t="shared" si="26"/>
        <v>0</v>
      </c>
      <c r="AA38" s="380">
        <f t="shared" si="27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  <c r="AN38" s="204"/>
    </row>
    <row r="39" spans="1:40" ht="15" customHeight="1" thickBot="1">
      <c r="A39" s="398" t="s">
        <v>219</v>
      </c>
      <c r="B39" s="402" t="s">
        <v>461</v>
      </c>
      <c r="C39" s="274">
        <f t="shared" si="1"/>
        <v>1.8933937422552669E-4</v>
      </c>
      <c r="D39" s="891">
        <v>5</v>
      </c>
      <c r="E39" s="307">
        <v>2</v>
      </c>
      <c r="F39" s="307">
        <v>1</v>
      </c>
      <c r="G39" s="307">
        <v>150</v>
      </c>
      <c r="H39" s="306"/>
      <c r="I39" s="306">
        <v>5.7870370370370366E-5</v>
      </c>
      <c r="J39" s="306">
        <v>3.472222222222222E-3</v>
      </c>
      <c r="K39" s="1670" t="s">
        <v>2268</v>
      </c>
      <c r="L39" s="1005">
        <f t="shared" si="51"/>
        <v>0.83412021662651026</v>
      </c>
      <c r="M39" s="452">
        <v>1</v>
      </c>
      <c r="N39" s="306">
        <f t="shared" si="47"/>
        <v>9.332257675891506E-3</v>
      </c>
      <c r="O39" s="306">
        <f t="shared" si="48"/>
        <v>1.1360362453531601E-3</v>
      </c>
      <c r="P39" s="305">
        <f t="shared" si="49"/>
        <v>1.1360362453531601E-3</v>
      </c>
      <c r="Q39" s="290">
        <v>129</v>
      </c>
      <c r="R39" s="290">
        <f t="shared" si="50"/>
        <v>300</v>
      </c>
      <c r="S39" s="229">
        <f t="shared" si="19"/>
        <v>0.3</v>
      </c>
      <c r="T39" s="230">
        <f t="shared" si="20"/>
        <v>9.0882899628252807E-3</v>
      </c>
      <c r="U39" s="374">
        <f t="shared" si="21"/>
        <v>0</v>
      </c>
      <c r="V39" s="375">
        <f t="shared" si="22"/>
        <v>0</v>
      </c>
      <c r="W39" s="376">
        <f t="shared" si="23"/>
        <v>0</v>
      </c>
      <c r="X39" s="377">
        <f t="shared" si="24"/>
        <v>0</v>
      </c>
      <c r="Y39" s="378">
        <f t="shared" si="25"/>
        <v>0.3</v>
      </c>
      <c r="Z39" s="379">
        <f t="shared" si="26"/>
        <v>0</v>
      </c>
      <c r="AA39" s="380">
        <f t="shared" si="27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  <c r="AN39" s="204"/>
    </row>
    <row r="40" spans="1:40" ht="14" customHeight="1" thickBot="1">
      <c r="A40" s="398"/>
      <c r="B40" s="402" t="s">
        <v>461</v>
      </c>
      <c r="C40" s="274">
        <f t="shared" si="1"/>
        <v>1.7682291666666674E-4</v>
      </c>
      <c r="D40" s="891">
        <v>7</v>
      </c>
      <c r="E40" s="441">
        <v>3</v>
      </c>
      <c r="F40" s="441">
        <v>2</v>
      </c>
      <c r="G40" s="441">
        <v>25</v>
      </c>
      <c r="H40" s="436"/>
      <c r="I40" s="436">
        <v>4.6296296296296293E-4</v>
      </c>
      <c r="J40" s="436">
        <v>1.3888888888888889E-3</v>
      </c>
      <c r="K40" s="442" t="s">
        <v>1981</v>
      </c>
      <c r="L40" s="1007">
        <f t="shared" si="51"/>
        <v>0.84345247430240178</v>
      </c>
      <c r="M40" s="517">
        <v>1</v>
      </c>
      <c r="N40" s="436">
        <f t="shared" si="47"/>
        <v>8.0053819444444452E-3</v>
      </c>
      <c r="O40" s="436">
        <f t="shared" si="48"/>
        <v>1.7682291666666674E-4</v>
      </c>
      <c r="P40" s="439">
        <f t="shared" si="49"/>
        <v>1.7682291666666674E-4</v>
      </c>
      <c r="Q40" s="443">
        <v>129</v>
      </c>
      <c r="R40" s="435">
        <f t="shared" si="50"/>
        <v>150</v>
      </c>
      <c r="S40" s="229">
        <f t="shared" si="19"/>
        <v>0.15</v>
      </c>
      <c r="T40" s="230">
        <f t="shared" si="20"/>
        <v>4.2437500000000019E-3</v>
      </c>
      <c r="U40" s="374">
        <f t="shared" si="21"/>
        <v>0</v>
      </c>
      <c r="V40" s="375">
        <f t="shared" si="22"/>
        <v>0</v>
      </c>
      <c r="W40" s="376">
        <f t="shared" si="23"/>
        <v>0</v>
      </c>
      <c r="X40" s="377">
        <f t="shared" si="24"/>
        <v>0</v>
      </c>
      <c r="Y40" s="378">
        <f t="shared" si="25"/>
        <v>0</v>
      </c>
      <c r="Z40" s="379">
        <f t="shared" si="26"/>
        <v>0</v>
      </c>
      <c r="AA40" s="380">
        <f t="shared" si="27"/>
        <v>0.15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  <c r="AN40" s="204"/>
    </row>
    <row r="41" spans="1:40" ht="15" customHeight="1" thickBot="1">
      <c r="A41" s="398"/>
      <c r="B41" s="402" t="s">
        <v>461</v>
      </c>
      <c r="C41" s="274">
        <f t="shared" si="1"/>
        <v>1.7682291666666674E-4</v>
      </c>
      <c r="D41" s="890">
        <v>7</v>
      </c>
      <c r="E41" s="444">
        <v>1</v>
      </c>
      <c r="F41" s="444">
        <v>6</v>
      </c>
      <c r="G41" s="444">
        <v>20</v>
      </c>
      <c r="H41" s="434"/>
      <c r="I41" s="434">
        <v>4.6296296296296293E-4</v>
      </c>
      <c r="J41" s="434">
        <v>2.0833333333333333E-3</v>
      </c>
      <c r="K41" s="1039" t="s">
        <v>1985</v>
      </c>
      <c r="L41" s="1007">
        <f t="shared" si="51"/>
        <v>0.85145785624684622</v>
      </c>
      <c r="M41" s="519">
        <v>1</v>
      </c>
      <c r="N41" s="436">
        <f t="shared" si="47"/>
        <v>5.7098611111111117E-3</v>
      </c>
      <c r="O41" s="436">
        <f t="shared" si="48"/>
        <v>1.4145833333333339E-4</v>
      </c>
      <c r="P41" s="439">
        <f t="shared" si="49"/>
        <v>1.4145833333333339E-4</v>
      </c>
      <c r="Q41" s="446">
        <v>129</v>
      </c>
      <c r="R41" s="435">
        <f t="shared" si="50"/>
        <v>120</v>
      </c>
      <c r="S41" s="229">
        <f t="shared" si="19"/>
        <v>0.12</v>
      </c>
      <c r="T41" s="230">
        <f t="shared" si="20"/>
        <v>3.3950000000000013E-3</v>
      </c>
      <c r="U41" s="374">
        <f t="shared" si="21"/>
        <v>0</v>
      </c>
      <c r="V41" s="375">
        <f t="shared" si="22"/>
        <v>0</v>
      </c>
      <c r="W41" s="376">
        <f t="shared" si="23"/>
        <v>0</v>
      </c>
      <c r="X41" s="377">
        <f t="shared" si="24"/>
        <v>0</v>
      </c>
      <c r="Y41" s="378">
        <f t="shared" si="25"/>
        <v>0</v>
      </c>
      <c r="Z41" s="379">
        <f t="shared" si="26"/>
        <v>0</v>
      </c>
      <c r="AA41" s="380">
        <f t="shared" si="27"/>
        <v>0.12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  <c r="AN41" s="204"/>
    </row>
    <row r="42" spans="1:40" ht="16.25" customHeight="1">
      <c r="A42" s="398"/>
      <c r="B42" s="402" t="s">
        <v>461</v>
      </c>
      <c r="C42" s="274">
        <f t="shared" si="1"/>
        <v>2.2880964381720439E-4</v>
      </c>
      <c r="D42" s="891">
        <v>1</v>
      </c>
      <c r="E42" s="275">
        <v>1</v>
      </c>
      <c r="F42" s="275">
        <v>1</v>
      </c>
      <c r="G42" s="275">
        <v>100</v>
      </c>
      <c r="H42" s="276"/>
      <c r="I42" s="276">
        <v>0</v>
      </c>
      <c r="J42" s="276">
        <v>1.1574074074074073E-4</v>
      </c>
      <c r="K42" s="312" t="s">
        <v>706</v>
      </c>
      <c r="L42" s="1003">
        <f t="shared" si="51"/>
        <v>0.85716771735795738</v>
      </c>
      <c r="M42" s="451">
        <v>1</v>
      </c>
      <c r="N42" s="276">
        <f t="shared" si="47"/>
        <v>1.0309793160095584E-3</v>
      </c>
      <c r="O42" s="276">
        <f t="shared" si="48"/>
        <v>9.1523857526881758E-4</v>
      </c>
      <c r="P42" s="296">
        <f t="shared" si="49"/>
        <v>9.1523857526881758E-4</v>
      </c>
      <c r="Q42" s="548">
        <v>129</v>
      </c>
      <c r="R42" s="275">
        <f t="shared" si="50"/>
        <v>100</v>
      </c>
      <c r="S42" s="229">
        <f t="shared" si="19"/>
        <v>0.1</v>
      </c>
      <c r="T42" s="230">
        <f t="shared" si="20"/>
        <v>3.6609543010752703E-3</v>
      </c>
      <c r="U42" s="374">
        <f t="shared" si="21"/>
        <v>0.1</v>
      </c>
      <c r="V42" s="375">
        <f t="shared" si="22"/>
        <v>0</v>
      </c>
      <c r="W42" s="376">
        <f t="shared" si="23"/>
        <v>0</v>
      </c>
      <c r="X42" s="377">
        <f t="shared" si="24"/>
        <v>0</v>
      </c>
      <c r="Y42" s="378">
        <f t="shared" si="25"/>
        <v>0</v>
      </c>
      <c r="Z42" s="379">
        <f t="shared" si="26"/>
        <v>0</v>
      </c>
      <c r="AA42" s="380">
        <f t="shared" si="27"/>
        <v>0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  <c r="AN42" s="204"/>
    </row>
    <row r="43" spans="1:40" ht="15" customHeight="1">
      <c r="A43" s="397"/>
      <c r="B43" s="395"/>
      <c r="C43" s="274">
        <f t="shared" si="1"/>
        <v>0</v>
      </c>
      <c r="D43" s="899"/>
      <c r="E43" s="336"/>
      <c r="F43" s="336"/>
      <c r="G43" s="336"/>
      <c r="H43" s="336"/>
      <c r="I43" s="336"/>
      <c r="J43" s="336"/>
      <c r="K43" s="336"/>
      <c r="L43" s="1003"/>
      <c r="M43" s="448"/>
      <c r="N43" s="325">
        <f>SUM(N34:N42)</f>
        <v>5.2643141118411452E-2</v>
      </c>
      <c r="O43" s="336"/>
      <c r="P43" s="336"/>
      <c r="Q43" s="336"/>
      <c r="R43" s="363">
        <f>SUM(R34:R42)</f>
        <v>2570</v>
      </c>
      <c r="S43" s="229">
        <f t="shared" si="19"/>
        <v>0</v>
      </c>
      <c r="T43" s="230">
        <f t="shared" si="20"/>
        <v>0</v>
      </c>
      <c r="U43" s="374">
        <f t="shared" si="21"/>
        <v>0</v>
      </c>
      <c r="V43" s="375">
        <f t="shared" si="22"/>
        <v>0</v>
      </c>
      <c r="W43" s="376">
        <f t="shared" si="23"/>
        <v>0</v>
      </c>
      <c r="X43" s="377">
        <f t="shared" si="24"/>
        <v>0</v>
      </c>
      <c r="Y43" s="378">
        <f t="shared" si="25"/>
        <v>0</v>
      </c>
      <c r="Z43" s="379">
        <f t="shared" si="26"/>
        <v>0</v>
      </c>
      <c r="AA43" s="380">
        <f t="shared" si="27"/>
        <v>0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  <c r="AN43" s="204"/>
    </row>
    <row r="44" spans="1:40" ht="15" customHeight="1">
      <c r="A44" s="656" t="s">
        <v>459</v>
      </c>
      <c r="B44" s="1918" t="s">
        <v>461</v>
      </c>
      <c r="C44" s="274">
        <f t="shared" si="1"/>
        <v>2.1908757716049393E-4</v>
      </c>
      <c r="D44" s="300">
        <v>2</v>
      </c>
      <c r="E44" s="300">
        <v>1</v>
      </c>
      <c r="F44" s="300">
        <v>1</v>
      </c>
      <c r="G44" s="300">
        <v>1500</v>
      </c>
      <c r="H44" s="301"/>
      <c r="I44" s="301">
        <v>0</v>
      </c>
      <c r="J44" s="301">
        <v>1.1574074074074073E-4</v>
      </c>
      <c r="K44" s="314" t="s">
        <v>300</v>
      </c>
      <c r="L44" s="301">
        <v>0.34027777777777773</v>
      </c>
      <c r="M44" s="455">
        <v>1</v>
      </c>
      <c r="N44" s="301">
        <f t="shared" ref="N44:N48" si="52">P44*E44*F44+I44*E44*F44+J44*E44</f>
        <v>120.00011574074074</v>
      </c>
      <c r="O44" s="301">
        <f t="shared" ref="O44:O52" si="53">D44*(G44/25)</f>
        <v>120</v>
      </c>
      <c r="P44" s="302">
        <f t="shared" ref="P44:P48" si="54">O44*M44</f>
        <v>120</v>
      </c>
      <c r="Q44" s="550">
        <v>129</v>
      </c>
      <c r="R44" s="369">
        <f t="shared" ref="R44:R48" si="55">E44*F44*G44</f>
        <v>1500</v>
      </c>
      <c r="S44" s="229">
        <f t="shared" si="19"/>
        <v>1.5</v>
      </c>
      <c r="T44" s="230">
        <f t="shared" si="20"/>
        <v>480</v>
      </c>
      <c r="U44" s="374">
        <f t="shared" si="21"/>
        <v>0</v>
      </c>
      <c r="V44" s="375">
        <f t="shared" si="22"/>
        <v>1.5</v>
      </c>
      <c r="W44" s="376">
        <f t="shared" si="23"/>
        <v>0</v>
      </c>
      <c r="X44" s="377">
        <f t="shared" si="24"/>
        <v>0</v>
      </c>
      <c r="Y44" s="378">
        <f t="shared" si="25"/>
        <v>0</v>
      </c>
      <c r="Z44" s="379">
        <f t="shared" si="26"/>
        <v>0</v>
      </c>
      <c r="AA44" s="380">
        <f t="shared" si="27"/>
        <v>0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  <c r="AN44" s="204"/>
    </row>
    <row r="45" spans="1:40" ht="14" customHeight="1">
      <c r="A45" s="656" t="s">
        <v>458</v>
      </c>
      <c r="B45" s="1918" t="s">
        <v>461</v>
      </c>
      <c r="C45" s="274">
        <f t="shared" si="1"/>
        <v>2.1908757716049393E-4</v>
      </c>
      <c r="D45" s="300">
        <v>2</v>
      </c>
      <c r="E45" s="300">
        <v>1</v>
      </c>
      <c r="F45" s="300">
        <v>2</v>
      </c>
      <c r="G45" s="300">
        <v>400</v>
      </c>
      <c r="H45" s="301">
        <v>5.5555555555555558E-3</v>
      </c>
      <c r="I45" s="301"/>
      <c r="J45" s="301">
        <v>1.3888888888888889E-3</v>
      </c>
      <c r="K45" s="314" t="s">
        <v>259</v>
      </c>
      <c r="L45" s="6354">
        <f>L44+N44</f>
        <v>120.34039351851851</v>
      </c>
      <c r="M45" s="455">
        <v>1</v>
      </c>
      <c r="N45" s="301">
        <f t="shared" si="52"/>
        <v>64.001388888888883</v>
      </c>
      <c r="O45" s="301">
        <f t="shared" si="53"/>
        <v>32</v>
      </c>
      <c r="P45" s="302">
        <f t="shared" si="54"/>
        <v>32</v>
      </c>
      <c r="Q45" s="550">
        <v>129</v>
      </c>
      <c r="R45" s="369">
        <f t="shared" si="55"/>
        <v>800</v>
      </c>
      <c r="S45" s="229">
        <f t="shared" si="19"/>
        <v>0.8</v>
      </c>
      <c r="T45" s="230">
        <f t="shared" si="20"/>
        <v>256</v>
      </c>
      <c r="U45" s="374">
        <f t="shared" si="21"/>
        <v>0</v>
      </c>
      <c r="V45" s="375">
        <f t="shared" si="22"/>
        <v>0.8</v>
      </c>
      <c r="W45" s="376">
        <f t="shared" si="23"/>
        <v>0</v>
      </c>
      <c r="X45" s="377">
        <f t="shared" si="24"/>
        <v>0</v>
      </c>
      <c r="Y45" s="378">
        <f t="shared" si="25"/>
        <v>0</v>
      </c>
      <c r="Z45" s="379">
        <f t="shared" si="26"/>
        <v>0</v>
      </c>
      <c r="AA45" s="380">
        <f t="shared" si="27"/>
        <v>0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  <c r="AN45" s="204"/>
    </row>
    <row r="46" spans="1:40" ht="14" customHeight="1">
      <c r="A46" s="656" t="s">
        <v>218</v>
      </c>
      <c r="B46" s="831" t="s">
        <v>461</v>
      </c>
      <c r="C46" s="274">
        <f t="shared" si="1"/>
        <v>1.8933937422552669E-4</v>
      </c>
      <c r="D46" s="307">
        <v>5</v>
      </c>
      <c r="E46" s="307">
        <v>4</v>
      </c>
      <c r="F46" s="307">
        <v>1</v>
      </c>
      <c r="G46" s="307">
        <v>150</v>
      </c>
      <c r="H46" s="306"/>
      <c r="I46" s="306">
        <v>5.7870370370370366E-5</v>
      </c>
      <c r="J46" s="306">
        <v>3.472222222222222E-3</v>
      </c>
      <c r="K46" s="534" t="s">
        <v>1307</v>
      </c>
      <c r="L46" s="306">
        <f t="shared" ref="L46:L49" si="56">L45+N45</f>
        <v>184.34178240740738</v>
      </c>
      <c r="M46" s="452">
        <v>1</v>
      </c>
      <c r="N46" s="306">
        <f t="shared" si="52"/>
        <v>120.01412037037036</v>
      </c>
      <c r="O46" s="306">
        <f t="shared" si="53"/>
        <v>30</v>
      </c>
      <c r="P46" s="305">
        <f t="shared" si="54"/>
        <v>30</v>
      </c>
      <c r="Q46" s="290">
        <v>129</v>
      </c>
      <c r="R46" s="290">
        <f t="shared" si="55"/>
        <v>600</v>
      </c>
      <c r="S46" s="229">
        <f t="shared" si="19"/>
        <v>0.6</v>
      </c>
      <c r="T46" s="230">
        <f t="shared" si="20"/>
        <v>480</v>
      </c>
      <c r="U46" s="374">
        <f t="shared" si="21"/>
        <v>0</v>
      </c>
      <c r="V46" s="375">
        <f t="shared" si="22"/>
        <v>0</v>
      </c>
      <c r="W46" s="376">
        <f t="shared" si="23"/>
        <v>0</v>
      </c>
      <c r="X46" s="377">
        <f t="shared" si="24"/>
        <v>0</v>
      </c>
      <c r="Y46" s="378">
        <f t="shared" si="25"/>
        <v>0.6</v>
      </c>
      <c r="Z46" s="379">
        <f t="shared" si="26"/>
        <v>0</v>
      </c>
      <c r="AA46" s="380">
        <f t="shared" si="27"/>
        <v>0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  <c r="AN46" s="204"/>
    </row>
    <row r="47" spans="1:40" ht="15" customHeight="1">
      <c r="A47" s="656" t="s">
        <v>458</v>
      </c>
      <c r="B47" s="831" t="s">
        <v>461</v>
      </c>
      <c r="C47" s="274">
        <f t="shared" ref="C47" si="57">IF(D47=1,U$5,IF(D47=2,V$5,IF(D47=3,W$5,IF(D47=4,X$5,IF(D47=5,Y$5,IF(D47=6,Z$5,IF(D47=7,AA$5,0)))))))</f>
        <v>1.7682291666666674E-4</v>
      </c>
      <c r="D47" s="441">
        <v>7</v>
      </c>
      <c r="E47" s="441">
        <v>3</v>
      </c>
      <c r="F47" s="441">
        <v>2</v>
      </c>
      <c r="G47" s="441">
        <v>25</v>
      </c>
      <c r="H47" s="436"/>
      <c r="I47" s="436">
        <v>4.6296296296296293E-4</v>
      </c>
      <c r="J47" s="437">
        <v>1.3888888888888889E-3</v>
      </c>
      <c r="K47" s="442" t="s">
        <v>1981</v>
      </c>
      <c r="L47" s="437">
        <f t="shared" si="56"/>
        <v>304.35590277777771</v>
      </c>
      <c r="M47" s="517">
        <v>1</v>
      </c>
      <c r="N47" s="437">
        <f t="shared" si="52"/>
        <v>8.0053819444444452E-3</v>
      </c>
      <c r="O47" s="436">
        <f t="shared" ref="O47" si="58">C47*(G47/25)</f>
        <v>1.7682291666666674E-4</v>
      </c>
      <c r="P47" s="439">
        <f t="shared" si="54"/>
        <v>1.7682291666666674E-4</v>
      </c>
      <c r="Q47" s="443">
        <v>129</v>
      </c>
      <c r="R47" s="435">
        <f t="shared" si="55"/>
        <v>150</v>
      </c>
      <c r="S47" s="229">
        <f t="shared" si="19"/>
        <v>0.15</v>
      </c>
      <c r="T47" s="230">
        <f t="shared" si="20"/>
        <v>4.2437500000000019E-3</v>
      </c>
      <c r="U47" s="374">
        <f t="shared" si="21"/>
        <v>0</v>
      </c>
      <c r="V47" s="375">
        <f t="shared" si="22"/>
        <v>0</v>
      </c>
      <c r="W47" s="376">
        <f t="shared" si="23"/>
        <v>0</v>
      </c>
      <c r="X47" s="377">
        <f t="shared" si="24"/>
        <v>0</v>
      </c>
      <c r="Y47" s="378">
        <f t="shared" si="25"/>
        <v>0</v>
      </c>
      <c r="Z47" s="379">
        <f t="shared" si="26"/>
        <v>0</v>
      </c>
      <c r="AA47" s="380">
        <f t="shared" si="27"/>
        <v>0.15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  <c r="AN47" s="204"/>
    </row>
    <row r="48" spans="1:40" ht="15" customHeight="1">
      <c r="A48" s="208" t="s">
        <v>219</v>
      </c>
      <c r="B48" s="1918" t="s">
        <v>461</v>
      </c>
      <c r="C48" s="274">
        <f t="shared" si="1"/>
        <v>1.8933937422552669E-4</v>
      </c>
      <c r="D48" s="307">
        <v>5</v>
      </c>
      <c r="E48" s="307">
        <v>3</v>
      </c>
      <c r="F48" s="307">
        <v>3</v>
      </c>
      <c r="G48" s="307">
        <v>50</v>
      </c>
      <c r="H48" s="306"/>
      <c r="I48" s="306">
        <v>1.1574074074074073E-4</v>
      </c>
      <c r="J48" s="306">
        <v>2.0833333333333333E-3</v>
      </c>
      <c r="K48" s="317" t="s">
        <v>282</v>
      </c>
      <c r="L48" s="306">
        <f t="shared" si="56"/>
        <v>304.36390815972214</v>
      </c>
      <c r="M48" s="454">
        <v>1</v>
      </c>
      <c r="N48" s="306">
        <f t="shared" si="52"/>
        <v>90.00729166666666</v>
      </c>
      <c r="O48" s="306">
        <f t="shared" si="53"/>
        <v>10</v>
      </c>
      <c r="P48" s="305">
        <f t="shared" si="54"/>
        <v>10</v>
      </c>
      <c r="Q48" s="290">
        <v>129</v>
      </c>
      <c r="R48" s="290">
        <f t="shared" si="55"/>
        <v>450</v>
      </c>
      <c r="S48" s="229">
        <f t="shared" si="19"/>
        <v>0.45</v>
      </c>
      <c r="T48" s="230">
        <f t="shared" si="20"/>
        <v>360</v>
      </c>
      <c r="U48" s="374">
        <f t="shared" si="21"/>
        <v>0</v>
      </c>
      <c r="V48" s="375">
        <f t="shared" si="22"/>
        <v>0</v>
      </c>
      <c r="W48" s="376">
        <f t="shared" si="23"/>
        <v>0</v>
      </c>
      <c r="X48" s="377">
        <f t="shared" si="24"/>
        <v>0</v>
      </c>
      <c r="Y48" s="378">
        <f t="shared" si="25"/>
        <v>0.45</v>
      </c>
      <c r="Z48" s="379">
        <f t="shared" si="26"/>
        <v>0</v>
      </c>
      <c r="AA48" s="380">
        <f t="shared" si="27"/>
        <v>0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  <c r="AN48" s="204"/>
    </row>
    <row r="49" spans="1:40" ht="15" customHeight="1" thickBot="1">
      <c r="A49" s="663"/>
      <c r="B49" s="663"/>
      <c r="C49" s="274">
        <f t="shared" si="1"/>
        <v>2.1908757716049393E-4</v>
      </c>
      <c r="D49" s="668">
        <v>2</v>
      </c>
      <c r="E49" s="658"/>
      <c r="F49" s="659"/>
      <c r="G49" s="659"/>
      <c r="H49" s="659"/>
      <c r="I49" s="659"/>
      <c r="J49" s="659"/>
      <c r="K49" s="660"/>
      <c r="L49" s="660">
        <f t="shared" si="56"/>
        <v>394.37119982638882</v>
      </c>
      <c r="M49" s="659"/>
      <c r="N49" s="660">
        <f>SUM(N44:N48)</f>
        <v>394.0309220486111</v>
      </c>
      <c r="O49" s="660">
        <f t="shared" si="53"/>
        <v>0</v>
      </c>
      <c r="P49" s="659"/>
      <c r="Q49" s="659"/>
      <c r="R49" s="662">
        <f>SUM(R44:R48)</f>
        <v>3500</v>
      </c>
      <c r="S49" s="229">
        <f t="shared" si="19"/>
        <v>0</v>
      </c>
      <c r="T49" s="230">
        <f t="shared" si="20"/>
        <v>0</v>
      </c>
      <c r="U49" s="374">
        <f t="shared" si="21"/>
        <v>0</v>
      </c>
      <c r="V49" s="375">
        <f t="shared" si="22"/>
        <v>0</v>
      </c>
      <c r="W49" s="376">
        <f t="shared" si="23"/>
        <v>0</v>
      </c>
      <c r="X49" s="377">
        <f t="shared" si="24"/>
        <v>0</v>
      </c>
      <c r="Y49" s="378">
        <f t="shared" si="25"/>
        <v>0</v>
      </c>
      <c r="Z49" s="379">
        <f t="shared" si="26"/>
        <v>0</v>
      </c>
      <c r="AA49" s="380">
        <f t="shared" si="27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  <c r="AN49" s="204"/>
    </row>
    <row r="50" spans="1:40" ht="14" customHeight="1">
      <c r="A50" s="670" t="s">
        <v>218</v>
      </c>
      <c r="B50" s="667" t="s">
        <v>461</v>
      </c>
      <c r="C50" s="274">
        <f t="shared" si="1"/>
        <v>2.2880964381720439E-4</v>
      </c>
      <c r="D50" s="274">
        <v>1</v>
      </c>
      <c r="E50" s="275">
        <v>1</v>
      </c>
      <c r="F50" s="275">
        <v>1</v>
      </c>
      <c r="G50" s="275">
        <v>500</v>
      </c>
      <c r="H50" s="276"/>
      <c r="I50" s="276">
        <v>0</v>
      </c>
      <c r="J50" s="276">
        <v>0</v>
      </c>
      <c r="K50" s="277"/>
      <c r="L50" s="277"/>
      <c r="M50" s="451">
        <v>1</v>
      </c>
      <c r="N50" s="276">
        <f t="shared" ref="N50:N56" si="59">P50*E50*F50+I50*E50*F50+J50*E50</f>
        <v>20</v>
      </c>
      <c r="O50" s="276">
        <f t="shared" si="53"/>
        <v>20</v>
      </c>
      <c r="P50" s="296">
        <f t="shared" ref="P50:P56" si="60">O50*M50</f>
        <v>20</v>
      </c>
      <c r="Q50" s="548">
        <v>129</v>
      </c>
      <c r="R50" s="275">
        <f t="shared" ref="R50:R56" si="61">E50*F50*G50</f>
        <v>500</v>
      </c>
      <c r="S50" s="229">
        <f t="shared" si="19"/>
        <v>0.5</v>
      </c>
      <c r="T50" s="230">
        <f t="shared" si="20"/>
        <v>80</v>
      </c>
      <c r="U50" s="374">
        <f t="shared" si="21"/>
        <v>0.5</v>
      </c>
      <c r="V50" s="375">
        <f t="shared" si="22"/>
        <v>0</v>
      </c>
      <c r="W50" s="376">
        <f t="shared" si="23"/>
        <v>0</v>
      </c>
      <c r="X50" s="377">
        <f t="shared" si="24"/>
        <v>0</v>
      </c>
      <c r="Y50" s="378">
        <f t="shared" si="25"/>
        <v>0</v>
      </c>
      <c r="Z50" s="379">
        <f t="shared" si="26"/>
        <v>0</v>
      </c>
      <c r="AA50" s="380">
        <f t="shared" si="27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  <c r="AN50" s="204"/>
    </row>
    <row r="51" spans="1:40" ht="14" customHeight="1">
      <c r="A51" s="664" t="s">
        <v>139</v>
      </c>
      <c r="B51" s="665" t="s">
        <v>461</v>
      </c>
      <c r="C51" s="274">
        <f t="shared" si="1"/>
        <v>2.1908757716049393E-4</v>
      </c>
      <c r="D51" s="433">
        <v>2</v>
      </c>
      <c r="E51" s="300">
        <v>1</v>
      </c>
      <c r="F51" s="300">
        <v>5</v>
      </c>
      <c r="G51" s="300">
        <v>250</v>
      </c>
      <c r="H51" s="301"/>
      <c r="I51" s="301">
        <v>2.3148148148148146E-4</v>
      </c>
      <c r="J51" s="301">
        <v>1.3888888888888889E-3</v>
      </c>
      <c r="K51" s="810" t="s">
        <v>260</v>
      </c>
      <c r="L51" s="810"/>
      <c r="M51" s="455">
        <v>1</v>
      </c>
      <c r="N51" s="301">
        <f t="shared" si="59"/>
        <v>100.00254629629629</v>
      </c>
      <c r="O51" s="301">
        <f t="shared" si="53"/>
        <v>20</v>
      </c>
      <c r="P51" s="302">
        <f t="shared" si="60"/>
        <v>20</v>
      </c>
      <c r="Q51" s="550">
        <v>129</v>
      </c>
      <c r="R51" s="369">
        <f t="shared" si="61"/>
        <v>1250</v>
      </c>
      <c r="S51" s="229">
        <f t="shared" si="19"/>
        <v>1.25</v>
      </c>
      <c r="T51" s="230">
        <f t="shared" si="20"/>
        <v>400</v>
      </c>
      <c r="U51" s="374">
        <f t="shared" si="21"/>
        <v>0</v>
      </c>
      <c r="V51" s="375">
        <f t="shared" si="22"/>
        <v>1.25</v>
      </c>
      <c r="W51" s="376">
        <f t="shared" si="23"/>
        <v>0</v>
      </c>
      <c r="X51" s="377">
        <f t="shared" si="24"/>
        <v>0</v>
      </c>
      <c r="Y51" s="378">
        <f t="shared" si="25"/>
        <v>0</v>
      </c>
      <c r="Z51" s="379">
        <f t="shared" si="26"/>
        <v>0</v>
      </c>
      <c r="AA51" s="380">
        <f t="shared" si="27"/>
        <v>0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  <c r="AN51" s="204"/>
    </row>
    <row r="52" spans="1:40" ht="14" customHeight="1">
      <c r="A52" s="664" t="s">
        <v>462</v>
      </c>
      <c r="B52" s="829" t="s">
        <v>461</v>
      </c>
      <c r="C52" s="274">
        <f t="shared" si="1"/>
        <v>2.2880964381720439E-4</v>
      </c>
      <c r="D52" s="274">
        <v>1</v>
      </c>
      <c r="E52" s="275">
        <v>1</v>
      </c>
      <c r="F52" s="275">
        <v>1</v>
      </c>
      <c r="G52" s="275">
        <v>200</v>
      </c>
      <c r="H52" s="276"/>
      <c r="I52" s="276">
        <v>0</v>
      </c>
      <c r="J52" s="276">
        <v>1.1574074074074073E-4</v>
      </c>
      <c r="K52" s="312" t="s">
        <v>706</v>
      </c>
      <c r="L52" s="312"/>
      <c r="M52" s="451">
        <v>1</v>
      </c>
      <c r="N52" s="276">
        <f t="shared" si="59"/>
        <v>8.0001157407407408</v>
      </c>
      <c r="O52" s="276">
        <f t="shared" si="53"/>
        <v>8</v>
      </c>
      <c r="P52" s="296">
        <f t="shared" si="60"/>
        <v>8</v>
      </c>
      <c r="Q52" s="548">
        <v>129</v>
      </c>
      <c r="R52" s="275">
        <f t="shared" si="61"/>
        <v>200</v>
      </c>
      <c r="S52" s="229">
        <f t="shared" si="19"/>
        <v>0.2</v>
      </c>
      <c r="T52" s="230">
        <f t="shared" si="20"/>
        <v>32</v>
      </c>
      <c r="U52" s="374">
        <f t="shared" si="21"/>
        <v>0.2</v>
      </c>
      <c r="V52" s="375">
        <f t="shared" si="22"/>
        <v>0</v>
      </c>
      <c r="W52" s="376">
        <f t="shared" si="23"/>
        <v>0</v>
      </c>
      <c r="X52" s="377">
        <f t="shared" si="24"/>
        <v>0</v>
      </c>
      <c r="Y52" s="378">
        <f t="shared" si="25"/>
        <v>0</v>
      </c>
      <c r="Z52" s="379">
        <f t="shared" si="26"/>
        <v>0</v>
      </c>
      <c r="AA52" s="380">
        <f t="shared" si="27"/>
        <v>0</v>
      </c>
      <c r="AC52" s="231"/>
      <c r="AD52" s="231"/>
      <c r="AE52" s="231"/>
      <c r="AF52" s="231"/>
      <c r="AG52" s="231"/>
      <c r="AH52" s="231"/>
      <c r="AI52" s="213"/>
      <c r="AJ52" s="213"/>
      <c r="AK52" s="213"/>
      <c r="AL52" s="213"/>
      <c r="AM52" s="213"/>
      <c r="AN52" s="204"/>
    </row>
    <row r="53" spans="1:40" ht="14" customHeight="1" thickBot="1">
      <c r="A53" s="664" t="s">
        <v>460</v>
      </c>
      <c r="B53" s="833" t="s">
        <v>461</v>
      </c>
      <c r="C53" s="274">
        <f t="shared" si="1"/>
        <v>2.1222190799396687E-4</v>
      </c>
      <c r="D53" s="840">
        <v>3</v>
      </c>
      <c r="E53" s="867">
        <v>1</v>
      </c>
      <c r="F53" s="867">
        <v>6</v>
      </c>
      <c r="G53" s="867">
        <v>75</v>
      </c>
      <c r="H53" s="868"/>
      <c r="I53" s="868">
        <v>2.3148148148148146E-4</v>
      </c>
      <c r="J53" s="868">
        <v>1.3888888888888889E-3</v>
      </c>
      <c r="K53" s="871" t="s">
        <v>261</v>
      </c>
      <c r="L53" s="871"/>
      <c r="M53" s="869">
        <v>1</v>
      </c>
      <c r="N53" s="868">
        <f t="shared" si="59"/>
        <v>54.00277777777778</v>
      </c>
      <c r="O53" s="868">
        <f>D53*(G53/25)</f>
        <v>9</v>
      </c>
      <c r="P53" s="795">
        <f t="shared" si="60"/>
        <v>9</v>
      </c>
      <c r="Q53" s="870">
        <v>129</v>
      </c>
      <c r="R53" s="867">
        <f t="shared" si="61"/>
        <v>450</v>
      </c>
      <c r="S53" s="229">
        <f t="shared" si="19"/>
        <v>0.45</v>
      </c>
      <c r="T53" s="230">
        <f t="shared" si="20"/>
        <v>216</v>
      </c>
      <c r="U53" s="374">
        <f t="shared" si="21"/>
        <v>0</v>
      </c>
      <c r="V53" s="375">
        <f t="shared" si="22"/>
        <v>0</v>
      </c>
      <c r="W53" s="376">
        <f t="shared" si="23"/>
        <v>0.45</v>
      </c>
      <c r="X53" s="377">
        <f t="shared" si="24"/>
        <v>0</v>
      </c>
      <c r="Y53" s="378">
        <f t="shared" si="25"/>
        <v>0</v>
      </c>
      <c r="Z53" s="379">
        <f t="shared" si="26"/>
        <v>0</v>
      </c>
      <c r="AA53" s="380">
        <f t="shared" si="27"/>
        <v>0</v>
      </c>
      <c r="AC53" s="231"/>
      <c r="AD53" s="231"/>
      <c r="AE53" s="231"/>
      <c r="AF53" s="231"/>
      <c r="AG53" s="231"/>
      <c r="AH53" s="231"/>
      <c r="AI53" s="213"/>
      <c r="AJ53" s="213"/>
      <c r="AK53" s="213"/>
      <c r="AL53" s="213"/>
      <c r="AM53" s="213"/>
      <c r="AN53" s="204"/>
    </row>
    <row r="54" spans="1:40" ht="14" customHeight="1">
      <c r="A54" s="664" t="s">
        <v>458</v>
      </c>
      <c r="B54" s="665" t="s">
        <v>461</v>
      </c>
      <c r="C54" s="274">
        <f t="shared" si="1"/>
        <v>2.2880964381720439E-4</v>
      </c>
      <c r="D54" s="274">
        <v>1</v>
      </c>
      <c r="E54" s="275">
        <v>1</v>
      </c>
      <c r="F54" s="275">
        <v>1</v>
      </c>
      <c r="G54" s="275">
        <v>175</v>
      </c>
      <c r="H54" s="276"/>
      <c r="I54" s="276">
        <v>0</v>
      </c>
      <c r="J54" s="276">
        <v>1.1574074074074073E-4</v>
      </c>
      <c r="K54" s="312" t="s">
        <v>706</v>
      </c>
      <c r="L54" s="312"/>
      <c r="M54" s="451">
        <v>1</v>
      </c>
      <c r="N54" s="276">
        <f t="shared" si="59"/>
        <v>7.0001157407407408</v>
      </c>
      <c r="O54" s="276">
        <f t="shared" ref="O54:O62" si="62">D54*(G54/25)</f>
        <v>7</v>
      </c>
      <c r="P54" s="296">
        <f t="shared" si="60"/>
        <v>7</v>
      </c>
      <c r="Q54" s="548">
        <v>129</v>
      </c>
      <c r="R54" s="275">
        <f t="shared" si="61"/>
        <v>175</v>
      </c>
      <c r="S54" s="229">
        <f t="shared" si="19"/>
        <v>0.17499999999999999</v>
      </c>
      <c r="T54" s="230">
        <f t="shared" si="20"/>
        <v>28</v>
      </c>
      <c r="U54" s="374">
        <f t="shared" si="21"/>
        <v>0.17499999999999999</v>
      </c>
      <c r="V54" s="375">
        <f t="shared" si="22"/>
        <v>0</v>
      </c>
      <c r="W54" s="376">
        <f t="shared" si="23"/>
        <v>0</v>
      </c>
      <c r="X54" s="377">
        <f t="shared" si="24"/>
        <v>0</v>
      </c>
      <c r="Y54" s="378">
        <f t="shared" si="25"/>
        <v>0</v>
      </c>
      <c r="Z54" s="379">
        <f t="shared" si="26"/>
        <v>0</v>
      </c>
      <c r="AA54" s="380">
        <f t="shared" si="27"/>
        <v>0</v>
      </c>
      <c r="AC54" s="231"/>
      <c r="AD54" s="231"/>
      <c r="AE54" s="231"/>
      <c r="AF54" s="231"/>
      <c r="AG54" s="231"/>
      <c r="AH54" s="231"/>
      <c r="AI54" s="213"/>
      <c r="AJ54" s="213"/>
      <c r="AK54" s="213"/>
      <c r="AL54" s="213"/>
      <c r="AM54" s="213"/>
      <c r="AN54" s="204"/>
    </row>
    <row r="55" spans="1:40" ht="14" customHeight="1">
      <c r="A55" s="664" t="s">
        <v>219</v>
      </c>
      <c r="B55" s="665" t="s">
        <v>461</v>
      </c>
      <c r="C55" s="274">
        <f t="shared" si="1"/>
        <v>1.8229166666666673E-4</v>
      </c>
      <c r="D55" s="364">
        <v>6</v>
      </c>
      <c r="E55" s="365">
        <v>1</v>
      </c>
      <c r="F55" s="365">
        <v>18</v>
      </c>
      <c r="G55" s="365">
        <v>25</v>
      </c>
      <c r="H55" s="366"/>
      <c r="I55" s="366">
        <v>3.4722222222222224E-4</v>
      </c>
      <c r="J55" s="366">
        <v>0</v>
      </c>
      <c r="K55" s="367" t="s">
        <v>1305</v>
      </c>
      <c r="L55" s="685"/>
      <c r="M55" s="456">
        <v>1</v>
      </c>
      <c r="N55" s="366">
        <f t="shared" si="59"/>
        <v>108.00624999999999</v>
      </c>
      <c r="O55" s="366">
        <f t="shared" si="62"/>
        <v>6</v>
      </c>
      <c r="P55" s="368">
        <f t="shared" si="60"/>
        <v>6</v>
      </c>
      <c r="Q55" s="365">
        <v>129</v>
      </c>
      <c r="R55" s="365">
        <f t="shared" si="61"/>
        <v>450</v>
      </c>
      <c r="S55" s="229">
        <f t="shared" si="19"/>
        <v>0.45</v>
      </c>
      <c r="T55" s="230">
        <f t="shared" si="20"/>
        <v>432</v>
      </c>
      <c r="U55" s="374">
        <f t="shared" si="21"/>
        <v>0</v>
      </c>
      <c r="V55" s="375">
        <f t="shared" si="22"/>
        <v>0</v>
      </c>
      <c r="W55" s="376">
        <f t="shared" si="23"/>
        <v>0</v>
      </c>
      <c r="X55" s="377">
        <f t="shared" si="24"/>
        <v>0</v>
      </c>
      <c r="Y55" s="378">
        <f t="shared" si="25"/>
        <v>0</v>
      </c>
      <c r="Z55" s="379">
        <f t="shared" si="26"/>
        <v>0.45</v>
      </c>
      <c r="AA55" s="380">
        <f t="shared" si="27"/>
        <v>0</v>
      </c>
      <c r="AC55" s="231"/>
      <c r="AD55" s="231"/>
      <c r="AE55" s="231"/>
      <c r="AF55" s="231"/>
      <c r="AG55" s="231"/>
      <c r="AH55" s="231"/>
      <c r="AI55" s="213"/>
      <c r="AJ55" s="213"/>
      <c r="AK55" s="213"/>
      <c r="AL55" s="213"/>
      <c r="AM55" s="213"/>
      <c r="AN55" s="204"/>
    </row>
    <row r="56" spans="1:40" ht="13.25" customHeight="1">
      <c r="A56" s="664"/>
      <c r="B56" s="665" t="s">
        <v>461</v>
      </c>
      <c r="C56" s="274">
        <f t="shared" si="1"/>
        <v>2.2880964381720439E-4</v>
      </c>
      <c r="D56" s="274">
        <v>1</v>
      </c>
      <c r="E56" s="275">
        <v>1</v>
      </c>
      <c r="F56" s="275">
        <v>1</v>
      </c>
      <c r="G56" s="275">
        <v>300</v>
      </c>
      <c r="H56" s="276"/>
      <c r="I56" s="276">
        <v>1.1574074074074073E-4</v>
      </c>
      <c r="J56" s="276">
        <v>1.3888888888888889E-3</v>
      </c>
      <c r="K56" s="312" t="s">
        <v>706</v>
      </c>
      <c r="L56" s="312"/>
      <c r="M56" s="451">
        <v>1</v>
      </c>
      <c r="N56" s="276">
        <f t="shared" si="59"/>
        <v>12.001504629629629</v>
      </c>
      <c r="O56" s="276">
        <f t="shared" si="62"/>
        <v>12</v>
      </c>
      <c r="P56" s="296">
        <f t="shared" si="60"/>
        <v>12</v>
      </c>
      <c r="Q56" s="548">
        <v>129</v>
      </c>
      <c r="R56" s="275">
        <f t="shared" si="61"/>
        <v>300</v>
      </c>
      <c r="S56" s="229">
        <f t="shared" si="19"/>
        <v>0.3</v>
      </c>
      <c r="T56" s="230">
        <f t="shared" si="20"/>
        <v>48</v>
      </c>
      <c r="U56" s="374">
        <f t="shared" si="21"/>
        <v>0.3</v>
      </c>
      <c r="V56" s="375">
        <f t="shared" si="22"/>
        <v>0</v>
      </c>
      <c r="W56" s="376">
        <f t="shared" si="23"/>
        <v>0</v>
      </c>
      <c r="X56" s="377">
        <f t="shared" si="24"/>
        <v>0</v>
      </c>
      <c r="Y56" s="378">
        <f t="shared" si="25"/>
        <v>0</v>
      </c>
      <c r="Z56" s="379">
        <f t="shared" si="26"/>
        <v>0</v>
      </c>
      <c r="AA56" s="380">
        <f t="shared" si="27"/>
        <v>0</v>
      </c>
      <c r="AC56" s="231"/>
      <c r="AD56" s="231"/>
      <c r="AE56" s="231"/>
      <c r="AF56" s="231"/>
      <c r="AG56" s="231"/>
      <c r="AH56" s="231"/>
      <c r="AI56" s="213"/>
      <c r="AJ56" s="213"/>
      <c r="AK56" s="213"/>
      <c r="AL56" s="213"/>
      <c r="AM56" s="213"/>
      <c r="AN56" s="204"/>
    </row>
    <row r="57" spans="1:40" ht="14" customHeight="1" thickBot="1">
      <c r="A57" s="664"/>
      <c r="B57" s="830"/>
      <c r="C57" s="274">
        <f t="shared" si="1"/>
        <v>2.1908757716049393E-4</v>
      </c>
      <c r="D57" s="658">
        <v>2</v>
      </c>
      <c r="E57" s="659"/>
      <c r="F57" s="659"/>
      <c r="G57" s="659"/>
      <c r="H57" s="659"/>
      <c r="I57" s="659"/>
      <c r="J57" s="659"/>
      <c r="K57" s="660" t="s">
        <v>2269</v>
      </c>
      <c r="L57" s="660"/>
      <c r="M57" s="661"/>
      <c r="N57" s="660">
        <f>SUM(N50:N56)</f>
        <v>309.01331018518511</v>
      </c>
      <c r="O57" s="659">
        <f t="shared" si="62"/>
        <v>0</v>
      </c>
      <c r="P57" s="659"/>
      <c r="Q57" s="659"/>
      <c r="R57" s="662">
        <f>SUM(R50:R56)</f>
        <v>3325</v>
      </c>
      <c r="S57" s="229">
        <f t="shared" si="19"/>
        <v>0</v>
      </c>
      <c r="T57" s="230">
        <f t="shared" si="20"/>
        <v>0</v>
      </c>
      <c r="U57" s="374">
        <f t="shared" si="21"/>
        <v>0</v>
      </c>
      <c r="V57" s="375">
        <f t="shared" si="22"/>
        <v>0</v>
      </c>
      <c r="W57" s="376">
        <f t="shared" si="23"/>
        <v>0</v>
      </c>
      <c r="X57" s="377">
        <f t="shared" si="24"/>
        <v>0</v>
      </c>
      <c r="Y57" s="378">
        <f t="shared" si="25"/>
        <v>0</v>
      </c>
      <c r="Z57" s="379">
        <f t="shared" si="26"/>
        <v>0</v>
      </c>
      <c r="AA57" s="380">
        <f t="shared" si="27"/>
        <v>0</v>
      </c>
      <c r="AC57" s="231"/>
      <c r="AD57" s="231"/>
      <c r="AE57" s="231"/>
      <c r="AF57" s="231"/>
      <c r="AG57" s="231"/>
      <c r="AH57" s="231"/>
      <c r="AI57" s="213"/>
      <c r="AJ57" s="213"/>
      <c r="AK57" s="213"/>
      <c r="AL57" s="213"/>
      <c r="AM57" s="213"/>
      <c r="AN57" s="204"/>
    </row>
    <row r="58" spans="1:40" ht="13.25" customHeight="1">
      <c r="A58" s="851" t="s">
        <v>219</v>
      </c>
      <c r="B58" s="829">
        <v>20</v>
      </c>
      <c r="C58" s="274">
        <f t="shared" si="1"/>
        <v>2.2880964381720439E-4</v>
      </c>
      <c r="D58" s="678">
        <v>1</v>
      </c>
      <c r="E58" s="275">
        <v>1</v>
      </c>
      <c r="F58" s="275">
        <v>1</v>
      </c>
      <c r="G58" s="275">
        <v>500</v>
      </c>
      <c r="H58" s="276"/>
      <c r="I58" s="276">
        <v>0</v>
      </c>
      <c r="J58" s="276">
        <v>0</v>
      </c>
      <c r="K58" s="312" t="s">
        <v>152</v>
      </c>
      <c r="L58" s="312"/>
      <c r="M58" s="451">
        <v>1</v>
      </c>
      <c r="N58" s="276">
        <f>P58*E58*F58+I58*E58*F58+J58*E58</f>
        <v>20</v>
      </c>
      <c r="O58" s="276">
        <f t="shared" si="62"/>
        <v>20</v>
      </c>
      <c r="P58" s="296">
        <f>O58*M58</f>
        <v>20</v>
      </c>
      <c r="Q58" s="548">
        <v>129</v>
      </c>
      <c r="R58" s="275">
        <f>E58*F58*G58</f>
        <v>500</v>
      </c>
      <c r="S58" s="229">
        <f t="shared" si="19"/>
        <v>0.5</v>
      </c>
      <c r="T58" s="230">
        <f t="shared" si="20"/>
        <v>80</v>
      </c>
      <c r="U58" s="374">
        <f t="shared" si="21"/>
        <v>0.5</v>
      </c>
      <c r="V58" s="375">
        <f t="shared" si="22"/>
        <v>0</v>
      </c>
      <c r="W58" s="376">
        <f t="shared" si="23"/>
        <v>0</v>
      </c>
      <c r="X58" s="377">
        <f t="shared" si="24"/>
        <v>0</v>
      </c>
      <c r="Y58" s="378">
        <f t="shared" si="25"/>
        <v>0</v>
      </c>
      <c r="Z58" s="379">
        <f t="shared" si="26"/>
        <v>0</v>
      </c>
      <c r="AA58" s="380">
        <f t="shared" si="27"/>
        <v>0</v>
      </c>
      <c r="AC58" s="231"/>
      <c r="AD58" s="231"/>
      <c r="AE58" s="231"/>
      <c r="AF58" s="231"/>
      <c r="AG58" s="231"/>
      <c r="AH58" s="231"/>
      <c r="AI58" s="213"/>
      <c r="AJ58" s="213"/>
      <c r="AK58" s="213"/>
      <c r="AL58" s="213"/>
      <c r="AM58" s="213"/>
      <c r="AN58" s="204"/>
    </row>
    <row r="59" spans="1:40" ht="14" customHeight="1" thickBot="1">
      <c r="A59" s="851" t="s">
        <v>138</v>
      </c>
      <c r="B59" s="829">
        <v>11</v>
      </c>
      <c r="C59" s="274">
        <f t="shared" si="1"/>
        <v>1.7682291666666674E-4</v>
      </c>
      <c r="D59" s="811">
        <v>7</v>
      </c>
      <c r="E59" s="441">
        <v>1</v>
      </c>
      <c r="F59" s="441">
        <v>6</v>
      </c>
      <c r="G59" s="441">
        <v>25</v>
      </c>
      <c r="H59" s="436"/>
      <c r="I59" s="436">
        <v>4.6296296296296293E-4</v>
      </c>
      <c r="J59" s="436">
        <v>1.3888888888888889E-3</v>
      </c>
      <c r="K59" s="443" t="s">
        <v>1306</v>
      </c>
      <c r="L59" s="442"/>
      <c r="M59" s="517">
        <v>1</v>
      </c>
      <c r="N59" s="436">
        <f>P59*E59*F59+I59*E59*F59+J59*E59</f>
        <v>42.00416666666667</v>
      </c>
      <c r="O59" s="436">
        <f t="shared" si="62"/>
        <v>7</v>
      </c>
      <c r="P59" s="439">
        <f>O59*M59</f>
        <v>7</v>
      </c>
      <c r="Q59" s="443">
        <v>129</v>
      </c>
      <c r="R59" s="435">
        <f>E59*F59*G59</f>
        <v>150</v>
      </c>
      <c r="S59" s="229">
        <f t="shared" si="19"/>
        <v>0.15</v>
      </c>
      <c r="T59" s="230">
        <f t="shared" si="20"/>
        <v>168</v>
      </c>
      <c r="U59" s="374">
        <f t="shared" si="21"/>
        <v>0</v>
      </c>
      <c r="V59" s="375">
        <f t="shared" si="22"/>
        <v>0</v>
      </c>
      <c r="W59" s="376">
        <f t="shared" si="23"/>
        <v>0</v>
      </c>
      <c r="X59" s="377">
        <f t="shared" si="24"/>
        <v>0</v>
      </c>
      <c r="Y59" s="378">
        <f t="shared" si="25"/>
        <v>0</v>
      </c>
      <c r="Z59" s="379">
        <f t="shared" si="26"/>
        <v>0</v>
      </c>
      <c r="AA59" s="380">
        <f t="shared" si="27"/>
        <v>0.15</v>
      </c>
      <c r="AC59" s="231"/>
      <c r="AD59" s="231"/>
      <c r="AE59" s="231"/>
      <c r="AF59" s="231"/>
      <c r="AG59" s="231"/>
      <c r="AH59" s="231"/>
      <c r="AI59" s="213"/>
      <c r="AJ59" s="213"/>
      <c r="AK59" s="213"/>
      <c r="AL59" s="213"/>
      <c r="AM59" s="213"/>
      <c r="AN59" s="204"/>
    </row>
    <row r="60" spans="1:40" ht="14" customHeight="1">
      <c r="A60" s="851" t="s">
        <v>138</v>
      </c>
      <c r="B60" s="961">
        <v>20</v>
      </c>
      <c r="C60" s="274">
        <f t="shared" si="1"/>
        <v>2.2880964381720439E-4</v>
      </c>
      <c r="D60" s="962">
        <v>1</v>
      </c>
      <c r="E60" s="630">
        <v>1</v>
      </c>
      <c r="F60" s="630">
        <v>1</v>
      </c>
      <c r="G60" s="630">
        <v>500</v>
      </c>
      <c r="H60" s="631"/>
      <c r="I60" s="631">
        <v>0</v>
      </c>
      <c r="J60" s="631">
        <v>0</v>
      </c>
      <c r="K60" s="632" t="s">
        <v>152</v>
      </c>
      <c r="L60" s="632"/>
      <c r="M60" s="633">
        <v>1</v>
      </c>
      <c r="N60" s="631">
        <f>P60*E60*F60+I60*E60*F60+J60*E60</f>
        <v>20</v>
      </c>
      <c r="O60" s="631">
        <f t="shared" si="62"/>
        <v>20</v>
      </c>
      <c r="P60" s="634">
        <f>O60*M60</f>
        <v>20</v>
      </c>
      <c r="Q60" s="635">
        <v>129</v>
      </c>
      <c r="R60" s="636">
        <f>E60*F60*G60</f>
        <v>500</v>
      </c>
      <c r="S60" s="229">
        <f t="shared" si="19"/>
        <v>0.5</v>
      </c>
      <c r="T60" s="230">
        <f t="shared" si="20"/>
        <v>80</v>
      </c>
      <c r="U60" s="374">
        <f t="shared" si="21"/>
        <v>0.5</v>
      </c>
      <c r="V60" s="375">
        <f t="shared" si="22"/>
        <v>0</v>
      </c>
      <c r="W60" s="376">
        <f t="shared" si="23"/>
        <v>0</v>
      </c>
      <c r="X60" s="377">
        <f t="shared" si="24"/>
        <v>0</v>
      </c>
      <c r="Y60" s="378">
        <f t="shared" si="25"/>
        <v>0</v>
      </c>
      <c r="Z60" s="379">
        <f t="shared" si="26"/>
        <v>0</v>
      </c>
      <c r="AA60" s="380">
        <f t="shared" si="27"/>
        <v>0</v>
      </c>
      <c r="AC60" s="231"/>
      <c r="AD60" s="231"/>
      <c r="AE60" s="231"/>
      <c r="AF60" s="231"/>
      <c r="AG60" s="231"/>
      <c r="AH60" s="231"/>
      <c r="AI60" s="213"/>
      <c r="AJ60" s="213"/>
      <c r="AK60" s="213"/>
      <c r="AL60" s="213"/>
      <c r="AM60" s="213"/>
      <c r="AN60" s="204"/>
    </row>
    <row r="61" spans="1:40" ht="13.25" customHeight="1" thickBot="1">
      <c r="A61" s="851" t="s">
        <v>220</v>
      </c>
      <c r="B61" s="829">
        <v>11</v>
      </c>
      <c r="C61" s="274">
        <f t="shared" si="1"/>
        <v>1.7682291666666674E-4</v>
      </c>
      <c r="D61" s="811">
        <v>7</v>
      </c>
      <c r="E61" s="441">
        <v>1</v>
      </c>
      <c r="F61" s="441">
        <v>8</v>
      </c>
      <c r="G61" s="441">
        <v>25</v>
      </c>
      <c r="H61" s="436"/>
      <c r="I61" s="436">
        <v>4.6296296296296293E-4</v>
      </c>
      <c r="J61" s="436">
        <v>1.3888888888888889E-3</v>
      </c>
      <c r="K61" s="443" t="s">
        <v>1058</v>
      </c>
      <c r="L61" s="442"/>
      <c r="M61" s="517">
        <v>1</v>
      </c>
      <c r="N61" s="436">
        <f>P61*E61*F61+I61*E61*F61+J61*E61</f>
        <v>56.005092592592597</v>
      </c>
      <c r="O61" s="436">
        <f t="shared" si="62"/>
        <v>7</v>
      </c>
      <c r="P61" s="439">
        <f>O61*M61</f>
        <v>7</v>
      </c>
      <c r="Q61" s="443">
        <v>129</v>
      </c>
      <c r="R61" s="638">
        <f>E61*F61*G61</f>
        <v>200</v>
      </c>
      <c r="S61" s="229">
        <f t="shared" si="19"/>
        <v>0.2</v>
      </c>
      <c r="T61" s="230">
        <f t="shared" si="20"/>
        <v>224</v>
      </c>
      <c r="U61" s="374">
        <f t="shared" si="21"/>
        <v>0</v>
      </c>
      <c r="V61" s="375">
        <f t="shared" si="22"/>
        <v>0</v>
      </c>
      <c r="W61" s="376">
        <f t="shared" si="23"/>
        <v>0</v>
      </c>
      <c r="X61" s="377">
        <f t="shared" si="24"/>
        <v>0</v>
      </c>
      <c r="Y61" s="378">
        <f t="shared" si="25"/>
        <v>0</v>
      </c>
      <c r="Z61" s="379">
        <f t="shared" si="26"/>
        <v>0</v>
      </c>
      <c r="AA61" s="380">
        <f t="shared" si="27"/>
        <v>0.2</v>
      </c>
      <c r="AC61" s="231"/>
      <c r="AD61" s="231"/>
      <c r="AE61" s="231"/>
      <c r="AF61" s="231"/>
      <c r="AG61" s="231"/>
      <c r="AH61" s="231"/>
      <c r="AI61" s="213"/>
      <c r="AJ61" s="213"/>
      <c r="AK61" s="213"/>
      <c r="AL61" s="213"/>
      <c r="AM61" s="213"/>
      <c r="AN61" s="204"/>
    </row>
    <row r="62" spans="1:40" ht="14" customHeight="1" thickBot="1">
      <c r="A62" s="963"/>
      <c r="B62" s="964"/>
      <c r="C62" s="274">
        <f t="shared" si="1"/>
        <v>2.2880964381720439E-4</v>
      </c>
      <c r="D62" s="658">
        <v>1</v>
      </c>
      <c r="E62" s="659"/>
      <c r="F62" s="659"/>
      <c r="G62" s="659"/>
      <c r="H62" s="659"/>
      <c r="I62" s="659"/>
      <c r="J62" s="659"/>
      <c r="K62" s="660"/>
      <c r="L62" s="660"/>
      <c r="M62" s="661"/>
      <c r="N62" s="660">
        <f>SUM(N60:N61)</f>
        <v>76.005092592592604</v>
      </c>
      <c r="O62" s="659">
        <f t="shared" si="62"/>
        <v>0</v>
      </c>
      <c r="P62" s="659"/>
      <c r="Q62" s="659"/>
      <c r="R62" s="662">
        <f>SUM(R60:R61)</f>
        <v>700</v>
      </c>
      <c r="S62" s="229">
        <f t="shared" si="19"/>
        <v>0</v>
      </c>
      <c r="T62" s="230">
        <f t="shared" si="20"/>
        <v>0</v>
      </c>
      <c r="U62" s="374">
        <f t="shared" si="21"/>
        <v>0</v>
      </c>
      <c r="V62" s="375">
        <f t="shared" si="22"/>
        <v>0</v>
      </c>
      <c r="W62" s="376">
        <f t="shared" si="23"/>
        <v>0</v>
      </c>
      <c r="X62" s="377">
        <f t="shared" si="24"/>
        <v>0</v>
      </c>
      <c r="Y62" s="378">
        <f t="shared" si="25"/>
        <v>0</v>
      </c>
      <c r="Z62" s="379">
        <f t="shared" si="26"/>
        <v>0</v>
      </c>
      <c r="AA62" s="380">
        <f t="shared" si="27"/>
        <v>0</v>
      </c>
      <c r="AC62" s="231"/>
      <c r="AD62" s="231"/>
      <c r="AE62" s="231"/>
      <c r="AF62" s="231"/>
      <c r="AG62" s="231"/>
      <c r="AH62" s="231"/>
      <c r="AI62" s="213"/>
      <c r="AJ62" s="213"/>
      <c r="AK62" s="213"/>
      <c r="AL62" s="213"/>
      <c r="AM62" s="213"/>
      <c r="AN62" s="204"/>
    </row>
    <row r="63" spans="1:40" ht="12.75" customHeight="1" thickBot="1">
      <c r="C63" s="274">
        <f t="shared" si="1"/>
        <v>0</v>
      </c>
      <c r="D63" s="899"/>
      <c r="E63" s="336"/>
      <c r="F63" s="336"/>
      <c r="G63" s="336"/>
      <c r="H63" s="336"/>
      <c r="I63" s="336"/>
      <c r="J63" s="336"/>
      <c r="K63" s="336"/>
      <c r="L63" s="1003">
        <f>L61+N61</f>
        <v>56.005092592592597</v>
      </c>
      <c r="M63" s="448"/>
      <c r="N63" s="325">
        <f>SUM(N61:N62)</f>
        <v>132.01018518518521</v>
      </c>
      <c r="O63" s="336"/>
      <c r="P63" s="336"/>
      <c r="Q63" s="336"/>
      <c r="R63" s="363">
        <f>SUM(R61:R62)</f>
        <v>900</v>
      </c>
      <c r="S63" s="229">
        <f t="shared" si="19"/>
        <v>0</v>
      </c>
      <c r="T63" s="230">
        <f t="shared" si="20"/>
        <v>0</v>
      </c>
      <c r="U63" s="374">
        <f t="shared" si="21"/>
        <v>0</v>
      </c>
      <c r="V63" s="375">
        <f t="shared" si="22"/>
        <v>0</v>
      </c>
      <c r="W63" s="376">
        <f t="shared" si="23"/>
        <v>0</v>
      </c>
      <c r="X63" s="377">
        <f t="shared" si="24"/>
        <v>0</v>
      </c>
      <c r="Y63" s="378">
        <f t="shared" si="25"/>
        <v>0</v>
      </c>
      <c r="Z63" s="379">
        <f t="shared" si="26"/>
        <v>0</v>
      </c>
      <c r="AA63" s="380">
        <f t="shared" si="27"/>
        <v>0</v>
      </c>
      <c r="AC63" s="231"/>
      <c r="AD63" s="231"/>
      <c r="AE63" s="231"/>
      <c r="AF63" s="231"/>
      <c r="AG63" s="231"/>
      <c r="AH63" s="231"/>
      <c r="AI63" s="213"/>
      <c r="AJ63" s="213"/>
      <c r="AK63" s="213"/>
      <c r="AL63" s="213"/>
      <c r="AM63" s="213"/>
    </row>
    <row r="64" spans="1:40" ht="19.25" customHeight="1" thickTop="1" thickBot="1">
      <c r="A64" s="144"/>
      <c r="B64" s="144"/>
      <c r="C64" s="144">
        <f t="shared" ref="C64" si="63">IF(D64=1,U$5,IF(D64=2,V$5,IF(D64=3,W$5,IF(D64=4,X$5,IF(D64=5,Y$5,IF(D64=6,Z$5,IF(D64=7,AA$5,0)))))))</f>
        <v>0</v>
      </c>
      <c r="D64" s="144"/>
      <c r="E64" s="144"/>
      <c r="F64" s="324"/>
      <c r="G64" s="324"/>
      <c r="H64" s="324"/>
      <c r="I64" s="965"/>
      <c r="J64" s="966"/>
      <c r="K64" s="967"/>
      <c r="L64" s="967"/>
      <c r="M64" s="968"/>
      <c r="N64" s="969"/>
      <c r="O64" s="969">
        <f t="shared" ref="O64" si="64">D64*(G64/25)</f>
        <v>0</v>
      </c>
      <c r="P64" s="324"/>
      <c r="Q64" s="970"/>
      <c r="R64" s="471"/>
      <c r="S64" s="238"/>
      <c r="T64" s="239"/>
      <c r="U64" s="240">
        <f>SUM(U6:U63)</f>
        <v>4.375</v>
      </c>
      <c r="V64" s="240">
        <f t="shared" ref="V64:AA64" si="65">SUM(V6:V63)</f>
        <v>6.03</v>
      </c>
      <c r="W64" s="240">
        <f t="shared" si="65"/>
        <v>1.45</v>
      </c>
      <c r="X64" s="240">
        <f t="shared" si="65"/>
        <v>2.15</v>
      </c>
      <c r="Y64" s="240">
        <f t="shared" si="65"/>
        <v>2.25</v>
      </c>
      <c r="Z64" s="240">
        <f t="shared" si="65"/>
        <v>2.1</v>
      </c>
      <c r="AA64" s="240">
        <f t="shared" si="65"/>
        <v>1.6199999999999999</v>
      </c>
      <c r="AC64" s="231"/>
      <c r="AD64" s="231"/>
      <c r="AE64" s="231"/>
      <c r="AF64" s="231"/>
      <c r="AG64" s="231"/>
      <c r="AH64" s="231"/>
      <c r="AI64" s="213"/>
      <c r="AJ64" s="213"/>
      <c r="AK64" s="213"/>
      <c r="AL64" s="213"/>
      <c r="AM64" s="213"/>
    </row>
    <row r="65" spans="1:40" ht="14" thickTop="1">
      <c r="A65" s="144"/>
      <c r="B65" s="144"/>
      <c r="C65" s="144"/>
      <c r="D65" s="906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222"/>
      <c r="V65" s="222"/>
      <c r="W65" s="222"/>
      <c r="X65" s="222"/>
      <c r="Y65" s="222"/>
      <c r="Z65" s="222"/>
      <c r="AA65" s="222"/>
      <c r="AB65" s="144"/>
      <c r="AJ65" s="204"/>
      <c r="AK65" s="204"/>
      <c r="AL65" s="204"/>
      <c r="AM65" s="204"/>
      <c r="AN65" s="204"/>
    </row>
    <row r="66" spans="1:40">
      <c r="A66" s="144"/>
      <c r="B66" s="144"/>
      <c r="C66" s="144"/>
      <c r="D66" s="906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222"/>
      <c r="V66" s="222"/>
      <c r="W66" s="222"/>
      <c r="X66" s="222"/>
      <c r="Y66" s="222"/>
      <c r="Z66" s="222"/>
      <c r="AA66" s="222"/>
      <c r="AB66" s="144"/>
      <c r="AJ66" s="204"/>
      <c r="AK66" s="204"/>
      <c r="AL66" s="204"/>
      <c r="AM66" s="204"/>
      <c r="AN66" s="204"/>
    </row>
    <row r="67" spans="1:40">
      <c r="A67" s="144"/>
      <c r="B67" s="144"/>
      <c r="C67" s="144"/>
      <c r="D67" s="906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222"/>
      <c r="V67" s="222"/>
      <c r="W67" s="222"/>
      <c r="X67" s="222"/>
      <c r="Y67" s="222"/>
      <c r="Z67" s="222"/>
      <c r="AA67" s="222"/>
      <c r="AB67" s="144"/>
      <c r="AJ67" s="204"/>
      <c r="AK67" s="204"/>
      <c r="AL67" s="204"/>
      <c r="AM67" s="204"/>
      <c r="AN67" s="204"/>
    </row>
    <row r="68" spans="1:40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222"/>
      <c r="V68" s="222"/>
      <c r="W68" s="222"/>
      <c r="X68" s="222"/>
      <c r="Y68" s="222"/>
      <c r="Z68" s="222"/>
      <c r="AA68" s="222"/>
      <c r="AB68" s="144"/>
      <c r="AN68" s="204"/>
    </row>
    <row r="69" spans="1:40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222"/>
      <c r="V69" s="222"/>
      <c r="W69" s="222"/>
      <c r="X69" s="222"/>
      <c r="Y69" s="222"/>
      <c r="Z69" s="222"/>
      <c r="AA69" s="222"/>
      <c r="AB69" s="144"/>
      <c r="AN69" s="204"/>
    </row>
    <row r="70" spans="1:40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222"/>
      <c r="V70" s="222"/>
      <c r="W70" s="222"/>
      <c r="X70" s="222"/>
      <c r="Y70" s="222"/>
      <c r="Z70" s="222"/>
      <c r="AA70" s="222"/>
      <c r="AB70" s="144"/>
      <c r="AC70" s="213"/>
      <c r="AD70" s="213"/>
      <c r="AE70" s="213"/>
      <c r="AF70" s="213"/>
      <c r="AG70" s="213"/>
      <c r="AH70" s="213"/>
      <c r="AI70" s="213"/>
      <c r="AJ70" s="213"/>
      <c r="AK70" s="213"/>
      <c r="AL70" s="213"/>
      <c r="AM70" s="213"/>
      <c r="AN70" s="204"/>
    </row>
    <row r="71" spans="1:40" s="247" customFormat="1" ht="11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222"/>
      <c r="V71" s="222"/>
      <c r="W71" s="222"/>
      <c r="X71" s="222"/>
      <c r="Y71" s="222"/>
      <c r="Z71" s="222"/>
      <c r="AA71" s="222"/>
      <c r="AB71" s="14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</row>
    <row r="72" spans="1:40" s="247" customFormat="1" ht="11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222"/>
      <c r="V72" s="222"/>
      <c r="W72" s="222"/>
      <c r="X72" s="222"/>
      <c r="Y72" s="222"/>
      <c r="Z72" s="222"/>
      <c r="AA72" s="222"/>
      <c r="AB72" s="14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</row>
    <row r="73" spans="1:40" s="247" customFormat="1" ht="11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222"/>
      <c r="V73" s="222"/>
      <c r="W73" s="222"/>
      <c r="X73" s="222"/>
      <c r="Y73" s="222"/>
      <c r="Z73" s="222"/>
      <c r="AA73" s="222"/>
      <c r="AB73" s="14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</row>
    <row r="74" spans="1:40" s="247" customFormat="1" ht="11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222"/>
      <c r="V74" s="222"/>
      <c r="W74" s="222"/>
      <c r="X74" s="222"/>
      <c r="Y74" s="222"/>
      <c r="Z74" s="222"/>
      <c r="AA74" s="222"/>
      <c r="AB74" s="14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</row>
    <row r="75" spans="1:40" s="247" customFormat="1" ht="11">
      <c r="B75" s="144"/>
      <c r="C75" s="143"/>
      <c r="D75" s="907"/>
      <c r="E75" s="143"/>
      <c r="F75" s="145"/>
      <c r="G75" s="146"/>
      <c r="H75" s="146"/>
      <c r="I75" s="146"/>
      <c r="J75" s="146"/>
      <c r="K75" s="146"/>
      <c r="L75" s="146"/>
      <c r="M75" s="458"/>
      <c r="N75" s="145"/>
      <c r="O75" s="146"/>
      <c r="P75" s="146"/>
      <c r="Q75" s="147"/>
      <c r="R75" s="147"/>
      <c r="S75" s="142"/>
      <c r="T75" s="142"/>
      <c r="U75" s="222"/>
      <c r="V75" s="222"/>
      <c r="W75" s="222"/>
      <c r="X75" s="222"/>
      <c r="Y75" s="222"/>
      <c r="Z75" s="222"/>
      <c r="AA75" s="222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</row>
    <row r="76" spans="1:40" s="247" customFormat="1" ht="11">
      <c r="B76" s="144"/>
      <c r="C76" s="143"/>
      <c r="D76" s="907"/>
      <c r="E76" s="143"/>
      <c r="F76" s="145"/>
      <c r="G76" s="146"/>
      <c r="H76" s="146"/>
      <c r="I76" s="146"/>
      <c r="J76" s="146"/>
      <c r="K76" s="146"/>
      <c r="L76" s="146"/>
      <c r="M76" s="458"/>
      <c r="N76" s="145"/>
      <c r="O76" s="146"/>
      <c r="P76" s="146"/>
      <c r="Q76" s="147"/>
      <c r="R76" s="147"/>
      <c r="S76" s="142"/>
      <c r="T76" s="142"/>
      <c r="U76" s="222"/>
      <c r="V76" s="222"/>
      <c r="W76" s="222"/>
      <c r="X76" s="222"/>
      <c r="Y76" s="222"/>
      <c r="Z76" s="222"/>
      <c r="AA76" s="222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</row>
    <row r="77" spans="1:40" s="247" customFormat="1" ht="11">
      <c r="B77" s="144"/>
      <c r="C77" s="143"/>
      <c r="D77" s="907"/>
      <c r="E77" s="143"/>
      <c r="F77" s="145"/>
      <c r="G77" s="146"/>
      <c r="H77" s="146"/>
      <c r="I77" s="146"/>
      <c r="J77" s="146"/>
      <c r="K77" s="146"/>
      <c r="L77" s="146"/>
      <c r="M77" s="458"/>
      <c r="N77" s="145"/>
      <c r="O77" s="146"/>
      <c r="P77" s="146"/>
      <c r="Q77" s="147"/>
      <c r="R77" s="147"/>
      <c r="S77" s="142"/>
      <c r="T77" s="142"/>
      <c r="U77" s="222"/>
      <c r="V77" s="222"/>
      <c r="W77" s="222"/>
      <c r="X77" s="222"/>
      <c r="Y77" s="222"/>
      <c r="Z77" s="222"/>
      <c r="AA77" s="222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</row>
    <row r="78" spans="1:40" s="247" customFormat="1" ht="11">
      <c r="B78" s="144"/>
      <c r="C78" s="143"/>
      <c r="D78" s="907"/>
      <c r="E78" s="143"/>
      <c r="F78" s="145"/>
      <c r="G78" s="146"/>
      <c r="H78" s="146"/>
      <c r="I78" s="146"/>
      <c r="J78" s="146"/>
      <c r="K78" s="146"/>
      <c r="L78" s="146"/>
      <c r="M78" s="458"/>
      <c r="N78" s="145"/>
      <c r="O78" s="146"/>
      <c r="P78" s="146"/>
      <c r="Q78" s="147"/>
      <c r="R78" s="147"/>
      <c r="S78" s="142"/>
      <c r="T78" s="142"/>
      <c r="U78" s="222"/>
      <c r="V78" s="222"/>
      <c r="W78" s="222"/>
      <c r="X78" s="222"/>
      <c r="Y78" s="222"/>
      <c r="Z78" s="222"/>
      <c r="AA78" s="222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</row>
    <row r="79" spans="1:40" s="247" customFormat="1" ht="11">
      <c r="B79" s="144"/>
      <c r="C79" s="143"/>
      <c r="D79" s="907"/>
      <c r="E79" s="143"/>
      <c r="F79" s="145"/>
      <c r="G79" s="146"/>
      <c r="H79" s="146"/>
      <c r="I79" s="146"/>
      <c r="J79" s="146"/>
      <c r="K79" s="146"/>
      <c r="L79" s="146"/>
      <c r="M79" s="458"/>
      <c r="N79" s="145"/>
      <c r="O79" s="146"/>
      <c r="P79" s="146"/>
      <c r="Q79" s="147"/>
      <c r="R79" s="147"/>
      <c r="S79" s="142"/>
      <c r="T79" s="142"/>
      <c r="U79" s="146"/>
      <c r="V79" s="146"/>
      <c r="W79" s="146"/>
      <c r="X79" s="146"/>
      <c r="Y79" s="146"/>
      <c r="Z79" s="146"/>
      <c r="AA79" s="146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</row>
    <row r="80" spans="1:40" s="247" customFormat="1" ht="11">
      <c r="B80" s="144"/>
      <c r="C80" s="143"/>
      <c r="D80" s="907"/>
      <c r="E80" s="143"/>
      <c r="F80" s="145"/>
      <c r="G80" s="146"/>
      <c r="H80" s="146"/>
      <c r="I80" s="146"/>
      <c r="J80" s="146"/>
      <c r="K80" s="146"/>
      <c r="L80" s="146"/>
      <c r="M80" s="458"/>
      <c r="N80" s="145"/>
      <c r="O80" s="146"/>
      <c r="P80" s="146"/>
      <c r="Q80" s="147"/>
      <c r="R80" s="147"/>
      <c r="S80" s="142"/>
      <c r="T80" s="142"/>
      <c r="U80" s="146"/>
      <c r="V80" s="146"/>
      <c r="W80" s="146"/>
      <c r="X80" s="146"/>
      <c r="Y80" s="146"/>
      <c r="Z80" s="146"/>
      <c r="AA80" s="146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</row>
    <row r="81" spans="2:39" s="247" customFormat="1" ht="11">
      <c r="B81" s="144"/>
      <c r="C81" s="143"/>
      <c r="D81" s="907"/>
      <c r="E81" s="143"/>
      <c r="F81" s="145"/>
      <c r="G81" s="146"/>
      <c r="H81" s="146"/>
      <c r="I81" s="146"/>
      <c r="J81" s="146"/>
      <c r="K81" s="146"/>
      <c r="L81" s="146"/>
      <c r="M81" s="458"/>
      <c r="N81" s="145"/>
      <c r="O81" s="146"/>
      <c r="P81" s="146"/>
      <c r="Q81" s="147"/>
      <c r="R81" s="147"/>
      <c r="S81" s="142"/>
      <c r="T81" s="142"/>
      <c r="U81" s="146"/>
      <c r="V81" s="146"/>
      <c r="W81" s="146"/>
      <c r="X81" s="146"/>
      <c r="Y81" s="146"/>
      <c r="Z81" s="146"/>
      <c r="AA81" s="146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</row>
    <row r="82" spans="2:39" s="247" customFormat="1" ht="11">
      <c r="B82" s="144"/>
      <c r="C82" s="143"/>
      <c r="D82" s="907"/>
      <c r="E82" s="143"/>
      <c r="F82" s="145"/>
      <c r="G82" s="146"/>
      <c r="H82" s="146"/>
      <c r="I82" s="146"/>
      <c r="J82" s="146"/>
      <c r="K82" s="146"/>
      <c r="L82" s="146"/>
      <c r="M82" s="458"/>
      <c r="N82" s="145"/>
      <c r="O82" s="146"/>
      <c r="P82" s="146"/>
      <c r="Q82" s="147"/>
      <c r="R82" s="147"/>
      <c r="S82" s="142"/>
      <c r="T82" s="142"/>
      <c r="U82" s="146"/>
      <c r="V82" s="146"/>
      <c r="W82" s="146"/>
      <c r="X82" s="146"/>
      <c r="Y82" s="146"/>
      <c r="Z82" s="146"/>
      <c r="AA82" s="146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</row>
    <row r="83" spans="2:39" s="247" customFormat="1" ht="11">
      <c r="B83" s="144"/>
      <c r="C83" s="143"/>
      <c r="D83" s="907"/>
      <c r="E83" s="143"/>
      <c r="F83" s="145"/>
      <c r="G83" s="146"/>
      <c r="H83" s="146"/>
      <c r="I83" s="146"/>
      <c r="J83" s="146"/>
      <c r="K83" s="146"/>
      <c r="L83" s="146"/>
      <c r="M83" s="458"/>
      <c r="N83" s="145"/>
      <c r="O83" s="146"/>
      <c r="P83" s="146"/>
      <c r="Q83" s="147"/>
      <c r="R83" s="147"/>
      <c r="S83" s="142"/>
      <c r="T83" s="142"/>
      <c r="U83" s="146"/>
      <c r="V83" s="146"/>
      <c r="W83" s="146"/>
      <c r="X83" s="146"/>
      <c r="Y83" s="146"/>
      <c r="Z83" s="146"/>
      <c r="AA83" s="146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</row>
    <row r="84" spans="2:39" s="247" customFormat="1" ht="11">
      <c r="B84" s="144"/>
      <c r="C84" s="143"/>
      <c r="D84" s="907"/>
      <c r="E84" s="143"/>
      <c r="F84" s="145"/>
      <c r="G84" s="146"/>
      <c r="H84" s="146"/>
      <c r="I84" s="146"/>
      <c r="J84" s="146"/>
      <c r="K84" s="146"/>
      <c r="L84" s="146"/>
      <c r="M84" s="458"/>
      <c r="N84" s="145"/>
      <c r="O84" s="146"/>
      <c r="P84" s="146"/>
      <c r="Q84" s="147"/>
      <c r="R84" s="147"/>
      <c r="S84" s="142"/>
      <c r="T84" s="142"/>
      <c r="U84" s="146"/>
      <c r="V84" s="146"/>
      <c r="W84" s="146"/>
      <c r="X84" s="146"/>
      <c r="Y84" s="146"/>
      <c r="Z84" s="146"/>
      <c r="AA84" s="146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</row>
    <row r="85" spans="2:39" s="247" customFormat="1" ht="11">
      <c r="B85" s="144"/>
      <c r="C85" s="143"/>
      <c r="D85" s="907"/>
      <c r="E85" s="143"/>
      <c r="F85" s="145"/>
      <c r="G85" s="146"/>
      <c r="H85" s="146"/>
      <c r="I85" s="146"/>
      <c r="J85" s="146"/>
      <c r="K85" s="146"/>
      <c r="L85" s="146"/>
      <c r="M85" s="458"/>
      <c r="N85" s="145"/>
      <c r="O85" s="146"/>
      <c r="P85" s="146"/>
      <c r="Q85" s="147"/>
      <c r="R85" s="147"/>
      <c r="S85" s="142"/>
      <c r="T85" s="142"/>
      <c r="U85" s="146"/>
      <c r="V85" s="146"/>
      <c r="W85" s="146"/>
      <c r="X85" s="146"/>
      <c r="Y85" s="146"/>
      <c r="Z85" s="146"/>
      <c r="AA85" s="146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</row>
    <row r="86" spans="2:39" s="247" customFormat="1" ht="11">
      <c r="B86" s="144"/>
      <c r="C86" s="143"/>
      <c r="D86" s="907"/>
      <c r="E86" s="143"/>
      <c r="F86" s="145"/>
      <c r="G86" s="146"/>
      <c r="H86" s="146"/>
      <c r="I86" s="146"/>
      <c r="J86" s="146"/>
      <c r="K86" s="146"/>
      <c r="L86" s="146"/>
      <c r="M86" s="458"/>
      <c r="N86" s="145"/>
      <c r="O86" s="146"/>
      <c r="P86" s="146"/>
      <c r="Q86" s="147"/>
      <c r="R86" s="147"/>
      <c r="S86" s="142"/>
      <c r="T86" s="142"/>
      <c r="U86" s="146"/>
      <c r="V86" s="146"/>
      <c r="W86" s="146"/>
      <c r="X86" s="146"/>
      <c r="Y86" s="146"/>
      <c r="Z86" s="146"/>
      <c r="AA86" s="146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</row>
    <row r="87" spans="2:39" s="247" customFormat="1" ht="11">
      <c r="B87" s="144"/>
      <c r="C87" s="143"/>
      <c r="D87" s="907"/>
      <c r="E87" s="143"/>
      <c r="F87" s="145"/>
      <c r="G87" s="146"/>
      <c r="H87" s="146"/>
      <c r="I87" s="146"/>
      <c r="J87" s="146"/>
      <c r="K87" s="146"/>
      <c r="L87" s="146"/>
      <c r="M87" s="458"/>
      <c r="N87" s="145"/>
      <c r="O87" s="146"/>
      <c r="P87" s="146"/>
      <c r="Q87" s="147"/>
      <c r="R87" s="147"/>
      <c r="S87" s="142"/>
      <c r="T87" s="142"/>
      <c r="U87" s="146"/>
      <c r="V87" s="146"/>
      <c r="W87" s="146"/>
      <c r="X87" s="146"/>
      <c r="Y87" s="146"/>
      <c r="Z87" s="146"/>
      <c r="AA87" s="146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</row>
    <row r="88" spans="2:39" s="247" customFormat="1" ht="11">
      <c r="B88" s="144"/>
      <c r="C88" s="143"/>
      <c r="D88" s="907"/>
      <c r="E88" s="143"/>
      <c r="F88" s="145"/>
      <c r="G88" s="146"/>
      <c r="H88" s="146"/>
      <c r="I88" s="146"/>
      <c r="J88" s="146"/>
      <c r="K88" s="146"/>
      <c r="L88" s="146"/>
      <c r="M88" s="458"/>
      <c r="N88" s="145"/>
      <c r="O88" s="146"/>
      <c r="P88" s="146"/>
      <c r="Q88" s="147"/>
      <c r="R88" s="147"/>
      <c r="S88" s="142"/>
      <c r="T88" s="142"/>
      <c r="U88" s="146"/>
      <c r="V88" s="146"/>
      <c r="W88" s="146"/>
      <c r="X88" s="146"/>
      <c r="Y88" s="146"/>
      <c r="Z88" s="146"/>
      <c r="AA88" s="146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</row>
    <row r="89" spans="2:39" s="247" customFormat="1" ht="11">
      <c r="B89" s="144"/>
      <c r="C89" s="143"/>
      <c r="D89" s="907"/>
      <c r="E89" s="143"/>
      <c r="F89" s="145"/>
      <c r="G89" s="146"/>
      <c r="H89" s="146"/>
      <c r="I89" s="146"/>
      <c r="J89" s="146"/>
      <c r="K89" s="146"/>
      <c r="L89" s="146"/>
      <c r="M89" s="458"/>
      <c r="N89" s="145"/>
      <c r="O89" s="146"/>
      <c r="P89" s="146"/>
      <c r="Q89" s="147"/>
      <c r="R89" s="147"/>
      <c r="S89" s="142"/>
      <c r="T89" s="142"/>
      <c r="U89" s="146"/>
      <c r="V89" s="146"/>
      <c r="W89" s="146"/>
      <c r="X89" s="146"/>
      <c r="Y89" s="146"/>
      <c r="Z89" s="146"/>
      <c r="AA89" s="146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</row>
    <row r="90" spans="2:39" s="247" customFormat="1" ht="11">
      <c r="B90" s="144"/>
      <c r="C90" s="143"/>
      <c r="D90" s="907"/>
      <c r="E90" s="143"/>
      <c r="F90" s="145"/>
      <c r="G90" s="146"/>
      <c r="H90" s="146"/>
      <c r="I90" s="146"/>
      <c r="J90" s="146"/>
      <c r="K90" s="146"/>
      <c r="L90" s="146"/>
      <c r="M90" s="458"/>
      <c r="N90" s="145"/>
      <c r="O90" s="146"/>
      <c r="P90" s="146"/>
      <c r="Q90" s="147"/>
      <c r="R90" s="147"/>
      <c r="S90" s="142"/>
      <c r="T90" s="142"/>
      <c r="U90" s="146"/>
      <c r="V90" s="146"/>
      <c r="W90" s="146"/>
      <c r="X90" s="146"/>
      <c r="Y90" s="146"/>
      <c r="Z90" s="146"/>
      <c r="AA90" s="146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</row>
    <row r="91" spans="2:39" s="247" customFormat="1" ht="11">
      <c r="B91" s="144"/>
      <c r="C91" s="143"/>
      <c r="D91" s="907"/>
      <c r="E91" s="143"/>
      <c r="F91" s="145"/>
      <c r="G91" s="146"/>
      <c r="H91" s="146"/>
      <c r="I91" s="146"/>
      <c r="J91" s="146"/>
      <c r="K91" s="146"/>
      <c r="L91" s="146"/>
      <c r="M91" s="458"/>
      <c r="N91" s="145"/>
      <c r="O91" s="146"/>
      <c r="P91" s="146"/>
      <c r="Q91" s="147"/>
      <c r="R91" s="147"/>
      <c r="S91" s="142"/>
      <c r="T91" s="142"/>
      <c r="U91" s="146"/>
      <c r="V91" s="146"/>
      <c r="W91" s="146"/>
      <c r="X91" s="146"/>
      <c r="Y91" s="146"/>
      <c r="Z91" s="146"/>
      <c r="AA91" s="146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</row>
    <row r="92" spans="2:39" s="247" customFormat="1" ht="11">
      <c r="B92" s="144"/>
      <c r="C92" s="143"/>
      <c r="D92" s="907"/>
      <c r="E92" s="143"/>
      <c r="F92" s="145"/>
      <c r="G92" s="146"/>
      <c r="H92" s="146"/>
      <c r="I92" s="146"/>
      <c r="J92" s="146"/>
      <c r="K92" s="146"/>
      <c r="L92" s="146"/>
      <c r="M92" s="458"/>
      <c r="N92" s="145"/>
      <c r="O92" s="146"/>
      <c r="P92" s="146"/>
      <c r="Q92" s="147"/>
      <c r="R92" s="147"/>
      <c r="S92" s="142"/>
      <c r="T92" s="142"/>
      <c r="U92" s="146"/>
      <c r="V92" s="146"/>
      <c r="W92" s="146"/>
      <c r="X92" s="146"/>
      <c r="Y92" s="146"/>
      <c r="Z92" s="146"/>
      <c r="AA92" s="146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</row>
    <row r="93" spans="2:39" s="247" customFormat="1" ht="11">
      <c r="B93" s="144"/>
      <c r="C93" s="143"/>
      <c r="D93" s="907"/>
      <c r="E93" s="143"/>
      <c r="F93" s="145"/>
      <c r="G93" s="146"/>
      <c r="H93" s="146"/>
      <c r="I93" s="146"/>
      <c r="J93" s="146"/>
      <c r="K93" s="146"/>
      <c r="L93" s="146"/>
      <c r="M93" s="458"/>
      <c r="N93" s="145"/>
      <c r="O93" s="146"/>
      <c r="P93" s="146"/>
      <c r="Q93" s="147"/>
      <c r="R93" s="147"/>
      <c r="S93" s="142"/>
      <c r="T93" s="142"/>
      <c r="U93" s="146"/>
      <c r="V93" s="146"/>
      <c r="W93" s="146"/>
      <c r="X93" s="146"/>
      <c r="Y93" s="146"/>
      <c r="Z93" s="146"/>
      <c r="AA93" s="146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</row>
    <row r="94" spans="2:39" s="247" customFormat="1" ht="11">
      <c r="B94" s="144"/>
      <c r="C94" s="143"/>
      <c r="D94" s="907"/>
      <c r="E94" s="143"/>
      <c r="F94" s="145"/>
      <c r="G94" s="146"/>
      <c r="H94" s="146"/>
      <c r="I94" s="146"/>
      <c r="J94" s="146"/>
      <c r="K94" s="146"/>
      <c r="L94" s="146"/>
      <c r="M94" s="458"/>
      <c r="N94" s="145"/>
      <c r="O94" s="146"/>
      <c r="P94" s="146"/>
      <c r="Q94" s="147"/>
      <c r="R94" s="147"/>
      <c r="S94" s="142"/>
      <c r="T94" s="142"/>
      <c r="U94" s="146"/>
      <c r="V94" s="146"/>
      <c r="W94" s="146"/>
      <c r="X94" s="146"/>
      <c r="Y94" s="146"/>
      <c r="Z94" s="146"/>
      <c r="AA94" s="146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</row>
    <row r="95" spans="2:39" s="247" customFormat="1" ht="11">
      <c r="B95" s="144"/>
      <c r="C95" s="143"/>
      <c r="D95" s="907"/>
      <c r="E95" s="143"/>
      <c r="F95" s="145"/>
      <c r="G95" s="146"/>
      <c r="H95" s="146"/>
      <c r="I95" s="146"/>
      <c r="J95" s="146"/>
      <c r="K95" s="146"/>
      <c r="L95" s="146"/>
      <c r="M95" s="458"/>
      <c r="N95" s="145"/>
      <c r="O95" s="146"/>
      <c r="P95" s="146"/>
      <c r="Q95" s="147"/>
      <c r="R95" s="147"/>
      <c r="S95" s="142"/>
      <c r="T95" s="142"/>
      <c r="U95" s="146"/>
      <c r="V95" s="146"/>
      <c r="W95" s="146"/>
      <c r="X95" s="146"/>
      <c r="Y95" s="146"/>
      <c r="Z95" s="146"/>
      <c r="AA95" s="146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</row>
    <row r="96" spans="2:39" s="247" customFormat="1" ht="11">
      <c r="B96" s="144"/>
      <c r="C96" s="143"/>
      <c r="D96" s="907"/>
      <c r="E96" s="143"/>
      <c r="F96" s="145"/>
      <c r="G96" s="146"/>
      <c r="H96" s="146"/>
      <c r="I96" s="146"/>
      <c r="J96" s="146"/>
      <c r="K96" s="146"/>
      <c r="L96" s="146"/>
      <c r="M96" s="458"/>
      <c r="N96" s="145"/>
      <c r="O96" s="146"/>
      <c r="P96" s="146"/>
      <c r="Q96" s="147"/>
      <c r="R96" s="147"/>
      <c r="S96" s="142"/>
      <c r="T96" s="142"/>
      <c r="U96" s="146"/>
      <c r="V96" s="146"/>
      <c r="W96" s="146"/>
      <c r="X96" s="146"/>
      <c r="Y96" s="146"/>
      <c r="Z96" s="146"/>
      <c r="AA96" s="146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</row>
    <row r="97" spans="2:39" s="247" customFormat="1" ht="11">
      <c r="B97" s="144"/>
      <c r="C97" s="143"/>
      <c r="D97" s="907"/>
      <c r="E97" s="143"/>
      <c r="F97" s="145"/>
      <c r="G97" s="146"/>
      <c r="H97" s="146"/>
      <c r="I97" s="146"/>
      <c r="J97" s="146"/>
      <c r="K97" s="146"/>
      <c r="L97" s="146"/>
      <c r="M97" s="458"/>
      <c r="N97" s="145"/>
      <c r="O97" s="146"/>
      <c r="P97" s="146"/>
      <c r="Q97" s="147"/>
      <c r="R97" s="147"/>
      <c r="S97" s="142"/>
      <c r="T97" s="142"/>
      <c r="U97" s="146"/>
      <c r="V97" s="146"/>
      <c r="W97" s="146"/>
      <c r="X97" s="146"/>
      <c r="Y97" s="146"/>
      <c r="Z97" s="146"/>
      <c r="AA97" s="146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</row>
    <row r="98" spans="2:39" s="247" customFormat="1" ht="11">
      <c r="B98" s="144"/>
      <c r="C98" s="143"/>
      <c r="D98" s="907"/>
      <c r="E98" s="143"/>
      <c r="F98" s="145"/>
      <c r="G98" s="146"/>
      <c r="H98" s="146"/>
      <c r="I98" s="146"/>
      <c r="J98" s="146"/>
      <c r="K98" s="146"/>
      <c r="L98" s="146"/>
      <c r="M98" s="458"/>
      <c r="N98" s="145"/>
      <c r="O98" s="146"/>
      <c r="P98" s="146"/>
      <c r="Q98" s="147"/>
      <c r="R98" s="147"/>
      <c r="S98" s="142"/>
      <c r="T98" s="142"/>
      <c r="U98" s="146"/>
      <c r="V98" s="146"/>
      <c r="W98" s="146"/>
      <c r="X98" s="146"/>
      <c r="Y98" s="146"/>
      <c r="Z98" s="146"/>
      <c r="AA98" s="146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</row>
    <row r="99" spans="2:39" s="247" customFormat="1" ht="11">
      <c r="B99" s="144"/>
      <c r="C99" s="143"/>
      <c r="D99" s="907"/>
      <c r="E99" s="143"/>
      <c r="F99" s="145"/>
      <c r="G99" s="146"/>
      <c r="H99" s="146"/>
      <c r="I99" s="146"/>
      <c r="J99" s="146"/>
      <c r="K99" s="146"/>
      <c r="L99" s="146"/>
      <c r="M99" s="458"/>
      <c r="N99" s="145"/>
      <c r="O99" s="146"/>
      <c r="P99" s="146"/>
      <c r="Q99" s="147"/>
      <c r="R99" s="147"/>
      <c r="S99" s="142"/>
      <c r="T99" s="142"/>
      <c r="U99" s="146"/>
      <c r="V99" s="146"/>
      <c r="W99" s="146"/>
      <c r="X99" s="146"/>
      <c r="Y99" s="146"/>
      <c r="Z99" s="146"/>
      <c r="AA99" s="146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</row>
    <row r="100" spans="2:39" s="247" customFormat="1" ht="11">
      <c r="B100" s="144"/>
      <c r="C100" s="143"/>
      <c r="D100" s="907"/>
      <c r="E100" s="143"/>
      <c r="F100" s="145"/>
      <c r="G100" s="146"/>
      <c r="H100" s="146"/>
      <c r="I100" s="146"/>
      <c r="J100" s="146"/>
      <c r="K100" s="146"/>
      <c r="L100" s="146"/>
      <c r="M100" s="458"/>
      <c r="N100" s="145"/>
      <c r="O100" s="146"/>
      <c r="P100" s="146"/>
      <c r="Q100" s="147"/>
      <c r="R100" s="147"/>
      <c r="S100" s="142"/>
      <c r="T100" s="142"/>
      <c r="U100" s="146"/>
      <c r="V100" s="146"/>
      <c r="W100" s="146"/>
      <c r="X100" s="146"/>
      <c r="Y100" s="146"/>
      <c r="Z100" s="146"/>
      <c r="AA100" s="146"/>
      <c r="AB100" s="247">
        <f>SUBTOTAL(9,AB65:AB99)</f>
        <v>0</v>
      </c>
      <c r="AC100" s="214">
        <f>SUBTOTAL(9,AC65:AC99)</f>
        <v>0</v>
      </c>
      <c r="AD100" s="214">
        <f>SUBTOTAL(9,AD65:AD99)</f>
        <v>0</v>
      </c>
      <c r="AE100" s="214"/>
      <c r="AF100" s="214"/>
      <c r="AG100" s="214"/>
      <c r="AH100" s="214"/>
      <c r="AI100" s="214"/>
      <c r="AJ100" s="214"/>
      <c r="AK100" s="214"/>
      <c r="AL100" s="214"/>
      <c r="AM100" s="214"/>
    </row>
    <row r="101" spans="2:39" s="247" customFormat="1" ht="11">
      <c r="B101" s="144"/>
      <c r="C101" s="143"/>
      <c r="D101" s="907"/>
      <c r="E101" s="143"/>
      <c r="F101" s="145"/>
      <c r="G101" s="146"/>
      <c r="H101" s="146"/>
      <c r="I101" s="146"/>
      <c r="J101" s="146"/>
      <c r="K101" s="146"/>
      <c r="L101" s="146"/>
      <c r="M101" s="458"/>
      <c r="N101" s="145"/>
      <c r="O101" s="146"/>
      <c r="P101" s="146"/>
      <c r="Q101" s="147"/>
      <c r="R101" s="147"/>
      <c r="S101" s="142"/>
      <c r="T101" s="142"/>
      <c r="U101" s="146"/>
      <c r="V101" s="146"/>
      <c r="W101" s="146"/>
      <c r="X101" s="146"/>
      <c r="Y101" s="146"/>
      <c r="Z101" s="146"/>
      <c r="AA101" s="146"/>
      <c r="AB101" s="247">
        <v>0</v>
      </c>
      <c r="AC101" s="214">
        <v>0</v>
      </c>
      <c r="AD101" s="214">
        <v>0</v>
      </c>
      <c r="AE101" s="214"/>
      <c r="AF101" s="214"/>
      <c r="AG101" s="214"/>
      <c r="AH101" s="214"/>
      <c r="AI101" s="214"/>
      <c r="AJ101" s="214"/>
      <c r="AK101" s="214"/>
      <c r="AL101" s="214"/>
      <c r="AM101" s="214"/>
    </row>
    <row r="102" spans="2:39" s="247" customFormat="1" ht="11">
      <c r="B102" s="144"/>
      <c r="C102" s="143"/>
      <c r="D102" s="907"/>
      <c r="E102" s="143"/>
      <c r="F102" s="145"/>
      <c r="G102" s="146"/>
      <c r="H102" s="146"/>
      <c r="I102" s="146"/>
      <c r="J102" s="146"/>
      <c r="K102" s="146"/>
      <c r="L102" s="146"/>
      <c r="M102" s="458"/>
      <c r="N102" s="145"/>
      <c r="O102" s="146"/>
      <c r="P102" s="146"/>
      <c r="Q102" s="147"/>
      <c r="R102" s="147"/>
      <c r="S102" s="142"/>
      <c r="T102" s="142"/>
      <c r="U102" s="146"/>
      <c r="V102" s="146"/>
      <c r="W102" s="146"/>
      <c r="X102" s="146"/>
      <c r="Y102" s="146"/>
      <c r="Z102" s="146"/>
      <c r="AA102" s="146"/>
      <c r="AB102" s="247">
        <v>0</v>
      </c>
      <c r="AC102" s="214">
        <v>0</v>
      </c>
      <c r="AD102" s="214">
        <v>0</v>
      </c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2:39" s="247" customFormat="1" ht="11">
      <c r="B103" s="144"/>
      <c r="C103" s="143"/>
      <c r="D103" s="907"/>
      <c r="E103" s="143"/>
      <c r="F103" s="145"/>
      <c r="G103" s="146"/>
      <c r="H103" s="146"/>
      <c r="I103" s="146"/>
      <c r="J103" s="146"/>
      <c r="K103" s="146"/>
      <c r="L103" s="146"/>
      <c r="M103" s="458"/>
      <c r="N103" s="145"/>
      <c r="O103" s="146"/>
      <c r="P103" s="146"/>
      <c r="Q103" s="147"/>
      <c r="R103" s="147"/>
      <c r="S103" s="142"/>
      <c r="T103" s="142"/>
      <c r="U103" s="146"/>
      <c r="V103" s="146"/>
      <c r="W103" s="146"/>
      <c r="X103" s="146"/>
      <c r="Y103" s="146"/>
      <c r="Z103" s="146"/>
      <c r="AA103" s="146"/>
      <c r="AB103" s="247">
        <v>0</v>
      </c>
      <c r="AC103" s="214">
        <v>0</v>
      </c>
      <c r="AD103" s="214">
        <v>0</v>
      </c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2:39" s="247" customFormat="1" ht="11">
      <c r="B104" s="144"/>
      <c r="C104" s="143"/>
      <c r="D104" s="907"/>
      <c r="E104" s="143"/>
      <c r="F104" s="145"/>
      <c r="G104" s="146"/>
      <c r="H104" s="146"/>
      <c r="I104" s="146"/>
      <c r="J104" s="146"/>
      <c r="K104" s="146"/>
      <c r="L104" s="146"/>
      <c r="M104" s="458"/>
      <c r="N104" s="145"/>
      <c r="O104" s="146"/>
      <c r="P104" s="146"/>
      <c r="Q104" s="147"/>
      <c r="R104" s="147"/>
      <c r="S104" s="142"/>
      <c r="T104" s="142"/>
      <c r="U104" s="146"/>
      <c r="V104" s="146"/>
      <c r="W104" s="146"/>
      <c r="X104" s="146"/>
      <c r="Y104" s="146"/>
      <c r="Z104" s="146"/>
      <c r="AA104" s="146"/>
      <c r="AB104" s="247">
        <v>0</v>
      </c>
      <c r="AC104" s="214">
        <v>0</v>
      </c>
      <c r="AD104" s="214">
        <v>0</v>
      </c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2:39" s="247" customFormat="1" ht="11">
      <c r="B105" s="144"/>
      <c r="C105" s="143"/>
      <c r="D105" s="907"/>
      <c r="E105" s="143"/>
      <c r="F105" s="145"/>
      <c r="G105" s="146"/>
      <c r="H105" s="146"/>
      <c r="I105" s="146"/>
      <c r="J105" s="146"/>
      <c r="K105" s="146"/>
      <c r="L105" s="146"/>
      <c r="M105" s="458"/>
      <c r="N105" s="145"/>
      <c r="O105" s="146"/>
      <c r="P105" s="146"/>
      <c r="Q105" s="147"/>
      <c r="R105" s="147"/>
      <c r="S105" s="142"/>
      <c r="T105" s="142"/>
      <c r="U105" s="146"/>
      <c r="V105" s="146"/>
      <c r="W105" s="146"/>
      <c r="X105" s="146"/>
      <c r="Y105" s="146"/>
      <c r="Z105" s="146"/>
      <c r="AA105" s="146"/>
      <c r="AB105" s="247">
        <v>0</v>
      </c>
      <c r="AC105" s="214">
        <v>0</v>
      </c>
      <c r="AD105" s="214">
        <v>0</v>
      </c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2:39" s="247" customFormat="1" ht="11">
      <c r="B106" s="144"/>
      <c r="C106" s="143"/>
      <c r="D106" s="907"/>
      <c r="E106" s="143"/>
      <c r="F106" s="145"/>
      <c r="G106" s="146"/>
      <c r="H106" s="146"/>
      <c r="I106" s="146"/>
      <c r="J106" s="146"/>
      <c r="K106" s="146"/>
      <c r="L106" s="146"/>
      <c r="M106" s="458"/>
      <c r="N106" s="145"/>
      <c r="O106" s="146"/>
      <c r="P106" s="146"/>
      <c r="Q106" s="147"/>
      <c r="R106" s="147"/>
      <c r="S106" s="142"/>
      <c r="T106" s="142"/>
      <c r="U106" s="146"/>
      <c r="V106" s="146"/>
      <c r="W106" s="146"/>
      <c r="X106" s="146"/>
      <c r="Y106" s="146"/>
      <c r="Z106" s="146"/>
      <c r="AA106" s="146"/>
      <c r="AB106" s="247">
        <v>0</v>
      </c>
      <c r="AC106" s="214">
        <v>0</v>
      </c>
      <c r="AD106" s="214">
        <v>0</v>
      </c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2:39" s="247" customFormat="1" ht="11">
      <c r="B107" s="144"/>
      <c r="C107" s="143"/>
      <c r="D107" s="907"/>
      <c r="E107" s="143"/>
      <c r="F107" s="145"/>
      <c r="G107" s="146"/>
      <c r="H107" s="146"/>
      <c r="I107" s="146"/>
      <c r="J107" s="146"/>
      <c r="K107" s="146"/>
      <c r="L107" s="146"/>
      <c r="M107" s="458"/>
      <c r="N107" s="145"/>
      <c r="O107" s="146"/>
      <c r="P107" s="146"/>
      <c r="Q107" s="147"/>
      <c r="R107" s="147"/>
      <c r="S107" s="142"/>
      <c r="T107" s="142"/>
      <c r="U107" s="146"/>
      <c r="V107" s="146"/>
      <c r="W107" s="146"/>
      <c r="X107" s="146"/>
      <c r="Y107" s="146"/>
      <c r="Z107" s="146"/>
      <c r="AA107" s="146"/>
      <c r="AB107" s="247">
        <v>0</v>
      </c>
      <c r="AC107" s="214">
        <v>0</v>
      </c>
      <c r="AD107" s="214">
        <v>0</v>
      </c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2:39" s="247" customFormat="1" ht="11">
      <c r="B108" s="144"/>
      <c r="C108" s="143"/>
      <c r="D108" s="907"/>
      <c r="E108" s="143"/>
      <c r="F108" s="145"/>
      <c r="G108" s="146"/>
      <c r="H108" s="146"/>
      <c r="I108" s="146"/>
      <c r="J108" s="146"/>
      <c r="K108" s="146"/>
      <c r="L108" s="146"/>
      <c r="M108" s="458"/>
      <c r="N108" s="145"/>
      <c r="O108" s="146"/>
      <c r="P108" s="146"/>
      <c r="Q108" s="147"/>
      <c r="R108" s="147"/>
      <c r="S108" s="142"/>
      <c r="T108" s="142"/>
      <c r="U108" s="146"/>
      <c r="V108" s="146"/>
      <c r="W108" s="146"/>
      <c r="X108" s="146"/>
      <c r="Y108" s="146"/>
      <c r="Z108" s="146"/>
      <c r="AA108" s="146"/>
      <c r="AB108" s="247">
        <v>0</v>
      </c>
      <c r="AC108" s="214">
        <v>0</v>
      </c>
      <c r="AD108" s="214">
        <v>0</v>
      </c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2:39" s="247" customFormat="1" ht="11">
      <c r="B109" s="144"/>
      <c r="C109" s="143"/>
      <c r="D109" s="907"/>
      <c r="E109" s="143"/>
      <c r="F109" s="145"/>
      <c r="G109" s="146"/>
      <c r="H109" s="146"/>
      <c r="I109" s="146"/>
      <c r="J109" s="146"/>
      <c r="K109" s="146"/>
      <c r="L109" s="146"/>
      <c r="M109" s="458"/>
      <c r="N109" s="145"/>
      <c r="O109" s="146"/>
      <c r="P109" s="146"/>
      <c r="Q109" s="147"/>
      <c r="R109" s="147"/>
      <c r="S109" s="142"/>
      <c r="T109" s="142"/>
      <c r="U109" s="146"/>
      <c r="V109" s="146"/>
      <c r="W109" s="146"/>
      <c r="X109" s="146"/>
      <c r="Y109" s="146"/>
      <c r="Z109" s="146"/>
      <c r="AA109" s="146"/>
      <c r="AB109" s="247">
        <v>0</v>
      </c>
      <c r="AC109" s="214">
        <v>0</v>
      </c>
      <c r="AD109" s="214">
        <v>0</v>
      </c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2:39" s="247" customFormat="1" ht="11">
      <c r="B110" s="144"/>
      <c r="C110" s="143"/>
      <c r="D110" s="907"/>
      <c r="E110" s="143"/>
      <c r="F110" s="145"/>
      <c r="G110" s="146"/>
      <c r="H110" s="146"/>
      <c r="I110" s="146"/>
      <c r="J110" s="146"/>
      <c r="K110" s="146"/>
      <c r="L110" s="146"/>
      <c r="M110" s="458"/>
      <c r="N110" s="145"/>
      <c r="O110" s="146"/>
      <c r="P110" s="146"/>
      <c r="Q110" s="147"/>
      <c r="R110" s="147"/>
      <c r="S110" s="142"/>
      <c r="T110" s="142"/>
      <c r="U110" s="146"/>
      <c r="V110" s="146"/>
      <c r="W110" s="146"/>
      <c r="X110" s="146"/>
      <c r="Y110" s="146"/>
      <c r="Z110" s="146"/>
      <c r="AA110" s="146"/>
      <c r="AB110" s="247">
        <v>0</v>
      </c>
      <c r="AC110" s="214">
        <v>0</v>
      </c>
      <c r="AD110" s="214">
        <v>0</v>
      </c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2:39" s="247" customFormat="1" ht="11">
      <c r="B111" s="144"/>
      <c r="C111" s="143"/>
      <c r="D111" s="907"/>
      <c r="E111" s="143"/>
      <c r="F111" s="145"/>
      <c r="G111" s="146"/>
      <c r="H111" s="146"/>
      <c r="I111" s="146"/>
      <c r="J111" s="146"/>
      <c r="K111" s="146"/>
      <c r="L111" s="146"/>
      <c r="M111" s="458"/>
      <c r="N111" s="145"/>
      <c r="O111" s="146"/>
      <c r="P111" s="146"/>
      <c r="Q111" s="147"/>
      <c r="R111" s="147"/>
      <c r="S111" s="142"/>
      <c r="T111" s="142"/>
      <c r="U111" s="146">
        <f>SUBTOTAL(9,U69:U110)</f>
        <v>0</v>
      </c>
      <c r="V111" s="146">
        <f t="shared" ref="V111:AA111" si="66">SUBTOTAL(9,V69:V110)</f>
        <v>0</v>
      </c>
      <c r="W111" s="146">
        <f t="shared" si="66"/>
        <v>0</v>
      </c>
      <c r="X111" s="146">
        <f t="shared" si="66"/>
        <v>0</v>
      </c>
      <c r="Y111" s="146">
        <f t="shared" si="66"/>
        <v>0</v>
      </c>
      <c r="Z111" s="146">
        <f t="shared" si="66"/>
        <v>0</v>
      </c>
      <c r="AA111" s="146">
        <f t="shared" si="66"/>
        <v>0</v>
      </c>
      <c r="AB111" s="247">
        <v>0</v>
      </c>
      <c r="AC111" s="214">
        <v>0</v>
      </c>
      <c r="AD111" s="214">
        <v>0</v>
      </c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2:39" s="213" customFormat="1" ht="14" thickBot="1">
      <c r="B112" s="139"/>
      <c r="C112" s="138"/>
      <c r="D112" s="908"/>
      <c r="E112" s="138"/>
      <c r="F112" s="140"/>
      <c r="G112" s="141"/>
      <c r="H112" s="141"/>
      <c r="I112" s="141"/>
      <c r="J112" s="141"/>
      <c r="K112" s="141"/>
      <c r="L112" s="141"/>
      <c r="M112" s="458"/>
      <c r="N112" s="140"/>
      <c r="O112" s="141"/>
      <c r="P112" s="141"/>
      <c r="Q112" s="148"/>
      <c r="R112" s="148"/>
      <c r="S112" s="149"/>
      <c r="T112" s="149"/>
      <c r="U112" s="150"/>
      <c r="V112" s="150"/>
      <c r="W112" s="150"/>
      <c r="X112" s="150"/>
      <c r="Y112" s="150"/>
      <c r="Z112" s="150"/>
      <c r="AA112" s="150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2:41" s="213" customFormat="1" ht="15" thickTop="1" thickBot="1">
      <c r="B113" s="139"/>
      <c r="C113" s="138"/>
      <c r="D113" s="908"/>
      <c r="E113" s="138"/>
      <c r="F113" s="140"/>
      <c r="G113" s="141"/>
      <c r="H113" s="141"/>
      <c r="I113" s="141"/>
      <c r="J113" s="141"/>
      <c r="K113" s="141"/>
      <c r="L113" s="141"/>
      <c r="M113" s="458"/>
      <c r="N113" s="140"/>
      <c r="O113" s="141"/>
      <c r="P113" s="141"/>
      <c r="Q113" s="148"/>
      <c r="R113" s="148"/>
      <c r="S113" s="148"/>
      <c r="T113" s="149"/>
      <c r="U113" s="151"/>
      <c r="V113" s="152"/>
      <c r="W113" s="153"/>
      <c r="X113" s="153"/>
      <c r="Y113" s="153"/>
      <c r="Z113" s="153"/>
      <c r="AA113" s="154"/>
      <c r="AB113" s="246"/>
      <c r="AC113" s="246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</row>
    <row r="114" spans="2:41" s="247" customFormat="1" ht="12" thickTop="1">
      <c r="B114" s="144"/>
      <c r="C114" s="143"/>
      <c r="D114" s="907"/>
      <c r="E114" s="143"/>
      <c r="F114" s="145"/>
      <c r="G114" s="146"/>
      <c r="H114" s="146"/>
      <c r="I114" s="146"/>
      <c r="J114" s="146"/>
      <c r="K114" s="146"/>
      <c r="L114" s="146"/>
      <c r="M114" s="458"/>
      <c r="N114" s="145"/>
      <c r="O114" s="146"/>
      <c r="P114" s="146"/>
      <c r="Q114" s="147"/>
      <c r="R114" s="147"/>
      <c r="S114" s="142"/>
      <c r="T114" s="142"/>
      <c r="U114" s="146"/>
      <c r="V114" s="146"/>
      <c r="W114" s="146"/>
      <c r="X114" s="146"/>
      <c r="Y114" s="146"/>
      <c r="Z114" s="146"/>
      <c r="AA114" s="146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2:41" s="247" customFormat="1" ht="11">
      <c r="B115" s="144"/>
      <c r="C115" s="143"/>
      <c r="D115" s="907"/>
      <c r="E115" s="143"/>
      <c r="F115" s="145"/>
      <c r="G115" s="146"/>
      <c r="H115" s="146"/>
      <c r="I115" s="146"/>
      <c r="J115" s="146"/>
      <c r="K115" s="146"/>
      <c r="L115" s="146"/>
      <c r="M115" s="458"/>
      <c r="N115" s="145"/>
      <c r="O115" s="146"/>
      <c r="P115" s="146"/>
      <c r="Q115" s="147"/>
      <c r="R115" s="147"/>
      <c r="S115" s="142"/>
      <c r="T115" s="142"/>
      <c r="U115" s="146"/>
      <c r="V115" s="146"/>
      <c r="W115" s="146"/>
      <c r="X115" s="146"/>
      <c r="Y115" s="146"/>
      <c r="Z115" s="146"/>
      <c r="AA115" s="146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2:41" s="247" customFormat="1" ht="11">
      <c r="B116" s="144"/>
      <c r="C116" s="143"/>
      <c r="D116" s="907"/>
      <c r="E116" s="143"/>
      <c r="F116" s="145"/>
      <c r="G116" s="146"/>
      <c r="H116" s="146"/>
      <c r="I116" s="146"/>
      <c r="J116" s="146"/>
      <c r="K116" s="146"/>
      <c r="L116" s="146"/>
      <c r="M116" s="458"/>
      <c r="N116" s="145"/>
      <c r="O116" s="146"/>
      <c r="P116" s="146"/>
      <c r="Q116" s="147"/>
      <c r="R116" s="147"/>
      <c r="S116" s="142"/>
      <c r="T116" s="142"/>
      <c r="U116" s="146"/>
      <c r="V116" s="146"/>
      <c r="W116" s="146"/>
      <c r="X116" s="146"/>
      <c r="Y116" s="146"/>
      <c r="Z116" s="146"/>
      <c r="AA116" s="146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2:41" s="247" customFormat="1" ht="11">
      <c r="B117" s="144"/>
      <c r="C117" s="143"/>
      <c r="D117" s="907"/>
      <c r="E117" s="143"/>
      <c r="F117" s="145"/>
      <c r="G117" s="146"/>
      <c r="H117" s="146"/>
      <c r="I117" s="146"/>
      <c r="J117" s="146"/>
      <c r="K117" s="146"/>
      <c r="L117" s="146"/>
      <c r="M117" s="458"/>
      <c r="N117" s="145"/>
      <c r="O117" s="146"/>
      <c r="P117" s="146"/>
      <c r="Q117" s="147"/>
      <c r="R117" s="147"/>
      <c r="S117" s="142"/>
      <c r="T117" s="142"/>
      <c r="U117" s="146"/>
      <c r="V117" s="146"/>
      <c r="W117" s="146"/>
      <c r="X117" s="146"/>
      <c r="Y117" s="146"/>
      <c r="Z117" s="146"/>
      <c r="AA117" s="146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2:41" s="247" customFormat="1" ht="11">
      <c r="B118" s="144"/>
      <c r="C118" s="143"/>
      <c r="D118" s="907"/>
      <c r="E118" s="143"/>
      <c r="F118" s="145"/>
      <c r="G118" s="146"/>
      <c r="H118" s="146"/>
      <c r="I118" s="146"/>
      <c r="J118" s="146"/>
      <c r="K118" s="146"/>
      <c r="L118" s="146"/>
      <c r="M118" s="458"/>
      <c r="N118" s="145"/>
      <c r="O118" s="146"/>
      <c r="P118" s="146"/>
      <c r="Q118" s="147"/>
      <c r="R118" s="147"/>
      <c r="S118" s="142"/>
      <c r="T118" s="142"/>
      <c r="U118" s="146"/>
      <c r="V118" s="146"/>
      <c r="W118" s="146"/>
      <c r="X118" s="146"/>
      <c r="Y118" s="146"/>
      <c r="Z118" s="146"/>
      <c r="AA118" s="146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2:41" s="247" customFormat="1" ht="11">
      <c r="B119" s="144"/>
      <c r="C119" s="143"/>
      <c r="D119" s="907"/>
      <c r="E119" s="143"/>
      <c r="F119" s="145"/>
      <c r="G119" s="146"/>
      <c r="H119" s="146"/>
      <c r="I119" s="146"/>
      <c r="J119" s="146"/>
      <c r="K119" s="146"/>
      <c r="L119" s="146"/>
      <c r="M119" s="458"/>
      <c r="N119" s="145"/>
      <c r="O119" s="146"/>
      <c r="P119" s="146"/>
      <c r="Q119" s="147"/>
      <c r="R119" s="147"/>
      <c r="S119" s="142"/>
      <c r="T119" s="142"/>
      <c r="U119" s="146"/>
      <c r="V119" s="146"/>
      <c r="W119" s="146"/>
      <c r="X119" s="146"/>
      <c r="Y119" s="146"/>
      <c r="Z119" s="146"/>
      <c r="AA119" s="146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2:41" s="247" customFormat="1" ht="11">
      <c r="B120" s="144"/>
      <c r="C120" s="143"/>
      <c r="D120" s="907"/>
      <c r="E120" s="143"/>
      <c r="F120" s="145"/>
      <c r="G120" s="146"/>
      <c r="H120" s="146"/>
      <c r="I120" s="146"/>
      <c r="J120" s="146"/>
      <c r="K120" s="146"/>
      <c r="L120" s="146"/>
      <c r="M120" s="458"/>
      <c r="N120" s="145"/>
      <c r="O120" s="146"/>
      <c r="P120" s="146"/>
      <c r="Q120" s="147"/>
      <c r="R120" s="147"/>
      <c r="S120" s="142"/>
      <c r="T120" s="142"/>
      <c r="U120" s="146"/>
      <c r="V120" s="146"/>
      <c r="W120" s="146"/>
      <c r="X120" s="146"/>
      <c r="Y120" s="146"/>
      <c r="Z120" s="146"/>
      <c r="AA120" s="146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2:41" s="247" customFormat="1" ht="11">
      <c r="B121" s="144"/>
      <c r="C121" s="143"/>
      <c r="D121" s="907"/>
      <c r="E121" s="143"/>
      <c r="F121" s="145"/>
      <c r="G121" s="146"/>
      <c r="H121" s="146"/>
      <c r="I121" s="146"/>
      <c r="J121" s="146"/>
      <c r="K121" s="146"/>
      <c r="L121" s="146"/>
      <c r="M121" s="458"/>
      <c r="N121" s="145"/>
      <c r="O121" s="146"/>
      <c r="P121" s="146"/>
      <c r="Q121" s="147"/>
      <c r="R121" s="147"/>
      <c r="S121" s="142"/>
      <c r="T121" s="142"/>
      <c r="U121" s="146"/>
      <c r="V121" s="146"/>
      <c r="W121" s="146"/>
      <c r="X121" s="146"/>
      <c r="Y121" s="146"/>
      <c r="Z121" s="146"/>
      <c r="AA121" s="146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2:41" s="247" customFormat="1" ht="11">
      <c r="B122" s="144"/>
      <c r="C122" s="143"/>
      <c r="D122" s="907"/>
      <c r="E122" s="143"/>
      <c r="F122" s="145"/>
      <c r="G122" s="146"/>
      <c r="H122" s="146"/>
      <c r="I122" s="146"/>
      <c r="J122" s="146"/>
      <c r="K122" s="146"/>
      <c r="L122" s="146"/>
      <c r="M122" s="458"/>
      <c r="N122" s="145"/>
      <c r="O122" s="146"/>
      <c r="P122" s="146"/>
      <c r="Q122" s="147"/>
      <c r="R122" s="147"/>
      <c r="S122" s="142"/>
      <c r="T122" s="142"/>
      <c r="U122" s="146"/>
      <c r="V122" s="146"/>
      <c r="W122" s="146"/>
      <c r="X122" s="146"/>
      <c r="Y122" s="146"/>
      <c r="Z122" s="146"/>
      <c r="AA122" s="146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2:41" s="247" customFormat="1" ht="11">
      <c r="B123" s="144"/>
      <c r="C123" s="143"/>
      <c r="D123" s="907"/>
      <c r="E123" s="143"/>
      <c r="F123" s="145"/>
      <c r="G123" s="146"/>
      <c r="H123" s="146"/>
      <c r="I123" s="146"/>
      <c r="J123" s="146"/>
      <c r="K123" s="146"/>
      <c r="L123" s="146"/>
      <c r="M123" s="458"/>
      <c r="N123" s="145"/>
      <c r="O123" s="146"/>
      <c r="P123" s="146"/>
      <c r="Q123" s="147"/>
      <c r="R123" s="147"/>
      <c r="S123" s="142"/>
      <c r="T123" s="142"/>
      <c r="U123" s="146"/>
      <c r="V123" s="146"/>
      <c r="W123" s="146"/>
      <c r="X123" s="146"/>
      <c r="Y123" s="146"/>
      <c r="Z123" s="146"/>
      <c r="AA123" s="146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</row>
    <row r="124" spans="2:41" s="247" customFormat="1" ht="11">
      <c r="B124" s="144"/>
      <c r="C124" s="143"/>
      <c r="D124" s="907"/>
      <c r="E124" s="143"/>
      <c r="F124" s="145"/>
      <c r="G124" s="146"/>
      <c r="H124" s="146"/>
      <c r="I124" s="146"/>
      <c r="J124" s="146"/>
      <c r="K124" s="146"/>
      <c r="L124" s="146"/>
      <c r="M124" s="458"/>
      <c r="N124" s="145"/>
      <c r="O124" s="146"/>
      <c r="P124" s="146"/>
      <c r="Q124" s="147"/>
      <c r="R124" s="147"/>
      <c r="S124" s="142"/>
      <c r="T124" s="142"/>
      <c r="U124" s="146"/>
      <c r="V124" s="146"/>
      <c r="W124" s="146"/>
      <c r="X124" s="146"/>
      <c r="Y124" s="146"/>
      <c r="Z124" s="146"/>
      <c r="AA124" s="146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</row>
    <row r="125" spans="2:41" s="247" customFormat="1" ht="11">
      <c r="B125" s="144"/>
      <c r="C125" s="143"/>
      <c r="D125" s="907"/>
      <c r="E125" s="143"/>
      <c r="F125" s="145"/>
      <c r="G125" s="146"/>
      <c r="H125" s="146"/>
      <c r="I125" s="146"/>
      <c r="J125" s="146"/>
      <c r="K125" s="146"/>
      <c r="L125" s="146"/>
      <c r="M125" s="458"/>
      <c r="N125" s="145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2:41" s="247" customFormat="1" ht="11">
      <c r="B126" s="144"/>
      <c r="C126" s="143"/>
      <c r="D126" s="907"/>
      <c r="E126" s="143"/>
      <c r="F126" s="145"/>
      <c r="G126" s="146"/>
      <c r="H126" s="146"/>
      <c r="I126" s="146"/>
      <c r="J126" s="146"/>
      <c r="K126" s="146"/>
      <c r="L126" s="146"/>
      <c r="M126" s="458"/>
      <c r="N126" s="145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2:41" s="247" customFormat="1" ht="11">
      <c r="B127" s="144"/>
      <c r="C127" s="143"/>
      <c r="D127" s="907"/>
      <c r="E127" s="143"/>
      <c r="F127" s="145"/>
      <c r="G127" s="146"/>
      <c r="H127" s="146"/>
      <c r="I127" s="146"/>
      <c r="J127" s="146"/>
      <c r="K127" s="146"/>
      <c r="L127" s="146"/>
      <c r="M127" s="458"/>
      <c r="N127" s="145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2:41" s="247" customFormat="1" ht="11">
      <c r="B128" s="144"/>
      <c r="C128" s="143"/>
      <c r="D128" s="907"/>
      <c r="E128" s="143"/>
      <c r="F128" s="145"/>
      <c r="G128" s="146"/>
      <c r="H128" s="146"/>
      <c r="I128" s="146"/>
      <c r="J128" s="146"/>
      <c r="K128" s="146"/>
      <c r="L128" s="146"/>
      <c r="M128" s="458"/>
      <c r="N128" s="145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39" s="247" customFormat="1" ht="11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146"/>
      <c r="M129" s="458"/>
      <c r="N129" s="145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</row>
    <row r="130" spans="2:39" s="247" customFormat="1" ht="11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146"/>
      <c r="M130" s="458"/>
      <c r="N130" s="145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39" s="247" customFormat="1" ht="11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146"/>
      <c r="M131" s="458"/>
      <c r="N131" s="145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39" s="247" customFormat="1" ht="11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146"/>
      <c r="M132" s="458"/>
      <c r="N132" s="145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</row>
    <row r="133" spans="2:39" s="247" customFormat="1" ht="11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146"/>
      <c r="M133" s="458"/>
      <c r="N133" s="145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</row>
    <row r="134" spans="2:39" s="247" customFormat="1" ht="1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146"/>
      <c r="M134" s="458"/>
      <c r="N134" s="145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</row>
    <row r="135" spans="2:39" s="247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146"/>
      <c r="M135" s="458"/>
      <c r="N135" s="145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</row>
    <row r="136" spans="2:39" s="247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146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2:39" s="247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146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2:39" s="247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146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2:39" s="247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146"/>
      <c r="M139" s="458"/>
      <c r="N139" s="145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2:39" s="247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2:39" s="247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2:39" s="247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2:39" s="247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2:39" s="247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41" s="247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41" s="247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41" s="247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41" s="247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41" s="247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41" s="247" customFormat="1" ht="11">
      <c r="B150" s="248"/>
      <c r="D150" s="909"/>
      <c r="F150" s="249"/>
      <c r="G150" s="250"/>
      <c r="H150" s="250"/>
      <c r="I150" s="250"/>
      <c r="J150" s="250"/>
      <c r="K150" s="250"/>
      <c r="L150" s="250"/>
      <c r="M150" s="459"/>
      <c r="N150" s="249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41" s="247" customFormat="1" ht="11">
      <c r="B151" s="248"/>
      <c r="D151" s="909"/>
      <c r="F151" s="249"/>
      <c r="G151" s="250"/>
      <c r="H151" s="250"/>
      <c r="I151" s="250"/>
      <c r="J151" s="250"/>
      <c r="K151" s="250"/>
      <c r="L151" s="250"/>
      <c r="M151" s="459"/>
      <c r="N151" s="249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41" s="247" customFormat="1" ht="11">
      <c r="B152" s="248"/>
      <c r="D152" s="909"/>
      <c r="F152" s="249"/>
      <c r="G152" s="250"/>
      <c r="H152" s="250"/>
      <c r="I152" s="250"/>
      <c r="J152" s="250"/>
      <c r="K152" s="250"/>
      <c r="L152" s="250"/>
      <c r="M152" s="459"/>
      <c r="N152" s="249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41" s="247" customFormat="1" ht="11">
      <c r="B153" s="248"/>
      <c r="D153" s="909"/>
      <c r="F153" s="249"/>
      <c r="G153" s="250"/>
      <c r="H153" s="250"/>
      <c r="I153" s="250"/>
      <c r="J153" s="250"/>
      <c r="K153" s="250"/>
      <c r="L153" s="250"/>
      <c r="M153" s="459"/>
      <c r="N153" s="249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41" s="247" customFormat="1" ht="11">
      <c r="B154" s="248"/>
      <c r="D154" s="909"/>
      <c r="F154" s="249"/>
      <c r="G154" s="250"/>
      <c r="H154" s="250"/>
      <c r="I154" s="250"/>
      <c r="J154" s="250"/>
      <c r="K154" s="250"/>
      <c r="L154" s="250"/>
      <c r="M154" s="459"/>
      <c r="N154" s="249"/>
      <c r="O154" s="146"/>
      <c r="P154" s="146"/>
      <c r="Q154" s="147"/>
      <c r="R154" s="147"/>
      <c r="S154" s="142"/>
      <c r="T154" s="142"/>
      <c r="U154" s="146">
        <f>SUBTOTAL(9,U112:U153)</f>
        <v>0</v>
      </c>
      <c r="V154" s="146">
        <f t="shared" ref="V154:AA154" si="67">SUBTOTAL(9,V112:V153)</f>
        <v>0</v>
      </c>
      <c r="W154" s="146">
        <f t="shared" si="67"/>
        <v>0</v>
      </c>
      <c r="X154" s="146">
        <f t="shared" si="67"/>
        <v>0</v>
      </c>
      <c r="Y154" s="146">
        <f t="shared" si="67"/>
        <v>0</v>
      </c>
      <c r="Z154" s="146">
        <f t="shared" si="67"/>
        <v>0</v>
      </c>
      <c r="AA154" s="146">
        <f t="shared" si="67"/>
        <v>0</v>
      </c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41" s="213" customFormat="1" ht="14" thickBot="1">
      <c r="B155" s="225"/>
      <c r="D155" s="910"/>
      <c r="F155" s="242"/>
      <c r="G155" s="243"/>
      <c r="H155" s="243"/>
      <c r="I155" s="243"/>
      <c r="J155" s="243"/>
      <c r="K155" s="243"/>
      <c r="L155" s="243"/>
      <c r="M155" s="459"/>
      <c r="N155" s="242"/>
      <c r="O155" s="141"/>
      <c r="P155" s="141"/>
      <c r="Q155" s="148"/>
      <c r="R155" s="148"/>
      <c r="S155" s="149"/>
      <c r="T155" s="149"/>
      <c r="U155" s="150"/>
      <c r="V155" s="150"/>
      <c r="W155" s="150"/>
      <c r="X155" s="150"/>
      <c r="Y155" s="150"/>
      <c r="Z155" s="150"/>
      <c r="AA155" s="150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41" s="213" customFormat="1" ht="15" thickTop="1" thickBot="1">
      <c r="B156" s="225"/>
      <c r="D156" s="910"/>
      <c r="F156" s="242"/>
      <c r="G156" s="243"/>
      <c r="H156" s="243"/>
      <c r="I156" s="243"/>
      <c r="J156" s="243"/>
      <c r="K156" s="243"/>
      <c r="L156" s="243"/>
      <c r="M156" s="459"/>
      <c r="N156" s="242"/>
      <c r="O156" s="141"/>
      <c r="P156" s="141"/>
      <c r="Q156" s="148"/>
      <c r="R156" s="148"/>
      <c r="S156" s="148"/>
      <c r="T156" s="148"/>
      <c r="U156" s="151">
        <f>SUBTOTAL(9,U114:U155)</f>
        <v>0</v>
      </c>
      <c r="V156" s="152">
        <f t="shared" ref="V156:AA156" si="68">SUBTOTAL(9,V114:V155)</f>
        <v>0</v>
      </c>
      <c r="W156" s="153">
        <f t="shared" si="68"/>
        <v>0</v>
      </c>
      <c r="X156" s="153">
        <f t="shared" si="68"/>
        <v>0</v>
      </c>
      <c r="Y156" s="153">
        <f t="shared" si="68"/>
        <v>0</v>
      </c>
      <c r="Z156" s="153">
        <f t="shared" si="68"/>
        <v>0</v>
      </c>
      <c r="AA156" s="154">
        <f t="shared" si="68"/>
        <v>0</v>
      </c>
      <c r="AB156" s="246"/>
      <c r="AC156" s="246"/>
      <c r="AE156" s="214"/>
      <c r="AF156" s="214"/>
      <c r="AG156" s="214"/>
      <c r="AH156" s="214"/>
      <c r="AI156" s="214"/>
      <c r="AJ156" s="214"/>
      <c r="AK156" s="214"/>
      <c r="AL156" s="214"/>
      <c r="AM156" s="214"/>
      <c r="AN156" s="214"/>
      <c r="AO156" s="214"/>
    </row>
    <row r="157" spans="2:41" s="213" customFormat="1" ht="14" thickTop="1">
      <c r="B157" s="225"/>
      <c r="D157" s="910"/>
      <c r="F157" s="242"/>
      <c r="G157" s="243"/>
      <c r="H157" s="243"/>
      <c r="I157" s="243"/>
      <c r="J157" s="243"/>
      <c r="K157" s="243"/>
      <c r="L157" s="243"/>
      <c r="M157" s="459"/>
      <c r="N157" s="242"/>
      <c r="O157" s="141"/>
      <c r="P157" s="141"/>
      <c r="Q157" s="148"/>
      <c r="R157" s="148"/>
      <c r="S157" s="149"/>
      <c r="T157" s="149"/>
      <c r="U157" s="150"/>
      <c r="V157" s="150"/>
      <c r="W157" s="150"/>
      <c r="X157" s="150"/>
      <c r="Y157" s="150"/>
      <c r="Z157" s="150"/>
      <c r="AA157" s="150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41" s="213" customFormat="1">
      <c r="B158" s="225"/>
      <c r="D158" s="910"/>
      <c r="F158" s="242"/>
      <c r="G158" s="243"/>
      <c r="H158" s="243"/>
      <c r="I158" s="243"/>
      <c r="J158" s="243"/>
      <c r="K158" s="243"/>
      <c r="L158" s="243"/>
      <c r="M158" s="459"/>
      <c r="N158" s="242"/>
      <c r="O158" s="141"/>
      <c r="P158" s="141"/>
      <c r="Q158" s="148"/>
      <c r="R158" s="148"/>
      <c r="S158" s="149"/>
      <c r="T158" s="149"/>
      <c r="U158" s="150"/>
      <c r="V158" s="150"/>
      <c r="W158" s="150"/>
      <c r="X158" s="150"/>
      <c r="Y158" s="150"/>
      <c r="Z158" s="150"/>
      <c r="AA158" s="150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41" s="213" customFormat="1">
      <c r="B159" s="225"/>
      <c r="D159" s="910"/>
      <c r="F159" s="242"/>
      <c r="G159" s="243"/>
      <c r="H159" s="243"/>
      <c r="I159" s="243"/>
      <c r="J159" s="243"/>
      <c r="K159" s="243"/>
      <c r="L159" s="243"/>
      <c r="M159" s="459"/>
      <c r="N159" s="242"/>
      <c r="O159" s="141"/>
      <c r="P159" s="141"/>
      <c r="Q159" s="148"/>
      <c r="R159" s="148"/>
      <c r="S159" s="149"/>
      <c r="T159" s="149"/>
      <c r="U159" s="150"/>
      <c r="V159" s="150"/>
      <c r="W159" s="150"/>
      <c r="X159" s="150"/>
      <c r="Y159" s="150"/>
      <c r="Z159" s="150"/>
      <c r="AA159" s="150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41" s="213" customFormat="1">
      <c r="B160" s="225"/>
      <c r="D160" s="910"/>
      <c r="F160" s="242"/>
      <c r="G160" s="243"/>
      <c r="H160" s="243"/>
      <c r="I160" s="243"/>
      <c r="J160" s="243"/>
      <c r="K160" s="243"/>
      <c r="L160" s="243"/>
      <c r="M160" s="459"/>
      <c r="N160" s="242"/>
      <c r="O160" s="141"/>
      <c r="P160" s="141"/>
      <c r="Q160" s="148"/>
      <c r="R160" s="148"/>
      <c r="S160" s="149"/>
      <c r="T160" s="149"/>
      <c r="U160" s="150"/>
      <c r="V160" s="150"/>
      <c r="W160" s="150"/>
      <c r="X160" s="150"/>
      <c r="Y160" s="150"/>
      <c r="Z160" s="150"/>
      <c r="AA160" s="150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39" s="213" customFormat="1">
      <c r="B161" s="225"/>
      <c r="D161" s="910"/>
      <c r="F161" s="242"/>
      <c r="G161" s="243"/>
      <c r="H161" s="243"/>
      <c r="I161" s="243"/>
      <c r="J161" s="243"/>
      <c r="K161" s="243"/>
      <c r="L161" s="243"/>
      <c r="M161" s="459"/>
      <c r="N161" s="242"/>
      <c r="O161" s="141"/>
      <c r="P161" s="141"/>
      <c r="Q161" s="148"/>
      <c r="R161" s="148"/>
      <c r="S161" s="149"/>
      <c r="T161" s="149"/>
      <c r="U161" s="150"/>
      <c r="V161" s="150"/>
      <c r="W161" s="150"/>
      <c r="X161" s="150"/>
      <c r="Y161" s="150"/>
      <c r="Z161" s="150"/>
      <c r="AA161" s="150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39" s="213" customFormat="1">
      <c r="B162" s="225"/>
      <c r="D162" s="910"/>
      <c r="F162" s="242"/>
      <c r="G162" s="243"/>
      <c r="H162" s="243"/>
      <c r="I162" s="243"/>
      <c r="J162" s="243"/>
      <c r="K162" s="243"/>
      <c r="L162" s="243"/>
      <c r="M162" s="459"/>
      <c r="N162" s="242"/>
      <c r="O162" s="141"/>
      <c r="P162" s="141"/>
      <c r="Q162" s="148"/>
      <c r="R162" s="148"/>
      <c r="S162" s="149"/>
      <c r="T162" s="149"/>
      <c r="U162" s="150"/>
      <c r="V162" s="150"/>
      <c r="W162" s="150"/>
      <c r="X162" s="150"/>
      <c r="Y162" s="150"/>
      <c r="Z162" s="150"/>
      <c r="AA162" s="150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39" s="213" customFormat="1">
      <c r="B163" s="225"/>
      <c r="D163" s="910"/>
      <c r="F163" s="242"/>
      <c r="G163" s="243"/>
      <c r="H163" s="243"/>
      <c r="I163" s="243"/>
      <c r="J163" s="243"/>
      <c r="K163" s="243"/>
      <c r="L163" s="243"/>
      <c r="M163" s="459"/>
      <c r="N163" s="242"/>
      <c r="O163" s="141"/>
      <c r="P163" s="141"/>
      <c r="Q163" s="148"/>
      <c r="R163" s="148"/>
      <c r="S163" s="149"/>
      <c r="T163" s="149"/>
      <c r="U163" s="150"/>
      <c r="V163" s="150"/>
      <c r="W163" s="150"/>
      <c r="X163" s="150"/>
      <c r="Y163" s="150"/>
      <c r="Z163" s="150"/>
      <c r="AA163" s="150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39" s="213" customFormat="1">
      <c r="B164" s="225"/>
      <c r="D164" s="910"/>
      <c r="F164" s="242"/>
      <c r="G164" s="243"/>
      <c r="H164" s="243"/>
      <c r="I164" s="243"/>
      <c r="J164" s="243"/>
      <c r="K164" s="243"/>
      <c r="L164" s="243"/>
      <c r="M164" s="459"/>
      <c r="N164" s="242"/>
      <c r="O164" s="141"/>
      <c r="P164" s="141"/>
      <c r="Q164" s="148"/>
      <c r="R164" s="148"/>
      <c r="S164" s="149"/>
      <c r="T164" s="149"/>
      <c r="U164" s="150"/>
      <c r="V164" s="150"/>
      <c r="W164" s="150"/>
      <c r="X164" s="150"/>
      <c r="Y164" s="150"/>
      <c r="Z164" s="150"/>
      <c r="AA164" s="150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39" s="213" customFormat="1">
      <c r="B165" s="225"/>
      <c r="D165" s="910"/>
      <c r="F165" s="242"/>
      <c r="G165" s="243"/>
      <c r="H165" s="243"/>
      <c r="I165" s="243"/>
      <c r="J165" s="243"/>
      <c r="K165" s="243"/>
      <c r="L165" s="243"/>
      <c r="M165" s="459"/>
      <c r="N165" s="242"/>
      <c r="O165" s="141"/>
      <c r="P165" s="141"/>
      <c r="Q165" s="148"/>
      <c r="R165" s="148"/>
      <c r="S165" s="149"/>
      <c r="T165" s="149"/>
      <c r="U165" s="150"/>
      <c r="V165" s="150"/>
      <c r="W165" s="150"/>
      <c r="X165" s="150"/>
      <c r="Y165" s="150"/>
      <c r="Z165" s="150"/>
      <c r="AA165" s="150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39" s="213" customFormat="1">
      <c r="B166" s="225"/>
      <c r="D166" s="910"/>
      <c r="F166" s="242"/>
      <c r="G166" s="243"/>
      <c r="H166" s="243"/>
      <c r="I166" s="243"/>
      <c r="J166" s="243"/>
      <c r="K166" s="243"/>
      <c r="L166" s="243"/>
      <c r="M166" s="459"/>
      <c r="N166" s="242"/>
      <c r="O166" s="141"/>
      <c r="P166" s="141"/>
      <c r="Q166" s="148"/>
      <c r="R166" s="148"/>
      <c r="S166" s="149"/>
      <c r="T166" s="149"/>
      <c r="U166" s="150"/>
      <c r="V166" s="150"/>
      <c r="W166" s="150"/>
      <c r="X166" s="150"/>
      <c r="Y166" s="150"/>
      <c r="Z166" s="150"/>
      <c r="AA166" s="150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39" s="213" customFormat="1">
      <c r="B167" s="225"/>
      <c r="D167" s="910"/>
      <c r="F167" s="242"/>
      <c r="G167" s="243"/>
      <c r="H167" s="243"/>
      <c r="I167" s="243"/>
      <c r="J167" s="243"/>
      <c r="K167" s="243"/>
      <c r="L167" s="243"/>
      <c r="M167" s="459"/>
      <c r="N167" s="242"/>
      <c r="O167" s="141"/>
      <c r="P167" s="141"/>
      <c r="Q167" s="148"/>
      <c r="R167" s="148"/>
      <c r="S167" s="149"/>
      <c r="T167" s="149"/>
      <c r="U167" s="150"/>
      <c r="V167" s="150"/>
      <c r="W167" s="150"/>
      <c r="X167" s="150"/>
      <c r="Y167" s="150"/>
      <c r="Z167" s="150"/>
      <c r="AA167" s="150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39" s="213" customFormat="1">
      <c r="B168" s="225"/>
      <c r="D168" s="910"/>
      <c r="F168" s="242"/>
      <c r="G168" s="243"/>
      <c r="H168" s="243"/>
      <c r="I168" s="243"/>
      <c r="J168" s="243"/>
      <c r="K168" s="243"/>
      <c r="L168" s="243"/>
      <c r="M168" s="459"/>
      <c r="N168" s="242"/>
      <c r="O168" s="141"/>
      <c r="P168" s="141"/>
      <c r="Q168" s="148"/>
      <c r="R168" s="148"/>
      <c r="S168" s="149"/>
      <c r="T168" s="149"/>
      <c r="U168" s="150"/>
      <c r="V168" s="150"/>
      <c r="W168" s="150"/>
      <c r="X168" s="150"/>
      <c r="Y168" s="150"/>
      <c r="Z168" s="150"/>
      <c r="AA168" s="150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39" s="213" customFormat="1">
      <c r="B169" s="225"/>
      <c r="D169" s="910"/>
      <c r="F169" s="242"/>
      <c r="G169" s="243"/>
      <c r="H169" s="243"/>
      <c r="I169" s="243"/>
      <c r="J169" s="243"/>
      <c r="K169" s="243"/>
      <c r="L169" s="243"/>
      <c r="M169" s="459"/>
      <c r="N169" s="242"/>
      <c r="O169" s="141"/>
      <c r="P169" s="141"/>
      <c r="Q169" s="148"/>
      <c r="R169" s="148"/>
      <c r="S169" s="149"/>
      <c r="T169" s="149"/>
      <c r="U169" s="150"/>
      <c r="V169" s="150"/>
      <c r="W169" s="150"/>
      <c r="X169" s="150"/>
      <c r="Y169" s="150"/>
      <c r="Z169" s="150"/>
      <c r="AA169" s="150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39" s="213" customFormat="1">
      <c r="B170" s="225"/>
      <c r="D170" s="910"/>
      <c r="F170" s="242"/>
      <c r="G170" s="243"/>
      <c r="H170" s="243"/>
      <c r="I170" s="243"/>
      <c r="J170" s="243"/>
      <c r="K170" s="243"/>
      <c r="L170" s="243"/>
      <c r="M170" s="459"/>
      <c r="N170" s="242"/>
      <c r="O170" s="141"/>
      <c r="P170" s="141"/>
      <c r="Q170" s="148"/>
      <c r="R170" s="148"/>
      <c r="S170" s="149"/>
      <c r="T170" s="149"/>
      <c r="U170" s="150"/>
      <c r="V170" s="150"/>
      <c r="W170" s="150"/>
      <c r="X170" s="150"/>
      <c r="Y170" s="150"/>
      <c r="Z170" s="150"/>
      <c r="AA170" s="150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39" s="213" customFormat="1">
      <c r="B171" s="225"/>
      <c r="D171" s="910"/>
      <c r="F171" s="242"/>
      <c r="G171" s="243"/>
      <c r="H171" s="243"/>
      <c r="I171" s="243"/>
      <c r="J171" s="243"/>
      <c r="K171" s="243"/>
      <c r="L171" s="243"/>
      <c r="M171" s="459"/>
      <c r="N171" s="242"/>
      <c r="O171" s="141"/>
      <c r="P171" s="141"/>
      <c r="Q171" s="148"/>
      <c r="R171" s="148"/>
      <c r="S171" s="149"/>
      <c r="T171" s="149"/>
      <c r="U171" s="150"/>
      <c r="V171" s="150"/>
      <c r="W171" s="150"/>
      <c r="X171" s="150"/>
      <c r="Y171" s="150"/>
      <c r="Z171" s="150"/>
      <c r="AA171" s="150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39" s="213" customFormat="1">
      <c r="B172" s="225"/>
      <c r="D172" s="910"/>
      <c r="F172" s="242"/>
      <c r="G172" s="243"/>
      <c r="H172" s="243"/>
      <c r="I172" s="243"/>
      <c r="J172" s="243"/>
      <c r="K172" s="243"/>
      <c r="L172" s="243"/>
      <c r="M172" s="459"/>
      <c r="N172" s="242"/>
      <c r="O172" s="141"/>
      <c r="P172" s="141"/>
      <c r="Q172" s="148"/>
      <c r="R172" s="148"/>
      <c r="S172" s="149"/>
      <c r="T172" s="149"/>
      <c r="U172" s="150"/>
      <c r="V172" s="150"/>
      <c r="W172" s="150"/>
      <c r="X172" s="150"/>
      <c r="Y172" s="150"/>
      <c r="Z172" s="150"/>
      <c r="AA172" s="150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39" s="213" customFormat="1">
      <c r="B173" s="225"/>
      <c r="D173" s="910"/>
      <c r="F173" s="242"/>
      <c r="G173" s="243"/>
      <c r="H173" s="243"/>
      <c r="I173" s="243"/>
      <c r="J173" s="243"/>
      <c r="K173" s="243"/>
      <c r="L173" s="243"/>
      <c r="M173" s="459"/>
      <c r="N173" s="242"/>
      <c r="O173" s="141"/>
      <c r="P173" s="141"/>
      <c r="Q173" s="148"/>
      <c r="R173" s="148"/>
      <c r="S173" s="149"/>
      <c r="T173" s="149"/>
      <c r="U173" s="150"/>
      <c r="V173" s="150"/>
      <c r="W173" s="150"/>
      <c r="X173" s="150"/>
      <c r="Y173" s="150"/>
      <c r="Z173" s="150"/>
      <c r="AA173" s="150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39" s="213" customFormat="1">
      <c r="B174" s="225"/>
      <c r="D174" s="910"/>
      <c r="F174" s="242"/>
      <c r="G174" s="243"/>
      <c r="H174" s="243"/>
      <c r="I174" s="243"/>
      <c r="J174" s="243"/>
      <c r="K174" s="243"/>
      <c r="L174" s="243"/>
      <c r="M174" s="459"/>
      <c r="N174" s="242"/>
      <c r="O174" s="141"/>
      <c r="P174" s="141"/>
      <c r="Q174" s="148"/>
      <c r="R174" s="148"/>
      <c r="S174" s="149"/>
      <c r="T174" s="149"/>
      <c r="U174" s="150"/>
      <c r="V174" s="150"/>
      <c r="W174" s="150"/>
      <c r="X174" s="150"/>
      <c r="Y174" s="150"/>
      <c r="Z174" s="150"/>
      <c r="AA174" s="150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39" s="213" customFormat="1">
      <c r="B175" s="225"/>
      <c r="D175" s="910"/>
      <c r="F175" s="242"/>
      <c r="G175" s="243"/>
      <c r="H175" s="243"/>
      <c r="I175" s="243"/>
      <c r="J175" s="243"/>
      <c r="K175" s="243"/>
      <c r="L175" s="243"/>
      <c r="M175" s="459"/>
      <c r="N175" s="242"/>
      <c r="O175" s="141"/>
      <c r="P175" s="141"/>
      <c r="Q175" s="148"/>
      <c r="R175" s="148"/>
      <c r="S175" s="149"/>
      <c r="T175" s="149"/>
      <c r="U175" s="150"/>
      <c r="V175" s="150"/>
      <c r="W175" s="150"/>
      <c r="X175" s="150"/>
      <c r="Y175" s="150"/>
      <c r="Z175" s="150"/>
      <c r="AA175" s="150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39" s="213" customFormat="1">
      <c r="B176" s="225"/>
      <c r="D176" s="910"/>
      <c r="F176" s="242"/>
      <c r="G176" s="243"/>
      <c r="H176" s="243"/>
      <c r="I176" s="243"/>
      <c r="J176" s="243"/>
      <c r="K176" s="243"/>
      <c r="L176" s="243"/>
      <c r="M176" s="459"/>
      <c r="N176" s="242"/>
      <c r="O176" s="141"/>
      <c r="P176" s="141"/>
      <c r="Q176" s="148"/>
      <c r="R176" s="148"/>
      <c r="S176" s="149"/>
      <c r="T176" s="149"/>
      <c r="U176" s="150"/>
      <c r="V176" s="150"/>
      <c r="W176" s="150"/>
      <c r="X176" s="150"/>
      <c r="Y176" s="150"/>
      <c r="Z176" s="150"/>
      <c r="AA176" s="150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1:40" s="213" customFormat="1">
      <c r="B177" s="225"/>
      <c r="D177" s="910"/>
      <c r="F177" s="242"/>
      <c r="G177" s="243"/>
      <c r="H177" s="243"/>
      <c r="I177" s="243"/>
      <c r="J177" s="243"/>
      <c r="K177" s="243"/>
      <c r="L177" s="243"/>
      <c r="M177" s="459"/>
      <c r="N177" s="242"/>
      <c r="O177" s="141"/>
      <c r="P177" s="141"/>
      <c r="Q177" s="148"/>
      <c r="R177" s="148"/>
      <c r="S177" s="149"/>
      <c r="T177" s="149"/>
      <c r="U177" s="150"/>
      <c r="V177" s="150"/>
      <c r="W177" s="150"/>
      <c r="X177" s="150"/>
      <c r="Y177" s="150"/>
      <c r="Z177" s="150"/>
      <c r="AA177" s="150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1:40" s="213" customFormat="1">
      <c r="B178" s="225"/>
      <c r="D178" s="910"/>
      <c r="F178" s="242"/>
      <c r="G178" s="243"/>
      <c r="H178" s="243"/>
      <c r="I178" s="243"/>
      <c r="J178" s="243"/>
      <c r="K178" s="243"/>
      <c r="L178" s="243"/>
      <c r="M178" s="459"/>
      <c r="N178" s="242"/>
      <c r="O178" s="141"/>
      <c r="P178" s="141"/>
      <c r="Q178" s="148"/>
      <c r="R178" s="148"/>
      <c r="S178" s="149"/>
      <c r="T178" s="149"/>
      <c r="U178" s="150"/>
      <c r="V178" s="150"/>
      <c r="W178" s="150"/>
      <c r="X178" s="150"/>
      <c r="Y178" s="150"/>
      <c r="Z178" s="150"/>
      <c r="AA178" s="150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1:40" s="213" customFormat="1">
      <c r="B179" s="225"/>
      <c r="D179" s="910"/>
      <c r="F179" s="242"/>
      <c r="G179" s="243"/>
      <c r="H179" s="243"/>
      <c r="I179" s="243"/>
      <c r="J179" s="243"/>
      <c r="K179" s="243"/>
      <c r="L179" s="243"/>
      <c r="M179" s="459"/>
      <c r="N179" s="242"/>
      <c r="O179" s="141"/>
      <c r="P179" s="141"/>
      <c r="Q179" s="148"/>
      <c r="R179" s="148"/>
      <c r="S179" s="149"/>
      <c r="T179" s="149"/>
      <c r="U179" s="150"/>
      <c r="V179" s="150"/>
      <c r="W179" s="150"/>
      <c r="X179" s="150"/>
      <c r="Y179" s="150"/>
      <c r="Z179" s="150"/>
      <c r="AA179" s="150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1:40" s="213" customFormat="1">
      <c r="B180" s="225"/>
      <c r="D180" s="910"/>
      <c r="F180" s="242"/>
      <c r="G180" s="243"/>
      <c r="H180" s="243"/>
      <c r="I180" s="243"/>
      <c r="J180" s="243"/>
      <c r="K180" s="243"/>
      <c r="L180" s="243"/>
      <c r="M180" s="459"/>
      <c r="N180" s="242"/>
      <c r="O180" s="141"/>
      <c r="P180" s="141"/>
      <c r="Q180" s="148"/>
      <c r="R180" s="148"/>
      <c r="S180" s="149"/>
      <c r="T180" s="149"/>
      <c r="U180" s="150"/>
      <c r="V180" s="150"/>
      <c r="W180" s="150"/>
      <c r="X180" s="150"/>
      <c r="Y180" s="150"/>
      <c r="Z180" s="150"/>
      <c r="AA180" s="150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1:40" s="213" customFormat="1">
      <c r="B181" s="225"/>
      <c r="D181" s="910"/>
      <c r="F181" s="242"/>
      <c r="G181" s="243"/>
      <c r="H181" s="243"/>
      <c r="I181" s="243"/>
      <c r="J181" s="243"/>
      <c r="K181" s="243"/>
      <c r="L181" s="243"/>
      <c r="M181" s="459"/>
      <c r="N181" s="242"/>
      <c r="O181" s="141"/>
      <c r="P181" s="141"/>
      <c r="Q181" s="148"/>
      <c r="R181" s="148"/>
      <c r="S181" s="149"/>
      <c r="T181" s="149"/>
      <c r="U181" s="150"/>
      <c r="V181" s="150"/>
      <c r="W181" s="150"/>
      <c r="X181" s="150"/>
      <c r="Y181" s="150"/>
      <c r="Z181" s="150"/>
      <c r="AA181" s="150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1:40" s="213" customFormat="1">
      <c r="B182" s="225"/>
      <c r="D182" s="910"/>
      <c r="F182" s="242"/>
      <c r="G182" s="243"/>
      <c r="H182" s="243"/>
      <c r="I182" s="243"/>
      <c r="J182" s="243"/>
      <c r="K182" s="243"/>
      <c r="L182" s="243"/>
      <c r="M182" s="459"/>
      <c r="N182" s="242"/>
      <c r="O182" s="141"/>
      <c r="P182" s="141"/>
      <c r="Q182" s="148"/>
      <c r="R182" s="148"/>
      <c r="S182" s="149"/>
      <c r="T182" s="149"/>
      <c r="U182" s="150"/>
      <c r="V182" s="150"/>
      <c r="W182" s="150"/>
      <c r="X182" s="150"/>
      <c r="Y182" s="150"/>
      <c r="Z182" s="150"/>
      <c r="AA182" s="150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1:40" s="213" customFormat="1">
      <c r="B183" s="225"/>
      <c r="D183" s="910"/>
      <c r="F183" s="242"/>
      <c r="G183" s="243"/>
      <c r="H183" s="243"/>
      <c r="I183" s="243"/>
      <c r="J183" s="243"/>
      <c r="K183" s="243"/>
      <c r="L183" s="243"/>
      <c r="M183" s="459"/>
      <c r="N183" s="242"/>
      <c r="O183" s="141"/>
      <c r="P183" s="141"/>
      <c r="Q183" s="148"/>
      <c r="R183" s="148"/>
      <c r="S183" s="149"/>
      <c r="T183" s="149"/>
      <c r="U183" s="150"/>
      <c r="V183" s="150"/>
      <c r="W183" s="150"/>
      <c r="X183" s="150"/>
      <c r="Y183" s="150"/>
      <c r="Z183" s="150"/>
      <c r="AA183" s="150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1:40" s="213" customFormat="1">
      <c r="B184" s="225"/>
      <c r="D184" s="910"/>
      <c r="F184" s="242"/>
      <c r="G184" s="243"/>
      <c r="H184" s="243"/>
      <c r="I184" s="243"/>
      <c r="J184" s="243"/>
      <c r="K184" s="243"/>
      <c r="L184" s="243"/>
      <c r="M184" s="459"/>
      <c r="N184" s="242"/>
      <c r="O184" s="141"/>
      <c r="P184" s="141"/>
      <c r="Q184" s="148"/>
      <c r="R184" s="148"/>
      <c r="S184" s="149"/>
      <c r="T184" s="149"/>
      <c r="U184" s="150"/>
      <c r="V184" s="150"/>
      <c r="W184" s="150"/>
      <c r="X184" s="150"/>
      <c r="Y184" s="150"/>
      <c r="Z184" s="150"/>
      <c r="AA184" s="150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1:40" s="213" customFormat="1">
      <c r="B185" s="225"/>
      <c r="D185" s="910"/>
      <c r="F185" s="242"/>
      <c r="G185" s="243"/>
      <c r="H185" s="243"/>
      <c r="I185" s="243"/>
      <c r="J185" s="243"/>
      <c r="K185" s="243"/>
      <c r="L185" s="243"/>
      <c r="M185" s="459"/>
      <c r="N185" s="242"/>
      <c r="O185" s="141"/>
      <c r="P185" s="141"/>
      <c r="Q185" s="148"/>
      <c r="R185" s="148"/>
      <c r="S185" s="149"/>
      <c r="T185" s="149"/>
      <c r="U185" s="150"/>
      <c r="V185" s="150"/>
      <c r="W185" s="150"/>
      <c r="X185" s="150"/>
      <c r="Y185" s="150"/>
      <c r="Z185" s="150"/>
      <c r="AA185" s="150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1:40" s="213" customFormat="1">
      <c r="B186" s="225"/>
      <c r="D186" s="910"/>
      <c r="F186" s="242"/>
      <c r="G186" s="243"/>
      <c r="H186" s="243"/>
      <c r="I186" s="243"/>
      <c r="J186" s="243"/>
      <c r="K186" s="243"/>
      <c r="L186" s="243"/>
      <c r="M186" s="459"/>
      <c r="N186" s="242"/>
      <c r="O186" s="141"/>
      <c r="P186" s="141"/>
      <c r="Q186" s="148"/>
      <c r="R186" s="148"/>
      <c r="S186" s="149"/>
      <c r="T186" s="149"/>
      <c r="U186" s="150"/>
      <c r="V186" s="150"/>
      <c r="W186" s="150"/>
      <c r="X186" s="150"/>
      <c r="Y186" s="150"/>
      <c r="Z186" s="150"/>
      <c r="AA186" s="150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1:40" s="213" customFormat="1">
      <c r="B187" s="225"/>
      <c r="D187" s="910"/>
      <c r="F187" s="242"/>
      <c r="G187" s="243"/>
      <c r="H187" s="243"/>
      <c r="I187" s="243"/>
      <c r="J187" s="243"/>
      <c r="K187" s="243"/>
      <c r="L187" s="243"/>
      <c r="M187" s="459"/>
      <c r="N187" s="242"/>
      <c r="O187" s="141"/>
      <c r="P187" s="141"/>
      <c r="Q187" s="148"/>
      <c r="R187" s="148"/>
      <c r="S187" s="149"/>
      <c r="T187" s="149"/>
      <c r="U187" s="150"/>
      <c r="V187" s="150"/>
      <c r="W187" s="150"/>
      <c r="X187" s="150"/>
      <c r="Y187" s="150"/>
      <c r="Z187" s="150"/>
      <c r="AA187" s="150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1:40">
      <c r="A188" s="204"/>
      <c r="O188" s="155"/>
      <c r="P188" s="155"/>
      <c r="Q188" s="156"/>
      <c r="R188" s="156"/>
      <c r="S188" s="251"/>
      <c r="T188" s="251"/>
      <c r="U188" s="252"/>
      <c r="V188" s="252"/>
      <c r="W188" s="252"/>
      <c r="X188" s="252"/>
      <c r="Y188" s="252"/>
      <c r="Z188" s="252"/>
      <c r="AA188" s="252"/>
      <c r="AN188" s="204"/>
    </row>
    <row r="189" spans="1:40">
      <c r="A189" s="204"/>
      <c r="O189" s="155"/>
      <c r="P189" s="155"/>
      <c r="Q189" s="156"/>
      <c r="R189" s="156"/>
      <c r="S189" s="251"/>
      <c r="T189" s="251"/>
      <c r="U189" s="252"/>
      <c r="V189" s="252"/>
      <c r="W189" s="252"/>
      <c r="X189" s="252"/>
      <c r="Y189" s="252"/>
      <c r="Z189" s="252"/>
      <c r="AA189" s="252"/>
      <c r="AN189" s="204"/>
    </row>
    <row r="190" spans="1:40">
      <c r="A190" s="204"/>
      <c r="O190" s="155"/>
      <c r="P190" s="155"/>
      <c r="Q190" s="156"/>
      <c r="R190" s="156"/>
      <c r="S190" s="251"/>
      <c r="T190" s="251"/>
      <c r="U190" s="252"/>
      <c r="V190" s="252"/>
      <c r="W190" s="252"/>
      <c r="X190" s="252"/>
      <c r="Y190" s="252"/>
      <c r="Z190" s="252"/>
      <c r="AA190" s="252"/>
      <c r="AN190" s="204"/>
    </row>
    <row r="191" spans="1:40">
      <c r="A191" s="204"/>
      <c r="O191" s="155"/>
      <c r="P191" s="155"/>
      <c r="Q191" s="156"/>
      <c r="R191" s="156"/>
      <c r="S191" s="251"/>
      <c r="T191" s="251"/>
      <c r="U191" s="252"/>
      <c r="V191" s="252"/>
      <c r="W191" s="252"/>
      <c r="X191" s="252"/>
      <c r="Y191" s="252"/>
      <c r="Z191" s="252"/>
      <c r="AA191" s="252"/>
      <c r="AN191" s="204"/>
    </row>
    <row r="192" spans="1:40">
      <c r="A192" s="204"/>
      <c r="O192" s="155"/>
      <c r="P192" s="155"/>
      <c r="Q192" s="156"/>
      <c r="R192" s="156"/>
      <c r="S192" s="251"/>
      <c r="T192" s="251"/>
      <c r="U192" s="252"/>
      <c r="V192" s="252"/>
      <c r="W192" s="252"/>
      <c r="X192" s="252"/>
      <c r="Y192" s="252"/>
      <c r="Z192" s="252"/>
      <c r="AA192" s="252"/>
      <c r="AN192" s="204"/>
    </row>
    <row r="193" spans="1:40">
      <c r="A193" s="204"/>
      <c r="O193" s="155"/>
      <c r="P193" s="155"/>
      <c r="Q193" s="156"/>
      <c r="R193" s="156"/>
      <c r="S193" s="251"/>
      <c r="T193" s="251"/>
      <c r="U193" s="252"/>
      <c r="V193" s="252"/>
      <c r="W193" s="252"/>
      <c r="X193" s="252"/>
      <c r="Y193" s="252"/>
      <c r="Z193" s="252"/>
      <c r="AA193" s="252"/>
      <c r="AN193" s="204"/>
    </row>
    <row r="194" spans="1:40">
      <c r="A194" s="204"/>
      <c r="O194" s="155"/>
      <c r="P194" s="155"/>
      <c r="Q194" s="156"/>
      <c r="R194" s="156"/>
      <c r="S194" s="251"/>
      <c r="T194" s="251"/>
      <c r="U194" s="252"/>
      <c r="V194" s="252"/>
      <c r="W194" s="252"/>
      <c r="X194" s="252"/>
      <c r="Y194" s="252"/>
      <c r="Z194" s="252"/>
      <c r="AA194" s="252"/>
      <c r="AN194" s="204"/>
    </row>
    <row r="195" spans="1:40">
      <c r="A195" s="204"/>
      <c r="O195" s="155"/>
      <c r="P195" s="155"/>
      <c r="Q195" s="156"/>
      <c r="R195" s="156"/>
      <c r="S195" s="251"/>
      <c r="T195" s="251"/>
      <c r="U195" s="252"/>
      <c r="V195" s="252"/>
      <c r="W195" s="252"/>
      <c r="X195" s="252"/>
      <c r="Y195" s="252"/>
      <c r="Z195" s="252"/>
      <c r="AA195" s="252"/>
      <c r="AN195" s="204"/>
    </row>
    <row r="196" spans="1:40">
      <c r="A196" s="204"/>
      <c r="B196" s="204"/>
      <c r="D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155"/>
      <c r="P196" s="155"/>
      <c r="Q196" s="156"/>
      <c r="R196" s="156"/>
      <c r="S196" s="251"/>
      <c r="T196" s="251"/>
      <c r="U196" s="252"/>
      <c r="V196" s="252"/>
      <c r="W196" s="252"/>
      <c r="X196" s="252"/>
      <c r="Y196" s="252"/>
      <c r="Z196" s="252"/>
      <c r="AA196" s="252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</row>
    <row r="197" spans="1:40">
      <c r="A197" s="204"/>
      <c r="B197" s="204"/>
      <c r="D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155"/>
      <c r="P197" s="155"/>
      <c r="Q197" s="156"/>
      <c r="R197" s="156"/>
      <c r="S197" s="251"/>
      <c r="T197" s="251"/>
      <c r="U197" s="252"/>
      <c r="V197" s="252"/>
      <c r="W197" s="252"/>
      <c r="X197" s="252"/>
      <c r="Y197" s="252"/>
      <c r="Z197" s="252"/>
      <c r="AA197" s="252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</row>
    <row r="198" spans="1:40">
      <c r="A198" s="204"/>
      <c r="B198" s="204"/>
      <c r="D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155"/>
      <c r="P198" s="155"/>
      <c r="Q198" s="156"/>
      <c r="R198" s="156"/>
      <c r="S198" s="251"/>
      <c r="T198" s="251"/>
      <c r="U198" s="252"/>
      <c r="V198" s="252"/>
      <c r="W198" s="252"/>
      <c r="X198" s="252"/>
      <c r="Y198" s="252"/>
      <c r="Z198" s="252"/>
      <c r="AA198" s="252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</row>
    <row r="199" spans="1:40">
      <c r="A199" s="204"/>
      <c r="B199" s="204"/>
      <c r="D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155"/>
      <c r="P199" s="155"/>
      <c r="Q199" s="156"/>
      <c r="R199" s="156"/>
      <c r="S199" s="251"/>
      <c r="T199" s="251"/>
      <c r="U199" s="252"/>
      <c r="V199" s="252"/>
      <c r="W199" s="252"/>
      <c r="X199" s="252"/>
      <c r="Y199" s="252"/>
      <c r="Z199" s="252"/>
      <c r="AA199" s="252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</row>
    <row r="200" spans="1:40">
      <c r="A200" s="204"/>
      <c r="B200" s="204"/>
      <c r="D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155"/>
      <c r="P200" s="155"/>
      <c r="Q200" s="156"/>
      <c r="R200" s="156"/>
      <c r="S200" s="251"/>
      <c r="T200" s="251"/>
      <c r="U200" s="252"/>
      <c r="V200" s="252"/>
      <c r="W200" s="252"/>
      <c r="X200" s="252"/>
      <c r="Y200" s="252"/>
      <c r="Z200" s="252"/>
      <c r="AA200" s="252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</row>
  </sheetData>
  <phoneticPr fontId="21" type="noConversion"/>
  <conditionalFormatting sqref="D13 G13:K13 G20:K20 D20">
    <cfRule type="cellIs" dxfId="621" priority="37" stopIfTrue="1" operator="equal">
      <formula>1</formula>
    </cfRule>
  </conditionalFormatting>
  <conditionalFormatting sqref="D10 F10:K10">
    <cfRule type="cellIs" dxfId="620" priority="34" stopIfTrue="1" operator="equal">
      <formula>1</formula>
    </cfRule>
  </conditionalFormatting>
  <conditionalFormatting sqref="F6:K6 D6">
    <cfRule type="cellIs" dxfId="619" priority="33" stopIfTrue="1" operator="equal">
      <formula>1</formula>
    </cfRule>
  </conditionalFormatting>
  <conditionalFormatting sqref="E6">
    <cfRule type="cellIs" dxfId="618" priority="31" stopIfTrue="1" operator="equal">
      <formula>1</formula>
    </cfRule>
  </conditionalFormatting>
  <conditionalFormatting sqref="D35 G35:K35">
    <cfRule type="cellIs" dxfId="617" priority="28" stopIfTrue="1" operator="equal">
      <formula>1</formula>
    </cfRule>
  </conditionalFormatting>
  <conditionalFormatting sqref="F11:J11 D11">
    <cfRule type="cellIs" dxfId="616" priority="25" stopIfTrue="1" operator="equal">
      <formula>1</formula>
    </cfRule>
  </conditionalFormatting>
  <conditionalFormatting sqref="F21:K22 D21:D22 D24 F24:K24 F27:K27 D27">
    <cfRule type="cellIs" dxfId="615" priority="24" stopIfTrue="1" operator="equal">
      <formula>1</formula>
    </cfRule>
  </conditionalFormatting>
  <conditionalFormatting sqref="F36:K37 D36:D37 D39:D40 F39:K40 F42:K42 D42">
    <cfRule type="cellIs" dxfId="614" priority="22" stopIfTrue="1" operator="equal">
      <formula>1</formula>
    </cfRule>
  </conditionalFormatting>
  <conditionalFormatting sqref="F43:K43 D43">
    <cfRule type="cellIs" dxfId="613" priority="21" stopIfTrue="1" operator="equal">
      <formula>1</formula>
    </cfRule>
  </conditionalFormatting>
  <conditionalFormatting sqref="H29 H31">
    <cfRule type="cellIs" dxfId="612" priority="11" stopIfTrue="1" operator="equal">
      <formula>1</formula>
    </cfRule>
  </conditionalFormatting>
  <conditionalFormatting sqref="F29:G29 D29 D31 F31:G31 I29:K29 J31:K31">
    <cfRule type="cellIs" dxfId="611" priority="12" stopIfTrue="1" operator="equal">
      <formula>1</formula>
    </cfRule>
  </conditionalFormatting>
  <conditionalFormatting sqref="I31">
    <cfRule type="cellIs" dxfId="610" priority="6" stopIfTrue="1" operator="equal">
      <formula>1</formula>
    </cfRule>
  </conditionalFormatting>
  <conditionalFormatting sqref="H17 H19">
    <cfRule type="cellIs" dxfId="609" priority="9" stopIfTrue="1" operator="equal">
      <formula>1</formula>
    </cfRule>
  </conditionalFormatting>
  <conditionalFormatting sqref="F17:G17 D17 D19 F19:G19 I17:K17 I19:K19">
    <cfRule type="cellIs" dxfId="608" priority="10" stopIfTrue="1" operator="equal">
      <formula>1</formula>
    </cfRule>
  </conditionalFormatting>
  <conditionalFormatting sqref="D15 G15:K15">
    <cfRule type="cellIs" dxfId="607" priority="8" stopIfTrue="1" operator="equal">
      <formula>1</formula>
    </cfRule>
  </conditionalFormatting>
  <conditionalFormatting sqref="F16:K16 D16">
    <cfRule type="cellIs" dxfId="606" priority="7" stopIfTrue="1" operator="equal">
      <formula>1</formula>
    </cfRule>
  </conditionalFormatting>
  <conditionalFormatting sqref="AB9:AH9">
    <cfRule type="cellIs" dxfId="605" priority="4" stopIfTrue="1" operator="lessThan">
      <formula>0</formula>
    </cfRule>
  </conditionalFormatting>
  <conditionalFormatting sqref="K11">
    <cfRule type="cellIs" dxfId="604" priority="3" stopIfTrue="1" operator="equal">
      <formula>1</formula>
    </cfRule>
  </conditionalFormatting>
  <conditionalFormatting sqref="F25:J25 D25">
    <cfRule type="cellIs" dxfId="603" priority="2" stopIfTrue="1" operator="equal">
      <formula>1</formula>
    </cfRule>
  </conditionalFormatting>
  <conditionalFormatting sqref="K25">
    <cfRule type="cellIs" dxfId="602" priority="1" stopIfTrue="1" operator="equal">
      <formula>1</formula>
    </cfRule>
  </conditionalFormatting>
  <printOptions horizontalCentered="1" verticalCentered="1"/>
  <pageMargins left="0" right="0" top="0.39370078740157483" bottom="0.19685039370078741" header="0.39370078740157483" footer="0"/>
  <pageSetup paperSize="9" fitToHeight="2" orientation="landscape" horizontalDpi="0" verticalDpi="0"/>
  <headerFooter>
    <oddHeader>&amp;L&amp;A&amp;C&amp;F</oddHeader>
    <oddFooter>Página &amp;P de &amp;N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1"/>
  <dimension ref="B1:Q43"/>
  <sheetViews>
    <sheetView topLeftCell="A4" zoomScale="108" zoomScaleNormal="108" workbookViewId="0">
      <selection activeCell="M55" sqref="M55"/>
    </sheetView>
  </sheetViews>
  <sheetFormatPr baseColWidth="10" defaultColWidth="10.83203125" defaultRowHeight="13"/>
  <cols>
    <col min="2" max="2" width="2.1640625" customWidth="1"/>
    <col min="3" max="3" width="9.6640625" customWidth="1"/>
    <col min="4" max="4" width="6" customWidth="1"/>
    <col min="5" max="10" width="6.33203125" customWidth="1"/>
    <col min="11" max="11" width="6.5" customWidth="1"/>
    <col min="12" max="14" width="6.33203125" customWidth="1"/>
    <col min="15" max="15" width="2.1640625" customWidth="1"/>
    <col min="16" max="16" width="9" customWidth="1"/>
    <col min="27" max="27" width="9.83203125" customWidth="1"/>
  </cols>
  <sheetData>
    <row r="1" spans="2:15" ht="14" thickBot="1"/>
    <row r="2" spans="2:15" ht="14" thickBot="1">
      <c r="D2" s="2459" t="s">
        <v>1302</v>
      </c>
      <c r="E2" s="2460"/>
      <c r="F2" s="2460"/>
      <c r="G2" s="2461"/>
    </row>
    <row r="3" spans="2:15" ht="14" thickBot="1">
      <c r="L3" s="2462" t="s">
        <v>1299</v>
      </c>
      <c r="M3" s="2215"/>
      <c r="N3" s="2463"/>
    </row>
    <row r="4" spans="2:15" ht="14" thickBot="1">
      <c r="B4" s="2464"/>
      <c r="C4" s="2465"/>
      <c r="D4" s="2465"/>
      <c r="E4" s="2465"/>
      <c r="F4" s="2465"/>
      <c r="G4" s="2465"/>
      <c r="H4" s="2465"/>
      <c r="I4" s="2465"/>
      <c r="J4" s="2465"/>
      <c r="K4" s="2465"/>
      <c r="L4" s="2465"/>
      <c r="M4" s="2465"/>
      <c r="N4" s="2465"/>
      <c r="O4" s="2466"/>
    </row>
    <row r="5" spans="2:15">
      <c r="B5" s="2467"/>
      <c r="C5" s="2468" t="s">
        <v>240</v>
      </c>
      <c r="D5" s="2441">
        <v>5</v>
      </c>
      <c r="E5" s="2442">
        <v>10</v>
      </c>
      <c r="F5" s="2442">
        <v>15</v>
      </c>
      <c r="G5" s="2442">
        <v>20</v>
      </c>
      <c r="H5" s="2442">
        <v>25</v>
      </c>
      <c r="I5" s="2442">
        <v>30</v>
      </c>
      <c r="J5" s="2442">
        <v>35</v>
      </c>
      <c r="K5" s="2442">
        <v>40</v>
      </c>
      <c r="L5" s="2442">
        <v>45</v>
      </c>
      <c r="M5" s="2490">
        <v>50</v>
      </c>
      <c r="N5" s="2492" t="s">
        <v>1300</v>
      </c>
      <c r="O5" s="2466"/>
    </row>
    <row r="6" spans="2:15">
      <c r="B6" s="2467"/>
      <c r="C6" s="2469"/>
      <c r="D6" s="2440"/>
      <c r="E6" s="2440"/>
      <c r="F6" s="2440"/>
      <c r="G6" s="2440"/>
      <c r="H6" s="2440"/>
      <c r="I6" s="2440"/>
      <c r="J6" s="2440"/>
      <c r="K6" s="2440"/>
      <c r="L6" s="2440"/>
      <c r="M6" s="2443"/>
      <c r="N6" s="2467">
        <f>N17-N8</f>
        <v>3.2699999999999996</v>
      </c>
      <c r="O6" s="2470"/>
    </row>
    <row r="7" spans="2:15" ht="14" thickBot="1">
      <c r="B7" s="2467"/>
      <c r="C7" s="2469"/>
      <c r="D7" s="2445"/>
      <c r="E7" s="2445"/>
      <c r="F7" s="2445"/>
      <c r="G7" s="2446"/>
      <c r="H7" s="2446"/>
      <c r="I7" s="2447"/>
      <c r="J7" s="2447"/>
      <c r="K7" s="2448"/>
      <c r="L7" s="2448"/>
      <c r="M7" s="2491"/>
      <c r="N7" s="2471"/>
      <c r="O7" s="2475"/>
    </row>
    <row r="8" spans="2:15" ht="14" thickBot="1">
      <c r="B8" s="2467"/>
      <c r="C8" s="2468" t="s">
        <v>1289</v>
      </c>
      <c r="D8" s="7883">
        <v>6</v>
      </c>
      <c r="E8" s="7883"/>
      <c r="F8" s="7883"/>
      <c r="G8" s="7884">
        <v>6</v>
      </c>
      <c r="H8" s="7885"/>
      <c r="I8" s="7884">
        <v>6</v>
      </c>
      <c r="J8" s="7885"/>
      <c r="K8" s="7884">
        <v>6</v>
      </c>
      <c r="L8" s="7885"/>
      <c r="M8" s="2443">
        <v>3</v>
      </c>
      <c r="N8" s="2495">
        <f>SUM(D8:M8)</f>
        <v>27</v>
      </c>
      <c r="O8" s="2470"/>
    </row>
    <row r="9" spans="2:15" ht="14" thickBot="1">
      <c r="B9" s="2467"/>
      <c r="C9" s="2468" t="s">
        <v>1297</v>
      </c>
      <c r="D9" s="7883">
        <v>7.14</v>
      </c>
      <c r="E9" s="7883"/>
      <c r="F9" s="7883"/>
      <c r="G9" s="7884">
        <v>6.25</v>
      </c>
      <c r="H9" s="7885"/>
      <c r="I9" s="7884">
        <v>6.73</v>
      </c>
      <c r="J9" s="7885"/>
      <c r="K9" s="7884">
        <v>6.74</v>
      </c>
      <c r="L9" s="7885"/>
      <c r="M9" s="2443">
        <v>3.22</v>
      </c>
      <c r="N9" s="2458"/>
      <c r="O9" s="2470"/>
    </row>
    <row r="10" spans="2:15" ht="14" thickBot="1">
      <c r="B10" s="2467"/>
      <c r="C10" s="2468" t="s">
        <v>1290</v>
      </c>
      <c r="D10" s="7883">
        <v>7.19</v>
      </c>
      <c r="E10" s="7883"/>
      <c r="F10" s="7883"/>
      <c r="G10" s="7884">
        <v>6.57</v>
      </c>
      <c r="H10" s="7885"/>
      <c r="I10" s="7884">
        <v>7.15</v>
      </c>
      <c r="J10" s="7885"/>
      <c r="K10" s="7884">
        <v>6.72</v>
      </c>
      <c r="L10" s="7885"/>
      <c r="M10" s="2443">
        <v>3.48</v>
      </c>
      <c r="N10" s="2458" t="s">
        <v>215</v>
      </c>
      <c r="O10" s="2470"/>
    </row>
    <row r="11" spans="2:15" ht="14" thickBot="1">
      <c r="B11" s="2467"/>
      <c r="C11" s="2468" t="s">
        <v>1291</v>
      </c>
      <c r="D11" s="7883">
        <v>6.77</v>
      </c>
      <c r="E11" s="7883"/>
      <c r="F11" s="7883"/>
      <c r="G11" s="7884">
        <v>6.64</v>
      </c>
      <c r="H11" s="7885"/>
      <c r="I11" s="7884">
        <v>6.33</v>
      </c>
      <c r="J11" s="7885"/>
      <c r="K11" s="7884">
        <v>6.73</v>
      </c>
      <c r="L11" s="7885"/>
      <c r="M11" s="2443">
        <v>3.07</v>
      </c>
      <c r="N11" s="2458" t="s">
        <v>138</v>
      </c>
      <c r="O11" s="2470"/>
    </row>
    <row r="12" spans="2:15" ht="14" thickBot="1">
      <c r="B12" s="2467"/>
      <c r="C12" s="2468" t="s">
        <v>1292</v>
      </c>
      <c r="D12" s="7883">
        <v>7.37</v>
      </c>
      <c r="E12" s="7883"/>
      <c r="F12" s="7883"/>
      <c r="G12" s="7884">
        <v>6.61</v>
      </c>
      <c r="H12" s="7885"/>
      <c r="I12" s="7884">
        <v>6.55</v>
      </c>
      <c r="J12" s="7885"/>
      <c r="K12" s="7884">
        <v>6.87</v>
      </c>
      <c r="L12" s="7885"/>
      <c r="M12" s="2443">
        <v>3.06</v>
      </c>
      <c r="N12" s="2458" t="s">
        <v>139</v>
      </c>
      <c r="O12" s="2470"/>
    </row>
    <row r="13" spans="2:15" ht="14" thickBot="1">
      <c r="B13" s="2467"/>
      <c r="C13" s="2468" t="s">
        <v>1293</v>
      </c>
      <c r="D13" s="7883">
        <v>6.87</v>
      </c>
      <c r="E13" s="7883"/>
      <c r="F13" s="7883"/>
      <c r="G13" s="7884">
        <v>6.87</v>
      </c>
      <c r="H13" s="7885"/>
      <c r="I13" s="7884">
        <v>6.98</v>
      </c>
      <c r="J13" s="7885"/>
      <c r="K13" s="7884">
        <v>6.84</v>
      </c>
      <c r="L13" s="7885"/>
      <c r="M13" s="2443">
        <v>3.2</v>
      </c>
      <c r="N13" s="2458" t="s">
        <v>220</v>
      </c>
      <c r="O13" s="2470"/>
    </row>
    <row r="14" spans="2:15" ht="14" thickBot="1">
      <c r="B14" s="2467"/>
      <c r="C14" s="2468" t="s">
        <v>1294</v>
      </c>
      <c r="D14" s="7883">
        <v>7.01</v>
      </c>
      <c r="E14" s="7883"/>
      <c r="F14" s="7883"/>
      <c r="G14" s="7884">
        <v>6.62</v>
      </c>
      <c r="H14" s="7885"/>
      <c r="I14" s="7884">
        <v>6.55</v>
      </c>
      <c r="J14" s="7885"/>
      <c r="K14" s="7884">
        <v>7.08</v>
      </c>
      <c r="L14" s="7885"/>
      <c r="M14" s="2443">
        <v>3.49</v>
      </c>
      <c r="N14" s="2458" t="s">
        <v>458</v>
      </c>
      <c r="O14" s="2470"/>
    </row>
    <row r="15" spans="2:15" ht="14" thickBot="1">
      <c r="B15" s="2467"/>
      <c r="C15" s="2468" t="s">
        <v>1295</v>
      </c>
      <c r="D15" s="7883">
        <v>7.31</v>
      </c>
      <c r="E15" s="7883"/>
      <c r="F15" s="7883"/>
      <c r="G15" s="7884">
        <v>6.32</v>
      </c>
      <c r="H15" s="7885"/>
      <c r="I15" s="7884">
        <v>6.65</v>
      </c>
      <c r="J15" s="7885"/>
      <c r="K15" s="7884">
        <v>7.35</v>
      </c>
      <c r="L15" s="7885"/>
      <c r="M15" s="2443">
        <v>2.88</v>
      </c>
      <c r="N15" s="2458" t="s">
        <v>462</v>
      </c>
      <c r="O15" s="2470"/>
    </row>
    <row r="16" spans="2:15" ht="14" thickBot="1">
      <c r="B16" s="2467"/>
      <c r="C16" s="2468" t="s">
        <v>1296</v>
      </c>
      <c r="D16" s="7883">
        <v>6.77</v>
      </c>
      <c r="E16" s="7883"/>
      <c r="F16" s="7883"/>
      <c r="G16" s="7884">
        <v>6.25</v>
      </c>
      <c r="H16" s="7885"/>
      <c r="I16" s="7884">
        <v>6.33</v>
      </c>
      <c r="J16" s="7885"/>
      <c r="K16" s="7884">
        <v>6.72</v>
      </c>
      <c r="L16" s="7885"/>
      <c r="M16" s="2443">
        <v>2.88</v>
      </c>
      <c r="N16" s="2458"/>
      <c r="O16" s="2470"/>
    </row>
    <row r="17" spans="2:17">
      <c r="B17" s="2467"/>
      <c r="C17" s="2494" t="s">
        <v>1301</v>
      </c>
      <c r="D17" s="324"/>
      <c r="E17" s="2468">
        <f>SUM(D9:F16)/8</f>
        <v>7.0537500000000009</v>
      </c>
      <c r="F17" s="324"/>
      <c r="G17" s="324"/>
      <c r="H17" s="2468">
        <f>SUM(G9:H16)/8</f>
        <v>6.5162499999999994</v>
      </c>
      <c r="I17" s="324"/>
      <c r="J17" s="2468">
        <f>SUM(I9:J16)/8</f>
        <v>6.6587499999999995</v>
      </c>
      <c r="K17" s="324"/>
      <c r="L17" s="2468">
        <f>SUM(K9:L16)/8</f>
        <v>6.8812500000000005</v>
      </c>
      <c r="M17" s="2468">
        <f>SUM(L9:M16)/8</f>
        <v>3.16</v>
      </c>
      <c r="N17" s="2489">
        <f>SUM(D17:M17)</f>
        <v>30.27</v>
      </c>
      <c r="O17" s="2470"/>
    </row>
    <row r="18" spans="2:17" ht="14" thickBot="1">
      <c r="B18" s="2471"/>
      <c r="C18" s="2472"/>
      <c r="D18" s="2472"/>
      <c r="E18" s="2473"/>
      <c r="F18" s="2472"/>
      <c r="G18" s="2472"/>
      <c r="H18" s="2473"/>
      <c r="I18" s="2472"/>
      <c r="J18" s="2473"/>
      <c r="K18" s="2472"/>
      <c r="L18" s="2473"/>
      <c r="M18" s="2473"/>
      <c r="N18" s="2474"/>
      <c r="O18" s="2475"/>
    </row>
    <row r="19" spans="2:17" ht="14" thickBot="1">
      <c r="B19" s="2476"/>
      <c r="C19" s="2477"/>
      <c r="D19" s="2477"/>
      <c r="E19" s="2478"/>
      <c r="F19" s="2477"/>
      <c r="G19" s="2477"/>
      <c r="H19" s="2478"/>
      <c r="I19" s="2477"/>
      <c r="J19" s="2478"/>
      <c r="K19" s="2477"/>
      <c r="L19" s="2478"/>
      <c r="M19" s="2478"/>
      <c r="N19" s="2479"/>
      <c r="O19" s="2480"/>
    </row>
    <row r="20" spans="2:17">
      <c r="B20" s="2481"/>
      <c r="C20" s="2468" t="s">
        <v>240</v>
      </c>
      <c r="D20" s="2441">
        <v>5</v>
      </c>
      <c r="E20" s="2442">
        <v>10</v>
      </c>
      <c r="F20" s="2442">
        <v>15</v>
      </c>
      <c r="G20" s="2442">
        <v>20</v>
      </c>
      <c r="H20" s="2442">
        <v>25</v>
      </c>
      <c r="I20" s="2442">
        <v>30</v>
      </c>
      <c r="J20" s="2442">
        <v>35</v>
      </c>
      <c r="K20" s="2442">
        <v>40</v>
      </c>
      <c r="L20" s="2442">
        <v>45</v>
      </c>
      <c r="M20" s="2490">
        <v>50</v>
      </c>
      <c r="N20" s="2493" t="s">
        <v>1300</v>
      </c>
      <c r="O20" s="2480"/>
    </row>
    <row r="21" spans="2:17">
      <c r="B21" s="2481"/>
      <c r="C21" s="2482"/>
      <c r="D21" s="2440"/>
      <c r="E21" s="2440"/>
      <c r="F21" s="2440"/>
      <c r="G21" s="2440"/>
      <c r="H21" s="2440"/>
      <c r="I21" s="2440"/>
      <c r="J21" s="2440"/>
      <c r="K21" s="2440"/>
      <c r="L21" s="2440"/>
      <c r="M21" s="2443"/>
      <c r="N21" s="2481">
        <f>N32-N23</f>
        <v>3.3599999999999994</v>
      </c>
      <c r="O21" s="2483"/>
    </row>
    <row r="22" spans="2:17" ht="14" thickBot="1">
      <c r="B22" s="2481"/>
      <c r="C22" s="2482"/>
      <c r="D22" s="2445"/>
      <c r="E22" s="2445"/>
      <c r="F22" s="2445"/>
      <c r="G22" s="2446"/>
      <c r="H22" s="2446"/>
      <c r="I22" s="2447"/>
      <c r="J22" s="2447"/>
      <c r="K22" s="2448"/>
      <c r="L22" s="2448"/>
      <c r="M22" s="2491"/>
      <c r="N22" s="2484"/>
      <c r="O22" s="2488"/>
    </row>
    <row r="23" spans="2:17" ht="14" thickBot="1">
      <c r="B23" s="2481"/>
      <c r="C23" s="2468" t="s">
        <v>1289</v>
      </c>
      <c r="D23" s="7883">
        <v>6.2220000000000004</v>
      </c>
      <c r="E23" s="7883"/>
      <c r="F23" s="7883"/>
      <c r="G23" s="7884">
        <v>6.2220000000000004</v>
      </c>
      <c r="H23" s="7885"/>
      <c r="I23" s="7884">
        <v>6.2220000000000004</v>
      </c>
      <c r="J23" s="7885"/>
      <c r="K23" s="7884">
        <v>6.2220000000000004</v>
      </c>
      <c r="L23" s="7885"/>
      <c r="M23" s="2443">
        <f>K23/2</f>
        <v>3.1110000000000002</v>
      </c>
      <c r="N23" s="2495">
        <v>28</v>
      </c>
      <c r="O23" s="2483"/>
    </row>
    <row r="24" spans="2:17" ht="14" thickBot="1">
      <c r="B24" s="2481"/>
      <c r="C24" s="2468" t="s">
        <v>1297</v>
      </c>
      <c r="D24" s="7883">
        <v>7.09</v>
      </c>
      <c r="E24" s="7883"/>
      <c r="F24" s="7883"/>
      <c r="G24" s="7884">
        <v>6.64</v>
      </c>
      <c r="H24" s="7885"/>
      <c r="I24" s="7884">
        <v>7.75</v>
      </c>
      <c r="J24" s="7885"/>
      <c r="K24" s="7884">
        <v>7.13</v>
      </c>
      <c r="L24" s="7885"/>
      <c r="M24" s="2443">
        <v>3.1</v>
      </c>
      <c r="N24" s="2444"/>
      <c r="O24" s="2483"/>
    </row>
    <row r="25" spans="2:17" ht="14" thickBot="1">
      <c r="B25" s="2481"/>
      <c r="C25" s="2468" t="s">
        <v>1290</v>
      </c>
      <c r="D25" s="7883">
        <v>6.71</v>
      </c>
      <c r="E25" s="7883"/>
      <c r="F25" s="7883"/>
      <c r="G25" s="7884">
        <v>7.13</v>
      </c>
      <c r="H25" s="7885"/>
      <c r="I25" s="7884">
        <v>7.27</v>
      </c>
      <c r="J25" s="7885"/>
      <c r="K25" s="7884">
        <v>7.22</v>
      </c>
      <c r="L25" s="7885"/>
      <c r="M25" s="2443">
        <v>3.07</v>
      </c>
      <c r="N25" s="2458" t="s">
        <v>1298</v>
      </c>
      <c r="O25" s="2483"/>
    </row>
    <row r="26" spans="2:17" ht="14" thickBot="1">
      <c r="B26" s="2481"/>
      <c r="C26" s="2468" t="s">
        <v>1291</v>
      </c>
      <c r="D26" s="7883">
        <v>7.16</v>
      </c>
      <c r="E26" s="7883"/>
      <c r="F26" s="7883"/>
      <c r="G26" s="7884">
        <v>7.38</v>
      </c>
      <c r="H26" s="7885"/>
      <c r="I26" s="7884">
        <v>7.53</v>
      </c>
      <c r="J26" s="7885"/>
      <c r="K26" s="7884">
        <v>6.94</v>
      </c>
      <c r="L26" s="7885"/>
      <c r="M26" s="2443">
        <v>3.1</v>
      </c>
      <c r="N26" s="2458" t="s">
        <v>138</v>
      </c>
      <c r="O26" s="2483"/>
    </row>
    <row r="27" spans="2:17" ht="14" thickBot="1">
      <c r="B27" s="2481"/>
      <c r="C27" s="2468" t="s">
        <v>1292</v>
      </c>
      <c r="D27" s="7883">
        <v>7.08</v>
      </c>
      <c r="E27" s="7883"/>
      <c r="F27" s="7883"/>
      <c r="G27" s="7884">
        <v>7.22</v>
      </c>
      <c r="H27" s="7885"/>
      <c r="I27" s="7884">
        <v>7.07</v>
      </c>
      <c r="J27" s="7885"/>
      <c r="K27" s="7884">
        <v>7</v>
      </c>
      <c r="L27" s="7885"/>
      <c r="M27" s="2443">
        <v>3.22</v>
      </c>
      <c r="N27" s="2458" t="s">
        <v>462</v>
      </c>
      <c r="O27" s="2483"/>
      <c r="Q27" s="2181"/>
    </row>
    <row r="28" spans="2:17" ht="14" thickBot="1">
      <c r="B28" s="2481"/>
      <c r="C28" s="2468" t="s">
        <v>1293</v>
      </c>
      <c r="D28" s="7883">
        <v>7.18</v>
      </c>
      <c r="E28" s="7883"/>
      <c r="F28" s="7883"/>
      <c r="G28" s="7884">
        <v>6.63</v>
      </c>
      <c r="H28" s="7885"/>
      <c r="I28" s="7884">
        <v>7.45</v>
      </c>
      <c r="J28" s="7885"/>
      <c r="K28" s="7884">
        <v>6.79</v>
      </c>
      <c r="L28" s="7885"/>
      <c r="M28" s="2443">
        <v>3.24</v>
      </c>
      <c r="N28" s="2458" t="s">
        <v>214</v>
      </c>
      <c r="O28" s="2483"/>
    </row>
    <row r="29" spans="2:17" ht="14" thickBot="1">
      <c r="B29" s="2481"/>
      <c r="C29" s="2468" t="s">
        <v>1294</v>
      </c>
      <c r="D29" s="7883">
        <v>7.02</v>
      </c>
      <c r="E29" s="7883"/>
      <c r="F29" s="7883"/>
      <c r="G29" s="7884">
        <v>6.96</v>
      </c>
      <c r="H29" s="7885"/>
      <c r="I29" s="7884">
        <v>6.88</v>
      </c>
      <c r="J29" s="7885"/>
      <c r="K29" s="7884">
        <v>7.09</v>
      </c>
      <c r="L29" s="7885"/>
      <c r="M29" s="2443">
        <v>2.89</v>
      </c>
      <c r="N29" s="2458" t="s">
        <v>138</v>
      </c>
      <c r="O29" s="2483"/>
    </row>
    <row r="30" spans="2:17" ht="14" thickBot="1">
      <c r="B30" s="2481"/>
      <c r="C30" s="2468" t="s">
        <v>1295</v>
      </c>
      <c r="D30" s="7883">
        <v>7.3</v>
      </c>
      <c r="E30" s="7883"/>
      <c r="F30" s="7883"/>
      <c r="G30" s="7884">
        <v>6.84</v>
      </c>
      <c r="H30" s="7885"/>
      <c r="I30" s="7884">
        <v>7.23</v>
      </c>
      <c r="J30" s="7885"/>
      <c r="K30" s="7884">
        <v>6.67</v>
      </c>
      <c r="L30" s="7885"/>
      <c r="M30" s="2443">
        <v>3.4</v>
      </c>
      <c r="N30" s="2458"/>
      <c r="O30" s="2483"/>
    </row>
    <row r="31" spans="2:17" ht="14" thickBot="1">
      <c r="B31" s="2481"/>
      <c r="C31" s="2468" t="s">
        <v>1296</v>
      </c>
      <c r="D31" s="7883">
        <v>7.67</v>
      </c>
      <c r="E31" s="7883"/>
      <c r="F31" s="7883"/>
      <c r="G31" s="7884">
        <v>6.16</v>
      </c>
      <c r="H31" s="7885"/>
      <c r="I31" s="7884">
        <v>6.79</v>
      </c>
      <c r="J31" s="7885"/>
      <c r="K31" s="7884">
        <v>6.66</v>
      </c>
      <c r="L31" s="7885"/>
      <c r="M31" s="2443">
        <v>3.22</v>
      </c>
      <c r="N31" s="2444"/>
      <c r="O31" s="2483"/>
    </row>
    <row r="32" spans="2:17" ht="14" customHeight="1">
      <c r="B32" s="2481"/>
      <c r="C32" s="2494" t="s">
        <v>1301</v>
      </c>
      <c r="D32" s="324"/>
      <c r="E32" s="2468">
        <f>SUM(D24:F31)/8</f>
        <v>7.1512499999999992</v>
      </c>
      <c r="F32" s="324"/>
      <c r="G32" s="324"/>
      <c r="H32" s="2468">
        <f>SUM(G24:H31)/8</f>
        <v>6.8699999999999992</v>
      </c>
      <c r="I32" s="324"/>
      <c r="J32" s="2468">
        <f>SUM(I24:J31)/8</f>
        <v>7.2462500000000007</v>
      </c>
      <c r="K32" s="324"/>
      <c r="L32" s="2468">
        <f>SUM(K24:L31)/8</f>
        <v>6.9375</v>
      </c>
      <c r="M32" s="2468">
        <f>SUM(L24:M31)/8</f>
        <v>3.1549999999999998</v>
      </c>
      <c r="N32" s="2489">
        <f>SUM(D32:M32)</f>
        <v>31.36</v>
      </c>
      <c r="O32" s="2483"/>
    </row>
    <row r="33" spans="2:15" ht="11" customHeight="1" thickBot="1">
      <c r="B33" s="2484"/>
      <c r="C33" s="2485"/>
      <c r="D33" s="2485"/>
      <c r="E33" s="2486"/>
      <c r="F33" s="2485"/>
      <c r="G33" s="2485"/>
      <c r="H33" s="2486"/>
      <c r="I33" s="2485"/>
      <c r="J33" s="2486"/>
      <c r="K33" s="2485"/>
      <c r="L33" s="2486"/>
      <c r="M33" s="2486"/>
      <c r="N33" s="2487"/>
      <c r="O33" s="2488"/>
    </row>
    <row r="36" spans="2:15">
      <c r="F36" s="2449">
        <v>5</v>
      </c>
      <c r="G36" s="2449">
        <v>10</v>
      </c>
      <c r="H36" s="2449">
        <v>15</v>
      </c>
      <c r="I36" s="2449">
        <v>20</v>
      </c>
    </row>
    <row r="37" spans="2:15">
      <c r="F37" s="2450"/>
      <c r="G37" s="2450"/>
      <c r="H37" s="2450"/>
      <c r="I37" s="2451"/>
    </row>
    <row r="38" spans="2:15">
      <c r="G38" s="2452"/>
      <c r="H38" s="2452"/>
      <c r="I38" s="2451"/>
    </row>
    <row r="39" spans="2:15">
      <c r="G39" s="2453"/>
      <c r="H39" s="2453"/>
      <c r="I39" s="2454"/>
    </row>
    <row r="41" spans="2:15">
      <c r="F41" s="2449">
        <v>5</v>
      </c>
      <c r="G41" s="2449">
        <v>10</v>
      </c>
      <c r="H41" s="2449">
        <v>15</v>
      </c>
      <c r="I41" s="2455">
        <v>20</v>
      </c>
      <c r="J41" s="2455">
        <v>25</v>
      </c>
    </row>
    <row r="42" spans="2:15">
      <c r="F42" s="2450"/>
      <c r="G42" s="2450">
        <v>6</v>
      </c>
      <c r="H42" s="2450"/>
      <c r="I42" s="2456"/>
      <c r="J42" s="2457">
        <v>6</v>
      </c>
    </row>
    <row r="43" spans="2:15">
      <c r="F43" s="2454">
        <v>3</v>
      </c>
      <c r="G43" s="2453"/>
      <c r="H43" s="2453">
        <v>6</v>
      </c>
      <c r="I43" s="2452">
        <v>3</v>
      </c>
      <c r="J43" s="2451">
        <v>3</v>
      </c>
    </row>
  </sheetData>
  <mergeCells count="72">
    <mergeCell ref="D11:F11"/>
    <mergeCell ref="G11:H11"/>
    <mergeCell ref="I11:J11"/>
    <mergeCell ref="K11:L11"/>
    <mergeCell ref="D9:F9"/>
    <mergeCell ref="G9:H9"/>
    <mergeCell ref="I9:J9"/>
    <mergeCell ref="K9:L9"/>
    <mergeCell ref="D8:F8"/>
    <mergeCell ref="G8:H8"/>
    <mergeCell ref="I8:J8"/>
    <mergeCell ref="K8:L8"/>
    <mergeCell ref="D10:F10"/>
    <mergeCell ref="G10:H10"/>
    <mergeCell ref="I10:J10"/>
    <mergeCell ref="K10:L10"/>
    <mergeCell ref="D14:F14"/>
    <mergeCell ref="G14:H14"/>
    <mergeCell ref="I14:J14"/>
    <mergeCell ref="K14:L14"/>
    <mergeCell ref="D15:F15"/>
    <mergeCell ref="G15:H15"/>
    <mergeCell ref="I15:J15"/>
    <mergeCell ref="K15:L15"/>
    <mergeCell ref="D12:F12"/>
    <mergeCell ref="G12:H12"/>
    <mergeCell ref="I12:J12"/>
    <mergeCell ref="K12:L12"/>
    <mergeCell ref="D13:F13"/>
    <mergeCell ref="G13:H13"/>
    <mergeCell ref="I13:J13"/>
    <mergeCell ref="K13:L13"/>
    <mergeCell ref="D16:F16"/>
    <mergeCell ref="G16:H16"/>
    <mergeCell ref="I16:J16"/>
    <mergeCell ref="K16:L16"/>
    <mergeCell ref="D31:F31"/>
    <mergeCell ref="G31:H31"/>
    <mergeCell ref="I31:J31"/>
    <mergeCell ref="K31:L31"/>
    <mergeCell ref="D23:F23"/>
    <mergeCell ref="G23:H23"/>
    <mergeCell ref="I23:J23"/>
    <mergeCell ref="K23:L23"/>
    <mergeCell ref="D24:F24"/>
    <mergeCell ref="G24:H24"/>
    <mergeCell ref="I24:J24"/>
    <mergeCell ref="K24:L24"/>
    <mergeCell ref="D27:F27"/>
    <mergeCell ref="G27:H27"/>
    <mergeCell ref="I27:J27"/>
    <mergeCell ref="K27:L27"/>
    <mergeCell ref="D28:F28"/>
    <mergeCell ref="G28:H28"/>
    <mergeCell ref="I28:J28"/>
    <mergeCell ref="K28:L28"/>
    <mergeCell ref="D25:F25"/>
    <mergeCell ref="G25:H25"/>
    <mergeCell ref="I25:J25"/>
    <mergeCell ref="K25:L25"/>
    <mergeCell ref="D26:F26"/>
    <mergeCell ref="G26:H26"/>
    <mergeCell ref="I26:J26"/>
    <mergeCell ref="K26:L26"/>
    <mergeCell ref="D29:F29"/>
    <mergeCell ref="G29:H29"/>
    <mergeCell ref="I29:J29"/>
    <mergeCell ref="K29:L29"/>
    <mergeCell ref="D30:F30"/>
    <mergeCell ref="G30:H30"/>
    <mergeCell ref="I30:J30"/>
    <mergeCell ref="K30:L30"/>
  </mergeCells>
  <phoneticPr fontId="19" type="noConversion"/>
  <pageMargins left="0.70866141732283472" right="0.70866141732283472" top="10.196850393700789" bottom="0.74803149606299213" header="0.31496062992125984" footer="0.31496062992125984"/>
  <pageSetup paperSize="9" orientation="portrait" horizontalDpi="0" verticalDpi="0" copies="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2"/>
  <dimension ref="A1:F23"/>
  <sheetViews>
    <sheetView topLeftCell="A3" zoomScale="234" zoomScaleNormal="234" workbookViewId="0">
      <selection activeCell="P139" sqref="P139"/>
    </sheetView>
  </sheetViews>
  <sheetFormatPr baseColWidth="10" defaultColWidth="10.83203125" defaultRowHeight="13"/>
  <cols>
    <col min="1" max="1" width="2.33203125" customWidth="1"/>
    <col min="2" max="2" width="43.1640625" customWidth="1"/>
    <col min="3" max="3" width="27.1640625" customWidth="1"/>
    <col min="6" max="6" width="2.33203125" customWidth="1"/>
  </cols>
  <sheetData>
    <row r="1" spans="1:6">
      <c r="A1" s="2464"/>
      <c r="B1" s="2465"/>
      <c r="C1" s="2465"/>
      <c r="D1" s="2465"/>
      <c r="E1" s="2465"/>
      <c r="F1" s="2466"/>
    </row>
    <row r="2" spans="1:6">
      <c r="A2" s="2467"/>
      <c r="B2" s="324" t="s">
        <v>1308</v>
      </c>
      <c r="C2" s="324"/>
      <c r="D2" s="324"/>
      <c r="E2" s="324"/>
      <c r="F2" s="2470"/>
    </row>
    <row r="3" spans="1:6">
      <c r="A3" s="2467"/>
      <c r="B3" s="324" t="s">
        <v>1309</v>
      </c>
      <c r="C3" s="324"/>
      <c r="D3" s="324"/>
      <c r="E3" s="324"/>
      <c r="F3" s="2470"/>
    </row>
    <row r="4" spans="1:6">
      <c r="A4" s="2467"/>
      <c r="B4" s="324" t="s">
        <v>1313</v>
      </c>
      <c r="C4" s="324"/>
      <c r="D4" s="324"/>
      <c r="E4" s="324"/>
      <c r="F4" s="2470"/>
    </row>
    <row r="5" spans="1:6">
      <c r="A5" s="2467"/>
      <c r="B5" s="324"/>
      <c r="C5" s="324"/>
      <c r="D5" s="324"/>
      <c r="E5" s="324"/>
      <c r="F5" s="2470"/>
    </row>
    <row r="6" spans="1:6">
      <c r="A6" s="2467"/>
      <c r="B6" s="324" t="s">
        <v>1314</v>
      </c>
      <c r="C6" s="324"/>
      <c r="D6" s="324"/>
      <c r="E6" s="324"/>
      <c r="F6" s="2470"/>
    </row>
    <row r="7" spans="1:6">
      <c r="A7" s="2467"/>
      <c r="B7" s="324"/>
      <c r="C7" s="324"/>
      <c r="D7" s="324"/>
      <c r="E7" s="324"/>
      <c r="F7" s="2470"/>
    </row>
    <row r="8" spans="1:6">
      <c r="A8" s="2467"/>
      <c r="B8" s="324" t="s">
        <v>1315</v>
      </c>
      <c r="C8" s="324"/>
      <c r="D8" s="324"/>
      <c r="E8" s="324"/>
      <c r="F8" s="2470"/>
    </row>
    <row r="9" spans="1:6">
      <c r="A9" s="2467"/>
      <c r="B9" s="324" t="s">
        <v>1316</v>
      </c>
      <c r="C9" s="324"/>
      <c r="D9" s="324"/>
      <c r="E9" s="324"/>
      <c r="F9" s="2470"/>
    </row>
    <row r="10" spans="1:6">
      <c r="A10" s="2467"/>
      <c r="B10" s="324" t="s">
        <v>1310</v>
      </c>
      <c r="C10" s="324"/>
      <c r="D10" s="324"/>
      <c r="E10" s="324"/>
      <c r="F10" s="2470"/>
    </row>
    <row r="11" spans="1:6">
      <c r="A11" s="2467"/>
      <c r="B11" s="324" t="s">
        <v>1311</v>
      </c>
      <c r="C11" s="324"/>
      <c r="D11" s="324"/>
      <c r="E11" s="324"/>
      <c r="F11" s="2470"/>
    </row>
    <row r="12" spans="1:6">
      <c r="A12" s="2467"/>
      <c r="B12" s="324" t="s">
        <v>1317</v>
      </c>
      <c r="C12" s="324"/>
      <c r="D12" s="324"/>
      <c r="E12" s="324"/>
      <c r="F12" s="2470"/>
    </row>
    <row r="13" spans="1:6">
      <c r="A13" s="2467"/>
      <c r="B13" s="324"/>
      <c r="C13" s="324"/>
      <c r="D13" s="324"/>
      <c r="E13" s="324"/>
      <c r="F13" s="2470"/>
    </row>
    <row r="14" spans="1:6">
      <c r="A14" s="2467"/>
      <c r="B14" s="324" t="s">
        <v>1318</v>
      </c>
      <c r="C14" s="324"/>
      <c r="D14" s="324"/>
      <c r="E14" s="324"/>
      <c r="F14" s="2470"/>
    </row>
    <row r="15" spans="1:6" ht="14" customHeight="1">
      <c r="A15" s="2467"/>
      <c r="B15" s="324" t="s">
        <v>1312</v>
      </c>
      <c r="C15" s="324"/>
      <c r="D15" s="324"/>
      <c r="E15" s="324"/>
      <c r="F15" s="2499"/>
    </row>
    <row r="16" spans="1:6" ht="14" customHeight="1">
      <c r="A16" s="2467"/>
      <c r="B16" s="324" t="s">
        <v>1319</v>
      </c>
      <c r="C16" s="324"/>
      <c r="D16" s="324"/>
      <c r="E16" s="324"/>
      <c r="F16" s="2499"/>
    </row>
    <row r="17" spans="1:6" ht="14" customHeight="1">
      <c r="A17" s="2467"/>
      <c r="B17" s="324" t="s">
        <v>1320</v>
      </c>
      <c r="C17" s="324"/>
      <c r="D17" s="324"/>
      <c r="E17" s="324"/>
      <c r="F17" s="2499"/>
    </row>
    <row r="18" spans="1:6">
      <c r="A18" s="2467"/>
      <c r="B18" s="324" t="s">
        <v>1321</v>
      </c>
      <c r="C18" s="324"/>
      <c r="D18" s="324"/>
      <c r="E18" s="324"/>
      <c r="F18" s="2470"/>
    </row>
    <row r="19" spans="1:6">
      <c r="A19" s="2467"/>
      <c r="B19" s="324" t="s">
        <v>1322</v>
      </c>
      <c r="C19" s="324"/>
      <c r="D19" s="324"/>
      <c r="E19" s="324"/>
      <c r="F19" s="2470"/>
    </row>
    <row r="20" spans="1:6">
      <c r="A20" s="2467"/>
      <c r="B20" s="324" t="s">
        <v>1323</v>
      </c>
      <c r="C20" s="324"/>
      <c r="D20" s="324"/>
      <c r="E20" s="324"/>
      <c r="F20" s="2470"/>
    </row>
    <row r="21" spans="1:6">
      <c r="A21" s="2467"/>
      <c r="B21" s="324"/>
      <c r="C21" s="324"/>
      <c r="D21" s="324"/>
      <c r="E21" s="324"/>
      <c r="F21" s="2470"/>
    </row>
    <row r="22" spans="1:6">
      <c r="A22" s="2467"/>
      <c r="B22" s="324" t="s">
        <v>1324</v>
      </c>
      <c r="C22" s="324"/>
      <c r="D22" s="324"/>
      <c r="E22" s="324"/>
      <c r="F22" s="2470"/>
    </row>
    <row r="23" spans="1:6" ht="14" thickBot="1">
      <c r="A23" s="2471"/>
      <c r="B23" s="2472"/>
      <c r="C23" s="2472"/>
      <c r="D23" s="2472"/>
      <c r="E23" s="2472"/>
      <c r="F23" s="2475"/>
    </row>
  </sheetData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120" orientation="landscape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2"/>
  <dimension ref="A1:AO220"/>
  <sheetViews>
    <sheetView topLeftCell="A23" zoomScale="200" zoomScaleNormal="200" zoomScalePageLayoutView="200" workbookViewId="0">
      <selection activeCell="C13" sqref="C13:R19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6640625" style="204" customWidth="1"/>
    <col min="4" max="4" width="1" style="902" customWidth="1"/>
    <col min="5" max="5" width="2.1640625" style="204" customWidth="1"/>
    <col min="6" max="6" width="2.5" style="207" customWidth="1"/>
    <col min="7" max="7" width="4.6640625" style="208" customWidth="1"/>
    <col min="8" max="8" width="0.33203125" style="208" customWidth="1"/>
    <col min="9" max="10" width="7.33203125" style="208" customWidth="1"/>
    <col min="11" max="11" width="31.6640625" style="208" customWidth="1"/>
    <col min="12" max="12" width="5.1640625" style="988" customWidth="1"/>
    <col min="13" max="13" width="0.6640625" style="449" customWidth="1"/>
    <col min="14" max="14" width="6" style="207" customWidth="1"/>
    <col min="15" max="15" width="0.33203125" style="208" customWidth="1"/>
    <col min="16" max="16" width="9.33203125" style="208" customWidth="1"/>
    <col min="17" max="17" width="7.33203125" style="1099" customWidth="1"/>
    <col min="18" max="18" width="7.6640625" style="1099" customWidth="1"/>
    <col min="19" max="19" width="1.33203125" style="210" customWidth="1"/>
    <col min="20" max="20" width="0.33203125" style="210" customWidth="1"/>
    <col min="21" max="21" width="6" style="1098" customWidth="1"/>
    <col min="22" max="22" width="5.6640625" style="1098" customWidth="1"/>
    <col min="23" max="23" width="6.33203125" style="1098" customWidth="1"/>
    <col min="24" max="24" width="5.33203125" style="1098" customWidth="1"/>
    <col min="25" max="25" width="6" style="1098" customWidth="1"/>
    <col min="26" max="27" width="5.33203125" style="1098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253" width="11.5" style="204"/>
    <col min="254" max="254" width="11.6640625" style="204" customWidth="1"/>
    <col min="255" max="16384" width="11.5" style="204"/>
  </cols>
  <sheetData>
    <row r="1" spans="1:40" ht="20">
      <c r="A1" s="203" t="s">
        <v>85</v>
      </c>
      <c r="B1" s="204"/>
      <c r="C1" s="1126"/>
      <c r="D1" s="1127"/>
      <c r="E1" s="1128"/>
      <c r="V1" s="212"/>
      <c r="AI1" s="213"/>
      <c r="AJ1" s="213"/>
      <c r="AK1" s="213"/>
      <c r="AL1" s="213"/>
      <c r="AM1" s="213"/>
    </row>
    <row r="2" spans="1:40" ht="14" thickBot="1">
      <c r="F2" s="527"/>
      <c r="G2" s="155"/>
      <c r="H2" s="155"/>
      <c r="I2" s="155"/>
      <c r="J2" s="217"/>
      <c r="K2" s="583">
        <v>43768</v>
      </c>
      <c r="L2" s="989"/>
      <c r="U2" s="218" t="s">
        <v>345</v>
      </c>
      <c r="AI2" s="213"/>
      <c r="AJ2" s="213"/>
      <c r="AK2" s="213"/>
      <c r="AL2" s="213"/>
      <c r="AM2" s="213"/>
    </row>
    <row r="3" spans="1:40" s="223" customFormat="1" ht="83" thickTop="1" thickBot="1">
      <c r="A3" s="351" t="s">
        <v>346</v>
      </c>
      <c r="B3" s="352" t="s">
        <v>347</v>
      </c>
      <c r="C3" s="353" t="s">
        <v>348</v>
      </c>
      <c r="D3" s="903"/>
      <c r="E3" s="353" t="s">
        <v>349</v>
      </c>
      <c r="F3" s="35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990" t="s">
        <v>711</v>
      </c>
      <c r="M3" s="1100" t="s">
        <v>355</v>
      </c>
      <c r="N3" s="350" t="s">
        <v>445</v>
      </c>
      <c r="O3" s="353" t="s">
        <v>446</v>
      </c>
      <c r="P3" s="1368" t="s">
        <v>916</v>
      </c>
      <c r="Q3" s="1368" t="s">
        <v>917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1109" customFormat="1" ht="14" thickBot="1">
      <c r="A4" s="1101"/>
      <c r="B4" s="1102"/>
      <c r="C4" s="1103"/>
      <c r="D4" s="1104"/>
      <c r="E4" s="1103"/>
      <c r="F4" s="360"/>
      <c r="G4" s="361"/>
      <c r="H4" s="361"/>
      <c r="I4" s="274">
        <v>2.7239243311571939E-4</v>
      </c>
      <c r="J4" s="360"/>
      <c r="K4" s="361"/>
      <c r="L4" s="991"/>
      <c r="M4" s="1105"/>
      <c r="N4" s="361"/>
      <c r="O4" s="1103"/>
      <c r="P4" s="1103"/>
      <c r="Q4" s="1103"/>
      <c r="R4" s="1106"/>
      <c r="S4" s="1107"/>
      <c r="T4" s="1107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0" s="1109" customFormat="1" ht="14" thickTop="1">
      <c r="A5" s="1110"/>
      <c r="B5" s="1110"/>
      <c r="C5" s="1111"/>
      <c r="D5" s="1112"/>
      <c r="E5" s="1111"/>
      <c r="F5" s="624"/>
      <c r="G5" s="625"/>
      <c r="H5" s="625"/>
      <c r="I5" s="625"/>
      <c r="J5" s="624"/>
      <c r="K5" s="625"/>
      <c r="L5" s="992"/>
      <c r="M5" s="1113"/>
      <c r="N5" s="625"/>
      <c r="O5" s="1111"/>
      <c r="P5" s="1111"/>
      <c r="Q5" s="1111"/>
      <c r="R5" s="1114"/>
      <c r="S5" s="1115"/>
      <c r="T5" s="1115"/>
      <c r="U5" s="1108">
        <f>U4/4</f>
        <v>2.2880964381720439E-4</v>
      </c>
      <c r="V5" s="1108">
        <f t="shared" ref="V5:AA5" si="0">V4/4</f>
        <v>2.1908757716049393E-4</v>
      </c>
      <c r="W5" s="1108">
        <f t="shared" si="0"/>
        <v>2.1222190799396687E-4</v>
      </c>
      <c r="X5" s="1108">
        <f t="shared" si="0"/>
        <v>2.0247664488766629E-4</v>
      </c>
      <c r="Y5" s="1108">
        <f t="shared" si="0"/>
        <v>1.8933937422552669E-4</v>
      </c>
      <c r="Z5" s="1108">
        <f t="shared" si="0"/>
        <v>1.8229166666666673E-4</v>
      </c>
      <c r="AA5" s="1108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s="1109" customFormat="1">
      <c r="A6" s="1116"/>
      <c r="B6" s="1142"/>
      <c r="C6" s="274">
        <f t="shared" ref="C6:C11" si="1">IF(D6=1,U$5,IF(D6=2,V$5,IF(D6=3,W$5,IF(D6=4,X$5,IF(D6=5,Y$5,IF(D6=6,Z$5,IF(D6=7,AA$5,0)))))))</f>
        <v>2.2880964381720439E-4</v>
      </c>
      <c r="D6" s="1029">
        <v>1</v>
      </c>
      <c r="E6" s="826">
        <v>1</v>
      </c>
      <c r="F6" s="826">
        <v>3</v>
      </c>
      <c r="G6" s="275">
        <v>100</v>
      </c>
      <c r="H6" s="276"/>
      <c r="I6" s="276">
        <v>1.1574074074074073E-4</v>
      </c>
      <c r="J6" s="276">
        <v>6.9444444444444447E-4</v>
      </c>
      <c r="K6" s="312" t="s">
        <v>24</v>
      </c>
      <c r="L6" s="1374">
        <v>0.79861111111111116</v>
      </c>
      <c r="M6" s="451">
        <v>0.9</v>
      </c>
      <c r="N6" s="1375">
        <v>3.90505592357911E-3</v>
      </c>
      <c r="O6" s="296">
        <f t="shared" ref="O6:O12" si="2">C6*(G6/25)</f>
        <v>9.1523857526881758E-4</v>
      </c>
      <c r="P6" s="548"/>
      <c r="Q6" s="548"/>
      <c r="R6" s="275">
        <f t="shared" ref="R6:R11" si="3">E6*F6*G6</f>
        <v>300</v>
      </c>
      <c r="S6" s="1118">
        <f>E6*F6*G6/1000</f>
        <v>0.3</v>
      </c>
      <c r="T6" s="1119">
        <f>E6*F6*O6*4</f>
        <v>1.0982862903225811E-2</v>
      </c>
      <c r="U6" s="374">
        <f>IF(C6*4&gt;=$U$4,S6,0)</f>
        <v>0.3</v>
      </c>
      <c r="V6" s="1120">
        <f>IF(AND(C6*4&gt;=$V$4,C6*4&lt;$U$4),S6,0)</f>
        <v>0</v>
      </c>
      <c r="W6" s="376">
        <f>IF(AND(C6*4&gt;=$W$4,C6*4&lt;$V$4),S6,0)</f>
        <v>0</v>
      </c>
      <c r="X6" s="377">
        <f>IF(AND(C6*4&gt;=$X$4,C6*4&lt;$W$4),S6,0)</f>
        <v>0</v>
      </c>
      <c r="Y6" s="378">
        <f>IF(AND(C6*4&gt;=$Y$4,C6*4&lt;$X$4),S6,0)</f>
        <v>0</v>
      </c>
      <c r="Z6" s="1121">
        <f>IF(AND(C6*4&gt;=$Z$4,C6*4&lt;$Y$4),S6,0)</f>
        <v>0</v>
      </c>
      <c r="AA6" s="1122">
        <f>IF(AND(C6*4&gt;=$AA$4,C6*4&lt;$Z$4),S6,0)</f>
        <v>0</v>
      </c>
      <c r="AB6" s="225"/>
      <c r="AC6" s="231"/>
      <c r="AD6" s="231"/>
      <c r="AE6" s="231"/>
      <c r="AF6" s="231"/>
      <c r="AG6" s="231"/>
      <c r="AH6" s="231"/>
      <c r="AI6" s="225"/>
      <c r="AJ6" s="225"/>
      <c r="AK6" s="225"/>
      <c r="AL6" s="225"/>
      <c r="AM6" s="225"/>
      <c r="AN6" s="225"/>
    </row>
    <row r="7" spans="1:40" s="1109" customFormat="1">
      <c r="A7" s="1116"/>
      <c r="B7" s="1142"/>
      <c r="C7" s="274">
        <f t="shared" si="1"/>
        <v>2.1908757716049393E-4</v>
      </c>
      <c r="D7" s="1302">
        <v>2</v>
      </c>
      <c r="E7" s="1303">
        <v>2</v>
      </c>
      <c r="F7" s="1303">
        <v>1</v>
      </c>
      <c r="G7" s="300">
        <v>200</v>
      </c>
      <c r="H7" s="301"/>
      <c r="I7" s="301">
        <v>1.7361111111111112E-4</v>
      </c>
      <c r="J7" s="301">
        <v>2.3148148148148146E-4</v>
      </c>
      <c r="K7" s="1123" t="s">
        <v>724</v>
      </c>
      <c r="L7" s="1376">
        <v>0.80251616703469031</v>
      </c>
      <c r="M7" s="455">
        <v>1.3</v>
      </c>
      <c r="N7" s="1377">
        <v>6.0905435528120725E-3</v>
      </c>
      <c r="O7" s="302">
        <f t="shared" si="2"/>
        <v>1.7527006172839514E-3</v>
      </c>
      <c r="P7" s="550"/>
      <c r="Q7" s="550"/>
      <c r="R7" s="369">
        <f t="shared" si="3"/>
        <v>400</v>
      </c>
      <c r="S7" s="1118">
        <f t="shared" ref="S7:S19" si="4">E7*F7*G7/1000</f>
        <v>0.4</v>
      </c>
      <c r="T7" s="1119">
        <f t="shared" ref="T7:T19" si="5">E7*F7*O7*4</f>
        <v>1.4021604938271611E-2</v>
      </c>
      <c r="U7" s="374">
        <f t="shared" ref="U7:U19" si="6">IF(C7*4&gt;=$U$4,S7,0)</f>
        <v>0</v>
      </c>
      <c r="V7" s="1120">
        <f t="shared" ref="V7:V19" si="7">IF(AND(C7*4&gt;=$V$4,C7*4&lt;$U$4),S7,0)</f>
        <v>0.4</v>
      </c>
      <c r="W7" s="376">
        <f t="shared" ref="W7:W19" si="8">IF(AND(C7*4&gt;=$W$4,C7*4&lt;$V$4),S7,0)</f>
        <v>0</v>
      </c>
      <c r="X7" s="377">
        <f t="shared" ref="X7:X19" si="9">IF(AND(C7*4&gt;=$X$4,C7*4&lt;$W$4),S7,0)</f>
        <v>0</v>
      </c>
      <c r="Y7" s="378">
        <f t="shared" ref="Y7:Y19" si="10">IF(AND(C7*4&gt;=$Y$4,C7*4&lt;$X$4),S7,0)</f>
        <v>0</v>
      </c>
      <c r="Z7" s="1121">
        <f t="shared" ref="Z7:Z19" si="11">IF(AND(C7*4&gt;=$Z$4,C7*4&lt;$Y$4),S7,0)</f>
        <v>0</v>
      </c>
      <c r="AA7" s="1122">
        <f t="shared" ref="AA7:AA19" si="12">IF(AND(C7*4&gt;=$AA$4,C7*4&lt;$Z$4),S7,0)</f>
        <v>0</v>
      </c>
      <c r="AB7" s="225"/>
      <c r="AC7" s="231"/>
      <c r="AD7" s="231"/>
      <c r="AE7" s="231"/>
      <c r="AF7" s="231"/>
      <c r="AG7" s="231"/>
      <c r="AH7" s="231"/>
      <c r="AI7" s="225"/>
      <c r="AJ7" s="225"/>
      <c r="AK7" s="225"/>
      <c r="AL7" s="225"/>
      <c r="AM7" s="225"/>
      <c r="AN7" s="225"/>
    </row>
    <row r="8" spans="1:40" s="1109" customFormat="1">
      <c r="A8" s="1116"/>
      <c r="B8" s="1142"/>
      <c r="C8" s="274">
        <f t="shared" si="1"/>
        <v>1.7682291666666674E-4</v>
      </c>
      <c r="D8" s="897">
        <v>7</v>
      </c>
      <c r="E8" s="435">
        <v>1</v>
      </c>
      <c r="F8" s="435">
        <v>2</v>
      </c>
      <c r="G8" s="435">
        <v>15</v>
      </c>
      <c r="H8" s="436"/>
      <c r="I8" s="436">
        <v>1.3888888888888889E-3</v>
      </c>
      <c r="J8" s="437">
        <v>1.3888888888888889E-3</v>
      </c>
      <c r="K8" s="1187" t="s">
        <v>912</v>
      </c>
      <c r="L8" s="4576">
        <f t="shared" ref="L8:L11" si="13">L7+N7</f>
        <v>0.80860671058750233</v>
      </c>
      <c r="M8" s="516">
        <v>1.05</v>
      </c>
      <c r="N8" s="1381">
        <f t="shared" ref="N8:N11" si="14">P8*E8*F8+I8*E8*F8+J8*E8</f>
        <v>4.3983754166666668E-3</v>
      </c>
      <c r="O8" s="439">
        <f t="shared" ref="O8:O11" si="15">C8*(G8/25)*1.04</f>
        <v>1.1033750000000005E-4</v>
      </c>
      <c r="P8" s="4577">
        <f t="shared" ref="P8:P11" si="16">O8*M8</f>
        <v>1.1585437500000005E-4</v>
      </c>
      <c r="Q8" s="1366">
        <v>177</v>
      </c>
      <c r="R8" s="1187">
        <f t="shared" si="3"/>
        <v>30</v>
      </c>
      <c r="S8" s="1118">
        <f t="shared" si="4"/>
        <v>0.03</v>
      </c>
      <c r="T8" s="1119">
        <f t="shared" si="5"/>
        <v>8.8270000000000037E-4</v>
      </c>
      <c r="U8" s="374">
        <f t="shared" si="6"/>
        <v>0</v>
      </c>
      <c r="V8" s="1120">
        <f t="shared" si="7"/>
        <v>0</v>
      </c>
      <c r="W8" s="376">
        <f t="shared" si="8"/>
        <v>0</v>
      </c>
      <c r="X8" s="377">
        <f t="shared" si="9"/>
        <v>0</v>
      </c>
      <c r="Y8" s="378">
        <f t="shared" si="10"/>
        <v>0</v>
      </c>
      <c r="Z8" s="1121">
        <f t="shared" si="11"/>
        <v>0</v>
      </c>
      <c r="AA8" s="1122">
        <f t="shared" si="12"/>
        <v>0.03</v>
      </c>
      <c r="AB8" s="225"/>
      <c r="AC8" s="231"/>
      <c r="AD8" s="231"/>
      <c r="AE8" s="231"/>
      <c r="AF8" s="231"/>
      <c r="AG8" s="231"/>
      <c r="AH8" s="231"/>
      <c r="AI8" s="225"/>
      <c r="AJ8" s="225"/>
      <c r="AK8" s="225"/>
      <c r="AL8" s="225"/>
      <c r="AM8" s="225"/>
      <c r="AN8" s="225"/>
    </row>
    <row r="9" spans="1:40" s="1109" customFormat="1">
      <c r="A9" s="1116"/>
      <c r="B9" s="1142">
        <v>1</v>
      </c>
      <c r="C9" s="274">
        <f t="shared" si="1"/>
        <v>1.7682291666666674E-4</v>
      </c>
      <c r="D9" s="897">
        <v>7</v>
      </c>
      <c r="E9" s="435">
        <v>1</v>
      </c>
      <c r="F9" s="435">
        <v>2</v>
      </c>
      <c r="G9" s="435">
        <v>15</v>
      </c>
      <c r="H9" s="436"/>
      <c r="I9" s="436">
        <v>2.0833333333333333E-3</v>
      </c>
      <c r="J9" s="437">
        <v>2.0833333333333333E-3</v>
      </c>
      <c r="K9" s="1187" t="s">
        <v>913</v>
      </c>
      <c r="L9" s="4576">
        <f t="shared" si="13"/>
        <v>0.81300508600416899</v>
      </c>
      <c r="M9" s="516">
        <v>1.05</v>
      </c>
      <c r="N9" s="1381">
        <f t="shared" si="14"/>
        <v>6.4817087500000006E-3</v>
      </c>
      <c r="O9" s="439">
        <f t="shared" si="15"/>
        <v>1.1033750000000005E-4</v>
      </c>
      <c r="P9" s="4577">
        <f t="shared" si="16"/>
        <v>1.1585437500000005E-4</v>
      </c>
      <c r="Q9" s="1366">
        <v>177</v>
      </c>
      <c r="R9" s="1187">
        <f t="shared" si="3"/>
        <v>30</v>
      </c>
      <c r="S9" s="1118">
        <f t="shared" si="4"/>
        <v>0.03</v>
      </c>
      <c r="T9" s="1119">
        <f t="shared" si="5"/>
        <v>8.8270000000000037E-4</v>
      </c>
      <c r="U9" s="374">
        <f t="shared" si="6"/>
        <v>0</v>
      </c>
      <c r="V9" s="1120">
        <f t="shared" si="7"/>
        <v>0</v>
      </c>
      <c r="W9" s="376">
        <f t="shared" si="8"/>
        <v>0</v>
      </c>
      <c r="X9" s="377">
        <f t="shared" si="9"/>
        <v>0</v>
      </c>
      <c r="Y9" s="378">
        <f t="shared" si="10"/>
        <v>0</v>
      </c>
      <c r="Z9" s="1121">
        <f t="shared" si="11"/>
        <v>0</v>
      </c>
      <c r="AA9" s="1122">
        <f t="shared" si="12"/>
        <v>0.03</v>
      </c>
      <c r="AB9" s="225"/>
      <c r="AC9" s="231"/>
      <c r="AD9" s="231"/>
      <c r="AE9" s="231"/>
      <c r="AF9" s="231"/>
      <c r="AG9" s="231"/>
      <c r="AH9" s="231"/>
      <c r="AI9" s="225"/>
      <c r="AJ9" s="225"/>
      <c r="AK9" s="225"/>
      <c r="AL9" s="225"/>
      <c r="AM9" s="225"/>
      <c r="AN9" s="225"/>
    </row>
    <row r="10" spans="1:40" s="1109" customFormat="1">
      <c r="A10" s="1116"/>
      <c r="B10" s="1142"/>
      <c r="C10" s="274">
        <f t="shared" si="1"/>
        <v>1.7682291666666674E-4</v>
      </c>
      <c r="D10" s="897">
        <v>7</v>
      </c>
      <c r="E10" s="435">
        <v>1</v>
      </c>
      <c r="F10" s="435">
        <v>2</v>
      </c>
      <c r="G10" s="435">
        <v>30</v>
      </c>
      <c r="H10" s="436"/>
      <c r="I10" s="436">
        <v>2.0833333333333333E-3</v>
      </c>
      <c r="J10" s="437">
        <v>2.0833333333333333E-3</v>
      </c>
      <c r="K10" s="1187" t="s">
        <v>914</v>
      </c>
      <c r="L10" s="4576">
        <f t="shared" si="13"/>
        <v>0.81948679475416897</v>
      </c>
      <c r="M10" s="516">
        <v>1.05</v>
      </c>
      <c r="N10" s="1381">
        <f t="shared" si="14"/>
        <v>6.7134175000000008E-3</v>
      </c>
      <c r="O10" s="439">
        <f t="shared" si="15"/>
        <v>2.2067500000000009E-4</v>
      </c>
      <c r="P10" s="4577">
        <f t="shared" si="16"/>
        <v>2.317087500000001E-4</v>
      </c>
      <c r="Q10" s="1366">
        <v>177</v>
      </c>
      <c r="R10" s="1187">
        <f t="shared" si="3"/>
        <v>60</v>
      </c>
      <c r="S10" s="1118">
        <f t="shared" si="4"/>
        <v>0.06</v>
      </c>
      <c r="T10" s="1119">
        <f t="shared" si="5"/>
        <v>1.7654000000000007E-3</v>
      </c>
      <c r="U10" s="374">
        <f t="shared" si="6"/>
        <v>0</v>
      </c>
      <c r="V10" s="1120">
        <f t="shared" si="7"/>
        <v>0</v>
      </c>
      <c r="W10" s="376">
        <f t="shared" si="8"/>
        <v>0</v>
      </c>
      <c r="X10" s="377">
        <f t="shared" si="9"/>
        <v>0</v>
      </c>
      <c r="Y10" s="378">
        <f t="shared" si="10"/>
        <v>0</v>
      </c>
      <c r="Z10" s="1121">
        <f t="shared" si="11"/>
        <v>0</v>
      </c>
      <c r="AA10" s="1122">
        <f t="shared" si="12"/>
        <v>0.06</v>
      </c>
      <c r="AB10" s="225"/>
      <c r="AC10" s="231"/>
      <c r="AD10" s="231"/>
      <c r="AE10" s="231"/>
      <c r="AF10" s="231"/>
      <c r="AG10" s="231"/>
      <c r="AH10" s="231"/>
      <c r="AI10" s="225"/>
      <c r="AJ10" s="225"/>
      <c r="AK10" s="225"/>
      <c r="AL10" s="225"/>
      <c r="AM10" s="225"/>
      <c r="AN10" s="225"/>
    </row>
    <row r="11" spans="1:40" s="1109" customFormat="1">
      <c r="A11" s="1116"/>
      <c r="B11" s="1142"/>
      <c r="C11" s="274">
        <f t="shared" si="1"/>
        <v>1.7682291666666674E-4</v>
      </c>
      <c r="D11" s="897">
        <v>7</v>
      </c>
      <c r="E11" s="435">
        <v>1</v>
      </c>
      <c r="F11" s="435">
        <v>2</v>
      </c>
      <c r="G11" s="435">
        <v>15</v>
      </c>
      <c r="H11" s="436"/>
      <c r="I11" s="436">
        <v>2.0833333333333333E-3</v>
      </c>
      <c r="J11" s="437"/>
      <c r="K11" s="1187" t="s">
        <v>915</v>
      </c>
      <c r="L11" s="4576">
        <f t="shared" si="13"/>
        <v>0.82620021225416895</v>
      </c>
      <c r="M11" s="516">
        <v>1.05</v>
      </c>
      <c r="N11" s="1381">
        <f t="shared" si="14"/>
        <v>4.3983754166666668E-3</v>
      </c>
      <c r="O11" s="439">
        <f t="shared" si="15"/>
        <v>1.1033750000000005E-4</v>
      </c>
      <c r="P11" s="4577">
        <f t="shared" si="16"/>
        <v>1.1585437500000005E-4</v>
      </c>
      <c r="Q11" s="1366">
        <v>177</v>
      </c>
      <c r="R11" s="1187">
        <f t="shared" si="3"/>
        <v>30</v>
      </c>
      <c r="S11" s="1118">
        <f t="shared" si="4"/>
        <v>0.03</v>
      </c>
      <c r="T11" s="1119">
        <f t="shared" si="5"/>
        <v>8.8270000000000037E-4</v>
      </c>
      <c r="U11" s="374">
        <f t="shared" si="6"/>
        <v>0</v>
      </c>
      <c r="V11" s="1120">
        <f t="shared" si="7"/>
        <v>0</v>
      </c>
      <c r="W11" s="376">
        <f t="shared" si="8"/>
        <v>0</v>
      </c>
      <c r="X11" s="377">
        <f t="shared" si="9"/>
        <v>0</v>
      </c>
      <c r="Y11" s="378">
        <f t="shared" si="10"/>
        <v>0</v>
      </c>
      <c r="Z11" s="1121">
        <f t="shared" si="11"/>
        <v>0</v>
      </c>
      <c r="AA11" s="1122">
        <f t="shared" si="12"/>
        <v>0.03</v>
      </c>
      <c r="AB11" s="225"/>
      <c r="AC11" s="231"/>
      <c r="AD11" s="231"/>
      <c r="AE11" s="231"/>
      <c r="AF11" s="231"/>
      <c r="AG11" s="231"/>
      <c r="AH11" s="231"/>
      <c r="AI11" s="225"/>
      <c r="AJ11" s="225"/>
      <c r="AK11" s="225"/>
      <c r="AL11" s="225"/>
      <c r="AM11" s="225"/>
      <c r="AN11" s="225"/>
    </row>
    <row r="12" spans="1:40" s="1109" customFormat="1">
      <c r="A12" s="1116"/>
      <c r="B12" s="1142"/>
      <c r="C12" s="335"/>
      <c r="D12" s="899"/>
      <c r="E12" s="336"/>
      <c r="F12" s="336"/>
      <c r="G12" s="336">
        <f>SUM(G8:G11)</f>
        <v>75</v>
      </c>
      <c r="H12" s="336"/>
      <c r="I12" s="336"/>
      <c r="J12" s="336"/>
      <c r="K12" s="336"/>
      <c r="L12" s="1378">
        <v>0.83054645017083562</v>
      </c>
      <c r="M12" s="448"/>
      <c r="N12" s="1379">
        <v>3.1935339059724517E-2</v>
      </c>
      <c r="O12" s="336">
        <f t="shared" si="2"/>
        <v>0</v>
      </c>
      <c r="P12" s="336">
        <f>SUM(P8:P11)</f>
        <v>5.7927187500000032E-4</v>
      </c>
      <c r="Q12" s="336">
        <f>SUM(Q8:Q11)</f>
        <v>708</v>
      </c>
      <c r="R12" s="1238">
        <f>SUM(R6:R11)</f>
        <v>850</v>
      </c>
      <c r="S12" s="1118">
        <f t="shared" si="4"/>
        <v>0</v>
      </c>
      <c r="T12" s="1119">
        <f t="shared" si="5"/>
        <v>0</v>
      </c>
      <c r="U12" s="374">
        <f t="shared" si="6"/>
        <v>0</v>
      </c>
      <c r="V12" s="1120">
        <f t="shared" si="7"/>
        <v>0</v>
      </c>
      <c r="W12" s="376">
        <f t="shared" si="8"/>
        <v>0</v>
      </c>
      <c r="X12" s="377">
        <f t="shared" si="9"/>
        <v>0</v>
      </c>
      <c r="Y12" s="378">
        <f t="shared" si="10"/>
        <v>0</v>
      </c>
      <c r="Z12" s="1121">
        <f t="shared" si="11"/>
        <v>0</v>
      </c>
      <c r="AA12" s="1122">
        <f t="shared" si="12"/>
        <v>0</v>
      </c>
      <c r="AB12" s="225"/>
      <c r="AC12" s="231"/>
      <c r="AD12" s="231"/>
      <c r="AE12" s="231"/>
      <c r="AF12" s="231"/>
      <c r="AG12" s="231"/>
      <c r="AH12" s="231"/>
      <c r="AI12" s="225"/>
      <c r="AJ12" s="225"/>
      <c r="AK12" s="225"/>
      <c r="AL12" s="225"/>
      <c r="AM12" s="225"/>
      <c r="AN12" s="225"/>
    </row>
    <row r="13" spans="1:40" s="1109" customFormat="1">
      <c r="A13" s="1116"/>
      <c r="B13" s="1142"/>
      <c r="C13" s="274">
        <f t="shared" ref="C13:C18" si="17">IF(D13=1,U$5,IF(D13=2,V$5,IF(D13=3,W$5,IF(D13=4,X$5,IF(D13=5,Y$5,IF(D13=6,Z$5,IF(D13=7,AA$5,0)))))))</f>
        <v>2.2880964381720439E-4</v>
      </c>
      <c r="D13" s="1029">
        <v>1</v>
      </c>
      <c r="E13" s="826">
        <v>1</v>
      </c>
      <c r="F13" s="826">
        <v>3</v>
      </c>
      <c r="G13" s="275">
        <v>100</v>
      </c>
      <c r="H13" s="276"/>
      <c r="I13" s="276">
        <v>1.1574074074074073E-4</v>
      </c>
      <c r="J13" s="276">
        <v>6.9444444444444447E-4</v>
      </c>
      <c r="K13" s="312" t="s">
        <v>24</v>
      </c>
      <c r="L13" s="1374">
        <v>0.79861111111111116</v>
      </c>
      <c r="M13" s="451">
        <v>0.9</v>
      </c>
      <c r="N13" s="1375">
        <v>3.90505592357911E-3</v>
      </c>
      <c r="O13" s="296">
        <f t="shared" ref="O13:O19" si="18">C13*(G13/25)</f>
        <v>9.1523857526881758E-4</v>
      </c>
      <c r="P13" s="548"/>
      <c r="Q13" s="548"/>
      <c r="R13" s="1194">
        <f t="shared" ref="R13:R18" si="19">E13*F13*G13</f>
        <v>300</v>
      </c>
      <c r="S13" s="1118">
        <f t="shared" si="4"/>
        <v>0.3</v>
      </c>
      <c r="T13" s="1119">
        <f t="shared" si="5"/>
        <v>1.0982862903225811E-2</v>
      </c>
      <c r="U13" s="374">
        <f t="shared" si="6"/>
        <v>0.3</v>
      </c>
      <c r="V13" s="1120">
        <f t="shared" si="7"/>
        <v>0</v>
      </c>
      <c r="W13" s="376">
        <f t="shared" si="8"/>
        <v>0</v>
      </c>
      <c r="X13" s="377">
        <f t="shared" si="9"/>
        <v>0</v>
      </c>
      <c r="Y13" s="378">
        <f t="shared" si="10"/>
        <v>0</v>
      </c>
      <c r="Z13" s="1121">
        <f t="shared" si="11"/>
        <v>0</v>
      </c>
      <c r="AA13" s="1122">
        <f t="shared" si="12"/>
        <v>0</v>
      </c>
      <c r="AB13" s="225"/>
      <c r="AC13" s="231"/>
      <c r="AD13" s="231"/>
      <c r="AE13" s="231"/>
      <c r="AF13" s="231"/>
      <c r="AG13" s="231"/>
      <c r="AH13" s="231"/>
      <c r="AI13" s="225"/>
      <c r="AJ13" s="225"/>
      <c r="AK13" s="225"/>
      <c r="AL13" s="225"/>
      <c r="AM13" s="225"/>
      <c r="AN13" s="225"/>
    </row>
    <row r="14" spans="1:40" s="1109" customFormat="1">
      <c r="A14" s="1116"/>
      <c r="B14" s="1142"/>
      <c r="C14" s="274">
        <f t="shared" si="17"/>
        <v>2.1908757716049393E-4</v>
      </c>
      <c r="D14" s="1302">
        <v>2</v>
      </c>
      <c r="E14" s="1303">
        <v>2</v>
      </c>
      <c r="F14" s="1303">
        <v>1</v>
      </c>
      <c r="G14" s="300">
        <v>200</v>
      </c>
      <c r="H14" s="301"/>
      <c r="I14" s="301">
        <v>1.7361111111111112E-4</v>
      </c>
      <c r="J14" s="301">
        <v>2.3148148148148146E-4</v>
      </c>
      <c r="K14" s="1123" t="s">
        <v>724</v>
      </c>
      <c r="L14" s="1376">
        <v>0.80251616703469031</v>
      </c>
      <c r="M14" s="455">
        <v>1.3</v>
      </c>
      <c r="N14" s="1377">
        <v>6.0905435528120725E-3</v>
      </c>
      <c r="O14" s="302">
        <f t="shared" si="18"/>
        <v>1.7527006172839514E-3</v>
      </c>
      <c r="P14" s="550"/>
      <c r="Q14" s="550"/>
      <c r="R14" s="1176">
        <f t="shared" si="19"/>
        <v>400</v>
      </c>
      <c r="S14" s="1118">
        <f t="shared" si="4"/>
        <v>0.4</v>
      </c>
      <c r="T14" s="1119">
        <f t="shared" si="5"/>
        <v>1.4021604938271611E-2</v>
      </c>
      <c r="U14" s="374">
        <f t="shared" si="6"/>
        <v>0</v>
      </c>
      <c r="V14" s="1120">
        <f t="shared" si="7"/>
        <v>0.4</v>
      </c>
      <c r="W14" s="376">
        <f t="shared" si="8"/>
        <v>0</v>
      </c>
      <c r="X14" s="377">
        <f t="shared" si="9"/>
        <v>0</v>
      </c>
      <c r="Y14" s="378">
        <f t="shared" si="10"/>
        <v>0</v>
      </c>
      <c r="Z14" s="1121">
        <f t="shared" si="11"/>
        <v>0</v>
      </c>
      <c r="AA14" s="1122">
        <f t="shared" si="12"/>
        <v>0</v>
      </c>
      <c r="AB14" s="225"/>
      <c r="AC14" s="231"/>
      <c r="AD14" s="231"/>
      <c r="AE14" s="231"/>
      <c r="AF14" s="231"/>
      <c r="AG14" s="231"/>
      <c r="AH14" s="231"/>
      <c r="AI14" s="225"/>
      <c r="AJ14" s="225"/>
      <c r="AK14" s="225"/>
      <c r="AL14" s="225"/>
      <c r="AM14" s="225"/>
      <c r="AN14" s="225"/>
    </row>
    <row r="15" spans="1:40" s="1109" customFormat="1">
      <c r="A15" s="1116"/>
      <c r="B15" s="1142"/>
      <c r="C15" s="274">
        <f t="shared" si="17"/>
        <v>1.7682291666666674E-4</v>
      </c>
      <c r="D15" s="897">
        <v>7</v>
      </c>
      <c r="E15" s="435">
        <v>1</v>
      </c>
      <c r="F15" s="435">
        <v>2</v>
      </c>
      <c r="G15" s="435">
        <v>15</v>
      </c>
      <c r="H15" s="436"/>
      <c r="I15" s="436">
        <v>1.3888888888888889E-3</v>
      </c>
      <c r="J15" s="437">
        <v>1.3888888888888889E-3</v>
      </c>
      <c r="K15" s="1187" t="s">
        <v>912</v>
      </c>
      <c r="L15" s="4576">
        <f t="shared" ref="L15:L18" si="20">L14+N14</f>
        <v>0.80860671058750233</v>
      </c>
      <c r="M15" s="516">
        <v>1.05</v>
      </c>
      <c r="N15" s="1381">
        <f t="shared" ref="N15:N18" si="21">P15*E15*F15+I15*E15*F15+J15*E15</f>
        <v>4.3983754166666668E-3</v>
      </c>
      <c r="O15" s="439">
        <f t="shared" ref="O15:O18" si="22">C15*(G15/25)*1.04</f>
        <v>1.1033750000000005E-4</v>
      </c>
      <c r="P15" s="4577">
        <f t="shared" ref="P15:P18" si="23">O15*M15</f>
        <v>1.1585437500000005E-4</v>
      </c>
      <c r="Q15" s="1366">
        <v>177</v>
      </c>
      <c r="R15" s="1187">
        <f t="shared" si="19"/>
        <v>30</v>
      </c>
      <c r="S15" s="1118">
        <f t="shared" si="4"/>
        <v>0.03</v>
      </c>
      <c r="T15" s="1119">
        <f t="shared" si="5"/>
        <v>8.8270000000000037E-4</v>
      </c>
      <c r="U15" s="374">
        <f t="shared" si="6"/>
        <v>0</v>
      </c>
      <c r="V15" s="1120">
        <f t="shared" si="7"/>
        <v>0</v>
      </c>
      <c r="W15" s="376">
        <f t="shared" si="8"/>
        <v>0</v>
      </c>
      <c r="X15" s="377">
        <f t="shared" si="9"/>
        <v>0</v>
      </c>
      <c r="Y15" s="378">
        <f t="shared" si="10"/>
        <v>0</v>
      </c>
      <c r="Z15" s="1121">
        <f t="shared" si="11"/>
        <v>0</v>
      </c>
      <c r="AA15" s="1122">
        <f t="shared" si="12"/>
        <v>0.03</v>
      </c>
      <c r="AB15" s="225"/>
      <c r="AC15" s="231"/>
      <c r="AD15" s="231"/>
      <c r="AE15" s="231"/>
      <c r="AF15" s="231"/>
      <c r="AG15" s="231"/>
      <c r="AH15" s="231"/>
      <c r="AI15" s="225"/>
      <c r="AJ15" s="225"/>
      <c r="AK15" s="225"/>
      <c r="AL15" s="225"/>
      <c r="AM15" s="225"/>
      <c r="AN15" s="225"/>
    </row>
    <row r="16" spans="1:40" s="1109" customFormat="1">
      <c r="A16" s="1116"/>
      <c r="B16" s="1142">
        <v>2</v>
      </c>
      <c r="C16" s="274">
        <f t="shared" si="17"/>
        <v>1.7682291666666674E-4</v>
      </c>
      <c r="D16" s="897">
        <v>7</v>
      </c>
      <c r="E16" s="435">
        <v>1</v>
      </c>
      <c r="F16" s="435">
        <v>2</v>
      </c>
      <c r="G16" s="435">
        <v>15</v>
      </c>
      <c r="H16" s="436"/>
      <c r="I16" s="436">
        <v>2.0833333333333333E-3</v>
      </c>
      <c r="J16" s="437">
        <v>2.0833333333333333E-3</v>
      </c>
      <c r="K16" s="1187" t="s">
        <v>913</v>
      </c>
      <c r="L16" s="4576">
        <f t="shared" si="20"/>
        <v>0.81300508600416899</v>
      </c>
      <c r="M16" s="516">
        <v>1.05</v>
      </c>
      <c r="N16" s="1381">
        <f t="shared" si="21"/>
        <v>6.4817087500000006E-3</v>
      </c>
      <c r="O16" s="439">
        <f t="shared" si="22"/>
        <v>1.1033750000000005E-4</v>
      </c>
      <c r="P16" s="4577">
        <f t="shared" si="23"/>
        <v>1.1585437500000005E-4</v>
      </c>
      <c r="Q16" s="1366">
        <v>177</v>
      </c>
      <c r="R16" s="1187">
        <f t="shared" si="19"/>
        <v>30</v>
      </c>
      <c r="S16" s="1118">
        <f t="shared" si="4"/>
        <v>0.03</v>
      </c>
      <c r="T16" s="1119">
        <f t="shared" si="5"/>
        <v>8.8270000000000037E-4</v>
      </c>
      <c r="U16" s="374">
        <f t="shared" si="6"/>
        <v>0</v>
      </c>
      <c r="V16" s="1120">
        <f t="shared" si="7"/>
        <v>0</v>
      </c>
      <c r="W16" s="376">
        <f t="shared" si="8"/>
        <v>0</v>
      </c>
      <c r="X16" s="377">
        <f t="shared" si="9"/>
        <v>0</v>
      </c>
      <c r="Y16" s="378">
        <f t="shared" si="10"/>
        <v>0</v>
      </c>
      <c r="Z16" s="1121">
        <f t="shared" si="11"/>
        <v>0</v>
      </c>
      <c r="AA16" s="1122">
        <f t="shared" si="12"/>
        <v>0.03</v>
      </c>
      <c r="AB16" s="225"/>
      <c r="AC16" s="231"/>
      <c r="AD16" s="231"/>
      <c r="AE16" s="231"/>
      <c r="AF16" s="231"/>
      <c r="AG16" s="231"/>
      <c r="AH16" s="231"/>
      <c r="AI16" s="225"/>
      <c r="AJ16" s="225"/>
      <c r="AK16" s="225"/>
      <c r="AL16" s="225"/>
      <c r="AM16" s="225"/>
      <c r="AN16" s="225"/>
    </row>
    <row r="17" spans="1:40" s="1109" customFormat="1">
      <c r="A17" s="1116"/>
      <c r="B17" s="1142"/>
      <c r="C17" s="274">
        <f t="shared" si="17"/>
        <v>1.7682291666666674E-4</v>
      </c>
      <c r="D17" s="897">
        <v>7</v>
      </c>
      <c r="E17" s="435">
        <v>1</v>
      </c>
      <c r="F17" s="435">
        <v>2</v>
      </c>
      <c r="G17" s="435">
        <v>30</v>
      </c>
      <c r="H17" s="436"/>
      <c r="I17" s="436">
        <v>2.0833333333333333E-3</v>
      </c>
      <c r="J17" s="437">
        <v>2.0833333333333333E-3</v>
      </c>
      <c r="K17" s="1187" t="s">
        <v>914</v>
      </c>
      <c r="L17" s="4576">
        <f t="shared" si="20"/>
        <v>0.81948679475416897</v>
      </c>
      <c r="M17" s="516">
        <v>1.05</v>
      </c>
      <c r="N17" s="1381">
        <f t="shared" si="21"/>
        <v>6.7134175000000008E-3</v>
      </c>
      <c r="O17" s="439">
        <f t="shared" si="22"/>
        <v>2.2067500000000009E-4</v>
      </c>
      <c r="P17" s="4577">
        <f t="shared" si="23"/>
        <v>2.317087500000001E-4</v>
      </c>
      <c r="Q17" s="1366">
        <v>177</v>
      </c>
      <c r="R17" s="1187">
        <f t="shared" si="19"/>
        <v>60</v>
      </c>
      <c r="S17" s="1118">
        <f t="shared" si="4"/>
        <v>0.06</v>
      </c>
      <c r="T17" s="1119">
        <f t="shared" si="5"/>
        <v>1.7654000000000007E-3</v>
      </c>
      <c r="U17" s="374">
        <f t="shared" si="6"/>
        <v>0</v>
      </c>
      <c r="V17" s="1120">
        <f t="shared" si="7"/>
        <v>0</v>
      </c>
      <c r="W17" s="376">
        <f t="shared" si="8"/>
        <v>0</v>
      </c>
      <c r="X17" s="377">
        <f t="shared" si="9"/>
        <v>0</v>
      </c>
      <c r="Y17" s="378">
        <f t="shared" si="10"/>
        <v>0</v>
      </c>
      <c r="Z17" s="1121">
        <f t="shared" si="11"/>
        <v>0</v>
      </c>
      <c r="AA17" s="1122">
        <f t="shared" si="12"/>
        <v>0.06</v>
      </c>
      <c r="AB17" s="225"/>
      <c r="AC17" s="231"/>
      <c r="AD17" s="231"/>
      <c r="AE17" s="231"/>
      <c r="AF17" s="231"/>
      <c r="AG17" s="231"/>
      <c r="AH17" s="231"/>
      <c r="AI17" s="225"/>
      <c r="AJ17" s="225"/>
      <c r="AK17" s="225"/>
      <c r="AL17" s="225"/>
      <c r="AM17" s="225"/>
      <c r="AN17" s="225"/>
    </row>
    <row r="18" spans="1:40" s="1109" customFormat="1">
      <c r="A18" s="1116"/>
      <c r="B18" s="1142"/>
      <c r="C18" s="274">
        <f t="shared" si="17"/>
        <v>1.7682291666666674E-4</v>
      </c>
      <c r="D18" s="897">
        <v>7</v>
      </c>
      <c r="E18" s="435">
        <v>1</v>
      </c>
      <c r="F18" s="435">
        <v>2</v>
      </c>
      <c r="G18" s="435">
        <v>15</v>
      </c>
      <c r="H18" s="436"/>
      <c r="I18" s="436">
        <v>2.0833333333333333E-3</v>
      </c>
      <c r="J18" s="437"/>
      <c r="K18" s="1187" t="s">
        <v>915</v>
      </c>
      <c r="L18" s="4576">
        <f t="shared" si="20"/>
        <v>0.82620021225416895</v>
      </c>
      <c r="M18" s="516">
        <v>1.05</v>
      </c>
      <c r="N18" s="1381">
        <f t="shared" si="21"/>
        <v>4.3983754166666668E-3</v>
      </c>
      <c r="O18" s="439">
        <f t="shared" si="22"/>
        <v>1.1033750000000005E-4</v>
      </c>
      <c r="P18" s="4577">
        <f t="shared" si="23"/>
        <v>1.1585437500000005E-4</v>
      </c>
      <c r="Q18" s="1366">
        <v>177</v>
      </c>
      <c r="R18" s="1187">
        <f t="shared" si="19"/>
        <v>30</v>
      </c>
      <c r="S18" s="1118">
        <f t="shared" si="4"/>
        <v>0.03</v>
      </c>
      <c r="T18" s="1119">
        <f t="shared" si="5"/>
        <v>8.8270000000000037E-4</v>
      </c>
      <c r="U18" s="374">
        <f t="shared" si="6"/>
        <v>0</v>
      </c>
      <c r="V18" s="1120">
        <f t="shared" si="7"/>
        <v>0</v>
      </c>
      <c r="W18" s="376">
        <f t="shared" si="8"/>
        <v>0</v>
      </c>
      <c r="X18" s="377">
        <f t="shared" si="9"/>
        <v>0</v>
      </c>
      <c r="Y18" s="378">
        <f t="shared" si="10"/>
        <v>0</v>
      </c>
      <c r="Z18" s="1121">
        <f t="shared" si="11"/>
        <v>0</v>
      </c>
      <c r="AA18" s="1122">
        <f t="shared" si="12"/>
        <v>0.03</v>
      </c>
      <c r="AB18" s="225"/>
      <c r="AC18" s="231"/>
      <c r="AD18" s="231"/>
      <c r="AE18" s="231"/>
      <c r="AF18" s="231"/>
      <c r="AG18" s="231"/>
      <c r="AH18" s="231"/>
      <c r="AI18" s="225"/>
      <c r="AJ18" s="225"/>
      <c r="AK18" s="225"/>
      <c r="AL18" s="225"/>
      <c r="AM18" s="225"/>
      <c r="AN18" s="225"/>
    </row>
    <row r="19" spans="1:40" ht="14" thickBot="1">
      <c r="A19" s="1116"/>
      <c r="B19" s="1142"/>
      <c r="C19" s="335"/>
      <c r="D19" s="899"/>
      <c r="E19" s="336"/>
      <c r="F19" s="336"/>
      <c r="G19" s="336"/>
      <c r="H19" s="336"/>
      <c r="I19" s="336"/>
      <c r="J19" s="336"/>
      <c r="K19" s="336"/>
      <c r="L19" s="1378">
        <v>0.83054645017083562</v>
      </c>
      <c r="M19" s="448"/>
      <c r="N19" s="1379">
        <v>3.1935339059724517E-2</v>
      </c>
      <c r="O19" s="336">
        <f t="shared" si="18"/>
        <v>0</v>
      </c>
      <c r="P19" s="336"/>
      <c r="Q19" s="336"/>
      <c r="R19" s="363">
        <f>SUM(R13:R18)</f>
        <v>850</v>
      </c>
      <c r="S19" s="1118">
        <f t="shared" si="4"/>
        <v>0</v>
      </c>
      <c r="T19" s="1119">
        <f t="shared" si="5"/>
        <v>0</v>
      </c>
      <c r="U19" s="374">
        <f t="shared" si="6"/>
        <v>0</v>
      </c>
      <c r="V19" s="1120">
        <f t="shared" si="7"/>
        <v>0</v>
      </c>
      <c r="W19" s="376">
        <f t="shared" si="8"/>
        <v>0</v>
      </c>
      <c r="X19" s="377">
        <f t="shared" si="9"/>
        <v>0</v>
      </c>
      <c r="Y19" s="378">
        <f t="shared" si="10"/>
        <v>0</v>
      </c>
      <c r="Z19" s="1121">
        <f t="shared" si="11"/>
        <v>0</v>
      </c>
      <c r="AA19" s="1122">
        <f t="shared" si="12"/>
        <v>0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</row>
    <row r="20" spans="1:40" ht="17" thickTop="1">
      <c r="A20" s="204"/>
      <c r="B20" s="204"/>
      <c r="C20" s="1126"/>
      <c r="D20" s="1127"/>
      <c r="E20" s="1128"/>
      <c r="F20"/>
      <c r="G20" s="235"/>
      <c r="H20" s="235"/>
      <c r="I20" s="234"/>
      <c r="J20" s="235"/>
      <c r="K20" s="232"/>
      <c r="L20" s="997"/>
      <c r="M20" s="855" t="s">
        <v>210</v>
      </c>
      <c r="N20" s="854">
        <f>AB20*1000</f>
        <v>1700</v>
      </c>
      <c r="O20" s="235"/>
      <c r="P20" s="235" t="e">
        <f>O20*M20</f>
        <v>#VALUE!</v>
      </c>
      <c r="Q20" s="237"/>
      <c r="R20" s="236"/>
      <c r="S20" s="2433"/>
      <c r="T20" s="2434"/>
      <c r="U20" s="2435">
        <f t="shared" ref="U20:AA20" si="24">SUM(U6:U19)</f>
        <v>0.6</v>
      </c>
      <c r="V20" s="2435">
        <f t="shared" si="24"/>
        <v>0.8</v>
      </c>
      <c r="W20" s="2435">
        <f t="shared" si="24"/>
        <v>0</v>
      </c>
      <c r="X20" s="2435">
        <f t="shared" si="24"/>
        <v>0</v>
      </c>
      <c r="Y20" s="2435">
        <f t="shared" si="24"/>
        <v>0</v>
      </c>
      <c r="Z20" s="2435">
        <f t="shared" si="24"/>
        <v>0</v>
      </c>
      <c r="AA20" s="2435">
        <f t="shared" si="24"/>
        <v>0.30000000000000004</v>
      </c>
      <c r="AB20" s="565">
        <f>SUM(U20:AA20)</f>
        <v>1.7</v>
      </c>
      <c r="AC20" s="231">
        <v>0</v>
      </c>
      <c r="AD20" s="231">
        <v>0</v>
      </c>
      <c r="AE20" s="222"/>
      <c r="AF20" s="222"/>
      <c r="AG20" s="222"/>
      <c r="AH20" s="222"/>
      <c r="AI20" s="222"/>
    </row>
    <row r="21" spans="1:40" ht="20">
      <c r="A21" s="203" t="s">
        <v>1969</v>
      </c>
      <c r="B21" s="204"/>
      <c r="C21" s="1126"/>
      <c r="D21" s="1127"/>
      <c r="E21" s="1128"/>
      <c r="L21" s="2438"/>
      <c r="M21" s="2436"/>
      <c r="N21" s="2436"/>
      <c r="O21" s="2436"/>
      <c r="P21" s="2436"/>
      <c r="Q21" s="2436"/>
      <c r="R21" s="2436"/>
      <c r="S21" s="2436"/>
      <c r="T21" s="2436"/>
      <c r="U21" s="2439">
        <f>IF(U20&gt;0,U20,#REF!)</f>
        <v>0.6</v>
      </c>
      <c r="V21" s="2439">
        <f>IF(V20&gt;0,V20,#REF!)</f>
        <v>0.8</v>
      </c>
      <c r="W21" s="2439" t="e">
        <f>IF(W20&gt;0,W20,#REF!)</f>
        <v>#REF!</v>
      </c>
      <c r="X21" s="2439" t="e">
        <f>IF(X20&gt;0,X20,#REF!)</f>
        <v>#REF!</v>
      </c>
      <c r="Y21" s="2439" t="e">
        <f>IF(Y20&gt;0,Y20,#REF!)</f>
        <v>#REF!</v>
      </c>
      <c r="Z21" s="2439" t="e">
        <f>IF(Z20&gt;0,Z20,#REF!)</f>
        <v>#REF!</v>
      </c>
      <c r="AA21" s="2439">
        <f>IF(AA20&gt;0,AA20,#REF!)</f>
        <v>0.30000000000000004</v>
      </c>
      <c r="AB21" s="144"/>
      <c r="AC21" s="213"/>
      <c r="AD21" s="213"/>
      <c r="AE21" s="222"/>
      <c r="AF21" s="222"/>
      <c r="AG21" s="222"/>
      <c r="AH21" s="222"/>
      <c r="AI21" s="222"/>
      <c r="AJ21" s="213"/>
      <c r="AK21" s="213"/>
      <c r="AL21" s="213"/>
      <c r="AM21" s="213"/>
    </row>
    <row r="22" spans="1:40" s="245" customFormat="1" ht="14" thickBot="1">
      <c r="A22" s="2436"/>
      <c r="B22" s="2436"/>
      <c r="C22" s="2436"/>
      <c r="D22" s="2437"/>
      <c r="E22" s="2436"/>
      <c r="F22" s="2436"/>
      <c r="G22" s="2436"/>
      <c r="H22" s="2436"/>
      <c r="I22" s="2436"/>
      <c r="J22" s="2436"/>
      <c r="K22" s="2436"/>
      <c r="L22" s="2438"/>
      <c r="M22" s="2436"/>
      <c r="N22" s="2436"/>
      <c r="O22" s="2436"/>
      <c r="P22" s="2436"/>
      <c r="Q22" s="2436"/>
      <c r="R22" s="2436"/>
      <c r="S22" s="2436"/>
      <c r="T22" s="2436"/>
      <c r="U22" s="2439">
        <f t="shared" ref="U22:AA22" si="25">IF(U21&gt;0,U21,U20)</f>
        <v>0.6</v>
      </c>
      <c r="V22" s="2439">
        <f t="shared" si="25"/>
        <v>0.8</v>
      </c>
      <c r="W22" s="2439" t="e">
        <f t="shared" si="25"/>
        <v>#REF!</v>
      </c>
      <c r="X22" s="2439" t="e">
        <f t="shared" si="25"/>
        <v>#REF!</v>
      </c>
      <c r="Y22" s="2439" t="e">
        <f t="shared" si="25"/>
        <v>#REF!</v>
      </c>
      <c r="Z22" s="2439" t="e">
        <f t="shared" si="25"/>
        <v>#REF!</v>
      </c>
      <c r="AA22" s="2439">
        <f t="shared" si="25"/>
        <v>0.30000000000000004</v>
      </c>
      <c r="AB22" s="144"/>
      <c r="AC22" s="214"/>
      <c r="AD22" s="214"/>
      <c r="AE22" s="222"/>
      <c r="AF22" s="222"/>
      <c r="AG22" s="222"/>
      <c r="AH22" s="222"/>
      <c r="AI22" s="222"/>
      <c r="AJ22" s="214"/>
      <c r="AK22" s="214"/>
      <c r="AL22" s="214"/>
      <c r="AM22" s="214"/>
      <c r="AN22" s="244"/>
    </row>
    <row r="23" spans="1:40" ht="83" thickTop="1" thickBot="1">
      <c r="A23" s="351" t="s">
        <v>346</v>
      </c>
      <c r="B23" s="352" t="s">
        <v>347</v>
      </c>
      <c r="C23" s="353" t="s">
        <v>348</v>
      </c>
      <c r="D23" s="903"/>
      <c r="E23" s="353" t="s">
        <v>349</v>
      </c>
      <c r="F23" s="354" t="s">
        <v>350</v>
      </c>
      <c r="G23" s="350" t="s">
        <v>351</v>
      </c>
      <c r="H23" s="350" t="s">
        <v>624</v>
      </c>
      <c r="I23" s="350" t="s">
        <v>352</v>
      </c>
      <c r="J23" s="354" t="s">
        <v>353</v>
      </c>
      <c r="K23" s="350" t="s">
        <v>354</v>
      </c>
      <c r="L23" s="990" t="s">
        <v>711</v>
      </c>
      <c r="M23" s="1100" t="s">
        <v>355</v>
      </c>
      <c r="N23" s="350" t="s">
        <v>445</v>
      </c>
      <c r="O23" s="353" t="s">
        <v>446</v>
      </c>
      <c r="P23" s="1368" t="s">
        <v>916</v>
      </c>
      <c r="Q23" s="1368" t="s">
        <v>917</v>
      </c>
      <c r="R23" s="356" t="s">
        <v>371</v>
      </c>
      <c r="S23" s="219" t="s">
        <v>449</v>
      </c>
      <c r="T23" s="219" t="s">
        <v>450</v>
      </c>
      <c r="U23" s="326" t="s">
        <v>451</v>
      </c>
      <c r="V23" s="329" t="s">
        <v>452</v>
      </c>
      <c r="W23" s="327" t="s">
        <v>453</v>
      </c>
      <c r="X23" s="330" t="s">
        <v>454</v>
      </c>
      <c r="Y23" s="328" t="s">
        <v>455</v>
      </c>
      <c r="Z23" s="332" t="s">
        <v>456</v>
      </c>
      <c r="AA23" s="331" t="s">
        <v>457</v>
      </c>
      <c r="AB23" s="144"/>
      <c r="AE23" s="222"/>
      <c r="AF23" s="222"/>
      <c r="AG23" s="222"/>
      <c r="AH23" s="222"/>
      <c r="AI23" s="222"/>
    </row>
    <row r="24" spans="1:40" ht="14" thickBot="1">
      <c r="A24" s="1101"/>
      <c r="B24" s="1102"/>
      <c r="C24" s="1103"/>
      <c r="D24" s="1104"/>
      <c r="E24" s="1103"/>
      <c r="F24" s="360"/>
      <c r="G24" s="361"/>
      <c r="H24" s="361"/>
      <c r="I24" s="274">
        <v>2.7239243311571939E-4</v>
      </c>
      <c r="J24" s="360"/>
      <c r="K24" s="361"/>
      <c r="L24" s="991"/>
      <c r="M24" s="1105"/>
      <c r="N24" s="361"/>
      <c r="O24" s="1103"/>
      <c r="P24" s="1103"/>
      <c r="Q24" s="1103"/>
      <c r="R24" s="1106"/>
      <c r="S24" s="1107"/>
      <c r="T24" s="1107"/>
      <c r="U24" s="111">
        <f>Test!$D$29</f>
        <v>9.1523857526881758E-4</v>
      </c>
      <c r="V24" s="111">
        <f>Test!$D$31</f>
        <v>8.7635030864197572E-4</v>
      </c>
      <c r="W24" s="111">
        <f>Test!$D$33</f>
        <v>8.4888763197586746E-4</v>
      </c>
      <c r="X24" s="111">
        <f>Test!$D$35</f>
        <v>8.0990657955066516E-4</v>
      </c>
      <c r="Y24" s="111">
        <f>Test!$D$37</f>
        <v>7.5735749690210676E-4</v>
      </c>
      <c r="Z24" s="111">
        <f>Test!$D$39</f>
        <v>7.2916666666666692E-4</v>
      </c>
      <c r="AA24" s="112">
        <f>Test!$D$41</f>
        <v>7.0729166666666694E-4</v>
      </c>
      <c r="AB24" s="144"/>
    </row>
    <row r="25" spans="1:40" ht="14" thickTop="1">
      <c r="A25" s="1110"/>
      <c r="B25" s="1110"/>
      <c r="C25" s="1111"/>
      <c r="D25" s="1112"/>
      <c r="E25" s="1111"/>
      <c r="F25" s="624"/>
      <c r="G25" s="625"/>
      <c r="H25" s="625"/>
      <c r="I25" s="625"/>
      <c r="J25" s="624"/>
      <c r="K25" s="625"/>
      <c r="L25" s="992"/>
      <c r="M25" s="1113"/>
      <c r="N25" s="625"/>
      <c r="O25" s="1111"/>
      <c r="P25" s="1111"/>
      <c r="Q25" s="1111"/>
      <c r="R25" s="1114"/>
      <c r="S25" s="1115"/>
      <c r="T25" s="1115"/>
      <c r="U25" s="1108">
        <f>U24/4</f>
        <v>2.2880964381720439E-4</v>
      </c>
      <c r="V25" s="1108">
        <f t="shared" ref="V25:AA25" si="26">V24/4</f>
        <v>2.1908757716049393E-4</v>
      </c>
      <c r="W25" s="1108">
        <f t="shared" si="26"/>
        <v>2.1222190799396687E-4</v>
      </c>
      <c r="X25" s="1108">
        <f t="shared" si="26"/>
        <v>2.0247664488766629E-4</v>
      </c>
      <c r="Y25" s="1108">
        <f t="shared" si="26"/>
        <v>1.8933937422552669E-4</v>
      </c>
      <c r="Z25" s="1108">
        <f t="shared" si="26"/>
        <v>1.8229166666666673E-4</v>
      </c>
      <c r="AA25" s="1108">
        <f t="shared" si="26"/>
        <v>1.7682291666666674E-4</v>
      </c>
      <c r="AB25" s="144"/>
      <c r="AC25" s="221"/>
      <c r="AD25" s="222"/>
      <c r="AE25" s="222"/>
      <c r="AF25" s="222"/>
      <c r="AG25" s="222"/>
      <c r="AH25" s="222"/>
      <c r="AI25" s="220"/>
    </row>
    <row r="26" spans="1:40">
      <c r="A26" s="1116"/>
      <c r="B26" s="1142"/>
      <c r="C26" s="274">
        <f t="shared" ref="C26:C30" si="27">IF(D26=1,U$5,IF(D26=2,V$5,IF(D26=3,W$5,IF(D26=4,X$5,IF(D26=5,Y$5,IF(D26=6,Z$5,IF(D26=7,AA$5,0)))))))</f>
        <v>2.2880964381720439E-4</v>
      </c>
      <c r="D26" s="1029">
        <v>1</v>
      </c>
      <c r="E26" s="826">
        <v>1</v>
      </c>
      <c r="F26" s="826">
        <v>3</v>
      </c>
      <c r="G26" s="275">
        <v>100</v>
      </c>
      <c r="H26" s="276"/>
      <c r="I26" s="276">
        <v>1.1574074074074073E-4</v>
      </c>
      <c r="J26" s="276">
        <v>6.9444444444444447E-4</v>
      </c>
      <c r="K26" s="312" t="s">
        <v>24</v>
      </c>
      <c r="L26" s="1374">
        <v>0.79861111111111116</v>
      </c>
      <c r="M26" s="451">
        <v>0.9</v>
      </c>
      <c r="N26" s="1375">
        <v>3.90505592357911E-3</v>
      </c>
      <c r="O26" s="296">
        <f t="shared" ref="O26:O27" si="28">C26*(G26/25)</f>
        <v>9.1523857526881758E-4</v>
      </c>
      <c r="P26" s="548"/>
      <c r="Q26" s="548"/>
      <c r="R26" s="275">
        <f t="shared" ref="R26:R30" si="29">E26*F26*G26</f>
        <v>300</v>
      </c>
      <c r="S26" s="1118">
        <f>E26*F26*G26/1000</f>
        <v>0.3</v>
      </c>
      <c r="T26" s="1119">
        <f>E26*F26*O26*4</f>
        <v>1.0982862903225811E-2</v>
      </c>
      <c r="U26" s="374">
        <f>IF(C26*4&gt;=$U$4,S26,0)</f>
        <v>0.3</v>
      </c>
      <c r="V26" s="1120">
        <f>IF(AND(C26*4&gt;=$V$4,C26*4&lt;$U$4),S26,0)</f>
        <v>0</v>
      </c>
      <c r="W26" s="376">
        <f>IF(AND(C26*4&gt;=$W$4,C26*4&lt;$V$4),S26,0)</f>
        <v>0</v>
      </c>
      <c r="X26" s="377">
        <f>IF(AND(C26*4&gt;=$X$4,C26*4&lt;$W$4),S26,0)</f>
        <v>0</v>
      </c>
      <c r="Y26" s="378">
        <f>IF(AND(C26*4&gt;=$Y$4,C26*4&lt;$X$4),S26,0)</f>
        <v>0</v>
      </c>
      <c r="Z26" s="1121">
        <f>IF(AND(C26*4&gt;=$Z$4,C26*4&lt;$Y$4),S26,0)</f>
        <v>0</v>
      </c>
      <c r="AA26" s="1122">
        <f>IF(AND(C26*4&gt;=$AA$4,C26*4&lt;$Z$4),S26,0)</f>
        <v>0</v>
      </c>
      <c r="AB26" s="144"/>
      <c r="AC26" s="231" t="s">
        <v>193</v>
      </c>
      <c r="AD26" s="227"/>
      <c r="AE26" s="227"/>
      <c r="AF26" s="227"/>
      <c r="AG26" s="227"/>
      <c r="AH26" s="227"/>
      <c r="AI26" s="225"/>
    </row>
    <row r="27" spans="1:40">
      <c r="A27" s="1116"/>
      <c r="B27" s="1142"/>
      <c r="C27" s="274">
        <f t="shared" si="27"/>
        <v>2.1908757716049393E-4</v>
      </c>
      <c r="D27" s="1302">
        <v>2</v>
      </c>
      <c r="E27" s="4575">
        <v>2</v>
      </c>
      <c r="F27" s="1303">
        <v>1</v>
      </c>
      <c r="G27" s="300">
        <v>200</v>
      </c>
      <c r="H27" s="301"/>
      <c r="I27" s="301">
        <v>1.7361111111111112E-4</v>
      </c>
      <c r="J27" s="301">
        <v>2.3148148148148146E-4</v>
      </c>
      <c r="K27" s="1123" t="s">
        <v>724</v>
      </c>
      <c r="L27" s="1376">
        <v>0.80251616703469031</v>
      </c>
      <c r="M27" s="455">
        <v>1.3</v>
      </c>
      <c r="N27" s="1377">
        <v>6.0905435528120725E-3</v>
      </c>
      <c r="O27" s="302">
        <f t="shared" si="28"/>
        <v>1.7527006172839514E-3</v>
      </c>
      <c r="P27" s="550"/>
      <c r="Q27" s="550"/>
      <c r="R27" s="369">
        <f t="shared" si="29"/>
        <v>400</v>
      </c>
      <c r="S27" s="1118">
        <f t="shared" ref="S27:S38" si="30">E27*F27*G27/1000</f>
        <v>0.4</v>
      </c>
      <c r="T27" s="1119">
        <f t="shared" ref="T27:T38" si="31">E27*F27*O27*4</f>
        <v>1.4021604938271611E-2</v>
      </c>
      <c r="U27" s="374">
        <f t="shared" ref="U27:U38" si="32">IF(C27*4&gt;=$U$4,S27,0)</f>
        <v>0</v>
      </c>
      <c r="V27" s="1120">
        <f t="shared" ref="V27:V38" si="33">IF(AND(C27*4&gt;=$V$4,C27*4&lt;$U$4),S27,0)</f>
        <v>0.4</v>
      </c>
      <c r="W27" s="376">
        <f t="shared" ref="W27:W38" si="34">IF(AND(C27*4&gt;=$W$4,C27*4&lt;$V$4),S27,0)</f>
        <v>0</v>
      </c>
      <c r="X27" s="377">
        <f t="shared" ref="X27:X38" si="35">IF(AND(C27*4&gt;=$X$4,C27*4&lt;$W$4),S27,0)</f>
        <v>0</v>
      </c>
      <c r="Y27" s="378">
        <f t="shared" ref="Y27:Y38" si="36">IF(AND(C27*4&gt;=$Y$4,C27*4&lt;$X$4),S27,0)</f>
        <v>0</v>
      </c>
      <c r="Z27" s="1121">
        <f t="shared" ref="Z27:Z38" si="37">IF(AND(C27*4&gt;=$Z$4,C27*4&lt;$Y$4),S27,0)</f>
        <v>0</v>
      </c>
      <c r="AA27" s="1122">
        <f t="shared" ref="AA27:AA38" si="38">IF(AND(C27*4&gt;=$AA$4,C27*4&lt;$Z$4),S27,0)</f>
        <v>0</v>
      </c>
      <c r="AB27" s="144"/>
      <c r="AC27" s="231">
        <v>0</v>
      </c>
      <c r="AD27" s="231">
        <v>0</v>
      </c>
      <c r="AE27" s="231">
        <v>0</v>
      </c>
      <c r="AF27" s="231">
        <v>0</v>
      </c>
      <c r="AG27" s="231">
        <v>0</v>
      </c>
      <c r="AH27" s="231">
        <v>0</v>
      </c>
      <c r="AI27" s="225"/>
    </row>
    <row r="28" spans="1:40">
      <c r="A28" s="1116"/>
      <c r="B28" s="1142"/>
      <c r="C28" s="274">
        <f t="shared" si="27"/>
        <v>1.7682291666666674E-4</v>
      </c>
      <c r="D28" s="4578">
        <v>7</v>
      </c>
      <c r="E28" s="4591">
        <v>5</v>
      </c>
      <c r="F28" s="4579">
        <v>5</v>
      </c>
      <c r="G28" s="4580">
        <v>35</v>
      </c>
      <c r="H28" s="4560"/>
      <c r="I28" s="4560">
        <v>4.0509259259259258E-4</v>
      </c>
      <c r="J28" s="4581">
        <v>0</v>
      </c>
      <c r="K28" s="4582" t="s">
        <v>1970</v>
      </c>
      <c r="L28" s="4583">
        <f t="shared" ref="L28:L30" si="39">L27+N27</f>
        <v>0.80860671058750233</v>
      </c>
      <c r="M28" s="4584">
        <v>1.05</v>
      </c>
      <c r="N28" s="4585">
        <f t="shared" ref="N28:N30" si="40">P28*E28*F28+I28*E28*F28+J28*E28</f>
        <v>1.6885486689814818E-2</v>
      </c>
      <c r="O28" s="4586">
        <f>C28*(G28/25)*1.04</f>
        <v>2.5745416666666675E-4</v>
      </c>
      <c r="P28" s="4587">
        <f t="shared" ref="P28:P30" si="41">O28*M28</f>
        <v>2.7032687500000012E-4</v>
      </c>
      <c r="Q28" s="4588">
        <v>177</v>
      </c>
      <c r="R28" s="4582">
        <f t="shared" si="29"/>
        <v>875</v>
      </c>
      <c r="S28" s="1118">
        <f t="shared" si="30"/>
        <v>0.875</v>
      </c>
      <c r="T28" s="1119">
        <f t="shared" si="31"/>
        <v>2.5745416666666673E-2</v>
      </c>
      <c r="U28" s="374">
        <f t="shared" si="32"/>
        <v>0</v>
      </c>
      <c r="V28" s="1120">
        <f t="shared" si="33"/>
        <v>0</v>
      </c>
      <c r="W28" s="376">
        <f t="shared" si="34"/>
        <v>0</v>
      </c>
      <c r="X28" s="377">
        <f t="shared" si="35"/>
        <v>0</v>
      </c>
      <c r="Y28" s="378">
        <f t="shared" si="36"/>
        <v>0</v>
      </c>
      <c r="Z28" s="1121">
        <f t="shared" si="37"/>
        <v>0</v>
      </c>
      <c r="AA28" s="1122">
        <f t="shared" si="38"/>
        <v>0.875</v>
      </c>
      <c r="AB28" s="144"/>
      <c r="AC28" s="231"/>
      <c r="AD28" s="231"/>
      <c r="AE28" s="231"/>
      <c r="AF28" s="231"/>
      <c r="AG28" s="231"/>
      <c r="AH28" s="231"/>
      <c r="AI28" s="225"/>
    </row>
    <row r="29" spans="1:40" ht="16">
      <c r="A29" s="1116"/>
      <c r="B29" s="1142">
        <v>1</v>
      </c>
      <c r="C29" s="274">
        <f t="shared" si="27"/>
        <v>1.7682291666666674E-4</v>
      </c>
      <c r="D29" s="4578">
        <v>7</v>
      </c>
      <c r="E29" s="4592">
        <v>5</v>
      </c>
      <c r="F29" s="4579">
        <v>3</v>
      </c>
      <c r="G29" s="4589">
        <v>12.5</v>
      </c>
      <c r="H29" s="4560"/>
      <c r="I29" s="4560">
        <v>3.4722222222222224E-4</v>
      </c>
      <c r="J29" s="4581">
        <v>0</v>
      </c>
      <c r="K29" s="4582" t="s">
        <v>1971</v>
      </c>
      <c r="L29" s="4583">
        <f t="shared" si="39"/>
        <v>0.82549219727731715</v>
      </c>
      <c r="M29" s="4584">
        <v>1.05</v>
      </c>
      <c r="N29" s="4585">
        <f t="shared" si="40"/>
        <v>6.6565130208333344E-3</v>
      </c>
      <c r="O29" s="4586">
        <f>C29*(G29/25)*1.04</f>
        <v>9.1947916666666705E-5</v>
      </c>
      <c r="P29" s="4587">
        <f t="shared" si="41"/>
        <v>9.6545312500000044E-5</v>
      </c>
      <c r="Q29" s="4588">
        <v>177</v>
      </c>
      <c r="R29" s="4582">
        <f t="shared" si="29"/>
        <v>187.5</v>
      </c>
      <c r="S29" s="1118">
        <f t="shared" si="30"/>
        <v>0.1875</v>
      </c>
      <c r="T29" s="1119">
        <f t="shared" si="31"/>
        <v>5.5168750000000027E-3</v>
      </c>
      <c r="U29" s="374">
        <f t="shared" si="32"/>
        <v>0</v>
      </c>
      <c r="V29" s="1120">
        <f t="shared" si="33"/>
        <v>0</v>
      </c>
      <c r="W29" s="376">
        <f t="shared" si="34"/>
        <v>0</v>
      </c>
      <c r="X29" s="377">
        <f t="shared" si="35"/>
        <v>0</v>
      </c>
      <c r="Y29" s="378">
        <f t="shared" si="36"/>
        <v>0</v>
      </c>
      <c r="Z29" s="1121">
        <f t="shared" si="37"/>
        <v>0</v>
      </c>
      <c r="AA29" s="1122">
        <f t="shared" si="38"/>
        <v>0.1875</v>
      </c>
      <c r="AB29" s="144"/>
      <c r="AC29" s="231"/>
      <c r="AD29" s="231"/>
      <c r="AE29" s="231"/>
      <c r="AF29" s="231"/>
      <c r="AG29" s="231"/>
      <c r="AH29" s="231"/>
      <c r="AI29" s="225"/>
    </row>
    <row r="30" spans="1:40">
      <c r="A30" s="1116"/>
      <c r="B30" s="1142"/>
      <c r="C30" s="274">
        <f t="shared" si="27"/>
        <v>1.7682291666666674E-4</v>
      </c>
      <c r="D30" s="4578">
        <v>7</v>
      </c>
      <c r="E30" s="4590">
        <v>5</v>
      </c>
      <c r="F30" s="4579">
        <v>1</v>
      </c>
      <c r="G30" s="4580">
        <v>15</v>
      </c>
      <c r="H30" s="4560"/>
      <c r="I30" s="4560">
        <v>2.0833333333333333E-3</v>
      </c>
      <c r="J30" s="4581">
        <v>3.472222222222222E-3</v>
      </c>
      <c r="K30" s="4582" t="s">
        <v>1972</v>
      </c>
      <c r="L30" s="4583">
        <f t="shared" si="39"/>
        <v>0.83214871029815052</v>
      </c>
      <c r="M30" s="4584">
        <v>1.05</v>
      </c>
      <c r="N30" s="4585">
        <f t="shared" si="40"/>
        <v>2.8357049652777779E-2</v>
      </c>
      <c r="O30" s="4586">
        <f>C30*(G30/25)*1.04</f>
        <v>1.1033750000000005E-4</v>
      </c>
      <c r="P30" s="4587">
        <f t="shared" si="41"/>
        <v>1.1585437500000005E-4</v>
      </c>
      <c r="Q30" s="4588">
        <v>177</v>
      </c>
      <c r="R30" s="4582">
        <f t="shared" si="29"/>
        <v>75</v>
      </c>
      <c r="S30" s="1118">
        <f t="shared" si="30"/>
        <v>7.4999999999999997E-2</v>
      </c>
      <c r="T30" s="1119">
        <f t="shared" si="31"/>
        <v>2.2067500000000008E-3</v>
      </c>
      <c r="U30" s="374">
        <f t="shared" si="32"/>
        <v>0</v>
      </c>
      <c r="V30" s="1120">
        <f t="shared" si="33"/>
        <v>0</v>
      </c>
      <c r="W30" s="376">
        <f t="shared" si="34"/>
        <v>0</v>
      </c>
      <c r="X30" s="377">
        <f t="shared" si="35"/>
        <v>0</v>
      </c>
      <c r="Y30" s="378">
        <f t="shared" si="36"/>
        <v>0</v>
      </c>
      <c r="Z30" s="1121">
        <f t="shared" si="37"/>
        <v>0</v>
      </c>
      <c r="AA30" s="1122">
        <f t="shared" si="38"/>
        <v>7.4999999999999997E-2</v>
      </c>
      <c r="AB30" s="144"/>
      <c r="AC30" s="231">
        <v>0</v>
      </c>
      <c r="AD30" s="231">
        <v>0</v>
      </c>
      <c r="AE30" s="231">
        <v>0</v>
      </c>
      <c r="AF30" s="231">
        <v>0</v>
      </c>
      <c r="AG30" s="231">
        <v>0</v>
      </c>
      <c r="AH30" s="231">
        <v>0</v>
      </c>
      <c r="AI30" s="225"/>
    </row>
    <row r="31" spans="1:40">
      <c r="A31" s="1116"/>
      <c r="B31" s="1142"/>
      <c r="C31" s="335"/>
      <c r="D31" s="899"/>
      <c r="E31" s="336"/>
      <c r="F31" s="336"/>
      <c r="G31" s="336"/>
      <c r="H31" s="336"/>
      <c r="I31" s="336"/>
      <c r="J31" s="336"/>
      <c r="K31" s="336" t="s">
        <v>1973</v>
      </c>
      <c r="L31" s="1378">
        <f>L30+N30</f>
        <v>0.86050575995092826</v>
      </c>
      <c r="M31" s="448"/>
      <c r="N31" s="1379"/>
      <c r="O31" s="336">
        <f t="shared" ref="O31:O38" si="42">C31*(G31/25)</f>
        <v>0</v>
      </c>
      <c r="P31" s="336">
        <f>SUM(P28:P30)</f>
        <v>4.8272656250000025E-4</v>
      </c>
      <c r="Q31" s="336">
        <f>SUM(Q28:Q30)</f>
        <v>531</v>
      </c>
      <c r="R31" s="363">
        <f>SUM(R26:R30)</f>
        <v>1837.5</v>
      </c>
      <c r="S31" s="1118">
        <f t="shared" si="30"/>
        <v>0</v>
      </c>
      <c r="T31" s="1119">
        <f t="shared" si="31"/>
        <v>0</v>
      </c>
      <c r="U31" s="374">
        <f t="shared" si="32"/>
        <v>0</v>
      </c>
      <c r="V31" s="1120">
        <f t="shared" si="33"/>
        <v>0</v>
      </c>
      <c r="W31" s="376">
        <f t="shared" si="34"/>
        <v>0</v>
      </c>
      <c r="X31" s="377">
        <f t="shared" si="35"/>
        <v>0</v>
      </c>
      <c r="Y31" s="378">
        <f t="shared" si="36"/>
        <v>0</v>
      </c>
      <c r="Z31" s="1121">
        <f t="shared" si="37"/>
        <v>0</v>
      </c>
      <c r="AA31" s="1122">
        <f t="shared" si="38"/>
        <v>0</v>
      </c>
      <c r="AB31" s="144"/>
      <c r="AC31" s="231"/>
      <c r="AD31" s="231"/>
      <c r="AE31" s="231"/>
      <c r="AF31" s="231"/>
      <c r="AG31" s="231"/>
      <c r="AH31" s="231"/>
      <c r="AI31" s="213"/>
    </row>
    <row r="32" spans="1:40">
      <c r="A32" s="1116"/>
      <c r="B32" s="1142"/>
      <c r="C32" s="274">
        <f t="shared" ref="C32:C36" si="43">IF(D32=1,U$5,IF(D32=2,V$5,IF(D32=3,W$5,IF(D32=4,X$5,IF(D32=5,Y$5,IF(D32=6,Z$5,IF(D32=7,AA$5,0)))))))</f>
        <v>2.2880964381720439E-4</v>
      </c>
      <c r="D32" s="1029">
        <v>1</v>
      </c>
      <c r="E32" s="826">
        <v>1</v>
      </c>
      <c r="F32" s="826">
        <v>3</v>
      </c>
      <c r="G32" s="275">
        <v>100</v>
      </c>
      <c r="H32" s="276"/>
      <c r="I32" s="276">
        <v>1.1574074074074073E-4</v>
      </c>
      <c r="J32" s="276">
        <v>6.9444444444444447E-4</v>
      </c>
      <c r="K32" s="312" t="s">
        <v>24</v>
      </c>
      <c r="L32" s="1374">
        <v>0.79861111111111116</v>
      </c>
      <c r="M32" s="451">
        <v>0.9</v>
      </c>
      <c r="N32" s="1375">
        <v>3.90505592357911E-3</v>
      </c>
      <c r="O32" s="296">
        <f t="shared" si="42"/>
        <v>9.1523857526881758E-4</v>
      </c>
      <c r="P32" s="548"/>
      <c r="Q32" s="548"/>
      <c r="R32" s="275">
        <f t="shared" ref="R32:R36" si="44">E32*F32*G32</f>
        <v>300</v>
      </c>
      <c r="S32" s="1118">
        <f t="shared" si="30"/>
        <v>0.3</v>
      </c>
      <c r="T32" s="1119">
        <f t="shared" si="31"/>
        <v>1.0982862903225811E-2</v>
      </c>
      <c r="U32" s="374">
        <f t="shared" si="32"/>
        <v>0.3</v>
      </c>
      <c r="V32" s="1120">
        <f t="shared" si="33"/>
        <v>0</v>
      </c>
      <c r="W32" s="376">
        <f t="shared" si="34"/>
        <v>0</v>
      </c>
      <c r="X32" s="377">
        <f t="shared" si="35"/>
        <v>0</v>
      </c>
      <c r="Y32" s="378">
        <f t="shared" si="36"/>
        <v>0</v>
      </c>
      <c r="Z32" s="1121">
        <f t="shared" si="37"/>
        <v>0</v>
      </c>
      <c r="AA32" s="1122">
        <f t="shared" si="38"/>
        <v>0</v>
      </c>
      <c r="AB32" s="144"/>
      <c r="AC32" s="231"/>
      <c r="AD32" s="231"/>
      <c r="AE32" s="231"/>
      <c r="AF32" s="231"/>
      <c r="AG32" s="231"/>
      <c r="AH32" s="231"/>
      <c r="AI32" s="213"/>
      <c r="AJ32" s="204"/>
      <c r="AK32" s="204"/>
      <c r="AL32" s="204"/>
      <c r="AM32" s="204"/>
      <c r="AN32" s="204"/>
    </row>
    <row r="33" spans="1:40">
      <c r="A33" s="1116"/>
      <c r="B33" s="1142"/>
      <c r="C33" s="274">
        <f t="shared" si="43"/>
        <v>2.1908757716049393E-4</v>
      </c>
      <c r="D33" s="1302">
        <v>2</v>
      </c>
      <c r="E33" s="4575">
        <v>2</v>
      </c>
      <c r="F33" s="1303">
        <v>1</v>
      </c>
      <c r="G33" s="300">
        <v>200</v>
      </c>
      <c r="H33" s="301"/>
      <c r="I33" s="301">
        <v>1.7361111111111112E-4</v>
      </c>
      <c r="J33" s="301">
        <v>2.3148148148148146E-4</v>
      </c>
      <c r="K33" s="1123" t="s">
        <v>724</v>
      </c>
      <c r="L33" s="1376">
        <v>0.80251616703469031</v>
      </c>
      <c r="M33" s="455">
        <v>1.3</v>
      </c>
      <c r="N33" s="1377">
        <v>6.0905435528120725E-3</v>
      </c>
      <c r="O33" s="302">
        <f t="shared" si="42"/>
        <v>1.7527006172839514E-3</v>
      </c>
      <c r="P33" s="550"/>
      <c r="Q33" s="550"/>
      <c r="R33" s="369">
        <f t="shared" si="44"/>
        <v>400</v>
      </c>
      <c r="S33" s="1118">
        <f t="shared" si="30"/>
        <v>0.4</v>
      </c>
      <c r="T33" s="1119">
        <f t="shared" si="31"/>
        <v>1.4021604938271611E-2</v>
      </c>
      <c r="U33" s="374">
        <f t="shared" si="32"/>
        <v>0</v>
      </c>
      <c r="V33" s="1120">
        <f t="shared" si="33"/>
        <v>0.4</v>
      </c>
      <c r="W33" s="376">
        <f t="shared" si="34"/>
        <v>0</v>
      </c>
      <c r="X33" s="377">
        <f t="shared" si="35"/>
        <v>0</v>
      </c>
      <c r="Y33" s="378">
        <f t="shared" si="36"/>
        <v>0</v>
      </c>
      <c r="Z33" s="1121">
        <f t="shared" si="37"/>
        <v>0</v>
      </c>
      <c r="AA33" s="1122">
        <f t="shared" si="38"/>
        <v>0</v>
      </c>
      <c r="AB33" s="144"/>
      <c r="AC33" s="231">
        <v>0</v>
      </c>
      <c r="AD33" s="231">
        <v>0</v>
      </c>
      <c r="AE33" s="231">
        <v>0</v>
      </c>
      <c r="AF33" s="231">
        <v>0</v>
      </c>
      <c r="AG33" s="231">
        <v>0</v>
      </c>
      <c r="AH33" s="231">
        <v>0</v>
      </c>
      <c r="AI33" s="213"/>
      <c r="AJ33" s="204"/>
      <c r="AK33" s="204"/>
      <c r="AL33" s="204"/>
      <c r="AM33" s="204"/>
      <c r="AN33" s="204"/>
    </row>
    <row r="34" spans="1:40">
      <c r="A34" s="1116"/>
      <c r="B34" s="1142"/>
      <c r="C34" s="274">
        <f t="shared" si="43"/>
        <v>1.7682291666666674E-4</v>
      </c>
      <c r="D34" s="4578">
        <v>7</v>
      </c>
      <c r="E34" s="4591">
        <v>5</v>
      </c>
      <c r="F34" s="4579">
        <v>5</v>
      </c>
      <c r="G34" s="4580">
        <v>35</v>
      </c>
      <c r="H34" s="4560"/>
      <c r="I34" s="4560">
        <v>4.0509259259259258E-4</v>
      </c>
      <c r="J34" s="4581">
        <v>0</v>
      </c>
      <c r="K34" s="4582" t="s">
        <v>1970</v>
      </c>
      <c r="L34" s="4583">
        <f t="shared" ref="L34:L36" si="45">L33+N33</f>
        <v>0.80860671058750233</v>
      </c>
      <c r="M34" s="4584">
        <v>1.05</v>
      </c>
      <c r="N34" s="4585">
        <f t="shared" ref="N34:N36" si="46">P34*E34*F34+I34*E34*F34+J34*E34</f>
        <v>1.6885486689814818E-2</v>
      </c>
      <c r="O34" s="4586">
        <f>C34*(G34/25)*1.04</f>
        <v>2.5745416666666675E-4</v>
      </c>
      <c r="P34" s="4587">
        <f t="shared" ref="P34:P36" si="47">O34*M34</f>
        <v>2.7032687500000012E-4</v>
      </c>
      <c r="Q34" s="4588">
        <v>177</v>
      </c>
      <c r="R34" s="4582">
        <f t="shared" si="44"/>
        <v>875</v>
      </c>
      <c r="S34" s="1118">
        <f t="shared" si="30"/>
        <v>0.875</v>
      </c>
      <c r="T34" s="1119">
        <f t="shared" si="31"/>
        <v>2.5745416666666673E-2</v>
      </c>
      <c r="U34" s="374">
        <f t="shared" si="32"/>
        <v>0</v>
      </c>
      <c r="V34" s="1120">
        <f t="shared" si="33"/>
        <v>0</v>
      </c>
      <c r="W34" s="376">
        <f t="shared" si="34"/>
        <v>0</v>
      </c>
      <c r="X34" s="377">
        <f t="shared" si="35"/>
        <v>0</v>
      </c>
      <c r="Y34" s="378">
        <f t="shared" si="36"/>
        <v>0</v>
      </c>
      <c r="Z34" s="1121">
        <f t="shared" si="37"/>
        <v>0</v>
      </c>
      <c r="AA34" s="1122">
        <f t="shared" si="38"/>
        <v>0.875</v>
      </c>
      <c r="AB34" s="144"/>
      <c r="AC34" s="231">
        <v>0</v>
      </c>
      <c r="AD34" s="231">
        <v>0</v>
      </c>
      <c r="AE34" s="231">
        <v>0</v>
      </c>
      <c r="AF34" s="231">
        <v>0</v>
      </c>
      <c r="AG34" s="231">
        <v>0</v>
      </c>
      <c r="AH34" s="231">
        <v>0</v>
      </c>
      <c r="AI34" s="213"/>
      <c r="AJ34" s="204"/>
      <c r="AK34" s="204"/>
      <c r="AL34" s="204"/>
      <c r="AM34" s="204"/>
      <c r="AN34" s="204"/>
    </row>
    <row r="35" spans="1:40" ht="16">
      <c r="A35" s="1116"/>
      <c r="B35" s="1142">
        <v>2</v>
      </c>
      <c r="C35" s="274">
        <f t="shared" si="43"/>
        <v>1.7682291666666674E-4</v>
      </c>
      <c r="D35" s="4578">
        <v>7</v>
      </c>
      <c r="E35" s="4592">
        <v>5</v>
      </c>
      <c r="F35" s="4579">
        <v>3</v>
      </c>
      <c r="G35" s="4589">
        <v>12.5</v>
      </c>
      <c r="H35" s="4560"/>
      <c r="I35" s="4560">
        <v>3.4722222222222224E-4</v>
      </c>
      <c r="J35" s="4581">
        <v>0</v>
      </c>
      <c r="K35" s="4582" t="s">
        <v>1971</v>
      </c>
      <c r="L35" s="4583">
        <f t="shared" si="45"/>
        <v>0.82549219727731715</v>
      </c>
      <c r="M35" s="4584">
        <v>1.05</v>
      </c>
      <c r="N35" s="4585">
        <f t="shared" si="46"/>
        <v>6.6565130208333344E-3</v>
      </c>
      <c r="O35" s="4586">
        <f>C35*(G35/25)*1.04</f>
        <v>9.1947916666666705E-5</v>
      </c>
      <c r="P35" s="4587">
        <f t="shared" si="47"/>
        <v>9.6545312500000044E-5</v>
      </c>
      <c r="Q35" s="4588">
        <v>177</v>
      </c>
      <c r="R35" s="4582">
        <f t="shared" si="44"/>
        <v>187.5</v>
      </c>
      <c r="S35" s="1118">
        <f t="shared" si="30"/>
        <v>0.1875</v>
      </c>
      <c r="T35" s="1119">
        <f t="shared" si="31"/>
        <v>5.5168750000000027E-3</v>
      </c>
      <c r="U35" s="374">
        <f t="shared" si="32"/>
        <v>0</v>
      </c>
      <c r="V35" s="1120">
        <f t="shared" si="33"/>
        <v>0</v>
      </c>
      <c r="W35" s="376">
        <f t="shared" si="34"/>
        <v>0</v>
      </c>
      <c r="X35" s="377">
        <f t="shared" si="35"/>
        <v>0</v>
      </c>
      <c r="Y35" s="378">
        <f t="shared" si="36"/>
        <v>0</v>
      </c>
      <c r="Z35" s="1121">
        <f t="shared" si="37"/>
        <v>0</v>
      </c>
      <c r="AA35" s="1122">
        <f t="shared" si="38"/>
        <v>0.1875</v>
      </c>
      <c r="AB35" s="144"/>
      <c r="AC35" s="231">
        <v>0</v>
      </c>
      <c r="AD35" s="231">
        <v>0</v>
      </c>
      <c r="AE35" s="231">
        <v>0</v>
      </c>
      <c r="AF35" s="231">
        <v>0</v>
      </c>
      <c r="AG35" s="231">
        <v>0</v>
      </c>
      <c r="AH35" s="231">
        <v>0</v>
      </c>
      <c r="AI35" s="213"/>
      <c r="AJ35" s="204"/>
      <c r="AK35" s="204"/>
      <c r="AL35" s="204"/>
      <c r="AM35" s="204"/>
      <c r="AN35" s="204"/>
    </row>
    <row r="36" spans="1:40">
      <c r="A36" s="1116"/>
      <c r="B36" s="1142"/>
      <c r="C36" s="274">
        <f t="shared" si="43"/>
        <v>1.7682291666666674E-4</v>
      </c>
      <c r="D36" s="4578">
        <v>7</v>
      </c>
      <c r="E36" s="4590">
        <v>5</v>
      </c>
      <c r="F36" s="4579">
        <v>1</v>
      </c>
      <c r="G36" s="4580">
        <v>15</v>
      </c>
      <c r="H36" s="4560"/>
      <c r="I36" s="4560">
        <v>2.0833333333333333E-3</v>
      </c>
      <c r="J36" s="4581">
        <v>3.472222222222222E-3</v>
      </c>
      <c r="K36" s="4582" t="s">
        <v>1972</v>
      </c>
      <c r="L36" s="4583">
        <f t="shared" si="45"/>
        <v>0.83214871029815052</v>
      </c>
      <c r="M36" s="4584">
        <v>1.05</v>
      </c>
      <c r="N36" s="4585">
        <f t="shared" si="46"/>
        <v>2.8357049652777779E-2</v>
      </c>
      <c r="O36" s="4586">
        <f>C36*(G36/25)*1.04</f>
        <v>1.1033750000000005E-4</v>
      </c>
      <c r="P36" s="4587">
        <f t="shared" si="47"/>
        <v>1.1585437500000005E-4</v>
      </c>
      <c r="Q36" s="4588">
        <v>177</v>
      </c>
      <c r="R36" s="4582">
        <f t="shared" si="44"/>
        <v>75</v>
      </c>
      <c r="S36" s="1118">
        <f t="shared" si="30"/>
        <v>7.4999999999999997E-2</v>
      </c>
      <c r="T36" s="1119">
        <f t="shared" si="31"/>
        <v>2.2067500000000008E-3</v>
      </c>
      <c r="U36" s="374">
        <f t="shared" si="32"/>
        <v>0</v>
      </c>
      <c r="V36" s="1120">
        <f t="shared" si="33"/>
        <v>0</v>
      </c>
      <c r="W36" s="376">
        <f t="shared" si="34"/>
        <v>0</v>
      </c>
      <c r="X36" s="377">
        <f t="shared" si="35"/>
        <v>0</v>
      </c>
      <c r="Y36" s="378">
        <f t="shared" si="36"/>
        <v>0</v>
      </c>
      <c r="Z36" s="1121">
        <f t="shared" si="37"/>
        <v>0</v>
      </c>
      <c r="AA36" s="1122">
        <f t="shared" si="38"/>
        <v>7.4999999999999997E-2</v>
      </c>
      <c r="AB36" s="144"/>
      <c r="AC36" s="231">
        <v>0</v>
      </c>
      <c r="AD36" s="231">
        <v>0</v>
      </c>
      <c r="AE36" s="231">
        <v>0</v>
      </c>
      <c r="AF36" s="231">
        <v>0</v>
      </c>
      <c r="AG36" s="231">
        <v>0</v>
      </c>
      <c r="AH36" s="231">
        <v>0</v>
      </c>
      <c r="AI36" s="213"/>
      <c r="AJ36" s="204"/>
      <c r="AK36" s="204"/>
      <c r="AL36" s="204"/>
      <c r="AM36" s="204"/>
      <c r="AN36" s="204"/>
    </row>
    <row r="37" spans="1:40">
      <c r="A37" s="1116"/>
      <c r="B37" s="1142"/>
      <c r="C37" s="335"/>
      <c r="D37" s="899"/>
      <c r="E37" s="336"/>
      <c r="F37" s="336"/>
      <c r="G37" s="336"/>
      <c r="H37" s="336"/>
      <c r="I37" s="336"/>
      <c r="J37" s="336"/>
      <c r="K37" s="336" t="s">
        <v>1974</v>
      </c>
      <c r="L37" s="1378">
        <f>L36+N36</f>
        <v>0.86050575995092826</v>
      </c>
      <c r="M37" s="448"/>
      <c r="N37" s="1379"/>
      <c r="O37" s="336">
        <f t="shared" ref="O37" si="48">C37*(G37/25)</f>
        <v>0</v>
      </c>
      <c r="P37" s="336">
        <f>SUM(P34:P36)</f>
        <v>4.8272656250000025E-4</v>
      </c>
      <c r="Q37" s="336">
        <f>SUM(Q34:Q36)</f>
        <v>531</v>
      </c>
      <c r="R37" s="363">
        <f>SUM(R32:R36)</f>
        <v>1837.5</v>
      </c>
      <c r="S37" s="1118">
        <f t="shared" si="30"/>
        <v>0</v>
      </c>
      <c r="T37" s="1119">
        <f t="shared" si="31"/>
        <v>0</v>
      </c>
      <c r="U37" s="374">
        <f t="shared" si="32"/>
        <v>0</v>
      </c>
      <c r="V37" s="1120">
        <f t="shared" si="33"/>
        <v>0</v>
      </c>
      <c r="W37" s="376">
        <f t="shared" si="34"/>
        <v>0</v>
      </c>
      <c r="X37" s="377">
        <f t="shared" si="35"/>
        <v>0</v>
      </c>
      <c r="Y37" s="378">
        <f t="shared" si="36"/>
        <v>0</v>
      </c>
      <c r="Z37" s="1121">
        <f t="shared" si="37"/>
        <v>0</v>
      </c>
      <c r="AA37" s="1122">
        <f t="shared" si="38"/>
        <v>0</v>
      </c>
      <c r="AB37" s="144"/>
      <c r="AC37" s="231"/>
      <c r="AD37" s="231"/>
      <c r="AE37" s="231"/>
      <c r="AF37" s="231"/>
      <c r="AG37" s="231"/>
      <c r="AH37" s="231"/>
      <c r="AI37" s="213"/>
      <c r="AJ37" s="204"/>
      <c r="AK37" s="204"/>
      <c r="AL37" s="204"/>
      <c r="AM37" s="204"/>
      <c r="AN37" s="204"/>
    </row>
    <row r="38" spans="1:40" ht="14" thickBot="1">
      <c r="A38" s="1116"/>
      <c r="B38" s="1142"/>
      <c r="C38" s="335"/>
      <c r="D38" s="899"/>
      <c r="E38" s="336"/>
      <c r="F38" s="336"/>
      <c r="G38" s="336"/>
      <c r="H38" s="336"/>
      <c r="I38" s="336"/>
      <c r="J38" s="336"/>
      <c r="K38" s="336"/>
      <c r="L38" s="1378"/>
      <c r="M38" s="448"/>
      <c r="N38" s="1379"/>
      <c r="O38" s="336">
        <f t="shared" si="42"/>
        <v>0</v>
      </c>
      <c r="P38" s="336"/>
      <c r="Q38" s="336"/>
      <c r="R38" s="363"/>
      <c r="S38" s="1118">
        <f t="shared" si="30"/>
        <v>0</v>
      </c>
      <c r="T38" s="1119">
        <f t="shared" si="31"/>
        <v>0</v>
      </c>
      <c r="U38" s="374">
        <f t="shared" si="32"/>
        <v>0</v>
      </c>
      <c r="V38" s="1120">
        <f t="shared" si="33"/>
        <v>0</v>
      </c>
      <c r="W38" s="376">
        <f t="shared" si="34"/>
        <v>0</v>
      </c>
      <c r="X38" s="377">
        <f t="shared" si="35"/>
        <v>0</v>
      </c>
      <c r="Y38" s="378">
        <f t="shared" si="36"/>
        <v>0</v>
      </c>
      <c r="Z38" s="1121">
        <f t="shared" si="37"/>
        <v>0</v>
      </c>
      <c r="AA38" s="1122">
        <f t="shared" si="38"/>
        <v>0</v>
      </c>
      <c r="AB38" s="144"/>
      <c r="AC38" s="231"/>
      <c r="AD38" s="231"/>
      <c r="AE38" s="231"/>
      <c r="AF38" s="231"/>
      <c r="AG38" s="231"/>
      <c r="AH38" s="231"/>
      <c r="AI38" s="213"/>
      <c r="AJ38" s="204"/>
      <c r="AK38" s="204"/>
      <c r="AL38" s="204"/>
      <c r="AM38" s="204"/>
      <c r="AN38" s="204"/>
    </row>
    <row r="39" spans="1:40" ht="17" thickTop="1">
      <c r="A39" s="204"/>
      <c r="B39" s="204"/>
      <c r="C39" s="1126"/>
      <c r="D39" s="1127"/>
      <c r="E39" s="1128"/>
      <c r="F39"/>
      <c r="G39" s="235"/>
      <c r="H39" s="235"/>
      <c r="I39" s="234"/>
      <c r="J39" s="235"/>
      <c r="K39" s="232"/>
      <c r="L39" s="997"/>
      <c r="M39" s="855" t="s">
        <v>210</v>
      </c>
      <c r="N39" s="854"/>
      <c r="O39" s="235"/>
      <c r="P39" s="235" t="e">
        <f>O39*M39</f>
        <v>#VALUE!</v>
      </c>
      <c r="Q39" s="237"/>
      <c r="R39" s="236"/>
      <c r="S39" s="2433"/>
      <c r="T39" s="2434"/>
      <c r="U39" s="2435">
        <f t="shared" ref="U39:AA39" si="49">SUM(U26:U38)</f>
        <v>0.6</v>
      </c>
      <c r="V39" s="2435">
        <f t="shared" si="49"/>
        <v>0.8</v>
      </c>
      <c r="W39" s="2435">
        <f t="shared" si="49"/>
        <v>0</v>
      </c>
      <c r="X39" s="2435">
        <f t="shared" si="49"/>
        <v>0</v>
      </c>
      <c r="Y39" s="2435">
        <f t="shared" si="49"/>
        <v>0</v>
      </c>
      <c r="Z39" s="2435">
        <f t="shared" si="49"/>
        <v>0</v>
      </c>
      <c r="AA39" s="2435">
        <f t="shared" si="49"/>
        <v>2.2750000000000004</v>
      </c>
      <c r="AB39" s="144"/>
      <c r="AC39" s="231">
        <v>0</v>
      </c>
      <c r="AD39" s="231">
        <v>0</v>
      </c>
      <c r="AE39" s="231">
        <v>0</v>
      </c>
      <c r="AF39" s="231">
        <v>0</v>
      </c>
      <c r="AG39" s="231">
        <v>0</v>
      </c>
      <c r="AH39" s="231">
        <v>0</v>
      </c>
      <c r="AI39" s="213"/>
      <c r="AJ39" s="204"/>
      <c r="AK39" s="204"/>
      <c r="AL39" s="204"/>
      <c r="AM39" s="204"/>
      <c r="AN39" s="204"/>
    </row>
    <row r="40" spans="1:40">
      <c r="A40" s="144"/>
      <c r="B40" s="144"/>
      <c r="C40" s="144"/>
      <c r="D40" s="906"/>
      <c r="E40" s="144"/>
      <c r="F40" s="144"/>
      <c r="G40" s="144"/>
      <c r="H40" s="144"/>
      <c r="I40" s="144"/>
      <c r="J40" s="144"/>
      <c r="K40" s="144"/>
      <c r="L40" s="998"/>
      <c r="M40" s="144"/>
      <c r="N40" s="144"/>
      <c r="O40" s="144"/>
      <c r="P40" s="144"/>
      <c r="Q40" s="144"/>
      <c r="R40" s="144"/>
      <c r="S40" s="144"/>
      <c r="T40" s="144"/>
      <c r="U40" s="566">
        <f t="shared" ref="U40:AA52" si="50">IF(U39&gt;0,U39,U38)</f>
        <v>0.6</v>
      </c>
      <c r="V40" s="566">
        <f t="shared" si="50"/>
        <v>0.8</v>
      </c>
      <c r="W40" s="566">
        <f t="shared" si="50"/>
        <v>0</v>
      </c>
      <c r="X40" s="566">
        <f t="shared" si="50"/>
        <v>0</v>
      </c>
      <c r="Y40" s="566">
        <f t="shared" si="50"/>
        <v>0</v>
      </c>
      <c r="Z40" s="566">
        <f t="shared" si="50"/>
        <v>0</v>
      </c>
      <c r="AA40" s="566">
        <f t="shared" si="50"/>
        <v>2.2750000000000004</v>
      </c>
      <c r="AB40" s="144"/>
      <c r="AC40" s="231">
        <v>0</v>
      </c>
      <c r="AD40" s="231">
        <v>0</v>
      </c>
      <c r="AE40" s="231">
        <v>0</v>
      </c>
      <c r="AF40" s="231">
        <v>0</v>
      </c>
      <c r="AG40" s="231">
        <v>0</v>
      </c>
      <c r="AH40" s="231">
        <v>0</v>
      </c>
      <c r="AI40" s="213"/>
      <c r="AJ40" s="204"/>
      <c r="AK40" s="204"/>
      <c r="AL40" s="204"/>
      <c r="AM40" s="204"/>
      <c r="AN40" s="204"/>
    </row>
    <row r="41" spans="1:40">
      <c r="A41" s="144"/>
      <c r="B41" s="144"/>
      <c r="C41" s="144"/>
      <c r="D41" s="906"/>
      <c r="E41" s="144"/>
      <c r="F41" s="144"/>
      <c r="G41" s="144"/>
      <c r="H41" s="144"/>
      <c r="I41" s="144"/>
      <c r="J41" s="144"/>
      <c r="K41" s="144"/>
      <c r="L41" s="998"/>
      <c r="M41" s="144"/>
      <c r="N41" s="144"/>
      <c r="O41" s="144"/>
      <c r="P41" s="144"/>
      <c r="Q41" s="144"/>
      <c r="R41" s="144"/>
      <c r="S41" s="144"/>
      <c r="T41" s="144"/>
      <c r="U41" s="566">
        <f t="shared" si="50"/>
        <v>0.6</v>
      </c>
      <c r="V41" s="566">
        <f t="shared" si="50"/>
        <v>0.8</v>
      </c>
      <c r="W41" s="566">
        <f t="shared" si="50"/>
        <v>0</v>
      </c>
      <c r="X41" s="566">
        <f t="shared" si="50"/>
        <v>0</v>
      </c>
      <c r="Y41" s="566">
        <f t="shared" si="50"/>
        <v>0</v>
      </c>
      <c r="Z41" s="566">
        <f t="shared" si="50"/>
        <v>0</v>
      </c>
      <c r="AA41" s="566">
        <f t="shared" si="50"/>
        <v>2.2750000000000004</v>
      </c>
      <c r="AB41" s="144"/>
      <c r="AC41" s="231">
        <v>0</v>
      </c>
      <c r="AD41" s="231">
        <v>0</v>
      </c>
      <c r="AE41" s="231">
        <v>0</v>
      </c>
      <c r="AF41" s="231">
        <v>0</v>
      </c>
      <c r="AG41" s="231">
        <v>0</v>
      </c>
      <c r="AH41" s="231">
        <v>0</v>
      </c>
      <c r="AI41" s="213"/>
      <c r="AJ41" s="204"/>
      <c r="AK41" s="204"/>
      <c r="AL41" s="204"/>
      <c r="AM41" s="204"/>
      <c r="AN41" s="204"/>
    </row>
    <row r="42" spans="1:40">
      <c r="A42" s="144"/>
      <c r="B42" s="144"/>
      <c r="C42" s="144"/>
      <c r="D42" s="906"/>
      <c r="E42" s="144"/>
      <c r="F42" s="144"/>
      <c r="G42" s="144"/>
      <c r="H42" s="144"/>
      <c r="I42" s="144"/>
      <c r="J42" s="144"/>
      <c r="K42" s="144"/>
      <c r="L42" s="998"/>
      <c r="M42" s="144"/>
      <c r="N42" s="144"/>
      <c r="O42" s="144"/>
      <c r="P42" s="144"/>
      <c r="Q42" s="144"/>
      <c r="R42" s="144"/>
      <c r="S42" s="144"/>
      <c r="T42" s="144"/>
      <c r="U42" s="566">
        <f t="shared" si="50"/>
        <v>0.6</v>
      </c>
      <c r="V42" s="566">
        <f t="shared" si="50"/>
        <v>0.8</v>
      </c>
      <c r="W42" s="566">
        <f t="shared" si="50"/>
        <v>0</v>
      </c>
      <c r="X42" s="566">
        <f t="shared" si="50"/>
        <v>0</v>
      </c>
      <c r="Y42" s="566">
        <f t="shared" si="50"/>
        <v>0</v>
      </c>
      <c r="Z42" s="566">
        <f t="shared" si="50"/>
        <v>0</v>
      </c>
      <c r="AA42" s="566">
        <f t="shared" si="50"/>
        <v>2.2750000000000004</v>
      </c>
      <c r="AB42" s="144"/>
      <c r="AC42" s="231"/>
      <c r="AD42" s="231"/>
      <c r="AE42" s="231"/>
      <c r="AF42" s="231"/>
      <c r="AG42" s="231"/>
      <c r="AH42" s="231"/>
      <c r="AI42" s="213"/>
      <c r="AJ42" s="204"/>
      <c r="AK42" s="204"/>
      <c r="AL42" s="204"/>
      <c r="AM42" s="204"/>
      <c r="AN42" s="204"/>
    </row>
    <row r="43" spans="1:40">
      <c r="A43" s="144"/>
      <c r="B43" s="144"/>
      <c r="C43" s="144"/>
      <c r="D43" s="906"/>
      <c r="E43" s="144"/>
      <c r="F43" s="144"/>
      <c r="G43" s="144"/>
      <c r="H43" s="144"/>
      <c r="I43" s="144"/>
      <c r="J43" s="144"/>
      <c r="K43" s="144"/>
      <c r="L43" s="998"/>
      <c r="M43" s="144"/>
      <c r="N43" s="144"/>
      <c r="O43" s="144"/>
      <c r="P43" s="144"/>
      <c r="Q43" s="144"/>
      <c r="R43" s="144"/>
      <c r="S43" s="144"/>
      <c r="T43" s="144"/>
      <c r="U43" s="566">
        <f t="shared" si="50"/>
        <v>0.6</v>
      </c>
      <c r="V43" s="566">
        <f t="shared" si="50"/>
        <v>0.8</v>
      </c>
      <c r="W43" s="566">
        <f t="shared" si="50"/>
        <v>0</v>
      </c>
      <c r="X43" s="566">
        <f t="shared" si="50"/>
        <v>0</v>
      </c>
      <c r="Y43" s="566">
        <f t="shared" si="50"/>
        <v>0</v>
      </c>
      <c r="Z43" s="566">
        <f t="shared" si="50"/>
        <v>0</v>
      </c>
      <c r="AA43" s="566">
        <f t="shared" si="50"/>
        <v>2.2750000000000004</v>
      </c>
      <c r="AB43" s="144"/>
      <c r="AC43" s="231"/>
      <c r="AD43" s="231"/>
      <c r="AE43" s="231"/>
      <c r="AF43" s="231"/>
      <c r="AG43" s="231"/>
      <c r="AH43" s="231"/>
      <c r="AI43" s="213"/>
      <c r="AJ43" s="204"/>
      <c r="AK43" s="204"/>
      <c r="AL43" s="204"/>
      <c r="AM43" s="204"/>
      <c r="AN43" s="204"/>
    </row>
    <row r="44" spans="1:40">
      <c r="A44" s="144"/>
      <c r="B44" s="144"/>
      <c r="C44" s="144"/>
      <c r="D44" s="906"/>
      <c r="E44" s="144"/>
      <c r="F44" s="144"/>
      <c r="G44" s="144"/>
      <c r="H44" s="144"/>
      <c r="I44" s="144"/>
      <c r="J44" s="144"/>
      <c r="K44" s="144"/>
      <c r="L44" s="998"/>
      <c r="M44" s="144"/>
      <c r="N44" s="144"/>
      <c r="O44" s="144"/>
      <c r="P44" s="144"/>
      <c r="Q44" s="144"/>
      <c r="R44" s="144"/>
      <c r="S44" s="144"/>
      <c r="T44" s="144"/>
      <c r="U44" s="566">
        <f t="shared" si="50"/>
        <v>0.6</v>
      </c>
      <c r="V44" s="566">
        <f t="shared" si="50"/>
        <v>0.8</v>
      </c>
      <c r="W44" s="566">
        <f t="shared" si="50"/>
        <v>0</v>
      </c>
      <c r="X44" s="566">
        <f t="shared" si="50"/>
        <v>0</v>
      </c>
      <c r="Y44" s="566">
        <f t="shared" si="50"/>
        <v>0</v>
      </c>
      <c r="Z44" s="566">
        <f t="shared" si="50"/>
        <v>0</v>
      </c>
      <c r="AA44" s="566">
        <f t="shared" si="50"/>
        <v>2.2750000000000004</v>
      </c>
      <c r="AB44" s="144"/>
      <c r="AC44" s="231">
        <v>0</v>
      </c>
      <c r="AD44" s="231">
        <v>0</v>
      </c>
      <c r="AE44" s="231">
        <v>0</v>
      </c>
      <c r="AF44" s="231">
        <v>0</v>
      </c>
      <c r="AG44" s="231">
        <v>0</v>
      </c>
      <c r="AH44" s="231">
        <v>0</v>
      </c>
      <c r="AI44" s="213"/>
      <c r="AJ44" s="204"/>
      <c r="AK44" s="204"/>
      <c r="AL44" s="204"/>
      <c r="AM44" s="204"/>
      <c r="AN44" s="204"/>
    </row>
    <row r="45" spans="1:40">
      <c r="A45" s="144"/>
      <c r="B45" s="144"/>
      <c r="C45" s="144"/>
      <c r="D45" s="906"/>
      <c r="E45" s="144"/>
      <c r="F45" s="144"/>
      <c r="G45" s="144"/>
      <c r="H45" s="144"/>
      <c r="I45" s="144"/>
      <c r="J45" s="144"/>
      <c r="K45" s="144"/>
      <c r="L45" s="998"/>
      <c r="M45" s="144"/>
      <c r="N45" s="144"/>
      <c r="O45" s="144"/>
      <c r="P45" s="144"/>
      <c r="Q45" s="144"/>
      <c r="R45" s="144"/>
      <c r="S45" s="144"/>
      <c r="T45" s="144"/>
      <c r="U45" s="566">
        <f t="shared" si="50"/>
        <v>0.6</v>
      </c>
      <c r="V45" s="566">
        <f t="shared" si="50"/>
        <v>0.8</v>
      </c>
      <c r="W45" s="566">
        <f t="shared" si="50"/>
        <v>0</v>
      </c>
      <c r="X45" s="566">
        <f t="shared" si="50"/>
        <v>0</v>
      </c>
      <c r="Y45" s="566">
        <f t="shared" si="50"/>
        <v>0</v>
      </c>
      <c r="Z45" s="566">
        <f t="shared" si="50"/>
        <v>0</v>
      </c>
      <c r="AA45" s="566">
        <f t="shared" si="50"/>
        <v>2.2750000000000004</v>
      </c>
      <c r="AB45" s="144"/>
      <c r="AC45" s="231">
        <v>0</v>
      </c>
      <c r="AD45" s="231">
        <v>0</v>
      </c>
      <c r="AE45" s="231">
        <v>0</v>
      </c>
      <c r="AF45" s="231">
        <v>0</v>
      </c>
      <c r="AG45" s="231">
        <v>0</v>
      </c>
      <c r="AH45" s="231">
        <v>0</v>
      </c>
      <c r="AI45" s="213"/>
      <c r="AJ45" s="204"/>
      <c r="AK45" s="204"/>
      <c r="AL45" s="204"/>
      <c r="AM45" s="204"/>
      <c r="AN45" s="204"/>
    </row>
    <row r="46" spans="1:40">
      <c r="A46" s="144"/>
      <c r="B46" s="144"/>
      <c r="C46" s="144"/>
      <c r="D46" s="906"/>
      <c r="E46" s="144"/>
      <c r="F46" s="144"/>
      <c r="G46" s="144"/>
      <c r="H46" s="144"/>
      <c r="I46" s="144"/>
      <c r="J46" s="144"/>
      <c r="K46" s="144"/>
      <c r="L46" s="998"/>
      <c r="M46" s="144"/>
      <c r="N46" s="144"/>
      <c r="O46" s="144"/>
      <c r="P46" s="144"/>
      <c r="Q46" s="144"/>
      <c r="R46" s="144"/>
      <c r="S46" s="144"/>
      <c r="T46" s="144"/>
      <c r="U46" s="566">
        <f t="shared" si="50"/>
        <v>0.6</v>
      </c>
      <c r="V46" s="566">
        <f t="shared" si="50"/>
        <v>0.8</v>
      </c>
      <c r="W46" s="566">
        <f t="shared" si="50"/>
        <v>0</v>
      </c>
      <c r="X46" s="566">
        <f t="shared" si="50"/>
        <v>0</v>
      </c>
      <c r="Y46" s="566">
        <f t="shared" si="50"/>
        <v>0</v>
      </c>
      <c r="Z46" s="566">
        <f t="shared" si="50"/>
        <v>0</v>
      </c>
      <c r="AA46" s="566">
        <f t="shared" si="50"/>
        <v>2.2750000000000004</v>
      </c>
      <c r="AB46" s="144"/>
      <c r="AC46" s="231">
        <v>0</v>
      </c>
      <c r="AD46" s="231">
        <v>0</v>
      </c>
      <c r="AE46" s="231">
        <v>0</v>
      </c>
      <c r="AF46" s="231">
        <v>0</v>
      </c>
      <c r="AG46" s="231">
        <v>0</v>
      </c>
      <c r="AH46" s="231">
        <v>0</v>
      </c>
      <c r="AI46" s="213"/>
      <c r="AJ46" s="204"/>
      <c r="AK46" s="204"/>
      <c r="AL46" s="204"/>
      <c r="AM46" s="204"/>
      <c r="AN46" s="204"/>
    </row>
    <row r="47" spans="1:40">
      <c r="A47" s="144"/>
      <c r="B47" s="144"/>
      <c r="C47" s="144"/>
      <c r="D47" s="906"/>
      <c r="E47" s="144"/>
      <c r="F47" s="144"/>
      <c r="G47" s="144"/>
      <c r="H47" s="144"/>
      <c r="I47" s="144"/>
      <c r="J47" s="144"/>
      <c r="K47" s="144"/>
      <c r="L47" s="998"/>
      <c r="M47" s="144"/>
      <c r="N47" s="144"/>
      <c r="O47" s="144"/>
      <c r="P47" s="144"/>
      <c r="Q47" s="144"/>
      <c r="R47" s="144"/>
      <c r="S47" s="144"/>
      <c r="T47" s="144"/>
      <c r="U47" s="566">
        <f t="shared" si="50"/>
        <v>0.6</v>
      </c>
      <c r="V47" s="566">
        <f t="shared" si="50"/>
        <v>0.8</v>
      </c>
      <c r="W47" s="566">
        <f t="shared" si="50"/>
        <v>0</v>
      </c>
      <c r="X47" s="566">
        <f t="shared" si="50"/>
        <v>0</v>
      </c>
      <c r="Y47" s="566">
        <f t="shared" si="50"/>
        <v>0</v>
      </c>
      <c r="Z47" s="566">
        <f t="shared" si="50"/>
        <v>0</v>
      </c>
      <c r="AA47" s="566">
        <f t="shared" si="50"/>
        <v>2.2750000000000004</v>
      </c>
      <c r="AB47" s="144"/>
      <c r="AC47" s="231"/>
      <c r="AD47" s="231"/>
      <c r="AE47" s="231"/>
      <c r="AF47" s="231"/>
      <c r="AG47" s="231"/>
      <c r="AH47" s="231"/>
      <c r="AI47" s="213"/>
      <c r="AJ47" s="204"/>
      <c r="AK47" s="204"/>
      <c r="AL47" s="204"/>
      <c r="AM47" s="204"/>
      <c r="AN47" s="204"/>
    </row>
    <row r="48" spans="1:40">
      <c r="A48" s="144"/>
      <c r="B48" s="144"/>
      <c r="C48" s="144"/>
      <c r="D48" s="906"/>
      <c r="E48" s="144"/>
      <c r="F48" s="144"/>
      <c r="G48" s="144"/>
      <c r="H48" s="144"/>
      <c r="I48" s="144"/>
      <c r="J48" s="144"/>
      <c r="K48" s="144"/>
      <c r="L48" s="998"/>
      <c r="M48" s="144"/>
      <c r="N48" s="144"/>
      <c r="O48" s="144"/>
      <c r="P48" s="144"/>
      <c r="Q48" s="144"/>
      <c r="R48" s="144"/>
      <c r="S48" s="144"/>
      <c r="T48" s="144"/>
      <c r="U48" s="566">
        <f t="shared" si="50"/>
        <v>0.6</v>
      </c>
      <c r="V48" s="566">
        <f t="shared" si="50"/>
        <v>0.8</v>
      </c>
      <c r="W48" s="566">
        <f t="shared" si="50"/>
        <v>0</v>
      </c>
      <c r="X48" s="566">
        <f t="shared" si="50"/>
        <v>0</v>
      </c>
      <c r="Y48" s="566">
        <f t="shared" si="50"/>
        <v>0</v>
      </c>
      <c r="Z48" s="566">
        <f t="shared" si="50"/>
        <v>0</v>
      </c>
      <c r="AA48" s="566">
        <f t="shared" si="50"/>
        <v>2.2750000000000004</v>
      </c>
      <c r="AB48" s="144"/>
      <c r="AC48" s="231"/>
      <c r="AD48" s="231"/>
      <c r="AE48" s="231"/>
      <c r="AF48" s="231"/>
      <c r="AG48" s="231"/>
      <c r="AH48" s="231"/>
      <c r="AI48" s="213"/>
      <c r="AJ48" s="204"/>
      <c r="AK48" s="204"/>
      <c r="AL48" s="204"/>
      <c r="AM48" s="204"/>
      <c r="AN48" s="204"/>
    </row>
    <row r="49" spans="1:40">
      <c r="A49" s="144"/>
      <c r="B49" s="144"/>
      <c r="C49" s="144"/>
      <c r="D49" s="906"/>
      <c r="E49" s="144"/>
      <c r="F49" s="144"/>
      <c r="G49" s="144"/>
      <c r="H49" s="144"/>
      <c r="I49" s="144"/>
      <c r="J49" s="144"/>
      <c r="K49" s="144"/>
      <c r="L49" s="998"/>
      <c r="M49" s="144"/>
      <c r="N49" s="144"/>
      <c r="O49" s="144"/>
      <c r="P49" s="144"/>
      <c r="Q49" s="144"/>
      <c r="R49" s="144"/>
      <c r="S49" s="144"/>
      <c r="T49" s="144"/>
      <c r="U49" s="566">
        <f t="shared" si="50"/>
        <v>0.6</v>
      </c>
      <c r="V49" s="566">
        <f t="shared" si="50"/>
        <v>0.8</v>
      </c>
      <c r="W49" s="566">
        <f t="shared" si="50"/>
        <v>0</v>
      </c>
      <c r="X49" s="566">
        <f t="shared" si="50"/>
        <v>0</v>
      </c>
      <c r="Y49" s="566">
        <f t="shared" si="50"/>
        <v>0</v>
      </c>
      <c r="Z49" s="566">
        <f t="shared" si="50"/>
        <v>0</v>
      </c>
      <c r="AA49" s="566">
        <f t="shared" si="50"/>
        <v>2.2750000000000004</v>
      </c>
      <c r="AB49" s="144"/>
      <c r="AC49" s="231">
        <v>0</v>
      </c>
      <c r="AD49" s="231">
        <v>0</v>
      </c>
      <c r="AE49" s="231">
        <v>0</v>
      </c>
      <c r="AF49" s="231">
        <v>0</v>
      </c>
      <c r="AG49" s="231">
        <v>0</v>
      </c>
      <c r="AH49" s="231">
        <v>0</v>
      </c>
      <c r="AI49" s="213"/>
      <c r="AJ49" s="204"/>
      <c r="AK49" s="204"/>
      <c r="AL49" s="204"/>
      <c r="AM49" s="204"/>
      <c r="AN49" s="204"/>
    </row>
    <row r="50" spans="1:40">
      <c r="A50" s="144"/>
      <c r="B50" s="144"/>
      <c r="C50" s="144"/>
      <c r="D50" s="906"/>
      <c r="E50" s="144"/>
      <c r="F50" s="144"/>
      <c r="G50" s="144"/>
      <c r="H50" s="144"/>
      <c r="I50" s="144"/>
      <c r="J50" s="144"/>
      <c r="K50" s="144"/>
      <c r="L50" s="998"/>
      <c r="M50" s="144"/>
      <c r="N50" s="144"/>
      <c r="O50" s="144"/>
      <c r="P50" s="144"/>
      <c r="Q50" s="144"/>
      <c r="R50" s="144"/>
      <c r="S50" s="144"/>
      <c r="T50" s="144"/>
      <c r="U50" s="566">
        <f t="shared" si="50"/>
        <v>0.6</v>
      </c>
      <c r="V50" s="566">
        <f t="shared" si="50"/>
        <v>0.8</v>
      </c>
      <c r="W50" s="566">
        <f t="shared" si="50"/>
        <v>0</v>
      </c>
      <c r="X50" s="566">
        <f t="shared" si="50"/>
        <v>0</v>
      </c>
      <c r="Y50" s="566">
        <f t="shared" si="50"/>
        <v>0</v>
      </c>
      <c r="Z50" s="566">
        <f t="shared" si="50"/>
        <v>0</v>
      </c>
      <c r="AA50" s="566">
        <f t="shared" si="50"/>
        <v>2.2750000000000004</v>
      </c>
      <c r="AB50" s="144"/>
      <c r="AC50" s="231">
        <v>0</v>
      </c>
      <c r="AD50" s="231">
        <v>0</v>
      </c>
      <c r="AE50" s="231">
        <v>0</v>
      </c>
      <c r="AF50" s="231">
        <v>0</v>
      </c>
      <c r="AG50" s="231">
        <v>0</v>
      </c>
      <c r="AH50" s="231">
        <v>0</v>
      </c>
      <c r="AI50" s="213"/>
      <c r="AJ50" s="204"/>
      <c r="AK50" s="204"/>
      <c r="AL50" s="204"/>
      <c r="AM50" s="204"/>
      <c r="AN50" s="204"/>
    </row>
    <row r="51" spans="1:40">
      <c r="A51" s="144"/>
      <c r="B51" s="144"/>
      <c r="C51" s="144"/>
      <c r="D51" s="906"/>
      <c r="E51" s="144"/>
      <c r="F51" s="144"/>
      <c r="G51" s="144"/>
      <c r="H51" s="144"/>
      <c r="I51" s="144"/>
      <c r="J51" s="144"/>
      <c r="K51" s="144"/>
      <c r="L51" s="998"/>
      <c r="M51" s="144"/>
      <c r="N51" s="144"/>
      <c r="O51" s="144"/>
      <c r="P51" s="144"/>
      <c r="Q51" s="144"/>
      <c r="R51" s="144"/>
      <c r="S51" s="144"/>
      <c r="T51" s="144"/>
      <c r="U51" s="566">
        <f t="shared" si="50"/>
        <v>0.6</v>
      </c>
      <c r="V51" s="566">
        <f t="shared" si="50"/>
        <v>0.8</v>
      </c>
      <c r="W51" s="566">
        <f t="shared" si="50"/>
        <v>0</v>
      </c>
      <c r="X51" s="566">
        <f t="shared" si="50"/>
        <v>0</v>
      </c>
      <c r="Y51" s="566">
        <f t="shared" si="50"/>
        <v>0</v>
      </c>
      <c r="Z51" s="566">
        <f t="shared" si="50"/>
        <v>0</v>
      </c>
      <c r="AA51" s="566">
        <f t="shared" si="50"/>
        <v>2.2750000000000004</v>
      </c>
      <c r="AB51" s="144"/>
      <c r="AC51" s="231"/>
      <c r="AD51" s="231"/>
      <c r="AE51" s="231"/>
      <c r="AF51" s="231"/>
      <c r="AG51" s="231"/>
      <c r="AH51" s="231"/>
      <c r="AI51" s="213"/>
      <c r="AJ51" s="204"/>
      <c r="AK51" s="204"/>
      <c r="AL51" s="204"/>
      <c r="AM51" s="204"/>
      <c r="AN51" s="204"/>
    </row>
    <row r="52" spans="1:40">
      <c r="A52" s="144"/>
      <c r="B52" s="144"/>
      <c r="C52" s="144"/>
      <c r="D52" s="906"/>
      <c r="E52" s="144"/>
      <c r="F52" s="144"/>
      <c r="G52" s="144"/>
      <c r="H52" s="144"/>
      <c r="I52" s="144"/>
      <c r="J52" s="144"/>
      <c r="K52" s="144"/>
      <c r="L52" s="998"/>
      <c r="M52" s="144"/>
      <c r="N52" s="144"/>
      <c r="O52" s="144"/>
      <c r="P52" s="144"/>
      <c r="Q52" s="144"/>
      <c r="R52" s="144"/>
      <c r="S52" s="144"/>
      <c r="T52" s="144"/>
      <c r="U52" s="566">
        <f t="shared" si="50"/>
        <v>0.6</v>
      </c>
      <c r="V52" s="566">
        <f t="shared" si="50"/>
        <v>0.8</v>
      </c>
      <c r="W52" s="566">
        <f t="shared" si="50"/>
        <v>0</v>
      </c>
      <c r="X52" s="566">
        <f t="shared" si="50"/>
        <v>0</v>
      </c>
      <c r="Y52" s="566">
        <f t="shared" si="50"/>
        <v>0</v>
      </c>
      <c r="Z52" s="566">
        <f t="shared" si="50"/>
        <v>0</v>
      </c>
      <c r="AA52" s="566">
        <f t="shared" si="50"/>
        <v>2.2750000000000004</v>
      </c>
      <c r="AB52" s="144"/>
      <c r="AC52" s="231"/>
      <c r="AD52" s="231"/>
      <c r="AE52" s="231"/>
      <c r="AF52" s="231"/>
      <c r="AG52" s="231"/>
      <c r="AH52" s="231"/>
      <c r="AI52" s="213"/>
      <c r="AJ52" s="204"/>
      <c r="AK52" s="204"/>
      <c r="AL52" s="204"/>
      <c r="AM52" s="204"/>
      <c r="AN52" s="204"/>
    </row>
    <row r="53" spans="1:40">
      <c r="A53" s="144"/>
      <c r="B53" s="144"/>
      <c r="C53" s="144"/>
      <c r="D53" s="906"/>
      <c r="E53" s="144"/>
      <c r="F53" s="144"/>
      <c r="G53" s="144"/>
      <c r="H53" s="144"/>
      <c r="I53" s="144"/>
      <c r="J53" s="144"/>
      <c r="K53" s="144"/>
      <c r="L53" s="998"/>
      <c r="M53" s="144"/>
      <c r="N53" s="144"/>
      <c r="O53" s="144"/>
      <c r="P53" s="144"/>
      <c r="Q53" s="144"/>
      <c r="R53" s="144"/>
      <c r="S53" s="144"/>
      <c r="T53" s="144"/>
      <c r="U53" s="566">
        <f t="shared" ref="U53:AA68" si="51">IF(U52&gt;0,U52,U51)</f>
        <v>0.6</v>
      </c>
      <c r="V53" s="566">
        <f t="shared" si="51"/>
        <v>0.8</v>
      </c>
      <c r="W53" s="566">
        <f t="shared" si="51"/>
        <v>0</v>
      </c>
      <c r="X53" s="566">
        <f t="shared" si="51"/>
        <v>0</v>
      </c>
      <c r="Y53" s="566">
        <f t="shared" si="51"/>
        <v>0</v>
      </c>
      <c r="Z53" s="566">
        <f t="shared" si="51"/>
        <v>0</v>
      </c>
      <c r="AA53" s="566">
        <f t="shared" si="51"/>
        <v>2.2750000000000004</v>
      </c>
      <c r="AB53" s="144"/>
      <c r="AC53" s="231">
        <v>0</v>
      </c>
      <c r="AD53" s="231">
        <v>0</v>
      </c>
      <c r="AE53" s="231">
        <v>0</v>
      </c>
      <c r="AF53" s="231">
        <v>0</v>
      </c>
      <c r="AG53" s="231">
        <v>0</v>
      </c>
      <c r="AH53" s="231">
        <v>0</v>
      </c>
      <c r="AI53" s="213"/>
      <c r="AJ53" s="204"/>
      <c r="AK53" s="204"/>
      <c r="AL53" s="204"/>
      <c r="AM53" s="204"/>
      <c r="AN53" s="204"/>
    </row>
    <row r="54" spans="1:40">
      <c r="A54" s="144"/>
      <c r="B54" s="144"/>
      <c r="C54" s="144"/>
      <c r="D54" s="906"/>
      <c r="E54" s="144"/>
      <c r="F54" s="144"/>
      <c r="G54" s="144"/>
      <c r="H54" s="144"/>
      <c r="I54" s="144"/>
      <c r="J54" s="144"/>
      <c r="K54" s="144"/>
      <c r="L54" s="998"/>
      <c r="M54" s="144"/>
      <c r="N54" s="144"/>
      <c r="O54" s="144"/>
      <c r="P54" s="144"/>
      <c r="Q54" s="144"/>
      <c r="R54" s="144"/>
      <c r="S54" s="144"/>
      <c r="T54" s="144"/>
      <c r="U54" s="566">
        <f t="shared" si="51"/>
        <v>0.6</v>
      </c>
      <c r="V54" s="566">
        <f t="shared" si="51"/>
        <v>0.8</v>
      </c>
      <c r="W54" s="566">
        <f t="shared" si="51"/>
        <v>0</v>
      </c>
      <c r="X54" s="566">
        <f t="shared" si="51"/>
        <v>0</v>
      </c>
      <c r="Y54" s="566">
        <f t="shared" si="51"/>
        <v>0</v>
      </c>
      <c r="Z54" s="566">
        <f t="shared" si="51"/>
        <v>0</v>
      </c>
      <c r="AA54" s="566">
        <f t="shared" si="51"/>
        <v>2.2750000000000004</v>
      </c>
      <c r="AB54" s="144"/>
      <c r="AC54" s="231">
        <v>0</v>
      </c>
      <c r="AD54" s="231">
        <v>0</v>
      </c>
      <c r="AE54" s="231">
        <v>0</v>
      </c>
      <c r="AF54" s="231">
        <v>0</v>
      </c>
      <c r="AG54" s="231">
        <v>0</v>
      </c>
      <c r="AH54" s="231">
        <v>0</v>
      </c>
      <c r="AI54" s="213"/>
      <c r="AJ54" s="204"/>
      <c r="AK54" s="204"/>
      <c r="AL54" s="204"/>
      <c r="AM54" s="204"/>
      <c r="AN54" s="204"/>
    </row>
    <row r="55" spans="1:40">
      <c r="A55" s="144"/>
      <c r="B55" s="144"/>
      <c r="C55" s="144"/>
      <c r="D55" s="906"/>
      <c r="E55" s="144"/>
      <c r="F55" s="144"/>
      <c r="G55" s="144"/>
      <c r="H55" s="144"/>
      <c r="I55" s="144"/>
      <c r="J55" s="144"/>
      <c r="K55" s="144"/>
      <c r="L55" s="998"/>
      <c r="M55" s="144"/>
      <c r="N55" s="144"/>
      <c r="O55" s="144"/>
      <c r="P55" s="144"/>
      <c r="Q55" s="144"/>
      <c r="R55" s="144"/>
      <c r="S55" s="144"/>
      <c r="T55" s="144"/>
      <c r="U55" s="566">
        <f t="shared" si="51"/>
        <v>0.6</v>
      </c>
      <c r="V55" s="566">
        <f t="shared" si="51"/>
        <v>0.8</v>
      </c>
      <c r="W55" s="566">
        <f t="shared" si="51"/>
        <v>0</v>
      </c>
      <c r="X55" s="566">
        <f t="shared" si="51"/>
        <v>0</v>
      </c>
      <c r="Y55" s="566">
        <f t="shared" si="51"/>
        <v>0</v>
      </c>
      <c r="Z55" s="566">
        <f t="shared" si="51"/>
        <v>0</v>
      </c>
      <c r="AA55" s="566">
        <f t="shared" si="51"/>
        <v>2.2750000000000004</v>
      </c>
      <c r="AB55" s="144"/>
      <c r="AC55" s="231">
        <v>0</v>
      </c>
      <c r="AD55" s="231">
        <v>0</v>
      </c>
      <c r="AE55" s="231">
        <v>0</v>
      </c>
      <c r="AF55" s="231">
        <v>0</v>
      </c>
      <c r="AG55" s="231">
        <v>0</v>
      </c>
      <c r="AH55" s="231">
        <v>0</v>
      </c>
      <c r="AI55" s="213"/>
      <c r="AJ55" s="204"/>
      <c r="AK55" s="204"/>
      <c r="AL55" s="204"/>
      <c r="AM55" s="204"/>
      <c r="AN55" s="204"/>
    </row>
    <row r="56" spans="1:40">
      <c r="A56" s="144"/>
      <c r="B56" s="144"/>
      <c r="C56" s="144"/>
      <c r="D56" s="906"/>
      <c r="E56" s="144"/>
      <c r="F56" s="144"/>
      <c r="G56" s="144"/>
      <c r="H56" s="144"/>
      <c r="I56" s="144"/>
      <c r="J56" s="144"/>
      <c r="K56" s="144"/>
      <c r="L56" s="998"/>
      <c r="M56" s="144"/>
      <c r="N56" s="144"/>
      <c r="O56" s="144"/>
      <c r="P56" s="144"/>
      <c r="Q56" s="144"/>
      <c r="R56" s="144"/>
      <c r="S56" s="144"/>
      <c r="T56" s="144"/>
      <c r="U56" s="566">
        <f t="shared" si="51"/>
        <v>0.6</v>
      </c>
      <c r="V56" s="566">
        <f t="shared" si="51"/>
        <v>0.8</v>
      </c>
      <c r="W56" s="566">
        <f t="shared" si="51"/>
        <v>0</v>
      </c>
      <c r="X56" s="566">
        <f t="shared" si="51"/>
        <v>0</v>
      </c>
      <c r="Y56" s="566">
        <f t="shared" si="51"/>
        <v>0</v>
      </c>
      <c r="Z56" s="566">
        <f t="shared" si="51"/>
        <v>0</v>
      </c>
      <c r="AA56" s="566">
        <f t="shared" si="51"/>
        <v>2.2750000000000004</v>
      </c>
      <c r="AB56" s="144"/>
      <c r="AC56" s="231">
        <v>0</v>
      </c>
      <c r="AD56" s="231">
        <v>0</v>
      </c>
      <c r="AE56" s="231">
        <v>0</v>
      </c>
      <c r="AF56" s="231">
        <v>0</v>
      </c>
      <c r="AG56" s="231">
        <v>0</v>
      </c>
      <c r="AH56" s="231">
        <v>0</v>
      </c>
      <c r="AI56" s="213"/>
      <c r="AJ56" s="204"/>
      <c r="AK56" s="204"/>
      <c r="AL56" s="204"/>
      <c r="AM56" s="204"/>
      <c r="AN56" s="204"/>
    </row>
    <row r="57" spans="1:40">
      <c r="A57" s="144"/>
      <c r="B57" s="144"/>
      <c r="C57" s="144"/>
      <c r="D57" s="906"/>
      <c r="E57" s="144"/>
      <c r="F57" s="144"/>
      <c r="G57" s="144"/>
      <c r="H57" s="144"/>
      <c r="I57" s="144"/>
      <c r="J57" s="144"/>
      <c r="K57" s="144"/>
      <c r="L57" s="998"/>
      <c r="M57" s="144"/>
      <c r="N57" s="144"/>
      <c r="O57" s="144"/>
      <c r="P57" s="144"/>
      <c r="Q57" s="144"/>
      <c r="R57" s="144"/>
      <c r="S57" s="144"/>
      <c r="T57" s="144"/>
      <c r="U57" s="566">
        <f t="shared" si="51"/>
        <v>0.6</v>
      </c>
      <c r="V57" s="566">
        <f t="shared" si="51"/>
        <v>0.8</v>
      </c>
      <c r="W57" s="566">
        <f t="shared" si="51"/>
        <v>0</v>
      </c>
      <c r="X57" s="566">
        <f t="shared" si="51"/>
        <v>0</v>
      </c>
      <c r="Y57" s="566">
        <f t="shared" si="51"/>
        <v>0</v>
      </c>
      <c r="Z57" s="566">
        <f t="shared" si="51"/>
        <v>0</v>
      </c>
      <c r="AA57" s="566">
        <f t="shared" si="51"/>
        <v>2.2750000000000004</v>
      </c>
      <c r="AB57" s="144"/>
      <c r="AC57" s="231"/>
      <c r="AD57" s="231"/>
      <c r="AE57" s="231"/>
      <c r="AF57" s="231"/>
      <c r="AG57" s="231"/>
      <c r="AH57" s="231"/>
      <c r="AI57" s="213"/>
      <c r="AJ57" s="204"/>
      <c r="AK57" s="204"/>
      <c r="AL57" s="204"/>
      <c r="AM57" s="204"/>
      <c r="AN57" s="204"/>
    </row>
    <row r="58" spans="1:40">
      <c r="A58" s="144"/>
      <c r="B58" s="144"/>
      <c r="C58" s="144"/>
      <c r="D58" s="906"/>
      <c r="E58" s="144"/>
      <c r="F58" s="144"/>
      <c r="G58" s="144"/>
      <c r="H58" s="144"/>
      <c r="I58" s="144"/>
      <c r="J58" s="144"/>
      <c r="K58" s="144"/>
      <c r="L58" s="998"/>
      <c r="M58" s="144"/>
      <c r="N58" s="144"/>
      <c r="O58" s="144"/>
      <c r="P58" s="144"/>
      <c r="Q58" s="144"/>
      <c r="R58" s="144"/>
      <c r="S58" s="144"/>
      <c r="T58" s="144"/>
      <c r="U58" s="566">
        <f t="shared" si="51"/>
        <v>0.6</v>
      </c>
      <c r="V58" s="566">
        <f t="shared" si="51"/>
        <v>0.8</v>
      </c>
      <c r="W58" s="566">
        <f t="shared" si="51"/>
        <v>0</v>
      </c>
      <c r="X58" s="566">
        <f t="shared" si="51"/>
        <v>0</v>
      </c>
      <c r="Y58" s="566">
        <f t="shared" si="51"/>
        <v>0</v>
      </c>
      <c r="Z58" s="566">
        <f t="shared" si="51"/>
        <v>0</v>
      </c>
      <c r="AA58" s="566">
        <f t="shared" si="51"/>
        <v>2.2750000000000004</v>
      </c>
      <c r="AB58" s="144"/>
      <c r="AC58" s="231">
        <v>0</v>
      </c>
      <c r="AD58" s="231">
        <v>0</v>
      </c>
      <c r="AE58" s="231">
        <v>0</v>
      </c>
      <c r="AF58" s="231">
        <v>0</v>
      </c>
      <c r="AG58" s="231">
        <v>0</v>
      </c>
      <c r="AH58" s="231">
        <v>0</v>
      </c>
      <c r="AI58" s="213"/>
      <c r="AJ58" s="204"/>
      <c r="AK58" s="204"/>
      <c r="AL58" s="204"/>
      <c r="AM58" s="204"/>
      <c r="AN58" s="204"/>
    </row>
    <row r="59" spans="1:40">
      <c r="A59" s="144"/>
      <c r="B59" s="144"/>
      <c r="C59" s="144"/>
      <c r="D59" s="906"/>
      <c r="E59" s="144"/>
      <c r="F59" s="144"/>
      <c r="G59" s="144"/>
      <c r="H59" s="144"/>
      <c r="I59" s="144"/>
      <c r="J59" s="144"/>
      <c r="K59" s="144"/>
      <c r="L59" s="998"/>
      <c r="M59" s="144"/>
      <c r="N59" s="144"/>
      <c r="O59" s="144"/>
      <c r="P59" s="144"/>
      <c r="Q59" s="144"/>
      <c r="R59" s="144"/>
      <c r="S59" s="144"/>
      <c r="T59" s="144"/>
      <c r="U59" s="566">
        <f t="shared" si="51"/>
        <v>0.6</v>
      </c>
      <c r="V59" s="566">
        <f t="shared" si="51"/>
        <v>0.8</v>
      </c>
      <c r="W59" s="566">
        <f t="shared" si="51"/>
        <v>0</v>
      </c>
      <c r="X59" s="566">
        <f t="shared" si="51"/>
        <v>0</v>
      </c>
      <c r="Y59" s="566">
        <f t="shared" si="51"/>
        <v>0</v>
      </c>
      <c r="Z59" s="566">
        <f t="shared" si="51"/>
        <v>0</v>
      </c>
      <c r="AA59" s="566">
        <f t="shared" si="51"/>
        <v>2.2750000000000004</v>
      </c>
      <c r="AB59" s="144"/>
      <c r="AC59" s="231">
        <v>0</v>
      </c>
      <c r="AD59" s="231">
        <v>0</v>
      </c>
      <c r="AE59" s="231">
        <v>0</v>
      </c>
      <c r="AF59" s="231">
        <v>0</v>
      </c>
      <c r="AG59" s="231">
        <v>0</v>
      </c>
      <c r="AH59" s="231">
        <v>0</v>
      </c>
      <c r="AI59" s="213"/>
      <c r="AJ59" s="204"/>
      <c r="AK59" s="204"/>
      <c r="AL59" s="204"/>
      <c r="AM59" s="204"/>
      <c r="AN59" s="204"/>
    </row>
    <row r="60" spans="1:40">
      <c r="A60" s="144"/>
      <c r="B60" s="144"/>
      <c r="C60" s="144"/>
      <c r="D60" s="906"/>
      <c r="E60" s="144"/>
      <c r="F60" s="144"/>
      <c r="G60" s="144"/>
      <c r="H60" s="144"/>
      <c r="I60" s="144"/>
      <c r="J60" s="144"/>
      <c r="K60" s="144"/>
      <c r="L60" s="998"/>
      <c r="M60" s="144"/>
      <c r="N60" s="144"/>
      <c r="O60" s="144"/>
      <c r="P60" s="144"/>
      <c r="Q60" s="144"/>
      <c r="R60" s="144"/>
      <c r="S60" s="144"/>
      <c r="T60" s="144"/>
      <c r="U60" s="566">
        <f t="shared" si="51"/>
        <v>0.6</v>
      </c>
      <c r="V60" s="566">
        <f t="shared" si="51"/>
        <v>0.8</v>
      </c>
      <c r="W60" s="566">
        <f t="shared" si="51"/>
        <v>0</v>
      </c>
      <c r="X60" s="566">
        <f t="shared" si="51"/>
        <v>0</v>
      </c>
      <c r="Y60" s="566">
        <f t="shared" si="51"/>
        <v>0</v>
      </c>
      <c r="Z60" s="566">
        <f t="shared" si="51"/>
        <v>0</v>
      </c>
      <c r="AA60" s="566">
        <f t="shared" si="51"/>
        <v>2.2750000000000004</v>
      </c>
      <c r="AB60" s="144"/>
      <c r="AC60" s="231"/>
      <c r="AD60" s="231"/>
      <c r="AE60" s="231"/>
      <c r="AF60" s="231"/>
      <c r="AG60" s="231"/>
      <c r="AH60" s="231"/>
      <c r="AI60" s="213"/>
      <c r="AJ60" s="204"/>
      <c r="AK60" s="204"/>
      <c r="AL60" s="204"/>
      <c r="AM60" s="204"/>
      <c r="AN60" s="204"/>
    </row>
    <row r="61" spans="1:40">
      <c r="A61" s="144"/>
      <c r="B61" s="144"/>
      <c r="C61" s="144"/>
      <c r="D61" s="906"/>
      <c r="E61" s="144"/>
      <c r="F61" s="144"/>
      <c r="G61" s="144"/>
      <c r="H61" s="144"/>
      <c r="I61" s="144"/>
      <c r="J61" s="144"/>
      <c r="K61" s="144"/>
      <c r="L61" s="998"/>
      <c r="M61" s="144"/>
      <c r="N61" s="144"/>
      <c r="O61" s="144"/>
      <c r="P61" s="144"/>
      <c r="Q61" s="144"/>
      <c r="R61" s="144"/>
      <c r="S61" s="144"/>
      <c r="T61" s="144"/>
      <c r="U61" s="566">
        <f t="shared" si="51"/>
        <v>0.6</v>
      </c>
      <c r="V61" s="566">
        <f t="shared" si="51"/>
        <v>0.8</v>
      </c>
      <c r="W61" s="566">
        <f t="shared" si="51"/>
        <v>0</v>
      </c>
      <c r="X61" s="566">
        <f t="shared" si="51"/>
        <v>0</v>
      </c>
      <c r="Y61" s="566">
        <f t="shared" si="51"/>
        <v>0</v>
      </c>
      <c r="Z61" s="566">
        <f t="shared" si="51"/>
        <v>0</v>
      </c>
      <c r="AA61" s="566">
        <f t="shared" si="51"/>
        <v>2.2750000000000004</v>
      </c>
      <c r="AB61" s="144"/>
      <c r="AC61" s="231"/>
      <c r="AD61" s="231"/>
      <c r="AE61" s="231"/>
      <c r="AF61" s="231"/>
      <c r="AG61" s="231"/>
      <c r="AH61" s="231"/>
      <c r="AI61" s="213"/>
      <c r="AJ61" s="204"/>
      <c r="AK61" s="204"/>
      <c r="AL61" s="204"/>
      <c r="AM61" s="204"/>
      <c r="AN61" s="204"/>
    </row>
    <row r="62" spans="1:40">
      <c r="A62" s="144"/>
      <c r="B62" s="144"/>
      <c r="C62" s="144"/>
      <c r="D62" s="906"/>
      <c r="E62" s="144"/>
      <c r="F62" s="144"/>
      <c r="G62" s="144"/>
      <c r="H62" s="144"/>
      <c r="I62" s="144"/>
      <c r="J62" s="144"/>
      <c r="K62" s="144"/>
      <c r="L62" s="998"/>
      <c r="M62" s="144"/>
      <c r="N62" s="144"/>
      <c r="O62" s="144"/>
      <c r="P62" s="144"/>
      <c r="Q62" s="144"/>
      <c r="R62" s="144"/>
      <c r="S62" s="144"/>
      <c r="T62" s="144"/>
      <c r="U62" s="566">
        <f t="shared" si="51"/>
        <v>0.6</v>
      </c>
      <c r="V62" s="566">
        <f t="shared" si="51"/>
        <v>0.8</v>
      </c>
      <c r="W62" s="566">
        <f t="shared" si="51"/>
        <v>0</v>
      </c>
      <c r="X62" s="566">
        <f t="shared" si="51"/>
        <v>0</v>
      </c>
      <c r="Y62" s="566">
        <f t="shared" si="51"/>
        <v>0</v>
      </c>
      <c r="Z62" s="566">
        <f t="shared" si="51"/>
        <v>0</v>
      </c>
      <c r="AA62" s="566">
        <f t="shared" si="51"/>
        <v>2.2750000000000004</v>
      </c>
      <c r="AB62" s="144"/>
      <c r="AC62" s="231">
        <v>0</v>
      </c>
      <c r="AD62" s="231">
        <v>0</v>
      </c>
      <c r="AE62" s="231">
        <v>0</v>
      </c>
      <c r="AF62" s="231">
        <v>0</v>
      </c>
      <c r="AG62" s="231">
        <v>0</v>
      </c>
      <c r="AH62" s="231">
        <v>0</v>
      </c>
      <c r="AI62" s="213"/>
      <c r="AJ62" s="204"/>
      <c r="AK62" s="204"/>
      <c r="AL62" s="204"/>
      <c r="AM62" s="204"/>
      <c r="AN62" s="204"/>
    </row>
    <row r="63" spans="1:40">
      <c r="A63" s="144"/>
      <c r="B63" s="144"/>
      <c r="C63" s="144"/>
      <c r="D63" s="906"/>
      <c r="E63" s="144"/>
      <c r="F63" s="144"/>
      <c r="G63" s="144"/>
      <c r="H63" s="144"/>
      <c r="I63" s="144"/>
      <c r="J63" s="144"/>
      <c r="K63" s="144"/>
      <c r="L63" s="998"/>
      <c r="M63" s="144"/>
      <c r="N63" s="144"/>
      <c r="O63" s="144"/>
      <c r="P63" s="144"/>
      <c r="Q63" s="144"/>
      <c r="R63" s="144"/>
      <c r="S63" s="144"/>
      <c r="T63" s="144"/>
      <c r="U63" s="566">
        <f t="shared" si="51"/>
        <v>0.6</v>
      </c>
      <c r="V63" s="566">
        <f t="shared" si="51"/>
        <v>0.8</v>
      </c>
      <c r="W63" s="566">
        <f t="shared" si="51"/>
        <v>0</v>
      </c>
      <c r="X63" s="566">
        <f t="shared" si="51"/>
        <v>0</v>
      </c>
      <c r="Y63" s="566">
        <f t="shared" si="51"/>
        <v>0</v>
      </c>
      <c r="Z63" s="566">
        <f t="shared" si="51"/>
        <v>0</v>
      </c>
      <c r="AA63" s="566">
        <f t="shared" si="51"/>
        <v>2.2750000000000004</v>
      </c>
      <c r="AB63" s="144"/>
      <c r="AC63" s="231">
        <v>0</v>
      </c>
      <c r="AD63" s="231">
        <v>0</v>
      </c>
      <c r="AE63" s="231">
        <v>0</v>
      </c>
      <c r="AF63" s="231">
        <v>0</v>
      </c>
      <c r="AG63" s="231">
        <v>0</v>
      </c>
      <c r="AH63" s="231">
        <v>0</v>
      </c>
      <c r="AI63" s="213"/>
      <c r="AJ63" s="204"/>
      <c r="AK63" s="204"/>
      <c r="AL63" s="204"/>
      <c r="AM63" s="204"/>
      <c r="AN63" s="204"/>
    </row>
    <row r="64" spans="1:40">
      <c r="A64" s="144"/>
      <c r="B64" s="144"/>
      <c r="C64" s="144"/>
      <c r="D64" s="906"/>
      <c r="E64" s="144"/>
      <c r="F64" s="144"/>
      <c r="G64" s="144"/>
      <c r="H64" s="144"/>
      <c r="I64" s="144"/>
      <c r="J64" s="144"/>
      <c r="K64" s="144"/>
      <c r="L64" s="998"/>
      <c r="M64" s="144"/>
      <c r="N64" s="144"/>
      <c r="O64" s="144"/>
      <c r="P64" s="144"/>
      <c r="Q64" s="144"/>
      <c r="R64" s="144"/>
      <c r="S64" s="144"/>
      <c r="T64" s="144"/>
      <c r="U64" s="566">
        <f t="shared" si="51"/>
        <v>0.6</v>
      </c>
      <c r="V64" s="566">
        <f t="shared" si="51"/>
        <v>0.8</v>
      </c>
      <c r="W64" s="566">
        <f t="shared" si="51"/>
        <v>0</v>
      </c>
      <c r="X64" s="566">
        <f t="shared" si="51"/>
        <v>0</v>
      </c>
      <c r="Y64" s="566">
        <f t="shared" si="51"/>
        <v>0</v>
      </c>
      <c r="Z64" s="566">
        <f t="shared" si="51"/>
        <v>0</v>
      </c>
      <c r="AA64" s="566">
        <f t="shared" si="51"/>
        <v>2.2750000000000004</v>
      </c>
      <c r="AB64" s="144"/>
      <c r="AC64" s="231">
        <v>0</v>
      </c>
      <c r="AD64" s="231">
        <v>0</v>
      </c>
      <c r="AE64" s="231">
        <v>0</v>
      </c>
      <c r="AF64" s="231">
        <v>0</v>
      </c>
      <c r="AG64" s="231">
        <v>0</v>
      </c>
      <c r="AH64" s="231">
        <v>0</v>
      </c>
      <c r="AI64" s="213"/>
      <c r="AJ64" s="204"/>
      <c r="AK64" s="204"/>
      <c r="AL64" s="204"/>
      <c r="AM64" s="204"/>
      <c r="AN64" s="204"/>
    </row>
    <row r="65" spans="1:40">
      <c r="A65" s="144"/>
      <c r="B65" s="144"/>
      <c r="C65" s="144"/>
      <c r="D65" s="906"/>
      <c r="E65" s="144"/>
      <c r="F65" s="144"/>
      <c r="G65" s="144"/>
      <c r="H65" s="144"/>
      <c r="I65" s="144"/>
      <c r="J65" s="144"/>
      <c r="K65" s="144"/>
      <c r="L65" s="998"/>
      <c r="M65" s="144"/>
      <c r="N65" s="144"/>
      <c r="O65" s="144"/>
      <c r="P65" s="144"/>
      <c r="Q65" s="144"/>
      <c r="R65" s="144"/>
      <c r="S65" s="144"/>
      <c r="T65" s="144"/>
      <c r="U65" s="566">
        <f t="shared" si="51"/>
        <v>0.6</v>
      </c>
      <c r="V65" s="566">
        <f t="shared" si="51"/>
        <v>0.8</v>
      </c>
      <c r="W65" s="566">
        <f t="shared" si="51"/>
        <v>0</v>
      </c>
      <c r="X65" s="566">
        <f t="shared" si="51"/>
        <v>0</v>
      </c>
      <c r="Y65" s="566">
        <f t="shared" si="51"/>
        <v>0</v>
      </c>
      <c r="Z65" s="566">
        <f t="shared" si="51"/>
        <v>0</v>
      </c>
      <c r="AA65" s="566">
        <f t="shared" si="51"/>
        <v>2.2750000000000004</v>
      </c>
      <c r="AB65" s="144"/>
      <c r="AC65" s="231"/>
      <c r="AD65" s="231"/>
      <c r="AE65" s="231"/>
      <c r="AF65" s="231"/>
      <c r="AG65" s="231"/>
      <c r="AH65" s="231"/>
      <c r="AI65" s="213"/>
      <c r="AJ65" s="204"/>
      <c r="AK65" s="204"/>
      <c r="AL65" s="204"/>
      <c r="AM65" s="204"/>
      <c r="AN65" s="204"/>
    </row>
    <row r="66" spans="1:40">
      <c r="A66" s="144"/>
      <c r="B66" s="144"/>
      <c r="C66" s="144"/>
      <c r="D66" s="906"/>
      <c r="E66" s="144"/>
      <c r="F66" s="144"/>
      <c r="G66" s="144"/>
      <c r="H66" s="144"/>
      <c r="I66" s="144"/>
      <c r="J66" s="144"/>
      <c r="K66" s="144"/>
      <c r="L66" s="998"/>
      <c r="M66" s="144"/>
      <c r="N66" s="144"/>
      <c r="O66" s="144"/>
      <c r="P66" s="144"/>
      <c r="Q66" s="144"/>
      <c r="R66" s="144"/>
      <c r="S66" s="144"/>
      <c r="T66" s="144"/>
      <c r="U66" s="566">
        <f t="shared" si="51"/>
        <v>0.6</v>
      </c>
      <c r="V66" s="566">
        <f t="shared" si="51"/>
        <v>0.8</v>
      </c>
      <c r="W66" s="566">
        <f t="shared" si="51"/>
        <v>0</v>
      </c>
      <c r="X66" s="566">
        <f t="shared" si="51"/>
        <v>0</v>
      </c>
      <c r="Y66" s="566">
        <f t="shared" si="51"/>
        <v>0</v>
      </c>
      <c r="Z66" s="566">
        <f t="shared" si="51"/>
        <v>0</v>
      </c>
      <c r="AA66" s="566">
        <f t="shared" si="51"/>
        <v>2.2750000000000004</v>
      </c>
      <c r="AB66" s="144"/>
      <c r="AC66" s="231"/>
      <c r="AD66" s="231"/>
      <c r="AE66" s="231"/>
      <c r="AF66" s="231"/>
      <c r="AG66" s="231"/>
      <c r="AH66" s="231"/>
      <c r="AI66" s="213"/>
      <c r="AJ66" s="204"/>
      <c r="AK66" s="204"/>
      <c r="AL66" s="204"/>
      <c r="AM66" s="204"/>
      <c r="AN66" s="204"/>
    </row>
    <row r="67" spans="1:40">
      <c r="A67" s="144"/>
      <c r="B67" s="144"/>
      <c r="C67" s="144"/>
      <c r="D67" s="906"/>
      <c r="E67" s="144"/>
      <c r="F67" s="144"/>
      <c r="G67" s="144"/>
      <c r="H67" s="144"/>
      <c r="I67" s="144"/>
      <c r="J67" s="144"/>
      <c r="K67" s="144"/>
      <c r="L67" s="998"/>
      <c r="M67" s="144"/>
      <c r="N67" s="144"/>
      <c r="O67" s="144"/>
      <c r="P67" s="144"/>
      <c r="Q67" s="144"/>
      <c r="R67" s="144"/>
      <c r="S67" s="144"/>
      <c r="T67" s="144"/>
      <c r="U67" s="566">
        <f t="shared" si="51"/>
        <v>0.6</v>
      </c>
      <c r="V67" s="566">
        <f t="shared" si="51"/>
        <v>0.8</v>
      </c>
      <c r="W67" s="566">
        <f t="shared" si="51"/>
        <v>0</v>
      </c>
      <c r="X67" s="566">
        <f t="shared" si="51"/>
        <v>0</v>
      </c>
      <c r="Y67" s="566">
        <f t="shared" si="51"/>
        <v>0</v>
      </c>
      <c r="Z67" s="566">
        <f t="shared" si="51"/>
        <v>0</v>
      </c>
      <c r="AA67" s="566">
        <f t="shared" si="51"/>
        <v>2.2750000000000004</v>
      </c>
      <c r="AB67" s="144"/>
      <c r="AC67" s="231">
        <v>0</v>
      </c>
      <c r="AD67" s="231">
        <v>0</v>
      </c>
      <c r="AE67" s="231">
        <v>0</v>
      </c>
      <c r="AF67" s="231">
        <v>0</v>
      </c>
      <c r="AG67" s="231">
        <v>0</v>
      </c>
      <c r="AH67" s="231">
        <v>0</v>
      </c>
      <c r="AI67" s="213"/>
      <c r="AJ67" s="204"/>
      <c r="AK67" s="204"/>
      <c r="AL67" s="204"/>
      <c r="AM67" s="204"/>
      <c r="AN67" s="204"/>
    </row>
    <row r="68" spans="1:40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998"/>
      <c r="M68" s="144"/>
      <c r="N68" s="144"/>
      <c r="O68" s="144"/>
      <c r="P68" s="144"/>
      <c r="Q68" s="144"/>
      <c r="R68" s="144"/>
      <c r="S68" s="144"/>
      <c r="T68" s="144"/>
      <c r="U68" s="566">
        <f t="shared" si="51"/>
        <v>0.6</v>
      </c>
      <c r="V68" s="566">
        <f t="shared" si="51"/>
        <v>0.8</v>
      </c>
      <c r="W68" s="566">
        <f t="shared" si="51"/>
        <v>0</v>
      </c>
      <c r="X68" s="566">
        <f t="shared" si="51"/>
        <v>0</v>
      </c>
      <c r="Y68" s="566">
        <f t="shared" si="51"/>
        <v>0</v>
      </c>
      <c r="Z68" s="566">
        <f t="shared" si="51"/>
        <v>0</v>
      </c>
      <c r="AA68" s="566">
        <f t="shared" si="51"/>
        <v>2.2750000000000004</v>
      </c>
      <c r="AB68" s="144"/>
      <c r="AC68" s="231">
        <v>0</v>
      </c>
      <c r="AD68" s="231">
        <v>0</v>
      </c>
      <c r="AE68" s="231">
        <v>0</v>
      </c>
      <c r="AF68" s="231">
        <v>0</v>
      </c>
      <c r="AG68" s="231">
        <v>0</v>
      </c>
      <c r="AH68" s="231">
        <v>0</v>
      </c>
      <c r="AI68" s="213"/>
      <c r="AJ68" s="204"/>
      <c r="AK68" s="204"/>
      <c r="AL68" s="204"/>
      <c r="AM68" s="204"/>
      <c r="AN68" s="204"/>
    </row>
    <row r="69" spans="1:40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998"/>
      <c r="M69" s="144"/>
      <c r="N69" s="144"/>
      <c r="O69" s="144"/>
      <c r="P69" s="144"/>
      <c r="Q69" s="144"/>
      <c r="R69" s="144"/>
      <c r="S69" s="144"/>
      <c r="T69" s="144"/>
      <c r="U69" s="566">
        <f t="shared" ref="U69:AA75" si="52">IF(U68&gt;0,U68,U67)</f>
        <v>0.6</v>
      </c>
      <c r="V69" s="566">
        <f t="shared" si="52"/>
        <v>0.8</v>
      </c>
      <c r="W69" s="566">
        <f t="shared" si="52"/>
        <v>0</v>
      </c>
      <c r="X69" s="566">
        <f t="shared" si="52"/>
        <v>0</v>
      </c>
      <c r="Y69" s="566">
        <f t="shared" si="52"/>
        <v>0</v>
      </c>
      <c r="Z69" s="566">
        <f t="shared" si="52"/>
        <v>0</v>
      </c>
      <c r="AA69" s="566">
        <f t="shared" si="52"/>
        <v>2.2750000000000004</v>
      </c>
      <c r="AB69" s="144"/>
      <c r="AC69" s="231">
        <v>0</v>
      </c>
      <c r="AD69" s="231">
        <v>0</v>
      </c>
      <c r="AE69" s="231">
        <v>0</v>
      </c>
      <c r="AF69" s="231">
        <v>0</v>
      </c>
      <c r="AG69" s="231">
        <v>0</v>
      </c>
      <c r="AH69" s="231">
        <v>0</v>
      </c>
      <c r="AI69" s="213"/>
      <c r="AJ69" s="204"/>
      <c r="AK69" s="204"/>
      <c r="AL69" s="204"/>
      <c r="AM69" s="204"/>
      <c r="AN69" s="204"/>
    </row>
    <row r="70" spans="1:40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998"/>
      <c r="M70" s="144"/>
      <c r="N70" s="144"/>
      <c r="O70" s="144"/>
      <c r="P70" s="144"/>
      <c r="Q70" s="144"/>
      <c r="R70" s="144"/>
      <c r="S70" s="144"/>
      <c r="T70" s="144"/>
      <c r="U70" s="566">
        <f t="shared" si="52"/>
        <v>0.6</v>
      </c>
      <c r="V70" s="566">
        <f t="shared" si="52"/>
        <v>0.8</v>
      </c>
      <c r="W70" s="566">
        <f t="shared" si="52"/>
        <v>0</v>
      </c>
      <c r="X70" s="566">
        <f t="shared" si="52"/>
        <v>0</v>
      </c>
      <c r="Y70" s="566">
        <f t="shared" si="52"/>
        <v>0</v>
      </c>
      <c r="Z70" s="566">
        <f t="shared" si="52"/>
        <v>0</v>
      </c>
      <c r="AA70" s="566">
        <f t="shared" si="52"/>
        <v>2.2750000000000004</v>
      </c>
      <c r="AB70" s="144"/>
      <c r="AC70" s="231"/>
      <c r="AD70" s="231"/>
      <c r="AE70" s="231"/>
      <c r="AF70" s="231"/>
      <c r="AG70" s="231"/>
      <c r="AH70" s="231"/>
      <c r="AI70" s="213"/>
      <c r="AJ70" s="204"/>
      <c r="AK70" s="204"/>
      <c r="AL70" s="204"/>
      <c r="AM70" s="204"/>
      <c r="AN70" s="204"/>
    </row>
    <row r="71" spans="1:40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998"/>
      <c r="M71" s="144"/>
      <c r="N71" s="144"/>
      <c r="O71" s="144"/>
      <c r="P71" s="144"/>
      <c r="Q71" s="144"/>
      <c r="R71" s="144"/>
      <c r="S71" s="144"/>
      <c r="T71" s="144"/>
      <c r="U71" s="566">
        <f t="shared" si="52"/>
        <v>0.6</v>
      </c>
      <c r="V71" s="566">
        <f t="shared" si="52"/>
        <v>0.8</v>
      </c>
      <c r="W71" s="566">
        <f t="shared" si="52"/>
        <v>0</v>
      </c>
      <c r="X71" s="566">
        <f t="shared" si="52"/>
        <v>0</v>
      </c>
      <c r="Y71" s="566">
        <f t="shared" si="52"/>
        <v>0</v>
      </c>
      <c r="Z71" s="566">
        <f t="shared" si="52"/>
        <v>0</v>
      </c>
      <c r="AA71" s="566">
        <f t="shared" si="52"/>
        <v>2.2750000000000004</v>
      </c>
      <c r="AB71" s="144"/>
      <c r="AC71" s="231"/>
      <c r="AD71" s="231"/>
      <c r="AE71" s="231"/>
      <c r="AF71" s="231"/>
      <c r="AG71" s="231"/>
      <c r="AH71" s="231"/>
      <c r="AI71" s="213"/>
      <c r="AJ71" s="204"/>
      <c r="AK71" s="204"/>
      <c r="AL71" s="204"/>
      <c r="AM71" s="204"/>
      <c r="AN71" s="204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998"/>
      <c r="M72" s="144"/>
      <c r="N72" s="144"/>
      <c r="O72" s="144"/>
      <c r="P72" s="144"/>
      <c r="Q72" s="144"/>
      <c r="R72" s="144"/>
      <c r="S72" s="144"/>
      <c r="T72" s="144"/>
      <c r="U72" s="566">
        <f t="shared" si="52"/>
        <v>0.6</v>
      </c>
      <c r="V72" s="566">
        <f t="shared" si="52"/>
        <v>0.8</v>
      </c>
      <c r="W72" s="566">
        <f t="shared" si="52"/>
        <v>0</v>
      </c>
      <c r="X72" s="566">
        <f t="shared" si="52"/>
        <v>0</v>
      </c>
      <c r="Y72" s="566">
        <f t="shared" si="52"/>
        <v>0</v>
      </c>
      <c r="Z72" s="566">
        <f t="shared" si="52"/>
        <v>0</v>
      </c>
      <c r="AA72" s="566">
        <f t="shared" si="52"/>
        <v>2.2750000000000004</v>
      </c>
      <c r="AB72" s="144"/>
      <c r="AC72" s="231">
        <v>0</v>
      </c>
      <c r="AD72" s="231">
        <v>0</v>
      </c>
      <c r="AE72" s="231">
        <v>0</v>
      </c>
      <c r="AF72" s="231">
        <v>0</v>
      </c>
      <c r="AG72" s="231">
        <v>0</v>
      </c>
      <c r="AH72" s="231">
        <v>0</v>
      </c>
      <c r="AI72" s="213"/>
      <c r="AJ72" s="204"/>
      <c r="AK72" s="204"/>
      <c r="AL72" s="204"/>
      <c r="AM72" s="204"/>
      <c r="AN72" s="204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998"/>
      <c r="M73" s="144"/>
      <c r="N73" s="144"/>
      <c r="O73" s="144"/>
      <c r="P73" s="144"/>
      <c r="Q73" s="144"/>
      <c r="R73" s="144"/>
      <c r="S73" s="144"/>
      <c r="T73" s="144"/>
      <c r="U73" s="566">
        <f t="shared" si="52"/>
        <v>0.6</v>
      </c>
      <c r="V73" s="566">
        <f t="shared" si="52"/>
        <v>0.8</v>
      </c>
      <c r="W73" s="566">
        <f t="shared" si="52"/>
        <v>0</v>
      </c>
      <c r="X73" s="566">
        <f t="shared" si="52"/>
        <v>0</v>
      </c>
      <c r="Y73" s="566">
        <f t="shared" si="52"/>
        <v>0</v>
      </c>
      <c r="Z73" s="566">
        <f t="shared" si="52"/>
        <v>0</v>
      </c>
      <c r="AA73" s="566">
        <f t="shared" si="52"/>
        <v>2.2750000000000004</v>
      </c>
      <c r="AB73" s="144"/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13"/>
      <c r="AJ73" s="204"/>
      <c r="AK73" s="204"/>
      <c r="AL73" s="204"/>
      <c r="AM73" s="204"/>
      <c r="AN73" s="204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998"/>
      <c r="M74" s="144"/>
      <c r="N74" s="144"/>
      <c r="O74" s="144"/>
      <c r="P74" s="144"/>
      <c r="Q74" s="144"/>
      <c r="R74" s="144"/>
      <c r="S74" s="144"/>
      <c r="T74" s="144"/>
      <c r="U74" s="566">
        <f t="shared" si="52"/>
        <v>0.6</v>
      </c>
      <c r="V74" s="566">
        <f t="shared" si="52"/>
        <v>0.8</v>
      </c>
      <c r="W74" s="566">
        <f t="shared" si="52"/>
        <v>0</v>
      </c>
      <c r="X74" s="566">
        <f t="shared" si="52"/>
        <v>0</v>
      </c>
      <c r="Y74" s="566">
        <f t="shared" si="52"/>
        <v>0</v>
      </c>
      <c r="Z74" s="566">
        <f t="shared" si="52"/>
        <v>0</v>
      </c>
      <c r="AA74" s="566">
        <f t="shared" si="52"/>
        <v>2.2750000000000004</v>
      </c>
      <c r="AB74" s="144"/>
      <c r="AC74" s="231">
        <v>0</v>
      </c>
      <c r="AD74" s="231">
        <v>0</v>
      </c>
      <c r="AE74" s="231">
        <v>0</v>
      </c>
      <c r="AF74" s="231">
        <v>0</v>
      </c>
      <c r="AG74" s="231">
        <v>0</v>
      </c>
      <c r="AH74" s="231">
        <v>0</v>
      </c>
      <c r="AI74" s="213"/>
      <c r="AJ74" s="204"/>
      <c r="AK74" s="204"/>
      <c r="AL74" s="204"/>
      <c r="AM74" s="204"/>
      <c r="AN74" s="204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998"/>
      <c r="M75" s="144"/>
      <c r="N75" s="144"/>
      <c r="O75" s="144"/>
      <c r="P75" s="144"/>
      <c r="Q75" s="144"/>
      <c r="R75" s="144"/>
      <c r="S75" s="144"/>
      <c r="T75" s="144"/>
      <c r="U75" s="1130">
        <f>IF(U74&gt;0,U74,U73)</f>
        <v>0.6</v>
      </c>
      <c r="V75" s="1130">
        <f t="shared" si="52"/>
        <v>0.8</v>
      </c>
      <c r="W75" s="1130">
        <f t="shared" si="52"/>
        <v>0</v>
      </c>
      <c r="X75" s="1130">
        <f t="shared" si="52"/>
        <v>0</v>
      </c>
      <c r="Y75" s="1130">
        <f t="shared" si="52"/>
        <v>0</v>
      </c>
      <c r="Z75" s="1130">
        <f t="shared" si="52"/>
        <v>0</v>
      </c>
      <c r="AA75" s="1130">
        <f t="shared" si="52"/>
        <v>2.2750000000000004</v>
      </c>
      <c r="AB75" s="144"/>
      <c r="AC75" s="231"/>
      <c r="AD75" s="231"/>
      <c r="AE75" s="231"/>
      <c r="AF75" s="231"/>
      <c r="AG75" s="231"/>
      <c r="AH75" s="231"/>
      <c r="AI75" s="213"/>
      <c r="AJ75" s="204"/>
      <c r="AK75" s="204"/>
      <c r="AL75" s="204"/>
      <c r="AM75" s="204"/>
      <c r="AN75" s="204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998"/>
      <c r="M76" s="144"/>
      <c r="N76" s="144"/>
      <c r="O76" s="144"/>
      <c r="P76" s="144"/>
      <c r="Q76" s="144"/>
      <c r="R76" s="144"/>
      <c r="S76" s="144"/>
      <c r="T76" s="144"/>
      <c r="U76" s="222"/>
      <c r="V76" s="222"/>
      <c r="W76" s="222"/>
      <c r="X76" s="222"/>
      <c r="Y76" s="222"/>
      <c r="Z76" s="222"/>
      <c r="AA76" s="222"/>
      <c r="AB76" s="144"/>
      <c r="AC76" s="231"/>
      <c r="AD76" s="231"/>
      <c r="AE76" s="231"/>
      <c r="AF76" s="231"/>
      <c r="AG76" s="231"/>
      <c r="AH76" s="231"/>
      <c r="AI76" s="213"/>
      <c r="AJ76" s="204"/>
      <c r="AK76" s="204"/>
      <c r="AL76" s="204"/>
      <c r="AM76" s="204"/>
      <c r="AN76" s="204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998"/>
      <c r="M77" s="144"/>
      <c r="N77" s="144"/>
      <c r="O77" s="144"/>
      <c r="P77" s="144"/>
      <c r="Q77" s="144"/>
      <c r="R77" s="144"/>
      <c r="S77" s="144"/>
      <c r="T77" s="144"/>
      <c r="U77" s="222"/>
      <c r="V77" s="222"/>
      <c r="W77" s="222"/>
      <c r="X77" s="222"/>
      <c r="Y77" s="222"/>
      <c r="Z77" s="222"/>
      <c r="AA77" s="222"/>
      <c r="AB77" s="144"/>
      <c r="AC77" s="231">
        <v>0</v>
      </c>
      <c r="AD77" s="231">
        <v>0</v>
      </c>
      <c r="AE77" s="231">
        <v>0</v>
      </c>
      <c r="AF77" s="231">
        <v>0</v>
      </c>
      <c r="AG77" s="231">
        <v>0</v>
      </c>
      <c r="AH77" s="231">
        <v>0</v>
      </c>
      <c r="AI77" s="213"/>
      <c r="AJ77" s="204"/>
      <c r="AK77" s="204"/>
      <c r="AL77" s="204"/>
      <c r="AM77" s="204"/>
      <c r="AN77" s="204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998"/>
      <c r="M78" s="144"/>
      <c r="N78" s="144"/>
      <c r="O78" s="144"/>
      <c r="P78" s="144"/>
      <c r="Q78" s="144"/>
      <c r="R78" s="144"/>
      <c r="S78" s="144"/>
      <c r="T78" s="144"/>
      <c r="U78" s="222"/>
      <c r="V78" s="222"/>
      <c r="W78" s="222"/>
      <c r="X78" s="222"/>
      <c r="Y78" s="222"/>
      <c r="Z78" s="222"/>
      <c r="AA78" s="222"/>
      <c r="AB78" s="144"/>
      <c r="AC78" s="231"/>
      <c r="AD78" s="231"/>
      <c r="AE78" s="231"/>
      <c r="AF78" s="231"/>
      <c r="AG78" s="231"/>
      <c r="AH78" s="231"/>
      <c r="AJ78" s="204"/>
      <c r="AK78" s="204"/>
      <c r="AL78" s="204"/>
      <c r="AM78" s="204"/>
      <c r="AN78" s="204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998"/>
      <c r="M79" s="144"/>
      <c r="N79" s="144"/>
      <c r="O79" s="144"/>
      <c r="P79" s="144"/>
      <c r="Q79" s="144"/>
      <c r="R79" s="144"/>
      <c r="S79" s="144"/>
      <c r="T79" s="144"/>
      <c r="U79" s="222"/>
      <c r="V79" s="222"/>
      <c r="W79" s="222"/>
      <c r="X79" s="222"/>
      <c r="Y79" s="222"/>
      <c r="Z79" s="222"/>
      <c r="AA79" s="222"/>
      <c r="AB79" s="144"/>
      <c r="AJ79" s="204"/>
      <c r="AK79" s="204"/>
      <c r="AL79" s="204"/>
      <c r="AM79" s="204"/>
      <c r="AN79" s="204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998"/>
      <c r="M80" s="144"/>
      <c r="N80" s="144"/>
      <c r="O80" s="144"/>
      <c r="P80" s="144"/>
      <c r="Q80" s="144"/>
      <c r="R80" s="144"/>
      <c r="S80" s="144"/>
      <c r="T80" s="144"/>
      <c r="U80" s="222"/>
      <c r="V80" s="222"/>
      <c r="W80" s="222"/>
      <c r="X80" s="222"/>
      <c r="Y80" s="222"/>
      <c r="Z80" s="222"/>
      <c r="AA80" s="222"/>
      <c r="AB80" s="144"/>
      <c r="AN80" s="204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998"/>
      <c r="M81" s="144"/>
      <c r="N81" s="144"/>
      <c r="O81" s="144"/>
      <c r="P81" s="144"/>
      <c r="Q81" s="144"/>
      <c r="R81" s="144"/>
      <c r="S81" s="144"/>
      <c r="T81" s="144"/>
      <c r="U81" s="222"/>
      <c r="V81" s="222"/>
      <c r="W81" s="222"/>
      <c r="X81" s="222"/>
      <c r="Y81" s="222"/>
      <c r="Z81" s="222"/>
      <c r="AA81" s="222"/>
      <c r="AB81" s="144"/>
      <c r="AN81" s="204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998"/>
      <c r="M82" s="144"/>
      <c r="N82" s="144"/>
      <c r="O82" s="144"/>
      <c r="P82" s="144"/>
      <c r="Q82" s="144"/>
      <c r="R82" s="144"/>
      <c r="S82" s="144"/>
      <c r="T82" s="144"/>
      <c r="U82" s="222"/>
      <c r="V82" s="222"/>
      <c r="W82" s="222"/>
      <c r="X82" s="222"/>
      <c r="Y82" s="222"/>
      <c r="Z82" s="222"/>
      <c r="AA82" s="222"/>
      <c r="AB82" s="144"/>
      <c r="AN82" s="204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998"/>
      <c r="M83" s="144"/>
      <c r="N83" s="144"/>
      <c r="O83" s="144"/>
      <c r="P83" s="144"/>
      <c r="Q83" s="144"/>
      <c r="R83" s="144"/>
      <c r="S83" s="144"/>
      <c r="T83" s="144"/>
      <c r="U83" s="222"/>
      <c r="V83" s="222"/>
      <c r="W83" s="222"/>
      <c r="X83" s="222"/>
      <c r="Y83" s="222"/>
      <c r="Z83" s="222"/>
      <c r="AA83" s="222"/>
      <c r="AB83" s="144"/>
      <c r="AN83" s="204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998"/>
      <c r="M84" s="144"/>
      <c r="N84" s="144"/>
      <c r="O84" s="144"/>
      <c r="P84" s="144"/>
      <c r="Q84" s="144"/>
      <c r="R84" s="144"/>
      <c r="S84" s="144"/>
      <c r="T84" s="144"/>
      <c r="U84" s="222"/>
      <c r="V84" s="222"/>
      <c r="W84" s="222"/>
      <c r="X84" s="222"/>
      <c r="Y84" s="222"/>
      <c r="Z84" s="222"/>
      <c r="AA84" s="222"/>
      <c r="AB84" s="144"/>
      <c r="AN84" s="204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998"/>
      <c r="M85" s="144"/>
      <c r="N85" s="144"/>
      <c r="O85" s="144"/>
      <c r="P85" s="144"/>
      <c r="Q85" s="144"/>
      <c r="R85" s="144"/>
      <c r="S85" s="144"/>
      <c r="T85" s="144"/>
      <c r="U85" s="222"/>
      <c r="V85" s="222"/>
      <c r="W85" s="222"/>
      <c r="X85" s="222"/>
      <c r="Y85" s="222"/>
      <c r="Z85" s="222"/>
      <c r="AA85" s="222"/>
      <c r="AB85" s="144"/>
      <c r="AN85" s="204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998"/>
      <c r="M86" s="144"/>
      <c r="N86" s="144"/>
      <c r="O86" s="144"/>
      <c r="P86" s="144"/>
      <c r="Q86" s="144"/>
      <c r="R86" s="144"/>
      <c r="S86" s="144"/>
      <c r="T86" s="144"/>
      <c r="U86" s="222"/>
      <c r="V86" s="222"/>
      <c r="W86" s="222"/>
      <c r="X86" s="222"/>
      <c r="Y86" s="222"/>
      <c r="Z86" s="222"/>
      <c r="AA86" s="222"/>
      <c r="AB86" s="144"/>
      <c r="AN86" s="204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998"/>
      <c r="M87" s="144"/>
      <c r="N87" s="144"/>
      <c r="O87" s="144"/>
      <c r="P87" s="144"/>
      <c r="Q87" s="144"/>
      <c r="R87" s="144"/>
      <c r="S87" s="144"/>
      <c r="T87" s="144"/>
      <c r="U87" s="222"/>
      <c r="V87" s="222"/>
      <c r="W87" s="222"/>
      <c r="X87" s="222"/>
      <c r="Y87" s="222"/>
      <c r="Z87" s="222"/>
      <c r="AA87" s="222"/>
      <c r="AB87" s="144"/>
      <c r="AN87" s="204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998"/>
      <c r="M88" s="144"/>
      <c r="N88" s="144"/>
      <c r="O88" s="144"/>
      <c r="P88" s="144"/>
      <c r="Q88" s="144"/>
      <c r="R88" s="144"/>
      <c r="S88" s="144"/>
      <c r="T88" s="144"/>
      <c r="U88" s="222"/>
      <c r="V88" s="222"/>
      <c r="W88" s="222"/>
      <c r="X88" s="222"/>
      <c r="Y88" s="222"/>
      <c r="Z88" s="222"/>
      <c r="AA88" s="222"/>
      <c r="AB88" s="144"/>
      <c r="AN88" s="204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998"/>
      <c r="M89" s="144"/>
      <c r="N89" s="144"/>
      <c r="O89" s="144"/>
      <c r="P89" s="144"/>
      <c r="Q89" s="144"/>
      <c r="R89" s="144"/>
      <c r="S89" s="144"/>
      <c r="T89" s="144"/>
      <c r="U89" s="222"/>
      <c r="V89" s="222"/>
      <c r="W89" s="222"/>
      <c r="X89" s="222"/>
      <c r="Y89" s="222"/>
      <c r="Z89" s="222"/>
      <c r="AA89" s="222"/>
      <c r="AB89" s="144"/>
      <c r="AN89" s="204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998"/>
      <c r="M90" s="144"/>
      <c r="N90" s="144"/>
      <c r="O90" s="144"/>
      <c r="P90" s="144"/>
      <c r="Q90" s="144"/>
      <c r="R90" s="144"/>
      <c r="S90" s="144"/>
      <c r="T90" s="144"/>
      <c r="U90" s="222"/>
      <c r="V90" s="222"/>
      <c r="W90" s="222"/>
      <c r="X90" s="222"/>
      <c r="Y90" s="222"/>
      <c r="Z90" s="222"/>
      <c r="AA90" s="222"/>
      <c r="AB90" s="144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  <c r="AN90" s="204"/>
    </row>
    <row r="91" spans="1:40" s="247" customFormat="1" ht="11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998"/>
      <c r="M91" s="144"/>
      <c r="N91" s="144"/>
      <c r="O91" s="144"/>
      <c r="P91" s="144"/>
      <c r="Q91" s="144"/>
      <c r="R91" s="144"/>
      <c r="S91" s="144"/>
      <c r="T91" s="144"/>
      <c r="U91" s="222"/>
      <c r="V91" s="222"/>
      <c r="W91" s="222"/>
      <c r="X91" s="222"/>
      <c r="Y91" s="222"/>
      <c r="Z91" s="222"/>
      <c r="AA91" s="222"/>
      <c r="AB91" s="14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</row>
    <row r="92" spans="1:40" s="247" customFormat="1" ht="11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998"/>
      <c r="M92" s="144"/>
      <c r="N92" s="144"/>
      <c r="O92" s="144"/>
      <c r="P92" s="144"/>
      <c r="Q92" s="144"/>
      <c r="R92" s="144"/>
      <c r="S92" s="144"/>
      <c r="T92" s="144"/>
      <c r="U92" s="222"/>
      <c r="V92" s="222"/>
      <c r="W92" s="222"/>
      <c r="X92" s="222"/>
      <c r="Y92" s="222"/>
      <c r="Z92" s="222"/>
      <c r="AA92" s="222"/>
      <c r="AB92" s="14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</row>
    <row r="93" spans="1:40" s="247" customFormat="1" ht="11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998"/>
      <c r="M93" s="144"/>
      <c r="N93" s="144"/>
      <c r="O93" s="144"/>
      <c r="P93" s="144"/>
      <c r="Q93" s="144"/>
      <c r="R93" s="144"/>
      <c r="S93" s="144"/>
      <c r="T93" s="144"/>
      <c r="U93" s="222"/>
      <c r="V93" s="222"/>
      <c r="W93" s="222"/>
      <c r="X93" s="222"/>
      <c r="Y93" s="222"/>
      <c r="Z93" s="222"/>
      <c r="AA93" s="222"/>
      <c r="AB93" s="14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</row>
    <row r="94" spans="1:40" s="247" customFormat="1" ht="11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998"/>
      <c r="M94" s="144"/>
      <c r="N94" s="144"/>
      <c r="O94" s="144"/>
      <c r="P94" s="144"/>
      <c r="Q94" s="144"/>
      <c r="R94" s="144"/>
      <c r="S94" s="144"/>
      <c r="T94" s="144"/>
      <c r="U94" s="222"/>
      <c r="V94" s="222"/>
      <c r="W94" s="222"/>
      <c r="X94" s="222"/>
      <c r="Y94" s="222"/>
      <c r="Z94" s="222"/>
      <c r="AA94" s="222"/>
      <c r="AB94" s="14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</row>
    <row r="95" spans="1:40" s="247" customFormat="1" ht="11">
      <c r="B95" s="144"/>
      <c r="C95" s="143"/>
      <c r="D95" s="907"/>
      <c r="E95" s="143"/>
      <c r="F95" s="145"/>
      <c r="G95" s="146"/>
      <c r="H95" s="146"/>
      <c r="I95" s="146"/>
      <c r="J95" s="146"/>
      <c r="K95" s="146"/>
      <c r="L95" s="999"/>
      <c r="M95" s="458"/>
      <c r="N95" s="145"/>
      <c r="O95" s="146"/>
      <c r="P95" s="146"/>
      <c r="Q95" s="147"/>
      <c r="R95" s="147"/>
      <c r="S95" s="142"/>
      <c r="T95" s="142"/>
      <c r="U95" s="222"/>
      <c r="V95" s="222"/>
      <c r="W95" s="222"/>
      <c r="X95" s="222"/>
      <c r="Y95" s="222"/>
      <c r="Z95" s="222"/>
      <c r="AA95" s="222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</row>
    <row r="96" spans="1:40" s="247" customFormat="1" ht="11">
      <c r="B96" s="144"/>
      <c r="C96" s="143"/>
      <c r="D96" s="907"/>
      <c r="E96" s="143"/>
      <c r="F96" s="145"/>
      <c r="G96" s="146"/>
      <c r="H96" s="146"/>
      <c r="I96" s="146"/>
      <c r="J96" s="146"/>
      <c r="K96" s="146"/>
      <c r="L96" s="999"/>
      <c r="M96" s="458"/>
      <c r="N96" s="145"/>
      <c r="O96" s="146"/>
      <c r="P96" s="146"/>
      <c r="Q96" s="147"/>
      <c r="R96" s="147"/>
      <c r="S96" s="142"/>
      <c r="T96" s="142"/>
      <c r="U96" s="222"/>
      <c r="V96" s="222"/>
      <c r="W96" s="222"/>
      <c r="X96" s="222"/>
      <c r="Y96" s="222"/>
      <c r="Z96" s="222"/>
      <c r="AA96" s="222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</row>
    <row r="97" spans="2:39" s="247" customFormat="1" ht="11">
      <c r="B97" s="144"/>
      <c r="C97" s="143"/>
      <c r="D97" s="907"/>
      <c r="E97" s="143"/>
      <c r="F97" s="145"/>
      <c r="G97" s="146"/>
      <c r="H97" s="146"/>
      <c r="I97" s="146"/>
      <c r="J97" s="146"/>
      <c r="K97" s="146"/>
      <c r="L97" s="999"/>
      <c r="M97" s="458"/>
      <c r="N97" s="145"/>
      <c r="O97" s="146"/>
      <c r="P97" s="146"/>
      <c r="Q97" s="147"/>
      <c r="R97" s="147"/>
      <c r="S97" s="142"/>
      <c r="T97" s="142"/>
      <c r="U97" s="222"/>
      <c r="V97" s="222"/>
      <c r="W97" s="222"/>
      <c r="X97" s="222"/>
      <c r="Y97" s="222"/>
      <c r="Z97" s="222"/>
      <c r="AA97" s="222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</row>
    <row r="98" spans="2:39" s="247" customFormat="1" ht="11">
      <c r="B98" s="144"/>
      <c r="C98" s="143"/>
      <c r="D98" s="907"/>
      <c r="E98" s="143"/>
      <c r="F98" s="145"/>
      <c r="G98" s="146"/>
      <c r="H98" s="146"/>
      <c r="I98" s="146"/>
      <c r="J98" s="146"/>
      <c r="K98" s="146"/>
      <c r="L98" s="999"/>
      <c r="M98" s="458"/>
      <c r="N98" s="145"/>
      <c r="O98" s="146"/>
      <c r="P98" s="146"/>
      <c r="Q98" s="147"/>
      <c r="R98" s="147"/>
      <c r="S98" s="142"/>
      <c r="T98" s="142"/>
      <c r="U98" s="222"/>
      <c r="V98" s="222"/>
      <c r="W98" s="222"/>
      <c r="X98" s="222"/>
      <c r="Y98" s="222"/>
      <c r="Z98" s="222"/>
      <c r="AA98" s="222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</row>
    <row r="99" spans="2:39" s="247" customFormat="1" ht="11">
      <c r="B99" s="144"/>
      <c r="C99" s="143"/>
      <c r="D99" s="907"/>
      <c r="E99" s="143"/>
      <c r="F99" s="145"/>
      <c r="G99" s="146"/>
      <c r="H99" s="146"/>
      <c r="I99" s="146"/>
      <c r="J99" s="146"/>
      <c r="K99" s="146"/>
      <c r="L99" s="999"/>
      <c r="M99" s="458"/>
      <c r="N99" s="145"/>
      <c r="O99" s="146"/>
      <c r="P99" s="146"/>
      <c r="Q99" s="147"/>
      <c r="R99" s="147"/>
      <c r="S99" s="142"/>
      <c r="T99" s="142"/>
      <c r="U99" s="146"/>
      <c r="V99" s="146"/>
      <c r="W99" s="146"/>
      <c r="X99" s="146"/>
      <c r="Y99" s="146"/>
      <c r="Z99" s="146"/>
      <c r="AA99" s="146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</row>
    <row r="100" spans="2:39" s="247" customFormat="1" ht="11">
      <c r="B100" s="144"/>
      <c r="C100" s="143"/>
      <c r="D100" s="907"/>
      <c r="E100" s="143"/>
      <c r="F100" s="145"/>
      <c r="G100" s="146"/>
      <c r="H100" s="146"/>
      <c r="I100" s="146"/>
      <c r="J100" s="146"/>
      <c r="K100" s="146"/>
      <c r="L100" s="999"/>
      <c r="M100" s="458"/>
      <c r="N100" s="145"/>
      <c r="O100" s="146"/>
      <c r="P100" s="146"/>
      <c r="Q100" s="147"/>
      <c r="R100" s="147"/>
      <c r="S100" s="142"/>
      <c r="T100" s="142"/>
      <c r="U100" s="146"/>
      <c r="V100" s="146"/>
      <c r="W100" s="146"/>
      <c r="X100" s="146"/>
      <c r="Y100" s="146"/>
      <c r="Z100" s="146"/>
      <c r="AA100" s="146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</row>
    <row r="101" spans="2:39" s="247" customFormat="1" ht="11">
      <c r="B101" s="144"/>
      <c r="C101" s="143"/>
      <c r="D101" s="907"/>
      <c r="E101" s="143"/>
      <c r="F101" s="145"/>
      <c r="G101" s="146"/>
      <c r="H101" s="146"/>
      <c r="I101" s="146"/>
      <c r="J101" s="146"/>
      <c r="K101" s="146"/>
      <c r="L101" s="999"/>
      <c r="M101" s="458"/>
      <c r="N101" s="145"/>
      <c r="O101" s="146"/>
      <c r="P101" s="146"/>
      <c r="Q101" s="147"/>
      <c r="R101" s="147"/>
      <c r="S101" s="142"/>
      <c r="T101" s="142"/>
      <c r="U101" s="146"/>
      <c r="V101" s="146"/>
      <c r="W101" s="146"/>
      <c r="X101" s="146"/>
      <c r="Y101" s="146"/>
      <c r="Z101" s="146"/>
      <c r="AA101" s="146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</row>
    <row r="102" spans="2:39" s="247" customFormat="1" ht="11">
      <c r="B102" s="144"/>
      <c r="C102" s="143"/>
      <c r="D102" s="907"/>
      <c r="E102" s="143"/>
      <c r="F102" s="145"/>
      <c r="G102" s="146"/>
      <c r="H102" s="146"/>
      <c r="I102" s="146"/>
      <c r="J102" s="146"/>
      <c r="K102" s="146"/>
      <c r="L102" s="999"/>
      <c r="M102" s="458"/>
      <c r="N102" s="145"/>
      <c r="O102" s="146"/>
      <c r="P102" s="146"/>
      <c r="Q102" s="147"/>
      <c r="R102" s="147"/>
      <c r="S102" s="142"/>
      <c r="T102" s="142"/>
      <c r="U102" s="146"/>
      <c r="V102" s="146"/>
      <c r="W102" s="146"/>
      <c r="X102" s="146"/>
      <c r="Y102" s="146"/>
      <c r="Z102" s="146"/>
      <c r="AA102" s="146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2:39" s="247" customFormat="1" ht="11">
      <c r="B103" s="144"/>
      <c r="C103" s="143"/>
      <c r="D103" s="907"/>
      <c r="E103" s="143"/>
      <c r="F103" s="145"/>
      <c r="G103" s="146"/>
      <c r="H103" s="146"/>
      <c r="I103" s="146"/>
      <c r="J103" s="146"/>
      <c r="K103" s="146"/>
      <c r="L103" s="999"/>
      <c r="M103" s="458"/>
      <c r="N103" s="145"/>
      <c r="O103" s="146"/>
      <c r="P103" s="146"/>
      <c r="Q103" s="147"/>
      <c r="R103" s="147"/>
      <c r="S103" s="142"/>
      <c r="T103" s="142"/>
      <c r="U103" s="146"/>
      <c r="V103" s="146"/>
      <c r="W103" s="146"/>
      <c r="X103" s="146"/>
      <c r="Y103" s="146"/>
      <c r="Z103" s="146"/>
      <c r="AA103" s="146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2:39" s="247" customFormat="1" ht="11">
      <c r="B104" s="144"/>
      <c r="C104" s="143"/>
      <c r="D104" s="907"/>
      <c r="E104" s="143"/>
      <c r="F104" s="145"/>
      <c r="G104" s="146"/>
      <c r="H104" s="146"/>
      <c r="I104" s="146"/>
      <c r="J104" s="146"/>
      <c r="K104" s="146"/>
      <c r="L104" s="999"/>
      <c r="M104" s="458"/>
      <c r="N104" s="145"/>
      <c r="O104" s="146"/>
      <c r="P104" s="146"/>
      <c r="Q104" s="147"/>
      <c r="R104" s="147"/>
      <c r="S104" s="142"/>
      <c r="T104" s="142"/>
      <c r="U104" s="146"/>
      <c r="V104" s="146"/>
      <c r="W104" s="146"/>
      <c r="X104" s="146"/>
      <c r="Y104" s="146"/>
      <c r="Z104" s="146"/>
      <c r="AA104" s="146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2:39" s="247" customFormat="1" ht="11">
      <c r="B105" s="144"/>
      <c r="C105" s="143"/>
      <c r="D105" s="907"/>
      <c r="E105" s="143"/>
      <c r="F105" s="145"/>
      <c r="G105" s="146"/>
      <c r="H105" s="146"/>
      <c r="I105" s="146"/>
      <c r="J105" s="146"/>
      <c r="K105" s="146"/>
      <c r="L105" s="999"/>
      <c r="M105" s="458"/>
      <c r="N105" s="145"/>
      <c r="O105" s="146"/>
      <c r="P105" s="146"/>
      <c r="Q105" s="147"/>
      <c r="R105" s="147"/>
      <c r="S105" s="142"/>
      <c r="T105" s="142"/>
      <c r="U105" s="146"/>
      <c r="V105" s="146"/>
      <c r="W105" s="146"/>
      <c r="X105" s="146"/>
      <c r="Y105" s="146"/>
      <c r="Z105" s="146"/>
      <c r="AA105" s="146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2:39" s="247" customFormat="1" ht="11">
      <c r="B106" s="144"/>
      <c r="C106" s="143"/>
      <c r="D106" s="907"/>
      <c r="E106" s="143"/>
      <c r="F106" s="145"/>
      <c r="G106" s="146"/>
      <c r="H106" s="146"/>
      <c r="I106" s="146"/>
      <c r="J106" s="146"/>
      <c r="K106" s="146"/>
      <c r="L106" s="999"/>
      <c r="M106" s="458"/>
      <c r="N106" s="145"/>
      <c r="O106" s="146"/>
      <c r="P106" s="146"/>
      <c r="Q106" s="147"/>
      <c r="R106" s="147"/>
      <c r="S106" s="142"/>
      <c r="T106" s="142"/>
      <c r="U106" s="146"/>
      <c r="V106" s="146"/>
      <c r="W106" s="146"/>
      <c r="X106" s="146"/>
      <c r="Y106" s="146"/>
      <c r="Z106" s="146"/>
      <c r="AA106" s="146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2:39" s="247" customFormat="1" ht="11">
      <c r="B107" s="144"/>
      <c r="C107" s="143"/>
      <c r="D107" s="907"/>
      <c r="E107" s="143"/>
      <c r="F107" s="145"/>
      <c r="G107" s="146"/>
      <c r="H107" s="146"/>
      <c r="I107" s="146"/>
      <c r="J107" s="146"/>
      <c r="K107" s="146"/>
      <c r="L107" s="999"/>
      <c r="M107" s="458"/>
      <c r="N107" s="145"/>
      <c r="O107" s="146"/>
      <c r="P107" s="146"/>
      <c r="Q107" s="147"/>
      <c r="R107" s="147"/>
      <c r="S107" s="142"/>
      <c r="T107" s="142"/>
      <c r="U107" s="146"/>
      <c r="V107" s="146"/>
      <c r="W107" s="146"/>
      <c r="X107" s="146"/>
      <c r="Y107" s="146"/>
      <c r="Z107" s="146"/>
      <c r="AA107" s="146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2:39" s="247" customFormat="1" ht="11">
      <c r="B108" s="144"/>
      <c r="C108" s="143"/>
      <c r="D108" s="907"/>
      <c r="E108" s="143"/>
      <c r="F108" s="145"/>
      <c r="G108" s="146"/>
      <c r="H108" s="146"/>
      <c r="I108" s="146"/>
      <c r="J108" s="146"/>
      <c r="K108" s="146"/>
      <c r="L108" s="999"/>
      <c r="M108" s="458"/>
      <c r="N108" s="145"/>
      <c r="O108" s="146"/>
      <c r="P108" s="146"/>
      <c r="Q108" s="147"/>
      <c r="R108" s="147"/>
      <c r="S108" s="142"/>
      <c r="T108" s="142"/>
      <c r="U108" s="146"/>
      <c r="V108" s="146"/>
      <c r="W108" s="146"/>
      <c r="X108" s="146"/>
      <c r="Y108" s="146"/>
      <c r="Z108" s="146"/>
      <c r="AA108" s="146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2:39" s="247" customFormat="1" ht="11">
      <c r="B109" s="144"/>
      <c r="C109" s="143"/>
      <c r="D109" s="907"/>
      <c r="E109" s="143"/>
      <c r="F109" s="145"/>
      <c r="G109" s="146"/>
      <c r="H109" s="146"/>
      <c r="I109" s="146"/>
      <c r="J109" s="146"/>
      <c r="K109" s="146"/>
      <c r="L109" s="999"/>
      <c r="M109" s="458"/>
      <c r="N109" s="145"/>
      <c r="O109" s="146"/>
      <c r="P109" s="146"/>
      <c r="Q109" s="147"/>
      <c r="R109" s="147"/>
      <c r="S109" s="142"/>
      <c r="T109" s="142"/>
      <c r="U109" s="146"/>
      <c r="V109" s="146"/>
      <c r="W109" s="146"/>
      <c r="X109" s="146"/>
      <c r="Y109" s="146"/>
      <c r="Z109" s="146"/>
      <c r="AA109" s="146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2:39" s="247" customFormat="1" ht="11">
      <c r="B110" s="144"/>
      <c r="C110" s="143"/>
      <c r="D110" s="907"/>
      <c r="E110" s="143"/>
      <c r="F110" s="145"/>
      <c r="G110" s="146"/>
      <c r="H110" s="146"/>
      <c r="I110" s="146"/>
      <c r="J110" s="146"/>
      <c r="K110" s="146"/>
      <c r="L110" s="999"/>
      <c r="M110" s="458"/>
      <c r="N110" s="145"/>
      <c r="O110" s="146"/>
      <c r="P110" s="146"/>
      <c r="Q110" s="147"/>
      <c r="R110" s="147"/>
      <c r="S110" s="142"/>
      <c r="T110" s="142"/>
      <c r="U110" s="146"/>
      <c r="V110" s="146"/>
      <c r="W110" s="146"/>
      <c r="X110" s="146"/>
      <c r="Y110" s="146"/>
      <c r="Z110" s="146"/>
      <c r="AA110" s="146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2:39" s="247" customFormat="1" ht="11">
      <c r="B111" s="144"/>
      <c r="C111" s="143"/>
      <c r="D111" s="907"/>
      <c r="E111" s="143"/>
      <c r="F111" s="145"/>
      <c r="G111" s="146"/>
      <c r="H111" s="146"/>
      <c r="I111" s="146"/>
      <c r="J111" s="146"/>
      <c r="K111" s="146"/>
      <c r="L111" s="999"/>
      <c r="M111" s="458"/>
      <c r="N111" s="145"/>
      <c r="O111" s="146"/>
      <c r="P111" s="146"/>
      <c r="Q111" s="147"/>
      <c r="R111" s="147"/>
      <c r="S111" s="142"/>
      <c r="T111" s="142"/>
      <c r="U111" s="146"/>
      <c r="V111" s="146"/>
      <c r="W111" s="146"/>
      <c r="X111" s="146"/>
      <c r="Y111" s="146"/>
      <c r="Z111" s="146"/>
      <c r="AA111" s="146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2:39" s="247" customFormat="1" ht="11">
      <c r="B112" s="144"/>
      <c r="C112" s="143"/>
      <c r="D112" s="907"/>
      <c r="E112" s="143"/>
      <c r="F112" s="145"/>
      <c r="G112" s="146"/>
      <c r="H112" s="146"/>
      <c r="I112" s="146"/>
      <c r="J112" s="146"/>
      <c r="K112" s="146"/>
      <c r="L112" s="999"/>
      <c r="M112" s="458"/>
      <c r="N112" s="145"/>
      <c r="O112" s="146"/>
      <c r="P112" s="146"/>
      <c r="Q112" s="147"/>
      <c r="R112" s="147"/>
      <c r="S112" s="142"/>
      <c r="T112" s="142"/>
      <c r="U112" s="146"/>
      <c r="V112" s="146"/>
      <c r="W112" s="146"/>
      <c r="X112" s="146"/>
      <c r="Y112" s="146"/>
      <c r="Z112" s="146"/>
      <c r="AA112" s="146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2:39" s="247" customFormat="1" ht="11">
      <c r="B113" s="144"/>
      <c r="C113" s="143"/>
      <c r="D113" s="907"/>
      <c r="E113" s="143"/>
      <c r="F113" s="145"/>
      <c r="G113" s="146"/>
      <c r="H113" s="146"/>
      <c r="I113" s="146"/>
      <c r="J113" s="146"/>
      <c r="K113" s="146"/>
      <c r="L113" s="999"/>
      <c r="M113" s="458"/>
      <c r="N113" s="145"/>
      <c r="O113" s="146"/>
      <c r="P113" s="146"/>
      <c r="Q113" s="147"/>
      <c r="R113" s="147"/>
      <c r="S113" s="142"/>
      <c r="T113" s="142"/>
      <c r="U113" s="146"/>
      <c r="V113" s="146"/>
      <c r="W113" s="146"/>
      <c r="X113" s="146"/>
      <c r="Y113" s="146"/>
      <c r="Z113" s="146"/>
      <c r="AA113" s="146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</row>
    <row r="114" spans="2:39" s="247" customFormat="1" ht="11">
      <c r="B114" s="144"/>
      <c r="C114" s="143"/>
      <c r="D114" s="907"/>
      <c r="E114" s="143"/>
      <c r="F114" s="145"/>
      <c r="G114" s="146"/>
      <c r="H114" s="146"/>
      <c r="I114" s="146"/>
      <c r="J114" s="146"/>
      <c r="K114" s="146"/>
      <c r="L114" s="999"/>
      <c r="M114" s="458"/>
      <c r="N114" s="145"/>
      <c r="O114" s="146"/>
      <c r="P114" s="146"/>
      <c r="Q114" s="147"/>
      <c r="R114" s="147"/>
      <c r="S114" s="142"/>
      <c r="T114" s="142"/>
      <c r="U114" s="146"/>
      <c r="V114" s="146"/>
      <c r="W114" s="146"/>
      <c r="X114" s="146"/>
      <c r="Y114" s="146"/>
      <c r="Z114" s="146"/>
      <c r="AA114" s="146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2:39" s="247" customFormat="1" ht="11">
      <c r="B115" s="144"/>
      <c r="C115" s="143"/>
      <c r="D115" s="907"/>
      <c r="E115" s="143"/>
      <c r="F115" s="145"/>
      <c r="G115" s="146"/>
      <c r="H115" s="146"/>
      <c r="I115" s="146"/>
      <c r="J115" s="146"/>
      <c r="K115" s="146"/>
      <c r="L115" s="999"/>
      <c r="M115" s="458"/>
      <c r="N115" s="145"/>
      <c r="O115" s="146"/>
      <c r="P115" s="146"/>
      <c r="Q115" s="147"/>
      <c r="R115" s="147"/>
      <c r="S115" s="142"/>
      <c r="T115" s="142"/>
      <c r="U115" s="146"/>
      <c r="V115" s="146"/>
      <c r="W115" s="146"/>
      <c r="X115" s="146"/>
      <c r="Y115" s="146"/>
      <c r="Z115" s="146"/>
      <c r="AA115" s="146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2:39" s="247" customFormat="1" ht="11">
      <c r="B116" s="144"/>
      <c r="C116" s="143"/>
      <c r="D116" s="907"/>
      <c r="E116" s="143"/>
      <c r="F116" s="145"/>
      <c r="G116" s="146"/>
      <c r="H116" s="146"/>
      <c r="I116" s="146"/>
      <c r="J116" s="146"/>
      <c r="K116" s="146"/>
      <c r="L116" s="999"/>
      <c r="M116" s="458"/>
      <c r="N116" s="145"/>
      <c r="O116" s="146"/>
      <c r="P116" s="146"/>
      <c r="Q116" s="147"/>
      <c r="R116" s="147"/>
      <c r="S116" s="142"/>
      <c r="T116" s="142"/>
      <c r="U116" s="146"/>
      <c r="V116" s="146"/>
      <c r="W116" s="146"/>
      <c r="X116" s="146"/>
      <c r="Y116" s="146"/>
      <c r="Z116" s="146"/>
      <c r="AA116" s="146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2:39" s="247" customFormat="1" ht="11">
      <c r="B117" s="144"/>
      <c r="C117" s="143"/>
      <c r="D117" s="907"/>
      <c r="E117" s="143"/>
      <c r="F117" s="145"/>
      <c r="G117" s="146"/>
      <c r="H117" s="146"/>
      <c r="I117" s="146"/>
      <c r="J117" s="146"/>
      <c r="K117" s="146"/>
      <c r="L117" s="999"/>
      <c r="M117" s="458"/>
      <c r="N117" s="145"/>
      <c r="O117" s="146"/>
      <c r="P117" s="146"/>
      <c r="Q117" s="147"/>
      <c r="R117" s="147"/>
      <c r="S117" s="142"/>
      <c r="T117" s="142"/>
      <c r="U117" s="146"/>
      <c r="V117" s="146"/>
      <c r="W117" s="146"/>
      <c r="X117" s="146"/>
      <c r="Y117" s="146"/>
      <c r="Z117" s="146"/>
      <c r="AA117" s="146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2:39" s="247" customFormat="1" ht="11">
      <c r="B118" s="144"/>
      <c r="C118" s="143"/>
      <c r="D118" s="907"/>
      <c r="E118" s="143"/>
      <c r="F118" s="145"/>
      <c r="G118" s="146"/>
      <c r="H118" s="146"/>
      <c r="I118" s="146"/>
      <c r="J118" s="146"/>
      <c r="K118" s="146"/>
      <c r="L118" s="999"/>
      <c r="M118" s="458"/>
      <c r="N118" s="145"/>
      <c r="O118" s="146"/>
      <c r="P118" s="146"/>
      <c r="Q118" s="147"/>
      <c r="R118" s="147"/>
      <c r="S118" s="142"/>
      <c r="T118" s="142"/>
      <c r="U118" s="146"/>
      <c r="V118" s="146"/>
      <c r="W118" s="146"/>
      <c r="X118" s="146"/>
      <c r="Y118" s="146"/>
      <c r="Z118" s="146"/>
      <c r="AA118" s="146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2:39" s="247" customFormat="1" ht="11">
      <c r="B119" s="144"/>
      <c r="C119" s="143"/>
      <c r="D119" s="907"/>
      <c r="E119" s="143"/>
      <c r="F119" s="145"/>
      <c r="G119" s="146"/>
      <c r="H119" s="146"/>
      <c r="I119" s="146"/>
      <c r="J119" s="146"/>
      <c r="K119" s="146"/>
      <c r="L119" s="999"/>
      <c r="M119" s="458"/>
      <c r="N119" s="145"/>
      <c r="O119" s="146"/>
      <c r="P119" s="146"/>
      <c r="Q119" s="147"/>
      <c r="R119" s="147"/>
      <c r="S119" s="142"/>
      <c r="T119" s="142"/>
      <c r="U119" s="146"/>
      <c r="V119" s="146"/>
      <c r="W119" s="146"/>
      <c r="X119" s="146"/>
      <c r="Y119" s="146"/>
      <c r="Z119" s="146"/>
      <c r="AA119" s="146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2:39" s="247" customFormat="1" ht="11">
      <c r="B120" s="144"/>
      <c r="C120" s="143"/>
      <c r="D120" s="907"/>
      <c r="E120" s="143"/>
      <c r="F120" s="145"/>
      <c r="G120" s="146"/>
      <c r="H120" s="146"/>
      <c r="I120" s="146"/>
      <c r="J120" s="146"/>
      <c r="K120" s="146"/>
      <c r="L120" s="999"/>
      <c r="M120" s="458"/>
      <c r="N120" s="145"/>
      <c r="O120" s="146"/>
      <c r="P120" s="146"/>
      <c r="Q120" s="147"/>
      <c r="R120" s="147"/>
      <c r="S120" s="142"/>
      <c r="T120" s="142"/>
      <c r="U120" s="146"/>
      <c r="V120" s="146"/>
      <c r="W120" s="146"/>
      <c r="X120" s="146"/>
      <c r="Y120" s="146"/>
      <c r="Z120" s="146"/>
      <c r="AA120" s="146"/>
      <c r="AB120" s="247">
        <f>SUBTOTAL(9,AB78:AB119)</f>
        <v>0</v>
      </c>
      <c r="AC120" s="214">
        <f>SUBTOTAL(9,AC78:AC119)</f>
        <v>0</v>
      </c>
      <c r="AD120" s="214">
        <f>SUBTOTAL(9,AD78:AD119)</f>
        <v>0</v>
      </c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2:39" s="247" customFormat="1" ht="11">
      <c r="B121" s="144"/>
      <c r="C121" s="143"/>
      <c r="D121" s="907"/>
      <c r="E121" s="143"/>
      <c r="F121" s="145"/>
      <c r="G121" s="146"/>
      <c r="H121" s="146"/>
      <c r="I121" s="146"/>
      <c r="J121" s="146"/>
      <c r="K121" s="146"/>
      <c r="L121" s="999"/>
      <c r="M121" s="458"/>
      <c r="N121" s="145"/>
      <c r="O121" s="146"/>
      <c r="P121" s="146"/>
      <c r="Q121" s="147"/>
      <c r="R121" s="147"/>
      <c r="S121" s="142"/>
      <c r="T121" s="142"/>
      <c r="U121" s="146"/>
      <c r="V121" s="146"/>
      <c r="W121" s="146"/>
      <c r="X121" s="146"/>
      <c r="Y121" s="146"/>
      <c r="Z121" s="146"/>
      <c r="AA121" s="146"/>
      <c r="AB121" s="247">
        <v>0</v>
      </c>
      <c r="AC121" s="214">
        <v>0</v>
      </c>
      <c r="AD121" s="214">
        <v>0</v>
      </c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2:39" s="247" customFormat="1" ht="11">
      <c r="B122" s="144"/>
      <c r="C122" s="143"/>
      <c r="D122" s="907"/>
      <c r="E122" s="143"/>
      <c r="F122" s="145"/>
      <c r="G122" s="146"/>
      <c r="H122" s="146"/>
      <c r="I122" s="146"/>
      <c r="J122" s="146"/>
      <c r="K122" s="146"/>
      <c r="L122" s="999"/>
      <c r="M122" s="458"/>
      <c r="N122" s="145"/>
      <c r="O122" s="146"/>
      <c r="P122" s="146"/>
      <c r="Q122" s="147"/>
      <c r="R122" s="147"/>
      <c r="S122" s="142"/>
      <c r="T122" s="142"/>
      <c r="U122" s="146"/>
      <c r="V122" s="146"/>
      <c r="W122" s="146"/>
      <c r="X122" s="146"/>
      <c r="Y122" s="146"/>
      <c r="Z122" s="146"/>
      <c r="AA122" s="146"/>
      <c r="AB122" s="247">
        <v>0</v>
      </c>
      <c r="AC122" s="214">
        <v>0</v>
      </c>
      <c r="AD122" s="214">
        <v>0</v>
      </c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2:39" s="247" customFormat="1" ht="11">
      <c r="B123" s="144"/>
      <c r="C123" s="143"/>
      <c r="D123" s="907"/>
      <c r="E123" s="143"/>
      <c r="F123" s="145"/>
      <c r="G123" s="146"/>
      <c r="H123" s="146"/>
      <c r="I123" s="146"/>
      <c r="J123" s="146"/>
      <c r="K123" s="146"/>
      <c r="L123" s="999"/>
      <c r="M123" s="458"/>
      <c r="N123" s="145"/>
      <c r="O123" s="146"/>
      <c r="P123" s="146"/>
      <c r="Q123" s="147"/>
      <c r="R123" s="147"/>
      <c r="S123" s="142"/>
      <c r="T123" s="142"/>
      <c r="U123" s="146"/>
      <c r="V123" s="146"/>
      <c r="W123" s="146"/>
      <c r="X123" s="146"/>
      <c r="Y123" s="146"/>
      <c r="Z123" s="146"/>
      <c r="AA123" s="146"/>
      <c r="AB123" s="247">
        <v>0</v>
      </c>
      <c r="AC123" s="214">
        <v>0</v>
      </c>
      <c r="AD123" s="214">
        <v>0</v>
      </c>
      <c r="AE123" s="214"/>
      <c r="AF123" s="214"/>
      <c r="AG123" s="214"/>
      <c r="AH123" s="214"/>
      <c r="AI123" s="214"/>
      <c r="AJ123" s="214"/>
      <c r="AK123" s="214"/>
      <c r="AL123" s="214"/>
      <c r="AM123" s="214"/>
    </row>
    <row r="124" spans="2:39" s="247" customFormat="1" ht="11">
      <c r="B124" s="144"/>
      <c r="C124" s="143"/>
      <c r="D124" s="907"/>
      <c r="E124" s="143"/>
      <c r="F124" s="145"/>
      <c r="G124" s="146"/>
      <c r="H124" s="146"/>
      <c r="I124" s="146"/>
      <c r="J124" s="146"/>
      <c r="K124" s="146"/>
      <c r="L124" s="999"/>
      <c r="M124" s="458"/>
      <c r="N124" s="145"/>
      <c r="O124" s="146"/>
      <c r="P124" s="146"/>
      <c r="Q124" s="147"/>
      <c r="R124" s="147"/>
      <c r="S124" s="142"/>
      <c r="T124" s="142"/>
      <c r="U124" s="146"/>
      <c r="V124" s="146"/>
      <c r="W124" s="146"/>
      <c r="X124" s="146"/>
      <c r="Y124" s="146"/>
      <c r="Z124" s="146"/>
      <c r="AA124" s="146"/>
      <c r="AB124" s="247">
        <v>0</v>
      </c>
      <c r="AC124" s="214">
        <v>0</v>
      </c>
      <c r="AD124" s="214">
        <v>0</v>
      </c>
      <c r="AE124" s="214"/>
      <c r="AF124" s="214"/>
      <c r="AG124" s="214"/>
      <c r="AH124" s="214"/>
      <c r="AI124" s="214"/>
      <c r="AJ124" s="214"/>
      <c r="AK124" s="214"/>
      <c r="AL124" s="214"/>
      <c r="AM124" s="214"/>
    </row>
    <row r="125" spans="2:39" s="247" customFormat="1" ht="11">
      <c r="B125" s="144"/>
      <c r="C125" s="143"/>
      <c r="D125" s="907"/>
      <c r="E125" s="143"/>
      <c r="F125" s="145"/>
      <c r="G125" s="146"/>
      <c r="H125" s="146"/>
      <c r="I125" s="146"/>
      <c r="J125" s="146"/>
      <c r="K125" s="146"/>
      <c r="L125" s="999"/>
      <c r="M125" s="458"/>
      <c r="N125" s="145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B125" s="247">
        <v>0</v>
      </c>
      <c r="AC125" s="214">
        <v>0</v>
      </c>
      <c r="AD125" s="214">
        <v>0</v>
      </c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2:39" s="247" customFormat="1" ht="11">
      <c r="B126" s="144"/>
      <c r="C126" s="143"/>
      <c r="D126" s="907"/>
      <c r="E126" s="143"/>
      <c r="F126" s="145"/>
      <c r="G126" s="146"/>
      <c r="H126" s="146"/>
      <c r="I126" s="146"/>
      <c r="J126" s="146"/>
      <c r="K126" s="146"/>
      <c r="L126" s="999"/>
      <c r="M126" s="458"/>
      <c r="N126" s="145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B126" s="247">
        <v>0</v>
      </c>
      <c r="AC126" s="214">
        <v>0</v>
      </c>
      <c r="AD126" s="214">
        <v>0</v>
      </c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2:39" s="247" customFormat="1" ht="11">
      <c r="B127" s="144"/>
      <c r="C127" s="143"/>
      <c r="D127" s="907"/>
      <c r="E127" s="143"/>
      <c r="F127" s="145"/>
      <c r="G127" s="146"/>
      <c r="H127" s="146"/>
      <c r="I127" s="146"/>
      <c r="J127" s="146"/>
      <c r="K127" s="146"/>
      <c r="L127" s="999"/>
      <c r="M127" s="458"/>
      <c r="N127" s="145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B127" s="247">
        <v>0</v>
      </c>
      <c r="AC127" s="214">
        <v>0</v>
      </c>
      <c r="AD127" s="214">
        <v>0</v>
      </c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2:39" s="247" customFormat="1" ht="11">
      <c r="B128" s="144"/>
      <c r="C128" s="143"/>
      <c r="D128" s="907"/>
      <c r="E128" s="143"/>
      <c r="F128" s="145"/>
      <c r="G128" s="146"/>
      <c r="H128" s="146"/>
      <c r="I128" s="146"/>
      <c r="J128" s="146"/>
      <c r="K128" s="146"/>
      <c r="L128" s="999"/>
      <c r="M128" s="458"/>
      <c r="N128" s="145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B128" s="247">
        <v>0</v>
      </c>
      <c r="AC128" s="214">
        <v>0</v>
      </c>
      <c r="AD128" s="214">
        <v>0</v>
      </c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41" s="247" customFormat="1" ht="11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999"/>
      <c r="M129" s="458"/>
      <c r="N129" s="145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B129" s="247">
        <v>0</v>
      </c>
      <c r="AC129" s="214">
        <v>0</v>
      </c>
      <c r="AD129" s="214">
        <v>0</v>
      </c>
      <c r="AE129" s="214"/>
      <c r="AF129" s="214"/>
      <c r="AG129" s="214"/>
      <c r="AH129" s="214"/>
      <c r="AI129" s="214"/>
      <c r="AJ129" s="214"/>
      <c r="AK129" s="214"/>
      <c r="AL129" s="214"/>
      <c r="AM129" s="214"/>
    </row>
    <row r="130" spans="2:41" s="247" customFormat="1" ht="11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999"/>
      <c r="M130" s="458"/>
      <c r="N130" s="145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B130" s="247">
        <v>0</v>
      </c>
      <c r="AC130" s="214">
        <v>0</v>
      </c>
      <c r="AD130" s="214">
        <v>0</v>
      </c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41" s="247" customFormat="1" ht="11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999"/>
      <c r="M131" s="458"/>
      <c r="N131" s="145"/>
      <c r="O131" s="146"/>
      <c r="P131" s="146"/>
      <c r="Q131" s="147"/>
      <c r="R131" s="147"/>
      <c r="S131" s="142"/>
      <c r="T131" s="142"/>
      <c r="U131" s="146">
        <f>SUBTOTAL(9,U89:U130)</f>
        <v>0</v>
      </c>
      <c r="V131" s="146">
        <f t="shared" ref="V131:AA131" si="53">SUBTOTAL(9,V89:V130)</f>
        <v>0</v>
      </c>
      <c r="W131" s="146">
        <f t="shared" si="53"/>
        <v>0</v>
      </c>
      <c r="X131" s="146">
        <f t="shared" si="53"/>
        <v>0</v>
      </c>
      <c r="Y131" s="146">
        <f t="shared" si="53"/>
        <v>0</v>
      </c>
      <c r="Z131" s="146">
        <f t="shared" si="53"/>
        <v>0</v>
      </c>
      <c r="AA131" s="146">
        <f t="shared" si="53"/>
        <v>0</v>
      </c>
      <c r="AB131" s="247">
        <v>0</v>
      </c>
      <c r="AC131" s="214">
        <v>0</v>
      </c>
      <c r="AD131" s="214">
        <v>0</v>
      </c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41" s="213" customFormat="1" ht="14" thickBot="1">
      <c r="B132" s="139"/>
      <c r="C132" s="138"/>
      <c r="D132" s="908"/>
      <c r="E132" s="138"/>
      <c r="F132" s="140"/>
      <c r="G132" s="141"/>
      <c r="H132" s="141"/>
      <c r="I132" s="141"/>
      <c r="J132" s="141"/>
      <c r="K132" s="141"/>
      <c r="L132" s="1000"/>
      <c r="M132" s="458"/>
      <c r="N132" s="140"/>
      <c r="O132" s="141"/>
      <c r="P132" s="141"/>
      <c r="Q132" s="148"/>
      <c r="R132" s="148"/>
      <c r="S132" s="149"/>
      <c r="T132" s="149"/>
      <c r="U132" s="150"/>
      <c r="V132" s="150"/>
      <c r="W132" s="150"/>
      <c r="X132" s="150"/>
      <c r="Y132" s="150"/>
      <c r="Z132" s="150"/>
      <c r="AA132" s="150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</row>
    <row r="133" spans="2:41" s="213" customFormat="1" ht="15" thickTop="1" thickBot="1">
      <c r="B133" s="139"/>
      <c r="C133" s="138"/>
      <c r="D133" s="908"/>
      <c r="E133" s="138"/>
      <c r="F133" s="140"/>
      <c r="G133" s="141"/>
      <c r="H133" s="141"/>
      <c r="I133" s="141"/>
      <c r="J133" s="141"/>
      <c r="K133" s="141"/>
      <c r="L133" s="1000"/>
      <c r="M133" s="458"/>
      <c r="N133" s="140"/>
      <c r="O133" s="141"/>
      <c r="P133" s="141"/>
      <c r="Q133" s="148"/>
      <c r="R133" s="148"/>
      <c r="S133" s="148"/>
      <c r="T133" s="149"/>
      <c r="U133" s="151"/>
      <c r="V133" s="152"/>
      <c r="W133" s="153"/>
      <c r="X133" s="153"/>
      <c r="Y133" s="153"/>
      <c r="Z133" s="153"/>
      <c r="AA133" s="154"/>
      <c r="AB133" s="246"/>
      <c r="AC133" s="246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</row>
    <row r="134" spans="2:41" s="247" customFormat="1" ht="12" thickTop="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999"/>
      <c r="M134" s="458"/>
      <c r="N134" s="145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</row>
    <row r="135" spans="2:41" s="247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999"/>
      <c r="M135" s="458"/>
      <c r="N135" s="145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</row>
    <row r="136" spans="2:41" s="247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999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2:41" s="247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999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2:41" s="247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999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2:41" s="247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999"/>
      <c r="M139" s="458"/>
      <c r="N139" s="145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2:41" s="247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999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2:41" s="247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999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2:41" s="247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999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2:41" s="247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999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2:41" s="247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999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39" s="247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999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39" s="247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999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39" s="247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999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39" s="247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999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39" s="247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999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39" s="247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999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39" s="247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999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39" s="247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999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39" s="247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999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39" s="247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999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39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999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39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999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39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999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39" s="247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999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39" s="247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999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39" s="247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999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41" s="247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999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41" s="247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999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41" s="247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999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41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999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41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999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41" s="247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999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41" s="247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999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41" s="247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999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41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999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41" s="247" customFormat="1" ht="11">
      <c r="B170" s="248"/>
      <c r="D170" s="909"/>
      <c r="F170" s="249"/>
      <c r="G170" s="250"/>
      <c r="H170" s="250"/>
      <c r="I170" s="250"/>
      <c r="J170" s="250"/>
      <c r="K170" s="250"/>
      <c r="L170" s="1001"/>
      <c r="M170" s="459"/>
      <c r="N170" s="249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41" s="247" customFormat="1" ht="11">
      <c r="B171" s="248"/>
      <c r="D171" s="909"/>
      <c r="F171" s="249"/>
      <c r="G171" s="250"/>
      <c r="H171" s="250"/>
      <c r="I171" s="250"/>
      <c r="J171" s="250"/>
      <c r="K171" s="250"/>
      <c r="L171" s="1001"/>
      <c r="M171" s="459"/>
      <c r="N171" s="249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41" s="247" customFormat="1" ht="11">
      <c r="B172" s="248"/>
      <c r="D172" s="909"/>
      <c r="F172" s="249"/>
      <c r="G172" s="250"/>
      <c r="H172" s="250"/>
      <c r="I172" s="250"/>
      <c r="J172" s="250"/>
      <c r="K172" s="250"/>
      <c r="L172" s="1001"/>
      <c r="M172" s="459"/>
      <c r="N172" s="249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41" s="247" customFormat="1" ht="11">
      <c r="B173" s="248"/>
      <c r="D173" s="909"/>
      <c r="F173" s="249"/>
      <c r="G173" s="250"/>
      <c r="H173" s="250"/>
      <c r="I173" s="250"/>
      <c r="J173" s="250"/>
      <c r="K173" s="250"/>
      <c r="L173" s="1001"/>
      <c r="M173" s="459"/>
      <c r="N173" s="249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41" s="247" customFormat="1" ht="11">
      <c r="B174" s="248"/>
      <c r="D174" s="909"/>
      <c r="F174" s="249"/>
      <c r="G174" s="250"/>
      <c r="H174" s="250"/>
      <c r="I174" s="250"/>
      <c r="J174" s="250"/>
      <c r="K174" s="250"/>
      <c r="L174" s="1001"/>
      <c r="M174" s="459"/>
      <c r="N174" s="249"/>
      <c r="O174" s="146"/>
      <c r="P174" s="146"/>
      <c r="Q174" s="147"/>
      <c r="R174" s="147"/>
      <c r="S174" s="142"/>
      <c r="T174" s="142"/>
      <c r="U174" s="146">
        <f>SUBTOTAL(9,U132:U173)</f>
        <v>0</v>
      </c>
      <c r="V174" s="146">
        <f t="shared" ref="V174:AA174" si="54">SUBTOTAL(9,V132:V173)</f>
        <v>0</v>
      </c>
      <c r="W174" s="146">
        <f t="shared" si="54"/>
        <v>0</v>
      </c>
      <c r="X174" s="146">
        <f t="shared" si="54"/>
        <v>0</v>
      </c>
      <c r="Y174" s="146">
        <f t="shared" si="54"/>
        <v>0</v>
      </c>
      <c r="Z174" s="146">
        <f t="shared" si="54"/>
        <v>0</v>
      </c>
      <c r="AA174" s="146">
        <f t="shared" si="54"/>
        <v>0</v>
      </c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41" s="213" customFormat="1" ht="14" thickBot="1">
      <c r="B175" s="225"/>
      <c r="D175" s="910"/>
      <c r="F175" s="242"/>
      <c r="G175" s="243"/>
      <c r="H175" s="243"/>
      <c r="I175" s="243"/>
      <c r="J175" s="243"/>
      <c r="K175" s="243"/>
      <c r="L175" s="1002"/>
      <c r="M175" s="459"/>
      <c r="N175" s="242"/>
      <c r="O175" s="141"/>
      <c r="P175" s="141"/>
      <c r="Q175" s="148"/>
      <c r="R175" s="148"/>
      <c r="S175" s="149"/>
      <c r="T175" s="149"/>
      <c r="U175" s="150"/>
      <c r="V175" s="150"/>
      <c r="W175" s="150"/>
      <c r="X175" s="150"/>
      <c r="Y175" s="150"/>
      <c r="Z175" s="150"/>
      <c r="AA175" s="150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41" s="213" customFormat="1" ht="15" thickTop="1" thickBot="1">
      <c r="B176" s="225"/>
      <c r="D176" s="910"/>
      <c r="F176" s="242"/>
      <c r="G176" s="243"/>
      <c r="H176" s="243"/>
      <c r="I176" s="243"/>
      <c r="J176" s="243"/>
      <c r="K176" s="243"/>
      <c r="L176" s="1002"/>
      <c r="M176" s="459"/>
      <c r="N176" s="242"/>
      <c r="O176" s="141"/>
      <c r="P176" s="141"/>
      <c r="Q176" s="148"/>
      <c r="R176" s="148"/>
      <c r="S176" s="148"/>
      <c r="T176" s="148"/>
      <c r="U176" s="151">
        <f>SUBTOTAL(9,U134:U175)</f>
        <v>0</v>
      </c>
      <c r="V176" s="152">
        <f t="shared" ref="V176:AA176" si="55">SUBTOTAL(9,V134:V175)</f>
        <v>0</v>
      </c>
      <c r="W176" s="153">
        <f t="shared" si="55"/>
        <v>0</v>
      </c>
      <c r="X176" s="153">
        <f t="shared" si="55"/>
        <v>0</v>
      </c>
      <c r="Y176" s="153">
        <f t="shared" si="55"/>
        <v>0</v>
      </c>
      <c r="Z176" s="153">
        <f t="shared" si="55"/>
        <v>0</v>
      </c>
      <c r="AA176" s="154">
        <f t="shared" si="55"/>
        <v>0</v>
      </c>
      <c r="AB176" s="246"/>
      <c r="AC176" s="246"/>
      <c r="AE176" s="214"/>
      <c r="AF176" s="214"/>
      <c r="AG176" s="214"/>
      <c r="AH176" s="214"/>
      <c r="AI176" s="214"/>
      <c r="AJ176" s="214"/>
      <c r="AK176" s="214"/>
      <c r="AL176" s="214"/>
      <c r="AM176" s="214"/>
      <c r="AN176" s="214"/>
      <c r="AO176" s="214"/>
    </row>
    <row r="177" spans="2:39" s="213" customFormat="1" ht="14" thickTop="1">
      <c r="B177" s="225"/>
      <c r="D177" s="910"/>
      <c r="F177" s="242"/>
      <c r="G177" s="243"/>
      <c r="H177" s="243"/>
      <c r="I177" s="243"/>
      <c r="J177" s="243"/>
      <c r="K177" s="243"/>
      <c r="L177" s="1002"/>
      <c r="M177" s="459"/>
      <c r="N177" s="242"/>
      <c r="O177" s="141"/>
      <c r="P177" s="141"/>
      <c r="Q177" s="148"/>
      <c r="R177" s="148"/>
      <c r="S177" s="149"/>
      <c r="T177" s="149"/>
      <c r="U177" s="150"/>
      <c r="V177" s="150"/>
      <c r="W177" s="150"/>
      <c r="X177" s="150"/>
      <c r="Y177" s="150"/>
      <c r="Z177" s="150"/>
      <c r="AA177" s="150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39" s="213" customFormat="1">
      <c r="B178" s="225"/>
      <c r="D178" s="910"/>
      <c r="F178" s="242"/>
      <c r="G178" s="243"/>
      <c r="H178" s="243"/>
      <c r="I178" s="243"/>
      <c r="J178" s="243"/>
      <c r="K178" s="243"/>
      <c r="L178" s="1002"/>
      <c r="M178" s="459"/>
      <c r="N178" s="242"/>
      <c r="O178" s="141"/>
      <c r="P178" s="141"/>
      <c r="Q178" s="148"/>
      <c r="R178" s="148"/>
      <c r="S178" s="149"/>
      <c r="T178" s="149"/>
      <c r="U178" s="150"/>
      <c r="V178" s="150"/>
      <c r="W178" s="150"/>
      <c r="X178" s="150"/>
      <c r="Y178" s="150"/>
      <c r="Z178" s="150"/>
      <c r="AA178" s="150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39" s="213" customFormat="1">
      <c r="B179" s="225"/>
      <c r="D179" s="910"/>
      <c r="F179" s="242"/>
      <c r="G179" s="243"/>
      <c r="H179" s="243"/>
      <c r="I179" s="243"/>
      <c r="J179" s="243"/>
      <c r="K179" s="243"/>
      <c r="L179" s="1002"/>
      <c r="M179" s="459"/>
      <c r="N179" s="242"/>
      <c r="O179" s="141"/>
      <c r="P179" s="141"/>
      <c r="Q179" s="148"/>
      <c r="R179" s="148"/>
      <c r="S179" s="149"/>
      <c r="T179" s="149"/>
      <c r="U179" s="150"/>
      <c r="V179" s="150"/>
      <c r="W179" s="150"/>
      <c r="X179" s="150"/>
      <c r="Y179" s="150"/>
      <c r="Z179" s="150"/>
      <c r="AA179" s="150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39" s="213" customFormat="1">
      <c r="B180" s="225"/>
      <c r="D180" s="910"/>
      <c r="F180" s="242"/>
      <c r="G180" s="243"/>
      <c r="H180" s="243"/>
      <c r="I180" s="243"/>
      <c r="J180" s="243"/>
      <c r="K180" s="243"/>
      <c r="L180" s="1002"/>
      <c r="M180" s="459"/>
      <c r="N180" s="242"/>
      <c r="O180" s="141"/>
      <c r="P180" s="141"/>
      <c r="Q180" s="148"/>
      <c r="R180" s="148"/>
      <c r="S180" s="149"/>
      <c r="T180" s="149"/>
      <c r="U180" s="150"/>
      <c r="V180" s="150"/>
      <c r="W180" s="150"/>
      <c r="X180" s="150"/>
      <c r="Y180" s="150"/>
      <c r="Z180" s="150"/>
      <c r="AA180" s="150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39" s="213" customFormat="1">
      <c r="B181" s="225"/>
      <c r="D181" s="910"/>
      <c r="F181" s="242"/>
      <c r="G181" s="243"/>
      <c r="H181" s="243"/>
      <c r="I181" s="243"/>
      <c r="J181" s="243"/>
      <c r="K181" s="243"/>
      <c r="L181" s="1002"/>
      <c r="M181" s="459"/>
      <c r="N181" s="242"/>
      <c r="O181" s="141"/>
      <c r="P181" s="141"/>
      <c r="Q181" s="148"/>
      <c r="R181" s="148"/>
      <c r="S181" s="149"/>
      <c r="T181" s="149"/>
      <c r="U181" s="150"/>
      <c r="V181" s="150"/>
      <c r="W181" s="150"/>
      <c r="X181" s="150"/>
      <c r="Y181" s="150"/>
      <c r="Z181" s="150"/>
      <c r="AA181" s="150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39" s="213" customFormat="1">
      <c r="B182" s="225"/>
      <c r="D182" s="910"/>
      <c r="F182" s="242"/>
      <c r="G182" s="243"/>
      <c r="H182" s="243"/>
      <c r="I182" s="243"/>
      <c r="J182" s="243"/>
      <c r="K182" s="243"/>
      <c r="L182" s="1002"/>
      <c r="M182" s="459"/>
      <c r="N182" s="242"/>
      <c r="O182" s="141"/>
      <c r="P182" s="141"/>
      <c r="Q182" s="148"/>
      <c r="R182" s="148"/>
      <c r="S182" s="149"/>
      <c r="T182" s="149"/>
      <c r="U182" s="150"/>
      <c r="V182" s="150"/>
      <c r="W182" s="150"/>
      <c r="X182" s="150"/>
      <c r="Y182" s="150"/>
      <c r="Z182" s="150"/>
      <c r="AA182" s="150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39" s="213" customFormat="1">
      <c r="B183" s="225"/>
      <c r="D183" s="910"/>
      <c r="F183" s="242"/>
      <c r="G183" s="243"/>
      <c r="H183" s="243"/>
      <c r="I183" s="243"/>
      <c r="J183" s="243"/>
      <c r="K183" s="243"/>
      <c r="L183" s="1002"/>
      <c r="M183" s="459"/>
      <c r="N183" s="242"/>
      <c r="O183" s="141"/>
      <c r="P183" s="141"/>
      <c r="Q183" s="148"/>
      <c r="R183" s="148"/>
      <c r="S183" s="149"/>
      <c r="T183" s="149"/>
      <c r="U183" s="150"/>
      <c r="V183" s="150"/>
      <c r="W183" s="150"/>
      <c r="X183" s="150"/>
      <c r="Y183" s="150"/>
      <c r="Z183" s="150"/>
      <c r="AA183" s="150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39" s="213" customFormat="1">
      <c r="B184" s="225"/>
      <c r="D184" s="910"/>
      <c r="F184" s="242"/>
      <c r="G184" s="243"/>
      <c r="H184" s="243"/>
      <c r="I184" s="243"/>
      <c r="J184" s="243"/>
      <c r="K184" s="243"/>
      <c r="L184" s="1002"/>
      <c r="M184" s="459"/>
      <c r="N184" s="242"/>
      <c r="O184" s="141"/>
      <c r="P184" s="141"/>
      <c r="Q184" s="148"/>
      <c r="R184" s="148"/>
      <c r="S184" s="149"/>
      <c r="T184" s="149"/>
      <c r="U184" s="150"/>
      <c r="V184" s="150"/>
      <c r="W184" s="150"/>
      <c r="X184" s="150"/>
      <c r="Y184" s="150"/>
      <c r="Z184" s="150"/>
      <c r="AA184" s="150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39" s="213" customFormat="1">
      <c r="B185" s="225"/>
      <c r="D185" s="910"/>
      <c r="F185" s="242"/>
      <c r="G185" s="243"/>
      <c r="H185" s="243"/>
      <c r="I185" s="243"/>
      <c r="J185" s="243"/>
      <c r="K185" s="243"/>
      <c r="L185" s="1002"/>
      <c r="M185" s="459"/>
      <c r="N185" s="242"/>
      <c r="O185" s="141"/>
      <c r="P185" s="141"/>
      <c r="Q185" s="148"/>
      <c r="R185" s="148"/>
      <c r="S185" s="149"/>
      <c r="T185" s="149"/>
      <c r="U185" s="150"/>
      <c r="V185" s="150"/>
      <c r="W185" s="150"/>
      <c r="X185" s="150"/>
      <c r="Y185" s="150"/>
      <c r="Z185" s="150"/>
      <c r="AA185" s="150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39" s="213" customFormat="1">
      <c r="B186" s="225"/>
      <c r="D186" s="910"/>
      <c r="F186" s="242"/>
      <c r="G186" s="243"/>
      <c r="H186" s="243"/>
      <c r="I186" s="243"/>
      <c r="J186" s="243"/>
      <c r="K186" s="243"/>
      <c r="L186" s="1002"/>
      <c r="M186" s="459"/>
      <c r="N186" s="242"/>
      <c r="O186" s="141"/>
      <c r="P186" s="141"/>
      <c r="Q186" s="148"/>
      <c r="R186" s="148"/>
      <c r="S186" s="149"/>
      <c r="T186" s="149"/>
      <c r="U186" s="150"/>
      <c r="V186" s="150"/>
      <c r="W186" s="150"/>
      <c r="X186" s="150"/>
      <c r="Y186" s="150"/>
      <c r="Z186" s="150"/>
      <c r="AA186" s="150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39" s="213" customFormat="1">
      <c r="B187" s="225"/>
      <c r="D187" s="910"/>
      <c r="F187" s="242"/>
      <c r="G187" s="243"/>
      <c r="H187" s="243"/>
      <c r="I187" s="243"/>
      <c r="J187" s="243"/>
      <c r="K187" s="243"/>
      <c r="L187" s="1002"/>
      <c r="M187" s="459"/>
      <c r="N187" s="242"/>
      <c r="O187" s="141"/>
      <c r="P187" s="141"/>
      <c r="Q187" s="148"/>
      <c r="R187" s="148"/>
      <c r="S187" s="149"/>
      <c r="T187" s="149"/>
      <c r="U187" s="150"/>
      <c r="V187" s="150"/>
      <c r="W187" s="150"/>
      <c r="X187" s="150"/>
      <c r="Y187" s="150"/>
      <c r="Z187" s="150"/>
      <c r="AA187" s="150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39" s="213" customFormat="1">
      <c r="B188" s="225"/>
      <c r="D188" s="910"/>
      <c r="F188" s="242"/>
      <c r="G188" s="243"/>
      <c r="H188" s="243"/>
      <c r="I188" s="243"/>
      <c r="J188" s="243"/>
      <c r="K188" s="243"/>
      <c r="L188" s="1002"/>
      <c r="M188" s="459"/>
      <c r="N188" s="242"/>
      <c r="O188" s="141"/>
      <c r="P188" s="141"/>
      <c r="Q188" s="148"/>
      <c r="R188" s="148"/>
      <c r="S188" s="149"/>
      <c r="T188" s="149"/>
      <c r="U188" s="150"/>
      <c r="V188" s="150"/>
      <c r="W188" s="150"/>
      <c r="X188" s="150"/>
      <c r="Y188" s="150"/>
      <c r="Z188" s="150"/>
      <c r="AA188" s="150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39" s="213" customFormat="1">
      <c r="B189" s="225"/>
      <c r="D189" s="910"/>
      <c r="F189" s="242"/>
      <c r="G189" s="243"/>
      <c r="H189" s="243"/>
      <c r="I189" s="243"/>
      <c r="J189" s="243"/>
      <c r="K189" s="243"/>
      <c r="L189" s="1002"/>
      <c r="M189" s="459"/>
      <c r="N189" s="242"/>
      <c r="O189" s="141"/>
      <c r="P189" s="141"/>
      <c r="Q189" s="148"/>
      <c r="R189" s="148"/>
      <c r="S189" s="149"/>
      <c r="T189" s="149"/>
      <c r="U189" s="150"/>
      <c r="V189" s="150"/>
      <c r="W189" s="150"/>
      <c r="X189" s="150"/>
      <c r="Y189" s="150"/>
      <c r="Z189" s="150"/>
      <c r="AA189" s="150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39" s="213" customFormat="1">
      <c r="B190" s="225"/>
      <c r="D190" s="910"/>
      <c r="F190" s="242"/>
      <c r="G190" s="243"/>
      <c r="H190" s="243"/>
      <c r="I190" s="243"/>
      <c r="J190" s="243"/>
      <c r="K190" s="243"/>
      <c r="L190" s="1002"/>
      <c r="M190" s="459"/>
      <c r="N190" s="242"/>
      <c r="O190" s="141"/>
      <c r="P190" s="141"/>
      <c r="Q190" s="148"/>
      <c r="R190" s="148"/>
      <c r="S190" s="149"/>
      <c r="T190" s="149"/>
      <c r="U190" s="150"/>
      <c r="V190" s="150"/>
      <c r="W190" s="150"/>
      <c r="X190" s="150"/>
      <c r="Y190" s="150"/>
      <c r="Z190" s="150"/>
      <c r="AA190" s="150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39" s="213" customFormat="1">
      <c r="B191" s="225"/>
      <c r="D191" s="910"/>
      <c r="F191" s="242"/>
      <c r="G191" s="243"/>
      <c r="H191" s="243"/>
      <c r="I191" s="243"/>
      <c r="J191" s="243"/>
      <c r="K191" s="243"/>
      <c r="L191" s="1002"/>
      <c r="M191" s="459"/>
      <c r="N191" s="242"/>
      <c r="O191" s="141"/>
      <c r="P191" s="141"/>
      <c r="Q191" s="148"/>
      <c r="R191" s="148"/>
      <c r="S191" s="149"/>
      <c r="T191" s="149"/>
      <c r="U191" s="150"/>
      <c r="V191" s="150"/>
      <c r="W191" s="150"/>
      <c r="X191" s="150"/>
      <c r="Y191" s="150"/>
      <c r="Z191" s="150"/>
      <c r="AA191" s="150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39" s="213" customFormat="1">
      <c r="B192" s="225"/>
      <c r="D192" s="910"/>
      <c r="F192" s="242"/>
      <c r="G192" s="243"/>
      <c r="H192" s="243"/>
      <c r="I192" s="243"/>
      <c r="J192" s="243"/>
      <c r="K192" s="243"/>
      <c r="L192" s="1002"/>
      <c r="M192" s="459"/>
      <c r="N192" s="242"/>
      <c r="O192" s="141"/>
      <c r="P192" s="141"/>
      <c r="Q192" s="148"/>
      <c r="R192" s="148"/>
      <c r="S192" s="149"/>
      <c r="T192" s="149"/>
      <c r="U192" s="150"/>
      <c r="V192" s="150"/>
      <c r="W192" s="150"/>
      <c r="X192" s="150"/>
      <c r="Y192" s="150"/>
      <c r="Z192" s="150"/>
      <c r="AA192" s="150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1:40" s="213" customFormat="1">
      <c r="B193" s="225"/>
      <c r="D193" s="910"/>
      <c r="F193" s="242"/>
      <c r="G193" s="243"/>
      <c r="H193" s="243"/>
      <c r="I193" s="243"/>
      <c r="J193" s="243"/>
      <c r="K193" s="243"/>
      <c r="L193" s="1002"/>
      <c r="M193" s="459"/>
      <c r="N193" s="242"/>
      <c r="O193" s="141"/>
      <c r="P193" s="141"/>
      <c r="Q193" s="148"/>
      <c r="R193" s="148"/>
      <c r="S193" s="149"/>
      <c r="T193" s="149"/>
      <c r="U193" s="150"/>
      <c r="V193" s="150"/>
      <c r="W193" s="150"/>
      <c r="X193" s="150"/>
      <c r="Y193" s="150"/>
      <c r="Z193" s="150"/>
      <c r="AA193" s="150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1:40" s="213" customFormat="1">
      <c r="B194" s="225"/>
      <c r="D194" s="910"/>
      <c r="F194" s="242"/>
      <c r="G194" s="243"/>
      <c r="H194" s="243"/>
      <c r="I194" s="243"/>
      <c r="J194" s="243"/>
      <c r="K194" s="243"/>
      <c r="L194" s="1002"/>
      <c r="M194" s="459"/>
      <c r="N194" s="242"/>
      <c r="O194" s="141"/>
      <c r="P194" s="141"/>
      <c r="Q194" s="148"/>
      <c r="R194" s="148"/>
      <c r="S194" s="149"/>
      <c r="T194" s="149"/>
      <c r="U194" s="150"/>
      <c r="V194" s="150"/>
      <c r="W194" s="150"/>
      <c r="X194" s="150"/>
      <c r="Y194" s="150"/>
      <c r="Z194" s="150"/>
      <c r="AA194" s="150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1:40" s="213" customFormat="1">
      <c r="B195" s="225"/>
      <c r="D195" s="910"/>
      <c r="F195" s="242"/>
      <c r="G195" s="243"/>
      <c r="H195" s="243"/>
      <c r="I195" s="243"/>
      <c r="J195" s="243"/>
      <c r="K195" s="243"/>
      <c r="L195" s="1002"/>
      <c r="M195" s="459"/>
      <c r="N195" s="242"/>
      <c r="O195" s="141"/>
      <c r="P195" s="141"/>
      <c r="Q195" s="148"/>
      <c r="R195" s="148"/>
      <c r="S195" s="149"/>
      <c r="T195" s="149"/>
      <c r="U195" s="150"/>
      <c r="V195" s="150"/>
      <c r="W195" s="150"/>
      <c r="X195" s="150"/>
      <c r="Y195" s="150"/>
      <c r="Z195" s="150"/>
      <c r="AA195" s="150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1:40" s="213" customFormat="1">
      <c r="B196" s="225"/>
      <c r="D196" s="910"/>
      <c r="F196" s="242"/>
      <c r="G196" s="243"/>
      <c r="H196" s="243"/>
      <c r="I196" s="243"/>
      <c r="J196" s="243"/>
      <c r="K196" s="243"/>
      <c r="L196" s="1002"/>
      <c r="M196" s="459"/>
      <c r="N196" s="242"/>
      <c r="O196" s="141"/>
      <c r="P196" s="141"/>
      <c r="Q196" s="148"/>
      <c r="R196" s="148"/>
      <c r="S196" s="149"/>
      <c r="T196" s="149"/>
      <c r="U196" s="150"/>
      <c r="V196" s="150"/>
      <c r="W196" s="150"/>
      <c r="X196" s="150"/>
      <c r="Y196" s="150"/>
      <c r="Z196" s="150"/>
      <c r="AA196" s="150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1:40" s="213" customFormat="1">
      <c r="B197" s="225"/>
      <c r="D197" s="910"/>
      <c r="F197" s="242"/>
      <c r="G197" s="243"/>
      <c r="H197" s="243"/>
      <c r="I197" s="243"/>
      <c r="J197" s="243"/>
      <c r="K197" s="243"/>
      <c r="L197" s="1002"/>
      <c r="M197" s="459"/>
      <c r="N197" s="242"/>
      <c r="O197" s="141"/>
      <c r="P197" s="141"/>
      <c r="Q197" s="148"/>
      <c r="R197" s="148"/>
      <c r="S197" s="149"/>
      <c r="T197" s="149"/>
      <c r="U197" s="150"/>
      <c r="V197" s="150"/>
      <c r="W197" s="150"/>
      <c r="X197" s="150"/>
      <c r="Y197" s="150"/>
      <c r="Z197" s="150"/>
      <c r="AA197" s="150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1:40" s="213" customFormat="1">
      <c r="B198" s="225"/>
      <c r="D198" s="910"/>
      <c r="F198" s="242"/>
      <c r="G198" s="243"/>
      <c r="H198" s="243"/>
      <c r="I198" s="243"/>
      <c r="J198" s="243"/>
      <c r="K198" s="243"/>
      <c r="L198" s="1002"/>
      <c r="M198" s="459"/>
      <c r="N198" s="242"/>
      <c r="O198" s="141"/>
      <c r="P198" s="141"/>
      <c r="Q198" s="148"/>
      <c r="R198" s="148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1:40" s="213" customFormat="1">
      <c r="B199" s="225"/>
      <c r="D199" s="910"/>
      <c r="F199" s="242"/>
      <c r="G199" s="243"/>
      <c r="H199" s="243"/>
      <c r="I199" s="243"/>
      <c r="J199" s="243"/>
      <c r="K199" s="243"/>
      <c r="L199" s="1002"/>
      <c r="M199" s="459"/>
      <c r="N199" s="242"/>
      <c r="O199" s="141"/>
      <c r="P199" s="141"/>
      <c r="Q199" s="148"/>
      <c r="R199" s="148"/>
      <c r="S199" s="149"/>
      <c r="T199" s="149"/>
      <c r="U199" s="150"/>
      <c r="V199" s="150"/>
      <c r="W199" s="150"/>
      <c r="X199" s="150"/>
      <c r="Y199" s="150"/>
      <c r="Z199" s="150"/>
      <c r="AA199" s="150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1:40" s="213" customFormat="1">
      <c r="B200" s="225"/>
      <c r="D200" s="910"/>
      <c r="F200" s="242"/>
      <c r="G200" s="243"/>
      <c r="H200" s="243"/>
      <c r="I200" s="243"/>
      <c r="J200" s="243"/>
      <c r="K200" s="243"/>
      <c r="L200" s="1002"/>
      <c r="M200" s="459"/>
      <c r="N200" s="242"/>
      <c r="O200" s="141"/>
      <c r="P200" s="141"/>
      <c r="Q200" s="148"/>
      <c r="R200" s="148"/>
      <c r="S200" s="149"/>
      <c r="T200" s="149"/>
      <c r="U200" s="150"/>
      <c r="V200" s="150"/>
      <c r="W200" s="150"/>
      <c r="X200" s="150"/>
      <c r="Y200" s="150"/>
      <c r="Z200" s="150"/>
      <c r="AA200" s="150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1:40" s="213" customFormat="1">
      <c r="B201" s="225"/>
      <c r="D201" s="910"/>
      <c r="F201" s="242"/>
      <c r="G201" s="243"/>
      <c r="H201" s="243"/>
      <c r="I201" s="243"/>
      <c r="J201" s="243"/>
      <c r="K201" s="243"/>
      <c r="L201" s="1002"/>
      <c r="M201" s="459"/>
      <c r="N201" s="242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1:40" s="213" customFormat="1">
      <c r="B202" s="225"/>
      <c r="D202" s="910"/>
      <c r="F202" s="242"/>
      <c r="G202" s="243"/>
      <c r="H202" s="243"/>
      <c r="I202" s="243"/>
      <c r="J202" s="243"/>
      <c r="K202" s="243"/>
      <c r="L202" s="1002"/>
      <c r="M202" s="459"/>
      <c r="N202" s="242"/>
      <c r="O202" s="141"/>
      <c r="P202" s="141"/>
      <c r="Q202" s="148"/>
      <c r="R202" s="148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1:40" s="213" customFormat="1">
      <c r="B203" s="225"/>
      <c r="D203" s="910"/>
      <c r="F203" s="242"/>
      <c r="G203" s="243"/>
      <c r="H203" s="243"/>
      <c r="I203" s="243"/>
      <c r="J203" s="243"/>
      <c r="K203" s="243"/>
      <c r="L203" s="1002"/>
      <c r="M203" s="459"/>
      <c r="N203" s="242"/>
      <c r="O203" s="141"/>
      <c r="P203" s="141"/>
      <c r="Q203" s="148"/>
      <c r="R203" s="148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1:40" s="213" customFormat="1">
      <c r="B204" s="225"/>
      <c r="D204" s="910"/>
      <c r="F204" s="242"/>
      <c r="G204" s="243"/>
      <c r="H204" s="243"/>
      <c r="I204" s="243"/>
      <c r="J204" s="243"/>
      <c r="K204" s="243"/>
      <c r="L204" s="1002"/>
      <c r="M204" s="459"/>
      <c r="N204" s="242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1:40" s="213" customFormat="1">
      <c r="B205" s="225"/>
      <c r="D205" s="910"/>
      <c r="F205" s="242"/>
      <c r="G205" s="243"/>
      <c r="H205" s="243"/>
      <c r="I205" s="243"/>
      <c r="J205" s="243"/>
      <c r="K205" s="243"/>
      <c r="L205" s="1002"/>
      <c r="M205" s="459"/>
      <c r="N205" s="242"/>
      <c r="O205" s="141"/>
      <c r="P205" s="141"/>
      <c r="Q205" s="148"/>
      <c r="R205" s="148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1:40" s="213" customFormat="1">
      <c r="B206" s="225"/>
      <c r="D206" s="910"/>
      <c r="F206" s="242"/>
      <c r="G206" s="243"/>
      <c r="H206" s="243"/>
      <c r="I206" s="243"/>
      <c r="J206" s="243"/>
      <c r="K206" s="243"/>
      <c r="L206" s="1002"/>
      <c r="M206" s="459"/>
      <c r="N206" s="242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1:40" s="213" customFormat="1">
      <c r="B207" s="225"/>
      <c r="D207" s="910"/>
      <c r="F207" s="242"/>
      <c r="G207" s="243"/>
      <c r="H207" s="243"/>
      <c r="I207" s="243"/>
      <c r="J207" s="243"/>
      <c r="K207" s="243"/>
      <c r="L207" s="1002"/>
      <c r="M207" s="459"/>
      <c r="N207" s="242"/>
      <c r="O207" s="141"/>
      <c r="P207" s="141"/>
      <c r="Q207" s="148"/>
      <c r="R207" s="148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1:40">
      <c r="A208" s="204"/>
      <c r="B208" s="204"/>
      <c r="D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155"/>
      <c r="P208" s="155"/>
      <c r="Q208" s="1131"/>
      <c r="R208" s="1131"/>
      <c r="S208" s="251"/>
      <c r="T208" s="251"/>
      <c r="U208" s="1132"/>
      <c r="V208" s="1132"/>
      <c r="W208" s="1132"/>
      <c r="X208" s="1132"/>
      <c r="Y208" s="1132"/>
      <c r="Z208" s="1132"/>
      <c r="AA208" s="1132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</row>
    <row r="209" spans="1:40">
      <c r="A209" s="204"/>
      <c r="B209" s="204"/>
      <c r="D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155"/>
      <c r="P209" s="155"/>
      <c r="Q209" s="1131"/>
      <c r="R209" s="1131"/>
      <c r="S209" s="251"/>
      <c r="T209" s="251"/>
      <c r="U209" s="1132"/>
      <c r="V209" s="1132"/>
      <c r="W209" s="1132"/>
      <c r="X209" s="1132"/>
      <c r="Y209" s="1132"/>
      <c r="Z209" s="1132"/>
      <c r="AA209" s="1132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</row>
    <row r="210" spans="1:40">
      <c r="A210" s="204"/>
      <c r="B210" s="204"/>
      <c r="D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155"/>
      <c r="P210" s="155"/>
      <c r="Q210" s="1131"/>
      <c r="R210" s="1131"/>
      <c r="S210" s="251"/>
      <c r="T210" s="251"/>
      <c r="U210" s="1132"/>
      <c r="V210" s="1132"/>
      <c r="W210" s="1132"/>
      <c r="X210" s="1132"/>
      <c r="Y210" s="1132"/>
      <c r="Z210" s="1132"/>
      <c r="AA210" s="1132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</row>
    <row r="211" spans="1:40">
      <c r="A211" s="204"/>
      <c r="B211" s="204"/>
      <c r="D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155"/>
      <c r="P211" s="155"/>
      <c r="Q211" s="1131"/>
      <c r="R211" s="1131"/>
      <c r="S211" s="251"/>
      <c r="T211" s="251"/>
      <c r="U211" s="1132"/>
      <c r="V211" s="1132"/>
      <c r="W211" s="1132"/>
      <c r="X211" s="1132"/>
      <c r="Y211" s="1132"/>
      <c r="Z211" s="1132"/>
      <c r="AA211" s="1132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</row>
    <row r="212" spans="1:40">
      <c r="A212" s="204"/>
      <c r="B212" s="204"/>
      <c r="D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155"/>
      <c r="P212" s="155"/>
      <c r="Q212" s="1131"/>
      <c r="R212" s="1131"/>
      <c r="S212" s="251"/>
      <c r="T212" s="251"/>
      <c r="U212" s="1132"/>
      <c r="V212" s="1132"/>
      <c r="W212" s="1132"/>
      <c r="X212" s="1132"/>
      <c r="Y212" s="1132"/>
      <c r="Z212" s="1132"/>
      <c r="AA212" s="1132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</row>
    <row r="213" spans="1:40">
      <c r="A213" s="204"/>
      <c r="B213" s="204"/>
      <c r="D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155"/>
      <c r="P213" s="155"/>
      <c r="Q213" s="1131"/>
      <c r="R213" s="1131"/>
      <c r="S213" s="251"/>
      <c r="T213" s="251"/>
      <c r="U213" s="1132"/>
      <c r="V213" s="1132"/>
      <c r="W213" s="1132"/>
      <c r="X213" s="1132"/>
      <c r="Y213" s="1132"/>
      <c r="Z213" s="1132"/>
      <c r="AA213" s="1132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</row>
    <row r="214" spans="1:40">
      <c r="A214" s="204"/>
      <c r="B214" s="204"/>
      <c r="D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155"/>
      <c r="P214" s="155"/>
      <c r="Q214" s="1131"/>
      <c r="R214" s="1131"/>
      <c r="S214" s="251"/>
      <c r="T214" s="251"/>
      <c r="U214" s="1132"/>
      <c r="V214" s="1132"/>
      <c r="W214" s="1132"/>
      <c r="X214" s="1132"/>
      <c r="Y214" s="1132"/>
      <c r="Z214" s="1132"/>
      <c r="AA214" s="1132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</row>
    <row r="215" spans="1:40">
      <c r="A215" s="204"/>
      <c r="B215" s="204"/>
      <c r="D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155"/>
      <c r="P215" s="155"/>
      <c r="Q215" s="1131"/>
      <c r="R215" s="1131"/>
      <c r="S215" s="251"/>
      <c r="T215" s="251"/>
      <c r="U215" s="1132"/>
      <c r="V215" s="1132"/>
      <c r="W215" s="1132"/>
      <c r="X215" s="1132"/>
      <c r="Y215" s="1132"/>
      <c r="Z215" s="1132"/>
      <c r="AA215" s="1132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</row>
    <row r="216" spans="1:40">
      <c r="A216" s="204"/>
      <c r="B216" s="204"/>
      <c r="D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155"/>
      <c r="P216" s="155"/>
      <c r="Q216" s="1131"/>
      <c r="R216" s="1131"/>
      <c r="S216" s="251"/>
      <c r="T216" s="251"/>
      <c r="U216" s="1132"/>
      <c r="V216" s="1132"/>
      <c r="W216" s="1132"/>
      <c r="X216" s="1132"/>
      <c r="Y216" s="1132"/>
      <c r="Z216" s="1132"/>
      <c r="AA216" s="1132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</row>
    <row r="217" spans="1:40">
      <c r="A217" s="204"/>
      <c r="B217" s="204"/>
      <c r="D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155"/>
      <c r="P217" s="155"/>
      <c r="Q217" s="1131"/>
      <c r="R217" s="1131"/>
      <c r="S217" s="251"/>
      <c r="T217" s="251"/>
      <c r="U217" s="1132"/>
      <c r="V217" s="1132"/>
      <c r="W217" s="1132"/>
      <c r="X217" s="1132"/>
      <c r="Y217" s="1132"/>
      <c r="Z217" s="1132"/>
      <c r="AA217" s="1132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</row>
    <row r="218" spans="1:40">
      <c r="A218" s="204"/>
      <c r="B218" s="204"/>
      <c r="D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155"/>
      <c r="P218" s="155"/>
      <c r="Q218" s="1131"/>
      <c r="R218" s="1131"/>
      <c r="S218" s="251"/>
      <c r="T218" s="251"/>
      <c r="U218" s="1132"/>
      <c r="V218" s="1132"/>
      <c r="W218" s="1132"/>
      <c r="X218" s="1132"/>
      <c r="Y218" s="1132"/>
      <c r="Z218" s="1132"/>
      <c r="AA218" s="1132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</row>
    <row r="219" spans="1:40">
      <c r="A219" s="204"/>
      <c r="B219" s="204"/>
      <c r="D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155"/>
      <c r="P219" s="155"/>
      <c r="Q219" s="1131"/>
      <c r="R219" s="1131"/>
      <c r="S219" s="251"/>
      <c r="T219" s="251"/>
      <c r="U219" s="1132"/>
      <c r="V219" s="1132"/>
      <c r="W219" s="1132"/>
      <c r="X219" s="1132"/>
      <c r="Y219" s="1132"/>
      <c r="Z219" s="1132"/>
      <c r="AA219" s="1132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</row>
    <row r="220" spans="1:40">
      <c r="A220" s="204"/>
      <c r="B220" s="204"/>
      <c r="D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155"/>
      <c r="P220" s="155"/>
      <c r="Q220" s="1131"/>
      <c r="R220" s="1131"/>
      <c r="S220" s="251"/>
      <c r="T220" s="251"/>
      <c r="U220" s="1132"/>
      <c r="V220" s="1132"/>
      <c r="W220" s="1132"/>
      <c r="X220" s="1132"/>
      <c r="Y220" s="1132"/>
      <c r="Z220" s="1132"/>
      <c r="AA220" s="1132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</row>
  </sheetData>
  <phoneticPr fontId="19" type="noConversion"/>
  <conditionalFormatting sqref="F6:K6 D6">
    <cfRule type="cellIs" dxfId="601" priority="16" stopIfTrue="1" operator="equal">
      <formula>1</formula>
    </cfRule>
  </conditionalFormatting>
  <conditionalFormatting sqref="E13">
    <cfRule type="cellIs" dxfId="600" priority="7" stopIfTrue="1" operator="equal">
      <formula>1</formula>
    </cfRule>
  </conditionalFormatting>
  <conditionalFormatting sqref="E6">
    <cfRule type="cellIs" dxfId="599" priority="14" stopIfTrue="1" operator="equal">
      <formula>1</formula>
    </cfRule>
  </conditionalFormatting>
  <conditionalFormatting sqref="F13:K13 D13">
    <cfRule type="cellIs" dxfId="598" priority="8" stopIfTrue="1" operator="equal">
      <formula>1</formula>
    </cfRule>
  </conditionalFormatting>
  <conditionalFormatting sqref="F26:K26 D26">
    <cfRule type="cellIs" dxfId="597" priority="6" stopIfTrue="1" operator="equal">
      <formula>1</formula>
    </cfRule>
  </conditionalFormatting>
  <conditionalFormatting sqref="E26">
    <cfRule type="cellIs" dxfId="596" priority="5" stopIfTrue="1" operator="equal">
      <formula>1</formula>
    </cfRule>
  </conditionalFormatting>
  <conditionalFormatting sqref="F32:K32 D32">
    <cfRule type="cellIs" dxfId="595" priority="2" stopIfTrue="1" operator="equal">
      <formula>1</formula>
    </cfRule>
  </conditionalFormatting>
  <conditionalFormatting sqref="E32">
    <cfRule type="cellIs" dxfId="594" priority="1" stopIfTrue="1" operator="equal">
      <formula>1</formula>
    </cfRule>
  </conditionalFormatting>
  <pageMargins left="0.75" right="0.75" top="1" bottom="1" header="0.5" footer="0.5"/>
  <pageSetup paperSize="9" orientation="landscape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1"/>
  <dimension ref="A1:Q59"/>
  <sheetViews>
    <sheetView zoomScale="150" zoomScaleNormal="150" workbookViewId="0">
      <selection sqref="A1:XFD1048576"/>
    </sheetView>
  </sheetViews>
  <sheetFormatPr baseColWidth="10" defaultColWidth="10.83203125" defaultRowHeight="13"/>
  <cols>
    <col min="1" max="1" width="3.5" customWidth="1"/>
    <col min="2" max="2" width="13.5" style="49" customWidth="1"/>
    <col min="3" max="3" width="7.6640625" style="49" customWidth="1"/>
    <col min="4" max="4" width="8.5" style="49" customWidth="1"/>
    <col min="5" max="5" width="8.1640625" style="49" customWidth="1"/>
    <col min="6" max="6" width="8.6640625" style="49" customWidth="1"/>
    <col min="7" max="7" width="8.1640625" style="49" customWidth="1"/>
    <col min="8" max="9" width="8" style="55" customWidth="1"/>
    <col min="10" max="10" width="8.6640625" customWidth="1"/>
    <col min="11" max="11" width="4.5" customWidth="1"/>
    <col min="12" max="12" width="6.5" customWidth="1"/>
    <col min="13" max="13" width="9.5" customWidth="1"/>
    <col min="14" max="14" width="10.33203125" customWidth="1"/>
    <col min="15" max="15" width="3.33203125" customWidth="1"/>
  </cols>
  <sheetData>
    <row r="1" spans="1:15" ht="12" customHeight="1" thickBot="1">
      <c r="A1" s="106"/>
      <c r="B1" s="81"/>
      <c r="C1" s="568" t="s">
        <v>180</v>
      </c>
      <c r="D1" s="568" t="s">
        <v>181</v>
      </c>
      <c r="E1" s="568" t="s">
        <v>781</v>
      </c>
      <c r="F1" s="568" t="s">
        <v>782</v>
      </c>
      <c r="G1" s="568" t="s">
        <v>783</v>
      </c>
      <c r="H1" s="568" t="s">
        <v>784</v>
      </c>
      <c r="I1" s="568" t="s">
        <v>785</v>
      </c>
      <c r="J1" s="568" t="s">
        <v>786</v>
      </c>
      <c r="K1" s="76"/>
      <c r="L1" s="76"/>
      <c r="M1" s="76"/>
      <c r="N1" s="76"/>
      <c r="O1" s="1"/>
    </row>
    <row r="2" spans="1:15" ht="10.5" customHeight="1">
      <c r="A2" s="84">
        <v>1</v>
      </c>
      <c r="B2" s="85" t="s">
        <v>339</v>
      </c>
      <c r="C2" s="262">
        <f>Plan!L26*15*6*Plan!L15*1+1</f>
        <v>11455.545454545454</v>
      </c>
      <c r="D2" s="262">
        <f>Plan!M26*15*6*Plan!M15*1+1</f>
        <v>1</v>
      </c>
      <c r="E2" s="262">
        <f>Plan!N26*15*6*Plan!N15*1+1</f>
        <v>1</v>
      </c>
      <c r="F2" s="262">
        <f>Plan!O26*15*6*Plan!O15*1+1</f>
        <v>3273.727272727273</v>
      </c>
      <c r="G2" s="262">
        <f>Plan!P26*15*6*Plan!P15*1+1</f>
        <v>1</v>
      </c>
      <c r="H2" s="262">
        <f>Plan!Q26*15*6*Plan!Q15*1+1</f>
        <v>1</v>
      </c>
      <c r="I2" s="262">
        <f>Plan!R26*15*6*Plan!R15*1+1</f>
        <v>7364.636363636364</v>
      </c>
      <c r="J2" s="262">
        <f>Plan!S26*15*6*Plan!S15*1+1</f>
        <v>12273.727272727272</v>
      </c>
      <c r="K2" s="80"/>
      <c r="L2" s="80"/>
      <c r="M2" s="80"/>
      <c r="N2" s="80"/>
      <c r="O2" s="1"/>
    </row>
    <row r="3" spans="1:15" ht="10.5" customHeight="1" thickBot="1">
      <c r="A3" s="84">
        <v>2</v>
      </c>
      <c r="B3" s="85" t="s">
        <v>340</v>
      </c>
      <c r="C3" s="263">
        <f>Plan!L32*15*6*Plan!L15*0.8+1</f>
        <v>9164.636363636364</v>
      </c>
      <c r="D3" s="263">
        <f>Plan!M32*15*6*Plan!M15*0.8+1</f>
        <v>7855.545454545455</v>
      </c>
      <c r="E3" s="263">
        <f>Plan!N32*15*6*Plan!N15*0.8+1</f>
        <v>9819.181818181818</v>
      </c>
      <c r="F3" s="263">
        <f>Plan!O32*15*6*Plan!O15*0.8+1</f>
        <v>5237.3636363636369</v>
      </c>
      <c r="G3" s="263">
        <f>Plan!P32*15*6*Plan!P15*0.8+1</f>
        <v>5237.3636363636369</v>
      </c>
      <c r="H3" s="263">
        <f>Plan!Q32*15*6*Plan!Q15*0.8+1</f>
        <v>5891.9090909090919</v>
      </c>
      <c r="I3" s="263">
        <f>Plan!R32*15*6*Plan!R15*0.8+1</f>
        <v>5891.9090909090919</v>
      </c>
      <c r="J3" s="263">
        <f>Plan!S32*15*6*Plan!S15*0.8+1</f>
        <v>9819.181818181818</v>
      </c>
      <c r="K3" s="80"/>
      <c r="L3" s="80"/>
      <c r="M3" s="80"/>
      <c r="N3" s="80"/>
      <c r="O3" s="1"/>
    </row>
    <row r="4" spans="1:15" ht="10.5" customHeight="1" thickBot="1">
      <c r="A4" s="84">
        <v>3</v>
      </c>
      <c r="B4" s="85" t="s">
        <v>341</v>
      </c>
      <c r="C4" s="262">
        <f>Plan!L38*15*6*Plan!L15*0.7+1</f>
        <v>12028.272727272726</v>
      </c>
      <c r="D4" s="262">
        <f>Plan!M38*15*6*Plan!M15*0.7+1</f>
        <v>6873.7272727272721</v>
      </c>
      <c r="E4" s="262">
        <f>Plan!N38*15*6*Plan!N15*0.7+1</f>
        <v>2864.6363636363635</v>
      </c>
      <c r="F4" s="262">
        <f>Plan!O38*15*6*Plan!O15*0.7+1</f>
        <v>9164.636363636364</v>
      </c>
      <c r="G4" s="262">
        <f>Plan!P38*15*6*Plan!P15*0.7+1</f>
        <v>4582.818181818182</v>
      </c>
      <c r="H4" s="262">
        <f>Plan!Q38*15*6*Plan!Q15*0.7+1</f>
        <v>5155.545454545454</v>
      </c>
      <c r="I4" s="262">
        <f>Plan!R38*15*6*Plan!R15*0.7+1</f>
        <v>3437.363636363636</v>
      </c>
      <c r="J4" s="262">
        <f>Plan!S38*15*6*Plan!S15*0.7+1</f>
        <v>14319.181818181816</v>
      </c>
      <c r="K4" s="80"/>
      <c r="L4" s="80"/>
      <c r="M4" s="80"/>
      <c r="N4" s="80"/>
      <c r="O4" s="1"/>
    </row>
    <row r="5" spans="1:15" ht="10.5" customHeight="1" thickBot="1">
      <c r="A5" s="84">
        <v>4</v>
      </c>
      <c r="B5" s="85" t="s">
        <v>342</v>
      </c>
      <c r="C5" s="262">
        <f>Plan!K44*15*6*Plan!L15*0.6+1</f>
        <v>1</v>
      </c>
      <c r="D5" s="262">
        <f>Plan!L44*15*6*Plan!M15*0.6+1</f>
        <v>1</v>
      </c>
      <c r="E5" s="262">
        <f>Plan!N44*15*6*Plan!N15*0.6+1</f>
        <v>1</v>
      </c>
      <c r="F5" s="262">
        <f>Plan!O44*15*6*Plan!O15*0.6+1</f>
        <v>1</v>
      </c>
      <c r="G5" s="262">
        <f>Plan!P44*15*6*Plan!P15*0.6+1</f>
        <v>1964.6363636363637</v>
      </c>
      <c r="H5" s="262">
        <f>Plan!Q44*15*6*Plan!Q15*0.6+1</f>
        <v>1473.7272727272727</v>
      </c>
      <c r="I5" s="262">
        <f>Plan!R44*15*6*Plan!R15*0.6+1</f>
        <v>1473.7272727272727</v>
      </c>
      <c r="J5" s="262">
        <f>Plan!S44*15*6*Plan!S15*0.6+1</f>
        <v>2455.5454545454545</v>
      </c>
      <c r="K5" s="80"/>
      <c r="L5" s="80"/>
      <c r="M5" s="80"/>
      <c r="N5" s="80"/>
      <c r="O5" s="1"/>
    </row>
    <row r="6" spans="1:15" ht="10.5" customHeight="1" thickBot="1">
      <c r="A6" s="84">
        <v>5</v>
      </c>
      <c r="B6" s="85" t="s">
        <v>202</v>
      </c>
      <c r="C6" s="262">
        <f>Plan!L50*15*6*Plan!L15*0.5+1</f>
        <v>11455.545454545454</v>
      </c>
      <c r="D6" s="262">
        <f>Plan!M50*15*6*Plan!M15*0.5+1</f>
        <v>9819.181818181818</v>
      </c>
      <c r="E6" s="262">
        <f>Plan!N50*15*6*Plan!N15*0.5+1</f>
        <v>8182.818181818182</v>
      </c>
      <c r="F6" s="262">
        <f>Plan!O50*15*6*Plan!O15*0.5+1</f>
        <v>3273.727272727273</v>
      </c>
      <c r="G6" s="262">
        <f>Plan!P50*15*6*Plan!P15*0.5+1</f>
        <v>6546.454545454546</v>
      </c>
      <c r="H6" s="262">
        <f>Plan!Q50*15*6*Plan!Q15*0.5+1</f>
        <v>3682.818181818182</v>
      </c>
      <c r="I6" s="262">
        <f>Plan!R50*15*6*Plan!R15*0.5+1</f>
        <v>2455.5454545454545</v>
      </c>
      <c r="J6" s="262">
        <f>Plan!S50*15*6*Plan!S15*0.5+1</f>
        <v>2046.4545454545455</v>
      </c>
      <c r="K6" s="80"/>
      <c r="L6" s="80"/>
      <c r="M6" s="80"/>
      <c r="N6" s="80"/>
      <c r="O6" s="1"/>
    </row>
    <row r="7" spans="1:15" ht="10.5" customHeight="1" thickBot="1">
      <c r="A7" s="84">
        <v>6</v>
      </c>
      <c r="B7" s="85" t="s">
        <v>203</v>
      </c>
      <c r="C7" s="262">
        <f>Plan!L56*15*6*Plan!L15*0.4+1</f>
        <v>4582.818181818182</v>
      </c>
      <c r="D7" s="262">
        <f>Plan!M56*15*6*Plan!M15*0.4+1</f>
        <v>5891.9090909090919</v>
      </c>
      <c r="E7" s="262">
        <f>Plan!N56*15*6*Plan!N15*0.4+1</f>
        <v>6546.454545454546</v>
      </c>
      <c r="F7" s="262">
        <f>Plan!O56*15*6*Plan!O15*0.4+1</f>
        <v>5237.3636363636369</v>
      </c>
      <c r="G7" s="262">
        <f>Plan!P56*15*6*Plan!P15*0.4+1</f>
        <v>2619.1818181818185</v>
      </c>
      <c r="H7" s="262">
        <f>Plan!Q56*15*6*Plan!Q15*0.4+1</f>
        <v>1964.6363636363637</v>
      </c>
      <c r="I7" s="262">
        <f>Plan!R56*15*6*Plan!R15*0.4+1</f>
        <v>1</v>
      </c>
      <c r="J7" s="262">
        <f>Plan!S56*15*6*Plan!S15*0.4+1</f>
        <v>1637.3636363636365</v>
      </c>
      <c r="K7" s="80"/>
      <c r="L7" s="80"/>
      <c r="M7" s="80"/>
      <c r="N7" s="80"/>
      <c r="O7" s="1"/>
    </row>
    <row r="8" spans="1:15" ht="10.5" customHeight="1" thickBot="1">
      <c r="A8" s="84">
        <v>7</v>
      </c>
      <c r="B8" s="85" t="s">
        <v>204</v>
      </c>
      <c r="C8" s="262">
        <f>Plan!L62*15*6*Plan!L15*0.3+1</f>
        <v>3437.363636363636</v>
      </c>
      <c r="D8" s="262">
        <f>Plan!M62*15*6*Plan!M15*0.3+1</f>
        <v>5891.909090909091</v>
      </c>
      <c r="E8" s="262">
        <f>Plan!N62*15*6*Plan!N15*0.3+1</f>
        <v>3682.8181818181815</v>
      </c>
      <c r="F8" s="262">
        <f>Plan!O62*15*6*Plan!O15*0.3+1</f>
        <v>1964.6363636363637</v>
      </c>
      <c r="G8" s="262">
        <f>Plan!P62*15*6*Plan!P15*0.3+1</f>
        <v>3928.2727272727275</v>
      </c>
      <c r="H8" s="262">
        <f>Plan!Q62*15*6*Plan!Q15*0.3+1</f>
        <v>2210.090909090909</v>
      </c>
      <c r="I8" s="262">
        <f>Plan!R62*15*6*Plan!R15*0.3+1</f>
        <v>2946.4545454545455</v>
      </c>
      <c r="J8" s="262">
        <f>Plan!S62*15*6*Plan!S15*0.3+1</f>
        <v>1228.2727272727273</v>
      </c>
      <c r="K8" s="80"/>
      <c r="L8" s="80"/>
      <c r="M8" s="80"/>
      <c r="N8" s="80"/>
      <c r="O8" s="1"/>
    </row>
    <row r="9" spans="1:15" ht="10.5" customHeight="1" thickBot="1">
      <c r="A9" s="84">
        <v>8</v>
      </c>
      <c r="B9" s="85" t="s">
        <v>205</v>
      </c>
      <c r="C9" s="588" t="e">
        <f>Plan!#REF!*5.5*5+1</f>
        <v>#REF!</v>
      </c>
      <c r="D9" s="588" t="e">
        <f>Plan!#REF!*5.5*5+1</f>
        <v>#REF!</v>
      </c>
      <c r="E9" s="588" t="e">
        <f>Plan!#REF!*5.5*5+1</f>
        <v>#REF!</v>
      </c>
      <c r="F9" s="588" t="e">
        <f>Plan!#REF!*5.5*5+1</f>
        <v>#REF!</v>
      </c>
      <c r="G9" s="588" t="e">
        <f>Plan!#REF!*5.5*5+1</f>
        <v>#REF!</v>
      </c>
      <c r="H9" s="588" t="e">
        <f>Plan!#REF!*5.5*5+1</f>
        <v>#REF!</v>
      </c>
      <c r="I9" s="588" t="e">
        <f>Plan!#REF!*5.5*5+1</f>
        <v>#REF!</v>
      </c>
      <c r="J9" s="588" t="e">
        <f>Plan!#REF!*5.5*5+1</f>
        <v>#REF!</v>
      </c>
      <c r="K9" s="80"/>
      <c r="L9" s="80"/>
      <c r="M9" s="80"/>
      <c r="N9" s="80"/>
      <c r="O9" s="1"/>
    </row>
    <row r="10" spans="1:15" ht="10.5" customHeight="1" thickBot="1">
      <c r="A10" s="84">
        <v>9</v>
      </c>
      <c r="B10" s="85" t="s">
        <v>206</v>
      </c>
      <c r="C10" s="588" t="e">
        <f>Plan!#REF!*5.5*5+1</f>
        <v>#REF!</v>
      </c>
      <c r="D10" s="588" t="e">
        <f>Plan!#REF!*5.5*5+1</f>
        <v>#REF!</v>
      </c>
      <c r="E10" s="588" t="e">
        <f>Plan!#REF!*5.5*5+1</f>
        <v>#REF!</v>
      </c>
      <c r="F10" s="588" t="e">
        <f>Plan!#REF!*5.5*5+1</f>
        <v>#REF!</v>
      </c>
      <c r="G10" s="588" t="e">
        <f>Plan!#REF!*5.5*5+1</f>
        <v>#REF!</v>
      </c>
      <c r="H10" s="588" t="e">
        <f>Plan!#REF!*5.5*5+1</f>
        <v>#REF!</v>
      </c>
      <c r="I10" s="588" t="e">
        <f>Plan!#REF!*5.5*5+1</f>
        <v>#REF!</v>
      </c>
      <c r="J10" s="588" t="e">
        <f>Plan!#REF!*5.5*5+1</f>
        <v>#REF!</v>
      </c>
      <c r="K10" s="80"/>
      <c r="L10" s="80"/>
      <c r="M10" s="80"/>
      <c r="N10" s="80"/>
      <c r="O10" s="1"/>
    </row>
    <row r="11" spans="1:15" ht="10.5" customHeight="1" thickBot="1">
      <c r="A11" s="84">
        <v>10</v>
      </c>
      <c r="B11" s="85" t="s">
        <v>207</v>
      </c>
      <c r="C11" s="588" t="e">
        <f>Plan!#REF!*5.5*5+1</f>
        <v>#REF!</v>
      </c>
      <c r="D11" s="588" t="e">
        <f>Plan!#REF!*5.5*5+1</f>
        <v>#REF!</v>
      </c>
      <c r="E11" s="588" t="e">
        <f>Plan!#REF!*5.5*5+1</f>
        <v>#REF!</v>
      </c>
      <c r="F11" s="588" t="e">
        <f>Plan!#REF!*5.5*5+1</f>
        <v>#REF!</v>
      </c>
      <c r="G11" s="588" t="e">
        <f>Plan!#REF!*5.5*5+1</f>
        <v>#REF!</v>
      </c>
      <c r="H11" s="588" t="e">
        <f>Plan!#REF!*5.5*5+1</f>
        <v>#REF!</v>
      </c>
      <c r="I11" s="588" t="e">
        <f>Plan!#REF!*5.5*5+1</f>
        <v>#REF!</v>
      </c>
      <c r="J11" s="588" t="e">
        <f>Plan!#REF!*5.5*5+1</f>
        <v>#REF!</v>
      </c>
      <c r="K11" s="80"/>
      <c r="L11" s="80"/>
      <c r="M11" s="80"/>
      <c r="N11" s="80"/>
      <c r="O11" s="1"/>
    </row>
    <row r="12" spans="1:15" ht="10.5" customHeight="1" thickBot="1">
      <c r="A12" s="84">
        <v>11</v>
      </c>
      <c r="B12" s="85" t="s">
        <v>208</v>
      </c>
      <c r="C12" s="588" t="e">
        <f>Plan!#REF!*5.5*5+1</f>
        <v>#REF!</v>
      </c>
      <c r="D12" s="588" t="e">
        <f>Plan!#REF!*5.5*5+1</f>
        <v>#REF!</v>
      </c>
      <c r="E12" s="588" t="e">
        <f>Plan!#REF!*5.5*5+1</f>
        <v>#REF!</v>
      </c>
      <c r="F12" s="588" t="e">
        <f>Plan!#REF!*5.5*5+1</f>
        <v>#REF!</v>
      </c>
      <c r="G12" s="588" t="e">
        <f>Plan!#REF!*5.5*5+1</f>
        <v>#REF!</v>
      </c>
      <c r="H12" s="588" t="e">
        <f>Plan!#REF!*5.5*5+1</f>
        <v>#REF!</v>
      </c>
      <c r="I12" s="588" t="e">
        <f>Plan!#REF!*5.5*5+1</f>
        <v>#REF!</v>
      </c>
      <c r="J12" s="588" t="e">
        <f>Plan!#REF!*5.5*5+1</f>
        <v>#REF!</v>
      </c>
      <c r="K12" s="80"/>
      <c r="L12" s="80"/>
      <c r="M12" s="80"/>
      <c r="N12" s="80"/>
      <c r="O12" s="1"/>
    </row>
    <row r="13" spans="1:15" ht="10.5" customHeight="1">
      <c r="A13" s="84">
        <v>12</v>
      </c>
      <c r="B13" s="85" t="s">
        <v>209</v>
      </c>
      <c r="C13" s="588" t="e">
        <f>Plan!#REF!*5.5*5+1</f>
        <v>#REF!</v>
      </c>
      <c r="D13" s="588" t="e">
        <f>Plan!#REF!*5.5*5+1</f>
        <v>#REF!</v>
      </c>
      <c r="E13" s="588" t="e">
        <f>Plan!#REF!*5.5*5+1</f>
        <v>#REF!</v>
      </c>
      <c r="F13" s="588" t="e">
        <f>Plan!#REF!*5.5*5+1</f>
        <v>#REF!</v>
      </c>
      <c r="G13" s="588" t="e">
        <f>Plan!#REF!*5.5*5+1</f>
        <v>#REF!</v>
      </c>
      <c r="H13" s="588" t="e">
        <f>Plan!#REF!*5.5*5+1</f>
        <v>#REF!</v>
      </c>
      <c r="I13" s="588" t="e">
        <f>Plan!#REF!*5.5*5+1</f>
        <v>#REF!</v>
      </c>
      <c r="J13" s="588" t="e">
        <f>Plan!#REF!*5.5*5+1</f>
        <v>#REF!</v>
      </c>
      <c r="K13" s="80"/>
      <c r="L13" s="80"/>
      <c r="M13" s="80"/>
      <c r="N13" s="80"/>
      <c r="O13" s="1"/>
    </row>
    <row r="14" spans="1:15" ht="12" customHeight="1">
      <c r="A14" s="84"/>
      <c r="B14" s="265" t="s">
        <v>210</v>
      </c>
      <c r="C14" s="268">
        <f t="shared" ref="C14:H14" si="0">SUM(C2:C8)</f>
        <v>52125.181818181823</v>
      </c>
      <c r="D14" s="268">
        <f t="shared" si="0"/>
        <v>36334.272727272728</v>
      </c>
      <c r="E14" s="268">
        <f t="shared" si="0"/>
        <v>31097.909090909092</v>
      </c>
      <c r="F14" s="268">
        <f t="shared" si="0"/>
        <v>28152.454545454544</v>
      </c>
      <c r="G14" s="267">
        <f t="shared" si="0"/>
        <v>24879.727272727276</v>
      </c>
      <c r="H14" s="267">
        <f t="shared" si="0"/>
        <v>20379.727272727272</v>
      </c>
      <c r="I14" s="267">
        <f>SUM(I2:I8)</f>
        <v>23570.636363636364</v>
      </c>
      <c r="J14" s="267">
        <f>SUM(J2:J8)</f>
        <v>43779.727272727272</v>
      </c>
      <c r="K14" s="80"/>
      <c r="L14" s="80"/>
      <c r="M14" s="80"/>
      <c r="N14" s="80"/>
      <c r="O14" s="1"/>
    </row>
    <row r="15" spans="1:15" ht="12" customHeight="1" thickBot="1">
      <c r="A15" s="86"/>
      <c r="B15" s="321" t="s">
        <v>76</v>
      </c>
      <c r="C15" s="87" t="e">
        <f t="shared" ref="C15:H15" si="1">SUM(C9:C13)*100</f>
        <v>#REF!</v>
      </c>
      <c r="D15" s="87" t="e">
        <f t="shared" si="1"/>
        <v>#REF!</v>
      </c>
      <c r="E15" s="87" t="e">
        <f t="shared" si="1"/>
        <v>#REF!</v>
      </c>
      <c r="F15" s="87" t="e">
        <f t="shared" si="1"/>
        <v>#REF!</v>
      </c>
      <c r="G15" s="87" t="e">
        <f t="shared" si="1"/>
        <v>#REF!</v>
      </c>
      <c r="H15" s="87" t="e">
        <f t="shared" si="1"/>
        <v>#REF!</v>
      </c>
      <c r="I15" s="87" t="e">
        <f>SUM(I9:I13)*100</f>
        <v>#REF!</v>
      </c>
      <c r="J15" s="87" t="e">
        <f>SUM(J9:J13)*100</f>
        <v>#REF!</v>
      </c>
      <c r="K15" s="80"/>
      <c r="L15" s="80"/>
      <c r="M15" s="80"/>
      <c r="N15" s="80"/>
      <c r="O15" s="1"/>
    </row>
    <row r="16" spans="1:15" ht="9" customHeight="1">
      <c r="A16" s="78"/>
      <c r="B16" s="79"/>
      <c r="C16" s="50"/>
      <c r="D16" s="50"/>
      <c r="E16" s="50"/>
      <c r="F16" s="50"/>
      <c r="G16" s="76"/>
      <c r="H16" s="77"/>
      <c r="I16" s="77"/>
      <c r="J16" s="76"/>
      <c r="K16" s="76"/>
      <c r="L16" s="76"/>
      <c r="M16" s="76"/>
      <c r="N16" s="76"/>
      <c r="O16" s="1"/>
    </row>
    <row r="17" spans="1:15" ht="9" customHeight="1">
      <c r="A17" s="76"/>
      <c r="B17" s="50"/>
      <c r="C17" s="52"/>
      <c r="D17" s="52"/>
      <c r="E17" s="52"/>
      <c r="F17" s="52"/>
      <c r="G17" s="52"/>
      <c r="H17" s="53"/>
      <c r="I17" s="53"/>
      <c r="J17" s="1"/>
      <c r="K17" s="1"/>
      <c r="L17" s="1"/>
      <c r="M17" s="1"/>
      <c r="N17" s="1"/>
      <c r="O17" s="1"/>
    </row>
    <row r="18" spans="1:15" ht="9" customHeight="1">
      <c r="A18" s="1"/>
      <c r="B18" s="52"/>
      <c r="C18" s="52"/>
      <c r="D18" s="52"/>
      <c r="E18" s="52"/>
      <c r="F18" s="52"/>
      <c r="G18" s="52"/>
      <c r="H18" s="53"/>
      <c r="I18" s="53"/>
      <c r="J18" s="1"/>
      <c r="K18" s="1"/>
      <c r="L18" s="1"/>
      <c r="M18" s="1"/>
      <c r="N18" s="1"/>
      <c r="O18" s="1"/>
    </row>
    <row r="19" spans="1:15" ht="9" customHeight="1">
      <c r="A19" s="1"/>
      <c r="B19" s="52"/>
      <c r="C19" s="52"/>
      <c r="D19" s="52"/>
      <c r="E19" s="52"/>
      <c r="F19" s="52"/>
      <c r="G19" s="52"/>
      <c r="H19" s="53"/>
      <c r="I19" s="53"/>
      <c r="J19" s="1"/>
      <c r="K19" s="1"/>
      <c r="L19" s="1"/>
      <c r="M19" s="1"/>
      <c r="N19" s="1"/>
      <c r="O19" s="1"/>
    </row>
    <row r="20" spans="1:15" ht="9" customHeight="1">
      <c r="A20" s="1"/>
      <c r="B20" s="52"/>
      <c r="C20" s="52"/>
      <c r="D20" s="52"/>
      <c r="E20" s="52"/>
      <c r="F20" s="52"/>
      <c r="G20" s="52"/>
      <c r="H20" s="53"/>
      <c r="I20" s="53"/>
      <c r="J20" s="1"/>
      <c r="K20" s="1"/>
      <c r="L20" s="1"/>
      <c r="M20" s="1"/>
      <c r="N20" s="1"/>
      <c r="O20" s="1"/>
    </row>
    <row r="21" spans="1:15" ht="9" customHeight="1">
      <c r="A21" s="1"/>
      <c r="B21" s="52"/>
      <c r="C21" s="52"/>
      <c r="D21" s="52"/>
      <c r="E21" s="52"/>
      <c r="F21" s="52"/>
      <c r="G21" s="52"/>
      <c r="H21" s="53"/>
      <c r="I21" s="53"/>
      <c r="J21" s="1"/>
      <c r="K21" s="1"/>
      <c r="L21" s="1"/>
      <c r="M21" s="1"/>
      <c r="N21" s="1"/>
      <c r="O21" s="1"/>
    </row>
    <row r="22" spans="1:15" ht="9" customHeight="1">
      <c r="A22" s="1"/>
      <c r="B22" s="52"/>
      <c r="C22" s="52"/>
      <c r="D22" s="52"/>
      <c r="E22" s="52"/>
      <c r="F22" s="52"/>
      <c r="G22" s="52"/>
      <c r="H22" s="53"/>
      <c r="I22" s="53"/>
      <c r="J22" s="1"/>
      <c r="K22" s="1"/>
      <c r="L22" s="1"/>
      <c r="M22" s="1"/>
      <c r="N22" s="1"/>
      <c r="O22" s="1"/>
    </row>
    <row r="23" spans="1:15" ht="9" customHeight="1">
      <c r="A23" s="1"/>
      <c r="B23" s="52"/>
      <c r="C23" s="52"/>
      <c r="D23" s="52"/>
      <c r="E23" s="52"/>
      <c r="F23" s="52"/>
      <c r="G23" s="52"/>
      <c r="H23" s="53"/>
      <c r="I23" s="53"/>
      <c r="J23" s="1"/>
      <c r="K23" s="1"/>
      <c r="L23" s="1"/>
      <c r="M23" s="1"/>
      <c r="N23" s="1"/>
      <c r="O23" s="1"/>
    </row>
    <row r="24" spans="1:15" ht="9" customHeight="1">
      <c r="A24" s="1"/>
      <c r="B24" s="52"/>
      <c r="C24" s="52"/>
      <c r="D24" s="52"/>
      <c r="E24" s="52"/>
      <c r="F24" s="52"/>
      <c r="G24" s="52"/>
      <c r="H24" s="53"/>
      <c r="I24" s="53"/>
      <c r="J24" s="1"/>
      <c r="K24" s="1"/>
      <c r="L24" s="1"/>
      <c r="M24" s="1"/>
      <c r="N24" s="1"/>
      <c r="O24" s="1"/>
    </row>
    <row r="25" spans="1:15" ht="9" customHeight="1">
      <c r="A25" s="1"/>
      <c r="B25" s="52"/>
      <c r="C25" s="52"/>
      <c r="D25" s="52"/>
      <c r="E25" s="52"/>
      <c r="F25" s="52"/>
      <c r="G25" s="52"/>
      <c r="H25" s="53"/>
      <c r="I25" s="53"/>
      <c r="J25" s="1"/>
      <c r="K25" s="1"/>
      <c r="L25" s="1"/>
      <c r="M25" s="1"/>
      <c r="N25" s="1"/>
      <c r="O25" s="1"/>
    </row>
    <row r="26" spans="1:15" ht="9" customHeight="1">
      <c r="A26" s="1"/>
      <c r="B26" s="52"/>
      <c r="C26" s="52"/>
      <c r="D26" s="52"/>
      <c r="E26" s="52"/>
      <c r="F26" s="52"/>
      <c r="G26" s="52"/>
      <c r="H26" s="53"/>
      <c r="I26" s="53"/>
      <c r="J26" s="1"/>
      <c r="K26" s="1"/>
      <c r="L26" s="1"/>
      <c r="M26" s="1"/>
      <c r="N26" s="1"/>
      <c r="O26" s="1"/>
    </row>
    <row r="27" spans="1:15" ht="9" customHeight="1">
      <c r="A27" s="1"/>
      <c r="B27" s="52"/>
      <c r="C27" s="52"/>
      <c r="D27" s="52"/>
      <c r="E27" s="52"/>
      <c r="F27" s="52"/>
      <c r="G27" s="52"/>
      <c r="H27" s="53"/>
      <c r="I27" s="53"/>
      <c r="J27" s="1"/>
      <c r="K27" s="1"/>
      <c r="L27" s="1"/>
      <c r="M27" s="1"/>
      <c r="N27" s="1"/>
      <c r="O27" s="1"/>
    </row>
    <row r="28" spans="1:15" ht="9" customHeight="1">
      <c r="A28" s="1"/>
      <c r="B28" s="52"/>
      <c r="C28" s="52"/>
      <c r="D28" s="52"/>
      <c r="E28" s="52"/>
      <c r="F28" s="52"/>
      <c r="G28" s="52"/>
      <c r="H28" s="53"/>
      <c r="I28" s="53"/>
      <c r="J28" s="1"/>
      <c r="K28" s="1"/>
      <c r="L28" s="1"/>
      <c r="M28" s="1"/>
      <c r="N28" s="1"/>
      <c r="O28" s="1"/>
    </row>
    <row r="29" spans="1:15" ht="9" customHeight="1">
      <c r="A29" s="1"/>
      <c r="B29" s="52"/>
      <c r="C29" s="52"/>
      <c r="D29" s="52"/>
      <c r="E29" s="52"/>
      <c r="F29" s="52"/>
      <c r="G29" s="52"/>
      <c r="H29" s="53"/>
      <c r="I29" s="53"/>
      <c r="J29" s="1"/>
      <c r="K29" s="1"/>
      <c r="L29" s="1"/>
      <c r="M29" s="1"/>
      <c r="N29" s="1"/>
      <c r="O29" s="1"/>
    </row>
    <row r="30" spans="1:15" ht="9" customHeight="1">
      <c r="A30" s="1"/>
      <c r="B30" s="52"/>
      <c r="C30" s="52"/>
      <c r="D30" s="52"/>
      <c r="E30" s="52"/>
      <c r="F30" s="52"/>
      <c r="G30" s="52"/>
      <c r="H30" s="53"/>
      <c r="I30" s="53"/>
      <c r="J30" s="1"/>
      <c r="K30" s="1"/>
      <c r="L30" s="1"/>
      <c r="M30" s="1"/>
      <c r="N30" s="1"/>
      <c r="O30" s="1"/>
    </row>
    <row r="31" spans="1:15" ht="9" customHeight="1">
      <c r="A31" s="1"/>
      <c r="B31" s="52"/>
      <c r="C31" s="52"/>
      <c r="D31" s="52"/>
      <c r="E31" s="52"/>
      <c r="F31" s="52"/>
      <c r="G31" s="52"/>
      <c r="H31" s="53"/>
      <c r="I31" s="53"/>
      <c r="J31" s="1"/>
      <c r="K31" s="1"/>
      <c r="L31" s="1"/>
      <c r="M31" s="1"/>
      <c r="N31" s="1"/>
      <c r="O31" s="1"/>
    </row>
    <row r="32" spans="1:15" ht="9" customHeight="1">
      <c r="A32" s="1"/>
      <c r="B32" s="52"/>
      <c r="C32" s="52"/>
      <c r="D32" s="52"/>
      <c r="E32" s="52"/>
      <c r="F32" s="52"/>
      <c r="G32" s="52"/>
      <c r="H32" s="53"/>
      <c r="I32" s="53"/>
      <c r="J32" s="1"/>
      <c r="K32" s="1"/>
      <c r="L32" s="1"/>
      <c r="M32" s="1"/>
      <c r="N32" s="1"/>
      <c r="O32" s="1"/>
    </row>
    <row r="33" spans="1:17" ht="9" customHeight="1">
      <c r="A33" s="1"/>
      <c r="B33" s="52"/>
      <c r="C33" s="52"/>
      <c r="D33" s="52"/>
      <c r="E33" s="52"/>
      <c r="F33" s="52"/>
      <c r="G33" s="52"/>
      <c r="H33" s="53"/>
      <c r="I33" s="53"/>
      <c r="J33" s="1"/>
      <c r="K33" s="1"/>
      <c r="L33" s="1"/>
      <c r="M33" s="1"/>
      <c r="N33" s="1"/>
      <c r="O33" s="1"/>
    </row>
    <row r="34" spans="1:17" ht="9" customHeight="1">
      <c r="A34" s="1"/>
      <c r="B34" s="52"/>
      <c r="C34" s="52"/>
      <c r="D34" s="52"/>
      <c r="E34" s="52"/>
      <c r="F34" s="52"/>
      <c r="G34" s="52"/>
      <c r="H34" s="53"/>
      <c r="I34" s="53"/>
      <c r="J34" s="1"/>
      <c r="K34" s="1"/>
      <c r="L34" s="1"/>
      <c r="M34" s="1"/>
      <c r="N34" s="1"/>
      <c r="O34" s="1"/>
    </row>
    <row r="35" spans="1:17" ht="12" customHeight="1">
      <c r="A35" s="1"/>
      <c r="B35" s="52"/>
      <c r="C35" s="52"/>
      <c r="D35" s="52"/>
      <c r="E35" s="52"/>
      <c r="F35" s="52"/>
      <c r="G35" s="52"/>
      <c r="H35" s="53"/>
      <c r="I35" s="53"/>
      <c r="J35" s="1"/>
      <c r="K35" s="1"/>
      <c r="L35" s="1"/>
      <c r="M35" s="1"/>
      <c r="N35" s="1"/>
      <c r="O35" s="1"/>
    </row>
    <row r="36" spans="1:17">
      <c r="A36" s="1"/>
      <c r="B36" s="52"/>
      <c r="C36" s="52"/>
      <c r="D36" s="52"/>
      <c r="E36" s="52"/>
      <c r="F36" s="52"/>
      <c r="G36" s="52"/>
      <c r="H36" s="53"/>
      <c r="I36" s="53"/>
      <c r="J36" s="1"/>
      <c r="K36" s="1"/>
      <c r="L36" s="1"/>
      <c r="M36" s="1"/>
      <c r="N36" s="1"/>
      <c r="O36" s="1"/>
    </row>
    <row r="37" spans="1:17">
      <c r="A37" s="1"/>
      <c r="B37" s="52"/>
      <c r="C37" s="52"/>
      <c r="D37" s="52"/>
      <c r="E37" s="52"/>
      <c r="F37" s="52"/>
      <c r="G37" s="52"/>
      <c r="H37" s="53"/>
      <c r="I37" s="53"/>
      <c r="J37" s="1"/>
      <c r="K37" s="1"/>
      <c r="L37" s="1"/>
      <c r="M37" s="1"/>
      <c r="N37" s="1"/>
      <c r="O37" s="1"/>
    </row>
    <row r="38" spans="1:17">
      <c r="A38" s="1"/>
      <c r="B38" s="52"/>
      <c r="C38" s="52"/>
      <c r="D38" s="52"/>
      <c r="E38" s="52"/>
      <c r="F38" s="52"/>
      <c r="G38" s="52"/>
      <c r="H38" s="53"/>
      <c r="I38" s="53"/>
      <c r="J38" s="1"/>
      <c r="K38" s="1"/>
      <c r="L38" s="1"/>
      <c r="M38" s="1"/>
      <c r="N38" s="1"/>
      <c r="O38" s="1"/>
    </row>
    <row r="39" spans="1:17">
      <c r="A39" s="76"/>
      <c r="B39" s="50"/>
      <c r="C39" s="50"/>
      <c r="D39" s="50"/>
      <c r="E39" s="50"/>
      <c r="F39" s="50"/>
      <c r="G39" s="50"/>
      <c r="H39" s="77"/>
      <c r="I39" s="77"/>
      <c r="J39" s="76"/>
      <c r="K39" s="76"/>
      <c r="L39" s="76"/>
      <c r="M39" s="76"/>
      <c r="N39" s="76"/>
      <c r="O39" s="1"/>
    </row>
    <row r="40" spans="1:17">
      <c r="C40" s="54"/>
    </row>
    <row r="41" spans="1:17">
      <c r="A41" s="49"/>
      <c r="H41" s="49"/>
      <c r="I41" s="49"/>
      <c r="J41" s="49"/>
      <c r="K41" s="49"/>
      <c r="L41" s="49"/>
      <c r="M41" s="49"/>
      <c r="N41" s="49"/>
      <c r="O41" s="49"/>
      <c r="P41" s="49"/>
      <c r="Q41" s="49"/>
    </row>
    <row r="42" spans="1:17">
      <c r="A42" s="49"/>
      <c r="H42" s="49"/>
      <c r="I42" s="49"/>
      <c r="J42" s="49"/>
      <c r="K42" s="49"/>
      <c r="L42" s="49"/>
      <c r="M42" s="49"/>
      <c r="N42" s="49"/>
      <c r="O42" s="49"/>
      <c r="P42" s="49"/>
      <c r="Q42" s="49"/>
    </row>
    <row r="43" spans="1:17">
      <c r="A43" s="49"/>
      <c r="H43" s="49"/>
      <c r="I43" s="49"/>
      <c r="J43" s="49"/>
      <c r="K43" s="49"/>
      <c r="L43" s="49"/>
      <c r="M43" s="49"/>
      <c r="N43" s="49"/>
      <c r="O43" s="49"/>
      <c r="P43" s="49"/>
      <c r="Q43" s="49"/>
    </row>
    <row r="44" spans="1:17">
      <c r="A44" s="49"/>
      <c r="H44" s="49"/>
      <c r="I44" s="49"/>
      <c r="J44" s="49"/>
      <c r="K44" s="49"/>
      <c r="L44" s="49"/>
      <c r="M44" s="49"/>
      <c r="N44" s="49"/>
      <c r="O44" s="49"/>
      <c r="P44" s="49"/>
      <c r="Q44" s="49"/>
    </row>
    <row r="45" spans="1:17">
      <c r="A45" s="49"/>
      <c r="H45" s="49"/>
      <c r="I45" s="49"/>
      <c r="J45" s="49"/>
      <c r="K45" s="49"/>
      <c r="L45" s="49"/>
      <c r="M45" s="49"/>
      <c r="N45" s="49"/>
      <c r="O45" s="49"/>
      <c r="P45" s="49"/>
      <c r="Q45" s="49"/>
    </row>
    <row r="46" spans="1:17">
      <c r="A46" s="49"/>
      <c r="H46" s="49"/>
      <c r="I46" s="49"/>
      <c r="J46" s="49"/>
      <c r="K46" s="49"/>
      <c r="L46" s="49"/>
      <c r="M46" s="49"/>
      <c r="N46" s="49"/>
      <c r="O46" s="49"/>
      <c r="P46" s="49"/>
      <c r="Q46" s="49"/>
    </row>
    <row r="47" spans="1:17">
      <c r="A47" s="49"/>
      <c r="H47" s="49"/>
      <c r="I47" s="49"/>
      <c r="J47" s="49"/>
      <c r="K47" s="49"/>
      <c r="L47" s="49"/>
      <c r="M47" s="49"/>
      <c r="N47" s="49"/>
      <c r="O47" s="49"/>
      <c r="P47" s="49"/>
      <c r="Q47" s="49"/>
    </row>
    <row r="48" spans="1:17" ht="12.75" customHeight="1">
      <c r="A48" s="49"/>
      <c r="H48" s="49"/>
      <c r="I48" s="49"/>
      <c r="J48" s="49"/>
      <c r="K48" s="49"/>
      <c r="L48" s="49"/>
      <c r="M48" s="49"/>
      <c r="N48" s="49"/>
      <c r="O48" s="49"/>
      <c r="P48" s="49"/>
      <c r="Q48" s="49"/>
    </row>
    <row r="49" spans="1:17">
      <c r="A49" s="49"/>
      <c r="H49" s="49"/>
      <c r="I49" s="49"/>
      <c r="J49" s="49"/>
      <c r="K49" s="49"/>
      <c r="L49" s="49"/>
      <c r="M49" s="49"/>
      <c r="N49" s="49"/>
      <c r="O49" s="49"/>
      <c r="P49" s="49"/>
      <c r="Q49" s="49"/>
    </row>
    <row r="50" spans="1:17">
      <c r="A50" s="49"/>
      <c r="H50" s="49"/>
      <c r="I50" s="49"/>
      <c r="J50" s="49"/>
      <c r="K50" s="49"/>
      <c r="L50" s="49"/>
      <c r="M50" s="49"/>
      <c r="N50" s="49"/>
      <c r="O50" s="49"/>
      <c r="P50" s="49"/>
      <c r="Q50" s="49"/>
    </row>
    <row r="51" spans="1:17">
      <c r="A51" s="49"/>
      <c r="H51" s="49"/>
      <c r="I51" s="49"/>
      <c r="J51" s="49"/>
      <c r="K51" s="49"/>
      <c r="L51" s="49"/>
      <c r="M51" s="49"/>
      <c r="N51" s="49"/>
      <c r="O51" s="49"/>
      <c r="P51" s="49"/>
      <c r="Q51" s="49"/>
    </row>
    <row r="52" spans="1:17">
      <c r="A52" s="49"/>
      <c r="H52" s="49"/>
      <c r="I52" s="49"/>
      <c r="J52" s="49"/>
      <c r="K52" s="49"/>
      <c r="L52" s="49"/>
      <c r="M52" s="49"/>
      <c r="N52" s="49"/>
      <c r="O52" s="49"/>
      <c r="P52" s="49"/>
      <c r="Q52" s="49"/>
    </row>
    <row r="53" spans="1:17">
      <c r="A53" s="49"/>
      <c r="H53" s="49"/>
      <c r="I53" s="49"/>
      <c r="J53" s="49"/>
      <c r="K53" s="49"/>
      <c r="L53" s="49"/>
      <c r="M53" s="49"/>
      <c r="N53" s="49"/>
      <c r="O53" s="49"/>
      <c r="P53" s="49"/>
      <c r="Q53" s="49"/>
    </row>
    <row r="54" spans="1:17">
      <c r="A54" s="49"/>
      <c r="H54" s="49"/>
      <c r="I54" s="49"/>
      <c r="J54" s="49"/>
      <c r="K54" s="49"/>
      <c r="L54" s="49"/>
      <c r="M54" s="49"/>
      <c r="N54" s="49"/>
      <c r="O54" s="49"/>
      <c r="P54" s="49"/>
      <c r="Q54" s="49"/>
    </row>
    <row r="55" spans="1:17">
      <c r="A55" s="49"/>
      <c r="H55" s="49"/>
      <c r="I55" s="49"/>
      <c r="J55" s="49"/>
      <c r="K55" s="49"/>
      <c r="L55" s="49"/>
      <c r="M55" s="49"/>
      <c r="N55" s="49"/>
      <c r="O55" s="49"/>
      <c r="P55" s="49"/>
      <c r="Q55" s="49"/>
    </row>
    <row r="56" spans="1:17">
      <c r="A56" s="49"/>
      <c r="H56" s="49"/>
      <c r="I56" s="49"/>
      <c r="J56" s="49"/>
      <c r="K56" s="49"/>
      <c r="L56" s="49"/>
      <c r="M56" s="49"/>
      <c r="N56" s="49"/>
      <c r="O56" s="49"/>
      <c r="P56" s="49"/>
      <c r="Q56" s="49"/>
    </row>
    <row r="57" spans="1:17">
      <c r="A57" s="49"/>
      <c r="H57" s="49"/>
      <c r="I57" s="49"/>
      <c r="J57" s="49"/>
      <c r="K57" s="49"/>
      <c r="L57" s="49"/>
      <c r="M57" s="49"/>
      <c r="N57" s="49"/>
      <c r="O57" s="49"/>
      <c r="P57" s="49"/>
      <c r="Q57" s="49"/>
    </row>
    <row r="58" spans="1:17">
      <c r="A58" s="49"/>
      <c r="H58" s="49"/>
      <c r="I58" s="49"/>
      <c r="J58" s="49"/>
      <c r="K58" s="49"/>
      <c r="L58" s="49"/>
      <c r="M58" s="49"/>
      <c r="N58" s="49"/>
      <c r="O58" s="49"/>
      <c r="P58" s="49"/>
      <c r="Q58" s="49"/>
    </row>
    <row r="59" spans="1:17">
      <c r="A59" s="49"/>
      <c r="H59" s="49"/>
      <c r="I59" s="49"/>
      <c r="J59" s="49"/>
      <c r="K59" s="49"/>
      <c r="L59" s="49"/>
      <c r="M59" s="49"/>
      <c r="N59" s="49"/>
      <c r="O59" s="49"/>
      <c r="P59" s="49"/>
      <c r="Q59" s="49"/>
    </row>
  </sheetData>
  <phoneticPr fontId="21" type="noConversion"/>
  <pageMargins left="0.91" right="0.75" top="1.01" bottom="1" header="0" footer="0"/>
  <pageSetup paperSize="9" orientation="landscape" horizontalDpi="0" verticalDpi="0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80199-370E-204A-866C-3A35E63A0B85}">
  <dimension ref="A1:AB79"/>
  <sheetViews>
    <sheetView topLeftCell="J62" zoomScale="150" zoomScaleNormal="150" workbookViewId="0">
      <selection activeCell="AA81" sqref="AA81"/>
    </sheetView>
  </sheetViews>
  <sheetFormatPr baseColWidth="10" defaultRowHeight="13"/>
  <cols>
    <col min="1" max="1" width="4.33203125" style="49" customWidth="1"/>
    <col min="2" max="2" width="4.1640625" style="49" customWidth="1"/>
    <col min="3" max="3" width="0.5" style="49" customWidth="1"/>
    <col min="4" max="4" width="0.83203125" style="49" customWidth="1"/>
    <col min="5" max="5" width="4.1640625" style="49" customWidth="1"/>
    <col min="6" max="6" width="3.1640625" style="49" customWidth="1"/>
    <col min="7" max="7" width="10.6640625" style="49" customWidth="1"/>
    <col min="8" max="8" width="7.1640625" style="49" customWidth="1"/>
    <col min="9" max="9" width="7.83203125" style="49" customWidth="1"/>
    <col min="10" max="10" width="8.33203125" style="49" customWidth="1"/>
    <col min="11" max="12" width="7.83203125" style="49" customWidth="1"/>
    <col min="13" max="13" width="7.33203125" style="49" customWidth="1"/>
    <col min="14" max="15" width="7.83203125" style="49" customWidth="1"/>
    <col min="16" max="16" width="7.6640625" style="49" customWidth="1"/>
    <col min="17" max="18" width="7.83203125" style="49" customWidth="1"/>
    <col min="19" max="19" width="7.33203125" style="49" customWidth="1"/>
    <col min="20" max="21" width="7.83203125" style="49" customWidth="1"/>
    <col min="22" max="22" width="10.83203125" style="49"/>
    <col min="23" max="23" width="11.33203125" style="49" customWidth="1"/>
    <col min="24" max="24" width="11.83203125" style="49" customWidth="1"/>
    <col min="25" max="16384" width="10.83203125" style="49"/>
  </cols>
  <sheetData>
    <row r="1" spans="1:21" ht="14" thickBot="1">
      <c r="B1" s="2805" t="s">
        <v>215</v>
      </c>
      <c r="C1" s="3170">
        <f t="shared" ref="C1:C8" si="0">IF(D1=1,X$5,IF(D1=2,Y$5,IF(D1=3,Z$5,IF(D1=4,AA$5,IF(D1=5,AB$5,IF(D1=6,AC$5,IF(D1=7,AD$5,0)))))))</f>
        <v>0</v>
      </c>
      <c r="D1" s="6257">
        <v>1</v>
      </c>
      <c r="E1" s="6277">
        <v>1</v>
      </c>
      <c r="F1" s="6257">
        <v>1</v>
      </c>
      <c r="G1" s="6258">
        <v>100</v>
      </c>
      <c r="H1" s="6258" t="s">
        <v>2231</v>
      </c>
      <c r="I1" s="6258" t="s">
        <v>2230</v>
      </c>
      <c r="J1" s="3170" t="s">
        <v>2229</v>
      </c>
      <c r="K1" s="6258" t="s">
        <v>2231</v>
      </c>
      <c r="L1" s="6258" t="s">
        <v>2230</v>
      </c>
      <c r="M1" s="3170" t="s">
        <v>2229</v>
      </c>
      <c r="N1" s="6258" t="s">
        <v>2231</v>
      </c>
      <c r="O1" s="6258" t="s">
        <v>2230</v>
      </c>
      <c r="P1" s="3170" t="s">
        <v>2270</v>
      </c>
      <c r="Q1" s="6258"/>
      <c r="R1" s="6258"/>
      <c r="S1" s="3170"/>
      <c r="T1" s="6258"/>
      <c r="U1" s="6258"/>
    </row>
    <row r="2" spans="1:21" ht="14" thickBot="1">
      <c r="B2" s="2805" t="s">
        <v>138</v>
      </c>
      <c r="C2" s="3170">
        <f t="shared" si="0"/>
        <v>0</v>
      </c>
      <c r="D2" s="6259">
        <v>2</v>
      </c>
      <c r="E2" s="6278">
        <v>3</v>
      </c>
      <c r="F2" s="6259">
        <v>1</v>
      </c>
      <c r="G2" s="3841">
        <v>100</v>
      </c>
      <c r="H2" s="6285">
        <v>82</v>
      </c>
      <c r="I2" s="6279">
        <f>60*J2/H2</f>
        <v>28.536585365853657</v>
      </c>
      <c r="J2" s="6285">
        <v>39</v>
      </c>
      <c r="K2" s="6279">
        <v>86</v>
      </c>
      <c r="L2" s="6279">
        <f>60*M2/K2</f>
        <v>25.465116279069768</v>
      </c>
      <c r="M2" s="6288">
        <v>36.5</v>
      </c>
      <c r="N2" s="6279">
        <v>84</v>
      </c>
      <c r="O2" s="6279">
        <f>60*P2/N2</f>
        <v>27.857142857142858</v>
      </c>
      <c r="P2" s="6285">
        <v>39</v>
      </c>
      <c r="Q2" s="6279"/>
      <c r="R2" s="6279"/>
      <c r="T2" s="6279"/>
      <c r="U2" s="6279"/>
    </row>
    <row r="3" spans="1:21" ht="14" thickBot="1">
      <c r="B3" s="2805" t="s">
        <v>139</v>
      </c>
      <c r="C3" s="3170">
        <f t="shared" si="0"/>
        <v>0</v>
      </c>
      <c r="D3" s="6260">
        <v>4</v>
      </c>
      <c r="E3" s="6261">
        <v>3</v>
      </c>
      <c r="F3" s="6260">
        <v>1</v>
      </c>
      <c r="G3" s="6262">
        <v>100</v>
      </c>
      <c r="H3" s="6286">
        <v>77</v>
      </c>
      <c r="I3" s="6280">
        <f>60*J3/H3</f>
        <v>31.168831168831169</v>
      </c>
      <c r="J3" s="6286">
        <v>40</v>
      </c>
      <c r="K3" s="6280">
        <v>84</v>
      </c>
      <c r="L3" s="6280">
        <f>60*M3/K3</f>
        <v>28.928571428571427</v>
      </c>
      <c r="M3" s="6289">
        <v>40.5</v>
      </c>
      <c r="N3" s="6280">
        <v>82</v>
      </c>
      <c r="O3" s="6280">
        <f>60*P3/N3</f>
        <v>31.097560975609756</v>
      </c>
      <c r="P3" s="6286">
        <v>42.5</v>
      </c>
      <c r="Q3" s="6280"/>
      <c r="R3" s="6280"/>
      <c r="T3" s="6280"/>
      <c r="U3" s="6280"/>
    </row>
    <row r="4" spans="1:21" ht="14" thickBot="1">
      <c r="B4" s="2805" t="s">
        <v>220</v>
      </c>
      <c r="C4" s="3170">
        <f t="shared" si="0"/>
        <v>0</v>
      </c>
      <c r="D4" s="6263">
        <v>5</v>
      </c>
      <c r="E4" s="6264">
        <v>3</v>
      </c>
      <c r="F4" s="6263">
        <v>1</v>
      </c>
      <c r="G4" s="6265">
        <v>100</v>
      </c>
      <c r="H4" s="6287">
        <f>87-21</f>
        <v>66</v>
      </c>
      <c r="I4" s="6281">
        <f>60*J4/H4</f>
        <v>37.272727272727273</v>
      </c>
      <c r="J4" s="6287">
        <v>41</v>
      </c>
      <c r="K4" s="6281">
        <f>86-21</f>
        <v>65</v>
      </c>
      <c r="L4" s="6281">
        <f>60*M4/K4</f>
        <v>37.846153846153847</v>
      </c>
      <c r="M4" s="6287">
        <v>41</v>
      </c>
      <c r="N4" s="6281">
        <f>86-21</f>
        <v>65</v>
      </c>
      <c r="O4" s="6281">
        <f>60*P4/N4</f>
        <v>36.92307692307692</v>
      </c>
      <c r="P4" s="6287">
        <v>40</v>
      </c>
      <c r="Q4" s="6281"/>
      <c r="R4" s="6281"/>
      <c r="T4" s="6281"/>
      <c r="U4" s="6281"/>
    </row>
    <row r="5" spans="1:21" ht="14" thickBot="1">
      <c r="B5" s="2805" t="s">
        <v>458</v>
      </c>
      <c r="C5" s="3170">
        <f t="shared" si="0"/>
        <v>0</v>
      </c>
      <c r="D5" s="6258">
        <v>1</v>
      </c>
      <c r="E5" s="6273">
        <v>1</v>
      </c>
      <c r="F5" s="6258">
        <v>1</v>
      </c>
      <c r="G5" s="6258">
        <v>100</v>
      </c>
      <c r="H5" s="6258"/>
      <c r="I5" s="6258"/>
      <c r="J5" s="3170"/>
      <c r="K5" s="6258"/>
      <c r="L5" s="6258"/>
      <c r="M5" s="2322"/>
      <c r="N5" s="6258"/>
      <c r="O5" s="6258"/>
      <c r="P5" s="2322"/>
      <c r="Q5" s="6258"/>
      <c r="R5" s="6258"/>
      <c r="T5" s="6258"/>
      <c r="U5" s="6258"/>
    </row>
    <row r="6" spans="1:21" ht="14" thickBot="1">
      <c r="B6" s="2805" t="s">
        <v>462</v>
      </c>
      <c r="C6" s="3170">
        <f t="shared" si="0"/>
        <v>0</v>
      </c>
      <c r="D6" s="6267">
        <v>3</v>
      </c>
      <c r="E6" s="6274">
        <v>2</v>
      </c>
      <c r="F6" s="6270">
        <v>1</v>
      </c>
      <c r="G6" s="6266">
        <v>100</v>
      </c>
      <c r="H6" s="6282">
        <v>85</v>
      </c>
      <c r="I6" s="6290">
        <f t="shared" ref="I6:I8" si="1">60*J6/H6</f>
        <v>27.176470588235293</v>
      </c>
      <c r="J6" s="6282">
        <v>38.5</v>
      </c>
      <c r="K6" s="6290"/>
      <c r="L6" s="6290"/>
      <c r="M6" s="1454"/>
      <c r="N6" s="6290"/>
      <c r="O6" s="6290"/>
      <c r="P6" s="6282"/>
      <c r="Q6" s="6290"/>
      <c r="R6" s="6290"/>
      <c r="T6" s="6290"/>
      <c r="U6" s="6290"/>
    </row>
    <row r="7" spans="1:21" ht="14" thickBot="1">
      <c r="A7" s="2805"/>
      <c r="B7" s="2805"/>
      <c r="C7" s="3170">
        <f t="shared" si="0"/>
        <v>0</v>
      </c>
      <c r="D7" s="6268">
        <v>6</v>
      </c>
      <c r="E7" s="6275">
        <v>2</v>
      </c>
      <c r="F7" s="6271">
        <v>1</v>
      </c>
      <c r="G7" s="1171">
        <v>100</v>
      </c>
      <c r="H7" s="6283">
        <v>71</v>
      </c>
      <c r="I7" s="6291">
        <f t="shared" si="1"/>
        <v>36.338028169014088</v>
      </c>
      <c r="J7" s="6283">
        <v>43</v>
      </c>
      <c r="K7" s="6291"/>
      <c r="L7" s="6291"/>
      <c r="M7" s="1495"/>
      <c r="N7" s="6291"/>
      <c r="O7" s="6291"/>
      <c r="P7" s="6283"/>
      <c r="Q7" s="6291"/>
      <c r="R7" s="6291"/>
      <c r="T7" s="6291"/>
      <c r="U7" s="6291"/>
    </row>
    <row r="8" spans="1:21" ht="14" thickBot="1">
      <c r="A8" s="2805"/>
      <c r="B8" s="2805"/>
      <c r="C8" s="3170">
        <f t="shared" si="0"/>
        <v>0</v>
      </c>
      <c r="D8" s="6269">
        <v>7</v>
      </c>
      <c r="E8" s="6276">
        <v>2</v>
      </c>
      <c r="F8" s="6272">
        <v>1</v>
      </c>
      <c r="G8" s="2388">
        <v>100</v>
      </c>
      <c r="H8" s="6284">
        <v>71</v>
      </c>
      <c r="I8" s="6292">
        <f t="shared" si="1"/>
        <v>36.760563380281688</v>
      </c>
      <c r="J8" s="6284">
        <v>43.5</v>
      </c>
      <c r="K8" s="6292"/>
      <c r="L8" s="6292"/>
      <c r="M8" s="2387"/>
      <c r="N8" s="6292"/>
      <c r="O8" s="6292"/>
      <c r="P8" s="6284"/>
      <c r="Q8" s="6292"/>
      <c r="R8" s="6292"/>
      <c r="T8" s="6292"/>
      <c r="U8" s="6292"/>
    </row>
    <row r="55" spans="8:28" ht="20">
      <c r="W55" s="6750"/>
      <c r="X55" s="6749"/>
      <c r="Y55" s="6749"/>
      <c r="Z55" s="6749"/>
      <c r="AA55" s="6749"/>
      <c r="AB55" s="6749"/>
    </row>
    <row r="56" spans="8:28" ht="20">
      <c r="W56" s="6749"/>
      <c r="X56" s="6749"/>
      <c r="Y56" s="6749"/>
      <c r="Z56" s="6749"/>
      <c r="AA56" s="6749"/>
      <c r="AB56" s="6749"/>
    </row>
    <row r="57" spans="8:28" ht="20">
      <c r="W57" s="6749"/>
      <c r="X57" s="6750" t="s">
        <v>2319</v>
      </c>
      <c r="Y57" s="6749"/>
      <c r="Z57" s="6749"/>
      <c r="AA57" s="6749"/>
      <c r="AB57" s="6749"/>
    </row>
    <row r="58" spans="8:28" ht="21" thickBot="1">
      <c r="W58" s="6749"/>
      <c r="X58" s="6750" t="s">
        <v>2320</v>
      </c>
      <c r="Y58" s="6749"/>
      <c r="Z58" s="6749"/>
      <c r="AA58" s="6749"/>
      <c r="AB58" s="6749"/>
    </row>
    <row r="59" spans="8:28">
      <c r="W59" s="6754" t="s">
        <v>2315</v>
      </c>
      <c r="X59" s="6755" t="s">
        <v>2314</v>
      </c>
      <c r="Y59" s="6755" t="s">
        <v>2154</v>
      </c>
      <c r="Z59" s="6755" t="s">
        <v>2317</v>
      </c>
      <c r="AA59" s="6755" t="s">
        <v>949</v>
      </c>
      <c r="AB59" s="6756" t="s">
        <v>2318</v>
      </c>
    </row>
    <row r="60" spans="8:28" ht="14" thickBot="1">
      <c r="W60" s="6758" t="s">
        <v>2323</v>
      </c>
      <c r="X60" s="6759" t="s">
        <v>2325</v>
      </c>
      <c r="Y60" s="6759" t="s">
        <v>2324</v>
      </c>
      <c r="Z60" s="6759" t="s">
        <v>2326</v>
      </c>
      <c r="AA60" s="6759" t="s">
        <v>1959</v>
      </c>
      <c r="AB60" s="6760" t="s">
        <v>2327</v>
      </c>
    </row>
    <row r="61" spans="8:28" ht="13" customHeight="1">
      <c r="H61" s="7886" t="s">
        <v>2271</v>
      </c>
      <c r="I61" s="7886"/>
      <c r="W61" s="6761">
        <v>7</v>
      </c>
      <c r="X61" s="6762">
        <v>62.8</v>
      </c>
      <c r="Y61" s="6763">
        <f>W61*60/X61</f>
        <v>6.6878980891719753</v>
      </c>
      <c r="Z61" s="6763">
        <f>10.5/7</f>
        <v>1.5</v>
      </c>
      <c r="AA61" s="6763">
        <f>Z61*W61</f>
        <v>10.5</v>
      </c>
      <c r="AB61" s="6764">
        <f>AA61/Y61</f>
        <v>1.5699999999999998</v>
      </c>
    </row>
    <row r="62" spans="8:28">
      <c r="H62" s="7886"/>
      <c r="I62" s="7886"/>
      <c r="K62" s="7886" t="s">
        <v>2272</v>
      </c>
      <c r="L62" s="7886"/>
      <c r="N62" s="7887" t="s">
        <v>2273</v>
      </c>
      <c r="O62" s="7887"/>
      <c r="Q62" s="7888" t="s">
        <v>2274</v>
      </c>
      <c r="R62" s="7888"/>
      <c r="T62" s="7889" t="s">
        <v>2275</v>
      </c>
      <c r="U62" s="7889"/>
      <c r="W62" s="6765">
        <v>8</v>
      </c>
      <c r="X62" s="6753">
        <v>60.5</v>
      </c>
      <c r="Y62" s="6752">
        <f>W62*60/X62</f>
        <v>7.9338842975206614</v>
      </c>
      <c r="Z62" s="6752">
        <f>10.5/7</f>
        <v>1.5</v>
      </c>
      <c r="AA62" s="6752">
        <v>12.5</v>
      </c>
      <c r="AB62" s="6766">
        <f>AA62/Y62</f>
        <v>1.5755208333333333</v>
      </c>
    </row>
    <row r="63" spans="8:28">
      <c r="H63" s="7886"/>
      <c r="I63" s="7886"/>
      <c r="K63" s="7886"/>
      <c r="L63" s="7886"/>
      <c r="N63" s="7887"/>
      <c r="O63" s="7887"/>
      <c r="Q63" s="7888"/>
      <c r="R63" s="7888"/>
      <c r="T63" s="7889"/>
      <c r="U63" s="7889"/>
      <c r="W63" s="6767" t="s">
        <v>2321</v>
      </c>
      <c r="X63" s="6752"/>
      <c r="Y63" s="6753">
        <v>6.04</v>
      </c>
      <c r="Z63" s="6752"/>
      <c r="AA63" s="6752"/>
      <c r="AB63" s="6768">
        <f>15/Y63</f>
        <v>2.4834437086092715</v>
      </c>
    </row>
    <row r="64" spans="8:28">
      <c r="H64" s="7886"/>
      <c r="I64" s="7886"/>
      <c r="K64" s="7886"/>
      <c r="L64" s="7886"/>
      <c r="N64" s="7887"/>
      <c r="O64" s="7887"/>
      <c r="Q64" s="7888"/>
      <c r="R64" s="7888"/>
      <c r="T64" s="7889"/>
      <c r="U64" s="7889"/>
      <c r="W64" s="6767" t="s">
        <v>2316</v>
      </c>
      <c r="X64" s="6752"/>
      <c r="Y64" s="6753">
        <v>0.7</v>
      </c>
      <c r="Z64" s="6752"/>
      <c r="AA64" s="6752"/>
      <c r="AB64" s="6766"/>
    </row>
    <row r="65" spans="8:28">
      <c r="H65" s="7886"/>
      <c r="I65" s="7886"/>
      <c r="K65" s="7886"/>
      <c r="L65" s="7886"/>
      <c r="N65" s="7887"/>
      <c r="O65" s="7887"/>
      <c r="Q65" s="7888"/>
      <c r="R65" s="7888"/>
      <c r="T65" s="7889"/>
      <c r="U65" s="7889"/>
      <c r="W65" s="6767" t="s">
        <v>2322</v>
      </c>
      <c r="X65" s="6752"/>
      <c r="Y65" s="6751">
        <f>12/AB70</f>
        <v>4.9471063292900475</v>
      </c>
      <c r="Z65" s="6752"/>
      <c r="AA65" s="6752"/>
      <c r="AB65" s="6766">
        <f>12/Y65</f>
        <v>2.4256604166666667</v>
      </c>
    </row>
    <row r="66" spans="8:28" ht="14" thickBot="1">
      <c r="H66" s="7886"/>
      <c r="I66" s="7886"/>
      <c r="K66" s="7886"/>
      <c r="L66" s="7886"/>
      <c r="N66" s="7887"/>
      <c r="O66" s="7887"/>
      <c r="Q66" s="7888"/>
      <c r="R66" s="7888"/>
      <c r="T66" s="7889"/>
      <c r="U66" s="7889"/>
      <c r="W66" s="6769"/>
      <c r="X66" s="6770"/>
      <c r="Y66" s="6771">
        <f>SUM(Y61:Y65)</f>
        <v>26.308888715982683</v>
      </c>
      <c r="Z66" s="6770"/>
      <c r="AA66" s="6770"/>
      <c r="AB66" s="6772"/>
    </row>
    <row r="67" spans="8:28" ht="14" thickBot="1">
      <c r="H67" s="7886"/>
      <c r="I67" s="7886"/>
      <c r="K67" s="7886"/>
      <c r="L67" s="7886"/>
      <c r="N67" s="7887"/>
      <c r="O67" s="7887"/>
      <c r="Q67" s="7888"/>
      <c r="R67" s="7888"/>
      <c r="T67" s="7889"/>
      <c r="U67" s="7889"/>
    </row>
    <row r="68" spans="8:28" ht="14" thickBot="1">
      <c r="H68" s="7886"/>
      <c r="I68" s="7886"/>
      <c r="K68" s="7886"/>
      <c r="L68" s="7886"/>
      <c r="N68" s="7887"/>
      <c r="O68" s="7887"/>
      <c r="Q68" s="7888"/>
      <c r="R68" s="7888"/>
      <c r="T68" s="7889"/>
      <c r="U68" s="7889"/>
      <c r="Z68" s="6754" t="s">
        <v>492</v>
      </c>
      <c r="AA68" s="6755" t="s">
        <v>493</v>
      </c>
      <c r="AB68" s="6756" t="s">
        <v>2318</v>
      </c>
    </row>
    <row r="69" spans="8:28">
      <c r="H69" s="7886"/>
      <c r="I69" s="7886"/>
      <c r="K69" s="7886"/>
      <c r="L69" s="7886"/>
      <c r="N69" s="7887"/>
      <c r="O69" s="7887"/>
      <c r="Q69" s="7888"/>
      <c r="R69" s="7888"/>
      <c r="T69" s="7889"/>
      <c r="U69" s="7889"/>
      <c r="W69" s="6773"/>
      <c r="X69" s="6774" t="s">
        <v>2328</v>
      </c>
      <c r="Y69" s="6763"/>
      <c r="Z69" s="6762">
        <v>3.3967999999999998</v>
      </c>
      <c r="AA69" s="6763">
        <v>1.57</v>
      </c>
      <c r="AB69" s="6764">
        <f>(Z69+AA69)/2</f>
        <v>2.4834000000000001</v>
      </c>
    </row>
    <row r="70" spans="8:28" ht="14" thickBot="1">
      <c r="H70" s="7886"/>
      <c r="I70" s="7886"/>
      <c r="K70" s="7886"/>
      <c r="L70" s="7886"/>
      <c r="N70" s="7887"/>
      <c r="O70" s="7887"/>
      <c r="Q70" s="7888"/>
      <c r="R70" s="7888"/>
      <c r="T70" s="7889"/>
      <c r="U70" s="7889"/>
      <c r="W70" s="6769"/>
      <c r="X70" s="6757" t="s">
        <v>2329</v>
      </c>
      <c r="Y70" s="6770"/>
      <c r="Z70" s="6775">
        <v>3.2757999999999998</v>
      </c>
      <c r="AA70" s="6770">
        <f>AB62</f>
        <v>1.5755208333333333</v>
      </c>
      <c r="AB70" s="6772">
        <f>(Z70+AA70)/2</f>
        <v>2.4256604166666667</v>
      </c>
    </row>
    <row r="71" spans="8:28" ht="14" thickBot="1">
      <c r="H71" s="7886"/>
      <c r="I71" s="7886"/>
      <c r="K71" s="7886"/>
      <c r="L71" s="7886"/>
      <c r="N71" s="7887"/>
      <c r="O71" s="7887"/>
      <c r="Q71" s="7888"/>
      <c r="R71" s="7888"/>
      <c r="T71" s="7889"/>
      <c r="U71" s="7889"/>
    </row>
    <row r="72" spans="8:28" ht="14" thickBot="1">
      <c r="H72" s="7886"/>
      <c r="I72" s="7886"/>
      <c r="K72" s="7886"/>
      <c r="L72" s="7886"/>
      <c r="N72" s="7887"/>
      <c r="O72" s="7887"/>
      <c r="Q72" s="7888"/>
      <c r="R72" s="7888"/>
      <c r="T72" s="7889"/>
      <c r="U72" s="7889"/>
      <c r="W72" s="6782" t="s">
        <v>2330</v>
      </c>
      <c r="X72" s="6781" t="s">
        <v>2331</v>
      </c>
      <c r="Y72" s="6779"/>
      <c r="Z72" s="6780"/>
    </row>
    <row r="73" spans="8:28">
      <c r="H73" s="7886"/>
      <c r="I73" s="7886"/>
      <c r="K73" s="7886"/>
      <c r="L73" s="7886"/>
      <c r="N73" s="7887"/>
      <c r="O73" s="7887"/>
      <c r="Q73" s="7888"/>
      <c r="R73" s="7888"/>
      <c r="T73" s="7889"/>
      <c r="U73" s="7889"/>
      <c r="X73" s="6776" t="s">
        <v>2332</v>
      </c>
      <c r="Y73" s="6777"/>
      <c r="Z73" s="6778"/>
    </row>
    <row r="74" spans="8:28">
      <c r="H74" s="7886"/>
      <c r="I74" s="7886"/>
      <c r="K74" s="7886"/>
      <c r="L74" s="7886"/>
      <c r="N74" s="7887"/>
      <c r="O74" s="7887"/>
      <c r="Q74" s="7888"/>
      <c r="R74" s="7888"/>
      <c r="T74" s="7889"/>
      <c r="U74" s="7889"/>
    </row>
    <row r="75" spans="8:28">
      <c r="H75" s="7886"/>
      <c r="I75" s="7886"/>
      <c r="K75" s="7886"/>
      <c r="L75" s="7886"/>
      <c r="N75" s="7887"/>
      <c r="O75" s="7887"/>
      <c r="Q75" s="7888"/>
      <c r="R75" s="7888"/>
      <c r="T75" s="7889"/>
      <c r="U75" s="7889"/>
    </row>
    <row r="76" spans="8:28">
      <c r="H76" s="7886"/>
      <c r="I76" s="7886"/>
      <c r="K76" s="7886"/>
      <c r="L76" s="7886"/>
      <c r="N76" s="7887"/>
      <c r="O76" s="7887"/>
      <c r="Q76" s="7888"/>
      <c r="R76" s="7888"/>
      <c r="T76" s="7889"/>
      <c r="U76" s="7889"/>
    </row>
    <row r="77" spans="8:28">
      <c r="H77" s="7886"/>
      <c r="I77" s="7886"/>
      <c r="K77" s="7886"/>
      <c r="L77" s="7886"/>
      <c r="N77" s="7887"/>
      <c r="O77" s="7887"/>
      <c r="Q77" s="7888"/>
      <c r="R77" s="7888"/>
      <c r="T77" s="7889"/>
      <c r="U77" s="7889"/>
    </row>
    <row r="78" spans="8:28">
      <c r="K78" s="7886"/>
      <c r="L78" s="7886"/>
      <c r="N78" s="7887"/>
      <c r="O78" s="7887"/>
      <c r="Q78" s="7888"/>
      <c r="R78" s="7888"/>
      <c r="T78" s="7889"/>
      <c r="U78" s="7889"/>
    </row>
    <row r="79" spans="8:28">
      <c r="Q79" s="7888"/>
      <c r="R79" s="7888"/>
      <c r="T79" s="7889"/>
      <c r="U79" s="7889"/>
    </row>
  </sheetData>
  <mergeCells count="5">
    <mergeCell ref="H61:I77"/>
    <mergeCell ref="K62:L78"/>
    <mergeCell ref="N62:O78"/>
    <mergeCell ref="Q62:R79"/>
    <mergeCell ref="T62:U79"/>
  </mergeCells>
  <printOptions horizontalCentered="1" verticalCentered="1"/>
  <pageMargins left="0" right="0" top="0" bottom="0" header="0" footer="0"/>
  <pageSetup paperSize="9" scale="110" orientation="portrait" horizontalDpi="0" verticalDpi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>
    <pageSetUpPr fitToPage="1"/>
  </sheetPr>
  <dimension ref="A1:AO296"/>
  <sheetViews>
    <sheetView topLeftCell="A14" zoomScale="150" zoomScaleNormal="150" zoomScalePageLayoutView="223" workbookViewId="0">
      <selection activeCell="C33" sqref="C33:R39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6640625" style="1" customWidth="1"/>
    <col min="4" max="4" width="0.83203125" style="3082" customWidth="1"/>
    <col min="5" max="5" width="2.33203125" style="1" customWidth="1"/>
    <col min="6" max="6" width="2.6640625" style="2818" customWidth="1"/>
    <col min="7" max="7" width="5.6640625" style="780" customWidth="1"/>
    <col min="8" max="8" width="8" style="780" customWidth="1"/>
    <col min="9" max="9" width="8.83203125" style="780" customWidth="1"/>
    <col min="10" max="10" width="9" style="780" customWidth="1"/>
    <col min="11" max="11" width="29.83203125" style="780" customWidth="1"/>
    <col min="12" max="12" width="7.1640625" style="780" customWidth="1"/>
    <col min="13" max="13" width="1" style="2820" customWidth="1"/>
    <col min="14" max="14" width="10.1640625" style="2818" customWidth="1"/>
    <col min="15" max="15" width="0.33203125" style="780" customWidth="1"/>
    <col min="16" max="16" width="9" style="780" customWidth="1"/>
    <col min="17" max="17" width="7.33203125" style="2821" customWidth="1"/>
    <col min="18" max="18" width="7.6640625" style="2821" customWidth="1"/>
    <col min="19" max="19" width="1.33203125" style="2822" customWidth="1"/>
    <col min="20" max="20" width="0.33203125" style="2822" customWidth="1"/>
    <col min="21" max="21" width="6.33203125" style="2823" customWidth="1"/>
    <col min="22" max="22" width="5.6640625" style="2823" customWidth="1"/>
    <col min="23" max="23" width="6.33203125" style="2823" customWidth="1"/>
    <col min="24" max="24" width="5.33203125" style="2823" customWidth="1"/>
    <col min="25" max="25" width="6" style="2823" customWidth="1"/>
    <col min="26" max="27" width="5.3320312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33203125" style="2826" customWidth="1"/>
    <col min="40" max="40" width="11.5" style="2825"/>
    <col min="41" max="16384" width="11.5" style="1"/>
  </cols>
  <sheetData>
    <row r="1" spans="1:40" ht="18" customHeight="1">
      <c r="A1" s="3080" t="s">
        <v>810</v>
      </c>
      <c r="B1" s="1"/>
      <c r="C1" s="2816"/>
      <c r="D1" s="3081"/>
      <c r="E1" s="2817"/>
      <c r="V1" s="2824"/>
      <c r="AI1" s="2825"/>
      <c r="AJ1" s="2825"/>
      <c r="AK1" s="2825"/>
      <c r="AL1" s="2825"/>
      <c r="AM1" s="2825"/>
    </row>
    <row r="2" spans="1:40" ht="12" customHeight="1" thickBot="1">
      <c r="F2" s="527"/>
      <c r="G2" s="155"/>
      <c r="H2" s="155"/>
      <c r="I2" s="155"/>
      <c r="J2" s="3083"/>
      <c r="K2" s="583">
        <v>45257</v>
      </c>
      <c r="L2" s="583"/>
      <c r="U2" s="2827" t="s">
        <v>345</v>
      </c>
      <c r="AI2" s="2825"/>
      <c r="AJ2" s="2825"/>
      <c r="AK2" s="2825"/>
      <c r="AL2" s="2825"/>
      <c r="AM2" s="2825"/>
    </row>
    <row r="3" spans="1:40" s="2839" customFormat="1" ht="61.5" customHeight="1" thickTop="1" thickBot="1">
      <c r="A3" s="3084" t="s">
        <v>346</v>
      </c>
      <c r="B3" s="3085" t="s">
        <v>347</v>
      </c>
      <c r="C3" s="3086" t="s">
        <v>348</v>
      </c>
      <c r="D3" s="3087"/>
      <c r="E3" s="3086" t="s">
        <v>349</v>
      </c>
      <c r="F3" s="3088" t="s">
        <v>350</v>
      </c>
      <c r="G3" s="3089" t="s">
        <v>351</v>
      </c>
      <c r="H3" s="3089" t="s">
        <v>624</v>
      </c>
      <c r="I3" s="3089" t="s">
        <v>352</v>
      </c>
      <c r="J3" s="3088" t="s">
        <v>353</v>
      </c>
      <c r="K3" s="3089" t="s">
        <v>354</v>
      </c>
      <c r="L3" s="3089"/>
      <c r="M3" s="3090" t="s">
        <v>355</v>
      </c>
      <c r="N3" s="3089" t="s">
        <v>445</v>
      </c>
      <c r="O3" s="3086" t="s">
        <v>446</v>
      </c>
      <c r="P3" s="3086" t="s">
        <v>447</v>
      </c>
      <c r="Q3" s="3091" t="s">
        <v>448</v>
      </c>
      <c r="R3" s="3092" t="s">
        <v>371</v>
      </c>
      <c r="S3" s="2828" t="s">
        <v>449</v>
      </c>
      <c r="T3" s="2828" t="s">
        <v>450</v>
      </c>
      <c r="U3" s="2829" t="s">
        <v>451</v>
      </c>
      <c r="V3" s="2830" t="s">
        <v>452</v>
      </c>
      <c r="W3" s="2831" t="s">
        <v>453</v>
      </c>
      <c r="X3" s="2832" t="s">
        <v>454</v>
      </c>
      <c r="Y3" s="2833" t="s">
        <v>455</v>
      </c>
      <c r="Z3" s="2834" t="s">
        <v>456</v>
      </c>
      <c r="AA3" s="2835" t="s">
        <v>457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2839" customFormat="1" ht="9" customHeight="1" thickBot="1">
      <c r="A4" s="3093"/>
      <c r="B4" s="3094"/>
      <c r="C4" s="3095"/>
      <c r="D4" s="3096"/>
      <c r="E4" s="3095"/>
      <c r="F4" s="3097"/>
      <c r="G4" s="3095"/>
      <c r="H4" s="3095"/>
      <c r="I4" s="3095"/>
      <c r="J4" s="3097"/>
      <c r="K4" s="3095"/>
      <c r="L4" s="3095"/>
      <c r="M4" s="3098"/>
      <c r="N4" s="3095"/>
      <c r="O4" s="3095"/>
      <c r="P4" s="3095"/>
      <c r="Q4" s="3099"/>
      <c r="R4" s="3100"/>
      <c r="S4" s="2840"/>
      <c r="T4" s="2840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836"/>
      <c r="AC4" s="2837"/>
      <c r="AD4" s="2838"/>
      <c r="AE4" s="2838"/>
      <c r="AF4" s="2838"/>
      <c r="AG4" s="2838"/>
      <c r="AH4" s="2838"/>
      <c r="AI4" s="2836"/>
      <c r="AJ4" s="2836"/>
      <c r="AK4" s="2836"/>
      <c r="AL4" s="2836"/>
      <c r="AM4" s="2836"/>
      <c r="AN4" s="2836"/>
    </row>
    <row r="5" spans="1:40" s="63" customFormat="1" ht="3" customHeight="1" thickBot="1">
      <c r="A5" s="3101"/>
      <c r="B5" s="3102"/>
      <c r="C5" s="3103"/>
      <c r="D5" s="3104"/>
      <c r="E5" s="3103"/>
      <c r="F5" s="3105"/>
      <c r="G5" s="3106"/>
      <c r="H5" s="3106"/>
      <c r="I5" s="3106"/>
      <c r="J5" s="3105"/>
      <c r="K5" s="3106"/>
      <c r="L5" s="3106"/>
      <c r="M5" s="3107"/>
      <c r="N5" s="3106"/>
      <c r="O5" s="3103"/>
      <c r="P5" s="3103"/>
      <c r="Q5" s="3103"/>
      <c r="R5" s="3108"/>
      <c r="S5" s="2842"/>
      <c r="T5" s="2842"/>
      <c r="U5" s="111">
        <f>U4/4</f>
        <v>2.2880964381720439E-4</v>
      </c>
      <c r="V5" s="111">
        <f t="shared" ref="V5:AA5" si="0">V4/4</f>
        <v>2.1908757716049393E-4</v>
      </c>
      <c r="W5" s="111">
        <f t="shared" si="0"/>
        <v>2.1222190799396687E-4</v>
      </c>
      <c r="X5" s="111">
        <f t="shared" si="0"/>
        <v>2.0247664488766629E-4</v>
      </c>
      <c r="Y5" s="111">
        <f t="shared" si="0"/>
        <v>1.8933937422552669E-4</v>
      </c>
      <c r="Z5" s="111">
        <f t="shared" si="0"/>
        <v>1.8229166666666673E-4</v>
      </c>
      <c r="AA5" s="111">
        <f t="shared" si="0"/>
        <v>1.7682291666666674E-4</v>
      </c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s="63" customFormat="1" ht="12.75" customHeight="1" thickTop="1" thickBot="1">
      <c r="A6" s="3109" t="s">
        <v>214</v>
      </c>
      <c r="B6" s="3110" t="s">
        <v>215</v>
      </c>
      <c r="C6" s="2256">
        <f t="shared" ref="C6:C11" si="1">IF(D6=1,U$5,IF(D6=2,V$5,IF(D6=3,W$5,IF(D6=4,X$5,IF(D6=5,Y$5,IF(D6=6,Z$5,IF(D6=7,AA$5,0)))))))</f>
        <v>2.1222190799396687E-4</v>
      </c>
      <c r="D6" s="2309">
        <v>3</v>
      </c>
      <c r="E6" s="2257">
        <v>1</v>
      </c>
      <c r="F6" s="2257">
        <v>14</v>
      </c>
      <c r="G6" s="2257">
        <v>25</v>
      </c>
      <c r="H6" s="2258"/>
      <c r="I6" s="2258">
        <v>1.7361111111111112E-4</v>
      </c>
      <c r="J6" s="2258">
        <v>1.3888888888888889E-3</v>
      </c>
      <c r="K6" s="2355" t="s">
        <v>2276</v>
      </c>
      <c r="L6" s="2503">
        <v>0.34722222222222227</v>
      </c>
      <c r="M6" s="2326">
        <v>1.1000000000000001</v>
      </c>
      <c r="N6" s="2258">
        <f t="shared" ref="N6:N8" si="2">P6*E6*F6+I6*E6*F6+J6*E6</f>
        <v>7.0876618275515346E-3</v>
      </c>
      <c r="O6" s="2262">
        <f t="shared" ref="O6:O11" si="3">C6*(G6/25)</f>
        <v>2.1222190799396687E-4</v>
      </c>
      <c r="P6" s="2262">
        <f t="shared" ref="P6:P9" si="4">O6*M6</f>
        <v>2.3344409879336357E-4</v>
      </c>
      <c r="Q6" s="2274">
        <v>164</v>
      </c>
      <c r="R6" s="2257">
        <f t="shared" ref="R6:R9" si="5">E6*F6*G6</f>
        <v>350</v>
      </c>
      <c r="S6" s="2844">
        <f>E6*F6*G6/1000</f>
        <v>0.35</v>
      </c>
      <c r="T6" s="2845">
        <f>E6*F6*O6*4</f>
        <v>1.1884426847662145E-2</v>
      </c>
      <c r="U6" s="374">
        <f>IF(C6*4&gt;=$U$4,S6,0)</f>
        <v>0</v>
      </c>
      <c r="V6" s="2846">
        <f>IF(AND(C6*4&gt;=$V$4,C6*4&lt;$U$4),S6,0)</f>
        <v>0</v>
      </c>
      <c r="W6" s="2847">
        <f>IF(AND(C6*4&gt;=$W$4,C6*4&lt;$V$4),S6,0)</f>
        <v>0.35</v>
      </c>
      <c r="X6" s="2848">
        <f>IF(AND(C6*4&gt;=$X$4,C6*4&lt;$W$4),S6,0)</f>
        <v>0</v>
      </c>
      <c r="Y6" s="2849">
        <f>IF(AND(C6*4&gt;=$Y$4,C6*4&lt;$X$4),S6,0)</f>
        <v>0</v>
      </c>
      <c r="Z6" s="2850">
        <f>IF(AND(C6*4&gt;=$Z$4,C6*4&lt;$Y$4),S6,0)</f>
        <v>0</v>
      </c>
      <c r="AA6" s="2851">
        <f>IF(AND(C6*4&gt;=$AA$4,C6*4&lt;$Z$4),S6,0)</f>
        <v>0</v>
      </c>
      <c r="AB6" s="2935"/>
      <c r="AC6" s="2867"/>
      <c r="AD6" s="2867"/>
      <c r="AE6" s="2867"/>
      <c r="AF6" s="2867"/>
      <c r="AG6" s="2867"/>
      <c r="AH6" s="2867"/>
      <c r="AI6" s="2935"/>
      <c r="AJ6" s="2935"/>
      <c r="AK6" s="2935"/>
      <c r="AL6" s="2935"/>
      <c r="AM6" s="2935"/>
      <c r="AN6" s="2935"/>
    </row>
    <row r="7" spans="1:40" s="63" customFormat="1" ht="12.75" customHeight="1" thickBot="1">
      <c r="A7" s="3109" t="s">
        <v>459</v>
      </c>
      <c r="B7" s="3110"/>
      <c r="C7" s="2256">
        <f t="shared" si="1"/>
        <v>1.8933937422552669E-4</v>
      </c>
      <c r="D7" s="3123">
        <v>5</v>
      </c>
      <c r="E7" s="3124">
        <v>1</v>
      </c>
      <c r="F7" s="3124">
        <v>8</v>
      </c>
      <c r="G7" s="3124">
        <v>15</v>
      </c>
      <c r="H7" s="2377"/>
      <c r="I7" s="2377">
        <v>8.6805555555555551E-4</v>
      </c>
      <c r="J7" s="2377">
        <v>1.3888888888888889E-3</v>
      </c>
      <c r="K7" s="3125" t="s">
        <v>2277</v>
      </c>
      <c r="L7" s="2515">
        <f t="shared" ref="L7:L9" si="6">L6+N6</f>
        <v>0.35430988404977382</v>
      </c>
      <c r="M7" s="3126">
        <v>0.8</v>
      </c>
      <c r="N7" s="2377">
        <f t="shared" si="2"/>
        <v>9.0603965303593555E-3</v>
      </c>
      <c r="O7" s="2271">
        <f t="shared" si="3"/>
        <v>1.13603624535316E-4</v>
      </c>
      <c r="P7" s="2517">
        <f t="shared" si="4"/>
        <v>9.0882899628252808E-5</v>
      </c>
      <c r="Q7" s="2518">
        <v>164</v>
      </c>
      <c r="R7" s="3122">
        <f t="shared" si="5"/>
        <v>120</v>
      </c>
      <c r="S7" s="2844">
        <f t="shared" ref="S7:S61" si="7">E7*F7*G7/1000</f>
        <v>0.12</v>
      </c>
      <c r="T7" s="2845">
        <f t="shared" ref="T7:T61" si="8">E7*F7*O7*4</f>
        <v>3.6353159851301121E-3</v>
      </c>
      <c r="U7" s="374">
        <f t="shared" ref="U7:U61" si="9">IF(C7*4&gt;=$U$4,S7,0)</f>
        <v>0</v>
      </c>
      <c r="V7" s="2846">
        <f t="shared" ref="V7:V61" si="10">IF(AND(C7*4&gt;=$V$4,C7*4&lt;$U$4),S7,0)</f>
        <v>0</v>
      </c>
      <c r="W7" s="2847">
        <f t="shared" ref="W7:W61" si="11">IF(AND(C7*4&gt;=$W$4,C7*4&lt;$V$4),S7,0)</f>
        <v>0</v>
      </c>
      <c r="X7" s="2848">
        <f t="shared" ref="X7:X61" si="12">IF(AND(C7*4&gt;=$X$4,C7*4&lt;$W$4),S7,0)</f>
        <v>0</v>
      </c>
      <c r="Y7" s="2849">
        <f t="shared" ref="Y7:Y61" si="13">IF(AND(C7*4&gt;=$Y$4,C7*4&lt;$X$4),S7,0)</f>
        <v>0.12</v>
      </c>
      <c r="Z7" s="2850">
        <f t="shared" ref="Z7:Z61" si="14">IF(AND(C7*4&gt;=$Z$4,C7*4&lt;$Y$4),S7,0)</f>
        <v>0</v>
      </c>
      <c r="AA7" s="2851">
        <f t="shared" ref="AA7:AA61" si="15">IF(AND(C7*4&gt;=$AA$4,C7*4&lt;$Z$4),S7,0)</f>
        <v>0</v>
      </c>
      <c r="AB7" s="2935"/>
      <c r="AC7" s="2867"/>
      <c r="AD7" s="2867"/>
      <c r="AE7" s="2867"/>
      <c r="AF7" s="2867"/>
      <c r="AG7" s="2867"/>
      <c r="AH7" s="2867"/>
      <c r="AI7" s="2935"/>
      <c r="AJ7" s="2935"/>
      <c r="AK7" s="2935"/>
      <c r="AL7" s="2935"/>
      <c r="AM7" s="2935"/>
      <c r="AN7" s="2935"/>
    </row>
    <row r="8" spans="1:40" s="63" customFormat="1" ht="12.75" customHeight="1" thickBot="1">
      <c r="A8" s="3109" t="s">
        <v>460</v>
      </c>
      <c r="B8" s="3110"/>
      <c r="C8" s="2256">
        <f t="shared" si="1"/>
        <v>2.1222190799396687E-4</v>
      </c>
      <c r="D8" s="3123">
        <v>3</v>
      </c>
      <c r="E8" s="3124">
        <v>1</v>
      </c>
      <c r="F8" s="3124">
        <v>2</v>
      </c>
      <c r="G8" s="3124">
        <v>10</v>
      </c>
      <c r="H8" s="2377"/>
      <c r="I8" s="2377">
        <v>8.6805555555555551E-4</v>
      </c>
      <c r="J8" s="2377">
        <v>1.3888888888888889E-3</v>
      </c>
      <c r="K8" s="3125" t="s">
        <v>2278</v>
      </c>
      <c r="L8" s="2515">
        <f t="shared" si="6"/>
        <v>0.36337028058013315</v>
      </c>
      <c r="M8" s="3126">
        <v>0.8</v>
      </c>
      <c r="N8" s="2377">
        <f t="shared" si="2"/>
        <v>3.2608220211161388E-3</v>
      </c>
      <c r="O8" s="2271">
        <f t="shared" si="3"/>
        <v>8.4888763197586757E-5</v>
      </c>
      <c r="P8" s="2517">
        <f t="shared" si="4"/>
        <v>6.7911010558069414E-5</v>
      </c>
      <c r="Q8" s="2518">
        <v>164</v>
      </c>
      <c r="R8" s="3122">
        <f t="shared" si="5"/>
        <v>20</v>
      </c>
      <c r="S8" s="2844">
        <f t="shared" si="7"/>
        <v>0.02</v>
      </c>
      <c r="T8" s="2845">
        <f t="shared" si="8"/>
        <v>6.7911010558069406E-4</v>
      </c>
      <c r="U8" s="374">
        <f t="shared" si="9"/>
        <v>0</v>
      </c>
      <c r="V8" s="2846">
        <f t="shared" si="10"/>
        <v>0</v>
      </c>
      <c r="W8" s="2847">
        <f t="shared" si="11"/>
        <v>0.02</v>
      </c>
      <c r="X8" s="2848">
        <f t="shared" si="12"/>
        <v>0</v>
      </c>
      <c r="Y8" s="2849">
        <f t="shared" si="13"/>
        <v>0</v>
      </c>
      <c r="Z8" s="2850">
        <f t="shared" si="14"/>
        <v>0</v>
      </c>
      <c r="AA8" s="2851">
        <f t="shared" si="15"/>
        <v>0</v>
      </c>
      <c r="AB8" s="2935"/>
      <c r="AC8" s="2867"/>
      <c r="AD8" s="2867"/>
      <c r="AE8" s="2867"/>
      <c r="AF8" s="2867"/>
      <c r="AG8" s="2867"/>
      <c r="AH8" s="2867"/>
      <c r="AI8" s="2935"/>
      <c r="AJ8" s="2935"/>
      <c r="AK8" s="2935"/>
      <c r="AL8" s="2935"/>
      <c r="AM8" s="2935"/>
      <c r="AN8" s="2935"/>
    </row>
    <row r="9" spans="1:40" s="63" customFormat="1" ht="12.75" customHeight="1" thickBot="1">
      <c r="A9" s="3109" t="s">
        <v>458</v>
      </c>
      <c r="B9" s="3110"/>
      <c r="C9" s="2256">
        <f t="shared" si="1"/>
        <v>1.8933937422552669E-4</v>
      </c>
      <c r="D9" s="2505">
        <v>5</v>
      </c>
      <c r="E9" s="2883">
        <v>1</v>
      </c>
      <c r="F9" s="2883">
        <v>8</v>
      </c>
      <c r="G9" s="2883">
        <v>10</v>
      </c>
      <c r="H9" s="2264"/>
      <c r="I9" s="2264">
        <v>3.4722222222222224E-4</v>
      </c>
      <c r="J9" s="2264">
        <v>2.0833333333333333E-3</v>
      </c>
      <c r="K9" s="2884" t="s">
        <v>2279</v>
      </c>
      <c r="L9" s="2508">
        <f t="shared" si="6"/>
        <v>0.36663110260124931</v>
      </c>
      <c r="M9" s="2509">
        <v>1</v>
      </c>
      <c r="N9" s="2264">
        <f>P9*E9*F9+I9*E9*F9+J9*E9</f>
        <v>5.4669971086327967E-3</v>
      </c>
      <c r="O9" s="2265">
        <f t="shared" si="3"/>
        <v>7.5735749690210687E-5</v>
      </c>
      <c r="P9" s="2185">
        <f t="shared" si="4"/>
        <v>7.5735749690210687E-5</v>
      </c>
      <c r="Q9" s="2518" t="s">
        <v>278</v>
      </c>
      <c r="R9" s="3122">
        <f t="shared" si="5"/>
        <v>80</v>
      </c>
      <c r="S9" s="2844">
        <f t="shared" si="7"/>
        <v>0.08</v>
      </c>
      <c r="T9" s="2845">
        <f t="shared" si="8"/>
        <v>2.423543990086742E-3</v>
      </c>
      <c r="U9" s="374">
        <f t="shared" si="9"/>
        <v>0</v>
      </c>
      <c r="V9" s="2846">
        <f t="shared" si="10"/>
        <v>0</v>
      </c>
      <c r="W9" s="2847">
        <f t="shared" si="11"/>
        <v>0</v>
      </c>
      <c r="X9" s="2848">
        <f t="shared" si="12"/>
        <v>0</v>
      </c>
      <c r="Y9" s="2849">
        <f t="shared" si="13"/>
        <v>0.08</v>
      </c>
      <c r="Z9" s="2850">
        <f t="shared" si="14"/>
        <v>0</v>
      </c>
      <c r="AA9" s="2851">
        <f t="shared" si="15"/>
        <v>0</v>
      </c>
      <c r="AB9" s="2935"/>
      <c r="AC9" s="2867"/>
      <c r="AD9" s="2867"/>
      <c r="AE9" s="2867"/>
      <c r="AF9" s="2867"/>
      <c r="AG9" s="2867"/>
      <c r="AH9" s="2867"/>
      <c r="AI9" s="2935"/>
      <c r="AJ9" s="2935"/>
      <c r="AK9" s="2935"/>
      <c r="AL9" s="2935"/>
      <c r="AM9" s="2935"/>
      <c r="AN9" s="2935"/>
    </row>
    <row r="10" spans="1:40" s="63" customFormat="1" ht="12.75" customHeight="1" thickBot="1">
      <c r="A10" s="3109" t="s">
        <v>219</v>
      </c>
      <c r="B10" s="3110"/>
      <c r="C10" s="2256">
        <f t="shared" si="1"/>
        <v>2.1908757716049393E-4</v>
      </c>
      <c r="D10" s="1920">
        <v>2</v>
      </c>
      <c r="E10" s="2887">
        <v>1</v>
      </c>
      <c r="F10" s="2887">
        <v>10</v>
      </c>
      <c r="G10" s="2887">
        <v>40</v>
      </c>
      <c r="H10" s="3141"/>
      <c r="I10" s="2284">
        <v>4.6296296296296293E-4</v>
      </c>
      <c r="J10" s="2284">
        <v>1.3888888888888889E-3</v>
      </c>
      <c r="K10" s="2888" t="s">
        <v>2282</v>
      </c>
      <c r="L10" s="3142">
        <f>L9+N9</f>
        <v>0.37209809970988211</v>
      </c>
      <c r="M10" s="3143">
        <v>0.9</v>
      </c>
      <c r="N10" s="3142">
        <f>P10*E10*F10+I10*E10*F10+J10*E10</f>
        <v>9.1733796296296303E-3</v>
      </c>
      <c r="O10" s="3144">
        <f t="shared" si="3"/>
        <v>3.505401234567903E-4</v>
      </c>
      <c r="P10" s="3145">
        <f>O10*M10</f>
        <v>3.1548611111111127E-4</v>
      </c>
      <c r="Q10" s="3132">
        <v>147</v>
      </c>
      <c r="R10" s="3133">
        <f>E10*F10*G10</f>
        <v>400</v>
      </c>
      <c r="S10" s="2844">
        <f t="shared" si="7"/>
        <v>0.4</v>
      </c>
      <c r="T10" s="2845">
        <f t="shared" si="8"/>
        <v>1.4021604938271611E-2</v>
      </c>
      <c r="U10" s="374">
        <f t="shared" si="9"/>
        <v>0</v>
      </c>
      <c r="V10" s="2846">
        <f t="shared" si="10"/>
        <v>0.4</v>
      </c>
      <c r="W10" s="2847">
        <f t="shared" si="11"/>
        <v>0</v>
      </c>
      <c r="X10" s="2848">
        <f t="shared" si="12"/>
        <v>0</v>
      </c>
      <c r="Y10" s="2849">
        <f t="shared" si="13"/>
        <v>0</v>
      </c>
      <c r="Z10" s="2850">
        <f t="shared" si="14"/>
        <v>0</v>
      </c>
      <c r="AA10" s="2851">
        <f t="shared" si="15"/>
        <v>0</v>
      </c>
      <c r="AB10" s="2935"/>
      <c r="AC10" s="2867"/>
      <c r="AD10" s="2867"/>
      <c r="AE10" s="2867"/>
      <c r="AF10" s="2867"/>
      <c r="AG10" s="2867"/>
      <c r="AH10" s="2867"/>
      <c r="AI10" s="2935"/>
      <c r="AJ10" s="2935"/>
      <c r="AK10" s="2935"/>
      <c r="AL10" s="2935"/>
      <c r="AM10" s="2935"/>
      <c r="AN10" s="2935"/>
    </row>
    <row r="11" spans="1:40" s="63" customFormat="1" ht="12.75" customHeight="1" thickBot="1">
      <c r="A11" s="3109"/>
      <c r="B11" s="3110"/>
      <c r="C11" s="2256">
        <f t="shared" si="1"/>
        <v>1.7682291666666674E-4</v>
      </c>
      <c r="D11" s="2309">
        <v>7</v>
      </c>
      <c r="E11" s="6355">
        <v>1</v>
      </c>
      <c r="F11" s="6355">
        <v>15</v>
      </c>
      <c r="G11" s="6355">
        <v>7.5</v>
      </c>
      <c r="H11" s="6356" t="s">
        <v>2280</v>
      </c>
      <c r="I11" s="6356">
        <v>4.6296296296296293E-4</v>
      </c>
      <c r="J11" s="6356">
        <v>0</v>
      </c>
      <c r="K11" s="6357" t="s">
        <v>2281</v>
      </c>
      <c r="L11" s="6358">
        <f>L10+N10</f>
        <v>0.38127147933951172</v>
      </c>
      <c r="M11" s="6359">
        <v>0.8</v>
      </c>
      <c r="N11" s="6356">
        <f>P11*E11*F11+I11*E11*F11+J11*E11</f>
        <v>7.581006944444444E-3</v>
      </c>
      <c r="O11" s="6360">
        <f t="shared" si="3"/>
        <v>5.3046875000000021E-5</v>
      </c>
      <c r="P11" s="6360">
        <f>O11*M11</f>
        <v>4.2437500000000022E-5</v>
      </c>
      <c r="Q11" s="6361" t="s">
        <v>316</v>
      </c>
      <c r="R11" s="6355">
        <f>E11*F11*G11</f>
        <v>112.5</v>
      </c>
      <c r="S11" s="2844">
        <f t="shared" si="7"/>
        <v>0.1125</v>
      </c>
      <c r="T11" s="2845">
        <f t="shared" si="8"/>
        <v>3.1828125000000012E-3</v>
      </c>
      <c r="U11" s="374">
        <f t="shared" si="9"/>
        <v>0</v>
      </c>
      <c r="V11" s="2846">
        <f t="shared" si="10"/>
        <v>0</v>
      </c>
      <c r="W11" s="2847">
        <f t="shared" si="11"/>
        <v>0</v>
      </c>
      <c r="X11" s="2848">
        <f t="shared" si="12"/>
        <v>0</v>
      </c>
      <c r="Y11" s="2849">
        <f t="shared" si="13"/>
        <v>0</v>
      </c>
      <c r="Z11" s="2850">
        <f t="shared" si="14"/>
        <v>0</v>
      </c>
      <c r="AA11" s="2851">
        <f t="shared" si="15"/>
        <v>0.1125</v>
      </c>
      <c r="AB11" s="2935"/>
      <c r="AC11" s="2867"/>
      <c r="AD11" s="2867"/>
      <c r="AE11" s="2867"/>
      <c r="AF11" s="2867"/>
      <c r="AG11" s="2867"/>
      <c r="AH11" s="2867"/>
      <c r="AI11" s="2935"/>
      <c r="AJ11" s="2935"/>
      <c r="AK11" s="2935"/>
      <c r="AL11" s="2935"/>
      <c r="AM11" s="2935"/>
      <c r="AN11" s="2935"/>
    </row>
    <row r="12" spans="1:40" s="63" customFormat="1" ht="14" customHeight="1">
      <c r="A12" s="3109"/>
      <c r="B12" s="3110" t="s">
        <v>461</v>
      </c>
      <c r="C12" s="2256"/>
      <c r="D12" s="2335"/>
      <c r="E12" s="2336"/>
      <c r="F12" s="2336"/>
      <c r="G12" s="2336"/>
      <c r="H12" s="2337"/>
      <c r="I12" s="2337"/>
      <c r="J12" s="2337"/>
      <c r="K12" s="2338"/>
      <c r="L12" s="2182">
        <f>L11+N11</f>
        <v>0.38885248628395619</v>
      </c>
      <c r="M12" s="2502"/>
      <c r="N12" s="2528">
        <f>SUM(N6:N11)</f>
        <v>4.1630264061733896E-2</v>
      </c>
      <c r="O12" s="2359"/>
      <c r="P12" s="2359"/>
      <c r="Q12" s="2341"/>
      <c r="R12" s="2529">
        <f>SUM(R6:R11)</f>
        <v>1082.5</v>
      </c>
      <c r="S12" s="2844">
        <f t="shared" si="7"/>
        <v>0</v>
      </c>
      <c r="T12" s="2845">
        <f t="shared" si="8"/>
        <v>0</v>
      </c>
      <c r="U12" s="374">
        <f t="shared" si="9"/>
        <v>0</v>
      </c>
      <c r="V12" s="2846">
        <f t="shared" si="10"/>
        <v>0</v>
      </c>
      <c r="W12" s="2847">
        <f t="shared" si="11"/>
        <v>0</v>
      </c>
      <c r="X12" s="2848">
        <f t="shared" si="12"/>
        <v>0</v>
      </c>
      <c r="Y12" s="2849">
        <f t="shared" si="13"/>
        <v>0</v>
      </c>
      <c r="Z12" s="2850">
        <f t="shared" si="14"/>
        <v>0</v>
      </c>
      <c r="AA12" s="2851">
        <f t="shared" si="15"/>
        <v>0</v>
      </c>
      <c r="AB12" s="2935"/>
      <c r="AC12" s="2867"/>
      <c r="AD12" s="2867"/>
      <c r="AE12" s="2867"/>
      <c r="AF12" s="2867"/>
      <c r="AG12" s="2867"/>
      <c r="AH12" s="2867"/>
      <c r="AI12" s="2935"/>
      <c r="AJ12" s="2935"/>
      <c r="AK12" s="2935"/>
      <c r="AL12" s="2935"/>
      <c r="AM12" s="2935"/>
      <c r="AN12" s="2935"/>
    </row>
    <row r="13" spans="1:40" s="63" customFormat="1" ht="14" customHeight="1">
      <c r="A13" s="3109" t="s">
        <v>214</v>
      </c>
      <c r="B13" s="3115" t="s">
        <v>461</v>
      </c>
      <c r="C13" s="2256">
        <f t="shared" ref="C13:C18" si="16">IF(D13=1,U$5,IF(D13=2,V$5,IF(D13=3,W$5,IF(D13=4,X$5,IF(D13=5,Y$5,IF(D13=6,Z$5,IF(D13=7,AA$5,0)))))))</f>
        <v>2.2880964381720439E-4</v>
      </c>
      <c r="D13" s="2335">
        <v>1</v>
      </c>
      <c r="E13" s="2336">
        <v>1</v>
      </c>
      <c r="F13" s="2336">
        <v>2</v>
      </c>
      <c r="G13" s="2336">
        <v>300</v>
      </c>
      <c r="H13" s="2337"/>
      <c r="I13" s="2337">
        <v>1.1574074074074073E-4</v>
      </c>
      <c r="J13" s="2337">
        <v>1.3888888888888889E-3</v>
      </c>
      <c r="K13" s="2338" t="s">
        <v>762</v>
      </c>
      <c r="L13" s="3119">
        <v>0.80208333333333337</v>
      </c>
      <c r="M13" s="2502">
        <v>0.9</v>
      </c>
      <c r="N13" s="2337">
        <f>P13*E13*F13+I13*E13*F13+J13*E13</f>
        <v>6.5626586768219863E-3</v>
      </c>
      <c r="O13" s="2359">
        <f t="shared" ref="O13:O18" si="17">C13*(G13/25)</f>
        <v>2.7457157258064528E-3</v>
      </c>
      <c r="P13" s="2359">
        <f t="shared" ref="P13:P18" si="18">O13*M13</f>
        <v>2.4711441532258077E-3</v>
      </c>
      <c r="Q13" s="2341">
        <v>129</v>
      </c>
      <c r="R13" s="2336">
        <f t="shared" ref="R13:R18" si="19">E13*F13*G13</f>
        <v>600</v>
      </c>
      <c r="S13" s="2844">
        <f t="shared" si="7"/>
        <v>0.6</v>
      </c>
      <c r="T13" s="2845">
        <f t="shared" si="8"/>
        <v>2.1965725806451623E-2</v>
      </c>
      <c r="U13" s="374">
        <f t="shared" si="9"/>
        <v>0.6</v>
      </c>
      <c r="V13" s="2846">
        <f t="shared" si="10"/>
        <v>0</v>
      </c>
      <c r="W13" s="2847">
        <f t="shared" si="11"/>
        <v>0</v>
      </c>
      <c r="X13" s="2848">
        <f t="shared" si="12"/>
        <v>0</v>
      </c>
      <c r="Y13" s="2849">
        <f t="shared" si="13"/>
        <v>0</v>
      </c>
      <c r="Z13" s="2850">
        <f t="shared" si="14"/>
        <v>0</v>
      </c>
      <c r="AA13" s="2851">
        <f t="shared" si="15"/>
        <v>0</v>
      </c>
      <c r="AB13" s="2935"/>
      <c r="AC13" s="2867"/>
      <c r="AD13" s="2867"/>
      <c r="AE13" s="2867"/>
      <c r="AF13" s="2867"/>
      <c r="AG13" s="2867"/>
      <c r="AH13" s="2867"/>
      <c r="AI13" s="2935"/>
      <c r="AJ13" s="2935"/>
      <c r="AK13" s="2935"/>
      <c r="AL13" s="2935"/>
      <c r="AM13" s="2935"/>
      <c r="AN13" s="2935"/>
    </row>
    <row r="14" spans="1:40" s="63" customFormat="1" ht="14" customHeight="1">
      <c r="A14" s="3109" t="s">
        <v>459</v>
      </c>
      <c r="B14" s="3115" t="s">
        <v>461</v>
      </c>
      <c r="C14" s="2256">
        <f t="shared" si="16"/>
        <v>2.1908757716049393E-4</v>
      </c>
      <c r="D14" s="2286">
        <v>2</v>
      </c>
      <c r="E14" s="2276">
        <v>1</v>
      </c>
      <c r="F14" s="2276">
        <v>2</v>
      </c>
      <c r="G14" s="2276">
        <v>400</v>
      </c>
      <c r="H14" s="2277">
        <v>5.5555555555555558E-3</v>
      </c>
      <c r="I14" s="2277"/>
      <c r="J14" s="2277">
        <v>1.3888888888888889E-3</v>
      </c>
      <c r="K14" s="2278" t="s">
        <v>703</v>
      </c>
      <c r="L14" s="2503">
        <f t="shared" ref="L14:L19" si="20">L13+N13</f>
        <v>0.80864599201015541</v>
      </c>
      <c r="M14" s="2280">
        <v>1</v>
      </c>
      <c r="N14" s="2277">
        <f>H14*F14*E14</f>
        <v>1.1111111111111112E-2</v>
      </c>
      <c r="O14" s="2281">
        <f t="shared" si="17"/>
        <v>3.5054012345679029E-3</v>
      </c>
      <c r="P14" s="2281">
        <f t="shared" si="18"/>
        <v>3.5054012345679029E-3</v>
      </c>
      <c r="Q14" s="2282">
        <v>146</v>
      </c>
      <c r="R14" s="2283">
        <f t="shared" si="19"/>
        <v>800</v>
      </c>
      <c r="S14" s="2844">
        <f t="shared" si="7"/>
        <v>0.8</v>
      </c>
      <c r="T14" s="2845">
        <f t="shared" si="8"/>
        <v>2.8043209876543223E-2</v>
      </c>
      <c r="U14" s="374">
        <f t="shared" si="9"/>
        <v>0</v>
      </c>
      <c r="V14" s="2846">
        <f t="shared" si="10"/>
        <v>0.8</v>
      </c>
      <c r="W14" s="2847">
        <f t="shared" si="11"/>
        <v>0</v>
      </c>
      <c r="X14" s="2848">
        <f t="shared" si="12"/>
        <v>0</v>
      </c>
      <c r="Y14" s="2849">
        <f t="shared" si="13"/>
        <v>0</v>
      </c>
      <c r="Z14" s="2850">
        <f t="shared" si="14"/>
        <v>0</v>
      </c>
      <c r="AA14" s="2851">
        <f t="shared" si="15"/>
        <v>0</v>
      </c>
      <c r="AB14" s="2935"/>
      <c r="AC14" s="2867"/>
      <c r="AD14" s="2867"/>
      <c r="AE14" s="2867"/>
      <c r="AF14" s="2867"/>
      <c r="AG14" s="2867"/>
      <c r="AH14" s="2867"/>
      <c r="AI14" s="2935"/>
      <c r="AJ14" s="2935"/>
      <c r="AK14" s="2935"/>
      <c r="AL14" s="2935"/>
      <c r="AM14" s="2935"/>
      <c r="AN14" s="2935"/>
    </row>
    <row r="15" spans="1:40" ht="12.75" customHeight="1">
      <c r="A15" s="3109" t="s">
        <v>460</v>
      </c>
      <c r="B15" s="3115" t="s">
        <v>461</v>
      </c>
      <c r="C15" s="2256">
        <f t="shared" si="16"/>
        <v>2.1222190799396687E-4</v>
      </c>
      <c r="D15" s="2309">
        <v>3</v>
      </c>
      <c r="E15" s="2257">
        <v>1</v>
      </c>
      <c r="F15" s="2257">
        <v>10</v>
      </c>
      <c r="G15" s="2257">
        <v>50</v>
      </c>
      <c r="H15" s="2258"/>
      <c r="I15" s="2258">
        <v>1.7361111111111112E-4</v>
      </c>
      <c r="J15" s="2258">
        <v>1.3888888888888889E-3</v>
      </c>
      <c r="K15" s="2310" t="s">
        <v>1506</v>
      </c>
      <c r="L15" s="2504">
        <f t="shared" si="20"/>
        <v>0.81975710312126648</v>
      </c>
      <c r="M15" s="2326">
        <v>1</v>
      </c>
      <c r="N15" s="2258">
        <f>P15*E15*F15+I15*E15*F15+J15*E15</f>
        <v>7.3694381598793371E-3</v>
      </c>
      <c r="O15" s="2262">
        <f t="shared" si="17"/>
        <v>4.2444381598793373E-4</v>
      </c>
      <c r="P15" s="2262">
        <f t="shared" si="18"/>
        <v>4.2444381598793373E-4</v>
      </c>
      <c r="Q15" s="3120">
        <v>164</v>
      </c>
      <c r="R15" s="3121">
        <f t="shared" si="19"/>
        <v>500</v>
      </c>
      <c r="S15" s="2844">
        <f t="shared" si="7"/>
        <v>0.5</v>
      </c>
      <c r="T15" s="2845">
        <f t="shared" si="8"/>
        <v>1.6977752639517348E-2</v>
      </c>
      <c r="U15" s="374">
        <f t="shared" si="9"/>
        <v>0</v>
      </c>
      <c r="V15" s="2846">
        <f t="shared" si="10"/>
        <v>0</v>
      </c>
      <c r="W15" s="2847">
        <f t="shared" si="11"/>
        <v>0.5</v>
      </c>
      <c r="X15" s="2848">
        <f t="shared" si="12"/>
        <v>0</v>
      </c>
      <c r="Y15" s="2849">
        <f t="shared" si="13"/>
        <v>0</v>
      </c>
      <c r="Z15" s="2850">
        <f t="shared" si="14"/>
        <v>0</v>
      </c>
      <c r="AA15" s="2851">
        <f t="shared" si="15"/>
        <v>0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</row>
    <row r="16" spans="1:40" ht="12.75" customHeight="1">
      <c r="A16" s="3109" t="s">
        <v>458</v>
      </c>
      <c r="B16" s="3115" t="s">
        <v>461</v>
      </c>
      <c r="C16" s="2256">
        <f t="shared" si="16"/>
        <v>1.8933937422552669E-4</v>
      </c>
      <c r="D16" s="2505">
        <v>5</v>
      </c>
      <c r="E16" s="2883">
        <v>7</v>
      </c>
      <c r="F16" s="2883">
        <v>1</v>
      </c>
      <c r="G16" s="2883">
        <v>100</v>
      </c>
      <c r="H16" s="2264"/>
      <c r="I16" s="2264">
        <v>5.7870370370370366E-5</v>
      </c>
      <c r="J16" s="2264">
        <v>2.0833333333333333E-3</v>
      </c>
      <c r="K16" s="2884" t="s">
        <v>1507</v>
      </c>
      <c r="L16" s="2508">
        <f t="shared" si="20"/>
        <v>0.82712654128114582</v>
      </c>
      <c r="M16" s="2509">
        <v>1</v>
      </c>
      <c r="N16" s="2264">
        <f>P16*E16*F16+I16*E16*F16+J16*E16</f>
        <v>2.0289928404240674E-2</v>
      </c>
      <c r="O16" s="2265">
        <f t="shared" si="17"/>
        <v>7.5735749690210676E-4</v>
      </c>
      <c r="P16" s="2185">
        <f t="shared" si="18"/>
        <v>7.5735749690210676E-4</v>
      </c>
      <c r="Q16" s="2518" t="s">
        <v>278</v>
      </c>
      <c r="R16" s="3122">
        <f t="shared" si="19"/>
        <v>700</v>
      </c>
      <c r="S16" s="2844">
        <f t="shared" si="7"/>
        <v>0.7</v>
      </c>
      <c r="T16" s="2845">
        <f t="shared" si="8"/>
        <v>2.1206009913258991E-2</v>
      </c>
      <c r="U16" s="374">
        <f t="shared" si="9"/>
        <v>0</v>
      </c>
      <c r="V16" s="2846">
        <f t="shared" si="10"/>
        <v>0</v>
      </c>
      <c r="W16" s="2847">
        <f t="shared" si="11"/>
        <v>0</v>
      </c>
      <c r="X16" s="2848">
        <f t="shared" si="12"/>
        <v>0</v>
      </c>
      <c r="Y16" s="2849">
        <f t="shared" si="13"/>
        <v>0.7</v>
      </c>
      <c r="Z16" s="2850">
        <f t="shared" si="14"/>
        <v>0</v>
      </c>
      <c r="AA16" s="2851">
        <f t="shared" si="15"/>
        <v>0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</row>
    <row r="17" spans="1:40" ht="12.75" customHeight="1">
      <c r="A17" s="3109" t="s">
        <v>219</v>
      </c>
      <c r="B17" s="3115" t="s">
        <v>461</v>
      </c>
      <c r="C17" s="2256">
        <f t="shared" si="16"/>
        <v>2.1908757716049393E-4</v>
      </c>
      <c r="D17" s="2286">
        <v>2</v>
      </c>
      <c r="E17" s="2276">
        <v>1</v>
      </c>
      <c r="F17" s="2276">
        <v>8</v>
      </c>
      <c r="G17" s="2276">
        <v>75</v>
      </c>
      <c r="H17" s="2277"/>
      <c r="I17" s="2277">
        <v>1.3888888888888889E-4</v>
      </c>
      <c r="J17" s="2277">
        <v>1.3888888888888889E-3</v>
      </c>
      <c r="K17" s="2278" t="s">
        <v>894</v>
      </c>
      <c r="L17" s="2503">
        <f t="shared" si="20"/>
        <v>0.84741646968538653</v>
      </c>
      <c r="M17" s="2280">
        <v>1</v>
      </c>
      <c r="N17" s="2277">
        <f>P17*E17*F17+I17*E17*F17+J17*E17</f>
        <v>7.7581018518518546E-3</v>
      </c>
      <c r="O17" s="2281">
        <f t="shared" si="17"/>
        <v>6.5726273148148176E-4</v>
      </c>
      <c r="P17" s="2281">
        <f t="shared" si="18"/>
        <v>6.5726273148148176E-4</v>
      </c>
      <c r="Q17" s="2282">
        <v>146</v>
      </c>
      <c r="R17" s="2283">
        <f t="shared" si="19"/>
        <v>600</v>
      </c>
      <c r="S17" s="2844">
        <f t="shared" si="7"/>
        <v>0.6</v>
      </c>
      <c r="T17" s="2845">
        <f t="shared" si="8"/>
        <v>2.1032407407407416E-2</v>
      </c>
      <c r="U17" s="374">
        <f t="shared" si="9"/>
        <v>0</v>
      </c>
      <c r="V17" s="2846">
        <f t="shared" si="10"/>
        <v>0.6</v>
      </c>
      <c r="W17" s="2847">
        <f t="shared" si="11"/>
        <v>0</v>
      </c>
      <c r="X17" s="2848">
        <f t="shared" si="12"/>
        <v>0</v>
      </c>
      <c r="Y17" s="2849">
        <f t="shared" si="13"/>
        <v>0</v>
      </c>
      <c r="Z17" s="2850">
        <f t="shared" si="14"/>
        <v>0</v>
      </c>
      <c r="AA17" s="2851">
        <f t="shared" si="15"/>
        <v>0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</row>
    <row r="18" spans="1:40" ht="12.75" customHeight="1">
      <c r="A18" s="3109"/>
      <c r="B18" s="3115" t="s">
        <v>461</v>
      </c>
      <c r="C18" s="2256">
        <f t="shared" si="16"/>
        <v>1.7682291666666674E-4</v>
      </c>
      <c r="D18" s="3123">
        <v>7</v>
      </c>
      <c r="E18" s="3124">
        <v>5</v>
      </c>
      <c r="F18" s="3124">
        <v>4</v>
      </c>
      <c r="G18" s="3124">
        <v>25</v>
      </c>
      <c r="H18" s="2377" t="s">
        <v>1508</v>
      </c>
      <c r="I18" s="2377">
        <v>3.4722222222222224E-4</v>
      </c>
      <c r="J18" s="2377">
        <v>6.9444444444444447E-4</v>
      </c>
      <c r="K18" s="3125" t="s">
        <v>1509</v>
      </c>
      <c r="L18" s="2515">
        <f t="shared" si="20"/>
        <v>0.85517457153723841</v>
      </c>
      <c r="M18" s="3126">
        <v>1</v>
      </c>
      <c r="N18" s="2377">
        <f>P18*E18*F18+I18*E18*F18+J18*E18</f>
        <v>1.3953125000000002E-2</v>
      </c>
      <c r="O18" s="2271">
        <f t="shared" si="17"/>
        <v>1.7682291666666674E-4</v>
      </c>
      <c r="P18" s="2517">
        <f t="shared" si="18"/>
        <v>1.7682291666666674E-4</v>
      </c>
      <c r="Q18" s="2518" t="s">
        <v>316</v>
      </c>
      <c r="R18" s="3122">
        <f t="shared" si="19"/>
        <v>500</v>
      </c>
      <c r="S18" s="2844">
        <f t="shared" si="7"/>
        <v>0.5</v>
      </c>
      <c r="T18" s="2845">
        <f t="shared" si="8"/>
        <v>1.4145833333333338E-2</v>
      </c>
      <c r="U18" s="374">
        <f t="shared" si="9"/>
        <v>0</v>
      </c>
      <c r="V18" s="2846">
        <f t="shared" si="10"/>
        <v>0</v>
      </c>
      <c r="W18" s="2847">
        <f t="shared" si="11"/>
        <v>0</v>
      </c>
      <c r="X18" s="2848">
        <f t="shared" si="12"/>
        <v>0</v>
      </c>
      <c r="Y18" s="2849">
        <f t="shared" si="13"/>
        <v>0</v>
      </c>
      <c r="Z18" s="2850">
        <f t="shared" si="14"/>
        <v>0</v>
      </c>
      <c r="AA18" s="2851">
        <f t="shared" si="15"/>
        <v>0.5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1"/>
    </row>
    <row r="19" spans="1:40" ht="12.75" customHeight="1" thickBot="1">
      <c r="A19" s="3109"/>
      <c r="B19" s="3115"/>
      <c r="C19" s="1460"/>
      <c r="D19" s="3116"/>
      <c r="E19" s="642"/>
      <c r="F19" s="642"/>
      <c r="G19" s="642"/>
      <c r="H19" s="642"/>
      <c r="I19" s="642"/>
      <c r="J19" s="642"/>
      <c r="K19" s="642"/>
      <c r="L19" s="2182">
        <f t="shared" si="20"/>
        <v>0.86912769653723843</v>
      </c>
      <c r="M19" s="643"/>
      <c r="N19" s="3117">
        <f>SUM(N13:N18)</f>
        <v>6.7044363203904972E-2</v>
      </c>
      <c r="O19" s="642"/>
      <c r="P19" s="642"/>
      <c r="Q19" s="642"/>
      <c r="R19" s="3118">
        <f>SUM(R13:R18)</f>
        <v>3700</v>
      </c>
      <c r="S19" s="2844">
        <f t="shared" si="7"/>
        <v>0</v>
      </c>
      <c r="T19" s="2845">
        <f t="shared" si="8"/>
        <v>0</v>
      </c>
      <c r="U19" s="374">
        <f t="shared" si="9"/>
        <v>0</v>
      </c>
      <c r="V19" s="2846">
        <f t="shared" si="10"/>
        <v>0</v>
      </c>
      <c r="W19" s="2847">
        <f t="shared" si="11"/>
        <v>0</v>
      </c>
      <c r="X19" s="2848">
        <f t="shared" si="12"/>
        <v>0</v>
      </c>
      <c r="Y19" s="2849">
        <f t="shared" si="13"/>
        <v>0</v>
      </c>
      <c r="Z19" s="2850">
        <f t="shared" si="14"/>
        <v>0</v>
      </c>
      <c r="AA19" s="2851">
        <f t="shared" si="15"/>
        <v>0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1"/>
    </row>
    <row r="20" spans="1:40" ht="12.75" customHeight="1" thickBot="1">
      <c r="A20" s="2183" t="s">
        <v>215</v>
      </c>
      <c r="B20" s="2530" t="s">
        <v>461</v>
      </c>
      <c r="C20" s="2256">
        <f>IF(D20=1,U$5,IF(D20=2,V$5,IF(D20=3,W$5,IF(D20=4,X$5,IF(D20=5,Y$5,IF(D20=6,Z$5,IF(D20=7,AA$5,0)))))))</f>
        <v>2.2880964381720439E-4</v>
      </c>
      <c r="D20" s="2335">
        <v>1</v>
      </c>
      <c r="E20" s="2336">
        <v>1</v>
      </c>
      <c r="F20" s="2336">
        <v>2</v>
      </c>
      <c r="G20" s="2336">
        <v>300</v>
      </c>
      <c r="H20" s="2337"/>
      <c r="I20" s="2337">
        <v>1.1574074074074073E-4</v>
      </c>
      <c r="J20" s="2337">
        <v>1.3888888888888889E-3</v>
      </c>
      <c r="K20" s="2338" t="s">
        <v>762</v>
      </c>
      <c r="L20" s="2423">
        <v>0.80208333333333337</v>
      </c>
      <c r="M20" s="2502">
        <v>0.9</v>
      </c>
      <c r="N20" s="2337">
        <f>P20*E20*F20+I20*E20*F20+J20*E20</f>
        <v>6.5626586768219863E-3</v>
      </c>
      <c r="O20" s="2359">
        <f>C20*(G20/25)</f>
        <v>2.7457157258064528E-3</v>
      </c>
      <c r="P20" s="2359">
        <f>O20*M20</f>
        <v>2.4711441532258077E-3</v>
      </c>
      <c r="Q20" s="2341">
        <v>129</v>
      </c>
      <c r="R20" s="2336">
        <f>E20*F20*G20</f>
        <v>600</v>
      </c>
      <c r="S20" s="2844">
        <f t="shared" si="7"/>
        <v>0.6</v>
      </c>
      <c r="T20" s="2845">
        <f t="shared" si="8"/>
        <v>2.1965725806451623E-2</v>
      </c>
      <c r="U20" s="374">
        <f t="shared" si="9"/>
        <v>0.6</v>
      </c>
      <c r="V20" s="2846">
        <f t="shared" si="10"/>
        <v>0</v>
      </c>
      <c r="W20" s="2847">
        <f t="shared" si="11"/>
        <v>0</v>
      </c>
      <c r="X20" s="2848">
        <f t="shared" si="12"/>
        <v>0</v>
      </c>
      <c r="Y20" s="2849">
        <f t="shared" si="13"/>
        <v>0</v>
      </c>
      <c r="Z20" s="2850">
        <f t="shared" si="14"/>
        <v>0</v>
      </c>
      <c r="AA20" s="2851">
        <f t="shared" si="15"/>
        <v>0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1"/>
    </row>
    <row r="21" spans="1:40" ht="12.75" customHeight="1" thickBot="1">
      <c r="A21" s="2183" t="s">
        <v>138</v>
      </c>
      <c r="B21" s="2530" t="s">
        <v>461</v>
      </c>
      <c r="C21" s="2256">
        <f>IF(D21=1,U$5,IF(D21=2,V$5,IF(D21=3,W$5,IF(D21=4,X$5,IF(D21=5,Y$5,IF(D21=6,Z$5,IF(D21=7,AA$5,0)))))))</f>
        <v>2.1908757716049393E-4</v>
      </c>
      <c r="D21" s="2302">
        <v>2</v>
      </c>
      <c r="E21" s="2276">
        <v>1</v>
      </c>
      <c r="F21" s="2276">
        <v>3</v>
      </c>
      <c r="G21" s="2276">
        <v>400</v>
      </c>
      <c r="H21" s="2277"/>
      <c r="I21" s="2277">
        <v>2.3148148148148146E-4</v>
      </c>
      <c r="J21" s="2277">
        <v>1.3888888888888889E-3</v>
      </c>
      <c r="K21" s="2278" t="s">
        <v>535</v>
      </c>
      <c r="L21" s="2503">
        <f>L20+N20</f>
        <v>0.80864599201015541</v>
      </c>
      <c r="M21" s="2280">
        <v>0.9</v>
      </c>
      <c r="N21" s="2277">
        <f>P21*E21*F21+I21*E21*F21+J21*E21</f>
        <v>7.0049166666666688E-3</v>
      </c>
      <c r="O21" s="2281">
        <f>C21*8*1.04</f>
        <v>1.8228086419753095E-3</v>
      </c>
      <c r="P21" s="2281">
        <f>O21*M21</f>
        <v>1.6405277777777785E-3</v>
      </c>
      <c r="Q21" s="2282">
        <v>146</v>
      </c>
      <c r="R21" s="2283">
        <f>E21*F21*G21</f>
        <v>1200</v>
      </c>
      <c r="S21" s="2844">
        <f t="shared" si="7"/>
        <v>1.2</v>
      </c>
      <c r="T21" s="2845">
        <f t="shared" si="8"/>
        <v>2.1873703703703715E-2</v>
      </c>
      <c r="U21" s="374">
        <f t="shared" si="9"/>
        <v>0</v>
      </c>
      <c r="V21" s="2846">
        <f t="shared" si="10"/>
        <v>1.2</v>
      </c>
      <c r="W21" s="2847">
        <f t="shared" si="11"/>
        <v>0</v>
      </c>
      <c r="X21" s="2848">
        <f t="shared" si="12"/>
        <v>0</v>
      </c>
      <c r="Y21" s="2849">
        <f t="shared" si="13"/>
        <v>0</v>
      </c>
      <c r="Z21" s="2850">
        <f t="shared" si="14"/>
        <v>0</v>
      </c>
      <c r="AA21" s="2851">
        <f t="shared" si="15"/>
        <v>0</v>
      </c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1"/>
    </row>
    <row r="22" spans="1:40" ht="13" customHeight="1" thickBot="1">
      <c r="A22" s="2183" t="s">
        <v>462</v>
      </c>
      <c r="B22" s="2530" t="s">
        <v>461</v>
      </c>
      <c r="C22" s="2256">
        <f>IF(D22=1,U$5,IF(D22=2,V$5,IF(D22=3,W$5,IF(D22=4,X$5,IF(D22=5,Y$5,IF(D22=6,Z$5,IF(D22=7,AA$5,0)))))))</f>
        <v>2.1222190799396687E-4</v>
      </c>
      <c r="D22" s="2309">
        <v>3</v>
      </c>
      <c r="E22" s="2257">
        <v>2</v>
      </c>
      <c r="F22" s="2257">
        <v>10</v>
      </c>
      <c r="G22" s="2257">
        <v>50</v>
      </c>
      <c r="H22" s="2258"/>
      <c r="I22" s="2258">
        <v>8.1018518518518516E-5</v>
      </c>
      <c r="J22" s="2258">
        <v>1.3888888888888889E-3</v>
      </c>
      <c r="K22" s="2310" t="s">
        <v>1510</v>
      </c>
      <c r="L22" s="2504">
        <f>L21+N21</f>
        <v>0.81565090867682211</v>
      </c>
      <c r="M22" s="2326">
        <v>1</v>
      </c>
      <c r="N22" s="2258">
        <f>P22*E22*F22+I22*E22*F22+J22*E22</f>
        <v>1.2887024467906823E-2</v>
      </c>
      <c r="O22" s="2262">
        <f>C22*(G22/25)</f>
        <v>4.2444381598793373E-4</v>
      </c>
      <c r="P22" s="2262">
        <f>O22*M22</f>
        <v>4.2444381598793373E-4</v>
      </c>
      <c r="Q22" s="2518">
        <v>164</v>
      </c>
      <c r="R22" s="3122">
        <f>E22*F22*G22</f>
        <v>1000</v>
      </c>
      <c r="S22" s="2844">
        <f t="shared" si="7"/>
        <v>1</v>
      </c>
      <c r="T22" s="2845">
        <f t="shared" si="8"/>
        <v>3.3955505279034695E-2</v>
      </c>
      <c r="U22" s="374">
        <f t="shared" si="9"/>
        <v>0</v>
      </c>
      <c r="V22" s="2846">
        <f t="shared" si="10"/>
        <v>0</v>
      </c>
      <c r="W22" s="2847">
        <f t="shared" si="11"/>
        <v>1</v>
      </c>
      <c r="X22" s="2848">
        <f t="shared" si="12"/>
        <v>0</v>
      </c>
      <c r="Y22" s="2849">
        <f t="shared" si="13"/>
        <v>0</v>
      </c>
      <c r="Z22" s="2850">
        <f t="shared" si="14"/>
        <v>0</v>
      </c>
      <c r="AA22" s="2851">
        <f t="shared" si="15"/>
        <v>0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1"/>
    </row>
    <row r="23" spans="1:40" ht="13" customHeight="1" thickBot="1">
      <c r="A23" s="2183" t="s">
        <v>461</v>
      </c>
      <c r="B23" s="2530" t="s">
        <v>461</v>
      </c>
      <c r="C23" s="2256">
        <f>IF(D23=1,U$5,IF(D23=2,V$5,IF(D23=3,W$5,IF(D23=4,X$5,IF(D23=5,Y$5,IF(D23=6,Z$5,IF(D23=7,AA$5,0)))))))</f>
        <v>1.8933937422552669E-4</v>
      </c>
      <c r="D23" s="2505">
        <v>5</v>
      </c>
      <c r="E23" s="2883">
        <v>4</v>
      </c>
      <c r="F23" s="2883">
        <v>3</v>
      </c>
      <c r="G23" s="2883">
        <v>75</v>
      </c>
      <c r="H23" s="2264"/>
      <c r="I23" s="2264">
        <v>6.9444444444444447E-4</v>
      </c>
      <c r="J23" s="2264">
        <v>2.0833333333333333E-3</v>
      </c>
      <c r="K23" s="3127" t="s">
        <v>1511</v>
      </c>
      <c r="L23" s="2508">
        <f>L22+N22</f>
        <v>0.8285379331447289</v>
      </c>
      <c r="M23" s="2509">
        <v>1</v>
      </c>
      <c r="N23" s="2264">
        <f>P23*E23*F23+I23*E23*F23+J23*E23</f>
        <v>2.3482884138785624E-2</v>
      </c>
      <c r="O23" s="2265">
        <f>C23*(G23/25)</f>
        <v>5.6801812267658004E-4</v>
      </c>
      <c r="P23" s="2185">
        <f>O23*M23</f>
        <v>5.6801812267658004E-4</v>
      </c>
      <c r="Q23" s="3128" t="s">
        <v>278</v>
      </c>
      <c r="R23" s="3129">
        <f>E23*F23*G23</f>
        <v>900</v>
      </c>
      <c r="S23" s="2844">
        <f t="shared" si="7"/>
        <v>0.9</v>
      </c>
      <c r="T23" s="2845">
        <f t="shared" si="8"/>
        <v>2.7264869888475842E-2</v>
      </c>
      <c r="U23" s="374">
        <f t="shared" si="9"/>
        <v>0</v>
      </c>
      <c r="V23" s="2846">
        <f t="shared" si="10"/>
        <v>0</v>
      </c>
      <c r="W23" s="2847">
        <f t="shared" si="11"/>
        <v>0</v>
      </c>
      <c r="X23" s="2848">
        <f t="shared" si="12"/>
        <v>0</v>
      </c>
      <c r="Y23" s="2849">
        <f t="shared" si="13"/>
        <v>0.9</v>
      </c>
      <c r="Z23" s="2850">
        <f t="shared" si="14"/>
        <v>0</v>
      </c>
      <c r="AA23" s="2851">
        <f t="shared" si="15"/>
        <v>0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1"/>
    </row>
    <row r="24" spans="1:40" ht="14" customHeight="1" thickBot="1">
      <c r="A24" s="2183" t="s">
        <v>458</v>
      </c>
      <c r="B24" s="2530" t="s">
        <v>461</v>
      </c>
      <c r="C24" s="2256">
        <f>IF(D24=1,U$5,IF(D24=2,V$5,IF(D24=3,W$5,IF(D24=4,X$5,IF(D24=5,Y$5,IF(D24=6,Z$5,IF(D24=7,AA$5,0)))))))</f>
        <v>1.7682291666666674E-4</v>
      </c>
      <c r="D24" s="3123">
        <v>7</v>
      </c>
      <c r="E24" s="3124">
        <v>5</v>
      </c>
      <c r="F24" s="3124">
        <v>4</v>
      </c>
      <c r="G24" s="3124">
        <v>25</v>
      </c>
      <c r="H24" s="2377" t="s">
        <v>1508</v>
      </c>
      <c r="I24" s="2377">
        <v>3.4722222222222224E-4</v>
      </c>
      <c r="J24" s="2377">
        <v>6.9444444444444447E-4</v>
      </c>
      <c r="K24" s="3125" t="s">
        <v>1512</v>
      </c>
      <c r="L24" s="2515">
        <f>L23+N23</f>
        <v>0.85202081728351453</v>
      </c>
      <c r="M24" s="3126">
        <v>1</v>
      </c>
      <c r="N24" s="2377">
        <f>P24*E24*F24+I24*E24*F24+J24*E24</f>
        <v>1.3953125000000002E-2</v>
      </c>
      <c r="O24" s="2271">
        <f>C24*(G24/25)</f>
        <v>1.7682291666666674E-4</v>
      </c>
      <c r="P24" s="2517">
        <f>O24*M24</f>
        <v>1.7682291666666674E-4</v>
      </c>
      <c r="Q24" s="3130" t="s">
        <v>316</v>
      </c>
      <c r="R24" s="3122">
        <f>E24*F24*G24</f>
        <v>500</v>
      </c>
      <c r="S24" s="2844">
        <f t="shared" si="7"/>
        <v>0.5</v>
      </c>
      <c r="T24" s="2845">
        <f t="shared" si="8"/>
        <v>1.4145833333333338E-2</v>
      </c>
      <c r="U24" s="374">
        <f t="shared" si="9"/>
        <v>0</v>
      </c>
      <c r="V24" s="2846">
        <f t="shared" si="10"/>
        <v>0</v>
      </c>
      <c r="W24" s="2847">
        <f t="shared" si="11"/>
        <v>0</v>
      </c>
      <c r="X24" s="2848">
        <f t="shared" si="12"/>
        <v>0</v>
      </c>
      <c r="Y24" s="2849">
        <f t="shared" si="13"/>
        <v>0</v>
      </c>
      <c r="Z24" s="2850">
        <f t="shared" si="14"/>
        <v>0</v>
      </c>
      <c r="AA24" s="2851">
        <f t="shared" si="15"/>
        <v>0.5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2.75" customHeight="1" thickBot="1">
      <c r="A25" s="2183" t="s">
        <v>219</v>
      </c>
      <c r="B25" s="3131"/>
      <c r="C25" s="1460"/>
      <c r="D25" s="3116"/>
      <c r="E25" s="642"/>
      <c r="F25" s="642"/>
      <c r="G25" s="642"/>
      <c r="H25" s="642"/>
      <c r="I25" s="642"/>
      <c r="J25" s="642"/>
      <c r="K25" s="642"/>
      <c r="L25" s="2182">
        <f>L24+N24</f>
        <v>0.86597394228351454</v>
      </c>
      <c r="M25" s="643"/>
      <c r="N25" s="3117">
        <f>SUM(N20:N24)</f>
        <v>6.3890608950181102E-2</v>
      </c>
      <c r="O25" s="642"/>
      <c r="P25" s="642"/>
      <c r="Q25" s="642"/>
      <c r="R25" s="3118">
        <f>SUM(R20:R24)</f>
        <v>4200</v>
      </c>
      <c r="S25" s="2844">
        <f t="shared" si="7"/>
        <v>0</v>
      </c>
      <c r="T25" s="2845">
        <f t="shared" si="8"/>
        <v>0</v>
      </c>
      <c r="U25" s="374">
        <f t="shared" si="9"/>
        <v>0</v>
      </c>
      <c r="V25" s="2846">
        <f t="shared" si="10"/>
        <v>0</v>
      </c>
      <c r="W25" s="2847">
        <f t="shared" si="11"/>
        <v>0</v>
      </c>
      <c r="X25" s="2848">
        <f t="shared" si="12"/>
        <v>0</v>
      </c>
      <c r="Y25" s="2849">
        <f t="shared" si="13"/>
        <v>0</v>
      </c>
      <c r="Z25" s="2850">
        <f t="shared" si="14"/>
        <v>0</v>
      </c>
      <c r="AA25" s="2851">
        <f t="shared" si="15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2.75" customHeight="1" thickBot="1">
      <c r="A26" s="3109" t="s">
        <v>215</v>
      </c>
      <c r="B26" s="3110" t="s">
        <v>215</v>
      </c>
      <c r="C26" s="2256">
        <f t="shared" ref="C26:C31" si="21">IF(D26=1,U$5,IF(D26=2,V$5,IF(D26=3,W$5,IF(D26=4,X$5,IF(D26=5,Y$5,IF(D26=6,Z$5,IF(D26=7,AA$5,0)))))))</f>
        <v>2.1908757716049393E-4</v>
      </c>
      <c r="D26" s="2286">
        <v>2</v>
      </c>
      <c r="E26" s="2276">
        <v>1</v>
      </c>
      <c r="F26" s="2276">
        <v>4</v>
      </c>
      <c r="G26" s="2276">
        <v>100</v>
      </c>
      <c r="H26" s="2277"/>
      <c r="I26" s="2277">
        <v>2.3148148148148146E-4</v>
      </c>
      <c r="J26" s="2277">
        <v>1.3888888888888889E-3</v>
      </c>
      <c r="K26" s="2278" t="s">
        <v>1331</v>
      </c>
      <c r="L26" s="2503">
        <v>0.34722222222222227</v>
      </c>
      <c r="M26" s="2280">
        <v>1.2</v>
      </c>
      <c r="N26" s="2277">
        <f>P26*E26*F26+I26*E26*F26+J26*E26</f>
        <v>6.5212962962962976E-3</v>
      </c>
      <c r="O26" s="2281">
        <f t="shared" ref="O26:O38" si="22">C26*(G26/25)</f>
        <v>8.7635030864197572E-4</v>
      </c>
      <c r="P26" s="2281">
        <f t="shared" ref="P26:P31" si="23">O26*M26</f>
        <v>1.0516203703703707E-3</v>
      </c>
      <c r="Q26" s="2282">
        <v>129</v>
      </c>
      <c r="R26" s="2283">
        <f t="shared" ref="R26:R31" si="24">E26*F26*G26</f>
        <v>400</v>
      </c>
      <c r="S26" s="2844">
        <f t="shared" si="7"/>
        <v>0.4</v>
      </c>
      <c r="T26" s="2845">
        <f t="shared" si="8"/>
        <v>1.4021604938271611E-2</v>
      </c>
      <c r="U26" s="374">
        <f t="shared" si="9"/>
        <v>0</v>
      </c>
      <c r="V26" s="2846">
        <f t="shared" si="10"/>
        <v>0.4</v>
      </c>
      <c r="W26" s="2847">
        <f t="shared" si="11"/>
        <v>0</v>
      </c>
      <c r="X26" s="2848">
        <f t="shared" si="12"/>
        <v>0</v>
      </c>
      <c r="Y26" s="2849">
        <f t="shared" si="13"/>
        <v>0</v>
      </c>
      <c r="Z26" s="2850">
        <f t="shared" si="14"/>
        <v>0</v>
      </c>
      <c r="AA26" s="2851">
        <f t="shared" si="15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2.75" customHeight="1" thickBot="1">
      <c r="A27" s="3109" t="s">
        <v>139</v>
      </c>
      <c r="B27" s="3110" t="s">
        <v>215</v>
      </c>
      <c r="C27" s="2256">
        <f t="shared" si="21"/>
        <v>2.1908757716049393E-4</v>
      </c>
      <c r="D27" s="2286">
        <v>2</v>
      </c>
      <c r="E27" s="2276">
        <v>1</v>
      </c>
      <c r="F27" s="2276">
        <v>8</v>
      </c>
      <c r="G27" s="2276">
        <v>50</v>
      </c>
      <c r="H27" s="2277"/>
      <c r="I27" s="2277">
        <v>1.7361111111111112E-4</v>
      </c>
      <c r="J27" s="2277">
        <v>1.3888888888888889E-3</v>
      </c>
      <c r="K27" s="2278" t="s">
        <v>300</v>
      </c>
      <c r="L27" s="2503">
        <f>L26+N26</f>
        <v>0.35374351851851854</v>
      </c>
      <c r="M27" s="2280">
        <v>1.1000000000000001</v>
      </c>
      <c r="N27" s="2277">
        <f>P27*E27*F27+I27*E27*F27+J27*E27</f>
        <v>6.6337191358024714E-3</v>
      </c>
      <c r="O27" s="2281">
        <f t="shared" si="22"/>
        <v>4.3817515432098786E-4</v>
      </c>
      <c r="P27" s="2281">
        <f t="shared" si="23"/>
        <v>4.8199266975308669E-4</v>
      </c>
      <c r="Q27" s="2282">
        <v>165</v>
      </c>
      <c r="R27" s="2283">
        <f t="shared" si="24"/>
        <v>400</v>
      </c>
      <c r="S27" s="2844">
        <f t="shared" si="7"/>
        <v>0.4</v>
      </c>
      <c r="T27" s="2845">
        <f t="shared" si="8"/>
        <v>1.4021604938271611E-2</v>
      </c>
      <c r="U27" s="374">
        <f t="shared" si="9"/>
        <v>0</v>
      </c>
      <c r="V27" s="2846">
        <f t="shared" si="10"/>
        <v>0.4</v>
      </c>
      <c r="W27" s="2847">
        <f t="shared" si="11"/>
        <v>0</v>
      </c>
      <c r="X27" s="2848">
        <f t="shared" si="12"/>
        <v>0</v>
      </c>
      <c r="Y27" s="2849">
        <f t="shared" si="13"/>
        <v>0</v>
      </c>
      <c r="Z27" s="2850">
        <f t="shared" si="14"/>
        <v>0</v>
      </c>
      <c r="AA27" s="2851">
        <f t="shared" si="15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2.75" customHeight="1" thickBot="1">
      <c r="A28" s="3109" t="s">
        <v>458</v>
      </c>
      <c r="B28" s="3110" t="s">
        <v>215</v>
      </c>
      <c r="C28" s="2256">
        <f t="shared" si="21"/>
        <v>2.1222190799396687E-4</v>
      </c>
      <c r="D28" s="2309">
        <v>3</v>
      </c>
      <c r="E28" s="2257">
        <v>1</v>
      </c>
      <c r="F28" s="2257">
        <v>6</v>
      </c>
      <c r="G28" s="2257">
        <v>50</v>
      </c>
      <c r="H28" s="2258"/>
      <c r="I28" s="2258">
        <v>3.4722222222222224E-4</v>
      </c>
      <c r="J28" s="2258">
        <v>1.3888888888888889E-3</v>
      </c>
      <c r="K28" s="2259" t="s">
        <v>895</v>
      </c>
      <c r="L28" s="2504">
        <f>L27+N27</f>
        <v>0.360377237654321</v>
      </c>
      <c r="M28" s="2326">
        <v>1.25</v>
      </c>
      <c r="N28" s="2258">
        <f>P28*E28*F28+I28*E28*F28+J28*E28</f>
        <v>6.6555508421317251E-3</v>
      </c>
      <c r="O28" s="2262">
        <f t="shared" si="22"/>
        <v>4.2444381598793373E-4</v>
      </c>
      <c r="P28" s="2262">
        <f t="shared" si="23"/>
        <v>5.3055476998491711E-4</v>
      </c>
      <c r="Q28" s="2274">
        <v>147</v>
      </c>
      <c r="R28" s="2257">
        <f t="shared" si="24"/>
        <v>300</v>
      </c>
      <c r="S28" s="2844">
        <f t="shared" si="7"/>
        <v>0.3</v>
      </c>
      <c r="T28" s="2845">
        <f t="shared" si="8"/>
        <v>1.018665158371041E-2</v>
      </c>
      <c r="U28" s="374">
        <f t="shared" si="9"/>
        <v>0</v>
      </c>
      <c r="V28" s="2846">
        <f t="shared" si="10"/>
        <v>0</v>
      </c>
      <c r="W28" s="2847">
        <f t="shared" si="11"/>
        <v>0.3</v>
      </c>
      <c r="X28" s="2848">
        <f t="shared" si="12"/>
        <v>0</v>
      </c>
      <c r="Y28" s="2849">
        <f t="shared" si="13"/>
        <v>0</v>
      </c>
      <c r="Z28" s="2850">
        <f t="shared" si="14"/>
        <v>0</v>
      </c>
      <c r="AA28" s="2851">
        <f t="shared" si="15"/>
        <v>0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2.75" customHeight="1" thickBot="1">
      <c r="A29" s="3109" t="s">
        <v>462</v>
      </c>
      <c r="B29" s="3110" t="s">
        <v>215</v>
      </c>
      <c r="C29" s="2256">
        <f t="shared" si="21"/>
        <v>2.2880964381720439E-4</v>
      </c>
      <c r="D29" s="2335">
        <v>1</v>
      </c>
      <c r="E29" s="2336">
        <v>1</v>
      </c>
      <c r="F29" s="2336">
        <v>1</v>
      </c>
      <c r="G29" s="2336">
        <v>200</v>
      </c>
      <c r="H29" s="2337">
        <v>1.9097222222222222E-3</v>
      </c>
      <c r="I29" s="2337"/>
      <c r="J29" s="2337">
        <v>1.3888888888888889E-3</v>
      </c>
      <c r="K29" s="2338" t="s">
        <v>1332</v>
      </c>
      <c r="L29" s="2501">
        <f>L28+N28</f>
        <v>0.36703278849645271</v>
      </c>
      <c r="M29" s="2502">
        <v>1</v>
      </c>
      <c r="N29" s="2337">
        <f>H29*F29*E29</f>
        <v>1.9097222222222222E-3</v>
      </c>
      <c r="O29" s="2359">
        <f t="shared" si="22"/>
        <v>1.8304771505376352E-3</v>
      </c>
      <c r="P29" s="2359">
        <f t="shared" si="23"/>
        <v>1.8304771505376352E-3</v>
      </c>
      <c r="Q29" s="2341">
        <v>164</v>
      </c>
      <c r="R29" s="2336">
        <f t="shared" si="24"/>
        <v>200</v>
      </c>
      <c r="S29" s="2844">
        <f t="shared" si="7"/>
        <v>0.2</v>
      </c>
      <c r="T29" s="2845">
        <f t="shared" si="8"/>
        <v>7.3219086021505406E-3</v>
      </c>
      <c r="U29" s="374">
        <f t="shared" si="9"/>
        <v>0.2</v>
      </c>
      <c r="V29" s="2846">
        <f t="shared" si="10"/>
        <v>0</v>
      </c>
      <c r="W29" s="2847">
        <f t="shared" si="11"/>
        <v>0</v>
      </c>
      <c r="X29" s="2848">
        <f t="shared" si="12"/>
        <v>0</v>
      </c>
      <c r="Y29" s="2849">
        <f t="shared" si="13"/>
        <v>0</v>
      </c>
      <c r="Z29" s="2850">
        <f t="shared" si="14"/>
        <v>0</v>
      </c>
      <c r="AA29" s="2851">
        <f t="shared" si="15"/>
        <v>0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2.75" customHeight="1" thickBot="1">
      <c r="A30" s="3109" t="s">
        <v>140</v>
      </c>
      <c r="B30" s="3110" t="s">
        <v>215</v>
      </c>
      <c r="C30" s="2256">
        <f t="shared" si="21"/>
        <v>1.7682291666666674E-4</v>
      </c>
      <c r="D30" s="2318">
        <v>7</v>
      </c>
      <c r="E30" s="2512">
        <v>4</v>
      </c>
      <c r="F30" s="2512">
        <v>4</v>
      </c>
      <c r="G30" s="2512">
        <v>25</v>
      </c>
      <c r="H30" s="2377" t="s">
        <v>1508</v>
      </c>
      <c r="I30" s="2377">
        <v>3.4722222222222224E-4</v>
      </c>
      <c r="J30" s="2377">
        <v>6.9444444444444447E-4</v>
      </c>
      <c r="K30" s="2514" t="s">
        <v>1513</v>
      </c>
      <c r="L30" s="2515">
        <f>L29+N29</f>
        <v>0.36894251071867495</v>
      </c>
      <c r="M30" s="3126">
        <v>1</v>
      </c>
      <c r="N30" s="2377">
        <f>P30*E30*F30+I30*E30*F30+J30*E30</f>
        <v>1.1162500000000002E-2</v>
      </c>
      <c r="O30" s="2271">
        <f>C30*(G30/25)</f>
        <v>1.7682291666666674E-4</v>
      </c>
      <c r="P30" s="2517">
        <f>O30*M30</f>
        <v>1.7682291666666674E-4</v>
      </c>
      <c r="Q30" s="3130" t="s">
        <v>316</v>
      </c>
      <c r="R30" s="3122">
        <f>E30*F30*G30</f>
        <v>400</v>
      </c>
      <c r="S30" s="2844">
        <f t="shared" si="7"/>
        <v>0.4</v>
      </c>
      <c r="T30" s="2845">
        <f t="shared" si="8"/>
        <v>1.1316666666666671E-2</v>
      </c>
      <c r="U30" s="374">
        <f t="shared" si="9"/>
        <v>0</v>
      </c>
      <c r="V30" s="2846">
        <f t="shared" si="10"/>
        <v>0</v>
      </c>
      <c r="W30" s="2847">
        <f t="shared" si="11"/>
        <v>0</v>
      </c>
      <c r="X30" s="2848">
        <f t="shared" si="12"/>
        <v>0</v>
      </c>
      <c r="Y30" s="2849">
        <f t="shared" si="13"/>
        <v>0</v>
      </c>
      <c r="Z30" s="2850">
        <f t="shared" si="14"/>
        <v>0</v>
      </c>
      <c r="AA30" s="2851">
        <f t="shared" si="15"/>
        <v>0.4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2.75" customHeight="1" thickBot="1">
      <c r="A31" s="3109" t="s">
        <v>674</v>
      </c>
      <c r="B31" s="3110" t="s">
        <v>215</v>
      </c>
      <c r="C31" s="2256">
        <f t="shared" si="21"/>
        <v>2.0247664488766629E-4</v>
      </c>
      <c r="D31" s="2520">
        <v>4</v>
      </c>
      <c r="E31" s="2521">
        <v>1</v>
      </c>
      <c r="F31" s="2521">
        <v>2</v>
      </c>
      <c r="G31" s="2521">
        <v>300</v>
      </c>
      <c r="H31" s="2522"/>
      <c r="I31" s="2522">
        <v>6.3657407407407402E-4</v>
      </c>
      <c r="J31" s="2522">
        <v>1.3888888888888889E-3</v>
      </c>
      <c r="K31" s="2523" t="s">
        <v>2283</v>
      </c>
      <c r="L31" s="2524">
        <f>L29+N29</f>
        <v>0.36894251071867495</v>
      </c>
      <c r="M31" s="2525">
        <v>1.2</v>
      </c>
      <c r="N31" s="2522">
        <f>P31*E31*F31+I31*E31*F31+J31*E31</f>
        <v>8.4933644098018259E-3</v>
      </c>
      <c r="O31" s="2526">
        <f t="shared" si="22"/>
        <v>2.4297197386519954E-3</v>
      </c>
      <c r="P31" s="2526">
        <f t="shared" si="23"/>
        <v>2.9156636863823943E-3</v>
      </c>
      <c r="Q31" s="3132">
        <v>196</v>
      </c>
      <c r="R31" s="3133">
        <f t="shared" si="24"/>
        <v>600</v>
      </c>
      <c r="S31" s="2844">
        <f t="shared" si="7"/>
        <v>0.6</v>
      </c>
      <c r="T31" s="2845">
        <f t="shared" si="8"/>
        <v>1.9437757909215963E-2</v>
      </c>
      <c r="U31" s="374">
        <f t="shared" si="9"/>
        <v>0</v>
      </c>
      <c r="V31" s="2846">
        <f t="shared" si="10"/>
        <v>0</v>
      </c>
      <c r="W31" s="2847">
        <f t="shared" si="11"/>
        <v>0</v>
      </c>
      <c r="X31" s="2848">
        <f t="shared" si="12"/>
        <v>0.6</v>
      </c>
      <c r="Y31" s="2849">
        <f t="shared" si="13"/>
        <v>0</v>
      </c>
      <c r="Z31" s="2850">
        <f t="shared" si="14"/>
        <v>0</v>
      </c>
      <c r="AA31" s="2851">
        <f t="shared" si="15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2.75" customHeight="1" thickBot="1">
      <c r="A32" s="3109"/>
      <c r="B32" s="3110"/>
      <c r="C32" s="2256"/>
      <c r="D32" s="2335"/>
      <c r="E32" s="2336"/>
      <c r="F32" s="2336"/>
      <c r="G32" s="2336"/>
      <c r="H32" s="2337"/>
      <c r="I32" s="2337"/>
      <c r="J32" s="2337"/>
      <c r="K32" s="2338"/>
      <c r="L32" s="2182">
        <f>L31+N31</f>
        <v>0.37743587512847676</v>
      </c>
      <c r="M32" s="2502"/>
      <c r="N32" s="2528">
        <f>SUM(N26:N31)</f>
        <v>4.137615290625455E-2</v>
      </c>
      <c r="O32" s="2359">
        <f t="shared" si="22"/>
        <v>0</v>
      </c>
      <c r="P32" s="2359"/>
      <c r="Q32" s="2341"/>
      <c r="R32" s="2529">
        <f>SUM(R26:R31)</f>
        <v>2300</v>
      </c>
      <c r="S32" s="2844">
        <f t="shared" si="7"/>
        <v>0</v>
      </c>
      <c r="T32" s="2845">
        <f t="shared" si="8"/>
        <v>0</v>
      </c>
      <c r="U32" s="374">
        <f t="shared" si="9"/>
        <v>0</v>
      </c>
      <c r="V32" s="2846">
        <f t="shared" si="10"/>
        <v>0</v>
      </c>
      <c r="W32" s="2847">
        <f t="shared" si="11"/>
        <v>0</v>
      </c>
      <c r="X32" s="2848">
        <f t="shared" si="12"/>
        <v>0</v>
      </c>
      <c r="Y32" s="2849">
        <f t="shared" si="13"/>
        <v>0</v>
      </c>
      <c r="Z32" s="2850">
        <f t="shared" si="14"/>
        <v>0</v>
      </c>
      <c r="AA32" s="2851">
        <f t="shared" si="15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</row>
    <row r="33" spans="1:39" ht="12.75" customHeight="1" thickBot="1">
      <c r="A33" s="3109" t="s">
        <v>215</v>
      </c>
      <c r="B33" s="3110" t="s">
        <v>461</v>
      </c>
      <c r="C33" s="2256">
        <f t="shared" ref="C33:C38" si="25">IF(D33=1,U$5,IF(D33=2,V$5,IF(D33=3,W$5,IF(D33=4,X$5,IF(D33=5,Y$5,IF(D33=6,Z$5,IF(D33=7,AA$5,0)))))))</f>
        <v>2.1222190799396687E-4</v>
      </c>
      <c r="D33" s="2309">
        <v>3</v>
      </c>
      <c r="E33" s="2257">
        <v>1</v>
      </c>
      <c r="F33" s="2257">
        <v>14</v>
      </c>
      <c r="G33" s="2257">
        <v>25</v>
      </c>
      <c r="H33" s="2258"/>
      <c r="I33" s="2258">
        <v>1.7361111111111112E-4</v>
      </c>
      <c r="J33" s="2258">
        <v>1.3888888888888889E-3</v>
      </c>
      <c r="K33" s="2355" t="s">
        <v>2276</v>
      </c>
      <c r="L33" s="2503">
        <v>0.34722222222222227</v>
      </c>
      <c r="M33" s="2326">
        <v>1.1000000000000001</v>
      </c>
      <c r="N33" s="2258">
        <f t="shared" ref="N33:N35" si="26">P33*E33*F33+I33*E33*F33+J33*E33</f>
        <v>7.0876618275515346E-3</v>
      </c>
      <c r="O33" s="2262">
        <f t="shared" si="22"/>
        <v>2.1222190799396687E-4</v>
      </c>
      <c r="P33" s="2262">
        <f t="shared" ref="P33:P36" si="27">O33*M33</f>
        <v>2.3344409879336357E-4</v>
      </c>
      <c r="Q33" s="2274">
        <v>164</v>
      </c>
      <c r="R33" s="2257">
        <f t="shared" ref="R33:R36" si="28">E33*F33*G33</f>
        <v>350</v>
      </c>
      <c r="S33" s="2844">
        <f t="shared" si="7"/>
        <v>0.35</v>
      </c>
      <c r="T33" s="2845">
        <f t="shared" si="8"/>
        <v>1.1884426847662145E-2</v>
      </c>
      <c r="U33" s="374">
        <f t="shared" si="9"/>
        <v>0</v>
      </c>
      <c r="V33" s="2846">
        <f t="shared" si="10"/>
        <v>0</v>
      </c>
      <c r="W33" s="2847">
        <f t="shared" si="11"/>
        <v>0.35</v>
      </c>
      <c r="X33" s="2848">
        <f t="shared" si="12"/>
        <v>0</v>
      </c>
      <c r="Y33" s="2849">
        <f t="shared" si="13"/>
        <v>0</v>
      </c>
      <c r="Z33" s="2850">
        <f t="shared" si="14"/>
        <v>0</v>
      </c>
      <c r="AA33" s="2851">
        <f t="shared" si="15"/>
        <v>0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</row>
    <row r="34" spans="1:39" ht="12.75" customHeight="1" thickBot="1">
      <c r="A34" s="3109" t="s">
        <v>139</v>
      </c>
      <c r="B34" s="3110" t="s">
        <v>461</v>
      </c>
      <c r="C34" s="2256">
        <f t="shared" si="25"/>
        <v>1.8933937422552669E-4</v>
      </c>
      <c r="D34" s="3123">
        <v>5</v>
      </c>
      <c r="E34" s="3124">
        <v>1</v>
      </c>
      <c r="F34" s="3124">
        <v>8</v>
      </c>
      <c r="G34" s="3124">
        <v>15</v>
      </c>
      <c r="H34" s="2377"/>
      <c r="I34" s="2377">
        <v>8.6805555555555551E-4</v>
      </c>
      <c r="J34" s="2377">
        <v>1.3888888888888889E-3</v>
      </c>
      <c r="K34" s="3125" t="s">
        <v>2277</v>
      </c>
      <c r="L34" s="2515">
        <f t="shared" ref="L34:L36" si="29">L33+N33</f>
        <v>0.35430988404977382</v>
      </c>
      <c r="M34" s="3126">
        <v>0.8</v>
      </c>
      <c r="N34" s="2377">
        <f t="shared" si="26"/>
        <v>9.0603965303593555E-3</v>
      </c>
      <c r="O34" s="2271">
        <f t="shared" si="22"/>
        <v>1.13603624535316E-4</v>
      </c>
      <c r="P34" s="2517">
        <f t="shared" si="27"/>
        <v>9.0882899628252808E-5</v>
      </c>
      <c r="Q34" s="2518">
        <v>164</v>
      </c>
      <c r="R34" s="3122">
        <f t="shared" si="28"/>
        <v>120</v>
      </c>
      <c r="S34" s="2844">
        <f t="shared" si="7"/>
        <v>0.12</v>
      </c>
      <c r="T34" s="2845">
        <f t="shared" si="8"/>
        <v>3.6353159851301121E-3</v>
      </c>
      <c r="U34" s="374">
        <f t="shared" si="9"/>
        <v>0</v>
      </c>
      <c r="V34" s="2846">
        <f t="shared" si="10"/>
        <v>0</v>
      </c>
      <c r="W34" s="2847">
        <f t="shared" si="11"/>
        <v>0</v>
      </c>
      <c r="X34" s="2848">
        <f t="shared" si="12"/>
        <v>0</v>
      </c>
      <c r="Y34" s="2849">
        <f t="shared" si="13"/>
        <v>0.12</v>
      </c>
      <c r="Z34" s="2850">
        <f t="shared" si="14"/>
        <v>0</v>
      </c>
      <c r="AA34" s="2851">
        <f t="shared" si="15"/>
        <v>0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</row>
    <row r="35" spans="1:39" ht="12.75" customHeight="1" thickBot="1">
      <c r="A35" s="3109" t="s">
        <v>458</v>
      </c>
      <c r="B35" s="3110" t="s">
        <v>461</v>
      </c>
      <c r="C35" s="2256">
        <f t="shared" si="25"/>
        <v>2.1222190799396687E-4</v>
      </c>
      <c r="D35" s="3123">
        <v>3</v>
      </c>
      <c r="E35" s="3124">
        <v>1</v>
      </c>
      <c r="F35" s="3124">
        <v>2</v>
      </c>
      <c r="G35" s="3124">
        <v>10</v>
      </c>
      <c r="H35" s="2377"/>
      <c r="I35" s="2377">
        <v>8.6805555555555551E-4</v>
      </c>
      <c r="J35" s="2377">
        <v>1.3888888888888889E-3</v>
      </c>
      <c r="K35" s="3125" t="s">
        <v>2278</v>
      </c>
      <c r="L35" s="2515">
        <f t="shared" si="29"/>
        <v>0.36337028058013315</v>
      </c>
      <c r="M35" s="3126">
        <v>0.8</v>
      </c>
      <c r="N35" s="2377">
        <f t="shared" si="26"/>
        <v>3.2608220211161388E-3</v>
      </c>
      <c r="O35" s="2271">
        <f t="shared" si="22"/>
        <v>8.4888763197586757E-5</v>
      </c>
      <c r="P35" s="2517">
        <f t="shared" si="27"/>
        <v>6.7911010558069414E-5</v>
      </c>
      <c r="Q35" s="2518">
        <v>164</v>
      </c>
      <c r="R35" s="3122">
        <f t="shared" si="28"/>
        <v>20</v>
      </c>
      <c r="S35" s="2844">
        <f t="shared" si="7"/>
        <v>0.02</v>
      </c>
      <c r="T35" s="2845">
        <f t="shared" si="8"/>
        <v>6.7911010558069406E-4</v>
      </c>
      <c r="U35" s="374">
        <f t="shared" si="9"/>
        <v>0</v>
      </c>
      <c r="V35" s="2846">
        <f t="shared" si="10"/>
        <v>0</v>
      </c>
      <c r="W35" s="2847">
        <f t="shared" si="11"/>
        <v>0.02</v>
      </c>
      <c r="X35" s="2848">
        <f t="shared" si="12"/>
        <v>0</v>
      </c>
      <c r="Y35" s="2849">
        <f t="shared" si="13"/>
        <v>0</v>
      </c>
      <c r="Z35" s="2850">
        <f t="shared" si="14"/>
        <v>0</v>
      </c>
      <c r="AA35" s="2851">
        <f t="shared" si="15"/>
        <v>0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</row>
    <row r="36" spans="1:39" ht="12.75" customHeight="1" thickBot="1">
      <c r="A36" s="3109" t="s">
        <v>462</v>
      </c>
      <c r="B36" s="3110" t="s">
        <v>461</v>
      </c>
      <c r="C36" s="2256">
        <f t="shared" si="25"/>
        <v>1.8933937422552669E-4</v>
      </c>
      <c r="D36" s="2505">
        <v>5</v>
      </c>
      <c r="E36" s="2883">
        <v>1</v>
      </c>
      <c r="F36" s="2883">
        <v>8</v>
      </c>
      <c r="G36" s="2883">
        <v>10</v>
      </c>
      <c r="H36" s="2264"/>
      <c r="I36" s="2264">
        <v>3.4722222222222224E-4</v>
      </c>
      <c r="J36" s="2264">
        <v>2.0833333333333333E-3</v>
      </c>
      <c r="K36" s="2884" t="s">
        <v>2279</v>
      </c>
      <c r="L36" s="2508">
        <f t="shared" si="29"/>
        <v>0.36663110260124931</v>
      </c>
      <c r="M36" s="2509">
        <v>1</v>
      </c>
      <c r="N36" s="2264">
        <f>P36*E36*F36+I36*E36*F36+J36*E36</f>
        <v>5.4669971086327967E-3</v>
      </c>
      <c r="O36" s="2265">
        <f t="shared" si="22"/>
        <v>7.5735749690210687E-5</v>
      </c>
      <c r="P36" s="2185">
        <f t="shared" si="27"/>
        <v>7.5735749690210687E-5</v>
      </c>
      <c r="Q36" s="2518" t="s">
        <v>278</v>
      </c>
      <c r="R36" s="3122">
        <f t="shared" si="28"/>
        <v>80</v>
      </c>
      <c r="S36" s="2844">
        <f t="shared" si="7"/>
        <v>0.08</v>
      </c>
      <c r="T36" s="2845">
        <f t="shared" si="8"/>
        <v>2.423543990086742E-3</v>
      </c>
      <c r="U36" s="374">
        <f t="shared" si="9"/>
        <v>0</v>
      </c>
      <c r="V36" s="2846">
        <f t="shared" si="10"/>
        <v>0</v>
      </c>
      <c r="W36" s="2847">
        <f t="shared" si="11"/>
        <v>0</v>
      </c>
      <c r="X36" s="2848">
        <f t="shared" si="12"/>
        <v>0</v>
      </c>
      <c r="Y36" s="2849">
        <f t="shared" si="13"/>
        <v>0.08</v>
      </c>
      <c r="Z36" s="2850">
        <f t="shared" si="14"/>
        <v>0</v>
      </c>
      <c r="AA36" s="2851">
        <f t="shared" si="15"/>
        <v>0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</row>
    <row r="37" spans="1:39" ht="12.75" customHeight="1" thickBot="1">
      <c r="A37" s="3109" t="s">
        <v>140</v>
      </c>
      <c r="B37" s="3110" t="s">
        <v>461</v>
      </c>
      <c r="C37" s="2256">
        <f t="shared" si="25"/>
        <v>2.1908757716049393E-4</v>
      </c>
      <c r="D37" s="1920">
        <v>2</v>
      </c>
      <c r="E37" s="2887">
        <v>1</v>
      </c>
      <c r="F37" s="2887">
        <v>10</v>
      </c>
      <c r="G37" s="2887">
        <v>40</v>
      </c>
      <c r="H37" s="3141"/>
      <c r="I37" s="2284">
        <v>4.6296296296296293E-4</v>
      </c>
      <c r="J37" s="2284">
        <v>1.3888888888888889E-3</v>
      </c>
      <c r="K37" s="2888" t="s">
        <v>2282</v>
      </c>
      <c r="L37" s="3142">
        <f>L36+N36</f>
        <v>0.37209809970988211</v>
      </c>
      <c r="M37" s="3143">
        <v>0.9</v>
      </c>
      <c r="N37" s="3142">
        <f>P37*E37*F37+I37*E37*F37+J37*E37</f>
        <v>9.1733796296296303E-3</v>
      </c>
      <c r="O37" s="3144">
        <f t="shared" si="22"/>
        <v>3.505401234567903E-4</v>
      </c>
      <c r="P37" s="3145">
        <f>O37*M37</f>
        <v>3.1548611111111127E-4</v>
      </c>
      <c r="Q37" s="3132">
        <v>147</v>
      </c>
      <c r="R37" s="3133">
        <f>E37*F37*G37</f>
        <v>400</v>
      </c>
      <c r="S37" s="2844">
        <f t="shared" si="7"/>
        <v>0.4</v>
      </c>
      <c r="T37" s="2845">
        <f t="shared" si="8"/>
        <v>1.4021604938271611E-2</v>
      </c>
      <c r="U37" s="374">
        <f t="shared" si="9"/>
        <v>0</v>
      </c>
      <c r="V37" s="2846">
        <f t="shared" si="10"/>
        <v>0.4</v>
      </c>
      <c r="W37" s="2847">
        <f t="shared" si="11"/>
        <v>0</v>
      </c>
      <c r="X37" s="2848">
        <f t="shared" si="12"/>
        <v>0</v>
      </c>
      <c r="Y37" s="2849">
        <f t="shared" si="13"/>
        <v>0</v>
      </c>
      <c r="Z37" s="2850">
        <f t="shared" si="14"/>
        <v>0</v>
      </c>
      <c r="AA37" s="2851">
        <f t="shared" si="15"/>
        <v>0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</row>
    <row r="38" spans="1:39" ht="12.75" customHeight="1">
      <c r="A38" s="3109" t="s">
        <v>674</v>
      </c>
      <c r="B38" s="3110" t="s">
        <v>461</v>
      </c>
      <c r="C38" s="2256">
        <f t="shared" si="25"/>
        <v>1.7682291666666674E-4</v>
      </c>
      <c r="D38" s="2309">
        <v>7</v>
      </c>
      <c r="E38" s="6355">
        <v>1</v>
      </c>
      <c r="F38" s="6355">
        <v>15</v>
      </c>
      <c r="G38" s="6355">
        <v>7.5</v>
      </c>
      <c r="H38" s="6356" t="s">
        <v>2280</v>
      </c>
      <c r="I38" s="6356">
        <v>4.6296296296296293E-4</v>
      </c>
      <c r="J38" s="6356">
        <v>0</v>
      </c>
      <c r="K38" s="6357" t="s">
        <v>2281</v>
      </c>
      <c r="L38" s="6358">
        <f>L37+N37</f>
        <v>0.38127147933951172</v>
      </c>
      <c r="M38" s="6359">
        <v>0.8</v>
      </c>
      <c r="N38" s="6356">
        <f>P38*E38*F38+I38*E38*F38+J38*E38</f>
        <v>7.581006944444444E-3</v>
      </c>
      <c r="O38" s="6360">
        <f t="shared" si="22"/>
        <v>5.3046875000000021E-5</v>
      </c>
      <c r="P38" s="6360">
        <f>O38*M38</f>
        <v>4.2437500000000022E-5</v>
      </c>
      <c r="Q38" s="6361" t="s">
        <v>316</v>
      </c>
      <c r="R38" s="6355">
        <f>E38*F38*G38</f>
        <v>112.5</v>
      </c>
      <c r="S38" s="2844">
        <f t="shared" si="7"/>
        <v>0.1125</v>
      </c>
      <c r="T38" s="2845">
        <f t="shared" si="8"/>
        <v>3.1828125000000012E-3</v>
      </c>
      <c r="U38" s="374">
        <f t="shared" si="9"/>
        <v>0</v>
      </c>
      <c r="V38" s="2846">
        <f t="shared" si="10"/>
        <v>0</v>
      </c>
      <c r="W38" s="2847">
        <f t="shared" si="11"/>
        <v>0</v>
      </c>
      <c r="X38" s="2848">
        <f t="shared" si="12"/>
        <v>0</v>
      </c>
      <c r="Y38" s="2849">
        <f t="shared" si="13"/>
        <v>0</v>
      </c>
      <c r="Z38" s="2850">
        <f t="shared" si="14"/>
        <v>0</v>
      </c>
      <c r="AA38" s="2851">
        <f t="shared" si="15"/>
        <v>0.1125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</row>
    <row r="39" spans="1:39" ht="12.75" customHeight="1" thickBot="1">
      <c r="A39" s="3134"/>
      <c r="B39" s="3138"/>
      <c r="C39" s="2256"/>
      <c r="D39" s="2335"/>
      <c r="E39" s="2336"/>
      <c r="F39" s="2336"/>
      <c r="G39" s="2336"/>
      <c r="H39" s="2337"/>
      <c r="I39" s="2337"/>
      <c r="J39" s="2337"/>
      <c r="K39" s="2338"/>
      <c r="L39" s="2182">
        <f>L38+N38</f>
        <v>0.38885248628395619</v>
      </c>
      <c r="M39" s="2502"/>
      <c r="N39" s="2528">
        <f>SUM(N33:N38)</f>
        <v>4.1630264061733896E-2</v>
      </c>
      <c r="O39" s="2359"/>
      <c r="P39" s="2359"/>
      <c r="Q39" s="2341"/>
      <c r="R39" s="2529">
        <f>SUM(R33:R38)</f>
        <v>1082.5</v>
      </c>
      <c r="S39" s="2844">
        <f t="shared" si="7"/>
        <v>0</v>
      </c>
      <c r="T39" s="2845">
        <f t="shared" si="8"/>
        <v>0</v>
      </c>
      <c r="U39" s="374">
        <f t="shared" si="9"/>
        <v>0</v>
      </c>
      <c r="V39" s="2846">
        <f t="shared" si="10"/>
        <v>0</v>
      </c>
      <c r="W39" s="2847">
        <f t="shared" si="11"/>
        <v>0</v>
      </c>
      <c r="X39" s="2848">
        <f t="shared" si="12"/>
        <v>0</v>
      </c>
      <c r="Y39" s="2849">
        <f t="shared" si="13"/>
        <v>0</v>
      </c>
      <c r="Z39" s="2850">
        <f t="shared" si="14"/>
        <v>0</v>
      </c>
      <c r="AA39" s="2851">
        <f t="shared" si="15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</row>
    <row r="40" spans="1:39" ht="12.75" customHeight="1" thickBot="1">
      <c r="A40" s="3134"/>
      <c r="B40" s="3135" t="s">
        <v>461</v>
      </c>
      <c r="C40" s="2256">
        <f>IF(D40=1,U$5,IF(D40=2,V$5,IF(D40=3,W$5,IF(D40=4,X$5,IF(D40=5,Y$5,IF(D40=6,Z$5,IF(D40=7,AA$5,0)))))))</f>
        <v>2.1908757716049393E-4</v>
      </c>
      <c r="D40" s="2286">
        <v>2</v>
      </c>
      <c r="E40" s="2276">
        <v>1</v>
      </c>
      <c r="F40" s="2276">
        <v>2</v>
      </c>
      <c r="G40" s="2276">
        <v>350</v>
      </c>
      <c r="H40" s="2277"/>
      <c r="I40" s="2277">
        <v>1.7361111111111112E-4</v>
      </c>
      <c r="J40" s="2277">
        <v>1.3888888888888889E-3</v>
      </c>
      <c r="K40" s="2278" t="s">
        <v>1515</v>
      </c>
      <c r="L40" s="2503">
        <v>0.79166666666666663</v>
      </c>
      <c r="M40" s="2280">
        <v>1.1000000000000001</v>
      </c>
      <c r="N40" s="2277">
        <f>P40*E40*F40+I40*E40*F40+J40*E40</f>
        <v>8.4840084876543244E-3</v>
      </c>
      <c r="O40" s="2281">
        <f t="shared" ref="O40:O46" si="30">C40*(G40/25)</f>
        <v>3.0672260802469152E-3</v>
      </c>
      <c r="P40" s="2281">
        <f>O40*M40</f>
        <v>3.3739486882716071E-3</v>
      </c>
      <c r="Q40" s="2282">
        <v>164</v>
      </c>
      <c r="R40" s="2283">
        <f>E40*F40*G40</f>
        <v>700</v>
      </c>
      <c r="S40" s="2844">
        <f t="shared" si="7"/>
        <v>0.7</v>
      </c>
      <c r="T40" s="2845">
        <f t="shared" si="8"/>
        <v>2.4537808641975321E-2</v>
      </c>
      <c r="U40" s="374">
        <f t="shared" si="9"/>
        <v>0</v>
      </c>
      <c r="V40" s="2846">
        <f t="shared" si="10"/>
        <v>0.7</v>
      </c>
      <c r="W40" s="2847">
        <f t="shared" si="11"/>
        <v>0</v>
      </c>
      <c r="X40" s="2848">
        <f t="shared" si="12"/>
        <v>0</v>
      </c>
      <c r="Y40" s="2849">
        <f t="shared" si="13"/>
        <v>0</v>
      </c>
      <c r="Z40" s="2850">
        <f t="shared" si="14"/>
        <v>0</v>
      </c>
      <c r="AA40" s="2851">
        <f t="shared" si="15"/>
        <v>0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</row>
    <row r="41" spans="1:39" ht="12.75" customHeight="1" thickBot="1">
      <c r="A41" s="3134" t="s">
        <v>217</v>
      </c>
      <c r="B41" s="3135" t="s">
        <v>461</v>
      </c>
      <c r="C41" s="2256">
        <f t="shared" ref="C41:C46" si="31">IF(D41=1,U$5,IF(D41=2,V$5,IF(D41=3,W$5,IF(D41=4,X$5,IF(D41=5,Y$5,IF(D41=6,Z$5,IF(D41=7,AA$5,0)))))))</f>
        <v>2.1222190799396687E-4</v>
      </c>
      <c r="D41" s="2309">
        <v>3</v>
      </c>
      <c r="E41" s="2257">
        <v>1</v>
      </c>
      <c r="F41" s="2257">
        <v>14</v>
      </c>
      <c r="G41" s="2257">
        <v>50</v>
      </c>
      <c r="H41" s="2258"/>
      <c r="I41" s="2258">
        <v>1.7361111111111112E-4</v>
      </c>
      <c r="J41" s="2258">
        <v>1.3888888888888889E-3</v>
      </c>
      <c r="K41" s="2355" t="s">
        <v>1334</v>
      </c>
      <c r="L41" s="2504">
        <f t="shared" ref="L41:L43" si="32">L40+N40</f>
        <v>0.80015067515432092</v>
      </c>
      <c r="M41" s="2326">
        <v>1.1000000000000001</v>
      </c>
      <c r="N41" s="2258">
        <f t="shared" ref="N41:N43" si="33">P41*E41*F41+I41*E41*F41+J41*E41</f>
        <v>1.0355879210658624E-2</v>
      </c>
      <c r="O41" s="2262">
        <f t="shared" si="30"/>
        <v>4.2444381598793373E-4</v>
      </c>
      <c r="P41" s="2262">
        <f t="shared" ref="P41:P43" si="34">O41*M41</f>
        <v>4.6688819758672714E-4</v>
      </c>
      <c r="Q41" s="2274">
        <v>164</v>
      </c>
      <c r="R41" s="2257">
        <f t="shared" ref="R41:R43" si="35">E41*F41*G41</f>
        <v>700</v>
      </c>
      <c r="S41" s="2844">
        <f t="shared" si="7"/>
        <v>0.7</v>
      </c>
      <c r="T41" s="2845">
        <f t="shared" si="8"/>
        <v>2.3768853695324291E-2</v>
      </c>
      <c r="U41" s="374">
        <f t="shared" si="9"/>
        <v>0</v>
      </c>
      <c r="V41" s="2846">
        <f t="shared" si="10"/>
        <v>0</v>
      </c>
      <c r="W41" s="2847">
        <f t="shared" si="11"/>
        <v>0.7</v>
      </c>
      <c r="X41" s="2848">
        <f t="shared" si="12"/>
        <v>0</v>
      </c>
      <c r="Y41" s="2849">
        <f t="shared" si="13"/>
        <v>0</v>
      </c>
      <c r="Z41" s="2850">
        <f t="shared" si="14"/>
        <v>0</v>
      </c>
      <c r="AA41" s="2851">
        <f t="shared" si="15"/>
        <v>0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</row>
    <row r="42" spans="1:39" ht="12.75" customHeight="1" thickBot="1">
      <c r="A42" s="3134" t="s">
        <v>459</v>
      </c>
      <c r="B42" s="3135" t="s">
        <v>461</v>
      </c>
      <c r="C42" s="2256">
        <f t="shared" si="31"/>
        <v>1.8933937422552669E-4</v>
      </c>
      <c r="D42" s="2505">
        <v>5</v>
      </c>
      <c r="E42" s="2883">
        <v>1</v>
      </c>
      <c r="F42" s="2883">
        <v>8</v>
      </c>
      <c r="G42" s="2883">
        <v>20</v>
      </c>
      <c r="H42" s="2264"/>
      <c r="I42" s="2264">
        <v>8.6805555555555551E-4</v>
      </c>
      <c r="J42" s="2264">
        <v>1.3888888888888889E-3</v>
      </c>
      <c r="K42" s="3127" t="s">
        <v>1516</v>
      </c>
      <c r="L42" s="2508">
        <f t="shared" si="32"/>
        <v>0.81050655436497954</v>
      </c>
      <c r="M42" s="2509">
        <v>1.1000000000000001</v>
      </c>
      <c r="N42" s="2264">
        <f t="shared" si="33"/>
        <v>9.666282527881041E-3</v>
      </c>
      <c r="O42" s="2265">
        <f t="shared" si="30"/>
        <v>1.5147149938042137E-4</v>
      </c>
      <c r="P42" s="2185">
        <f t="shared" si="34"/>
        <v>1.6661864931846352E-4</v>
      </c>
      <c r="Q42" s="3136">
        <v>164</v>
      </c>
      <c r="R42" s="3137">
        <f t="shared" si="35"/>
        <v>160</v>
      </c>
      <c r="S42" s="2844">
        <f t="shared" si="7"/>
        <v>0.16</v>
      </c>
      <c r="T42" s="2845">
        <f t="shared" si="8"/>
        <v>4.847087980173484E-3</v>
      </c>
      <c r="U42" s="374">
        <f t="shared" si="9"/>
        <v>0</v>
      </c>
      <c r="V42" s="2846">
        <f t="shared" si="10"/>
        <v>0</v>
      </c>
      <c r="W42" s="2847">
        <f t="shared" si="11"/>
        <v>0</v>
      </c>
      <c r="X42" s="2848">
        <f t="shared" si="12"/>
        <v>0</v>
      </c>
      <c r="Y42" s="2849">
        <f t="shared" si="13"/>
        <v>0.16</v>
      </c>
      <c r="Z42" s="2850">
        <f t="shared" si="14"/>
        <v>0</v>
      </c>
      <c r="AA42" s="2851">
        <f t="shared" si="15"/>
        <v>0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</row>
    <row r="43" spans="1:39" ht="12.75" customHeight="1" thickBot="1">
      <c r="A43" s="3134" t="s">
        <v>458</v>
      </c>
      <c r="B43" s="3135" t="s">
        <v>461</v>
      </c>
      <c r="C43" s="2256">
        <f t="shared" si="31"/>
        <v>2.1222190799396687E-4</v>
      </c>
      <c r="D43" s="2309">
        <v>3</v>
      </c>
      <c r="E43" s="2257">
        <v>1</v>
      </c>
      <c r="F43" s="2257">
        <v>2</v>
      </c>
      <c r="G43" s="2257">
        <v>300</v>
      </c>
      <c r="H43" s="2258"/>
      <c r="I43" s="2258">
        <v>2.8935185185185189E-4</v>
      </c>
      <c r="J43" s="2258">
        <v>1.3888888888888889E-3</v>
      </c>
      <c r="K43" s="2355" t="s">
        <v>1517</v>
      </c>
      <c r="L43" s="2504">
        <f t="shared" si="32"/>
        <v>0.82017283689286058</v>
      </c>
      <c r="M43" s="2326">
        <v>1.1000000000000001</v>
      </c>
      <c r="N43" s="2258">
        <f t="shared" si="33"/>
        <v>7.5702509636333187E-3</v>
      </c>
      <c r="O43" s="2262">
        <f t="shared" si="30"/>
        <v>2.5466628959276024E-3</v>
      </c>
      <c r="P43" s="2262">
        <f t="shared" si="34"/>
        <v>2.8013291855203629E-3</v>
      </c>
      <c r="Q43" s="2274">
        <v>164</v>
      </c>
      <c r="R43" s="2257">
        <f t="shared" si="35"/>
        <v>600</v>
      </c>
      <c r="S43" s="2844">
        <f t="shared" si="7"/>
        <v>0.6</v>
      </c>
      <c r="T43" s="2845">
        <f t="shared" si="8"/>
        <v>2.0373303167420819E-2</v>
      </c>
      <c r="U43" s="374">
        <f t="shared" si="9"/>
        <v>0</v>
      </c>
      <c r="V43" s="2846">
        <f t="shared" si="10"/>
        <v>0</v>
      </c>
      <c r="W43" s="2847">
        <f t="shared" si="11"/>
        <v>0.6</v>
      </c>
      <c r="X43" s="2848">
        <f t="shared" si="12"/>
        <v>0</v>
      </c>
      <c r="Y43" s="2849">
        <f t="shared" si="13"/>
        <v>0</v>
      </c>
      <c r="Z43" s="2850">
        <f t="shared" si="14"/>
        <v>0</v>
      </c>
      <c r="AA43" s="2851">
        <f t="shared" si="15"/>
        <v>0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</row>
    <row r="44" spans="1:39" ht="12.75" customHeight="1" thickBot="1">
      <c r="A44" s="3134" t="s">
        <v>218</v>
      </c>
      <c r="B44" s="3135" t="s">
        <v>461</v>
      </c>
      <c r="C44" s="2256">
        <f t="shared" si="31"/>
        <v>2.0247664488766629E-4</v>
      </c>
      <c r="D44" s="2520">
        <v>4</v>
      </c>
      <c r="E44" s="2521">
        <v>1</v>
      </c>
      <c r="F44" s="2521">
        <v>8</v>
      </c>
      <c r="G44" s="2521">
        <v>50</v>
      </c>
      <c r="H44" s="2522">
        <v>8.6805555555555551E-4</v>
      </c>
      <c r="I44" s="2522"/>
      <c r="J44" s="2522">
        <v>1.3888888888888889E-3</v>
      </c>
      <c r="K44" s="2523" t="s">
        <v>1336</v>
      </c>
      <c r="L44" s="2524">
        <f>L43+N43</f>
        <v>0.82774308785649386</v>
      </c>
      <c r="M44" s="2525">
        <v>1</v>
      </c>
      <c r="N44" s="2522">
        <f>H44*F44*E44</f>
        <v>6.9444444444444441E-3</v>
      </c>
      <c r="O44" s="2526">
        <f t="shared" si="30"/>
        <v>4.0495328977533258E-4</v>
      </c>
      <c r="P44" s="2517">
        <f>O44*M44</f>
        <v>4.0495328977533258E-4</v>
      </c>
      <c r="Q44" s="2518">
        <v>166</v>
      </c>
      <c r="R44" s="2885">
        <f>E44*F44*G44</f>
        <v>400</v>
      </c>
      <c r="S44" s="2844">
        <f t="shared" si="7"/>
        <v>0.4</v>
      </c>
      <c r="T44" s="2845">
        <f t="shared" si="8"/>
        <v>1.2958505272810643E-2</v>
      </c>
      <c r="U44" s="374">
        <f t="shared" si="9"/>
        <v>0</v>
      </c>
      <c r="V44" s="2846">
        <f t="shared" si="10"/>
        <v>0</v>
      </c>
      <c r="W44" s="2847">
        <f t="shared" si="11"/>
        <v>0</v>
      </c>
      <c r="X44" s="2848">
        <f t="shared" si="12"/>
        <v>0.4</v>
      </c>
      <c r="Y44" s="2849">
        <f t="shared" si="13"/>
        <v>0</v>
      </c>
      <c r="Z44" s="2850">
        <f t="shared" si="14"/>
        <v>0</v>
      </c>
      <c r="AA44" s="2851">
        <f t="shared" si="15"/>
        <v>0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</row>
    <row r="45" spans="1:39" ht="12.75" customHeight="1" thickBot="1">
      <c r="A45" s="3134" t="s">
        <v>458</v>
      </c>
      <c r="B45" s="3135" t="s">
        <v>461</v>
      </c>
      <c r="C45" s="2256">
        <f t="shared" si="31"/>
        <v>2.1908757716049393E-4</v>
      </c>
      <c r="D45" s="2286">
        <v>2</v>
      </c>
      <c r="E45" s="2276">
        <v>1</v>
      </c>
      <c r="F45" s="2276">
        <v>1</v>
      </c>
      <c r="G45" s="2276">
        <v>400</v>
      </c>
      <c r="H45" s="2277"/>
      <c r="I45" s="2277">
        <v>5.7870370370370366E-5</v>
      </c>
      <c r="J45" s="2277">
        <v>2.3148148148148146E-4</v>
      </c>
      <c r="K45" s="2278" t="s">
        <v>882</v>
      </c>
      <c r="L45" s="2503">
        <f>L44+N44</f>
        <v>0.83468753230093828</v>
      </c>
      <c r="M45" s="2280">
        <v>1.25</v>
      </c>
      <c r="N45" s="2277">
        <f>P45*E45*F45+I45*E45*F45+J45*E45</f>
        <v>4.671103395061731E-3</v>
      </c>
      <c r="O45" s="2281">
        <f t="shared" si="30"/>
        <v>3.5054012345679029E-3</v>
      </c>
      <c r="P45" s="2281">
        <f>O45*M45</f>
        <v>4.3817515432098787E-3</v>
      </c>
      <c r="Q45" s="2282">
        <v>147</v>
      </c>
      <c r="R45" s="2283">
        <f>E45*F45*G45</f>
        <v>400</v>
      </c>
      <c r="S45" s="2844">
        <f t="shared" si="7"/>
        <v>0.4</v>
      </c>
      <c r="T45" s="2845">
        <f t="shared" si="8"/>
        <v>1.4021604938271611E-2</v>
      </c>
      <c r="U45" s="374">
        <f t="shared" si="9"/>
        <v>0</v>
      </c>
      <c r="V45" s="2846">
        <f t="shared" si="10"/>
        <v>0.4</v>
      </c>
      <c r="W45" s="2847">
        <f t="shared" si="11"/>
        <v>0</v>
      </c>
      <c r="X45" s="2848">
        <f t="shared" si="12"/>
        <v>0</v>
      </c>
      <c r="Y45" s="2849">
        <f t="shared" si="13"/>
        <v>0</v>
      </c>
      <c r="Z45" s="2850">
        <f t="shared" si="14"/>
        <v>0</v>
      </c>
      <c r="AA45" s="2851">
        <f t="shared" si="15"/>
        <v>0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</row>
    <row r="46" spans="1:39" ht="12.75" customHeight="1">
      <c r="A46" s="3134" t="s">
        <v>219</v>
      </c>
      <c r="B46" s="3135" t="s">
        <v>461</v>
      </c>
      <c r="C46" s="2256">
        <f t="shared" si="31"/>
        <v>1.7682291666666674E-4</v>
      </c>
      <c r="D46" s="2318">
        <v>7</v>
      </c>
      <c r="E46" s="2512">
        <v>1</v>
      </c>
      <c r="F46" s="2512">
        <v>5</v>
      </c>
      <c r="G46" s="2512">
        <v>15</v>
      </c>
      <c r="H46" s="2270"/>
      <c r="I46" s="2270">
        <v>1.1574074074074073E-4</v>
      </c>
      <c r="J46" s="2270">
        <v>2.3148148148148146E-4</v>
      </c>
      <c r="K46" s="2514" t="s">
        <v>410</v>
      </c>
      <c r="L46" s="2515">
        <f>L45+N45</f>
        <v>0.839358635696</v>
      </c>
      <c r="M46" s="2516">
        <v>1</v>
      </c>
      <c r="N46" s="2270">
        <f>P46*E46*F46+I46*E46*F46+J46*E46</f>
        <v>1.3406539351851852E-3</v>
      </c>
      <c r="O46" s="2271">
        <f t="shared" si="30"/>
        <v>1.0609375000000004E-4</v>
      </c>
      <c r="P46" s="2517">
        <f>O46*M46</f>
        <v>1.0609375000000004E-4</v>
      </c>
      <c r="Q46" s="2518" t="s">
        <v>316</v>
      </c>
      <c r="R46" s="2885">
        <f>E46*F46*G46</f>
        <v>75</v>
      </c>
      <c r="S46" s="2844">
        <f t="shared" si="7"/>
        <v>7.4999999999999997E-2</v>
      </c>
      <c r="T46" s="2845">
        <f t="shared" si="8"/>
        <v>2.1218750000000009E-3</v>
      </c>
      <c r="U46" s="374">
        <f t="shared" si="9"/>
        <v>0</v>
      </c>
      <c r="V46" s="2846">
        <f t="shared" si="10"/>
        <v>0</v>
      </c>
      <c r="W46" s="2847">
        <f t="shared" si="11"/>
        <v>0</v>
      </c>
      <c r="X46" s="2848">
        <f t="shared" si="12"/>
        <v>0</v>
      </c>
      <c r="Y46" s="2849">
        <f t="shared" si="13"/>
        <v>0</v>
      </c>
      <c r="Z46" s="2850">
        <f t="shared" si="14"/>
        <v>0</v>
      </c>
      <c r="AA46" s="2851">
        <f t="shared" si="15"/>
        <v>7.4999999999999997E-2</v>
      </c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</row>
    <row r="47" spans="1:39" ht="12.75" customHeight="1" thickBot="1">
      <c r="A47" s="2183"/>
      <c r="B47" s="2184"/>
      <c r="C47" s="2256"/>
      <c r="D47" s="2335"/>
      <c r="E47" s="2336"/>
      <c r="F47" s="2336"/>
      <c r="G47" s="2336"/>
      <c r="H47" s="2337"/>
      <c r="I47" s="2337"/>
      <c r="J47" s="2337"/>
      <c r="K47" s="2338"/>
      <c r="L47" s="2182">
        <f>L46+N46</f>
        <v>0.84069928963118523</v>
      </c>
      <c r="M47" s="2502"/>
      <c r="N47" s="2528">
        <f>SUM(N40:N46)</f>
        <v>4.9032622964518664E-2</v>
      </c>
      <c r="O47" s="2359"/>
      <c r="P47" s="2359"/>
      <c r="Q47" s="2341"/>
      <c r="R47" s="2529">
        <f>SUM(R40:R46)</f>
        <v>3035</v>
      </c>
      <c r="S47" s="2844">
        <f t="shared" si="7"/>
        <v>0</v>
      </c>
      <c r="T47" s="2845">
        <f t="shared" si="8"/>
        <v>0</v>
      </c>
      <c r="U47" s="374">
        <f t="shared" si="9"/>
        <v>0</v>
      </c>
      <c r="V47" s="2846">
        <f t="shared" si="10"/>
        <v>0</v>
      </c>
      <c r="W47" s="2847">
        <f t="shared" si="11"/>
        <v>0</v>
      </c>
      <c r="X47" s="2848">
        <f t="shared" si="12"/>
        <v>0</v>
      </c>
      <c r="Y47" s="2849">
        <f t="shared" si="13"/>
        <v>0</v>
      </c>
      <c r="Z47" s="2850">
        <f t="shared" si="14"/>
        <v>0</v>
      </c>
      <c r="AA47" s="2851">
        <f t="shared" si="15"/>
        <v>0</v>
      </c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</row>
    <row r="48" spans="1:39" ht="12.75" customHeight="1" thickBot="1">
      <c r="A48" s="2183"/>
      <c r="B48" s="2530"/>
      <c r="C48" s="2256">
        <f t="shared" ref="C48:C54" si="36">IF(D48=1,U$5,IF(D48=2,V$5,IF(D48=3,W$5,IF(D48=4,X$5,IF(D48=5,Y$5,IF(D48=6,Z$5,IF(D48=7,AA$5,0)))))))</f>
        <v>2.1222190799396687E-4</v>
      </c>
      <c r="D48" s="2309">
        <v>3</v>
      </c>
      <c r="E48" s="2257"/>
      <c r="F48" s="2257"/>
      <c r="G48" s="2257"/>
      <c r="H48" s="2258"/>
      <c r="I48" s="2694"/>
      <c r="J48" s="2694"/>
      <c r="K48" s="2694" t="s">
        <v>1986</v>
      </c>
      <c r="L48" s="2694"/>
      <c r="M48" s="2692"/>
      <c r="N48" s="2692"/>
      <c r="O48" s="2692"/>
      <c r="P48" s="2693"/>
      <c r="Q48" s="3044"/>
      <c r="R48" s="3111"/>
      <c r="S48" s="2844">
        <f t="shared" si="7"/>
        <v>0</v>
      </c>
      <c r="T48" s="2845">
        <f t="shared" si="8"/>
        <v>0</v>
      </c>
      <c r="U48" s="374">
        <f t="shared" si="9"/>
        <v>0</v>
      </c>
      <c r="V48" s="2846">
        <f t="shared" si="10"/>
        <v>0</v>
      </c>
      <c r="W48" s="2847">
        <f t="shared" si="11"/>
        <v>0</v>
      </c>
      <c r="X48" s="2848">
        <f t="shared" si="12"/>
        <v>0</v>
      </c>
      <c r="Y48" s="2849">
        <f t="shared" si="13"/>
        <v>0</v>
      </c>
      <c r="Z48" s="2850">
        <f t="shared" si="14"/>
        <v>0</v>
      </c>
      <c r="AA48" s="2851">
        <f t="shared" si="15"/>
        <v>0</v>
      </c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</row>
    <row r="49" spans="1:40" ht="12.75" customHeight="1" thickBot="1">
      <c r="A49" s="3109" t="s">
        <v>218</v>
      </c>
      <c r="B49" s="3110" t="s">
        <v>461</v>
      </c>
      <c r="C49" s="2256">
        <f t="shared" si="36"/>
        <v>2.1908757716049393E-4</v>
      </c>
      <c r="D49" s="2286">
        <v>2</v>
      </c>
      <c r="E49" s="2276">
        <v>1</v>
      </c>
      <c r="F49" s="2276">
        <v>8</v>
      </c>
      <c r="G49" s="2276">
        <v>100</v>
      </c>
      <c r="H49" s="2277"/>
      <c r="I49" s="2277">
        <v>2.3148148148148146E-4</v>
      </c>
      <c r="J49" s="2277">
        <v>1.3888888888888889E-3</v>
      </c>
      <c r="K49" s="2278" t="s">
        <v>1518</v>
      </c>
      <c r="L49" s="2503">
        <v>0.79166666666666663</v>
      </c>
      <c r="M49" s="2280">
        <v>1.2</v>
      </c>
      <c r="N49" s="2277">
        <f>P49*E49*F49+I49*E49*F49+J49*E49</f>
        <v>1.1653703703703706E-2</v>
      </c>
      <c r="O49" s="2281">
        <f t="shared" ref="O49:O52" si="37">C49*(G49/25)</f>
        <v>8.7635030864197572E-4</v>
      </c>
      <c r="P49" s="2281">
        <f t="shared" ref="P49:P52" si="38">O49*M49</f>
        <v>1.0516203703703707E-3</v>
      </c>
      <c r="Q49" s="2282">
        <v>129</v>
      </c>
      <c r="R49" s="3139">
        <f t="shared" ref="R49:R52" si="39">E49*F49*G49</f>
        <v>800</v>
      </c>
      <c r="S49" s="2844">
        <f t="shared" si="7"/>
        <v>0.8</v>
      </c>
      <c r="T49" s="2845">
        <f t="shared" si="8"/>
        <v>2.8043209876543223E-2</v>
      </c>
      <c r="U49" s="374">
        <f t="shared" si="9"/>
        <v>0</v>
      </c>
      <c r="V49" s="2846">
        <f t="shared" si="10"/>
        <v>0.8</v>
      </c>
      <c r="W49" s="2847">
        <f t="shared" si="11"/>
        <v>0</v>
      </c>
      <c r="X49" s="2848">
        <f t="shared" si="12"/>
        <v>0</v>
      </c>
      <c r="Y49" s="2849">
        <f t="shared" si="13"/>
        <v>0</v>
      </c>
      <c r="Z49" s="2850">
        <f t="shared" si="14"/>
        <v>0</v>
      </c>
      <c r="AA49" s="2851">
        <f t="shared" si="15"/>
        <v>0</v>
      </c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</row>
    <row r="50" spans="1:40" ht="12.75" customHeight="1" thickBot="1">
      <c r="A50" s="3109" t="s">
        <v>139</v>
      </c>
      <c r="B50" s="3110" t="s">
        <v>461</v>
      </c>
      <c r="C50" s="2256">
        <f t="shared" si="36"/>
        <v>2.1908757716049393E-4</v>
      </c>
      <c r="D50" s="2286">
        <v>2</v>
      </c>
      <c r="E50" s="2276">
        <v>1</v>
      </c>
      <c r="F50" s="2276">
        <v>16</v>
      </c>
      <c r="G50" s="2276">
        <v>50</v>
      </c>
      <c r="H50" s="2277"/>
      <c r="I50" s="2277">
        <v>1.7361111111111112E-4</v>
      </c>
      <c r="J50" s="2277">
        <v>1.3888888888888889E-3</v>
      </c>
      <c r="K50" s="2278" t="s">
        <v>1519</v>
      </c>
      <c r="L50" s="2503">
        <f>L49+N49</f>
        <v>0.8033203703703703</v>
      </c>
      <c r="M50" s="2280">
        <v>1.1000000000000001</v>
      </c>
      <c r="N50" s="2277">
        <f>P50*E50*F50+I50*E50*F50+J50*E50</f>
        <v>1.1878549382716054E-2</v>
      </c>
      <c r="O50" s="2281">
        <f t="shared" si="37"/>
        <v>4.3817515432098786E-4</v>
      </c>
      <c r="P50" s="2281">
        <f t="shared" si="38"/>
        <v>4.8199266975308669E-4</v>
      </c>
      <c r="Q50" s="3140">
        <v>165</v>
      </c>
      <c r="R50" s="3139">
        <f t="shared" si="39"/>
        <v>800</v>
      </c>
      <c r="S50" s="2844">
        <f t="shared" si="7"/>
        <v>0.8</v>
      </c>
      <c r="T50" s="2845">
        <f t="shared" si="8"/>
        <v>2.8043209876543223E-2</v>
      </c>
      <c r="U50" s="374">
        <f t="shared" si="9"/>
        <v>0</v>
      </c>
      <c r="V50" s="2846">
        <f t="shared" si="10"/>
        <v>0.8</v>
      </c>
      <c r="W50" s="2847">
        <f t="shared" si="11"/>
        <v>0</v>
      </c>
      <c r="X50" s="2848">
        <f t="shared" si="12"/>
        <v>0</v>
      </c>
      <c r="Y50" s="2849">
        <f t="shared" si="13"/>
        <v>0</v>
      </c>
      <c r="Z50" s="2850">
        <f t="shared" si="14"/>
        <v>0</v>
      </c>
      <c r="AA50" s="2851">
        <f t="shared" si="15"/>
        <v>0</v>
      </c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</row>
    <row r="51" spans="1:40" ht="12.75" customHeight="1" thickBot="1">
      <c r="A51" s="3109" t="s">
        <v>458</v>
      </c>
      <c r="B51" s="3110" t="s">
        <v>461</v>
      </c>
      <c r="C51" s="2256">
        <f t="shared" si="36"/>
        <v>2.1222190799396687E-4</v>
      </c>
      <c r="D51" s="2309">
        <v>3</v>
      </c>
      <c r="E51" s="2257">
        <v>1</v>
      </c>
      <c r="F51" s="2257">
        <v>12</v>
      </c>
      <c r="G51" s="2257">
        <v>50</v>
      </c>
      <c r="H51" s="2258"/>
      <c r="I51" s="2258">
        <v>3.4722222222222224E-4</v>
      </c>
      <c r="J51" s="2258">
        <v>1.3888888888888889E-3</v>
      </c>
      <c r="K51" s="2259" t="s">
        <v>895</v>
      </c>
      <c r="L51" s="2504">
        <f>L50+N50</f>
        <v>0.81519891975308634</v>
      </c>
      <c r="M51" s="2326">
        <v>1.25</v>
      </c>
      <c r="N51" s="2258">
        <f>P51*E51*F51+I51*E51*F51+J51*E51</f>
        <v>1.1922212795374561E-2</v>
      </c>
      <c r="O51" s="2262">
        <f t="shared" si="37"/>
        <v>4.2444381598793373E-4</v>
      </c>
      <c r="P51" s="2262">
        <f t="shared" si="38"/>
        <v>5.3055476998491711E-4</v>
      </c>
      <c r="Q51" s="2274">
        <v>147</v>
      </c>
      <c r="R51" s="2257">
        <f t="shared" si="39"/>
        <v>600</v>
      </c>
      <c r="S51" s="2844">
        <f t="shared" si="7"/>
        <v>0.6</v>
      </c>
      <c r="T51" s="2845">
        <f t="shared" si="8"/>
        <v>2.0373303167420819E-2</v>
      </c>
      <c r="U51" s="374">
        <f t="shared" si="9"/>
        <v>0</v>
      </c>
      <c r="V51" s="2846">
        <f t="shared" si="10"/>
        <v>0</v>
      </c>
      <c r="W51" s="2847">
        <f t="shared" si="11"/>
        <v>0.6</v>
      </c>
      <c r="X51" s="2848">
        <f t="shared" si="12"/>
        <v>0</v>
      </c>
      <c r="Y51" s="2849">
        <f t="shared" si="13"/>
        <v>0</v>
      </c>
      <c r="Z51" s="2850">
        <f t="shared" si="14"/>
        <v>0</v>
      </c>
      <c r="AA51" s="2851">
        <f t="shared" si="15"/>
        <v>0</v>
      </c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</row>
    <row r="52" spans="1:40" ht="12.75" customHeight="1" thickBot="1">
      <c r="A52" s="3109" t="s">
        <v>462</v>
      </c>
      <c r="B52" s="3110" t="s">
        <v>461</v>
      </c>
      <c r="C52" s="2256">
        <f t="shared" si="36"/>
        <v>2.2880964381720439E-4</v>
      </c>
      <c r="D52" s="2335">
        <v>1</v>
      </c>
      <c r="E52" s="2336">
        <v>1</v>
      </c>
      <c r="F52" s="2336">
        <v>1</v>
      </c>
      <c r="G52" s="2336">
        <v>200</v>
      </c>
      <c r="H52" s="2337">
        <v>1.9097222222222222E-3</v>
      </c>
      <c r="I52" s="2337"/>
      <c r="J52" s="2337">
        <v>1.3888888888888889E-3</v>
      </c>
      <c r="K52" s="2338" t="s">
        <v>1332</v>
      </c>
      <c r="L52" s="2501">
        <f>L51+N51</f>
        <v>0.82712113254846087</v>
      </c>
      <c r="M52" s="2502">
        <v>1</v>
      </c>
      <c r="N52" s="2337">
        <f>H52*F52*E52</f>
        <v>1.9097222222222222E-3</v>
      </c>
      <c r="O52" s="2359">
        <f t="shared" si="37"/>
        <v>1.8304771505376352E-3</v>
      </c>
      <c r="P52" s="2359">
        <f t="shared" si="38"/>
        <v>1.8304771505376352E-3</v>
      </c>
      <c r="Q52" s="2341">
        <v>164</v>
      </c>
      <c r="R52" s="2336">
        <f t="shared" si="39"/>
        <v>200</v>
      </c>
      <c r="S52" s="2844">
        <f t="shared" si="7"/>
        <v>0.2</v>
      </c>
      <c r="T52" s="2845">
        <f t="shared" si="8"/>
        <v>7.3219086021505406E-3</v>
      </c>
      <c r="U52" s="374">
        <f t="shared" si="9"/>
        <v>0.2</v>
      </c>
      <c r="V52" s="2846">
        <f t="shared" si="10"/>
        <v>0</v>
      </c>
      <c r="W52" s="2847">
        <f t="shared" si="11"/>
        <v>0</v>
      </c>
      <c r="X52" s="2848">
        <f t="shared" si="12"/>
        <v>0</v>
      </c>
      <c r="Y52" s="2849">
        <f t="shared" si="13"/>
        <v>0</v>
      </c>
      <c r="Z52" s="2850">
        <f t="shared" si="14"/>
        <v>0</v>
      </c>
      <c r="AA52" s="2851">
        <f t="shared" si="15"/>
        <v>0</v>
      </c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</row>
    <row r="53" spans="1:40" ht="12.75" customHeight="1" thickBot="1">
      <c r="A53" s="3109" t="s">
        <v>1500</v>
      </c>
      <c r="B53" s="3110" t="s">
        <v>461</v>
      </c>
      <c r="C53" s="2256">
        <f t="shared" si="36"/>
        <v>1.7682291666666674E-4</v>
      </c>
      <c r="D53" s="2318">
        <v>7</v>
      </c>
      <c r="E53" s="2512">
        <v>1</v>
      </c>
      <c r="F53" s="2512">
        <v>4</v>
      </c>
      <c r="G53" s="2512">
        <v>25</v>
      </c>
      <c r="H53" s="2377" t="s">
        <v>1508</v>
      </c>
      <c r="I53" s="2377">
        <v>3.4722222222222224E-4</v>
      </c>
      <c r="J53" s="2377">
        <v>6.9444444444444447E-4</v>
      </c>
      <c r="K53" s="2514" t="s">
        <v>1513</v>
      </c>
      <c r="L53" s="2515">
        <f>L52+N52</f>
        <v>0.82903085477068306</v>
      </c>
      <c r="M53" s="3126">
        <v>1</v>
      </c>
      <c r="N53" s="2377">
        <f>P53*E53*F53+I53*E53*F53+J53*E53</f>
        <v>2.7906250000000006E-3</v>
      </c>
      <c r="O53" s="2271">
        <f>C53*(G53/25)</f>
        <v>1.7682291666666674E-4</v>
      </c>
      <c r="P53" s="2517">
        <f>O53*M53</f>
        <v>1.7682291666666674E-4</v>
      </c>
      <c r="Q53" s="3130" t="s">
        <v>316</v>
      </c>
      <c r="R53" s="3122">
        <f>E53*F53*G53</f>
        <v>100</v>
      </c>
      <c r="S53" s="2844">
        <f t="shared" si="7"/>
        <v>0.1</v>
      </c>
      <c r="T53" s="2845">
        <f t="shared" si="8"/>
        <v>2.8291666666666678E-3</v>
      </c>
      <c r="U53" s="374">
        <f t="shared" si="9"/>
        <v>0</v>
      </c>
      <c r="V53" s="2846">
        <f t="shared" si="10"/>
        <v>0</v>
      </c>
      <c r="W53" s="2847">
        <f t="shared" si="11"/>
        <v>0</v>
      </c>
      <c r="X53" s="2848">
        <f t="shared" si="12"/>
        <v>0</v>
      </c>
      <c r="Y53" s="2849">
        <f t="shared" si="13"/>
        <v>0</v>
      </c>
      <c r="Z53" s="2850">
        <f t="shared" si="14"/>
        <v>0</v>
      </c>
      <c r="AA53" s="2851">
        <f t="shared" si="15"/>
        <v>0.1</v>
      </c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</row>
    <row r="54" spans="1:40" ht="12.75" customHeight="1" thickBot="1">
      <c r="A54" s="3109" t="s">
        <v>458</v>
      </c>
      <c r="B54" s="3110" t="s">
        <v>461</v>
      </c>
      <c r="C54" s="2256">
        <f t="shared" si="36"/>
        <v>2.0247664488766629E-4</v>
      </c>
      <c r="D54" s="2520">
        <v>4</v>
      </c>
      <c r="E54" s="2521">
        <v>1</v>
      </c>
      <c r="F54" s="2521">
        <v>4</v>
      </c>
      <c r="G54" s="2521">
        <v>300</v>
      </c>
      <c r="H54" s="2522"/>
      <c r="I54" s="2522">
        <v>6.3657407407407402E-4</v>
      </c>
      <c r="J54" s="2522">
        <v>1.3888888888888889E-3</v>
      </c>
      <c r="K54" s="2523"/>
      <c r="L54" s="2524">
        <f>L52+N52</f>
        <v>0.82903085477068306</v>
      </c>
      <c r="M54" s="2525">
        <v>1.2</v>
      </c>
      <c r="N54" s="2522">
        <f>P54*E54*F54+I54*E54*F54+J54*E54</f>
        <v>1.5597839930714763E-2</v>
      </c>
      <c r="O54" s="2526">
        <f t="shared" ref="O54:O60" si="40">C54*(G54/25)</f>
        <v>2.4297197386519954E-3</v>
      </c>
      <c r="P54" s="2526">
        <f t="shared" ref="P54" si="41">O54*M54</f>
        <v>2.9156636863823943E-3</v>
      </c>
      <c r="Q54" s="3132">
        <v>196</v>
      </c>
      <c r="R54" s="3133">
        <f t="shared" ref="R54" si="42">E54*F54*G54</f>
        <v>1200</v>
      </c>
      <c r="S54" s="2844">
        <f t="shared" si="7"/>
        <v>1.2</v>
      </c>
      <c r="T54" s="2845">
        <f t="shared" si="8"/>
        <v>3.8875515818431926E-2</v>
      </c>
      <c r="U54" s="374">
        <f t="shared" si="9"/>
        <v>0</v>
      </c>
      <c r="V54" s="2846">
        <f t="shared" si="10"/>
        <v>0</v>
      </c>
      <c r="W54" s="2847">
        <f t="shared" si="11"/>
        <v>0</v>
      </c>
      <c r="X54" s="2848">
        <f t="shared" si="12"/>
        <v>1.2</v>
      </c>
      <c r="Y54" s="2849">
        <f t="shared" si="13"/>
        <v>0</v>
      </c>
      <c r="Z54" s="2850">
        <f t="shared" si="14"/>
        <v>0</v>
      </c>
      <c r="AA54" s="2851">
        <f t="shared" si="15"/>
        <v>0</v>
      </c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</row>
    <row r="55" spans="1:40" ht="12.75" customHeight="1" thickBot="1">
      <c r="A55" s="3109" t="s">
        <v>219</v>
      </c>
      <c r="B55" s="3110"/>
      <c r="C55" s="2256"/>
      <c r="D55" s="2335"/>
      <c r="E55" s="2336"/>
      <c r="F55" s="2336"/>
      <c r="G55" s="2336"/>
      <c r="H55" s="2337"/>
      <c r="I55" s="2337"/>
      <c r="J55" s="2337"/>
      <c r="K55" s="2338"/>
      <c r="L55" s="2182">
        <f>L54+N54</f>
        <v>0.84462869470139779</v>
      </c>
      <c r="M55" s="2502"/>
      <c r="N55" s="2528">
        <f>SUM(N49:N54)</f>
        <v>5.5752653034731307E-2</v>
      </c>
      <c r="O55" s="2359">
        <f t="shared" si="40"/>
        <v>0</v>
      </c>
      <c r="P55" s="2359"/>
      <c r="Q55" s="2341"/>
      <c r="R55" s="2529">
        <f>SUM(R49:R54)</f>
        <v>3700</v>
      </c>
      <c r="S55" s="2844">
        <f t="shared" si="7"/>
        <v>0</v>
      </c>
      <c r="T55" s="2845">
        <f t="shared" si="8"/>
        <v>0</v>
      </c>
      <c r="U55" s="374">
        <f t="shared" si="9"/>
        <v>0</v>
      </c>
      <c r="V55" s="2846">
        <f t="shared" si="10"/>
        <v>0</v>
      </c>
      <c r="W55" s="2847">
        <f t="shared" si="11"/>
        <v>0</v>
      </c>
      <c r="X55" s="2848">
        <f t="shared" si="12"/>
        <v>0</v>
      </c>
      <c r="Y55" s="2849">
        <f t="shared" si="13"/>
        <v>0</v>
      </c>
      <c r="Z55" s="2850">
        <f t="shared" si="14"/>
        <v>0</v>
      </c>
      <c r="AA55" s="2851">
        <f t="shared" si="15"/>
        <v>0</v>
      </c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</row>
    <row r="56" spans="1:40" ht="12.75" customHeight="1" thickBot="1">
      <c r="A56" s="3134"/>
      <c r="B56" s="3135"/>
      <c r="C56" s="2256">
        <f>IF(D56=1,U$5,IF(D56=2,V$5,IF(D56=3,W$5,IF(D56=4,X$5,IF(D56=5,Y$5,IF(D56=6,Z$5,IF(D56=7,AA$5,0)))))))</f>
        <v>2.2880964381720439E-4</v>
      </c>
      <c r="D56" s="2335">
        <v>1</v>
      </c>
      <c r="E56" s="2336">
        <v>1</v>
      </c>
      <c r="F56" s="2336">
        <v>2</v>
      </c>
      <c r="G56" s="2336">
        <v>300</v>
      </c>
      <c r="H56" s="2337"/>
      <c r="I56" s="2337">
        <v>1.1574074074074073E-4</v>
      </c>
      <c r="J56" s="2337">
        <v>1.3888888888888889E-3</v>
      </c>
      <c r="K56" s="2338" t="s">
        <v>762</v>
      </c>
      <c r="L56" s="2423">
        <v>0.79166666666666663</v>
      </c>
      <c r="M56" s="2502">
        <v>0.9</v>
      </c>
      <c r="N56" s="2337">
        <f>P56*E56*F56+I56*E56*F56+J56*E56</f>
        <v>6.5626586768219863E-3</v>
      </c>
      <c r="O56" s="2359">
        <f>C56*(G56/25)</f>
        <v>2.7457157258064528E-3</v>
      </c>
      <c r="P56" s="2359">
        <f>O56*M56</f>
        <v>2.4711441532258077E-3</v>
      </c>
      <c r="Q56" s="2341">
        <v>129</v>
      </c>
      <c r="R56" s="2336">
        <f>E56*F56*G56</f>
        <v>600</v>
      </c>
      <c r="S56" s="2844">
        <f t="shared" si="7"/>
        <v>0.6</v>
      </c>
      <c r="T56" s="2845">
        <f t="shared" si="8"/>
        <v>2.1965725806451623E-2</v>
      </c>
      <c r="U56" s="374">
        <f t="shared" si="9"/>
        <v>0.6</v>
      </c>
      <c r="V56" s="2846">
        <f t="shared" si="10"/>
        <v>0</v>
      </c>
      <c r="W56" s="2847">
        <f t="shared" si="11"/>
        <v>0</v>
      </c>
      <c r="X56" s="2848">
        <f t="shared" si="12"/>
        <v>0</v>
      </c>
      <c r="Y56" s="2849">
        <f t="shared" si="13"/>
        <v>0</v>
      </c>
      <c r="Z56" s="2850">
        <f t="shared" si="14"/>
        <v>0</v>
      </c>
      <c r="AA56" s="2851">
        <f t="shared" si="15"/>
        <v>0</v>
      </c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</row>
    <row r="57" spans="1:40" ht="12.75" customHeight="1" thickBot="1">
      <c r="A57" s="3134" t="s">
        <v>219</v>
      </c>
      <c r="B57" s="3135" t="s">
        <v>461</v>
      </c>
      <c r="C57" s="2256">
        <f t="shared" ref="C57:C60" si="43">IF(D57=1,U$5,IF(D57=2,V$5,IF(D57=3,W$5,IF(D57=4,X$5,IF(D57=5,Y$5,IF(D57=6,Z$5,IF(D57=7,AA$5,0)))))))</f>
        <v>2.1222190799396687E-4</v>
      </c>
      <c r="D57" s="2309">
        <v>3</v>
      </c>
      <c r="E57" s="2257">
        <v>1</v>
      </c>
      <c r="F57" s="2257">
        <v>4</v>
      </c>
      <c r="G57" s="2257">
        <v>50</v>
      </c>
      <c r="H57" s="2258"/>
      <c r="I57" s="2258">
        <v>4.6296296296296293E-4</v>
      </c>
      <c r="J57" s="2258">
        <v>1.3888888888888889E-3</v>
      </c>
      <c r="K57" s="2259" t="s">
        <v>1520</v>
      </c>
      <c r="L57" s="2504">
        <f>L54+N54</f>
        <v>0.84462869470139779</v>
      </c>
      <c r="M57" s="2326">
        <v>1.2</v>
      </c>
      <c r="N57" s="2258">
        <f>P57*E57*F57+I57*E57*F57+J57*E57</f>
        <v>5.2780710574828228E-3</v>
      </c>
      <c r="O57" s="2262">
        <f t="shared" ref="O57:O59" si="44">C57*(G57/25)</f>
        <v>4.2444381598793373E-4</v>
      </c>
      <c r="P57" s="2262">
        <f t="shared" ref="P57:P58" si="45">O57*M57</f>
        <v>5.0933257918552043E-4</v>
      </c>
      <c r="Q57" s="2274">
        <v>196</v>
      </c>
      <c r="R57" s="2257">
        <f t="shared" ref="R57:R60" si="46">E57*F57*G57</f>
        <v>200</v>
      </c>
      <c r="S57" s="2844">
        <f t="shared" si="7"/>
        <v>0.2</v>
      </c>
      <c r="T57" s="2845">
        <f t="shared" si="8"/>
        <v>6.7911010558069397E-3</v>
      </c>
      <c r="U57" s="374">
        <f t="shared" si="9"/>
        <v>0</v>
      </c>
      <c r="V57" s="2846">
        <f t="shared" si="10"/>
        <v>0</v>
      </c>
      <c r="W57" s="2847">
        <f t="shared" si="11"/>
        <v>0.2</v>
      </c>
      <c r="X57" s="2848">
        <f t="shared" si="12"/>
        <v>0</v>
      </c>
      <c r="Y57" s="2849">
        <f t="shared" si="13"/>
        <v>0</v>
      </c>
      <c r="Z57" s="2850">
        <f t="shared" si="14"/>
        <v>0</v>
      </c>
      <c r="AA57" s="2851">
        <f t="shared" si="15"/>
        <v>0</v>
      </c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</row>
    <row r="58" spans="1:40" ht="12.75" customHeight="1" thickBot="1">
      <c r="A58" s="3134" t="s">
        <v>138</v>
      </c>
      <c r="B58" s="3135" t="s">
        <v>461</v>
      </c>
      <c r="C58" s="2256">
        <f t="shared" si="43"/>
        <v>2.0247664488766629E-4</v>
      </c>
      <c r="D58" s="2520">
        <v>4</v>
      </c>
      <c r="E58" s="2521">
        <v>1</v>
      </c>
      <c r="F58" s="2521">
        <v>4</v>
      </c>
      <c r="G58" s="2521">
        <v>50</v>
      </c>
      <c r="H58" s="2522"/>
      <c r="I58" s="2522">
        <v>8.1018518518518516E-4</v>
      </c>
      <c r="J58" s="2522">
        <v>1.3888888888888889E-3</v>
      </c>
      <c r="K58" s="2523" t="s">
        <v>1520</v>
      </c>
      <c r="L58" s="2524">
        <f>L55+N55</f>
        <v>0.9003813477361291</v>
      </c>
      <c r="M58" s="2525">
        <v>1.2</v>
      </c>
      <c r="N58" s="2522">
        <f>P58*E58*F58+I58*E58*F58+J58*E58</f>
        <v>6.5734054205512258E-3</v>
      </c>
      <c r="O58" s="2526">
        <f t="shared" si="44"/>
        <v>4.0495328977533258E-4</v>
      </c>
      <c r="P58" s="2526">
        <f t="shared" si="45"/>
        <v>4.8594394773039906E-4</v>
      </c>
      <c r="Q58" s="3132">
        <v>196</v>
      </c>
      <c r="R58" s="3133">
        <f t="shared" si="46"/>
        <v>200</v>
      </c>
      <c r="S58" s="2844">
        <f t="shared" si="7"/>
        <v>0.2</v>
      </c>
      <c r="T58" s="2845">
        <f t="shared" si="8"/>
        <v>6.4792526364053213E-3</v>
      </c>
      <c r="U58" s="374">
        <f t="shared" si="9"/>
        <v>0</v>
      </c>
      <c r="V58" s="2846">
        <f t="shared" si="10"/>
        <v>0</v>
      </c>
      <c r="W58" s="2847">
        <f t="shared" si="11"/>
        <v>0</v>
      </c>
      <c r="X58" s="2848">
        <f t="shared" si="12"/>
        <v>0.2</v>
      </c>
      <c r="Y58" s="2849">
        <f t="shared" si="13"/>
        <v>0</v>
      </c>
      <c r="Z58" s="2850">
        <f t="shared" si="14"/>
        <v>0</v>
      </c>
      <c r="AA58" s="2851">
        <f t="shared" si="15"/>
        <v>0</v>
      </c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</row>
    <row r="59" spans="1:40" ht="12.75" customHeight="1" thickBot="1">
      <c r="A59" s="3134" t="s">
        <v>779</v>
      </c>
      <c r="B59" s="3135" t="s">
        <v>461</v>
      </c>
      <c r="C59" s="2256">
        <f t="shared" si="43"/>
        <v>1.8229166666666673E-4</v>
      </c>
      <c r="D59" s="1920">
        <v>6</v>
      </c>
      <c r="E59" s="2887">
        <v>1</v>
      </c>
      <c r="F59" s="2887">
        <v>4</v>
      </c>
      <c r="G59" s="2887">
        <v>50</v>
      </c>
      <c r="H59" s="3141"/>
      <c r="I59" s="2284">
        <v>6.3657407407407402E-4</v>
      </c>
      <c r="J59" s="2284">
        <v>1.3888888888888889E-3</v>
      </c>
      <c r="K59" s="2888" t="s">
        <v>1520</v>
      </c>
      <c r="L59" s="3142">
        <f>L58+N58</f>
        <v>0.90695475315668028</v>
      </c>
      <c r="M59" s="3143">
        <v>1</v>
      </c>
      <c r="N59" s="3142">
        <f>H59*F59*E59</f>
        <v>0</v>
      </c>
      <c r="O59" s="3144">
        <f t="shared" si="44"/>
        <v>3.6458333333333346E-4</v>
      </c>
      <c r="P59" s="3145">
        <f>O59*M59</f>
        <v>3.6458333333333346E-4</v>
      </c>
      <c r="Q59" s="3132">
        <v>196</v>
      </c>
      <c r="R59" s="3133">
        <f t="shared" si="46"/>
        <v>200</v>
      </c>
      <c r="S59" s="2844">
        <f t="shared" si="7"/>
        <v>0.2</v>
      </c>
      <c r="T59" s="2845">
        <f t="shared" si="8"/>
        <v>5.8333333333333353E-3</v>
      </c>
      <c r="U59" s="374">
        <f t="shared" si="9"/>
        <v>0</v>
      </c>
      <c r="V59" s="2846">
        <f t="shared" si="10"/>
        <v>0</v>
      </c>
      <c r="W59" s="2847">
        <f t="shared" si="11"/>
        <v>0</v>
      </c>
      <c r="X59" s="2848">
        <f t="shared" si="12"/>
        <v>0</v>
      </c>
      <c r="Y59" s="2849">
        <f t="shared" si="13"/>
        <v>0</v>
      </c>
      <c r="Z59" s="2850">
        <f t="shared" si="14"/>
        <v>0.2</v>
      </c>
      <c r="AA59" s="2851">
        <f t="shared" si="15"/>
        <v>0</v>
      </c>
      <c r="AC59" s="2867"/>
      <c r="AD59" s="2867"/>
      <c r="AE59" s="2867"/>
      <c r="AF59" s="2867"/>
      <c r="AG59" s="2867"/>
      <c r="AH59" s="2867"/>
      <c r="AI59" s="2825"/>
      <c r="AJ59" s="2825"/>
      <c r="AK59" s="2825"/>
      <c r="AL59" s="2825"/>
      <c r="AM59" s="2825"/>
    </row>
    <row r="60" spans="1:40" ht="12.75" customHeight="1">
      <c r="A60" s="3134" t="s">
        <v>138</v>
      </c>
      <c r="B60" s="3135" t="s">
        <v>461</v>
      </c>
      <c r="C60" s="2256">
        <f t="shared" si="43"/>
        <v>1.7682291666666674E-4</v>
      </c>
      <c r="D60" s="2318">
        <v>7</v>
      </c>
      <c r="E60" s="2512">
        <v>1</v>
      </c>
      <c r="F60" s="2512">
        <v>4</v>
      </c>
      <c r="G60" s="2512">
        <v>50</v>
      </c>
      <c r="H60" s="2270"/>
      <c r="I60" s="2270">
        <v>9.2592592592592585E-4</v>
      </c>
      <c r="J60" s="2270">
        <v>2.3148148148148146E-4</v>
      </c>
      <c r="K60" s="2514" t="s">
        <v>1520</v>
      </c>
      <c r="L60" s="2515">
        <f>L59+N59</f>
        <v>0.90695475315668028</v>
      </c>
      <c r="M60" s="2516">
        <v>1</v>
      </c>
      <c r="N60" s="2270">
        <f>P60*E60*F60+I60*E60*F60+J60*E60</f>
        <v>5.3497685185185193E-3</v>
      </c>
      <c r="O60" s="2271">
        <f t="shared" si="40"/>
        <v>3.5364583333333347E-4</v>
      </c>
      <c r="P60" s="2517">
        <f>O60*M60</f>
        <v>3.5364583333333347E-4</v>
      </c>
      <c r="Q60" s="3132">
        <v>196</v>
      </c>
      <c r="R60" s="3133">
        <f t="shared" si="46"/>
        <v>200</v>
      </c>
      <c r="S60" s="2844">
        <f t="shared" si="7"/>
        <v>0.2</v>
      </c>
      <c r="T60" s="2845">
        <f t="shared" si="8"/>
        <v>5.6583333333333355E-3</v>
      </c>
      <c r="U60" s="374">
        <f t="shared" si="9"/>
        <v>0</v>
      </c>
      <c r="V60" s="2846">
        <f t="shared" si="10"/>
        <v>0</v>
      </c>
      <c r="W60" s="2847">
        <f t="shared" si="11"/>
        <v>0</v>
      </c>
      <c r="X60" s="2848">
        <f t="shared" si="12"/>
        <v>0</v>
      </c>
      <c r="Y60" s="2849">
        <f t="shared" si="13"/>
        <v>0</v>
      </c>
      <c r="Z60" s="2850">
        <f t="shared" si="14"/>
        <v>0</v>
      </c>
      <c r="AA60" s="2851">
        <f t="shared" si="15"/>
        <v>0.2</v>
      </c>
      <c r="AC60" s="2867"/>
      <c r="AD60" s="2867"/>
      <c r="AE60" s="2867"/>
      <c r="AF60" s="2867"/>
      <c r="AG60" s="2867"/>
      <c r="AH60" s="2867"/>
      <c r="AI60" s="2825"/>
      <c r="AJ60" s="2825"/>
      <c r="AK60" s="2825"/>
      <c r="AL60" s="2825"/>
      <c r="AM60" s="2825"/>
    </row>
    <row r="61" spans="1:40" ht="12.75" customHeight="1" thickBot="1">
      <c r="A61" s="2183" t="s">
        <v>220</v>
      </c>
      <c r="B61" s="2184"/>
      <c r="C61" s="2256"/>
      <c r="D61" s="2335"/>
      <c r="E61" s="2336"/>
      <c r="F61" s="2336"/>
      <c r="G61" s="2336"/>
      <c r="H61" s="2337"/>
      <c r="I61" s="2337"/>
      <c r="J61" s="2337"/>
      <c r="K61" s="2338"/>
      <c r="L61" s="2182">
        <f>L60+N60</f>
        <v>0.91230452167519882</v>
      </c>
      <c r="M61" s="2502"/>
      <c r="N61" s="2528">
        <f>SUM(N53:N60)</f>
        <v>9.7905021638820616E-2</v>
      </c>
      <c r="O61" s="2359"/>
      <c r="P61" s="2359"/>
      <c r="Q61" s="2341"/>
      <c r="R61" s="2529">
        <f>SUM(R56:R60)</f>
        <v>1400</v>
      </c>
      <c r="S61" s="2844">
        <f t="shared" si="7"/>
        <v>0</v>
      </c>
      <c r="T61" s="2845">
        <f t="shared" si="8"/>
        <v>0</v>
      </c>
      <c r="U61" s="374">
        <f t="shared" si="9"/>
        <v>0</v>
      </c>
      <c r="V61" s="2846">
        <f t="shared" si="10"/>
        <v>0</v>
      </c>
      <c r="W61" s="2847">
        <f t="shared" si="11"/>
        <v>0</v>
      </c>
      <c r="X61" s="2848">
        <f t="shared" si="12"/>
        <v>0</v>
      </c>
      <c r="Y61" s="2849">
        <f t="shared" si="13"/>
        <v>0</v>
      </c>
      <c r="Z61" s="2850">
        <f t="shared" si="14"/>
        <v>0</v>
      </c>
      <c r="AA61" s="2851">
        <f t="shared" si="15"/>
        <v>0</v>
      </c>
      <c r="AC61" s="2867"/>
      <c r="AD61" s="2867"/>
      <c r="AE61" s="2867"/>
      <c r="AF61" s="2867"/>
      <c r="AG61" s="2867"/>
      <c r="AH61" s="2867"/>
      <c r="AI61" s="2825"/>
      <c r="AJ61" s="2825"/>
      <c r="AK61" s="2825"/>
      <c r="AL61" s="2825"/>
      <c r="AM61" s="2825"/>
    </row>
    <row r="62" spans="1:40" ht="12" customHeight="1" thickTop="1" thickBot="1">
      <c r="A62" s="1"/>
      <c r="B62" s="1"/>
      <c r="C62" s="205"/>
      <c r="D62" s="4444"/>
      <c r="E62" s="4594">
        <f>U62*100000/$Q$62</f>
        <v>11.322280630812777</v>
      </c>
      <c r="F62" s="4594">
        <f t="shared" ref="F62:K62" si="47">V62*100000/$Q$62</f>
        <v>33.966841892438332</v>
      </c>
      <c r="G62" s="4594">
        <f t="shared" si="47"/>
        <v>20.541852001617467</v>
      </c>
      <c r="H62" s="4594">
        <f t="shared" si="47"/>
        <v>4.8524059846340482</v>
      </c>
      <c r="I62" s="4594">
        <f t="shared" si="47"/>
        <v>16.174686615446827</v>
      </c>
      <c r="J62" s="4594">
        <f t="shared" si="47"/>
        <v>0</v>
      </c>
      <c r="K62" s="4594">
        <f t="shared" si="47"/>
        <v>13.141932875050548</v>
      </c>
      <c r="L62" s="4378" t="s">
        <v>1922</v>
      </c>
      <c r="M62" s="525"/>
      <c r="N62" s="235"/>
      <c r="O62" s="235"/>
      <c r="P62" s="235"/>
      <c r="Q62" s="7879">
        <f>AB62*1000</f>
        <v>12365</v>
      </c>
      <c r="R62" s="7880"/>
      <c r="S62" s="3153"/>
      <c r="T62" s="3154"/>
      <c r="U62" s="3155">
        <f t="shared" ref="U62:AA62" si="48">SUM(U6:U39)</f>
        <v>1.4</v>
      </c>
      <c r="V62" s="3155">
        <f t="shared" si="48"/>
        <v>4.2</v>
      </c>
      <c r="W62" s="3155">
        <f t="shared" si="48"/>
        <v>2.54</v>
      </c>
      <c r="X62" s="3155">
        <f t="shared" si="48"/>
        <v>0.6</v>
      </c>
      <c r="Y62" s="3155">
        <f t="shared" si="48"/>
        <v>2</v>
      </c>
      <c r="Z62" s="3155">
        <f t="shared" si="48"/>
        <v>0</v>
      </c>
      <c r="AA62" s="3155">
        <f t="shared" si="48"/>
        <v>1.6250000000000002</v>
      </c>
      <c r="AB62" s="3156">
        <f>SUM(U62:AA62)</f>
        <v>12.365</v>
      </c>
      <c r="AC62" s="2867">
        <v>0</v>
      </c>
      <c r="AD62" s="2867">
        <v>0</v>
      </c>
      <c r="AE62" s="2838"/>
      <c r="AF62" s="2838"/>
      <c r="AG62" s="2838"/>
      <c r="AH62" s="2838"/>
      <c r="AI62" s="2838"/>
    </row>
    <row r="63" spans="1:40" ht="11" customHeight="1" thickBot="1">
      <c r="A63" s="144" t="s">
        <v>60</v>
      </c>
      <c r="B63" s="144"/>
      <c r="C63" s="144"/>
      <c r="D63" s="4444"/>
      <c r="E63" s="4594">
        <f>E62*15/100</f>
        <v>1.6983420946219168</v>
      </c>
      <c r="F63" s="4522">
        <f t="shared" ref="F63:K63" si="49">F62*15/100</f>
        <v>5.0950262838657503</v>
      </c>
      <c r="G63" s="4523">
        <f t="shared" si="49"/>
        <v>3.0812778002426198</v>
      </c>
      <c r="H63" s="4524">
        <f t="shared" si="49"/>
        <v>0.7278608976951072</v>
      </c>
      <c r="I63" s="4525">
        <f t="shared" si="49"/>
        <v>2.4262029923170241</v>
      </c>
      <c r="J63" s="4526">
        <f t="shared" si="49"/>
        <v>0</v>
      </c>
      <c r="K63" s="4527">
        <f t="shared" si="49"/>
        <v>1.9712899312575822</v>
      </c>
      <c r="L63" s="4378" t="s">
        <v>1252</v>
      </c>
      <c r="M63" s="144"/>
      <c r="N63" s="144"/>
      <c r="O63" s="144"/>
      <c r="P63" s="144"/>
      <c r="Q63" s="144"/>
      <c r="R63" s="144"/>
      <c r="S63" s="144"/>
      <c r="T63" s="144"/>
      <c r="U63" s="3157">
        <f>IF(U62&gt;0,U62,#REF!)</f>
        <v>1.4</v>
      </c>
      <c r="V63" s="3157">
        <f>IF(V62&gt;0,V62,#REF!)</f>
        <v>4.2</v>
      </c>
      <c r="W63" s="3157">
        <f>IF(W62&gt;0,W62,#REF!)</f>
        <v>2.54</v>
      </c>
      <c r="X63" s="3157">
        <f>IF(X62&gt;0,X62,#REF!)</f>
        <v>0.6</v>
      </c>
      <c r="Y63" s="3157">
        <f>IF(Y62&gt;0,Y62,#REF!)</f>
        <v>2</v>
      </c>
      <c r="Z63" s="3157" t="e">
        <f>IF(Z62&gt;0,Z62,#REF!)</f>
        <v>#REF!</v>
      </c>
      <c r="AA63" s="3157">
        <f>IF(AA62&gt;0,AA62,#REF!)</f>
        <v>1.6250000000000002</v>
      </c>
      <c r="AB63" s="144"/>
      <c r="AC63" s="2825"/>
      <c r="AD63" s="2825"/>
      <c r="AE63" s="2838"/>
      <c r="AF63" s="2838"/>
      <c r="AG63" s="2838"/>
      <c r="AH63" s="2838"/>
      <c r="AI63" s="2838"/>
      <c r="AJ63" s="2825"/>
      <c r="AK63" s="2825"/>
      <c r="AL63" s="2825"/>
      <c r="AM63" s="2825"/>
    </row>
    <row r="64" spans="1:40" s="2914" customFormat="1" ht="19.5" customHeight="1" thickBot="1">
      <c r="A64" s="204"/>
      <c r="B64" s="204"/>
      <c r="C64" s="205"/>
      <c r="D64" s="901"/>
      <c r="E64" s="206"/>
      <c r="F64"/>
      <c r="G64" s="233"/>
      <c r="H64" s="233"/>
      <c r="I64" s="234"/>
      <c r="J64" s="144"/>
      <c r="K64" s="4646" t="s">
        <v>2284</v>
      </c>
      <c r="L64" s="144"/>
      <c r="M64" s="144"/>
      <c r="N64" s="144"/>
      <c r="O64" s="144"/>
      <c r="P64" s="235"/>
      <c r="Q64" s="237"/>
      <c r="R64" s="236"/>
      <c r="S64" s="144"/>
      <c r="T64" s="144"/>
      <c r="U64" s="3157">
        <f t="shared" ref="U64:AA81" si="50">IF(U63&gt;0,U63,U62)</f>
        <v>1.4</v>
      </c>
      <c r="V64" s="3157">
        <f t="shared" si="50"/>
        <v>4.2</v>
      </c>
      <c r="W64" s="3157">
        <f t="shared" si="50"/>
        <v>2.54</v>
      </c>
      <c r="X64" s="3157">
        <f t="shared" si="50"/>
        <v>0.6</v>
      </c>
      <c r="Y64" s="3157">
        <f t="shared" si="50"/>
        <v>2</v>
      </c>
      <c r="Z64" s="3157" t="e">
        <f t="shared" si="50"/>
        <v>#REF!</v>
      </c>
      <c r="AA64" s="3157">
        <f t="shared" si="50"/>
        <v>1.6250000000000002</v>
      </c>
      <c r="AB64" s="144"/>
      <c r="AC64" s="2826"/>
      <c r="AD64" s="2826"/>
      <c r="AE64" s="2838"/>
      <c r="AF64" s="2838"/>
      <c r="AG64" s="2838"/>
      <c r="AH64" s="2838"/>
      <c r="AI64" s="2838"/>
      <c r="AJ64" s="2826"/>
      <c r="AK64" s="2826"/>
      <c r="AL64" s="2826"/>
      <c r="AM64" s="2826"/>
      <c r="AN64" s="2913"/>
    </row>
    <row r="65" spans="1:40">
      <c r="A65" s="1260" t="s">
        <v>136</v>
      </c>
      <c r="B65" s="1262" t="s">
        <v>461</v>
      </c>
      <c r="C65" s="274">
        <f t="shared" ref="C65:C68" si="51">IF(D65=1,U$5,IF(D65=2,V$5,IF(D65=3,W$5,IF(D65=4,X$5,IF(D65=5,Y$5,IF(D65=6,Z$5,IF(D65=7,AA$5,0)))))))</f>
        <v>1.7682291666666674E-4</v>
      </c>
      <c r="D65" s="1237">
        <v>7</v>
      </c>
      <c r="E65" s="438">
        <v>2</v>
      </c>
      <c r="F65" s="438">
        <v>1</v>
      </c>
      <c r="G65" s="438">
        <v>100</v>
      </c>
      <c r="H65" s="1301" t="s">
        <v>284</v>
      </c>
      <c r="I65" s="1301"/>
      <c r="J65" s="6364" t="s">
        <v>2289</v>
      </c>
      <c r="K65" s="6362" t="s">
        <v>2286</v>
      </c>
      <c r="L65" s="1189"/>
      <c r="M65" s="1202">
        <v>0.75</v>
      </c>
      <c r="N65" s="1188"/>
      <c r="O65" s="1191">
        <f t="shared" ref="O65:O68" si="52">C65*(G65/25)</f>
        <v>7.0729166666666694E-4</v>
      </c>
      <c r="P65" s="1904"/>
      <c r="Q65" s="788"/>
      <c r="R65" s="1187"/>
      <c r="S65" s="144"/>
      <c r="T65" s="144"/>
      <c r="U65" s="3157">
        <f t="shared" si="50"/>
        <v>1.4</v>
      </c>
      <c r="V65" s="3157">
        <f t="shared" si="50"/>
        <v>4.2</v>
      </c>
      <c r="W65" s="3157">
        <f t="shared" si="50"/>
        <v>2.54</v>
      </c>
      <c r="X65" s="3157">
        <f t="shared" si="50"/>
        <v>0.6</v>
      </c>
      <c r="Y65" s="3157">
        <f t="shared" si="50"/>
        <v>2</v>
      </c>
      <c r="Z65" s="3157" t="e">
        <f t="shared" si="50"/>
        <v>#REF!</v>
      </c>
      <c r="AA65" s="3157">
        <f t="shared" si="50"/>
        <v>1.6250000000000002</v>
      </c>
      <c r="AB65" s="144"/>
      <c r="AE65" s="2838"/>
      <c r="AF65" s="2838"/>
      <c r="AG65" s="2838"/>
      <c r="AH65" s="2838"/>
      <c r="AI65" s="2838"/>
    </row>
    <row r="66" spans="1:40" ht="15.75" customHeight="1">
      <c r="A66" s="1261" t="s">
        <v>138</v>
      </c>
      <c r="B66" s="1262" t="s">
        <v>461</v>
      </c>
      <c r="C66" s="274">
        <f t="shared" si="51"/>
        <v>1.7682291666666674E-4</v>
      </c>
      <c r="D66" s="1237">
        <v>7</v>
      </c>
      <c r="E66" s="438">
        <v>1</v>
      </c>
      <c r="F66" s="438">
        <v>1</v>
      </c>
      <c r="G66" s="438">
        <v>50</v>
      </c>
      <c r="H66" s="1301" t="s">
        <v>607</v>
      </c>
      <c r="I66" s="1301">
        <v>4.6296296296296293E-4</v>
      </c>
      <c r="J66" s="4491" t="s">
        <v>2290</v>
      </c>
      <c r="K66" s="4647" t="s">
        <v>2288</v>
      </c>
      <c r="L66" s="1189"/>
      <c r="M66" s="1202">
        <v>0.93</v>
      </c>
      <c r="N66" s="1188"/>
      <c r="O66" s="1191">
        <f t="shared" si="52"/>
        <v>3.5364583333333347E-4</v>
      </c>
      <c r="P66" s="1904"/>
      <c r="Q66" s="788"/>
      <c r="R66" s="1187"/>
      <c r="S66" s="144"/>
      <c r="T66" s="144"/>
      <c r="U66" s="3157">
        <f t="shared" si="50"/>
        <v>1.4</v>
      </c>
      <c r="V66" s="3157">
        <f t="shared" si="50"/>
        <v>4.2</v>
      </c>
      <c r="W66" s="3157">
        <f t="shared" si="50"/>
        <v>2.54</v>
      </c>
      <c r="X66" s="3157">
        <f t="shared" si="50"/>
        <v>0.6</v>
      </c>
      <c r="Y66" s="3157">
        <f t="shared" si="50"/>
        <v>2</v>
      </c>
      <c r="Z66" s="3157" t="e">
        <f t="shared" si="50"/>
        <v>#REF!</v>
      </c>
      <c r="AA66" s="3157">
        <f t="shared" si="50"/>
        <v>1.6250000000000002</v>
      </c>
      <c r="AB66" s="144"/>
    </row>
    <row r="67" spans="1:40" ht="15" customHeight="1" thickBot="1">
      <c r="A67" s="1261" t="s">
        <v>210</v>
      </c>
      <c r="B67" s="1262" t="s">
        <v>461</v>
      </c>
      <c r="C67" s="274">
        <f t="shared" si="51"/>
        <v>1.7682291666666674E-4</v>
      </c>
      <c r="D67" s="1237">
        <v>7</v>
      </c>
      <c r="E67" s="438">
        <v>2</v>
      </c>
      <c r="F67" s="438">
        <v>1</v>
      </c>
      <c r="G67" s="438">
        <v>50</v>
      </c>
      <c r="H67" s="1301" t="s">
        <v>558</v>
      </c>
      <c r="I67" s="1301">
        <v>4.6296296296296293E-4</v>
      </c>
      <c r="J67" s="6365" t="s">
        <v>1687</v>
      </c>
      <c r="K67" s="6363" t="s">
        <v>2285</v>
      </c>
      <c r="L67" s="1189"/>
      <c r="M67" s="1202">
        <v>0.88</v>
      </c>
      <c r="N67" s="1188"/>
      <c r="O67" s="1191">
        <f t="shared" si="52"/>
        <v>3.5364583333333347E-4</v>
      </c>
      <c r="P67" s="1904"/>
      <c r="Q67" s="788"/>
      <c r="R67" s="1187"/>
      <c r="S67" s="144"/>
      <c r="T67" s="144"/>
      <c r="U67" s="3157">
        <f t="shared" si="50"/>
        <v>1.4</v>
      </c>
      <c r="V67" s="3157">
        <f t="shared" si="50"/>
        <v>4.2</v>
      </c>
      <c r="W67" s="3157">
        <f t="shared" si="50"/>
        <v>2.54</v>
      </c>
      <c r="X67" s="3157">
        <f t="shared" si="50"/>
        <v>0.6</v>
      </c>
      <c r="Y67" s="3157">
        <f t="shared" si="50"/>
        <v>2</v>
      </c>
      <c r="Z67" s="3157" t="e">
        <f t="shared" si="50"/>
        <v>#REF!</v>
      </c>
      <c r="AA67" s="3157">
        <f t="shared" si="50"/>
        <v>1.6250000000000002</v>
      </c>
      <c r="AB67" s="144"/>
      <c r="AC67" s="2837"/>
      <c r="AD67" s="2838"/>
      <c r="AE67" s="2838"/>
      <c r="AF67" s="2838"/>
      <c r="AG67" s="2838"/>
      <c r="AH67" s="2838"/>
      <c r="AI67" s="2836"/>
    </row>
    <row r="68" spans="1:40">
      <c r="A68" s="1260" t="s">
        <v>1980</v>
      </c>
      <c r="B68" s="1273" t="s">
        <v>461</v>
      </c>
      <c r="C68" s="274">
        <f t="shared" si="51"/>
        <v>1.7682291666666674E-4</v>
      </c>
      <c r="D68" s="1237">
        <v>7</v>
      </c>
      <c r="E68" s="438">
        <v>1</v>
      </c>
      <c r="F68" s="438">
        <v>1</v>
      </c>
      <c r="G68" s="438">
        <v>50</v>
      </c>
      <c r="H68" s="1301" t="s">
        <v>298</v>
      </c>
      <c r="I68" s="1301">
        <v>4.6296296296296293E-4</v>
      </c>
      <c r="J68" s="6365" t="s">
        <v>1687</v>
      </c>
      <c r="K68" s="6363" t="s">
        <v>2287</v>
      </c>
      <c r="L68" s="1189"/>
      <c r="M68" s="1202">
        <v>0.8</v>
      </c>
      <c r="N68" s="1188"/>
      <c r="O68" s="1191">
        <f t="shared" si="52"/>
        <v>3.5364583333333347E-4</v>
      </c>
      <c r="P68" s="1904"/>
      <c r="Q68" s="788"/>
      <c r="R68" s="1187"/>
      <c r="S68" s="144"/>
      <c r="T68" s="144"/>
      <c r="U68" s="3157">
        <f t="shared" si="50"/>
        <v>1.4</v>
      </c>
      <c r="V68" s="3157">
        <f t="shared" si="50"/>
        <v>4.2</v>
      </c>
      <c r="W68" s="3157">
        <f t="shared" si="50"/>
        <v>2.54</v>
      </c>
      <c r="X68" s="3157">
        <f t="shared" si="50"/>
        <v>0.6</v>
      </c>
      <c r="Y68" s="3157">
        <f t="shared" si="50"/>
        <v>2</v>
      </c>
      <c r="Z68" s="3157" t="e">
        <f t="shared" si="50"/>
        <v>#REF!</v>
      </c>
      <c r="AA68" s="3157">
        <f t="shared" si="50"/>
        <v>1.6250000000000002</v>
      </c>
      <c r="AB68" s="144"/>
      <c r="AC68" s="2867" t="s">
        <v>193</v>
      </c>
      <c r="AD68" s="2937"/>
      <c r="AE68" s="2937"/>
      <c r="AF68" s="2937"/>
      <c r="AG68" s="2937"/>
      <c r="AH68" s="2937"/>
      <c r="AI68" s="2935"/>
    </row>
    <row r="69" spans="1:40">
      <c r="A69" s="1261"/>
      <c r="B69" s="1262"/>
      <c r="C69" s="856"/>
      <c r="D69" s="1237">
        <v>7</v>
      </c>
      <c r="E69" s="438">
        <v>1</v>
      </c>
      <c r="F69" s="438">
        <v>1</v>
      </c>
      <c r="G69" s="438">
        <v>200</v>
      </c>
      <c r="H69" s="1301" t="s">
        <v>535</v>
      </c>
      <c r="I69" s="1301">
        <v>4.6296296296296293E-4</v>
      </c>
      <c r="J69" s="2425"/>
      <c r="K69" s="4593"/>
      <c r="L69" s="1189"/>
      <c r="M69" s="1202">
        <v>1.8</v>
      </c>
      <c r="N69" s="1188"/>
      <c r="O69" s="1191">
        <f t="shared" ref="O69" si="53">C69*(G69/25)</f>
        <v>0</v>
      </c>
      <c r="P69" s="1904"/>
      <c r="Q69" s="788"/>
      <c r="R69" s="1187"/>
      <c r="S69" s="144"/>
      <c r="T69" s="144"/>
      <c r="U69" s="3157"/>
      <c r="V69" s="3157"/>
      <c r="W69" s="3157"/>
      <c r="X69" s="3157"/>
      <c r="Y69" s="3157"/>
      <c r="Z69" s="3157"/>
      <c r="AA69" s="3157"/>
      <c r="AB69" s="144"/>
      <c r="AC69" s="2867"/>
      <c r="AD69" s="2937"/>
      <c r="AE69" s="2937"/>
      <c r="AF69" s="2937"/>
      <c r="AG69" s="2937"/>
      <c r="AH69" s="2937"/>
      <c r="AI69" s="2935"/>
    </row>
    <row r="70" spans="1:40">
      <c r="A70" s="1261"/>
      <c r="B70" s="1262"/>
      <c r="C70" s="856"/>
      <c r="D70" s="1237"/>
      <c r="E70" s="438">
        <v>1</v>
      </c>
      <c r="F70" s="438">
        <v>1</v>
      </c>
      <c r="G70" s="438">
        <v>100</v>
      </c>
      <c r="H70" s="1301" t="s">
        <v>1987</v>
      </c>
      <c r="I70" s="1301">
        <v>4.6296296296296293E-4</v>
      </c>
      <c r="J70" s="2425"/>
      <c r="K70" s="4647"/>
      <c r="L70" s="1189"/>
      <c r="M70" s="1202">
        <v>1.8</v>
      </c>
      <c r="N70" s="1188"/>
      <c r="O70" s="1191">
        <f t="shared" ref="O70" si="54">C70*(G70/25)</f>
        <v>0</v>
      </c>
      <c r="P70" s="1904"/>
      <c r="Q70" s="788"/>
      <c r="R70" s="1187"/>
      <c r="S70" s="144"/>
      <c r="T70" s="144"/>
      <c r="U70" s="3157"/>
      <c r="V70" s="3157"/>
      <c r="W70" s="3157"/>
      <c r="X70" s="3157"/>
      <c r="Y70" s="3157"/>
      <c r="Z70" s="3157"/>
      <c r="AA70" s="3157"/>
      <c r="AB70" s="144"/>
      <c r="AC70" s="2867"/>
      <c r="AD70" s="2937"/>
      <c r="AE70" s="2937"/>
      <c r="AF70" s="2937"/>
      <c r="AG70" s="2937"/>
      <c r="AH70" s="2937"/>
      <c r="AI70" s="2935"/>
    </row>
    <row r="71" spans="1:40">
      <c r="A71" s="1261"/>
      <c r="B71" s="1262" t="s">
        <v>461</v>
      </c>
      <c r="C71" s="1258"/>
      <c r="D71" s="1259"/>
      <c r="E71" s="336"/>
      <c r="F71" s="336"/>
      <c r="G71" s="336"/>
      <c r="H71" s="336"/>
      <c r="I71" s="336"/>
      <c r="J71" s="336"/>
      <c r="K71" s="144"/>
      <c r="L71" s="1003"/>
      <c r="M71" s="1198"/>
      <c r="N71" s="1008"/>
      <c r="O71" s="336"/>
      <c r="P71" s="336"/>
      <c r="Q71" s="336"/>
      <c r="R71" s="1238"/>
      <c r="S71" s="144"/>
      <c r="T71" s="144"/>
      <c r="U71" s="3157">
        <f t="shared" ref="U71:AA71" si="55">IF(U68&gt;0,U68,U67)</f>
        <v>1.4</v>
      </c>
      <c r="V71" s="3157">
        <f t="shared" si="55"/>
        <v>4.2</v>
      </c>
      <c r="W71" s="3157">
        <f t="shared" si="55"/>
        <v>2.54</v>
      </c>
      <c r="X71" s="3157">
        <f t="shared" si="55"/>
        <v>0.6</v>
      </c>
      <c r="Y71" s="3157">
        <f t="shared" si="55"/>
        <v>2</v>
      </c>
      <c r="Z71" s="3157" t="e">
        <f t="shared" si="55"/>
        <v>#REF!</v>
      </c>
      <c r="AA71" s="3157">
        <f t="shared" si="55"/>
        <v>1.6250000000000002</v>
      </c>
      <c r="AB71" s="144"/>
      <c r="AC71" s="2867">
        <v>0</v>
      </c>
      <c r="AD71" s="2867">
        <v>0</v>
      </c>
      <c r="AE71" s="2867">
        <v>0</v>
      </c>
      <c r="AF71" s="2867">
        <v>0</v>
      </c>
      <c r="AG71" s="2867">
        <v>0</v>
      </c>
      <c r="AH71" s="2867">
        <v>0</v>
      </c>
      <c r="AI71" s="2935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3157">
        <f t="shared" ref="U72:AA72" si="56">IF(U71&gt;0,U71,U68)</f>
        <v>1.4</v>
      </c>
      <c r="V72" s="3157">
        <f t="shared" si="56"/>
        <v>4.2</v>
      </c>
      <c r="W72" s="3157">
        <f t="shared" si="56"/>
        <v>2.54</v>
      </c>
      <c r="X72" s="3157">
        <f t="shared" si="56"/>
        <v>0.6</v>
      </c>
      <c r="Y72" s="3157">
        <f t="shared" si="56"/>
        <v>2</v>
      </c>
      <c r="Z72" s="3157" t="e">
        <f t="shared" si="56"/>
        <v>#REF!</v>
      </c>
      <c r="AA72" s="3157">
        <f t="shared" si="56"/>
        <v>1.6250000000000002</v>
      </c>
      <c r="AB72" s="144"/>
      <c r="AC72" s="2867"/>
      <c r="AD72" s="2867"/>
      <c r="AE72" s="2867"/>
      <c r="AF72" s="2867"/>
      <c r="AG72" s="2867"/>
      <c r="AH72" s="2867"/>
      <c r="AI72" s="2935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3157">
        <f t="shared" si="50"/>
        <v>1.4</v>
      </c>
      <c r="V73" s="3157">
        <f t="shared" si="50"/>
        <v>4.2</v>
      </c>
      <c r="W73" s="3157">
        <f t="shared" si="50"/>
        <v>2.54</v>
      </c>
      <c r="X73" s="3157">
        <f t="shared" si="50"/>
        <v>0.6</v>
      </c>
      <c r="Y73" s="3157">
        <f t="shared" si="50"/>
        <v>2</v>
      </c>
      <c r="Z73" s="3157" t="e">
        <f t="shared" si="50"/>
        <v>#REF!</v>
      </c>
      <c r="AA73" s="3157">
        <f t="shared" si="50"/>
        <v>1.6250000000000002</v>
      </c>
      <c r="AB73" s="144"/>
      <c r="AC73" s="2867"/>
      <c r="AD73" s="2867"/>
      <c r="AE73" s="2867"/>
      <c r="AF73" s="2867"/>
      <c r="AG73" s="2867"/>
      <c r="AH73" s="2867"/>
      <c r="AI73" s="2935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3157">
        <f t="shared" si="50"/>
        <v>1.4</v>
      </c>
      <c r="V74" s="3157">
        <f t="shared" si="50"/>
        <v>4.2</v>
      </c>
      <c r="W74" s="3157">
        <f t="shared" si="50"/>
        <v>2.54</v>
      </c>
      <c r="X74" s="3157">
        <f t="shared" si="50"/>
        <v>0.6</v>
      </c>
      <c r="Y74" s="3157">
        <f t="shared" si="50"/>
        <v>2</v>
      </c>
      <c r="Z74" s="3157" t="e">
        <f t="shared" si="50"/>
        <v>#REF!</v>
      </c>
      <c r="AA74" s="3157">
        <f t="shared" si="50"/>
        <v>1.6250000000000002</v>
      </c>
      <c r="AB74" s="144"/>
      <c r="AC74" s="2867">
        <v>0</v>
      </c>
      <c r="AD74" s="2867">
        <v>0</v>
      </c>
      <c r="AE74" s="2867">
        <v>0</v>
      </c>
      <c r="AF74" s="2867">
        <v>0</v>
      </c>
      <c r="AG74" s="2867">
        <v>0</v>
      </c>
      <c r="AH74" s="2867">
        <v>0</v>
      </c>
      <c r="AI74" s="2935"/>
      <c r="AJ74" s="1"/>
      <c r="AK74" s="1"/>
      <c r="AL74" s="1"/>
      <c r="AM74" s="1"/>
      <c r="AN74" s="1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3157">
        <f t="shared" si="50"/>
        <v>1.4</v>
      </c>
      <c r="V75" s="3157">
        <f t="shared" si="50"/>
        <v>4.2</v>
      </c>
      <c r="W75" s="3157">
        <f t="shared" si="50"/>
        <v>2.54</v>
      </c>
      <c r="X75" s="3157">
        <f t="shared" si="50"/>
        <v>0.6</v>
      </c>
      <c r="Y75" s="3157">
        <f t="shared" si="50"/>
        <v>2</v>
      </c>
      <c r="Z75" s="3157" t="e">
        <f t="shared" si="50"/>
        <v>#REF!</v>
      </c>
      <c r="AA75" s="3157">
        <f t="shared" si="50"/>
        <v>1.6250000000000002</v>
      </c>
      <c r="AB75" s="144"/>
      <c r="AC75" s="2867">
        <v>0</v>
      </c>
      <c r="AD75" s="2867">
        <v>0</v>
      </c>
      <c r="AE75" s="2867">
        <v>0</v>
      </c>
      <c r="AF75" s="2867">
        <v>0</v>
      </c>
      <c r="AG75" s="2867">
        <v>0</v>
      </c>
      <c r="AH75" s="2867">
        <v>0</v>
      </c>
      <c r="AI75" s="2825"/>
      <c r="AJ75" s="1"/>
      <c r="AK75" s="1"/>
      <c r="AL75" s="1"/>
      <c r="AM75" s="1"/>
      <c r="AN75" s="1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3157">
        <f t="shared" si="50"/>
        <v>1.4</v>
      </c>
      <c r="V76" s="3157">
        <f t="shared" si="50"/>
        <v>4.2</v>
      </c>
      <c r="W76" s="3157">
        <f t="shared" si="50"/>
        <v>2.54</v>
      </c>
      <c r="X76" s="3157">
        <f t="shared" si="50"/>
        <v>0.6</v>
      </c>
      <c r="Y76" s="3157">
        <f t="shared" si="50"/>
        <v>2</v>
      </c>
      <c r="Z76" s="3157" t="e">
        <f t="shared" si="50"/>
        <v>#REF!</v>
      </c>
      <c r="AA76" s="3157">
        <f t="shared" si="50"/>
        <v>1.6250000000000002</v>
      </c>
      <c r="AB76" s="144"/>
      <c r="AC76" s="2867"/>
      <c r="AD76" s="2867"/>
      <c r="AE76" s="2867"/>
      <c r="AF76" s="2867"/>
      <c r="AG76" s="2867"/>
      <c r="AH76" s="2867"/>
      <c r="AI76" s="2825"/>
      <c r="AJ76" s="1"/>
      <c r="AK76" s="1"/>
      <c r="AL76" s="1"/>
      <c r="AM76" s="1"/>
      <c r="AN76" s="1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3157">
        <f t="shared" si="50"/>
        <v>1.4</v>
      </c>
      <c r="V77" s="3157">
        <f t="shared" si="50"/>
        <v>4.2</v>
      </c>
      <c r="W77" s="3157">
        <f t="shared" si="50"/>
        <v>2.54</v>
      </c>
      <c r="X77" s="3157">
        <f t="shared" si="50"/>
        <v>0.6</v>
      </c>
      <c r="Y77" s="3157">
        <f t="shared" si="50"/>
        <v>2</v>
      </c>
      <c r="Z77" s="3157" t="e">
        <f t="shared" si="50"/>
        <v>#REF!</v>
      </c>
      <c r="AA77" s="3157">
        <f t="shared" si="50"/>
        <v>1.6250000000000002</v>
      </c>
      <c r="AB77" s="144"/>
      <c r="AC77" s="2867"/>
      <c r="AD77" s="2867"/>
      <c r="AE77" s="2867"/>
      <c r="AF77" s="2867"/>
      <c r="AG77" s="2867"/>
      <c r="AH77" s="2867"/>
      <c r="AI77" s="2825"/>
      <c r="AJ77" s="1"/>
      <c r="AK77" s="1"/>
      <c r="AL77" s="1"/>
      <c r="AM77" s="1"/>
      <c r="AN77" s="1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3157">
        <f t="shared" si="50"/>
        <v>1.4</v>
      </c>
      <c r="V78" s="3157">
        <f t="shared" si="50"/>
        <v>4.2</v>
      </c>
      <c r="W78" s="3157">
        <f t="shared" si="50"/>
        <v>2.54</v>
      </c>
      <c r="X78" s="3157">
        <f t="shared" si="50"/>
        <v>0.6</v>
      </c>
      <c r="Y78" s="3157">
        <f t="shared" si="50"/>
        <v>2</v>
      </c>
      <c r="Z78" s="3157" t="e">
        <f t="shared" si="50"/>
        <v>#REF!</v>
      </c>
      <c r="AA78" s="3157">
        <f t="shared" si="50"/>
        <v>1.6250000000000002</v>
      </c>
      <c r="AB78" s="144"/>
      <c r="AC78" s="2867">
        <v>0</v>
      </c>
      <c r="AD78" s="2867">
        <v>0</v>
      </c>
      <c r="AE78" s="2867">
        <v>0</v>
      </c>
      <c r="AF78" s="2867">
        <v>0</v>
      </c>
      <c r="AG78" s="2867">
        <v>0</v>
      </c>
      <c r="AH78" s="2867">
        <v>0</v>
      </c>
      <c r="AI78" s="2825"/>
      <c r="AJ78" s="1"/>
      <c r="AK78" s="1"/>
      <c r="AL78" s="1"/>
      <c r="AM78" s="1"/>
      <c r="AN78" s="1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3157">
        <f t="shared" si="50"/>
        <v>1.4</v>
      </c>
      <c r="V79" s="3157">
        <f t="shared" si="50"/>
        <v>4.2</v>
      </c>
      <c r="W79" s="3157">
        <f t="shared" si="50"/>
        <v>2.54</v>
      </c>
      <c r="X79" s="3157">
        <f t="shared" si="50"/>
        <v>0.6</v>
      </c>
      <c r="Y79" s="3157">
        <f t="shared" si="50"/>
        <v>2</v>
      </c>
      <c r="Z79" s="3157" t="e">
        <f t="shared" si="50"/>
        <v>#REF!</v>
      </c>
      <c r="AA79" s="3157">
        <f t="shared" si="50"/>
        <v>1.6250000000000002</v>
      </c>
      <c r="AB79" s="144"/>
      <c r="AC79" s="2867">
        <v>0</v>
      </c>
      <c r="AD79" s="2867">
        <v>0</v>
      </c>
      <c r="AE79" s="2867">
        <v>0</v>
      </c>
      <c r="AF79" s="2867">
        <v>0</v>
      </c>
      <c r="AG79" s="2867">
        <v>0</v>
      </c>
      <c r="AH79" s="2867">
        <v>0</v>
      </c>
      <c r="AI79" s="2825"/>
      <c r="AJ79" s="1"/>
      <c r="AK79" s="1"/>
      <c r="AL79" s="1"/>
      <c r="AM79" s="1"/>
      <c r="AN79" s="1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3157">
        <f t="shared" si="50"/>
        <v>1.4</v>
      </c>
      <c r="V80" s="3157">
        <f t="shared" si="50"/>
        <v>4.2</v>
      </c>
      <c r="W80" s="3157">
        <f t="shared" si="50"/>
        <v>2.54</v>
      </c>
      <c r="X80" s="3157">
        <f t="shared" si="50"/>
        <v>0.6</v>
      </c>
      <c r="Y80" s="3157">
        <f t="shared" si="50"/>
        <v>2</v>
      </c>
      <c r="Z80" s="3157" t="e">
        <f t="shared" si="50"/>
        <v>#REF!</v>
      </c>
      <c r="AA80" s="3157">
        <f t="shared" si="50"/>
        <v>1.6250000000000002</v>
      </c>
      <c r="AB80" s="144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825"/>
      <c r="AJ80" s="1"/>
      <c r="AK80" s="1"/>
      <c r="AL80" s="1"/>
      <c r="AM80" s="1"/>
      <c r="AN80" s="1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3157">
        <f t="shared" si="50"/>
        <v>1.4</v>
      </c>
      <c r="V81" s="3157">
        <f t="shared" si="50"/>
        <v>4.2</v>
      </c>
      <c r="W81" s="3157">
        <f t="shared" si="50"/>
        <v>2.54</v>
      </c>
      <c r="X81" s="3157">
        <f t="shared" si="50"/>
        <v>0.6</v>
      </c>
      <c r="Y81" s="3157">
        <f t="shared" si="50"/>
        <v>2</v>
      </c>
      <c r="Z81" s="3157" t="e">
        <f t="shared" si="50"/>
        <v>#REF!</v>
      </c>
      <c r="AA81" s="3157">
        <f t="shared" si="50"/>
        <v>1.6250000000000002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3157">
        <f t="shared" ref="U82:AA97" si="57">IF(U81&gt;0,U81,U80)</f>
        <v>1.4</v>
      </c>
      <c r="V82" s="3157">
        <f t="shared" si="57"/>
        <v>4.2</v>
      </c>
      <c r="W82" s="3157">
        <f t="shared" si="57"/>
        <v>2.54</v>
      </c>
      <c r="X82" s="3157">
        <f t="shared" si="57"/>
        <v>0.6</v>
      </c>
      <c r="Y82" s="3157">
        <f t="shared" si="57"/>
        <v>2</v>
      </c>
      <c r="Z82" s="3157" t="e">
        <f t="shared" si="57"/>
        <v>#REF!</v>
      </c>
      <c r="AA82" s="3157">
        <f t="shared" si="57"/>
        <v>1.6250000000000002</v>
      </c>
      <c r="AB82" s="144"/>
      <c r="AC82" s="2867"/>
      <c r="AD82" s="2867"/>
      <c r="AE82" s="2867"/>
      <c r="AF82" s="2867"/>
      <c r="AG82" s="2867"/>
      <c r="AH82" s="2867"/>
      <c r="AI82" s="282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3157">
        <f t="shared" si="57"/>
        <v>1.4</v>
      </c>
      <c r="V83" s="3157">
        <f t="shared" si="57"/>
        <v>4.2</v>
      </c>
      <c r="W83" s="3157">
        <f t="shared" si="57"/>
        <v>2.54</v>
      </c>
      <c r="X83" s="3157">
        <f t="shared" si="57"/>
        <v>0.6</v>
      </c>
      <c r="Y83" s="3157">
        <f t="shared" si="57"/>
        <v>2</v>
      </c>
      <c r="Z83" s="3157" t="e">
        <f t="shared" si="57"/>
        <v>#REF!</v>
      </c>
      <c r="AA83" s="3157">
        <f t="shared" si="57"/>
        <v>1.6250000000000002</v>
      </c>
      <c r="AB83" s="144"/>
      <c r="AC83" s="2867"/>
      <c r="AD83" s="2867"/>
      <c r="AE83" s="2867"/>
      <c r="AF83" s="2867"/>
      <c r="AG83" s="2867"/>
      <c r="AH83" s="2867"/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3157">
        <f t="shared" si="57"/>
        <v>1.4</v>
      </c>
      <c r="V84" s="3157">
        <f t="shared" si="57"/>
        <v>4.2</v>
      </c>
      <c r="W84" s="3157">
        <f t="shared" si="57"/>
        <v>2.54</v>
      </c>
      <c r="X84" s="3157">
        <f t="shared" si="57"/>
        <v>0.6</v>
      </c>
      <c r="Y84" s="3157">
        <f t="shared" si="57"/>
        <v>2</v>
      </c>
      <c r="Z84" s="3157" t="e">
        <f t="shared" si="57"/>
        <v>#REF!</v>
      </c>
      <c r="AA84" s="3157">
        <f t="shared" si="57"/>
        <v>1.6250000000000002</v>
      </c>
      <c r="AB84" s="144"/>
      <c r="AC84" s="2867">
        <v>0</v>
      </c>
      <c r="AD84" s="2867">
        <v>0</v>
      </c>
      <c r="AE84" s="2867">
        <v>0</v>
      </c>
      <c r="AF84" s="2867">
        <v>0</v>
      </c>
      <c r="AG84" s="2867">
        <v>0</v>
      </c>
      <c r="AH84" s="2867">
        <v>0</v>
      </c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3157">
        <f t="shared" si="57"/>
        <v>1.4</v>
      </c>
      <c r="V85" s="3157">
        <f t="shared" si="57"/>
        <v>4.2</v>
      </c>
      <c r="W85" s="3157">
        <f t="shared" si="57"/>
        <v>2.54</v>
      </c>
      <c r="X85" s="3157">
        <f t="shared" si="57"/>
        <v>0.6</v>
      </c>
      <c r="Y85" s="3157">
        <f t="shared" si="57"/>
        <v>2</v>
      </c>
      <c r="Z85" s="3157" t="e">
        <f t="shared" si="57"/>
        <v>#REF!</v>
      </c>
      <c r="AA85" s="3157">
        <f t="shared" si="57"/>
        <v>1.6250000000000002</v>
      </c>
      <c r="AB85" s="144"/>
      <c r="AC85" s="2867">
        <v>0</v>
      </c>
      <c r="AD85" s="2867">
        <v>0</v>
      </c>
      <c r="AE85" s="2867">
        <v>0</v>
      </c>
      <c r="AF85" s="2867">
        <v>0</v>
      </c>
      <c r="AG85" s="2867">
        <v>0</v>
      </c>
      <c r="AH85" s="2867">
        <v>0</v>
      </c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3157">
        <f t="shared" si="57"/>
        <v>1.4</v>
      </c>
      <c r="V86" s="3157">
        <f t="shared" si="57"/>
        <v>4.2</v>
      </c>
      <c r="W86" s="3157">
        <f t="shared" si="57"/>
        <v>2.54</v>
      </c>
      <c r="X86" s="3157">
        <f t="shared" si="57"/>
        <v>0.6</v>
      </c>
      <c r="Y86" s="3157">
        <f t="shared" si="57"/>
        <v>2</v>
      </c>
      <c r="Z86" s="3157" t="e">
        <f t="shared" si="57"/>
        <v>#REF!</v>
      </c>
      <c r="AA86" s="3157">
        <f t="shared" si="57"/>
        <v>1.6250000000000002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3157">
        <f t="shared" si="57"/>
        <v>1.4</v>
      </c>
      <c r="V87" s="3157">
        <f t="shared" si="57"/>
        <v>4.2</v>
      </c>
      <c r="W87" s="3157">
        <f t="shared" si="57"/>
        <v>2.54</v>
      </c>
      <c r="X87" s="3157">
        <f t="shared" si="57"/>
        <v>0.6</v>
      </c>
      <c r="Y87" s="3157">
        <f t="shared" si="57"/>
        <v>2</v>
      </c>
      <c r="Z87" s="3157" t="e">
        <f t="shared" si="57"/>
        <v>#REF!</v>
      </c>
      <c r="AA87" s="3157">
        <f t="shared" si="57"/>
        <v>1.6250000000000002</v>
      </c>
      <c r="AB87" s="144"/>
      <c r="AC87" s="2867"/>
      <c r="AD87" s="2867"/>
      <c r="AE87" s="2867"/>
      <c r="AF87" s="2867"/>
      <c r="AG87" s="2867"/>
      <c r="AH87" s="2867"/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3157">
        <f t="shared" si="57"/>
        <v>1.4</v>
      </c>
      <c r="V88" s="3157">
        <f t="shared" si="57"/>
        <v>4.2</v>
      </c>
      <c r="W88" s="3157">
        <f t="shared" si="57"/>
        <v>2.54</v>
      </c>
      <c r="X88" s="3157">
        <f t="shared" si="57"/>
        <v>0.6</v>
      </c>
      <c r="Y88" s="3157">
        <f t="shared" si="57"/>
        <v>2</v>
      </c>
      <c r="Z88" s="3157" t="e">
        <f t="shared" si="57"/>
        <v>#REF!</v>
      </c>
      <c r="AA88" s="3157">
        <f t="shared" si="57"/>
        <v>1.6250000000000002</v>
      </c>
      <c r="AB88" s="144"/>
      <c r="AC88" s="2867"/>
      <c r="AD88" s="2867"/>
      <c r="AE88" s="2867"/>
      <c r="AF88" s="2867"/>
      <c r="AG88" s="2867"/>
      <c r="AH88" s="2867"/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3157">
        <f t="shared" si="57"/>
        <v>1.4</v>
      </c>
      <c r="V89" s="3157">
        <f t="shared" si="57"/>
        <v>4.2</v>
      </c>
      <c r="W89" s="3157">
        <f t="shared" si="57"/>
        <v>2.54</v>
      </c>
      <c r="X89" s="3157">
        <f t="shared" si="57"/>
        <v>0.6</v>
      </c>
      <c r="Y89" s="3157">
        <f t="shared" si="57"/>
        <v>2</v>
      </c>
      <c r="Z89" s="3157" t="e">
        <f t="shared" si="57"/>
        <v>#REF!</v>
      </c>
      <c r="AA89" s="3157">
        <f t="shared" si="57"/>
        <v>1.6250000000000002</v>
      </c>
      <c r="AB89" s="144"/>
      <c r="AC89" s="2867">
        <v>0</v>
      </c>
      <c r="AD89" s="2867">
        <v>0</v>
      </c>
      <c r="AE89" s="2867">
        <v>0</v>
      </c>
      <c r="AF89" s="2867">
        <v>0</v>
      </c>
      <c r="AG89" s="2867">
        <v>0</v>
      </c>
      <c r="AH89" s="2867">
        <v>0</v>
      </c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3157">
        <f t="shared" si="57"/>
        <v>1.4</v>
      </c>
      <c r="V90" s="3157">
        <f t="shared" si="57"/>
        <v>4.2</v>
      </c>
      <c r="W90" s="3157">
        <f t="shared" si="57"/>
        <v>2.54</v>
      </c>
      <c r="X90" s="3157">
        <f t="shared" si="57"/>
        <v>0.6</v>
      </c>
      <c r="Y90" s="3157">
        <f t="shared" si="57"/>
        <v>2</v>
      </c>
      <c r="Z90" s="3157" t="e">
        <f t="shared" si="57"/>
        <v>#REF!</v>
      </c>
      <c r="AA90" s="3157">
        <f t="shared" si="57"/>
        <v>1.6250000000000002</v>
      </c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1"/>
      <c r="AK90" s="1"/>
      <c r="AL90" s="1"/>
      <c r="AM90" s="1"/>
      <c r="AN90" s="1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3157">
        <f t="shared" si="57"/>
        <v>1.4</v>
      </c>
      <c r="V91" s="3157">
        <f t="shared" si="57"/>
        <v>4.2</v>
      </c>
      <c r="W91" s="3157">
        <f t="shared" si="57"/>
        <v>2.54</v>
      </c>
      <c r="X91" s="3157">
        <f t="shared" si="57"/>
        <v>0.6</v>
      </c>
      <c r="Y91" s="3157">
        <f t="shared" si="57"/>
        <v>2</v>
      </c>
      <c r="Z91" s="3157" t="e">
        <f t="shared" si="57"/>
        <v>#REF!</v>
      </c>
      <c r="AA91" s="3157">
        <f t="shared" si="57"/>
        <v>1.6250000000000002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3157">
        <f t="shared" si="57"/>
        <v>1.4</v>
      </c>
      <c r="V92" s="3157">
        <f t="shared" si="57"/>
        <v>4.2</v>
      </c>
      <c r="W92" s="3157">
        <f t="shared" si="57"/>
        <v>2.54</v>
      </c>
      <c r="X92" s="3157">
        <f t="shared" si="57"/>
        <v>0.6</v>
      </c>
      <c r="Y92" s="3157">
        <f t="shared" si="57"/>
        <v>2</v>
      </c>
      <c r="Z92" s="3157" t="e">
        <f t="shared" si="57"/>
        <v>#REF!</v>
      </c>
      <c r="AA92" s="3157">
        <f t="shared" si="57"/>
        <v>1.6250000000000002</v>
      </c>
      <c r="AB92" s="144"/>
      <c r="AC92" s="2867"/>
      <c r="AD92" s="2867"/>
      <c r="AE92" s="2867"/>
      <c r="AF92" s="2867"/>
      <c r="AG92" s="2867"/>
      <c r="AH92" s="2867"/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3157">
        <f t="shared" si="57"/>
        <v>1.4</v>
      </c>
      <c r="V93" s="3157">
        <f t="shared" si="57"/>
        <v>4.2</v>
      </c>
      <c r="W93" s="3157">
        <f t="shared" si="57"/>
        <v>2.54</v>
      </c>
      <c r="X93" s="3157">
        <f t="shared" si="57"/>
        <v>0.6</v>
      </c>
      <c r="Y93" s="3157">
        <f t="shared" si="57"/>
        <v>2</v>
      </c>
      <c r="Z93" s="3157" t="e">
        <f t="shared" si="57"/>
        <v>#REF!</v>
      </c>
      <c r="AA93" s="3157">
        <f t="shared" si="57"/>
        <v>1.6250000000000002</v>
      </c>
      <c r="AB93" s="144"/>
      <c r="AC93" s="2867"/>
      <c r="AD93" s="2867"/>
      <c r="AE93" s="2867"/>
      <c r="AF93" s="2867"/>
      <c r="AG93" s="2867"/>
      <c r="AH93" s="2867"/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3157">
        <f t="shared" si="57"/>
        <v>1.4</v>
      </c>
      <c r="V94" s="3157">
        <f t="shared" si="57"/>
        <v>4.2</v>
      </c>
      <c r="W94" s="3157">
        <f t="shared" si="57"/>
        <v>2.54</v>
      </c>
      <c r="X94" s="3157">
        <f t="shared" si="57"/>
        <v>0.6</v>
      </c>
      <c r="Y94" s="3157">
        <f t="shared" si="57"/>
        <v>2</v>
      </c>
      <c r="Z94" s="3157" t="e">
        <f t="shared" si="57"/>
        <v>#REF!</v>
      </c>
      <c r="AA94" s="3157">
        <f t="shared" si="57"/>
        <v>1.6250000000000002</v>
      </c>
      <c r="AB94" s="144"/>
      <c r="AC94" s="2867">
        <v>0</v>
      </c>
      <c r="AD94" s="2867">
        <v>0</v>
      </c>
      <c r="AE94" s="2867">
        <v>0</v>
      </c>
      <c r="AF94" s="2867">
        <v>0</v>
      </c>
      <c r="AG94" s="2867">
        <v>0</v>
      </c>
      <c r="AH94" s="2867">
        <v>0</v>
      </c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3157">
        <f t="shared" si="57"/>
        <v>1.4</v>
      </c>
      <c r="V95" s="3157">
        <f t="shared" si="57"/>
        <v>4.2</v>
      </c>
      <c r="W95" s="3157">
        <f t="shared" si="57"/>
        <v>2.54</v>
      </c>
      <c r="X95" s="3157">
        <f t="shared" si="57"/>
        <v>0.6</v>
      </c>
      <c r="Y95" s="3157">
        <f t="shared" si="57"/>
        <v>2</v>
      </c>
      <c r="Z95" s="3157" t="e">
        <f t="shared" si="57"/>
        <v>#REF!</v>
      </c>
      <c r="AA95" s="3157">
        <f t="shared" si="57"/>
        <v>1.6250000000000002</v>
      </c>
      <c r="AB95" s="144"/>
      <c r="AC95" s="2867">
        <v>0</v>
      </c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82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3157">
        <f t="shared" si="57"/>
        <v>1.4</v>
      </c>
      <c r="V96" s="3157">
        <f t="shared" si="57"/>
        <v>4.2</v>
      </c>
      <c r="W96" s="3157">
        <f t="shared" si="57"/>
        <v>2.54</v>
      </c>
      <c r="X96" s="3157">
        <f t="shared" si="57"/>
        <v>0.6</v>
      </c>
      <c r="Y96" s="3157">
        <f t="shared" si="57"/>
        <v>2</v>
      </c>
      <c r="Z96" s="3157" t="e">
        <f t="shared" si="57"/>
        <v>#REF!</v>
      </c>
      <c r="AA96" s="3157">
        <f t="shared" si="57"/>
        <v>1.6250000000000002</v>
      </c>
      <c r="AB96" s="144"/>
      <c r="AC96" s="2867"/>
      <c r="AD96" s="2867"/>
      <c r="AE96" s="2867"/>
      <c r="AF96" s="2867"/>
      <c r="AG96" s="2867"/>
      <c r="AH96" s="2867"/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3157">
        <f t="shared" si="57"/>
        <v>1.4</v>
      </c>
      <c r="V97" s="3157">
        <f t="shared" si="57"/>
        <v>4.2</v>
      </c>
      <c r="W97" s="3157">
        <f t="shared" si="57"/>
        <v>2.54</v>
      </c>
      <c r="X97" s="3157">
        <f t="shared" si="57"/>
        <v>0.6</v>
      </c>
      <c r="Y97" s="3157">
        <f t="shared" si="57"/>
        <v>2</v>
      </c>
      <c r="Z97" s="3157" t="e">
        <f t="shared" si="57"/>
        <v>#REF!</v>
      </c>
      <c r="AA97" s="3157">
        <f t="shared" si="57"/>
        <v>1.6250000000000002</v>
      </c>
      <c r="AB97" s="144"/>
      <c r="AC97" s="2867"/>
      <c r="AD97" s="2867"/>
      <c r="AE97" s="2867"/>
      <c r="AF97" s="2867"/>
      <c r="AG97" s="2867"/>
      <c r="AH97" s="2867"/>
      <c r="AI97" s="2825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3157">
        <f t="shared" ref="U98:AA113" si="58">IF(U97&gt;0,U97,U96)</f>
        <v>1.4</v>
      </c>
      <c r="V98" s="3157">
        <f t="shared" si="58"/>
        <v>4.2</v>
      </c>
      <c r="W98" s="3157">
        <f t="shared" si="58"/>
        <v>2.54</v>
      </c>
      <c r="X98" s="3157">
        <f t="shared" si="58"/>
        <v>0.6</v>
      </c>
      <c r="Y98" s="3157">
        <f t="shared" si="58"/>
        <v>2</v>
      </c>
      <c r="Z98" s="3157" t="e">
        <f t="shared" si="58"/>
        <v>#REF!</v>
      </c>
      <c r="AA98" s="3157">
        <f t="shared" si="58"/>
        <v>1.6250000000000002</v>
      </c>
      <c r="AB98" s="144"/>
      <c r="AC98" s="2867">
        <v>0</v>
      </c>
      <c r="AD98" s="2867">
        <v>0</v>
      </c>
      <c r="AE98" s="2867">
        <v>0</v>
      </c>
      <c r="AF98" s="2867">
        <v>0</v>
      </c>
      <c r="AG98" s="2867">
        <v>0</v>
      </c>
      <c r="AH98" s="2867">
        <v>0</v>
      </c>
      <c r="AI98" s="2825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3157">
        <f t="shared" si="58"/>
        <v>1.4</v>
      </c>
      <c r="V99" s="3157">
        <f t="shared" si="58"/>
        <v>4.2</v>
      </c>
      <c r="W99" s="3157">
        <f t="shared" si="58"/>
        <v>2.54</v>
      </c>
      <c r="X99" s="3157">
        <f t="shared" si="58"/>
        <v>0.6</v>
      </c>
      <c r="Y99" s="3157">
        <f t="shared" si="58"/>
        <v>2</v>
      </c>
      <c r="Z99" s="3157" t="e">
        <f t="shared" si="58"/>
        <v>#REF!</v>
      </c>
      <c r="AA99" s="3157">
        <f t="shared" si="58"/>
        <v>1.6250000000000002</v>
      </c>
      <c r="AB99" s="144"/>
      <c r="AC99" s="2867">
        <v>0</v>
      </c>
      <c r="AD99" s="2867">
        <v>0</v>
      </c>
      <c r="AE99" s="2867">
        <v>0</v>
      </c>
      <c r="AF99" s="2867">
        <v>0</v>
      </c>
      <c r="AG99" s="2867">
        <v>0</v>
      </c>
      <c r="AH99" s="2867">
        <v>0</v>
      </c>
      <c r="AI99" s="2825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3157">
        <f t="shared" si="58"/>
        <v>1.4</v>
      </c>
      <c r="V100" s="3157">
        <f t="shared" si="58"/>
        <v>4.2</v>
      </c>
      <c r="W100" s="3157">
        <f t="shared" si="58"/>
        <v>2.54</v>
      </c>
      <c r="X100" s="3157">
        <f t="shared" si="58"/>
        <v>0.6</v>
      </c>
      <c r="Y100" s="3157">
        <f t="shared" si="58"/>
        <v>2</v>
      </c>
      <c r="Z100" s="3157" t="e">
        <f t="shared" si="58"/>
        <v>#REF!</v>
      </c>
      <c r="AA100" s="3157">
        <f t="shared" si="58"/>
        <v>1.6250000000000002</v>
      </c>
      <c r="AB100" s="144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3157">
        <f t="shared" si="58"/>
        <v>1.4</v>
      </c>
      <c r="V101" s="3157">
        <f t="shared" si="58"/>
        <v>4.2</v>
      </c>
      <c r="W101" s="3157">
        <f t="shared" si="58"/>
        <v>2.54</v>
      </c>
      <c r="X101" s="3157">
        <f t="shared" si="58"/>
        <v>0.6</v>
      </c>
      <c r="Y101" s="3157">
        <f t="shared" si="58"/>
        <v>2</v>
      </c>
      <c r="Z101" s="3157" t="e">
        <f t="shared" si="58"/>
        <v>#REF!</v>
      </c>
      <c r="AA101" s="3157">
        <f t="shared" si="58"/>
        <v>1.6250000000000002</v>
      </c>
      <c r="AB101" s="144"/>
      <c r="AC101" s="2867">
        <v>0</v>
      </c>
      <c r="AD101" s="2867">
        <v>0</v>
      </c>
      <c r="AE101" s="2867">
        <v>0</v>
      </c>
      <c r="AF101" s="2867">
        <v>0</v>
      </c>
      <c r="AG101" s="2867">
        <v>0</v>
      </c>
      <c r="AH101" s="2867">
        <v>0</v>
      </c>
      <c r="AI101" s="2825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3157">
        <f t="shared" si="58"/>
        <v>1.4</v>
      </c>
      <c r="V102" s="3157">
        <f t="shared" si="58"/>
        <v>4.2</v>
      </c>
      <c r="W102" s="3157">
        <f t="shared" si="58"/>
        <v>2.54</v>
      </c>
      <c r="X102" s="3157">
        <f t="shared" si="58"/>
        <v>0.6</v>
      </c>
      <c r="Y102" s="3157">
        <f t="shared" si="58"/>
        <v>2</v>
      </c>
      <c r="Z102" s="3157" t="e">
        <f t="shared" si="58"/>
        <v>#REF!</v>
      </c>
      <c r="AA102" s="3157">
        <f t="shared" si="58"/>
        <v>1.6250000000000002</v>
      </c>
      <c r="AB102" s="144"/>
      <c r="AC102" s="2867"/>
      <c r="AD102" s="2867"/>
      <c r="AE102" s="2867"/>
      <c r="AF102" s="2867"/>
      <c r="AG102" s="2867"/>
      <c r="AH102" s="2867"/>
      <c r="AI102" s="2825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3157">
        <f t="shared" si="58"/>
        <v>1.4</v>
      </c>
      <c r="V103" s="3157">
        <f t="shared" si="58"/>
        <v>4.2</v>
      </c>
      <c r="W103" s="3157">
        <f t="shared" si="58"/>
        <v>2.54</v>
      </c>
      <c r="X103" s="3157">
        <f t="shared" si="58"/>
        <v>0.6</v>
      </c>
      <c r="Y103" s="3157">
        <f t="shared" si="58"/>
        <v>2</v>
      </c>
      <c r="Z103" s="3157" t="e">
        <f t="shared" si="58"/>
        <v>#REF!</v>
      </c>
      <c r="AA103" s="3157">
        <f t="shared" si="58"/>
        <v>1.6250000000000002</v>
      </c>
      <c r="AB103" s="144"/>
      <c r="AC103" s="2867">
        <v>0</v>
      </c>
      <c r="AD103" s="2867">
        <v>0</v>
      </c>
      <c r="AE103" s="2867">
        <v>0</v>
      </c>
      <c r="AF103" s="2867">
        <v>0</v>
      </c>
      <c r="AG103" s="2867">
        <v>0</v>
      </c>
      <c r="AH103" s="2867">
        <v>0</v>
      </c>
      <c r="AI103" s="2825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3157">
        <f t="shared" si="58"/>
        <v>1.4</v>
      </c>
      <c r="V104" s="3157">
        <f t="shared" si="58"/>
        <v>4.2</v>
      </c>
      <c r="W104" s="3157">
        <f t="shared" si="58"/>
        <v>2.54</v>
      </c>
      <c r="X104" s="3157">
        <f t="shared" si="58"/>
        <v>0.6</v>
      </c>
      <c r="Y104" s="3157">
        <f t="shared" si="58"/>
        <v>2</v>
      </c>
      <c r="Z104" s="3157" t="e">
        <f t="shared" si="58"/>
        <v>#REF!</v>
      </c>
      <c r="AA104" s="3157">
        <f t="shared" si="58"/>
        <v>1.6250000000000002</v>
      </c>
      <c r="AB104" s="144"/>
      <c r="AC104" s="2867">
        <v>0</v>
      </c>
      <c r="AD104" s="2867">
        <v>0</v>
      </c>
      <c r="AE104" s="2867">
        <v>0</v>
      </c>
      <c r="AF104" s="2867">
        <v>0</v>
      </c>
      <c r="AG104" s="2867">
        <v>0</v>
      </c>
      <c r="AH104" s="2867">
        <v>0</v>
      </c>
      <c r="AI104" s="2825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3157">
        <f t="shared" si="58"/>
        <v>1.4</v>
      </c>
      <c r="V105" s="3157">
        <f t="shared" si="58"/>
        <v>4.2</v>
      </c>
      <c r="W105" s="3157">
        <f t="shared" si="58"/>
        <v>2.54</v>
      </c>
      <c r="X105" s="3157">
        <f t="shared" si="58"/>
        <v>0.6</v>
      </c>
      <c r="Y105" s="3157">
        <f t="shared" si="58"/>
        <v>2</v>
      </c>
      <c r="Z105" s="3157" t="e">
        <f t="shared" si="58"/>
        <v>#REF!</v>
      </c>
      <c r="AA105" s="3157">
        <f t="shared" si="58"/>
        <v>1.6250000000000002</v>
      </c>
      <c r="AB105" s="144"/>
      <c r="AC105" s="2867"/>
      <c r="AD105" s="2867"/>
      <c r="AE105" s="2867"/>
      <c r="AF105" s="2867"/>
      <c r="AG105" s="2867"/>
      <c r="AH105" s="2867"/>
      <c r="AI105" s="2825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3157">
        <f t="shared" si="58"/>
        <v>1.4</v>
      </c>
      <c r="V106" s="3157">
        <f t="shared" si="58"/>
        <v>4.2</v>
      </c>
      <c r="W106" s="3157">
        <f t="shared" si="58"/>
        <v>2.54</v>
      </c>
      <c r="X106" s="3157">
        <f t="shared" si="58"/>
        <v>0.6</v>
      </c>
      <c r="Y106" s="3157">
        <f t="shared" si="58"/>
        <v>2</v>
      </c>
      <c r="Z106" s="3157" t="e">
        <f t="shared" si="58"/>
        <v>#REF!</v>
      </c>
      <c r="AA106" s="3157">
        <f t="shared" si="58"/>
        <v>1.6250000000000002</v>
      </c>
      <c r="AB106" s="144"/>
      <c r="AC106" s="2867"/>
      <c r="AD106" s="2867"/>
      <c r="AE106" s="2867"/>
      <c r="AF106" s="2867"/>
      <c r="AG106" s="2867"/>
      <c r="AH106" s="2867"/>
      <c r="AI106" s="2825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3157">
        <f t="shared" si="58"/>
        <v>1.4</v>
      </c>
      <c r="V107" s="3157">
        <f t="shared" si="58"/>
        <v>4.2</v>
      </c>
      <c r="W107" s="3157">
        <f t="shared" si="58"/>
        <v>2.54</v>
      </c>
      <c r="X107" s="3157">
        <f t="shared" si="58"/>
        <v>0.6</v>
      </c>
      <c r="Y107" s="3157">
        <f t="shared" si="58"/>
        <v>2</v>
      </c>
      <c r="Z107" s="3157" t="e">
        <f t="shared" si="58"/>
        <v>#REF!</v>
      </c>
      <c r="AA107" s="3157">
        <f t="shared" si="58"/>
        <v>1.6250000000000002</v>
      </c>
      <c r="AB107" s="144"/>
      <c r="AC107" s="2867">
        <v>0</v>
      </c>
      <c r="AD107" s="2867">
        <v>0</v>
      </c>
      <c r="AE107" s="2867">
        <v>0</v>
      </c>
      <c r="AF107" s="2867">
        <v>0</v>
      </c>
      <c r="AG107" s="2867">
        <v>0</v>
      </c>
      <c r="AH107" s="2867">
        <v>0</v>
      </c>
      <c r="AI107" s="2825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3157">
        <f t="shared" si="58"/>
        <v>1.4</v>
      </c>
      <c r="V108" s="3157">
        <f t="shared" si="58"/>
        <v>4.2</v>
      </c>
      <c r="W108" s="3157">
        <f t="shared" si="58"/>
        <v>2.54</v>
      </c>
      <c r="X108" s="3157">
        <f t="shared" si="58"/>
        <v>0.6</v>
      </c>
      <c r="Y108" s="3157">
        <f t="shared" si="58"/>
        <v>2</v>
      </c>
      <c r="Z108" s="3157" t="e">
        <f t="shared" si="58"/>
        <v>#REF!</v>
      </c>
      <c r="AA108" s="3157">
        <f t="shared" si="58"/>
        <v>1.6250000000000002</v>
      </c>
      <c r="AB108" s="144"/>
      <c r="AC108" s="2867">
        <v>0</v>
      </c>
      <c r="AD108" s="2867">
        <v>0</v>
      </c>
      <c r="AE108" s="2867">
        <v>0</v>
      </c>
      <c r="AF108" s="2867">
        <v>0</v>
      </c>
      <c r="AG108" s="2867">
        <v>0</v>
      </c>
      <c r="AH108" s="2867">
        <v>0</v>
      </c>
      <c r="AI108" s="2825"/>
      <c r="AJ108" s="1"/>
      <c r="AK108" s="1"/>
      <c r="AL108" s="1"/>
      <c r="AM108" s="1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3157">
        <f t="shared" si="58"/>
        <v>1.4</v>
      </c>
      <c r="V109" s="3157">
        <f t="shared" si="58"/>
        <v>4.2</v>
      </c>
      <c r="W109" s="3157">
        <f t="shared" si="58"/>
        <v>2.54</v>
      </c>
      <c r="X109" s="3157">
        <f t="shared" si="58"/>
        <v>0.6</v>
      </c>
      <c r="Y109" s="3157">
        <f t="shared" si="58"/>
        <v>2</v>
      </c>
      <c r="Z109" s="3157" t="e">
        <f t="shared" si="58"/>
        <v>#REF!</v>
      </c>
      <c r="AA109" s="3157">
        <f t="shared" si="58"/>
        <v>1.6250000000000002</v>
      </c>
      <c r="AB109" s="144"/>
      <c r="AC109" s="2867">
        <v>0</v>
      </c>
      <c r="AD109" s="2867">
        <v>0</v>
      </c>
      <c r="AE109" s="2867">
        <v>0</v>
      </c>
      <c r="AF109" s="2867">
        <v>0</v>
      </c>
      <c r="AG109" s="2867">
        <v>0</v>
      </c>
      <c r="AH109" s="2867">
        <v>0</v>
      </c>
      <c r="AI109" s="2825"/>
      <c r="AJ109" s="1"/>
      <c r="AK109" s="1"/>
      <c r="AL109" s="1"/>
      <c r="AM109" s="1"/>
      <c r="AN109" s="1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3157">
        <f t="shared" si="58"/>
        <v>1.4</v>
      </c>
      <c r="V110" s="3157">
        <f t="shared" si="58"/>
        <v>4.2</v>
      </c>
      <c r="W110" s="3157">
        <f t="shared" si="58"/>
        <v>2.54</v>
      </c>
      <c r="X110" s="3157">
        <f t="shared" si="58"/>
        <v>0.6</v>
      </c>
      <c r="Y110" s="3157">
        <f t="shared" si="58"/>
        <v>2</v>
      </c>
      <c r="Z110" s="3157" t="e">
        <f t="shared" si="58"/>
        <v>#REF!</v>
      </c>
      <c r="AA110" s="3157">
        <f t="shared" si="58"/>
        <v>1.6250000000000002</v>
      </c>
      <c r="AB110" s="144"/>
      <c r="AC110" s="2867"/>
      <c r="AD110" s="2867"/>
      <c r="AE110" s="2867"/>
      <c r="AF110" s="2867"/>
      <c r="AG110" s="2867"/>
      <c r="AH110" s="2867"/>
      <c r="AI110" s="2825"/>
      <c r="AJ110" s="1"/>
      <c r="AK110" s="1"/>
      <c r="AL110" s="1"/>
      <c r="AM110" s="1"/>
      <c r="AN110" s="1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3157">
        <f t="shared" si="58"/>
        <v>1.4</v>
      </c>
      <c r="V111" s="3157">
        <f t="shared" si="58"/>
        <v>4.2</v>
      </c>
      <c r="W111" s="3157">
        <f t="shared" si="58"/>
        <v>2.54</v>
      </c>
      <c r="X111" s="3157">
        <f t="shared" si="58"/>
        <v>0.6</v>
      </c>
      <c r="Y111" s="3157">
        <f t="shared" si="58"/>
        <v>2</v>
      </c>
      <c r="Z111" s="3157" t="e">
        <f t="shared" si="58"/>
        <v>#REF!</v>
      </c>
      <c r="AA111" s="3157">
        <f t="shared" si="58"/>
        <v>1.6250000000000002</v>
      </c>
      <c r="AB111" s="144"/>
      <c r="AC111" s="2867"/>
      <c r="AD111" s="2867"/>
      <c r="AE111" s="2867"/>
      <c r="AF111" s="2867"/>
      <c r="AG111" s="2867"/>
      <c r="AH111" s="2867"/>
      <c r="AI111" s="2825"/>
      <c r="AJ111" s="1"/>
      <c r="AK111" s="1"/>
      <c r="AL111" s="1"/>
      <c r="AM111" s="1"/>
      <c r="AN111" s="1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3157">
        <f t="shared" si="58"/>
        <v>1.4</v>
      </c>
      <c r="V112" s="3157">
        <f t="shared" si="58"/>
        <v>4.2</v>
      </c>
      <c r="W112" s="3157">
        <f t="shared" si="58"/>
        <v>2.54</v>
      </c>
      <c r="X112" s="3157">
        <f t="shared" si="58"/>
        <v>0.6</v>
      </c>
      <c r="Y112" s="3157">
        <f t="shared" si="58"/>
        <v>2</v>
      </c>
      <c r="Z112" s="3157" t="e">
        <f t="shared" si="58"/>
        <v>#REF!</v>
      </c>
      <c r="AA112" s="3157">
        <f t="shared" si="58"/>
        <v>1.6250000000000002</v>
      </c>
      <c r="AB112" s="144"/>
      <c r="AC112" s="2867">
        <v>0</v>
      </c>
      <c r="AD112" s="2867">
        <v>0</v>
      </c>
      <c r="AE112" s="2867">
        <v>0</v>
      </c>
      <c r="AF112" s="2867">
        <v>0</v>
      </c>
      <c r="AG112" s="2867">
        <v>0</v>
      </c>
      <c r="AH112" s="2867">
        <v>0</v>
      </c>
      <c r="AI112" s="2825"/>
      <c r="AJ112" s="1"/>
      <c r="AK112" s="1"/>
      <c r="AL112" s="1"/>
      <c r="AM112" s="1"/>
      <c r="AN112" s="1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3157">
        <f t="shared" si="58"/>
        <v>1.4</v>
      </c>
      <c r="V113" s="3157">
        <f t="shared" si="58"/>
        <v>4.2</v>
      </c>
      <c r="W113" s="3157">
        <f t="shared" si="58"/>
        <v>2.54</v>
      </c>
      <c r="X113" s="3157">
        <f t="shared" si="58"/>
        <v>0.6</v>
      </c>
      <c r="Y113" s="3157">
        <f t="shared" si="58"/>
        <v>2</v>
      </c>
      <c r="Z113" s="3157" t="e">
        <f t="shared" si="58"/>
        <v>#REF!</v>
      </c>
      <c r="AA113" s="3157">
        <f t="shared" si="58"/>
        <v>1.6250000000000002</v>
      </c>
      <c r="AB113" s="144"/>
      <c r="AC113" s="2867">
        <v>0</v>
      </c>
      <c r="AD113" s="2867">
        <v>0</v>
      </c>
      <c r="AE113" s="2867">
        <v>0</v>
      </c>
      <c r="AF113" s="2867">
        <v>0</v>
      </c>
      <c r="AG113" s="2867">
        <v>0</v>
      </c>
      <c r="AH113" s="2867">
        <v>0</v>
      </c>
      <c r="AI113" s="2825"/>
      <c r="AJ113" s="1"/>
      <c r="AK113" s="1"/>
      <c r="AL113" s="1"/>
      <c r="AM113" s="1"/>
      <c r="AN113" s="1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3157">
        <f t="shared" ref="U114:AA120" si="59">IF(U113&gt;0,U113,U112)</f>
        <v>1.4</v>
      </c>
      <c r="V114" s="3157">
        <f t="shared" si="59"/>
        <v>4.2</v>
      </c>
      <c r="W114" s="3157">
        <f t="shared" si="59"/>
        <v>2.54</v>
      </c>
      <c r="X114" s="3157">
        <f t="shared" si="59"/>
        <v>0.6</v>
      </c>
      <c r="Y114" s="3157">
        <f t="shared" si="59"/>
        <v>2</v>
      </c>
      <c r="Z114" s="3157" t="e">
        <f t="shared" si="59"/>
        <v>#REF!</v>
      </c>
      <c r="AA114" s="3157">
        <f t="shared" si="59"/>
        <v>1.6250000000000002</v>
      </c>
      <c r="AB114" s="144"/>
      <c r="AC114" s="2867">
        <v>0</v>
      </c>
      <c r="AD114" s="2867">
        <v>0</v>
      </c>
      <c r="AE114" s="2867">
        <v>0</v>
      </c>
      <c r="AF114" s="2867">
        <v>0</v>
      </c>
      <c r="AG114" s="2867">
        <v>0</v>
      </c>
      <c r="AH114" s="2867">
        <v>0</v>
      </c>
      <c r="AI114" s="2825"/>
      <c r="AJ114" s="1"/>
      <c r="AK114" s="1"/>
      <c r="AL114" s="1"/>
      <c r="AM114" s="1"/>
      <c r="AN114" s="1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3157">
        <f t="shared" si="59"/>
        <v>1.4</v>
      </c>
      <c r="V115" s="3157">
        <f t="shared" si="59"/>
        <v>4.2</v>
      </c>
      <c r="W115" s="3157">
        <f t="shared" si="59"/>
        <v>2.54</v>
      </c>
      <c r="X115" s="3157">
        <f t="shared" si="59"/>
        <v>0.6</v>
      </c>
      <c r="Y115" s="3157">
        <f t="shared" si="59"/>
        <v>2</v>
      </c>
      <c r="Z115" s="3157" t="e">
        <f t="shared" si="59"/>
        <v>#REF!</v>
      </c>
      <c r="AA115" s="3157">
        <f t="shared" si="59"/>
        <v>1.6250000000000002</v>
      </c>
      <c r="AB115" s="144"/>
      <c r="AC115" s="2867"/>
      <c r="AD115" s="2867"/>
      <c r="AE115" s="2867"/>
      <c r="AF115" s="2867"/>
      <c r="AG115" s="2867"/>
      <c r="AH115" s="2867"/>
      <c r="AI115" s="2825"/>
      <c r="AJ115" s="1"/>
      <c r="AK115" s="1"/>
      <c r="AL115" s="1"/>
      <c r="AM115" s="1"/>
      <c r="AN115" s="1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3157">
        <f t="shared" si="59"/>
        <v>1.4</v>
      </c>
      <c r="V116" s="3157">
        <f t="shared" si="59"/>
        <v>4.2</v>
      </c>
      <c r="W116" s="3157">
        <f t="shared" si="59"/>
        <v>2.54</v>
      </c>
      <c r="X116" s="3157">
        <f t="shared" si="59"/>
        <v>0.6</v>
      </c>
      <c r="Y116" s="3157">
        <f t="shared" si="59"/>
        <v>2</v>
      </c>
      <c r="Z116" s="3157" t="e">
        <f t="shared" si="59"/>
        <v>#REF!</v>
      </c>
      <c r="AA116" s="3157">
        <f t="shared" si="59"/>
        <v>1.6250000000000002</v>
      </c>
      <c r="AB116" s="144"/>
      <c r="AC116" s="2867"/>
      <c r="AD116" s="2867"/>
      <c r="AE116" s="2867"/>
      <c r="AF116" s="2867"/>
      <c r="AG116" s="2867"/>
      <c r="AH116" s="2867"/>
      <c r="AI116" s="2825"/>
      <c r="AJ116" s="1"/>
      <c r="AK116" s="1"/>
      <c r="AL116" s="1"/>
      <c r="AM116" s="1"/>
      <c r="AN116" s="1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3157">
        <f t="shared" si="59"/>
        <v>1.4</v>
      </c>
      <c r="V117" s="3157">
        <f t="shared" si="59"/>
        <v>4.2</v>
      </c>
      <c r="W117" s="3157">
        <f t="shared" si="59"/>
        <v>2.54</v>
      </c>
      <c r="X117" s="3157">
        <f t="shared" si="59"/>
        <v>0.6</v>
      </c>
      <c r="Y117" s="3157">
        <f t="shared" si="59"/>
        <v>2</v>
      </c>
      <c r="Z117" s="3157" t="e">
        <f t="shared" si="59"/>
        <v>#REF!</v>
      </c>
      <c r="AA117" s="3157">
        <f t="shared" si="59"/>
        <v>1.6250000000000002</v>
      </c>
      <c r="AB117" s="144"/>
      <c r="AC117" s="2867">
        <v>0</v>
      </c>
      <c r="AD117" s="2867">
        <v>0</v>
      </c>
      <c r="AE117" s="2867">
        <v>0</v>
      </c>
      <c r="AF117" s="2867">
        <v>0</v>
      </c>
      <c r="AG117" s="2867">
        <v>0</v>
      </c>
      <c r="AH117" s="2867">
        <v>0</v>
      </c>
      <c r="AI117" s="2825"/>
      <c r="AJ117" s="1"/>
      <c r="AK117" s="1"/>
      <c r="AL117" s="1"/>
      <c r="AM117" s="1"/>
      <c r="AN117" s="1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3157">
        <f t="shared" si="59"/>
        <v>1.4</v>
      </c>
      <c r="V118" s="3157">
        <f t="shared" si="59"/>
        <v>4.2</v>
      </c>
      <c r="W118" s="3157">
        <f t="shared" si="59"/>
        <v>2.54</v>
      </c>
      <c r="X118" s="3157">
        <f t="shared" si="59"/>
        <v>0.6</v>
      </c>
      <c r="Y118" s="3157">
        <f t="shared" si="59"/>
        <v>2</v>
      </c>
      <c r="Z118" s="3157" t="e">
        <f t="shared" si="59"/>
        <v>#REF!</v>
      </c>
      <c r="AA118" s="3157">
        <f t="shared" si="59"/>
        <v>1.6250000000000002</v>
      </c>
      <c r="AB118" s="144"/>
      <c r="AC118" s="2867">
        <v>0</v>
      </c>
      <c r="AD118" s="2867">
        <v>0</v>
      </c>
      <c r="AE118" s="2867">
        <v>0</v>
      </c>
      <c r="AF118" s="2867">
        <v>0</v>
      </c>
      <c r="AG118" s="2867">
        <v>0</v>
      </c>
      <c r="AH118" s="2867">
        <v>0</v>
      </c>
      <c r="AI118" s="2825"/>
      <c r="AJ118" s="1"/>
      <c r="AK118" s="1"/>
      <c r="AL118" s="1"/>
      <c r="AM118" s="1"/>
      <c r="AN118" s="1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3157">
        <f t="shared" si="59"/>
        <v>1.4</v>
      </c>
      <c r="V119" s="3157">
        <f t="shared" si="59"/>
        <v>4.2</v>
      </c>
      <c r="W119" s="3157">
        <f t="shared" si="59"/>
        <v>2.54</v>
      </c>
      <c r="X119" s="3157">
        <f t="shared" si="59"/>
        <v>0.6</v>
      </c>
      <c r="Y119" s="3157">
        <f t="shared" si="59"/>
        <v>2</v>
      </c>
      <c r="Z119" s="3157" t="e">
        <f t="shared" si="59"/>
        <v>#REF!</v>
      </c>
      <c r="AA119" s="3157">
        <f t="shared" si="59"/>
        <v>1.6250000000000002</v>
      </c>
      <c r="AB119" s="144"/>
      <c r="AC119" s="2867">
        <v>0</v>
      </c>
      <c r="AD119" s="2867">
        <v>0</v>
      </c>
      <c r="AE119" s="2867">
        <v>0</v>
      </c>
      <c r="AF119" s="2867">
        <v>0</v>
      </c>
      <c r="AG119" s="2867">
        <v>0</v>
      </c>
      <c r="AH119" s="2867">
        <v>0</v>
      </c>
      <c r="AI119" s="2825"/>
      <c r="AJ119" s="1"/>
      <c r="AK119" s="1"/>
      <c r="AL119" s="1"/>
      <c r="AM119" s="1"/>
      <c r="AN119" s="1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3158">
        <f>IF(U119&gt;0,U119,U118)</f>
        <v>1.4</v>
      </c>
      <c r="V120" s="3158">
        <f t="shared" si="59"/>
        <v>4.2</v>
      </c>
      <c r="W120" s="3158">
        <f t="shared" si="59"/>
        <v>2.54</v>
      </c>
      <c r="X120" s="3158">
        <f t="shared" si="59"/>
        <v>0.6</v>
      </c>
      <c r="Y120" s="3158">
        <f t="shared" si="59"/>
        <v>2</v>
      </c>
      <c r="Z120" s="3158" t="e">
        <f t="shared" si="59"/>
        <v>#REF!</v>
      </c>
      <c r="AA120" s="3158">
        <f t="shared" si="59"/>
        <v>1.6250000000000002</v>
      </c>
      <c r="AB120" s="144"/>
      <c r="AC120" s="2867"/>
      <c r="AD120" s="2867"/>
      <c r="AE120" s="2867"/>
      <c r="AF120" s="2867"/>
      <c r="AG120" s="2867"/>
      <c r="AH120" s="2867"/>
      <c r="AI120" s="2825"/>
      <c r="AJ120" s="1"/>
      <c r="AK120" s="1"/>
      <c r="AL120" s="1"/>
      <c r="AM120" s="1"/>
      <c r="AN120" s="1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2838"/>
      <c r="V121" s="2838"/>
      <c r="W121" s="2838"/>
      <c r="X121" s="2838"/>
      <c r="Y121" s="2838"/>
      <c r="Z121" s="2838"/>
      <c r="AA121" s="2838"/>
      <c r="AB121" s="144"/>
      <c r="AC121" s="2867"/>
      <c r="AD121" s="2867"/>
      <c r="AE121" s="2867"/>
      <c r="AF121" s="2867"/>
      <c r="AG121" s="2867"/>
      <c r="AH121" s="2867"/>
      <c r="AI121" s="2825"/>
      <c r="AJ121" s="1"/>
      <c r="AK121" s="1"/>
      <c r="AL121" s="1"/>
      <c r="AM121" s="1"/>
      <c r="AN121" s="1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2838"/>
      <c r="V122" s="2838"/>
      <c r="W122" s="2838"/>
      <c r="X122" s="2838"/>
      <c r="Y122" s="2838"/>
      <c r="Z122" s="2838"/>
      <c r="AA122" s="2838"/>
      <c r="AB122" s="144"/>
      <c r="AC122" s="2867">
        <v>0</v>
      </c>
      <c r="AD122" s="2867">
        <v>0</v>
      </c>
      <c r="AE122" s="2867">
        <v>0</v>
      </c>
      <c r="AF122" s="2867">
        <v>0</v>
      </c>
      <c r="AG122" s="2867">
        <v>0</v>
      </c>
      <c r="AH122" s="2867">
        <v>0</v>
      </c>
      <c r="AI122" s="2825"/>
      <c r="AN122" s="1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2838"/>
      <c r="V123" s="2838"/>
      <c r="W123" s="2838"/>
      <c r="X123" s="2838"/>
      <c r="Y123" s="2838"/>
      <c r="Z123" s="2838"/>
      <c r="AA123" s="2838"/>
      <c r="AB123" s="144"/>
      <c r="AC123" s="2867"/>
      <c r="AD123" s="2867"/>
      <c r="AE123" s="2867"/>
      <c r="AF123" s="2867"/>
      <c r="AG123" s="2867"/>
      <c r="AH123" s="2867"/>
      <c r="AN123" s="1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2838"/>
      <c r="V124" s="2838"/>
      <c r="W124" s="2838"/>
      <c r="X124" s="2838"/>
      <c r="Y124" s="2838"/>
      <c r="Z124" s="2838"/>
      <c r="AA124" s="2838"/>
      <c r="AB124" s="144"/>
      <c r="AN124" s="1"/>
    </row>
    <row r="125" spans="1:40" ht="15" customHeight="1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2838"/>
      <c r="V125" s="2838"/>
      <c r="W125" s="2838"/>
      <c r="X125" s="2838"/>
      <c r="Y125" s="2838"/>
      <c r="Z125" s="2838"/>
      <c r="AA125" s="2838"/>
      <c r="AB125" s="144"/>
      <c r="AN125" s="1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2838"/>
      <c r="V126" s="2838"/>
      <c r="W126" s="2838"/>
      <c r="X126" s="2838"/>
      <c r="Y126" s="2838"/>
      <c r="Z126" s="2838"/>
      <c r="AA126" s="2838"/>
      <c r="AB126" s="144"/>
      <c r="AN126" s="1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2838"/>
      <c r="V127" s="2838"/>
      <c r="W127" s="2838"/>
      <c r="X127" s="2838"/>
      <c r="Y127" s="2838"/>
      <c r="Z127" s="2838"/>
      <c r="AA127" s="2838"/>
      <c r="AB127" s="144"/>
      <c r="AN127" s="1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2838"/>
      <c r="V128" s="2838"/>
      <c r="W128" s="2838"/>
      <c r="X128" s="2838"/>
      <c r="Y128" s="2838"/>
      <c r="Z128" s="2838"/>
      <c r="AA128" s="2838"/>
      <c r="AB128" s="144"/>
      <c r="AN128" s="1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2838"/>
      <c r="V129" s="2838"/>
      <c r="W129" s="2838"/>
      <c r="X129" s="2838"/>
      <c r="Y129" s="2838"/>
      <c r="Z129" s="2838"/>
      <c r="AA129" s="2838"/>
      <c r="AB129" s="144"/>
      <c r="AN129" s="1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2838"/>
      <c r="V130" s="2838"/>
      <c r="W130" s="2838"/>
      <c r="X130" s="2838"/>
      <c r="Y130" s="2838"/>
      <c r="Z130" s="2838"/>
      <c r="AA130" s="2838"/>
      <c r="AB130" s="144"/>
      <c r="AN130" s="1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2838"/>
      <c r="V131" s="2838"/>
      <c r="W131" s="2838"/>
      <c r="X131" s="2838"/>
      <c r="Y131" s="2838"/>
      <c r="Z131" s="2838"/>
      <c r="AA131" s="2838"/>
      <c r="AB131" s="144"/>
      <c r="AN131" s="1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2838"/>
      <c r="V132" s="2838"/>
      <c r="W132" s="2838"/>
      <c r="X132" s="2838"/>
      <c r="Y132" s="2838"/>
      <c r="Z132" s="2838"/>
      <c r="AA132" s="2838"/>
      <c r="AB132" s="144"/>
      <c r="AN132" s="1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2838"/>
      <c r="V133" s="2838"/>
      <c r="W133" s="2838"/>
      <c r="X133" s="2838"/>
      <c r="Y133" s="2838"/>
      <c r="Z133" s="2838"/>
      <c r="AA133" s="2838"/>
      <c r="AB133" s="144"/>
      <c r="AN133" s="1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2838"/>
      <c r="V134" s="2838"/>
      <c r="W134" s="2838"/>
      <c r="X134" s="2838"/>
      <c r="Y134" s="2838"/>
      <c r="Z134" s="2838"/>
      <c r="AA134" s="2838"/>
      <c r="AB134" s="144"/>
      <c r="AN134" s="1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2838"/>
      <c r="V135" s="2838"/>
      <c r="W135" s="2838"/>
      <c r="X135" s="2838"/>
      <c r="Y135" s="2838"/>
      <c r="Z135" s="2838"/>
      <c r="AA135" s="2838"/>
      <c r="AB135" s="144"/>
      <c r="AC135" s="2825"/>
      <c r="AD135" s="2825"/>
      <c r="AE135" s="2825"/>
      <c r="AF135" s="2825"/>
      <c r="AG135" s="2825"/>
      <c r="AH135" s="2825"/>
      <c r="AI135" s="2825"/>
      <c r="AJ135" s="2825"/>
      <c r="AK135" s="2825"/>
      <c r="AL135" s="2825"/>
      <c r="AM135" s="2825"/>
      <c r="AN135" s="1"/>
    </row>
    <row r="136" spans="1:40" s="3021" customFormat="1" ht="11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2838"/>
      <c r="V136" s="2838"/>
      <c r="W136" s="2838"/>
      <c r="X136" s="2838"/>
      <c r="Y136" s="2838"/>
      <c r="Z136" s="2838"/>
      <c r="AA136" s="2838"/>
      <c r="AB136" s="144"/>
      <c r="AC136" s="2826"/>
      <c r="AD136" s="2826"/>
      <c r="AE136" s="2826"/>
      <c r="AF136" s="2826"/>
      <c r="AG136" s="2826"/>
      <c r="AH136" s="2826"/>
      <c r="AI136" s="2826"/>
      <c r="AJ136" s="2826"/>
      <c r="AK136" s="2826"/>
      <c r="AL136" s="2826"/>
      <c r="AM136" s="2826"/>
    </row>
    <row r="137" spans="1:40" s="3021" customFormat="1" ht="11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2838"/>
      <c r="V137" s="2838"/>
      <c r="W137" s="2838"/>
      <c r="X137" s="2838"/>
      <c r="Y137" s="2838"/>
      <c r="Z137" s="2838"/>
      <c r="AA137" s="2838"/>
      <c r="AB137" s="144"/>
      <c r="AC137" s="2826"/>
      <c r="AD137" s="2826"/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1:40" s="3021" customFormat="1" ht="11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2838"/>
      <c r="V138" s="2838"/>
      <c r="W138" s="2838"/>
      <c r="X138" s="2838"/>
      <c r="Y138" s="2838"/>
      <c r="Z138" s="2838"/>
      <c r="AA138" s="2838"/>
      <c r="AB138" s="144"/>
      <c r="AC138" s="2826"/>
      <c r="AD138" s="2826"/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1:40" s="3021" customFormat="1" ht="11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2838"/>
      <c r="V139" s="2838"/>
      <c r="W139" s="2838"/>
      <c r="X139" s="2838"/>
      <c r="Y139" s="2838"/>
      <c r="Z139" s="2838"/>
      <c r="AA139" s="2838"/>
      <c r="AB139" s="144"/>
      <c r="AC139" s="282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1:40" s="3021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45"/>
      <c r="O140" s="146"/>
      <c r="P140" s="146"/>
      <c r="Q140" s="147"/>
      <c r="R140" s="147"/>
      <c r="S140" s="142"/>
      <c r="T140" s="142"/>
      <c r="U140" s="2838"/>
      <c r="V140" s="2838"/>
      <c r="W140" s="2838"/>
      <c r="X140" s="2838"/>
      <c r="Y140" s="2838"/>
      <c r="Z140" s="2838"/>
      <c r="AA140" s="2838"/>
      <c r="AC140" s="2826"/>
      <c r="AD140" s="2826"/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1:40" s="3021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45"/>
      <c r="O141" s="146"/>
      <c r="P141" s="146"/>
      <c r="Q141" s="147"/>
      <c r="R141" s="147"/>
      <c r="S141" s="142"/>
      <c r="T141" s="142"/>
      <c r="U141" s="2838"/>
      <c r="V141" s="2838"/>
      <c r="W141" s="2838"/>
      <c r="X141" s="2838"/>
      <c r="Y141" s="2838"/>
      <c r="Z141" s="2838"/>
      <c r="AA141" s="2838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1:40" s="3021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2838"/>
      <c r="V142" s="2838"/>
      <c r="W142" s="2838"/>
      <c r="X142" s="2838"/>
      <c r="Y142" s="2838"/>
      <c r="Z142" s="2838"/>
      <c r="AA142" s="2838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1:40" s="3021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2838"/>
      <c r="V143" s="2838"/>
      <c r="W143" s="2838"/>
      <c r="X143" s="2838"/>
      <c r="Y143" s="2838"/>
      <c r="Z143" s="2838"/>
      <c r="AA143" s="2838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1:40" s="3021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39" s="3021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39" s="3021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39" s="3021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39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39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39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39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39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39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39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39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39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39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39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39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39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B165" s="3021">
        <f>SUBTOTAL(9,AB123:AB164)</f>
        <v>0</v>
      </c>
      <c r="AC165" s="2826">
        <f>SUBTOTAL(9,AC123:AC164)</f>
        <v>0</v>
      </c>
      <c r="AD165" s="2826">
        <f>SUBTOTAL(9,AD123:AD164)</f>
        <v>0</v>
      </c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B166" s="3021">
        <v>0</v>
      </c>
      <c r="AC166" s="2826">
        <v>0</v>
      </c>
      <c r="AD166" s="2826">
        <v>0</v>
      </c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B167" s="3021">
        <v>0</v>
      </c>
      <c r="AC167" s="2826">
        <v>0</v>
      </c>
      <c r="AD167" s="2826">
        <v>0</v>
      </c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B168" s="3021">
        <v>0</v>
      </c>
      <c r="AC168" s="2826">
        <v>0</v>
      </c>
      <c r="AD168" s="2826">
        <v>0</v>
      </c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B169" s="3021">
        <v>0</v>
      </c>
      <c r="AC169" s="2826">
        <v>0</v>
      </c>
      <c r="AD169" s="2826">
        <v>0</v>
      </c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B170" s="3021">
        <v>0</v>
      </c>
      <c r="AC170" s="2826">
        <v>0</v>
      </c>
      <c r="AD170" s="2826">
        <v>0</v>
      </c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B171" s="3021">
        <v>0</v>
      </c>
      <c r="AC171" s="2826">
        <v>0</v>
      </c>
      <c r="AD171" s="2826">
        <v>0</v>
      </c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B172" s="3021">
        <v>0</v>
      </c>
      <c r="AC172" s="2826">
        <v>0</v>
      </c>
      <c r="AD172" s="2826">
        <v>0</v>
      </c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3021">
        <v>0</v>
      </c>
      <c r="AC173" s="2826">
        <v>0</v>
      </c>
      <c r="AD173" s="2826">
        <v>0</v>
      </c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3021">
        <v>0</v>
      </c>
      <c r="AC174" s="2826">
        <v>0</v>
      </c>
      <c r="AD174" s="2826">
        <v>0</v>
      </c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3021">
        <v>0</v>
      </c>
      <c r="AC175" s="2826">
        <v>0</v>
      </c>
      <c r="AD175" s="2826">
        <v>0</v>
      </c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>
        <f>SUBTOTAL(9,U134:U175)</f>
        <v>0</v>
      </c>
      <c r="V176" s="146">
        <f t="shared" ref="V176:AA176" si="60">SUBTOTAL(9,V134:V175)</f>
        <v>0</v>
      </c>
      <c r="W176" s="146">
        <f t="shared" si="60"/>
        <v>0</v>
      </c>
      <c r="X176" s="146">
        <f t="shared" si="60"/>
        <v>0</v>
      </c>
      <c r="Y176" s="146">
        <f t="shared" si="60"/>
        <v>0</v>
      </c>
      <c r="Z176" s="146">
        <f t="shared" si="60"/>
        <v>0</v>
      </c>
      <c r="AA176" s="146">
        <f t="shared" si="60"/>
        <v>0</v>
      </c>
      <c r="AB176" s="3021">
        <v>0</v>
      </c>
      <c r="AC176" s="2826">
        <v>0</v>
      </c>
      <c r="AD176" s="2826">
        <v>0</v>
      </c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2825" customFormat="1" ht="14" thickBot="1">
      <c r="B177" s="139"/>
      <c r="C177" s="138"/>
      <c r="D177" s="908"/>
      <c r="E177" s="138"/>
      <c r="F177" s="140"/>
      <c r="G177" s="141"/>
      <c r="H177" s="141"/>
      <c r="I177" s="141"/>
      <c r="J177" s="141"/>
      <c r="K177" s="141"/>
      <c r="L177" s="141"/>
      <c r="M177" s="458"/>
      <c r="N177" s="140"/>
      <c r="O177" s="141"/>
      <c r="P177" s="141"/>
      <c r="Q177" s="148"/>
      <c r="R177" s="148"/>
      <c r="S177" s="149"/>
      <c r="T177" s="149"/>
      <c r="U177" s="150"/>
      <c r="V177" s="150"/>
      <c r="W177" s="150"/>
      <c r="X177" s="150"/>
      <c r="Y177" s="150"/>
      <c r="Z177" s="150"/>
      <c r="AA177" s="150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2825" customFormat="1" ht="15" thickTop="1" thickBot="1">
      <c r="B178" s="139"/>
      <c r="C178" s="138"/>
      <c r="D178" s="908"/>
      <c r="E178" s="138"/>
      <c r="F178" s="140"/>
      <c r="G178" s="141"/>
      <c r="H178" s="141"/>
      <c r="I178" s="141"/>
      <c r="J178" s="141"/>
      <c r="K178" s="141"/>
      <c r="L178" s="141"/>
      <c r="M178" s="458"/>
      <c r="N178" s="140"/>
      <c r="O178" s="141"/>
      <c r="P178" s="141"/>
      <c r="Q178" s="148"/>
      <c r="R178" s="148"/>
      <c r="S178" s="148"/>
      <c r="T178" s="149"/>
      <c r="U178" s="151"/>
      <c r="V178" s="152"/>
      <c r="W178" s="153"/>
      <c r="X178" s="153"/>
      <c r="Y178" s="153"/>
      <c r="Z178" s="153"/>
      <c r="AA178" s="154"/>
      <c r="AB178" s="3022"/>
      <c r="AC178" s="3022"/>
      <c r="AE178" s="2826"/>
      <c r="AF178" s="2826"/>
      <c r="AG178" s="2826"/>
      <c r="AH178" s="2826"/>
      <c r="AI178" s="2826"/>
      <c r="AJ178" s="2826"/>
      <c r="AK178" s="2826"/>
      <c r="AL178" s="2826"/>
      <c r="AM178" s="2826"/>
      <c r="AN178" s="2826"/>
      <c r="AO178" s="2826"/>
    </row>
    <row r="179" spans="2:41" s="3021" customFormat="1" ht="12" thickTop="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41" s="3021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41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41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3021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41" s="3021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41" s="3021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41" s="3021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41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41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3021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3021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3021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3021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3021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3021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3021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3021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3021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41" s="3021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41" s="3021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41" s="3021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41" s="3021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41" s="3021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41" s="3021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41" s="3021" customFormat="1" ht="11">
      <c r="B215" s="3159"/>
      <c r="D215" s="3160"/>
      <c r="F215" s="3023"/>
      <c r="G215" s="3024"/>
      <c r="H215" s="3024"/>
      <c r="I215" s="3024"/>
      <c r="J215" s="3024"/>
      <c r="K215" s="3024"/>
      <c r="L215" s="3024"/>
      <c r="M215" s="3025"/>
      <c r="N215" s="3023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41" s="3021" customFormat="1" ht="11">
      <c r="B216" s="3159"/>
      <c r="D216" s="3160"/>
      <c r="F216" s="3023"/>
      <c r="G216" s="3024"/>
      <c r="H216" s="3024"/>
      <c r="I216" s="3024"/>
      <c r="J216" s="3024"/>
      <c r="K216" s="3024"/>
      <c r="L216" s="3024"/>
      <c r="M216" s="3025"/>
      <c r="N216" s="3023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41" s="3021" customFormat="1" ht="11">
      <c r="B217" s="3159"/>
      <c r="D217" s="3160"/>
      <c r="F217" s="3023"/>
      <c r="G217" s="3024"/>
      <c r="H217" s="3024"/>
      <c r="I217" s="3024"/>
      <c r="J217" s="3024"/>
      <c r="K217" s="3024"/>
      <c r="L217" s="3024"/>
      <c r="M217" s="3025"/>
      <c r="N217" s="3023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41" s="3021" customFormat="1" ht="11">
      <c r="B218" s="3159"/>
      <c r="D218" s="3160"/>
      <c r="F218" s="3023"/>
      <c r="G218" s="3024"/>
      <c r="H218" s="3024"/>
      <c r="I218" s="3024"/>
      <c r="J218" s="3024"/>
      <c r="K218" s="3024"/>
      <c r="L218" s="3024"/>
      <c r="M218" s="3025"/>
      <c r="N218" s="3023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41" s="3021" customFormat="1" ht="11">
      <c r="B219" s="3159"/>
      <c r="D219" s="3160"/>
      <c r="F219" s="3023"/>
      <c r="G219" s="3024"/>
      <c r="H219" s="3024"/>
      <c r="I219" s="3024"/>
      <c r="J219" s="3024"/>
      <c r="K219" s="3024"/>
      <c r="L219" s="3024"/>
      <c r="M219" s="3025"/>
      <c r="N219" s="3023"/>
      <c r="O219" s="146"/>
      <c r="P219" s="146"/>
      <c r="Q219" s="147"/>
      <c r="R219" s="147"/>
      <c r="S219" s="142"/>
      <c r="T219" s="142"/>
      <c r="U219" s="146">
        <f>SUBTOTAL(9,U177:U218)</f>
        <v>0</v>
      </c>
      <c r="V219" s="146">
        <f t="shared" ref="V219:AA219" si="61">SUBTOTAL(9,V177:V218)</f>
        <v>0</v>
      </c>
      <c r="W219" s="146">
        <f t="shared" si="61"/>
        <v>0</v>
      </c>
      <c r="X219" s="146">
        <f t="shared" si="61"/>
        <v>0</v>
      </c>
      <c r="Y219" s="146">
        <f t="shared" si="61"/>
        <v>0</v>
      </c>
      <c r="Z219" s="146">
        <f t="shared" si="61"/>
        <v>0</v>
      </c>
      <c r="AA219" s="146">
        <f t="shared" si="61"/>
        <v>0</v>
      </c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41" s="2825" customFormat="1" ht="14" thickBot="1">
      <c r="B220" s="2935"/>
      <c r="D220" s="3161"/>
      <c r="F220" s="3026"/>
      <c r="G220" s="3027"/>
      <c r="H220" s="3027"/>
      <c r="I220" s="3027"/>
      <c r="J220" s="3027"/>
      <c r="K220" s="3027"/>
      <c r="L220" s="3027"/>
      <c r="M220" s="3025"/>
      <c r="N220" s="3026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41" s="2825" customFormat="1" ht="15" thickTop="1" thickBot="1">
      <c r="B221" s="2935"/>
      <c r="D221" s="3161"/>
      <c r="F221" s="3026"/>
      <c r="G221" s="3027"/>
      <c r="H221" s="3027"/>
      <c r="I221" s="3027"/>
      <c r="J221" s="3027"/>
      <c r="K221" s="3027"/>
      <c r="L221" s="3027"/>
      <c r="M221" s="3025"/>
      <c r="N221" s="3026"/>
      <c r="O221" s="141"/>
      <c r="P221" s="141"/>
      <c r="Q221" s="148"/>
      <c r="R221" s="148"/>
      <c r="S221" s="148"/>
      <c r="T221" s="148"/>
      <c r="U221" s="151">
        <f>SUBTOTAL(9,U179:U220)</f>
        <v>0</v>
      </c>
      <c r="V221" s="152">
        <f t="shared" ref="V221:AA221" si="62">SUBTOTAL(9,V179:V220)</f>
        <v>0</v>
      </c>
      <c r="W221" s="153">
        <f t="shared" si="62"/>
        <v>0</v>
      </c>
      <c r="X221" s="153">
        <f t="shared" si="62"/>
        <v>0</v>
      </c>
      <c r="Y221" s="153">
        <f t="shared" si="62"/>
        <v>0</v>
      </c>
      <c r="Z221" s="153">
        <f t="shared" si="62"/>
        <v>0</v>
      </c>
      <c r="AA221" s="154">
        <f t="shared" si="62"/>
        <v>0</v>
      </c>
      <c r="AB221" s="3022"/>
      <c r="AC221" s="3022"/>
      <c r="AE221" s="2826"/>
      <c r="AF221" s="2826"/>
      <c r="AG221" s="2826"/>
      <c r="AH221" s="2826"/>
      <c r="AI221" s="2826"/>
      <c r="AJ221" s="2826"/>
      <c r="AK221" s="2826"/>
      <c r="AL221" s="2826"/>
      <c r="AM221" s="2826"/>
      <c r="AN221" s="2826"/>
      <c r="AO221" s="2826"/>
    </row>
    <row r="222" spans="2:41" s="2825" customFormat="1" ht="14" thickTop="1">
      <c r="B222" s="2935"/>
      <c r="D222" s="3161"/>
      <c r="F222" s="3026"/>
      <c r="G222" s="3027"/>
      <c r="H222" s="3027"/>
      <c r="I222" s="3027"/>
      <c r="J222" s="3027"/>
      <c r="K222" s="3027"/>
      <c r="L222" s="3027"/>
      <c r="M222" s="3025"/>
      <c r="N222" s="3026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41" s="2825" customFormat="1">
      <c r="B223" s="2935"/>
      <c r="D223" s="3161"/>
      <c r="F223" s="3026"/>
      <c r="G223" s="3027"/>
      <c r="H223" s="3027"/>
      <c r="I223" s="3027"/>
      <c r="J223" s="3027"/>
      <c r="K223" s="3027"/>
      <c r="L223" s="3027"/>
      <c r="M223" s="3025"/>
      <c r="N223" s="3026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41" s="2825" customFormat="1">
      <c r="B224" s="2935"/>
      <c r="D224" s="3161"/>
      <c r="F224" s="3026"/>
      <c r="G224" s="3027"/>
      <c r="H224" s="3027"/>
      <c r="I224" s="3027"/>
      <c r="J224" s="3027"/>
      <c r="K224" s="3027"/>
      <c r="L224" s="3027"/>
      <c r="M224" s="3025"/>
      <c r="N224" s="3026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2:39" s="2825" customFormat="1">
      <c r="B225" s="2935"/>
      <c r="D225" s="3161"/>
      <c r="F225" s="3026"/>
      <c r="G225" s="3027"/>
      <c r="H225" s="3027"/>
      <c r="I225" s="3027"/>
      <c r="J225" s="3027"/>
      <c r="K225" s="3027"/>
      <c r="L225" s="3027"/>
      <c r="M225" s="3025"/>
      <c r="N225" s="3026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39" s="2825" customFormat="1">
      <c r="B226" s="2935"/>
      <c r="D226" s="3161"/>
      <c r="F226" s="3026"/>
      <c r="G226" s="3027"/>
      <c r="H226" s="3027"/>
      <c r="I226" s="3027"/>
      <c r="J226" s="3027"/>
      <c r="K226" s="3027"/>
      <c r="L226" s="3027"/>
      <c r="M226" s="3025"/>
      <c r="N226" s="3026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2:39" s="2825" customFormat="1">
      <c r="B227" s="2935"/>
      <c r="D227" s="3161"/>
      <c r="F227" s="3026"/>
      <c r="G227" s="3027"/>
      <c r="H227" s="3027"/>
      <c r="I227" s="3027"/>
      <c r="J227" s="3027"/>
      <c r="K227" s="3027"/>
      <c r="L227" s="3027"/>
      <c r="M227" s="3025"/>
      <c r="N227" s="3026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2:39" s="2825" customFormat="1">
      <c r="B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39" s="2825" customFormat="1">
      <c r="B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026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2:39" s="2825" customFormat="1">
      <c r="B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39" s="2825" customFormat="1">
      <c r="B231" s="2935"/>
      <c r="D231" s="3161"/>
      <c r="F231" s="3026"/>
      <c r="G231" s="3027"/>
      <c r="H231" s="3027"/>
      <c r="I231" s="3027"/>
      <c r="J231" s="3027"/>
      <c r="K231" s="3027"/>
      <c r="L231" s="3027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39" s="2825" customFormat="1">
      <c r="B232" s="2935"/>
      <c r="D232" s="3161"/>
      <c r="F232" s="3026"/>
      <c r="G232" s="3027"/>
      <c r="H232" s="3027"/>
      <c r="I232" s="3027"/>
      <c r="J232" s="3027"/>
      <c r="K232" s="3027"/>
      <c r="L232" s="3027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39" s="2825" customFormat="1">
      <c r="B233" s="2935"/>
      <c r="D233" s="3161"/>
      <c r="F233" s="3026"/>
      <c r="G233" s="3027"/>
      <c r="H233" s="3027"/>
      <c r="I233" s="3027"/>
      <c r="J233" s="3027"/>
      <c r="K233" s="3027"/>
      <c r="L233" s="3027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39" s="2825" customFormat="1">
      <c r="B234" s="2935"/>
      <c r="D234" s="3161"/>
      <c r="F234" s="3026"/>
      <c r="G234" s="3027"/>
      <c r="H234" s="3027"/>
      <c r="I234" s="3027"/>
      <c r="J234" s="3027"/>
      <c r="K234" s="3027"/>
      <c r="L234" s="3027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39" s="2825" customFormat="1">
      <c r="B235" s="2935"/>
      <c r="D235" s="3161"/>
      <c r="F235" s="3026"/>
      <c r="G235" s="3027"/>
      <c r="H235" s="3027"/>
      <c r="I235" s="3027"/>
      <c r="J235" s="3027"/>
      <c r="K235" s="3027"/>
      <c r="L235" s="3027"/>
      <c r="M235" s="3025"/>
      <c r="N235" s="3026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39" s="2825" customFormat="1">
      <c r="B236" s="2935"/>
      <c r="D236" s="3161"/>
      <c r="F236" s="3026"/>
      <c r="G236" s="3027"/>
      <c r="H236" s="3027"/>
      <c r="I236" s="3027"/>
      <c r="J236" s="3027"/>
      <c r="K236" s="3027"/>
      <c r="L236" s="3027"/>
      <c r="M236" s="3025"/>
      <c r="N236" s="3026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39" s="2825" customFormat="1">
      <c r="B237" s="2935"/>
      <c r="D237" s="3161"/>
      <c r="F237" s="3026"/>
      <c r="G237" s="3027"/>
      <c r="H237" s="3027"/>
      <c r="I237" s="3027"/>
      <c r="J237" s="3027"/>
      <c r="K237" s="3027"/>
      <c r="L237" s="3027"/>
      <c r="M237" s="3025"/>
      <c r="N237" s="3026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39" s="2825" customFormat="1">
      <c r="B238" s="2935"/>
      <c r="D238" s="3161"/>
      <c r="F238" s="3026"/>
      <c r="G238" s="3027"/>
      <c r="H238" s="3027"/>
      <c r="I238" s="3027"/>
      <c r="J238" s="3027"/>
      <c r="K238" s="3027"/>
      <c r="L238" s="3027"/>
      <c r="M238" s="3025"/>
      <c r="N238" s="3026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39" s="2825" customFormat="1">
      <c r="B239" s="2935"/>
      <c r="D239" s="3161"/>
      <c r="F239" s="3026"/>
      <c r="G239" s="3027"/>
      <c r="H239" s="3027"/>
      <c r="I239" s="3027"/>
      <c r="J239" s="3027"/>
      <c r="K239" s="3027"/>
      <c r="L239" s="3027"/>
      <c r="M239" s="3025"/>
      <c r="N239" s="3026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39" s="2825" customFormat="1">
      <c r="B240" s="2935"/>
      <c r="D240" s="3161"/>
      <c r="F240" s="3026"/>
      <c r="G240" s="3027"/>
      <c r="H240" s="3027"/>
      <c r="I240" s="3027"/>
      <c r="J240" s="3027"/>
      <c r="K240" s="3027"/>
      <c r="L240" s="3027"/>
      <c r="M240" s="3025"/>
      <c r="N240" s="3026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1:40" s="2825" customFormat="1">
      <c r="B241" s="2935"/>
      <c r="D241" s="3161"/>
      <c r="F241" s="3026"/>
      <c r="G241" s="3027"/>
      <c r="H241" s="3027"/>
      <c r="I241" s="3027"/>
      <c r="J241" s="3027"/>
      <c r="K241" s="3027"/>
      <c r="L241" s="3027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1:40" s="2825" customFormat="1">
      <c r="B242" s="2935"/>
      <c r="D242" s="3161"/>
      <c r="F242" s="3026"/>
      <c r="G242" s="3027"/>
      <c r="H242" s="3027"/>
      <c r="I242" s="3027"/>
      <c r="J242" s="3027"/>
      <c r="K242" s="3027"/>
      <c r="L242" s="3027"/>
      <c r="M242" s="3025"/>
      <c r="N242" s="3026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826"/>
      <c r="AD242" s="2826"/>
      <c r="AE242" s="2826"/>
      <c r="AF242" s="2826"/>
      <c r="AG242" s="2826"/>
      <c r="AH242" s="2826"/>
      <c r="AI242" s="2826"/>
      <c r="AJ242" s="2826"/>
      <c r="AK242" s="2826"/>
      <c r="AL242" s="2826"/>
      <c r="AM242" s="2826"/>
    </row>
    <row r="243" spans="1:40" s="2825" customFormat="1">
      <c r="B243" s="2935"/>
      <c r="D243" s="3161"/>
      <c r="F243" s="3026"/>
      <c r="G243" s="3027"/>
      <c r="H243" s="3027"/>
      <c r="I243" s="3027"/>
      <c r="J243" s="3027"/>
      <c r="K243" s="3027"/>
      <c r="L243" s="3027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1:40" s="2825" customFormat="1">
      <c r="B244" s="2935"/>
      <c r="D244" s="3161"/>
      <c r="F244" s="3026"/>
      <c r="G244" s="3027"/>
      <c r="H244" s="3027"/>
      <c r="I244" s="3027"/>
      <c r="J244" s="3027"/>
      <c r="K244" s="3027"/>
      <c r="L244" s="3027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1:40" s="2825" customFormat="1">
      <c r="B245" s="2935"/>
      <c r="D245" s="3161"/>
      <c r="F245" s="3026"/>
      <c r="G245" s="3027"/>
      <c r="H245" s="3027"/>
      <c r="I245" s="3027"/>
      <c r="J245" s="3027"/>
      <c r="K245" s="3027"/>
      <c r="L245" s="3027"/>
      <c r="M245" s="3025"/>
      <c r="N245" s="3026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826"/>
      <c r="AD245" s="2826"/>
      <c r="AE245" s="2826"/>
      <c r="AF245" s="2826"/>
      <c r="AG245" s="2826"/>
      <c r="AH245" s="2826"/>
      <c r="AI245" s="2826"/>
      <c r="AJ245" s="2826"/>
      <c r="AK245" s="2826"/>
      <c r="AL245" s="2826"/>
      <c r="AM245" s="2826"/>
    </row>
    <row r="246" spans="1:40" s="2825" customFormat="1">
      <c r="B246" s="2935"/>
      <c r="D246" s="3161"/>
      <c r="F246" s="3026"/>
      <c r="G246" s="3027"/>
      <c r="H246" s="3027"/>
      <c r="I246" s="3027"/>
      <c r="J246" s="3027"/>
      <c r="K246" s="3027"/>
      <c r="L246" s="3027"/>
      <c r="M246" s="3025"/>
      <c r="N246" s="3026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826"/>
      <c r="AD246" s="2826"/>
      <c r="AE246" s="2826"/>
      <c r="AF246" s="2826"/>
      <c r="AG246" s="2826"/>
      <c r="AH246" s="2826"/>
      <c r="AI246" s="2826"/>
      <c r="AJ246" s="2826"/>
      <c r="AK246" s="2826"/>
      <c r="AL246" s="2826"/>
      <c r="AM246" s="2826"/>
    </row>
    <row r="247" spans="1:40" s="2825" customFormat="1">
      <c r="B247" s="2935"/>
      <c r="D247" s="3161"/>
      <c r="F247" s="3026"/>
      <c r="G247" s="3027"/>
      <c r="H247" s="3027"/>
      <c r="I247" s="3027"/>
      <c r="J247" s="3027"/>
      <c r="K247" s="3027"/>
      <c r="L247" s="3027"/>
      <c r="M247" s="3025"/>
      <c r="N247" s="3026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826"/>
      <c r="AD247" s="2826"/>
      <c r="AE247" s="2826"/>
      <c r="AF247" s="2826"/>
      <c r="AG247" s="2826"/>
      <c r="AH247" s="2826"/>
      <c r="AI247" s="2826"/>
      <c r="AJ247" s="2826"/>
      <c r="AK247" s="2826"/>
      <c r="AL247" s="2826"/>
      <c r="AM247" s="2826"/>
    </row>
    <row r="248" spans="1:40" s="2825" customFormat="1">
      <c r="B248" s="2935"/>
      <c r="D248" s="3161"/>
      <c r="F248" s="3026"/>
      <c r="G248" s="3027"/>
      <c r="H248" s="3027"/>
      <c r="I248" s="3027"/>
      <c r="J248" s="3027"/>
      <c r="K248" s="3027"/>
      <c r="L248" s="3027"/>
      <c r="M248" s="3025"/>
      <c r="N248" s="3026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826"/>
      <c r="AD248" s="2826"/>
      <c r="AE248" s="2826"/>
      <c r="AF248" s="2826"/>
      <c r="AG248" s="2826"/>
      <c r="AH248" s="2826"/>
      <c r="AI248" s="2826"/>
      <c r="AJ248" s="2826"/>
      <c r="AK248" s="2826"/>
      <c r="AL248" s="2826"/>
      <c r="AM248" s="2826"/>
    </row>
    <row r="249" spans="1:40" s="2825" customFormat="1">
      <c r="B249" s="2935"/>
      <c r="D249" s="3161"/>
      <c r="F249" s="3026"/>
      <c r="G249" s="3027"/>
      <c r="H249" s="3027"/>
      <c r="I249" s="3027"/>
      <c r="J249" s="3027"/>
      <c r="K249" s="3027"/>
      <c r="L249" s="3027"/>
      <c r="M249" s="3025"/>
      <c r="N249" s="3026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826"/>
      <c r="AD249" s="2826"/>
      <c r="AE249" s="2826"/>
      <c r="AF249" s="2826"/>
      <c r="AG249" s="2826"/>
      <c r="AH249" s="2826"/>
      <c r="AI249" s="2826"/>
      <c r="AJ249" s="2826"/>
      <c r="AK249" s="2826"/>
      <c r="AL249" s="2826"/>
      <c r="AM249" s="2826"/>
    </row>
    <row r="250" spans="1:40" s="2825" customFormat="1">
      <c r="B250" s="2935"/>
      <c r="D250" s="3161"/>
      <c r="F250" s="3026"/>
      <c r="G250" s="3027"/>
      <c r="H250" s="3027"/>
      <c r="I250" s="3027"/>
      <c r="J250" s="3027"/>
      <c r="K250" s="3027"/>
      <c r="L250" s="3027"/>
      <c r="M250" s="3025"/>
      <c r="N250" s="3026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826"/>
      <c r="AD250" s="2826"/>
      <c r="AE250" s="2826"/>
      <c r="AF250" s="2826"/>
      <c r="AG250" s="2826"/>
      <c r="AH250" s="2826"/>
      <c r="AI250" s="2826"/>
      <c r="AJ250" s="2826"/>
      <c r="AK250" s="2826"/>
      <c r="AL250" s="2826"/>
      <c r="AM250" s="2826"/>
    </row>
    <row r="251" spans="1:40" s="2825" customFormat="1">
      <c r="B251" s="2935"/>
      <c r="D251" s="3161"/>
      <c r="F251" s="3026"/>
      <c r="G251" s="3027"/>
      <c r="H251" s="3027"/>
      <c r="I251" s="3027"/>
      <c r="J251" s="3027"/>
      <c r="K251" s="3027"/>
      <c r="L251" s="3027"/>
      <c r="M251" s="3025"/>
      <c r="N251" s="3026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826"/>
      <c r="AD251" s="2826"/>
      <c r="AE251" s="2826"/>
      <c r="AF251" s="2826"/>
      <c r="AG251" s="2826"/>
      <c r="AH251" s="2826"/>
      <c r="AI251" s="2826"/>
      <c r="AJ251" s="2826"/>
      <c r="AK251" s="2826"/>
      <c r="AL251" s="2826"/>
      <c r="AM251" s="2826"/>
    </row>
    <row r="252" spans="1:40" s="2825" customFormat="1">
      <c r="B252" s="2935"/>
      <c r="D252" s="3161"/>
      <c r="F252" s="3026"/>
      <c r="G252" s="3027"/>
      <c r="H252" s="3027"/>
      <c r="I252" s="3027"/>
      <c r="J252" s="3027"/>
      <c r="K252" s="3027"/>
      <c r="L252" s="3027"/>
      <c r="M252" s="3025"/>
      <c r="N252" s="3026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826"/>
      <c r="AD252" s="2826"/>
      <c r="AE252" s="2826"/>
      <c r="AF252" s="2826"/>
      <c r="AG252" s="2826"/>
      <c r="AH252" s="2826"/>
      <c r="AI252" s="2826"/>
      <c r="AJ252" s="2826"/>
      <c r="AK252" s="2826"/>
      <c r="AL252" s="2826"/>
      <c r="AM252" s="2826"/>
    </row>
    <row r="253" spans="1:40">
      <c r="A253" s="1"/>
      <c r="O253" s="155"/>
      <c r="P253" s="155"/>
      <c r="Q253" s="1131"/>
      <c r="R253" s="1131"/>
      <c r="S253" s="251"/>
      <c r="T253" s="251"/>
      <c r="U253" s="1132"/>
      <c r="V253" s="1132"/>
      <c r="W253" s="1132"/>
      <c r="X253" s="1132"/>
      <c r="Y253" s="1132"/>
      <c r="Z253" s="1132"/>
      <c r="AA253" s="1132"/>
      <c r="AN253" s="1"/>
    </row>
    <row r="254" spans="1:40">
      <c r="A254" s="1"/>
      <c r="O254" s="155"/>
      <c r="P254" s="155"/>
      <c r="Q254" s="1131"/>
      <c r="R254" s="1131"/>
      <c r="S254" s="251"/>
      <c r="T254" s="251"/>
      <c r="U254" s="1132"/>
      <c r="V254" s="1132"/>
      <c r="W254" s="1132"/>
      <c r="X254" s="1132"/>
      <c r="Y254" s="1132"/>
      <c r="Z254" s="1132"/>
      <c r="AA254" s="1132"/>
      <c r="AN254" s="1"/>
    </row>
    <row r="255" spans="1:40">
      <c r="A255" s="1"/>
      <c r="O255" s="155"/>
      <c r="P255" s="155"/>
      <c r="Q255" s="1131"/>
      <c r="R255" s="1131"/>
      <c r="S255" s="251"/>
      <c r="T255" s="251"/>
      <c r="U255" s="1132"/>
      <c r="V255" s="1132"/>
      <c r="W255" s="1132"/>
      <c r="X255" s="1132"/>
      <c r="Y255" s="1132"/>
      <c r="Z255" s="1132"/>
      <c r="AA255" s="1132"/>
      <c r="AN255" s="1"/>
    </row>
    <row r="256" spans="1:40">
      <c r="A256" s="1"/>
      <c r="O256" s="155"/>
      <c r="P256" s="155"/>
      <c r="Q256" s="1131"/>
      <c r="R256" s="1131"/>
      <c r="S256" s="251"/>
      <c r="T256" s="251"/>
      <c r="U256" s="1132"/>
      <c r="V256" s="1132"/>
      <c r="W256" s="1132"/>
      <c r="X256" s="1132"/>
      <c r="Y256" s="1132"/>
      <c r="Z256" s="1132"/>
      <c r="AA256" s="1132"/>
      <c r="AN256" s="1"/>
    </row>
    <row r="257" spans="1:40">
      <c r="A257" s="1"/>
      <c r="O257" s="155"/>
      <c r="P257" s="155"/>
      <c r="Q257" s="1131"/>
      <c r="R257" s="1131"/>
      <c r="S257" s="251"/>
      <c r="T257" s="251"/>
      <c r="U257" s="1132"/>
      <c r="V257" s="1132"/>
      <c r="W257" s="1132"/>
      <c r="X257" s="1132"/>
      <c r="Y257" s="1132"/>
      <c r="Z257" s="1132"/>
      <c r="AA257" s="1132"/>
      <c r="AN257" s="1"/>
    </row>
    <row r="258" spans="1:40">
      <c r="A258" s="1"/>
      <c r="O258" s="155"/>
      <c r="P258" s="155"/>
      <c r="Q258" s="1131"/>
      <c r="R258" s="1131"/>
      <c r="S258" s="251"/>
      <c r="T258" s="251"/>
      <c r="U258" s="1132"/>
      <c r="V258" s="1132"/>
      <c r="W258" s="1132"/>
      <c r="X258" s="1132"/>
      <c r="Y258" s="1132"/>
      <c r="Z258" s="1132"/>
      <c r="AA258" s="1132"/>
      <c r="AN258" s="1"/>
    </row>
    <row r="259" spans="1:40">
      <c r="A259" s="1"/>
      <c r="O259" s="155"/>
      <c r="P259" s="155"/>
      <c r="Q259" s="1131"/>
      <c r="R259" s="1131"/>
      <c r="S259" s="251"/>
      <c r="T259" s="251"/>
      <c r="U259" s="1132"/>
      <c r="V259" s="1132"/>
      <c r="W259" s="1132"/>
      <c r="X259" s="1132"/>
      <c r="Y259" s="1132"/>
      <c r="Z259" s="1132"/>
      <c r="AA259" s="1132"/>
      <c r="AN259" s="1"/>
    </row>
    <row r="260" spans="1:40">
      <c r="A260" s="1"/>
      <c r="O260" s="155"/>
      <c r="P260" s="155"/>
      <c r="Q260" s="1131"/>
      <c r="R260" s="1131"/>
      <c r="S260" s="251"/>
      <c r="T260" s="251"/>
      <c r="U260" s="1132"/>
      <c r="V260" s="1132"/>
      <c r="W260" s="1132"/>
      <c r="X260" s="1132"/>
      <c r="Y260" s="1132"/>
      <c r="Z260" s="1132"/>
      <c r="AA260" s="1132"/>
      <c r="AN260" s="1"/>
    </row>
    <row r="261" spans="1:40">
      <c r="A261" s="1"/>
      <c r="O261" s="155"/>
      <c r="P261" s="155"/>
      <c r="Q261" s="1131"/>
      <c r="R261" s="1131"/>
      <c r="S261" s="251"/>
      <c r="T261" s="251"/>
      <c r="U261" s="1132"/>
      <c r="V261" s="1132"/>
      <c r="W261" s="1132"/>
      <c r="X261" s="1132"/>
      <c r="Y261" s="1132"/>
      <c r="Z261" s="1132"/>
      <c r="AA261" s="1132"/>
      <c r="AN261" s="1"/>
    </row>
    <row r="262" spans="1:40">
      <c r="A262" s="1"/>
      <c r="O262" s="155"/>
      <c r="P262" s="155"/>
      <c r="Q262" s="1131"/>
      <c r="R262" s="1131"/>
      <c r="S262" s="251"/>
      <c r="T262" s="251"/>
      <c r="U262" s="1132"/>
      <c r="V262" s="1132"/>
      <c r="W262" s="1132"/>
      <c r="X262" s="1132"/>
      <c r="Y262" s="1132"/>
      <c r="Z262" s="1132"/>
      <c r="AA262" s="1132"/>
      <c r="AN262" s="1"/>
    </row>
    <row r="263" spans="1:40">
      <c r="A263" s="1"/>
      <c r="O263" s="155"/>
      <c r="P263" s="155"/>
      <c r="Q263" s="1131"/>
      <c r="R263" s="1131"/>
      <c r="S263" s="251"/>
      <c r="T263" s="251"/>
      <c r="U263" s="1132"/>
      <c r="V263" s="1132"/>
      <c r="W263" s="1132"/>
      <c r="X263" s="1132"/>
      <c r="Y263" s="1132"/>
      <c r="Z263" s="1132"/>
      <c r="AA263" s="1132"/>
      <c r="AN263" s="1"/>
    </row>
    <row r="264" spans="1:40">
      <c r="A264" s="1"/>
      <c r="O264" s="155"/>
      <c r="P264" s="155"/>
      <c r="Q264" s="1131"/>
      <c r="R264" s="1131"/>
      <c r="S264" s="251"/>
      <c r="T264" s="251"/>
      <c r="U264" s="1132"/>
      <c r="V264" s="1132"/>
      <c r="W264" s="1132"/>
      <c r="X264" s="1132"/>
      <c r="Y264" s="1132"/>
      <c r="Z264" s="1132"/>
      <c r="AA264" s="1132"/>
      <c r="AN264" s="1"/>
    </row>
    <row r="265" spans="1:40">
      <c r="A265" s="1"/>
      <c r="O265" s="155"/>
      <c r="P265" s="155"/>
      <c r="Q265" s="1131"/>
      <c r="R265" s="1131"/>
      <c r="S265" s="251"/>
      <c r="T265" s="251"/>
      <c r="U265" s="1132"/>
      <c r="V265" s="1132"/>
      <c r="W265" s="1132"/>
      <c r="X265" s="1132"/>
      <c r="Y265" s="1132"/>
      <c r="Z265" s="1132"/>
      <c r="AA265" s="1132"/>
      <c r="AN265" s="1"/>
    </row>
    <row r="266" spans="1:40">
      <c r="A266" s="1"/>
      <c r="B266" s="1"/>
      <c r="D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>
      <c r="A267" s="1"/>
      <c r="B267" s="1"/>
      <c r="D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>
      <c r="A268" s="1"/>
      <c r="B268" s="1"/>
      <c r="D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>
      <c r="A269" s="1"/>
      <c r="B269" s="1"/>
      <c r="D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>
      <c r="A270" s="1"/>
      <c r="B270" s="1"/>
      <c r="D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>
      <c r="A271" s="1"/>
      <c r="B271" s="1"/>
      <c r="D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>
      <c r="A272" s="1"/>
      <c r="B272" s="1"/>
      <c r="D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>
      <c r="A273" s="1"/>
      <c r="B273" s="1"/>
      <c r="D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>
      <c r="A274" s="1"/>
      <c r="B274" s="1"/>
      <c r="D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>
      <c r="A275" s="1"/>
      <c r="B275" s="1"/>
      <c r="D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>
      <c r="A276" s="1"/>
      <c r="B276" s="1"/>
      <c r="D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>
      <c r="A277" s="1"/>
      <c r="B277" s="1"/>
      <c r="D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>
      <c r="A278" s="1"/>
      <c r="B278" s="1"/>
      <c r="D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>
      <c r="A279" s="1"/>
      <c r="B279" s="1"/>
      <c r="D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>
      <c r="A280" s="1"/>
      <c r="B280" s="1"/>
      <c r="D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>
      <c r="A281" s="1"/>
      <c r="B281" s="1"/>
      <c r="D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>
      <c r="A282" s="1"/>
      <c r="B282" s="1"/>
      <c r="D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>
      <c r="A283" s="1"/>
      <c r="B283" s="1"/>
      <c r="D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>
      <c r="A284" s="1"/>
      <c r="B284" s="1"/>
      <c r="D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>
      <c r="A285" s="1"/>
      <c r="B285" s="1"/>
      <c r="D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>
      <c r="A286" s="1"/>
      <c r="B286" s="1"/>
      <c r="D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>
      <c r="A287" s="1"/>
      <c r="B287" s="1"/>
      <c r="D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>
      <c r="A288" s="1"/>
      <c r="B288" s="1"/>
      <c r="D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>
      <c r="A289" s="1"/>
      <c r="B289" s="1"/>
      <c r="D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>
      <c r="A290" s="1"/>
      <c r="B290" s="1"/>
      <c r="D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>
      <c r="A291" s="1"/>
      <c r="B291" s="1"/>
      <c r="D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>
      <c r="A292" s="1"/>
      <c r="B292" s="1"/>
      <c r="D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>
      <c r="A293" s="1"/>
      <c r="B293" s="1"/>
      <c r="D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>
      <c r="A294" s="1"/>
      <c r="B294" s="1"/>
      <c r="D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>
      <c r="A295" s="1"/>
      <c r="B295" s="1"/>
      <c r="D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>
      <c r="A296" s="1"/>
      <c r="B296" s="1"/>
      <c r="D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</sheetData>
  <mergeCells count="1">
    <mergeCell ref="Q62:R62"/>
  </mergeCells>
  <phoneticPr fontId="21" type="noConversion"/>
  <conditionalFormatting sqref="K65">
    <cfRule type="cellIs" dxfId="593" priority="3" stopIfTrue="1" operator="equal">
      <formula>1</formula>
    </cfRule>
  </conditionalFormatting>
  <conditionalFormatting sqref="K66:K70">
    <cfRule type="cellIs" dxfId="592" priority="2" stopIfTrue="1" operator="equal">
      <formula>1</formula>
    </cfRule>
  </conditionalFormatting>
  <printOptions horizontalCentered="1" verticalCentered="1"/>
  <pageMargins left="0" right="0" top="0.39370078740157483" bottom="1.1023622047244095" header="0.11811023622047245" footer="0.11811023622047245"/>
  <pageSetup paperSize="9" fitToHeight="2" orientation="landscape" horizontalDpi="0" verticalDpi="0"/>
  <headerFooter>
    <oddHeader>&amp;L&amp;A&amp;F</oddHead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S291"/>
  <sheetViews>
    <sheetView zoomScale="126" zoomScaleNormal="126" zoomScalePageLayoutView="246" workbookViewId="0">
      <pane xSplit="17" ySplit="3" topLeftCell="R42" activePane="bottomRight" state="frozen"/>
      <selection pane="topRight" activeCell="R1" sqref="R1"/>
      <selection pane="bottomLeft" activeCell="A4" sqref="A4"/>
      <selection pane="bottomRight" activeCell="AG46" sqref="AG46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33203125" style="204" customWidth="1"/>
    <col min="4" max="4" width="0.83203125" style="902" customWidth="1"/>
    <col min="5" max="5" width="3.5" style="204" customWidth="1"/>
    <col min="6" max="6" width="4.1640625" style="207" customWidth="1"/>
    <col min="7" max="7" width="5.1640625" style="208" customWidth="1"/>
    <col min="8" max="8" width="7" style="208" customWidth="1"/>
    <col min="9" max="9" width="8.33203125" style="208" customWidth="1"/>
    <col min="10" max="10" width="8.1640625" style="208" customWidth="1"/>
    <col min="11" max="11" width="37.33203125" style="208" customWidth="1"/>
    <col min="12" max="12" width="8" style="1206" customWidth="1"/>
    <col min="13" max="13" width="1.33203125" style="449" customWidth="1"/>
    <col min="14" max="14" width="8.6640625" style="1205" customWidth="1"/>
    <col min="15" max="15" width="1" style="208" customWidth="1"/>
    <col min="16" max="16" width="9" style="1206" customWidth="1"/>
    <col min="17" max="17" width="6.6640625" style="209" customWidth="1"/>
    <col min="18" max="18" width="7.6640625" style="1604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5" ht="19.25" customHeight="1" thickBot="1">
      <c r="A1" s="144"/>
      <c r="F1" s="527"/>
      <c r="G1" s="155"/>
      <c r="H1" s="155"/>
      <c r="I1" s="155"/>
      <c r="J1" s="217"/>
      <c r="K1" s="1047">
        <v>45264</v>
      </c>
      <c r="L1" s="1951"/>
      <c r="U1" s="218" t="s">
        <v>345</v>
      </c>
      <c r="AI1" s="213"/>
      <c r="AJ1" s="213"/>
      <c r="AK1" s="213"/>
      <c r="AL1" s="213"/>
      <c r="AM1" s="213"/>
    </row>
    <row r="2" spans="1:45" s="223" customFormat="1" ht="92" customHeight="1" thickTop="1" thickBot="1">
      <c r="A2" s="351" t="s">
        <v>346</v>
      </c>
      <c r="B2" s="352" t="s">
        <v>347</v>
      </c>
      <c r="C2" s="353" t="s">
        <v>348</v>
      </c>
      <c r="D2" s="903"/>
      <c r="E2" s="674" t="s">
        <v>349</v>
      </c>
      <c r="F2" s="354" t="s">
        <v>350</v>
      </c>
      <c r="G2" s="350" t="s">
        <v>351</v>
      </c>
      <c r="H2" s="350" t="s">
        <v>1386</v>
      </c>
      <c r="I2" s="350" t="s">
        <v>352</v>
      </c>
      <c r="J2" s="354" t="s">
        <v>353</v>
      </c>
      <c r="K2" s="350" t="s">
        <v>354</v>
      </c>
      <c r="L2" s="350"/>
      <c r="M2" s="450" t="s">
        <v>355</v>
      </c>
      <c r="N2" s="350" t="s">
        <v>445</v>
      </c>
      <c r="O2" s="353" t="s">
        <v>446</v>
      </c>
      <c r="P2" s="353" t="s">
        <v>447</v>
      </c>
      <c r="Q2" s="355" t="s">
        <v>448</v>
      </c>
      <c r="R2" s="1605" t="s">
        <v>371</v>
      </c>
      <c r="S2" s="219" t="s">
        <v>449</v>
      </c>
      <c r="T2" s="219" t="s">
        <v>450</v>
      </c>
      <c r="U2" s="326" t="s">
        <v>451</v>
      </c>
      <c r="V2" s="329" t="s">
        <v>452</v>
      </c>
      <c r="W2" s="327" t="s">
        <v>453</v>
      </c>
      <c r="X2" s="330" t="s">
        <v>454</v>
      </c>
      <c r="Y2" s="328" t="s">
        <v>455</v>
      </c>
      <c r="Z2" s="332" t="s">
        <v>456</v>
      </c>
      <c r="AA2" s="331" t="s">
        <v>457</v>
      </c>
      <c r="AB2" s="220"/>
      <c r="AC2" s="221"/>
      <c r="AD2" s="222"/>
      <c r="AE2" s="222"/>
      <c r="AF2" s="222"/>
      <c r="AG2" s="222"/>
      <c r="AH2" s="222"/>
      <c r="AI2" s="220"/>
      <c r="AJ2" s="220"/>
      <c r="AK2" s="220"/>
      <c r="AL2" s="220"/>
      <c r="AM2" s="220"/>
      <c r="AN2" s="220"/>
    </row>
    <row r="3" spans="1:45" s="223" customFormat="1" ht="5" customHeight="1" thickBot="1">
      <c r="A3" s="911"/>
      <c r="B3" s="912"/>
      <c r="C3" s="913"/>
      <c r="D3" s="914"/>
      <c r="E3" s="977"/>
      <c r="F3" s="915"/>
      <c r="G3" s="913"/>
      <c r="H3" s="913"/>
      <c r="I3" s="913"/>
      <c r="J3" s="915"/>
      <c r="K3" s="913"/>
      <c r="L3" s="913"/>
      <c r="M3" s="916"/>
      <c r="N3" s="913"/>
      <c r="O3" s="913"/>
      <c r="P3" s="913"/>
      <c r="Q3" s="917"/>
      <c r="R3" s="1606"/>
      <c r="S3" s="919"/>
      <c r="T3" s="919"/>
      <c r="U3" s="111">
        <f>Test!$D$29</f>
        <v>9.1523857526881758E-4</v>
      </c>
      <c r="V3" s="111">
        <f>Test!$D$31</f>
        <v>8.7635030864197572E-4</v>
      </c>
      <c r="W3" s="111">
        <f>Test!$D$33</f>
        <v>8.4888763197586746E-4</v>
      </c>
      <c r="X3" s="111">
        <f>Test!$D$35</f>
        <v>8.0990657955066516E-4</v>
      </c>
      <c r="Y3" s="111">
        <f>Test!$D$37</f>
        <v>7.5735749690210676E-4</v>
      </c>
      <c r="Z3" s="111">
        <f>Test!$D$39</f>
        <v>7.2916666666666692E-4</v>
      </c>
      <c r="AA3" s="112">
        <f>Test!$D$41</f>
        <v>7.0729166666666694E-4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5" s="228" customFormat="1" ht="9" customHeight="1" thickBot="1">
      <c r="A4" s="621"/>
      <c r="B4" s="622"/>
      <c r="C4" s="623"/>
      <c r="D4" s="938"/>
      <c r="E4" s="623"/>
      <c r="F4" s="624"/>
      <c r="G4" s="625"/>
      <c r="H4" s="625"/>
      <c r="I4" s="625"/>
      <c r="J4" s="624"/>
      <c r="K4" s="625"/>
      <c r="L4" s="1952"/>
      <c r="M4" s="626"/>
      <c r="N4" s="834"/>
      <c r="O4" s="623"/>
      <c r="P4" s="913"/>
      <c r="Q4" s="623"/>
      <c r="R4" s="1606"/>
      <c r="S4" s="224"/>
      <c r="T4" s="224"/>
      <c r="U4" s="111">
        <f>U3/4</f>
        <v>2.2880964381720439E-4</v>
      </c>
      <c r="V4" s="111">
        <f t="shared" ref="V4:AA4" si="0">V3/4</f>
        <v>2.1908757716049393E-4</v>
      </c>
      <c r="W4" s="111">
        <f t="shared" si="0"/>
        <v>2.1222190799396687E-4</v>
      </c>
      <c r="X4" s="111">
        <f t="shared" si="0"/>
        <v>2.0247664488766629E-4</v>
      </c>
      <c r="Y4" s="111">
        <f t="shared" si="0"/>
        <v>1.8933937422552669E-4</v>
      </c>
      <c r="Z4" s="111">
        <f t="shared" si="0"/>
        <v>1.8229166666666673E-4</v>
      </c>
      <c r="AA4" s="111">
        <f t="shared" si="0"/>
        <v>1.7682291666666674E-4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5" ht="15" thickTop="1" thickBot="1">
      <c r="A5" s="398" t="s">
        <v>215</v>
      </c>
      <c r="B5" s="1117" t="s">
        <v>459</v>
      </c>
      <c r="C5" s="274">
        <f t="shared" ref="C5:C54" si="1">IF(D5=1,U$4,IF(D5=2,V$4,IF(D5=3,W$4,IF(D5=4,X$4,IF(D5=5,Y$4,IF(D5=6,Z$4,IF(D5=7,AA$4,0)))))))</f>
        <v>2.2880964381720439E-4</v>
      </c>
      <c r="D5" s="920">
        <v>1</v>
      </c>
      <c r="E5" s="3323">
        <v>1</v>
      </c>
      <c r="F5" s="275">
        <v>1</v>
      </c>
      <c r="G5" s="275">
        <v>400</v>
      </c>
      <c r="H5" s="275"/>
      <c r="I5" s="1960">
        <v>0</v>
      </c>
      <c r="J5" s="1960">
        <v>6.9444444444444447E-4</v>
      </c>
      <c r="K5" s="312" t="s">
        <v>1556</v>
      </c>
      <c r="L5" s="1667">
        <v>0.38194444444444442</v>
      </c>
      <c r="M5" s="1942">
        <v>1</v>
      </c>
      <c r="N5" s="1943">
        <f t="shared" ref="N5:N12" si="2">P5*E5*F5+I5*F5*E5+J5*E5</f>
        <v>4.3553987455197144E-3</v>
      </c>
      <c r="O5" s="1944">
        <f t="shared" ref="O5:O34" si="3">C5*(G5/25)</f>
        <v>3.6609543010752703E-3</v>
      </c>
      <c r="P5" s="1945">
        <f t="shared" ref="P5:P12" si="4">O5*M5</f>
        <v>3.6609543010752703E-3</v>
      </c>
      <c r="Q5" s="1946">
        <v>144</v>
      </c>
      <c r="R5" s="1947">
        <f t="shared" ref="R5:R12" si="5">E5*F5*G5</f>
        <v>400</v>
      </c>
      <c r="S5" s="229">
        <f t="shared" ref="S5" si="6">E5*F5*G5/1000</f>
        <v>0.4</v>
      </c>
      <c r="T5" s="230">
        <f t="shared" ref="T5" si="7">E5*F5*O5*4</f>
        <v>1.4643817204301081E-2</v>
      </c>
      <c r="U5" s="374">
        <f>IF(C5*4&gt;=$U$3,S5,0)</f>
        <v>0.4</v>
      </c>
      <c r="V5" s="375">
        <f>IF(AND(C5*4&gt;=$V$3,C5*4&lt;$U$3),S5,0)</f>
        <v>0</v>
      </c>
      <c r="W5" s="376">
        <f>IF(AND(C5*4&gt;=$W$3,C5*4&lt;$V$3),S5,0)</f>
        <v>0</v>
      </c>
      <c r="X5" s="377">
        <f>IF(AND(C5*4&gt;=$X$3,C5*4&lt;$W$3),S5,0)</f>
        <v>0</v>
      </c>
      <c r="Y5" s="378">
        <f>IF(AND(C5*4&gt;=$Y$3,C5*4&lt;$X$3),S5,0)</f>
        <v>0</v>
      </c>
      <c r="Z5" s="379">
        <f>IF(AND(C5*4&gt;=$Z$3,C5*4&lt;$Y$3),S5,0)</f>
        <v>0</v>
      </c>
      <c r="AA5" s="380">
        <f>IF(AND(C5*4&gt;=$AA$3,C5*4&lt;$Z$3),S5,0)</f>
        <v>0</v>
      </c>
      <c r="AC5" s="231"/>
      <c r="AD5" s="231"/>
      <c r="AE5" s="231"/>
      <c r="AF5" s="231"/>
      <c r="AG5" s="231"/>
      <c r="AH5" s="231"/>
      <c r="AI5" s="213"/>
      <c r="AJ5" s="213"/>
      <c r="AK5" s="213"/>
      <c r="AL5" s="213"/>
      <c r="AM5" s="213"/>
      <c r="AN5" s="204"/>
    </row>
    <row r="6" spans="1:45" ht="14" thickBot="1">
      <c r="A6" s="398" t="s">
        <v>138</v>
      </c>
      <c r="B6" s="1117" t="s">
        <v>459</v>
      </c>
      <c r="C6" s="274">
        <f t="shared" si="1"/>
        <v>2.1222190799396687E-4</v>
      </c>
      <c r="D6" s="895">
        <v>3</v>
      </c>
      <c r="E6" s="3325">
        <v>3</v>
      </c>
      <c r="F6" s="3321">
        <v>4</v>
      </c>
      <c r="G6" s="1948">
        <v>35</v>
      </c>
      <c r="H6" s="1948"/>
      <c r="I6" s="1961">
        <v>1.7361111111111112E-4</v>
      </c>
      <c r="J6" s="1961">
        <v>6.9444444444444447E-4</v>
      </c>
      <c r="K6" s="1949" t="s">
        <v>2291</v>
      </c>
      <c r="L6" s="1953">
        <f t="shared" ref="L6:L7" si="8">L5+N5</f>
        <v>0.38629984318996413</v>
      </c>
      <c r="M6" s="1949">
        <v>1</v>
      </c>
      <c r="N6" s="1950">
        <f t="shared" si="2"/>
        <v>7.731994720965309E-3</v>
      </c>
      <c r="O6" s="1949">
        <f t="shared" si="3"/>
        <v>2.9711067119155357E-4</v>
      </c>
      <c r="P6" s="1945">
        <f t="shared" si="4"/>
        <v>2.9711067119155357E-4</v>
      </c>
      <c r="Q6" s="1957">
        <v>144</v>
      </c>
      <c r="R6" s="1947">
        <f t="shared" si="5"/>
        <v>420</v>
      </c>
      <c r="S6" s="229">
        <f t="shared" ref="S6:S55" si="9">E6*F6*G6/1000</f>
        <v>0.42</v>
      </c>
      <c r="T6" s="230">
        <f t="shared" ref="T6:T55" si="10">E6*F6*O6*4</f>
        <v>1.4261312217194571E-2</v>
      </c>
      <c r="U6" s="374">
        <f t="shared" ref="U6:U54" si="11">IF(C6*4&gt;=$U$3,S6,0)</f>
        <v>0</v>
      </c>
      <c r="V6" s="375">
        <f t="shared" ref="V6:V54" si="12">IF(AND(C6*4&gt;=$V$3,C6*4&lt;$U$3),S6,0)</f>
        <v>0</v>
      </c>
      <c r="W6" s="376">
        <f t="shared" ref="W6:W54" si="13">IF(AND(C6*4&gt;=$W$3,C6*4&lt;$V$3),S6,0)</f>
        <v>0.42</v>
      </c>
      <c r="X6" s="377">
        <f t="shared" ref="X6:X54" si="14">IF(AND(C6*4&gt;=$X$3,C6*4&lt;$W$3),S6,0)</f>
        <v>0</v>
      </c>
      <c r="Y6" s="378">
        <f t="shared" ref="Y6:Y54" si="15">IF(AND(C6*4&gt;=$Y$3,C6*4&lt;$X$3),S6,0)</f>
        <v>0</v>
      </c>
      <c r="Z6" s="379">
        <f t="shared" ref="Z6:Z54" si="16">IF(AND(C6*4&gt;=$Z$3,C6*4&lt;$Y$3),S6,0)</f>
        <v>0</v>
      </c>
      <c r="AA6" s="380">
        <f t="shared" ref="AA6:AA54" si="17">IF(AND(C6*4&gt;=$AA$3,C6*4&lt;$Z$3),S6,0)</f>
        <v>0</v>
      </c>
      <c r="AC6" s="231"/>
      <c r="AD6" s="231"/>
      <c r="AE6" s="231"/>
      <c r="AF6" s="231"/>
      <c r="AG6" s="231"/>
      <c r="AH6" s="231"/>
      <c r="AI6" s="213"/>
      <c r="AJ6" s="213"/>
      <c r="AK6" s="213"/>
      <c r="AL6" s="213"/>
      <c r="AM6" s="213"/>
      <c r="AN6" s="204"/>
    </row>
    <row r="7" spans="1:45" ht="14" thickBot="1">
      <c r="A7" s="398" t="s">
        <v>462</v>
      </c>
      <c r="B7" s="1117" t="s">
        <v>459</v>
      </c>
      <c r="C7" s="274">
        <f t="shared" si="1"/>
        <v>2.1908757716049393E-4</v>
      </c>
      <c r="D7" s="895">
        <v>2</v>
      </c>
      <c r="E7" s="3326">
        <v>3</v>
      </c>
      <c r="F7" s="3322">
        <v>4</v>
      </c>
      <c r="G7" s="1321">
        <v>20</v>
      </c>
      <c r="H7" s="1323" t="s">
        <v>284</v>
      </c>
      <c r="I7" s="1322">
        <v>1.7361111111111112E-4</v>
      </c>
      <c r="J7" s="1322">
        <v>6.9444444444444447E-4</v>
      </c>
      <c r="K7" s="1039" t="s">
        <v>1988</v>
      </c>
      <c r="L7" s="2392">
        <f t="shared" si="8"/>
        <v>0.39403183791092944</v>
      </c>
      <c r="M7" s="517">
        <v>0.9</v>
      </c>
      <c r="N7" s="1301">
        <f t="shared" si="2"/>
        <v>6.0595833333333335E-3</v>
      </c>
      <c r="O7" s="436">
        <f t="shared" si="3"/>
        <v>1.7527006172839515E-4</v>
      </c>
      <c r="P7" s="6366">
        <f t="shared" si="4"/>
        <v>1.5774305555555564E-4</v>
      </c>
      <c r="Q7" s="789">
        <v>144</v>
      </c>
      <c r="R7" s="1608">
        <f t="shared" si="5"/>
        <v>240</v>
      </c>
      <c r="S7" s="229">
        <f t="shared" si="9"/>
        <v>0.24</v>
      </c>
      <c r="T7" s="230">
        <f t="shared" si="10"/>
        <v>8.4129629629629676E-3</v>
      </c>
      <c r="U7" s="374">
        <f t="shared" si="11"/>
        <v>0</v>
      </c>
      <c r="V7" s="375">
        <f t="shared" si="12"/>
        <v>0.24</v>
      </c>
      <c r="W7" s="376">
        <f t="shared" si="13"/>
        <v>0</v>
      </c>
      <c r="X7" s="377">
        <f t="shared" si="14"/>
        <v>0</v>
      </c>
      <c r="Y7" s="378">
        <f t="shared" si="15"/>
        <v>0</v>
      </c>
      <c r="Z7" s="379">
        <f t="shared" si="16"/>
        <v>0</v>
      </c>
      <c r="AA7" s="380">
        <f t="shared" si="17"/>
        <v>0</v>
      </c>
      <c r="AC7" s="231"/>
      <c r="AD7" s="231"/>
      <c r="AE7" s="231"/>
      <c r="AF7" s="231"/>
      <c r="AG7" s="231"/>
      <c r="AH7" s="231"/>
      <c r="AI7" s="213"/>
      <c r="AJ7" s="213"/>
      <c r="AK7" s="213"/>
      <c r="AL7" s="213"/>
      <c r="AM7" s="213"/>
      <c r="AN7" s="204"/>
    </row>
    <row r="8" spans="1:45" ht="14" thickBot="1">
      <c r="A8" s="398" t="s">
        <v>219</v>
      </c>
      <c r="B8" s="1117" t="s">
        <v>459</v>
      </c>
      <c r="C8" s="274">
        <f t="shared" si="1"/>
        <v>2.1222190799396687E-4</v>
      </c>
      <c r="D8" s="1010">
        <v>3</v>
      </c>
      <c r="E8" s="960">
        <v>1</v>
      </c>
      <c r="F8" s="280">
        <v>8</v>
      </c>
      <c r="G8" s="280">
        <v>100</v>
      </c>
      <c r="H8" s="280"/>
      <c r="I8" s="1962">
        <v>2.3148148148148146E-4</v>
      </c>
      <c r="J8" s="1962">
        <v>1.3888888888888889E-3</v>
      </c>
      <c r="K8" s="1892" t="s">
        <v>1105</v>
      </c>
      <c r="L8" s="1147">
        <f>L7+N7</f>
        <v>0.40009142124426278</v>
      </c>
      <c r="M8" s="842">
        <v>1</v>
      </c>
      <c r="N8" s="1599">
        <f t="shared" si="2"/>
        <v>1.003184179654768E-2</v>
      </c>
      <c r="O8" s="1599">
        <f t="shared" si="3"/>
        <v>8.4888763197586746E-4</v>
      </c>
      <c r="P8" s="795">
        <f t="shared" si="4"/>
        <v>8.4888763197586746E-4</v>
      </c>
      <c r="Q8" s="843">
        <v>144</v>
      </c>
      <c r="R8" s="1610">
        <f t="shared" si="5"/>
        <v>800</v>
      </c>
      <c r="S8" s="229">
        <f t="shared" si="9"/>
        <v>0.8</v>
      </c>
      <c r="T8" s="230">
        <f t="shared" si="10"/>
        <v>2.7164404223227759E-2</v>
      </c>
      <c r="U8" s="374">
        <f t="shared" si="11"/>
        <v>0</v>
      </c>
      <c r="V8" s="375">
        <f t="shared" si="12"/>
        <v>0</v>
      </c>
      <c r="W8" s="376">
        <f t="shared" si="13"/>
        <v>0.8</v>
      </c>
      <c r="X8" s="377">
        <f t="shared" si="14"/>
        <v>0</v>
      </c>
      <c r="Y8" s="378">
        <f t="shared" si="15"/>
        <v>0</v>
      </c>
      <c r="Z8" s="379">
        <f t="shared" si="16"/>
        <v>0</v>
      </c>
      <c r="AA8" s="380">
        <f t="shared" si="17"/>
        <v>0</v>
      </c>
      <c r="AC8" s="231"/>
      <c r="AD8" s="231"/>
      <c r="AE8" s="231"/>
      <c r="AF8" s="231"/>
      <c r="AG8" s="231"/>
      <c r="AH8" s="231"/>
      <c r="AI8" s="213"/>
      <c r="AJ8" s="213"/>
      <c r="AK8" s="213"/>
      <c r="AL8" s="213"/>
      <c r="AM8" s="213"/>
      <c r="AN8" s="204"/>
    </row>
    <row r="9" spans="1:45" ht="14" thickBot="1">
      <c r="A9" s="398"/>
      <c r="B9" s="1117" t="s">
        <v>459</v>
      </c>
      <c r="C9" s="274">
        <f t="shared" si="1"/>
        <v>2.2880964381720439E-4</v>
      </c>
      <c r="D9" s="960">
        <v>1</v>
      </c>
      <c r="E9" s="275">
        <v>1</v>
      </c>
      <c r="F9" s="275">
        <v>1</v>
      </c>
      <c r="G9" s="275">
        <v>200</v>
      </c>
      <c r="H9" s="275"/>
      <c r="I9" s="276">
        <v>1.1574074074074073E-4</v>
      </c>
      <c r="J9" s="276">
        <v>1.3888888888888889E-3</v>
      </c>
      <c r="K9" s="312" t="s">
        <v>682</v>
      </c>
      <c r="L9" s="1667">
        <f>L8+N8</f>
        <v>0.41012326304081048</v>
      </c>
      <c r="M9" s="1615">
        <v>1</v>
      </c>
      <c r="N9" s="274">
        <f t="shared" si="2"/>
        <v>3.335106780167265E-3</v>
      </c>
      <c r="O9" s="276">
        <f t="shared" si="3"/>
        <v>1.8304771505376352E-3</v>
      </c>
      <c r="P9" s="1196">
        <f t="shared" si="4"/>
        <v>1.8304771505376352E-3</v>
      </c>
      <c r="Q9" s="548"/>
      <c r="R9" s="1616">
        <f t="shared" si="5"/>
        <v>200</v>
      </c>
      <c r="S9" s="229">
        <f t="shared" si="9"/>
        <v>0.2</v>
      </c>
      <c r="T9" s="230">
        <f t="shared" si="10"/>
        <v>7.3219086021505406E-3</v>
      </c>
      <c r="U9" s="374">
        <f t="shared" si="11"/>
        <v>0.2</v>
      </c>
      <c r="V9" s="375">
        <f t="shared" si="12"/>
        <v>0</v>
      </c>
      <c r="W9" s="376">
        <f t="shared" si="13"/>
        <v>0</v>
      </c>
      <c r="X9" s="377">
        <f t="shared" si="14"/>
        <v>0</v>
      </c>
      <c r="Y9" s="378">
        <f t="shared" si="15"/>
        <v>0</v>
      </c>
      <c r="Z9" s="379">
        <f t="shared" si="16"/>
        <v>0</v>
      </c>
      <c r="AA9" s="380">
        <f t="shared" si="17"/>
        <v>0</v>
      </c>
      <c r="AB9" s="231"/>
      <c r="AC9" s="231"/>
      <c r="AD9" s="231"/>
      <c r="AE9" s="231"/>
      <c r="AF9" s="213"/>
      <c r="AG9" s="213"/>
      <c r="AH9" s="213"/>
      <c r="AI9" s="213"/>
      <c r="AJ9" s="213"/>
      <c r="AK9" s="231"/>
      <c r="AL9" s="231"/>
      <c r="AM9" s="231"/>
      <c r="AN9" s="231"/>
      <c r="AO9" s="213"/>
      <c r="AP9" s="213"/>
      <c r="AQ9" s="213"/>
      <c r="AR9" s="213"/>
      <c r="AS9" s="213"/>
    </row>
    <row r="10" spans="1:45" ht="14" thickBot="1">
      <c r="A10" s="398"/>
      <c r="B10" s="1117" t="s">
        <v>459</v>
      </c>
      <c r="C10" s="274">
        <f t="shared" si="1"/>
        <v>2.1908757716049393E-4</v>
      </c>
      <c r="D10" s="1881">
        <v>2</v>
      </c>
      <c r="E10" s="1881">
        <v>1</v>
      </c>
      <c r="F10" s="1881">
        <v>16</v>
      </c>
      <c r="G10" s="1881">
        <v>25</v>
      </c>
      <c r="H10" s="1881"/>
      <c r="I10" s="1989">
        <v>5.7870370370370366E-5</v>
      </c>
      <c r="J10" s="1989">
        <v>6.9444444444444447E-4</v>
      </c>
      <c r="K10" s="1994" t="s">
        <v>1989</v>
      </c>
      <c r="L10" s="4648">
        <f>L9+N9</f>
        <v>0.41345836982097772</v>
      </c>
      <c r="M10" s="1992">
        <v>1</v>
      </c>
      <c r="N10" s="3040">
        <f t="shared" si="2"/>
        <v>5.1257716049382734E-3</v>
      </c>
      <c r="O10" s="1877">
        <f t="shared" si="3"/>
        <v>2.1908757716049393E-4</v>
      </c>
      <c r="P10" s="2429">
        <f t="shared" si="4"/>
        <v>2.1908757716049393E-4</v>
      </c>
      <c r="Q10" s="2032">
        <v>144</v>
      </c>
      <c r="R10" s="4649">
        <f t="shared" si="5"/>
        <v>400</v>
      </c>
      <c r="S10" s="229">
        <f t="shared" si="9"/>
        <v>0.4</v>
      </c>
      <c r="T10" s="230">
        <f t="shared" si="10"/>
        <v>1.4021604938271611E-2</v>
      </c>
      <c r="U10" s="374">
        <f t="shared" si="11"/>
        <v>0</v>
      </c>
      <c r="V10" s="375">
        <f t="shared" si="12"/>
        <v>0.4</v>
      </c>
      <c r="W10" s="376">
        <f t="shared" si="13"/>
        <v>0</v>
      </c>
      <c r="X10" s="377">
        <f t="shared" si="14"/>
        <v>0</v>
      </c>
      <c r="Y10" s="378">
        <f t="shared" si="15"/>
        <v>0</v>
      </c>
      <c r="Z10" s="379">
        <f t="shared" si="16"/>
        <v>0</v>
      </c>
      <c r="AA10" s="380">
        <f t="shared" si="17"/>
        <v>0</v>
      </c>
      <c r="AB10" s="231"/>
      <c r="AC10" s="231"/>
      <c r="AD10" s="231"/>
      <c r="AE10" s="231"/>
      <c r="AF10" s="213"/>
      <c r="AG10" s="213"/>
      <c r="AH10" s="213"/>
      <c r="AI10" s="213"/>
      <c r="AJ10" s="213"/>
      <c r="AK10" s="231"/>
      <c r="AL10" s="231"/>
      <c r="AM10" s="231"/>
      <c r="AN10" s="231"/>
      <c r="AO10" s="213"/>
      <c r="AP10" s="213"/>
      <c r="AQ10" s="213"/>
      <c r="AR10" s="213"/>
      <c r="AS10" s="213"/>
    </row>
    <row r="11" spans="1:45" ht="14" thickBot="1">
      <c r="A11" s="398"/>
      <c r="B11" s="1117" t="s">
        <v>459</v>
      </c>
      <c r="C11" s="274">
        <f t="shared" si="1"/>
        <v>1.8933937422552669E-4</v>
      </c>
      <c r="D11" s="3303">
        <v>5</v>
      </c>
      <c r="E11" s="3304">
        <v>1</v>
      </c>
      <c r="F11" s="3304">
        <v>3</v>
      </c>
      <c r="G11" s="3305">
        <v>35</v>
      </c>
      <c r="H11" s="3306"/>
      <c r="I11" s="3306">
        <v>6.9444444444444447E-4</v>
      </c>
      <c r="J11" s="3306">
        <v>6.9444444444444447E-4</v>
      </c>
      <c r="K11" s="3327" t="s">
        <v>1558</v>
      </c>
      <c r="L11" s="3328">
        <f>L10+N10</f>
        <v>0.41858414142591599</v>
      </c>
      <c r="M11" s="3309">
        <v>0.9</v>
      </c>
      <c r="N11" s="3329">
        <f t="shared" ref="N11" si="18">P11*E11*F11+I11*E11*F11+J11*E11</f>
        <v>3.5149516973874435E-3</v>
      </c>
      <c r="O11" s="3330">
        <f>C11*(G11/25)*1.03</f>
        <v>2.7302737763320949E-4</v>
      </c>
      <c r="P11" s="3331">
        <f>O11*M11</f>
        <v>2.4572463986988853E-4</v>
      </c>
      <c r="Q11" s="3332">
        <v>173</v>
      </c>
      <c r="R11" s="3333">
        <f t="shared" si="5"/>
        <v>105</v>
      </c>
      <c r="S11" s="229">
        <f t="shared" si="9"/>
        <v>0.105</v>
      </c>
      <c r="T11" s="230">
        <f t="shared" si="10"/>
        <v>3.2763285315985137E-3</v>
      </c>
      <c r="U11" s="374">
        <f t="shared" si="11"/>
        <v>0</v>
      </c>
      <c r="V11" s="375">
        <f t="shared" si="12"/>
        <v>0</v>
      </c>
      <c r="W11" s="376">
        <f t="shared" si="13"/>
        <v>0</v>
      </c>
      <c r="X11" s="377">
        <f t="shared" si="14"/>
        <v>0</v>
      </c>
      <c r="Y11" s="378">
        <f t="shared" si="15"/>
        <v>0.105</v>
      </c>
      <c r="Z11" s="379">
        <f t="shared" si="16"/>
        <v>0</v>
      </c>
      <c r="AA11" s="380">
        <f t="shared" si="17"/>
        <v>0</v>
      </c>
      <c r="AB11" s="231"/>
      <c r="AC11" s="231"/>
      <c r="AD11" s="231"/>
      <c r="AE11" s="231"/>
      <c r="AF11" s="213"/>
      <c r="AG11" s="213"/>
      <c r="AH11" s="213"/>
      <c r="AI11" s="213"/>
      <c r="AJ11" s="213"/>
      <c r="AK11" s="231"/>
      <c r="AL11" s="231"/>
      <c r="AM11" s="231"/>
      <c r="AN11" s="231"/>
      <c r="AO11" s="213"/>
      <c r="AP11" s="213"/>
      <c r="AQ11" s="213"/>
      <c r="AR11" s="213"/>
      <c r="AS11" s="213"/>
    </row>
    <row r="12" spans="1:45" ht="14" thickBot="1">
      <c r="A12" s="398"/>
      <c r="B12" s="1117" t="s">
        <v>459</v>
      </c>
      <c r="C12" s="274">
        <f t="shared" si="1"/>
        <v>1.7682291666666674E-4</v>
      </c>
      <c r="D12" s="1404">
        <v>7</v>
      </c>
      <c r="E12" s="435">
        <v>1</v>
      </c>
      <c r="F12" s="435">
        <v>8</v>
      </c>
      <c r="G12" s="435">
        <v>14.5</v>
      </c>
      <c r="H12" s="1603"/>
      <c r="I12" s="436">
        <v>3.4722222222222224E-4</v>
      </c>
      <c r="J12" s="437">
        <v>6.9444444444444447E-4</v>
      </c>
      <c r="K12" s="438" t="s">
        <v>1559</v>
      </c>
      <c r="L12" s="1954">
        <f>L11+N11</f>
        <v>0.42209909312330346</v>
      </c>
      <c r="M12" s="517">
        <v>1</v>
      </c>
      <c r="N12" s="1051">
        <f t="shared" si="2"/>
        <v>4.2926805555555557E-3</v>
      </c>
      <c r="O12" s="436">
        <f>C12*(G12/25)</f>
        <v>1.025572916666667E-4</v>
      </c>
      <c r="P12" s="1191">
        <f t="shared" si="4"/>
        <v>1.025572916666667E-4</v>
      </c>
      <c r="Q12" s="789">
        <v>160</v>
      </c>
      <c r="R12" s="1608">
        <f t="shared" si="5"/>
        <v>116</v>
      </c>
      <c r="S12" s="229">
        <f t="shared" si="9"/>
        <v>0.11600000000000001</v>
      </c>
      <c r="T12" s="230">
        <f t="shared" si="10"/>
        <v>3.2818333333333345E-3</v>
      </c>
      <c r="U12" s="374">
        <f t="shared" si="11"/>
        <v>0</v>
      </c>
      <c r="V12" s="375">
        <f t="shared" si="12"/>
        <v>0</v>
      </c>
      <c r="W12" s="376">
        <f t="shared" si="13"/>
        <v>0</v>
      </c>
      <c r="X12" s="377">
        <f t="shared" si="14"/>
        <v>0</v>
      </c>
      <c r="Y12" s="378">
        <f t="shared" si="15"/>
        <v>0</v>
      </c>
      <c r="Z12" s="379">
        <f t="shared" si="16"/>
        <v>0</v>
      </c>
      <c r="AA12" s="380">
        <f t="shared" si="17"/>
        <v>0.11600000000000001</v>
      </c>
      <c r="AB12" s="231"/>
      <c r="AC12" s="231"/>
      <c r="AD12" s="231"/>
      <c r="AE12" s="231"/>
      <c r="AF12" s="213"/>
      <c r="AG12" s="213"/>
      <c r="AH12" s="213"/>
      <c r="AI12" s="213"/>
      <c r="AJ12" s="213"/>
      <c r="AK12" s="231"/>
      <c r="AL12" s="231"/>
      <c r="AM12" s="231"/>
      <c r="AN12" s="231"/>
      <c r="AO12" s="213"/>
      <c r="AP12" s="213"/>
      <c r="AQ12" s="213"/>
      <c r="AR12" s="213"/>
      <c r="AS12" s="213"/>
    </row>
    <row r="13" spans="1:45" ht="14" thickBot="1">
      <c r="A13" s="1451"/>
      <c r="B13" s="1622"/>
      <c r="C13" s="274">
        <f t="shared" si="1"/>
        <v>1.7682291666666674E-4</v>
      </c>
      <c r="D13" s="1623">
        <v>7</v>
      </c>
      <c r="E13" s="1021"/>
      <c r="F13" s="336"/>
      <c r="G13" s="336"/>
      <c r="H13" s="336"/>
      <c r="I13" s="336"/>
      <c r="J13" s="336"/>
      <c r="K13" s="336"/>
      <c r="L13" s="1598">
        <f>SUM(L5:L12)</f>
        <v>3.2266324142006084</v>
      </c>
      <c r="M13" s="1419">
        <v>1.2</v>
      </c>
      <c r="N13" s="1421"/>
      <c r="O13" s="1421"/>
      <c r="P13" s="1421"/>
      <c r="Q13" s="1421"/>
      <c r="R13" s="1609">
        <f>SUM(R5:R12)</f>
        <v>2681</v>
      </c>
      <c r="S13" s="229">
        <f t="shared" si="9"/>
        <v>0</v>
      </c>
      <c r="T13" s="230">
        <f t="shared" si="10"/>
        <v>0</v>
      </c>
      <c r="U13" s="374">
        <f t="shared" si="11"/>
        <v>0</v>
      </c>
      <c r="V13" s="375">
        <f t="shared" si="12"/>
        <v>0</v>
      </c>
      <c r="W13" s="376">
        <f t="shared" si="13"/>
        <v>0</v>
      </c>
      <c r="X13" s="377">
        <f t="shared" si="14"/>
        <v>0</v>
      </c>
      <c r="Y13" s="378">
        <f t="shared" si="15"/>
        <v>0</v>
      </c>
      <c r="Z13" s="379">
        <f t="shared" si="16"/>
        <v>0</v>
      </c>
      <c r="AA13" s="380">
        <f t="shared" si="17"/>
        <v>0</v>
      </c>
      <c r="AB13" s="231"/>
      <c r="AC13" s="231"/>
      <c r="AD13" s="231"/>
      <c r="AE13" s="231"/>
      <c r="AF13" s="213"/>
      <c r="AG13" s="213"/>
      <c r="AH13" s="213"/>
      <c r="AI13" s="213"/>
      <c r="AJ13" s="213"/>
      <c r="AK13" s="231"/>
      <c r="AL13" s="231"/>
      <c r="AM13" s="231"/>
      <c r="AN13" s="231"/>
      <c r="AO13" s="213"/>
      <c r="AP13" s="213"/>
      <c r="AQ13" s="213"/>
      <c r="AR13" s="213"/>
      <c r="AS13" s="213"/>
    </row>
    <row r="14" spans="1:45" ht="13" customHeight="1" thickBot="1">
      <c r="A14" s="1329" t="s">
        <v>215</v>
      </c>
      <c r="B14" s="1329" t="s">
        <v>215</v>
      </c>
      <c r="C14" s="274">
        <f t="shared" si="1"/>
        <v>2.2880964381720439E-4</v>
      </c>
      <c r="D14" s="920">
        <v>1</v>
      </c>
      <c r="E14" s="300">
        <v>1</v>
      </c>
      <c r="F14" s="300">
        <v>4</v>
      </c>
      <c r="G14" s="300">
        <v>100</v>
      </c>
      <c r="H14" s="300"/>
      <c r="I14" s="301">
        <v>1.7361111111111112E-4</v>
      </c>
      <c r="J14" s="301">
        <v>1.3888888888888889E-3</v>
      </c>
      <c r="K14" s="1123" t="s">
        <v>1562</v>
      </c>
      <c r="L14" s="1143">
        <v>0.34451388888888884</v>
      </c>
      <c r="M14" s="455">
        <v>1</v>
      </c>
      <c r="N14" s="299">
        <f>P14*E14*F14+I14*E14*F14+J14*E14</f>
        <v>5.7442876344086036E-3</v>
      </c>
      <c r="O14" s="302">
        <f t="shared" si="3"/>
        <v>9.1523857526881758E-4</v>
      </c>
      <c r="P14" s="1175">
        <f>O14*M14</f>
        <v>9.1523857526881758E-4</v>
      </c>
      <c r="Q14" s="550">
        <v>129</v>
      </c>
      <c r="R14" s="1607">
        <f>E14*F14*G14</f>
        <v>400</v>
      </c>
      <c r="S14" s="229">
        <f t="shared" si="9"/>
        <v>0.4</v>
      </c>
      <c r="T14" s="230">
        <f t="shared" si="10"/>
        <v>1.4643817204301081E-2</v>
      </c>
      <c r="U14" s="374">
        <f t="shared" si="11"/>
        <v>0.4</v>
      </c>
      <c r="V14" s="375">
        <f t="shared" si="12"/>
        <v>0</v>
      </c>
      <c r="W14" s="376">
        <f t="shared" si="13"/>
        <v>0</v>
      </c>
      <c r="X14" s="377">
        <f t="shared" si="14"/>
        <v>0</v>
      </c>
      <c r="Y14" s="378">
        <f t="shared" si="15"/>
        <v>0</v>
      </c>
      <c r="Z14" s="379">
        <f t="shared" si="16"/>
        <v>0</v>
      </c>
      <c r="AA14" s="380">
        <f t="shared" si="17"/>
        <v>0</v>
      </c>
      <c r="AC14" s="231"/>
      <c r="AD14" s="231"/>
      <c r="AE14" s="231"/>
      <c r="AF14" s="231"/>
      <c r="AG14" s="231"/>
      <c r="AH14" s="231"/>
      <c r="AI14" s="213"/>
      <c r="AJ14" s="213"/>
      <c r="AK14" s="213"/>
      <c r="AL14" s="213"/>
      <c r="AM14" s="213"/>
      <c r="AN14" s="204"/>
    </row>
    <row r="15" spans="1:45" ht="13" customHeight="1" thickBot="1">
      <c r="A15" s="957" t="s">
        <v>139</v>
      </c>
      <c r="B15" s="1329" t="s">
        <v>215</v>
      </c>
      <c r="C15" s="274">
        <f t="shared" si="1"/>
        <v>2.1222190799396687E-4</v>
      </c>
      <c r="D15" s="960">
        <v>3</v>
      </c>
      <c r="E15" s="280">
        <v>3</v>
      </c>
      <c r="F15" s="280">
        <v>2</v>
      </c>
      <c r="G15" s="280">
        <v>50</v>
      </c>
      <c r="H15" s="280"/>
      <c r="I15" s="281">
        <v>8.1018518518518516E-5</v>
      </c>
      <c r="J15" s="281">
        <v>6.9444444444444447E-4</v>
      </c>
      <c r="K15" s="1074" t="s">
        <v>969</v>
      </c>
      <c r="L15" s="1147">
        <f t="shared" ref="L15:L18" si="19">L14+N14</f>
        <v>0.35025817652329744</v>
      </c>
      <c r="M15" s="842">
        <v>1</v>
      </c>
      <c r="N15" s="1599">
        <f>P15*E15*F15+I15*E15*F15+J15*E15</f>
        <v>5.1161073403720465E-3</v>
      </c>
      <c r="O15" s="795">
        <f t="shared" si="3"/>
        <v>4.2444381598793373E-4</v>
      </c>
      <c r="P15" s="1600">
        <f>O15*M15</f>
        <v>4.2444381598793373E-4</v>
      </c>
      <c r="Q15" s="843">
        <v>165</v>
      </c>
      <c r="R15" s="1610">
        <f>E15*F15*G15</f>
        <v>300</v>
      </c>
      <c r="S15" s="229">
        <f t="shared" si="9"/>
        <v>0.3</v>
      </c>
      <c r="T15" s="230">
        <f t="shared" si="10"/>
        <v>1.018665158371041E-2</v>
      </c>
      <c r="U15" s="374">
        <f t="shared" si="11"/>
        <v>0</v>
      </c>
      <c r="V15" s="375">
        <f t="shared" si="12"/>
        <v>0</v>
      </c>
      <c r="W15" s="376">
        <f t="shared" si="13"/>
        <v>0.3</v>
      </c>
      <c r="X15" s="377">
        <f t="shared" si="14"/>
        <v>0</v>
      </c>
      <c r="Y15" s="378">
        <f t="shared" si="15"/>
        <v>0</v>
      </c>
      <c r="Z15" s="379">
        <f t="shared" si="16"/>
        <v>0</v>
      </c>
      <c r="AA15" s="380">
        <f t="shared" si="17"/>
        <v>0</v>
      </c>
      <c r="AC15" s="231"/>
      <c r="AD15" s="231"/>
      <c r="AE15" s="231"/>
      <c r="AF15" s="231"/>
      <c r="AG15" s="231"/>
      <c r="AH15" s="231"/>
      <c r="AI15" s="213"/>
      <c r="AJ15" s="213"/>
      <c r="AK15" s="213"/>
      <c r="AL15" s="213"/>
      <c r="AM15" s="213"/>
      <c r="AN15" s="204"/>
    </row>
    <row r="16" spans="1:45" ht="11" customHeight="1" thickBot="1">
      <c r="A16" s="957" t="s">
        <v>458</v>
      </c>
      <c r="B16" s="1329" t="s">
        <v>215</v>
      </c>
      <c r="C16" s="274">
        <f t="shared" si="1"/>
        <v>1.8229166666666673E-4</v>
      </c>
      <c r="D16" s="1145">
        <v>6</v>
      </c>
      <c r="E16" s="1145">
        <v>1</v>
      </c>
      <c r="F16" s="1145">
        <v>4</v>
      </c>
      <c r="G16" s="1145">
        <v>150</v>
      </c>
      <c r="H16" s="1602"/>
      <c r="I16" s="366">
        <v>6.9444444444444447E-4</v>
      </c>
      <c r="J16" s="366">
        <v>0</v>
      </c>
      <c r="K16" s="1065" t="s">
        <v>300</v>
      </c>
      <c r="L16" s="1956">
        <f t="shared" si="19"/>
        <v>0.35537428386366948</v>
      </c>
      <c r="M16" s="1620">
        <v>1.1000000000000001</v>
      </c>
      <c r="N16" s="1052">
        <f>P16*E16*F16+I16*E16*F16+J16*E16</f>
        <v>7.5902777777777791E-3</v>
      </c>
      <c r="O16" s="1619">
        <f t="shared" si="3"/>
        <v>1.0937500000000003E-3</v>
      </c>
      <c r="P16" s="1169">
        <f>O16*M16</f>
        <v>1.2031250000000004E-3</v>
      </c>
      <c r="Q16" s="1958" t="s">
        <v>316</v>
      </c>
      <c r="R16" s="1621">
        <f>E16*F16*G16</f>
        <v>600</v>
      </c>
      <c r="S16" s="229">
        <f t="shared" si="9"/>
        <v>0.6</v>
      </c>
      <c r="T16" s="230">
        <f t="shared" si="10"/>
        <v>1.7500000000000005E-2</v>
      </c>
      <c r="U16" s="374">
        <f t="shared" si="11"/>
        <v>0</v>
      </c>
      <c r="V16" s="375">
        <f t="shared" si="12"/>
        <v>0</v>
      </c>
      <c r="W16" s="376">
        <f t="shared" si="13"/>
        <v>0</v>
      </c>
      <c r="X16" s="377">
        <f t="shared" si="14"/>
        <v>0</v>
      </c>
      <c r="Y16" s="378">
        <f t="shared" si="15"/>
        <v>0</v>
      </c>
      <c r="Z16" s="379">
        <f t="shared" si="16"/>
        <v>0.6</v>
      </c>
      <c r="AA16" s="380">
        <f t="shared" si="17"/>
        <v>0</v>
      </c>
      <c r="AC16" s="231"/>
      <c r="AD16" s="231"/>
      <c r="AE16" s="231"/>
      <c r="AF16" s="231"/>
      <c r="AG16" s="231"/>
      <c r="AH16" s="231"/>
      <c r="AI16" s="213"/>
      <c r="AJ16" s="213"/>
      <c r="AK16" s="213"/>
      <c r="AL16" s="213"/>
      <c r="AM16" s="213"/>
      <c r="AN16" s="204"/>
    </row>
    <row r="17" spans="1:40" ht="14" thickBot="1">
      <c r="A17" s="460" t="s">
        <v>462</v>
      </c>
      <c r="B17" s="1329" t="s">
        <v>215</v>
      </c>
      <c r="C17" s="274">
        <f t="shared" si="1"/>
        <v>1.7682291666666674E-4</v>
      </c>
      <c r="D17" s="898">
        <v>7</v>
      </c>
      <c r="E17" s="441">
        <v>4</v>
      </c>
      <c r="F17" s="441">
        <v>5</v>
      </c>
      <c r="G17" s="441">
        <v>10</v>
      </c>
      <c r="H17" s="441"/>
      <c r="I17" s="436">
        <v>6.9444444444444447E-4</v>
      </c>
      <c r="J17" s="436">
        <v>1.3888888888888889E-3</v>
      </c>
      <c r="K17" s="442" t="s">
        <v>314</v>
      </c>
      <c r="L17" s="1954">
        <f t="shared" si="19"/>
        <v>0.36296456164144725</v>
      </c>
      <c r="M17" s="517">
        <v>0.9</v>
      </c>
      <c r="N17" s="1051">
        <f>SUM(N14:N16)</f>
        <v>1.845067275255843E-2</v>
      </c>
      <c r="O17" s="436">
        <f t="shared" si="3"/>
        <v>7.0729166666666694E-5</v>
      </c>
      <c r="P17" s="1191">
        <f t="shared" ref="P17" si="20">O17*M17</f>
        <v>6.3656250000000033E-5</v>
      </c>
      <c r="Q17" s="789"/>
      <c r="R17" s="1608">
        <f>E17*F17*G17</f>
        <v>200</v>
      </c>
      <c r="S17" s="229">
        <f t="shared" si="9"/>
        <v>0.2</v>
      </c>
      <c r="T17" s="230">
        <f t="shared" si="10"/>
        <v>5.6583333333333355E-3</v>
      </c>
      <c r="U17" s="374">
        <f t="shared" si="11"/>
        <v>0</v>
      </c>
      <c r="V17" s="375">
        <f t="shared" si="12"/>
        <v>0</v>
      </c>
      <c r="W17" s="376">
        <f t="shared" si="13"/>
        <v>0</v>
      </c>
      <c r="X17" s="377">
        <f t="shared" si="14"/>
        <v>0</v>
      </c>
      <c r="Y17" s="378">
        <f t="shared" si="15"/>
        <v>0</v>
      </c>
      <c r="Z17" s="379">
        <f t="shared" si="16"/>
        <v>0</v>
      </c>
      <c r="AA17" s="380">
        <f t="shared" si="17"/>
        <v>0.2</v>
      </c>
      <c r="AC17" s="231"/>
      <c r="AD17" s="231"/>
      <c r="AE17" s="231"/>
      <c r="AF17" s="231"/>
      <c r="AG17" s="231"/>
      <c r="AH17" s="231"/>
      <c r="AI17" s="213"/>
      <c r="AJ17" s="213"/>
      <c r="AK17" s="213"/>
      <c r="AL17" s="213"/>
      <c r="AM17" s="213"/>
      <c r="AN17" s="204"/>
    </row>
    <row r="18" spans="1:40" ht="14" thickBot="1">
      <c r="A18" s="336"/>
      <c r="B18" s="1329"/>
      <c r="C18" s="274">
        <f t="shared" si="1"/>
        <v>2.2880964381720439E-4</v>
      </c>
      <c r="D18" s="336">
        <v>1</v>
      </c>
      <c r="E18" s="336"/>
      <c r="F18" s="336"/>
      <c r="G18" s="336"/>
      <c r="H18" s="336"/>
      <c r="I18" s="336"/>
      <c r="J18" s="336"/>
      <c r="K18" s="2598"/>
      <c r="L18" s="1598">
        <f t="shared" si="19"/>
        <v>0.38141523439400565</v>
      </c>
      <c r="M18" s="2593">
        <v>1</v>
      </c>
      <c r="N18" s="2594"/>
      <c r="O18" s="2595">
        <f t="shared" si="3"/>
        <v>0</v>
      </c>
      <c r="P18" s="2594"/>
      <c r="Q18" s="2596"/>
      <c r="R18" s="2597">
        <f>SUM(R14:R17)</f>
        <v>1500</v>
      </c>
      <c r="S18" s="229">
        <f t="shared" si="9"/>
        <v>0</v>
      </c>
      <c r="T18" s="230">
        <f t="shared" si="10"/>
        <v>0</v>
      </c>
      <c r="U18" s="374">
        <f t="shared" si="11"/>
        <v>0</v>
      </c>
      <c r="V18" s="375">
        <f t="shared" si="12"/>
        <v>0</v>
      </c>
      <c r="W18" s="376">
        <f t="shared" si="13"/>
        <v>0</v>
      </c>
      <c r="X18" s="377">
        <f t="shared" si="14"/>
        <v>0</v>
      </c>
      <c r="Y18" s="378">
        <f t="shared" si="15"/>
        <v>0</v>
      </c>
      <c r="Z18" s="379">
        <f t="shared" si="16"/>
        <v>0</v>
      </c>
      <c r="AA18" s="380">
        <f t="shared" si="17"/>
        <v>0</v>
      </c>
      <c r="AC18" s="231"/>
      <c r="AD18" s="231"/>
      <c r="AE18" s="231"/>
      <c r="AF18" s="231"/>
      <c r="AG18" s="231"/>
      <c r="AH18" s="231"/>
      <c r="AI18" s="213"/>
      <c r="AJ18" s="213"/>
      <c r="AK18" s="213"/>
      <c r="AL18" s="213"/>
      <c r="AM18" s="213"/>
      <c r="AN18" s="204"/>
    </row>
    <row r="19" spans="1:40" ht="14" thickBot="1">
      <c r="A19" s="1971" t="s">
        <v>215</v>
      </c>
      <c r="B19" s="1970" t="s">
        <v>461</v>
      </c>
      <c r="C19" s="274">
        <f t="shared" si="1"/>
        <v>0</v>
      </c>
      <c r="D19" s="2564"/>
      <c r="E19" s="905"/>
      <c r="F19" s="905"/>
      <c r="G19" s="905"/>
      <c r="H19" s="905"/>
      <c r="I19" s="905"/>
      <c r="J19" s="905"/>
      <c r="K19" s="2601" t="s">
        <v>1990</v>
      </c>
      <c r="L19" s="2572"/>
      <c r="M19" s="2572"/>
      <c r="N19" s="2572"/>
      <c r="O19" s="2572"/>
      <c r="P19" s="2572"/>
      <c r="Q19" s="2572"/>
      <c r="R19" s="2572"/>
      <c r="S19" s="229">
        <f t="shared" si="9"/>
        <v>0</v>
      </c>
      <c r="T19" s="230">
        <f t="shared" si="10"/>
        <v>0</v>
      </c>
      <c r="U19" s="374">
        <f t="shared" si="11"/>
        <v>0</v>
      </c>
      <c r="V19" s="375">
        <f t="shared" si="12"/>
        <v>0</v>
      </c>
      <c r="W19" s="376">
        <f t="shared" si="13"/>
        <v>0</v>
      </c>
      <c r="X19" s="377">
        <f t="shared" si="14"/>
        <v>0</v>
      </c>
      <c r="Y19" s="378">
        <f t="shared" si="15"/>
        <v>0</v>
      </c>
      <c r="Z19" s="379">
        <f t="shared" si="16"/>
        <v>0</v>
      </c>
      <c r="AA19" s="380">
        <f t="shared" si="17"/>
        <v>0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</row>
    <row r="20" spans="1:40" ht="14" thickBot="1">
      <c r="A20" s="1971" t="s">
        <v>139</v>
      </c>
      <c r="B20" s="1970" t="s">
        <v>461</v>
      </c>
      <c r="C20" s="274">
        <f t="shared" si="1"/>
        <v>0</v>
      </c>
      <c r="D20" s="2564"/>
      <c r="E20" s="905"/>
      <c r="F20" s="905"/>
      <c r="G20" s="905"/>
      <c r="H20" s="905"/>
      <c r="I20" s="905"/>
      <c r="J20" s="905"/>
      <c r="K20" s="2601" t="s">
        <v>1563</v>
      </c>
      <c r="L20" s="2571"/>
      <c r="M20" s="2571"/>
      <c r="N20" s="2572"/>
      <c r="O20" s="2573"/>
      <c r="P20" s="2574"/>
      <c r="Q20" s="1964"/>
      <c r="R20" s="2575"/>
      <c r="S20" s="229">
        <f t="shared" si="9"/>
        <v>0</v>
      </c>
      <c r="T20" s="230">
        <f t="shared" si="10"/>
        <v>0</v>
      </c>
      <c r="U20" s="374">
        <f t="shared" si="11"/>
        <v>0</v>
      </c>
      <c r="V20" s="375">
        <f t="shared" si="12"/>
        <v>0</v>
      </c>
      <c r="W20" s="376">
        <f t="shared" si="13"/>
        <v>0</v>
      </c>
      <c r="X20" s="377">
        <f t="shared" si="14"/>
        <v>0</v>
      </c>
      <c r="Y20" s="378">
        <f t="shared" si="15"/>
        <v>0</v>
      </c>
      <c r="Z20" s="379">
        <f t="shared" si="16"/>
        <v>0</v>
      </c>
      <c r="AA20" s="380">
        <f t="shared" si="17"/>
        <v>0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</row>
    <row r="21" spans="1:40" ht="14" thickBot="1">
      <c r="A21" s="1971" t="s">
        <v>458</v>
      </c>
      <c r="B21" s="1970" t="s">
        <v>461</v>
      </c>
      <c r="C21" s="274">
        <f t="shared" si="1"/>
        <v>0</v>
      </c>
      <c r="D21" s="2564"/>
      <c r="E21" s="905"/>
      <c r="F21" s="905"/>
      <c r="G21" s="905"/>
      <c r="H21" s="905"/>
      <c r="I21" s="905"/>
      <c r="J21" s="905"/>
      <c r="K21" s="2601" t="s">
        <v>1106</v>
      </c>
      <c r="L21" s="2571"/>
      <c r="M21" s="2571"/>
      <c r="N21" s="2572"/>
      <c r="O21" s="2573"/>
      <c r="P21" s="2574"/>
      <c r="Q21" s="1964"/>
      <c r="R21" s="2575"/>
      <c r="S21" s="229">
        <f t="shared" si="9"/>
        <v>0</v>
      </c>
      <c r="T21" s="230">
        <f t="shared" si="10"/>
        <v>0</v>
      </c>
      <c r="U21" s="374">
        <f t="shared" si="11"/>
        <v>0</v>
      </c>
      <c r="V21" s="375">
        <f t="shared" si="12"/>
        <v>0</v>
      </c>
      <c r="W21" s="376">
        <f t="shared" si="13"/>
        <v>0</v>
      </c>
      <c r="X21" s="377">
        <f t="shared" si="14"/>
        <v>0</v>
      </c>
      <c r="Y21" s="378">
        <f t="shared" si="15"/>
        <v>0</v>
      </c>
      <c r="Z21" s="379">
        <f t="shared" si="16"/>
        <v>0</v>
      </c>
      <c r="AA21" s="380">
        <f t="shared" si="17"/>
        <v>0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</row>
    <row r="22" spans="1:40" ht="14" thickBot="1">
      <c r="A22" s="1971" t="s">
        <v>462</v>
      </c>
      <c r="B22" s="1970" t="s">
        <v>461</v>
      </c>
      <c r="C22" s="274">
        <f t="shared" si="1"/>
        <v>0</v>
      </c>
      <c r="D22" s="2600"/>
      <c r="E22" s="905"/>
      <c r="F22" s="905"/>
      <c r="G22" s="905"/>
      <c r="H22" s="905"/>
      <c r="I22" s="905"/>
      <c r="J22" s="905"/>
      <c r="K22" s="2599" t="s">
        <v>1564</v>
      </c>
      <c r="L22" s="2571"/>
      <c r="M22" s="2571"/>
      <c r="N22" s="2572"/>
      <c r="O22" s="2573"/>
      <c r="P22" s="2574"/>
      <c r="Q22" s="1964"/>
      <c r="R22" s="2575"/>
      <c r="S22" s="229">
        <f t="shared" si="9"/>
        <v>0</v>
      </c>
      <c r="T22" s="230">
        <f t="shared" si="10"/>
        <v>0</v>
      </c>
      <c r="U22" s="374">
        <f t="shared" si="11"/>
        <v>0</v>
      </c>
      <c r="V22" s="375">
        <f t="shared" si="12"/>
        <v>0</v>
      </c>
      <c r="W22" s="376">
        <f t="shared" si="13"/>
        <v>0</v>
      </c>
      <c r="X22" s="377">
        <f t="shared" si="14"/>
        <v>0</v>
      </c>
      <c r="Y22" s="378">
        <f t="shared" si="15"/>
        <v>0</v>
      </c>
      <c r="Z22" s="379">
        <f t="shared" si="16"/>
        <v>0</v>
      </c>
      <c r="AA22" s="380">
        <f t="shared" si="17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</row>
    <row r="23" spans="1:40" ht="14" thickBot="1">
      <c r="A23" s="1971" t="s">
        <v>140</v>
      </c>
      <c r="B23" s="1970" t="s">
        <v>461</v>
      </c>
      <c r="C23" s="274">
        <f t="shared" si="1"/>
        <v>2.1908757716049393E-4</v>
      </c>
      <c r="D23" s="2602">
        <v>2</v>
      </c>
      <c r="E23" s="2603">
        <v>1</v>
      </c>
      <c r="F23" s="2603">
        <v>18</v>
      </c>
      <c r="G23" s="2603">
        <v>50</v>
      </c>
      <c r="H23" s="2603"/>
      <c r="I23" s="2604">
        <v>1.7361111111111112E-4</v>
      </c>
      <c r="J23" s="2604">
        <v>6.9444444444444447E-4</v>
      </c>
      <c r="K23" s="2601" t="s">
        <v>1565</v>
      </c>
      <c r="L23" s="2563">
        <v>0.79861111111111116</v>
      </c>
      <c r="M23" s="2565">
        <v>1</v>
      </c>
      <c r="N23" s="2566">
        <f>P23*E23*F23+I23*E23*F23+J23*E23</f>
        <v>1.1706597222222224E-2</v>
      </c>
      <c r="O23" s="2567">
        <f t="shared" si="3"/>
        <v>4.3817515432098786E-4</v>
      </c>
      <c r="P23" s="2568">
        <f>O23*M23</f>
        <v>4.3817515432098786E-4</v>
      </c>
      <c r="Q23" s="2569">
        <v>147</v>
      </c>
      <c r="R23" s="2570">
        <f>E23*F23*G23</f>
        <v>900</v>
      </c>
      <c r="S23" s="229">
        <f t="shared" si="9"/>
        <v>0.9</v>
      </c>
      <c r="T23" s="230">
        <f t="shared" si="10"/>
        <v>3.1548611111111124E-2</v>
      </c>
      <c r="U23" s="374">
        <f t="shared" si="11"/>
        <v>0</v>
      </c>
      <c r="V23" s="375">
        <f t="shared" si="12"/>
        <v>0.9</v>
      </c>
      <c r="W23" s="376">
        <f t="shared" si="13"/>
        <v>0</v>
      </c>
      <c r="X23" s="377">
        <f t="shared" si="14"/>
        <v>0</v>
      </c>
      <c r="Y23" s="378">
        <f t="shared" si="15"/>
        <v>0</v>
      </c>
      <c r="Z23" s="379">
        <f t="shared" si="16"/>
        <v>0</v>
      </c>
      <c r="AA23" s="380">
        <f t="shared" si="17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</row>
    <row r="24" spans="1:40">
      <c r="A24" s="1971" t="s">
        <v>674</v>
      </c>
      <c r="B24" s="1970" t="s">
        <v>461</v>
      </c>
      <c r="C24" s="274">
        <f t="shared" si="1"/>
        <v>2.1222190799396687E-4</v>
      </c>
      <c r="D24" s="898">
        <v>3</v>
      </c>
      <c r="E24" s="2605">
        <v>1</v>
      </c>
      <c r="F24" s="2605">
        <v>1</v>
      </c>
      <c r="G24" s="2605">
        <v>700</v>
      </c>
      <c r="H24" s="2605"/>
      <c r="I24" s="2606">
        <v>0</v>
      </c>
      <c r="J24" s="2606">
        <v>1.0416666666666667E-3</v>
      </c>
      <c r="K24" s="2615" t="s">
        <v>1566</v>
      </c>
      <c r="L24" s="2607">
        <f>L23+N23</f>
        <v>0.81031770833333339</v>
      </c>
      <c r="M24" s="2608">
        <v>1</v>
      </c>
      <c r="N24" s="2609">
        <f>P24*E24*F24+I24*E24*F24+J24*E24</f>
        <v>6.9838800904977391E-3</v>
      </c>
      <c r="O24" s="2610">
        <f t="shared" si="3"/>
        <v>5.9422134238310727E-3</v>
      </c>
      <c r="P24" s="2611">
        <f>O24*M24</f>
        <v>5.9422134238310727E-3</v>
      </c>
      <c r="Q24" s="2612" t="s">
        <v>316</v>
      </c>
      <c r="R24" s="2613">
        <f>E24*F24*G24</f>
        <v>700</v>
      </c>
      <c r="S24" s="229">
        <f t="shared" si="9"/>
        <v>0.7</v>
      </c>
      <c r="T24" s="230">
        <f t="shared" si="10"/>
        <v>2.3768853695324291E-2</v>
      </c>
      <c r="U24" s="374">
        <f t="shared" si="11"/>
        <v>0</v>
      </c>
      <c r="V24" s="375">
        <f t="shared" si="12"/>
        <v>0</v>
      </c>
      <c r="W24" s="376">
        <f t="shared" si="13"/>
        <v>0.7</v>
      </c>
      <c r="X24" s="377">
        <f t="shared" si="14"/>
        <v>0</v>
      </c>
      <c r="Y24" s="378">
        <f t="shared" si="15"/>
        <v>0</v>
      </c>
      <c r="Z24" s="379">
        <f t="shared" si="16"/>
        <v>0</v>
      </c>
      <c r="AA24" s="380">
        <f t="shared" si="17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</row>
    <row r="25" spans="1:40" ht="12" customHeight="1">
      <c r="A25" s="1971" t="s">
        <v>214</v>
      </c>
      <c r="B25" s="1972" t="s">
        <v>461</v>
      </c>
      <c r="C25" s="274">
        <f t="shared" si="1"/>
        <v>0</v>
      </c>
      <c r="D25" s="2576"/>
      <c r="E25" s="1870"/>
      <c r="F25" s="1870"/>
      <c r="G25" s="1870"/>
      <c r="H25" s="1870"/>
      <c r="I25" s="2578"/>
      <c r="J25" s="2578"/>
      <c r="K25" s="2615" t="s">
        <v>2293</v>
      </c>
      <c r="L25" s="2586"/>
      <c r="M25" s="2587"/>
      <c r="N25" s="2588"/>
      <c r="O25" s="2589"/>
      <c r="P25" s="1965"/>
      <c r="Q25" s="2590"/>
      <c r="R25" s="2591"/>
      <c r="S25" s="229">
        <f t="shared" si="9"/>
        <v>0</v>
      </c>
      <c r="T25" s="230">
        <f t="shared" si="10"/>
        <v>0</v>
      </c>
      <c r="U25" s="374">
        <f t="shared" si="11"/>
        <v>0</v>
      </c>
      <c r="V25" s="375">
        <f t="shared" si="12"/>
        <v>0</v>
      </c>
      <c r="W25" s="376">
        <f t="shared" si="13"/>
        <v>0</v>
      </c>
      <c r="X25" s="377">
        <f t="shared" si="14"/>
        <v>0</v>
      </c>
      <c r="Y25" s="378">
        <f t="shared" si="15"/>
        <v>0</v>
      </c>
      <c r="Z25" s="379">
        <f t="shared" si="16"/>
        <v>0</v>
      </c>
      <c r="AA25" s="380">
        <f t="shared" si="17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</row>
    <row r="26" spans="1:40" ht="11" customHeight="1" thickBot="1">
      <c r="A26" s="1971" t="s">
        <v>458</v>
      </c>
      <c r="B26" s="1972" t="s">
        <v>461</v>
      </c>
      <c r="C26" s="274">
        <f t="shared" si="1"/>
        <v>0</v>
      </c>
      <c r="D26" s="2576"/>
      <c r="E26" s="1870"/>
      <c r="F26" s="1870"/>
      <c r="G26" s="1870"/>
      <c r="H26" s="1870"/>
      <c r="I26" s="2579"/>
      <c r="J26" s="2578"/>
      <c r="K26" s="2615" t="s">
        <v>2292</v>
      </c>
      <c r="L26" s="2586"/>
      <c r="M26" s="2587"/>
      <c r="N26" s="2588"/>
      <c r="O26" s="2589"/>
      <c r="P26" s="1965"/>
      <c r="Q26" s="2590"/>
      <c r="R26" s="2591"/>
      <c r="S26" s="229">
        <f t="shared" si="9"/>
        <v>0</v>
      </c>
      <c r="T26" s="230">
        <f t="shared" si="10"/>
        <v>0</v>
      </c>
      <c r="U26" s="374">
        <f t="shared" si="11"/>
        <v>0</v>
      </c>
      <c r="V26" s="375">
        <f t="shared" si="12"/>
        <v>0</v>
      </c>
      <c r="W26" s="376">
        <f t="shared" si="13"/>
        <v>0</v>
      </c>
      <c r="X26" s="377">
        <f t="shared" si="14"/>
        <v>0</v>
      </c>
      <c r="Y26" s="378">
        <f t="shared" si="15"/>
        <v>0</v>
      </c>
      <c r="Z26" s="379">
        <f t="shared" si="16"/>
        <v>0</v>
      </c>
      <c r="AA26" s="380">
        <f t="shared" si="17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</row>
    <row r="27" spans="1:40" ht="12" customHeight="1" thickBot="1">
      <c r="A27" s="1971" t="s">
        <v>219</v>
      </c>
      <c r="B27" s="1972" t="s">
        <v>461</v>
      </c>
      <c r="C27" s="274">
        <f t="shared" si="1"/>
        <v>2.1908757716049393E-4</v>
      </c>
      <c r="D27" s="920">
        <v>2</v>
      </c>
      <c r="E27" s="2603">
        <v>1</v>
      </c>
      <c r="F27" s="2603">
        <v>9</v>
      </c>
      <c r="G27" s="2603">
        <v>100</v>
      </c>
      <c r="H27" s="2604"/>
      <c r="I27" s="2604">
        <v>2.8935185185185189E-4</v>
      </c>
      <c r="J27" s="2604">
        <v>1.3888888888888889E-3</v>
      </c>
      <c r="K27" s="2599" t="s">
        <v>2294</v>
      </c>
      <c r="L27" s="2614">
        <f>L24+N24</f>
        <v>0.81730158842383116</v>
      </c>
      <c r="M27" s="2565">
        <v>1</v>
      </c>
      <c r="N27" s="2604">
        <f>P27*E27*F27+I27*E27*F27+J27*E27</f>
        <v>1.1880208333333338E-2</v>
      </c>
      <c r="O27" s="2567">
        <f t="shared" si="3"/>
        <v>8.7635030864197572E-4</v>
      </c>
      <c r="P27" s="2567">
        <f t="shared" ref="P27" si="21">O27*M27</f>
        <v>8.7635030864197572E-4</v>
      </c>
      <c r="Q27" s="2569">
        <v>146</v>
      </c>
      <c r="R27" s="2603">
        <f t="shared" ref="R27" si="22">E27*F27*G27</f>
        <v>900</v>
      </c>
      <c r="S27" s="229">
        <f t="shared" si="9"/>
        <v>0.9</v>
      </c>
      <c r="T27" s="230">
        <f t="shared" si="10"/>
        <v>3.1548611111111124E-2</v>
      </c>
      <c r="U27" s="374">
        <f t="shared" si="11"/>
        <v>0</v>
      </c>
      <c r="V27" s="375">
        <f t="shared" si="12"/>
        <v>0.9</v>
      </c>
      <c r="W27" s="376">
        <f t="shared" si="13"/>
        <v>0</v>
      </c>
      <c r="X27" s="377">
        <f t="shared" si="14"/>
        <v>0</v>
      </c>
      <c r="Y27" s="378">
        <f t="shared" si="15"/>
        <v>0</v>
      </c>
      <c r="Z27" s="379">
        <f t="shared" si="16"/>
        <v>0</v>
      </c>
      <c r="AA27" s="380">
        <f t="shared" si="17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40" ht="11" customHeight="1" thickBot="1">
      <c r="A28" s="1971"/>
      <c r="B28" s="1972" t="s">
        <v>461</v>
      </c>
      <c r="C28" s="274">
        <f t="shared" si="1"/>
        <v>0</v>
      </c>
      <c r="D28" s="1977"/>
      <c r="E28" s="1966"/>
      <c r="F28" s="1966"/>
      <c r="G28" s="1966"/>
      <c r="H28" s="1967"/>
      <c r="I28" s="1967"/>
      <c r="J28" s="1967"/>
      <c r="K28" s="2599" t="s">
        <v>2295</v>
      </c>
      <c r="L28" s="2592"/>
      <c r="M28" s="2572"/>
      <c r="N28" s="1967"/>
      <c r="O28" s="2574"/>
      <c r="P28" s="2574"/>
      <c r="Q28" s="2575"/>
      <c r="R28" s="1966"/>
      <c r="S28" s="229">
        <f t="shared" si="9"/>
        <v>0</v>
      </c>
      <c r="T28" s="230">
        <f t="shared" si="10"/>
        <v>0</v>
      </c>
      <c r="U28" s="374">
        <f t="shared" si="11"/>
        <v>0</v>
      </c>
      <c r="V28" s="375">
        <f t="shared" si="12"/>
        <v>0</v>
      </c>
      <c r="W28" s="376">
        <f t="shared" si="13"/>
        <v>0</v>
      </c>
      <c r="X28" s="377">
        <f t="shared" si="14"/>
        <v>0</v>
      </c>
      <c r="Y28" s="378">
        <f t="shared" si="15"/>
        <v>0</v>
      </c>
      <c r="Z28" s="379">
        <f t="shared" si="16"/>
        <v>0</v>
      </c>
      <c r="AA28" s="380">
        <f t="shared" si="17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40" ht="11" customHeight="1">
      <c r="A29" s="1971"/>
      <c r="B29" s="1972" t="s">
        <v>461</v>
      </c>
      <c r="C29" s="274">
        <f t="shared" si="1"/>
        <v>0</v>
      </c>
      <c r="D29" s="1977"/>
      <c r="E29" s="1966"/>
      <c r="F29" s="1966"/>
      <c r="G29" s="1966"/>
      <c r="H29" s="1967"/>
      <c r="I29" s="1967"/>
      <c r="J29" s="1967"/>
      <c r="K29" s="2599" t="s">
        <v>2296</v>
      </c>
      <c r="L29" s="2592"/>
      <c r="M29" s="2572"/>
      <c r="N29" s="1967"/>
      <c r="O29" s="2574"/>
      <c r="P29" s="2574"/>
      <c r="Q29" s="2575"/>
      <c r="R29" s="1966"/>
      <c r="S29" s="229">
        <f t="shared" si="9"/>
        <v>0</v>
      </c>
      <c r="T29" s="230">
        <f t="shared" si="10"/>
        <v>0</v>
      </c>
      <c r="U29" s="374">
        <f t="shared" si="11"/>
        <v>0</v>
      </c>
      <c r="V29" s="375">
        <f t="shared" si="12"/>
        <v>0</v>
      </c>
      <c r="W29" s="376">
        <f t="shared" si="13"/>
        <v>0</v>
      </c>
      <c r="X29" s="377">
        <f t="shared" si="14"/>
        <v>0</v>
      </c>
      <c r="Y29" s="378">
        <f t="shared" si="15"/>
        <v>0</v>
      </c>
      <c r="Z29" s="379">
        <f t="shared" si="16"/>
        <v>0</v>
      </c>
      <c r="AA29" s="380">
        <f t="shared" si="17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</row>
    <row r="30" spans="1:40">
      <c r="A30" s="1971"/>
      <c r="B30" s="1972" t="s">
        <v>461</v>
      </c>
      <c r="C30" s="274">
        <f t="shared" si="1"/>
        <v>2.1222190799396687E-4</v>
      </c>
      <c r="D30" s="898">
        <v>3</v>
      </c>
      <c r="E30" s="1321">
        <v>1</v>
      </c>
      <c r="F30" s="1321">
        <v>12</v>
      </c>
      <c r="G30" s="1321">
        <v>25</v>
      </c>
      <c r="H30" s="1321"/>
      <c r="I30" s="2577">
        <v>1.9675925925925926E-4</v>
      </c>
      <c r="J30" s="2577">
        <v>1.3888888888888889E-3</v>
      </c>
      <c r="K30" s="2615" t="s">
        <v>2297</v>
      </c>
      <c r="L30" s="2580">
        <f>L27+N27</f>
        <v>0.82918179675716452</v>
      </c>
      <c r="M30" s="2581">
        <v>1</v>
      </c>
      <c r="N30" s="2582">
        <f>P30*E30*F30+I30*E30*F30+J30*E30</f>
        <v>6.2966628959276027E-3</v>
      </c>
      <c r="O30" s="2583">
        <f t="shared" ref="O30" si="23">C30*(G30/25)</f>
        <v>2.1222190799396687E-4</v>
      </c>
      <c r="P30" s="1965">
        <f>O30*M30</f>
        <v>2.1222190799396687E-4</v>
      </c>
      <c r="Q30" s="2584" t="s">
        <v>316</v>
      </c>
      <c r="R30" s="2585">
        <f>E30*F30*G30</f>
        <v>300</v>
      </c>
      <c r="S30" s="229">
        <f t="shared" si="9"/>
        <v>0.3</v>
      </c>
      <c r="T30" s="230">
        <f t="shared" si="10"/>
        <v>1.018665158371041E-2</v>
      </c>
      <c r="U30" s="374">
        <f t="shared" si="11"/>
        <v>0</v>
      </c>
      <c r="V30" s="375">
        <f t="shared" si="12"/>
        <v>0</v>
      </c>
      <c r="W30" s="376">
        <f t="shared" si="13"/>
        <v>0.3</v>
      </c>
      <c r="X30" s="377">
        <f t="shared" si="14"/>
        <v>0</v>
      </c>
      <c r="Y30" s="378">
        <f t="shared" si="15"/>
        <v>0</v>
      </c>
      <c r="Z30" s="379">
        <f t="shared" si="16"/>
        <v>0</v>
      </c>
      <c r="AA30" s="380">
        <f t="shared" si="17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</row>
    <row r="31" spans="1:40" ht="14" thickBot="1">
      <c r="A31" s="397"/>
      <c r="B31" s="838"/>
      <c r="C31" s="274">
        <f t="shared" si="1"/>
        <v>0</v>
      </c>
      <c r="D31" s="978"/>
      <c r="E31" s="1021"/>
      <c r="F31" s="336"/>
      <c r="G31" s="336"/>
      <c r="H31" s="336"/>
      <c r="I31" s="336"/>
      <c r="J31" s="336"/>
      <c r="K31" s="336"/>
      <c r="L31" s="1598">
        <f>L30+N30</f>
        <v>0.83547845965309209</v>
      </c>
      <c r="M31" s="2616"/>
      <c r="N31" s="2617"/>
      <c r="O31" s="2618">
        <f t="shared" si="3"/>
        <v>0</v>
      </c>
      <c r="P31" s="2617"/>
      <c r="Q31" s="2619"/>
      <c r="R31" s="2620">
        <f>SUM(R23:R30)</f>
        <v>2800</v>
      </c>
      <c r="S31" s="229">
        <f t="shared" si="9"/>
        <v>0</v>
      </c>
      <c r="T31" s="230">
        <f t="shared" si="10"/>
        <v>0</v>
      </c>
      <c r="U31" s="374">
        <f t="shared" si="11"/>
        <v>0</v>
      </c>
      <c r="V31" s="375">
        <f t="shared" si="12"/>
        <v>0</v>
      </c>
      <c r="W31" s="376">
        <f t="shared" si="13"/>
        <v>0</v>
      </c>
      <c r="X31" s="377">
        <f t="shared" si="14"/>
        <v>0</v>
      </c>
      <c r="Y31" s="378">
        <f t="shared" si="15"/>
        <v>0</v>
      </c>
      <c r="Z31" s="379">
        <f t="shared" si="16"/>
        <v>0</v>
      </c>
      <c r="AA31" s="380">
        <f t="shared" si="17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</row>
    <row r="32" spans="1:40" ht="14" thickBot="1">
      <c r="A32" s="398" t="s">
        <v>217</v>
      </c>
      <c r="B32" s="1117" t="s">
        <v>2448</v>
      </c>
      <c r="C32" s="274">
        <f t="shared" si="1"/>
        <v>2.2880964381720439E-4</v>
      </c>
      <c r="D32" s="960">
        <v>1</v>
      </c>
      <c r="E32" s="275">
        <v>1</v>
      </c>
      <c r="F32" s="275">
        <v>2</v>
      </c>
      <c r="G32" s="275">
        <v>250</v>
      </c>
      <c r="H32" s="275"/>
      <c r="I32" s="276">
        <v>1.1574074074074073E-4</v>
      </c>
      <c r="J32" s="276">
        <v>1.3888888888888889E-3</v>
      </c>
      <c r="K32" s="3334" t="s">
        <v>1285</v>
      </c>
      <c r="L32" s="1667">
        <v>0.79861111111111116</v>
      </c>
      <c r="M32" s="1615">
        <v>1</v>
      </c>
      <c r="N32" s="274">
        <f t="shared" ref="N32:N37" si="24">P32*E32*F32+I32*F32*E32+J32*E32</f>
        <v>6.1965632467144592E-3</v>
      </c>
      <c r="O32" s="276">
        <f t="shared" si="3"/>
        <v>2.2880964381720441E-3</v>
      </c>
      <c r="P32" s="1196">
        <f t="shared" ref="P32:P37" si="25">O32*M32</f>
        <v>2.2880964381720441E-3</v>
      </c>
      <c r="Q32" s="548"/>
      <c r="R32" s="1616">
        <f t="shared" ref="R32:R37" si="26">E32*F32*G32</f>
        <v>500</v>
      </c>
      <c r="S32" s="229">
        <f t="shared" si="9"/>
        <v>0.5</v>
      </c>
      <c r="T32" s="230">
        <f t="shared" si="10"/>
        <v>1.8304771505376353E-2</v>
      </c>
      <c r="U32" s="374">
        <f t="shared" si="11"/>
        <v>0.5</v>
      </c>
      <c r="V32" s="375">
        <f t="shared" si="12"/>
        <v>0</v>
      </c>
      <c r="W32" s="376">
        <f t="shared" si="13"/>
        <v>0</v>
      </c>
      <c r="X32" s="377">
        <f t="shared" si="14"/>
        <v>0</v>
      </c>
      <c r="Y32" s="378">
        <f t="shared" si="15"/>
        <v>0</v>
      </c>
      <c r="Z32" s="379">
        <f t="shared" si="16"/>
        <v>0</v>
      </c>
      <c r="AA32" s="380">
        <f t="shared" si="17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</row>
    <row r="33" spans="1:39" ht="14" thickBot="1">
      <c r="A33" s="398" t="s">
        <v>459</v>
      </c>
      <c r="B33" s="1117" t="s">
        <v>2448</v>
      </c>
      <c r="C33" s="274">
        <f t="shared" si="1"/>
        <v>2.0247664488766629E-4</v>
      </c>
      <c r="D33" s="300">
        <v>4</v>
      </c>
      <c r="E33" s="303">
        <v>1</v>
      </c>
      <c r="F33" s="303">
        <v>2</v>
      </c>
      <c r="G33" s="303">
        <v>200</v>
      </c>
      <c r="H33" s="303"/>
      <c r="I33" s="304">
        <v>3.4722222222222224E-4</v>
      </c>
      <c r="J33" s="304">
        <v>1.3888888888888889E-3</v>
      </c>
      <c r="K33" s="316" t="s">
        <v>882</v>
      </c>
      <c r="L33" s="1955">
        <f>L32+N32</f>
        <v>0.80480767435782563</v>
      </c>
      <c r="M33" s="987">
        <v>1</v>
      </c>
      <c r="N33" s="1048">
        <f t="shared" si="24"/>
        <v>5.3229596515359939E-3</v>
      </c>
      <c r="O33" s="799">
        <f t="shared" si="3"/>
        <v>1.6198131591013303E-3</v>
      </c>
      <c r="P33" s="1336">
        <f t="shared" si="25"/>
        <v>1.6198131591013303E-3</v>
      </c>
      <c r="Q33" s="1049">
        <v>144</v>
      </c>
      <c r="R33" s="1617">
        <f t="shared" si="26"/>
        <v>400</v>
      </c>
      <c r="S33" s="229">
        <f t="shared" si="9"/>
        <v>0.4</v>
      </c>
      <c r="T33" s="230">
        <f t="shared" si="10"/>
        <v>1.2958505272810643E-2</v>
      </c>
      <c r="U33" s="374">
        <f t="shared" si="11"/>
        <v>0</v>
      </c>
      <c r="V33" s="375">
        <f t="shared" si="12"/>
        <v>0</v>
      </c>
      <c r="W33" s="376">
        <f t="shared" si="13"/>
        <v>0</v>
      </c>
      <c r="X33" s="377">
        <f t="shared" si="14"/>
        <v>0.4</v>
      </c>
      <c r="Y33" s="378">
        <f t="shared" si="15"/>
        <v>0</v>
      </c>
      <c r="Z33" s="379">
        <f t="shared" si="16"/>
        <v>0</v>
      </c>
      <c r="AA33" s="380">
        <f t="shared" si="17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</row>
    <row r="34" spans="1:39" ht="14" thickBot="1">
      <c r="A34" s="398" t="s">
        <v>458</v>
      </c>
      <c r="B34" s="1117" t="s">
        <v>2448</v>
      </c>
      <c r="C34" s="274">
        <f t="shared" si="1"/>
        <v>2.1908757716049393E-4</v>
      </c>
      <c r="D34" s="300">
        <v>2</v>
      </c>
      <c r="E34" s="300">
        <v>2</v>
      </c>
      <c r="F34" s="300">
        <v>16</v>
      </c>
      <c r="G34" s="300">
        <v>25</v>
      </c>
      <c r="H34" s="300"/>
      <c r="I34" s="301">
        <v>5.7870370370370366E-5</v>
      </c>
      <c r="J34" s="301">
        <v>6.9444444444444447E-4</v>
      </c>
      <c r="K34" s="1123" t="s">
        <v>2298</v>
      </c>
      <c r="L34" s="1143">
        <f t="shared" ref="L34" si="27">L33+N33</f>
        <v>0.81013063400936158</v>
      </c>
      <c r="M34" s="455">
        <v>1</v>
      </c>
      <c r="N34" s="299">
        <f t="shared" si="24"/>
        <v>1.0251543209876547E-2</v>
      </c>
      <c r="O34" s="302">
        <f t="shared" si="3"/>
        <v>2.1908757716049393E-4</v>
      </c>
      <c r="P34" s="1175">
        <f t="shared" si="25"/>
        <v>2.1908757716049393E-4</v>
      </c>
      <c r="Q34" s="550">
        <v>144</v>
      </c>
      <c r="R34" s="1607">
        <f t="shared" si="26"/>
        <v>800</v>
      </c>
      <c r="S34" s="229">
        <f t="shared" si="9"/>
        <v>0.8</v>
      </c>
      <c r="T34" s="230">
        <f t="shared" si="10"/>
        <v>2.8043209876543223E-2</v>
      </c>
      <c r="U34" s="374">
        <f t="shared" si="11"/>
        <v>0</v>
      </c>
      <c r="V34" s="375">
        <f t="shared" si="12"/>
        <v>0.8</v>
      </c>
      <c r="W34" s="376">
        <f t="shared" si="13"/>
        <v>0</v>
      </c>
      <c r="X34" s="377">
        <f t="shared" si="14"/>
        <v>0</v>
      </c>
      <c r="Y34" s="378">
        <f t="shared" si="15"/>
        <v>0</v>
      </c>
      <c r="Z34" s="379">
        <f t="shared" si="16"/>
        <v>0</v>
      </c>
      <c r="AA34" s="380">
        <f t="shared" si="17"/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</row>
    <row r="35" spans="1:39" ht="14" thickBot="1">
      <c r="A35" s="398" t="s">
        <v>218</v>
      </c>
      <c r="B35" s="1117" t="s">
        <v>2448</v>
      </c>
      <c r="C35" s="274">
        <f t="shared" si="1"/>
        <v>1.8933937422552669E-4</v>
      </c>
      <c r="D35" s="3303">
        <v>5</v>
      </c>
      <c r="E35" s="6367">
        <v>6</v>
      </c>
      <c r="F35" s="6367">
        <v>1</v>
      </c>
      <c r="G35" s="6367">
        <v>40</v>
      </c>
      <c r="H35" s="6368"/>
      <c r="I35" s="6368">
        <v>0</v>
      </c>
      <c r="J35" s="6368">
        <v>1.3888888888888889E-3</v>
      </c>
      <c r="K35" s="6369" t="s">
        <v>2300</v>
      </c>
      <c r="L35" s="6370">
        <f>L34+N34</f>
        <v>0.82038217721923812</v>
      </c>
      <c r="M35" s="6371">
        <v>0.94</v>
      </c>
      <c r="N35" s="6372">
        <f t="shared" ref="N35" si="28">P35*E35*F35+I35*E35*F35+J35*E35</f>
        <v>1.009318980173482E-2</v>
      </c>
      <c r="O35" s="6373">
        <f>C35*(G35/25)*1.03</f>
        <v>3.1203128872366802E-4</v>
      </c>
      <c r="P35" s="6375">
        <f>O35*M35</f>
        <v>2.9330941140024791E-4</v>
      </c>
      <c r="Q35" s="6376">
        <v>20.27</v>
      </c>
      <c r="R35" s="6374">
        <f>E35*F35*G35</f>
        <v>240</v>
      </c>
      <c r="S35" s="229">
        <f t="shared" si="9"/>
        <v>0.24</v>
      </c>
      <c r="T35" s="230">
        <f t="shared" si="10"/>
        <v>7.4887509293680328E-3</v>
      </c>
      <c r="U35" s="374">
        <f t="shared" si="11"/>
        <v>0</v>
      </c>
      <c r="V35" s="375">
        <f t="shared" si="12"/>
        <v>0</v>
      </c>
      <c r="W35" s="376">
        <f t="shared" si="13"/>
        <v>0</v>
      </c>
      <c r="X35" s="377">
        <f t="shared" si="14"/>
        <v>0</v>
      </c>
      <c r="Y35" s="378">
        <f t="shared" si="15"/>
        <v>0.24</v>
      </c>
      <c r="Z35" s="379">
        <f t="shared" si="16"/>
        <v>0</v>
      </c>
      <c r="AA35" s="380">
        <f t="shared" si="17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</row>
    <row r="36" spans="1:39" ht="14" thickBot="1">
      <c r="A36" s="398" t="s">
        <v>458</v>
      </c>
      <c r="B36" s="1117" t="s">
        <v>2448</v>
      </c>
      <c r="C36" s="274">
        <f t="shared" si="1"/>
        <v>1.7682291666666674E-4</v>
      </c>
      <c r="D36" s="280">
        <v>7</v>
      </c>
      <c r="E36" s="1321">
        <v>1</v>
      </c>
      <c r="F36" s="1321">
        <v>6</v>
      </c>
      <c r="G36" s="1321">
        <v>25</v>
      </c>
      <c r="H36" s="1321"/>
      <c r="I36" s="1322">
        <v>4.6296296296296293E-4</v>
      </c>
      <c r="J36" s="1322">
        <v>6.9444444444444447E-4</v>
      </c>
      <c r="K36" s="1039" t="s">
        <v>2299</v>
      </c>
      <c r="L36" s="1954">
        <f>L35+N35</f>
        <v>0.83047536702097291</v>
      </c>
      <c r="M36" s="517">
        <v>1</v>
      </c>
      <c r="N36" s="1051">
        <f t="shared" si="24"/>
        <v>4.5331597222222223E-3</v>
      </c>
      <c r="O36" s="436">
        <f>C36*(G36/25)</f>
        <v>1.7682291666666674E-4</v>
      </c>
      <c r="P36" s="1191">
        <f t="shared" si="25"/>
        <v>1.7682291666666674E-4</v>
      </c>
      <c r="Q36" s="789">
        <v>160</v>
      </c>
      <c r="R36" s="1608">
        <f t="shared" si="26"/>
        <v>150</v>
      </c>
      <c r="S36" s="229">
        <f t="shared" si="9"/>
        <v>0.15</v>
      </c>
      <c r="T36" s="230">
        <f t="shared" si="10"/>
        <v>4.2437500000000019E-3</v>
      </c>
      <c r="U36" s="374">
        <f t="shared" si="11"/>
        <v>0</v>
      </c>
      <c r="V36" s="375">
        <f t="shared" si="12"/>
        <v>0</v>
      </c>
      <c r="W36" s="376">
        <f t="shared" si="13"/>
        <v>0</v>
      </c>
      <c r="X36" s="377">
        <f t="shared" si="14"/>
        <v>0</v>
      </c>
      <c r="Y36" s="378">
        <f t="shared" si="15"/>
        <v>0</v>
      </c>
      <c r="Z36" s="379">
        <f t="shared" si="16"/>
        <v>0</v>
      </c>
      <c r="AA36" s="380">
        <f t="shared" si="17"/>
        <v>0.15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</row>
    <row r="37" spans="1:39" ht="14" thickBot="1">
      <c r="A37" s="398" t="s">
        <v>219</v>
      </c>
      <c r="B37" s="1117" t="s">
        <v>2448</v>
      </c>
      <c r="C37" s="274">
        <f t="shared" si="1"/>
        <v>1.7682291666666674E-4</v>
      </c>
      <c r="D37" s="1404">
        <v>7</v>
      </c>
      <c r="E37" s="435">
        <v>1</v>
      </c>
      <c r="F37" s="435">
        <v>8</v>
      </c>
      <c r="G37" s="435">
        <v>7.5</v>
      </c>
      <c r="H37" s="1603"/>
      <c r="I37" s="436">
        <v>3.4722222222222224E-4</v>
      </c>
      <c r="J37" s="437">
        <v>6.9444444444444447E-4</v>
      </c>
      <c r="K37" s="438" t="s">
        <v>1387</v>
      </c>
      <c r="L37" s="1954">
        <f t="shared" ref="L37" si="29">L36+N36</f>
        <v>0.83500852674319515</v>
      </c>
      <c r="M37" s="517">
        <v>1</v>
      </c>
      <c r="N37" s="1051">
        <f t="shared" si="24"/>
        <v>3.8965972222222227E-3</v>
      </c>
      <c r="O37" s="436">
        <f>C37*(G37/25)</f>
        <v>5.3046875000000021E-5</v>
      </c>
      <c r="P37" s="1191">
        <f t="shared" si="25"/>
        <v>5.3046875000000021E-5</v>
      </c>
      <c r="Q37" s="789"/>
      <c r="R37" s="1608">
        <f t="shared" si="26"/>
        <v>60</v>
      </c>
      <c r="S37" s="229">
        <f t="shared" si="9"/>
        <v>0.06</v>
      </c>
      <c r="T37" s="230">
        <f t="shared" si="10"/>
        <v>1.6975000000000007E-3</v>
      </c>
      <c r="U37" s="374">
        <f t="shared" si="11"/>
        <v>0</v>
      </c>
      <c r="V37" s="375">
        <f t="shared" si="12"/>
        <v>0</v>
      </c>
      <c r="W37" s="376">
        <f t="shared" si="13"/>
        <v>0</v>
      </c>
      <c r="X37" s="377">
        <f t="shared" si="14"/>
        <v>0</v>
      </c>
      <c r="Y37" s="378">
        <f t="shared" si="15"/>
        <v>0</v>
      </c>
      <c r="Z37" s="379">
        <f t="shared" si="16"/>
        <v>0</v>
      </c>
      <c r="AA37" s="380">
        <f t="shared" si="17"/>
        <v>0.06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</row>
    <row r="38" spans="1:39" ht="14" thickBot="1">
      <c r="A38" s="1451"/>
      <c r="B38" s="1622"/>
      <c r="C38" s="274">
        <f t="shared" si="1"/>
        <v>1.7682291666666674E-4</v>
      </c>
      <c r="D38" s="1623">
        <v>7</v>
      </c>
      <c r="E38" s="1021"/>
      <c r="F38" s="336"/>
      <c r="G38" s="336"/>
      <c r="H38" s="336"/>
      <c r="I38" s="336"/>
      <c r="J38" s="336"/>
      <c r="K38" s="336"/>
      <c r="L38" s="1598">
        <f>L37+N37</f>
        <v>0.83890512396541739</v>
      </c>
      <c r="M38" s="2593">
        <v>1</v>
      </c>
      <c r="N38" s="2596"/>
      <c r="O38" s="2596"/>
      <c r="P38" s="2596"/>
      <c r="Q38" s="2596"/>
      <c r="R38" s="2597">
        <f>SUM(R32:R37)</f>
        <v>2150</v>
      </c>
      <c r="S38" s="229">
        <f t="shared" si="9"/>
        <v>0</v>
      </c>
      <c r="T38" s="230">
        <f t="shared" si="10"/>
        <v>0</v>
      </c>
      <c r="U38" s="374">
        <f t="shared" si="11"/>
        <v>0</v>
      </c>
      <c r="V38" s="375">
        <f t="shared" si="12"/>
        <v>0</v>
      </c>
      <c r="W38" s="376">
        <f t="shared" si="13"/>
        <v>0</v>
      </c>
      <c r="X38" s="377">
        <f t="shared" si="14"/>
        <v>0</v>
      </c>
      <c r="Y38" s="378">
        <f t="shared" si="15"/>
        <v>0</v>
      </c>
      <c r="Z38" s="379">
        <f t="shared" si="16"/>
        <v>0</v>
      </c>
      <c r="AA38" s="380">
        <f t="shared" si="17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</row>
    <row r="39" spans="1:39" ht="14" thickBot="1">
      <c r="A39" s="1025" t="s">
        <v>218</v>
      </c>
      <c r="B39" s="1151" t="s">
        <v>215</v>
      </c>
      <c r="C39" s="274">
        <f t="shared" si="1"/>
        <v>2.1908757716049393E-4</v>
      </c>
      <c r="D39" s="1977">
        <v>2</v>
      </c>
      <c r="E39" s="1173">
        <v>1</v>
      </c>
      <c r="F39" s="1173">
        <v>1</v>
      </c>
      <c r="G39" s="1173">
        <v>200</v>
      </c>
      <c r="H39" s="2675"/>
      <c r="I39" s="299">
        <v>0</v>
      </c>
      <c r="J39" s="299">
        <v>1.1574074074074073E-4</v>
      </c>
      <c r="K39" s="1123" t="s">
        <v>717</v>
      </c>
      <c r="L39" s="1667">
        <v>0.38194444444444442</v>
      </c>
      <c r="M39" s="1174">
        <v>1</v>
      </c>
      <c r="N39" s="1175">
        <f t="shared" ref="N39:N46" si="30">P39*E39*F39+I39*E39*F39+J39*E39</f>
        <v>1.8684413580246921E-3</v>
      </c>
      <c r="O39" s="1175">
        <f t="shared" ref="O39:O46" si="31">C39*(G39/25)</f>
        <v>1.7527006172839514E-3</v>
      </c>
      <c r="P39" s="1175">
        <f t="shared" ref="P39:P46" si="32">O39*M39</f>
        <v>1.7527006172839514E-3</v>
      </c>
      <c r="Q39" s="550">
        <v>185</v>
      </c>
      <c r="R39" s="1176">
        <f t="shared" ref="R39:R46" si="33">E39*F39*G39</f>
        <v>200</v>
      </c>
      <c r="S39" s="229">
        <f t="shared" si="9"/>
        <v>0.2</v>
      </c>
      <c r="T39" s="230">
        <f t="shared" si="10"/>
        <v>7.0108024691358057E-3</v>
      </c>
      <c r="U39" s="374">
        <f t="shared" si="11"/>
        <v>0</v>
      </c>
      <c r="V39" s="375">
        <f t="shared" si="12"/>
        <v>0.2</v>
      </c>
      <c r="W39" s="376">
        <f t="shared" si="13"/>
        <v>0</v>
      </c>
      <c r="X39" s="377">
        <f t="shared" si="14"/>
        <v>0</v>
      </c>
      <c r="Y39" s="378">
        <f t="shared" si="15"/>
        <v>0</v>
      </c>
      <c r="Z39" s="379">
        <f t="shared" si="16"/>
        <v>0</v>
      </c>
      <c r="AA39" s="380">
        <f t="shared" si="17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</row>
    <row r="40" spans="1:39" ht="14" thickBot="1">
      <c r="A40" s="851" t="s">
        <v>139</v>
      </c>
      <c r="B40" s="1124" t="s">
        <v>215</v>
      </c>
      <c r="C40" s="274">
        <f t="shared" si="1"/>
        <v>2.0247664488766629E-4</v>
      </c>
      <c r="D40" s="1977">
        <v>4</v>
      </c>
      <c r="E40" s="1197">
        <v>1</v>
      </c>
      <c r="F40" s="1177">
        <v>8</v>
      </c>
      <c r="G40" s="1177">
        <v>30</v>
      </c>
      <c r="H40" s="3348" t="s">
        <v>1417</v>
      </c>
      <c r="I40" s="1178">
        <v>4.0509259259259258E-4</v>
      </c>
      <c r="J40" s="1178">
        <v>1.3888888888888889E-3</v>
      </c>
      <c r="K40" s="1178" t="s">
        <v>1580</v>
      </c>
      <c r="L40" s="1179">
        <f t="shared" ref="L40:L47" si="34">L39+N39</f>
        <v>0.38381288580246914</v>
      </c>
      <c r="M40" s="1179">
        <v>1</v>
      </c>
      <c r="N40" s="1181">
        <f t="shared" si="30"/>
        <v>6.5734054205512258E-3</v>
      </c>
      <c r="O40" s="1178">
        <f t="shared" si="31"/>
        <v>2.4297197386519953E-4</v>
      </c>
      <c r="P40" s="1181">
        <f t="shared" si="32"/>
        <v>2.4297197386519953E-4</v>
      </c>
      <c r="Q40" s="334">
        <v>185</v>
      </c>
      <c r="R40" s="334">
        <f t="shared" si="33"/>
        <v>240</v>
      </c>
      <c r="S40" s="229">
        <f t="shared" si="9"/>
        <v>0.24</v>
      </c>
      <c r="T40" s="230">
        <f t="shared" si="10"/>
        <v>7.775103163686385E-3</v>
      </c>
      <c r="U40" s="374">
        <f t="shared" si="11"/>
        <v>0</v>
      </c>
      <c r="V40" s="375">
        <f t="shared" si="12"/>
        <v>0</v>
      </c>
      <c r="W40" s="376">
        <f t="shared" si="13"/>
        <v>0</v>
      </c>
      <c r="X40" s="377">
        <f t="shared" si="14"/>
        <v>0.24</v>
      </c>
      <c r="Y40" s="378">
        <f t="shared" si="15"/>
        <v>0</v>
      </c>
      <c r="Z40" s="379">
        <f t="shared" si="16"/>
        <v>0</v>
      </c>
      <c r="AA40" s="380">
        <f t="shared" si="17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</row>
    <row r="41" spans="1:39" ht="14" thickBot="1">
      <c r="A41" s="851" t="s">
        <v>458</v>
      </c>
      <c r="B41" s="1124" t="s">
        <v>215</v>
      </c>
      <c r="C41" s="274">
        <f t="shared" si="1"/>
        <v>2.0247664488766629E-4</v>
      </c>
      <c r="D41" s="1977">
        <v>4</v>
      </c>
      <c r="E41" s="1197">
        <v>1</v>
      </c>
      <c r="F41" s="1177">
        <v>8</v>
      </c>
      <c r="G41" s="1177">
        <v>30</v>
      </c>
      <c r="H41" s="3348" t="s">
        <v>300</v>
      </c>
      <c r="I41" s="1178">
        <v>4.0509259259259258E-4</v>
      </c>
      <c r="J41" s="1178">
        <v>1.3888888888888889E-3</v>
      </c>
      <c r="K41" s="1178" t="s">
        <v>1580</v>
      </c>
      <c r="L41" s="1179">
        <f t="shared" si="34"/>
        <v>0.39038629122302038</v>
      </c>
      <c r="M41" s="1179">
        <v>1</v>
      </c>
      <c r="N41" s="1181">
        <f t="shared" si="30"/>
        <v>6.5734054205512258E-3</v>
      </c>
      <c r="O41" s="1178">
        <f t="shared" si="31"/>
        <v>2.4297197386519953E-4</v>
      </c>
      <c r="P41" s="1181">
        <f t="shared" si="32"/>
        <v>2.4297197386519953E-4</v>
      </c>
      <c r="Q41" s="334">
        <v>185</v>
      </c>
      <c r="R41" s="334">
        <f t="shared" si="33"/>
        <v>240</v>
      </c>
      <c r="S41" s="229">
        <f t="shared" si="9"/>
        <v>0.24</v>
      </c>
      <c r="T41" s="230">
        <f t="shared" si="10"/>
        <v>7.775103163686385E-3</v>
      </c>
      <c r="U41" s="374">
        <f t="shared" si="11"/>
        <v>0</v>
      </c>
      <c r="V41" s="375">
        <f t="shared" si="12"/>
        <v>0</v>
      </c>
      <c r="W41" s="376">
        <f t="shared" si="13"/>
        <v>0</v>
      </c>
      <c r="X41" s="377">
        <f t="shared" si="14"/>
        <v>0.24</v>
      </c>
      <c r="Y41" s="378">
        <f t="shared" si="15"/>
        <v>0</v>
      </c>
      <c r="Z41" s="379">
        <f t="shared" si="16"/>
        <v>0</v>
      </c>
      <c r="AA41" s="380">
        <f t="shared" si="17"/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</row>
    <row r="42" spans="1:39" ht="14" thickBot="1">
      <c r="A42" s="851" t="s">
        <v>462</v>
      </c>
      <c r="B42" s="1124" t="s">
        <v>215</v>
      </c>
      <c r="C42" s="274">
        <f t="shared" si="1"/>
        <v>1.7682291666666674E-4</v>
      </c>
      <c r="D42" s="1977">
        <v>7</v>
      </c>
      <c r="E42" s="441">
        <v>1</v>
      </c>
      <c r="F42" s="441">
        <v>8</v>
      </c>
      <c r="G42" s="441">
        <v>30</v>
      </c>
      <c r="H42" s="3344" t="s">
        <v>1385</v>
      </c>
      <c r="I42" s="436">
        <v>4.0509259259259258E-4</v>
      </c>
      <c r="J42" s="436">
        <v>1.3888888888888889E-3</v>
      </c>
      <c r="K42" s="442" t="s">
        <v>1416</v>
      </c>
      <c r="L42" s="436">
        <f t="shared" si="34"/>
        <v>0.39695969664357161</v>
      </c>
      <c r="M42" s="442">
        <v>1</v>
      </c>
      <c r="N42" s="436">
        <f t="shared" si="30"/>
        <v>6.3271296296296305E-3</v>
      </c>
      <c r="O42" s="293">
        <f t="shared" si="31"/>
        <v>2.1218750000000008E-4</v>
      </c>
      <c r="P42" s="436">
        <f t="shared" si="32"/>
        <v>2.1218750000000008E-4</v>
      </c>
      <c r="Q42" s="789">
        <v>185</v>
      </c>
      <c r="R42" s="435">
        <f t="shared" si="33"/>
        <v>240</v>
      </c>
      <c r="S42" s="229">
        <f t="shared" si="9"/>
        <v>0.24</v>
      </c>
      <c r="T42" s="230">
        <f t="shared" si="10"/>
        <v>6.7900000000000026E-3</v>
      </c>
      <c r="U42" s="374">
        <f t="shared" si="11"/>
        <v>0</v>
      </c>
      <c r="V42" s="375">
        <f t="shared" si="12"/>
        <v>0</v>
      </c>
      <c r="W42" s="376">
        <f t="shared" si="13"/>
        <v>0</v>
      </c>
      <c r="X42" s="377">
        <f t="shared" si="14"/>
        <v>0</v>
      </c>
      <c r="Y42" s="378">
        <f t="shared" si="15"/>
        <v>0</v>
      </c>
      <c r="Z42" s="379">
        <f t="shared" si="16"/>
        <v>0</v>
      </c>
      <c r="AA42" s="380">
        <f t="shared" si="17"/>
        <v>0.24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</row>
    <row r="43" spans="1:39" ht="14" thickBot="1">
      <c r="A43" s="851" t="s">
        <v>460</v>
      </c>
      <c r="B43" s="1124" t="s">
        <v>215</v>
      </c>
      <c r="C43" s="274">
        <f t="shared" si="1"/>
        <v>1.7682291666666674E-4</v>
      </c>
      <c r="D43" s="1977">
        <v>7</v>
      </c>
      <c r="E43" s="441">
        <v>1</v>
      </c>
      <c r="F43" s="441">
        <v>4</v>
      </c>
      <c r="G43" s="2646">
        <v>20</v>
      </c>
      <c r="H43" s="3344" t="s">
        <v>1385</v>
      </c>
      <c r="I43" s="2650">
        <v>4.0509259259259258E-4</v>
      </c>
      <c r="J43" s="436">
        <v>1.3888888888888889E-3</v>
      </c>
      <c r="K43" s="442" t="s">
        <v>1579</v>
      </c>
      <c r="L43" s="436">
        <f t="shared" si="34"/>
        <v>0.40328682627320123</v>
      </c>
      <c r="M43" s="442">
        <v>1</v>
      </c>
      <c r="N43" s="436">
        <f t="shared" si="30"/>
        <v>3.5750925925925933E-3</v>
      </c>
      <c r="O43" s="293">
        <f t="shared" si="31"/>
        <v>1.4145833333333339E-4</v>
      </c>
      <c r="P43" s="436">
        <f t="shared" si="32"/>
        <v>1.4145833333333339E-4</v>
      </c>
      <c r="Q43" s="789">
        <v>185</v>
      </c>
      <c r="R43" s="435">
        <f t="shared" si="33"/>
        <v>80</v>
      </c>
      <c r="S43" s="229">
        <f t="shared" si="9"/>
        <v>0.08</v>
      </c>
      <c r="T43" s="230">
        <f t="shared" si="10"/>
        <v>2.2633333333333342E-3</v>
      </c>
      <c r="U43" s="374">
        <f t="shared" si="11"/>
        <v>0</v>
      </c>
      <c r="V43" s="375">
        <f t="shared" si="12"/>
        <v>0</v>
      </c>
      <c r="W43" s="376">
        <f t="shared" si="13"/>
        <v>0</v>
      </c>
      <c r="X43" s="377">
        <f t="shared" si="14"/>
        <v>0</v>
      </c>
      <c r="Y43" s="378">
        <f t="shared" si="15"/>
        <v>0</v>
      </c>
      <c r="Z43" s="379">
        <f t="shared" si="16"/>
        <v>0</v>
      </c>
      <c r="AA43" s="380">
        <f t="shared" si="17"/>
        <v>0.08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</row>
    <row r="44" spans="1:39" ht="14" thickBot="1">
      <c r="A44" s="851" t="s">
        <v>458</v>
      </c>
      <c r="B44" s="1124" t="s">
        <v>215</v>
      </c>
      <c r="C44" s="274">
        <f t="shared" si="1"/>
        <v>2.1908757716049393E-4</v>
      </c>
      <c r="D44" s="1977">
        <v>2</v>
      </c>
      <c r="E44" s="300">
        <v>1</v>
      </c>
      <c r="F44" s="300">
        <v>6</v>
      </c>
      <c r="G44" s="2645">
        <v>100</v>
      </c>
      <c r="H44" s="3350"/>
      <c r="I44" s="2649">
        <v>1.7361111111111112E-4</v>
      </c>
      <c r="J44" s="301">
        <v>8.1018518518518516E-4</v>
      </c>
      <c r="K44" s="1975" t="s">
        <v>1107</v>
      </c>
      <c r="L44" s="301">
        <f t="shared" si="34"/>
        <v>0.40686191886579381</v>
      </c>
      <c r="M44" s="455">
        <v>1</v>
      </c>
      <c r="N44" s="302">
        <f t="shared" si="30"/>
        <v>7.109953703703706E-3</v>
      </c>
      <c r="O44" s="301">
        <f t="shared" si="31"/>
        <v>8.7635030864197572E-4</v>
      </c>
      <c r="P44" s="302">
        <f t="shared" si="32"/>
        <v>8.7635030864197572E-4</v>
      </c>
      <c r="Q44" s="550">
        <v>185</v>
      </c>
      <c r="R44" s="369">
        <f t="shared" si="33"/>
        <v>600</v>
      </c>
      <c r="S44" s="229">
        <f t="shared" si="9"/>
        <v>0.6</v>
      </c>
      <c r="T44" s="230">
        <f t="shared" si="10"/>
        <v>2.1032407407407416E-2</v>
      </c>
      <c r="U44" s="374">
        <f t="shared" si="11"/>
        <v>0</v>
      </c>
      <c r="V44" s="375">
        <f t="shared" si="12"/>
        <v>0.6</v>
      </c>
      <c r="W44" s="376">
        <f t="shared" si="13"/>
        <v>0</v>
      </c>
      <c r="X44" s="377">
        <f t="shared" si="14"/>
        <v>0</v>
      </c>
      <c r="Y44" s="378">
        <f t="shared" si="15"/>
        <v>0</v>
      </c>
      <c r="Z44" s="379">
        <f t="shared" si="16"/>
        <v>0</v>
      </c>
      <c r="AA44" s="380">
        <f t="shared" si="17"/>
        <v>0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</row>
    <row r="45" spans="1:39" ht="14" thickBot="1">
      <c r="A45" s="851" t="s">
        <v>219</v>
      </c>
      <c r="B45" s="1124" t="s">
        <v>215</v>
      </c>
      <c r="C45" s="274">
        <f t="shared" si="1"/>
        <v>2.1908757716049393E-4</v>
      </c>
      <c r="D45" s="1977">
        <v>2</v>
      </c>
      <c r="E45" s="300">
        <v>1</v>
      </c>
      <c r="F45" s="300">
        <v>12</v>
      </c>
      <c r="G45" s="2645">
        <v>50</v>
      </c>
      <c r="H45" s="3350"/>
      <c r="I45" s="2649">
        <v>2.3148148148148146E-4</v>
      </c>
      <c r="J45" s="301">
        <v>9.8379629629629642E-4</v>
      </c>
      <c r="K45" s="1975" t="s">
        <v>1108</v>
      </c>
      <c r="L45" s="301">
        <f t="shared" si="34"/>
        <v>0.41397187256949752</v>
      </c>
      <c r="M45" s="455">
        <v>1</v>
      </c>
      <c r="N45" s="302">
        <f t="shared" si="30"/>
        <v>9.0196759259259292E-3</v>
      </c>
      <c r="O45" s="301">
        <f t="shared" si="31"/>
        <v>4.3817515432098786E-4</v>
      </c>
      <c r="P45" s="302">
        <f t="shared" si="32"/>
        <v>4.3817515432098786E-4</v>
      </c>
      <c r="Q45" s="550">
        <v>185</v>
      </c>
      <c r="R45" s="369">
        <f t="shared" si="33"/>
        <v>600</v>
      </c>
      <c r="S45" s="229">
        <f t="shared" si="9"/>
        <v>0.6</v>
      </c>
      <c r="T45" s="230">
        <f t="shared" si="10"/>
        <v>2.1032407407407416E-2</v>
      </c>
      <c r="U45" s="374">
        <f t="shared" si="11"/>
        <v>0</v>
      </c>
      <c r="V45" s="375">
        <f t="shared" si="12"/>
        <v>0.6</v>
      </c>
      <c r="W45" s="376">
        <f t="shared" si="13"/>
        <v>0</v>
      </c>
      <c r="X45" s="377">
        <f t="shared" si="14"/>
        <v>0</v>
      </c>
      <c r="Y45" s="378">
        <f t="shared" si="15"/>
        <v>0</v>
      </c>
      <c r="Z45" s="379">
        <f t="shared" si="16"/>
        <v>0</v>
      </c>
      <c r="AA45" s="380">
        <f t="shared" si="17"/>
        <v>0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</row>
    <row r="46" spans="1:39" ht="18" customHeight="1" thickBot="1">
      <c r="A46" s="851"/>
      <c r="B46" s="1124" t="s">
        <v>215</v>
      </c>
      <c r="C46" s="274">
        <f t="shared" si="1"/>
        <v>2.1908757716049393E-4</v>
      </c>
      <c r="D46" s="1977">
        <v>2</v>
      </c>
      <c r="E46" s="1980">
        <v>1</v>
      </c>
      <c r="F46" s="300">
        <v>12</v>
      </c>
      <c r="G46" s="2645">
        <v>50</v>
      </c>
      <c r="H46" s="3350"/>
      <c r="I46" s="2649">
        <v>1.7361111111111112E-4</v>
      </c>
      <c r="J46" s="301">
        <v>9.2592592592592585E-4</v>
      </c>
      <c r="K46" s="2653" t="s">
        <v>1407</v>
      </c>
      <c r="L46" s="301">
        <f t="shared" si="34"/>
        <v>0.42299154849542348</v>
      </c>
      <c r="M46" s="455">
        <v>1</v>
      </c>
      <c r="N46" s="302">
        <f t="shared" si="30"/>
        <v>8.2673611111111125E-3</v>
      </c>
      <c r="O46" s="301">
        <f t="shared" si="31"/>
        <v>4.3817515432098786E-4</v>
      </c>
      <c r="P46" s="302">
        <f t="shared" si="32"/>
        <v>4.3817515432098786E-4</v>
      </c>
      <c r="Q46" s="550">
        <v>185</v>
      </c>
      <c r="R46" s="369">
        <f t="shared" si="33"/>
        <v>600</v>
      </c>
      <c r="S46" s="229">
        <f t="shared" si="9"/>
        <v>0.6</v>
      </c>
      <c r="T46" s="230">
        <f t="shared" si="10"/>
        <v>2.1032407407407416E-2</v>
      </c>
      <c r="U46" s="374">
        <f t="shared" si="11"/>
        <v>0</v>
      </c>
      <c r="V46" s="375">
        <f t="shared" si="12"/>
        <v>0.6</v>
      </c>
      <c r="W46" s="376">
        <f t="shared" si="13"/>
        <v>0</v>
      </c>
      <c r="X46" s="377">
        <f t="shared" si="14"/>
        <v>0</v>
      </c>
      <c r="Y46" s="378">
        <f t="shared" si="15"/>
        <v>0</v>
      </c>
      <c r="Z46" s="379">
        <f t="shared" si="16"/>
        <v>0</v>
      </c>
      <c r="AA46" s="380">
        <f t="shared" si="17"/>
        <v>0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</row>
    <row r="47" spans="1:39" ht="14" customHeight="1" thickBot="1">
      <c r="A47" s="851"/>
      <c r="B47" s="1124"/>
      <c r="C47" s="274">
        <f t="shared" si="1"/>
        <v>0</v>
      </c>
      <c r="D47" s="1977"/>
      <c r="E47" s="1022"/>
      <c r="F47" s="1023"/>
      <c r="G47" s="324"/>
      <c r="H47" s="3346"/>
      <c r="I47" s="336"/>
      <c r="J47" s="336"/>
      <c r="K47" s="336"/>
      <c r="L47" s="276">
        <f t="shared" si="34"/>
        <v>0.43125890960653457</v>
      </c>
      <c r="M47" s="1624"/>
      <c r="N47" s="276">
        <f>SUM(N39:N46)</f>
        <v>4.9314465162090121E-2</v>
      </c>
      <c r="O47" s="336"/>
      <c r="P47" s="336"/>
      <c r="Q47" s="336"/>
      <c r="R47" s="363">
        <f>SUM(R39:R46)</f>
        <v>2800</v>
      </c>
      <c r="S47" s="229">
        <f t="shared" si="9"/>
        <v>0</v>
      </c>
      <c r="T47" s="230">
        <f t="shared" si="10"/>
        <v>0</v>
      </c>
      <c r="U47" s="374">
        <f t="shared" si="11"/>
        <v>0</v>
      </c>
      <c r="V47" s="375">
        <f t="shared" si="12"/>
        <v>0</v>
      </c>
      <c r="W47" s="376">
        <f t="shared" si="13"/>
        <v>0</v>
      </c>
      <c r="X47" s="377">
        <f t="shared" si="14"/>
        <v>0</v>
      </c>
      <c r="Y47" s="378">
        <f t="shared" si="15"/>
        <v>0</v>
      </c>
      <c r="Z47" s="379">
        <f t="shared" si="16"/>
        <v>0</v>
      </c>
      <c r="AA47" s="380">
        <f t="shared" si="17"/>
        <v>0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</row>
    <row r="48" spans="1:39" ht="14" customHeight="1" thickBot="1">
      <c r="A48" s="398" t="s">
        <v>219</v>
      </c>
      <c r="B48" s="1117" t="s">
        <v>215</v>
      </c>
      <c r="C48" s="274">
        <f t="shared" si="1"/>
        <v>2.1222190799396687E-4</v>
      </c>
      <c r="D48" s="1977">
        <v>3</v>
      </c>
      <c r="E48" s="1980">
        <v>1</v>
      </c>
      <c r="F48" s="300">
        <v>8</v>
      </c>
      <c r="G48" s="2645">
        <v>105</v>
      </c>
      <c r="H48" s="3350"/>
      <c r="I48" s="2649">
        <v>3.4722222222222224E-4</v>
      </c>
      <c r="J48" s="301">
        <v>1.3888888888888889E-3</v>
      </c>
      <c r="K48" s="2653" t="s">
        <v>1403</v>
      </c>
      <c r="L48" s="301">
        <v>0.34375</v>
      </c>
      <c r="M48" s="455">
        <v>1</v>
      </c>
      <c r="N48" s="301">
        <f t="shared" ref="N48:N50" si="35">P48*E48*F48+I48*E48*F48+J48*E48</f>
        <v>1.1297322775263954E-2</v>
      </c>
      <c r="O48" s="301">
        <f t="shared" ref="O48:O49" si="36">C48*(G48/25)</f>
        <v>8.9133201357466092E-4</v>
      </c>
      <c r="P48" s="302">
        <f t="shared" ref="P48:P53" si="37">O48*M48</f>
        <v>8.9133201357466092E-4</v>
      </c>
      <c r="Q48" s="550">
        <v>129</v>
      </c>
      <c r="R48" s="369">
        <f t="shared" ref="R48:R53" si="38">E48*F48*G48</f>
        <v>840</v>
      </c>
      <c r="S48" s="229">
        <f t="shared" si="9"/>
        <v>0.84</v>
      </c>
      <c r="T48" s="230">
        <f t="shared" si="10"/>
        <v>2.852262443438915E-2</v>
      </c>
      <c r="U48" s="374">
        <f t="shared" si="11"/>
        <v>0</v>
      </c>
      <c r="V48" s="375">
        <f t="shared" si="12"/>
        <v>0</v>
      </c>
      <c r="W48" s="376">
        <f t="shared" si="13"/>
        <v>0.84</v>
      </c>
      <c r="X48" s="377">
        <f t="shared" si="14"/>
        <v>0</v>
      </c>
      <c r="Y48" s="378">
        <f t="shared" si="15"/>
        <v>0</v>
      </c>
      <c r="Z48" s="379">
        <f t="shared" si="16"/>
        <v>0</v>
      </c>
      <c r="AA48" s="380">
        <f t="shared" si="17"/>
        <v>0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</row>
    <row r="49" spans="1:40" ht="14" customHeight="1" thickBot="1">
      <c r="A49" s="398" t="s">
        <v>138</v>
      </c>
      <c r="B49" s="1117" t="s">
        <v>215</v>
      </c>
      <c r="C49" s="274">
        <f t="shared" si="1"/>
        <v>2.1222190799396687E-4</v>
      </c>
      <c r="D49" s="1977">
        <v>3</v>
      </c>
      <c r="E49" s="1311">
        <v>1</v>
      </c>
      <c r="F49" s="1311">
        <v>10</v>
      </c>
      <c r="G49" s="280">
        <v>60</v>
      </c>
      <c r="H49" s="3347"/>
      <c r="I49" s="1403">
        <v>3.4722222222222224E-4</v>
      </c>
      <c r="J49" s="1403">
        <v>1.3888888888888889E-3</v>
      </c>
      <c r="K49" s="1976" t="s">
        <v>1404</v>
      </c>
      <c r="L49" s="281">
        <f t="shared" ref="L49:L54" si="39">L48+N48</f>
        <v>0.35504732277526396</v>
      </c>
      <c r="M49" s="453">
        <v>1</v>
      </c>
      <c r="N49" s="281">
        <f t="shared" si="35"/>
        <v>9.9544369029663151E-3</v>
      </c>
      <c r="O49" s="281">
        <f t="shared" si="36"/>
        <v>5.0933257918552043E-4</v>
      </c>
      <c r="P49" s="298">
        <f t="shared" si="37"/>
        <v>5.0933257918552043E-4</v>
      </c>
      <c r="Q49" s="333">
        <v>150</v>
      </c>
      <c r="R49" s="280">
        <f t="shared" si="38"/>
        <v>600</v>
      </c>
      <c r="S49" s="229">
        <f t="shared" si="9"/>
        <v>0.6</v>
      </c>
      <c r="T49" s="230">
        <f t="shared" si="10"/>
        <v>2.0373303167420816E-2</v>
      </c>
      <c r="U49" s="374">
        <f t="shared" si="11"/>
        <v>0</v>
      </c>
      <c r="V49" s="375">
        <f t="shared" si="12"/>
        <v>0</v>
      </c>
      <c r="W49" s="376">
        <f t="shared" si="13"/>
        <v>0.6</v>
      </c>
      <c r="X49" s="377">
        <f t="shared" si="14"/>
        <v>0</v>
      </c>
      <c r="Y49" s="378">
        <f t="shared" si="15"/>
        <v>0</v>
      </c>
      <c r="Z49" s="379">
        <f t="shared" si="16"/>
        <v>0</v>
      </c>
      <c r="AA49" s="380">
        <f t="shared" si="17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</row>
    <row r="50" spans="1:40" ht="14" customHeight="1" thickBot="1">
      <c r="A50" s="398" t="s">
        <v>779</v>
      </c>
      <c r="B50" s="1117" t="s">
        <v>215</v>
      </c>
      <c r="C50" s="274">
        <f t="shared" si="1"/>
        <v>2.0247664488766629E-4</v>
      </c>
      <c r="D50" s="1977">
        <v>4</v>
      </c>
      <c r="E50" s="1197">
        <v>1</v>
      </c>
      <c r="F50" s="1177">
        <v>12</v>
      </c>
      <c r="G50" s="1177">
        <v>105</v>
      </c>
      <c r="H50" s="1178">
        <v>1.1574074074074073E-3</v>
      </c>
      <c r="I50" s="1178"/>
      <c r="J50" s="1178">
        <v>1.3888888888888889E-3</v>
      </c>
      <c r="K50" s="1178" t="s">
        <v>1405</v>
      </c>
      <c r="L50" s="1179">
        <f t="shared" si="39"/>
        <v>0.36500175967823029</v>
      </c>
      <c r="M50" s="1179">
        <v>1</v>
      </c>
      <c r="N50" s="1181">
        <f t="shared" si="35"/>
        <v>4.3374445972795377E-2</v>
      </c>
      <c r="O50" s="1178">
        <f>C50*16*1.08</f>
        <v>3.4987964236588738E-3</v>
      </c>
      <c r="P50" s="1181">
        <f t="shared" si="37"/>
        <v>3.4987964236588738E-3</v>
      </c>
      <c r="Q50" s="334">
        <v>150</v>
      </c>
      <c r="R50" s="334">
        <f t="shared" si="38"/>
        <v>1260</v>
      </c>
      <c r="S50" s="229">
        <f t="shared" si="9"/>
        <v>1.26</v>
      </c>
      <c r="T50" s="230">
        <f t="shared" si="10"/>
        <v>0.16794222833562594</v>
      </c>
      <c r="U50" s="374">
        <f t="shared" si="11"/>
        <v>0</v>
      </c>
      <c r="V50" s="375">
        <f t="shared" si="12"/>
        <v>0</v>
      </c>
      <c r="W50" s="376">
        <f t="shared" si="13"/>
        <v>0</v>
      </c>
      <c r="X50" s="377">
        <f t="shared" si="14"/>
        <v>1.26</v>
      </c>
      <c r="Y50" s="378">
        <f t="shared" si="15"/>
        <v>0</v>
      </c>
      <c r="Z50" s="379">
        <f t="shared" si="16"/>
        <v>0</v>
      </c>
      <c r="AA50" s="380">
        <f t="shared" si="17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</row>
    <row r="51" spans="1:40" ht="17" customHeight="1" thickBot="1">
      <c r="A51" s="398" t="s">
        <v>674</v>
      </c>
      <c r="B51" s="1117" t="s">
        <v>215</v>
      </c>
      <c r="C51" s="274">
        <f t="shared" si="1"/>
        <v>2.0247664488766629E-4</v>
      </c>
      <c r="D51" s="1977">
        <v>4</v>
      </c>
      <c r="E51" s="1311">
        <v>1</v>
      </c>
      <c r="F51" s="1311">
        <v>8</v>
      </c>
      <c r="G51" s="280">
        <v>105</v>
      </c>
      <c r="H51" s="3347"/>
      <c r="I51" s="1403">
        <v>2.8935185185185189E-4</v>
      </c>
      <c r="J51" s="1403">
        <v>1.3888888888888889E-3</v>
      </c>
      <c r="K51" s="1976" t="s">
        <v>1390</v>
      </c>
      <c r="L51" s="281">
        <f t="shared" si="39"/>
        <v>0.40837620565102567</v>
      </c>
      <c r="M51" s="453">
        <v>1</v>
      </c>
      <c r="N51" s="281">
        <f t="shared" ref="N51:N53" si="40">P51*E51*F51+I51*E51*F51+J51*E51</f>
        <v>1.0506918971929291E-2</v>
      </c>
      <c r="O51" s="281">
        <f t="shared" ref="O51:O53" si="41">C51*(G51/25)</f>
        <v>8.504019085281984E-4</v>
      </c>
      <c r="P51" s="298">
        <f t="shared" si="37"/>
        <v>8.504019085281984E-4</v>
      </c>
      <c r="Q51" s="333">
        <v>150</v>
      </c>
      <c r="R51" s="280">
        <f t="shared" si="38"/>
        <v>840</v>
      </c>
      <c r="S51" s="229">
        <f t="shared" si="9"/>
        <v>0.84</v>
      </c>
      <c r="T51" s="230">
        <f t="shared" si="10"/>
        <v>2.7212861072902349E-2</v>
      </c>
      <c r="U51" s="374">
        <f t="shared" si="11"/>
        <v>0</v>
      </c>
      <c r="V51" s="375">
        <f t="shared" si="12"/>
        <v>0</v>
      </c>
      <c r="W51" s="376">
        <f t="shared" si="13"/>
        <v>0</v>
      </c>
      <c r="X51" s="377">
        <f t="shared" si="14"/>
        <v>0.84</v>
      </c>
      <c r="Y51" s="378">
        <f t="shared" si="15"/>
        <v>0</v>
      </c>
      <c r="Z51" s="379">
        <f t="shared" si="16"/>
        <v>0</v>
      </c>
      <c r="AA51" s="380">
        <f t="shared" si="17"/>
        <v>0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</row>
    <row r="52" spans="1:40" ht="14" thickBot="1">
      <c r="A52" s="398" t="s">
        <v>219</v>
      </c>
      <c r="B52" s="1117" t="s">
        <v>215</v>
      </c>
      <c r="C52" s="274">
        <f t="shared" si="1"/>
        <v>2.1222190799396687E-4</v>
      </c>
      <c r="D52" s="1977">
        <v>3</v>
      </c>
      <c r="E52" s="1311">
        <v>1</v>
      </c>
      <c r="F52" s="1311">
        <v>16</v>
      </c>
      <c r="G52" s="280">
        <v>60</v>
      </c>
      <c r="H52" s="3347"/>
      <c r="I52" s="1403">
        <v>2.8935185185185189E-4</v>
      </c>
      <c r="J52" s="1403">
        <v>1.3888888888888889E-3</v>
      </c>
      <c r="K52" s="1976" t="s">
        <v>1406</v>
      </c>
      <c r="L52" s="281">
        <f t="shared" si="39"/>
        <v>0.41888312462295496</v>
      </c>
      <c r="M52" s="453">
        <v>1</v>
      </c>
      <c r="N52" s="281">
        <f t="shared" si="40"/>
        <v>1.4167839785486845E-2</v>
      </c>
      <c r="O52" s="281">
        <f t="shared" si="41"/>
        <v>5.0933257918552043E-4</v>
      </c>
      <c r="P52" s="298">
        <f t="shared" si="37"/>
        <v>5.0933257918552043E-4</v>
      </c>
      <c r="Q52" s="333">
        <v>150</v>
      </c>
      <c r="R52" s="280">
        <f t="shared" si="38"/>
        <v>960</v>
      </c>
      <c r="S52" s="229">
        <f t="shared" si="9"/>
        <v>0.96</v>
      </c>
      <c r="T52" s="230">
        <f t="shared" si="10"/>
        <v>3.2597285067873308E-2</v>
      </c>
      <c r="U52" s="374">
        <f t="shared" si="11"/>
        <v>0</v>
      </c>
      <c r="V52" s="375">
        <f t="shared" si="12"/>
        <v>0</v>
      </c>
      <c r="W52" s="376">
        <f t="shared" si="13"/>
        <v>0.96</v>
      </c>
      <c r="X52" s="377">
        <f t="shared" si="14"/>
        <v>0</v>
      </c>
      <c r="Y52" s="378">
        <f t="shared" si="15"/>
        <v>0</v>
      </c>
      <c r="Z52" s="379">
        <f t="shared" si="16"/>
        <v>0</v>
      </c>
      <c r="AA52" s="380">
        <f t="shared" si="17"/>
        <v>0</v>
      </c>
      <c r="AB52" s="565">
        <f>SUM(U52:AA52)</f>
        <v>0.96</v>
      </c>
      <c r="AC52" s="231">
        <v>0</v>
      </c>
      <c r="AD52" s="231">
        <v>0</v>
      </c>
      <c r="AE52" s="222"/>
      <c r="AF52" s="222"/>
      <c r="AG52" s="222"/>
      <c r="AH52" s="222"/>
      <c r="AI52" s="222"/>
    </row>
    <row r="53" spans="1:40" ht="14" thickBot="1">
      <c r="A53" s="398" t="s">
        <v>138</v>
      </c>
      <c r="B53" s="1117" t="s">
        <v>215</v>
      </c>
      <c r="C53" s="274">
        <f t="shared" si="1"/>
        <v>2.1222190799396687E-4</v>
      </c>
      <c r="D53" s="1977">
        <v>3</v>
      </c>
      <c r="E53" s="1311">
        <v>1</v>
      </c>
      <c r="F53" s="1311">
        <v>5</v>
      </c>
      <c r="G53" s="280">
        <v>105</v>
      </c>
      <c r="H53" s="3347"/>
      <c r="I53" s="1403">
        <v>2.3148148148148146E-4</v>
      </c>
      <c r="J53" s="1403">
        <v>1.3888888888888889E-3</v>
      </c>
      <c r="K53" s="1976" t="s">
        <v>1398</v>
      </c>
      <c r="L53" s="281">
        <f t="shared" si="39"/>
        <v>0.43305096440844182</v>
      </c>
      <c r="M53" s="453">
        <v>1</v>
      </c>
      <c r="N53" s="281">
        <f t="shared" si="40"/>
        <v>7.002956364169601E-3</v>
      </c>
      <c r="O53" s="281">
        <f t="shared" si="41"/>
        <v>8.9133201357466092E-4</v>
      </c>
      <c r="P53" s="298">
        <f t="shared" si="37"/>
        <v>8.9133201357466092E-4</v>
      </c>
      <c r="Q53" s="333">
        <v>150</v>
      </c>
      <c r="R53" s="280">
        <f t="shared" si="38"/>
        <v>525</v>
      </c>
      <c r="S53" s="229">
        <f t="shared" si="9"/>
        <v>0.52500000000000002</v>
      </c>
      <c r="T53" s="230">
        <f t="shared" si="10"/>
        <v>1.7826640271493218E-2</v>
      </c>
      <c r="U53" s="374">
        <f t="shared" si="11"/>
        <v>0</v>
      </c>
      <c r="V53" s="375">
        <f t="shared" si="12"/>
        <v>0</v>
      </c>
      <c r="W53" s="376">
        <f t="shared" si="13"/>
        <v>0.52500000000000002</v>
      </c>
      <c r="X53" s="377">
        <f t="shared" si="14"/>
        <v>0</v>
      </c>
      <c r="Y53" s="378">
        <f t="shared" si="15"/>
        <v>0</v>
      </c>
      <c r="Z53" s="379">
        <f t="shared" si="16"/>
        <v>0</v>
      </c>
      <c r="AA53" s="380">
        <f t="shared" si="17"/>
        <v>0</v>
      </c>
      <c r="AB53" s="144"/>
      <c r="AC53" s="213"/>
      <c r="AD53" s="213"/>
      <c r="AE53" s="222"/>
      <c r="AF53" s="222"/>
      <c r="AG53" s="222"/>
      <c r="AH53" s="222"/>
      <c r="AI53" s="222"/>
      <c r="AJ53" s="213"/>
      <c r="AK53" s="213"/>
      <c r="AL53" s="213"/>
      <c r="AM53" s="213"/>
    </row>
    <row r="54" spans="1:40" s="245" customFormat="1" ht="14" thickBot="1">
      <c r="A54" s="398"/>
      <c r="B54" s="401"/>
      <c r="C54" s="274">
        <f t="shared" si="1"/>
        <v>0</v>
      </c>
      <c r="D54" s="1977"/>
      <c r="E54" s="845"/>
      <c r="F54" s="839"/>
      <c r="G54" s="839"/>
      <c r="H54" s="3349"/>
      <c r="I54" s="839"/>
      <c r="J54" s="839"/>
      <c r="K54" s="839"/>
      <c r="L54" s="644">
        <f t="shared" si="39"/>
        <v>0.44005392077261141</v>
      </c>
      <c r="M54" s="839">
        <v>1</v>
      </c>
      <c r="N54" s="644"/>
      <c r="O54" s="839">
        <f>C54*(G54/25)</f>
        <v>0</v>
      </c>
      <c r="P54" s="839"/>
      <c r="Q54" s="839"/>
      <c r="R54" s="1656">
        <f>SUM(R48:R53)</f>
        <v>5025</v>
      </c>
      <c r="S54" s="229">
        <f t="shared" si="9"/>
        <v>0</v>
      </c>
      <c r="T54" s="230">
        <f t="shared" si="10"/>
        <v>0</v>
      </c>
      <c r="U54" s="374">
        <f t="shared" si="11"/>
        <v>0</v>
      </c>
      <c r="V54" s="375">
        <f t="shared" si="12"/>
        <v>0</v>
      </c>
      <c r="W54" s="376">
        <f t="shared" si="13"/>
        <v>0</v>
      </c>
      <c r="X54" s="377">
        <f t="shared" si="14"/>
        <v>0</v>
      </c>
      <c r="Y54" s="378">
        <f t="shared" si="15"/>
        <v>0</v>
      </c>
      <c r="Z54" s="379">
        <f t="shared" si="16"/>
        <v>0</v>
      </c>
      <c r="AA54" s="380">
        <f t="shared" si="17"/>
        <v>0</v>
      </c>
      <c r="AB54" s="144"/>
      <c r="AC54" s="214"/>
      <c r="AD54" s="214"/>
      <c r="AE54" s="222"/>
      <c r="AF54" s="222"/>
      <c r="AG54" s="222"/>
      <c r="AH54" s="222"/>
      <c r="AI54" s="222"/>
      <c r="AJ54" s="214"/>
      <c r="AK54" s="214"/>
      <c r="AL54" s="214"/>
      <c r="AM54" s="214"/>
      <c r="AN54" s="244"/>
    </row>
    <row r="55" spans="1:40" ht="21" thickBot="1">
      <c r="A55" s="144"/>
      <c r="B55" s="144"/>
      <c r="C55" s="979"/>
      <c r="D55" s="1034"/>
      <c r="E55" s="979"/>
      <c r="F55" s="979"/>
      <c r="G55" s="144"/>
      <c r="H55" s="144"/>
      <c r="I55" s="144"/>
      <c r="J55" s="144"/>
      <c r="K55" s="144"/>
      <c r="L55" s="150"/>
      <c r="M55" s="144"/>
      <c r="N55" s="1278"/>
      <c r="O55" s="144"/>
      <c r="P55" s="1278"/>
      <c r="Q55" s="146"/>
      <c r="R55" s="1611"/>
      <c r="S55" s="4336">
        <f t="shared" si="9"/>
        <v>0</v>
      </c>
      <c r="T55" s="6953">
        <f t="shared" si="10"/>
        <v>0</v>
      </c>
      <c r="U55" s="6954">
        <f>SUM(U5:U54)</f>
        <v>1.5</v>
      </c>
      <c r="V55" s="6954">
        <f t="shared" ref="V55:AA55" si="42">SUM(V5:V54)</f>
        <v>5.2399999999999993</v>
      </c>
      <c r="W55" s="6954">
        <f t="shared" si="42"/>
        <v>5.4450000000000003</v>
      </c>
      <c r="X55" s="6954">
        <f t="shared" si="42"/>
        <v>2.98</v>
      </c>
      <c r="Y55" s="6954">
        <f t="shared" si="42"/>
        <v>0.34499999999999997</v>
      </c>
      <c r="Z55" s="6954">
        <f t="shared" si="42"/>
        <v>0.6</v>
      </c>
      <c r="AA55" s="6955">
        <f t="shared" si="42"/>
        <v>0.84599999999999997</v>
      </c>
      <c r="AB55" s="144"/>
      <c r="AE55" s="222"/>
      <c r="AF55" s="222"/>
      <c r="AG55" s="222"/>
      <c r="AH55" s="222"/>
      <c r="AI55" s="222"/>
    </row>
    <row r="56" spans="1:40" ht="20">
      <c r="A56" s="144"/>
      <c r="B56" s="144"/>
      <c r="C56" s="144"/>
      <c r="D56" s="906"/>
      <c r="E56" s="979"/>
      <c r="F56" s="979"/>
      <c r="G56" s="144"/>
      <c r="H56" s="144"/>
      <c r="I56" s="144"/>
      <c r="J56" s="144"/>
      <c r="K56" s="144"/>
      <c r="L56" s="150"/>
      <c r="M56" s="144"/>
      <c r="N56" s="1278"/>
      <c r="O56" s="144"/>
      <c r="P56" s="1278"/>
      <c r="Q56" s="146"/>
      <c r="R56" s="1611"/>
      <c r="S56" s="144"/>
      <c r="T56" s="144"/>
      <c r="U56" s="566">
        <f t="shared" ref="U56:AA69" si="43">IF(U55&gt;0,U55,U54)</f>
        <v>1.5</v>
      </c>
      <c r="V56" s="566">
        <f t="shared" si="43"/>
        <v>5.2399999999999993</v>
      </c>
      <c r="W56" s="566">
        <f t="shared" si="43"/>
        <v>5.4450000000000003</v>
      </c>
      <c r="X56" s="566">
        <f t="shared" si="43"/>
        <v>2.98</v>
      </c>
      <c r="Y56" s="566">
        <f t="shared" si="43"/>
        <v>0.34499999999999997</v>
      </c>
      <c r="Z56" s="566">
        <f t="shared" si="43"/>
        <v>0.6</v>
      </c>
      <c r="AA56" s="566">
        <f t="shared" si="43"/>
        <v>0.84599999999999997</v>
      </c>
      <c r="AB56" s="144"/>
    </row>
    <row r="57" spans="1:40" ht="20">
      <c r="A57" s="144"/>
      <c r="B57" s="144"/>
      <c r="C57" s="144"/>
      <c r="D57" s="906"/>
      <c r="E57" s="979"/>
      <c r="F57" s="979"/>
      <c r="G57" s="144"/>
      <c r="H57" s="144"/>
      <c r="I57" s="144"/>
      <c r="J57" s="144"/>
      <c r="K57" s="144"/>
      <c r="L57" s="150"/>
      <c r="M57" s="144"/>
      <c r="N57" s="1278"/>
      <c r="O57" s="144"/>
      <c r="P57" s="1278"/>
      <c r="Q57" s="146"/>
      <c r="R57" s="1611"/>
      <c r="S57" s="144"/>
      <c r="T57" s="144"/>
      <c r="U57" s="566">
        <f t="shared" si="43"/>
        <v>1.5</v>
      </c>
      <c r="V57" s="566">
        <f t="shared" si="43"/>
        <v>5.2399999999999993</v>
      </c>
      <c r="W57" s="566">
        <f t="shared" si="43"/>
        <v>5.4450000000000003</v>
      </c>
      <c r="X57" s="566">
        <f t="shared" si="43"/>
        <v>2.98</v>
      </c>
      <c r="Y57" s="566">
        <f t="shared" si="43"/>
        <v>0.34499999999999997</v>
      </c>
      <c r="Z57" s="566">
        <f t="shared" si="43"/>
        <v>0.6</v>
      </c>
      <c r="AA57" s="566">
        <f t="shared" si="43"/>
        <v>0.84599999999999997</v>
      </c>
      <c r="AB57" s="144"/>
      <c r="AC57" s="221"/>
      <c r="AD57" s="222"/>
      <c r="AE57" s="222"/>
      <c r="AF57" s="222"/>
      <c r="AG57" s="222"/>
      <c r="AH57" s="222"/>
      <c r="AI57" s="220"/>
    </row>
    <row r="58" spans="1:40">
      <c r="A58" s="144"/>
      <c r="B58" s="144"/>
      <c r="C58" s="144"/>
      <c r="D58" s="906"/>
      <c r="E58" s="144"/>
      <c r="F58" s="144"/>
      <c r="G58" s="144"/>
      <c r="H58" s="144"/>
      <c r="I58" s="144"/>
      <c r="J58" s="144"/>
      <c r="K58" s="144"/>
      <c r="L58" s="150"/>
      <c r="M58" s="144"/>
      <c r="N58" s="1278"/>
      <c r="O58" s="144"/>
      <c r="P58" s="1278"/>
      <c r="Q58" s="146"/>
      <c r="R58" s="1611"/>
      <c r="S58" s="144"/>
      <c r="T58" s="144"/>
      <c r="U58" s="566">
        <f t="shared" si="43"/>
        <v>1.5</v>
      </c>
      <c r="V58" s="566">
        <f t="shared" si="43"/>
        <v>5.2399999999999993</v>
      </c>
      <c r="W58" s="566">
        <f t="shared" si="43"/>
        <v>5.4450000000000003</v>
      </c>
      <c r="X58" s="566">
        <f t="shared" si="43"/>
        <v>2.98</v>
      </c>
      <c r="Y58" s="566">
        <f t="shared" si="43"/>
        <v>0.34499999999999997</v>
      </c>
      <c r="Z58" s="566">
        <f t="shared" si="43"/>
        <v>0.6</v>
      </c>
      <c r="AA58" s="566">
        <f t="shared" si="43"/>
        <v>0.84599999999999997</v>
      </c>
      <c r="AB58" s="144"/>
      <c r="AC58" s="231" t="s">
        <v>193</v>
      </c>
      <c r="AD58" s="227"/>
      <c r="AE58" s="227"/>
      <c r="AF58" s="227"/>
      <c r="AG58" s="227"/>
      <c r="AH58" s="227"/>
      <c r="AI58" s="225"/>
      <c r="AJ58" s="204"/>
      <c r="AK58" s="204"/>
      <c r="AL58" s="204"/>
      <c r="AM58" s="204"/>
      <c r="AN58" s="204"/>
    </row>
    <row r="59" spans="1:40">
      <c r="A59" s="144"/>
      <c r="B59" s="144"/>
      <c r="C59" s="144"/>
      <c r="D59" s="906"/>
      <c r="E59" s="144"/>
      <c r="F59" s="144"/>
      <c r="G59" s="144"/>
      <c r="H59" s="144"/>
      <c r="I59" s="144"/>
      <c r="J59" s="144"/>
      <c r="K59" s="144"/>
      <c r="L59" s="150"/>
      <c r="M59" s="144"/>
      <c r="N59" s="1278"/>
      <c r="O59" s="144"/>
      <c r="P59" s="1278"/>
      <c r="Q59" s="146"/>
      <c r="R59" s="1611"/>
      <c r="S59" s="144"/>
      <c r="T59" s="144"/>
      <c r="U59" s="566">
        <f t="shared" si="43"/>
        <v>1.5</v>
      </c>
      <c r="V59" s="566">
        <f t="shared" si="43"/>
        <v>5.2399999999999993</v>
      </c>
      <c r="W59" s="566">
        <f t="shared" si="43"/>
        <v>5.4450000000000003</v>
      </c>
      <c r="X59" s="566">
        <f t="shared" si="43"/>
        <v>2.98</v>
      </c>
      <c r="Y59" s="566">
        <f t="shared" si="43"/>
        <v>0.34499999999999997</v>
      </c>
      <c r="Z59" s="566">
        <f t="shared" si="43"/>
        <v>0.6</v>
      </c>
      <c r="AA59" s="566">
        <f t="shared" si="43"/>
        <v>0.84599999999999997</v>
      </c>
      <c r="AB59" s="144"/>
      <c r="AC59" s="231">
        <v>0</v>
      </c>
      <c r="AD59" s="231">
        <v>0</v>
      </c>
      <c r="AE59" s="231">
        <v>0</v>
      </c>
      <c r="AF59" s="231">
        <v>0</v>
      </c>
      <c r="AG59" s="231">
        <v>0</v>
      </c>
      <c r="AH59" s="231">
        <v>0</v>
      </c>
      <c r="AI59" s="225"/>
      <c r="AJ59" s="204"/>
      <c r="AK59" s="204"/>
      <c r="AL59" s="204"/>
      <c r="AM59" s="204"/>
      <c r="AN59" s="204"/>
    </row>
    <row r="60" spans="1:40">
      <c r="A60" s="144"/>
      <c r="B60" s="144"/>
      <c r="C60" s="144"/>
      <c r="D60" s="906"/>
      <c r="E60" s="144"/>
      <c r="F60" s="144"/>
      <c r="G60" s="144"/>
      <c r="H60" s="144"/>
      <c r="I60" s="144"/>
      <c r="J60" s="144"/>
      <c r="K60" s="144"/>
      <c r="L60" s="150"/>
      <c r="M60" s="144"/>
      <c r="N60" s="1278"/>
      <c r="O60" s="144"/>
      <c r="P60" s="1278"/>
      <c r="Q60" s="146"/>
      <c r="R60" s="1611"/>
      <c r="S60" s="144"/>
      <c r="T60" s="144"/>
      <c r="U60" s="566">
        <f t="shared" si="43"/>
        <v>1.5</v>
      </c>
      <c r="V60" s="566">
        <f t="shared" si="43"/>
        <v>5.2399999999999993</v>
      </c>
      <c r="W60" s="566">
        <f t="shared" si="43"/>
        <v>5.4450000000000003</v>
      </c>
      <c r="X60" s="566">
        <f t="shared" si="43"/>
        <v>2.98</v>
      </c>
      <c r="Y60" s="566">
        <f t="shared" si="43"/>
        <v>0.34499999999999997</v>
      </c>
      <c r="Z60" s="566">
        <f t="shared" si="43"/>
        <v>0.6</v>
      </c>
      <c r="AA60" s="566">
        <f t="shared" si="43"/>
        <v>0.84599999999999997</v>
      </c>
      <c r="AB60" s="144"/>
      <c r="AC60" s="231"/>
      <c r="AD60" s="231"/>
      <c r="AE60" s="231"/>
      <c r="AF60" s="231"/>
      <c r="AG60" s="231"/>
      <c r="AH60" s="231"/>
      <c r="AI60" s="225"/>
      <c r="AJ60" s="204"/>
      <c r="AK60" s="204"/>
      <c r="AL60" s="204"/>
      <c r="AM60" s="204"/>
      <c r="AN60" s="204"/>
    </row>
    <row r="61" spans="1:40">
      <c r="A61" s="144"/>
      <c r="B61" s="144"/>
      <c r="C61" s="144"/>
      <c r="D61" s="906"/>
      <c r="E61" s="144"/>
      <c r="F61" s="144"/>
      <c r="G61" s="144"/>
      <c r="H61" s="144"/>
      <c r="I61" s="144"/>
      <c r="J61" s="144"/>
      <c r="K61" s="144"/>
      <c r="L61" s="150"/>
      <c r="M61" s="144"/>
      <c r="N61" s="1278"/>
      <c r="O61" s="144"/>
      <c r="P61" s="1278"/>
      <c r="Q61" s="146"/>
      <c r="R61" s="1611"/>
      <c r="S61" s="144"/>
      <c r="T61" s="144"/>
      <c r="U61" s="566">
        <f t="shared" si="43"/>
        <v>1.5</v>
      </c>
      <c r="V61" s="566">
        <f t="shared" si="43"/>
        <v>5.2399999999999993</v>
      </c>
      <c r="W61" s="566">
        <f t="shared" si="43"/>
        <v>5.4450000000000003</v>
      </c>
      <c r="X61" s="566">
        <f t="shared" si="43"/>
        <v>2.98</v>
      </c>
      <c r="Y61" s="566">
        <f t="shared" si="43"/>
        <v>0.34499999999999997</v>
      </c>
      <c r="Z61" s="566">
        <f t="shared" si="43"/>
        <v>0.6</v>
      </c>
      <c r="AA61" s="566">
        <f t="shared" si="43"/>
        <v>0.84599999999999997</v>
      </c>
      <c r="AB61" s="144"/>
      <c r="AC61" s="231"/>
      <c r="AD61" s="231"/>
      <c r="AE61" s="231"/>
      <c r="AF61" s="231"/>
      <c r="AG61" s="231"/>
      <c r="AH61" s="231"/>
      <c r="AI61" s="225"/>
      <c r="AJ61" s="204"/>
      <c r="AK61" s="204"/>
      <c r="AL61" s="204"/>
      <c r="AM61" s="204"/>
      <c r="AN61" s="204"/>
    </row>
    <row r="62" spans="1:40">
      <c r="A62" s="144"/>
      <c r="B62" s="144"/>
      <c r="C62" s="144"/>
      <c r="D62" s="906"/>
      <c r="E62" s="144"/>
      <c r="F62" s="144"/>
      <c r="G62" s="144"/>
      <c r="H62" s="144"/>
      <c r="I62" s="144"/>
      <c r="J62" s="144"/>
      <c r="K62" s="144"/>
      <c r="L62" s="150"/>
      <c r="M62" s="144"/>
      <c r="N62" s="1278"/>
      <c r="O62" s="144"/>
      <c r="P62" s="1278"/>
      <c r="Q62" s="146"/>
      <c r="R62" s="1611"/>
      <c r="S62" s="144"/>
      <c r="T62" s="144"/>
      <c r="U62" s="566">
        <f t="shared" si="43"/>
        <v>1.5</v>
      </c>
      <c r="V62" s="566">
        <f t="shared" si="43"/>
        <v>5.2399999999999993</v>
      </c>
      <c r="W62" s="566">
        <f t="shared" si="43"/>
        <v>5.4450000000000003</v>
      </c>
      <c r="X62" s="566">
        <f t="shared" si="43"/>
        <v>2.98</v>
      </c>
      <c r="Y62" s="566">
        <f t="shared" si="43"/>
        <v>0.34499999999999997</v>
      </c>
      <c r="Z62" s="566">
        <f t="shared" si="43"/>
        <v>0.6</v>
      </c>
      <c r="AA62" s="566">
        <f t="shared" si="43"/>
        <v>0.84599999999999997</v>
      </c>
      <c r="AB62" s="144"/>
      <c r="AC62" s="231">
        <v>0</v>
      </c>
      <c r="AD62" s="231">
        <v>0</v>
      </c>
      <c r="AE62" s="231">
        <v>0</v>
      </c>
      <c r="AF62" s="231">
        <v>0</v>
      </c>
      <c r="AG62" s="231">
        <v>0</v>
      </c>
      <c r="AH62" s="231">
        <v>0</v>
      </c>
      <c r="AI62" s="225"/>
      <c r="AJ62" s="204"/>
      <c r="AK62" s="204"/>
      <c r="AL62" s="204"/>
      <c r="AM62" s="204"/>
      <c r="AN62" s="204"/>
    </row>
    <row r="63" spans="1:40">
      <c r="A63" s="144"/>
      <c r="B63" s="144"/>
      <c r="C63" s="144"/>
      <c r="D63" s="906"/>
      <c r="E63" s="144"/>
      <c r="F63" s="144"/>
      <c r="G63" s="144"/>
      <c r="H63" s="144"/>
      <c r="I63" s="144"/>
      <c r="J63" s="144"/>
      <c r="K63" s="144"/>
      <c r="L63" s="150"/>
      <c r="M63" s="144"/>
      <c r="N63" s="1278"/>
      <c r="O63" s="144"/>
      <c r="P63" s="1278"/>
      <c r="Q63" s="146"/>
      <c r="R63" s="1611"/>
      <c r="S63" s="144"/>
      <c r="T63" s="144"/>
      <c r="U63" s="566">
        <f t="shared" si="43"/>
        <v>1.5</v>
      </c>
      <c r="V63" s="566">
        <f t="shared" si="43"/>
        <v>5.2399999999999993</v>
      </c>
      <c r="W63" s="566">
        <f t="shared" si="43"/>
        <v>5.4450000000000003</v>
      </c>
      <c r="X63" s="566">
        <f t="shared" si="43"/>
        <v>2.98</v>
      </c>
      <c r="Y63" s="566">
        <f t="shared" si="43"/>
        <v>0.34499999999999997</v>
      </c>
      <c r="Z63" s="566">
        <f t="shared" si="43"/>
        <v>0.6</v>
      </c>
      <c r="AA63" s="566">
        <f t="shared" si="43"/>
        <v>0.84599999999999997</v>
      </c>
      <c r="AB63" s="144"/>
      <c r="AC63" s="231">
        <v>0</v>
      </c>
      <c r="AD63" s="231">
        <v>0</v>
      </c>
      <c r="AE63" s="231">
        <v>0</v>
      </c>
      <c r="AF63" s="231">
        <v>0</v>
      </c>
      <c r="AG63" s="231">
        <v>0</v>
      </c>
      <c r="AH63" s="231">
        <v>0</v>
      </c>
      <c r="AI63" s="213"/>
      <c r="AJ63" s="204"/>
      <c r="AK63" s="204"/>
      <c r="AL63" s="204"/>
      <c r="AM63" s="204"/>
      <c r="AN63" s="204"/>
    </row>
    <row r="64" spans="1:40">
      <c r="A64" s="144"/>
      <c r="B64" s="144"/>
      <c r="C64" s="144"/>
      <c r="D64" s="906"/>
      <c r="E64" s="144"/>
      <c r="F64" s="144"/>
      <c r="G64" s="144"/>
      <c r="H64" s="144"/>
      <c r="I64" s="144"/>
      <c r="J64" s="144"/>
      <c r="K64" s="144"/>
      <c r="L64" s="150"/>
      <c r="M64" s="144"/>
      <c r="N64" s="1278"/>
      <c r="O64" s="144"/>
      <c r="P64" s="1278"/>
      <c r="Q64" s="146"/>
      <c r="R64" s="1611"/>
      <c r="S64" s="144"/>
      <c r="T64" s="144"/>
      <c r="U64" s="566">
        <f t="shared" si="43"/>
        <v>1.5</v>
      </c>
      <c r="V64" s="566">
        <f t="shared" si="43"/>
        <v>5.2399999999999993</v>
      </c>
      <c r="W64" s="566">
        <f t="shared" si="43"/>
        <v>5.4450000000000003</v>
      </c>
      <c r="X64" s="566">
        <f t="shared" si="43"/>
        <v>2.98</v>
      </c>
      <c r="Y64" s="566">
        <f t="shared" si="43"/>
        <v>0.34499999999999997</v>
      </c>
      <c r="Z64" s="566">
        <f t="shared" si="43"/>
        <v>0.6</v>
      </c>
      <c r="AA64" s="566">
        <f t="shared" si="43"/>
        <v>0.84599999999999997</v>
      </c>
      <c r="AB64" s="144"/>
      <c r="AC64" s="231"/>
      <c r="AD64" s="231"/>
      <c r="AE64" s="231"/>
      <c r="AF64" s="231"/>
      <c r="AG64" s="231"/>
      <c r="AH64" s="231"/>
      <c r="AI64" s="213"/>
      <c r="AJ64" s="204"/>
      <c r="AK64" s="204"/>
      <c r="AL64" s="204"/>
      <c r="AM64" s="204"/>
      <c r="AN64" s="204"/>
    </row>
    <row r="65" spans="1:40">
      <c r="A65" s="144"/>
      <c r="B65" s="144"/>
      <c r="C65" s="144"/>
      <c r="D65" s="906"/>
      <c r="E65" s="144"/>
      <c r="F65" s="144"/>
      <c r="G65" s="144"/>
      <c r="H65" s="144"/>
      <c r="I65" s="144"/>
      <c r="J65" s="144"/>
      <c r="K65" s="144"/>
      <c r="L65" s="150"/>
      <c r="M65" s="144"/>
      <c r="N65" s="1278"/>
      <c r="O65" s="144"/>
      <c r="P65" s="1278"/>
      <c r="Q65" s="146"/>
      <c r="R65" s="1611"/>
      <c r="S65" s="144"/>
      <c r="T65" s="144"/>
      <c r="U65" s="566">
        <f t="shared" si="43"/>
        <v>1.5</v>
      </c>
      <c r="V65" s="566">
        <f t="shared" si="43"/>
        <v>5.2399999999999993</v>
      </c>
      <c r="W65" s="566">
        <f t="shared" si="43"/>
        <v>5.4450000000000003</v>
      </c>
      <c r="X65" s="566">
        <f t="shared" si="43"/>
        <v>2.98</v>
      </c>
      <c r="Y65" s="566">
        <f t="shared" si="43"/>
        <v>0.34499999999999997</v>
      </c>
      <c r="Z65" s="566">
        <f t="shared" si="43"/>
        <v>0.6</v>
      </c>
      <c r="AA65" s="566">
        <f t="shared" si="43"/>
        <v>0.84599999999999997</v>
      </c>
      <c r="AB65" s="144"/>
      <c r="AC65" s="231"/>
      <c r="AD65" s="231"/>
      <c r="AE65" s="231"/>
      <c r="AF65" s="231"/>
      <c r="AG65" s="231"/>
      <c r="AH65" s="231"/>
      <c r="AI65" s="213"/>
      <c r="AJ65" s="204"/>
      <c r="AK65" s="204"/>
      <c r="AL65" s="204"/>
      <c r="AM65" s="204"/>
      <c r="AN65" s="204"/>
    </row>
    <row r="66" spans="1:40">
      <c r="A66" s="144"/>
      <c r="B66" s="144"/>
      <c r="C66" s="144"/>
      <c r="D66" s="906"/>
      <c r="E66" s="144"/>
      <c r="F66" s="144"/>
      <c r="G66" s="144"/>
      <c r="H66" s="144"/>
      <c r="I66" s="144"/>
      <c r="J66" s="144"/>
      <c r="K66" s="144"/>
      <c r="L66" s="150"/>
      <c r="M66" s="144"/>
      <c r="N66" s="1278"/>
      <c r="O66" s="144"/>
      <c r="P66" s="1278"/>
      <c r="Q66" s="146"/>
      <c r="R66" s="1611"/>
      <c r="S66" s="144"/>
      <c r="T66" s="144"/>
      <c r="U66" s="566">
        <f t="shared" si="43"/>
        <v>1.5</v>
      </c>
      <c r="V66" s="566">
        <f t="shared" si="43"/>
        <v>5.2399999999999993</v>
      </c>
      <c r="W66" s="566">
        <f t="shared" si="43"/>
        <v>5.4450000000000003</v>
      </c>
      <c r="X66" s="566">
        <f t="shared" si="43"/>
        <v>2.98</v>
      </c>
      <c r="Y66" s="566">
        <f t="shared" si="43"/>
        <v>0.34499999999999997</v>
      </c>
      <c r="Z66" s="566">
        <f t="shared" si="43"/>
        <v>0.6</v>
      </c>
      <c r="AA66" s="566">
        <f t="shared" si="43"/>
        <v>0.84599999999999997</v>
      </c>
      <c r="AB66" s="144"/>
      <c r="AC66" s="231">
        <v>0</v>
      </c>
      <c r="AD66" s="231">
        <v>0</v>
      </c>
      <c r="AE66" s="231">
        <v>0</v>
      </c>
      <c r="AF66" s="231">
        <v>0</v>
      </c>
      <c r="AG66" s="231">
        <v>0</v>
      </c>
      <c r="AH66" s="231">
        <v>0</v>
      </c>
      <c r="AI66" s="213"/>
      <c r="AJ66" s="204"/>
      <c r="AK66" s="204"/>
      <c r="AL66" s="204"/>
      <c r="AM66" s="204"/>
      <c r="AN66" s="204"/>
    </row>
    <row r="67" spans="1:40">
      <c r="A67" s="144"/>
      <c r="B67" s="144"/>
      <c r="C67" s="144"/>
      <c r="D67" s="906"/>
      <c r="E67" s="144"/>
      <c r="F67" s="144"/>
      <c r="G67" s="144"/>
      <c r="H67" s="144"/>
      <c r="I67" s="144"/>
      <c r="J67" s="144"/>
      <c r="K67" s="144"/>
      <c r="L67" s="150"/>
      <c r="M67" s="144"/>
      <c r="N67" s="1278"/>
      <c r="O67" s="144"/>
      <c r="P67" s="1278"/>
      <c r="Q67" s="146"/>
      <c r="R67" s="1611"/>
      <c r="S67" s="144"/>
      <c r="T67" s="144"/>
      <c r="U67" s="566">
        <f t="shared" si="43"/>
        <v>1.5</v>
      </c>
      <c r="V67" s="566">
        <f t="shared" si="43"/>
        <v>5.2399999999999993</v>
      </c>
      <c r="W67" s="566">
        <f t="shared" si="43"/>
        <v>5.4450000000000003</v>
      </c>
      <c r="X67" s="566">
        <f t="shared" si="43"/>
        <v>2.98</v>
      </c>
      <c r="Y67" s="566">
        <f t="shared" si="43"/>
        <v>0.34499999999999997</v>
      </c>
      <c r="Z67" s="566">
        <f t="shared" si="43"/>
        <v>0.6</v>
      </c>
      <c r="AA67" s="566">
        <f t="shared" si="43"/>
        <v>0.84599999999999997</v>
      </c>
      <c r="AB67" s="144"/>
      <c r="AC67" s="231">
        <v>0</v>
      </c>
      <c r="AD67" s="231">
        <v>0</v>
      </c>
      <c r="AE67" s="231">
        <v>0</v>
      </c>
      <c r="AF67" s="231">
        <v>0</v>
      </c>
      <c r="AG67" s="231">
        <v>0</v>
      </c>
      <c r="AH67" s="231">
        <v>0</v>
      </c>
      <c r="AI67" s="213"/>
      <c r="AJ67" s="204"/>
      <c r="AK67" s="204"/>
      <c r="AL67" s="204"/>
      <c r="AM67" s="204"/>
      <c r="AN67" s="204"/>
    </row>
    <row r="68" spans="1:40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150"/>
      <c r="M68" s="144"/>
      <c r="N68" s="1278"/>
      <c r="O68" s="144"/>
      <c r="P68" s="1278"/>
      <c r="Q68" s="146"/>
      <c r="R68" s="1611"/>
      <c r="S68" s="144"/>
      <c r="T68" s="144"/>
      <c r="U68" s="566">
        <f t="shared" si="43"/>
        <v>1.5</v>
      </c>
      <c r="V68" s="566">
        <f t="shared" si="43"/>
        <v>5.2399999999999993</v>
      </c>
      <c r="W68" s="566">
        <f t="shared" si="43"/>
        <v>5.4450000000000003</v>
      </c>
      <c r="X68" s="566">
        <f t="shared" si="43"/>
        <v>2.98</v>
      </c>
      <c r="Y68" s="566">
        <f t="shared" si="43"/>
        <v>0.34499999999999997</v>
      </c>
      <c r="Z68" s="566">
        <f t="shared" si="43"/>
        <v>0.6</v>
      </c>
      <c r="AA68" s="566">
        <f t="shared" si="43"/>
        <v>0.84599999999999997</v>
      </c>
      <c r="AB68" s="144"/>
      <c r="AC68" s="231">
        <v>0</v>
      </c>
      <c r="AD68" s="231">
        <v>0</v>
      </c>
      <c r="AE68" s="231">
        <v>0</v>
      </c>
      <c r="AF68" s="231">
        <v>0</v>
      </c>
      <c r="AG68" s="231">
        <v>0</v>
      </c>
      <c r="AH68" s="231">
        <v>0</v>
      </c>
      <c r="AI68" s="213"/>
      <c r="AJ68" s="204"/>
      <c r="AK68" s="204"/>
      <c r="AL68" s="204"/>
      <c r="AM68" s="204"/>
      <c r="AN68" s="204"/>
    </row>
    <row r="69" spans="1:40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150"/>
      <c r="M69" s="144"/>
      <c r="N69" s="1278"/>
      <c r="O69" s="144"/>
      <c r="P69" s="1278"/>
      <c r="Q69" s="146"/>
      <c r="R69" s="1611"/>
      <c r="S69" s="144"/>
      <c r="T69" s="144"/>
      <c r="U69" s="566">
        <f t="shared" si="43"/>
        <v>1.5</v>
      </c>
      <c r="V69" s="566">
        <f t="shared" si="43"/>
        <v>5.2399999999999993</v>
      </c>
      <c r="W69" s="566">
        <f t="shared" si="43"/>
        <v>5.4450000000000003</v>
      </c>
      <c r="X69" s="566">
        <f t="shared" si="43"/>
        <v>2.98</v>
      </c>
      <c r="Y69" s="566">
        <f t="shared" si="43"/>
        <v>0.34499999999999997</v>
      </c>
      <c r="Z69" s="566">
        <f t="shared" si="43"/>
        <v>0.6</v>
      </c>
      <c r="AA69" s="566">
        <f t="shared" si="43"/>
        <v>0.84599999999999997</v>
      </c>
      <c r="AB69" s="144"/>
      <c r="AC69" s="231">
        <v>0</v>
      </c>
      <c r="AD69" s="231">
        <v>0</v>
      </c>
      <c r="AE69" s="231">
        <v>0</v>
      </c>
      <c r="AF69" s="231">
        <v>0</v>
      </c>
      <c r="AG69" s="231">
        <v>0</v>
      </c>
      <c r="AH69" s="231">
        <v>0</v>
      </c>
      <c r="AI69" s="213"/>
      <c r="AJ69" s="204"/>
      <c r="AK69" s="204"/>
      <c r="AL69" s="204"/>
      <c r="AM69" s="204"/>
      <c r="AN69" s="204"/>
    </row>
    <row r="70" spans="1:40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150"/>
      <c r="M70" s="144"/>
      <c r="N70" s="1278"/>
      <c r="O70" s="144"/>
      <c r="P70" s="1278"/>
      <c r="Q70" s="146"/>
      <c r="R70" s="1611"/>
      <c r="S70" s="144"/>
      <c r="T70" s="144"/>
      <c r="U70" s="566">
        <f t="shared" ref="U70:AA85" si="44">IF(U69&gt;0,U69,U68)</f>
        <v>1.5</v>
      </c>
      <c r="V70" s="566">
        <f t="shared" si="44"/>
        <v>5.2399999999999993</v>
      </c>
      <c r="W70" s="566">
        <f t="shared" si="44"/>
        <v>5.4450000000000003</v>
      </c>
      <c r="X70" s="566">
        <f t="shared" si="44"/>
        <v>2.98</v>
      </c>
      <c r="Y70" s="566">
        <f t="shared" si="44"/>
        <v>0.34499999999999997</v>
      </c>
      <c r="Z70" s="566">
        <f t="shared" si="44"/>
        <v>0.6</v>
      </c>
      <c r="AA70" s="566">
        <f t="shared" si="44"/>
        <v>0.84599999999999997</v>
      </c>
      <c r="AB70" s="144"/>
      <c r="AC70" s="231"/>
      <c r="AD70" s="231"/>
      <c r="AE70" s="231"/>
      <c r="AF70" s="231"/>
      <c r="AG70" s="231"/>
      <c r="AH70" s="231"/>
      <c r="AI70" s="213"/>
      <c r="AJ70" s="204"/>
      <c r="AK70" s="204"/>
      <c r="AL70" s="204"/>
      <c r="AM70" s="204"/>
      <c r="AN70" s="204"/>
    </row>
    <row r="71" spans="1:40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150"/>
      <c r="M71" s="144"/>
      <c r="N71" s="1278"/>
      <c r="O71" s="144"/>
      <c r="P71" s="1278"/>
      <c r="Q71" s="146"/>
      <c r="R71" s="1611"/>
      <c r="S71" s="144"/>
      <c r="T71" s="144"/>
      <c r="U71" s="566">
        <f t="shared" si="44"/>
        <v>1.5</v>
      </c>
      <c r="V71" s="566">
        <f t="shared" si="44"/>
        <v>5.2399999999999993</v>
      </c>
      <c r="W71" s="566">
        <f t="shared" si="44"/>
        <v>5.4450000000000003</v>
      </c>
      <c r="X71" s="566">
        <f t="shared" si="44"/>
        <v>2.98</v>
      </c>
      <c r="Y71" s="566">
        <f t="shared" si="44"/>
        <v>0.34499999999999997</v>
      </c>
      <c r="Z71" s="566">
        <f t="shared" si="44"/>
        <v>0.6</v>
      </c>
      <c r="AA71" s="566">
        <f t="shared" si="44"/>
        <v>0.84599999999999997</v>
      </c>
      <c r="AB71" s="144"/>
      <c r="AC71" s="231"/>
      <c r="AD71" s="231"/>
      <c r="AE71" s="231"/>
      <c r="AF71" s="231"/>
      <c r="AG71" s="231"/>
      <c r="AH71" s="231"/>
      <c r="AI71" s="213"/>
      <c r="AJ71" s="204"/>
      <c r="AK71" s="204"/>
      <c r="AL71" s="204"/>
      <c r="AM71" s="204"/>
      <c r="AN71" s="204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50"/>
      <c r="M72" s="144"/>
      <c r="N72" s="1278"/>
      <c r="O72" s="144"/>
      <c r="P72" s="1278"/>
      <c r="Q72" s="146"/>
      <c r="R72" s="1611"/>
      <c r="S72" s="144"/>
      <c r="T72" s="144"/>
      <c r="U72" s="566">
        <f t="shared" si="44"/>
        <v>1.5</v>
      </c>
      <c r="V72" s="566">
        <f t="shared" si="44"/>
        <v>5.2399999999999993</v>
      </c>
      <c r="W72" s="566">
        <f t="shared" si="44"/>
        <v>5.4450000000000003</v>
      </c>
      <c r="X72" s="566">
        <f t="shared" si="44"/>
        <v>2.98</v>
      </c>
      <c r="Y72" s="566">
        <f t="shared" si="44"/>
        <v>0.34499999999999997</v>
      </c>
      <c r="Z72" s="566">
        <f t="shared" si="44"/>
        <v>0.6</v>
      </c>
      <c r="AA72" s="566">
        <f t="shared" si="44"/>
        <v>0.84599999999999997</v>
      </c>
      <c r="AB72" s="144"/>
      <c r="AC72" s="231">
        <v>0</v>
      </c>
      <c r="AD72" s="231">
        <v>0</v>
      </c>
      <c r="AE72" s="231">
        <v>0</v>
      </c>
      <c r="AF72" s="231">
        <v>0</v>
      </c>
      <c r="AG72" s="231">
        <v>0</v>
      </c>
      <c r="AH72" s="231">
        <v>0</v>
      </c>
      <c r="AI72" s="213"/>
      <c r="AJ72" s="204"/>
      <c r="AK72" s="204"/>
      <c r="AL72" s="204"/>
      <c r="AM72" s="204"/>
      <c r="AN72" s="204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50"/>
      <c r="M73" s="144"/>
      <c r="N73" s="1278"/>
      <c r="O73" s="144"/>
      <c r="P73" s="1278"/>
      <c r="Q73" s="146"/>
      <c r="R73" s="1611"/>
      <c r="S73" s="144"/>
      <c r="T73" s="144"/>
      <c r="U73" s="566">
        <f t="shared" si="44"/>
        <v>1.5</v>
      </c>
      <c r="V73" s="566">
        <f t="shared" si="44"/>
        <v>5.2399999999999993</v>
      </c>
      <c r="W73" s="566">
        <f t="shared" si="44"/>
        <v>5.4450000000000003</v>
      </c>
      <c r="X73" s="566">
        <f t="shared" si="44"/>
        <v>2.98</v>
      </c>
      <c r="Y73" s="566">
        <f t="shared" si="44"/>
        <v>0.34499999999999997</v>
      </c>
      <c r="Z73" s="566">
        <f t="shared" si="44"/>
        <v>0.6</v>
      </c>
      <c r="AA73" s="566">
        <f t="shared" si="44"/>
        <v>0.84599999999999997</v>
      </c>
      <c r="AB73" s="144"/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13"/>
      <c r="AJ73" s="204"/>
      <c r="AK73" s="204"/>
      <c r="AL73" s="204"/>
      <c r="AM73" s="204"/>
      <c r="AN73" s="204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50"/>
      <c r="M74" s="144"/>
      <c r="N74" s="1278"/>
      <c r="O74" s="144"/>
      <c r="P74" s="1278"/>
      <c r="Q74" s="146"/>
      <c r="R74" s="1611"/>
      <c r="S74" s="144"/>
      <c r="T74" s="144"/>
      <c r="U74" s="566">
        <f t="shared" si="44"/>
        <v>1.5</v>
      </c>
      <c r="V74" s="566">
        <f t="shared" si="44"/>
        <v>5.2399999999999993</v>
      </c>
      <c r="W74" s="566">
        <f t="shared" si="44"/>
        <v>5.4450000000000003</v>
      </c>
      <c r="X74" s="566">
        <f t="shared" si="44"/>
        <v>2.98</v>
      </c>
      <c r="Y74" s="566">
        <f t="shared" si="44"/>
        <v>0.34499999999999997</v>
      </c>
      <c r="Z74" s="566">
        <f t="shared" si="44"/>
        <v>0.6</v>
      </c>
      <c r="AA74" s="566">
        <f t="shared" si="44"/>
        <v>0.84599999999999997</v>
      </c>
      <c r="AB74" s="144"/>
      <c r="AC74" s="231">
        <v>0</v>
      </c>
      <c r="AD74" s="231">
        <v>0</v>
      </c>
      <c r="AE74" s="231">
        <v>0</v>
      </c>
      <c r="AF74" s="231">
        <v>0</v>
      </c>
      <c r="AG74" s="231">
        <v>0</v>
      </c>
      <c r="AH74" s="231">
        <v>0</v>
      </c>
      <c r="AI74" s="213"/>
      <c r="AJ74" s="204"/>
      <c r="AK74" s="204"/>
      <c r="AL74" s="204"/>
      <c r="AM74" s="204"/>
      <c r="AN74" s="204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50"/>
      <c r="M75" s="144"/>
      <c r="N75" s="1278"/>
      <c r="O75" s="144"/>
      <c r="P75" s="1278"/>
      <c r="Q75" s="146"/>
      <c r="R75" s="1611"/>
      <c r="S75" s="144"/>
      <c r="T75" s="144"/>
      <c r="U75" s="566">
        <f t="shared" si="44"/>
        <v>1.5</v>
      </c>
      <c r="V75" s="566">
        <f t="shared" si="44"/>
        <v>5.2399999999999993</v>
      </c>
      <c r="W75" s="566">
        <f t="shared" si="44"/>
        <v>5.4450000000000003</v>
      </c>
      <c r="X75" s="566">
        <f t="shared" si="44"/>
        <v>2.98</v>
      </c>
      <c r="Y75" s="566">
        <f t="shared" si="44"/>
        <v>0.34499999999999997</v>
      </c>
      <c r="Z75" s="566">
        <f t="shared" si="44"/>
        <v>0.6</v>
      </c>
      <c r="AA75" s="566">
        <f t="shared" si="44"/>
        <v>0.84599999999999997</v>
      </c>
      <c r="AB75" s="144"/>
      <c r="AC75" s="231"/>
      <c r="AD75" s="231"/>
      <c r="AE75" s="231"/>
      <c r="AF75" s="231"/>
      <c r="AG75" s="231"/>
      <c r="AH75" s="231"/>
      <c r="AI75" s="213"/>
      <c r="AJ75" s="204"/>
      <c r="AK75" s="204"/>
      <c r="AL75" s="204"/>
      <c r="AM75" s="204"/>
      <c r="AN75" s="204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50"/>
      <c r="M76" s="144"/>
      <c r="N76" s="1278"/>
      <c r="O76" s="144"/>
      <c r="P76" s="1278"/>
      <c r="Q76" s="146"/>
      <c r="R76" s="1611"/>
      <c r="S76" s="144"/>
      <c r="T76" s="144"/>
      <c r="U76" s="566">
        <f t="shared" si="44"/>
        <v>1.5</v>
      </c>
      <c r="V76" s="566">
        <f t="shared" si="44"/>
        <v>5.2399999999999993</v>
      </c>
      <c r="W76" s="566">
        <f t="shared" si="44"/>
        <v>5.4450000000000003</v>
      </c>
      <c r="X76" s="566">
        <f t="shared" si="44"/>
        <v>2.98</v>
      </c>
      <c r="Y76" s="566">
        <f t="shared" si="44"/>
        <v>0.34499999999999997</v>
      </c>
      <c r="Z76" s="566">
        <f t="shared" si="44"/>
        <v>0.6</v>
      </c>
      <c r="AA76" s="566">
        <f t="shared" si="44"/>
        <v>0.84599999999999997</v>
      </c>
      <c r="AB76" s="144"/>
      <c r="AC76" s="231"/>
      <c r="AD76" s="231"/>
      <c r="AE76" s="231"/>
      <c r="AF76" s="231"/>
      <c r="AG76" s="231"/>
      <c r="AH76" s="231"/>
      <c r="AI76" s="213"/>
      <c r="AJ76" s="204"/>
      <c r="AK76" s="204"/>
      <c r="AL76" s="204"/>
      <c r="AM76" s="204"/>
      <c r="AN76" s="204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50"/>
      <c r="M77" s="144"/>
      <c r="N77" s="1278"/>
      <c r="O77" s="144"/>
      <c r="P77" s="1278"/>
      <c r="Q77" s="146"/>
      <c r="R77" s="1611"/>
      <c r="S77" s="144"/>
      <c r="T77" s="144"/>
      <c r="U77" s="566">
        <f t="shared" si="44"/>
        <v>1.5</v>
      </c>
      <c r="V77" s="566">
        <f t="shared" si="44"/>
        <v>5.2399999999999993</v>
      </c>
      <c r="W77" s="566">
        <f t="shared" si="44"/>
        <v>5.4450000000000003</v>
      </c>
      <c r="X77" s="566">
        <f t="shared" si="44"/>
        <v>2.98</v>
      </c>
      <c r="Y77" s="566">
        <f t="shared" si="44"/>
        <v>0.34499999999999997</v>
      </c>
      <c r="Z77" s="566">
        <f t="shared" si="44"/>
        <v>0.6</v>
      </c>
      <c r="AA77" s="566">
        <f t="shared" si="44"/>
        <v>0.84599999999999997</v>
      </c>
      <c r="AB77" s="144"/>
      <c r="AC77" s="231">
        <v>0</v>
      </c>
      <c r="AD77" s="231">
        <v>0</v>
      </c>
      <c r="AE77" s="231">
        <v>0</v>
      </c>
      <c r="AF77" s="231">
        <v>0</v>
      </c>
      <c r="AG77" s="231">
        <v>0</v>
      </c>
      <c r="AH77" s="231">
        <v>0</v>
      </c>
      <c r="AI77" s="213"/>
      <c r="AJ77" s="204"/>
      <c r="AK77" s="204"/>
      <c r="AL77" s="204"/>
      <c r="AM77" s="204"/>
      <c r="AN77" s="204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50"/>
      <c r="M78" s="144"/>
      <c r="N78" s="1278"/>
      <c r="O78" s="144"/>
      <c r="P78" s="1278"/>
      <c r="Q78" s="146"/>
      <c r="R78" s="1611"/>
      <c r="S78" s="144"/>
      <c r="T78" s="144"/>
      <c r="U78" s="566">
        <f t="shared" si="44"/>
        <v>1.5</v>
      </c>
      <c r="V78" s="566">
        <f t="shared" si="44"/>
        <v>5.2399999999999993</v>
      </c>
      <c r="W78" s="566">
        <f t="shared" si="44"/>
        <v>5.4450000000000003</v>
      </c>
      <c r="X78" s="566">
        <f t="shared" si="44"/>
        <v>2.98</v>
      </c>
      <c r="Y78" s="566">
        <f t="shared" si="44"/>
        <v>0.34499999999999997</v>
      </c>
      <c r="Z78" s="566">
        <f t="shared" si="44"/>
        <v>0.6</v>
      </c>
      <c r="AA78" s="566">
        <f t="shared" si="44"/>
        <v>0.84599999999999997</v>
      </c>
      <c r="AB78" s="144"/>
      <c r="AC78" s="231">
        <v>0</v>
      </c>
      <c r="AD78" s="231">
        <v>0</v>
      </c>
      <c r="AE78" s="231">
        <v>0</v>
      </c>
      <c r="AF78" s="231">
        <v>0</v>
      </c>
      <c r="AG78" s="231">
        <v>0</v>
      </c>
      <c r="AH78" s="231">
        <v>0</v>
      </c>
      <c r="AI78" s="213"/>
      <c r="AJ78" s="204"/>
      <c r="AK78" s="204"/>
      <c r="AL78" s="204"/>
      <c r="AM78" s="204"/>
      <c r="AN78" s="204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50"/>
      <c r="M79" s="144"/>
      <c r="N79" s="1278"/>
      <c r="O79" s="144"/>
      <c r="P79" s="1278"/>
      <c r="Q79" s="146"/>
      <c r="R79" s="1611"/>
      <c r="S79" s="144"/>
      <c r="T79" s="144"/>
      <c r="U79" s="566">
        <f t="shared" si="44"/>
        <v>1.5</v>
      </c>
      <c r="V79" s="566">
        <f t="shared" si="44"/>
        <v>5.2399999999999993</v>
      </c>
      <c r="W79" s="566">
        <f t="shared" si="44"/>
        <v>5.4450000000000003</v>
      </c>
      <c r="X79" s="566">
        <f t="shared" si="44"/>
        <v>2.98</v>
      </c>
      <c r="Y79" s="566">
        <f t="shared" si="44"/>
        <v>0.34499999999999997</v>
      </c>
      <c r="Z79" s="566">
        <f t="shared" si="44"/>
        <v>0.6</v>
      </c>
      <c r="AA79" s="566">
        <f t="shared" si="44"/>
        <v>0.84599999999999997</v>
      </c>
      <c r="AB79" s="144"/>
      <c r="AC79" s="231">
        <v>0</v>
      </c>
      <c r="AD79" s="231">
        <v>0</v>
      </c>
      <c r="AE79" s="231">
        <v>0</v>
      </c>
      <c r="AF79" s="231">
        <v>0</v>
      </c>
      <c r="AG79" s="231">
        <v>0</v>
      </c>
      <c r="AH79" s="231">
        <v>0</v>
      </c>
      <c r="AI79" s="213"/>
      <c r="AJ79" s="204"/>
      <c r="AK79" s="204"/>
      <c r="AL79" s="204"/>
      <c r="AM79" s="204"/>
      <c r="AN79" s="204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50"/>
      <c r="M80" s="144"/>
      <c r="N80" s="1278"/>
      <c r="O80" s="144"/>
      <c r="P80" s="1278"/>
      <c r="Q80" s="146"/>
      <c r="R80" s="1611"/>
      <c r="S80" s="144"/>
      <c r="T80" s="144"/>
      <c r="U80" s="566">
        <f t="shared" si="44"/>
        <v>1.5</v>
      </c>
      <c r="V80" s="566">
        <f t="shared" si="44"/>
        <v>5.2399999999999993</v>
      </c>
      <c r="W80" s="566">
        <f t="shared" si="44"/>
        <v>5.4450000000000003</v>
      </c>
      <c r="X80" s="566">
        <f t="shared" si="44"/>
        <v>2.98</v>
      </c>
      <c r="Y80" s="566">
        <f t="shared" si="44"/>
        <v>0.34499999999999997</v>
      </c>
      <c r="Z80" s="566">
        <f t="shared" si="44"/>
        <v>0.6</v>
      </c>
      <c r="AA80" s="566">
        <f t="shared" si="44"/>
        <v>0.84599999999999997</v>
      </c>
      <c r="AB80" s="144"/>
      <c r="AC80" s="231"/>
      <c r="AD80" s="231"/>
      <c r="AE80" s="231"/>
      <c r="AF80" s="231"/>
      <c r="AG80" s="231"/>
      <c r="AH80" s="231"/>
      <c r="AI80" s="213"/>
      <c r="AJ80" s="204"/>
      <c r="AK80" s="204"/>
      <c r="AL80" s="204"/>
      <c r="AM80" s="204"/>
      <c r="AN80" s="204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50"/>
      <c r="M81" s="144"/>
      <c r="N81" s="1278"/>
      <c r="O81" s="144"/>
      <c r="P81" s="1278"/>
      <c r="Q81" s="146"/>
      <c r="R81" s="1611"/>
      <c r="S81" s="144"/>
      <c r="T81" s="144"/>
      <c r="U81" s="566">
        <f t="shared" si="44"/>
        <v>1.5</v>
      </c>
      <c r="V81" s="566">
        <f t="shared" si="44"/>
        <v>5.2399999999999993</v>
      </c>
      <c r="W81" s="566">
        <f t="shared" si="44"/>
        <v>5.4450000000000003</v>
      </c>
      <c r="X81" s="566">
        <f t="shared" si="44"/>
        <v>2.98</v>
      </c>
      <c r="Y81" s="566">
        <f t="shared" si="44"/>
        <v>0.34499999999999997</v>
      </c>
      <c r="Z81" s="566">
        <f t="shared" si="44"/>
        <v>0.6</v>
      </c>
      <c r="AA81" s="566">
        <f t="shared" si="44"/>
        <v>0.84599999999999997</v>
      </c>
      <c r="AB81" s="144"/>
      <c r="AC81" s="231"/>
      <c r="AD81" s="231"/>
      <c r="AE81" s="231"/>
      <c r="AF81" s="231"/>
      <c r="AG81" s="231"/>
      <c r="AH81" s="231"/>
      <c r="AI81" s="213"/>
      <c r="AJ81" s="204"/>
      <c r="AK81" s="204"/>
      <c r="AL81" s="204"/>
      <c r="AM81" s="204"/>
      <c r="AN81" s="204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50"/>
      <c r="M82" s="144"/>
      <c r="N82" s="1278"/>
      <c r="O82" s="144"/>
      <c r="P82" s="1278"/>
      <c r="Q82" s="146"/>
      <c r="R82" s="1611"/>
      <c r="S82" s="144"/>
      <c r="T82" s="144"/>
      <c r="U82" s="566">
        <f t="shared" si="44"/>
        <v>1.5</v>
      </c>
      <c r="V82" s="566">
        <f t="shared" si="44"/>
        <v>5.2399999999999993</v>
      </c>
      <c r="W82" s="566">
        <f t="shared" si="44"/>
        <v>5.4450000000000003</v>
      </c>
      <c r="X82" s="566">
        <f t="shared" si="44"/>
        <v>2.98</v>
      </c>
      <c r="Y82" s="566">
        <f t="shared" si="44"/>
        <v>0.34499999999999997</v>
      </c>
      <c r="Z82" s="566">
        <f t="shared" si="44"/>
        <v>0.6</v>
      </c>
      <c r="AA82" s="566">
        <f t="shared" si="44"/>
        <v>0.84599999999999997</v>
      </c>
      <c r="AB82" s="144"/>
      <c r="AC82" s="231">
        <v>0</v>
      </c>
      <c r="AD82" s="231">
        <v>0</v>
      </c>
      <c r="AE82" s="231">
        <v>0</v>
      </c>
      <c r="AF82" s="231">
        <v>0</v>
      </c>
      <c r="AG82" s="231">
        <v>0</v>
      </c>
      <c r="AH82" s="231">
        <v>0</v>
      </c>
      <c r="AI82" s="213"/>
      <c r="AJ82" s="204"/>
      <c r="AK82" s="204"/>
      <c r="AL82" s="204"/>
      <c r="AM82" s="204"/>
      <c r="AN82" s="204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50"/>
      <c r="M83" s="144"/>
      <c r="N83" s="1278"/>
      <c r="O83" s="144"/>
      <c r="P83" s="1278"/>
      <c r="Q83" s="146"/>
      <c r="R83" s="1611"/>
      <c r="S83" s="144"/>
      <c r="T83" s="144"/>
      <c r="U83" s="566">
        <f t="shared" si="44"/>
        <v>1.5</v>
      </c>
      <c r="V83" s="566">
        <f t="shared" si="44"/>
        <v>5.2399999999999993</v>
      </c>
      <c r="W83" s="566">
        <f t="shared" si="44"/>
        <v>5.4450000000000003</v>
      </c>
      <c r="X83" s="566">
        <f t="shared" si="44"/>
        <v>2.98</v>
      </c>
      <c r="Y83" s="566">
        <f t="shared" si="44"/>
        <v>0.34499999999999997</v>
      </c>
      <c r="Z83" s="566">
        <f t="shared" si="44"/>
        <v>0.6</v>
      </c>
      <c r="AA83" s="566">
        <f t="shared" si="44"/>
        <v>0.84599999999999997</v>
      </c>
      <c r="AB83" s="144"/>
      <c r="AC83" s="231">
        <v>0</v>
      </c>
      <c r="AD83" s="231">
        <v>0</v>
      </c>
      <c r="AE83" s="231">
        <v>0</v>
      </c>
      <c r="AF83" s="231">
        <v>0</v>
      </c>
      <c r="AG83" s="231">
        <v>0</v>
      </c>
      <c r="AH83" s="231">
        <v>0</v>
      </c>
      <c r="AI83" s="213"/>
      <c r="AJ83" s="204"/>
      <c r="AK83" s="204"/>
      <c r="AL83" s="204"/>
      <c r="AM83" s="204"/>
      <c r="AN83" s="204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50"/>
      <c r="M84" s="144"/>
      <c r="N84" s="1278"/>
      <c r="O84" s="144"/>
      <c r="P84" s="1278"/>
      <c r="Q84" s="146"/>
      <c r="R84" s="1611"/>
      <c r="S84" s="144"/>
      <c r="T84" s="144"/>
      <c r="U84" s="566">
        <f t="shared" si="44"/>
        <v>1.5</v>
      </c>
      <c r="V84" s="566">
        <f t="shared" si="44"/>
        <v>5.2399999999999993</v>
      </c>
      <c r="W84" s="566">
        <f t="shared" si="44"/>
        <v>5.4450000000000003</v>
      </c>
      <c r="X84" s="566">
        <f t="shared" si="44"/>
        <v>2.98</v>
      </c>
      <c r="Y84" s="566">
        <f t="shared" si="44"/>
        <v>0.34499999999999997</v>
      </c>
      <c r="Z84" s="566">
        <f t="shared" si="44"/>
        <v>0.6</v>
      </c>
      <c r="AA84" s="566">
        <f t="shared" si="44"/>
        <v>0.84599999999999997</v>
      </c>
      <c r="AB84" s="144"/>
      <c r="AC84" s="231"/>
      <c r="AD84" s="231"/>
      <c r="AE84" s="231"/>
      <c r="AF84" s="231"/>
      <c r="AG84" s="231"/>
      <c r="AH84" s="231"/>
      <c r="AI84" s="213"/>
      <c r="AJ84" s="204"/>
      <c r="AK84" s="204"/>
      <c r="AL84" s="204"/>
      <c r="AM84" s="204"/>
      <c r="AN84" s="204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50"/>
      <c r="M85" s="144"/>
      <c r="N85" s="1278"/>
      <c r="O85" s="144"/>
      <c r="P85" s="1278"/>
      <c r="Q85" s="146"/>
      <c r="R85" s="1611"/>
      <c r="S85" s="144"/>
      <c r="T85" s="144"/>
      <c r="U85" s="566">
        <f t="shared" si="44"/>
        <v>1.5</v>
      </c>
      <c r="V85" s="566">
        <f t="shared" si="44"/>
        <v>5.2399999999999993</v>
      </c>
      <c r="W85" s="566">
        <f t="shared" si="44"/>
        <v>5.4450000000000003</v>
      </c>
      <c r="X85" s="566">
        <f t="shared" si="44"/>
        <v>2.98</v>
      </c>
      <c r="Y85" s="566">
        <f t="shared" si="44"/>
        <v>0.34499999999999997</v>
      </c>
      <c r="Z85" s="566">
        <f t="shared" si="44"/>
        <v>0.6</v>
      </c>
      <c r="AA85" s="566">
        <f t="shared" si="44"/>
        <v>0.84599999999999997</v>
      </c>
      <c r="AB85" s="144"/>
      <c r="AC85" s="231"/>
      <c r="AD85" s="231"/>
      <c r="AE85" s="231"/>
      <c r="AF85" s="231"/>
      <c r="AG85" s="231"/>
      <c r="AH85" s="231"/>
      <c r="AI85" s="213"/>
      <c r="AJ85" s="204"/>
      <c r="AK85" s="204"/>
      <c r="AL85" s="204"/>
      <c r="AM85" s="204"/>
      <c r="AN85" s="204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50"/>
      <c r="M86" s="144"/>
      <c r="N86" s="1278"/>
      <c r="O86" s="144"/>
      <c r="P86" s="1278"/>
      <c r="Q86" s="146"/>
      <c r="R86" s="1611"/>
      <c r="S86" s="144"/>
      <c r="T86" s="144"/>
      <c r="U86" s="566">
        <f t="shared" ref="U86:AA101" si="45">IF(U85&gt;0,U85,U84)</f>
        <v>1.5</v>
      </c>
      <c r="V86" s="566">
        <f t="shared" si="45"/>
        <v>5.2399999999999993</v>
      </c>
      <c r="W86" s="566">
        <f t="shared" si="45"/>
        <v>5.4450000000000003</v>
      </c>
      <c r="X86" s="566">
        <f t="shared" si="45"/>
        <v>2.98</v>
      </c>
      <c r="Y86" s="566">
        <f t="shared" si="45"/>
        <v>0.34499999999999997</v>
      </c>
      <c r="Z86" s="566">
        <f t="shared" si="45"/>
        <v>0.6</v>
      </c>
      <c r="AA86" s="566">
        <f t="shared" si="45"/>
        <v>0.84599999999999997</v>
      </c>
      <c r="AB86" s="144"/>
      <c r="AC86" s="231">
        <v>0</v>
      </c>
      <c r="AD86" s="231">
        <v>0</v>
      </c>
      <c r="AE86" s="231">
        <v>0</v>
      </c>
      <c r="AF86" s="231">
        <v>0</v>
      </c>
      <c r="AG86" s="231">
        <v>0</v>
      </c>
      <c r="AH86" s="231">
        <v>0</v>
      </c>
      <c r="AI86" s="213"/>
      <c r="AJ86" s="204"/>
      <c r="AK86" s="204"/>
      <c r="AL86" s="204"/>
      <c r="AM86" s="204"/>
      <c r="AN86" s="204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50"/>
      <c r="M87" s="144"/>
      <c r="N87" s="1278"/>
      <c r="O87" s="144"/>
      <c r="P87" s="1278"/>
      <c r="Q87" s="146"/>
      <c r="R87" s="1611"/>
      <c r="S87" s="144"/>
      <c r="T87" s="144"/>
      <c r="U87" s="566">
        <f t="shared" si="45"/>
        <v>1.5</v>
      </c>
      <c r="V87" s="566">
        <f t="shared" si="45"/>
        <v>5.2399999999999993</v>
      </c>
      <c r="W87" s="566">
        <f t="shared" si="45"/>
        <v>5.4450000000000003</v>
      </c>
      <c r="X87" s="566">
        <f t="shared" si="45"/>
        <v>2.98</v>
      </c>
      <c r="Y87" s="566">
        <f t="shared" si="45"/>
        <v>0.34499999999999997</v>
      </c>
      <c r="Z87" s="566">
        <f t="shared" si="45"/>
        <v>0.6</v>
      </c>
      <c r="AA87" s="566">
        <f t="shared" si="45"/>
        <v>0.84599999999999997</v>
      </c>
      <c r="AB87" s="144"/>
      <c r="AC87" s="231">
        <v>0</v>
      </c>
      <c r="AD87" s="231">
        <v>0</v>
      </c>
      <c r="AE87" s="231">
        <v>0</v>
      </c>
      <c r="AF87" s="231">
        <v>0</v>
      </c>
      <c r="AG87" s="231">
        <v>0</v>
      </c>
      <c r="AH87" s="231">
        <v>0</v>
      </c>
      <c r="AI87" s="213"/>
      <c r="AJ87" s="204"/>
      <c r="AK87" s="204"/>
      <c r="AL87" s="204"/>
      <c r="AM87" s="204"/>
      <c r="AN87" s="204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50"/>
      <c r="M88" s="144"/>
      <c r="N88" s="1278"/>
      <c r="O88" s="144"/>
      <c r="P88" s="1278"/>
      <c r="Q88" s="146"/>
      <c r="R88" s="1611"/>
      <c r="S88" s="144"/>
      <c r="T88" s="144"/>
      <c r="U88" s="566">
        <f t="shared" si="45"/>
        <v>1.5</v>
      </c>
      <c r="V88" s="566">
        <f t="shared" si="45"/>
        <v>5.2399999999999993</v>
      </c>
      <c r="W88" s="566">
        <f t="shared" si="45"/>
        <v>5.4450000000000003</v>
      </c>
      <c r="X88" s="566">
        <f t="shared" si="45"/>
        <v>2.98</v>
      </c>
      <c r="Y88" s="566">
        <f t="shared" si="45"/>
        <v>0.34499999999999997</v>
      </c>
      <c r="Z88" s="566">
        <f t="shared" si="45"/>
        <v>0.6</v>
      </c>
      <c r="AA88" s="566">
        <f t="shared" si="45"/>
        <v>0.84599999999999997</v>
      </c>
      <c r="AB88" s="144"/>
      <c r="AC88" s="231">
        <v>0</v>
      </c>
      <c r="AD88" s="231">
        <v>0</v>
      </c>
      <c r="AE88" s="231">
        <v>0</v>
      </c>
      <c r="AF88" s="231">
        <v>0</v>
      </c>
      <c r="AG88" s="231">
        <v>0</v>
      </c>
      <c r="AH88" s="231">
        <v>0</v>
      </c>
      <c r="AI88" s="213"/>
      <c r="AJ88" s="204"/>
      <c r="AK88" s="204"/>
      <c r="AL88" s="204"/>
      <c r="AM88" s="204"/>
      <c r="AN88" s="204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50"/>
      <c r="M89" s="144"/>
      <c r="N89" s="1278"/>
      <c r="O89" s="144"/>
      <c r="P89" s="1278"/>
      <c r="Q89" s="146"/>
      <c r="R89" s="1611"/>
      <c r="S89" s="144"/>
      <c r="T89" s="144"/>
      <c r="U89" s="566">
        <f t="shared" si="45"/>
        <v>1.5</v>
      </c>
      <c r="V89" s="566">
        <f t="shared" si="45"/>
        <v>5.2399999999999993</v>
      </c>
      <c r="W89" s="566">
        <f t="shared" si="45"/>
        <v>5.4450000000000003</v>
      </c>
      <c r="X89" s="566">
        <f t="shared" si="45"/>
        <v>2.98</v>
      </c>
      <c r="Y89" s="566">
        <f t="shared" si="45"/>
        <v>0.34499999999999997</v>
      </c>
      <c r="Z89" s="566">
        <f t="shared" si="45"/>
        <v>0.6</v>
      </c>
      <c r="AA89" s="566">
        <f t="shared" si="45"/>
        <v>0.84599999999999997</v>
      </c>
      <c r="AB89" s="144"/>
      <c r="AC89" s="231">
        <v>0</v>
      </c>
      <c r="AD89" s="231">
        <v>0</v>
      </c>
      <c r="AE89" s="231">
        <v>0</v>
      </c>
      <c r="AF89" s="231">
        <v>0</v>
      </c>
      <c r="AG89" s="231">
        <v>0</v>
      </c>
      <c r="AH89" s="231">
        <v>0</v>
      </c>
      <c r="AI89" s="213"/>
      <c r="AJ89" s="204"/>
      <c r="AK89" s="204"/>
      <c r="AL89" s="204"/>
      <c r="AM89" s="204"/>
      <c r="AN89" s="204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50"/>
      <c r="M90" s="144"/>
      <c r="N90" s="1278"/>
      <c r="O90" s="144"/>
      <c r="P90" s="1278"/>
      <c r="Q90" s="146"/>
      <c r="R90" s="1611"/>
      <c r="S90" s="144"/>
      <c r="T90" s="144"/>
      <c r="U90" s="566">
        <f t="shared" si="45"/>
        <v>1.5</v>
      </c>
      <c r="V90" s="566">
        <f t="shared" si="45"/>
        <v>5.2399999999999993</v>
      </c>
      <c r="W90" s="566">
        <f t="shared" si="45"/>
        <v>5.4450000000000003</v>
      </c>
      <c r="X90" s="566">
        <f t="shared" si="45"/>
        <v>2.98</v>
      </c>
      <c r="Y90" s="566">
        <f t="shared" si="45"/>
        <v>0.34499999999999997</v>
      </c>
      <c r="Z90" s="566">
        <f t="shared" si="45"/>
        <v>0.6</v>
      </c>
      <c r="AA90" s="566">
        <f t="shared" si="45"/>
        <v>0.84599999999999997</v>
      </c>
      <c r="AB90" s="144"/>
      <c r="AC90" s="231"/>
      <c r="AD90" s="231"/>
      <c r="AE90" s="231"/>
      <c r="AF90" s="231"/>
      <c r="AG90" s="231"/>
      <c r="AH90" s="231"/>
      <c r="AI90" s="213"/>
      <c r="AJ90" s="204"/>
      <c r="AK90" s="204"/>
      <c r="AL90" s="204"/>
      <c r="AM90" s="204"/>
      <c r="AN90" s="204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50"/>
      <c r="M91" s="144"/>
      <c r="N91" s="1278"/>
      <c r="O91" s="144"/>
      <c r="P91" s="1278"/>
      <c r="Q91" s="146"/>
      <c r="R91" s="1611"/>
      <c r="S91" s="144"/>
      <c r="T91" s="144"/>
      <c r="U91" s="566">
        <f t="shared" si="45"/>
        <v>1.5</v>
      </c>
      <c r="V91" s="566">
        <f t="shared" si="45"/>
        <v>5.2399999999999993</v>
      </c>
      <c r="W91" s="566">
        <f t="shared" si="45"/>
        <v>5.4450000000000003</v>
      </c>
      <c r="X91" s="566">
        <f t="shared" si="45"/>
        <v>2.98</v>
      </c>
      <c r="Y91" s="566">
        <f t="shared" si="45"/>
        <v>0.34499999999999997</v>
      </c>
      <c r="Z91" s="566">
        <f t="shared" si="45"/>
        <v>0.6</v>
      </c>
      <c r="AA91" s="566">
        <f t="shared" si="45"/>
        <v>0.84599999999999997</v>
      </c>
      <c r="AB91" s="144"/>
      <c r="AC91" s="231">
        <v>0</v>
      </c>
      <c r="AD91" s="231">
        <v>0</v>
      </c>
      <c r="AE91" s="231">
        <v>0</v>
      </c>
      <c r="AF91" s="231">
        <v>0</v>
      </c>
      <c r="AG91" s="231">
        <v>0</v>
      </c>
      <c r="AH91" s="231">
        <v>0</v>
      </c>
      <c r="AI91" s="213"/>
      <c r="AJ91" s="204"/>
      <c r="AK91" s="204"/>
      <c r="AL91" s="204"/>
      <c r="AM91" s="204"/>
      <c r="AN91" s="204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50"/>
      <c r="M92" s="144"/>
      <c r="N92" s="1278"/>
      <c r="O92" s="144"/>
      <c r="P92" s="1278"/>
      <c r="Q92" s="146"/>
      <c r="R92" s="1611"/>
      <c r="S92" s="144"/>
      <c r="T92" s="144"/>
      <c r="U92" s="566">
        <f t="shared" si="45"/>
        <v>1.5</v>
      </c>
      <c r="V92" s="566">
        <f t="shared" si="45"/>
        <v>5.2399999999999993</v>
      </c>
      <c r="W92" s="566">
        <f t="shared" si="45"/>
        <v>5.4450000000000003</v>
      </c>
      <c r="X92" s="566">
        <f t="shared" si="45"/>
        <v>2.98</v>
      </c>
      <c r="Y92" s="566">
        <f t="shared" si="45"/>
        <v>0.34499999999999997</v>
      </c>
      <c r="Z92" s="566">
        <f t="shared" si="45"/>
        <v>0.6</v>
      </c>
      <c r="AA92" s="566">
        <f t="shared" si="45"/>
        <v>0.84599999999999997</v>
      </c>
      <c r="AB92" s="144"/>
      <c r="AC92" s="231">
        <v>0</v>
      </c>
      <c r="AD92" s="231">
        <v>0</v>
      </c>
      <c r="AE92" s="231">
        <v>0</v>
      </c>
      <c r="AF92" s="231">
        <v>0</v>
      </c>
      <c r="AG92" s="231">
        <v>0</v>
      </c>
      <c r="AH92" s="231">
        <v>0</v>
      </c>
      <c r="AI92" s="213"/>
      <c r="AJ92" s="204"/>
      <c r="AK92" s="204"/>
      <c r="AL92" s="204"/>
      <c r="AM92" s="204"/>
      <c r="AN92" s="204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50"/>
      <c r="M93" s="144"/>
      <c r="N93" s="1278"/>
      <c r="O93" s="144"/>
      <c r="P93" s="1278"/>
      <c r="Q93" s="146"/>
      <c r="R93" s="1611"/>
      <c r="S93" s="144"/>
      <c r="T93" s="144"/>
      <c r="U93" s="566">
        <f t="shared" si="45"/>
        <v>1.5</v>
      </c>
      <c r="V93" s="566">
        <f t="shared" si="45"/>
        <v>5.2399999999999993</v>
      </c>
      <c r="W93" s="566">
        <f t="shared" si="45"/>
        <v>5.4450000000000003</v>
      </c>
      <c r="X93" s="566">
        <f t="shared" si="45"/>
        <v>2.98</v>
      </c>
      <c r="Y93" s="566">
        <f t="shared" si="45"/>
        <v>0.34499999999999997</v>
      </c>
      <c r="Z93" s="566">
        <f t="shared" si="45"/>
        <v>0.6</v>
      </c>
      <c r="AA93" s="566">
        <f t="shared" si="45"/>
        <v>0.84599999999999997</v>
      </c>
      <c r="AB93" s="144"/>
      <c r="AC93" s="231"/>
      <c r="AD93" s="231"/>
      <c r="AE93" s="231"/>
      <c r="AF93" s="231"/>
      <c r="AG93" s="231"/>
      <c r="AH93" s="231"/>
      <c r="AI93" s="213"/>
      <c r="AJ93" s="204"/>
      <c r="AK93" s="204"/>
      <c r="AL93" s="204"/>
      <c r="AM93" s="204"/>
      <c r="AN93" s="204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50"/>
      <c r="M94" s="144"/>
      <c r="N94" s="1278"/>
      <c r="O94" s="144"/>
      <c r="P94" s="1278"/>
      <c r="Q94" s="146"/>
      <c r="R94" s="1611"/>
      <c r="S94" s="144"/>
      <c r="T94" s="144"/>
      <c r="U94" s="566">
        <f t="shared" si="45"/>
        <v>1.5</v>
      </c>
      <c r="V94" s="566">
        <f t="shared" si="45"/>
        <v>5.2399999999999993</v>
      </c>
      <c r="W94" s="566">
        <f t="shared" si="45"/>
        <v>5.4450000000000003</v>
      </c>
      <c r="X94" s="566">
        <f t="shared" si="45"/>
        <v>2.98</v>
      </c>
      <c r="Y94" s="566">
        <f t="shared" si="45"/>
        <v>0.34499999999999997</v>
      </c>
      <c r="Z94" s="566">
        <f t="shared" si="45"/>
        <v>0.6</v>
      </c>
      <c r="AA94" s="566">
        <f t="shared" si="45"/>
        <v>0.84599999999999997</v>
      </c>
      <c r="AB94" s="144"/>
      <c r="AC94" s="231"/>
      <c r="AD94" s="231"/>
      <c r="AE94" s="231"/>
      <c r="AF94" s="231"/>
      <c r="AG94" s="231"/>
      <c r="AH94" s="231"/>
      <c r="AI94" s="213"/>
      <c r="AJ94" s="204"/>
      <c r="AK94" s="204"/>
      <c r="AL94" s="204"/>
      <c r="AM94" s="204"/>
      <c r="AN94" s="204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50"/>
      <c r="M95" s="144"/>
      <c r="N95" s="1278"/>
      <c r="O95" s="144"/>
      <c r="P95" s="1278"/>
      <c r="Q95" s="146"/>
      <c r="R95" s="1611"/>
      <c r="S95" s="144"/>
      <c r="T95" s="144"/>
      <c r="U95" s="566">
        <f t="shared" si="45"/>
        <v>1.5</v>
      </c>
      <c r="V95" s="566">
        <f t="shared" si="45"/>
        <v>5.2399999999999993</v>
      </c>
      <c r="W95" s="566">
        <f t="shared" si="45"/>
        <v>5.4450000000000003</v>
      </c>
      <c r="X95" s="566">
        <f t="shared" si="45"/>
        <v>2.98</v>
      </c>
      <c r="Y95" s="566">
        <f t="shared" si="45"/>
        <v>0.34499999999999997</v>
      </c>
      <c r="Z95" s="566">
        <f t="shared" si="45"/>
        <v>0.6</v>
      </c>
      <c r="AA95" s="566">
        <f t="shared" si="45"/>
        <v>0.84599999999999997</v>
      </c>
      <c r="AB95" s="144"/>
      <c r="AC95" s="231">
        <v>0</v>
      </c>
      <c r="AD95" s="231">
        <v>0</v>
      </c>
      <c r="AE95" s="231">
        <v>0</v>
      </c>
      <c r="AF95" s="231">
        <v>0</v>
      </c>
      <c r="AG95" s="231">
        <v>0</v>
      </c>
      <c r="AH95" s="231">
        <v>0</v>
      </c>
      <c r="AI95" s="213"/>
      <c r="AJ95" s="204"/>
      <c r="AK95" s="204"/>
      <c r="AL95" s="204"/>
      <c r="AM95" s="204"/>
      <c r="AN95" s="204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50"/>
      <c r="M96" s="144"/>
      <c r="N96" s="1278"/>
      <c r="O96" s="144"/>
      <c r="P96" s="1278"/>
      <c r="Q96" s="146"/>
      <c r="R96" s="1611"/>
      <c r="S96" s="144"/>
      <c r="T96" s="144"/>
      <c r="U96" s="566">
        <f t="shared" si="45"/>
        <v>1.5</v>
      </c>
      <c r="V96" s="566">
        <f t="shared" si="45"/>
        <v>5.2399999999999993</v>
      </c>
      <c r="W96" s="566">
        <f t="shared" si="45"/>
        <v>5.4450000000000003</v>
      </c>
      <c r="X96" s="566">
        <f t="shared" si="45"/>
        <v>2.98</v>
      </c>
      <c r="Y96" s="566">
        <f t="shared" si="45"/>
        <v>0.34499999999999997</v>
      </c>
      <c r="Z96" s="566">
        <f t="shared" si="45"/>
        <v>0.6</v>
      </c>
      <c r="AA96" s="566">
        <f t="shared" si="45"/>
        <v>0.84599999999999997</v>
      </c>
      <c r="AB96" s="144"/>
      <c r="AC96" s="231">
        <v>0</v>
      </c>
      <c r="AD96" s="231">
        <v>0</v>
      </c>
      <c r="AE96" s="231">
        <v>0</v>
      </c>
      <c r="AF96" s="231">
        <v>0</v>
      </c>
      <c r="AG96" s="231">
        <v>0</v>
      </c>
      <c r="AH96" s="231">
        <v>0</v>
      </c>
      <c r="AI96" s="213"/>
      <c r="AJ96" s="204"/>
      <c r="AK96" s="204"/>
      <c r="AL96" s="204"/>
      <c r="AM96" s="204"/>
      <c r="AN96" s="204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50"/>
      <c r="M97" s="144"/>
      <c r="N97" s="1278"/>
      <c r="O97" s="144"/>
      <c r="P97" s="1278"/>
      <c r="Q97" s="146"/>
      <c r="R97" s="1611"/>
      <c r="S97" s="144"/>
      <c r="T97" s="144"/>
      <c r="U97" s="566">
        <f t="shared" si="45"/>
        <v>1.5</v>
      </c>
      <c r="V97" s="566">
        <f t="shared" si="45"/>
        <v>5.2399999999999993</v>
      </c>
      <c r="W97" s="566">
        <f t="shared" si="45"/>
        <v>5.4450000000000003</v>
      </c>
      <c r="X97" s="566">
        <f t="shared" si="45"/>
        <v>2.98</v>
      </c>
      <c r="Y97" s="566">
        <f t="shared" si="45"/>
        <v>0.34499999999999997</v>
      </c>
      <c r="Z97" s="566">
        <f t="shared" si="45"/>
        <v>0.6</v>
      </c>
      <c r="AA97" s="566">
        <f t="shared" si="45"/>
        <v>0.84599999999999997</v>
      </c>
      <c r="AB97" s="144"/>
      <c r="AC97" s="231">
        <v>0</v>
      </c>
      <c r="AD97" s="231">
        <v>0</v>
      </c>
      <c r="AE97" s="231">
        <v>0</v>
      </c>
      <c r="AF97" s="231">
        <v>0</v>
      </c>
      <c r="AG97" s="231">
        <v>0</v>
      </c>
      <c r="AH97" s="231">
        <v>0</v>
      </c>
      <c r="AI97" s="213"/>
      <c r="AJ97" s="204"/>
      <c r="AK97" s="204"/>
      <c r="AL97" s="204"/>
      <c r="AM97" s="204"/>
      <c r="AN97" s="204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50"/>
      <c r="M98" s="144"/>
      <c r="N98" s="1278"/>
      <c r="O98" s="144"/>
      <c r="P98" s="1278"/>
      <c r="Q98" s="146"/>
      <c r="R98" s="1611"/>
      <c r="S98" s="144"/>
      <c r="T98" s="144"/>
      <c r="U98" s="566">
        <f t="shared" si="45"/>
        <v>1.5</v>
      </c>
      <c r="V98" s="566">
        <f t="shared" si="45"/>
        <v>5.2399999999999993</v>
      </c>
      <c r="W98" s="566">
        <f t="shared" si="45"/>
        <v>5.4450000000000003</v>
      </c>
      <c r="X98" s="566">
        <f t="shared" si="45"/>
        <v>2.98</v>
      </c>
      <c r="Y98" s="566">
        <f t="shared" si="45"/>
        <v>0.34499999999999997</v>
      </c>
      <c r="Z98" s="566">
        <f t="shared" si="45"/>
        <v>0.6</v>
      </c>
      <c r="AA98" s="566">
        <f t="shared" si="45"/>
        <v>0.84599999999999997</v>
      </c>
      <c r="AB98" s="144"/>
      <c r="AC98" s="231"/>
      <c r="AD98" s="231"/>
      <c r="AE98" s="231"/>
      <c r="AF98" s="231"/>
      <c r="AG98" s="231"/>
      <c r="AH98" s="231"/>
      <c r="AI98" s="213"/>
      <c r="AJ98" s="204"/>
      <c r="AK98" s="204"/>
      <c r="AL98" s="204"/>
      <c r="AM98" s="204"/>
      <c r="AN98" s="204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50"/>
      <c r="M99" s="144"/>
      <c r="N99" s="1278"/>
      <c r="O99" s="144"/>
      <c r="P99" s="1278"/>
      <c r="Q99" s="146"/>
      <c r="R99" s="1611"/>
      <c r="S99" s="144"/>
      <c r="T99" s="144"/>
      <c r="U99" s="566">
        <f t="shared" si="45"/>
        <v>1.5</v>
      </c>
      <c r="V99" s="566">
        <f t="shared" si="45"/>
        <v>5.2399999999999993</v>
      </c>
      <c r="W99" s="566">
        <f t="shared" si="45"/>
        <v>5.4450000000000003</v>
      </c>
      <c r="X99" s="566">
        <f t="shared" si="45"/>
        <v>2.98</v>
      </c>
      <c r="Y99" s="566">
        <f t="shared" si="45"/>
        <v>0.34499999999999997</v>
      </c>
      <c r="Z99" s="566">
        <f t="shared" si="45"/>
        <v>0.6</v>
      </c>
      <c r="AA99" s="566">
        <f t="shared" si="45"/>
        <v>0.84599999999999997</v>
      </c>
      <c r="AB99" s="144"/>
      <c r="AC99" s="231"/>
      <c r="AD99" s="231"/>
      <c r="AE99" s="231"/>
      <c r="AF99" s="231"/>
      <c r="AG99" s="231"/>
      <c r="AH99" s="231"/>
      <c r="AI99" s="213"/>
      <c r="AJ99" s="204"/>
      <c r="AK99" s="204"/>
      <c r="AL99" s="204"/>
      <c r="AM99" s="204"/>
      <c r="AN99" s="204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50"/>
      <c r="M100" s="144"/>
      <c r="N100" s="1278"/>
      <c r="O100" s="144"/>
      <c r="P100" s="1278"/>
      <c r="Q100" s="146"/>
      <c r="R100" s="1611"/>
      <c r="S100" s="144"/>
      <c r="T100" s="144"/>
      <c r="U100" s="566">
        <f t="shared" si="45"/>
        <v>1.5</v>
      </c>
      <c r="V100" s="566">
        <f t="shared" si="45"/>
        <v>5.2399999999999993</v>
      </c>
      <c r="W100" s="566">
        <f t="shared" si="45"/>
        <v>5.4450000000000003</v>
      </c>
      <c r="X100" s="566">
        <f t="shared" si="45"/>
        <v>2.98</v>
      </c>
      <c r="Y100" s="566">
        <f t="shared" si="45"/>
        <v>0.34499999999999997</v>
      </c>
      <c r="Z100" s="566">
        <f t="shared" si="45"/>
        <v>0.6</v>
      </c>
      <c r="AA100" s="566">
        <f t="shared" si="45"/>
        <v>0.84599999999999997</v>
      </c>
      <c r="AB100" s="144"/>
      <c r="AC100" s="231">
        <v>0</v>
      </c>
      <c r="AD100" s="231">
        <v>0</v>
      </c>
      <c r="AE100" s="231">
        <v>0</v>
      </c>
      <c r="AF100" s="231">
        <v>0</v>
      </c>
      <c r="AG100" s="231">
        <v>0</v>
      </c>
      <c r="AH100" s="231">
        <v>0</v>
      </c>
      <c r="AI100" s="213"/>
      <c r="AJ100" s="204"/>
      <c r="AK100" s="204"/>
      <c r="AL100" s="204"/>
      <c r="AM100" s="204"/>
      <c r="AN100" s="204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50"/>
      <c r="M101" s="144"/>
      <c r="N101" s="1278"/>
      <c r="O101" s="144"/>
      <c r="P101" s="1278"/>
      <c r="Q101" s="146"/>
      <c r="R101" s="1611"/>
      <c r="S101" s="144"/>
      <c r="T101" s="144"/>
      <c r="U101" s="566">
        <f t="shared" si="45"/>
        <v>1.5</v>
      </c>
      <c r="V101" s="566">
        <f t="shared" si="45"/>
        <v>5.2399999999999993</v>
      </c>
      <c r="W101" s="566">
        <f t="shared" si="45"/>
        <v>5.4450000000000003</v>
      </c>
      <c r="X101" s="566">
        <f t="shared" si="45"/>
        <v>2.98</v>
      </c>
      <c r="Y101" s="566">
        <f t="shared" si="45"/>
        <v>0.34499999999999997</v>
      </c>
      <c r="Z101" s="566">
        <f t="shared" si="45"/>
        <v>0.6</v>
      </c>
      <c r="AA101" s="566">
        <f t="shared" si="45"/>
        <v>0.84599999999999997</v>
      </c>
      <c r="AB101" s="144"/>
      <c r="AC101" s="231">
        <v>0</v>
      </c>
      <c r="AD101" s="231">
        <v>0</v>
      </c>
      <c r="AE101" s="231">
        <v>0</v>
      </c>
      <c r="AF101" s="231">
        <v>0</v>
      </c>
      <c r="AG101" s="231">
        <v>0</v>
      </c>
      <c r="AH101" s="231">
        <v>0</v>
      </c>
      <c r="AI101" s="213"/>
      <c r="AJ101" s="204"/>
      <c r="AK101" s="204"/>
      <c r="AL101" s="204"/>
      <c r="AM101" s="204"/>
      <c r="AN101" s="204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50"/>
      <c r="M102" s="144"/>
      <c r="N102" s="1278"/>
      <c r="O102" s="144"/>
      <c r="P102" s="1278"/>
      <c r="Q102" s="146"/>
      <c r="R102" s="1611"/>
      <c r="S102" s="144"/>
      <c r="T102" s="144"/>
      <c r="U102" s="566">
        <f t="shared" ref="U102:AA108" si="46">IF(U101&gt;0,U101,U100)</f>
        <v>1.5</v>
      </c>
      <c r="V102" s="566">
        <f t="shared" si="46"/>
        <v>5.2399999999999993</v>
      </c>
      <c r="W102" s="566">
        <f t="shared" si="46"/>
        <v>5.4450000000000003</v>
      </c>
      <c r="X102" s="566">
        <f t="shared" si="46"/>
        <v>2.98</v>
      </c>
      <c r="Y102" s="566">
        <f t="shared" si="46"/>
        <v>0.34499999999999997</v>
      </c>
      <c r="Z102" s="566">
        <f t="shared" si="46"/>
        <v>0.6</v>
      </c>
      <c r="AA102" s="566">
        <f t="shared" si="46"/>
        <v>0.84599999999999997</v>
      </c>
      <c r="AB102" s="144"/>
      <c r="AC102" s="231">
        <v>0</v>
      </c>
      <c r="AD102" s="231">
        <v>0</v>
      </c>
      <c r="AE102" s="231">
        <v>0</v>
      </c>
      <c r="AF102" s="231">
        <v>0</v>
      </c>
      <c r="AG102" s="231">
        <v>0</v>
      </c>
      <c r="AH102" s="231">
        <v>0</v>
      </c>
      <c r="AI102" s="213"/>
      <c r="AJ102" s="204"/>
      <c r="AK102" s="204"/>
      <c r="AL102" s="204"/>
      <c r="AM102" s="204"/>
      <c r="AN102" s="204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50"/>
      <c r="M103" s="144"/>
      <c r="N103" s="1278"/>
      <c r="O103" s="144"/>
      <c r="P103" s="1278"/>
      <c r="Q103" s="146"/>
      <c r="R103" s="1611"/>
      <c r="S103" s="144"/>
      <c r="T103" s="144"/>
      <c r="U103" s="566">
        <f t="shared" si="46"/>
        <v>1.5</v>
      </c>
      <c r="V103" s="566">
        <f t="shared" si="46"/>
        <v>5.2399999999999993</v>
      </c>
      <c r="W103" s="566">
        <f t="shared" si="46"/>
        <v>5.4450000000000003</v>
      </c>
      <c r="X103" s="566">
        <f t="shared" si="46"/>
        <v>2.98</v>
      </c>
      <c r="Y103" s="566">
        <f t="shared" si="46"/>
        <v>0.34499999999999997</v>
      </c>
      <c r="Z103" s="566">
        <f t="shared" si="46"/>
        <v>0.6</v>
      </c>
      <c r="AA103" s="566">
        <f t="shared" si="46"/>
        <v>0.84599999999999997</v>
      </c>
      <c r="AB103" s="144"/>
      <c r="AC103" s="231"/>
      <c r="AD103" s="231"/>
      <c r="AE103" s="231"/>
      <c r="AF103" s="231"/>
      <c r="AG103" s="231"/>
      <c r="AH103" s="231"/>
      <c r="AI103" s="213"/>
      <c r="AJ103" s="204"/>
      <c r="AK103" s="204"/>
      <c r="AL103" s="204"/>
      <c r="AM103" s="204"/>
      <c r="AN103" s="204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50"/>
      <c r="M104" s="144"/>
      <c r="N104" s="1278"/>
      <c r="O104" s="144"/>
      <c r="P104" s="1278"/>
      <c r="Q104" s="146"/>
      <c r="R104" s="1611"/>
      <c r="S104" s="144"/>
      <c r="T104" s="144"/>
      <c r="U104" s="566">
        <f t="shared" si="46"/>
        <v>1.5</v>
      </c>
      <c r="V104" s="566">
        <f t="shared" si="46"/>
        <v>5.2399999999999993</v>
      </c>
      <c r="W104" s="566">
        <f t="shared" si="46"/>
        <v>5.4450000000000003</v>
      </c>
      <c r="X104" s="566">
        <f t="shared" si="46"/>
        <v>2.98</v>
      </c>
      <c r="Y104" s="566">
        <f t="shared" si="46"/>
        <v>0.34499999999999997</v>
      </c>
      <c r="Z104" s="566">
        <f t="shared" si="46"/>
        <v>0.6</v>
      </c>
      <c r="AA104" s="566">
        <f t="shared" si="46"/>
        <v>0.84599999999999997</v>
      </c>
      <c r="AB104" s="144"/>
      <c r="AC104" s="231"/>
      <c r="AD104" s="231"/>
      <c r="AE104" s="231"/>
      <c r="AF104" s="231"/>
      <c r="AG104" s="231"/>
      <c r="AH104" s="231"/>
      <c r="AI104" s="213"/>
      <c r="AJ104" s="204"/>
      <c r="AK104" s="204"/>
      <c r="AL104" s="204"/>
      <c r="AM104" s="204"/>
      <c r="AN104" s="204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50"/>
      <c r="M105" s="144"/>
      <c r="N105" s="1278"/>
      <c r="O105" s="144"/>
      <c r="P105" s="1278"/>
      <c r="Q105" s="146"/>
      <c r="R105" s="1611"/>
      <c r="S105" s="144"/>
      <c r="T105" s="144"/>
      <c r="U105" s="566">
        <f t="shared" si="46"/>
        <v>1.5</v>
      </c>
      <c r="V105" s="566">
        <f t="shared" si="46"/>
        <v>5.2399999999999993</v>
      </c>
      <c r="W105" s="566">
        <f t="shared" si="46"/>
        <v>5.4450000000000003</v>
      </c>
      <c r="X105" s="566">
        <f t="shared" si="46"/>
        <v>2.98</v>
      </c>
      <c r="Y105" s="566">
        <f t="shared" si="46"/>
        <v>0.34499999999999997</v>
      </c>
      <c r="Z105" s="566">
        <f t="shared" si="46"/>
        <v>0.6</v>
      </c>
      <c r="AA105" s="566">
        <f t="shared" si="46"/>
        <v>0.84599999999999997</v>
      </c>
      <c r="AB105" s="144"/>
      <c r="AC105" s="231">
        <v>0</v>
      </c>
      <c r="AD105" s="231">
        <v>0</v>
      </c>
      <c r="AE105" s="231">
        <v>0</v>
      </c>
      <c r="AF105" s="231">
        <v>0</v>
      </c>
      <c r="AG105" s="231">
        <v>0</v>
      </c>
      <c r="AH105" s="231">
        <v>0</v>
      </c>
      <c r="AI105" s="213"/>
      <c r="AJ105" s="204"/>
      <c r="AK105" s="204"/>
      <c r="AL105" s="204"/>
      <c r="AM105" s="204"/>
      <c r="AN105" s="204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50"/>
      <c r="M106" s="144"/>
      <c r="N106" s="1278"/>
      <c r="O106" s="144"/>
      <c r="P106" s="1278"/>
      <c r="Q106" s="146"/>
      <c r="R106" s="1611"/>
      <c r="S106" s="144"/>
      <c r="T106" s="144"/>
      <c r="U106" s="566">
        <f t="shared" si="46"/>
        <v>1.5</v>
      </c>
      <c r="V106" s="566">
        <f t="shared" si="46"/>
        <v>5.2399999999999993</v>
      </c>
      <c r="W106" s="566">
        <f t="shared" si="46"/>
        <v>5.4450000000000003</v>
      </c>
      <c r="X106" s="566">
        <f t="shared" si="46"/>
        <v>2.98</v>
      </c>
      <c r="Y106" s="566">
        <f t="shared" si="46"/>
        <v>0.34499999999999997</v>
      </c>
      <c r="Z106" s="566">
        <f t="shared" si="46"/>
        <v>0.6</v>
      </c>
      <c r="AA106" s="566">
        <f t="shared" si="46"/>
        <v>0.84599999999999997</v>
      </c>
      <c r="AB106" s="144"/>
      <c r="AC106" s="231">
        <v>0</v>
      </c>
      <c r="AD106" s="231">
        <v>0</v>
      </c>
      <c r="AE106" s="231">
        <v>0</v>
      </c>
      <c r="AF106" s="231">
        <v>0</v>
      </c>
      <c r="AG106" s="231">
        <v>0</v>
      </c>
      <c r="AH106" s="231">
        <v>0</v>
      </c>
      <c r="AI106" s="213"/>
      <c r="AJ106" s="204"/>
      <c r="AK106" s="204"/>
      <c r="AL106" s="204"/>
      <c r="AM106" s="204"/>
      <c r="AN106" s="204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50"/>
      <c r="M107" s="144"/>
      <c r="N107" s="1278"/>
      <c r="O107" s="144"/>
      <c r="P107" s="1278"/>
      <c r="Q107" s="146"/>
      <c r="R107" s="1611"/>
      <c r="S107" s="144"/>
      <c r="T107" s="144"/>
      <c r="U107" s="566">
        <f t="shared" si="46"/>
        <v>1.5</v>
      </c>
      <c r="V107" s="566">
        <f t="shared" si="46"/>
        <v>5.2399999999999993</v>
      </c>
      <c r="W107" s="566">
        <f t="shared" si="46"/>
        <v>5.4450000000000003</v>
      </c>
      <c r="X107" s="566">
        <f t="shared" si="46"/>
        <v>2.98</v>
      </c>
      <c r="Y107" s="566">
        <f t="shared" si="46"/>
        <v>0.34499999999999997</v>
      </c>
      <c r="Z107" s="566">
        <f t="shared" si="46"/>
        <v>0.6</v>
      </c>
      <c r="AA107" s="566">
        <f t="shared" si="46"/>
        <v>0.84599999999999997</v>
      </c>
      <c r="AB107" s="144"/>
      <c r="AC107" s="231">
        <v>0</v>
      </c>
      <c r="AD107" s="231">
        <v>0</v>
      </c>
      <c r="AE107" s="231">
        <v>0</v>
      </c>
      <c r="AF107" s="231">
        <v>0</v>
      </c>
      <c r="AG107" s="231">
        <v>0</v>
      </c>
      <c r="AH107" s="231">
        <v>0</v>
      </c>
      <c r="AI107" s="213"/>
      <c r="AJ107" s="204"/>
      <c r="AK107" s="204"/>
      <c r="AL107" s="204"/>
      <c r="AM107" s="204"/>
      <c r="AN107" s="204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50"/>
      <c r="M108" s="144"/>
      <c r="N108" s="1278"/>
      <c r="O108" s="144"/>
      <c r="P108" s="1278"/>
      <c r="Q108" s="146"/>
      <c r="R108" s="1611"/>
      <c r="S108" s="144"/>
      <c r="T108" s="144"/>
      <c r="U108" s="567">
        <f>IF(U107&gt;0,U107,U106)</f>
        <v>1.5</v>
      </c>
      <c r="V108" s="567">
        <f t="shared" si="46"/>
        <v>5.2399999999999993</v>
      </c>
      <c r="W108" s="567">
        <f t="shared" si="46"/>
        <v>5.4450000000000003</v>
      </c>
      <c r="X108" s="567">
        <f t="shared" si="46"/>
        <v>2.98</v>
      </c>
      <c r="Y108" s="567">
        <f t="shared" si="46"/>
        <v>0.34499999999999997</v>
      </c>
      <c r="Z108" s="567">
        <f t="shared" si="46"/>
        <v>0.6</v>
      </c>
      <c r="AA108" s="567">
        <f t="shared" si="46"/>
        <v>0.84599999999999997</v>
      </c>
      <c r="AB108" s="144"/>
      <c r="AC108" s="231"/>
      <c r="AD108" s="231"/>
      <c r="AE108" s="231"/>
      <c r="AF108" s="231"/>
      <c r="AG108" s="231"/>
      <c r="AH108" s="231"/>
      <c r="AI108" s="213"/>
      <c r="AJ108" s="204"/>
      <c r="AK108" s="204"/>
      <c r="AL108" s="204"/>
      <c r="AM108" s="204"/>
      <c r="AN108" s="204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50"/>
      <c r="M109" s="144"/>
      <c r="N109" s="1278"/>
      <c r="O109" s="144"/>
      <c r="P109" s="1278"/>
      <c r="Q109" s="146"/>
      <c r="R109" s="1611"/>
      <c r="S109" s="144"/>
      <c r="T109" s="144"/>
      <c r="U109" s="222"/>
      <c r="V109" s="222"/>
      <c r="W109" s="222"/>
      <c r="X109" s="222"/>
      <c r="Y109" s="222"/>
      <c r="Z109" s="222"/>
      <c r="AA109" s="222"/>
      <c r="AB109" s="144"/>
      <c r="AC109" s="231"/>
      <c r="AD109" s="231"/>
      <c r="AE109" s="231"/>
      <c r="AF109" s="231"/>
      <c r="AG109" s="231"/>
      <c r="AH109" s="231"/>
      <c r="AI109" s="213"/>
      <c r="AJ109" s="204"/>
      <c r="AK109" s="204"/>
      <c r="AL109" s="204"/>
      <c r="AM109" s="204"/>
      <c r="AN109" s="204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50"/>
      <c r="M110" s="144"/>
      <c r="N110" s="1278"/>
      <c r="O110" s="144"/>
      <c r="P110" s="1278"/>
      <c r="Q110" s="146"/>
      <c r="R110" s="1611"/>
      <c r="S110" s="144"/>
      <c r="T110" s="144"/>
      <c r="U110" s="222"/>
      <c r="V110" s="222"/>
      <c r="W110" s="222"/>
      <c r="X110" s="222"/>
      <c r="Y110" s="222"/>
      <c r="Z110" s="222"/>
      <c r="AA110" s="222"/>
      <c r="AB110" s="144"/>
      <c r="AC110" s="231">
        <v>0</v>
      </c>
      <c r="AD110" s="231">
        <v>0</v>
      </c>
      <c r="AE110" s="231">
        <v>0</v>
      </c>
      <c r="AF110" s="231">
        <v>0</v>
      </c>
      <c r="AG110" s="231">
        <v>0</v>
      </c>
      <c r="AH110" s="231">
        <v>0</v>
      </c>
      <c r="AI110" s="213"/>
      <c r="AJ110" s="204"/>
      <c r="AK110" s="204"/>
      <c r="AL110" s="204"/>
      <c r="AM110" s="204"/>
      <c r="AN110" s="204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50"/>
      <c r="M111" s="144"/>
      <c r="N111" s="1278"/>
      <c r="O111" s="144"/>
      <c r="P111" s="1278"/>
      <c r="Q111" s="146"/>
      <c r="R111" s="1611"/>
      <c r="S111" s="144"/>
      <c r="T111" s="144"/>
      <c r="U111" s="222"/>
      <c r="V111" s="222"/>
      <c r="W111" s="222"/>
      <c r="X111" s="222"/>
      <c r="Y111" s="222"/>
      <c r="Z111" s="222"/>
      <c r="AA111" s="222"/>
      <c r="AB111" s="144"/>
      <c r="AC111" s="231"/>
      <c r="AD111" s="231"/>
      <c r="AE111" s="231"/>
      <c r="AF111" s="231"/>
      <c r="AG111" s="231"/>
      <c r="AH111" s="231"/>
      <c r="AJ111" s="204"/>
      <c r="AK111" s="204"/>
      <c r="AL111" s="204"/>
      <c r="AM111" s="204"/>
      <c r="AN111" s="204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50"/>
      <c r="M112" s="144"/>
      <c r="N112" s="1278"/>
      <c r="O112" s="144"/>
      <c r="P112" s="1278"/>
      <c r="Q112" s="146"/>
      <c r="R112" s="1611"/>
      <c r="S112" s="144"/>
      <c r="T112" s="144"/>
      <c r="U112" s="222"/>
      <c r="V112" s="222"/>
      <c r="W112" s="222"/>
      <c r="X112" s="222"/>
      <c r="Y112" s="222"/>
      <c r="Z112" s="222"/>
      <c r="AA112" s="222"/>
      <c r="AB112" s="144"/>
      <c r="AJ112" s="204"/>
      <c r="AK112" s="204"/>
      <c r="AL112" s="204"/>
      <c r="AM112" s="204"/>
      <c r="AN112" s="204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50"/>
      <c r="M113" s="144"/>
      <c r="N113" s="1278"/>
      <c r="O113" s="144"/>
      <c r="P113" s="1278"/>
      <c r="Q113" s="146"/>
      <c r="R113" s="1611"/>
      <c r="S113" s="144"/>
      <c r="T113" s="144"/>
      <c r="U113" s="222"/>
      <c r="V113" s="222"/>
      <c r="W113" s="222"/>
      <c r="X113" s="222"/>
      <c r="Y113" s="222"/>
      <c r="Z113" s="222"/>
      <c r="AA113" s="222"/>
      <c r="AB113" s="144"/>
      <c r="AJ113" s="204"/>
      <c r="AK113" s="204"/>
      <c r="AL113" s="204"/>
      <c r="AM113" s="204"/>
      <c r="AN113" s="204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50"/>
      <c r="M114" s="144"/>
      <c r="N114" s="1278"/>
      <c r="O114" s="144"/>
      <c r="P114" s="1278"/>
      <c r="Q114" s="146"/>
      <c r="R114" s="1611"/>
      <c r="S114" s="144"/>
      <c r="T114" s="144"/>
      <c r="U114" s="222"/>
      <c r="V114" s="222"/>
      <c r="W114" s="222"/>
      <c r="X114" s="222"/>
      <c r="Y114" s="222"/>
      <c r="Z114" s="222"/>
      <c r="AA114" s="222"/>
      <c r="AB114" s="144"/>
      <c r="AJ114" s="204"/>
      <c r="AK114" s="204"/>
      <c r="AL114" s="204"/>
      <c r="AM114" s="204"/>
      <c r="AN114" s="204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50"/>
      <c r="M115" s="144"/>
      <c r="N115" s="1278"/>
      <c r="O115" s="144"/>
      <c r="P115" s="1278"/>
      <c r="Q115" s="146"/>
      <c r="R115" s="1611"/>
      <c r="S115" s="144"/>
      <c r="T115" s="144"/>
      <c r="U115" s="222"/>
      <c r="V115" s="222"/>
      <c r="W115" s="222"/>
      <c r="X115" s="222"/>
      <c r="Y115" s="222"/>
      <c r="Z115" s="222"/>
      <c r="AA115" s="222"/>
      <c r="AB115" s="144"/>
      <c r="AJ115" s="204"/>
      <c r="AK115" s="204"/>
      <c r="AL115" s="204"/>
      <c r="AM115" s="204"/>
      <c r="AN115" s="204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50"/>
      <c r="M116" s="144"/>
      <c r="N116" s="1278"/>
      <c r="O116" s="144"/>
      <c r="P116" s="1278"/>
      <c r="Q116" s="146"/>
      <c r="R116" s="1611"/>
      <c r="S116" s="144"/>
      <c r="T116" s="144"/>
      <c r="U116" s="222"/>
      <c r="V116" s="222"/>
      <c r="W116" s="222"/>
      <c r="X116" s="222"/>
      <c r="Y116" s="222"/>
      <c r="Z116" s="222"/>
      <c r="AA116" s="222"/>
      <c r="AB116" s="144"/>
      <c r="AJ116" s="204"/>
      <c r="AK116" s="204"/>
      <c r="AL116" s="204"/>
      <c r="AM116" s="204"/>
      <c r="AN116" s="204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50"/>
      <c r="M117" s="144"/>
      <c r="N117" s="1278"/>
      <c r="O117" s="144"/>
      <c r="P117" s="1278"/>
      <c r="Q117" s="146"/>
      <c r="R117" s="1611"/>
      <c r="S117" s="144"/>
      <c r="T117" s="144"/>
      <c r="U117" s="222"/>
      <c r="V117" s="222"/>
      <c r="W117" s="222"/>
      <c r="X117" s="222"/>
      <c r="Y117" s="222"/>
      <c r="Z117" s="222"/>
      <c r="AA117" s="222"/>
      <c r="AB117" s="144"/>
      <c r="AJ117" s="204"/>
      <c r="AK117" s="204"/>
      <c r="AL117" s="204"/>
      <c r="AM117" s="204"/>
      <c r="AN117" s="204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50"/>
      <c r="M118" s="144"/>
      <c r="N118" s="1278"/>
      <c r="O118" s="144"/>
      <c r="P118" s="1278"/>
      <c r="Q118" s="146"/>
      <c r="R118" s="1611"/>
      <c r="S118" s="144"/>
      <c r="T118" s="144"/>
      <c r="U118" s="222"/>
      <c r="V118" s="222"/>
      <c r="W118" s="222"/>
      <c r="X118" s="222"/>
      <c r="Y118" s="222"/>
      <c r="Z118" s="222"/>
      <c r="AA118" s="222"/>
      <c r="AB118" s="144"/>
      <c r="AJ118" s="204"/>
      <c r="AK118" s="204"/>
      <c r="AL118" s="204"/>
      <c r="AM118" s="204"/>
      <c r="AN118" s="204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50"/>
      <c r="M119" s="144"/>
      <c r="N119" s="1278"/>
      <c r="O119" s="144"/>
      <c r="P119" s="1278"/>
      <c r="Q119" s="146"/>
      <c r="R119" s="1611"/>
      <c r="S119" s="144"/>
      <c r="T119" s="144"/>
      <c r="U119" s="222"/>
      <c r="V119" s="222"/>
      <c r="W119" s="222"/>
      <c r="X119" s="222"/>
      <c r="Y119" s="222"/>
      <c r="Z119" s="222"/>
      <c r="AA119" s="222"/>
      <c r="AB119" s="144"/>
      <c r="AJ119" s="204"/>
      <c r="AK119" s="204"/>
      <c r="AL119" s="204"/>
      <c r="AM119" s="204"/>
      <c r="AN119" s="204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50"/>
      <c r="M120" s="144"/>
      <c r="N120" s="1278"/>
      <c r="O120" s="144"/>
      <c r="P120" s="1278"/>
      <c r="Q120" s="146"/>
      <c r="R120" s="1611"/>
      <c r="S120" s="144"/>
      <c r="T120" s="144"/>
      <c r="U120" s="222"/>
      <c r="V120" s="222"/>
      <c r="W120" s="222"/>
      <c r="X120" s="222"/>
      <c r="Y120" s="222"/>
      <c r="Z120" s="222"/>
      <c r="AA120" s="222"/>
      <c r="AB120" s="144"/>
      <c r="AJ120" s="204"/>
      <c r="AK120" s="204"/>
      <c r="AL120" s="204"/>
      <c r="AM120" s="204"/>
      <c r="AN120" s="204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50"/>
      <c r="M121" s="144"/>
      <c r="N121" s="1278"/>
      <c r="O121" s="144"/>
      <c r="P121" s="1278"/>
      <c r="Q121" s="146"/>
      <c r="R121" s="1611"/>
      <c r="S121" s="144"/>
      <c r="T121" s="144"/>
      <c r="U121" s="222"/>
      <c r="V121" s="222"/>
      <c r="W121" s="222"/>
      <c r="X121" s="222"/>
      <c r="Y121" s="222"/>
      <c r="Z121" s="222"/>
      <c r="AA121" s="222"/>
      <c r="AB121" s="144"/>
      <c r="AJ121" s="204"/>
      <c r="AK121" s="204"/>
      <c r="AL121" s="204"/>
      <c r="AM121" s="204"/>
      <c r="AN121" s="204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50"/>
      <c r="M122" s="144"/>
      <c r="N122" s="1278"/>
      <c r="O122" s="144"/>
      <c r="P122" s="1278"/>
      <c r="Q122" s="146"/>
      <c r="R122" s="1611"/>
      <c r="S122" s="144"/>
      <c r="T122" s="144"/>
      <c r="U122" s="222"/>
      <c r="V122" s="222"/>
      <c r="W122" s="222"/>
      <c r="X122" s="222"/>
      <c r="Y122" s="222"/>
      <c r="Z122" s="222"/>
      <c r="AA122" s="222"/>
      <c r="AB122" s="144"/>
      <c r="AN122" s="204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50"/>
      <c r="M123" s="144"/>
      <c r="N123" s="1278"/>
      <c r="O123" s="144"/>
      <c r="P123" s="1278"/>
      <c r="Q123" s="146"/>
      <c r="R123" s="1611"/>
      <c r="S123" s="144"/>
      <c r="T123" s="144"/>
      <c r="U123" s="222"/>
      <c r="V123" s="222"/>
      <c r="W123" s="222"/>
      <c r="X123" s="222"/>
      <c r="Y123" s="222"/>
      <c r="Z123" s="222"/>
      <c r="AA123" s="222"/>
      <c r="AB123" s="144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3"/>
      <c r="AM123" s="213"/>
      <c r="AN123" s="204"/>
    </row>
    <row r="124" spans="1:40" s="247" customFormat="1" ht="12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50"/>
      <c r="M124" s="144"/>
      <c r="N124" s="1278"/>
      <c r="O124" s="144"/>
      <c r="P124" s="1278"/>
      <c r="Q124" s="146"/>
      <c r="R124" s="1611"/>
      <c r="S124" s="144"/>
      <c r="T124" s="144"/>
      <c r="U124" s="222"/>
      <c r="V124" s="222"/>
      <c r="W124" s="222"/>
      <c r="X124" s="222"/>
      <c r="Y124" s="222"/>
      <c r="Z124" s="222"/>
      <c r="AA124" s="222"/>
      <c r="AB124" s="14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</row>
    <row r="125" spans="1:40" s="247" customFormat="1" ht="12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50"/>
      <c r="M125" s="144"/>
      <c r="N125" s="1278"/>
      <c r="O125" s="144"/>
      <c r="P125" s="1278"/>
      <c r="Q125" s="146"/>
      <c r="R125" s="1611"/>
      <c r="S125" s="144"/>
      <c r="T125" s="144"/>
      <c r="U125" s="222"/>
      <c r="V125" s="222"/>
      <c r="W125" s="222"/>
      <c r="X125" s="222"/>
      <c r="Y125" s="222"/>
      <c r="Z125" s="222"/>
      <c r="AA125" s="222"/>
      <c r="AB125" s="14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1:40" s="247" customFormat="1" ht="12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50"/>
      <c r="M126" s="144"/>
      <c r="N126" s="1278"/>
      <c r="O126" s="144"/>
      <c r="P126" s="1278"/>
      <c r="Q126" s="146"/>
      <c r="R126" s="1611"/>
      <c r="S126" s="144"/>
      <c r="T126" s="144"/>
      <c r="U126" s="222"/>
      <c r="V126" s="222"/>
      <c r="W126" s="222"/>
      <c r="X126" s="222"/>
      <c r="Y126" s="222"/>
      <c r="Z126" s="222"/>
      <c r="AA126" s="222"/>
      <c r="AB126" s="14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1:40" s="247" customFormat="1" ht="12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6"/>
      <c r="L127" s="150"/>
      <c r="M127" s="144"/>
      <c r="N127" s="1278"/>
      <c r="O127" s="144"/>
      <c r="P127" s="1278"/>
      <c r="Q127" s="146"/>
      <c r="R127" s="1611"/>
      <c r="S127" s="144"/>
      <c r="T127" s="144"/>
      <c r="U127" s="222"/>
      <c r="V127" s="222"/>
      <c r="W127" s="222"/>
      <c r="X127" s="222"/>
      <c r="Y127" s="222"/>
      <c r="Z127" s="222"/>
      <c r="AA127" s="222"/>
      <c r="AB127" s="14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1:40" s="247" customFormat="1" ht="12">
      <c r="B128" s="144"/>
      <c r="C128" s="143"/>
      <c r="D128" s="907"/>
      <c r="E128" s="143"/>
      <c r="F128" s="145"/>
      <c r="G128" s="146"/>
      <c r="H128" s="146"/>
      <c r="I128" s="146"/>
      <c r="J128" s="146"/>
      <c r="K128" s="146"/>
      <c r="L128" s="150"/>
      <c r="M128" s="458"/>
      <c r="N128" s="1284"/>
      <c r="O128" s="146"/>
      <c r="P128" s="150"/>
      <c r="Q128" s="147"/>
      <c r="R128" s="1612"/>
      <c r="S128" s="142"/>
      <c r="T128" s="142"/>
      <c r="U128" s="222"/>
      <c r="V128" s="222"/>
      <c r="W128" s="222"/>
      <c r="X128" s="222"/>
      <c r="Y128" s="222"/>
      <c r="Z128" s="222"/>
      <c r="AA128" s="222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39" s="247" customFormat="1" ht="12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150"/>
      <c r="M129" s="458"/>
      <c r="N129" s="1284"/>
      <c r="O129" s="146"/>
      <c r="P129" s="150"/>
      <c r="Q129" s="147"/>
      <c r="R129" s="1612"/>
      <c r="S129" s="142"/>
      <c r="T129" s="142"/>
      <c r="U129" s="222"/>
      <c r="V129" s="222"/>
      <c r="W129" s="222"/>
      <c r="X129" s="222"/>
      <c r="Y129" s="222"/>
      <c r="Z129" s="222"/>
      <c r="AA129" s="222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</row>
    <row r="130" spans="2:39" s="247" customFormat="1" ht="12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150"/>
      <c r="M130" s="458"/>
      <c r="N130" s="1284"/>
      <c r="O130" s="146"/>
      <c r="P130" s="150"/>
      <c r="Q130" s="147"/>
      <c r="R130" s="1612"/>
      <c r="S130" s="142"/>
      <c r="T130" s="142"/>
      <c r="U130" s="222"/>
      <c r="V130" s="222"/>
      <c r="W130" s="222"/>
      <c r="X130" s="222"/>
      <c r="Y130" s="222"/>
      <c r="Z130" s="222"/>
      <c r="AA130" s="222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39" s="247" customFormat="1" ht="12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150"/>
      <c r="M131" s="458"/>
      <c r="N131" s="1284"/>
      <c r="O131" s="146"/>
      <c r="P131" s="150"/>
      <c r="Q131" s="147"/>
      <c r="R131" s="1612"/>
      <c r="S131" s="142"/>
      <c r="T131" s="142"/>
      <c r="U131" s="222"/>
      <c r="V131" s="222"/>
      <c r="W131" s="222"/>
      <c r="X131" s="222"/>
      <c r="Y131" s="222"/>
      <c r="Z131" s="222"/>
      <c r="AA131" s="222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39" s="247" customFormat="1" ht="12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150"/>
      <c r="M132" s="458"/>
      <c r="N132" s="1284"/>
      <c r="O132" s="146"/>
      <c r="P132" s="150"/>
      <c r="Q132" s="147"/>
      <c r="R132" s="1612"/>
      <c r="S132" s="142"/>
      <c r="T132" s="142"/>
      <c r="U132" s="146"/>
      <c r="V132" s="146"/>
      <c r="W132" s="146"/>
      <c r="X132" s="146"/>
      <c r="Y132" s="146"/>
      <c r="Z132" s="146"/>
      <c r="AA132" s="146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</row>
    <row r="133" spans="2:39" s="247" customFormat="1" ht="12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150"/>
      <c r="M133" s="458"/>
      <c r="N133" s="1284"/>
      <c r="O133" s="146"/>
      <c r="P133" s="150"/>
      <c r="Q133" s="147"/>
      <c r="R133" s="1612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</row>
    <row r="134" spans="2:39" s="247" customFormat="1" ht="12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150"/>
      <c r="M134" s="458"/>
      <c r="N134" s="1284"/>
      <c r="O134" s="146"/>
      <c r="P134" s="150"/>
      <c r="Q134" s="147"/>
      <c r="R134" s="1612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</row>
    <row r="135" spans="2:39" s="247" customFormat="1" ht="12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150"/>
      <c r="M135" s="458"/>
      <c r="N135" s="1284"/>
      <c r="O135" s="146"/>
      <c r="P135" s="150"/>
      <c r="Q135" s="147"/>
      <c r="R135" s="1612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</row>
    <row r="136" spans="2:39" s="247" customFormat="1" ht="12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150"/>
      <c r="M136" s="458"/>
      <c r="N136" s="1284"/>
      <c r="O136" s="146"/>
      <c r="P136" s="150"/>
      <c r="Q136" s="147"/>
      <c r="R136" s="1612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2:39" s="247" customFormat="1" ht="12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150"/>
      <c r="M137" s="458"/>
      <c r="N137" s="1284"/>
      <c r="O137" s="146"/>
      <c r="P137" s="150"/>
      <c r="Q137" s="147"/>
      <c r="R137" s="1612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2:39" s="247" customFormat="1" ht="12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150"/>
      <c r="M138" s="458"/>
      <c r="N138" s="1284"/>
      <c r="O138" s="146"/>
      <c r="P138" s="150"/>
      <c r="Q138" s="147"/>
      <c r="R138" s="1612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2:39" s="247" customFormat="1" ht="12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150"/>
      <c r="M139" s="458"/>
      <c r="N139" s="1284"/>
      <c r="O139" s="146"/>
      <c r="P139" s="150"/>
      <c r="Q139" s="147"/>
      <c r="R139" s="1612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2:39" s="247" customFormat="1" ht="12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150"/>
      <c r="M140" s="458"/>
      <c r="N140" s="1284"/>
      <c r="O140" s="146"/>
      <c r="P140" s="150"/>
      <c r="Q140" s="147"/>
      <c r="R140" s="1612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2:39" s="247" customFormat="1" ht="12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50"/>
      <c r="M141" s="458"/>
      <c r="N141" s="1284"/>
      <c r="O141" s="146"/>
      <c r="P141" s="150"/>
      <c r="Q141" s="147"/>
      <c r="R141" s="1612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2:39" s="247" customFormat="1" ht="12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50"/>
      <c r="M142" s="458"/>
      <c r="N142" s="1284"/>
      <c r="O142" s="146"/>
      <c r="P142" s="150"/>
      <c r="Q142" s="147"/>
      <c r="R142" s="1612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2:39" s="247" customFormat="1" ht="12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50"/>
      <c r="M143" s="458"/>
      <c r="N143" s="1284"/>
      <c r="O143" s="146"/>
      <c r="P143" s="150"/>
      <c r="Q143" s="147"/>
      <c r="R143" s="1612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2:39" s="247" customFormat="1" ht="12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50"/>
      <c r="M144" s="458"/>
      <c r="N144" s="1284"/>
      <c r="O144" s="146"/>
      <c r="P144" s="150"/>
      <c r="Q144" s="147"/>
      <c r="R144" s="1612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39" s="247" customFormat="1" ht="12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50"/>
      <c r="M145" s="458"/>
      <c r="N145" s="1284"/>
      <c r="O145" s="146"/>
      <c r="P145" s="150"/>
      <c r="Q145" s="147"/>
      <c r="R145" s="1612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39" s="247" customFormat="1" ht="12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50"/>
      <c r="M146" s="458"/>
      <c r="N146" s="1284"/>
      <c r="O146" s="146"/>
      <c r="P146" s="150"/>
      <c r="Q146" s="147"/>
      <c r="R146" s="1612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39" s="247" customFormat="1" ht="12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50"/>
      <c r="M147" s="458"/>
      <c r="N147" s="1284"/>
      <c r="O147" s="146"/>
      <c r="P147" s="150"/>
      <c r="Q147" s="147"/>
      <c r="R147" s="1612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39" s="247" customFormat="1" ht="12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50"/>
      <c r="M148" s="458"/>
      <c r="N148" s="1284"/>
      <c r="O148" s="146"/>
      <c r="P148" s="150"/>
      <c r="Q148" s="147"/>
      <c r="R148" s="1612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39" s="247" customFormat="1" ht="12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50"/>
      <c r="M149" s="458"/>
      <c r="N149" s="1284"/>
      <c r="O149" s="146"/>
      <c r="P149" s="150"/>
      <c r="Q149" s="147"/>
      <c r="R149" s="1612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39" s="247" customFormat="1" ht="12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50"/>
      <c r="M150" s="458"/>
      <c r="N150" s="1284"/>
      <c r="O150" s="146"/>
      <c r="P150" s="150"/>
      <c r="Q150" s="147"/>
      <c r="R150" s="1612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39" s="247" customFormat="1" ht="12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50"/>
      <c r="M151" s="458"/>
      <c r="N151" s="1284"/>
      <c r="O151" s="146"/>
      <c r="P151" s="150"/>
      <c r="Q151" s="147"/>
      <c r="R151" s="1612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39" s="247" customFormat="1" ht="12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50"/>
      <c r="M152" s="458"/>
      <c r="N152" s="1284"/>
      <c r="O152" s="146"/>
      <c r="P152" s="150"/>
      <c r="Q152" s="147"/>
      <c r="R152" s="1612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39" s="247" customFormat="1" ht="12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50"/>
      <c r="M153" s="458"/>
      <c r="N153" s="1284"/>
      <c r="O153" s="146"/>
      <c r="P153" s="150"/>
      <c r="Q153" s="147"/>
      <c r="R153" s="1612"/>
      <c r="S153" s="142"/>
      <c r="T153" s="142"/>
      <c r="U153" s="146"/>
      <c r="V153" s="146"/>
      <c r="W153" s="146"/>
      <c r="X153" s="146"/>
      <c r="Y153" s="146"/>
      <c r="Z153" s="146"/>
      <c r="AA153" s="146"/>
      <c r="AB153" s="247">
        <f>SUBTOTAL(9,AB111:AB152)</f>
        <v>0</v>
      </c>
      <c r="AC153" s="214">
        <f>SUBTOTAL(9,AC111:AC152)</f>
        <v>0</v>
      </c>
      <c r="AD153" s="214">
        <f>SUBTOTAL(9,AD111:AD152)</f>
        <v>0</v>
      </c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39" s="247" customFormat="1" ht="12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50"/>
      <c r="M154" s="458"/>
      <c r="N154" s="1284"/>
      <c r="O154" s="146"/>
      <c r="P154" s="150"/>
      <c r="Q154" s="147"/>
      <c r="R154" s="1612"/>
      <c r="S154" s="142"/>
      <c r="T154" s="142"/>
      <c r="U154" s="146"/>
      <c r="V154" s="146"/>
      <c r="W154" s="146"/>
      <c r="X154" s="146"/>
      <c r="Y154" s="146"/>
      <c r="Z154" s="146"/>
      <c r="AA154" s="146"/>
      <c r="AB154" s="247">
        <v>0</v>
      </c>
      <c r="AC154" s="214">
        <v>0</v>
      </c>
      <c r="AD154" s="214">
        <v>0</v>
      </c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39" s="247" customFormat="1" ht="12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50"/>
      <c r="M155" s="458"/>
      <c r="N155" s="1284"/>
      <c r="O155" s="146"/>
      <c r="P155" s="150"/>
      <c r="Q155" s="147"/>
      <c r="R155" s="1612"/>
      <c r="S155" s="142"/>
      <c r="T155" s="142"/>
      <c r="U155" s="146"/>
      <c r="V155" s="146"/>
      <c r="W155" s="146"/>
      <c r="X155" s="146"/>
      <c r="Y155" s="146"/>
      <c r="Z155" s="146"/>
      <c r="AA155" s="146"/>
      <c r="AB155" s="247">
        <v>0</v>
      </c>
      <c r="AC155" s="214">
        <v>0</v>
      </c>
      <c r="AD155" s="214">
        <v>0</v>
      </c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39" s="247" customFormat="1" ht="12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50"/>
      <c r="M156" s="458"/>
      <c r="N156" s="1284"/>
      <c r="O156" s="146"/>
      <c r="P156" s="150"/>
      <c r="Q156" s="147"/>
      <c r="R156" s="1612"/>
      <c r="S156" s="142"/>
      <c r="T156" s="142"/>
      <c r="U156" s="146"/>
      <c r="V156" s="146"/>
      <c r="W156" s="146"/>
      <c r="X156" s="146"/>
      <c r="Y156" s="146"/>
      <c r="Z156" s="146"/>
      <c r="AA156" s="146"/>
      <c r="AB156" s="247">
        <v>0</v>
      </c>
      <c r="AC156" s="214">
        <v>0</v>
      </c>
      <c r="AD156" s="214">
        <v>0</v>
      </c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39" s="247" customFormat="1" ht="12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50"/>
      <c r="M157" s="458"/>
      <c r="N157" s="1284"/>
      <c r="O157" s="146"/>
      <c r="P157" s="150"/>
      <c r="Q157" s="147"/>
      <c r="R157" s="1612"/>
      <c r="S157" s="142"/>
      <c r="T157" s="142"/>
      <c r="U157" s="146"/>
      <c r="V157" s="146"/>
      <c r="W157" s="146"/>
      <c r="X157" s="146"/>
      <c r="Y157" s="146"/>
      <c r="Z157" s="146"/>
      <c r="AA157" s="146"/>
      <c r="AB157" s="247">
        <v>0</v>
      </c>
      <c r="AC157" s="214">
        <v>0</v>
      </c>
      <c r="AD157" s="214">
        <v>0</v>
      </c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39" s="247" customFormat="1" ht="12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50"/>
      <c r="M158" s="458"/>
      <c r="N158" s="1284"/>
      <c r="O158" s="146"/>
      <c r="P158" s="150"/>
      <c r="Q158" s="147"/>
      <c r="R158" s="1612"/>
      <c r="S158" s="142"/>
      <c r="T158" s="142"/>
      <c r="U158" s="146"/>
      <c r="V158" s="146"/>
      <c r="W158" s="146"/>
      <c r="X158" s="146"/>
      <c r="Y158" s="146"/>
      <c r="Z158" s="146"/>
      <c r="AA158" s="146"/>
      <c r="AB158" s="247">
        <v>0</v>
      </c>
      <c r="AC158" s="214">
        <v>0</v>
      </c>
      <c r="AD158" s="214">
        <v>0</v>
      </c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39" s="247" customFormat="1" ht="12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50"/>
      <c r="M159" s="458"/>
      <c r="N159" s="1284"/>
      <c r="O159" s="146"/>
      <c r="P159" s="150"/>
      <c r="Q159" s="147"/>
      <c r="R159" s="1612"/>
      <c r="S159" s="142"/>
      <c r="T159" s="142"/>
      <c r="U159" s="146"/>
      <c r="V159" s="146"/>
      <c r="W159" s="146"/>
      <c r="X159" s="146"/>
      <c r="Y159" s="146"/>
      <c r="Z159" s="146"/>
      <c r="AA159" s="146"/>
      <c r="AB159" s="247">
        <v>0</v>
      </c>
      <c r="AC159" s="214">
        <v>0</v>
      </c>
      <c r="AD159" s="214">
        <v>0</v>
      </c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39" s="247" customFormat="1" ht="12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50"/>
      <c r="M160" s="458"/>
      <c r="N160" s="1284"/>
      <c r="O160" s="146"/>
      <c r="P160" s="150"/>
      <c r="Q160" s="147"/>
      <c r="R160" s="1612"/>
      <c r="S160" s="142"/>
      <c r="T160" s="142"/>
      <c r="U160" s="146"/>
      <c r="V160" s="146"/>
      <c r="W160" s="146"/>
      <c r="X160" s="146"/>
      <c r="Y160" s="146"/>
      <c r="Z160" s="146"/>
      <c r="AA160" s="146"/>
      <c r="AB160" s="247">
        <v>0</v>
      </c>
      <c r="AC160" s="214">
        <v>0</v>
      </c>
      <c r="AD160" s="214">
        <v>0</v>
      </c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41" s="247" customFormat="1" ht="12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50"/>
      <c r="M161" s="458"/>
      <c r="N161" s="1284"/>
      <c r="O161" s="146"/>
      <c r="P161" s="150"/>
      <c r="Q161" s="147"/>
      <c r="R161" s="1612"/>
      <c r="S161" s="142"/>
      <c r="T161" s="142"/>
      <c r="U161" s="146"/>
      <c r="V161" s="146"/>
      <c r="W161" s="146"/>
      <c r="X161" s="146"/>
      <c r="Y161" s="146"/>
      <c r="Z161" s="146"/>
      <c r="AA161" s="146"/>
      <c r="AB161" s="247">
        <v>0</v>
      </c>
      <c r="AC161" s="214">
        <v>0</v>
      </c>
      <c r="AD161" s="214">
        <v>0</v>
      </c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41" s="247" customFormat="1" ht="12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50"/>
      <c r="M162" s="458"/>
      <c r="N162" s="1284"/>
      <c r="O162" s="146"/>
      <c r="P162" s="150"/>
      <c r="Q162" s="147"/>
      <c r="R162" s="1612"/>
      <c r="S162" s="142"/>
      <c r="T162" s="142"/>
      <c r="U162" s="146"/>
      <c r="V162" s="146"/>
      <c r="W162" s="146"/>
      <c r="X162" s="146"/>
      <c r="Y162" s="146"/>
      <c r="Z162" s="146"/>
      <c r="AA162" s="146"/>
      <c r="AB162" s="247">
        <v>0</v>
      </c>
      <c r="AC162" s="214">
        <v>0</v>
      </c>
      <c r="AD162" s="214">
        <v>0</v>
      </c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41" s="247" customFormat="1" ht="12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50"/>
      <c r="M163" s="458"/>
      <c r="N163" s="1284"/>
      <c r="O163" s="146"/>
      <c r="P163" s="150"/>
      <c r="Q163" s="147"/>
      <c r="R163" s="1612"/>
      <c r="S163" s="142"/>
      <c r="T163" s="142"/>
      <c r="U163" s="146"/>
      <c r="V163" s="146"/>
      <c r="W163" s="146"/>
      <c r="X163" s="146"/>
      <c r="Y163" s="146"/>
      <c r="Z163" s="146"/>
      <c r="AA163" s="146"/>
      <c r="AB163" s="247">
        <v>0</v>
      </c>
      <c r="AC163" s="214">
        <v>0</v>
      </c>
      <c r="AD163" s="214">
        <v>0</v>
      </c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41" s="247" customFormat="1">
      <c r="B164" s="144"/>
      <c r="C164" s="143"/>
      <c r="D164" s="907"/>
      <c r="E164" s="143"/>
      <c r="F164" s="145"/>
      <c r="G164" s="146"/>
      <c r="H164" s="146"/>
      <c r="I164" s="146"/>
      <c r="J164" s="146"/>
      <c r="K164" s="141"/>
      <c r="L164" s="150"/>
      <c r="M164" s="458"/>
      <c r="N164" s="1284"/>
      <c r="O164" s="146"/>
      <c r="P164" s="150"/>
      <c r="Q164" s="147"/>
      <c r="R164" s="1612"/>
      <c r="S164" s="142"/>
      <c r="T164" s="142"/>
      <c r="U164" s="146">
        <f>SUBTOTAL(9,U122:U163)</f>
        <v>0</v>
      </c>
      <c r="V164" s="146">
        <f t="shared" ref="V164:AA164" si="47">SUBTOTAL(9,V122:V163)</f>
        <v>0</v>
      </c>
      <c r="W164" s="146">
        <f t="shared" si="47"/>
        <v>0</v>
      </c>
      <c r="X164" s="146">
        <f t="shared" si="47"/>
        <v>0</v>
      </c>
      <c r="Y164" s="146">
        <f t="shared" si="47"/>
        <v>0</v>
      </c>
      <c r="Z164" s="146">
        <f t="shared" si="47"/>
        <v>0</v>
      </c>
      <c r="AA164" s="146">
        <f t="shared" si="47"/>
        <v>0</v>
      </c>
      <c r="AB164" s="247">
        <v>0</v>
      </c>
      <c r="AC164" s="214">
        <v>0</v>
      </c>
      <c r="AD164" s="214">
        <v>0</v>
      </c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41" s="213" customFormat="1" ht="14" thickBot="1">
      <c r="B165" s="139"/>
      <c r="C165" s="138"/>
      <c r="D165" s="908"/>
      <c r="E165" s="138"/>
      <c r="F165" s="140"/>
      <c r="G165" s="141"/>
      <c r="H165" s="141"/>
      <c r="I165" s="141"/>
      <c r="J165" s="141"/>
      <c r="K165" s="141"/>
      <c r="L165" s="150"/>
      <c r="M165" s="458"/>
      <c r="N165" s="1284"/>
      <c r="O165" s="141"/>
      <c r="P165" s="150"/>
      <c r="Q165" s="148"/>
      <c r="R165" s="1612"/>
      <c r="S165" s="149"/>
      <c r="T165" s="149"/>
      <c r="U165" s="150"/>
      <c r="V165" s="150"/>
      <c r="W165" s="150"/>
      <c r="X165" s="150"/>
      <c r="Y165" s="150"/>
      <c r="Z165" s="150"/>
      <c r="AA165" s="150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41" s="213" customFormat="1" ht="15" thickTop="1" thickBot="1">
      <c r="B166" s="139"/>
      <c r="C166" s="138"/>
      <c r="D166" s="908"/>
      <c r="E166" s="138"/>
      <c r="F166" s="140"/>
      <c r="G166" s="141"/>
      <c r="H166" s="141"/>
      <c r="I166" s="141"/>
      <c r="J166" s="141"/>
      <c r="K166" s="146"/>
      <c r="L166" s="150"/>
      <c r="M166" s="458"/>
      <c r="N166" s="1284"/>
      <c r="O166" s="141"/>
      <c r="P166" s="150"/>
      <c r="Q166" s="148"/>
      <c r="R166" s="1612"/>
      <c r="S166" s="148"/>
      <c r="T166" s="149"/>
      <c r="U166" s="151"/>
      <c r="V166" s="152"/>
      <c r="W166" s="153"/>
      <c r="X166" s="153"/>
      <c r="Y166" s="153"/>
      <c r="Z166" s="153"/>
      <c r="AA166" s="154"/>
      <c r="AB166" s="246"/>
      <c r="AC166" s="246"/>
      <c r="AE166" s="214"/>
      <c r="AF166" s="214"/>
      <c r="AG166" s="214"/>
      <c r="AH166" s="214"/>
      <c r="AI166" s="214"/>
      <c r="AJ166" s="214"/>
      <c r="AK166" s="214"/>
      <c r="AL166" s="214"/>
      <c r="AM166" s="214"/>
      <c r="AN166" s="214"/>
      <c r="AO166" s="214"/>
    </row>
    <row r="167" spans="2:41" s="247" customFormat="1" thickTop="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50"/>
      <c r="M167" s="458"/>
      <c r="N167" s="1284"/>
      <c r="O167" s="146"/>
      <c r="P167" s="150"/>
      <c r="Q167" s="147"/>
      <c r="R167" s="1612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41" s="247" customFormat="1" ht="12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50"/>
      <c r="M168" s="458"/>
      <c r="N168" s="1284"/>
      <c r="O168" s="146"/>
      <c r="P168" s="150"/>
      <c r="Q168" s="147"/>
      <c r="R168" s="1612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41" s="247" customFormat="1" ht="12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50"/>
      <c r="M169" s="458"/>
      <c r="N169" s="1284"/>
      <c r="O169" s="146"/>
      <c r="P169" s="150"/>
      <c r="Q169" s="147"/>
      <c r="R169" s="1612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41" s="247" customFormat="1" ht="12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50"/>
      <c r="M170" s="458"/>
      <c r="N170" s="1284"/>
      <c r="O170" s="146"/>
      <c r="P170" s="150"/>
      <c r="Q170" s="147"/>
      <c r="R170" s="1612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41" s="247" customFormat="1" ht="12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50"/>
      <c r="M171" s="458"/>
      <c r="N171" s="1284"/>
      <c r="O171" s="146"/>
      <c r="P171" s="150"/>
      <c r="Q171" s="147"/>
      <c r="R171" s="1612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41" s="247" customFormat="1" ht="12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50"/>
      <c r="M172" s="458"/>
      <c r="N172" s="1284"/>
      <c r="O172" s="146"/>
      <c r="P172" s="150"/>
      <c r="Q172" s="147"/>
      <c r="R172" s="1612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41" s="247" customFormat="1" ht="12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50"/>
      <c r="M173" s="458"/>
      <c r="N173" s="1284"/>
      <c r="O173" s="146"/>
      <c r="P173" s="150"/>
      <c r="Q173" s="147"/>
      <c r="R173" s="1612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41" s="247" customFormat="1" ht="12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50"/>
      <c r="M174" s="458"/>
      <c r="N174" s="1284"/>
      <c r="O174" s="146"/>
      <c r="P174" s="150"/>
      <c r="Q174" s="147"/>
      <c r="R174" s="1612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41" s="247" customFormat="1" ht="12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50"/>
      <c r="M175" s="458"/>
      <c r="N175" s="1284"/>
      <c r="O175" s="146"/>
      <c r="P175" s="150"/>
      <c r="Q175" s="147"/>
      <c r="R175" s="1612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41" s="247" customFormat="1" ht="12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50"/>
      <c r="M176" s="458"/>
      <c r="N176" s="1284"/>
      <c r="O176" s="146"/>
      <c r="P176" s="150"/>
      <c r="Q176" s="147"/>
      <c r="R176" s="1612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39" s="247" customFormat="1" ht="12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50"/>
      <c r="M177" s="458"/>
      <c r="N177" s="1284"/>
      <c r="O177" s="146"/>
      <c r="P177" s="150"/>
      <c r="Q177" s="147"/>
      <c r="R177" s="1612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39" s="247" customFormat="1" ht="12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50"/>
      <c r="M178" s="458"/>
      <c r="N178" s="1284"/>
      <c r="O178" s="146"/>
      <c r="P178" s="150"/>
      <c r="Q178" s="147"/>
      <c r="R178" s="1612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39" s="247" customFormat="1" ht="12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50"/>
      <c r="M179" s="458"/>
      <c r="N179" s="1284"/>
      <c r="O179" s="146"/>
      <c r="P179" s="150"/>
      <c r="Q179" s="147"/>
      <c r="R179" s="1612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39" s="247" customFormat="1" ht="12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50"/>
      <c r="M180" s="458"/>
      <c r="N180" s="1284"/>
      <c r="O180" s="146"/>
      <c r="P180" s="150"/>
      <c r="Q180" s="147"/>
      <c r="R180" s="1612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39" s="247" customFormat="1" ht="12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50"/>
      <c r="M181" s="458"/>
      <c r="N181" s="1284"/>
      <c r="O181" s="146"/>
      <c r="P181" s="150"/>
      <c r="Q181" s="147"/>
      <c r="R181" s="1612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39" s="247" customFormat="1" ht="12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50"/>
      <c r="M182" s="458"/>
      <c r="N182" s="1284"/>
      <c r="O182" s="146"/>
      <c r="P182" s="150"/>
      <c r="Q182" s="147"/>
      <c r="R182" s="1612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39" s="247" customFormat="1" ht="12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50"/>
      <c r="M183" s="458"/>
      <c r="N183" s="1284"/>
      <c r="O183" s="146"/>
      <c r="P183" s="150"/>
      <c r="Q183" s="147"/>
      <c r="R183" s="1612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39" s="247" customFormat="1" ht="12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50"/>
      <c r="M184" s="458"/>
      <c r="N184" s="1284"/>
      <c r="O184" s="146"/>
      <c r="P184" s="150"/>
      <c r="Q184" s="147"/>
      <c r="R184" s="1612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39" s="247" customFormat="1" ht="12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50"/>
      <c r="M185" s="458"/>
      <c r="N185" s="1284"/>
      <c r="O185" s="146"/>
      <c r="P185" s="150"/>
      <c r="Q185" s="147"/>
      <c r="R185" s="1612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39" s="247" customFormat="1" ht="12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50"/>
      <c r="M186" s="458"/>
      <c r="N186" s="1284"/>
      <c r="O186" s="146"/>
      <c r="P186" s="150"/>
      <c r="Q186" s="147"/>
      <c r="R186" s="1612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39" s="247" customFormat="1" ht="12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50"/>
      <c r="M187" s="458"/>
      <c r="N187" s="1284"/>
      <c r="O187" s="146"/>
      <c r="P187" s="150"/>
      <c r="Q187" s="147"/>
      <c r="R187" s="1612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39" s="247" customFormat="1" ht="12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50"/>
      <c r="M188" s="458"/>
      <c r="N188" s="1284"/>
      <c r="O188" s="146"/>
      <c r="P188" s="150"/>
      <c r="Q188" s="147"/>
      <c r="R188" s="1612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39" s="247" customFormat="1" ht="12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50"/>
      <c r="M189" s="458"/>
      <c r="N189" s="1284"/>
      <c r="O189" s="146"/>
      <c r="P189" s="150"/>
      <c r="Q189" s="147"/>
      <c r="R189" s="1612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39" s="247" customFormat="1" ht="12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50"/>
      <c r="M190" s="458"/>
      <c r="N190" s="1284"/>
      <c r="O190" s="146"/>
      <c r="P190" s="150"/>
      <c r="Q190" s="147"/>
      <c r="R190" s="1612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39" s="247" customFormat="1" ht="12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50"/>
      <c r="M191" s="458"/>
      <c r="N191" s="1284"/>
      <c r="O191" s="146"/>
      <c r="P191" s="150"/>
      <c r="Q191" s="147"/>
      <c r="R191" s="1612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39" s="247" customFormat="1" ht="12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50"/>
      <c r="M192" s="458"/>
      <c r="N192" s="1284"/>
      <c r="O192" s="146"/>
      <c r="P192" s="150"/>
      <c r="Q192" s="147"/>
      <c r="R192" s="1612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39" s="247" customFormat="1" ht="12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50"/>
      <c r="M193" s="458"/>
      <c r="N193" s="1284"/>
      <c r="O193" s="146"/>
      <c r="P193" s="150"/>
      <c r="Q193" s="147"/>
      <c r="R193" s="1612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39" s="247" customFormat="1" ht="12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50"/>
      <c r="M194" s="458"/>
      <c r="N194" s="1284"/>
      <c r="O194" s="146"/>
      <c r="P194" s="150"/>
      <c r="Q194" s="147"/>
      <c r="R194" s="1612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39" s="247" customFormat="1" ht="12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50"/>
      <c r="M195" s="458"/>
      <c r="N195" s="1284"/>
      <c r="O195" s="146"/>
      <c r="P195" s="150"/>
      <c r="Q195" s="147"/>
      <c r="R195" s="1612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39" s="247" customFormat="1" ht="12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50"/>
      <c r="M196" s="458"/>
      <c r="N196" s="1284"/>
      <c r="O196" s="146"/>
      <c r="P196" s="150"/>
      <c r="Q196" s="147"/>
      <c r="R196" s="1612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39" s="247" customFormat="1" ht="12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50"/>
      <c r="M197" s="458"/>
      <c r="N197" s="1284"/>
      <c r="O197" s="146"/>
      <c r="P197" s="150"/>
      <c r="Q197" s="147"/>
      <c r="R197" s="1612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39" s="247" customFormat="1" ht="12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50"/>
      <c r="M198" s="458"/>
      <c r="N198" s="1284"/>
      <c r="O198" s="146"/>
      <c r="P198" s="150"/>
      <c r="Q198" s="147"/>
      <c r="R198" s="1612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39" s="247" customFormat="1" ht="12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50"/>
      <c r="M199" s="458"/>
      <c r="N199" s="1284"/>
      <c r="O199" s="146"/>
      <c r="P199" s="150"/>
      <c r="Q199" s="147"/>
      <c r="R199" s="1612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39" s="247" customFormat="1" ht="12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50"/>
      <c r="M200" s="458"/>
      <c r="N200" s="1284"/>
      <c r="O200" s="146"/>
      <c r="P200" s="150"/>
      <c r="Q200" s="147"/>
      <c r="R200" s="1612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39" s="247" customFormat="1" ht="12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50"/>
      <c r="M201" s="458"/>
      <c r="N201" s="1284"/>
      <c r="O201" s="146"/>
      <c r="P201" s="150"/>
      <c r="Q201" s="147"/>
      <c r="R201" s="1612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39" s="247" customFormat="1" ht="12">
      <c r="B202" s="144"/>
      <c r="C202" s="143"/>
      <c r="D202" s="907"/>
      <c r="E202" s="143"/>
      <c r="F202" s="145"/>
      <c r="G202" s="146"/>
      <c r="H202" s="146"/>
      <c r="I202" s="146"/>
      <c r="J202" s="146"/>
      <c r="K202" s="250"/>
      <c r="L202" s="150"/>
      <c r="M202" s="458"/>
      <c r="N202" s="1284"/>
      <c r="O202" s="146"/>
      <c r="P202" s="150"/>
      <c r="Q202" s="147"/>
      <c r="R202" s="1612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39" s="247" customFormat="1" ht="12">
      <c r="B203" s="248"/>
      <c r="D203" s="909"/>
      <c r="F203" s="249"/>
      <c r="G203" s="250"/>
      <c r="H203" s="250"/>
      <c r="I203" s="250"/>
      <c r="J203" s="250"/>
      <c r="K203" s="250"/>
      <c r="L203" s="1291"/>
      <c r="M203" s="459"/>
      <c r="N203" s="1290"/>
      <c r="O203" s="146"/>
      <c r="P203" s="150"/>
      <c r="Q203" s="147"/>
      <c r="R203" s="1612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39" s="247" customFormat="1" ht="12">
      <c r="B204" s="248"/>
      <c r="D204" s="909"/>
      <c r="F204" s="249"/>
      <c r="G204" s="250"/>
      <c r="H204" s="250"/>
      <c r="I204" s="250"/>
      <c r="J204" s="250"/>
      <c r="K204" s="250"/>
      <c r="L204" s="1291"/>
      <c r="M204" s="459"/>
      <c r="N204" s="1290"/>
      <c r="O204" s="146"/>
      <c r="P204" s="150"/>
      <c r="Q204" s="147"/>
      <c r="R204" s="1612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39" s="247" customFormat="1" ht="12">
      <c r="B205" s="248"/>
      <c r="D205" s="909"/>
      <c r="F205" s="249"/>
      <c r="G205" s="250"/>
      <c r="H205" s="250"/>
      <c r="I205" s="250"/>
      <c r="J205" s="250"/>
      <c r="K205" s="250"/>
      <c r="L205" s="1291"/>
      <c r="M205" s="459"/>
      <c r="N205" s="1290"/>
      <c r="O205" s="146"/>
      <c r="P205" s="150"/>
      <c r="Q205" s="147"/>
      <c r="R205" s="1612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39" s="247" customFormat="1" ht="12">
      <c r="B206" s="248"/>
      <c r="D206" s="909"/>
      <c r="F206" s="249"/>
      <c r="G206" s="250"/>
      <c r="H206" s="250"/>
      <c r="I206" s="250"/>
      <c r="J206" s="250"/>
      <c r="K206" s="250"/>
      <c r="L206" s="1291"/>
      <c r="M206" s="459"/>
      <c r="N206" s="1290"/>
      <c r="O206" s="146"/>
      <c r="P206" s="150"/>
      <c r="Q206" s="147"/>
      <c r="R206" s="1612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39" s="247" customFormat="1">
      <c r="B207" s="248"/>
      <c r="D207" s="909"/>
      <c r="F207" s="249"/>
      <c r="G207" s="250"/>
      <c r="H207" s="250"/>
      <c r="I207" s="250"/>
      <c r="J207" s="250"/>
      <c r="K207" s="243"/>
      <c r="L207" s="1291"/>
      <c r="M207" s="459"/>
      <c r="N207" s="1290"/>
      <c r="O207" s="146"/>
      <c r="P207" s="150"/>
      <c r="Q207" s="147"/>
      <c r="R207" s="1612"/>
      <c r="S207" s="142"/>
      <c r="T207" s="142"/>
      <c r="U207" s="146">
        <f>SUBTOTAL(9,U165:U206)</f>
        <v>0</v>
      </c>
      <c r="V207" s="146">
        <f t="shared" ref="V207:AA207" si="48">SUBTOTAL(9,V165:V206)</f>
        <v>0</v>
      </c>
      <c r="W207" s="146">
        <f t="shared" si="48"/>
        <v>0</v>
      </c>
      <c r="X207" s="146">
        <f t="shared" si="48"/>
        <v>0</v>
      </c>
      <c r="Y207" s="146">
        <f t="shared" si="48"/>
        <v>0</v>
      </c>
      <c r="Z207" s="146">
        <f t="shared" si="48"/>
        <v>0</v>
      </c>
      <c r="AA207" s="146">
        <f t="shared" si="48"/>
        <v>0</v>
      </c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39" s="213" customFormat="1" ht="14" thickBot="1">
      <c r="B208" s="225"/>
      <c r="D208" s="910"/>
      <c r="F208" s="242"/>
      <c r="G208" s="243"/>
      <c r="H208" s="243"/>
      <c r="I208" s="243"/>
      <c r="J208" s="243"/>
      <c r="K208" s="243"/>
      <c r="L208" s="1291"/>
      <c r="M208" s="459"/>
      <c r="N208" s="1290"/>
      <c r="O208" s="141"/>
      <c r="P208" s="150"/>
      <c r="Q208" s="148"/>
      <c r="R208" s="1612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41" s="213" customFormat="1" ht="15" thickTop="1" thickBot="1">
      <c r="B209" s="225"/>
      <c r="D209" s="910"/>
      <c r="F209" s="242"/>
      <c r="G209" s="243"/>
      <c r="H209" s="243"/>
      <c r="I209" s="243"/>
      <c r="J209" s="243"/>
      <c r="K209" s="243"/>
      <c r="L209" s="1291"/>
      <c r="M209" s="459"/>
      <c r="N209" s="1290"/>
      <c r="O209" s="141"/>
      <c r="P209" s="150"/>
      <c r="Q209" s="148"/>
      <c r="R209" s="1612"/>
      <c r="S209" s="148"/>
      <c r="T209" s="148"/>
      <c r="U209" s="151">
        <f>SUBTOTAL(9,U167:U208)</f>
        <v>0</v>
      </c>
      <c r="V209" s="152">
        <f t="shared" ref="V209:AA209" si="49">SUBTOTAL(9,V167:V208)</f>
        <v>0</v>
      </c>
      <c r="W209" s="153">
        <f t="shared" si="49"/>
        <v>0</v>
      </c>
      <c r="X209" s="153">
        <f t="shared" si="49"/>
        <v>0</v>
      </c>
      <c r="Y209" s="153">
        <f t="shared" si="49"/>
        <v>0</v>
      </c>
      <c r="Z209" s="153">
        <f t="shared" si="49"/>
        <v>0</v>
      </c>
      <c r="AA209" s="154">
        <f t="shared" si="49"/>
        <v>0</v>
      </c>
      <c r="AB209" s="246"/>
      <c r="AC209" s="246"/>
      <c r="AE209" s="214"/>
      <c r="AF209" s="214"/>
      <c r="AG209" s="214"/>
      <c r="AH209" s="214"/>
      <c r="AI209" s="214"/>
      <c r="AJ209" s="214"/>
      <c r="AK209" s="214"/>
      <c r="AL209" s="214"/>
      <c r="AM209" s="214"/>
      <c r="AN209" s="214"/>
      <c r="AO209" s="214"/>
    </row>
    <row r="210" spans="2:41" s="213" customFormat="1" ht="14" thickTop="1">
      <c r="B210" s="225"/>
      <c r="D210" s="910"/>
      <c r="F210" s="242"/>
      <c r="G210" s="243"/>
      <c r="H210" s="243"/>
      <c r="I210" s="243"/>
      <c r="J210" s="243"/>
      <c r="K210" s="243"/>
      <c r="L210" s="1291"/>
      <c r="M210" s="459"/>
      <c r="N210" s="1290"/>
      <c r="O210" s="141"/>
      <c r="P210" s="150"/>
      <c r="Q210" s="148"/>
      <c r="R210" s="1612"/>
      <c r="S210" s="149"/>
      <c r="T210" s="149"/>
      <c r="U210" s="150"/>
      <c r="V210" s="150"/>
      <c r="W210" s="150"/>
      <c r="X210" s="150"/>
      <c r="Y210" s="150"/>
      <c r="Z210" s="150"/>
      <c r="AA210" s="150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41" s="213" customFormat="1">
      <c r="B211" s="225"/>
      <c r="D211" s="910"/>
      <c r="F211" s="242"/>
      <c r="G211" s="243"/>
      <c r="H211" s="243"/>
      <c r="I211" s="243"/>
      <c r="J211" s="243"/>
      <c r="K211" s="243"/>
      <c r="L211" s="1291"/>
      <c r="M211" s="459"/>
      <c r="N211" s="1290"/>
      <c r="O211" s="141"/>
      <c r="P211" s="150"/>
      <c r="Q211" s="148"/>
      <c r="R211" s="1612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41" s="213" customFormat="1">
      <c r="B212" s="225"/>
      <c r="D212" s="910"/>
      <c r="F212" s="242"/>
      <c r="G212" s="243"/>
      <c r="H212" s="243"/>
      <c r="I212" s="243"/>
      <c r="J212" s="243"/>
      <c r="K212" s="243"/>
      <c r="L212" s="1291"/>
      <c r="M212" s="459"/>
      <c r="N212" s="1290"/>
      <c r="O212" s="141"/>
      <c r="P212" s="150"/>
      <c r="Q212" s="148"/>
      <c r="R212" s="1612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41" s="213" customFormat="1">
      <c r="B213" s="225"/>
      <c r="D213" s="910"/>
      <c r="F213" s="242"/>
      <c r="G213" s="243"/>
      <c r="H213" s="243"/>
      <c r="I213" s="243"/>
      <c r="J213" s="243"/>
      <c r="K213" s="243"/>
      <c r="L213" s="1291"/>
      <c r="M213" s="459"/>
      <c r="N213" s="1290"/>
      <c r="O213" s="141"/>
      <c r="P213" s="150"/>
      <c r="Q213" s="148"/>
      <c r="R213" s="1612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41" s="213" customFormat="1">
      <c r="B214" s="225"/>
      <c r="D214" s="910"/>
      <c r="F214" s="242"/>
      <c r="G214" s="243"/>
      <c r="H214" s="243"/>
      <c r="I214" s="243"/>
      <c r="J214" s="243"/>
      <c r="K214" s="243"/>
      <c r="L214" s="1291"/>
      <c r="M214" s="459"/>
      <c r="N214" s="1290"/>
      <c r="O214" s="141"/>
      <c r="P214" s="150"/>
      <c r="Q214" s="148"/>
      <c r="R214" s="1612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41" s="213" customFormat="1">
      <c r="B215" s="225"/>
      <c r="D215" s="910"/>
      <c r="F215" s="242"/>
      <c r="G215" s="243"/>
      <c r="H215" s="243"/>
      <c r="I215" s="243"/>
      <c r="J215" s="243"/>
      <c r="K215" s="243"/>
      <c r="L215" s="1291"/>
      <c r="M215" s="459"/>
      <c r="N215" s="1290"/>
      <c r="O215" s="141"/>
      <c r="P215" s="150"/>
      <c r="Q215" s="148"/>
      <c r="R215" s="1612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41" s="213" customFormat="1">
      <c r="B216" s="225"/>
      <c r="D216" s="910"/>
      <c r="F216" s="242"/>
      <c r="G216" s="243"/>
      <c r="H216" s="243"/>
      <c r="I216" s="243"/>
      <c r="J216" s="243"/>
      <c r="K216" s="243"/>
      <c r="L216" s="1291"/>
      <c r="M216" s="459"/>
      <c r="N216" s="1290"/>
      <c r="O216" s="141"/>
      <c r="P216" s="150"/>
      <c r="Q216" s="148"/>
      <c r="R216" s="1612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41" s="213" customFormat="1">
      <c r="B217" s="225"/>
      <c r="D217" s="910"/>
      <c r="F217" s="242"/>
      <c r="G217" s="243"/>
      <c r="H217" s="243"/>
      <c r="I217" s="243"/>
      <c r="J217" s="243"/>
      <c r="K217" s="243"/>
      <c r="L217" s="1291"/>
      <c r="M217" s="459"/>
      <c r="N217" s="1290"/>
      <c r="O217" s="141"/>
      <c r="P217" s="150"/>
      <c r="Q217" s="148"/>
      <c r="R217" s="1612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41" s="213" customFormat="1">
      <c r="B218" s="225"/>
      <c r="D218" s="910"/>
      <c r="F218" s="242"/>
      <c r="G218" s="243"/>
      <c r="H218" s="243"/>
      <c r="I218" s="243"/>
      <c r="J218" s="243"/>
      <c r="K218" s="243"/>
      <c r="L218" s="1291"/>
      <c r="M218" s="459"/>
      <c r="N218" s="1290"/>
      <c r="O218" s="141"/>
      <c r="P218" s="150"/>
      <c r="Q218" s="148"/>
      <c r="R218" s="1612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41" s="213" customFormat="1">
      <c r="B219" s="225"/>
      <c r="D219" s="910"/>
      <c r="F219" s="242"/>
      <c r="G219" s="243"/>
      <c r="H219" s="243"/>
      <c r="I219" s="243"/>
      <c r="J219" s="243"/>
      <c r="K219" s="243"/>
      <c r="L219" s="1291"/>
      <c r="M219" s="459"/>
      <c r="N219" s="1290"/>
      <c r="O219" s="141"/>
      <c r="P219" s="150"/>
      <c r="Q219" s="148"/>
      <c r="R219" s="1612"/>
      <c r="S219" s="149"/>
      <c r="T219" s="149"/>
      <c r="U219" s="150"/>
      <c r="V219" s="150"/>
      <c r="W219" s="150"/>
      <c r="X219" s="150"/>
      <c r="Y219" s="150"/>
      <c r="Z219" s="150"/>
      <c r="AA219" s="150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41" s="213" customFormat="1">
      <c r="B220" s="225"/>
      <c r="D220" s="910"/>
      <c r="F220" s="242"/>
      <c r="G220" s="243"/>
      <c r="H220" s="243"/>
      <c r="I220" s="243"/>
      <c r="J220" s="243"/>
      <c r="K220" s="243"/>
      <c r="L220" s="1291"/>
      <c r="M220" s="459"/>
      <c r="N220" s="1290"/>
      <c r="O220" s="141"/>
      <c r="P220" s="150"/>
      <c r="Q220" s="148"/>
      <c r="R220" s="1612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41" s="213" customFormat="1">
      <c r="B221" s="225"/>
      <c r="D221" s="910"/>
      <c r="F221" s="242"/>
      <c r="G221" s="243"/>
      <c r="H221" s="243"/>
      <c r="I221" s="243"/>
      <c r="J221" s="243"/>
      <c r="K221" s="243"/>
      <c r="L221" s="1291"/>
      <c r="M221" s="459"/>
      <c r="N221" s="1290"/>
      <c r="O221" s="141"/>
      <c r="P221" s="150"/>
      <c r="Q221" s="148"/>
      <c r="R221" s="1612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</row>
    <row r="222" spans="2:41" s="213" customFormat="1">
      <c r="B222" s="225"/>
      <c r="D222" s="910"/>
      <c r="F222" s="242"/>
      <c r="G222" s="243"/>
      <c r="H222" s="243"/>
      <c r="I222" s="243"/>
      <c r="J222" s="243"/>
      <c r="K222" s="243"/>
      <c r="L222" s="1291"/>
      <c r="M222" s="459"/>
      <c r="N222" s="1290"/>
      <c r="O222" s="141"/>
      <c r="P222" s="150"/>
      <c r="Q222" s="148"/>
      <c r="R222" s="1612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41" s="213" customFormat="1">
      <c r="B223" s="225"/>
      <c r="D223" s="910"/>
      <c r="F223" s="242"/>
      <c r="G223" s="243"/>
      <c r="H223" s="243"/>
      <c r="I223" s="243"/>
      <c r="J223" s="243"/>
      <c r="K223" s="243"/>
      <c r="L223" s="1291"/>
      <c r="M223" s="459"/>
      <c r="N223" s="1290"/>
      <c r="O223" s="141"/>
      <c r="P223" s="150"/>
      <c r="Q223" s="148"/>
      <c r="R223" s="1612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</row>
    <row r="224" spans="2:41" s="213" customFormat="1">
      <c r="B224" s="225"/>
      <c r="D224" s="910"/>
      <c r="F224" s="242"/>
      <c r="G224" s="243"/>
      <c r="H224" s="243"/>
      <c r="I224" s="243"/>
      <c r="J224" s="243"/>
      <c r="K224" s="243"/>
      <c r="L224" s="1291"/>
      <c r="M224" s="459"/>
      <c r="N224" s="1290"/>
      <c r="O224" s="141"/>
      <c r="P224" s="150"/>
      <c r="Q224" s="148"/>
      <c r="R224" s="1612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2:39" s="213" customFormat="1">
      <c r="B225" s="225"/>
      <c r="D225" s="910"/>
      <c r="F225" s="242"/>
      <c r="G225" s="243"/>
      <c r="H225" s="243"/>
      <c r="I225" s="243"/>
      <c r="J225" s="243"/>
      <c r="K225" s="243"/>
      <c r="L225" s="1291"/>
      <c r="M225" s="459"/>
      <c r="N225" s="1290"/>
      <c r="O225" s="141"/>
      <c r="P225" s="150"/>
      <c r="Q225" s="148"/>
      <c r="R225" s="1612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</row>
    <row r="226" spans="2:39" s="213" customFormat="1">
      <c r="B226" s="225"/>
      <c r="D226" s="910"/>
      <c r="F226" s="242"/>
      <c r="G226" s="243"/>
      <c r="H226" s="243"/>
      <c r="I226" s="243"/>
      <c r="J226" s="243"/>
      <c r="K226" s="243"/>
      <c r="L226" s="1291"/>
      <c r="M226" s="459"/>
      <c r="N226" s="1290"/>
      <c r="O226" s="141"/>
      <c r="P226" s="150"/>
      <c r="Q226" s="148"/>
      <c r="R226" s="1612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2:39" s="213" customFormat="1">
      <c r="B227" s="225"/>
      <c r="D227" s="910"/>
      <c r="F227" s="242"/>
      <c r="G227" s="243"/>
      <c r="H227" s="243"/>
      <c r="I227" s="243"/>
      <c r="J227" s="243"/>
      <c r="K227" s="243"/>
      <c r="L227" s="1291"/>
      <c r="M227" s="459"/>
      <c r="N227" s="1290"/>
      <c r="O227" s="141"/>
      <c r="P227" s="150"/>
      <c r="Q227" s="148"/>
      <c r="R227" s="1612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2:39" s="213" customFormat="1">
      <c r="B228" s="225"/>
      <c r="D228" s="910"/>
      <c r="F228" s="242"/>
      <c r="G228" s="243"/>
      <c r="H228" s="243"/>
      <c r="I228" s="243"/>
      <c r="J228" s="243"/>
      <c r="K228" s="243"/>
      <c r="L228" s="1291"/>
      <c r="M228" s="459"/>
      <c r="N228" s="1290"/>
      <c r="O228" s="141"/>
      <c r="P228" s="150"/>
      <c r="Q228" s="148"/>
      <c r="R228" s="1612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2:39" s="213" customFormat="1">
      <c r="B229" s="225"/>
      <c r="D229" s="910"/>
      <c r="F229" s="242"/>
      <c r="G229" s="243"/>
      <c r="H229" s="243"/>
      <c r="I229" s="243"/>
      <c r="J229" s="243"/>
      <c r="K229" s="243"/>
      <c r="L229" s="1291"/>
      <c r="M229" s="459"/>
      <c r="N229" s="1290"/>
      <c r="O229" s="141"/>
      <c r="P229" s="150"/>
      <c r="Q229" s="148"/>
      <c r="R229" s="1612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2:39" s="213" customFormat="1">
      <c r="B230" s="225"/>
      <c r="D230" s="910"/>
      <c r="F230" s="242"/>
      <c r="G230" s="243"/>
      <c r="H230" s="243"/>
      <c r="I230" s="243"/>
      <c r="J230" s="243"/>
      <c r="K230" s="243"/>
      <c r="L230" s="1291"/>
      <c r="M230" s="459"/>
      <c r="N230" s="1290"/>
      <c r="O230" s="141"/>
      <c r="P230" s="150"/>
      <c r="Q230" s="148"/>
      <c r="R230" s="1612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</row>
    <row r="231" spans="2:39" s="213" customFormat="1">
      <c r="B231" s="225"/>
      <c r="D231" s="910"/>
      <c r="F231" s="242"/>
      <c r="G231" s="243"/>
      <c r="H231" s="243"/>
      <c r="I231" s="243"/>
      <c r="J231" s="243"/>
      <c r="K231" s="243"/>
      <c r="L231" s="1291"/>
      <c r="M231" s="459"/>
      <c r="N231" s="1290"/>
      <c r="O231" s="141"/>
      <c r="P231" s="150"/>
      <c r="Q231" s="148"/>
      <c r="R231" s="1612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2:39" s="213" customFormat="1">
      <c r="B232" s="225"/>
      <c r="D232" s="910"/>
      <c r="F232" s="242"/>
      <c r="G232" s="243"/>
      <c r="H232" s="243"/>
      <c r="I232" s="243"/>
      <c r="J232" s="243"/>
      <c r="K232" s="243"/>
      <c r="L232" s="1291"/>
      <c r="M232" s="459"/>
      <c r="N232" s="1290"/>
      <c r="O232" s="141"/>
      <c r="P232" s="150"/>
      <c r="Q232" s="148"/>
      <c r="R232" s="1612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2:39" s="213" customFormat="1">
      <c r="B233" s="225"/>
      <c r="D233" s="910"/>
      <c r="F233" s="242"/>
      <c r="G233" s="243"/>
      <c r="H233" s="243"/>
      <c r="I233" s="243"/>
      <c r="J233" s="243"/>
      <c r="K233" s="243"/>
      <c r="L233" s="1291"/>
      <c r="M233" s="459"/>
      <c r="N233" s="1290"/>
      <c r="O233" s="141"/>
      <c r="P233" s="150"/>
      <c r="Q233" s="148"/>
      <c r="R233" s="1612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2:39" s="213" customFormat="1">
      <c r="B234" s="225"/>
      <c r="D234" s="910"/>
      <c r="F234" s="242"/>
      <c r="G234" s="243"/>
      <c r="H234" s="243"/>
      <c r="I234" s="243"/>
      <c r="J234" s="243"/>
      <c r="K234" s="243"/>
      <c r="L234" s="1291"/>
      <c r="M234" s="459"/>
      <c r="N234" s="1290"/>
      <c r="O234" s="141"/>
      <c r="P234" s="150"/>
      <c r="Q234" s="148"/>
      <c r="R234" s="1612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14"/>
      <c r="AD234" s="214"/>
      <c r="AE234" s="214"/>
      <c r="AF234" s="214"/>
      <c r="AG234" s="214"/>
      <c r="AH234" s="214"/>
      <c r="AI234" s="214"/>
      <c r="AJ234" s="214"/>
      <c r="AK234" s="214"/>
      <c r="AL234" s="214"/>
      <c r="AM234" s="214"/>
    </row>
    <row r="235" spans="2:39" s="213" customFormat="1">
      <c r="B235" s="225"/>
      <c r="D235" s="910"/>
      <c r="F235" s="242"/>
      <c r="G235" s="243"/>
      <c r="H235" s="243"/>
      <c r="I235" s="243"/>
      <c r="J235" s="243"/>
      <c r="K235" s="243"/>
      <c r="L235" s="1291"/>
      <c r="M235" s="459"/>
      <c r="N235" s="1290"/>
      <c r="O235" s="141"/>
      <c r="P235" s="150"/>
      <c r="Q235" s="148"/>
      <c r="R235" s="1612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</row>
    <row r="236" spans="2:39" s="213" customFormat="1">
      <c r="B236" s="225"/>
      <c r="D236" s="910"/>
      <c r="F236" s="242"/>
      <c r="G236" s="243"/>
      <c r="H236" s="243"/>
      <c r="I236" s="243"/>
      <c r="J236" s="243"/>
      <c r="K236" s="243"/>
      <c r="L236" s="1291"/>
      <c r="M236" s="459"/>
      <c r="N236" s="1290"/>
      <c r="O236" s="141"/>
      <c r="P236" s="150"/>
      <c r="Q236" s="148"/>
      <c r="R236" s="1612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14"/>
      <c r="AD236" s="214"/>
      <c r="AE236" s="214"/>
      <c r="AF236" s="214"/>
      <c r="AG236" s="214"/>
      <c r="AH236" s="214"/>
      <c r="AI236" s="214"/>
      <c r="AJ236" s="214"/>
      <c r="AK236" s="214"/>
      <c r="AL236" s="214"/>
      <c r="AM236" s="214"/>
    </row>
    <row r="237" spans="2:39" s="213" customFormat="1">
      <c r="B237" s="225"/>
      <c r="D237" s="910"/>
      <c r="F237" s="242"/>
      <c r="G237" s="243"/>
      <c r="H237" s="243"/>
      <c r="I237" s="243"/>
      <c r="J237" s="243"/>
      <c r="K237" s="243"/>
      <c r="L237" s="1291"/>
      <c r="M237" s="459"/>
      <c r="N237" s="1290"/>
      <c r="O237" s="141"/>
      <c r="P237" s="150"/>
      <c r="Q237" s="148"/>
      <c r="R237" s="1612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14"/>
      <c r="AD237" s="214"/>
      <c r="AE237" s="214"/>
      <c r="AF237" s="214"/>
      <c r="AG237" s="214"/>
      <c r="AH237" s="214"/>
      <c r="AI237" s="214"/>
      <c r="AJ237" s="214"/>
      <c r="AK237" s="214"/>
      <c r="AL237" s="214"/>
      <c r="AM237" s="214"/>
    </row>
    <row r="238" spans="2:39" s="213" customFormat="1">
      <c r="B238" s="225"/>
      <c r="D238" s="910"/>
      <c r="F238" s="242"/>
      <c r="G238" s="243"/>
      <c r="H238" s="243"/>
      <c r="I238" s="243"/>
      <c r="J238" s="243"/>
      <c r="K238" s="243"/>
      <c r="L238" s="1291"/>
      <c r="M238" s="459"/>
      <c r="N238" s="1290"/>
      <c r="O238" s="141"/>
      <c r="P238" s="150"/>
      <c r="Q238" s="148"/>
      <c r="R238" s="1612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14"/>
      <c r="AD238" s="214"/>
      <c r="AE238" s="214"/>
      <c r="AF238" s="214"/>
      <c r="AG238" s="214"/>
      <c r="AH238" s="214"/>
      <c r="AI238" s="214"/>
      <c r="AJ238" s="214"/>
      <c r="AK238" s="214"/>
      <c r="AL238" s="214"/>
      <c r="AM238" s="214"/>
    </row>
    <row r="239" spans="2:39" s="213" customFormat="1">
      <c r="B239" s="225"/>
      <c r="D239" s="910"/>
      <c r="F239" s="242"/>
      <c r="G239" s="243"/>
      <c r="H239" s="243"/>
      <c r="I239" s="243"/>
      <c r="J239" s="243"/>
      <c r="K239" s="243"/>
      <c r="L239" s="1291"/>
      <c r="M239" s="459"/>
      <c r="N239" s="1290"/>
      <c r="O239" s="141"/>
      <c r="P239" s="150"/>
      <c r="Q239" s="148"/>
      <c r="R239" s="1612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14"/>
      <c r="AD239" s="214"/>
      <c r="AE239" s="214"/>
      <c r="AF239" s="214"/>
      <c r="AG239" s="214"/>
      <c r="AH239" s="214"/>
      <c r="AI239" s="214"/>
      <c r="AJ239" s="214"/>
      <c r="AK239" s="214"/>
      <c r="AL239" s="214"/>
      <c r="AM239" s="214"/>
    </row>
    <row r="240" spans="2:39" s="213" customFormat="1">
      <c r="B240" s="225"/>
      <c r="D240" s="910"/>
      <c r="F240" s="242"/>
      <c r="G240" s="243"/>
      <c r="H240" s="243"/>
      <c r="I240" s="243"/>
      <c r="J240" s="243"/>
      <c r="K240" s="208"/>
      <c r="L240" s="1291"/>
      <c r="M240" s="459"/>
      <c r="N240" s="1290"/>
      <c r="O240" s="141"/>
      <c r="P240" s="150"/>
      <c r="Q240" s="148"/>
      <c r="R240" s="1612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14"/>
      <c r="AD240" s="214"/>
      <c r="AE240" s="214"/>
      <c r="AF240" s="214"/>
      <c r="AG240" s="214"/>
      <c r="AH240" s="214"/>
      <c r="AI240" s="214"/>
      <c r="AJ240" s="214"/>
      <c r="AK240" s="214"/>
      <c r="AL240" s="214"/>
      <c r="AM240" s="214"/>
    </row>
    <row r="241" spans="1:40">
      <c r="A241" s="204"/>
      <c r="O241" s="155"/>
      <c r="P241" s="1215"/>
      <c r="Q241" s="156"/>
      <c r="R241" s="1613"/>
      <c r="S241" s="251"/>
      <c r="T241" s="251"/>
      <c r="U241" s="252"/>
      <c r="V241" s="252"/>
      <c r="W241" s="252"/>
      <c r="X241" s="252"/>
      <c r="Y241" s="252"/>
      <c r="Z241" s="252"/>
      <c r="AA241" s="252"/>
      <c r="AN241" s="204"/>
    </row>
    <row r="242" spans="1:40">
      <c r="A242" s="204"/>
      <c r="O242" s="155"/>
      <c r="P242" s="1215"/>
      <c r="Q242" s="156"/>
      <c r="R242" s="1613"/>
      <c r="S242" s="251"/>
      <c r="T242" s="251"/>
      <c r="U242" s="252"/>
      <c r="V242" s="252"/>
      <c r="W242" s="252"/>
      <c r="X242" s="252"/>
      <c r="Y242" s="252"/>
      <c r="Z242" s="252"/>
      <c r="AA242" s="252"/>
      <c r="AN242" s="204"/>
    </row>
    <row r="243" spans="1:40">
      <c r="A243" s="204"/>
      <c r="O243" s="155"/>
      <c r="P243" s="1215"/>
      <c r="Q243" s="156"/>
      <c r="R243" s="1613"/>
      <c r="S243" s="251"/>
      <c r="T243" s="251"/>
      <c r="U243" s="252"/>
      <c r="V243" s="252"/>
      <c r="W243" s="252"/>
      <c r="X243" s="252"/>
      <c r="Y243" s="252"/>
      <c r="Z243" s="252"/>
      <c r="AA243" s="252"/>
      <c r="AN243" s="204"/>
    </row>
    <row r="244" spans="1:40">
      <c r="A244" s="204"/>
      <c r="O244" s="155"/>
      <c r="P244" s="1215"/>
      <c r="Q244" s="156"/>
      <c r="R244" s="1613"/>
      <c r="S244" s="251"/>
      <c r="T244" s="251"/>
      <c r="U244" s="252"/>
      <c r="V244" s="252"/>
      <c r="W244" s="252"/>
      <c r="X244" s="252"/>
      <c r="Y244" s="252"/>
      <c r="Z244" s="252"/>
      <c r="AA244" s="252"/>
      <c r="AN244" s="204"/>
    </row>
    <row r="245" spans="1:40">
      <c r="A245" s="204"/>
      <c r="O245" s="155"/>
      <c r="P245" s="1215"/>
      <c r="Q245" s="156"/>
      <c r="R245" s="1613"/>
      <c r="S245" s="251"/>
      <c r="T245" s="251"/>
      <c r="U245" s="252"/>
      <c r="V245" s="252"/>
      <c r="W245" s="252"/>
      <c r="X245" s="252"/>
      <c r="Y245" s="252"/>
      <c r="Z245" s="252"/>
      <c r="AA245" s="252"/>
      <c r="AN245" s="204"/>
    </row>
    <row r="246" spans="1:40">
      <c r="A246" s="204"/>
      <c r="O246" s="155"/>
      <c r="P246" s="1215"/>
      <c r="Q246" s="156"/>
      <c r="R246" s="1613"/>
      <c r="S246" s="251"/>
      <c r="T246" s="251"/>
      <c r="U246" s="252"/>
      <c r="V246" s="252"/>
      <c r="W246" s="252"/>
      <c r="X246" s="252"/>
      <c r="Y246" s="252"/>
      <c r="Z246" s="252"/>
      <c r="AA246" s="252"/>
      <c r="AN246" s="204"/>
    </row>
    <row r="247" spans="1:40">
      <c r="A247" s="204"/>
      <c r="O247" s="155"/>
      <c r="P247" s="1215"/>
      <c r="Q247" s="156"/>
      <c r="R247" s="1613"/>
      <c r="S247" s="251"/>
      <c r="T247" s="251"/>
      <c r="U247" s="252"/>
      <c r="V247" s="252"/>
      <c r="W247" s="252"/>
      <c r="X247" s="252"/>
      <c r="Y247" s="252"/>
      <c r="Z247" s="252"/>
      <c r="AA247" s="252"/>
      <c r="AN247" s="204"/>
    </row>
    <row r="248" spans="1:40">
      <c r="A248" s="204"/>
      <c r="O248" s="155"/>
      <c r="P248" s="1215"/>
      <c r="Q248" s="156"/>
      <c r="R248" s="1613"/>
      <c r="S248" s="251"/>
      <c r="T248" s="251"/>
      <c r="U248" s="252"/>
      <c r="V248" s="252"/>
      <c r="W248" s="252"/>
      <c r="X248" s="252"/>
      <c r="Y248" s="252"/>
      <c r="Z248" s="252"/>
      <c r="AA248" s="252"/>
      <c r="AN248" s="204"/>
    </row>
    <row r="249" spans="1:40">
      <c r="A249" s="204"/>
      <c r="K249" s="204"/>
      <c r="O249" s="155"/>
      <c r="P249" s="1215"/>
      <c r="Q249" s="156"/>
      <c r="R249" s="1613"/>
      <c r="S249" s="251"/>
      <c r="T249" s="251"/>
      <c r="U249" s="252"/>
      <c r="V249" s="252"/>
      <c r="W249" s="252"/>
      <c r="X249" s="252"/>
      <c r="Y249" s="252"/>
      <c r="Z249" s="252"/>
      <c r="AA249" s="252"/>
      <c r="AN249" s="204"/>
    </row>
    <row r="250" spans="1:40">
      <c r="A250" s="204"/>
      <c r="B250" s="204"/>
      <c r="D250" s="204"/>
      <c r="F250" s="204"/>
      <c r="G250" s="204"/>
      <c r="H250" s="204"/>
      <c r="I250" s="204"/>
      <c r="J250" s="204"/>
      <c r="K250" s="204"/>
      <c r="L250" s="1281"/>
      <c r="M250" s="204"/>
      <c r="N250" s="245"/>
      <c r="O250" s="155"/>
      <c r="P250" s="1215"/>
      <c r="Q250" s="156"/>
      <c r="R250" s="1613"/>
      <c r="S250" s="251"/>
      <c r="T250" s="251"/>
      <c r="U250" s="252"/>
      <c r="V250" s="252"/>
      <c r="W250" s="252"/>
      <c r="X250" s="252"/>
      <c r="Y250" s="252"/>
      <c r="Z250" s="252"/>
      <c r="AA250" s="252"/>
      <c r="AB250" s="204"/>
      <c r="AC250" s="204"/>
      <c r="AD250" s="204"/>
      <c r="AE250" s="204"/>
      <c r="AF250" s="204"/>
      <c r="AG250" s="204"/>
      <c r="AH250" s="204"/>
      <c r="AI250" s="204"/>
      <c r="AJ250" s="204"/>
      <c r="AK250" s="204"/>
      <c r="AL250" s="204"/>
      <c r="AM250" s="204"/>
      <c r="AN250" s="204"/>
    </row>
    <row r="251" spans="1:40">
      <c r="A251" s="204"/>
      <c r="B251" s="204"/>
      <c r="D251" s="204"/>
      <c r="F251" s="204"/>
      <c r="G251" s="204"/>
      <c r="H251" s="204"/>
      <c r="I251" s="204"/>
      <c r="J251" s="204"/>
      <c r="K251" s="204"/>
      <c r="L251" s="1281"/>
      <c r="M251" s="204"/>
      <c r="N251" s="245"/>
      <c r="O251" s="155"/>
      <c r="P251" s="1215"/>
      <c r="Q251" s="156"/>
      <c r="R251" s="1613"/>
      <c r="S251" s="251"/>
      <c r="T251" s="251"/>
      <c r="U251" s="252"/>
      <c r="V251" s="252"/>
      <c r="W251" s="252"/>
      <c r="X251" s="252"/>
      <c r="Y251" s="252"/>
      <c r="Z251" s="252"/>
      <c r="AA251" s="252"/>
      <c r="AB251" s="204"/>
      <c r="AC251" s="204"/>
      <c r="AD251" s="204"/>
      <c r="AE251" s="204"/>
      <c r="AF251" s="204"/>
      <c r="AG251" s="204"/>
      <c r="AH251" s="204"/>
      <c r="AI251" s="204"/>
      <c r="AJ251" s="204"/>
      <c r="AK251" s="204"/>
      <c r="AL251" s="204"/>
      <c r="AM251" s="204"/>
      <c r="AN251" s="204"/>
    </row>
    <row r="252" spans="1:40">
      <c r="A252" s="204"/>
      <c r="B252" s="204"/>
      <c r="D252" s="204"/>
      <c r="F252" s="204"/>
      <c r="G252" s="204"/>
      <c r="H252" s="204"/>
      <c r="I252" s="204"/>
      <c r="J252" s="204"/>
      <c r="K252" s="204"/>
      <c r="L252" s="1281"/>
      <c r="M252" s="204"/>
      <c r="N252" s="245"/>
      <c r="O252" s="155"/>
      <c r="P252" s="1215"/>
      <c r="Q252" s="156"/>
      <c r="R252" s="1613"/>
      <c r="S252" s="251"/>
      <c r="T252" s="251"/>
      <c r="U252" s="252"/>
      <c r="V252" s="252"/>
      <c r="W252" s="252"/>
      <c r="X252" s="252"/>
      <c r="Y252" s="252"/>
      <c r="Z252" s="252"/>
      <c r="AA252" s="252"/>
      <c r="AB252" s="204"/>
      <c r="AC252" s="204"/>
      <c r="AD252" s="204"/>
      <c r="AE252" s="204"/>
      <c r="AF252" s="204"/>
      <c r="AG252" s="204"/>
      <c r="AH252" s="204"/>
      <c r="AI252" s="204"/>
      <c r="AJ252" s="204"/>
      <c r="AK252" s="204"/>
      <c r="AL252" s="204"/>
      <c r="AM252" s="204"/>
      <c r="AN252" s="204"/>
    </row>
    <row r="253" spans="1:40">
      <c r="A253" s="204"/>
      <c r="B253" s="204"/>
      <c r="D253" s="204"/>
      <c r="F253" s="204"/>
      <c r="G253" s="204"/>
      <c r="H253" s="204"/>
      <c r="I253" s="204"/>
      <c r="J253" s="204"/>
      <c r="K253" s="204"/>
      <c r="L253" s="1281"/>
      <c r="M253" s="204"/>
      <c r="N253" s="245"/>
      <c r="O253" s="155"/>
      <c r="P253" s="1215"/>
      <c r="Q253" s="156"/>
      <c r="R253" s="1613"/>
      <c r="S253" s="251"/>
      <c r="T253" s="251"/>
      <c r="U253" s="252"/>
      <c r="V253" s="252"/>
      <c r="W253" s="252"/>
      <c r="X253" s="252"/>
      <c r="Y253" s="252"/>
      <c r="Z253" s="252"/>
      <c r="AA253" s="252"/>
      <c r="AB253" s="204"/>
      <c r="AC253" s="204"/>
      <c r="AD253" s="204"/>
      <c r="AE253" s="204"/>
      <c r="AF253" s="204"/>
      <c r="AG253" s="204"/>
      <c r="AH253" s="204"/>
      <c r="AI253" s="204"/>
      <c r="AJ253" s="204"/>
      <c r="AK253" s="204"/>
      <c r="AL253" s="204"/>
      <c r="AM253" s="204"/>
      <c r="AN253" s="204"/>
    </row>
    <row r="254" spans="1:40">
      <c r="A254" s="204"/>
      <c r="B254" s="204"/>
      <c r="D254" s="204"/>
      <c r="F254" s="204"/>
      <c r="G254" s="204"/>
      <c r="H254" s="204"/>
      <c r="I254" s="204"/>
      <c r="J254" s="204"/>
      <c r="K254" s="204"/>
      <c r="L254" s="1281"/>
      <c r="M254" s="204"/>
      <c r="N254" s="245"/>
      <c r="AB254" s="204"/>
      <c r="AC254" s="204"/>
      <c r="AD254" s="204"/>
      <c r="AE254" s="204"/>
      <c r="AF254" s="204"/>
      <c r="AG254" s="204"/>
      <c r="AH254" s="204"/>
      <c r="AI254" s="204"/>
      <c r="AJ254" s="204"/>
      <c r="AK254" s="204"/>
      <c r="AL254" s="204"/>
      <c r="AM254" s="204"/>
      <c r="AN254" s="204"/>
    </row>
    <row r="255" spans="1:40">
      <c r="A255" s="204"/>
      <c r="B255" s="204"/>
      <c r="D255" s="204"/>
      <c r="F255" s="204"/>
      <c r="G255" s="204"/>
      <c r="H255" s="204"/>
      <c r="I255" s="204"/>
      <c r="J255" s="204"/>
      <c r="K255" s="204"/>
      <c r="L255" s="1281"/>
      <c r="M255" s="204"/>
      <c r="N255" s="245"/>
      <c r="AB255" s="204"/>
      <c r="AC255" s="204"/>
      <c r="AD255" s="204"/>
      <c r="AE255" s="204"/>
      <c r="AF255" s="204"/>
      <c r="AG255" s="204"/>
      <c r="AH255" s="204"/>
      <c r="AI255" s="204"/>
      <c r="AJ255" s="204"/>
      <c r="AK255" s="204"/>
      <c r="AL255" s="204"/>
      <c r="AM255" s="204"/>
      <c r="AN255" s="204"/>
    </row>
    <row r="256" spans="1:40">
      <c r="A256" s="204"/>
      <c r="B256" s="204"/>
      <c r="D256" s="204"/>
      <c r="F256" s="204"/>
      <c r="G256" s="204"/>
      <c r="H256" s="204"/>
      <c r="I256" s="204"/>
      <c r="J256" s="204"/>
      <c r="K256" s="204"/>
      <c r="L256" s="1281"/>
      <c r="M256" s="204"/>
      <c r="N256" s="245"/>
      <c r="AB256" s="204"/>
      <c r="AC256" s="204"/>
      <c r="AD256" s="204"/>
      <c r="AE256" s="204"/>
      <c r="AF256" s="204"/>
      <c r="AG256" s="204"/>
      <c r="AH256" s="204"/>
      <c r="AI256" s="204"/>
      <c r="AJ256" s="204"/>
      <c r="AK256" s="204"/>
      <c r="AL256" s="204"/>
      <c r="AM256" s="204"/>
      <c r="AN256" s="204"/>
    </row>
    <row r="257" spans="1:40">
      <c r="A257" s="204"/>
      <c r="B257" s="204"/>
      <c r="D257" s="204"/>
      <c r="F257" s="204"/>
      <c r="G257" s="204"/>
      <c r="H257" s="204"/>
      <c r="I257" s="204"/>
      <c r="J257" s="204"/>
      <c r="K257" s="204"/>
      <c r="L257" s="1281"/>
      <c r="M257" s="204"/>
      <c r="N257" s="245"/>
      <c r="AB257" s="204"/>
      <c r="AC257" s="204"/>
      <c r="AD257" s="204"/>
      <c r="AE257" s="204"/>
      <c r="AF257" s="204"/>
      <c r="AG257" s="204"/>
      <c r="AH257" s="204"/>
      <c r="AI257" s="204"/>
      <c r="AJ257" s="204"/>
      <c r="AK257" s="204"/>
      <c r="AL257" s="204"/>
      <c r="AM257" s="204"/>
      <c r="AN257" s="204"/>
    </row>
    <row r="258" spans="1:40">
      <c r="A258" s="204"/>
      <c r="B258" s="204"/>
      <c r="D258" s="204"/>
      <c r="F258" s="204"/>
      <c r="G258" s="204"/>
      <c r="H258" s="204"/>
      <c r="I258" s="204"/>
      <c r="J258" s="204"/>
      <c r="K258" s="204"/>
      <c r="L258" s="1281"/>
      <c r="M258" s="204"/>
      <c r="N258" s="245"/>
      <c r="AB258" s="204"/>
      <c r="AC258" s="204"/>
      <c r="AD258" s="204"/>
      <c r="AE258" s="204"/>
      <c r="AF258" s="204"/>
      <c r="AG258" s="204"/>
      <c r="AH258" s="204"/>
      <c r="AI258" s="204"/>
      <c r="AJ258" s="204"/>
      <c r="AK258" s="204"/>
      <c r="AL258" s="204"/>
      <c r="AM258" s="204"/>
      <c r="AN258" s="204"/>
    </row>
    <row r="259" spans="1:40">
      <c r="A259" s="204"/>
      <c r="B259" s="204"/>
      <c r="D259" s="204"/>
      <c r="F259" s="204"/>
      <c r="G259" s="204"/>
      <c r="H259" s="204"/>
      <c r="I259" s="204"/>
      <c r="J259" s="204"/>
      <c r="K259" s="204"/>
      <c r="L259" s="1281"/>
      <c r="M259" s="204"/>
      <c r="N259" s="245"/>
      <c r="AB259" s="204"/>
      <c r="AC259" s="204"/>
      <c r="AD259" s="204"/>
      <c r="AE259" s="204"/>
      <c r="AF259" s="204"/>
      <c r="AG259" s="204"/>
      <c r="AH259" s="204"/>
      <c r="AI259" s="204"/>
      <c r="AJ259" s="204"/>
      <c r="AK259" s="204"/>
      <c r="AL259" s="204"/>
      <c r="AM259" s="204"/>
      <c r="AN259" s="204"/>
    </row>
    <row r="260" spans="1:40">
      <c r="A260" s="204"/>
      <c r="B260" s="204"/>
      <c r="D260" s="204"/>
      <c r="F260" s="204"/>
      <c r="G260" s="204"/>
      <c r="H260" s="204"/>
      <c r="I260" s="204"/>
      <c r="J260" s="204"/>
      <c r="K260" s="204"/>
      <c r="L260" s="1281"/>
      <c r="M260" s="204"/>
      <c r="N260" s="245"/>
      <c r="AB260" s="204"/>
      <c r="AC260" s="204"/>
      <c r="AD260" s="204"/>
      <c r="AE260" s="204"/>
      <c r="AF260" s="204"/>
      <c r="AG260" s="204"/>
      <c r="AH260" s="204"/>
      <c r="AI260" s="204"/>
      <c r="AJ260" s="204"/>
      <c r="AK260" s="204"/>
      <c r="AL260" s="204"/>
      <c r="AM260" s="204"/>
      <c r="AN260" s="204"/>
    </row>
    <row r="261" spans="1:40">
      <c r="A261" s="204"/>
      <c r="B261" s="204"/>
      <c r="D261" s="204"/>
      <c r="F261" s="204"/>
      <c r="G261" s="204"/>
      <c r="H261" s="204"/>
      <c r="I261" s="204"/>
      <c r="J261" s="204"/>
      <c r="K261" s="204"/>
      <c r="L261" s="1281"/>
      <c r="M261" s="204"/>
      <c r="N261" s="245"/>
      <c r="AB261" s="204"/>
      <c r="AC261" s="204"/>
      <c r="AD261" s="204"/>
      <c r="AE261" s="204"/>
      <c r="AF261" s="204"/>
      <c r="AG261" s="204"/>
      <c r="AH261" s="204"/>
      <c r="AI261" s="204"/>
      <c r="AJ261" s="204"/>
      <c r="AK261" s="204"/>
      <c r="AL261" s="204"/>
      <c r="AM261" s="204"/>
      <c r="AN261" s="204"/>
    </row>
    <row r="262" spans="1:40">
      <c r="A262" s="204"/>
      <c r="B262" s="204"/>
      <c r="D262" s="204"/>
      <c r="F262" s="204"/>
      <c r="G262" s="204"/>
      <c r="H262" s="204"/>
      <c r="I262" s="204"/>
      <c r="J262" s="204"/>
      <c r="K262" s="204"/>
      <c r="L262" s="1281"/>
      <c r="M262" s="204"/>
      <c r="N262" s="245"/>
      <c r="AB262" s="204"/>
      <c r="AC262" s="204"/>
      <c r="AD262" s="204"/>
      <c r="AE262" s="204"/>
      <c r="AF262" s="204"/>
      <c r="AG262" s="204"/>
      <c r="AH262" s="204"/>
      <c r="AI262" s="204"/>
      <c r="AJ262" s="204"/>
      <c r="AK262" s="204"/>
      <c r="AL262" s="204"/>
      <c r="AM262" s="204"/>
      <c r="AN262" s="204"/>
    </row>
    <row r="263" spans="1:40">
      <c r="A263" s="204"/>
      <c r="B263" s="204"/>
      <c r="D263" s="204"/>
      <c r="F263" s="204"/>
      <c r="G263" s="204"/>
      <c r="H263" s="204"/>
      <c r="I263" s="204"/>
      <c r="J263" s="204"/>
      <c r="K263" s="204"/>
      <c r="L263" s="1281"/>
      <c r="M263" s="204"/>
      <c r="N263" s="245"/>
      <c r="AB263" s="204"/>
      <c r="AC263" s="204"/>
      <c r="AD263" s="204"/>
      <c r="AE263" s="204"/>
      <c r="AF263" s="204"/>
      <c r="AG263" s="204"/>
      <c r="AH263" s="204"/>
      <c r="AI263" s="204"/>
      <c r="AJ263" s="204"/>
      <c r="AK263" s="204"/>
      <c r="AL263" s="204"/>
      <c r="AM263" s="204"/>
      <c r="AN263" s="204"/>
    </row>
    <row r="264" spans="1:40">
      <c r="A264" s="204"/>
      <c r="B264" s="204"/>
      <c r="D264" s="204"/>
      <c r="F264" s="204"/>
      <c r="G264" s="204"/>
      <c r="H264" s="204"/>
      <c r="I264" s="204"/>
      <c r="J264" s="204"/>
      <c r="K264" s="204"/>
      <c r="L264" s="1281"/>
      <c r="M264" s="204"/>
      <c r="N264" s="245"/>
      <c r="AB264" s="204"/>
      <c r="AC264" s="204"/>
      <c r="AD264" s="204"/>
      <c r="AE264" s="204"/>
      <c r="AF264" s="204"/>
      <c r="AG264" s="204"/>
      <c r="AH264" s="204"/>
      <c r="AI264" s="204"/>
      <c r="AJ264" s="204"/>
      <c r="AK264" s="204"/>
      <c r="AL264" s="204"/>
      <c r="AM264" s="204"/>
      <c r="AN264" s="204"/>
    </row>
    <row r="265" spans="1:40">
      <c r="A265" s="204"/>
      <c r="B265" s="204"/>
      <c r="D265" s="204"/>
      <c r="F265" s="204"/>
      <c r="G265" s="204"/>
      <c r="H265" s="204"/>
      <c r="I265" s="204"/>
      <c r="J265" s="204"/>
      <c r="K265" s="204"/>
      <c r="L265" s="1281"/>
      <c r="M265" s="204"/>
      <c r="N265" s="245"/>
      <c r="AB265" s="204"/>
      <c r="AC265" s="204"/>
      <c r="AD265" s="204"/>
      <c r="AE265" s="204"/>
      <c r="AF265" s="204"/>
      <c r="AG265" s="204"/>
      <c r="AH265" s="204"/>
      <c r="AI265" s="204"/>
      <c r="AJ265" s="204"/>
      <c r="AK265" s="204"/>
      <c r="AL265" s="204"/>
      <c r="AM265" s="204"/>
      <c r="AN265" s="204"/>
    </row>
    <row r="266" spans="1:40">
      <c r="A266" s="204"/>
      <c r="B266" s="204"/>
      <c r="D266" s="204"/>
      <c r="F266" s="204"/>
      <c r="G266" s="204"/>
      <c r="H266" s="204"/>
      <c r="I266" s="204"/>
      <c r="J266" s="204"/>
      <c r="K266" s="204"/>
      <c r="L266" s="1281"/>
      <c r="M266" s="204"/>
      <c r="N266" s="245"/>
      <c r="O266" s="204"/>
      <c r="P266" s="245"/>
      <c r="Q266" s="1959"/>
      <c r="R266" s="1614"/>
      <c r="S266" s="204"/>
      <c r="T266" s="204"/>
      <c r="U266" s="204"/>
      <c r="V266" s="204"/>
      <c r="W266" s="204"/>
      <c r="X266" s="204"/>
      <c r="Y266" s="204"/>
      <c r="Z266" s="204"/>
      <c r="AA266" s="204"/>
      <c r="AB266" s="204"/>
      <c r="AC266" s="204"/>
      <c r="AD266" s="204"/>
      <c r="AE266" s="204"/>
      <c r="AF266" s="204"/>
      <c r="AG266" s="204"/>
      <c r="AH266" s="204"/>
      <c r="AI266" s="204"/>
      <c r="AJ266" s="204"/>
      <c r="AK266" s="204"/>
      <c r="AL266" s="204"/>
      <c r="AM266" s="204"/>
      <c r="AN266" s="204"/>
    </row>
    <row r="267" spans="1:40">
      <c r="A267" s="204"/>
      <c r="B267" s="204"/>
      <c r="D267" s="204"/>
      <c r="F267" s="204"/>
      <c r="G267" s="204"/>
      <c r="H267" s="204"/>
      <c r="I267" s="204"/>
      <c r="J267" s="204"/>
      <c r="K267" s="204"/>
      <c r="L267" s="1281"/>
      <c r="M267" s="204"/>
      <c r="N267" s="245"/>
      <c r="O267" s="204"/>
      <c r="P267" s="245"/>
      <c r="Q267" s="1959"/>
      <c r="R267" s="1614"/>
      <c r="S267" s="204"/>
      <c r="T267" s="204"/>
      <c r="U267" s="204"/>
      <c r="V267" s="204"/>
      <c r="W267" s="204"/>
      <c r="X267" s="204"/>
      <c r="Y267" s="204"/>
      <c r="Z267" s="204"/>
      <c r="AA267" s="204"/>
      <c r="AB267" s="204"/>
      <c r="AC267" s="204"/>
      <c r="AD267" s="204"/>
      <c r="AE267" s="204"/>
      <c r="AF267" s="204"/>
      <c r="AG267" s="204"/>
      <c r="AH267" s="204"/>
      <c r="AI267" s="204"/>
      <c r="AJ267" s="204"/>
      <c r="AK267" s="204"/>
      <c r="AL267" s="204"/>
      <c r="AM267" s="204"/>
      <c r="AN267" s="204"/>
    </row>
    <row r="268" spans="1:40">
      <c r="A268" s="204"/>
      <c r="B268" s="204"/>
      <c r="D268" s="204"/>
      <c r="F268" s="204"/>
      <c r="G268" s="204"/>
      <c r="H268" s="204"/>
      <c r="I268" s="204"/>
      <c r="J268" s="204"/>
      <c r="K268" s="204"/>
      <c r="L268" s="1281"/>
      <c r="M268" s="204"/>
      <c r="N268" s="245"/>
      <c r="O268" s="204"/>
      <c r="P268" s="245"/>
      <c r="Q268" s="1959"/>
      <c r="R268" s="1614"/>
      <c r="S268" s="204"/>
      <c r="T268" s="204"/>
      <c r="U268" s="204"/>
      <c r="V268" s="204"/>
      <c r="W268" s="204"/>
      <c r="X268" s="204"/>
      <c r="Y268" s="204"/>
      <c r="Z268" s="204"/>
      <c r="AA268" s="204"/>
      <c r="AB268" s="204"/>
      <c r="AC268" s="204"/>
      <c r="AD268" s="204"/>
      <c r="AE268" s="204"/>
      <c r="AF268" s="204"/>
      <c r="AG268" s="204"/>
      <c r="AH268" s="204"/>
      <c r="AI268" s="204"/>
      <c r="AJ268" s="204"/>
      <c r="AK268" s="204"/>
      <c r="AL268" s="204"/>
      <c r="AM268" s="204"/>
      <c r="AN268" s="204"/>
    </row>
    <row r="269" spans="1:40">
      <c r="A269" s="204"/>
      <c r="B269" s="204"/>
      <c r="D269" s="204"/>
      <c r="F269" s="204"/>
      <c r="G269" s="204"/>
      <c r="H269" s="204"/>
      <c r="I269" s="204"/>
      <c r="J269" s="204"/>
      <c r="K269" s="204"/>
      <c r="L269" s="1281"/>
      <c r="M269" s="204"/>
      <c r="N269" s="245"/>
      <c r="O269" s="204"/>
      <c r="P269" s="245"/>
      <c r="Q269" s="1959"/>
      <c r="R269" s="1614"/>
      <c r="S269" s="204"/>
      <c r="T269" s="204"/>
      <c r="U269" s="204"/>
      <c r="V269" s="204"/>
      <c r="W269" s="204"/>
      <c r="X269" s="204"/>
      <c r="Y269" s="204"/>
      <c r="Z269" s="204"/>
      <c r="AA269" s="204"/>
      <c r="AB269" s="204"/>
      <c r="AC269" s="204"/>
      <c r="AD269" s="204"/>
      <c r="AE269" s="204"/>
      <c r="AF269" s="204"/>
      <c r="AG269" s="204"/>
      <c r="AH269" s="204"/>
      <c r="AI269" s="204"/>
      <c r="AJ269" s="204"/>
      <c r="AK269" s="204"/>
      <c r="AL269" s="204"/>
      <c r="AM269" s="204"/>
      <c r="AN269" s="204"/>
    </row>
    <row r="270" spans="1:40">
      <c r="A270" s="204"/>
      <c r="B270" s="204"/>
      <c r="D270" s="204"/>
      <c r="F270" s="204"/>
      <c r="G270" s="204"/>
      <c r="H270" s="204"/>
      <c r="I270" s="204"/>
      <c r="J270" s="204"/>
      <c r="K270" s="204"/>
      <c r="L270" s="1281"/>
      <c r="M270" s="204"/>
      <c r="N270" s="245"/>
      <c r="O270" s="204"/>
      <c r="P270" s="245"/>
      <c r="Q270" s="1959"/>
      <c r="R270" s="1614"/>
      <c r="S270" s="204"/>
      <c r="T270" s="204"/>
      <c r="U270" s="204"/>
      <c r="V270" s="204"/>
      <c r="W270" s="204"/>
      <c r="X270" s="204"/>
      <c r="Y270" s="204"/>
      <c r="Z270" s="204"/>
      <c r="AA270" s="204"/>
      <c r="AB270" s="204"/>
      <c r="AC270" s="204"/>
      <c r="AD270" s="204"/>
      <c r="AE270" s="204"/>
      <c r="AF270" s="204"/>
      <c r="AG270" s="204"/>
      <c r="AH270" s="204"/>
      <c r="AI270" s="204"/>
      <c r="AJ270" s="204"/>
      <c r="AK270" s="204"/>
      <c r="AL270" s="204"/>
      <c r="AM270" s="204"/>
      <c r="AN270" s="204"/>
    </row>
    <row r="271" spans="1:40">
      <c r="A271" s="204"/>
      <c r="B271" s="204"/>
      <c r="D271" s="204"/>
      <c r="F271" s="204"/>
      <c r="G271" s="204"/>
      <c r="H271" s="204"/>
      <c r="I271" s="204"/>
      <c r="J271" s="204"/>
      <c r="K271" s="204"/>
      <c r="L271" s="1281"/>
      <c r="M271" s="204"/>
      <c r="N271" s="245"/>
      <c r="O271" s="204"/>
      <c r="P271" s="245"/>
      <c r="Q271" s="1959"/>
      <c r="R271" s="1614"/>
      <c r="S271" s="204"/>
      <c r="T271" s="204"/>
      <c r="U271" s="204"/>
      <c r="V271" s="204"/>
      <c r="W271" s="204"/>
      <c r="X271" s="204"/>
      <c r="Y271" s="204"/>
      <c r="Z271" s="204"/>
      <c r="AA271" s="204"/>
      <c r="AB271" s="204"/>
      <c r="AC271" s="204"/>
      <c r="AD271" s="204"/>
      <c r="AE271" s="204"/>
      <c r="AF271" s="204"/>
      <c r="AG271" s="204"/>
      <c r="AH271" s="204"/>
      <c r="AI271" s="204"/>
      <c r="AJ271" s="204"/>
      <c r="AK271" s="204"/>
      <c r="AL271" s="204"/>
      <c r="AM271" s="204"/>
      <c r="AN271" s="204"/>
    </row>
    <row r="272" spans="1:40">
      <c r="A272" s="204"/>
      <c r="B272" s="204"/>
      <c r="D272" s="204"/>
      <c r="F272" s="204"/>
      <c r="G272" s="204"/>
      <c r="H272" s="204"/>
      <c r="I272" s="204"/>
      <c r="J272" s="204"/>
      <c r="K272" s="204"/>
      <c r="L272" s="1281"/>
      <c r="M272" s="204"/>
      <c r="N272" s="245"/>
      <c r="O272" s="204"/>
      <c r="P272" s="245"/>
      <c r="Q272" s="1959"/>
      <c r="R272" s="1614"/>
      <c r="S272" s="204"/>
      <c r="T272" s="204"/>
      <c r="U272" s="204"/>
      <c r="V272" s="204"/>
      <c r="W272" s="204"/>
      <c r="X272" s="204"/>
      <c r="Y272" s="204"/>
      <c r="Z272" s="204"/>
      <c r="AA272" s="204"/>
      <c r="AB272" s="204"/>
      <c r="AC272" s="204"/>
      <c r="AD272" s="204"/>
      <c r="AE272" s="204"/>
      <c r="AF272" s="204"/>
      <c r="AG272" s="204"/>
      <c r="AH272" s="204"/>
      <c r="AI272" s="204"/>
      <c r="AJ272" s="204"/>
      <c r="AK272" s="204"/>
      <c r="AL272" s="204"/>
      <c r="AM272" s="204"/>
      <c r="AN272" s="204"/>
    </row>
    <row r="273" spans="1:40">
      <c r="A273" s="204"/>
      <c r="B273" s="204"/>
      <c r="D273" s="204"/>
      <c r="F273" s="204"/>
      <c r="G273" s="204"/>
      <c r="H273" s="204"/>
      <c r="I273" s="204"/>
      <c r="J273" s="204"/>
      <c r="K273" s="204"/>
      <c r="L273" s="1281"/>
      <c r="M273" s="204"/>
      <c r="N273" s="245"/>
      <c r="O273" s="204"/>
      <c r="P273" s="245"/>
      <c r="Q273" s="1959"/>
      <c r="R273" s="1614"/>
      <c r="S273" s="204"/>
      <c r="T273" s="204"/>
      <c r="U273" s="204"/>
      <c r="V273" s="204"/>
      <c r="W273" s="204"/>
      <c r="X273" s="204"/>
      <c r="Y273" s="204"/>
      <c r="Z273" s="204"/>
      <c r="AA273" s="204"/>
      <c r="AB273" s="204"/>
      <c r="AC273" s="204"/>
      <c r="AD273" s="204"/>
      <c r="AE273" s="204"/>
      <c r="AF273" s="204"/>
      <c r="AG273" s="204"/>
      <c r="AH273" s="204"/>
      <c r="AI273" s="204"/>
      <c r="AJ273" s="204"/>
      <c r="AK273" s="204"/>
      <c r="AL273" s="204"/>
      <c r="AM273" s="204"/>
      <c r="AN273" s="204"/>
    </row>
    <row r="274" spans="1:40">
      <c r="A274" s="204"/>
      <c r="B274" s="204"/>
      <c r="D274" s="204"/>
      <c r="F274" s="204"/>
      <c r="G274" s="204"/>
      <c r="H274" s="204"/>
      <c r="I274" s="204"/>
      <c r="J274" s="204"/>
      <c r="K274" s="204"/>
      <c r="L274" s="1281"/>
      <c r="M274" s="204"/>
      <c r="N274" s="245"/>
      <c r="O274" s="204"/>
      <c r="P274" s="245"/>
      <c r="Q274" s="1959"/>
      <c r="R274" s="1614"/>
      <c r="S274" s="204"/>
      <c r="T274" s="204"/>
      <c r="U274" s="204"/>
      <c r="V274" s="204"/>
      <c r="W274" s="204"/>
      <c r="X274" s="204"/>
      <c r="Y274" s="204"/>
      <c r="Z274" s="204"/>
      <c r="AA274" s="204"/>
      <c r="AB274" s="204"/>
      <c r="AC274" s="204"/>
      <c r="AD274" s="204"/>
      <c r="AE274" s="204"/>
      <c r="AF274" s="204"/>
      <c r="AG274" s="204"/>
      <c r="AH274" s="204"/>
      <c r="AI274" s="204"/>
      <c r="AJ274" s="204"/>
      <c r="AK274" s="204"/>
      <c r="AL274" s="204"/>
      <c r="AM274" s="204"/>
      <c r="AN274" s="204"/>
    </row>
    <row r="275" spans="1:40">
      <c r="A275" s="204"/>
      <c r="B275" s="204"/>
      <c r="D275" s="204"/>
      <c r="F275" s="204"/>
      <c r="G275" s="204"/>
      <c r="H275" s="204"/>
      <c r="I275" s="204"/>
      <c r="J275" s="204"/>
      <c r="K275" s="204"/>
      <c r="L275" s="1281"/>
      <c r="M275" s="204"/>
      <c r="N275" s="245"/>
      <c r="O275" s="204"/>
      <c r="P275" s="245"/>
      <c r="Q275" s="1959"/>
      <c r="R275" s="1614"/>
      <c r="S275" s="204"/>
      <c r="T275" s="204"/>
      <c r="U275" s="204"/>
      <c r="V275" s="204"/>
      <c r="W275" s="204"/>
      <c r="X275" s="204"/>
      <c r="Y275" s="204"/>
      <c r="Z275" s="204"/>
      <c r="AA275" s="204"/>
      <c r="AB275" s="204"/>
      <c r="AC275" s="204"/>
      <c r="AD275" s="204"/>
      <c r="AE275" s="204"/>
      <c r="AF275" s="204"/>
      <c r="AG275" s="204"/>
      <c r="AH275" s="204"/>
      <c r="AI275" s="204"/>
      <c r="AJ275" s="204"/>
      <c r="AK275" s="204"/>
      <c r="AL275" s="204"/>
      <c r="AM275" s="204"/>
      <c r="AN275" s="204"/>
    </row>
    <row r="276" spans="1:40">
      <c r="A276" s="204"/>
      <c r="B276" s="204"/>
      <c r="D276" s="204"/>
      <c r="F276" s="204"/>
      <c r="G276" s="204"/>
      <c r="H276" s="204"/>
      <c r="I276" s="204"/>
      <c r="J276" s="204"/>
      <c r="K276" s="204"/>
      <c r="L276" s="1281"/>
      <c r="M276" s="204"/>
      <c r="N276" s="245"/>
      <c r="O276" s="204"/>
      <c r="P276" s="245"/>
      <c r="Q276" s="1959"/>
      <c r="R276" s="1614"/>
      <c r="S276" s="204"/>
      <c r="T276" s="204"/>
      <c r="U276" s="204"/>
      <c r="V276" s="204"/>
      <c r="W276" s="204"/>
      <c r="X276" s="204"/>
      <c r="Y276" s="204"/>
      <c r="Z276" s="204"/>
      <c r="AA276" s="204"/>
      <c r="AB276" s="204"/>
      <c r="AC276" s="204"/>
      <c r="AD276" s="204"/>
      <c r="AE276" s="204"/>
      <c r="AF276" s="204"/>
      <c r="AG276" s="204"/>
      <c r="AH276" s="204"/>
      <c r="AI276" s="204"/>
      <c r="AJ276" s="204"/>
      <c r="AK276" s="204"/>
      <c r="AL276" s="204"/>
      <c r="AM276" s="204"/>
      <c r="AN276" s="204"/>
    </row>
    <row r="277" spans="1:40">
      <c r="A277" s="204"/>
      <c r="B277" s="204"/>
      <c r="D277" s="204"/>
      <c r="F277" s="204"/>
      <c r="G277" s="204"/>
      <c r="H277" s="204"/>
      <c r="I277" s="204"/>
      <c r="J277" s="204"/>
      <c r="K277" s="204"/>
      <c r="L277" s="1281"/>
      <c r="M277" s="204"/>
      <c r="N277" s="245"/>
      <c r="O277" s="204"/>
      <c r="P277" s="245"/>
      <c r="Q277" s="1959"/>
      <c r="R277" s="1614"/>
      <c r="S277" s="204"/>
      <c r="T277" s="204"/>
      <c r="U277" s="204"/>
      <c r="V277" s="204"/>
      <c r="W277" s="204"/>
      <c r="X277" s="204"/>
      <c r="Y277" s="204"/>
      <c r="Z277" s="204"/>
      <c r="AA277" s="204"/>
      <c r="AB277" s="204"/>
      <c r="AC277" s="204"/>
      <c r="AD277" s="204"/>
      <c r="AE277" s="204"/>
      <c r="AF277" s="204"/>
      <c r="AG277" s="204"/>
      <c r="AH277" s="204"/>
      <c r="AI277" s="204"/>
      <c r="AJ277" s="204"/>
      <c r="AK277" s="204"/>
      <c r="AL277" s="204"/>
      <c r="AM277" s="204"/>
      <c r="AN277" s="204"/>
    </row>
    <row r="278" spans="1:40">
      <c r="A278" s="204"/>
      <c r="B278" s="204"/>
      <c r="D278" s="204"/>
      <c r="F278" s="204"/>
      <c r="G278" s="204"/>
      <c r="H278" s="204"/>
      <c r="I278" s="204"/>
      <c r="J278" s="204"/>
      <c r="K278" s="204"/>
      <c r="L278" s="1281"/>
      <c r="M278" s="204"/>
      <c r="N278" s="245"/>
      <c r="O278" s="204"/>
      <c r="P278" s="245"/>
      <c r="Q278" s="1959"/>
      <c r="R278" s="1614"/>
      <c r="S278" s="204"/>
      <c r="T278" s="204"/>
      <c r="U278" s="204"/>
      <c r="V278" s="204"/>
      <c r="W278" s="204"/>
      <c r="X278" s="204"/>
      <c r="Y278" s="204"/>
      <c r="Z278" s="204"/>
      <c r="AA278" s="204"/>
      <c r="AB278" s="204"/>
      <c r="AC278" s="204"/>
      <c r="AD278" s="204"/>
      <c r="AE278" s="204"/>
      <c r="AF278" s="204"/>
      <c r="AG278" s="204"/>
      <c r="AH278" s="204"/>
      <c r="AI278" s="204"/>
      <c r="AJ278" s="204"/>
      <c r="AK278" s="204"/>
      <c r="AL278" s="204"/>
      <c r="AM278" s="204"/>
      <c r="AN278" s="204"/>
    </row>
    <row r="279" spans="1:40">
      <c r="A279" s="204"/>
      <c r="B279" s="204"/>
      <c r="D279" s="204"/>
      <c r="F279" s="204"/>
      <c r="G279" s="204"/>
      <c r="H279" s="204"/>
      <c r="I279" s="204"/>
      <c r="J279" s="204"/>
      <c r="K279" s="204"/>
      <c r="L279" s="1281"/>
      <c r="M279" s="204"/>
      <c r="N279" s="245"/>
      <c r="O279" s="204"/>
      <c r="P279" s="245"/>
      <c r="Q279" s="1959"/>
      <c r="R279" s="1614"/>
      <c r="S279" s="204"/>
      <c r="T279" s="204"/>
      <c r="U279" s="204"/>
      <c r="V279" s="204"/>
      <c r="W279" s="204"/>
      <c r="X279" s="204"/>
      <c r="Y279" s="204"/>
      <c r="Z279" s="204"/>
      <c r="AA279" s="204"/>
      <c r="AB279" s="204"/>
      <c r="AC279" s="204"/>
      <c r="AD279" s="204"/>
      <c r="AE279" s="204"/>
      <c r="AF279" s="204"/>
      <c r="AG279" s="204"/>
      <c r="AH279" s="204"/>
      <c r="AI279" s="204"/>
      <c r="AJ279" s="204"/>
      <c r="AK279" s="204"/>
      <c r="AL279" s="204"/>
      <c r="AM279" s="204"/>
      <c r="AN279" s="204"/>
    </row>
    <row r="280" spans="1:40">
      <c r="A280" s="204"/>
      <c r="B280" s="204"/>
      <c r="D280" s="204"/>
      <c r="F280" s="204"/>
      <c r="G280" s="204"/>
      <c r="H280" s="204"/>
      <c r="I280" s="204"/>
      <c r="J280" s="204"/>
      <c r="K280" s="204"/>
      <c r="L280" s="1281"/>
      <c r="M280" s="204"/>
      <c r="N280" s="245"/>
      <c r="O280" s="204"/>
      <c r="P280" s="245"/>
      <c r="Q280" s="1959"/>
      <c r="R280" s="1614"/>
      <c r="S280" s="204"/>
      <c r="T280" s="204"/>
      <c r="U280" s="204"/>
      <c r="V280" s="204"/>
      <c r="W280" s="204"/>
      <c r="X280" s="204"/>
      <c r="Y280" s="204"/>
      <c r="Z280" s="204"/>
      <c r="AA280" s="204"/>
      <c r="AB280" s="204"/>
      <c r="AC280" s="204"/>
      <c r="AD280" s="204"/>
      <c r="AE280" s="204"/>
      <c r="AF280" s="204"/>
      <c r="AG280" s="204"/>
      <c r="AH280" s="204"/>
      <c r="AI280" s="204"/>
      <c r="AJ280" s="204"/>
      <c r="AK280" s="204"/>
      <c r="AL280" s="204"/>
      <c r="AM280" s="204"/>
      <c r="AN280" s="204"/>
    </row>
    <row r="281" spans="1:40">
      <c r="A281" s="204"/>
      <c r="B281" s="204"/>
      <c r="D281" s="204"/>
      <c r="F281" s="204"/>
      <c r="G281" s="204"/>
      <c r="H281" s="204"/>
      <c r="I281" s="204"/>
      <c r="J281" s="204"/>
      <c r="K281" s="204"/>
      <c r="L281" s="1281"/>
      <c r="M281" s="204"/>
      <c r="N281" s="245"/>
      <c r="O281" s="204"/>
      <c r="P281" s="245"/>
      <c r="Q281" s="1959"/>
      <c r="R281" s="1614"/>
      <c r="S281" s="204"/>
      <c r="T281" s="204"/>
      <c r="U281" s="204"/>
      <c r="V281" s="204"/>
      <c r="W281" s="204"/>
      <c r="X281" s="204"/>
      <c r="Y281" s="204"/>
      <c r="Z281" s="204"/>
      <c r="AA281" s="204"/>
      <c r="AB281" s="204"/>
      <c r="AC281" s="204"/>
      <c r="AD281" s="204"/>
      <c r="AE281" s="204"/>
      <c r="AF281" s="204"/>
      <c r="AG281" s="204"/>
      <c r="AH281" s="204"/>
      <c r="AI281" s="204"/>
      <c r="AJ281" s="204"/>
      <c r="AK281" s="204"/>
      <c r="AL281" s="204"/>
      <c r="AM281" s="204"/>
      <c r="AN281" s="204"/>
    </row>
    <row r="282" spans="1:40">
      <c r="A282" s="204"/>
      <c r="B282" s="204"/>
      <c r="D282" s="204"/>
      <c r="F282" s="204"/>
      <c r="G282" s="204"/>
      <c r="H282" s="204"/>
      <c r="I282" s="204"/>
      <c r="J282" s="204"/>
      <c r="K282" s="204"/>
      <c r="L282" s="1281"/>
      <c r="M282" s="204"/>
      <c r="N282" s="245"/>
      <c r="O282" s="204"/>
      <c r="P282" s="245"/>
      <c r="Q282" s="1959"/>
      <c r="R282" s="1614"/>
      <c r="S282" s="204"/>
      <c r="T282" s="204"/>
      <c r="U282" s="204"/>
      <c r="V282" s="204"/>
      <c r="W282" s="204"/>
      <c r="X282" s="204"/>
      <c r="Y282" s="204"/>
      <c r="Z282" s="204"/>
      <c r="AA282" s="204"/>
      <c r="AB282" s="204"/>
      <c r="AC282" s="204"/>
      <c r="AD282" s="204"/>
      <c r="AE282" s="204"/>
      <c r="AF282" s="204"/>
      <c r="AG282" s="204"/>
      <c r="AH282" s="204"/>
      <c r="AI282" s="204"/>
      <c r="AJ282" s="204"/>
      <c r="AK282" s="204"/>
      <c r="AL282" s="204"/>
      <c r="AM282" s="204"/>
      <c r="AN282" s="204"/>
    </row>
    <row r="283" spans="1:40">
      <c r="A283" s="204"/>
      <c r="B283" s="204"/>
      <c r="D283" s="204"/>
      <c r="F283" s="204"/>
      <c r="G283" s="204"/>
      <c r="H283" s="204"/>
      <c r="I283" s="204"/>
      <c r="J283" s="204"/>
      <c r="K283" s="204"/>
      <c r="L283" s="1281"/>
      <c r="M283" s="204"/>
      <c r="N283" s="245"/>
      <c r="O283" s="204"/>
      <c r="P283" s="245"/>
      <c r="Q283" s="1959"/>
      <c r="R283" s="161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  <c r="AH283" s="204"/>
      <c r="AI283" s="204"/>
      <c r="AJ283" s="204"/>
      <c r="AK283" s="204"/>
      <c r="AL283" s="204"/>
      <c r="AM283" s="204"/>
      <c r="AN283" s="204"/>
    </row>
    <row r="284" spans="1:40">
      <c r="A284" s="204"/>
      <c r="B284" s="204"/>
      <c r="D284" s="204"/>
      <c r="F284" s="204"/>
      <c r="G284" s="204"/>
      <c r="H284" s="204"/>
      <c r="I284" s="204"/>
      <c r="J284" s="204"/>
      <c r="K284" s="204"/>
      <c r="L284" s="1281"/>
      <c r="M284" s="204"/>
      <c r="N284" s="245"/>
      <c r="O284" s="204"/>
      <c r="P284" s="245"/>
      <c r="Q284" s="1959"/>
      <c r="R284" s="1614"/>
      <c r="S284" s="204"/>
      <c r="T284" s="204"/>
      <c r="U284" s="204"/>
      <c r="V284" s="204"/>
      <c r="W284" s="204"/>
      <c r="X284" s="204"/>
      <c r="Y284" s="204"/>
      <c r="Z284" s="204"/>
      <c r="AA284" s="204"/>
      <c r="AB284" s="204"/>
      <c r="AC284" s="204"/>
      <c r="AD284" s="204"/>
      <c r="AE284" s="204"/>
      <c r="AF284" s="204"/>
      <c r="AG284" s="204"/>
      <c r="AH284" s="204"/>
      <c r="AI284" s="204"/>
      <c r="AJ284" s="204"/>
      <c r="AK284" s="204"/>
      <c r="AL284" s="204"/>
      <c r="AM284" s="204"/>
      <c r="AN284" s="204"/>
    </row>
    <row r="285" spans="1:40">
      <c r="A285" s="204"/>
      <c r="B285" s="204"/>
      <c r="D285" s="204"/>
      <c r="F285" s="204"/>
      <c r="G285" s="204"/>
      <c r="H285" s="204"/>
      <c r="I285" s="204"/>
      <c r="J285" s="204"/>
      <c r="K285" s="204"/>
      <c r="L285" s="1281"/>
      <c r="M285" s="204"/>
      <c r="N285" s="245"/>
      <c r="O285" s="204"/>
      <c r="P285" s="245"/>
      <c r="Q285" s="1959"/>
      <c r="R285" s="1614"/>
      <c r="S285" s="204"/>
      <c r="T285" s="204"/>
      <c r="U285" s="204"/>
      <c r="V285" s="204"/>
      <c r="W285" s="204"/>
      <c r="X285" s="204"/>
      <c r="Y285" s="204"/>
      <c r="Z285" s="204"/>
      <c r="AA285" s="204"/>
      <c r="AB285" s="204"/>
      <c r="AC285" s="204"/>
      <c r="AD285" s="204"/>
      <c r="AE285" s="204"/>
      <c r="AF285" s="204"/>
      <c r="AG285" s="204"/>
      <c r="AH285" s="204"/>
      <c r="AI285" s="204"/>
      <c r="AJ285" s="204"/>
      <c r="AK285" s="204"/>
      <c r="AL285" s="204"/>
      <c r="AM285" s="204"/>
      <c r="AN285" s="204"/>
    </row>
    <row r="286" spans="1:40">
      <c r="A286" s="204"/>
      <c r="B286" s="204"/>
      <c r="D286" s="204"/>
      <c r="F286" s="204"/>
      <c r="G286" s="204"/>
      <c r="H286" s="204"/>
      <c r="I286" s="204"/>
      <c r="J286" s="204"/>
      <c r="K286" s="204"/>
      <c r="L286" s="1281"/>
      <c r="M286" s="204"/>
      <c r="N286" s="245"/>
      <c r="O286" s="204"/>
      <c r="P286" s="245"/>
      <c r="Q286" s="1959"/>
      <c r="R286" s="1614"/>
      <c r="S286" s="204"/>
      <c r="T286" s="204"/>
      <c r="U286" s="204"/>
      <c r="V286" s="204"/>
      <c r="W286" s="204"/>
      <c r="X286" s="204"/>
      <c r="Y286" s="204"/>
      <c r="Z286" s="204"/>
      <c r="AA286" s="204"/>
      <c r="AB286" s="204"/>
      <c r="AC286" s="204"/>
      <c r="AD286" s="204"/>
      <c r="AE286" s="204"/>
      <c r="AF286" s="204"/>
      <c r="AG286" s="204"/>
      <c r="AH286" s="204"/>
      <c r="AI286" s="204"/>
      <c r="AJ286" s="204"/>
      <c r="AK286" s="204"/>
      <c r="AL286" s="204"/>
      <c r="AM286" s="204"/>
      <c r="AN286" s="204"/>
    </row>
    <row r="287" spans="1:40">
      <c r="A287" s="204"/>
      <c r="B287" s="204"/>
      <c r="D287" s="204"/>
      <c r="F287" s="204"/>
      <c r="G287" s="204"/>
      <c r="H287" s="204"/>
      <c r="I287" s="204"/>
      <c r="J287" s="204"/>
      <c r="K287" s="204"/>
      <c r="L287" s="1281"/>
      <c r="M287" s="204"/>
      <c r="N287" s="245"/>
      <c r="O287" s="204"/>
      <c r="P287" s="245"/>
      <c r="Q287" s="1959"/>
      <c r="R287" s="1614"/>
      <c r="S287" s="204"/>
      <c r="T287" s="204"/>
      <c r="U287" s="204"/>
      <c r="V287" s="204"/>
      <c r="W287" s="204"/>
      <c r="X287" s="204"/>
      <c r="Y287" s="204"/>
      <c r="Z287" s="204"/>
      <c r="AA287" s="204"/>
      <c r="AB287" s="204"/>
      <c r="AC287" s="204"/>
      <c r="AD287" s="204"/>
      <c r="AE287" s="204"/>
      <c r="AF287" s="204"/>
      <c r="AG287" s="204"/>
      <c r="AH287" s="204"/>
      <c r="AI287" s="204"/>
      <c r="AJ287" s="204"/>
      <c r="AK287" s="204"/>
      <c r="AL287" s="204"/>
      <c r="AM287" s="204"/>
      <c r="AN287" s="204"/>
    </row>
    <row r="288" spans="1:40">
      <c r="A288" s="204"/>
      <c r="B288" s="204"/>
      <c r="D288" s="204"/>
      <c r="F288" s="204"/>
      <c r="G288" s="204"/>
      <c r="H288" s="204"/>
      <c r="I288" s="204"/>
      <c r="J288" s="204"/>
      <c r="K288" s="204"/>
      <c r="L288" s="1281"/>
      <c r="M288" s="204"/>
      <c r="N288" s="245"/>
      <c r="O288" s="204"/>
      <c r="P288" s="245"/>
      <c r="Q288" s="1959"/>
      <c r="R288" s="1614"/>
      <c r="S288" s="204"/>
      <c r="T288" s="204"/>
      <c r="U288" s="204"/>
      <c r="V288" s="204"/>
      <c r="W288" s="204"/>
      <c r="X288" s="204"/>
      <c r="Y288" s="204"/>
      <c r="Z288" s="204"/>
      <c r="AA288" s="204"/>
      <c r="AB288" s="204"/>
      <c r="AC288" s="204"/>
      <c r="AD288" s="204"/>
      <c r="AE288" s="204"/>
      <c r="AF288" s="204"/>
      <c r="AG288" s="204"/>
      <c r="AH288" s="204"/>
      <c r="AI288" s="204"/>
      <c r="AJ288" s="204"/>
      <c r="AK288" s="204"/>
      <c r="AL288" s="204"/>
      <c r="AM288" s="204"/>
      <c r="AN288" s="204"/>
    </row>
    <row r="289" spans="1:40">
      <c r="A289" s="204"/>
      <c r="B289" s="204"/>
      <c r="D289" s="204"/>
      <c r="F289" s="204"/>
      <c r="G289" s="204"/>
      <c r="H289" s="204"/>
      <c r="I289" s="204"/>
      <c r="J289" s="204"/>
      <c r="K289" s="204"/>
      <c r="L289" s="1281"/>
      <c r="M289" s="204"/>
      <c r="N289" s="245"/>
      <c r="O289" s="204"/>
      <c r="P289" s="245"/>
      <c r="Q289" s="1959"/>
      <c r="R289" s="1614"/>
      <c r="S289" s="204"/>
      <c r="T289" s="204"/>
      <c r="U289" s="204"/>
      <c r="V289" s="204"/>
      <c r="W289" s="204"/>
      <c r="X289" s="204"/>
      <c r="Y289" s="204"/>
      <c r="Z289" s="204"/>
      <c r="AA289" s="204"/>
      <c r="AB289" s="204"/>
      <c r="AC289" s="204"/>
      <c r="AD289" s="204"/>
      <c r="AE289" s="204"/>
      <c r="AF289" s="204"/>
      <c r="AG289" s="204"/>
      <c r="AH289" s="204"/>
      <c r="AI289" s="204"/>
      <c r="AJ289" s="204"/>
      <c r="AK289" s="204"/>
      <c r="AL289" s="204"/>
      <c r="AM289" s="204"/>
      <c r="AN289" s="204"/>
    </row>
    <row r="290" spans="1:40">
      <c r="A290" s="204"/>
      <c r="B290" s="204"/>
      <c r="D290" s="204"/>
      <c r="F290" s="204"/>
      <c r="G290" s="204"/>
      <c r="H290" s="204"/>
      <c r="I290" s="204"/>
      <c r="J290" s="204"/>
      <c r="K290" s="204"/>
      <c r="L290" s="1281"/>
      <c r="M290" s="204"/>
      <c r="N290" s="245"/>
      <c r="O290" s="204"/>
      <c r="P290" s="245"/>
      <c r="Q290" s="1959"/>
      <c r="R290" s="1614"/>
      <c r="S290" s="204"/>
      <c r="T290" s="204"/>
      <c r="U290" s="204"/>
      <c r="V290" s="204"/>
      <c r="W290" s="204"/>
      <c r="X290" s="204"/>
      <c r="Y290" s="204"/>
      <c r="Z290" s="204"/>
      <c r="AA290" s="204"/>
      <c r="AB290" s="204"/>
      <c r="AC290" s="204"/>
      <c r="AD290" s="204"/>
      <c r="AE290" s="204"/>
      <c r="AF290" s="204"/>
      <c r="AG290" s="204"/>
      <c r="AH290" s="204"/>
      <c r="AI290" s="204"/>
      <c r="AJ290" s="204"/>
      <c r="AK290" s="204"/>
      <c r="AL290" s="204"/>
      <c r="AM290" s="204"/>
      <c r="AN290" s="204"/>
    </row>
    <row r="291" spans="1:40">
      <c r="A291" s="204"/>
      <c r="B291" s="204"/>
      <c r="D291" s="204"/>
      <c r="F291" s="204"/>
      <c r="G291" s="204"/>
      <c r="H291" s="204"/>
      <c r="I291" s="204"/>
      <c r="J291" s="204"/>
      <c r="L291" s="1281"/>
      <c r="M291" s="204"/>
      <c r="N291" s="245"/>
      <c r="O291" s="204"/>
      <c r="P291" s="245"/>
      <c r="Q291" s="1959"/>
      <c r="R291" s="1614"/>
      <c r="S291" s="204"/>
      <c r="T291" s="204"/>
      <c r="U291" s="204"/>
      <c r="V291" s="204"/>
      <c r="W291" s="204"/>
      <c r="X291" s="204"/>
      <c r="Y291" s="204"/>
      <c r="Z291" s="204"/>
      <c r="AA291" s="204"/>
      <c r="AB291" s="204"/>
      <c r="AC291" s="204"/>
      <c r="AD291" s="204"/>
      <c r="AE291" s="204"/>
      <c r="AF291" s="204"/>
      <c r="AG291" s="204"/>
      <c r="AH291" s="204"/>
      <c r="AI291" s="204"/>
      <c r="AJ291" s="204"/>
      <c r="AK291" s="204"/>
      <c r="AL291" s="204"/>
      <c r="AM291" s="204"/>
      <c r="AN291" s="204"/>
    </row>
  </sheetData>
  <phoneticPr fontId="21" type="noConversion"/>
  <printOptions horizontalCentered="1" verticalCentered="1"/>
  <pageMargins left="0" right="0" top="0.98425196850393704" bottom="0" header="0.55118110236220474" footer="0"/>
  <pageSetup paperSize="9" orientation="landscape" horizontalDpi="0" verticalDpi="0"/>
  <headerFooter>
    <oddHeader>&amp;L&amp;A&amp;F&amp;C&amp;D&amp;R&amp;Pde&amp;N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43"/>
  <dimension ref="A1:AO239"/>
  <sheetViews>
    <sheetView topLeftCell="A11" zoomScale="153" zoomScaleNormal="153" zoomScalePageLayoutView="201" workbookViewId="0">
      <selection activeCell="P60" sqref="P59:P60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33203125" style="1" customWidth="1"/>
    <col min="4" max="4" width="0.83203125" style="3082" customWidth="1"/>
    <col min="5" max="5" width="3.83203125" style="1" customWidth="1"/>
    <col min="6" max="6" width="3.33203125" style="2818" customWidth="1"/>
    <col min="7" max="7" width="5.6640625" style="780" customWidth="1"/>
    <col min="8" max="8" width="5.33203125" style="780" customWidth="1"/>
    <col min="9" max="10" width="7.33203125" style="780" customWidth="1"/>
    <col min="11" max="11" width="32.6640625" style="780" customWidth="1"/>
    <col min="12" max="12" width="9" style="780" customWidth="1"/>
    <col min="13" max="13" width="1.33203125" style="2820" customWidth="1"/>
    <col min="14" max="14" width="9.5" style="2818" customWidth="1"/>
    <col min="15" max="15" width="1" style="780" customWidth="1"/>
    <col min="16" max="16" width="9" style="780" customWidth="1"/>
    <col min="17" max="17" width="5.33203125" style="2821" customWidth="1"/>
    <col min="18" max="18" width="5.83203125" style="2821" customWidth="1"/>
    <col min="19" max="19" width="1.33203125" style="2822" customWidth="1"/>
    <col min="20" max="20" width="0.3320312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33203125" style="2823" customWidth="1"/>
    <col min="25" max="25" width="6" style="2823" customWidth="1"/>
    <col min="26" max="27" width="5.3320312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33203125" style="2826" customWidth="1"/>
    <col min="40" max="40" width="11.5" style="2825"/>
    <col min="41" max="16384" width="11.5" style="1"/>
  </cols>
  <sheetData>
    <row r="1" spans="1:40" ht="23" customHeight="1">
      <c r="B1" s="1"/>
      <c r="C1" s="2816"/>
      <c r="D1" s="3081"/>
      <c r="E1" s="2817"/>
      <c r="F1" s="780"/>
      <c r="V1" s="2824"/>
      <c r="AI1" s="2825"/>
      <c r="AJ1" s="2825"/>
      <c r="AK1" s="2825"/>
      <c r="AL1" s="2825"/>
      <c r="AM1" s="2825"/>
    </row>
    <row r="2" spans="1:40" ht="17.25" customHeight="1" thickBot="1">
      <c r="A2" s="3080" t="s">
        <v>344</v>
      </c>
      <c r="F2" s="527"/>
      <c r="G2" s="155"/>
      <c r="H2" s="155"/>
      <c r="I2" s="155"/>
      <c r="J2" s="3083"/>
      <c r="K2" s="3779">
        <v>45271</v>
      </c>
      <c r="L2" s="1009"/>
      <c r="U2" s="2827" t="s">
        <v>345</v>
      </c>
      <c r="AI2" s="2825"/>
      <c r="AJ2" s="2825"/>
      <c r="AK2" s="2825"/>
      <c r="AL2" s="2825"/>
      <c r="AM2" s="2825"/>
    </row>
    <row r="3" spans="1:40" s="2839" customFormat="1" ht="72.75" customHeight="1" thickTop="1" thickBot="1">
      <c r="A3" s="5645" t="s">
        <v>346</v>
      </c>
      <c r="B3" s="3085" t="s">
        <v>347</v>
      </c>
      <c r="C3" s="3086" t="s">
        <v>348</v>
      </c>
      <c r="D3" s="3087"/>
      <c r="E3" s="4692" t="s">
        <v>349</v>
      </c>
      <c r="F3" s="5646" t="s">
        <v>350</v>
      </c>
      <c r="G3" s="5647" t="s">
        <v>351</v>
      </c>
      <c r="H3" s="5647" t="s">
        <v>624</v>
      </c>
      <c r="I3" s="5647" t="s">
        <v>352</v>
      </c>
      <c r="J3" s="5646" t="s">
        <v>353</v>
      </c>
      <c r="K3" s="5647" t="s">
        <v>354</v>
      </c>
      <c r="L3" s="5647" t="s">
        <v>1065</v>
      </c>
      <c r="M3" s="5648" t="s">
        <v>355</v>
      </c>
      <c r="N3" s="5647" t="s">
        <v>445</v>
      </c>
      <c r="O3" s="3086" t="s">
        <v>446</v>
      </c>
      <c r="P3" s="3086" t="s">
        <v>447</v>
      </c>
      <c r="Q3" s="3091" t="s">
        <v>448</v>
      </c>
      <c r="R3" s="3092" t="s">
        <v>371</v>
      </c>
      <c r="S3" s="5649" t="s">
        <v>449</v>
      </c>
      <c r="T3" s="5649" t="s">
        <v>450</v>
      </c>
      <c r="U3" s="5650" t="s">
        <v>451</v>
      </c>
      <c r="V3" s="5651" t="s">
        <v>452</v>
      </c>
      <c r="W3" s="5652" t="s">
        <v>453</v>
      </c>
      <c r="X3" s="5653" t="s">
        <v>454</v>
      </c>
      <c r="Y3" s="5654" t="s">
        <v>455</v>
      </c>
      <c r="Z3" s="5655" t="s">
        <v>456</v>
      </c>
      <c r="AA3" s="5656" t="s">
        <v>457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2839" customFormat="1" ht="12.75" customHeight="1" thickBot="1">
      <c r="A4" s="3093"/>
      <c r="B4" s="3912"/>
      <c r="C4" s="3913"/>
      <c r="D4" s="3913"/>
      <c r="E4" s="5237"/>
      <c r="F4" s="3913"/>
      <c r="G4" s="3913"/>
      <c r="H4" s="3913"/>
      <c r="I4" s="3913"/>
      <c r="J4" s="3913"/>
      <c r="K4" s="3913"/>
      <c r="L4" s="3913"/>
      <c r="M4" s="5238"/>
      <c r="N4" s="3913"/>
      <c r="O4" s="3913"/>
      <c r="P4" s="3913"/>
      <c r="Q4" s="3917"/>
      <c r="R4" s="5239"/>
      <c r="S4" s="3919"/>
      <c r="T4" s="3919"/>
      <c r="U4" s="2843" t="e">
        <f>[3]Test!$D$29</f>
        <v>#REF!</v>
      </c>
      <c r="V4" s="2843" t="e">
        <f>[3]Test!$D$31</f>
        <v>#REF!</v>
      </c>
      <c r="W4" s="2843" t="e">
        <f>[3]Test!$D$33</f>
        <v>#REF!</v>
      </c>
      <c r="X4" s="2843" t="e">
        <f>[3]Test!$D$35</f>
        <v>#REF!</v>
      </c>
      <c r="Y4" s="2843" t="e">
        <f>[3]Test!$D$37</f>
        <v>#REF!</v>
      </c>
      <c r="Z4" s="2843" t="e">
        <f>[3]Test!$D$39</f>
        <v>#REF!</v>
      </c>
      <c r="AA4" s="3043" t="e">
        <f>[3]Test!$D$41</f>
        <v>#REF!</v>
      </c>
      <c r="AB4" s="2836"/>
      <c r="AC4" s="2837"/>
      <c r="AD4" s="2838"/>
      <c r="AE4" s="2838"/>
      <c r="AF4" s="2838"/>
      <c r="AG4" s="2838"/>
      <c r="AH4" s="2838"/>
      <c r="AI4" s="2836"/>
      <c r="AJ4" s="2836"/>
      <c r="AK4" s="2836"/>
      <c r="AL4" s="2836"/>
      <c r="AM4" s="2836"/>
      <c r="AN4" s="2836"/>
    </row>
    <row r="5" spans="1:40" s="63" customFormat="1" ht="3.75" customHeight="1" thickBot="1">
      <c r="A5" s="3101"/>
      <c r="B5" s="3923"/>
      <c r="C5" s="4696"/>
      <c r="D5" s="4697"/>
      <c r="E5" s="4696"/>
      <c r="F5" s="4698"/>
      <c r="G5" s="4699"/>
      <c r="H5" s="4699"/>
      <c r="I5" s="4699"/>
      <c r="J5" s="4698"/>
      <c r="K5" s="4699"/>
      <c r="L5" s="4699"/>
      <c r="M5" s="4700"/>
      <c r="N5" s="4701"/>
      <c r="O5" s="4696"/>
      <c r="P5" s="4696"/>
      <c r="Q5" s="4696"/>
      <c r="R5" s="4702"/>
      <c r="S5" s="2842"/>
      <c r="T5" s="2842"/>
      <c r="U5" s="2843" t="e">
        <f>U4/4</f>
        <v>#REF!</v>
      </c>
      <c r="V5" s="2843" t="e">
        <f t="shared" ref="V5:AA5" si="0">V4/4</f>
        <v>#REF!</v>
      </c>
      <c r="W5" s="2843" t="e">
        <f t="shared" si="0"/>
        <v>#REF!</v>
      </c>
      <c r="X5" s="2843" t="e">
        <f t="shared" si="0"/>
        <v>#REF!</v>
      </c>
      <c r="Y5" s="2843" t="e">
        <f t="shared" si="0"/>
        <v>#REF!</v>
      </c>
      <c r="Z5" s="2843" t="e">
        <f t="shared" si="0"/>
        <v>#REF!</v>
      </c>
      <c r="AA5" s="2843" t="e">
        <f t="shared" si="0"/>
        <v>#REF!</v>
      </c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ht="15.75" customHeight="1" thickTop="1" thickBot="1">
      <c r="A6" s="6400" t="s">
        <v>214</v>
      </c>
      <c r="B6" s="6401" t="s">
        <v>215</v>
      </c>
      <c r="C6" s="5770" t="e">
        <f t="shared" ref="C6:C46" si="1">IF(D6=1,U$5,IF(D6=2,V$5,IF(D6=3,W$5,IF(D6=4,X$5,IF(D6=5,Y$5,IF(D6=6,Z$5,IF(D6=7,AA$5,0)))))))</f>
        <v>#REF!</v>
      </c>
      <c r="D6" s="6402">
        <v>1</v>
      </c>
      <c r="E6" s="5787">
        <v>1</v>
      </c>
      <c r="F6" s="5787">
        <v>1</v>
      </c>
      <c r="G6" s="5787">
        <v>600</v>
      </c>
      <c r="H6" s="6403"/>
      <c r="I6" s="5788">
        <v>0</v>
      </c>
      <c r="J6" s="5788">
        <v>1.1574074074074073E-4</v>
      </c>
      <c r="K6" s="5789" t="s">
        <v>372</v>
      </c>
      <c r="L6" s="5788">
        <v>0.34027777777777773</v>
      </c>
      <c r="M6" s="6404">
        <v>1.2</v>
      </c>
      <c r="N6" s="5788" t="e">
        <f t="shared" ref="N6" si="2">P6*E6*F6+I6*F6*E6+J6*E6</f>
        <v>#REF!</v>
      </c>
      <c r="O6" s="6403" t="e">
        <f t="shared" ref="O6:O12" si="3">C6*(G6/25)</f>
        <v>#REF!</v>
      </c>
      <c r="P6" s="6405" t="e">
        <f t="shared" ref="P6:P12" si="4">O6*M6</f>
        <v>#REF!</v>
      </c>
      <c r="Q6" s="5792">
        <v>145</v>
      </c>
      <c r="R6" s="6406">
        <f t="shared" ref="R6:R12" si="5">E6*F6*G6</f>
        <v>600</v>
      </c>
      <c r="S6" s="2844">
        <f t="shared" ref="S6:S46" si="6">E6*F6*G6/1000</f>
        <v>0.6</v>
      </c>
      <c r="T6" s="2845" t="e">
        <f t="shared" ref="T6:T46" si="7">E6*F6*O6*4</f>
        <v>#REF!</v>
      </c>
      <c r="U6" s="374" t="e">
        <f t="shared" ref="U6:U46" si="8">IF(C6*4&gt;=$U$4,S6,0)</f>
        <v>#REF!</v>
      </c>
      <c r="V6" s="2846" t="e">
        <f t="shared" ref="V6:V46" si="9">IF(AND(C6*4&gt;=$V$4,C6*4&lt;$U$4),S6,0)</f>
        <v>#REF!</v>
      </c>
      <c r="W6" s="2847" t="e">
        <f t="shared" ref="W6:W46" si="10">IF(AND(C6*4&gt;=$W$4,C6*4&lt;$V$4),S6,0)</f>
        <v>#REF!</v>
      </c>
      <c r="X6" s="2848" t="e">
        <f t="shared" ref="X6:X46" si="11">IF(AND(C6*4&gt;=$X$4,C6*4&lt;$W$4),S6,0)</f>
        <v>#REF!</v>
      </c>
      <c r="Y6" s="2849" t="e">
        <f t="shared" ref="Y6:Y46" si="12">IF(AND(C6*4&gt;=$Y$4,C6*4&lt;$X$4),S6,0)</f>
        <v>#REF!</v>
      </c>
      <c r="Z6" s="2850" t="e">
        <f t="shared" ref="Z6:Z46" si="13">IF(AND(C6*4&gt;=$Z$4,C6*4&lt;$Y$4),S6,0)</f>
        <v>#REF!</v>
      </c>
      <c r="AA6" s="2851" t="e">
        <f t="shared" ref="AA6:AA46" si="14">IF(AND(C6*4&gt;=$AA$4,C6*4&lt;$Z$4),S6,0)</f>
        <v>#REF!</v>
      </c>
      <c r="AC6" s="2867"/>
      <c r="AD6" s="2867"/>
      <c r="AE6" s="2867"/>
      <c r="AF6" s="2867"/>
      <c r="AG6" s="2867"/>
      <c r="AH6" s="2867"/>
      <c r="AI6" s="2825"/>
      <c r="AJ6" s="2825"/>
      <c r="AK6" s="2825"/>
      <c r="AL6" s="2825"/>
      <c r="AM6" s="2825"/>
      <c r="AN6" s="1"/>
    </row>
    <row r="7" spans="1:40" ht="15.75" customHeight="1" thickBot="1">
      <c r="A7" s="6400" t="s">
        <v>459</v>
      </c>
      <c r="B7" s="6401" t="s">
        <v>215</v>
      </c>
      <c r="C7" s="5770" t="e">
        <f t="shared" si="1"/>
        <v>#REF!</v>
      </c>
      <c r="D7" s="6391">
        <v>7</v>
      </c>
      <c r="E7" s="6407">
        <v>1</v>
      </c>
      <c r="F7" s="6407">
        <v>4</v>
      </c>
      <c r="G7" s="6407">
        <v>25</v>
      </c>
      <c r="H7" s="6408"/>
      <c r="I7" s="6409">
        <v>4.6296296296296293E-4</v>
      </c>
      <c r="J7" s="6409">
        <v>6.9444444444444447E-4</v>
      </c>
      <c r="K7" s="6395" t="s">
        <v>1430</v>
      </c>
      <c r="L7" s="6409" t="e">
        <f>L6+N6</f>
        <v>#REF!</v>
      </c>
      <c r="M7" s="6410">
        <v>1.1000000000000001</v>
      </c>
      <c r="N7" s="6409" t="e">
        <f t="shared" ref="N7:N12" si="15">P7*E7*F7+I7*F7+J7*E7</f>
        <v>#REF!</v>
      </c>
      <c r="O7" s="6403" t="e">
        <f t="shared" si="3"/>
        <v>#REF!</v>
      </c>
      <c r="P7" s="6398" t="e">
        <f t="shared" si="4"/>
        <v>#REF!</v>
      </c>
      <c r="Q7" s="6411" t="s">
        <v>274</v>
      </c>
      <c r="R7" s="6412">
        <f t="shared" si="5"/>
        <v>100</v>
      </c>
      <c r="S7" s="2844">
        <f t="shared" si="6"/>
        <v>0.1</v>
      </c>
      <c r="T7" s="2845" t="e">
        <f t="shared" si="7"/>
        <v>#REF!</v>
      </c>
      <c r="U7" s="374" t="e">
        <f t="shared" si="8"/>
        <v>#REF!</v>
      </c>
      <c r="V7" s="2846" t="e">
        <f t="shared" si="9"/>
        <v>#REF!</v>
      </c>
      <c r="W7" s="2847" t="e">
        <f t="shared" si="10"/>
        <v>#REF!</v>
      </c>
      <c r="X7" s="2848" t="e">
        <f t="shared" si="11"/>
        <v>#REF!</v>
      </c>
      <c r="Y7" s="2849" t="e">
        <f t="shared" si="12"/>
        <v>#REF!</v>
      </c>
      <c r="Z7" s="2850" t="e">
        <f t="shared" si="13"/>
        <v>#REF!</v>
      </c>
      <c r="AA7" s="2851" t="e">
        <f t="shared" si="14"/>
        <v>#REF!</v>
      </c>
      <c r="AC7" s="2867"/>
      <c r="AD7" s="2867"/>
      <c r="AE7" s="2867"/>
      <c r="AF7" s="2867"/>
      <c r="AG7" s="2867"/>
      <c r="AH7" s="2867"/>
      <c r="AI7" s="2825"/>
      <c r="AJ7" s="2825"/>
      <c r="AK7" s="2825"/>
      <c r="AL7" s="2825"/>
      <c r="AM7" s="2825"/>
      <c r="AN7" s="1"/>
    </row>
    <row r="8" spans="1:40" ht="15.75" customHeight="1" thickBot="1">
      <c r="A8" s="6400" t="s">
        <v>460</v>
      </c>
      <c r="B8" s="6493" t="s">
        <v>2301</v>
      </c>
      <c r="C8" s="5770" t="e">
        <f t="shared" si="1"/>
        <v>#REF!</v>
      </c>
      <c r="D8" s="3474">
        <v>5</v>
      </c>
      <c r="E8" s="6413">
        <v>4</v>
      </c>
      <c r="F8" s="6413">
        <v>1</v>
      </c>
      <c r="G8" s="6413">
        <v>50</v>
      </c>
      <c r="H8" s="5806"/>
      <c r="I8" s="5806">
        <v>0</v>
      </c>
      <c r="J8" s="5806">
        <v>1.3888888888888889E-3</v>
      </c>
      <c r="K8" s="6389" t="s">
        <v>1431</v>
      </c>
      <c r="L8" s="5806" t="e">
        <f t="shared" ref="L8:L13" si="16">L7+N7</f>
        <v>#REF!</v>
      </c>
      <c r="M8" s="2509">
        <v>1.1000000000000001</v>
      </c>
      <c r="N8" s="5806" t="e">
        <f>P8*E8*F8+I8*E8*F8+J8*E8</f>
        <v>#REF!</v>
      </c>
      <c r="O8" s="6403" t="e">
        <f t="shared" si="3"/>
        <v>#REF!</v>
      </c>
      <c r="P8" s="6414" t="e">
        <f t="shared" si="4"/>
        <v>#REF!</v>
      </c>
      <c r="Q8" s="6415">
        <v>168</v>
      </c>
      <c r="R8" s="6415">
        <f>E8*F8*G8</f>
        <v>200</v>
      </c>
      <c r="S8" s="2844">
        <f t="shared" si="6"/>
        <v>0.2</v>
      </c>
      <c r="T8" s="2845" t="e">
        <f t="shared" si="7"/>
        <v>#REF!</v>
      </c>
      <c r="U8" s="374" t="e">
        <f t="shared" si="8"/>
        <v>#REF!</v>
      </c>
      <c r="V8" s="2846" t="e">
        <f t="shared" si="9"/>
        <v>#REF!</v>
      </c>
      <c r="W8" s="2847" t="e">
        <f t="shared" si="10"/>
        <v>#REF!</v>
      </c>
      <c r="X8" s="2848" t="e">
        <f t="shared" si="11"/>
        <v>#REF!</v>
      </c>
      <c r="Y8" s="2849" t="e">
        <f t="shared" si="12"/>
        <v>#REF!</v>
      </c>
      <c r="Z8" s="2850" t="e">
        <f t="shared" si="13"/>
        <v>#REF!</v>
      </c>
      <c r="AA8" s="2851" t="e">
        <f t="shared" si="14"/>
        <v>#REF!</v>
      </c>
      <c r="AC8" s="2867"/>
      <c r="AD8" s="2867"/>
      <c r="AE8" s="2867"/>
      <c r="AF8" s="2867"/>
      <c r="AG8" s="2867"/>
      <c r="AH8" s="2867"/>
      <c r="AI8" s="2825"/>
      <c r="AJ8" s="2825"/>
      <c r="AK8" s="2825"/>
      <c r="AL8" s="2825"/>
      <c r="AM8" s="2825"/>
      <c r="AN8" s="1"/>
    </row>
    <row r="9" spans="1:40" ht="15.75" customHeight="1" thickBot="1">
      <c r="A9" s="6400" t="s">
        <v>458</v>
      </c>
      <c r="B9" s="6493">
        <v>12</v>
      </c>
      <c r="C9" s="5770" t="e">
        <f t="shared" si="1"/>
        <v>#REF!</v>
      </c>
      <c r="D9" s="6416">
        <v>2</v>
      </c>
      <c r="E9" s="5795">
        <v>1</v>
      </c>
      <c r="F9" s="5795">
        <v>1</v>
      </c>
      <c r="G9" s="5795">
        <v>200</v>
      </c>
      <c r="H9" s="6417"/>
      <c r="I9" s="5796">
        <v>2.3148148148148146E-4</v>
      </c>
      <c r="J9" s="5796">
        <v>1.3888888888888889E-3</v>
      </c>
      <c r="K9" s="5774" t="s">
        <v>1176</v>
      </c>
      <c r="L9" s="5796" t="e">
        <f t="shared" si="16"/>
        <v>#REF!</v>
      </c>
      <c r="M9" s="6418">
        <v>1.3</v>
      </c>
      <c r="N9" s="5796" t="e">
        <f t="shared" si="15"/>
        <v>#REF!</v>
      </c>
      <c r="O9" s="6403" t="e">
        <f t="shared" si="3"/>
        <v>#REF!</v>
      </c>
      <c r="P9" s="6377" t="e">
        <f t="shared" si="4"/>
        <v>#REF!</v>
      </c>
      <c r="Q9" s="5778">
        <v>141</v>
      </c>
      <c r="R9" s="6379">
        <f t="shared" si="5"/>
        <v>200</v>
      </c>
      <c r="S9" s="2844">
        <f t="shared" si="6"/>
        <v>0.2</v>
      </c>
      <c r="T9" s="2845" t="e">
        <f t="shared" si="7"/>
        <v>#REF!</v>
      </c>
      <c r="U9" s="374" t="e">
        <f t="shared" si="8"/>
        <v>#REF!</v>
      </c>
      <c r="V9" s="2846" t="e">
        <f t="shared" si="9"/>
        <v>#REF!</v>
      </c>
      <c r="W9" s="2847" t="e">
        <f t="shared" si="10"/>
        <v>#REF!</v>
      </c>
      <c r="X9" s="2848" t="e">
        <f t="shared" si="11"/>
        <v>#REF!</v>
      </c>
      <c r="Y9" s="2849" t="e">
        <f t="shared" si="12"/>
        <v>#REF!</v>
      </c>
      <c r="Z9" s="2850" t="e">
        <f t="shared" si="13"/>
        <v>#REF!</v>
      </c>
      <c r="AA9" s="2851" t="e">
        <f t="shared" si="14"/>
        <v>#REF!</v>
      </c>
      <c r="AC9" s="2867"/>
      <c r="AD9" s="2867"/>
      <c r="AE9" s="2867"/>
      <c r="AF9" s="2867"/>
      <c r="AG9" s="2867"/>
      <c r="AH9" s="2867"/>
      <c r="AI9" s="2825"/>
      <c r="AJ9" s="2825"/>
      <c r="AK9" s="2825"/>
      <c r="AL9" s="2825"/>
      <c r="AM9" s="2825"/>
      <c r="AN9" s="1"/>
    </row>
    <row r="10" spans="1:40" ht="15.75" customHeight="1" thickBot="1">
      <c r="A10" s="6400" t="s">
        <v>219</v>
      </c>
      <c r="B10" s="6401" t="s">
        <v>215</v>
      </c>
      <c r="C10" s="5770" t="e">
        <f t="shared" si="1"/>
        <v>#REF!</v>
      </c>
      <c r="D10" s="3474">
        <v>5</v>
      </c>
      <c r="E10" s="6413">
        <v>4</v>
      </c>
      <c r="F10" s="6413">
        <v>1</v>
      </c>
      <c r="G10" s="6413">
        <v>50</v>
      </c>
      <c r="H10" s="5806"/>
      <c r="I10" s="5806">
        <v>0</v>
      </c>
      <c r="J10" s="5806">
        <v>1.3888888888888889E-3</v>
      </c>
      <c r="K10" s="6389" t="s">
        <v>1432</v>
      </c>
      <c r="L10" s="5806" t="e">
        <f t="shared" si="16"/>
        <v>#REF!</v>
      </c>
      <c r="M10" s="2509">
        <v>1.1000000000000001</v>
      </c>
      <c r="N10" s="5806" t="e">
        <f>P10*E10*F10+I10*E10*F10+J10*E10</f>
        <v>#REF!</v>
      </c>
      <c r="O10" s="6403" t="e">
        <f t="shared" si="3"/>
        <v>#REF!</v>
      </c>
      <c r="P10" s="6414" t="e">
        <f>O10*M10</f>
        <v>#REF!</v>
      </c>
      <c r="Q10" s="6415">
        <v>168</v>
      </c>
      <c r="R10" s="6415">
        <f>E10*F10*G10</f>
        <v>200</v>
      </c>
      <c r="S10" s="2844">
        <f t="shared" si="6"/>
        <v>0.2</v>
      </c>
      <c r="T10" s="2845" t="e">
        <f t="shared" si="7"/>
        <v>#REF!</v>
      </c>
      <c r="U10" s="374" t="e">
        <f t="shared" si="8"/>
        <v>#REF!</v>
      </c>
      <c r="V10" s="2846" t="e">
        <f t="shared" si="9"/>
        <v>#REF!</v>
      </c>
      <c r="W10" s="2847" t="e">
        <f t="shared" si="10"/>
        <v>#REF!</v>
      </c>
      <c r="X10" s="2848" t="e">
        <f t="shared" si="11"/>
        <v>#REF!</v>
      </c>
      <c r="Y10" s="2849" t="e">
        <f t="shared" si="12"/>
        <v>#REF!</v>
      </c>
      <c r="Z10" s="2850" t="e">
        <f t="shared" si="13"/>
        <v>#REF!</v>
      </c>
      <c r="AA10" s="2851" t="e">
        <f t="shared" si="14"/>
        <v>#REF!</v>
      </c>
      <c r="AC10" s="2867"/>
      <c r="AD10" s="2867"/>
      <c r="AE10" s="2867"/>
      <c r="AF10" s="2867"/>
      <c r="AG10" s="2867"/>
      <c r="AH10" s="2867"/>
      <c r="AI10" s="2825"/>
      <c r="AJ10" s="2825"/>
      <c r="AK10" s="2825"/>
      <c r="AL10" s="2825"/>
      <c r="AM10" s="2825"/>
      <c r="AN10" s="1"/>
    </row>
    <row r="11" spans="1:40" ht="15" customHeight="1" thickBot="1">
      <c r="A11" s="6400"/>
      <c r="B11" s="6401" t="s">
        <v>215</v>
      </c>
      <c r="C11" s="5770" t="e">
        <f t="shared" si="1"/>
        <v>#REF!</v>
      </c>
      <c r="D11" s="6416">
        <v>2</v>
      </c>
      <c r="E11" s="5795">
        <v>1</v>
      </c>
      <c r="F11" s="5795">
        <v>1</v>
      </c>
      <c r="G11" s="5795">
        <v>200</v>
      </c>
      <c r="H11" s="6417"/>
      <c r="I11" s="5796">
        <v>2.3148148148148146E-4</v>
      </c>
      <c r="J11" s="5796">
        <v>1.3888888888888889E-3</v>
      </c>
      <c r="K11" s="5774" t="s">
        <v>1177</v>
      </c>
      <c r="L11" s="5796" t="e">
        <f t="shared" si="16"/>
        <v>#REF!</v>
      </c>
      <c r="M11" s="6418">
        <v>1.25</v>
      </c>
      <c r="N11" s="5796" t="e">
        <f t="shared" si="15"/>
        <v>#REF!</v>
      </c>
      <c r="O11" s="6403" t="e">
        <f t="shared" si="3"/>
        <v>#REF!</v>
      </c>
      <c r="P11" s="6377" t="e">
        <f t="shared" si="4"/>
        <v>#REF!</v>
      </c>
      <c r="Q11" s="5778">
        <v>141</v>
      </c>
      <c r="R11" s="6379">
        <f t="shared" si="5"/>
        <v>200</v>
      </c>
      <c r="S11" s="2844">
        <f t="shared" si="6"/>
        <v>0.2</v>
      </c>
      <c r="T11" s="2845" t="e">
        <f t="shared" si="7"/>
        <v>#REF!</v>
      </c>
      <c r="U11" s="374" t="e">
        <f t="shared" si="8"/>
        <v>#REF!</v>
      </c>
      <c r="V11" s="2846" t="e">
        <f t="shared" si="9"/>
        <v>#REF!</v>
      </c>
      <c r="W11" s="2847" t="e">
        <f t="shared" si="10"/>
        <v>#REF!</v>
      </c>
      <c r="X11" s="2848" t="e">
        <f t="shared" si="11"/>
        <v>#REF!</v>
      </c>
      <c r="Y11" s="2849" t="e">
        <f t="shared" si="12"/>
        <v>#REF!</v>
      </c>
      <c r="Z11" s="2850" t="e">
        <f t="shared" si="13"/>
        <v>#REF!</v>
      </c>
      <c r="AA11" s="2851" t="e">
        <f t="shared" si="14"/>
        <v>#REF!</v>
      </c>
      <c r="AC11" s="2867"/>
      <c r="AD11" s="2867"/>
      <c r="AE11" s="2867"/>
      <c r="AF11" s="2867"/>
      <c r="AG11" s="2867"/>
      <c r="AH11" s="2867"/>
      <c r="AI11" s="2825"/>
      <c r="AJ11" s="2825"/>
      <c r="AK11" s="2825"/>
      <c r="AL11" s="2825"/>
      <c r="AM11" s="2825"/>
      <c r="AN11" s="1"/>
    </row>
    <row r="12" spans="1:40" ht="14" customHeight="1" thickBot="1">
      <c r="A12" s="6400" t="s">
        <v>214</v>
      </c>
      <c r="B12" s="6401" t="s">
        <v>215</v>
      </c>
      <c r="C12" s="5770" t="e">
        <f t="shared" si="1"/>
        <v>#REF!</v>
      </c>
      <c r="D12" s="6419">
        <v>1</v>
      </c>
      <c r="E12" s="6420">
        <v>1</v>
      </c>
      <c r="F12" s="6420">
        <v>1</v>
      </c>
      <c r="G12" s="6420">
        <v>400</v>
      </c>
      <c r="H12" s="6421"/>
      <c r="I12" s="6422">
        <v>0</v>
      </c>
      <c r="J12" s="6422">
        <v>1.1574074074074073E-4</v>
      </c>
      <c r="K12" s="6423" t="s">
        <v>763</v>
      </c>
      <c r="L12" s="6422" t="e">
        <f t="shared" si="16"/>
        <v>#REF!</v>
      </c>
      <c r="M12" s="6424">
        <v>1</v>
      </c>
      <c r="N12" s="6422" t="e">
        <f t="shared" si="15"/>
        <v>#REF!</v>
      </c>
      <c r="O12" s="6403" t="e">
        <f t="shared" si="3"/>
        <v>#REF!</v>
      </c>
      <c r="P12" s="6425" t="e">
        <f t="shared" si="4"/>
        <v>#REF!</v>
      </c>
      <c r="Q12" s="6426">
        <v>121</v>
      </c>
      <c r="R12" s="6427">
        <f t="shared" si="5"/>
        <v>400</v>
      </c>
      <c r="S12" s="2844">
        <f t="shared" si="6"/>
        <v>0.4</v>
      </c>
      <c r="T12" s="2845" t="e">
        <f t="shared" si="7"/>
        <v>#REF!</v>
      </c>
      <c r="U12" s="374" t="e">
        <f t="shared" si="8"/>
        <v>#REF!</v>
      </c>
      <c r="V12" s="2846" t="e">
        <f t="shared" si="9"/>
        <v>#REF!</v>
      </c>
      <c r="W12" s="2847" t="e">
        <f t="shared" si="10"/>
        <v>#REF!</v>
      </c>
      <c r="X12" s="2848" t="e">
        <f t="shared" si="11"/>
        <v>#REF!</v>
      </c>
      <c r="Y12" s="2849" t="e">
        <f t="shared" si="12"/>
        <v>#REF!</v>
      </c>
      <c r="Z12" s="2850" t="e">
        <f t="shared" si="13"/>
        <v>#REF!</v>
      </c>
      <c r="AA12" s="2851" t="e">
        <f t="shared" si="14"/>
        <v>#REF!</v>
      </c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  <c r="AN12" s="1"/>
    </row>
    <row r="13" spans="1:40" ht="14" customHeight="1" thickBot="1">
      <c r="A13" s="6400" t="s">
        <v>459</v>
      </c>
      <c r="B13" s="6401"/>
      <c r="C13" s="5770">
        <f t="shared" si="1"/>
        <v>0</v>
      </c>
      <c r="D13" s="6428"/>
      <c r="E13" s="849"/>
      <c r="F13" s="849"/>
      <c r="G13" s="849"/>
      <c r="H13" s="1538"/>
      <c r="I13" s="3913"/>
      <c r="J13" s="849"/>
      <c r="K13" s="849"/>
      <c r="L13" s="6429" t="e">
        <f t="shared" si="16"/>
        <v>#REF!</v>
      </c>
      <c r="M13" s="1547"/>
      <c r="N13" s="1019"/>
      <c r="O13" s="1538"/>
      <c r="P13" s="849"/>
      <c r="Q13" s="849"/>
      <c r="R13" s="3941">
        <f>SUM(R6:R12)</f>
        <v>1900</v>
      </c>
      <c r="S13" s="2844">
        <f t="shared" si="6"/>
        <v>0</v>
      </c>
      <c r="T13" s="2845">
        <f t="shared" si="7"/>
        <v>0</v>
      </c>
      <c r="U13" s="374" t="e">
        <f t="shared" si="8"/>
        <v>#REF!</v>
      </c>
      <c r="V13" s="2846" t="e">
        <f t="shared" si="9"/>
        <v>#REF!</v>
      </c>
      <c r="W13" s="2847" t="e">
        <f t="shared" si="10"/>
        <v>#REF!</v>
      </c>
      <c r="X13" s="2848" t="e">
        <f t="shared" si="11"/>
        <v>#REF!</v>
      </c>
      <c r="Y13" s="2849" t="e">
        <f t="shared" si="12"/>
        <v>#REF!</v>
      </c>
      <c r="Z13" s="2850" t="e">
        <f t="shared" si="13"/>
        <v>#REF!</v>
      </c>
      <c r="AA13" s="2851" t="e">
        <f t="shared" si="14"/>
        <v>#REF!</v>
      </c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  <c r="AN13" s="1"/>
    </row>
    <row r="14" spans="1:40" ht="14" thickBot="1">
      <c r="A14" s="6400" t="s">
        <v>460</v>
      </c>
      <c r="B14" s="6385" t="s">
        <v>2301</v>
      </c>
      <c r="C14" s="5770" t="e">
        <f t="shared" si="1"/>
        <v>#REF!</v>
      </c>
      <c r="D14" s="920">
        <v>1</v>
      </c>
      <c r="E14" s="1979">
        <v>1</v>
      </c>
      <c r="F14" s="1979">
        <v>1</v>
      </c>
      <c r="G14" s="1979">
        <v>200</v>
      </c>
      <c r="H14" s="1979"/>
      <c r="I14" s="5663">
        <v>0</v>
      </c>
      <c r="J14" s="5663">
        <v>8.1018518518518516E-4</v>
      </c>
      <c r="K14" s="2099" t="s">
        <v>1543</v>
      </c>
      <c r="L14" s="5775">
        <v>0.8125</v>
      </c>
      <c r="M14" s="5774">
        <v>1.2</v>
      </c>
      <c r="N14" s="5796" t="e">
        <f t="shared" ref="N14" si="17">P14*E14*F14+I14*F14*E14+J14*E14</f>
        <v>#REF!</v>
      </c>
      <c r="O14" s="6377" t="e">
        <f t="shared" ref="O14" si="18">C14*(G14/25)</f>
        <v>#REF!</v>
      </c>
      <c r="P14" s="5796" t="e">
        <f t="shared" ref="P14" si="19">O14*M14</f>
        <v>#REF!</v>
      </c>
      <c r="Q14" s="6378">
        <v>145</v>
      </c>
      <c r="R14" s="6379">
        <f t="shared" ref="R14" si="20">E14*F14*G14</f>
        <v>200</v>
      </c>
      <c r="S14" s="2844">
        <f t="shared" si="6"/>
        <v>0.2</v>
      </c>
      <c r="T14" s="2845" t="e">
        <f t="shared" si="7"/>
        <v>#REF!</v>
      </c>
      <c r="U14" s="374" t="e">
        <f t="shared" si="8"/>
        <v>#REF!</v>
      </c>
      <c r="V14" s="2846" t="e">
        <f t="shared" si="9"/>
        <v>#REF!</v>
      </c>
      <c r="W14" s="2847" t="e">
        <f t="shared" si="10"/>
        <v>#REF!</v>
      </c>
      <c r="X14" s="2848" t="e">
        <f t="shared" si="11"/>
        <v>#REF!</v>
      </c>
      <c r="Y14" s="2849" t="e">
        <f t="shared" si="12"/>
        <v>#REF!</v>
      </c>
      <c r="Z14" s="2850" t="e">
        <f t="shared" si="13"/>
        <v>#REF!</v>
      </c>
      <c r="AA14" s="2851" t="e">
        <f t="shared" si="14"/>
        <v>#REF!</v>
      </c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  <c r="AN14" s="1"/>
    </row>
    <row r="15" spans="1:40" ht="14" customHeight="1" thickBot="1">
      <c r="A15" s="6400" t="s">
        <v>458</v>
      </c>
      <c r="B15" s="6385">
        <v>12</v>
      </c>
      <c r="C15" s="5770" t="e">
        <f t="shared" si="1"/>
        <v>#REF!</v>
      </c>
      <c r="D15" s="6391">
        <v>7</v>
      </c>
      <c r="E15" s="6392">
        <v>1</v>
      </c>
      <c r="F15" s="6392">
        <v>2</v>
      </c>
      <c r="G15" s="6392">
        <v>15</v>
      </c>
      <c r="H15" s="6393"/>
      <c r="I15" s="6394">
        <v>2.3148148148148146E-4</v>
      </c>
      <c r="J15" s="6394">
        <v>6.9444444444444447E-4</v>
      </c>
      <c r="K15" s="6395" t="s">
        <v>1433</v>
      </c>
      <c r="L15" s="6394" t="e">
        <f t="shared" ref="L15:L23" si="21">L14+N14</f>
        <v>#REF!</v>
      </c>
      <c r="M15" s="6396">
        <v>0.9</v>
      </c>
      <c r="N15" s="6394" t="e">
        <f>P15*E15*F15+I15*F15+J15*E15</f>
        <v>#REF!</v>
      </c>
      <c r="O15" s="6397" t="e">
        <f>C15*(G15/25)</f>
        <v>#REF!</v>
      </c>
      <c r="P15" s="6398" t="e">
        <f>O15*M15</f>
        <v>#REF!</v>
      </c>
      <c r="Q15" s="6395" t="s">
        <v>274</v>
      </c>
      <c r="R15" s="6399">
        <f>E15*F15*G15</f>
        <v>30</v>
      </c>
      <c r="S15" s="2844">
        <f t="shared" si="6"/>
        <v>0.03</v>
      </c>
      <c r="T15" s="2845" t="e">
        <f t="shared" si="7"/>
        <v>#REF!</v>
      </c>
      <c r="U15" s="374" t="e">
        <f t="shared" si="8"/>
        <v>#REF!</v>
      </c>
      <c r="V15" s="2846" t="e">
        <f t="shared" si="9"/>
        <v>#REF!</v>
      </c>
      <c r="W15" s="2847" t="e">
        <f t="shared" si="10"/>
        <v>#REF!</v>
      </c>
      <c r="X15" s="2848" t="e">
        <f t="shared" si="11"/>
        <v>#REF!</v>
      </c>
      <c r="Y15" s="2849" t="e">
        <f t="shared" si="12"/>
        <v>#REF!</v>
      </c>
      <c r="Z15" s="2850" t="e">
        <f t="shared" si="13"/>
        <v>#REF!</v>
      </c>
      <c r="AA15" s="2851" t="e">
        <f t="shared" si="14"/>
        <v>#REF!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  <c r="AN15" s="1"/>
    </row>
    <row r="16" spans="1:40" ht="14" customHeight="1" thickBot="1">
      <c r="A16" s="6400" t="s">
        <v>219</v>
      </c>
      <c r="B16" s="6401">
        <v>7</v>
      </c>
      <c r="C16" s="5770" t="e">
        <f t="shared" si="1"/>
        <v>#REF!</v>
      </c>
      <c r="D16" s="6391">
        <v>7</v>
      </c>
      <c r="E16" s="6392">
        <v>1</v>
      </c>
      <c r="F16" s="6392">
        <v>2</v>
      </c>
      <c r="G16" s="6392">
        <v>15</v>
      </c>
      <c r="H16" s="6393"/>
      <c r="I16" s="6394">
        <v>2.3148148148148146E-4</v>
      </c>
      <c r="J16" s="6394">
        <v>6.9444444444444447E-4</v>
      </c>
      <c r="K16" s="6395" t="s">
        <v>1434</v>
      </c>
      <c r="L16" s="6394" t="e">
        <f t="shared" si="21"/>
        <v>#REF!</v>
      </c>
      <c r="M16" s="6396">
        <v>0.9</v>
      </c>
      <c r="N16" s="6394" t="e">
        <f>P16*E16*F16+I16*F16+J16*E16</f>
        <v>#REF!</v>
      </c>
      <c r="O16" s="6397" t="e">
        <f>C16*(G16/25)</f>
        <v>#REF!</v>
      </c>
      <c r="P16" s="6398" t="e">
        <f>O16*M16</f>
        <v>#REF!</v>
      </c>
      <c r="Q16" s="6395" t="s">
        <v>274</v>
      </c>
      <c r="R16" s="6399">
        <f>E16*F16*G16</f>
        <v>30</v>
      </c>
      <c r="S16" s="2844">
        <f t="shared" si="6"/>
        <v>0.03</v>
      </c>
      <c r="T16" s="2845" t="e">
        <f t="shared" si="7"/>
        <v>#REF!</v>
      </c>
      <c r="U16" s="374" t="e">
        <f t="shared" si="8"/>
        <v>#REF!</v>
      </c>
      <c r="V16" s="2846" t="e">
        <f t="shared" si="9"/>
        <v>#REF!</v>
      </c>
      <c r="W16" s="2847" t="e">
        <f t="shared" si="10"/>
        <v>#REF!</v>
      </c>
      <c r="X16" s="2848" t="e">
        <f t="shared" si="11"/>
        <v>#REF!</v>
      </c>
      <c r="Y16" s="2849" t="e">
        <f t="shared" si="12"/>
        <v>#REF!</v>
      </c>
      <c r="Z16" s="2850" t="e">
        <f t="shared" si="13"/>
        <v>#REF!</v>
      </c>
      <c r="AA16" s="2851" t="e">
        <f t="shared" si="14"/>
        <v>#REF!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  <c r="AN16" s="1"/>
    </row>
    <row r="17" spans="1:40" ht="14" customHeight="1" thickBot="1">
      <c r="A17" s="6400"/>
      <c r="B17" s="6401" t="s">
        <v>461</v>
      </c>
      <c r="C17" s="5770" t="e">
        <f t="shared" si="1"/>
        <v>#REF!</v>
      </c>
      <c r="D17" s="6391">
        <v>7</v>
      </c>
      <c r="E17" s="6392">
        <v>1</v>
      </c>
      <c r="F17" s="6392">
        <v>4</v>
      </c>
      <c r="G17" s="6392">
        <v>15</v>
      </c>
      <c r="H17" s="6393"/>
      <c r="I17" s="6394">
        <v>2.3148148148148146E-4</v>
      </c>
      <c r="J17" s="6394">
        <v>1.0416666666666666E-2</v>
      </c>
      <c r="K17" s="6395" t="s">
        <v>1178</v>
      </c>
      <c r="L17" s="6394" t="e">
        <f t="shared" si="21"/>
        <v>#REF!</v>
      </c>
      <c r="M17" s="6396">
        <v>0.9</v>
      </c>
      <c r="N17" s="6394" t="e">
        <f>P17*E17*F17+I17*F17+J17*E17</f>
        <v>#REF!</v>
      </c>
      <c r="O17" s="6397" t="e">
        <f>C17*(G17/25)</f>
        <v>#REF!</v>
      </c>
      <c r="P17" s="6398" t="e">
        <f>O17*M17</f>
        <v>#REF!</v>
      </c>
      <c r="Q17" s="6395" t="s">
        <v>274</v>
      </c>
      <c r="R17" s="6399">
        <f>E17*F17*G17</f>
        <v>60</v>
      </c>
      <c r="S17" s="2844">
        <f t="shared" si="6"/>
        <v>0.06</v>
      </c>
      <c r="T17" s="2845" t="e">
        <f t="shared" si="7"/>
        <v>#REF!</v>
      </c>
      <c r="U17" s="374" t="e">
        <f t="shared" si="8"/>
        <v>#REF!</v>
      </c>
      <c r="V17" s="2846" t="e">
        <f t="shared" si="9"/>
        <v>#REF!</v>
      </c>
      <c r="W17" s="2847" t="e">
        <f t="shared" si="10"/>
        <v>#REF!</v>
      </c>
      <c r="X17" s="2848" t="e">
        <f t="shared" si="11"/>
        <v>#REF!</v>
      </c>
      <c r="Y17" s="2849" t="e">
        <f t="shared" si="12"/>
        <v>#REF!</v>
      </c>
      <c r="Z17" s="2850" t="e">
        <f t="shared" si="13"/>
        <v>#REF!</v>
      </c>
      <c r="AA17" s="2851" t="e">
        <f t="shared" si="14"/>
        <v>#REF!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  <c r="AN17" s="1"/>
    </row>
    <row r="18" spans="1:40" ht="14" customHeight="1" thickBot="1">
      <c r="A18" s="6430"/>
      <c r="B18" s="6431"/>
      <c r="C18" s="5770">
        <f t="shared" si="1"/>
        <v>0</v>
      </c>
      <c r="D18" s="6432"/>
      <c r="E18" s="3746"/>
      <c r="F18" s="3746"/>
      <c r="G18" s="3746"/>
      <c r="H18" s="6433"/>
      <c r="I18" s="3746"/>
      <c r="J18" s="3746"/>
      <c r="K18" s="6434" t="s">
        <v>157</v>
      </c>
      <c r="L18" s="6429" t="e">
        <f t="shared" si="21"/>
        <v>#REF!</v>
      </c>
      <c r="M18" s="6433"/>
      <c r="N18" s="6435"/>
      <c r="O18" s="6433"/>
      <c r="P18" s="3746"/>
      <c r="Q18" s="3746"/>
      <c r="R18" s="6436">
        <f>SUM(R14:R17)</f>
        <v>320</v>
      </c>
      <c r="S18" s="2844">
        <f t="shared" si="6"/>
        <v>0</v>
      </c>
      <c r="T18" s="2845">
        <f t="shared" si="7"/>
        <v>0</v>
      </c>
      <c r="U18" s="374" t="e">
        <f t="shared" si="8"/>
        <v>#REF!</v>
      </c>
      <c r="V18" s="2846" t="e">
        <f t="shared" si="9"/>
        <v>#REF!</v>
      </c>
      <c r="W18" s="2847" t="e">
        <f t="shared" si="10"/>
        <v>#REF!</v>
      </c>
      <c r="X18" s="2848" t="e">
        <f t="shared" si="11"/>
        <v>#REF!</v>
      </c>
      <c r="Y18" s="2849" t="e">
        <f t="shared" si="12"/>
        <v>#REF!</v>
      </c>
      <c r="Z18" s="2850" t="e">
        <f t="shared" si="13"/>
        <v>#REF!</v>
      </c>
      <c r="AA18" s="2851" t="e">
        <f t="shared" si="14"/>
        <v>#REF!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1"/>
    </row>
    <row r="19" spans="1:40" ht="15" thickTop="1" thickBot="1">
      <c r="A19" s="6400" t="s">
        <v>214</v>
      </c>
      <c r="B19" s="6401" t="s">
        <v>461</v>
      </c>
      <c r="C19" s="5770" t="e">
        <f t="shared" si="1"/>
        <v>#REF!</v>
      </c>
      <c r="D19" s="1550">
        <v>2</v>
      </c>
      <c r="E19" s="4900">
        <v>1</v>
      </c>
      <c r="F19" s="4900">
        <v>1</v>
      </c>
      <c r="G19" s="4900">
        <v>400</v>
      </c>
      <c r="H19" s="1551"/>
      <c r="I19" s="648">
        <v>2.8935185185185189E-4</v>
      </c>
      <c r="J19" s="648">
        <v>1.3888888888888889E-3</v>
      </c>
      <c r="K19" s="1340" t="s">
        <v>952</v>
      </c>
      <c r="L19" s="648" t="e">
        <f t="shared" si="21"/>
        <v>#REF!</v>
      </c>
      <c r="M19" s="1552">
        <v>1</v>
      </c>
      <c r="N19" s="648" t="e">
        <f>P19*E19*F19+I19*F19+J19*E19</f>
        <v>#REF!</v>
      </c>
      <c r="O19" s="6403" t="e">
        <f>C19*(G19/25)</f>
        <v>#REF!</v>
      </c>
      <c r="P19" s="835" t="e">
        <f>O19*M19</f>
        <v>#REF!</v>
      </c>
      <c r="Q19" s="836">
        <v>141</v>
      </c>
      <c r="R19" s="4905">
        <f>E19*F19*G19</f>
        <v>400</v>
      </c>
      <c r="S19" s="2844">
        <f t="shared" si="6"/>
        <v>0.4</v>
      </c>
      <c r="T19" s="2845" t="e">
        <f t="shared" si="7"/>
        <v>#REF!</v>
      </c>
      <c r="U19" s="374" t="e">
        <f t="shared" si="8"/>
        <v>#REF!</v>
      </c>
      <c r="V19" s="2846" t="e">
        <f t="shared" si="9"/>
        <v>#REF!</v>
      </c>
      <c r="W19" s="2847" t="e">
        <f t="shared" si="10"/>
        <v>#REF!</v>
      </c>
      <c r="X19" s="2848" t="e">
        <f t="shared" si="11"/>
        <v>#REF!</v>
      </c>
      <c r="Y19" s="2849" t="e">
        <f t="shared" si="12"/>
        <v>#REF!</v>
      </c>
      <c r="Z19" s="2850" t="e">
        <f t="shared" si="13"/>
        <v>#REF!</v>
      </c>
      <c r="AA19" s="2851" t="e">
        <f t="shared" si="14"/>
        <v>#REF!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1"/>
    </row>
    <row r="20" spans="1:40" ht="14" thickBot="1">
      <c r="A20" s="6437" t="s">
        <v>459</v>
      </c>
      <c r="B20" s="6385" t="s">
        <v>2301</v>
      </c>
      <c r="C20" s="5770" t="e">
        <f t="shared" si="1"/>
        <v>#REF!</v>
      </c>
      <c r="D20" s="6391">
        <v>7</v>
      </c>
      <c r="E20" s="6392">
        <v>1</v>
      </c>
      <c r="F20" s="6392">
        <v>4</v>
      </c>
      <c r="G20" s="6392">
        <v>25</v>
      </c>
      <c r="H20" s="6393"/>
      <c r="I20" s="6394">
        <v>4.6296296296296293E-4</v>
      </c>
      <c r="J20" s="6394">
        <v>2.0833333333333333E-3</v>
      </c>
      <c r="K20" s="6395" t="s">
        <v>1435</v>
      </c>
      <c r="L20" s="6394" t="e">
        <f t="shared" si="21"/>
        <v>#REF!</v>
      </c>
      <c r="M20" s="6396">
        <v>0.85</v>
      </c>
      <c r="N20" s="6394" t="e">
        <f>P20*E20*F20+I20*F20+J20*E20</f>
        <v>#REF!</v>
      </c>
      <c r="O20" s="6397" t="e">
        <f>C20*(G20/25)</f>
        <v>#REF!</v>
      </c>
      <c r="P20" s="6398" t="e">
        <f>O20*M20</f>
        <v>#REF!</v>
      </c>
      <c r="Q20" s="6395" t="s">
        <v>274</v>
      </c>
      <c r="R20" s="6399">
        <f>E20*F20*G20</f>
        <v>100</v>
      </c>
      <c r="S20" s="2844">
        <f t="shared" si="6"/>
        <v>0.1</v>
      </c>
      <c r="T20" s="2845" t="e">
        <f t="shared" si="7"/>
        <v>#REF!</v>
      </c>
      <c r="U20" s="374" t="e">
        <f t="shared" si="8"/>
        <v>#REF!</v>
      </c>
      <c r="V20" s="2846" t="e">
        <f t="shared" si="9"/>
        <v>#REF!</v>
      </c>
      <c r="W20" s="2847" t="e">
        <f t="shared" si="10"/>
        <v>#REF!</v>
      </c>
      <c r="X20" s="2848" t="e">
        <f t="shared" si="11"/>
        <v>#REF!</v>
      </c>
      <c r="Y20" s="2849" t="e">
        <f t="shared" si="12"/>
        <v>#REF!</v>
      </c>
      <c r="Z20" s="2850" t="e">
        <f t="shared" si="13"/>
        <v>#REF!</v>
      </c>
      <c r="AA20" s="2851" t="e">
        <f t="shared" si="14"/>
        <v>#REF!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1"/>
    </row>
    <row r="21" spans="1:40" ht="14" thickBot="1">
      <c r="A21" s="6437" t="s">
        <v>460</v>
      </c>
      <c r="B21" s="6385">
        <v>12</v>
      </c>
      <c r="C21" s="5770" t="e">
        <f t="shared" si="1"/>
        <v>#REF!</v>
      </c>
      <c r="D21" s="6391">
        <v>7</v>
      </c>
      <c r="E21" s="6392">
        <v>1</v>
      </c>
      <c r="F21" s="6392">
        <v>2</v>
      </c>
      <c r="G21" s="6392">
        <v>50</v>
      </c>
      <c r="H21" s="6393"/>
      <c r="I21" s="6394">
        <v>4.6296296296296293E-4</v>
      </c>
      <c r="J21" s="6394">
        <v>2.0833333333333333E-3</v>
      </c>
      <c r="K21" s="6395" t="s">
        <v>1436</v>
      </c>
      <c r="L21" s="6394" t="e">
        <f t="shared" si="21"/>
        <v>#REF!</v>
      </c>
      <c r="M21" s="6396">
        <v>1.05</v>
      </c>
      <c r="N21" s="6394" t="e">
        <f>P21*E21*F21+I21*F21+J21*E21</f>
        <v>#REF!</v>
      </c>
      <c r="O21" s="6397" t="e">
        <f>C21*(G21/25)</f>
        <v>#REF!</v>
      </c>
      <c r="P21" s="6398" t="e">
        <f>O21*M21</f>
        <v>#REF!</v>
      </c>
      <c r="Q21" s="6395" t="s">
        <v>274</v>
      </c>
      <c r="R21" s="6399">
        <f>E21*F21*G21</f>
        <v>100</v>
      </c>
      <c r="S21" s="2844">
        <f t="shared" si="6"/>
        <v>0.1</v>
      </c>
      <c r="T21" s="2845" t="e">
        <f t="shared" si="7"/>
        <v>#REF!</v>
      </c>
      <c r="U21" s="374" t="e">
        <f t="shared" si="8"/>
        <v>#REF!</v>
      </c>
      <c r="V21" s="2846" t="e">
        <f t="shared" si="9"/>
        <v>#REF!</v>
      </c>
      <c r="W21" s="2847" t="e">
        <f t="shared" si="10"/>
        <v>#REF!</v>
      </c>
      <c r="X21" s="2848" t="e">
        <f t="shared" si="11"/>
        <v>#REF!</v>
      </c>
      <c r="Y21" s="2849" t="e">
        <f t="shared" si="12"/>
        <v>#REF!</v>
      </c>
      <c r="Z21" s="2850" t="e">
        <f t="shared" si="13"/>
        <v>#REF!</v>
      </c>
      <c r="AA21" s="2851" t="e">
        <f t="shared" si="14"/>
        <v>#REF!</v>
      </c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1"/>
    </row>
    <row r="22" spans="1:40">
      <c r="A22" s="6437" t="s">
        <v>458</v>
      </c>
      <c r="B22" s="6438" t="s">
        <v>461</v>
      </c>
      <c r="C22" s="5770" t="e">
        <f t="shared" si="1"/>
        <v>#REF!</v>
      </c>
      <c r="D22" s="6402">
        <v>1</v>
      </c>
      <c r="E22" s="5787">
        <v>1</v>
      </c>
      <c r="F22" s="5787">
        <v>1</v>
      </c>
      <c r="G22" s="5787">
        <v>100</v>
      </c>
      <c r="H22" s="6403"/>
      <c r="I22" s="5788">
        <v>0</v>
      </c>
      <c r="J22" s="5788">
        <v>1.1574074074074073E-4</v>
      </c>
      <c r="K22" s="1340" t="s">
        <v>901</v>
      </c>
      <c r="L22" s="5788" t="e">
        <f t="shared" si="21"/>
        <v>#REF!</v>
      </c>
      <c r="M22" s="6404">
        <v>1</v>
      </c>
      <c r="N22" s="5788" t="e">
        <f>P22*E22*F22+I22*F22+J22*E22</f>
        <v>#REF!</v>
      </c>
      <c r="O22" s="6403" t="e">
        <f>C22*(G22/25)</f>
        <v>#REF!</v>
      </c>
      <c r="P22" s="6405" t="e">
        <f>O22*M22</f>
        <v>#REF!</v>
      </c>
      <c r="Q22" s="5792">
        <v>121</v>
      </c>
      <c r="R22" s="6406">
        <f>E22*F22*G22</f>
        <v>100</v>
      </c>
      <c r="S22" s="2844">
        <f t="shared" si="6"/>
        <v>0.1</v>
      </c>
      <c r="T22" s="2845" t="e">
        <f t="shared" si="7"/>
        <v>#REF!</v>
      </c>
      <c r="U22" s="374" t="e">
        <f t="shared" si="8"/>
        <v>#REF!</v>
      </c>
      <c r="V22" s="2846" t="e">
        <f t="shared" si="9"/>
        <v>#REF!</v>
      </c>
      <c r="W22" s="2847" t="e">
        <f t="shared" si="10"/>
        <v>#REF!</v>
      </c>
      <c r="X22" s="2848" t="e">
        <f t="shared" si="11"/>
        <v>#REF!</v>
      </c>
      <c r="Y22" s="2849" t="e">
        <f t="shared" si="12"/>
        <v>#REF!</v>
      </c>
      <c r="Z22" s="2850" t="e">
        <f t="shared" si="13"/>
        <v>#REF!</v>
      </c>
      <c r="AA22" s="2851" t="e">
        <f t="shared" si="14"/>
        <v>#REF!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</row>
    <row r="23" spans="1:40" ht="14" thickBot="1">
      <c r="A23" s="6439" t="s">
        <v>219</v>
      </c>
      <c r="B23" s="6440"/>
      <c r="C23" s="5770">
        <f t="shared" si="1"/>
        <v>0</v>
      </c>
      <c r="D23" s="2801"/>
      <c r="E23" s="642"/>
      <c r="F23" s="642"/>
      <c r="G23" s="642"/>
      <c r="H23" s="1554"/>
      <c r="I23" s="642"/>
      <c r="J23" s="642"/>
      <c r="K23" s="642"/>
      <c r="L23" s="6429" t="e">
        <f t="shared" si="21"/>
        <v>#REF!</v>
      </c>
      <c r="M23" s="1555"/>
      <c r="N23" s="6441"/>
      <c r="O23" s="1538"/>
      <c r="P23" s="683"/>
      <c r="Q23" s="849"/>
      <c r="R23" s="3941">
        <f>SUM(R19:R22)</f>
        <v>700</v>
      </c>
      <c r="S23" s="2844">
        <f t="shared" si="6"/>
        <v>0</v>
      </c>
      <c r="T23" s="2845">
        <f t="shared" si="7"/>
        <v>0</v>
      </c>
      <c r="U23" s="374" t="e">
        <f t="shared" si="8"/>
        <v>#REF!</v>
      </c>
      <c r="V23" s="2846" t="e">
        <f t="shared" si="9"/>
        <v>#REF!</v>
      </c>
      <c r="W23" s="2847" t="e">
        <f t="shared" si="10"/>
        <v>#REF!</v>
      </c>
      <c r="X23" s="2848" t="e">
        <f t="shared" si="11"/>
        <v>#REF!</v>
      </c>
      <c r="Y23" s="2849" t="e">
        <f t="shared" si="12"/>
        <v>#REF!</v>
      </c>
      <c r="Z23" s="2850" t="e">
        <f t="shared" si="13"/>
        <v>#REF!</v>
      </c>
      <c r="AA23" s="2851" t="e">
        <f t="shared" si="14"/>
        <v>#REF!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</row>
    <row r="24" spans="1:40" ht="14" thickBot="1">
      <c r="A24" s="3704" t="s">
        <v>215</v>
      </c>
      <c r="B24" s="3110" t="s">
        <v>215</v>
      </c>
      <c r="C24" s="5770">
        <f t="shared" si="1"/>
        <v>0</v>
      </c>
      <c r="D24" s="6442"/>
      <c r="E24" s="2855"/>
      <c r="F24" s="2855"/>
      <c r="G24" s="2855"/>
      <c r="H24" s="6443"/>
      <c r="I24" s="6443"/>
      <c r="J24" s="6443"/>
      <c r="K24" s="6444" t="s">
        <v>151</v>
      </c>
      <c r="L24" s="6429"/>
      <c r="M24" s="6445"/>
      <c r="N24" s="6446"/>
      <c r="O24" s="6447"/>
      <c r="P24" s="6448"/>
      <c r="Q24" s="3745"/>
      <c r="R24" s="3979"/>
      <c r="S24" s="2844">
        <f t="shared" si="6"/>
        <v>0</v>
      </c>
      <c r="T24" s="2845">
        <f t="shared" si="7"/>
        <v>0</v>
      </c>
      <c r="U24" s="374" t="e">
        <f t="shared" si="8"/>
        <v>#REF!</v>
      </c>
      <c r="V24" s="2846" t="e">
        <f t="shared" si="9"/>
        <v>#REF!</v>
      </c>
      <c r="W24" s="2847" t="e">
        <f t="shared" si="10"/>
        <v>#REF!</v>
      </c>
      <c r="X24" s="2848" t="e">
        <f t="shared" si="11"/>
        <v>#REF!</v>
      </c>
      <c r="Y24" s="2849" t="e">
        <f t="shared" si="12"/>
        <v>#REF!</v>
      </c>
      <c r="Z24" s="2850" t="e">
        <f t="shared" si="13"/>
        <v>#REF!</v>
      </c>
      <c r="AA24" s="2851" t="e">
        <f t="shared" si="14"/>
        <v>#REF!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</row>
    <row r="25" spans="1:40" ht="14" thickBot="1">
      <c r="A25" s="3109"/>
      <c r="B25" s="3110" t="s">
        <v>461</v>
      </c>
      <c r="C25" s="5770" t="e">
        <f t="shared" si="1"/>
        <v>#REF!</v>
      </c>
      <c r="D25" s="5794">
        <v>2</v>
      </c>
      <c r="E25" s="5817">
        <v>1</v>
      </c>
      <c r="F25" s="5817">
        <v>1</v>
      </c>
      <c r="G25" s="5817">
        <v>400</v>
      </c>
      <c r="H25" s="5818"/>
      <c r="I25" s="5818"/>
      <c r="J25" s="5818">
        <v>1.3888888888888889E-3</v>
      </c>
      <c r="K25" s="5819" t="s">
        <v>703</v>
      </c>
      <c r="L25" s="4903">
        <v>0.63194444444444442</v>
      </c>
      <c r="M25" s="5820">
        <v>1.1000000000000001</v>
      </c>
      <c r="N25" s="4903">
        <v>9.5138888888888894E-3</v>
      </c>
      <c r="O25" s="5821">
        <v>4.0624999999999993E-3</v>
      </c>
      <c r="P25" s="5822">
        <v>4.0624999999999993E-3</v>
      </c>
      <c r="Q25" s="5823">
        <v>146</v>
      </c>
      <c r="R25" s="6386">
        <f t="shared" ref="R25:R35" si="22">E25*F25*G25</f>
        <v>400</v>
      </c>
      <c r="S25" s="2844">
        <f t="shared" si="6"/>
        <v>0.4</v>
      </c>
      <c r="T25" s="2845">
        <f t="shared" si="7"/>
        <v>1.6249999999999997E-2</v>
      </c>
      <c r="U25" s="374" t="e">
        <f t="shared" si="8"/>
        <v>#REF!</v>
      </c>
      <c r="V25" s="2846" t="e">
        <f t="shared" si="9"/>
        <v>#REF!</v>
      </c>
      <c r="W25" s="2847" t="e">
        <f t="shared" si="10"/>
        <v>#REF!</v>
      </c>
      <c r="X25" s="2848" t="e">
        <f t="shared" si="11"/>
        <v>#REF!</v>
      </c>
      <c r="Y25" s="2849" t="e">
        <f t="shared" si="12"/>
        <v>#REF!</v>
      </c>
      <c r="Z25" s="2850" t="e">
        <f t="shared" si="13"/>
        <v>#REF!</v>
      </c>
      <c r="AA25" s="2851" t="e">
        <f t="shared" si="14"/>
        <v>#REF!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</row>
    <row r="26" spans="1:40" ht="16.25" customHeight="1" thickBot="1">
      <c r="A26" s="3704" t="s">
        <v>215</v>
      </c>
      <c r="B26" s="3110" t="s">
        <v>461</v>
      </c>
      <c r="C26" s="5770" t="e">
        <f t="shared" si="1"/>
        <v>#REF!</v>
      </c>
      <c r="D26" s="5824">
        <v>4</v>
      </c>
      <c r="E26" s="5825">
        <v>1</v>
      </c>
      <c r="F26" s="5825">
        <v>5</v>
      </c>
      <c r="G26" s="5825">
        <v>50</v>
      </c>
      <c r="H26" s="5826" t="s">
        <v>710</v>
      </c>
      <c r="I26" s="5827">
        <v>5.2083333333333333E-4</v>
      </c>
      <c r="J26" s="5827">
        <v>1.3888888888888889E-3</v>
      </c>
      <c r="K26" s="5828" t="s">
        <v>1180</v>
      </c>
      <c r="L26" s="5827">
        <f t="shared" ref="L26:L35" si="23">L25+N25</f>
        <v>0.64145833333333335</v>
      </c>
      <c r="M26" s="5829">
        <v>1.28</v>
      </c>
      <c r="N26" s="5830" t="e">
        <f>P26*E26*F26+I26*E26*F26+J26*E26</f>
        <v>#REF!</v>
      </c>
      <c r="O26" s="5791" t="e">
        <f t="shared" ref="O26:O35" si="24">C26*(G26/25)</f>
        <v>#REF!</v>
      </c>
      <c r="P26" s="5831" t="e">
        <f t="shared" ref="P26:P35" si="25">O26*M26</f>
        <v>#REF!</v>
      </c>
      <c r="Q26" s="5832" t="s">
        <v>316</v>
      </c>
      <c r="R26" s="5833">
        <f t="shared" si="22"/>
        <v>250</v>
      </c>
      <c r="S26" s="2844">
        <f t="shared" si="6"/>
        <v>0.25</v>
      </c>
      <c r="T26" s="2845" t="e">
        <f t="shared" si="7"/>
        <v>#REF!</v>
      </c>
      <c r="U26" s="374" t="e">
        <f t="shared" si="8"/>
        <v>#REF!</v>
      </c>
      <c r="V26" s="2846" t="e">
        <f t="shared" si="9"/>
        <v>#REF!</v>
      </c>
      <c r="W26" s="2847" t="e">
        <f t="shared" si="10"/>
        <v>#REF!</v>
      </c>
      <c r="X26" s="2848" t="e">
        <f t="shared" si="11"/>
        <v>#REF!</v>
      </c>
      <c r="Y26" s="2849" t="e">
        <f t="shared" si="12"/>
        <v>#REF!</v>
      </c>
      <c r="Z26" s="2850" t="e">
        <f t="shared" si="13"/>
        <v>#REF!</v>
      </c>
      <c r="AA26" s="2851" t="e">
        <f t="shared" si="14"/>
        <v>#REF!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</row>
    <row r="27" spans="1:40" ht="15" customHeight="1" thickBot="1">
      <c r="A27" s="3109" t="s">
        <v>138</v>
      </c>
      <c r="B27" s="3110" t="s">
        <v>461</v>
      </c>
      <c r="C27" s="5770" t="e">
        <f t="shared" si="1"/>
        <v>#REF!</v>
      </c>
      <c r="D27" s="5834">
        <v>2</v>
      </c>
      <c r="E27" s="5835">
        <v>1</v>
      </c>
      <c r="F27" s="5835">
        <v>1</v>
      </c>
      <c r="G27" s="5835">
        <v>200</v>
      </c>
      <c r="H27" s="5836" t="s">
        <v>713</v>
      </c>
      <c r="I27" s="4903">
        <v>1.1574074074074073E-4</v>
      </c>
      <c r="J27" s="4903">
        <v>6.9444444444444447E-4</v>
      </c>
      <c r="K27" s="5837" t="s">
        <v>1181</v>
      </c>
      <c r="L27" s="4903" t="e">
        <f t="shared" si="23"/>
        <v>#REF!</v>
      </c>
      <c r="M27" s="5776">
        <v>1.28</v>
      </c>
      <c r="N27" s="5773" t="e">
        <f t="shared" ref="N27:N35" si="26">P27*E27*F27+I27*E27*F27+J27*E27</f>
        <v>#REF!</v>
      </c>
      <c r="O27" s="5791" t="e">
        <f t="shared" si="24"/>
        <v>#REF!</v>
      </c>
      <c r="P27" s="5777" t="e">
        <f t="shared" si="25"/>
        <v>#REF!</v>
      </c>
      <c r="Q27" s="5778">
        <v>146</v>
      </c>
      <c r="R27" s="6386">
        <f t="shared" si="22"/>
        <v>200</v>
      </c>
      <c r="S27" s="2844">
        <f t="shared" si="6"/>
        <v>0.2</v>
      </c>
      <c r="T27" s="2845" t="e">
        <f t="shared" si="7"/>
        <v>#REF!</v>
      </c>
      <c r="U27" s="374" t="e">
        <f t="shared" si="8"/>
        <v>#REF!</v>
      </c>
      <c r="V27" s="2846" t="e">
        <f t="shared" si="9"/>
        <v>#REF!</v>
      </c>
      <c r="W27" s="2847" t="e">
        <f t="shared" si="10"/>
        <v>#REF!</v>
      </c>
      <c r="X27" s="2848" t="e">
        <f t="shared" si="11"/>
        <v>#REF!</v>
      </c>
      <c r="Y27" s="2849" t="e">
        <f t="shared" si="12"/>
        <v>#REF!</v>
      </c>
      <c r="Z27" s="2850" t="e">
        <f t="shared" si="13"/>
        <v>#REF!</v>
      </c>
      <c r="AA27" s="2851" t="e">
        <f t="shared" si="14"/>
        <v>#REF!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4" thickBot="1">
      <c r="A28" s="3109" t="s">
        <v>462</v>
      </c>
      <c r="B28" s="3110" t="s">
        <v>461</v>
      </c>
      <c r="C28" s="5770" t="e">
        <f t="shared" si="1"/>
        <v>#REF!</v>
      </c>
      <c r="D28" s="3436">
        <v>6</v>
      </c>
      <c r="E28" s="6380">
        <v>1</v>
      </c>
      <c r="F28" s="6380">
        <v>4</v>
      </c>
      <c r="G28" s="6380">
        <v>50</v>
      </c>
      <c r="H28" s="5839" t="s">
        <v>20</v>
      </c>
      <c r="I28" s="5840">
        <v>9.2592592592592585E-4</v>
      </c>
      <c r="J28" s="5840">
        <v>1.736111111111111E-3</v>
      </c>
      <c r="K28" s="6381" t="s">
        <v>1172</v>
      </c>
      <c r="L28" s="5842" t="e">
        <f t="shared" si="23"/>
        <v>#REF!</v>
      </c>
      <c r="M28" s="6382">
        <v>1.28</v>
      </c>
      <c r="N28" s="5840" t="e">
        <f t="shared" si="26"/>
        <v>#REF!</v>
      </c>
      <c r="O28" s="6383" t="e">
        <f t="shared" si="24"/>
        <v>#REF!</v>
      </c>
      <c r="P28" s="3739" t="e">
        <f t="shared" si="25"/>
        <v>#REF!</v>
      </c>
      <c r="Q28" s="6384">
        <v>164</v>
      </c>
      <c r="R28" s="6380">
        <f t="shared" si="22"/>
        <v>200</v>
      </c>
      <c r="S28" s="2844">
        <f t="shared" si="6"/>
        <v>0.2</v>
      </c>
      <c r="T28" s="2845" t="e">
        <f t="shared" si="7"/>
        <v>#REF!</v>
      </c>
      <c r="U28" s="374" t="e">
        <f t="shared" si="8"/>
        <v>#REF!</v>
      </c>
      <c r="V28" s="2846" t="e">
        <f t="shared" si="9"/>
        <v>#REF!</v>
      </c>
      <c r="W28" s="2847" t="e">
        <f t="shared" si="10"/>
        <v>#REF!</v>
      </c>
      <c r="X28" s="2848" t="e">
        <f t="shared" si="11"/>
        <v>#REF!</v>
      </c>
      <c r="Y28" s="2849" t="e">
        <f t="shared" si="12"/>
        <v>#REF!</v>
      </c>
      <c r="Z28" s="2850" t="e">
        <f t="shared" si="13"/>
        <v>#REF!</v>
      </c>
      <c r="AA28" s="2851" t="e">
        <f t="shared" si="14"/>
        <v>#REF!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4" thickBot="1">
      <c r="A29" s="3109" t="s">
        <v>461</v>
      </c>
      <c r="B29" s="3110" t="s">
        <v>461</v>
      </c>
      <c r="C29" s="5770" t="e">
        <f t="shared" si="1"/>
        <v>#REF!</v>
      </c>
      <c r="D29" s="5834">
        <v>2</v>
      </c>
      <c r="E29" s="5837">
        <v>1</v>
      </c>
      <c r="F29" s="5837">
        <v>1</v>
      </c>
      <c r="G29" s="5837">
        <v>200</v>
      </c>
      <c r="H29" s="5845" t="s">
        <v>218</v>
      </c>
      <c r="I29" s="5846">
        <v>1.1574074074074073E-4</v>
      </c>
      <c r="J29" s="5846">
        <v>6.9444444444444447E-4</v>
      </c>
      <c r="K29" s="5837" t="s">
        <v>1170</v>
      </c>
      <c r="L29" s="5846" t="e">
        <f t="shared" si="23"/>
        <v>#REF!</v>
      </c>
      <c r="M29" s="5847">
        <v>1.28</v>
      </c>
      <c r="N29" s="5848" t="e">
        <f t="shared" si="26"/>
        <v>#REF!</v>
      </c>
      <c r="O29" s="5791" t="e">
        <f t="shared" si="24"/>
        <v>#REF!</v>
      </c>
      <c r="P29" s="5777" t="e">
        <f t="shared" si="25"/>
        <v>#REF!</v>
      </c>
      <c r="Q29" s="5778">
        <v>146</v>
      </c>
      <c r="R29" s="6449">
        <f t="shared" si="22"/>
        <v>200</v>
      </c>
      <c r="S29" s="2844">
        <f t="shared" si="6"/>
        <v>0.2</v>
      </c>
      <c r="T29" s="2845" t="e">
        <f t="shared" si="7"/>
        <v>#REF!</v>
      </c>
      <c r="U29" s="374" t="e">
        <f t="shared" si="8"/>
        <v>#REF!</v>
      </c>
      <c r="V29" s="2846" t="e">
        <f t="shared" si="9"/>
        <v>#REF!</v>
      </c>
      <c r="W29" s="2847" t="e">
        <f t="shared" si="10"/>
        <v>#REF!</v>
      </c>
      <c r="X29" s="2848" t="e">
        <f t="shared" si="11"/>
        <v>#REF!</v>
      </c>
      <c r="Y29" s="2849" t="e">
        <f t="shared" si="12"/>
        <v>#REF!</v>
      </c>
      <c r="Z29" s="2850" t="e">
        <f t="shared" si="13"/>
        <v>#REF!</v>
      </c>
      <c r="AA29" s="2851" t="e">
        <f t="shared" si="14"/>
        <v>#REF!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4" thickBot="1">
      <c r="A30" s="3109" t="s">
        <v>458</v>
      </c>
      <c r="B30" s="6385" t="s">
        <v>2301</v>
      </c>
      <c r="C30" s="5770" t="e">
        <f t="shared" si="1"/>
        <v>#REF!</v>
      </c>
      <c r="D30" s="3436">
        <v>6</v>
      </c>
      <c r="E30" s="6380">
        <v>1</v>
      </c>
      <c r="F30" s="6380">
        <v>4</v>
      </c>
      <c r="G30" s="6380">
        <v>50</v>
      </c>
      <c r="H30" s="5839" t="s">
        <v>20</v>
      </c>
      <c r="I30" s="5840">
        <v>9.2592592592592585E-4</v>
      </c>
      <c r="J30" s="5840">
        <v>1.736111111111111E-3</v>
      </c>
      <c r="K30" s="6381" t="s">
        <v>1182</v>
      </c>
      <c r="L30" s="5842" t="e">
        <f t="shared" si="23"/>
        <v>#REF!</v>
      </c>
      <c r="M30" s="6382">
        <v>1.28</v>
      </c>
      <c r="N30" s="5840" t="e">
        <f t="shared" si="26"/>
        <v>#REF!</v>
      </c>
      <c r="O30" s="6383" t="e">
        <f t="shared" si="24"/>
        <v>#REF!</v>
      </c>
      <c r="P30" s="3739" t="e">
        <f t="shared" si="25"/>
        <v>#REF!</v>
      </c>
      <c r="Q30" s="6384">
        <v>165</v>
      </c>
      <c r="R30" s="6380">
        <f t="shared" si="22"/>
        <v>200</v>
      </c>
      <c r="S30" s="2844">
        <f t="shared" si="6"/>
        <v>0.2</v>
      </c>
      <c r="T30" s="2845" t="e">
        <f t="shared" si="7"/>
        <v>#REF!</v>
      </c>
      <c r="U30" s="374" t="e">
        <f t="shared" si="8"/>
        <v>#REF!</v>
      </c>
      <c r="V30" s="2846" t="e">
        <f t="shared" si="9"/>
        <v>#REF!</v>
      </c>
      <c r="W30" s="2847" t="e">
        <f t="shared" si="10"/>
        <v>#REF!</v>
      </c>
      <c r="X30" s="2848" t="e">
        <f t="shared" si="11"/>
        <v>#REF!</v>
      </c>
      <c r="Y30" s="2849" t="e">
        <f t="shared" si="12"/>
        <v>#REF!</v>
      </c>
      <c r="Z30" s="2850" t="e">
        <f t="shared" si="13"/>
        <v>#REF!</v>
      </c>
      <c r="AA30" s="2851" t="e">
        <f t="shared" si="14"/>
        <v>#REF!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4" thickBot="1">
      <c r="A31" s="3109" t="s">
        <v>219</v>
      </c>
      <c r="B31" s="6385">
        <v>13</v>
      </c>
      <c r="C31" s="5770" t="e">
        <f t="shared" si="1"/>
        <v>#REF!</v>
      </c>
      <c r="D31" s="5834">
        <v>2</v>
      </c>
      <c r="E31" s="5835">
        <v>1</v>
      </c>
      <c r="F31" s="5835">
        <v>1</v>
      </c>
      <c r="G31" s="5835">
        <v>400</v>
      </c>
      <c r="H31" s="5836" t="s">
        <v>218</v>
      </c>
      <c r="I31" s="4903">
        <v>1.1574074074074073E-4</v>
      </c>
      <c r="J31" s="4903">
        <v>6.9444444444444447E-4</v>
      </c>
      <c r="K31" s="5837" t="s">
        <v>1173</v>
      </c>
      <c r="L31" s="4903" t="e">
        <f t="shared" si="23"/>
        <v>#REF!</v>
      </c>
      <c r="M31" s="5776">
        <v>1.28</v>
      </c>
      <c r="N31" s="5773" t="e">
        <f t="shared" si="26"/>
        <v>#REF!</v>
      </c>
      <c r="O31" s="5791" t="e">
        <f t="shared" si="24"/>
        <v>#REF!</v>
      </c>
      <c r="P31" s="5777" t="e">
        <f t="shared" si="25"/>
        <v>#REF!</v>
      </c>
      <c r="Q31" s="5778">
        <v>146</v>
      </c>
      <c r="R31" s="6386">
        <f t="shared" si="22"/>
        <v>400</v>
      </c>
      <c r="S31" s="2844">
        <f t="shared" si="6"/>
        <v>0.4</v>
      </c>
      <c r="T31" s="2845" t="e">
        <f t="shared" si="7"/>
        <v>#REF!</v>
      </c>
      <c r="U31" s="374" t="e">
        <f t="shared" si="8"/>
        <v>#REF!</v>
      </c>
      <c r="V31" s="2846" t="e">
        <f t="shared" si="9"/>
        <v>#REF!</v>
      </c>
      <c r="W31" s="2847" t="e">
        <f t="shared" si="10"/>
        <v>#REF!</v>
      </c>
      <c r="X31" s="2848" t="e">
        <f t="shared" si="11"/>
        <v>#REF!</v>
      </c>
      <c r="Y31" s="2849" t="e">
        <f t="shared" si="12"/>
        <v>#REF!</v>
      </c>
      <c r="Z31" s="2850" t="e">
        <f t="shared" si="13"/>
        <v>#REF!</v>
      </c>
      <c r="AA31" s="2851" t="e">
        <f t="shared" si="14"/>
        <v>#REF!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4" thickBot="1">
      <c r="A32" s="3109"/>
      <c r="B32" s="3110" t="s">
        <v>461</v>
      </c>
      <c r="C32" s="5770" t="e">
        <f t="shared" si="1"/>
        <v>#REF!</v>
      </c>
      <c r="D32" s="1433">
        <v>5</v>
      </c>
      <c r="E32" s="6388">
        <v>2</v>
      </c>
      <c r="F32" s="6387">
        <v>1</v>
      </c>
      <c r="G32" s="6387">
        <v>75</v>
      </c>
      <c r="H32" s="5850" t="s">
        <v>944</v>
      </c>
      <c r="I32" s="5851">
        <v>5.7870370370370366E-5</v>
      </c>
      <c r="J32" s="5851">
        <v>1.3888888888888889E-3</v>
      </c>
      <c r="K32" s="6450" t="s">
        <v>1183</v>
      </c>
      <c r="L32" s="5853" t="e">
        <f t="shared" si="23"/>
        <v>#REF!</v>
      </c>
      <c r="M32" s="3448">
        <v>1.28</v>
      </c>
      <c r="N32" s="5765" t="e">
        <f t="shared" si="26"/>
        <v>#REF!</v>
      </c>
      <c r="O32" s="5768" t="e">
        <f t="shared" si="24"/>
        <v>#REF!</v>
      </c>
      <c r="P32" s="4148" t="e">
        <f t="shared" si="25"/>
        <v>#REF!</v>
      </c>
      <c r="Q32" s="6390" t="s">
        <v>278</v>
      </c>
      <c r="R32" s="6388">
        <f t="shared" si="22"/>
        <v>150</v>
      </c>
      <c r="S32" s="2844">
        <f t="shared" si="6"/>
        <v>0.15</v>
      </c>
      <c r="T32" s="2845" t="e">
        <f t="shared" si="7"/>
        <v>#REF!</v>
      </c>
      <c r="U32" s="374" t="e">
        <f t="shared" si="8"/>
        <v>#REF!</v>
      </c>
      <c r="V32" s="2846" t="e">
        <f t="shared" si="9"/>
        <v>#REF!</v>
      </c>
      <c r="W32" s="2847" t="e">
        <f t="shared" si="10"/>
        <v>#REF!</v>
      </c>
      <c r="X32" s="2848" t="e">
        <f t="shared" si="11"/>
        <v>#REF!</v>
      </c>
      <c r="Y32" s="2849" t="e">
        <f t="shared" si="12"/>
        <v>#REF!</v>
      </c>
      <c r="Z32" s="2850" t="e">
        <f t="shared" si="13"/>
        <v>#REF!</v>
      </c>
      <c r="AA32" s="2851" t="e">
        <f t="shared" si="14"/>
        <v>#REF!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4" thickBot="1">
      <c r="A33" s="3109"/>
      <c r="B33" s="3110" t="s">
        <v>461</v>
      </c>
      <c r="C33" s="5770" t="e">
        <f t="shared" si="1"/>
        <v>#REF!</v>
      </c>
      <c r="D33" s="5834">
        <v>2</v>
      </c>
      <c r="E33" s="5835">
        <v>1</v>
      </c>
      <c r="F33" s="5835">
        <v>1</v>
      </c>
      <c r="G33" s="5835">
        <v>200</v>
      </c>
      <c r="H33" s="5836" t="s">
        <v>218</v>
      </c>
      <c r="I33" s="4903">
        <v>1.1574074074074073E-4</v>
      </c>
      <c r="J33" s="4903">
        <v>6.9444444444444447E-4</v>
      </c>
      <c r="K33" s="5837" t="s">
        <v>1169</v>
      </c>
      <c r="L33" s="4903" t="e">
        <f t="shared" si="23"/>
        <v>#REF!</v>
      </c>
      <c r="M33" s="5776">
        <v>1.28</v>
      </c>
      <c r="N33" s="5773" t="e">
        <f t="shared" si="26"/>
        <v>#REF!</v>
      </c>
      <c r="O33" s="5791" t="e">
        <f t="shared" si="24"/>
        <v>#REF!</v>
      </c>
      <c r="P33" s="5777" t="e">
        <f t="shared" si="25"/>
        <v>#REF!</v>
      </c>
      <c r="Q33" s="5778">
        <v>146</v>
      </c>
      <c r="R33" s="6386">
        <f t="shared" si="22"/>
        <v>200</v>
      </c>
      <c r="S33" s="2844">
        <f t="shared" si="6"/>
        <v>0.2</v>
      </c>
      <c r="T33" s="2845" t="e">
        <f t="shared" si="7"/>
        <v>#REF!</v>
      </c>
      <c r="U33" s="374" t="e">
        <f t="shared" si="8"/>
        <v>#REF!</v>
      </c>
      <c r="V33" s="2846" t="e">
        <f t="shared" si="9"/>
        <v>#REF!</v>
      </c>
      <c r="W33" s="2847" t="e">
        <f t="shared" si="10"/>
        <v>#REF!</v>
      </c>
      <c r="X33" s="2848" t="e">
        <f t="shared" si="11"/>
        <v>#REF!</v>
      </c>
      <c r="Y33" s="2849" t="e">
        <f t="shared" si="12"/>
        <v>#REF!</v>
      </c>
      <c r="Z33" s="2850" t="e">
        <f t="shared" si="13"/>
        <v>#REF!</v>
      </c>
      <c r="AA33" s="2851" t="e">
        <f t="shared" si="14"/>
        <v>#REF!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4" customHeight="1" thickBot="1">
      <c r="A34" s="3109"/>
      <c r="B34" s="3110" t="s">
        <v>461</v>
      </c>
      <c r="C34" s="5770" t="e">
        <f t="shared" si="1"/>
        <v>#REF!</v>
      </c>
      <c r="D34" s="1433">
        <v>5</v>
      </c>
      <c r="E34" s="6388">
        <v>2</v>
      </c>
      <c r="F34" s="6387">
        <v>1</v>
      </c>
      <c r="G34" s="6387">
        <v>75</v>
      </c>
      <c r="H34" s="5850" t="s">
        <v>944</v>
      </c>
      <c r="I34" s="5851">
        <v>5.7870370370370366E-5</v>
      </c>
      <c r="J34" s="5851">
        <v>1.3888888888888889E-3</v>
      </c>
      <c r="K34" s="6450" t="s">
        <v>1184</v>
      </c>
      <c r="L34" s="5853" t="e">
        <f t="shared" si="23"/>
        <v>#REF!</v>
      </c>
      <c r="M34" s="3448">
        <v>1.28</v>
      </c>
      <c r="N34" s="5765" t="e">
        <f t="shared" si="26"/>
        <v>#REF!</v>
      </c>
      <c r="O34" s="5768" t="e">
        <f t="shared" si="24"/>
        <v>#REF!</v>
      </c>
      <c r="P34" s="4148" t="e">
        <f t="shared" si="25"/>
        <v>#REF!</v>
      </c>
      <c r="Q34" s="6390" t="s">
        <v>278</v>
      </c>
      <c r="R34" s="6388">
        <f t="shared" si="22"/>
        <v>150</v>
      </c>
      <c r="S34" s="2844">
        <f t="shared" si="6"/>
        <v>0.15</v>
      </c>
      <c r="T34" s="2845" t="e">
        <f t="shared" si="7"/>
        <v>#REF!</v>
      </c>
      <c r="U34" s="374" t="e">
        <f t="shared" si="8"/>
        <v>#REF!</v>
      </c>
      <c r="V34" s="2846" t="e">
        <f t="shared" si="9"/>
        <v>#REF!</v>
      </c>
      <c r="W34" s="2847" t="e">
        <f t="shared" si="10"/>
        <v>#REF!</v>
      </c>
      <c r="X34" s="2848" t="e">
        <f t="shared" si="11"/>
        <v>#REF!</v>
      </c>
      <c r="Y34" s="2849" t="e">
        <f t="shared" si="12"/>
        <v>#REF!</v>
      </c>
      <c r="Z34" s="2850" t="e">
        <f t="shared" si="13"/>
        <v>#REF!</v>
      </c>
      <c r="AA34" s="2851" t="e">
        <f t="shared" si="14"/>
        <v>#REF!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4" customHeight="1" thickBot="1">
      <c r="A35" s="3109"/>
      <c r="B35" s="3110" t="s">
        <v>461</v>
      </c>
      <c r="C35" s="5770" t="e">
        <f t="shared" si="1"/>
        <v>#REF!</v>
      </c>
      <c r="D35" s="5794">
        <v>2</v>
      </c>
      <c r="E35" s="5817">
        <v>1</v>
      </c>
      <c r="F35" s="5817">
        <v>1</v>
      </c>
      <c r="G35" s="5817">
        <v>400</v>
      </c>
      <c r="H35" s="5818"/>
      <c r="I35" s="5818"/>
      <c r="J35" s="5818">
        <v>1.3888888888888889E-3</v>
      </c>
      <c r="K35" s="5819" t="s">
        <v>703</v>
      </c>
      <c r="L35" s="4903" t="e">
        <f t="shared" si="23"/>
        <v>#REF!</v>
      </c>
      <c r="M35" s="5776">
        <v>1.28</v>
      </c>
      <c r="N35" s="5773" t="e">
        <f t="shared" si="26"/>
        <v>#REF!</v>
      </c>
      <c r="O35" s="5791" t="e">
        <f t="shared" si="24"/>
        <v>#REF!</v>
      </c>
      <c r="P35" s="5777" t="e">
        <f t="shared" si="25"/>
        <v>#REF!</v>
      </c>
      <c r="Q35" s="5778">
        <v>146</v>
      </c>
      <c r="R35" s="6386">
        <f t="shared" si="22"/>
        <v>400</v>
      </c>
      <c r="S35" s="2844">
        <f t="shared" si="6"/>
        <v>0.4</v>
      </c>
      <c r="T35" s="2845" t="e">
        <f t="shared" si="7"/>
        <v>#REF!</v>
      </c>
      <c r="U35" s="374" t="e">
        <f t="shared" si="8"/>
        <v>#REF!</v>
      </c>
      <c r="V35" s="2846" t="e">
        <f t="shared" si="9"/>
        <v>#REF!</v>
      </c>
      <c r="W35" s="2847" t="e">
        <f t="shared" si="10"/>
        <v>#REF!</v>
      </c>
      <c r="X35" s="2848" t="e">
        <f t="shared" si="11"/>
        <v>#REF!</v>
      </c>
      <c r="Y35" s="2849" t="e">
        <f t="shared" si="12"/>
        <v>#REF!</v>
      </c>
      <c r="Z35" s="2850" t="e">
        <f t="shared" si="13"/>
        <v>#REF!</v>
      </c>
      <c r="AA35" s="2851" t="e">
        <f t="shared" si="14"/>
        <v>#REF!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4" customHeight="1" thickBot="1">
      <c r="A36" s="3109"/>
      <c r="B36" s="3110"/>
      <c r="C36" s="5770">
        <f t="shared" si="1"/>
        <v>0</v>
      </c>
      <c r="D36" s="6451"/>
      <c r="E36" s="6452"/>
      <c r="F36" s="6452"/>
      <c r="G36" s="6452"/>
      <c r="H36" s="4907"/>
      <c r="I36" s="4907"/>
      <c r="J36" s="4907"/>
      <c r="K36" s="6453"/>
      <c r="L36" s="5857"/>
      <c r="M36" s="4154">
        <v>1.28</v>
      </c>
      <c r="N36" s="5858"/>
      <c r="O36" s="3744">
        <v>0</v>
      </c>
      <c r="P36" s="3744"/>
      <c r="Q36" s="3744"/>
      <c r="R36" s="3941">
        <f>SUM(R25:R35)</f>
        <v>2750</v>
      </c>
      <c r="S36" s="2844">
        <f t="shared" si="6"/>
        <v>0</v>
      </c>
      <c r="T36" s="2845">
        <f t="shared" si="7"/>
        <v>0</v>
      </c>
      <c r="U36" s="374" t="e">
        <f t="shared" si="8"/>
        <v>#REF!</v>
      </c>
      <c r="V36" s="2846" t="e">
        <f t="shared" si="9"/>
        <v>#REF!</v>
      </c>
      <c r="W36" s="2847" t="e">
        <f t="shared" si="10"/>
        <v>#REF!</v>
      </c>
      <c r="X36" s="2848" t="e">
        <f t="shared" si="11"/>
        <v>#REF!</v>
      </c>
      <c r="Y36" s="2849" t="e">
        <f t="shared" si="12"/>
        <v>#REF!</v>
      </c>
      <c r="Z36" s="2850" t="e">
        <f t="shared" si="13"/>
        <v>#REF!</v>
      </c>
      <c r="AA36" s="2851" t="e">
        <f t="shared" si="14"/>
        <v>#REF!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4" customHeight="1">
      <c r="A37" s="2889"/>
      <c r="B37" s="2896"/>
      <c r="C37" s="5770">
        <f t="shared" si="1"/>
        <v>0</v>
      </c>
      <c r="D37" s="2181"/>
      <c r="E37" s="2902" t="s">
        <v>362</v>
      </c>
      <c r="F37" s="3293" t="s">
        <v>363</v>
      </c>
      <c r="G37" s="3293" t="s">
        <v>364</v>
      </c>
      <c r="H37" s="3293"/>
      <c r="I37" s="3293" t="s">
        <v>365</v>
      </c>
      <c r="J37" s="3293" t="s">
        <v>366</v>
      </c>
      <c r="K37" s="3293" t="s">
        <v>367</v>
      </c>
      <c r="L37" s="3293"/>
      <c r="M37" s="6454"/>
      <c r="N37" s="6454" t="s">
        <v>368</v>
      </c>
      <c r="O37" s="6454" t="e">
        <f t="shared" ref="O37:O46" si="27">C37*(G37/25)</f>
        <v>#VALUE!</v>
      </c>
      <c r="P37" s="6455" t="s">
        <v>262</v>
      </c>
      <c r="Q37" s="6456" t="s">
        <v>370</v>
      </c>
      <c r="R37" s="6457" t="s">
        <v>476</v>
      </c>
      <c r="S37" s="2844" t="e">
        <f t="shared" si="6"/>
        <v>#VALUE!</v>
      </c>
      <c r="T37" s="2845" t="e">
        <f t="shared" si="7"/>
        <v>#VALUE!</v>
      </c>
      <c r="U37" s="374" t="e">
        <f t="shared" si="8"/>
        <v>#REF!</v>
      </c>
      <c r="V37" s="2846" t="e">
        <f t="shared" si="9"/>
        <v>#REF!</v>
      </c>
      <c r="W37" s="2847" t="e">
        <f t="shared" si="10"/>
        <v>#REF!</v>
      </c>
      <c r="X37" s="2848" t="e">
        <f t="shared" si="11"/>
        <v>#REF!</v>
      </c>
      <c r="Y37" s="2849" t="e">
        <f t="shared" si="12"/>
        <v>#REF!</v>
      </c>
      <c r="Z37" s="2850" t="e">
        <f t="shared" si="13"/>
        <v>#REF!</v>
      </c>
      <c r="AA37" s="2851" t="e">
        <f t="shared" si="14"/>
        <v>#REF!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1"/>
    </row>
    <row r="38" spans="1:40" ht="11" customHeight="1">
      <c r="A38" s="2889" t="s">
        <v>215</v>
      </c>
      <c r="B38" s="2896" t="s">
        <v>461</v>
      </c>
      <c r="C38" s="5770" t="e">
        <f t="shared" si="1"/>
        <v>#REF!</v>
      </c>
      <c r="D38" s="6458">
        <v>2</v>
      </c>
      <c r="E38" s="6459">
        <v>1</v>
      </c>
      <c r="F38" s="6459">
        <v>20</v>
      </c>
      <c r="G38" s="6459">
        <v>25</v>
      </c>
      <c r="H38" s="6459"/>
      <c r="I38" s="6460">
        <v>5.7870370370370366E-5</v>
      </c>
      <c r="J38" s="6460">
        <v>1.3888888888888889E-3</v>
      </c>
      <c r="K38" s="6459" t="s">
        <v>263</v>
      </c>
      <c r="L38" s="6460">
        <v>0.79861111111111116</v>
      </c>
      <c r="M38" s="6460">
        <v>1</v>
      </c>
      <c r="N38" s="6460" t="e">
        <f>P38*E38*F38+I38*E38*F38+J38*E38</f>
        <v>#REF!</v>
      </c>
      <c r="O38" s="6460" t="e">
        <f t="shared" si="27"/>
        <v>#REF!</v>
      </c>
      <c r="P38" s="6460" t="e">
        <f>O38*M38</f>
        <v>#REF!</v>
      </c>
      <c r="Q38" s="6461">
        <v>129</v>
      </c>
      <c r="R38" s="6462">
        <f>E38*F38*G38</f>
        <v>500</v>
      </c>
      <c r="S38" s="2844">
        <f t="shared" si="6"/>
        <v>0.5</v>
      </c>
      <c r="T38" s="2845" t="e">
        <f t="shared" si="7"/>
        <v>#REF!</v>
      </c>
      <c r="U38" s="374" t="e">
        <f t="shared" si="8"/>
        <v>#REF!</v>
      </c>
      <c r="V38" s="2846" t="e">
        <f t="shared" si="9"/>
        <v>#REF!</v>
      </c>
      <c r="W38" s="2847" t="e">
        <f t="shared" si="10"/>
        <v>#REF!</v>
      </c>
      <c r="X38" s="2848" t="e">
        <f t="shared" si="11"/>
        <v>#REF!</v>
      </c>
      <c r="Y38" s="2849" t="e">
        <f t="shared" si="12"/>
        <v>#REF!</v>
      </c>
      <c r="Z38" s="2850" t="e">
        <f t="shared" si="13"/>
        <v>#REF!</v>
      </c>
      <c r="AA38" s="2851" t="e">
        <f t="shared" si="14"/>
        <v>#REF!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1"/>
    </row>
    <row r="39" spans="1:40" ht="14" customHeight="1" thickBot="1">
      <c r="A39" s="2889" t="s">
        <v>139</v>
      </c>
      <c r="B39" s="2896" t="s">
        <v>461</v>
      </c>
      <c r="C39" s="5770" t="e">
        <f t="shared" si="1"/>
        <v>#REF!</v>
      </c>
      <c r="D39" s="6463">
        <v>7</v>
      </c>
      <c r="E39" s="6464">
        <v>2</v>
      </c>
      <c r="F39" s="6464">
        <v>4</v>
      </c>
      <c r="G39" s="6464">
        <v>7.5</v>
      </c>
      <c r="H39" s="6464"/>
      <c r="I39" s="6465">
        <v>3.4722222222222224E-4</v>
      </c>
      <c r="J39" s="6465">
        <v>2.0833333333333333E-3</v>
      </c>
      <c r="K39" s="6466" t="s">
        <v>264</v>
      </c>
      <c r="L39" s="6465" t="e">
        <f>L38+N38</f>
        <v>#REF!</v>
      </c>
      <c r="M39" s="6467">
        <v>1</v>
      </c>
      <c r="N39" s="6465" t="e">
        <f>P39*E39*F39+I39*E39*F39+J39*E39</f>
        <v>#REF!</v>
      </c>
      <c r="O39" s="6465" t="e">
        <f t="shared" si="27"/>
        <v>#REF!</v>
      </c>
      <c r="P39" s="6465" t="e">
        <f>O39*M39</f>
        <v>#REF!</v>
      </c>
      <c r="Q39" s="6468">
        <v>129</v>
      </c>
      <c r="R39" s="6469">
        <f>E39*F39*G39</f>
        <v>60</v>
      </c>
      <c r="S39" s="2844">
        <f t="shared" si="6"/>
        <v>0.06</v>
      </c>
      <c r="T39" s="2845" t="e">
        <f t="shared" si="7"/>
        <v>#REF!</v>
      </c>
      <c r="U39" s="374" t="e">
        <f t="shared" si="8"/>
        <v>#REF!</v>
      </c>
      <c r="V39" s="2846" t="e">
        <f t="shared" si="9"/>
        <v>#REF!</v>
      </c>
      <c r="W39" s="2847" t="e">
        <f t="shared" si="10"/>
        <v>#REF!</v>
      </c>
      <c r="X39" s="2848" t="e">
        <f t="shared" si="11"/>
        <v>#REF!</v>
      </c>
      <c r="Y39" s="2849" t="e">
        <f t="shared" si="12"/>
        <v>#REF!</v>
      </c>
      <c r="Z39" s="2850" t="e">
        <f t="shared" si="13"/>
        <v>#REF!</v>
      </c>
      <c r="AA39" s="2851" t="e">
        <f t="shared" si="14"/>
        <v>#REF!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1"/>
    </row>
    <row r="40" spans="1:40" ht="14" customHeight="1" thickBot="1">
      <c r="A40" s="2889" t="s">
        <v>458</v>
      </c>
      <c r="B40" s="6385" t="s">
        <v>2301</v>
      </c>
      <c r="C40" s="5770" t="e">
        <f t="shared" si="1"/>
        <v>#REF!</v>
      </c>
      <c r="D40" s="6458">
        <v>2</v>
      </c>
      <c r="E40" s="6470">
        <v>1</v>
      </c>
      <c r="F40" s="6470">
        <v>2</v>
      </c>
      <c r="G40" s="6470">
        <v>300</v>
      </c>
      <c r="H40" s="6470"/>
      <c r="I40" s="5796">
        <v>2.0833333333333333E-3</v>
      </c>
      <c r="J40" s="5796">
        <v>0</v>
      </c>
      <c r="K40" s="6470" t="s">
        <v>2302</v>
      </c>
      <c r="L40" s="5796" t="e">
        <f t="shared" ref="L40:L41" si="28">L39+N39</f>
        <v>#REF!</v>
      </c>
      <c r="M40" s="6470">
        <v>1</v>
      </c>
      <c r="N40" s="5796" t="e">
        <f>P40*E40*F40+I40*E40*F40+J40*E40</f>
        <v>#REF!</v>
      </c>
      <c r="O40" s="5796" t="e">
        <f t="shared" si="27"/>
        <v>#REF!</v>
      </c>
      <c r="P40" s="5796" t="e">
        <f>O40*M40</f>
        <v>#REF!</v>
      </c>
      <c r="Q40" s="6471">
        <v>129</v>
      </c>
      <c r="R40" s="6472">
        <f>E40*F40*G40</f>
        <v>600</v>
      </c>
      <c r="S40" s="2844">
        <f t="shared" si="6"/>
        <v>0.6</v>
      </c>
      <c r="T40" s="2845" t="e">
        <f t="shared" si="7"/>
        <v>#REF!</v>
      </c>
      <c r="U40" s="374" t="e">
        <f t="shared" si="8"/>
        <v>#REF!</v>
      </c>
      <c r="V40" s="2846" t="e">
        <f t="shared" si="9"/>
        <v>#REF!</v>
      </c>
      <c r="W40" s="2847" t="e">
        <f t="shared" si="10"/>
        <v>#REF!</v>
      </c>
      <c r="X40" s="2848" t="e">
        <f t="shared" si="11"/>
        <v>#REF!</v>
      </c>
      <c r="Y40" s="2849" t="e">
        <f t="shared" si="12"/>
        <v>#REF!</v>
      </c>
      <c r="Z40" s="2850" t="e">
        <f t="shared" si="13"/>
        <v>#REF!</v>
      </c>
      <c r="AA40" s="2851" t="e">
        <f t="shared" si="14"/>
        <v>#REF!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  <c r="AN40" s="1"/>
    </row>
    <row r="41" spans="1:40" ht="14" customHeight="1">
      <c r="A41" s="2889" t="s">
        <v>462</v>
      </c>
      <c r="B41" s="6385">
        <v>14</v>
      </c>
      <c r="C41" s="5770" t="e">
        <f t="shared" si="1"/>
        <v>#REF!</v>
      </c>
      <c r="D41" s="6463">
        <v>7</v>
      </c>
      <c r="E41" s="6464">
        <v>1</v>
      </c>
      <c r="F41" s="6464">
        <v>4</v>
      </c>
      <c r="G41" s="6464">
        <v>15</v>
      </c>
      <c r="H41" s="6464"/>
      <c r="I41" s="6465">
        <v>4.6296296296296293E-4</v>
      </c>
      <c r="J41" s="6465">
        <v>5.5555555555555558E-3</v>
      </c>
      <c r="K41" s="6466" t="s">
        <v>312</v>
      </c>
      <c r="L41" s="6465" t="e">
        <f t="shared" si="28"/>
        <v>#REF!</v>
      </c>
      <c r="M41" s="6467">
        <v>1</v>
      </c>
      <c r="N41" s="6465" t="e">
        <f>P41*E41*F41+I41*E41*F41+J41*E41</f>
        <v>#REF!</v>
      </c>
      <c r="O41" s="6465" t="e">
        <f t="shared" si="27"/>
        <v>#REF!</v>
      </c>
      <c r="P41" s="6465" t="e">
        <f>O41*M41</f>
        <v>#REF!</v>
      </c>
      <c r="Q41" s="6468">
        <v>129</v>
      </c>
      <c r="R41" s="6469">
        <f>E41*F41*G41</f>
        <v>60</v>
      </c>
      <c r="S41" s="2844">
        <f t="shared" si="6"/>
        <v>0.06</v>
      </c>
      <c r="T41" s="2845" t="e">
        <f t="shared" si="7"/>
        <v>#REF!</v>
      </c>
      <c r="U41" s="374" t="e">
        <f t="shared" si="8"/>
        <v>#REF!</v>
      </c>
      <c r="V41" s="2846" t="e">
        <f t="shared" si="9"/>
        <v>#REF!</v>
      </c>
      <c r="W41" s="2847" t="e">
        <f t="shared" si="10"/>
        <v>#REF!</v>
      </c>
      <c r="X41" s="2848" t="e">
        <f t="shared" si="11"/>
        <v>#REF!</v>
      </c>
      <c r="Y41" s="2849" t="e">
        <f t="shared" si="12"/>
        <v>#REF!</v>
      </c>
      <c r="Z41" s="2850" t="e">
        <f t="shared" si="13"/>
        <v>#REF!</v>
      </c>
      <c r="AA41" s="2851" t="e">
        <f t="shared" si="14"/>
        <v>#REF!</v>
      </c>
      <c r="AB41" s="3156"/>
      <c r="AC41" s="2867">
        <v>0</v>
      </c>
      <c r="AD41" s="2867">
        <v>0</v>
      </c>
      <c r="AE41" s="2838"/>
      <c r="AF41" s="2838"/>
      <c r="AG41" s="2838"/>
      <c r="AH41" s="2838"/>
      <c r="AI41" s="2838"/>
      <c r="AN41" s="1"/>
    </row>
    <row r="42" spans="1:40" s="2914" customFormat="1" ht="16">
      <c r="A42" s="2889" t="s">
        <v>140</v>
      </c>
      <c r="B42" s="2896" t="s">
        <v>461</v>
      </c>
      <c r="C42" s="5770">
        <f t="shared" si="1"/>
        <v>0</v>
      </c>
      <c r="D42" s="2925"/>
      <c r="E42" s="2926"/>
      <c r="F42" s="2926"/>
      <c r="G42" s="2926"/>
      <c r="H42" s="2926"/>
      <c r="I42" s="6465"/>
      <c r="J42" s="2927"/>
      <c r="K42" s="2928" t="s">
        <v>265</v>
      </c>
      <c r="L42" s="6473" t="e">
        <f>L41+N41</f>
        <v>#REF!</v>
      </c>
      <c r="M42" s="2930"/>
      <c r="N42" s="6473" t="e">
        <f>SUM(N38:N41)</f>
        <v>#REF!</v>
      </c>
      <c r="O42" s="2932">
        <f t="shared" si="27"/>
        <v>0</v>
      </c>
      <c r="P42" s="2933"/>
      <c r="Q42" s="2930"/>
      <c r="R42" s="2934">
        <f>SUM(R38:R41)</f>
        <v>1220</v>
      </c>
      <c r="S42" s="2844">
        <f t="shared" si="6"/>
        <v>0</v>
      </c>
      <c r="T42" s="2845">
        <f t="shared" si="7"/>
        <v>0</v>
      </c>
      <c r="U42" s="374" t="e">
        <f t="shared" si="8"/>
        <v>#REF!</v>
      </c>
      <c r="V42" s="2846" t="e">
        <f t="shared" si="9"/>
        <v>#REF!</v>
      </c>
      <c r="W42" s="2847" t="e">
        <f t="shared" si="10"/>
        <v>#REF!</v>
      </c>
      <c r="X42" s="2848" t="e">
        <f t="shared" si="11"/>
        <v>#REF!</v>
      </c>
      <c r="Y42" s="2849" t="e">
        <f t="shared" si="12"/>
        <v>#REF!</v>
      </c>
      <c r="Z42" s="2850" t="e">
        <f t="shared" si="13"/>
        <v>#REF!</v>
      </c>
      <c r="AA42" s="2851" t="e">
        <f t="shared" si="14"/>
        <v>#REF!</v>
      </c>
      <c r="AB42" s="3156"/>
      <c r="AC42" s="2826"/>
      <c r="AD42" s="2826"/>
      <c r="AE42" s="2838"/>
      <c r="AF42" s="2838"/>
      <c r="AG42" s="2838"/>
      <c r="AH42" s="2838"/>
      <c r="AI42" s="2838"/>
      <c r="AJ42" s="2826"/>
      <c r="AK42" s="2826"/>
      <c r="AL42" s="2826"/>
      <c r="AM42" s="2826"/>
      <c r="AN42" s="2913"/>
    </row>
    <row r="43" spans="1:40" s="2914" customFormat="1">
      <c r="A43" s="2889" t="s">
        <v>674</v>
      </c>
      <c r="B43" s="2896" t="s">
        <v>461</v>
      </c>
      <c r="C43" s="5770" t="e">
        <f t="shared" si="1"/>
        <v>#REF!</v>
      </c>
      <c r="D43" s="6474">
        <v>7</v>
      </c>
      <c r="E43" s="6475">
        <v>1</v>
      </c>
      <c r="F43" s="6475">
        <v>8</v>
      </c>
      <c r="G43" s="6475">
        <v>20</v>
      </c>
      <c r="H43" s="6475"/>
      <c r="I43" s="6476">
        <v>1.1574074074074073E-4</v>
      </c>
      <c r="J43" s="6476">
        <v>1.3888888888888889E-3</v>
      </c>
      <c r="K43" s="6477" t="s">
        <v>413</v>
      </c>
      <c r="L43" s="6476" t="e">
        <f t="shared" ref="L43:L46" si="29">L42+N42</f>
        <v>#REF!</v>
      </c>
      <c r="M43" s="6477">
        <v>1</v>
      </c>
      <c r="N43" s="6476" t="e">
        <f>P43*E43*F43+I43*E43*F43+J43*E43</f>
        <v>#REF!</v>
      </c>
      <c r="O43" s="6476" t="e">
        <f t="shared" si="27"/>
        <v>#REF!</v>
      </c>
      <c r="P43" s="6478" t="e">
        <f>O43*M43</f>
        <v>#REF!</v>
      </c>
      <c r="Q43" s="6479">
        <v>129</v>
      </c>
      <c r="R43" s="6480">
        <f>E43*F43*G43</f>
        <v>160</v>
      </c>
      <c r="S43" s="2844">
        <f t="shared" si="6"/>
        <v>0.16</v>
      </c>
      <c r="T43" s="2845" t="e">
        <f t="shared" si="7"/>
        <v>#REF!</v>
      </c>
      <c r="U43" s="374" t="e">
        <f t="shared" si="8"/>
        <v>#REF!</v>
      </c>
      <c r="V43" s="2846" t="e">
        <f t="shared" si="9"/>
        <v>#REF!</v>
      </c>
      <c r="W43" s="2847" t="e">
        <f t="shared" si="10"/>
        <v>#REF!</v>
      </c>
      <c r="X43" s="2848" t="e">
        <f t="shared" si="11"/>
        <v>#REF!</v>
      </c>
      <c r="Y43" s="2849" t="e">
        <f t="shared" si="12"/>
        <v>#REF!</v>
      </c>
      <c r="Z43" s="2850" t="e">
        <f t="shared" si="13"/>
        <v>#REF!</v>
      </c>
      <c r="AA43" s="2851" t="e">
        <f t="shared" si="14"/>
        <v>#REF!</v>
      </c>
      <c r="AB43" s="3156"/>
      <c r="AC43" s="2826"/>
      <c r="AD43" s="2826"/>
      <c r="AE43" s="2838"/>
      <c r="AF43" s="2838"/>
      <c r="AG43" s="2838"/>
      <c r="AH43" s="2838"/>
      <c r="AI43" s="2838"/>
      <c r="AJ43" s="2826"/>
      <c r="AK43" s="2826"/>
      <c r="AL43" s="2826"/>
      <c r="AM43" s="2826"/>
      <c r="AN43" s="2913"/>
    </row>
    <row r="44" spans="1:40" s="2914" customFormat="1">
      <c r="A44" s="2889" t="s">
        <v>214</v>
      </c>
      <c r="B44" s="2896" t="s">
        <v>461</v>
      </c>
      <c r="C44" s="5770" t="e">
        <f t="shared" si="1"/>
        <v>#REF!</v>
      </c>
      <c r="D44" s="6481">
        <v>7</v>
      </c>
      <c r="E44" s="6482">
        <v>1</v>
      </c>
      <c r="F44" s="6482">
        <v>2</v>
      </c>
      <c r="G44" s="6482">
        <v>50</v>
      </c>
      <c r="H44" s="6482"/>
      <c r="I44" s="6483">
        <v>3.4722222222222224E-4</v>
      </c>
      <c r="J44" s="6484">
        <v>1.3888888888888889E-3</v>
      </c>
      <c r="K44" s="6482" t="s">
        <v>688</v>
      </c>
      <c r="L44" s="6484" t="e">
        <f t="shared" si="29"/>
        <v>#REF!</v>
      </c>
      <c r="M44" s="6485">
        <v>0.85</v>
      </c>
      <c r="N44" s="6484" t="e">
        <f>P44*E44*F44+I44*E44*F44+J44*E44</f>
        <v>#REF!</v>
      </c>
      <c r="O44" s="6484" t="e">
        <f t="shared" si="27"/>
        <v>#REF!</v>
      </c>
      <c r="P44" s="6484" t="e">
        <f>O44*M44</f>
        <v>#REF!</v>
      </c>
      <c r="Q44" s="6486">
        <v>129</v>
      </c>
      <c r="R44" s="6487">
        <f>E44*F44*G44</f>
        <v>100</v>
      </c>
      <c r="S44" s="2844">
        <f t="shared" si="6"/>
        <v>0.1</v>
      </c>
      <c r="T44" s="2845" t="e">
        <f t="shared" si="7"/>
        <v>#REF!</v>
      </c>
      <c r="U44" s="374" t="e">
        <f t="shared" si="8"/>
        <v>#REF!</v>
      </c>
      <c r="V44" s="2846" t="e">
        <f t="shared" si="9"/>
        <v>#REF!</v>
      </c>
      <c r="W44" s="2847" t="e">
        <f t="shared" si="10"/>
        <v>#REF!</v>
      </c>
      <c r="X44" s="2848" t="e">
        <f t="shared" si="11"/>
        <v>#REF!</v>
      </c>
      <c r="Y44" s="2849" t="e">
        <f t="shared" si="12"/>
        <v>#REF!</v>
      </c>
      <c r="Z44" s="2850" t="e">
        <f t="shared" si="13"/>
        <v>#REF!</v>
      </c>
      <c r="AA44" s="2851" t="e">
        <f t="shared" si="14"/>
        <v>#REF!</v>
      </c>
      <c r="AB44" s="3156"/>
      <c r="AC44" s="2826"/>
      <c r="AD44" s="2826"/>
      <c r="AE44" s="2838"/>
      <c r="AF44" s="2838"/>
      <c r="AG44" s="2838"/>
      <c r="AH44" s="2838"/>
      <c r="AI44" s="2838"/>
      <c r="AJ44" s="2826"/>
      <c r="AK44" s="2826"/>
      <c r="AL44" s="2826"/>
      <c r="AM44" s="2826"/>
      <c r="AN44" s="2913"/>
    </row>
    <row r="45" spans="1:40" s="2914" customFormat="1">
      <c r="A45" s="2889" t="s">
        <v>458</v>
      </c>
      <c r="B45" s="2896" t="s">
        <v>461</v>
      </c>
      <c r="C45" s="5770" t="e">
        <f t="shared" si="1"/>
        <v>#REF!</v>
      </c>
      <c r="D45" s="6458">
        <v>1</v>
      </c>
      <c r="E45" s="6488">
        <v>1</v>
      </c>
      <c r="F45" s="6488">
        <v>1</v>
      </c>
      <c r="G45" s="6488">
        <v>200</v>
      </c>
      <c r="H45" s="6488"/>
      <c r="I45" s="5788">
        <v>3.4722222222222224E-4</v>
      </c>
      <c r="J45" s="6489">
        <v>1.3888888888888889E-3</v>
      </c>
      <c r="K45" s="6488" t="s">
        <v>560</v>
      </c>
      <c r="L45" s="6489" t="e">
        <f t="shared" si="29"/>
        <v>#REF!</v>
      </c>
      <c r="M45" s="6488">
        <v>1</v>
      </c>
      <c r="N45" s="6489" t="e">
        <f>P45*E45*F45+I45*E45*F45+J45*E45</f>
        <v>#REF!</v>
      </c>
      <c r="O45" s="6489" t="e">
        <f t="shared" si="27"/>
        <v>#REF!</v>
      </c>
      <c r="P45" s="6490" t="e">
        <f>O45*M45</f>
        <v>#REF!</v>
      </c>
      <c r="Q45" s="6490">
        <v>129</v>
      </c>
      <c r="R45" s="6491">
        <f>E45*F45*G45</f>
        <v>200</v>
      </c>
      <c r="S45" s="2844">
        <f t="shared" si="6"/>
        <v>0.2</v>
      </c>
      <c r="T45" s="2845" t="e">
        <f t="shared" si="7"/>
        <v>#REF!</v>
      </c>
      <c r="U45" s="374" t="e">
        <f t="shared" si="8"/>
        <v>#REF!</v>
      </c>
      <c r="V45" s="2846" t="e">
        <f t="shared" si="9"/>
        <v>#REF!</v>
      </c>
      <c r="W45" s="2847" t="e">
        <f t="shared" si="10"/>
        <v>#REF!</v>
      </c>
      <c r="X45" s="2848" t="e">
        <f t="shared" si="11"/>
        <v>#REF!</v>
      </c>
      <c r="Y45" s="2849" t="e">
        <f t="shared" si="12"/>
        <v>#REF!</v>
      </c>
      <c r="Z45" s="2850" t="e">
        <f t="shared" si="13"/>
        <v>#REF!</v>
      </c>
      <c r="AA45" s="2851" t="e">
        <f t="shared" si="14"/>
        <v>#REF!</v>
      </c>
      <c r="AB45" s="3156"/>
      <c r="AC45" s="2826"/>
      <c r="AD45" s="2826"/>
      <c r="AE45" s="2838"/>
      <c r="AF45" s="2838"/>
      <c r="AG45" s="2838"/>
      <c r="AH45" s="2838"/>
      <c r="AI45" s="2838"/>
      <c r="AJ45" s="2826"/>
      <c r="AK45" s="2826"/>
      <c r="AL45" s="2826"/>
      <c r="AM45" s="2826"/>
      <c r="AN45" s="2913"/>
    </row>
    <row r="46" spans="1:40" s="2914" customFormat="1" ht="14" thickBot="1">
      <c r="A46" s="2956" t="s">
        <v>219</v>
      </c>
      <c r="B46" s="2957"/>
      <c r="C46" s="5770">
        <f t="shared" si="1"/>
        <v>0</v>
      </c>
      <c r="D46" s="2891"/>
      <c r="E46" s="2958"/>
      <c r="F46" s="2891"/>
      <c r="G46" s="2891"/>
      <c r="H46" s="2891"/>
      <c r="I46" s="2891"/>
      <c r="J46" s="2891"/>
      <c r="K46" s="2891"/>
      <c r="L46" s="6492" t="e">
        <f t="shared" si="29"/>
        <v>#REF!</v>
      </c>
      <c r="M46" s="2891">
        <v>1</v>
      </c>
      <c r="N46" s="6492" t="e">
        <f>SUM(N43:N45)</f>
        <v>#REF!</v>
      </c>
      <c r="O46" s="821">
        <f t="shared" si="27"/>
        <v>0</v>
      </c>
      <c r="P46" s="2891">
        <f>O46*M46</f>
        <v>0</v>
      </c>
      <c r="Q46" s="822">
        <v>129</v>
      </c>
      <c r="R46" s="823">
        <f>SUM(R43:R45)</f>
        <v>460</v>
      </c>
      <c r="S46" s="2844">
        <f t="shared" si="6"/>
        <v>0</v>
      </c>
      <c r="T46" s="2845">
        <f t="shared" si="7"/>
        <v>0</v>
      </c>
      <c r="U46" s="374" t="e">
        <f t="shared" si="8"/>
        <v>#REF!</v>
      </c>
      <c r="V46" s="2846" t="e">
        <f t="shared" si="9"/>
        <v>#REF!</v>
      </c>
      <c r="W46" s="2847" t="e">
        <f t="shared" si="10"/>
        <v>#REF!</v>
      </c>
      <c r="X46" s="2848" t="e">
        <f t="shared" si="11"/>
        <v>#REF!</v>
      </c>
      <c r="Y46" s="2849" t="e">
        <f t="shared" si="12"/>
        <v>#REF!</v>
      </c>
      <c r="Z46" s="2850" t="e">
        <f t="shared" si="13"/>
        <v>#REF!</v>
      </c>
      <c r="AA46" s="2851" t="e">
        <f t="shared" si="14"/>
        <v>#REF!</v>
      </c>
      <c r="AB46" s="3156"/>
      <c r="AC46" s="2826"/>
      <c r="AD46" s="2826"/>
      <c r="AE46" s="2838"/>
      <c r="AF46" s="2838"/>
      <c r="AG46" s="2838"/>
      <c r="AH46" s="2838"/>
      <c r="AI46" s="2838"/>
      <c r="AJ46" s="2826"/>
      <c r="AK46" s="2826"/>
      <c r="AL46" s="2826"/>
      <c r="AM46" s="2826"/>
      <c r="AN46" s="2913"/>
    </row>
    <row r="47" spans="1:40" ht="27" thickTop="1" thickBot="1">
      <c r="A47" s="4342"/>
      <c r="B47" s="4342"/>
      <c r="C47" s="4846"/>
      <c r="D47" s="1034"/>
      <c r="E47" s="4846"/>
      <c r="F47" s="4846"/>
      <c r="G47" s="144"/>
      <c r="H47" s="144"/>
      <c r="I47" s="144"/>
      <c r="J47" s="144"/>
      <c r="K47" s="144"/>
      <c r="L47" s="144"/>
      <c r="M47" s="144"/>
      <c r="N47" s="4364"/>
      <c r="O47" s="4365"/>
      <c r="P47" s="4366"/>
      <c r="Q47" s="144"/>
      <c r="R47" s="144">
        <f>SUM(R42)</f>
        <v>1220</v>
      </c>
      <c r="S47" s="3153"/>
      <c r="T47" s="3154"/>
      <c r="U47" s="5890" t="e">
        <f t="shared" ref="U47:AA47" si="30">SUM(U6:U46)</f>
        <v>#REF!</v>
      </c>
      <c r="V47" s="5890" t="e">
        <f t="shared" si="30"/>
        <v>#REF!</v>
      </c>
      <c r="W47" s="5890" t="e">
        <f t="shared" si="30"/>
        <v>#REF!</v>
      </c>
      <c r="X47" s="5890" t="e">
        <f t="shared" si="30"/>
        <v>#REF!</v>
      </c>
      <c r="Y47" s="5890" t="e">
        <f t="shared" si="30"/>
        <v>#REF!</v>
      </c>
      <c r="Z47" s="5890" t="e">
        <f t="shared" si="30"/>
        <v>#REF!</v>
      </c>
      <c r="AA47" s="5890" t="e">
        <f t="shared" si="30"/>
        <v>#REF!</v>
      </c>
      <c r="AB47" s="3156" t="e">
        <f>SUM(U47:AA47)</f>
        <v>#REF!</v>
      </c>
      <c r="AE47" s="2838"/>
      <c r="AF47" s="2838"/>
      <c r="AG47" s="2838"/>
      <c r="AH47" s="2838"/>
      <c r="AI47" s="2838"/>
    </row>
    <row r="48" spans="1:40" ht="14" thickTop="1">
      <c r="A48" s="144"/>
      <c r="B48" s="144"/>
      <c r="C48" s="144"/>
      <c r="D48" s="906"/>
      <c r="E48" s="144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3157" t="e">
        <f>IF(#REF!&gt;0,#REF!,#REF!)</f>
        <v>#REF!</v>
      </c>
      <c r="V48" s="3157" t="e">
        <f>IF(#REF!&gt;0,#REF!,#REF!)</f>
        <v>#REF!</v>
      </c>
      <c r="W48" s="3157" t="e">
        <f>IF(#REF!&gt;0,#REF!,#REF!)</f>
        <v>#REF!</v>
      </c>
      <c r="X48" s="3157" t="e">
        <f>IF(#REF!&gt;0,#REF!,#REF!)</f>
        <v>#REF!</v>
      </c>
      <c r="Y48" s="3157" t="e">
        <f>IF(#REF!&gt;0,#REF!,#REF!)</f>
        <v>#REF!</v>
      </c>
      <c r="Z48" s="3157" t="e">
        <f>IF(#REF!&gt;0,#REF!,#REF!)</f>
        <v>#REF!</v>
      </c>
      <c r="AA48" s="3157" t="e">
        <f>IF(#REF!&gt;0,#REF!,#REF!)</f>
        <v>#REF!</v>
      </c>
      <c r="AB48" s="144"/>
      <c r="AC48" s="2867">
        <v>0</v>
      </c>
      <c r="AD48" s="2867">
        <v>0</v>
      </c>
      <c r="AE48" s="2867">
        <v>0</v>
      </c>
      <c r="AF48" s="2867">
        <v>0</v>
      </c>
      <c r="AG48" s="2867">
        <v>0</v>
      </c>
      <c r="AH48" s="2867">
        <v>0</v>
      </c>
      <c r="AI48" s="2935"/>
      <c r="AJ48" s="1"/>
      <c r="AK48" s="1"/>
      <c r="AL48" s="1"/>
      <c r="AM48" s="1"/>
      <c r="AN48" s="1"/>
    </row>
    <row r="49" spans="1:40">
      <c r="A49" s="144"/>
      <c r="B49" s="144"/>
      <c r="C49" s="144"/>
      <c r="D49" s="906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3157" t="e">
        <f>IF(U48&gt;0,U48,#REF!)</f>
        <v>#REF!</v>
      </c>
      <c r="V49" s="3157" t="e">
        <f>IF(V48&gt;0,V48,#REF!)</f>
        <v>#REF!</v>
      </c>
      <c r="W49" s="3157" t="e">
        <f>IF(W48&gt;0,W48,#REF!)</f>
        <v>#REF!</v>
      </c>
      <c r="X49" s="3157" t="e">
        <f>IF(X48&gt;0,X48,#REF!)</f>
        <v>#REF!</v>
      </c>
      <c r="Y49" s="3157" t="e">
        <f>IF(Y48&gt;0,Y48,#REF!)</f>
        <v>#REF!</v>
      </c>
      <c r="Z49" s="3157" t="e">
        <f>IF(Z48&gt;0,Z48,#REF!)</f>
        <v>#REF!</v>
      </c>
      <c r="AA49" s="3157" t="e">
        <f>IF(AA48&gt;0,AA48,#REF!)</f>
        <v>#REF!</v>
      </c>
      <c r="AB49" s="144"/>
      <c r="AC49" s="2867">
        <v>0</v>
      </c>
      <c r="AD49" s="2867">
        <v>0</v>
      </c>
      <c r="AE49" s="2867">
        <v>0</v>
      </c>
      <c r="AF49" s="2867">
        <v>0</v>
      </c>
      <c r="AG49" s="2867">
        <v>0</v>
      </c>
      <c r="AH49" s="2867">
        <v>0</v>
      </c>
      <c r="AI49" s="2825"/>
      <c r="AJ49" s="1"/>
      <c r="AK49" s="1"/>
      <c r="AL49" s="1"/>
      <c r="AM49" s="1"/>
      <c r="AN49" s="1"/>
    </row>
    <row r="50" spans="1:40">
      <c r="A50" s="144"/>
      <c r="B50" s="144"/>
      <c r="C50" s="144"/>
      <c r="D50" s="906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3157" t="e">
        <f t="shared" ref="U50:AA53" si="31">IF(U49&gt;0,U49,U48)</f>
        <v>#REF!</v>
      </c>
      <c r="V50" s="3157" t="e">
        <f t="shared" si="31"/>
        <v>#REF!</v>
      </c>
      <c r="W50" s="3157" t="e">
        <f t="shared" si="31"/>
        <v>#REF!</v>
      </c>
      <c r="X50" s="3157" t="e">
        <f t="shared" si="31"/>
        <v>#REF!</v>
      </c>
      <c r="Y50" s="3157" t="e">
        <f t="shared" si="31"/>
        <v>#REF!</v>
      </c>
      <c r="Z50" s="3157" t="e">
        <f t="shared" si="31"/>
        <v>#REF!</v>
      </c>
      <c r="AA50" s="3157" t="e">
        <f t="shared" si="31"/>
        <v>#REF!</v>
      </c>
      <c r="AB50" s="144"/>
      <c r="AC50" s="2867"/>
      <c r="AD50" s="2867"/>
      <c r="AE50" s="2867"/>
      <c r="AF50" s="2867"/>
      <c r="AG50" s="2867"/>
      <c r="AH50" s="2867"/>
      <c r="AI50" s="2825"/>
      <c r="AJ50" s="1"/>
      <c r="AK50" s="1"/>
      <c r="AL50" s="1"/>
      <c r="AM50" s="1"/>
      <c r="AN50" s="1"/>
    </row>
    <row r="51" spans="1:40">
      <c r="A51" s="144"/>
      <c r="B51" s="144"/>
      <c r="C51" s="144"/>
      <c r="D51" s="906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3157" t="e">
        <f t="shared" si="31"/>
        <v>#REF!</v>
      </c>
      <c r="V51" s="3157" t="e">
        <f t="shared" si="31"/>
        <v>#REF!</v>
      </c>
      <c r="W51" s="3157" t="e">
        <f t="shared" si="31"/>
        <v>#REF!</v>
      </c>
      <c r="X51" s="3157" t="e">
        <f t="shared" si="31"/>
        <v>#REF!</v>
      </c>
      <c r="Y51" s="3157" t="e">
        <f t="shared" si="31"/>
        <v>#REF!</v>
      </c>
      <c r="Z51" s="3157" t="e">
        <f t="shared" si="31"/>
        <v>#REF!</v>
      </c>
      <c r="AA51" s="3157" t="e">
        <f t="shared" si="31"/>
        <v>#REF!</v>
      </c>
      <c r="AB51" s="144"/>
      <c r="AC51" s="2867"/>
      <c r="AD51" s="2867"/>
      <c r="AE51" s="2867"/>
      <c r="AF51" s="2867"/>
      <c r="AG51" s="2867"/>
      <c r="AH51" s="2867"/>
      <c r="AI51" s="2825"/>
      <c r="AJ51" s="1"/>
      <c r="AK51" s="1"/>
      <c r="AL51" s="1"/>
      <c r="AM51" s="1"/>
      <c r="AN51" s="1"/>
    </row>
    <row r="52" spans="1:40">
      <c r="A52" s="144"/>
      <c r="B52" s="144"/>
      <c r="C52" s="144"/>
      <c r="D52" s="906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3157" t="e">
        <f t="shared" si="31"/>
        <v>#REF!</v>
      </c>
      <c r="V52" s="3157" t="e">
        <f t="shared" si="31"/>
        <v>#REF!</v>
      </c>
      <c r="W52" s="3157" t="e">
        <f t="shared" si="31"/>
        <v>#REF!</v>
      </c>
      <c r="X52" s="3157" t="e">
        <f t="shared" si="31"/>
        <v>#REF!</v>
      </c>
      <c r="Y52" s="3157" t="e">
        <f t="shared" si="31"/>
        <v>#REF!</v>
      </c>
      <c r="Z52" s="3157" t="e">
        <f t="shared" si="31"/>
        <v>#REF!</v>
      </c>
      <c r="AA52" s="3157" t="e">
        <f t="shared" si="31"/>
        <v>#REF!</v>
      </c>
      <c r="AB52" s="144"/>
      <c r="AC52" s="2867">
        <v>0</v>
      </c>
      <c r="AD52" s="2867">
        <v>0</v>
      </c>
      <c r="AE52" s="2867">
        <v>0</v>
      </c>
      <c r="AF52" s="2867">
        <v>0</v>
      </c>
      <c r="AG52" s="2867">
        <v>0</v>
      </c>
      <c r="AH52" s="2867">
        <v>0</v>
      </c>
      <c r="AI52" s="2825"/>
      <c r="AJ52" s="1"/>
      <c r="AK52" s="1"/>
      <c r="AL52" s="1"/>
      <c r="AM52" s="1"/>
      <c r="AN52" s="1"/>
    </row>
    <row r="53" spans="1:40">
      <c r="A53" s="144"/>
      <c r="B53" s="144"/>
      <c r="C53" s="144"/>
      <c r="D53" s="906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3157" t="e">
        <f t="shared" si="31"/>
        <v>#REF!</v>
      </c>
      <c r="V53" s="3157" t="e">
        <f t="shared" si="31"/>
        <v>#REF!</v>
      </c>
      <c r="W53" s="3157" t="e">
        <f t="shared" si="31"/>
        <v>#REF!</v>
      </c>
      <c r="X53" s="3157" t="e">
        <f t="shared" si="31"/>
        <v>#REF!</v>
      </c>
      <c r="Y53" s="3157" t="e">
        <f t="shared" si="31"/>
        <v>#REF!</v>
      </c>
      <c r="Z53" s="3157" t="e">
        <f t="shared" si="31"/>
        <v>#REF!</v>
      </c>
      <c r="AA53" s="3157" t="e">
        <f t="shared" si="31"/>
        <v>#REF!</v>
      </c>
      <c r="AB53" s="144"/>
      <c r="AC53" s="2867">
        <v>0</v>
      </c>
      <c r="AD53" s="2867">
        <v>0</v>
      </c>
      <c r="AE53" s="2867">
        <v>0</v>
      </c>
      <c r="AF53" s="2867">
        <v>0</v>
      </c>
      <c r="AG53" s="2867">
        <v>0</v>
      </c>
      <c r="AH53" s="2867">
        <v>0</v>
      </c>
      <c r="AI53" s="2825"/>
      <c r="AJ53" s="1"/>
      <c r="AK53" s="1"/>
      <c r="AL53" s="1"/>
      <c r="AM53" s="1"/>
      <c r="AN53" s="1"/>
    </row>
    <row r="54" spans="1:40">
      <c r="A54" s="144"/>
      <c r="B54" s="144"/>
      <c r="C54" s="144"/>
      <c r="D54" s="906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3157" t="e">
        <f t="shared" ref="U54:AA69" si="32">IF(U53&gt;0,U53,U52)</f>
        <v>#REF!</v>
      </c>
      <c r="V54" s="3157" t="e">
        <f t="shared" si="32"/>
        <v>#REF!</v>
      </c>
      <c r="W54" s="3157" t="e">
        <f t="shared" si="32"/>
        <v>#REF!</v>
      </c>
      <c r="X54" s="3157" t="e">
        <f t="shared" si="32"/>
        <v>#REF!</v>
      </c>
      <c r="Y54" s="3157" t="e">
        <f t="shared" si="32"/>
        <v>#REF!</v>
      </c>
      <c r="Z54" s="3157" t="e">
        <f t="shared" si="32"/>
        <v>#REF!</v>
      </c>
      <c r="AA54" s="3157" t="e">
        <f t="shared" si="32"/>
        <v>#REF!</v>
      </c>
      <c r="AB54" s="144"/>
      <c r="AC54" s="2867">
        <v>0</v>
      </c>
      <c r="AD54" s="2867">
        <v>0</v>
      </c>
      <c r="AE54" s="2867">
        <v>0</v>
      </c>
      <c r="AF54" s="2867">
        <v>0</v>
      </c>
      <c r="AG54" s="2867">
        <v>0</v>
      </c>
      <c r="AH54" s="2867">
        <v>0</v>
      </c>
      <c r="AI54" s="2825"/>
      <c r="AJ54" s="1"/>
      <c r="AK54" s="1"/>
      <c r="AL54" s="1"/>
      <c r="AM54" s="1"/>
      <c r="AN54" s="1"/>
    </row>
    <row r="55" spans="1:40">
      <c r="A55" s="144"/>
      <c r="B55" s="144"/>
      <c r="C55" s="144"/>
      <c r="D55" s="906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3157" t="e">
        <f t="shared" si="32"/>
        <v>#REF!</v>
      </c>
      <c r="V55" s="3157" t="e">
        <f t="shared" si="32"/>
        <v>#REF!</v>
      </c>
      <c r="W55" s="3157" t="e">
        <f t="shared" si="32"/>
        <v>#REF!</v>
      </c>
      <c r="X55" s="3157" t="e">
        <f t="shared" si="32"/>
        <v>#REF!</v>
      </c>
      <c r="Y55" s="3157" t="e">
        <f t="shared" si="32"/>
        <v>#REF!</v>
      </c>
      <c r="Z55" s="3157" t="e">
        <f t="shared" si="32"/>
        <v>#REF!</v>
      </c>
      <c r="AA55" s="3157" t="e">
        <f t="shared" si="32"/>
        <v>#REF!</v>
      </c>
      <c r="AB55" s="144"/>
      <c r="AC55" s="2867">
        <v>0</v>
      </c>
      <c r="AD55" s="2867">
        <v>0</v>
      </c>
      <c r="AE55" s="2867">
        <v>0</v>
      </c>
      <c r="AF55" s="2867">
        <v>0</v>
      </c>
      <c r="AG55" s="2867">
        <v>0</v>
      </c>
      <c r="AH55" s="2867">
        <v>0</v>
      </c>
      <c r="AI55" s="2825"/>
      <c r="AJ55" s="1"/>
      <c r="AK55" s="1"/>
      <c r="AL55" s="1"/>
      <c r="AM55" s="1"/>
      <c r="AN55" s="1"/>
    </row>
    <row r="56" spans="1:40">
      <c r="A56" s="144"/>
      <c r="B56" s="144"/>
      <c r="C56" s="144"/>
      <c r="D56" s="906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3157" t="e">
        <f t="shared" si="32"/>
        <v>#REF!</v>
      </c>
      <c r="V56" s="3157" t="e">
        <f t="shared" si="32"/>
        <v>#REF!</v>
      </c>
      <c r="W56" s="3157" t="e">
        <f t="shared" si="32"/>
        <v>#REF!</v>
      </c>
      <c r="X56" s="3157" t="e">
        <f t="shared" si="32"/>
        <v>#REF!</v>
      </c>
      <c r="Y56" s="3157" t="e">
        <f t="shared" si="32"/>
        <v>#REF!</v>
      </c>
      <c r="Z56" s="3157" t="e">
        <f t="shared" si="32"/>
        <v>#REF!</v>
      </c>
      <c r="AA56" s="3157" t="e">
        <f t="shared" si="32"/>
        <v>#REF!</v>
      </c>
      <c r="AB56" s="144"/>
      <c r="AC56" s="2867"/>
      <c r="AD56" s="2867"/>
      <c r="AE56" s="2867"/>
      <c r="AF56" s="2867"/>
      <c r="AG56" s="2867"/>
      <c r="AH56" s="2867"/>
      <c r="AI56" s="2825"/>
      <c r="AJ56" s="1"/>
      <c r="AK56" s="1"/>
      <c r="AL56" s="1"/>
      <c r="AM56" s="1"/>
      <c r="AN56" s="1"/>
    </row>
    <row r="57" spans="1:40">
      <c r="A57" s="144"/>
      <c r="B57" s="144"/>
      <c r="C57" s="144"/>
      <c r="D57" s="906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3157" t="e">
        <f t="shared" si="32"/>
        <v>#REF!</v>
      </c>
      <c r="V57" s="3157" t="e">
        <f t="shared" si="32"/>
        <v>#REF!</v>
      </c>
      <c r="W57" s="3157" t="e">
        <f t="shared" si="32"/>
        <v>#REF!</v>
      </c>
      <c r="X57" s="3157" t="e">
        <f t="shared" si="32"/>
        <v>#REF!</v>
      </c>
      <c r="Y57" s="3157" t="e">
        <f t="shared" si="32"/>
        <v>#REF!</v>
      </c>
      <c r="Z57" s="3157" t="e">
        <f t="shared" si="32"/>
        <v>#REF!</v>
      </c>
      <c r="AA57" s="3157" t="e">
        <f t="shared" si="32"/>
        <v>#REF!</v>
      </c>
      <c r="AB57" s="144"/>
      <c r="AC57" s="2867"/>
      <c r="AD57" s="2867"/>
      <c r="AE57" s="2867"/>
      <c r="AF57" s="2867"/>
      <c r="AG57" s="2867"/>
      <c r="AH57" s="2867"/>
      <c r="AI57" s="2825"/>
      <c r="AJ57" s="1"/>
      <c r="AK57" s="1"/>
      <c r="AL57" s="1"/>
      <c r="AM57" s="1"/>
      <c r="AN57" s="1"/>
    </row>
    <row r="58" spans="1:40">
      <c r="A58" s="144"/>
      <c r="B58" s="144"/>
      <c r="C58" s="144"/>
      <c r="D58" s="906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3157" t="e">
        <f t="shared" si="32"/>
        <v>#REF!</v>
      </c>
      <c r="V58" s="3157" t="e">
        <f t="shared" si="32"/>
        <v>#REF!</v>
      </c>
      <c r="W58" s="3157" t="e">
        <f t="shared" si="32"/>
        <v>#REF!</v>
      </c>
      <c r="X58" s="3157" t="e">
        <f t="shared" si="32"/>
        <v>#REF!</v>
      </c>
      <c r="Y58" s="3157" t="e">
        <f t="shared" si="32"/>
        <v>#REF!</v>
      </c>
      <c r="Z58" s="3157" t="e">
        <f t="shared" si="32"/>
        <v>#REF!</v>
      </c>
      <c r="AA58" s="3157" t="e">
        <f t="shared" si="32"/>
        <v>#REF!</v>
      </c>
      <c r="AB58" s="144"/>
      <c r="AC58" s="2867">
        <v>0</v>
      </c>
      <c r="AD58" s="2867">
        <v>0</v>
      </c>
      <c r="AE58" s="2867">
        <v>0</v>
      </c>
      <c r="AF58" s="2867">
        <v>0</v>
      </c>
      <c r="AG58" s="2867">
        <v>0</v>
      </c>
      <c r="AH58" s="2867">
        <v>0</v>
      </c>
      <c r="AI58" s="2825"/>
      <c r="AJ58" s="1"/>
      <c r="AK58" s="1"/>
      <c r="AL58" s="1"/>
      <c r="AM58" s="1"/>
      <c r="AN58" s="1"/>
    </row>
    <row r="59" spans="1:40">
      <c r="A59" s="144"/>
      <c r="B59" s="144"/>
      <c r="C59" s="144"/>
      <c r="D59" s="906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3157" t="e">
        <f t="shared" si="32"/>
        <v>#REF!</v>
      </c>
      <c r="V59" s="3157" t="e">
        <f t="shared" si="32"/>
        <v>#REF!</v>
      </c>
      <c r="W59" s="3157" t="e">
        <f t="shared" si="32"/>
        <v>#REF!</v>
      </c>
      <c r="X59" s="3157" t="e">
        <f t="shared" si="32"/>
        <v>#REF!</v>
      </c>
      <c r="Y59" s="3157" t="e">
        <f t="shared" si="32"/>
        <v>#REF!</v>
      </c>
      <c r="Z59" s="3157" t="e">
        <f t="shared" si="32"/>
        <v>#REF!</v>
      </c>
      <c r="AA59" s="3157" t="e">
        <f t="shared" si="32"/>
        <v>#REF!</v>
      </c>
      <c r="AB59" s="144"/>
      <c r="AC59" s="2867">
        <v>0</v>
      </c>
      <c r="AD59" s="2867">
        <v>0</v>
      </c>
      <c r="AE59" s="2867">
        <v>0</v>
      </c>
      <c r="AF59" s="2867">
        <v>0</v>
      </c>
      <c r="AG59" s="2867">
        <v>0</v>
      </c>
      <c r="AH59" s="2867">
        <v>0</v>
      </c>
      <c r="AI59" s="2825"/>
      <c r="AJ59" s="1"/>
      <c r="AK59" s="1"/>
      <c r="AL59" s="1"/>
      <c r="AM59" s="1"/>
      <c r="AN59" s="1"/>
    </row>
    <row r="60" spans="1:40">
      <c r="A60" s="144"/>
      <c r="B60" s="144"/>
      <c r="C60" s="144"/>
      <c r="D60" s="906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3157" t="e">
        <f t="shared" si="32"/>
        <v>#REF!</v>
      </c>
      <c r="V60" s="3157" t="e">
        <f t="shared" si="32"/>
        <v>#REF!</v>
      </c>
      <c r="W60" s="3157" t="e">
        <f t="shared" si="32"/>
        <v>#REF!</v>
      </c>
      <c r="X60" s="3157" t="e">
        <f t="shared" si="32"/>
        <v>#REF!</v>
      </c>
      <c r="Y60" s="3157" t="e">
        <f t="shared" si="32"/>
        <v>#REF!</v>
      </c>
      <c r="Z60" s="3157" t="e">
        <f t="shared" si="32"/>
        <v>#REF!</v>
      </c>
      <c r="AA60" s="3157" t="e">
        <f t="shared" si="32"/>
        <v>#REF!</v>
      </c>
      <c r="AB60" s="144"/>
      <c r="AC60" s="2867">
        <v>0</v>
      </c>
      <c r="AD60" s="2867">
        <v>0</v>
      </c>
      <c r="AE60" s="2867">
        <v>0</v>
      </c>
      <c r="AF60" s="2867">
        <v>0</v>
      </c>
      <c r="AG60" s="2867">
        <v>0</v>
      </c>
      <c r="AH60" s="2867">
        <v>0</v>
      </c>
      <c r="AI60" s="2825"/>
      <c r="AJ60" s="1"/>
      <c r="AK60" s="1"/>
      <c r="AL60" s="1"/>
      <c r="AM60" s="1"/>
      <c r="AN60" s="1"/>
    </row>
    <row r="61" spans="1:40">
      <c r="A61" s="144"/>
      <c r="B61" s="144"/>
      <c r="C61" s="144"/>
      <c r="D61" s="906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3157" t="e">
        <f t="shared" si="32"/>
        <v>#REF!</v>
      </c>
      <c r="V61" s="3157" t="e">
        <f t="shared" si="32"/>
        <v>#REF!</v>
      </c>
      <c r="W61" s="3157" t="e">
        <f t="shared" si="32"/>
        <v>#REF!</v>
      </c>
      <c r="X61" s="3157" t="e">
        <f t="shared" si="32"/>
        <v>#REF!</v>
      </c>
      <c r="Y61" s="3157" t="e">
        <f t="shared" si="32"/>
        <v>#REF!</v>
      </c>
      <c r="Z61" s="3157" t="e">
        <f t="shared" si="32"/>
        <v>#REF!</v>
      </c>
      <c r="AA61" s="3157" t="e">
        <f t="shared" si="32"/>
        <v>#REF!</v>
      </c>
      <c r="AB61" s="144"/>
      <c r="AC61" s="2867"/>
      <c r="AD61" s="2867"/>
      <c r="AE61" s="2867"/>
      <c r="AF61" s="2867"/>
      <c r="AG61" s="2867"/>
      <c r="AH61" s="2867"/>
      <c r="AI61" s="2825"/>
      <c r="AJ61" s="1"/>
      <c r="AK61" s="1"/>
      <c r="AL61" s="1"/>
      <c r="AM61" s="1"/>
      <c r="AN61" s="1"/>
    </row>
    <row r="62" spans="1:40">
      <c r="A62" s="144"/>
      <c r="B62" s="144"/>
      <c r="C62" s="144"/>
      <c r="D62" s="906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3157" t="e">
        <f t="shared" si="32"/>
        <v>#REF!</v>
      </c>
      <c r="V62" s="3157" t="e">
        <f t="shared" si="32"/>
        <v>#REF!</v>
      </c>
      <c r="W62" s="3157" t="e">
        <f t="shared" si="32"/>
        <v>#REF!</v>
      </c>
      <c r="X62" s="3157" t="e">
        <f t="shared" si="32"/>
        <v>#REF!</v>
      </c>
      <c r="Y62" s="3157" t="e">
        <f t="shared" si="32"/>
        <v>#REF!</v>
      </c>
      <c r="Z62" s="3157" t="e">
        <f t="shared" si="32"/>
        <v>#REF!</v>
      </c>
      <c r="AA62" s="3157" t="e">
        <f t="shared" si="32"/>
        <v>#REF!</v>
      </c>
      <c r="AB62" s="144"/>
      <c r="AC62" s="2867"/>
      <c r="AD62" s="2867"/>
      <c r="AE62" s="2867"/>
      <c r="AF62" s="2867"/>
      <c r="AG62" s="2867"/>
      <c r="AH62" s="2867"/>
      <c r="AI62" s="2825"/>
      <c r="AJ62" s="1"/>
      <c r="AK62" s="1"/>
      <c r="AL62" s="1"/>
      <c r="AM62" s="1"/>
      <c r="AN62" s="1"/>
    </row>
    <row r="63" spans="1:40">
      <c r="A63" s="144"/>
      <c r="B63" s="144"/>
      <c r="C63" s="144"/>
      <c r="D63" s="906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3157" t="e">
        <f t="shared" si="32"/>
        <v>#REF!</v>
      </c>
      <c r="V63" s="3157" t="e">
        <f t="shared" si="32"/>
        <v>#REF!</v>
      </c>
      <c r="W63" s="3157" t="e">
        <f t="shared" si="32"/>
        <v>#REF!</v>
      </c>
      <c r="X63" s="3157" t="e">
        <f t="shared" si="32"/>
        <v>#REF!</v>
      </c>
      <c r="Y63" s="3157" t="e">
        <f t="shared" si="32"/>
        <v>#REF!</v>
      </c>
      <c r="Z63" s="3157" t="e">
        <f t="shared" si="32"/>
        <v>#REF!</v>
      </c>
      <c r="AA63" s="3157" t="e">
        <f t="shared" si="32"/>
        <v>#REF!</v>
      </c>
      <c r="AB63" s="144"/>
      <c r="AC63" s="2867">
        <v>0</v>
      </c>
      <c r="AD63" s="2867">
        <v>0</v>
      </c>
      <c r="AE63" s="2867">
        <v>0</v>
      </c>
      <c r="AF63" s="2867">
        <v>0</v>
      </c>
      <c r="AG63" s="2867">
        <v>0</v>
      </c>
      <c r="AH63" s="2867">
        <v>0</v>
      </c>
      <c r="AI63" s="2825"/>
      <c r="AJ63" s="1"/>
      <c r="AK63" s="1"/>
      <c r="AL63" s="1"/>
      <c r="AM63" s="1"/>
      <c r="AN63" s="1"/>
    </row>
    <row r="64" spans="1:40">
      <c r="A64" s="144"/>
      <c r="B64" s="144"/>
      <c r="C64" s="144"/>
      <c r="D64" s="906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3157" t="e">
        <f t="shared" si="32"/>
        <v>#REF!</v>
      </c>
      <c r="V64" s="3157" t="e">
        <f t="shared" si="32"/>
        <v>#REF!</v>
      </c>
      <c r="W64" s="3157" t="e">
        <f t="shared" si="32"/>
        <v>#REF!</v>
      </c>
      <c r="X64" s="3157" t="e">
        <f t="shared" si="32"/>
        <v>#REF!</v>
      </c>
      <c r="Y64" s="3157" t="e">
        <f t="shared" si="32"/>
        <v>#REF!</v>
      </c>
      <c r="Z64" s="3157" t="e">
        <f t="shared" si="32"/>
        <v>#REF!</v>
      </c>
      <c r="AA64" s="3157" t="e">
        <f t="shared" si="32"/>
        <v>#REF!</v>
      </c>
      <c r="AB64" s="144"/>
      <c r="AC64" s="2867">
        <v>0</v>
      </c>
      <c r="AD64" s="2867">
        <v>0</v>
      </c>
      <c r="AE64" s="2867">
        <v>0</v>
      </c>
      <c r="AF64" s="2867">
        <v>0</v>
      </c>
      <c r="AG64" s="2867">
        <v>0</v>
      </c>
      <c r="AH64" s="2867">
        <v>0</v>
      </c>
      <c r="AI64" s="2825"/>
      <c r="AJ64" s="1"/>
      <c r="AK64" s="1"/>
      <c r="AL64" s="1"/>
      <c r="AM64" s="1"/>
      <c r="AN64" s="1"/>
    </row>
    <row r="65" spans="1:40">
      <c r="A65" s="144"/>
      <c r="B65" s="144"/>
      <c r="C65" s="144"/>
      <c r="D65" s="906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3157" t="e">
        <f t="shared" si="32"/>
        <v>#REF!</v>
      </c>
      <c r="V65" s="3157" t="e">
        <f t="shared" si="32"/>
        <v>#REF!</v>
      </c>
      <c r="W65" s="3157" t="e">
        <f t="shared" si="32"/>
        <v>#REF!</v>
      </c>
      <c r="X65" s="3157" t="e">
        <f t="shared" si="32"/>
        <v>#REF!</v>
      </c>
      <c r="Y65" s="3157" t="e">
        <f t="shared" si="32"/>
        <v>#REF!</v>
      </c>
      <c r="Z65" s="3157" t="e">
        <f t="shared" si="32"/>
        <v>#REF!</v>
      </c>
      <c r="AA65" s="3157" t="e">
        <f t="shared" si="32"/>
        <v>#REF!</v>
      </c>
      <c r="AB65" s="144"/>
      <c r="AC65" s="2867">
        <v>0</v>
      </c>
      <c r="AD65" s="2867">
        <v>0</v>
      </c>
      <c r="AE65" s="2867">
        <v>0</v>
      </c>
      <c r="AF65" s="2867">
        <v>0</v>
      </c>
      <c r="AG65" s="2867">
        <v>0</v>
      </c>
      <c r="AH65" s="2867">
        <v>0</v>
      </c>
      <c r="AI65" s="2825"/>
      <c r="AJ65" s="1"/>
      <c r="AK65" s="1"/>
      <c r="AL65" s="1"/>
      <c r="AM65" s="1"/>
      <c r="AN65" s="1"/>
    </row>
    <row r="66" spans="1:40">
      <c r="A66" s="144"/>
      <c r="B66" s="144"/>
      <c r="C66" s="144"/>
      <c r="D66" s="906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3157" t="e">
        <f t="shared" si="32"/>
        <v>#REF!</v>
      </c>
      <c r="V66" s="3157" t="e">
        <f t="shared" si="32"/>
        <v>#REF!</v>
      </c>
      <c r="W66" s="3157" t="e">
        <f t="shared" si="32"/>
        <v>#REF!</v>
      </c>
      <c r="X66" s="3157" t="e">
        <f t="shared" si="32"/>
        <v>#REF!</v>
      </c>
      <c r="Y66" s="3157" t="e">
        <f t="shared" si="32"/>
        <v>#REF!</v>
      </c>
      <c r="Z66" s="3157" t="e">
        <f t="shared" si="32"/>
        <v>#REF!</v>
      </c>
      <c r="AA66" s="3157" t="e">
        <f t="shared" si="32"/>
        <v>#REF!</v>
      </c>
      <c r="AB66" s="144"/>
      <c r="AC66" s="2867"/>
      <c r="AD66" s="2867"/>
      <c r="AE66" s="2867"/>
      <c r="AF66" s="2867"/>
      <c r="AG66" s="2867"/>
      <c r="AH66" s="2867"/>
      <c r="AI66" s="2825"/>
      <c r="AJ66" s="1"/>
      <c r="AK66" s="1"/>
      <c r="AL66" s="1"/>
      <c r="AM66" s="1"/>
      <c r="AN66" s="1"/>
    </row>
    <row r="67" spans="1:40">
      <c r="A67" s="144"/>
      <c r="B67" s="144"/>
      <c r="C67" s="144"/>
      <c r="D67" s="906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3157" t="e">
        <f t="shared" si="32"/>
        <v>#REF!</v>
      </c>
      <c r="V67" s="3157" t="e">
        <f t="shared" si="32"/>
        <v>#REF!</v>
      </c>
      <c r="W67" s="3157" t="e">
        <f t="shared" si="32"/>
        <v>#REF!</v>
      </c>
      <c r="X67" s="3157" t="e">
        <f t="shared" si="32"/>
        <v>#REF!</v>
      </c>
      <c r="Y67" s="3157" t="e">
        <f t="shared" si="32"/>
        <v>#REF!</v>
      </c>
      <c r="Z67" s="3157" t="e">
        <f t="shared" si="32"/>
        <v>#REF!</v>
      </c>
      <c r="AA67" s="3157" t="e">
        <f t="shared" si="32"/>
        <v>#REF!</v>
      </c>
      <c r="AB67" s="144"/>
      <c r="AC67" s="2867"/>
      <c r="AD67" s="2867"/>
      <c r="AE67" s="2867"/>
      <c r="AF67" s="2867"/>
      <c r="AG67" s="2867"/>
      <c r="AH67" s="2867"/>
      <c r="AI67" s="2825"/>
      <c r="AJ67" s="1"/>
      <c r="AK67" s="1"/>
      <c r="AL67" s="1"/>
      <c r="AM67" s="1"/>
      <c r="AN67" s="1"/>
    </row>
    <row r="68" spans="1:40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3157" t="e">
        <f t="shared" si="32"/>
        <v>#REF!</v>
      </c>
      <c r="V68" s="3157" t="e">
        <f t="shared" si="32"/>
        <v>#REF!</v>
      </c>
      <c r="W68" s="3157" t="e">
        <f t="shared" si="32"/>
        <v>#REF!</v>
      </c>
      <c r="X68" s="3157" t="e">
        <f t="shared" si="32"/>
        <v>#REF!</v>
      </c>
      <c r="Y68" s="3157" t="e">
        <f t="shared" si="32"/>
        <v>#REF!</v>
      </c>
      <c r="Z68" s="3157" t="e">
        <f t="shared" si="32"/>
        <v>#REF!</v>
      </c>
      <c r="AA68" s="3157" t="e">
        <f t="shared" si="32"/>
        <v>#REF!</v>
      </c>
      <c r="AB68" s="144"/>
      <c r="AC68" s="2867">
        <v>0</v>
      </c>
      <c r="AD68" s="2867">
        <v>0</v>
      </c>
      <c r="AE68" s="2867">
        <v>0</v>
      </c>
      <c r="AF68" s="2867">
        <v>0</v>
      </c>
      <c r="AG68" s="2867">
        <v>0</v>
      </c>
      <c r="AH68" s="2867">
        <v>0</v>
      </c>
      <c r="AI68" s="2825"/>
      <c r="AJ68" s="1"/>
      <c r="AK68" s="1"/>
      <c r="AL68" s="1"/>
      <c r="AM68" s="1"/>
      <c r="AN68" s="1"/>
    </row>
    <row r="69" spans="1:40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3157" t="e">
        <f t="shared" si="32"/>
        <v>#REF!</v>
      </c>
      <c r="V69" s="3157" t="e">
        <f t="shared" si="32"/>
        <v>#REF!</v>
      </c>
      <c r="W69" s="3157" t="e">
        <f t="shared" si="32"/>
        <v>#REF!</v>
      </c>
      <c r="X69" s="3157" t="e">
        <f t="shared" si="32"/>
        <v>#REF!</v>
      </c>
      <c r="Y69" s="3157" t="e">
        <f t="shared" si="32"/>
        <v>#REF!</v>
      </c>
      <c r="Z69" s="3157" t="e">
        <f t="shared" si="32"/>
        <v>#REF!</v>
      </c>
      <c r="AA69" s="3157" t="e">
        <f t="shared" si="32"/>
        <v>#REF!</v>
      </c>
      <c r="AB69" s="144"/>
      <c r="AC69" s="2867">
        <v>0</v>
      </c>
      <c r="AD69" s="2867">
        <v>0</v>
      </c>
      <c r="AE69" s="2867">
        <v>0</v>
      </c>
      <c r="AF69" s="2867">
        <v>0</v>
      </c>
      <c r="AG69" s="2867">
        <v>0</v>
      </c>
      <c r="AH69" s="2867">
        <v>0</v>
      </c>
      <c r="AI69" s="2825"/>
      <c r="AJ69" s="1"/>
      <c r="AK69" s="1"/>
      <c r="AL69" s="1"/>
      <c r="AM69" s="1"/>
      <c r="AN69" s="1"/>
    </row>
    <row r="70" spans="1:40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3157" t="e">
        <f t="shared" ref="U70:AA85" si="33">IF(U69&gt;0,U69,U68)</f>
        <v>#REF!</v>
      </c>
      <c r="V70" s="3157" t="e">
        <f t="shared" si="33"/>
        <v>#REF!</v>
      </c>
      <c r="W70" s="3157" t="e">
        <f t="shared" si="33"/>
        <v>#REF!</v>
      </c>
      <c r="X70" s="3157" t="e">
        <f t="shared" si="33"/>
        <v>#REF!</v>
      </c>
      <c r="Y70" s="3157" t="e">
        <f t="shared" si="33"/>
        <v>#REF!</v>
      </c>
      <c r="Z70" s="3157" t="e">
        <f t="shared" si="33"/>
        <v>#REF!</v>
      </c>
      <c r="AA70" s="3157" t="e">
        <f t="shared" si="33"/>
        <v>#REF!</v>
      </c>
      <c r="AB70" s="144"/>
      <c r="AC70" s="2867"/>
      <c r="AD70" s="2867"/>
      <c r="AE70" s="2867"/>
      <c r="AF70" s="2867"/>
      <c r="AG70" s="2867"/>
      <c r="AH70" s="2867"/>
      <c r="AI70" s="2825"/>
      <c r="AJ70" s="1"/>
      <c r="AK70" s="1"/>
      <c r="AL70" s="1"/>
      <c r="AM70" s="1"/>
      <c r="AN70" s="1"/>
    </row>
    <row r="71" spans="1:40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3157" t="e">
        <f t="shared" si="33"/>
        <v>#REF!</v>
      </c>
      <c r="V71" s="3157" t="e">
        <f t="shared" si="33"/>
        <v>#REF!</v>
      </c>
      <c r="W71" s="3157" t="e">
        <f t="shared" si="33"/>
        <v>#REF!</v>
      </c>
      <c r="X71" s="3157" t="e">
        <f t="shared" si="33"/>
        <v>#REF!</v>
      </c>
      <c r="Y71" s="3157" t="e">
        <f t="shared" si="33"/>
        <v>#REF!</v>
      </c>
      <c r="Z71" s="3157" t="e">
        <f t="shared" si="33"/>
        <v>#REF!</v>
      </c>
      <c r="AA71" s="3157" t="e">
        <f t="shared" si="33"/>
        <v>#REF!</v>
      </c>
      <c r="AB71" s="144"/>
      <c r="AC71" s="2867"/>
      <c r="AD71" s="2867"/>
      <c r="AE71" s="2867"/>
      <c r="AF71" s="2867"/>
      <c r="AG71" s="2867"/>
      <c r="AH71" s="2867"/>
      <c r="AI71" s="2825"/>
      <c r="AJ71" s="1"/>
      <c r="AK71" s="1"/>
      <c r="AL71" s="1"/>
      <c r="AM71" s="1"/>
      <c r="AN71" s="1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3157" t="e">
        <f t="shared" si="33"/>
        <v>#REF!</v>
      </c>
      <c r="V72" s="3157" t="e">
        <f t="shared" si="33"/>
        <v>#REF!</v>
      </c>
      <c r="W72" s="3157" t="e">
        <f t="shared" si="33"/>
        <v>#REF!</v>
      </c>
      <c r="X72" s="3157" t="e">
        <f t="shared" si="33"/>
        <v>#REF!</v>
      </c>
      <c r="Y72" s="3157" t="e">
        <f t="shared" si="33"/>
        <v>#REF!</v>
      </c>
      <c r="Z72" s="3157" t="e">
        <f t="shared" si="33"/>
        <v>#REF!</v>
      </c>
      <c r="AA72" s="3157" t="e">
        <f t="shared" si="33"/>
        <v>#REF!</v>
      </c>
      <c r="AB72" s="144"/>
      <c r="AC72" s="2867">
        <v>0</v>
      </c>
      <c r="AD72" s="2867">
        <v>0</v>
      </c>
      <c r="AE72" s="2867">
        <v>0</v>
      </c>
      <c r="AF72" s="2867">
        <v>0</v>
      </c>
      <c r="AG72" s="2867">
        <v>0</v>
      </c>
      <c r="AH72" s="2867">
        <v>0</v>
      </c>
      <c r="AI72" s="2825"/>
      <c r="AJ72" s="1"/>
      <c r="AK72" s="1"/>
      <c r="AL72" s="1"/>
      <c r="AM72" s="1"/>
      <c r="AN72" s="1"/>
    </row>
    <row r="73" spans="1:40" ht="15" customHeight="1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3157" t="e">
        <f t="shared" si="33"/>
        <v>#REF!</v>
      </c>
      <c r="V73" s="3157" t="e">
        <f t="shared" si="33"/>
        <v>#REF!</v>
      </c>
      <c r="W73" s="3157" t="e">
        <f t="shared" si="33"/>
        <v>#REF!</v>
      </c>
      <c r="X73" s="3157" t="e">
        <f t="shared" si="33"/>
        <v>#REF!</v>
      </c>
      <c r="Y73" s="3157" t="e">
        <f t="shared" si="33"/>
        <v>#REF!</v>
      </c>
      <c r="Z73" s="3157" t="e">
        <f t="shared" si="33"/>
        <v>#REF!</v>
      </c>
      <c r="AA73" s="3157" t="e">
        <f t="shared" si="33"/>
        <v>#REF!</v>
      </c>
      <c r="AB73" s="144"/>
      <c r="AC73" s="2867">
        <v>0</v>
      </c>
      <c r="AD73" s="2867">
        <v>0</v>
      </c>
      <c r="AE73" s="2867">
        <v>0</v>
      </c>
      <c r="AF73" s="2867">
        <v>0</v>
      </c>
      <c r="AG73" s="2867">
        <v>0</v>
      </c>
      <c r="AH73" s="2867">
        <v>0</v>
      </c>
      <c r="AI73" s="2825"/>
      <c r="AJ73" s="1"/>
      <c r="AK73" s="1"/>
      <c r="AL73" s="1"/>
      <c r="AM73" s="1"/>
      <c r="AN73" s="1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3157" t="e">
        <f t="shared" si="33"/>
        <v>#REF!</v>
      </c>
      <c r="V74" s="3157" t="e">
        <f t="shared" si="33"/>
        <v>#REF!</v>
      </c>
      <c r="W74" s="3157" t="e">
        <f t="shared" si="33"/>
        <v>#REF!</v>
      </c>
      <c r="X74" s="3157" t="e">
        <f t="shared" si="33"/>
        <v>#REF!</v>
      </c>
      <c r="Y74" s="3157" t="e">
        <f t="shared" si="33"/>
        <v>#REF!</v>
      </c>
      <c r="Z74" s="3157" t="e">
        <f t="shared" si="33"/>
        <v>#REF!</v>
      </c>
      <c r="AA74" s="3157" t="e">
        <f t="shared" si="33"/>
        <v>#REF!</v>
      </c>
      <c r="AB74" s="144"/>
      <c r="AC74" s="2867">
        <v>0</v>
      </c>
      <c r="AD74" s="2867">
        <v>0</v>
      </c>
      <c r="AE74" s="2867">
        <v>0</v>
      </c>
      <c r="AF74" s="2867">
        <v>0</v>
      </c>
      <c r="AG74" s="2867">
        <v>0</v>
      </c>
      <c r="AH74" s="2867">
        <v>0</v>
      </c>
      <c r="AI74" s="2825"/>
      <c r="AJ74" s="1"/>
      <c r="AK74" s="1"/>
      <c r="AL74" s="1"/>
      <c r="AM74" s="1"/>
      <c r="AN74" s="1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3157" t="e">
        <f t="shared" si="33"/>
        <v>#REF!</v>
      </c>
      <c r="V75" s="3157" t="e">
        <f t="shared" si="33"/>
        <v>#REF!</v>
      </c>
      <c r="W75" s="3157" t="e">
        <f t="shared" si="33"/>
        <v>#REF!</v>
      </c>
      <c r="X75" s="3157" t="e">
        <f t="shared" si="33"/>
        <v>#REF!</v>
      </c>
      <c r="Y75" s="3157" t="e">
        <f t="shared" si="33"/>
        <v>#REF!</v>
      </c>
      <c r="Z75" s="3157" t="e">
        <f t="shared" si="33"/>
        <v>#REF!</v>
      </c>
      <c r="AA75" s="3157" t="e">
        <f t="shared" si="33"/>
        <v>#REF!</v>
      </c>
      <c r="AB75" s="144"/>
      <c r="AC75" s="2867">
        <v>0</v>
      </c>
      <c r="AD75" s="2867">
        <v>0</v>
      </c>
      <c r="AE75" s="2867">
        <v>0</v>
      </c>
      <c r="AF75" s="2867">
        <v>0</v>
      </c>
      <c r="AG75" s="2867">
        <v>0</v>
      </c>
      <c r="AH75" s="2867">
        <v>0</v>
      </c>
      <c r="AI75" s="2825"/>
      <c r="AJ75" s="1"/>
      <c r="AK75" s="1"/>
      <c r="AL75" s="1"/>
      <c r="AM75" s="1"/>
      <c r="AN75" s="1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3157" t="e">
        <f t="shared" si="33"/>
        <v>#REF!</v>
      </c>
      <c r="V76" s="3157" t="e">
        <f t="shared" si="33"/>
        <v>#REF!</v>
      </c>
      <c r="W76" s="3157" t="e">
        <f t="shared" si="33"/>
        <v>#REF!</v>
      </c>
      <c r="X76" s="3157" t="e">
        <f t="shared" si="33"/>
        <v>#REF!</v>
      </c>
      <c r="Y76" s="3157" t="e">
        <f t="shared" si="33"/>
        <v>#REF!</v>
      </c>
      <c r="Z76" s="3157" t="e">
        <f t="shared" si="33"/>
        <v>#REF!</v>
      </c>
      <c r="AA76" s="3157" t="e">
        <f t="shared" si="33"/>
        <v>#REF!</v>
      </c>
      <c r="AB76" s="144"/>
      <c r="AC76" s="2867"/>
      <c r="AD76" s="2867"/>
      <c r="AE76" s="2867"/>
      <c r="AF76" s="2867"/>
      <c r="AG76" s="2867"/>
      <c r="AH76" s="2867"/>
      <c r="AI76" s="2825"/>
      <c r="AJ76" s="1"/>
      <c r="AK76" s="1"/>
      <c r="AL76" s="1"/>
      <c r="AM76" s="1"/>
      <c r="AN76" s="1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3157" t="e">
        <f t="shared" si="33"/>
        <v>#REF!</v>
      </c>
      <c r="V77" s="3157" t="e">
        <f t="shared" si="33"/>
        <v>#REF!</v>
      </c>
      <c r="W77" s="3157" t="e">
        <f t="shared" si="33"/>
        <v>#REF!</v>
      </c>
      <c r="X77" s="3157" t="e">
        <f t="shared" si="33"/>
        <v>#REF!</v>
      </c>
      <c r="Y77" s="3157" t="e">
        <f t="shared" si="33"/>
        <v>#REF!</v>
      </c>
      <c r="Z77" s="3157" t="e">
        <f t="shared" si="33"/>
        <v>#REF!</v>
      </c>
      <c r="AA77" s="3157" t="e">
        <f t="shared" si="33"/>
        <v>#REF!</v>
      </c>
      <c r="AB77" s="144"/>
      <c r="AC77" s="2867">
        <v>0</v>
      </c>
      <c r="AD77" s="2867">
        <v>0</v>
      </c>
      <c r="AE77" s="2867">
        <v>0</v>
      </c>
      <c r="AF77" s="2867">
        <v>0</v>
      </c>
      <c r="AG77" s="2867">
        <v>0</v>
      </c>
      <c r="AH77" s="2867">
        <v>0</v>
      </c>
      <c r="AI77" s="2825"/>
      <c r="AJ77" s="1"/>
      <c r="AK77" s="1"/>
      <c r="AL77" s="1"/>
      <c r="AM77" s="1"/>
      <c r="AN77" s="1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3157" t="e">
        <f t="shared" si="33"/>
        <v>#REF!</v>
      </c>
      <c r="V78" s="3157" t="e">
        <f t="shared" si="33"/>
        <v>#REF!</v>
      </c>
      <c r="W78" s="3157" t="e">
        <f t="shared" si="33"/>
        <v>#REF!</v>
      </c>
      <c r="X78" s="3157" t="e">
        <f t="shared" si="33"/>
        <v>#REF!</v>
      </c>
      <c r="Y78" s="3157" t="e">
        <f t="shared" si="33"/>
        <v>#REF!</v>
      </c>
      <c r="Z78" s="3157" t="e">
        <f t="shared" si="33"/>
        <v>#REF!</v>
      </c>
      <c r="AA78" s="3157" t="e">
        <f t="shared" si="33"/>
        <v>#REF!</v>
      </c>
      <c r="AB78" s="144"/>
      <c r="AC78" s="2867">
        <v>0</v>
      </c>
      <c r="AD78" s="2867">
        <v>0</v>
      </c>
      <c r="AE78" s="2867">
        <v>0</v>
      </c>
      <c r="AF78" s="2867">
        <v>0</v>
      </c>
      <c r="AG78" s="2867">
        <v>0</v>
      </c>
      <c r="AH78" s="2867">
        <v>0</v>
      </c>
      <c r="AI78" s="2825"/>
      <c r="AJ78" s="1"/>
      <c r="AK78" s="1"/>
      <c r="AL78" s="1"/>
      <c r="AM78" s="1"/>
      <c r="AN78" s="1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3157" t="e">
        <f t="shared" si="33"/>
        <v>#REF!</v>
      </c>
      <c r="V79" s="3157" t="e">
        <f t="shared" si="33"/>
        <v>#REF!</v>
      </c>
      <c r="W79" s="3157" t="e">
        <f t="shared" si="33"/>
        <v>#REF!</v>
      </c>
      <c r="X79" s="3157" t="e">
        <f t="shared" si="33"/>
        <v>#REF!</v>
      </c>
      <c r="Y79" s="3157" t="e">
        <f t="shared" si="33"/>
        <v>#REF!</v>
      </c>
      <c r="Z79" s="3157" t="e">
        <f t="shared" si="33"/>
        <v>#REF!</v>
      </c>
      <c r="AA79" s="3157" t="e">
        <f t="shared" si="33"/>
        <v>#REF!</v>
      </c>
      <c r="AB79" s="144"/>
      <c r="AC79" s="2867"/>
      <c r="AD79" s="2867"/>
      <c r="AE79" s="2867"/>
      <c r="AF79" s="2867"/>
      <c r="AG79" s="2867"/>
      <c r="AH79" s="2867"/>
      <c r="AI79" s="2825"/>
      <c r="AJ79" s="1"/>
      <c r="AK79" s="1"/>
      <c r="AL79" s="1"/>
      <c r="AM79" s="1"/>
      <c r="AN79" s="1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3157" t="e">
        <f t="shared" si="33"/>
        <v>#REF!</v>
      </c>
      <c r="V80" s="3157" t="e">
        <f t="shared" si="33"/>
        <v>#REF!</v>
      </c>
      <c r="W80" s="3157" t="e">
        <f t="shared" si="33"/>
        <v>#REF!</v>
      </c>
      <c r="X80" s="3157" t="e">
        <f t="shared" si="33"/>
        <v>#REF!</v>
      </c>
      <c r="Y80" s="3157" t="e">
        <f t="shared" si="33"/>
        <v>#REF!</v>
      </c>
      <c r="Z80" s="3157" t="e">
        <f t="shared" si="33"/>
        <v>#REF!</v>
      </c>
      <c r="AA80" s="3157" t="e">
        <f t="shared" si="33"/>
        <v>#REF!</v>
      </c>
      <c r="AB80" s="144"/>
      <c r="AC80" s="2867"/>
      <c r="AD80" s="2867"/>
      <c r="AE80" s="2867"/>
      <c r="AF80" s="2867"/>
      <c r="AG80" s="2867"/>
      <c r="AH80" s="2867"/>
      <c r="AI80" s="2825"/>
      <c r="AJ80" s="1"/>
      <c r="AK80" s="1"/>
      <c r="AL80" s="1"/>
      <c r="AM80" s="1"/>
      <c r="AN80" s="1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3157" t="e">
        <f t="shared" si="33"/>
        <v>#REF!</v>
      </c>
      <c r="V81" s="3157" t="e">
        <f t="shared" si="33"/>
        <v>#REF!</v>
      </c>
      <c r="W81" s="3157" t="e">
        <f t="shared" si="33"/>
        <v>#REF!</v>
      </c>
      <c r="X81" s="3157" t="e">
        <f t="shared" si="33"/>
        <v>#REF!</v>
      </c>
      <c r="Y81" s="3157" t="e">
        <f t="shared" si="33"/>
        <v>#REF!</v>
      </c>
      <c r="Z81" s="3157" t="e">
        <f t="shared" si="33"/>
        <v>#REF!</v>
      </c>
      <c r="AA81" s="3157" t="e">
        <f t="shared" si="33"/>
        <v>#REF!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3157" t="e">
        <f t="shared" si="33"/>
        <v>#REF!</v>
      </c>
      <c r="V82" s="3157" t="e">
        <f t="shared" si="33"/>
        <v>#REF!</v>
      </c>
      <c r="W82" s="3157" t="e">
        <f t="shared" si="33"/>
        <v>#REF!</v>
      </c>
      <c r="X82" s="3157" t="e">
        <f t="shared" si="33"/>
        <v>#REF!</v>
      </c>
      <c r="Y82" s="3157" t="e">
        <f t="shared" si="33"/>
        <v>#REF!</v>
      </c>
      <c r="Z82" s="3157" t="e">
        <f t="shared" si="33"/>
        <v>#REF!</v>
      </c>
      <c r="AA82" s="3157" t="e">
        <f t="shared" si="33"/>
        <v>#REF!</v>
      </c>
      <c r="AB82" s="144"/>
      <c r="AC82" s="2867">
        <v>0</v>
      </c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82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3157" t="e">
        <f t="shared" si="33"/>
        <v>#REF!</v>
      </c>
      <c r="V83" s="3157" t="e">
        <f t="shared" si="33"/>
        <v>#REF!</v>
      </c>
      <c r="W83" s="3157" t="e">
        <f t="shared" si="33"/>
        <v>#REF!</v>
      </c>
      <c r="X83" s="3157" t="e">
        <f t="shared" si="33"/>
        <v>#REF!</v>
      </c>
      <c r="Y83" s="3157" t="e">
        <f t="shared" si="33"/>
        <v>#REF!</v>
      </c>
      <c r="Z83" s="3157" t="e">
        <f t="shared" si="33"/>
        <v>#REF!</v>
      </c>
      <c r="AA83" s="3157" t="e">
        <f t="shared" si="33"/>
        <v>#REF!</v>
      </c>
      <c r="AB83" s="144"/>
      <c r="AC83" s="2867">
        <v>0</v>
      </c>
      <c r="AD83" s="2867">
        <v>0</v>
      </c>
      <c r="AE83" s="2867">
        <v>0</v>
      </c>
      <c r="AF83" s="2867">
        <v>0</v>
      </c>
      <c r="AG83" s="2867">
        <v>0</v>
      </c>
      <c r="AH83" s="2867">
        <v>0</v>
      </c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3157" t="e">
        <f t="shared" si="33"/>
        <v>#REF!</v>
      </c>
      <c r="V84" s="3157" t="e">
        <f t="shared" si="33"/>
        <v>#REF!</v>
      </c>
      <c r="W84" s="3157" t="e">
        <f t="shared" si="33"/>
        <v>#REF!</v>
      </c>
      <c r="X84" s="3157" t="e">
        <f t="shared" si="33"/>
        <v>#REF!</v>
      </c>
      <c r="Y84" s="3157" t="e">
        <f t="shared" si="33"/>
        <v>#REF!</v>
      </c>
      <c r="Z84" s="3157" t="e">
        <f t="shared" si="33"/>
        <v>#REF!</v>
      </c>
      <c r="AA84" s="3157" t="e">
        <f t="shared" si="33"/>
        <v>#REF!</v>
      </c>
      <c r="AB84" s="144"/>
      <c r="AC84" s="2867"/>
      <c r="AD84" s="2867"/>
      <c r="AE84" s="2867"/>
      <c r="AF84" s="2867"/>
      <c r="AG84" s="2867"/>
      <c r="AH84" s="2867"/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3157" t="e">
        <f t="shared" si="33"/>
        <v>#REF!</v>
      </c>
      <c r="V85" s="3157" t="e">
        <f t="shared" si="33"/>
        <v>#REF!</v>
      </c>
      <c r="W85" s="3157" t="e">
        <f t="shared" si="33"/>
        <v>#REF!</v>
      </c>
      <c r="X85" s="3157" t="e">
        <f t="shared" si="33"/>
        <v>#REF!</v>
      </c>
      <c r="Y85" s="3157" t="e">
        <f t="shared" si="33"/>
        <v>#REF!</v>
      </c>
      <c r="Z85" s="3157" t="e">
        <f t="shared" si="33"/>
        <v>#REF!</v>
      </c>
      <c r="AA85" s="3157" t="e">
        <f t="shared" si="33"/>
        <v>#REF!</v>
      </c>
      <c r="AB85" s="144"/>
      <c r="AC85" s="2867"/>
      <c r="AD85" s="2867"/>
      <c r="AE85" s="2867"/>
      <c r="AF85" s="2867"/>
      <c r="AG85" s="2867"/>
      <c r="AH85" s="2867"/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3157" t="e">
        <f t="shared" ref="U86:AA94" si="34">IF(U85&gt;0,U85,U84)</f>
        <v>#REF!</v>
      </c>
      <c r="V86" s="3157" t="e">
        <f t="shared" si="34"/>
        <v>#REF!</v>
      </c>
      <c r="W86" s="3157" t="e">
        <f t="shared" si="34"/>
        <v>#REF!</v>
      </c>
      <c r="X86" s="3157" t="e">
        <f t="shared" si="34"/>
        <v>#REF!</v>
      </c>
      <c r="Y86" s="3157" t="e">
        <f t="shared" si="34"/>
        <v>#REF!</v>
      </c>
      <c r="Z86" s="3157" t="e">
        <f t="shared" si="34"/>
        <v>#REF!</v>
      </c>
      <c r="AA86" s="3157" t="e">
        <f t="shared" si="34"/>
        <v>#REF!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3157" t="e">
        <f t="shared" si="34"/>
        <v>#REF!</v>
      </c>
      <c r="V87" s="3157" t="e">
        <f t="shared" si="34"/>
        <v>#REF!</v>
      </c>
      <c r="W87" s="3157" t="e">
        <f t="shared" si="34"/>
        <v>#REF!</v>
      </c>
      <c r="X87" s="3157" t="e">
        <f t="shared" si="34"/>
        <v>#REF!</v>
      </c>
      <c r="Y87" s="3157" t="e">
        <f t="shared" si="34"/>
        <v>#REF!</v>
      </c>
      <c r="Z87" s="3157" t="e">
        <f t="shared" si="34"/>
        <v>#REF!</v>
      </c>
      <c r="AA87" s="3157" t="e">
        <f t="shared" si="34"/>
        <v>#REF!</v>
      </c>
      <c r="AB87" s="144"/>
      <c r="AC87" s="2867">
        <v>0</v>
      </c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3157" t="e">
        <f t="shared" si="34"/>
        <v>#REF!</v>
      </c>
      <c r="V88" s="3157" t="e">
        <f t="shared" si="34"/>
        <v>#REF!</v>
      </c>
      <c r="W88" s="3157" t="e">
        <f t="shared" si="34"/>
        <v>#REF!</v>
      </c>
      <c r="X88" s="3157" t="e">
        <f t="shared" si="34"/>
        <v>#REF!</v>
      </c>
      <c r="Y88" s="3157" t="e">
        <f t="shared" si="34"/>
        <v>#REF!</v>
      </c>
      <c r="Z88" s="3157" t="e">
        <f t="shared" si="34"/>
        <v>#REF!</v>
      </c>
      <c r="AA88" s="3157" t="e">
        <f t="shared" si="34"/>
        <v>#REF!</v>
      </c>
      <c r="AB88" s="144"/>
      <c r="AC88" s="2867">
        <v>0</v>
      </c>
      <c r="AD88" s="2867">
        <v>0</v>
      </c>
      <c r="AE88" s="2867">
        <v>0</v>
      </c>
      <c r="AF88" s="2867">
        <v>0</v>
      </c>
      <c r="AG88" s="2867">
        <v>0</v>
      </c>
      <c r="AH88" s="2867">
        <v>0</v>
      </c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3157" t="e">
        <f t="shared" si="34"/>
        <v>#REF!</v>
      </c>
      <c r="V89" s="3157" t="e">
        <f t="shared" si="34"/>
        <v>#REF!</v>
      </c>
      <c r="W89" s="3157" t="e">
        <f t="shared" si="34"/>
        <v>#REF!</v>
      </c>
      <c r="X89" s="3157" t="e">
        <f t="shared" si="34"/>
        <v>#REF!</v>
      </c>
      <c r="Y89" s="3157" t="e">
        <f t="shared" si="34"/>
        <v>#REF!</v>
      </c>
      <c r="Z89" s="3157" t="e">
        <f t="shared" si="34"/>
        <v>#REF!</v>
      </c>
      <c r="AA89" s="3157" t="e">
        <f t="shared" si="34"/>
        <v>#REF!</v>
      </c>
      <c r="AB89" s="144"/>
      <c r="AC89" s="2867"/>
      <c r="AD89" s="2867"/>
      <c r="AE89" s="2867"/>
      <c r="AF89" s="2867"/>
      <c r="AG89" s="2867"/>
      <c r="AH89" s="2867"/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3157" t="e">
        <f t="shared" si="34"/>
        <v>#REF!</v>
      </c>
      <c r="V90" s="3157" t="e">
        <f t="shared" si="34"/>
        <v>#REF!</v>
      </c>
      <c r="W90" s="3157" t="e">
        <f t="shared" si="34"/>
        <v>#REF!</v>
      </c>
      <c r="X90" s="3157" t="e">
        <f t="shared" si="34"/>
        <v>#REF!</v>
      </c>
      <c r="Y90" s="3157" t="e">
        <f t="shared" si="34"/>
        <v>#REF!</v>
      </c>
      <c r="Z90" s="3157" t="e">
        <f t="shared" si="34"/>
        <v>#REF!</v>
      </c>
      <c r="AA90" s="3157" t="e">
        <f t="shared" si="34"/>
        <v>#REF!</v>
      </c>
      <c r="AB90" s="144"/>
      <c r="AC90" s="2867"/>
      <c r="AD90" s="2867"/>
      <c r="AE90" s="2867"/>
      <c r="AF90" s="2867"/>
      <c r="AG90" s="2867"/>
      <c r="AH90" s="2867"/>
      <c r="AI90" s="2825"/>
      <c r="AJ90" s="1"/>
      <c r="AK90" s="1"/>
      <c r="AL90" s="1"/>
      <c r="AM90" s="1"/>
      <c r="AN90" s="1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3157" t="e">
        <f t="shared" si="34"/>
        <v>#REF!</v>
      </c>
      <c r="V91" s="3157" t="e">
        <f t="shared" si="34"/>
        <v>#REF!</v>
      </c>
      <c r="W91" s="3157" t="e">
        <f t="shared" si="34"/>
        <v>#REF!</v>
      </c>
      <c r="X91" s="3157" t="e">
        <f t="shared" si="34"/>
        <v>#REF!</v>
      </c>
      <c r="Y91" s="3157" t="e">
        <f t="shared" si="34"/>
        <v>#REF!</v>
      </c>
      <c r="Z91" s="3157" t="e">
        <f t="shared" si="34"/>
        <v>#REF!</v>
      </c>
      <c r="AA91" s="3157" t="e">
        <f t="shared" si="34"/>
        <v>#REF!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3157" t="e">
        <f t="shared" si="34"/>
        <v>#REF!</v>
      </c>
      <c r="V92" s="3157" t="e">
        <f t="shared" si="34"/>
        <v>#REF!</v>
      </c>
      <c r="W92" s="3157" t="e">
        <f t="shared" si="34"/>
        <v>#REF!</v>
      </c>
      <c r="X92" s="3157" t="e">
        <f t="shared" si="34"/>
        <v>#REF!</v>
      </c>
      <c r="Y92" s="3157" t="e">
        <f t="shared" si="34"/>
        <v>#REF!</v>
      </c>
      <c r="Z92" s="3157" t="e">
        <f t="shared" si="34"/>
        <v>#REF!</v>
      </c>
      <c r="AA92" s="3157" t="e">
        <f t="shared" si="34"/>
        <v>#REF!</v>
      </c>
      <c r="AB92" s="144"/>
      <c r="AC92" s="2867">
        <v>0</v>
      </c>
      <c r="AD92" s="2867">
        <v>0</v>
      </c>
      <c r="AE92" s="2867">
        <v>0</v>
      </c>
      <c r="AF92" s="2867">
        <v>0</v>
      </c>
      <c r="AG92" s="2867">
        <v>0</v>
      </c>
      <c r="AH92" s="2867">
        <v>0</v>
      </c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3157" t="e">
        <f t="shared" si="34"/>
        <v>#REF!</v>
      </c>
      <c r="V93" s="3157" t="e">
        <f t="shared" si="34"/>
        <v>#REF!</v>
      </c>
      <c r="W93" s="3157" t="e">
        <f t="shared" si="34"/>
        <v>#REF!</v>
      </c>
      <c r="X93" s="3157" t="e">
        <f t="shared" si="34"/>
        <v>#REF!</v>
      </c>
      <c r="Y93" s="3157" t="e">
        <f t="shared" si="34"/>
        <v>#REF!</v>
      </c>
      <c r="Z93" s="3157" t="e">
        <f t="shared" si="34"/>
        <v>#REF!</v>
      </c>
      <c r="AA93" s="3157" t="e">
        <f t="shared" si="34"/>
        <v>#REF!</v>
      </c>
      <c r="AB93" s="144"/>
      <c r="AC93" s="2867">
        <v>0</v>
      </c>
      <c r="AD93" s="2867">
        <v>0</v>
      </c>
      <c r="AE93" s="2867">
        <v>0</v>
      </c>
      <c r="AF93" s="2867">
        <v>0</v>
      </c>
      <c r="AG93" s="2867">
        <v>0</v>
      </c>
      <c r="AH93" s="2867">
        <v>0</v>
      </c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3158" t="e">
        <f>IF(U93&gt;0,U93,U92)</f>
        <v>#REF!</v>
      </c>
      <c r="V94" s="3158" t="e">
        <f t="shared" si="34"/>
        <v>#REF!</v>
      </c>
      <c r="W94" s="3158" t="e">
        <f t="shared" si="34"/>
        <v>#REF!</v>
      </c>
      <c r="X94" s="3158" t="e">
        <f t="shared" si="34"/>
        <v>#REF!</v>
      </c>
      <c r="Y94" s="3158" t="e">
        <f t="shared" si="34"/>
        <v>#REF!</v>
      </c>
      <c r="Z94" s="3158" t="e">
        <f t="shared" si="34"/>
        <v>#REF!</v>
      </c>
      <c r="AA94" s="3158" t="e">
        <f t="shared" si="34"/>
        <v>#REF!</v>
      </c>
      <c r="AB94" s="144"/>
      <c r="AC94" s="2867"/>
      <c r="AD94" s="2867"/>
      <c r="AE94" s="2867"/>
      <c r="AF94" s="2867"/>
      <c r="AG94" s="2867"/>
      <c r="AH94" s="2867"/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2838"/>
      <c r="V95" s="2838"/>
      <c r="W95" s="2838"/>
      <c r="X95" s="2838"/>
      <c r="Y95" s="2838"/>
      <c r="Z95" s="2838"/>
      <c r="AA95" s="2838"/>
      <c r="AB95" s="144"/>
      <c r="AC95" s="2867"/>
      <c r="AD95" s="2867"/>
      <c r="AE95" s="2867"/>
      <c r="AF95" s="2867"/>
      <c r="AG95" s="2867"/>
      <c r="AH95" s="2867"/>
      <c r="AI95" s="282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2838"/>
      <c r="V96" s="2838"/>
      <c r="W96" s="2838"/>
      <c r="X96" s="2838"/>
      <c r="Y96" s="2838"/>
      <c r="Z96" s="2838"/>
      <c r="AA96" s="2838"/>
      <c r="AB96" s="144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2838"/>
      <c r="V97" s="2838"/>
      <c r="W97" s="2838"/>
      <c r="X97" s="2838"/>
      <c r="Y97" s="2838"/>
      <c r="Z97" s="2838"/>
      <c r="AA97" s="2838"/>
      <c r="AB97" s="144"/>
      <c r="AC97" s="2867"/>
      <c r="AD97" s="2867"/>
      <c r="AE97" s="2867"/>
      <c r="AF97" s="2867"/>
      <c r="AG97" s="2867"/>
      <c r="AH97" s="2867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2838"/>
      <c r="V98" s="2838"/>
      <c r="W98" s="2838"/>
      <c r="X98" s="2838"/>
      <c r="Y98" s="2838"/>
      <c r="Z98" s="2838"/>
      <c r="AA98" s="2838"/>
      <c r="AB98" s="144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2838"/>
      <c r="V99" s="2838"/>
      <c r="W99" s="2838"/>
      <c r="X99" s="2838"/>
      <c r="Y99" s="2838"/>
      <c r="Z99" s="2838"/>
      <c r="AA99" s="2838"/>
      <c r="AB99" s="144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2838"/>
      <c r="V100" s="2838"/>
      <c r="W100" s="2838"/>
      <c r="X100" s="2838"/>
      <c r="Y100" s="2838"/>
      <c r="Z100" s="2838"/>
      <c r="AA100" s="2838"/>
      <c r="AB100" s="144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2838"/>
      <c r="V101" s="2838"/>
      <c r="W101" s="2838"/>
      <c r="X101" s="2838"/>
      <c r="Y101" s="2838"/>
      <c r="Z101" s="2838"/>
      <c r="AA101" s="2838"/>
      <c r="AB101" s="144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2838"/>
      <c r="V102" s="2838"/>
      <c r="W102" s="2838"/>
      <c r="X102" s="2838"/>
      <c r="Y102" s="2838"/>
      <c r="Z102" s="2838"/>
      <c r="AA102" s="2838"/>
      <c r="AB102" s="144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2838"/>
      <c r="V103" s="2838"/>
      <c r="W103" s="2838"/>
      <c r="X103" s="2838"/>
      <c r="Y103" s="2838"/>
      <c r="Z103" s="2838"/>
      <c r="AA103" s="2838"/>
      <c r="AB103" s="144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2838"/>
      <c r="V104" s="2838"/>
      <c r="W104" s="2838"/>
      <c r="X104" s="2838"/>
      <c r="Y104" s="2838"/>
      <c r="Z104" s="2838"/>
      <c r="AA104" s="2838"/>
      <c r="AB104" s="144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2838"/>
      <c r="V105" s="2838"/>
      <c r="W105" s="2838"/>
      <c r="X105" s="2838"/>
      <c r="Y105" s="2838"/>
      <c r="Z105" s="2838"/>
      <c r="AA105" s="2838"/>
      <c r="AB105" s="144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2838"/>
      <c r="V106" s="2838"/>
      <c r="W106" s="2838"/>
      <c r="X106" s="2838"/>
      <c r="Y106" s="2838"/>
      <c r="Z106" s="2838"/>
      <c r="AA106" s="2838"/>
      <c r="AB106" s="144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2838"/>
      <c r="V107" s="2838"/>
      <c r="W107" s="2838"/>
      <c r="X107" s="2838"/>
      <c r="Y107" s="2838"/>
      <c r="Z107" s="2838"/>
      <c r="AA107" s="2838"/>
      <c r="AB107" s="144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2838"/>
      <c r="V108" s="2838"/>
      <c r="W108" s="2838"/>
      <c r="X108" s="2838"/>
      <c r="Y108" s="2838"/>
      <c r="Z108" s="2838"/>
      <c r="AA108" s="2838"/>
      <c r="AB108" s="144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2838"/>
      <c r="V109" s="2838"/>
      <c r="W109" s="2838"/>
      <c r="X109" s="2838"/>
      <c r="Y109" s="2838"/>
      <c r="Z109" s="2838"/>
      <c r="AA109" s="2838"/>
      <c r="AB109" s="144"/>
      <c r="AC109" s="2825"/>
      <c r="AD109" s="2825"/>
      <c r="AE109" s="2825"/>
      <c r="AF109" s="2825"/>
      <c r="AG109" s="2825"/>
      <c r="AH109" s="2825"/>
      <c r="AI109" s="2825"/>
      <c r="AJ109" s="2825"/>
      <c r="AK109" s="2825"/>
      <c r="AL109" s="2825"/>
      <c r="AM109" s="2825"/>
      <c r="AN109" s="1"/>
    </row>
    <row r="110" spans="1:40" s="3021" customFormat="1" ht="11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2838"/>
      <c r="V110" s="2838"/>
      <c r="W110" s="2838"/>
      <c r="X110" s="2838"/>
      <c r="Y110" s="2838"/>
      <c r="Z110" s="2838"/>
      <c r="AA110" s="2838"/>
      <c r="AB110" s="144"/>
      <c r="AC110" s="2826"/>
      <c r="AD110" s="2826"/>
      <c r="AE110" s="2826"/>
      <c r="AF110" s="2826"/>
      <c r="AG110" s="2826"/>
      <c r="AH110" s="2826"/>
      <c r="AI110" s="2826"/>
      <c r="AJ110" s="2826"/>
      <c r="AK110" s="2826"/>
      <c r="AL110" s="2826"/>
      <c r="AM110" s="2826"/>
    </row>
    <row r="111" spans="1:40" s="3021" customFormat="1" ht="11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2838"/>
      <c r="V111" s="2838"/>
      <c r="W111" s="2838"/>
      <c r="X111" s="2838"/>
      <c r="Y111" s="2838"/>
      <c r="Z111" s="2838"/>
      <c r="AA111" s="2838"/>
      <c r="AB111" s="144"/>
      <c r="AC111" s="2826"/>
      <c r="AD111" s="2826"/>
      <c r="AE111" s="2826"/>
      <c r="AF111" s="2826"/>
      <c r="AG111" s="2826"/>
      <c r="AH111" s="2826"/>
      <c r="AI111" s="2826"/>
      <c r="AJ111" s="2826"/>
      <c r="AK111" s="2826"/>
      <c r="AL111" s="2826"/>
      <c r="AM111" s="2826"/>
    </row>
    <row r="112" spans="1:40" s="3021" customFormat="1" ht="11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2838"/>
      <c r="V112" s="2838"/>
      <c r="W112" s="2838"/>
      <c r="X112" s="2838"/>
      <c r="Y112" s="2838"/>
      <c r="Z112" s="2838"/>
      <c r="AA112" s="2838"/>
      <c r="AB112" s="144"/>
      <c r="AC112" s="2826"/>
      <c r="AD112" s="2826"/>
      <c r="AE112" s="2826"/>
      <c r="AF112" s="2826"/>
      <c r="AG112" s="2826"/>
      <c r="AH112" s="2826"/>
      <c r="AI112" s="2826"/>
      <c r="AJ112" s="2826"/>
      <c r="AK112" s="2826"/>
      <c r="AL112" s="2826"/>
      <c r="AM112" s="2826"/>
    </row>
    <row r="113" spans="1:39" s="3021" customFormat="1" ht="11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2838"/>
      <c r="V113" s="2838"/>
      <c r="W113" s="2838"/>
      <c r="X113" s="2838"/>
      <c r="Y113" s="2838"/>
      <c r="Z113" s="2838"/>
      <c r="AA113" s="2838"/>
      <c r="AB113" s="144"/>
      <c r="AC113" s="2826"/>
      <c r="AD113" s="2826"/>
      <c r="AE113" s="2826"/>
      <c r="AF113" s="2826"/>
      <c r="AG113" s="2826"/>
      <c r="AH113" s="2826"/>
      <c r="AI113" s="2826"/>
      <c r="AJ113" s="2826"/>
      <c r="AK113" s="2826"/>
      <c r="AL113" s="2826"/>
      <c r="AM113" s="2826"/>
    </row>
    <row r="114" spans="1:39" s="3021" customFormat="1" ht="11">
      <c r="B114" s="144"/>
      <c r="C114" s="143"/>
      <c r="D114" s="907"/>
      <c r="E114" s="143"/>
      <c r="F114" s="145"/>
      <c r="G114" s="146"/>
      <c r="H114" s="146"/>
      <c r="I114" s="146"/>
      <c r="J114" s="146"/>
      <c r="K114" s="146"/>
      <c r="L114" s="146"/>
      <c r="M114" s="458"/>
      <c r="N114" s="145"/>
      <c r="O114" s="146"/>
      <c r="P114" s="146"/>
      <c r="Q114" s="147"/>
      <c r="R114" s="147"/>
      <c r="S114" s="142"/>
      <c r="T114" s="142"/>
      <c r="U114" s="2838"/>
      <c r="V114" s="2838"/>
      <c r="W114" s="2838"/>
      <c r="X114" s="2838"/>
      <c r="Y114" s="2838"/>
      <c r="Z114" s="2838"/>
      <c r="AA114" s="2838"/>
      <c r="AC114" s="2826"/>
      <c r="AD114" s="2826"/>
      <c r="AE114" s="2826"/>
      <c r="AF114" s="2826"/>
      <c r="AG114" s="2826"/>
      <c r="AH114" s="2826"/>
      <c r="AI114" s="2826"/>
      <c r="AJ114" s="2826"/>
      <c r="AK114" s="2826"/>
      <c r="AL114" s="2826"/>
      <c r="AM114" s="2826"/>
    </row>
    <row r="115" spans="1:39" s="3021" customFormat="1" ht="11">
      <c r="B115" s="144"/>
      <c r="C115" s="143"/>
      <c r="D115" s="907"/>
      <c r="E115" s="143"/>
      <c r="F115" s="145"/>
      <c r="G115" s="146"/>
      <c r="H115" s="146"/>
      <c r="I115" s="146"/>
      <c r="J115" s="146"/>
      <c r="K115" s="146"/>
      <c r="L115" s="146"/>
      <c r="M115" s="458"/>
      <c r="N115" s="145"/>
      <c r="O115" s="146"/>
      <c r="P115" s="146"/>
      <c r="Q115" s="147"/>
      <c r="R115" s="147"/>
      <c r="S115" s="142"/>
      <c r="T115" s="142"/>
      <c r="U115" s="2838"/>
      <c r="V115" s="2838"/>
      <c r="W115" s="2838"/>
      <c r="X115" s="2838"/>
      <c r="Y115" s="2838"/>
      <c r="Z115" s="2838"/>
      <c r="AA115" s="2838"/>
      <c r="AC115" s="2826"/>
      <c r="AD115" s="2826"/>
      <c r="AE115" s="2826"/>
      <c r="AF115" s="2826"/>
      <c r="AG115" s="2826"/>
      <c r="AH115" s="2826"/>
      <c r="AI115" s="2826"/>
      <c r="AJ115" s="2826"/>
      <c r="AK115" s="2826"/>
      <c r="AL115" s="2826"/>
      <c r="AM115" s="2826"/>
    </row>
    <row r="116" spans="1:39" s="3021" customFormat="1" ht="11">
      <c r="B116" s="144"/>
      <c r="C116" s="143"/>
      <c r="D116" s="907"/>
      <c r="E116" s="143"/>
      <c r="F116" s="145"/>
      <c r="G116" s="146"/>
      <c r="H116" s="146"/>
      <c r="I116" s="146"/>
      <c r="J116" s="146"/>
      <c r="K116" s="146"/>
      <c r="L116" s="146"/>
      <c r="M116" s="458"/>
      <c r="N116" s="145"/>
      <c r="O116" s="146"/>
      <c r="P116" s="146"/>
      <c r="Q116" s="147"/>
      <c r="R116" s="147"/>
      <c r="S116" s="142"/>
      <c r="T116" s="142"/>
      <c r="U116" s="2838"/>
      <c r="V116" s="2838"/>
      <c r="W116" s="2838"/>
      <c r="X116" s="2838"/>
      <c r="Y116" s="2838"/>
      <c r="Z116" s="2838"/>
      <c r="AA116" s="2838"/>
      <c r="AC116" s="2826"/>
      <c r="AD116" s="2826"/>
      <c r="AE116" s="2826"/>
      <c r="AF116" s="2826"/>
      <c r="AG116" s="2826"/>
      <c r="AH116" s="2826"/>
      <c r="AI116" s="2826"/>
      <c r="AJ116" s="2826"/>
      <c r="AK116" s="2826"/>
      <c r="AL116" s="2826"/>
      <c r="AM116" s="2826"/>
    </row>
    <row r="117" spans="1:39" s="3021" customFormat="1" ht="11">
      <c r="B117" s="144"/>
      <c r="C117" s="143"/>
      <c r="D117" s="907"/>
      <c r="E117" s="143"/>
      <c r="F117" s="145"/>
      <c r="G117" s="146"/>
      <c r="H117" s="146"/>
      <c r="I117" s="146"/>
      <c r="J117" s="146"/>
      <c r="K117" s="146"/>
      <c r="L117" s="146"/>
      <c r="M117" s="458"/>
      <c r="N117" s="145"/>
      <c r="O117" s="146"/>
      <c r="P117" s="146"/>
      <c r="Q117" s="147"/>
      <c r="R117" s="147"/>
      <c r="S117" s="142"/>
      <c r="T117" s="142"/>
      <c r="U117" s="2838"/>
      <c r="V117" s="2838"/>
      <c r="W117" s="2838"/>
      <c r="X117" s="2838"/>
      <c r="Y117" s="2838"/>
      <c r="Z117" s="2838"/>
      <c r="AA117" s="2838"/>
      <c r="AC117" s="2826"/>
      <c r="AD117" s="2826"/>
      <c r="AE117" s="2826"/>
      <c r="AF117" s="2826"/>
      <c r="AG117" s="2826"/>
      <c r="AH117" s="2826"/>
      <c r="AI117" s="2826"/>
      <c r="AJ117" s="2826"/>
      <c r="AK117" s="2826"/>
      <c r="AL117" s="2826"/>
      <c r="AM117" s="2826"/>
    </row>
    <row r="118" spans="1:39" s="3021" customFormat="1" ht="11">
      <c r="B118" s="144"/>
      <c r="C118" s="143"/>
      <c r="D118" s="907"/>
      <c r="E118" s="143"/>
      <c r="F118" s="145"/>
      <c r="G118" s="146"/>
      <c r="H118" s="146"/>
      <c r="I118" s="146"/>
      <c r="J118" s="146"/>
      <c r="K118" s="146"/>
      <c r="L118" s="146"/>
      <c r="M118" s="458"/>
      <c r="N118" s="145"/>
      <c r="O118" s="146"/>
      <c r="P118" s="146"/>
      <c r="Q118" s="147"/>
      <c r="R118" s="147"/>
      <c r="S118" s="142"/>
      <c r="T118" s="142"/>
      <c r="U118" s="146"/>
      <c r="V118" s="146"/>
      <c r="W118" s="146"/>
      <c r="X118" s="146"/>
      <c r="Y118" s="146"/>
      <c r="Z118" s="146"/>
      <c r="AA118" s="146"/>
      <c r="AC118" s="2826"/>
      <c r="AD118" s="2826"/>
      <c r="AE118" s="2826"/>
      <c r="AF118" s="2826"/>
      <c r="AG118" s="2826"/>
      <c r="AH118" s="2826"/>
      <c r="AI118" s="2826"/>
      <c r="AJ118" s="2826"/>
      <c r="AK118" s="2826"/>
      <c r="AL118" s="2826"/>
      <c r="AM118" s="2826"/>
    </row>
    <row r="119" spans="1:39" s="3021" customFormat="1" ht="11">
      <c r="B119" s="144"/>
      <c r="C119" s="143"/>
      <c r="D119" s="907"/>
      <c r="E119" s="143"/>
      <c r="F119" s="145"/>
      <c r="G119" s="146"/>
      <c r="H119" s="146"/>
      <c r="I119" s="146"/>
      <c r="J119" s="146"/>
      <c r="K119" s="146"/>
      <c r="L119" s="146"/>
      <c r="M119" s="458"/>
      <c r="N119" s="145"/>
      <c r="O119" s="146"/>
      <c r="P119" s="146"/>
      <c r="Q119" s="147"/>
      <c r="R119" s="147"/>
      <c r="S119" s="142"/>
      <c r="T119" s="142"/>
      <c r="U119" s="146"/>
      <c r="V119" s="146"/>
      <c r="W119" s="146"/>
      <c r="X119" s="146"/>
      <c r="Y119" s="146"/>
      <c r="Z119" s="146"/>
      <c r="AA119" s="146"/>
      <c r="AC119" s="2826"/>
      <c r="AD119" s="2826"/>
      <c r="AE119" s="2826"/>
      <c r="AF119" s="2826"/>
      <c r="AG119" s="2826"/>
      <c r="AH119" s="2826"/>
      <c r="AI119" s="2826"/>
      <c r="AJ119" s="2826"/>
      <c r="AK119" s="2826"/>
      <c r="AL119" s="2826"/>
      <c r="AM119" s="2826"/>
    </row>
    <row r="120" spans="1:39" s="3021" customFormat="1" ht="11">
      <c r="B120" s="144"/>
      <c r="C120" s="143"/>
      <c r="D120" s="907"/>
      <c r="E120" s="143"/>
      <c r="F120" s="145"/>
      <c r="G120" s="146"/>
      <c r="H120" s="146"/>
      <c r="I120" s="146"/>
      <c r="J120" s="146"/>
      <c r="K120" s="146"/>
      <c r="L120" s="146"/>
      <c r="M120" s="458"/>
      <c r="N120" s="145"/>
      <c r="O120" s="146"/>
      <c r="P120" s="146"/>
      <c r="Q120" s="147"/>
      <c r="R120" s="147"/>
      <c r="S120" s="142"/>
      <c r="T120" s="142"/>
      <c r="U120" s="146"/>
      <c r="V120" s="146"/>
      <c r="W120" s="146"/>
      <c r="X120" s="146"/>
      <c r="Y120" s="146"/>
      <c r="Z120" s="146"/>
      <c r="AA120" s="146"/>
      <c r="AC120" s="2826"/>
      <c r="AD120" s="2826"/>
      <c r="AE120" s="2826"/>
      <c r="AF120" s="2826"/>
      <c r="AG120" s="2826"/>
      <c r="AH120" s="2826"/>
      <c r="AI120" s="2826"/>
      <c r="AJ120" s="2826"/>
      <c r="AK120" s="2826"/>
      <c r="AL120" s="2826"/>
      <c r="AM120" s="2826"/>
    </row>
    <row r="121" spans="1:39" s="3021" customFormat="1" ht="11">
      <c r="B121" s="144"/>
      <c r="C121" s="143"/>
      <c r="D121" s="907"/>
      <c r="E121" s="143"/>
      <c r="F121" s="145"/>
      <c r="G121" s="146"/>
      <c r="H121" s="146"/>
      <c r="I121" s="146"/>
      <c r="J121" s="146"/>
      <c r="K121" s="146"/>
      <c r="L121" s="146"/>
      <c r="M121" s="458"/>
      <c r="N121" s="145"/>
      <c r="O121" s="146"/>
      <c r="P121" s="146"/>
      <c r="Q121" s="147"/>
      <c r="R121" s="147"/>
      <c r="S121" s="142"/>
      <c r="T121" s="142"/>
      <c r="U121" s="146"/>
      <c r="V121" s="146"/>
      <c r="W121" s="146"/>
      <c r="X121" s="146"/>
      <c r="Y121" s="146"/>
      <c r="Z121" s="146"/>
      <c r="AA121" s="146"/>
      <c r="AC121" s="2826"/>
      <c r="AD121" s="2826"/>
      <c r="AE121" s="2826"/>
      <c r="AF121" s="2826"/>
      <c r="AG121" s="2826"/>
      <c r="AH121" s="2826"/>
      <c r="AI121" s="2826"/>
      <c r="AJ121" s="2826"/>
      <c r="AK121" s="2826"/>
      <c r="AL121" s="2826"/>
      <c r="AM121" s="2826"/>
    </row>
    <row r="122" spans="1:39" s="3021" customFormat="1" ht="11">
      <c r="B122" s="144"/>
      <c r="C122" s="143"/>
      <c r="D122" s="907"/>
      <c r="E122" s="143"/>
      <c r="F122" s="145"/>
      <c r="G122" s="146"/>
      <c r="H122" s="146"/>
      <c r="I122" s="146"/>
      <c r="J122" s="146"/>
      <c r="K122" s="146"/>
      <c r="L122" s="146"/>
      <c r="M122" s="458"/>
      <c r="N122" s="145"/>
      <c r="O122" s="146"/>
      <c r="P122" s="146"/>
      <c r="Q122" s="147"/>
      <c r="R122" s="147"/>
      <c r="S122" s="142"/>
      <c r="T122" s="142"/>
      <c r="U122" s="146"/>
      <c r="V122" s="146"/>
      <c r="W122" s="146"/>
      <c r="X122" s="146"/>
      <c r="Y122" s="146"/>
      <c r="Z122" s="146"/>
      <c r="AA122" s="146"/>
      <c r="AC122" s="2826"/>
      <c r="AD122" s="2826"/>
      <c r="AE122" s="2826"/>
      <c r="AF122" s="2826"/>
      <c r="AG122" s="2826"/>
      <c r="AH122" s="2826"/>
      <c r="AI122" s="2826"/>
      <c r="AJ122" s="2826"/>
      <c r="AK122" s="2826"/>
      <c r="AL122" s="2826"/>
      <c r="AM122" s="2826"/>
    </row>
    <row r="123" spans="1:39" s="3021" customFormat="1" ht="11">
      <c r="B123" s="144"/>
      <c r="C123" s="143"/>
      <c r="D123" s="907"/>
      <c r="E123" s="143"/>
      <c r="F123" s="145"/>
      <c r="G123" s="146"/>
      <c r="H123" s="146"/>
      <c r="I123" s="146"/>
      <c r="J123" s="146"/>
      <c r="K123" s="146"/>
      <c r="L123" s="146"/>
      <c r="M123" s="458"/>
      <c r="N123" s="145"/>
      <c r="O123" s="146"/>
      <c r="P123" s="146"/>
      <c r="Q123" s="147"/>
      <c r="R123" s="147"/>
      <c r="S123" s="142"/>
      <c r="T123" s="142"/>
      <c r="U123" s="146"/>
      <c r="V123" s="146"/>
      <c r="W123" s="146"/>
      <c r="X123" s="146"/>
      <c r="Y123" s="146"/>
      <c r="Z123" s="146"/>
      <c r="AA123" s="146"/>
      <c r="AC123" s="2826"/>
      <c r="AD123" s="2826"/>
      <c r="AE123" s="2826"/>
      <c r="AF123" s="2826"/>
      <c r="AG123" s="2826"/>
      <c r="AH123" s="2826"/>
      <c r="AI123" s="2826"/>
      <c r="AJ123" s="2826"/>
      <c r="AK123" s="2826"/>
      <c r="AL123" s="2826"/>
      <c r="AM123" s="2826"/>
    </row>
    <row r="124" spans="1:39" s="3021" customFormat="1" ht="11">
      <c r="B124" s="144"/>
      <c r="C124" s="143"/>
      <c r="D124" s="907"/>
      <c r="E124" s="143"/>
      <c r="F124" s="145"/>
      <c r="G124" s="146"/>
      <c r="H124" s="146"/>
      <c r="I124" s="146"/>
      <c r="J124" s="146"/>
      <c r="K124" s="146"/>
      <c r="L124" s="146"/>
      <c r="M124" s="458"/>
      <c r="N124" s="145"/>
      <c r="O124" s="146"/>
      <c r="P124" s="146"/>
      <c r="Q124" s="147"/>
      <c r="R124" s="147"/>
      <c r="S124" s="142"/>
      <c r="T124" s="142"/>
      <c r="U124" s="146"/>
      <c r="V124" s="146"/>
      <c r="W124" s="146"/>
      <c r="X124" s="146"/>
      <c r="Y124" s="146"/>
      <c r="Z124" s="146"/>
      <c r="AA124" s="146"/>
      <c r="AC124" s="2826"/>
      <c r="AD124" s="2826"/>
      <c r="AE124" s="2826"/>
      <c r="AF124" s="2826"/>
      <c r="AG124" s="2826"/>
      <c r="AH124" s="2826"/>
      <c r="AI124" s="2826"/>
      <c r="AJ124" s="2826"/>
      <c r="AK124" s="2826"/>
      <c r="AL124" s="2826"/>
      <c r="AM124" s="2826"/>
    </row>
    <row r="125" spans="1:39" s="3021" customFormat="1" ht="11">
      <c r="B125" s="144"/>
      <c r="C125" s="143"/>
      <c r="D125" s="907"/>
      <c r="E125" s="143"/>
      <c r="F125" s="145"/>
      <c r="G125" s="146"/>
      <c r="H125" s="146"/>
      <c r="I125" s="146"/>
      <c r="J125" s="146"/>
      <c r="K125" s="146"/>
      <c r="L125" s="146"/>
      <c r="M125" s="458"/>
      <c r="N125" s="145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C125" s="2826"/>
      <c r="AD125" s="2826"/>
      <c r="AE125" s="2826"/>
      <c r="AF125" s="2826"/>
      <c r="AG125" s="2826"/>
      <c r="AH125" s="2826"/>
      <c r="AI125" s="2826"/>
      <c r="AJ125" s="2826"/>
      <c r="AK125" s="2826"/>
      <c r="AL125" s="2826"/>
      <c r="AM125" s="2826"/>
    </row>
    <row r="126" spans="1:39" s="3021" customFormat="1" ht="11">
      <c r="B126" s="144"/>
      <c r="C126" s="143"/>
      <c r="D126" s="907"/>
      <c r="E126" s="143"/>
      <c r="F126" s="145"/>
      <c r="G126" s="146"/>
      <c r="H126" s="146"/>
      <c r="I126" s="146"/>
      <c r="J126" s="146"/>
      <c r="K126" s="146"/>
      <c r="L126" s="146"/>
      <c r="M126" s="458"/>
      <c r="N126" s="145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C126" s="2826"/>
      <c r="AD126" s="2826"/>
      <c r="AE126" s="2826"/>
      <c r="AF126" s="2826"/>
      <c r="AG126" s="2826"/>
      <c r="AH126" s="2826"/>
      <c r="AI126" s="2826"/>
      <c r="AJ126" s="2826"/>
      <c r="AK126" s="2826"/>
      <c r="AL126" s="2826"/>
      <c r="AM126" s="2826"/>
    </row>
    <row r="127" spans="1:39" s="3021" customFormat="1" ht="11">
      <c r="B127" s="144"/>
      <c r="C127" s="143"/>
      <c r="D127" s="907"/>
      <c r="E127" s="143"/>
      <c r="F127" s="145"/>
      <c r="G127" s="146"/>
      <c r="H127" s="146"/>
      <c r="I127" s="146"/>
      <c r="J127" s="146"/>
      <c r="K127" s="146"/>
      <c r="L127" s="146"/>
      <c r="M127" s="458"/>
      <c r="N127" s="145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C127" s="2826"/>
      <c r="AD127" s="2826"/>
      <c r="AE127" s="2826"/>
      <c r="AF127" s="2826"/>
      <c r="AG127" s="2826"/>
      <c r="AH127" s="2826"/>
      <c r="AI127" s="2826"/>
      <c r="AJ127" s="2826"/>
      <c r="AK127" s="2826"/>
      <c r="AL127" s="2826"/>
      <c r="AM127" s="2826"/>
    </row>
    <row r="128" spans="1:39" s="3021" customFormat="1" ht="11">
      <c r="B128" s="144"/>
      <c r="C128" s="143"/>
      <c r="D128" s="907"/>
      <c r="E128" s="143"/>
      <c r="F128" s="145"/>
      <c r="G128" s="146"/>
      <c r="H128" s="146"/>
      <c r="I128" s="146"/>
      <c r="J128" s="146"/>
      <c r="K128" s="146"/>
      <c r="L128" s="146"/>
      <c r="M128" s="458"/>
      <c r="N128" s="145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C128" s="2826"/>
      <c r="AD128" s="2826"/>
      <c r="AE128" s="2826"/>
      <c r="AF128" s="2826"/>
      <c r="AG128" s="2826"/>
      <c r="AH128" s="2826"/>
      <c r="AI128" s="2826"/>
      <c r="AJ128" s="2826"/>
      <c r="AK128" s="2826"/>
      <c r="AL128" s="2826"/>
      <c r="AM128" s="2826"/>
    </row>
    <row r="129" spans="2:39" s="3021" customFormat="1" ht="11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146"/>
      <c r="M129" s="458"/>
      <c r="N129" s="145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C129" s="2826"/>
      <c r="AD129" s="2826"/>
      <c r="AE129" s="2826"/>
      <c r="AF129" s="2826"/>
      <c r="AG129" s="2826"/>
      <c r="AH129" s="2826"/>
      <c r="AI129" s="2826"/>
      <c r="AJ129" s="2826"/>
      <c r="AK129" s="2826"/>
      <c r="AL129" s="2826"/>
      <c r="AM129" s="2826"/>
    </row>
    <row r="130" spans="2:39" s="3021" customFormat="1" ht="11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146"/>
      <c r="M130" s="458"/>
      <c r="N130" s="145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C130" s="2826"/>
      <c r="AD130" s="2826"/>
      <c r="AE130" s="2826"/>
      <c r="AF130" s="2826"/>
      <c r="AG130" s="2826"/>
      <c r="AH130" s="2826"/>
      <c r="AI130" s="2826"/>
      <c r="AJ130" s="2826"/>
      <c r="AK130" s="2826"/>
      <c r="AL130" s="2826"/>
      <c r="AM130" s="2826"/>
    </row>
    <row r="131" spans="2:39" s="3021" customFormat="1" ht="11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146"/>
      <c r="M131" s="458"/>
      <c r="N131" s="145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C131" s="2826"/>
      <c r="AD131" s="2826"/>
      <c r="AE131" s="2826"/>
      <c r="AF131" s="2826"/>
      <c r="AG131" s="2826"/>
      <c r="AH131" s="2826"/>
      <c r="AI131" s="2826"/>
      <c r="AJ131" s="2826"/>
      <c r="AK131" s="2826"/>
      <c r="AL131" s="2826"/>
      <c r="AM131" s="2826"/>
    </row>
    <row r="132" spans="2:39" s="3021" customFormat="1" ht="11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146"/>
      <c r="M132" s="458"/>
      <c r="N132" s="145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C132" s="2826"/>
      <c r="AD132" s="2826"/>
      <c r="AE132" s="2826"/>
      <c r="AF132" s="2826"/>
      <c r="AG132" s="2826"/>
      <c r="AH132" s="2826"/>
      <c r="AI132" s="2826"/>
      <c r="AJ132" s="2826"/>
      <c r="AK132" s="2826"/>
      <c r="AL132" s="2826"/>
      <c r="AM132" s="2826"/>
    </row>
    <row r="133" spans="2:39" s="3021" customFormat="1" ht="11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146"/>
      <c r="M133" s="458"/>
      <c r="N133" s="145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826"/>
      <c r="AD133" s="2826"/>
      <c r="AE133" s="2826"/>
      <c r="AF133" s="2826"/>
      <c r="AG133" s="2826"/>
      <c r="AH133" s="2826"/>
      <c r="AI133" s="2826"/>
      <c r="AJ133" s="2826"/>
      <c r="AK133" s="2826"/>
      <c r="AL133" s="2826"/>
      <c r="AM133" s="2826"/>
    </row>
    <row r="134" spans="2:39" s="3021" customFormat="1" ht="1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146"/>
      <c r="M134" s="458"/>
      <c r="N134" s="145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826"/>
      <c r="AD134" s="2826"/>
      <c r="AE134" s="2826"/>
      <c r="AF134" s="2826"/>
      <c r="AG134" s="2826"/>
      <c r="AH134" s="2826"/>
      <c r="AI134" s="2826"/>
      <c r="AJ134" s="2826"/>
      <c r="AK134" s="2826"/>
      <c r="AL134" s="2826"/>
      <c r="AM134" s="2826"/>
    </row>
    <row r="135" spans="2:39" s="3021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146"/>
      <c r="M135" s="458"/>
      <c r="N135" s="145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826"/>
      <c r="AD135" s="2826"/>
      <c r="AE135" s="2826"/>
      <c r="AF135" s="2826"/>
      <c r="AG135" s="2826"/>
      <c r="AH135" s="2826"/>
      <c r="AI135" s="2826"/>
      <c r="AJ135" s="2826"/>
      <c r="AK135" s="2826"/>
      <c r="AL135" s="2826"/>
      <c r="AM135" s="2826"/>
    </row>
    <row r="136" spans="2:39" s="3021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146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826"/>
      <c r="AD136" s="2826"/>
      <c r="AE136" s="2826"/>
      <c r="AF136" s="2826"/>
      <c r="AG136" s="2826"/>
      <c r="AH136" s="2826"/>
      <c r="AI136" s="2826"/>
      <c r="AJ136" s="2826"/>
      <c r="AK136" s="2826"/>
      <c r="AL136" s="2826"/>
      <c r="AM136" s="2826"/>
    </row>
    <row r="137" spans="2:39" s="3021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146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826"/>
      <c r="AD137" s="2826"/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2:39" s="3021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146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826"/>
      <c r="AD138" s="2826"/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2:39" s="3021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146"/>
      <c r="M139" s="458"/>
      <c r="N139" s="145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B139" s="3021">
        <f>SUBTOTAL(9,AB97:AB138)</f>
        <v>0</v>
      </c>
      <c r="AC139" s="2826">
        <f>SUBTOTAL(9,AC97:AC138)</f>
        <v>0</v>
      </c>
      <c r="AD139" s="2826">
        <f>SUBTOTAL(9,AD97:AD138)</f>
        <v>0</v>
      </c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2:39" s="3021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B140" s="3021">
        <v>0</v>
      </c>
      <c r="AC140" s="2826">
        <v>0</v>
      </c>
      <c r="AD140" s="2826">
        <v>0</v>
      </c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2:39" s="3021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B141" s="3021">
        <v>0</v>
      </c>
      <c r="AC141" s="2826">
        <v>0</v>
      </c>
      <c r="AD141" s="2826">
        <v>0</v>
      </c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2:39" s="3021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B142" s="3021">
        <v>0</v>
      </c>
      <c r="AC142" s="2826">
        <v>0</v>
      </c>
      <c r="AD142" s="2826">
        <v>0</v>
      </c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2:39" s="3021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B143" s="3021">
        <v>0</v>
      </c>
      <c r="AC143" s="2826">
        <v>0</v>
      </c>
      <c r="AD143" s="2826">
        <v>0</v>
      </c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2:39" s="3021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B144" s="3021">
        <v>0</v>
      </c>
      <c r="AC144" s="2826">
        <v>0</v>
      </c>
      <c r="AD144" s="2826">
        <v>0</v>
      </c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41" s="3021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B145" s="3021">
        <v>0</v>
      </c>
      <c r="AC145" s="2826">
        <v>0</v>
      </c>
      <c r="AD145" s="2826">
        <v>0</v>
      </c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41" s="3021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B146" s="3021">
        <v>0</v>
      </c>
      <c r="AC146" s="2826">
        <v>0</v>
      </c>
      <c r="AD146" s="2826">
        <v>0</v>
      </c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41" s="3021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B147" s="3021">
        <v>0</v>
      </c>
      <c r="AC147" s="2826">
        <v>0</v>
      </c>
      <c r="AD147" s="2826">
        <v>0</v>
      </c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41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B148" s="3021">
        <v>0</v>
      </c>
      <c r="AC148" s="2826">
        <v>0</v>
      </c>
      <c r="AD148" s="2826">
        <v>0</v>
      </c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41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B149" s="3021">
        <v>0</v>
      </c>
      <c r="AC149" s="2826">
        <v>0</v>
      </c>
      <c r="AD149" s="2826">
        <v>0</v>
      </c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41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>
        <f>SUBTOTAL(9,U108:U149)</f>
        <v>0</v>
      </c>
      <c r="V150" s="146">
        <f t="shared" ref="V150:AA150" si="35">SUBTOTAL(9,V108:V149)</f>
        <v>0</v>
      </c>
      <c r="W150" s="146">
        <f t="shared" si="35"/>
        <v>0</v>
      </c>
      <c r="X150" s="146">
        <f t="shared" si="35"/>
        <v>0</v>
      </c>
      <c r="Y150" s="146">
        <f t="shared" si="35"/>
        <v>0</v>
      </c>
      <c r="Z150" s="146">
        <f t="shared" si="35"/>
        <v>0</v>
      </c>
      <c r="AA150" s="146">
        <f t="shared" si="35"/>
        <v>0</v>
      </c>
      <c r="AB150" s="3021">
        <v>0</v>
      </c>
      <c r="AC150" s="2826">
        <v>0</v>
      </c>
      <c r="AD150" s="2826">
        <v>0</v>
      </c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41" s="2825" customFormat="1" ht="14" thickBot="1">
      <c r="B151" s="139"/>
      <c r="C151" s="138"/>
      <c r="D151" s="908"/>
      <c r="E151" s="138"/>
      <c r="F151" s="140"/>
      <c r="G151" s="141"/>
      <c r="H151" s="141"/>
      <c r="I151" s="141"/>
      <c r="J151" s="141"/>
      <c r="K151" s="141"/>
      <c r="L151" s="141"/>
      <c r="M151" s="458"/>
      <c r="N151" s="140"/>
      <c r="O151" s="141"/>
      <c r="P151" s="141"/>
      <c r="Q151" s="148"/>
      <c r="R151" s="148"/>
      <c r="S151" s="149"/>
      <c r="T151" s="149"/>
      <c r="U151" s="150"/>
      <c r="V151" s="150"/>
      <c r="W151" s="150"/>
      <c r="X151" s="150"/>
      <c r="Y151" s="150"/>
      <c r="Z151" s="150"/>
      <c r="AA151" s="150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41" s="2825" customFormat="1" ht="15" thickTop="1" thickBot="1">
      <c r="B152" s="139"/>
      <c r="C152" s="138"/>
      <c r="D152" s="908"/>
      <c r="E152" s="138"/>
      <c r="F152" s="140"/>
      <c r="G152" s="141"/>
      <c r="H152" s="141"/>
      <c r="I152" s="141"/>
      <c r="J152" s="141"/>
      <c r="K152" s="141"/>
      <c r="L152" s="141"/>
      <c r="M152" s="458"/>
      <c r="N152" s="140"/>
      <c r="O152" s="141"/>
      <c r="P152" s="141"/>
      <c r="Q152" s="148"/>
      <c r="R152" s="148"/>
      <c r="S152" s="148"/>
      <c r="T152" s="149"/>
      <c r="U152" s="151"/>
      <c r="V152" s="152"/>
      <c r="W152" s="153"/>
      <c r="X152" s="153"/>
      <c r="Y152" s="153"/>
      <c r="Z152" s="153"/>
      <c r="AA152" s="154"/>
      <c r="AB152" s="3022"/>
      <c r="AC152" s="3022"/>
      <c r="AE152" s="2826"/>
      <c r="AF152" s="2826"/>
      <c r="AG152" s="2826"/>
      <c r="AH152" s="2826"/>
      <c r="AI152" s="2826"/>
      <c r="AJ152" s="2826"/>
      <c r="AK152" s="2826"/>
      <c r="AL152" s="2826"/>
      <c r="AM152" s="2826"/>
      <c r="AN152" s="2826"/>
      <c r="AO152" s="2826"/>
    </row>
    <row r="153" spans="2:41" s="3021" customFormat="1" ht="12" thickTop="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41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41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41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41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41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41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41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82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826"/>
      <c r="AD174" s="2826"/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826"/>
      <c r="AD175" s="2826"/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82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39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39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39" s="3021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39" s="3021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39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39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39" s="3021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39" s="3021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39" s="3021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39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39" s="3021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39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39" s="3021" customFormat="1" ht="11">
      <c r="B189" s="3159"/>
      <c r="D189" s="3160"/>
      <c r="F189" s="3023"/>
      <c r="G189" s="3024"/>
      <c r="H189" s="3024"/>
      <c r="I189" s="3024"/>
      <c r="J189" s="3024"/>
      <c r="K189" s="3024"/>
      <c r="L189" s="3024"/>
      <c r="M189" s="3025"/>
      <c r="N189" s="3023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39" s="3021" customFormat="1" ht="11">
      <c r="B190" s="3159"/>
      <c r="D190" s="3160"/>
      <c r="F190" s="3023"/>
      <c r="G190" s="3024"/>
      <c r="H190" s="3024"/>
      <c r="I190" s="3024"/>
      <c r="J190" s="3024"/>
      <c r="K190" s="3024"/>
      <c r="L190" s="3024"/>
      <c r="M190" s="3025"/>
      <c r="N190" s="3023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39" s="3021" customFormat="1" ht="11">
      <c r="B191" s="3159"/>
      <c r="D191" s="3160"/>
      <c r="F191" s="3023"/>
      <c r="G191" s="3024"/>
      <c r="H191" s="3024"/>
      <c r="I191" s="3024"/>
      <c r="J191" s="3024"/>
      <c r="K191" s="3024"/>
      <c r="L191" s="3024"/>
      <c r="M191" s="3025"/>
      <c r="N191" s="3023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39" s="3021" customFormat="1" ht="11">
      <c r="B192" s="3159"/>
      <c r="D192" s="3160"/>
      <c r="F192" s="3023"/>
      <c r="G192" s="3024"/>
      <c r="H192" s="3024"/>
      <c r="I192" s="3024"/>
      <c r="J192" s="3024"/>
      <c r="K192" s="3024"/>
      <c r="L192" s="3024"/>
      <c r="M192" s="3025"/>
      <c r="N192" s="3023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41" s="3021" customFormat="1" ht="11">
      <c r="B193" s="3159"/>
      <c r="D193" s="3160"/>
      <c r="F193" s="3023"/>
      <c r="G193" s="3024"/>
      <c r="H193" s="3024"/>
      <c r="I193" s="3024"/>
      <c r="J193" s="3024"/>
      <c r="K193" s="3024"/>
      <c r="L193" s="3024"/>
      <c r="M193" s="3025"/>
      <c r="N193" s="3023"/>
      <c r="O193" s="146"/>
      <c r="P193" s="146"/>
      <c r="Q193" s="147"/>
      <c r="R193" s="147"/>
      <c r="S193" s="142"/>
      <c r="T193" s="142"/>
      <c r="U193" s="146">
        <f>SUBTOTAL(9,U151:U192)</f>
        <v>0</v>
      </c>
      <c r="V193" s="146">
        <f t="shared" ref="V193:AA193" si="36">SUBTOTAL(9,V151:V192)</f>
        <v>0</v>
      </c>
      <c r="W193" s="146">
        <f t="shared" si="36"/>
        <v>0</v>
      </c>
      <c r="X193" s="146">
        <f t="shared" si="36"/>
        <v>0</v>
      </c>
      <c r="Y193" s="146">
        <f t="shared" si="36"/>
        <v>0</v>
      </c>
      <c r="Z193" s="146">
        <f t="shared" si="36"/>
        <v>0</v>
      </c>
      <c r="AA193" s="146">
        <f t="shared" si="36"/>
        <v>0</v>
      </c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41" s="2825" customFormat="1" ht="14" thickBot="1">
      <c r="B194" s="2935"/>
      <c r="D194" s="3161"/>
      <c r="F194" s="3026"/>
      <c r="G194" s="3027"/>
      <c r="H194" s="3027"/>
      <c r="I194" s="3027"/>
      <c r="J194" s="3027"/>
      <c r="K194" s="3027"/>
      <c r="L194" s="3027"/>
      <c r="M194" s="3025"/>
      <c r="N194" s="3026"/>
      <c r="O194" s="141"/>
      <c r="P194" s="141"/>
      <c r="Q194" s="148"/>
      <c r="R194" s="148"/>
      <c r="S194" s="149"/>
      <c r="T194" s="149"/>
      <c r="U194" s="150"/>
      <c r="V194" s="150"/>
      <c r="W194" s="150"/>
      <c r="X194" s="150"/>
      <c r="Y194" s="150"/>
      <c r="Z194" s="150"/>
      <c r="AA194" s="150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41" s="2825" customFormat="1" ht="15" thickTop="1" thickBot="1">
      <c r="B195" s="2935"/>
      <c r="D195" s="3161"/>
      <c r="F195" s="3026"/>
      <c r="G195" s="3027"/>
      <c r="H195" s="3027"/>
      <c r="I195" s="3027"/>
      <c r="J195" s="3027"/>
      <c r="K195" s="3027"/>
      <c r="L195" s="3027"/>
      <c r="M195" s="3025"/>
      <c r="N195" s="3026"/>
      <c r="O195" s="141"/>
      <c r="P195" s="141"/>
      <c r="Q195" s="148"/>
      <c r="R195" s="148"/>
      <c r="S195" s="148"/>
      <c r="T195" s="148"/>
      <c r="U195" s="151">
        <f>SUBTOTAL(9,U153:U194)</f>
        <v>0</v>
      </c>
      <c r="V195" s="152">
        <f t="shared" ref="V195:AA195" si="37">SUBTOTAL(9,V153:V194)</f>
        <v>0</v>
      </c>
      <c r="W195" s="153">
        <f t="shared" si="37"/>
        <v>0</v>
      </c>
      <c r="X195" s="153">
        <f t="shared" si="37"/>
        <v>0</v>
      </c>
      <c r="Y195" s="153">
        <f t="shared" si="37"/>
        <v>0</v>
      </c>
      <c r="Z195" s="153">
        <f t="shared" si="37"/>
        <v>0</v>
      </c>
      <c r="AA195" s="154">
        <f t="shared" si="37"/>
        <v>0</v>
      </c>
      <c r="AB195" s="3022"/>
      <c r="AC195" s="3022"/>
      <c r="AE195" s="2826"/>
      <c r="AF195" s="2826"/>
      <c r="AG195" s="2826"/>
      <c r="AH195" s="2826"/>
      <c r="AI195" s="2826"/>
      <c r="AJ195" s="2826"/>
      <c r="AK195" s="2826"/>
      <c r="AL195" s="2826"/>
      <c r="AM195" s="2826"/>
      <c r="AN195" s="2826"/>
      <c r="AO195" s="2826"/>
    </row>
    <row r="196" spans="2:41" s="2825" customFormat="1" ht="14" thickTop="1">
      <c r="B196" s="2935"/>
      <c r="D196" s="3161"/>
      <c r="F196" s="3026"/>
      <c r="G196" s="3027"/>
      <c r="H196" s="3027"/>
      <c r="I196" s="3027"/>
      <c r="J196" s="3027"/>
      <c r="K196" s="3027"/>
      <c r="L196" s="3027"/>
      <c r="M196" s="3025"/>
      <c r="N196" s="3026"/>
      <c r="O196" s="141"/>
      <c r="P196" s="141"/>
      <c r="Q196" s="148"/>
      <c r="R196" s="148"/>
      <c r="S196" s="149"/>
      <c r="T196" s="149"/>
      <c r="U196" s="150"/>
      <c r="V196" s="150"/>
      <c r="W196" s="150"/>
      <c r="X196" s="150"/>
      <c r="Y196" s="150"/>
      <c r="Z196" s="150"/>
      <c r="AA196" s="150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41" s="2825" customFormat="1">
      <c r="B197" s="2935"/>
      <c r="D197" s="3161"/>
      <c r="F197" s="3026"/>
      <c r="G197" s="3027"/>
      <c r="H197" s="3027"/>
      <c r="I197" s="3027"/>
      <c r="J197" s="3027"/>
      <c r="K197" s="3027"/>
      <c r="L197" s="3027"/>
      <c r="M197" s="3025"/>
      <c r="N197" s="3026"/>
      <c r="O197" s="141"/>
      <c r="P197" s="141"/>
      <c r="Q197" s="148"/>
      <c r="R197" s="148"/>
      <c r="S197" s="149"/>
      <c r="T197" s="149"/>
      <c r="U197" s="150"/>
      <c r="V197" s="150"/>
      <c r="W197" s="150"/>
      <c r="X197" s="150"/>
      <c r="Y197" s="150"/>
      <c r="Z197" s="150"/>
      <c r="AA197" s="150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41" s="2825" customFormat="1">
      <c r="B198" s="2935"/>
      <c r="D198" s="3161"/>
      <c r="F198" s="3026"/>
      <c r="G198" s="3027"/>
      <c r="H198" s="3027"/>
      <c r="I198" s="3027"/>
      <c r="J198" s="3027"/>
      <c r="K198" s="3027"/>
      <c r="L198" s="3027"/>
      <c r="M198" s="3025"/>
      <c r="N198" s="3026"/>
      <c r="O198" s="141"/>
      <c r="P198" s="141"/>
      <c r="Q198" s="148"/>
      <c r="R198" s="148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41" s="2825" customFormat="1">
      <c r="B199" s="2935"/>
      <c r="D199" s="3161"/>
      <c r="F199" s="3026"/>
      <c r="G199" s="3027"/>
      <c r="H199" s="3027"/>
      <c r="I199" s="3027"/>
      <c r="J199" s="3027"/>
      <c r="K199" s="3027"/>
      <c r="L199" s="3027"/>
      <c r="M199" s="3025"/>
      <c r="N199" s="3026"/>
      <c r="O199" s="141"/>
      <c r="P199" s="141"/>
      <c r="Q199" s="148"/>
      <c r="R199" s="148"/>
      <c r="S199" s="149"/>
      <c r="T199" s="149"/>
      <c r="U199" s="150"/>
      <c r="V199" s="150"/>
      <c r="W199" s="150"/>
      <c r="X199" s="150"/>
      <c r="Y199" s="150"/>
      <c r="Z199" s="150"/>
      <c r="AA199" s="150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41" s="2825" customFormat="1">
      <c r="B200" s="2935"/>
      <c r="D200" s="3161"/>
      <c r="F200" s="3026"/>
      <c r="G200" s="3027"/>
      <c r="H200" s="3027"/>
      <c r="I200" s="3027"/>
      <c r="J200" s="3027"/>
      <c r="K200" s="3027"/>
      <c r="L200" s="3027"/>
      <c r="M200" s="3025"/>
      <c r="N200" s="3026"/>
      <c r="O200" s="141"/>
      <c r="P200" s="141"/>
      <c r="Q200" s="148"/>
      <c r="R200" s="148"/>
      <c r="S200" s="149"/>
      <c r="T200" s="149"/>
      <c r="U200" s="150"/>
      <c r="V200" s="150"/>
      <c r="W200" s="150"/>
      <c r="X200" s="150"/>
      <c r="Y200" s="150"/>
      <c r="Z200" s="150"/>
      <c r="AA200" s="150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41" s="2825" customFormat="1">
      <c r="B201" s="2935"/>
      <c r="D201" s="3161"/>
      <c r="F201" s="3026"/>
      <c r="G201" s="3027"/>
      <c r="H201" s="3027"/>
      <c r="I201" s="3027"/>
      <c r="J201" s="3027"/>
      <c r="K201" s="3027"/>
      <c r="L201" s="3027"/>
      <c r="M201" s="3025"/>
      <c r="N201" s="3026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41" s="2825" customFormat="1">
      <c r="B202" s="2935"/>
      <c r="D202" s="3161"/>
      <c r="F202" s="3026"/>
      <c r="G202" s="3027"/>
      <c r="H202" s="3027"/>
      <c r="I202" s="3027"/>
      <c r="J202" s="3027"/>
      <c r="K202" s="3027"/>
      <c r="L202" s="3027"/>
      <c r="M202" s="3025"/>
      <c r="N202" s="3026"/>
      <c r="O202" s="141"/>
      <c r="P202" s="141"/>
      <c r="Q202" s="148"/>
      <c r="R202" s="148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41" s="2825" customFormat="1">
      <c r="B203" s="2935"/>
      <c r="D203" s="3161"/>
      <c r="F203" s="3026"/>
      <c r="G203" s="3027"/>
      <c r="H203" s="3027"/>
      <c r="I203" s="3027"/>
      <c r="J203" s="3027"/>
      <c r="K203" s="3027"/>
      <c r="L203" s="3027"/>
      <c r="M203" s="3025"/>
      <c r="N203" s="3026"/>
      <c r="O203" s="141"/>
      <c r="P203" s="141"/>
      <c r="Q203" s="148"/>
      <c r="R203" s="148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41" s="2825" customFormat="1">
      <c r="B204" s="2935"/>
      <c r="D204" s="3161"/>
      <c r="F204" s="3026"/>
      <c r="G204" s="3027"/>
      <c r="H204" s="3027"/>
      <c r="I204" s="3027"/>
      <c r="J204" s="3027"/>
      <c r="K204" s="3027"/>
      <c r="L204" s="3027"/>
      <c r="M204" s="3025"/>
      <c r="N204" s="3026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41" s="2825" customFormat="1">
      <c r="B205" s="2935"/>
      <c r="D205" s="3161"/>
      <c r="F205" s="3026"/>
      <c r="G205" s="3027"/>
      <c r="H205" s="3027"/>
      <c r="I205" s="3027"/>
      <c r="J205" s="3027"/>
      <c r="K205" s="3027"/>
      <c r="L205" s="3027"/>
      <c r="M205" s="3025"/>
      <c r="N205" s="3026"/>
      <c r="O205" s="141"/>
      <c r="P205" s="141"/>
      <c r="Q205" s="148"/>
      <c r="R205" s="148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41" s="2825" customFormat="1">
      <c r="B206" s="2935"/>
      <c r="D206" s="3161"/>
      <c r="F206" s="3026"/>
      <c r="G206" s="3027"/>
      <c r="H206" s="3027"/>
      <c r="I206" s="3027"/>
      <c r="J206" s="3027"/>
      <c r="K206" s="3027"/>
      <c r="L206" s="3027"/>
      <c r="M206" s="3025"/>
      <c r="N206" s="3026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41" s="2825" customFormat="1">
      <c r="B207" s="2935"/>
      <c r="D207" s="3161"/>
      <c r="F207" s="3026"/>
      <c r="G207" s="3027"/>
      <c r="H207" s="3027"/>
      <c r="I207" s="3027"/>
      <c r="J207" s="3027"/>
      <c r="K207" s="3027"/>
      <c r="L207" s="3027"/>
      <c r="M207" s="3025"/>
      <c r="N207" s="3026"/>
      <c r="O207" s="141"/>
      <c r="P207" s="141"/>
      <c r="Q207" s="148"/>
      <c r="R207" s="148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41" s="2825" customFormat="1">
      <c r="B208" s="2935"/>
      <c r="D208" s="3161"/>
      <c r="F208" s="3026"/>
      <c r="G208" s="3027"/>
      <c r="H208" s="3027"/>
      <c r="I208" s="3027"/>
      <c r="J208" s="3027"/>
      <c r="K208" s="3027"/>
      <c r="L208" s="3027"/>
      <c r="M208" s="3025"/>
      <c r="N208" s="3026"/>
      <c r="O208" s="141"/>
      <c r="P208" s="141"/>
      <c r="Q208" s="148"/>
      <c r="R208" s="148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39" s="2825" customFormat="1">
      <c r="B209" s="2935"/>
      <c r="D209" s="3161"/>
      <c r="F209" s="3026"/>
      <c r="G209" s="3027"/>
      <c r="H209" s="3027"/>
      <c r="I209" s="3027"/>
      <c r="J209" s="3027"/>
      <c r="K209" s="3027"/>
      <c r="L209" s="3027"/>
      <c r="M209" s="3025"/>
      <c r="N209" s="3026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39" s="2825" customFormat="1">
      <c r="B210" s="2935"/>
      <c r="D210" s="3161"/>
      <c r="F210" s="3026"/>
      <c r="G210" s="3027"/>
      <c r="H210" s="3027"/>
      <c r="I210" s="3027"/>
      <c r="J210" s="3027"/>
      <c r="K210" s="3027"/>
      <c r="L210" s="3027"/>
      <c r="M210" s="3025"/>
      <c r="N210" s="3026"/>
      <c r="O210" s="141"/>
      <c r="P210" s="141"/>
      <c r="Q210" s="148"/>
      <c r="R210" s="148"/>
      <c r="S210" s="149"/>
      <c r="T210" s="149"/>
      <c r="U210" s="150"/>
      <c r="V210" s="150"/>
      <c r="W210" s="150"/>
      <c r="X210" s="150"/>
      <c r="Y210" s="150"/>
      <c r="Z210" s="150"/>
      <c r="AA210" s="150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39" s="2825" customFormat="1">
      <c r="B211" s="2935"/>
      <c r="D211" s="3161"/>
      <c r="F211" s="3026"/>
      <c r="G211" s="3027"/>
      <c r="H211" s="3027"/>
      <c r="I211" s="3027"/>
      <c r="J211" s="3027"/>
      <c r="K211" s="3027"/>
      <c r="L211" s="3027"/>
      <c r="M211" s="3025"/>
      <c r="N211" s="3026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39" s="2825" customFormat="1">
      <c r="B212" s="2935"/>
      <c r="D212" s="3161"/>
      <c r="F212" s="3026"/>
      <c r="G212" s="3027"/>
      <c r="H212" s="3027"/>
      <c r="I212" s="3027"/>
      <c r="J212" s="3027"/>
      <c r="K212" s="3027"/>
      <c r="L212" s="3027"/>
      <c r="M212" s="3025"/>
      <c r="N212" s="3026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39" s="2825" customFormat="1">
      <c r="B213" s="2935"/>
      <c r="D213" s="3161"/>
      <c r="F213" s="3026"/>
      <c r="G213" s="3027"/>
      <c r="H213" s="3027"/>
      <c r="I213" s="3027"/>
      <c r="J213" s="3027"/>
      <c r="K213" s="3027"/>
      <c r="L213" s="3027"/>
      <c r="M213" s="3025"/>
      <c r="N213" s="3026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39" s="2825" customFormat="1">
      <c r="B214" s="2935"/>
      <c r="D214" s="3161"/>
      <c r="F214" s="3026"/>
      <c r="G214" s="3027"/>
      <c r="H214" s="3027"/>
      <c r="I214" s="3027"/>
      <c r="J214" s="3027"/>
      <c r="K214" s="3027"/>
      <c r="L214" s="3027"/>
      <c r="M214" s="3025"/>
      <c r="N214" s="3026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39" s="2825" customFormat="1">
      <c r="B215" s="2935"/>
      <c r="D215" s="3161"/>
      <c r="F215" s="3026"/>
      <c r="G215" s="3027"/>
      <c r="H215" s="3027"/>
      <c r="I215" s="3027"/>
      <c r="J215" s="3027"/>
      <c r="K215" s="3027"/>
      <c r="L215" s="3027"/>
      <c r="M215" s="3025"/>
      <c r="N215" s="3026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39" s="2825" customFormat="1">
      <c r="B216" s="2935"/>
      <c r="D216" s="3161"/>
      <c r="F216" s="3026"/>
      <c r="G216" s="3027"/>
      <c r="H216" s="3027"/>
      <c r="I216" s="3027"/>
      <c r="J216" s="3027"/>
      <c r="K216" s="3027"/>
      <c r="L216" s="3027"/>
      <c r="M216" s="3025"/>
      <c r="N216" s="3026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39" s="2825" customFormat="1">
      <c r="B217" s="2935"/>
      <c r="D217" s="3161"/>
      <c r="F217" s="3026"/>
      <c r="G217" s="3027"/>
      <c r="H217" s="3027"/>
      <c r="I217" s="3027"/>
      <c r="J217" s="3027"/>
      <c r="K217" s="3027"/>
      <c r="L217" s="3027"/>
      <c r="M217" s="3025"/>
      <c r="N217" s="3026"/>
      <c r="O217" s="141"/>
      <c r="P217" s="141"/>
      <c r="Q217" s="148"/>
      <c r="R217" s="148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39" s="2825" customFormat="1">
      <c r="B218" s="2935"/>
      <c r="D218" s="3161"/>
      <c r="F218" s="3026"/>
      <c r="G218" s="3027"/>
      <c r="H218" s="3027"/>
      <c r="I218" s="3027"/>
      <c r="J218" s="3027"/>
      <c r="K218" s="3027"/>
      <c r="L218" s="3027"/>
      <c r="M218" s="3025"/>
      <c r="N218" s="3026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39" s="2825" customFormat="1">
      <c r="B219" s="2935"/>
      <c r="D219" s="3161"/>
      <c r="F219" s="3026"/>
      <c r="G219" s="3027"/>
      <c r="H219" s="3027"/>
      <c r="I219" s="3027"/>
      <c r="J219" s="3027"/>
      <c r="K219" s="3027"/>
      <c r="L219" s="3027"/>
      <c r="M219" s="3025"/>
      <c r="N219" s="3026"/>
      <c r="O219" s="141"/>
      <c r="P219" s="141"/>
      <c r="Q219" s="148"/>
      <c r="R219" s="148"/>
      <c r="S219" s="149"/>
      <c r="T219" s="149"/>
      <c r="U219" s="150"/>
      <c r="V219" s="150"/>
      <c r="W219" s="150"/>
      <c r="X219" s="150"/>
      <c r="Y219" s="150"/>
      <c r="Z219" s="150"/>
      <c r="AA219" s="150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39" s="2825" customFormat="1">
      <c r="B220" s="2935"/>
      <c r="D220" s="3161"/>
      <c r="F220" s="3026"/>
      <c r="G220" s="3027"/>
      <c r="H220" s="3027"/>
      <c r="I220" s="3027"/>
      <c r="J220" s="3027"/>
      <c r="K220" s="3027"/>
      <c r="L220" s="3027"/>
      <c r="M220" s="3025"/>
      <c r="N220" s="3026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39" s="2825" customFormat="1">
      <c r="B221" s="2935"/>
      <c r="D221" s="3161"/>
      <c r="F221" s="3026"/>
      <c r="G221" s="3027"/>
      <c r="H221" s="3027"/>
      <c r="I221" s="3027"/>
      <c r="J221" s="3027"/>
      <c r="K221" s="3027"/>
      <c r="L221" s="3027"/>
      <c r="M221" s="3025"/>
      <c r="N221" s="3026"/>
      <c r="O221" s="141"/>
      <c r="P221" s="141"/>
      <c r="Q221" s="148"/>
      <c r="R221" s="148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39" s="2825" customFormat="1">
      <c r="B222" s="2935"/>
      <c r="D222" s="3161"/>
      <c r="F222" s="3026"/>
      <c r="G222" s="3027"/>
      <c r="H222" s="3027"/>
      <c r="I222" s="3027"/>
      <c r="J222" s="3027"/>
      <c r="K222" s="3027"/>
      <c r="L222" s="3027"/>
      <c r="M222" s="3025"/>
      <c r="N222" s="3026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39" s="2825" customFormat="1">
      <c r="B223" s="2935"/>
      <c r="D223" s="3161"/>
      <c r="F223" s="3026"/>
      <c r="G223" s="3027"/>
      <c r="H223" s="3027"/>
      <c r="I223" s="3027"/>
      <c r="J223" s="3027"/>
      <c r="K223" s="3027"/>
      <c r="L223" s="3027"/>
      <c r="M223" s="3025"/>
      <c r="N223" s="3026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39" s="2825" customFormat="1">
      <c r="B224" s="2935"/>
      <c r="D224" s="3161"/>
      <c r="F224" s="3026"/>
      <c r="G224" s="3027"/>
      <c r="H224" s="3027"/>
      <c r="I224" s="3027"/>
      <c r="J224" s="3027"/>
      <c r="K224" s="3027"/>
      <c r="L224" s="3027"/>
      <c r="M224" s="3025"/>
      <c r="N224" s="3026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1:40" s="2825" customFormat="1">
      <c r="B225" s="2935"/>
      <c r="D225" s="3161"/>
      <c r="F225" s="3026"/>
      <c r="G225" s="3027"/>
      <c r="H225" s="3027"/>
      <c r="I225" s="3027"/>
      <c r="J225" s="3027"/>
      <c r="K225" s="3027"/>
      <c r="L225" s="3027"/>
      <c r="M225" s="3025"/>
      <c r="N225" s="3026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1:40" s="2825" customFormat="1">
      <c r="B226" s="2935"/>
      <c r="D226" s="3161"/>
      <c r="F226" s="3026"/>
      <c r="G226" s="3027"/>
      <c r="H226" s="3027"/>
      <c r="I226" s="3027"/>
      <c r="J226" s="3027"/>
      <c r="K226" s="3027"/>
      <c r="L226" s="3027"/>
      <c r="M226" s="3025"/>
      <c r="N226" s="3026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1:40">
      <c r="A227" s="1"/>
      <c r="O227" s="155"/>
      <c r="P227" s="155"/>
      <c r="Q227" s="1131"/>
      <c r="R227" s="1131"/>
      <c r="S227" s="251"/>
      <c r="T227" s="251"/>
      <c r="U227" s="1132"/>
      <c r="V227" s="1132"/>
      <c r="W227" s="1132"/>
      <c r="X227" s="1132"/>
      <c r="Y227" s="1132"/>
      <c r="Z227" s="1132"/>
      <c r="AA227" s="1132"/>
      <c r="AN227" s="1"/>
    </row>
    <row r="228" spans="1:40">
      <c r="A228" s="1"/>
      <c r="O228" s="155"/>
      <c r="P228" s="155"/>
      <c r="Q228" s="1131"/>
      <c r="R228" s="1131"/>
      <c r="S228" s="251"/>
      <c r="T228" s="251"/>
      <c r="U228" s="1132"/>
      <c r="V228" s="1132"/>
      <c r="W228" s="1132"/>
      <c r="X228" s="1132"/>
      <c r="Y228" s="1132"/>
      <c r="Z228" s="1132"/>
      <c r="AA228" s="1132"/>
      <c r="AN228" s="1"/>
    </row>
    <row r="229" spans="1:40">
      <c r="A229" s="1"/>
      <c r="O229" s="155"/>
      <c r="P229" s="155"/>
      <c r="Q229" s="1131"/>
      <c r="R229" s="1131"/>
      <c r="S229" s="251"/>
      <c r="T229" s="251"/>
      <c r="U229" s="1132"/>
      <c r="V229" s="1132"/>
      <c r="W229" s="1132"/>
      <c r="X229" s="1132"/>
      <c r="Y229" s="1132"/>
      <c r="Z229" s="1132"/>
      <c r="AA229" s="1132"/>
      <c r="AN229" s="1"/>
    </row>
    <row r="230" spans="1:40">
      <c r="A230" s="1"/>
      <c r="O230" s="155"/>
      <c r="P230" s="155"/>
      <c r="Q230" s="1131"/>
      <c r="R230" s="1131"/>
      <c r="S230" s="251"/>
      <c r="T230" s="251"/>
      <c r="U230" s="1132"/>
      <c r="V230" s="1132"/>
      <c r="W230" s="1132"/>
      <c r="X230" s="1132"/>
      <c r="Y230" s="1132"/>
      <c r="Z230" s="1132"/>
      <c r="AA230" s="1132"/>
      <c r="AN230" s="1"/>
    </row>
    <row r="231" spans="1:40">
      <c r="A231" s="1"/>
      <c r="O231" s="155"/>
      <c r="P231" s="155"/>
      <c r="Q231" s="1131"/>
      <c r="R231" s="1131"/>
      <c r="S231" s="251"/>
      <c r="T231" s="251"/>
      <c r="U231" s="1132"/>
      <c r="V231" s="1132"/>
      <c r="W231" s="1132"/>
      <c r="X231" s="1132"/>
      <c r="Y231" s="1132"/>
      <c r="Z231" s="1132"/>
      <c r="AA231" s="1132"/>
      <c r="AN231" s="1"/>
    </row>
    <row r="232" spans="1:40">
      <c r="A232" s="1"/>
      <c r="O232" s="155"/>
      <c r="P232" s="155"/>
      <c r="Q232" s="1131"/>
      <c r="R232" s="1131"/>
      <c r="S232" s="251"/>
      <c r="T232" s="251"/>
      <c r="U232" s="1132"/>
      <c r="V232" s="1132"/>
      <c r="W232" s="1132"/>
      <c r="X232" s="1132"/>
      <c r="Y232" s="1132"/>
      <c r="Z232" s="1132"/>
      <c r="AA232" s="1132"/>
      <c r="AN232" s="1"/>
    </row>
    <row r="233" spans="1:40">
      <c r="A233" s="1"/>
      <c r="O233" s="155"/>
      <c r="P233" s="155"/>
      <c r="Q233" s="1131"/>
      <c r="R233" s="1131"/>
      <c r="S233" s="251"/>
      <c r="T233" s="251"/>
      <c r="U233" s="1132"/>
      <c r="V233" s="1132"/>
      <c r="W233" s="1132"/>
      <c r="X233" s="1132"/>
      <c r="Y233" s="1132"/>
      <c r="Z233" s="1132"/>
      <c r="AA233" s="1132"/>
      <c r="AN233" s="1"/>
    </row>
    <row r="234" spans="1:40">
      <c r="A234" s="1"/>
      <c r="O234" s="155"/>
      <c r="P234" s="155"/>
      <c r="Q234" s="1131"/>
      <c r="R234" s="1131"/>
      <c r="S234" s="251"/>
      <c r="T234" s="251"/>
      <c r="U234" s="1132"/>
      <c r="V234" s="1132"/>
      <c r="W234" s="1132"/>
      <c r="X234" s="1132"/>
      <c r="Y234" s="1132"/>
      <c r="Z234" s="1132"/>
      <c r="AA234" s="1132"/>
      <c r="AN234" s="1"/>
    </row>
    <row r="235" spans="1:40">
      <c r="A235" s="1"/>
      <c r="O235" s="155"/>
      <c r="P235" s="155"/>
      <c r="Q235" s="1131"/>
      <c r="R235" s="1131"/>
      <c r="S235" s="251"/>
      <c r="T235" s="251"/>
      <c r="U235" s="1132"/>
      <c r="V235" s="1132"/>
      <c r="W235" s="1132"/>
      <c r="X235" s="1132"/>
      <c r="Y235" s="1132"/>
      <c r="Z235" s="1132"/>
      <c r="AA235" s="1132"/>
      <c r="AN235" s="1"/>
    </row>
    <row r="236" spans="1:40">
      <c r="A236" s="1"/>
      <c r="B236" s="1"/>
      <c r="D236" s="1"/>
      <c r="F236" s="1"/>
      <c r="G236" s="1"/>
      <c r="H236" s="1"/>
      <c r="I236" s="1"/>
      <c r="J236" s="1"/>
      <c r="K236" s="1"/>
      <c r="L236" s="1"/>
      <c r="M236" s="1"/>
      <c r="N236" s="1"/>
      <c r="O236" s="155"/>
      <c r="P236" s="155"/>
      <c r="Q236" s="1131"/>
      <c r="R236" s="1131"/>
      <c r="S236" s="251"/>
      <c r="T236" s="251"/>
      <c r="U236" s="1132"/>
      <c r="V236" s="1132"/>
      <c r="W236" s="1132"/>
      <c r="X236" s="1132"/>
      <c r="Y236" s="1132"/>
      <c r="Z236" s="1132"/>
      <c r="AA236" s="1132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>
      <c r="A237" s="1"/>
      <c r="B237" s="1"/>
      <c r="D237" s="1"/>
      <c r="F237" s="1"/>
      <c r="G237" s="1"/>
      <c r="H237" s="1"/>
      <c r="I237" s="1"/>
      <c r="J237" s="1"/>
      <c r="K237" s="1"/>
      <c r="L237" s="1"/>
      <c r="M237" s="1"/>
      <c r="N237" s="1"/>
      <c r="O237" s="155"/>
      <c r="P237" s="155"/>
      <c r="Q237" s="1131"/>
      <c r="R237" s="1131"/>
      <c r="S237" s="251"/>
      <c r="T237" s="251"/>
      <c r="U237" s="1132"/>
      <c r="V237" s="1132"/>
      <c r="W237" s="1132"/>
      <c r="X237" s="1132"/>
      <c r="Y237" s="1132"/>
      <c r="Z237" s="1132"/>
      <c r="AA237" s="1132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>
      <c r="A238" s="1"/>
      <c r="B238" s="1"/>
      <c r="D238" s="1"/>
      <c r="F238" s="1"/>
      <c r="G238" s="1"/>
      <c r="H238" s="1"/>
      <c r="I238" s="1"/>
      <c r="J238" s="1"/>
      <c r="K238" s="1"/>
      <c r="L238" s="1"/>
      <c r="M238" s="1"/>
      <c r="N238" s="1"/>
      <c r="O238" s="155"/>
      <c r="P238" s="155"/>
      <c r="Q238" s="1131"/>
      <c r="R238" s="1131"/>
      <c r="S238" s="251"/>
      <c r="T238" s="251"/>
      <c r="U238" s="1132"/>
      <c r="V238" s="1132"/>
      <c r="W238" s="1132"/>
      <c r="X238" s="1132"/>
      <c r="Y238" s="1132"/>
      <c r="Z238" s="1132"/>
      <c r="AA238" s="1132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>
      <c r="A239" s="1"/>
      <c r="B239" s="1"/>
      <c r="D239" s="1"/>
      <c r="F239" s="1"/>
      <c r="G239" s="1"/>
      <c r="H239" s="1"/>
      <c r="I239" s="1"/>
      <c r="J239" s="1"/>
      <c r="K239" s="1"/>
      <c r="L239" s="1"/>
      <c r="M239" s="1"/>
      <c r="N239" s="1"/>
      <c r="O239" s="155"/>
      <c r="P239" s="155"/>
      <c r="Q239" s="1131"/>
      <c r="R239" s="1131"/>
      <c r="S239" s="251"/>
      <c r="T239" s="251"/>
      <c r="U239" s="1132"/>
      <c r="V239" s="1132"/>
      <c r="W239" s="1132"/>
      <c r="X239" s="1132"/>
      <c r="Y239" s="1132"/>
      <c r="Z239" s="1132"/>
      <c r="AA239" s="1132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</sheetData>
  <phoneticPr fontId="21" type="noConversion"/>
  <printOptions horizontalCentered="1" verticalCentered="1"/>
  <pageMargins left="0" right="0" top="0.27559055118110237" bottom="0.55118110236220474" header="0.11811023622047245" footer="0"/>
  <pageSetup paperSize="9" orientation="landscape" horizontalDpi="0" verticalDpi="0"/>
  <headerFooter>
    <oddHeader>&amp;L&amp;A&amp;F&amp;C&amp;D&amp;R&amp;P de &amp;N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84C83-C46C-0D4C-BC56-462357EE974D}">
  <sheetPr codeName="Hoja32"/>
  <dimension ref="A1:AO268"/>
  <sheetViews>
    <sheetView topLeftCell="A45" zoomScale="200" zoomScaleNormal="200" workbookViewId="0">
      <selection activeCell="K55" sqref="K55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33203125" style="1" customWidth="1"/>
    <col min="4" max="4" width="0.83203125" style="3082" customWidth="1"/>
    <col min="5" max="5" width="2.5" style="1" customWidth="1"/>
    <col min="6" max="6" width="3" style="2818" customWidth="1"/>
    <col min="7" max="7" width="5.6640625" style="780" customWidth="1"/>
    <col min="8" max="8" width="6.5" style="780" customWidth="1"/>
    <col min="9" max="10" width="7.33203125" style="780" customWidth="1"/>
    <col min="11" max="11" width="27.6640625" style="780" customWidth="1"/>
    <col min="12" max="12" width="8" style="780" customWidth="1"/>
    <col min="13" max="13" width="1" style="2820" customWidth="1"/>
    <col min="14" max="14" width="9.5" style="2818" customWidth="1"/>
    <col min="15" max="15" width="1" style="780" customWidth="1"/>
    <col min="16" max="16" width="9" style="780" customWidth="1"/>
    <col min="17" max="17" width="9" style="2821" customWidth="1"/>
    <col min="18" max="18" width="7.6640625" style="2821" customWidth="1"/>
    <col min="19" max="19" width="1.33203125" style="2822" customWidth="1"/>
    <col min="20" max="20" width="0.3320312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33203125" style="2823" customWidth="1"/>
    <col min="25" max="25" width="6" style="2823" customWidth="1"/>
    <col min="26" max="27" width="5.3320312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33203125" style="2826" customWidth="1"/>
    <col min="40" max="40" width="11.5" style="2825"/>
    <col min="41" max="16384" width="11.5" style="1"/>
  </cols>
  <sheetData>
    <row r="1" spans="1:40" ht="17.25" customHeight="1" thickBot="1">
      <c r="A1" s="3080" t="s">
        <v>344</v>
      </c>
      <c r="F1" s="527"/>
      <c r="G1" s="155"/>
      <c r="H1" s="155"/>
      <c r="I1" s="155"/>
      <c r="J1" s="3083"/>
      <c r="K1" s="3779">
        <v>45278</v>
      </c>
      <c r="L1" s="6956"/>
      <c r="U1" s="2827" t="s">
        <v>345</v>
      </c>
      <c r="AI1" s="2825"/>
      <c r="AJ1" s="2825"/>
      <c r="AK1" s="2825"/>
      <c r="AL1" s="2825"/>
      <c r="AM1" s="2825"/>
    </row>
    <row r="2" spans="1:40" s="2839" customFormat="1" ht="71.25" customHeight="1" thickTop="1" thickBot="1">
      <c r="A2" s="3084" t="s">
        <v>346</v>
      </c>
      <c r="B2" s="3085" t="s">
        <v>347</v>
      </c>
      <c r="C2" s="3086" t="s">
        <v>348</v>
      </c>
      <c r="D2" s="3087"/>
      <c r="E2" s="4692" t="s">
        <v>349</v>
      </c>
      <c r="F2" s="3088" t="s">
        <v>350</v>
      </c>
      <c r="G2" s="3089" t="s">
        <v>351</v>
      </c>
      <c r="H2" s="3089" t="s">
        <v>624</v>
      </c>
      <c r="I2" s="3089" t="s">
        <v>352</v>
      </c>
      <c r="J2" s="3088" t="s">
        <v>353</v>
      </c>
      <c r="K2" s="3089" t="s">
        <v>354</v>
      </c>
      <c r="L2" s="3089"/>
      <c r="M2" s="3090" t="s">
        <v>355</v>
      </c>
      <c r="N2" s="3089" t="s">
        <v>445</v>
      </c>
      <c r="O2" s="3086" t="s">
        <v>446</v>
      </c>
      <c r="P2" s="3086" t="s">
        <v>447</v>
      </c>
      <c r="Q2" s="3091" t="s">
        <v>448</v>
      </c>
      <c r="R2" s="3092" t="s">
        <v>371</v>
      </c>
      <c r="S2" s="2828" t="s">
        <v>449</v>
      </c>
      <c r="T2" s="2828" t="s">
        <v>450</v>
      </c>
      <c r="U2" s="2829" t="s">
        <v>451</v>
      </c>
      <c r="V2" s="2830" t="s">
        <v>452</v>
      </c>
      <c r="W2" s="2831" t="s">
        <v>453</v>
      </c>
      <c r="X2" s="2832" t="s">
        <v>454</v>
      </c>
      <c r="Y2" s="2833" t="s">
        <v>455</v>
      </c>
      <c r="Z2" s="2834" t="s">
        <v>456</v>
      </c>
      <c r="AA2" s="2835" t="s">
        <v>457</v>
      </c>
      <c r="AB2" s="2836"/>
      <c r="AC2" s="2837"/>
      <c r="AD2" s="2838"/>
      <c r="AE2" s="2838"/>
      <c r="AF2" s="2838"/>
      <c r="AG2" s="2838"/>
      <c r="AH2" s="2838"/>
      <c r="AI2" s="2836"/>
      <c r="AJ2" s="2836"/>
      <c r="AK2" s="2836"/>
      <c r="AL2" s="2836"/>
      <c r="AM2" s="2836"/>
      <c r="AN2" s="2836"/>
    </row>
    <row r="3" spans="1:40" s="2839" customFormat="1" ht="11" customHeight="1" thickBot="1">
      <c r="A3" s="3093"/>
      <c r="B3" s="3912"/>
      <c r="C3" s="3913"/>
      <c r="D3" s="3914"/>
      <c r="E3" s="4693"/>
      <c r="F3" s="3915"/>
      <c r="G3" s="3913"/>
      <c r="H3" s="3913"/>
      <c r="I3" s="3913"/>
      <c r="J3" s="3915"/>
      <c r="K3" s="3913"/>
      <c r="L3" s="3913"/>
      <c r="M3" s="3916"/>
      <c r="N3" s="3913"/>
      <c r="O3" s="3913"/>
      <c r="P3" s="3913"/>
      <c r="Q3" s="3917"/>
      <c r="R3" s="3918"/>
      <c r="S3" s="3919"/>
      <c r="T3" s="3919"/>
      <c r="U3" s="3920">
        <v>9.3287037037037058E-4</v>
      </c>
      <c r="V3" s="4694">
        <v>8.6111111111111121E-4</v>
      </c>
      <c r="W3" s="4694">
        <v>7.8935185185185206E-4</v>
      </c>
      <c r="X3" s="4694">
        <v>7.175925925925927E-4</v>
      </c>
      <c r="Y3" s="4694">
        <v>7.1400462962962975E-4</v>
      </c>
      <c r="Z3" s="4694">
        <v>7.0324074074074082E-4</v>
      </c>
      <c r="AA3" s="4695">
        <v>6.8888888888888895E-4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63" customFormat="1" ht="4.25" customHeight="1" thickBot="1">
      <c r="A4" s="3101"/>
      <c r="B4" s="3923"/>
      <c r="C4" s="4696"/>
      <c r="D4" s="4697"/>
      <c r="E4" s="4696"/>
      <c r="F4" s="4698"/>
      <c r="G4" s="4699"/>
      <c r="H4" s="4699"/>
      <c r="I4" s="4699"/>
      <c r="J4" s="4698"/>
      <c r="K4" s="4699"/>
      <c r="L4" s="6957"/>
      <c r="M4" s="4700"/>
      <c r="N4" s="4701"/>
      <c r="O4" s="4696"/>
      <c r="P4" s="4696"/>
      <c r="Q4" s="4696"/>
      <c r="R4" s="4702"/>
      <c r="S4" s="2842"/>
      <c r="T4" s="2842"/>
      <c r="U4" s="2843">
        <f>U3/4</f>
        <v>2.3321759259259265E-4</v>
      </c>
      <c r="V4" s="2843">
        <f t="shared" ref="V4:AA4" si="0">V3/4</f>
        <v>2.152777777777778E-4</v>
      </c>
      <c r="W4" s="2843">
        <f t="shared" si="0"/>
        <v>1.9733796296296302E-4</v>
      </c>
      <c r="X4" s="2843">
        <f t="shared" si="0"/>
        <v>1.7939814814814817E-4</v>
      </c>
      <c r="Y4" s="2843">
        <f t="shared" si="0"/>
        <v>1.7850115740740744E-4</v>
      </c>
      <c r="Z4" s="2843">
        <f t="shared" si="0"/>
        <v>1.7581018518518521E-4</v>
      </c>
      <c r="AA4" s="2843">
        <f t="shared" si="0"/>
        <v>1.7222222222222224E-4</v>
      </c>
      <c r="AB4" s="2935"/>
      <c r="AC4" s="2936"/>
      <c r="AD4" s="2937"/>
      <c r="AE4" s="2937"/>
      <c r="AF4" s="2937"/>
      <c r="AG4" s="2937"/>
      <c r="AH4" s="2937"/>
      <c r="AI4" s="2935"/>
      <c r="AJ4" s="2935"/>
      <c r="AK4" s="2935"/>
      <c r="AL4" s="2935"/>
      <c r="AM4" s="2935"/>
      <c r="AN4" s="2935"/>
    </row>
    <row r="5" spans="1:40" ht="12" customHeight="1" thickTop="1" thickBot="1">
      <c r="A5" s="3109" t="s">
        <v>214</v>
      </c>
      <c r="B5" s="3110" t="s">
        <v>215</v>
      </c>
      <c r="C5" s="629">
        <f t="shared" ref="C5:C65" si="1">IF(D5=1,U$4,IF(D5=2,V$4,IF(D5=3,W$4,IF(D5=4,X$4,IF(D5=5,Y$4,IF(D5=6,Z$4,IF(D5=7,AA$4,0)))))))</f>
        <v>2.3321759259259265E-4</v>
      </c>
      <c r="D5" s="7100">
        <v>1</v>
      </c>
      <c r="E5" s="7101">
        <v>1</v>
      </c>
      <c r="F5" s="7101">
        <v>4</v>
      </c>
      <c r="G5" s="7101">
        <v>100</v>
      </c>
      <c r="H5" s="7102"/>
      <c r="I5" s="7102">
        <v>1.1574074074074073E-4</v>
      </c>
      <c r="J5" s="7102">
        <v>1.1574074074074073E-4</v>
      </c>
      <c r="K5" s="6969" t="s">
        <v>535</v>
      </c>
      <c r="L5" s="6970">
        <v>0.2951388888888889</v>
      </c>
      <c r="M5" s="7103">
        <v>1</v>
      </c>
      <c r="N5" s="7104">
        <f>P5*E5*F5+I5*E5*F5+J5*E5</f>
        <v>4.310185185185186E-3</v>
      </c>
      <c r="O5" s="6971">
        <f t="shared" ref="O5:O6" si="2">C5*(G5/25)</f>
        <v>9.3287037037037058E-4</v>
      </c>
      <c r="P5" s="6971">
        <f t="shared" ref="P5:P10" si="3">O5*M5</f>
        <v>9.3287037037037058E-4</v>
      </c>
      <c r="Q5" s="6972">
        <v>129</v>
      </c>
      <c r="R5" s="7105">
        <f t="shared" ref="R5:R10" si="4">E5*F5*G5</f>
        <v>400</v>
      </c>
      <c r="S5" s="2844">
        <f t="shared" ref="S5" si="5">E5*F5*G5/1000</f>
        <v>0.4</v>
      </c>
      <c r="T5" s="2845">
        <f t="shared" ref="T5" si="6">E5*F5*O5*4</f>
        <v>1.4925925925925929E-2</v>
      </c>
      <c r="U5" s="374">
        <f t="shared" ref="U5" si="7">IF(C5*4&gt;=$U$3,S5,0)</f>
        <v>0.4</v>
      </c>
      <c r="V5" s="2846">
        <f t="shared" ref="V5" si="8">IF(AND(C5*4&gt;=$V$3,C5*4&lt;$U$3),S5,0)</f>
        <v>0</v>
      </c>
      <c r="W5" s="2847">
        <f t="shared" ref="W5" si="9">IF(AND(C5*4&gt;=$W$3,C5*4&lt;$V$3),S5,0)</f>
        <v>0</v>
      </c>
      <c r="X5" s="2848">
        <f t="shared" ref="X5" si="10">IF(AND(C5*4&gt;=$X$3,C5*4&lt;$W$3),S5,0)</f>
        <v>0</v>
      </c>
      <c r="Y5" s="2849">
        <f t="shared" ref="Y5" si="11">IF(AND(C5*4&gt;=$Y$3,C5*4&lt;$X$3),S5,0)</f>
        <v>0</v>
      </c>
      <c r="Z5" s="2850">
        <f t="shared" ref="Z5" si="12">IF(AND(C5*4&gt;=$Z$3,C5*4&lt;$Y$3),S5,0)</f>
        <v>0</v>
      </c>
      <c r="AA5" s="2851">
        <f t="shared" ref="AA5" si="13">IF(AND(C5*4&gt;=$AA$3,C5*4&lt;$Z$3),S5,0)</f>
        <v>0</v>
      </c>
      <c r="AC5" s="2867"/>
      <c r="AD5" s="2867"/>
      <c r="AE5" s="2867"/>
      <c r="AF5" s="2867"/>
      <c r="AG5" s="2867"/>
      <c r="AH5" s="2867"/>
      <c r="AI5" s="2825"/>
      <c r="AJ5" s="2825"/>
      <c r="AK5" s="2825"/>
      <c r="AL5" s="2825"/>
      <c r="AM5" s="2825"/>
      <c r="AN5" s="1"/>
    </row>
    <row r="6" spans="1:40" ht="12" customHeight="1" thickBot="1">
      <c r="A6" s="3109" t="s">
        <v>459</v>
      </c>
      <c r="B6" s="3110" t="s">
        <v>215</v>
      </c>
      <c r="C6" s="629">
        <f t="shared" si="1"/>
        <v>2.152777777777778E-4</v>
      </c>
      <c r="D6" s="7106">
        <v>2</v>
      </c>
      <c r="E6" s="6973">
        <v>1</v>
      </c>
      <c r="F6" s="6973">
        <v>16</v>
      </c>
      <c r="G6" s="6973">
        <v>50</v>
      </c>
      <c r="H6" s="7107"/>
      <c r="I6" s="7107">
        <v>1.7361111111111112E-4</v>
      </c>
      <c r="J6" s="7107">
        <v>1.3888888888888889E-3</v>
      </c>
      <c r="K6" s="6973" t="s">
        <v>300</v>
      </c>
      <c r="L6" s="6974">
        <f>L5+N5</f>
        <v>0.29944907407407406</v>
      </c>
      <c r="M6" s="7108">
        <v>1.1000000000000001</v>
      </c>
      <c r="N6" s="7107">
        <f>P6*E6*F6+I6*E6*F6+J6*E6</f>
        <v>1.1744444444444446E-2</v>
      </c>
      <c r="O6" s="6975">
        <f t="shared" si="2"/>
        <v>4.3055555555555561E-4</v>
      </c>
      <c r="P6" s="6975">
        <f t="shared" si="3"/>
        <v>4.7361111111111123E-4</v>
      </c>
      <c r="Q6" s="6976">
        <v>165</v>
      </c>
      <c r="R6" s="7109">
        <f t="shared" si="4"/>
        <v>800</v>
      </c>
      <c r="S6" s="2844">
        <f t="shared" ref="S6:S66" si="14">E6*F6*G6/1000</f>
        <v>0.8</v>
      </c>
      <c r="T6" s="2845">
        <f t="shared" ref="T6:T66" si="15">E6*F6*O6*4</f>
        <v>2.7555555555555559E-2</v>
      </c>
      <c r="U6" s="374">
        <f t="shared" ref="U6:U66" si="16">IF(C6*4&gt;=$U$3,S6,0)</f>
        <v>0</v>
      </c>
      <c r="V6" s="2846">
        <f t="shared" ref="V6:V66" si="17">IF(AND(C6*4&gt;=$V$3,C6*4&lt;$U$3),S6,0)</f>
        <v>0.8</v>
      </c>
      <c r="W6" s="2847">
        <f t="shared" ref="W6:W66" si="18">IF(AND(C6*4&gt;=$W$3,C6*4&lt;$V$3),S6,0)</f>
        <v>0</v>
      </c>
      <c r="X6" s="2848">
        <f t="shared" ref="X6:X66" si="19">IF(AND(C6*4&gt;=$X$3,C6*4&lt;$W$3),S6,0)</f>
        <v>0</v>
      </c>
      <c r="Y6" s="2849">
        <f t="shared" ref="Y6:Y66" si="20">IF(AND(C6*4&gt;=$Y$3,C6*4&lt;$X$3),S6,0)</f>
        <v>0</v>
      </c>
      <c r="Z6" s="2850">
        <f t="shared" ref="Z6:Z66" si="21">IF(AND(C6*4&gt;=$Z$3,C6*4&lt;$Y$3),S6,0)</f>
        <v>0</v>
      </c>
      <c r="AA6" s="2851">
        <f t="shared" ref="AA6:AA66" si="22">IF(AND(C6*4&gt;=$AA$3,C6*4&lt;$Z$3),S6,0)</f>
        <v>0</v>
      </c>
      <c r="AC6" s="2867"/>
      <c r="AD6" s="2867"/>
      <c r="AE6" s="2867"/>
      <c r="AF6" s="2867"/>
      <c r="AG6" s="2867"/>
      <c r="AH6" s="2867"/>
      <c r="AI6" s="2825"/>
      <c r="AJ6" s="2825"/>
      <c r="AK6" s="2825"/>
      <c r="AL6" s="2825"/>
      <c r="AM6" s="2825"/>
      <c r="AN6" s="1"/>
    </row>
    <row r="7" spans="1:40" ht="13" customHeight="1" thickBot="1">
      <c r="A7" s="3109" t="s">
        <v>460</v>
      </c>
      <c r="B7" s="3110" t="s">
        <v>215</v>
      </c>
      <c r="C7" s="629">
        <f t="shared" si="1"/>
        <v>1.7581018518518521E-4</v>
      </c>
      <c r="D7" s="7110">
        <v>6</v>
      </c>
      <c r="E7" s="6962">
        <v>1</v>
      </c>
      <c r="F7" s="6962">
        <v>8</v>
      </c>
      <c r="G7" s="6962">
        <v>75</v>
      </c>
      <c r="H7" s="6962" t="s">
        <v>2045</v>
      </c>
      <c r="I7" s="6965">
        <v>1.3888888888888889E-3</v>
      </c>
      <c r="J7" s="6965">
        <v>2.0833333333333333E-3</v>
      </c>
      <c r="K7" s="6962" t="s">
        <v>2462</v>
      </c>
      <c r="L7" s="6966">
        <f>L6+N6</f>
        <v>0.31119351851851851</v>
      </c>
      <c r="M7" s="6967">
        <v>1.1000000000000001</v>
      </c>
      <c r="N7" s="6965">
        <f t="shared" ref="N7:N9" si="23">P7*E7*F7+I7*E7*F7+J7*E7</f>
        <v>1.7928661111111112E-2</v>
      </c>
      <c r="O7" s="6963">
        <f t="shared" ref="O7:O9" si="24">C7*(G7/25)*1.02</f>
        <v>5.3797916666666675E-4</v>
      </c>
      <c r="P7" s="6964">
        <f t="shared" si="3"/>
        <v>5.9177708333333343E-4</v>
      </c>
      <c r="Q7" s="6968">
        <f>P7*75/61</f>
        <v>7.2759477459016406E-4</v>
      </c>
      <c r="R7" s="6962">
        <f t="shared" si="4"/>
        <v>600</v>
      </c>
      <c r="S7" s="2844">
        <f t="shared" si="14"/>
        <v>0.6</v>
      </c>
      <c r="T7" s="2845">
        <f t="shared" si="15"/>
        <v>1.7215333333333336E-2</v>
      </c>
      <c r="U7" s="374">
        <f t="shared" si="16"/>
        <v>0</v>
      </c>
      <c r="V7" s="2846">
        <f t="shared" si="17"/>
        <v>0</v>
      </c>
      <c r="W7" s="2847">
        <f t="shared" si="18"/>
        <v>0</v>
      </c>
      <c r="X7" s="2848">
        <f t="shared" si="19"/>
        <v>0</v>
      </c>
      <c r="Y7" s="2849">
        <f t="shared" si="20"/>
        <v>0</v>
      </c>
      <c r="Z7" s="2850">
        <f t="shared" si="21"/>
        <v>0.6</v>
      </c>
      <c r="AA7" s="2851">
        <f t="shared" si="22"/>
        <v>0</v>
      </c>
      <c r="AC7" s="2867"/>
      <c r="AD7" s="2867"/>
      <c r="AE7" s="2867"/>
      <c r="AF7" s="2867"/>
      <c r="AG7" s="2867"/>
      <c r="AH7" s="2867"/>
      <c r="AI7" s="2825"/>
      <c r="AJ7" s="2825"/>
      <c r="AK7" s="2825"/>
      <c r="AL7" s="2825"/>
      <c r="AM7" s="2825"/>
      <c r="AN7" s="1"/>
    </row>
    <row r="8" spans="1:40" ht="13" customHeight="1" thickBot="1">
      <c r="A8" s="3109" t="s">
        <v>458</v>
      </c>
      <c r="B8" s="3110" t="s">
        <v>215</v>
      </c>
      <c r="C8" s="629">
        <f t="shared" si="1"/>
        <v>1.7581018518518521E-4</v>
      </c>
      <c r="D8" s="7110">
        <v>6</v>
      </c>
      <c r="E8" s="6962">
        <v>1</v>
      </c>
      <c r="F8" s="6962">
        <v>6</v>
      </c>
      <c r="G8" s="6962">
        <v>75</v>
      </c>
      <c r="H8" s="6962" t="s">
        <v>2045</v>
      </c>
      <c r="I8" s="6965">
        <v>1.3888888888888889E-3</v>
      </c>
      <c r="J8" s="6965">
        <v>2.0833333333333333E-3</v>
      </c>
      <c r="K8" s="6962" t="s">
        <v>2462</v>
      </c>
      <c r="L8" s="6966">
        <f t="shared" ref="L8:L9" si="25">L6+N6</f>
        <v>0.31119351851851851</v>
      </c>
      <c r="M8" s="6967">
        <v>1.08</v>
      </c>
      <c r="N8" s="6965">
        <f t="shared" si="23"/>
        <v>1.3902771666666668E-2</v>
      </c>
      <c r="O8" s="6963">
        <f t="shared" si="24"/>
        <v>5.3797916666666675E-4</v>
      </c>
      <c r="P8" s="6964">
        <f t="shared" si="3"/>
        <v>5.8101750000000014E-4</v>
      </c>
      <c r="Q8" s="6968">
        <f t="shared" ref="Q8:Q9" si="26">P8*75/61</f>
        <v>7.143657786885248E-4</v>
      </c>
      <c r="R8" s="6962">
        <f t="shared" si="4"/>
        <v>450</v>
      </c>
      <c r="S8" s="2844">
        <f t="shared" si="14"/>
        <v>0.45</v>
      </c>
      <c r="T8" s="2845">
        <f t="shared" si="15"/>
        <v>1.2911500000000003E-2</v>
      </c>
      <c r="U8" s="374">
        <f t="shared" si="16"/>
        <v>0</v>
      </c>
      <c r="V8" s="2846">
        <f t="shared" si="17"/>
        <v>0</v>
      </c>
      <c r="W8" s="2847">
        <f t="shared" si="18"/>
        <v>0</v>
      </c>
      <c r="X8" s="2848">
        <f t="shared" si="19"/>
        <v>0</v>
      </c>
      <c r="Y8" s="2849">
        <f t="shared" si="20"/>
        <v>0</v>
      </c>
      <c r="Z8" s="2850">
        <f t="shared" si="21"/>
        <v>0.45</v>
      </c>
      <c r="AA8" s="2851">
        <f t="shared" si="22"/>
        <v>0</v>
      </c>
      <c r="AC8" s="2867"/>
      <c r="AD8" s="2867"/>
      <c r="AE8" s="2867"/>
      <c r="AF8" s="2867"/>
      <c r="AG8" s="2867"/>
      <c r="AH8" s="2867"/>
      <c r="AI8" s="2825"/>
      <c r="AJ8" s="2825"/>
      <c r="AK8" s="2825"/>
      <c r="AL8" s="2825"/>
      <c r="AM8" s="2825"/>
      <c r="AN8" s="1"/>
    </row>
    <row r="9" spans="1:40" ht="14" customHeight="1" thickBot="1">
      <c r="A9" s="3109" t="s">
        <v>219</v>
      </c>
      <c r="B9" s="3110" t="s">
        <v>215</v>
      </c>
      <c r="C9" s="629">
        <f t="shared" si="1"/>
        <v>1.7581018518518521E-4</v>
      </c>
      <c r="D9" s="7110">
        <v>6</v>
      </c>
      <c r="E9" s="6962">
        <v>1</v>
      </c>
      <c r="F9" s="6962">
        <v>4</v>
      </c>
      <c r="G9" s="6962">
        <v>75</v>
      </c>
      <c r="H9" s="6962" t="s">
        <v>2045</v>
      </c>
      <c r="I9" s="6965">
        <v>1.3888888888888889E-3</v>
      </c>
      <c r="J9" s="6965">
        <v>2.0833333333333333E-3</v>
      </c>
      <c r="K9" s="6962" t="s">
        <v>2462</v>
      </c>
      <c r="L9" s="6966">
        <f t="shared" si="25"/>
        <v>0.32912217962962964</v>
      </c>
      <c r="M9" s="6967">
        <v>1.06</v>
      </c>
      <c r="N9" s="6965">
        <f t="shared" si="23"/>
        <v>9.9199205555555552E-3</v>
      </c>
      <c r="O9" s="6963">
        <f t="shared" si="24"/>
        <v>5.3797916666666675E-4</v>
      </c>
      <c r="P9" s="6964">
        <f t="shared" si="3"/>
        <v>5.7025791666666674E-4</v>
      </c>
      <c r="Q9" s="6968">
        <f t="shared" si="26"/>
        <v>7.0113678278688532E-4</v>
      </c>
      <c r="R9" s="6962">
        <f t="shared" si="4"/>
        <v>300</v>
      </c>
      <c r="S9" s="2844">
        <f t="shared" si="14"/>
        <v>0.3</v>
      </c>
      <c r="T9" s="2845">
        <f t="shared" si="15"/>
        <v>8.607666666666668E-3</v>
      </c>
      <c r="U9" s="374">
        <f t="shared" si="16"/>
        <v>0</v>
      </c>
      <c r="V9" s="2846">
        <f t="shared" si="17"/>
        <v>0</v>
      </c>
      <c r="W9" s="2847">
        <f t="shared" si="18"/>
        <v>0</v>
      </c>
      <c r="X9" s="2848">
        <f t="shared" si="19"/>
        <v>0</v>
      </c>
      <c r="Y9" s="2849">
        <f t="shared" si="20"/>
        <v>0</v>
      </c>
      <c r="Z9" s="2850">
        <f t="shared" si="21"/>
        <v>0.3</v>
      </c>
      <c r="AA9" s="2851">
        <f t="shared" si="22"/>
        <v>0</v>
      </c>
      <c r="AC9" s="2867"/>
      <c r="AD9" s="2867"/>
      <c r="AE9" s="2867"/>
      <c r="AF9" s="2867"/>
      <c r="AG9" s="2867"/>
      <c r="AH9" s="2867"/>
      <c r="AI9" s="2825"/>
      <c r="AJ9" s="2825"/>
      <c r="AK9" s="2825"/>
      <c r="AL9" s="2825"/>
      <c r="AM9" s="2825"/>
      <c r="AN9" s="1"/>
    </row>
    <row r="10" spans="1:40" ht="13" customHeight="1" thickBot="1">
      <c r="A10" s="3109"/>
      <c r="B10" s="3110" t="s">
        <v>215</v>
      </c>
      <c r="C10" s="629">
        <f t="shared" si="1"/>
        <v>2.152777777777778E-4</v>
      </c>
      <c r="D10" s="7111">
        <v>2</v>
      </c>
      <c r="E10" s="6977">
        <v>1</v>
      </c>
      <c r="F10" s="6977">
        <v>2</v>
      </c>
      <c r="G10" s="6977">
        <v>300</v>
      </c>
      <c r="H10" s="7112"/>
      <c r="I10" s="7112">
        <v>6.3657407407407402E-4</v>
      </c>
      <c r="J10" s="7112">
        <v>1.3888888888888889E-3</v>
      </c>
      <c r="K10" s="6977" t="s">
        <v>1514</v>
      </c>
      <c r="L10" s="6978">
        <f>L8+N8</f>
        <v>0.32509629018518515</v>
      </c>
      <c r="M10" s="7113">
        <v>1.2</v>
      </c>
      <c r="N10" s="7112">
        <f>P10*E10*F10+I10*E10*F10+J10*E10</f>
        <v>8.8620370370370381E-3</v>
      </c>
      <c r="O10" s="6979">
        <f t="shared" ref="O10" si="27">C10*(G10/25)</f>
        <v>2.5833333333333337E-3</v>
      </c>
      <c r="P10" s="6979">
        <f t="shared" si="3"/>
        <v>3.1000000000000003E-3</v>
      </c>
      <c r="Q10" s="6976">
        <v>196</v>
      </c>
      <c r="R10" s="7114">
        <f t="shared" si="4"/>
        <v>600</v>
      </c>
      <c r="S10" s="2844">
        <f t="shared" si="14"/>
        <v>0.6</v>
      </c>
      <c r="T10" s="2845">
        <f t="shared" si="15"/>
        <v>2.066666666666667E-2</v>
      </c>
      <c r="U10" s="374">
        <f t="shared" si="16"/>
        <v>0</v>
      </c>
      <c r="V10" s="2846">
        <f t="shared" si="17"/>
        <v>0.6</v>
      </c>
      <c r="W10" s="2847">
        <f t="shared" si="18"/>
        <v>0</v>
      </c>
      <c r="X10" s="2848">
        <f t="shared" si="19"/>
        <v>0</v>
      </c>
      <c r="Y10" s="2849">
        <f t="shared" si="20"/>
        <v>0</v>
      </c>
      <c r="Z10" s="2850">
        <f t="shared" si="21"/>
        <v>0</v>
      </c>
      <c r="AA10" s="2851">
        <f t="shared" si="22"/>
        <v>0</v>
      </c>
      <c r="AC10" s="2867"/>
      <c r="AD10" s="2867"/>
      <c r="AE10" s="2867"/>
      <c r="AF10" s="2867"/>
      <c r="AG10" s="2867"/>
      <c r="AH10" s="2867"/>
      <c r="AI10" s="2825"/>
      <c r="AJ10" s="2825"/>
      <c r="AK10" s="2825"/>
      <c r="AL10" s="2825"/>
      <c r="AM10" s="2825"/>
      <c r="AN10" s="1"/>
    </row>
    <row r="11" spans="1:40" ht="12" customHeight="1" thickBot="1">
      <c r="A11" s="3109"/>
      <c r="B11" s="3110"/>
      <c r="C11" s="629">
        <f t="shared" si="1"/>
        <v>0</v>
      </c>
      <c r="D11" s="7115"/>
      <c r="E11" s="6980"/>
      <c r="F11" s="6980"/>
      <c r="G11" s="6980"/>
      <c r="H11" s="6980"/>
      <c r="I11" s="6980"/>
      <c r="J11" s="6980"/>
      <c r="K11" s="6980"/>
      <c r="L11" s="6981">
        <f>L10+N10</f>
        <v>0.33395832722222218</v>
      </c>
      <c r="M11" s="6980"/>
      <c r="N11" s="6980"/>
      <c r="O11" s="6980"/>
      <c r="P11" s="6980"/>
      <c r="Q11" s="6980"/>
      <c r="R11" s="6980"/>
      <c r="S11" s="2844">
        <f t="shared" si="14"/>
        <v>0</v>
      </c>
      <c r="T11" s="2845">
        <f t="shared" si="15"/>
        <v>0</v>
      </c>
      <c r="U11" s="374">
        <f t="shared" si="16"/>
        <v>0</v>
      </c>
      <c r="V11" s="2846">
        <f t="shared" si="17"/>
        <v>0</v>
      </c>
      <c r="W11" s="2847">
        <f t="shared" si="18"/>
        <v>0</v>
      </c>
      <c r="X11" s="2848">
        <f t="shared" si="19"/>
        <v>0</v>
      </c>
      <c r="Y11" s="2849">
        <f t="shared" si="20"/>
        <v>0</v>
      </c>
      <c r="Z11" s="2850">
        <f t="shared" si="21"/>
        <v>0</v>
      </c>
      <c r="AA11" s="2851">
        <f t="shared" si="22"/>
        <v>0</v>
      </c>
      <c r="AC11" s="2867"/>
      <c r="AD11" s="2867"/>
      <c r="AE11" s="2867"/>
      <c r="AF11" s="2867"/>
      <c r="AG11" s="2867"/>
      <c r="AH11" s="2867"/>
      <c r="AI11" s="2825"/>
      <c r="AJ11" s="2825"/>
      <c r="AK11" s="2825"/>
      <c r="AL11" s="2825"/>
      <c r="AM11" s="2825"/>
      <c r="AN11" s="1"/>
    </row>
    <row r="12" spans="1:40" ht="17" customHeight="1" thickBot="1">
      <c r="A12" s="3109" t="s">
        <v>214</v>
      </c>
      <c r="B12" s="3110" t="s">
        <v>461</v>
      </c>
      <c r="C12" s="629">
        <f t="shared" si="1"/>
        <v>2.152777777777778E-4</v>
      </c>
      <c r="D12" s="6982">
        <v>2</v>
      </c>
      <c r="E12" s="6982">
        <v>1</v>
      </c>
      <c r="F12" s="6982">
        <v>3</v>
      </c>
      <c r="G12" s="6982">
        <v>200</v>
      </c>
      <c r="H12" s="7890" t="s">
        <v>710</v>
      </c>
      <c r="I12" s="6983">
        <v>2.8935185185185189E-4</v>
      </c>
      <c r="J12" s="6983">
        <v>2.8935185185185189E-4</v>
      </c>
      <c r="K12" s="6982" t="s">
        <v>2451</v>
      </c>
      <c r="L12" s="6983">
        <v>0.79861111111111116</v>
      </c>
      <c r="M12" s="6984">
        <v>1</v>
      </c>
      <c r="N12" s="6983">
        <f t="shared" ref="N12:N17" si="28">P12*E12*F12+I12*F12*E12+J12*E12</f>
        <v>6.3240740740740757E-3</v>
      </c>
      <c r="O12" s="6983">
        <f t="shared" ref="O12:O17" si="29">C12*(G12/25)</f>
        <v>1.7222222222222224E-3</v>
      </c>
      <c r="P12" s="6985">
        <f t="shared" ref="P12:P17" si="30">O12*M12</f>
        <v>1.7222222222222224E-3</v>
      </c>
      <c r="Q12" s="6986">
        <v>144</v>
      </c>
      <c r="R12" s="6987">
        <f t="shared" ref="R12:R17" si="31">E12*F12*G12</f>
        <v>600</v>
      </c>
      <c r="S12" s="2844">
        <f t="shared" si="14"/>
        <v>0.6</v>
      </c>
      <c r="T12" s="2845">
        <f t="shared" si="15"/>
        <v>2.066666666666667E-2</v>
      </c>
      <c r="U12" s="374">
        <f t="shared" si="16"/>
        <v>0</v>
      </c>
      <c r="V12" s="2846">
        <f t="shared" si="17"/>
        <v>0.6</v>
      </c>
      <c r="W12" s="2847">
        <f t="shared" si="18"/>
        <v>0</v>
      </c>
      <c r="X12" s="2848">
        <f t="shared" si="19"/>
        <v>0</v>
      </c>
      <c r="Y12" s="2849">
        <f t="shared" si="20"/>
        <v>0</v>
      </c>
      <c r="Z12" s="2850">
        <f t="shared" si="21"/>
        <v>0</v>
      </c>
      <c r="AA12" s="2851">
        <f t="shared" si="22"/>
        <v>0</v>
      </c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  <c r="AN12" s="1"/>
    </row>
    <row r="13" spans="1:40" ht="18" customHeight="1" thickBot="1">
      <c r="A13" s="3109" t="s">
        <v>459</v>
      </c>
      <c r="B13" s="3110" t="s">
        <v>461</v>
      </c>
      <c r="C13" s="629">
        <f t="shared" si="1"/>
        <v>2.152777777777778E-4</v>
      </c>
      <c r="D13" s="6982">
        <v>2</v>
      </c>
      <c r="E13" s="6982">
        <v>1</v>
      </c>
      <c r="F13" s="6982">
        <v>5</v>
      </c>
      <c r="G13" s="6982">
        <v>150</v>
      </c>
      <c r="H13" s="7891"/>
      <c r="I13" s="6983">
        <v>2.3148148148148146E-4</v>
      </c>
      <c r="J13" s="6983">
        <v>2.3148148148148146E-4</v>
      </c>
      <c r="K13" s="6982" t="s">
        <v>2451</v>
      </c>
      <c r="L13" s="6983">
        <f t="shared" ref="L13:L23" si="32">L12+N12</f>
        <v>0.80493518518518525</v>
      </c>
      <c r="M13" s="6984">
        <v>1</v>
      </c>
      <c r="N13" s="6983">
        <f t="shared" si="28"/>
        <v>7.8472222222222224E-3</v>
      </c>
      <c r="O13" s="6983">
        <f t="shared" si="29"/>
        <v>1.2916666666666669E-3</v>
      </c>
      <c r="P13" s="6985">
        <f t="shared" si="30"/>
        <v>1.2916666666666669E-3</v>
      </c>
      <c r="Q13" s="6986">
        <v>144</v>
      </c>
      <c r="R13" s="6987">
        <f t="shared" si="31"/>
        <v>750</v>
      </c>
      <c r="S13" s="2844">
        <f t="shared" si="14"/>
        <v>0.75</v>
      </c>
      <c r="T13" s="2845">
        <f t="shared" si="15"/>
        <v>2.5833333333333337E-2</v>
      </c>
      <c r="U13" s="374">
        <f t="shared" si="16"/>
        <v>0</v>
      </c>
      <c r="V13" s="2846">
        <f t="shared" si="17"/>
        <v>0.75</v>
      </c>
      <c r="W13" s="2847">
        <f t="shared" si="18"/>
        <v>0</v>
      </c>
      <c r="X13" s="2848">
        <f t="shared" si="19"/>
        <v>0</v>
      </c>
      <c r="Y13" s="2849">
        <f t="shared" si="20"/>
        <v>0</v>
      </c>
      <c r="Z13" s="2850">
        <f t="shared" si="21"/>
        <v>0</v>
      </c>
      <c r="AA13" s="2851">
        <f t="shared" si="22"/>
        <v>0</v>
      </c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  <c r="AN13" s="1"/>
    </row>
    <row r="14" spans="1:40" ht="14" customHeight="1" thickBot="1">
      <c r="A14" s="3109" t="s">
        <v>460</v>
      </c>
      <c r="B14" s="3110" t="s">
        <v>461</v>
      </c>
      <c r="C14" s="629">
        <f t="shared" si="1"/>
        <v>2.152777777777778E-4</v>
      </c>
      <c r="D14" s="6982">
        <v>2</v>
      </c>
      <c r="E14" s="6982">
        <v>1</v>
      </c>
      <c r="F14" s="6982">
        <v>9</v>
      </c>
      <c r="G14" s="6982">
        <v>100</v>
      </c>
      <c r="H14" s="7891"/>
      <c r="I14" s="6983">
        <v>1.7361111111111112E-4</v>
      </c>
      <c r="J14" s="6983">
        <v>1.7361111111111112E-4</v>
      </c>
      <c r="K14" s="6982" t="s">
        <v>2451</v>
      </c>
      <c r="L14" s="6983">
        <f t="shared" si="32"/>
        <v>0.81278240740740748</v>
      </c>
      <c r="M14" s="6984">
        <v>1</v>
      </c>
      <c r="N14" s="6983">
        <f t="shared" si="28"/>
        <v>9.4861111111111118E-3</v>
      </c>
      <c r="O14" s="6983">
        <f t="shared" si="29"/>
        <v>8.6111111111111121E-4</v>
      </c>
      <c r="P14" s="6985">
        <f t="shared" si="30"/>
        <v>8.6111111111111121E-4</v>
      </c>
      <c r="Q14" s="6986">
        <v>144</v>
      </c>
      <c r="R14" s="6987">
        <f t="shared" si="31"/>
        <v>900</v>
      </c>
      <c r="S14" s="2844">
        <f t="shared" si="14"/>
        <v>0.9</v>
      </c>
      <c r="T14" s="2845">
        <f t="shared" si="15"/>
        <v>3.1000000000000003E-2</v>
      </c>
      <c r="U14" s="374">
        <f t="shared" si="16"/>
        <v>0</v>
      </c>
      <c r="V14" s="2846">
        <f t="shared" si="17"/>
        <v>0.9</v>
      </c>
      <c r="W14" s="2847">
        <f t="shared" si="18"/>
        <v>0</v>
      </c>
      <c r="X14" s="2848">
        <f t="shared" si="19"/>
        <v>0</v>
      </c>
      <c r="Y14" s="2849">
        <f t="shared" si="20"/>
        <v>0</v>
      </c>
      <c r="Z14" s="2850">
        <f t="shared" si="21"/>
        <v>0</v>
      </c>
      <c r="AA14" s="2851">
        <f t="shared" si="22"/>
        <v>0</v>
      </c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  <c r="AN14" s="1"/>
    </row>
    <row r="15" spans="1:40" ht="13" customHeight="1" thickBot="1">
      <c r="A15" s="3109" t="s">
        <v>458</v>
      </c>
      <c r="B15" s="3110" t="s">
        <v>461</v>
      </c>
      <c r="C15" s="629">
        <f t="shared" si="1"/>
        <v>1.9733796296296302E-4</v>
      </c>
      <c r="D15" s="6988">
        <v>3</v>
      </c>
      <c r="E15" s="6988">
        <v>1</v>
      </c>
      <c r="F15" s="6988">
        <v>18</v>
      </c>
      <c r="G15" s="6988">
        <v>50</v>
      </c>
      <c r="H15" s="7892"/>
      <c r="I15" s="6989">
        <v>1.7361111111111112E-4</v>
      </c>
      <c r="J15" s="6989">
        <v>1.3888888888888889E-3</v>
      </c>
      <c r="K15" s="6990" t="s">
        <v>2452</v>
      </c>
      <c r="L15" s="6991">
        <f t="shared" si="32"/>
        <v>0.82226851851851857</v>
      </c>
      <c r="M15" s="6992">
        <v>1</v>
      </c>
      <c r="N15" s="6991">
        <f t="shared" si="28"/>
        <v>1.1618055555555557E-2</v>
      </c>
      <c r="O15" s="6991">
        <f t="shared" si="29"/>
        <v>3.9467592592592603E-4</v>
      </c>
      <c r="P15" s="6993">
        <f t="shared" si="30"/>
        <v>3.9467592592592603E-4</v>
      </c>
      <c r="Q15" s="6994">
        <v>160</v>
      </c>
      <c r="R15" s="6988">
        <f t="shared" si="31"/>
        <v>900</v>
      </c>
      <c r="S15" s="2844">
        <f t="shared" si="14"/>
        <v>0.9</v>
      </c>
      <c r="T15" s="2845">
        <f t="shared" si="15"/>
        <v>2.8416666666666673E-2</v>
      </c>
      <c r="U15" s="374">
        <f t="shared" si="16"/>
        <v>0</v>
      </c>
      <c r="V15" s="2846">
        <f t="shared" si="17"/>
        <v>0</v>
      </c>
      <c r="W15" s="2847">
        <f t="shared" si="18"/>
        <v>0.9</v>
      </c>
      <c r="X15" s="2848">
        <f t="shared" si="19"/>
        <v>0</v>
      </c>
      <c r="Y15" s="2849">
        <f t="shared" si="20"/>
        <v>0</v>
      </c>
      <c r="Z15" s="2850">
        <f t="shared" si="21"/>
        <v>0</v>
      </c>
      <c r="AA15" s="2851">
        <f t="shared" si="22"/>
        <v>0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  <c r="AN15" s="1"/>
    </row>
    <row r="16" spans="1:40" ht="12" customHeight="1" thickBot="1">
      <c r="A16" s="3109" t="s">
        <v>219</v>
      </c>
      <c r="B16" s="3110" t="s">
        <v>461</v>
      </c>
      <c r="C16" s="629">
        <f t="shared" si="1"/>
        <v>1.7222222222222224E-4</v>
      </c>
      <c r="D16" s="7116">
        <v>7</v>
      </c>
      <c r="E16" s="6995">
        <v>2</v>
      </c>
      <c r="F16" s="6995">
        <v>3</v>
      </c>
      <c r="G16" s="6995">
        <v>15</v>
      </c>
      <c r="H16" s="7893" t="s">
        <v>713</v>
      </c>
      <c r="I16" s="6996">
        <v>3.4722222222222224E-4</v>
      </c>
      <c r="J16" s="6997">
        <v>1.3888888888888889E-3</v>
      </c>
      <c r="K16" s="6995" t="s">
        <v>2449</v>
      </c>
      <c r="L16" s="6996">
        <f t="shared" si="32"/>
        <v>0.83388657407407407</v>
      </c>
      <c r="M16" s="6998">
        <v>1</v>
      </c>
      <c r="N16" s="6996">
        <f t="shared" si="28"/>
        <v>5.4811111111111119E-3</v>
      </c>
      <c r="O16" s="6996">
        <f t="shared" si="29"/>
        <v>1.0333333333333334E-4</v>
      </c>
      <c r="P16" s="6999">
        <f t="shared" si="30"/>
        <v>1.0333333333333334E-4</v>
      </c>
      <c r="Q16" s="7000"/>
      <c r="R16" s="6995">
        <f t="shared" si="31"/>
        <v>90</v>
      </c>
      <c r="S16" s="2844">
        <f t="shared" si="14"/>
        <v>0.09</v>
      </c>
      <c r="T16" s="2845">
        <f t="shared" si="15"/>
        <v>2.4800000000000004E-3</v>
      </c>
      <c r="U16" s="374">
        <f t="shared" si="16"/>
        <v>0</v>
      </c>
      <c r="V16" s="2846">
        <f t="shared" si="17"/>
        <v>0</v>
      </c>
      <c r="W16" s="2847">
        <f t="shared" si="18"/>
        <v>0</v>
      </c>
      <c r="X16" s="2848">
        <f t="shared" si="19"/>
        <v>0</v>
      </c>
      <c r="Y16" s="2849">
        <f t="shared" si="20"/>
        <v>0</v>
      </c>
      <c r="Z16" s="2850">
        <f t="shared" si="21"/>
        <v>0</v>
      </c>
      <c r="AA16" s="2851">
        <f t="shared" si="22"/>
        <v>0.09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  <c r="AN16" s="1"/>
    </row>
    <row r="17" spans="1:40" ht="14" customHeight="1">
      <c r="A17" s="3109"/>
      <c r="B17" s="3110" t="s">
        <v>461</v>
      </c>
      <c r="C17" s="629">
        <f t="shared" si="1"/>
        <v>1.7222222222222224E-4</v>
      </c>
      <c r="D17" s="7116">
        <v>7</v>
      </c>
      <c r="E17" s="6995">
        <v>2</v>
      </c>
      <c r="F17" s="6995">
        <v>6</v>
      </c>
      <c r="G17" s="6995">
        <v>15</v>
      </c>
      <c r="H17" s="7894"/>
      <c r="I17" s="6996">
        <v>3.4722222222222224E-4</v>
      </c>
      <c r="J17" s="6997">
        <v>1.3888888888888889E-3</v>
      </c>
      <c r="K17" s="6995" t="s">
        <v>2450</v>
      </c>
      <c r="L17" s="6996">
        <f t="shared" si="32"/>
        <v>0.83936768518518523</v>
      </c>
      <c r="M17" s="6998">
        <v>1</v>
      </c>
      <c r="N17" s="6996">
        <f t="shared" si="28"/>
        <v>8.1844444444444456E-3</v>
      </c>
      <c r="O17" s="6996">
        <f t="shared" si="29"/>
        <v>1.0333333333333334E-4</v>
      </c>
      <c r="P17" s="6999">
        <f t="shared" si="30"/>
        <v>1.0333333333333334E-4</v>
      </c>
      <c r="Q17" s="7000"/>
      <c r="R17" s="6995">
        <f t="shared" si="31"/>
        <v>180</v>
      </c>
      <c r="S17" s="2844">
        <f t="shared" si="14"/>
        <v>0.18</v>
      </c>
      <c r="T17" s="2845">
        <f t="shared" si="15"/>
        <v>4.9600000000000009E-3</v>
      </c>
      <c r="U17" s="374">
        <f t="shared" si="16"/>
        <v>0</v>
      </c>
      <c r="V17" s="2846">
        <f t="shared" si="17"/>
        <v>0</v>
      </c>
      <c r="W17" s="2847">
        <f t="shared" si="18"/>
        <v>0</v>
      </c>
      <c r="X17" s="2848">
        <f t="shared" si="19"/>
        <v>0</v>
      </c>
      <c r="Y17" s="2849">
        <f t="shared" si="20"/>
        <v>0</v>
      </c>
      <c r="Z17" s="2850">
        <f t="shared" si="21"/>
        <v>0</v>
      </c>
      <c r="AA17" s="2851">
        <f t="shared" si="22"/>
        <v>0.18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  <c r="AN17" s="1"/>
    </row>
    <row r="18" spans="1:40" ht="12" customHeight="1" thickBot="1">
      <c r="A18" s="6960"/>
      <c r="B18" s="6960"/>
      <c r="C18" s="6959">
        <f t="shared" ref="C18" si="33">IF(D18=1,U$5,IF(D18=2,V$5,IF(D18=3,W$5,IF(D18=4,X$5,IF(D18=5,Y$5,IF(D18=6,Z$5,IF(D18=7,AA$5,0)))))))</f>
        <v>0</v>
      </c>
      <c r="D18" s="7002"/>
      <c r="E18" s="7001"/>
      <c r="F18" s="7001"/>
      <c r="G18" s="7001"/>
      <c r="H18" s="7002"/>
      <c r="I18" s="7002"/>
      <c r="J18" s="7002"/>
      <c r="K18" s="7003"/>
      <c r="L18" s="5269">
        <f t="shared" si="32"/>
        <v>0.84755212962962967</v>
      </c>
      <c r="M18" s="7004"/>
      <c r="N18" s="7005"/>
      <c r="O18" s="7002"/>
      <c r="P18" s="7005"/>
      <c r="Q18" s="7006"/>
      <c r="R18" s="7007">
        <f>SUM(R12:R17)</f>
        <v>3420</v>
      </c>
      <c r="S18" s="2844">
        <f t="shared" si="14"/>
        <v>0</v>
      </c>
      <c r="T18" s="2845">
        <f t="shared" si="15"/>
        <v>0</v>
      </c>
      <c r="U18" s="374">
        <f t="shared" si="16"/>
        <v>0</v>
      </c>
      <c r="V18" s="2846">
        <f t="shared" si="17"/>
        <v>0</v>
      </c>
      <c r="W18" s="2847">
        <f t="shared" si="18"/>
        <v>0</v>
      </c>
      <c r="X18" s="2848">
        <f t="shared" si="19"/>
        <v>0</v>
      </c>
      <c r="Y18" s="2849">
        <f t="shared" si="20"/>
        <v>0</v>
      </c>
      <c r="Z18" s="2850">
        <f t="shared" si="21"/>
        <v>0</v>
      </c>
      <c r="AA18" s="2851">
        <f t="shared" si="22"/>
        <v>0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1"/>
    </row>
    <row r="19" spans="1:40" ht="12" customHeight="1" thickBot="1">
      <c r="A19" s="3134" t="s">
        <v>215</v>
      </c>
      <c r="B19" s="3135"/>
      <c r="C19" s="629">
        <f t="shared" ref="C19:C23" si="34">IF(D19=1,U$4,IF(D19=2,V$4,IF(D19=3,W$4,IF(D19=4,X$4,IF(D19=5,Y$4,IF(D19=6,Z$4,IF(D19=7,AA$4,0)))))))</f>
        <v>2.3321759259259265E-4</v>
      </c>
      <c r="D19" s="7117">
        <v>1</v>
      </c>
      <c r="E19" s="7118">
        <v>1</v>
      </c>
      <c r="F19" s="7118">
        <v>16</v>
      </c>
      <c r="G19" s="7118">
        <v>25</v>
      </c>
      <c r="H19" s="7119" t="s">
        <v>2459</v>
      </c>
      <c r="I19" s="7120">
        <v>2.3148148148148146E-4</v>
      </c>
      <c r="J19" s="7120">
        <v>1.3888888888888889E-3</v>
      </c>
      <c r="K19" s="7008" t="s">
        <v>2458</v>
      </c>
      <c r="L19" s="6970">
        <v>0.33680555555555558</v>
      </c>
      <c r="M19" s="7121">
        <v>1.1000000000000001</v>
      </c>
      <c r="N19" s="7120">
        <f t="shared" ref="N19:N23" si="35">P19*E19*F19+I19*E19*F19+J19*E19</f>
        <v>9.2793148148148166E-3</v>
      </c>
      <c r="O19" s="7009">
        <f t="shared" ref="O19:O23" si="36">C19*(G19/25)*1.02</f>
        <v>2.3788194444444451E-4</v>
      </c>
      <c r="P19" s="7009">
        <f t="shared" ref="P19:P23" si="37">O19*M19</f>
        <v>2.6167013888888898E-4</v>
      </c>
      <c r="Q19" s="7010">
        <v>110</v>
      </c>
      <c r="R19" s="7118">
        <f t="shared" ref="R19:R23" si="38">E19*F19*G19</f>
        <v>400</v>
      </c>
      <c r="S19" s="2844">
        <f t="shared" si="14"/>
        <v>0.4</v>
      </c>
      <c r="T19" s="2845">
        <f t="shared" si="15"/>
        <v>1.5224444444444448E-2</v>
      </c>
      <c r="U19" s="374">
        <f t="shared" si="16"/>
        <v>0.4</v>
      </c>
      <c r="V19" s="2846">
        <f t="shared" si="17"/>
        <v>0</v>
      </c>
      <c r="W19" s="2847">
        <f t="shared" si="18"/>
        <v>0</v>
      </c>
      <c r="X19" s="2848">
        <f t="shared" si="19"/>
        <v>0</v>
      </c>
      <c r="Y19" s="2849">
        <f t="shared" si="20"/>
        <v>0</v>
      </c>
      <c r="Z19" s="2850">
        <f t="shared" si="21"/>
        <v>0</v>
      </c>
      <c r="AA19" s="2851">
        <f t="shared" si="22"/>
        <v>0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1"/>
    </row>
    <row r="20" spans="1:40" ht="12" customHeight="1" thickBot="1">
      <c r="A20" s="3134" t="s">
        <v>138</v>
      </c>
      <c r="B20" s="3135"/>
      <c r="C20" s="629">
        <f t="shared" si="34"/>
        <v>1.7581018518518521E-4</v>
      </c>
      <c r="D20" s="7110">
        <v>6</v>
      </c>
      <c r="E20" s="6962">
        <v>1</v>
      </c>
      <c r="F20" s="6962">
        <v>6</v>
      </c>
      <c r="G20" s="6962">
        <v>75</v>
      </c>
      <c r="H20" s="6962"/>
      <c r="I20" s="6965">
        <v>1.3888888888888889E-3</v>
      </c>
      <c r="J20" s="6965">
        <v>2.0833333333333333E-3</v>
      </c>
      <c r="K20" s="6962" t="s">
        <v>974</v>
      </c>
      <c r="L20" s="6965">
        <f t="shared" si="32"/>
        <v>0.34608487037037039</v>
      </c>
      <c r="M20" s="6967">
        <v>1.1000000000000001</v>
      </c>
      <c r="N20" s="6965">
        <f t="shared" si="35"/>
        <v>1.3967329166666667E-2</v>
      </c>
      <c r="O20" s="6963">
        <f t="shared" si="36"/>
        <v>5.3797916666666675E-4</v>
      </c>
      <c r="P20" s="6964">
        <f t="shared" si="37"/>
        <v>5.9177708333333343E-4</v>
      </c>
      <c r="Q20" s="7122">
        <v>180</v>
      </c>
      <c r="R20" s="6962">
        <f t="shared" si="38"/>
        <v>450</v>
      </c>
      <c r="S20" s="2844">
        <f t="shared" si="14"/>
        <v>0.45</v>
      </c>
      <c r="T20" s="2845">
        <f t="shared" si="15"/>
        <v>1.2911500000000003E-2</v>
      </c>
      <c r="U20" s="374">
        <f t="shared" si="16"/>
        <v>0</v>
      </c>
      <c r="V20" s="2846">
        <f t="shared" si="17"/>
        <v>0</v>
      </c>
      <c r="W20" s="2847">
        <f t="shared" si="18"/>
        <v>0</v>
      </c>
      <c r="X20" s="2848">
        <f t="shared" si="19"/>
        <v>0</v>
      </c>
      <c r="Y20" s="2849">
        <f t="shared" si="20"/>
        <v>0</v>
      </c>
      <c r="Z20" s="2850">
        <f t="shared" si="21"/>
        <v>0.45</v>
      </c>
      <c r="AA20" s="2851">
        <f t="shared" si="22"/>
        <v>0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1"/>
    </row>
    <row r="21" spans="1:40" ht="12" customHeight="1" thickBot="1">
      <c r="A21" s="3134" t="s">
        <v>462</v>
      </c>
      <c r="B21" s="3135"/>
      <c r="C21" s="629">
        <f t="shared" si="34"/>
        <v>1.9733796296296302E-4</v>
      </c>
      <c r="D21" s="7123">
        <v>3</v>
      </c>
      <c r="E21" s="7124">
        <v>2</v>
      </c>
      <c r="F21" s="7124">
        <v>10</v>
      </c>
      <c r="G21" s="7124">
        <v>50</v>
      </c>
      <c r="H21" s="7125"/>
      <c r="I21" s="7125">
        <v>8.1018518518518516E-5</v>
      </c>
      <c r="J21" s="7125">
        <v>1.3888888888888889E-3</v>
      </c>
      <c r="K21" s="7011" t="s">
        <v>1510</v>
      </c>
      <c r="L21" s="7012">
        <f t="shared" si="32"/>
        <v>0.36005219953703704</v>
      </c>
      <c r="M21" s="7126">
        <v>1.1000000000000001</v>
      </c>
      <c r="N21" s="7125">
        <f t="shared" si="35"/>
        <v>1.325467592592593E-2</v>
      </c>
      <c r="O21" s="7013">
        <f t="shared" si="36"/>
        <v>4.0256944444444455E-4</v>
      </c>
      <c r="P21" s="7013">
        <f t="shared" si="37"/>
        <v>4.4282638888888903E-4</v>
      </c>
      <c r="Q21" s="7014">
        <v>150</v>
      </c>
      <c r="R21" s="7015">
        <f t="shared" si="38"/>
        <v>1000</v>
      </c>
      <c r="S21" s="2844">
        <f t="shared" si="14"/>
        <v>1</v>
      </c>
      <c r="T21" s="2845">
        <f t="shared" si="15"/>
        <v>3.2205555555555564E-2</v>
      </c>
      <c r="U21" s="374">
        <f t="shared" si="16"/>
        <v>0</v>
      </c>
      <c r="V21" s="2846">
        <f t="shared" si="17"/>
        <v>0</v>
      </c>
      <c r="W21" s="2847">
        <f t="shared" si="18"/>
        <v>1</v>
      </c>
      <c r="X21" s="2848">
        <f t="shared" si="19"/>
        <v>0</v>
      </c>
      <c r="Y21" s="2849">
        <f t="shared" si="20"/>
        <v>0</v>
      </c>
      <c r="Z21" s="2850">
        <f t="shared" si="21"/>
        <v>0</v>
      </c>
      <c r="AA21" s="2851">
        <f t="shared" si="22"/>
        <v>0</v>
      </c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1"/>
    </row>
    <row r="22" spans="1:40" ht="12" customHeight="1" thickBot="1">
      <c r="A22" s="3134" t="s">
        <v>461</v>
      </c>
      <c r="B22" s="3135"/>
      <c r="C22" s="629">
        <f t="shared" si="34"/>
        <v>1.7581018518518521E-4</v>
      </c>
      <c r="D22" s="7110">
        <v>6</v>
      </c>
      <c r="E22" s="6962">
        <v>1</v>
      </c>
      <c r="F22" s="6962">
        <v>4</v>
      </c>
      <c r="G22" s="6962">
        <v>75</v>
      </c>
      <c r="H22" s="6962"/>
      <c r="I22" s="6965">
        <v>1.3888888888888889E-3</v>
      </c>
      <c r="J22" s="6965">
        <v>2.0833333333333333E-3</v>
      </c>
      <c r="K22" s="6962" t="s">
        <v>974</v>
      </c>
      <c r="L22" s="6965">
        <f t="shared" si="32"/>
        <v>0.37330687546296298</v>
      </c>
      <c r="M22" s="6967">
        <v>1.1000000000000001</v>
      </c>
      <c r="N22" s="6965">
        <f t="shared" si="35"/>
        <v>1.0005997222222222E-2</v>
      </c>
      <c r="O22" s="6963">
        <f t="shared" si="36"/>
        <v>5.3797916666666675E-4</v>
      </c>
      <c r="P22" s="6964">
        <f t="shared" si="37"/>
        <v>5.9177708333333343E-4</v>
      </c>
      <c r="Q22" s="7122">
        <v>180</v>
      </c>
      <c r="R22" s="6962">
        <f t="shared" si="38"/>
        <v>300</v>
      </c>
      <c r="S22" s="2844">
        <f t="shared" si="14"/>
        <v>0.3</v>
      </c>
      <c r="T22" s="2845">
        <f t="shared" si="15"/>
        <v>8.607666666666668E-3</v>
      </c>
      <c r="U22" s="374">
        <f t="shared" si="16"/>
        <v>0</v>
      </c>
      <c r="V22" s="2846">
        <f t="shared" si="17"/>
        <v>0</v>
      </c>
      <c r="W22" s="2847">
        <f t="shared" si="18"/>
        <v>0</v>
      </c>
      <c r="X22" s="2848">
        <f t="shared" si="19"/>
        <v>0</v>
      </c>
      <c r="Y22" s="2849">
        <f t="shared" si="20"/>
        <v>0</v>
      </c>
      <c r="Z22" s="2850">
        <f t="shared" si="21"/>
        <v>0.3</v>
      </c>
      <c r="AA22" s="2851">
        <f t="shared" si="22"/>
        <v>0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1"/>
    </row>
    <row r="23" spans="1:40" ht="12" customHeight="1" thickBot="1">
      <c r="A23" s="3134" t="s">
        <v>458</v>
      </c>
      <c r="B23" s="3135"/>
      <c r="C23" s="629">
        <f t="shared" si="34"/>
        <v>1.7222222222222224E-4</v>
      </c>
      <c r="D23" s="7016">
        <v>7</v>
      </c>
      <c r="E23" s="7017">
        <v>3</v>
      </c>
      <c r="F23" s="7017">
        <v>4</v>
      </c>
      <c r="G23" s="7017">
        <v>25</v>
      </c>
      <c r="H23" s="7018" t="s">
        <v>1610</v>
      </c>
      <c r="I23" s="7018">
        <v>3.4722222222222224E-4</v>
      </c>
      <c r="J23" s="7018">
        <v>6.9444444444444447E-4</v>
      </c>
      <c r="K23" s="7017" t="s">
        <v>1608</v>
      </c>
      <c r="L23" s="7019">
        <f t="shared" si="32"/>
        <v>0.38331287268518521</v>
      </c>
      <c r="M23" s="7020">
        <v>1.1000000000000001</v>
      </c>
      <c r="N23" s="7018">
        <f t="shared" si="35"/>
        <v>8.5687999999999997E-3</v>
      </c>
      <c r="O23" s="7021">
        <f t="shared" si="36"/>
        <v>1.7566666666666669E-4</v>
      </c>
      <c r="P23" s="7022">
        <f t="shared" si="37"/>
        <v>1.9323333333333339E-4</v>
      </c>
      <c r="Q23" s="7014">
        <v>200</v>
      </c>
      <c r="R23" s="7015">
        <f t="shared" si="38"/>
        <v>300</v>
      </c>
      <c r="S23" s="2844">
        <f t="shared" si="14"/>
        <v>0.3</v>
      </c>
      <c r="T23" s="2845">
        <f t="shared" si="15"/>
        <v>8.432000000000002E-3</v>
      </c>
      <c r="U23" s="374">
        <f t="shared" si="16"/>
        <v>0</v>
      </c>
      <c r="V23" s="2846">
        <f t="shared" si="17"/>
        <v>0</v>
      </c>
      <c r="W23" s="2847">
        <f t="shared" si="18"/>
        <v>0</v>
      </c>
      <c r="X23" s="2848">
        <f t="shared" si="19"/>
        <v>0</v>
      </c>
      <c r="Y23" s="2849">
        <f t="shared" si="20"/>
        <v>0</v>
      </c>
      <c r="Z23" s="2850">
        <f t="shared" si="21"/>
        <v>0</v>
      </c>
      <c r="AA23" s="2851">
        <f t="shared" si="22"/>
        <v>0.3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1"/>
    </row>
    <row r="24" spans="1:40" ht="12" customHeight="1" thickBot="1">
      <c r="A24" s="3134" t="s">
        <v>219</v>
      </c>
      <c r="B24" s="3135"/>
      <c r="C24" s="5770">
        <f t="shared" ref="C24" si="39">IF(D24=1,U$5,IF(D24=2,V$5,IF(D24=3,W$5,IF(D24=4,X$5,IF(D24=5,Y$5,IF(D24=6,Z$5,IF(D24=7,AA$5,0)))))))</f>
        <v>0</v>
      </c>
      <c r="D24" s="7127"/>
      <c r="E24" s="7128"/>
      <c r="F24" s="7128"/>
      <c r="G24" s="7128"/>
      <c r="H24" s="7128"/>
      <c r="I24" s="7128"/>
      <c r="J24" s="7128"/>
      <c r="K24" s="7128"/>
      <c r="L24" s="7023">
        <f>L23+N23</f>
        <v>0.3918816726851852</v>
      </c>
      <c r="M24" s="7129"/>
      <c r="N24" s="7024">
        <f>SUM(N19:N23)</f>
        <v>5.5076117129629641E-2</v>
      </c>
      <c r="O24" s="7128"/>
      <c r="P24" s="7128"/>
      <c r="Q24" s="7128"/>
      <c r="R24" s="7025">
        <f>SUM(R19:R23)</f>
        <v>2450</v>
      </c>
      <c r="S24" s="2844">
        <f t="shared" si="14"/>
        <v>0</v>
      </c>
      <c r="T24" s="2845">
        <f t="shared" si="15"/>
        <v>0</v>
      </c>
      <c r="U24" s="374">
        <f t="shared" si="16"/>
        <v>0</v>
      </c>
      <c r="V24" s="2846">
        <f t="shared" si="17"/>
        <v>0</v>
      </c>
      <c r="W24" s="2847">
        <f t="shared" si="18"/>
        <v>0</v>
      </c>
      <c r="X24" s="2848">
        <f t="shared" si="19"/>
        <v>0</v>
      </c>
      <c r="Y24" s="2849">
        <f t="shared" si="20"/>
        <v>0</v>
      </c>
      <c r="Z24" s="2850">
        <f t="shared" si="21"/>
        <v>0</v>
      </c>
      <c r="AA24" s="2851">
        <f t="shared" si="22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2" customHeight="1" thickBot="1">
      <c r="A25" s="3134"/>
      <c r="B25" s="3135"/>
      <c r="C25" s="629">
        <f t="shared" si="1"/>
        <v>2.3321759259259265E-4</v>
      </c>
      <c r="D25" s="7130">
        <v>1</v>
      </c>
      <c r="E25" s="7131">
        <v>1</v>
      </c>
      <c r="F25" s="7131">
        <v>1</v>
      </c>
      <c r="G25" s="7131">
        <v>400</v>
      </c>
      <c r="H25" s="7890" t="s">
        <v>139</v>
      </c>
      <c r="I25" s="7132">
        <v>1.1574074074074073E-4</v>
      </c>
      <c r="J25" s="7132">
        <v>6.9444444444444447E-4</v>
      </c>
      <c r="K25" s="7026" t="s">
        <v>923</v>
      </c>
      <c r="L25" s="6983">
        <v>0.79861111111111116</v>
      </c>
      <c r="M25" s="7133">
        <v>1</v>
      </c>
      <c r="N25" s="7132">
        <f>P25*E25*F25+I25*E25*F25+J25*E25</f>
        <v>4.5416666666666678E-3</v>
      </c>
      <c r="O25" s="7027">
        <f t="shared" ref="O25:O34" si="40">C25*(G25/25)</f>
        <v>3.7314814814814823E-3</v>
      </c>
      <c r="P25" s="7027">
        <f t="shared" ref="P25:P34" si="41">O25*M25</f>
        <v>3.7314814814814823E-3</v>
      </c>
      <c r="Q25" s="7028">
        <v>129</v>
      </c>
      <c r="R25" s="7131">
        <f t="shared" ref="R25:R34" si="42">E25*F25*G25</f>
        <v>400</v>
      </c>
      <c r="S25" s="2844">
        <f t="shared" si="14"/>
        <v>0.4</v>
      </c>
      <c r="T25" s="2845">
        <f t="shared" si="15"/>
        <v>1.4925925925925929E-2</v>
      </c>
      <c r="U25" s="374">
        <f t="shared" si="16"/>
        <v>0.4</v>
      </c>
      <c r="V25" s="2846">
        <f t="shared" si="17"/>
        <v>0</v>
      </c>
      <c r="W25" s="2847">
        <f t="shared" si="18"/>
        <v>0</v>
      </c>
      <c r="X25" s="2848">
        <f t="shared" si="19"/>
        <v>0</v>
      </c>
      <c r="Y25" s="2849">
        <f t="shared" si="20"/>
        <v>0</v>
      </c>
      <c r="Z25" s="2850">
        <f t="shared" si="21"/>
        <v>0</v>
      </c>
      <c r="AA25" s="2851">
        <f t="shared" si="22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2" customHeight="1" thickBot="1">
      <c r="A26" s="3134"/>
      <c r="B26" s="3135"/>
      <c r="C26" s="629">
        <f t="shared" si="1"/>
        <v>2.152777777777778E-4</v>
      </c>
      <c r="D26" s="7134">
        <v>2</v>
      </c>
      <c r="E26" s="6982">
        <v>1</v>
      </c>
      <c r="F26" s="6982">
        <v>2</v>
      </c>
      <c r="G26" s="6982">
        <v>200</v>
      </c>
      <c r="H26" s="7891"/>
      <c r="I26" s="6983">
        <v>1.3888888888888889E-4</v>
      </c>
      <c r="J26" s="6983">
        <v>6.9444444444444447E-4</v>
      </c>
      <c r="K26" s="6982" t="s">
        <v>2453</v>
      </c>
      <c r="L26" s="6983">
        <f>L25+N25</f>
        <v>0.80315277777777783</v>
      </c>
      <c r="M26" s="6984">
        <v>1</v>
      </c>
      <c r="N26" s="6983">
        <f t="shared" ref="N26:N34" si="43">P26*E26*F26+I26*F26*E26+J26*E26</f>
        <v>4.4166666666666668E-3</v>
      </c>
      <c r="O26" s="6983">
        <f t="shared" si="40"/>
        <v>1.7222222222222224E-3</v>
      </c>
      <c r="P26" s="6985">
        <f t="shared" si="41"/>
        <v>1.7222222222222224E-3</v>
      </c>
      <c r="Q26" s="6986">
        <v>144</v>
      </c>
      <c r="R26" s="6987">
        <f t="shared" si="42"/>
        <v>400</v>
      </c>
      <c r="S26" s="2844">
        <f t="shared" si="14"/>
        <v>0.4</v>
      </c>
      <c r="T26" s="2845">
        <f t="shared" si="15"/>
        <v>1.3777777777777779E-2</v>
      </c>
      <c r="U26" s="374">
        <f t="shared" si="16"/>
        <v>0</v>
      </c>
      <c r="V26" s="2846">
        <f t="shared" si="17"/>
        <v>0.4</v>
      </c>
      <c r="W26" s="2847">
        <f t="shared" si="18"/>
        <v>0</v>
      </c>
      <c r="X26" s="2848">
        <f t="shared" si="19"/>
        <v>0</v>
      </c>
      <c r="Y26" s="2849">
        <f t="shared" si="20"/>
        <v>0</v>
      </c>
      <c r="Z26" s="2850">
        <f t="shared" si="21"/>
        <v>0</v>
      </c>
      <c r="AA26" s="2851">
        <f t="shared" si="22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2" customHeight="1" thickBot="1">
      <c r="A27" s="3134" t="s">
        <v>215</v>
      </c>
      <c r="B27" s="3135"/>
      <c r="C27" s="629">
        <f t="shared" si="1"/>
        <v>0</v>
      </c>
      <c r="D27" s="7134">
        <v>2.0416666666666701</v>
      </c>
      <c r="E27" s="6982">
        <v>1</v>
      </c>
      <c r="F27" s="6982">
        <v>1</v>
      </c>
      <c r="G27" s="6982">
        <v>300</v>
      </c>
      <c r="H27" s="7891"/>
      <c r="I27" s="6983">
        <v>2.3148148148148146E-4</v>
      </c>
      <c r="J27" s="6983">
        <v>6.9444444444444447E-4</v>
      </c>
      <c r="K27" s="6982" t="s">
        <v>2454</v>
      </c>
      <c r="L27" s="6983">
        <f>L26+N26</f>
        <v>0.80756944444444445</v>
      </c>
      <c r="M27" s="6984">
        <v>2</v>
      </c>
      <c r="N27" s="6983">
        <f t="shared" si="43"/>
        <v>9.2592592592592596E-4</v>
      </c>
      <c r="O27" s="6983">
        <f t="shared" si="40"/>
        <v>0</v>
      </c>
      <c r="P27" s="6985">
        <f t="shared" si="41"/>
        <v>0</v>
      </c>
      <c r="Q27" s="6986">
        <v>145</v>
      </c>
      <c r="R27" s="6987">
        <f t="shared" si="42"/>
        <v>300</v>
      </c>
      <c r="S27" s="2844">
        <f t="shared" si="14"/>
        <v>0.3</v>
      </c>
      <c r="T27" s="2845">
        <f t="shared" si="15"/>
        <v>0</v>
      </c>
      <c r="U27" s="374">
        <f t="shared" si="16"/>
        <v>0</v>
      </c>
      <c r="V27" s="2846">
        <f t="shared" si="17"/>
        <v>0</v>
      </c>
      <c r="W27" s="2847">
        <f t="shared" si="18"/>
        <v>0</v>
      </c>
      <c r="X27" s="2848">
        <f t="shared" si="19"/>
        <v>0</v>
      </c>
      <c r="Y27" s="2849">
        <f t="shared" si="20"/>
        <v>0</v>
      </c>
      <c r="Z27" s="2850">
        <f t="shared" si="21"/>
        <v>0</v>
      </c>
      <c r="AA27" s="2851">
        <f t="shared" si="22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2" customHeight="1" thickBot="1">
      <c r="A28" s="3134" t="s">
        <v>138</v>
      </c>
      <c r="B28" s="3135"/>
      <c r="C28" s="629">
        <f t="shared" si="1"/>
        <v>1.7222222222222224E-4</v>
      </c>
      <c r="D28" s="7135">
        <v>7</v>
      </c>
      <c r="E28" s="7136">
        <v>1</v>
      </c>
      <c r="F28" s="7136">
        <v>4</v>
      </c>
      <c r="G28" s="7136">
        <v>25</v>
      </c>
      <c r="H28" s="7891"/>
      <c r="I28" s="6996">
        <v>5.2083333333333333E-4</v>
      </c>
      <c r="J28" s="6996">
        <v>5.2083333333333333E-4</v>
      </c>
      <c r="K28" s="7136" t="s">
        <v>2455</v>
      </c>
      <c r="L28" s="6996">
        <f>L27+N27</f>
        <v>0.80849537037037034</v>
      </c>
      <c r="M28" s="6998">
        <v>2</v>
      </c>
      <c r="N28" s="6996">
        <f t="shared" si="43"/>
        <v>3.9819444444444442E-3</v>
      </c>
      <c r="O28" s="6996">
        <f t="shared" si="40"/>
        <v>1.7222222222222224E-4</v>
      </c>
      <c r="P28" s="6999">
        <f t="shared" si="41"/>
        <v>3.4444444444444447E-4</v>
      </c>
      <c r="Q28" s="7000"/>
      <c r="R28" s="6995">
        <f t="shared" si="42"/>
        <v>100</v>
      </c>
      <c r="S28" s="2844">
        <f t="shared" si="14"/>
        <v>0.1</v>
      </c>
      <c r="T28" s="2845">
        <f t="shared" si="15"/>
        <v>2.7555555555555558E-3</v>
      </c>
      <c r="U28" s="374">
        <f t="shared" si="16"/>
        <v>0</v>
      </c>
      <c r="V28" s="2846">
        <f t="shared" si="17"/>
        <v>0</v>
      </c>
      <c r="W28" s="2847">
        <f t="shared" si="18"/>
        <v>0</v>
      </c>
      <c r="X28" s="2848">
        <f t="shared" si="19"/>
        <v>0</v>
      </c>
      <c r="Y28" s="2849">
        <f t="shared" si="20"/>
        <v>0</v>
      </c>
      <c r="Z28" s="2850">
        <f t="shared" si="21"/>
        <v>0</v>
      </c>
      <c r="AA28" s="2851">
        <f t="shared" si="22"/>
        <v>0.1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2" customHeight="1" thickBot="1">
      <c r="A29" s="3134" t="s">
        <v>462</v>
      </c>
      <c r="B29" s="3135"/>
      <c r="C29" s="629">
        <f t="shared" si="1"/>
        <v>1.7939814814814817E-4</v>
      </c>
      <c r="D29" s="7137">
        <v>4</v>
      </c>
      <c r="E29" s="7138">
        <v>1</v>
      </c>
      <c r="F29" s="7030">
        <v>1</v>
      </c>
      <c r="G29" s="7030">
        <v>200</v>
      </c>
      <c r="H29" s="7892"/>
      <c r="I29" s="7139">
        <v>0</v>
      </c>
      <c r="J29" s="7139">
        <v>1.3888888888888889E-3</v>
      </c>
      <c r="K29" s="7139" t="s">
        <v>704</v>
      </c>
      <c r="L29" s="7029">
        <f>L28+N28</f>
        <v>0.81247731481481478</v>
      </c>
      <c r="M29" s="7030">
        <v>2</v>
      </c>
      <c r="N29" s="7140">
        <f t="shared" si="43"/>
        <v>4.2592592592592595E-3</v>
      </c>
      <c r="O29" s="7139">
        <f t="shared" si="40"/>
        <v>1.4351851851851854E-3</v>
      </c>
      <c r="P29" s="7029">
        <f t="shared" si="41"/>
        <v>2.8703703703703708E-3</v>
      </c>
      <c r="Q29" s="7029"/>
      <c r="R29" s="7031">
        <f t="shared" si="42"/>
        <v>200</v>
      </c>
      <c r="S29" s="2844">
        <f t="shared" si="14"/>
        <v>0.2</v>
      </c>
      <c r="T29" s="2845">
        <f t="shared" si="15"/>
        <v>5.7407407407407416E-3</v>
      </c>
      <c r="U29" s="374">
        <f t="shared" si="16"/>
        <v>0</v>
      </c>
      <c r="V29" s="2846">
        <f t="shared" si="17"/>
        <v>0</v>
      </c>
      <c r="W29" s="2847">
        <f t="shared" si="18"/>
        <v>0</v>
      </c>
      <c r="X29" s="2848">
        <f t="shared" si="19"/>
        <v>0.2</v>
      </c>
      <c r="Y29" s="2849">
        <f t="shared" si="20"/>
        <v>0</v>
      </c>
      <c r="Z29" s="2850">
        <f t="shared" si="21"/>
        <v>0</v>
      </c>
      <c r="AA29" s="2851">
        <f t="shared" si="22"/>
        <v>0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2" customHeight="1" thickBot="1">
      <c r="A30" s="3134" t="s">
        <v>461</v>
      </c>
      <c r="B30" s="3135"/>
      <c r="C30" s="629">
        <f t="shared" si="1"/>
        <v>2.152777777777778E-4</v>
      </c>
      <c r="D30" s="6982">
        <v>2</v>
      </c>
      <c r="E30" s="6982">
        <v>1</v>
      </c>
      <c r="F30" s="6982">
        <v>12</v>
      </c>
      <c r="G30" s="6982">
        <v>100</v>
      </c>
      <c r="H30" s="7890" t="s">
        <v>710</v>
      </c>
      <c r="I30" s="6983">
        <v>2.8935185185185189E-4</v>
      </c>
      <c r="J30" s="6983">
        <v>2.8935185185185189E-4</v>
      </c>
      <c r="K30" s="6982" t="s">
        <v>2456</v>
      </c>
      <c r="L30" s="6983">
        <f t="shared" ref="L30:L35" si="44">L29+N29</f>
        <v>0.81673657407407407</v>
      </c>
      <c r="M30" s="6984">
        <v>1</v>
      </c>
      <c r="N30" s="6983">
        <f t="shared" si="43"/>
        <v>1.4094907407407408E-2</v>
      </c>
      <c r="O30" s="6983">
        <f t="shared" si="40"/>
        <v>8.6111111111111121E-4</v>
      </c>
      <c r="P30" s="6985">
        <f t="shared" si="41"/>
        <v>8.6111111111111121E-4</v>
      </c>
      <c r="Q30" s="6986">
        <v>144</v>
      </c>
      <c r="R30" s="6987">
        <f t="shared" si="42"/>
        <v>1200</v>
      </c>
      <c r="S30" s="2844">
        <f t="shared" si="14"/>
        <v>1.2</v>
      </c>
      <c r="T30" s="2845">
        <f t="shared" si="15"/>
        <v>4.133333333333334E-2</v>
      </c>
      <c r="U30" s="374">
        <f t="shared" si="16"/>
        <v>0</v>
      </c>
      <c r="V30" s="2846">
        <f t="shared" si="17"/>
        <v>1.2</v>
      </c>
      <c r="W30" s="2847">
        <f t="shared" si="18"/>
        <v>0</v>
      </c>
      <c r="X30" s="2848">
        <f t="shared" si="19"/>
        <v>0</v>
      </c>
      <c r="Y30" s="2849">
        <f t="shared" si="20"/>
        <v>0</v>
      </c>
      <c r="Z30" s="2850">
        <f t="shared" si="21"/>
        <v>0</v>
      </c>
      <c r="AA30" s="2851">
        <f t="shared" si="22"/>
        <v>0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2" customHeight="1" thickBot="1">
      <c r="A31" s="3134" t="s">
        <v>458</v>
      </c>
      <c r="B31" s="3135"/>
      <c r="C31" s="629">
        <f t="shared" si="1"/>
        <v>2.152777777777778E-4</v>
      </c>
      <c r="D31" s="6982">
        <v>2</v>
      </c>
      <c r="E31" s="6982">
        <v>1</v>
      </c>
      <c r="F31" s="6982">
        <v>12</v>
      </c>
      <c r="G31" s="6982">
        <v>50</v>
      </c>
      <c r="H31" s="7891"/>
      <c r="I31" s="6983">
        <v>2.3148148148148146E-4</v>
      </c>
      <c r="J31" s="6983">
        <v>2.3148148148148146E-4</v>
      </c>
      <c r="K31" s="6982" t="s">
        <v>2456</v>
      </c>
      <c r="L31" s="6983">
        <f t="shared" si="44"/>
        <v>0.83083148148148145</v>
      </c>
      <c r="M31" s="6984">
        <v>1</v>
      </c>
      <c r="N31" s="6983">
        <f t="shared" si="43"/>
        <v>8.1759259259259268E-3</v>
      </c>
      <c r="O31" s="6983">
        <f t="shared" si="40"/>
        <v>4.3055555555555561E-4</v>
      </c>
      <c r="P31" s="6985">
        <f t="shared" si="41"/>
        <v>4.3055555555555561E-4</v>
      </c>
      <c r="Q31" s="6986">
        <v>144</v>
      </c>
      <c r="R31" s="6987">
        <f t="shared" si="42"/>
        <v>600</v>
      </c>
      <c r="S31" s="2844">
        <f t="shared" si="14"/>
        <v>0.6</v>
      </c>
      <c r="T31" s="2845">
        <f t="shared" si="15"/>
        <v>2.066666666666667E-2</v>
      </c>
      <c r="U31" s="374">
        <f t="shared" si="16"/>
        <v>0</v>
      </c>
      <c r="V31" s="2846">
        <f t="shared" si="17"/>
        <v>0.6</v>
      </c>
      <c r="W31" s="2847">
        <f t="shared" si="18"/>
        <v>0</v>
      </c>
      <c r="X31" s="2848">
        <f t="shared" si="19"/>
        <v>0</v>
      </c>
      <c r="Y31" s="2849">
        <f t="shared" si="20"/>
        <v>0</v>
      </c>
      <c r="Z31" s="2850">
        <f t="shared" si="21"/>
        <v>0</v>
      </c>
      <c r="AA31" s="2851">
        <f t="shared" si="22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2" customHeight="1" thickBot="1">
      <c r="A32" s="3134" t="s">
        <v>219</v>
      </c>
      <c r="B32" s="3135"/>
      <c r="C32" s="629">
        <f t="shared" si="1"/>
        <v>1.9733796296296302E-4</v>
      </c>
      <c r="D32" s="6988">
        <v>3</v>
      </c>
      <c r="E32" s="6988">
        <v>1</v>
      </c>
      <c r="F32" s="6988">
        <v>12</v>
      </c>
      <c r="G32" s="6988">
        <v>25</v>
      </c>
      <c r="H32" s="7892"/>
      <c r="I32" s="6989">
        <v>1.7361111111111112E-4</v>
      </c>
      <c r="J32" s="6989">
        <v>1.3888888888888889E-3</v>
      </c>
      <c r="K32" s="6990" t="s">
        <v>2457</v>
      </c>
      <c r="L32" s="6991">
        <f t="shared" si="44"/>
        <v>0.83900740740740742</v>
      </c>
      <c r="M32" s="6992">
        <v>1</v>
      </c>
      <c r="N32" s="6991">
        <f t="shared" si="43"/>
        <v>5.8402777777777793E-3</v>
      </c>
      <c r="O32" s="6991">
        <f t="shared" si="40"/>
        <v>1.9733796296296302E-4</v>
      </c>
      <c r="P32" s="6993">
        <f t="shared" si="41"/>
        <v>1.9733796296296302E-4</v>
      </c>
      <c r="Q32" s="6994">
        <v>160</v>
      </c>
      <c r="R32" s="6988">
        <f t="shared" si="42"/>
        <v>300</v>
      </c>
      <c r="S32" s="2844">
        <f t="shared" si="14"/>
        <v>0.3</v>
      </c>
      <c r="T32" s="2845">
        <f t="shared" si="15"/>
        <v>9.4722222222222256E-3</v>
      </c>
      <c r="U32" s="374">
        <f t="shared" si="16"/>
        <v>0</v>
      </c>
      <c r="V32" s="2846">
        <f t="shared" si="17"/>
        <v>0</v>
      </c>
      <c r="W32" s="2847">
        <f t="shared" si="18"/>
        <v>0.3</v>
      </c>
      <c r="X32" s="2848">
        <f t="shared" si="19"/>
        <v>0</v>
      </c>
      <c r="Y32" s="2849">
        <f t="shared" si="20"/>
        <v>0</v>
      </c>
      <c r="Z32" s="2850">
        <f t="shared" si="21"/>
        <v>0</v>
      </c>
      <c r="AA32" s="2851">
        <f t="shared" si="22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2" customHeight="1" thickBot="1">
      <c r="A33" s="3134"/>
      <c r="B33" s="3135"/>
      <c r="C33" s="629">
        <f t="shared" si="1"/>
        <v>1.7222222222222224E-4</v>
      </c>
      <c r="D33" s="7116">
        <v>7</v>
      </c>
      <c r="E33" s="6995">
        <v>1</v>
      </c>
      <c r="F33" s="6995">
        <v>3</v>
      </c>
      <c r="G33" s="6995">
        <v>15</v>
      </c>
      <c r="H33" s="7893" t="s">
        <v>713</v>
      </c>
      <c r="I33" s="6996">
        <v>3.4722222222222224E-4</v>
      </c>
      <c r="J33" s="6997">
        <v>1.3888888888888889E-3</v>
      </c>
      <c r="K33" s="6995" t="s">
        <v>526</v>
      </c>
      <c r="L33" s="6996">
        <f t="shared" si="44"/>
        <v>0.84484768518518516</v>
      </c>
      <c r="M33" s="6998">
        <v>1</v>
      </c>
      <c r="N33" s="6996">
        <f t="shared" si="43"/>
        <v>2.740555555555556E-3</v>
      </c>
      <c r="O33" s="6996">
        <f t="shared" si="40"/>
        <v>1.0333333333333334E-4</v>
      </c>
      <c r="P33" s="6999">
        <f t="shared" si="41"/>
        <v>1.0333333333333334E-4</v>
      </c>
      <c r="Q33" s="7000"/>
      <c r="R33" s="6995">
        <f t="shared" si="42"/>
        <v>45</v>
      </c>
      <c r="S33" s="2844">
        <f t="shared" si="14"/>
        <v>4.4999999999999998E-2</v>
      </c>
      <c r="T33" s="2845">
        <f t="shared" si="15"/>
        <v>1.2400000000000002E-3</v>
      </c>
      <c r="U33" s="374">
        <f t="shared" si="16"/>
        <v>0</v>
      </c>
      <c r="V33" s="2846">
        <f t="shared" si="17"/>
        <v>0</v>
      </c>
      <c r="W33" s="2847">
        <f t="shared" si="18"/>
        <v>0</v>
      </c>
      <c r="X33" s="2848">
        <f t="shared" si="19"/>
        <v>0</v>
      </c>
      <c r="Y33" s="2849">
        <f t="shared" si="20"/>
        <v>0</v>
      </c>
      <c r="Z33" s="2850">
        <f t="shared" si="21"/>
        <v>0</v>
      </c>
      <c r="AA33" s="2851">
        <f t="shared" si="22"/>
        <v>4.4999999999999998E-2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2" customHeight="1">
      <c r="A34" s="3134"/>
      <c r="B34" s="3135"/>
      <c r="C34" s="629">
        <f t="shared" si="1"/>
        <v>1.7222222222222224E-4</v>
      </c>
      <c r="D34" s="7116">
        <v>7</v>
      </c>
      <c r="E34" s="6995">
        <v>1</v>
      </c>
      <c r="F34" s="6995">
        <v>6</v>
      </c>
      <c r="G34" s="6995">
        <v>15</v>
      </c>
      <c r="H34" s="7894"/>
      <c r="I34" s="6996">
        <v>3.4722222222222224E-4</v>
      </c>
      <c r="J34" s="6997">
        <v>1.3888888888888889E-3</v>
      </c>
      <c r="K34" s="6995" t="s">
        <v>527</v>
      </c>
      <c r="L34" s="6996">
        <f t="shared" si="44"/>
        <v>0.84758824074074068</v>
      </c>
      <c r="M34" s="6998">
        <v>1</v>
      </c>
      <c r="N34" s="6996">
        <f t="shared" si="43"/>
        <v>4.0922222222222228E-3</v>
      </c>
      <c r="O34" s="6996">
        <f t="shared" si="40"/>
        <v>1.0333333333333334E-4</v>
      </c>
      <c r="P34" s="6999">
        <f t="shared" si="41"/>
        <v>1.0333333333333334E-4</v>
      </c>
      <c r="Q34" s="7000"/>
      <c r="R34" s="6995">
        <f t="shared" si="42"/>
        <v>90</v>
      </c>
      <c r="S34" s="2844">
        <f t="shared" si="14"/>
        <v>0.09</v>
      </c>
      <c r="T34" s="2845">
        <f t="shared" si="15"/>
        <v>2.4800000000000004E-3</v>
      </c>
      <c r="U34" s="374">
        <f t="shared" si="16"/>
        <v>0</v>
      </c>
      <c r="V34" s="2846">
        <f t="shared" si="17"/>
        <v>0</v>
      </c>
      <c r="W34" s="2847">
        <f t="shared" si="18"/>
        <v>0</v>
      </c>
      <c r="X34" s="2848">
        <f t="shared" si="19"/>
        <v>0</v>
      </c>
      <c r="Y34" s="2849">
        <f t="shared" si="20"/>
        <v>0</v>
      </c>
      <c r="Z34" s="2850">
        <f t="shared" si="21"/>
        <v>0</v>
      </c>
      <c r="AA34" s="2851">
        <f t="shared" si="22"/>
        <v>0.09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2" customHeight="1" thickBot="1">
      <c r="A35" s="6960"/>
      <c r="B35" s="6960"/>
      <c r="C35" s="6959">
        <f t="shared" ref="C35" si="45">IF(D35=1,U$5,IF(D35=2,V$5,IF(D35=3,W$5,IF(D35=4,X$5,IF(D35=5,Y$5,IF(D35=6,Z$5,IF(D35=7,AA$5,0)))))))</f>
        <v>0</v>
      </c>
      <c r="D35" s="7002"/>
      <c r="E35" s="7001"/>
      <c r="F35" s="7001"/>
      <c r="G35" s="7001"/>
      <c r="H35" s="7002"/>
      <c r="I35" s="7002"/>
      <c r="J35" s="7002"/>
      <c r="K35" s="7003"/>
      <c r="L35" s="5269">
        <f t="shared" si="44"/>
        <v>0.85168046296296296</v>
      </c>
      <c r="M35" s="7004"/>
      <c r="N35" s="7005"/>
      <c r="O35" s="7002"/>
      <c r="P35" s="7005"/>
      <c r="Q35" s="7006"/>
      <c r="R35" s="7007">
        <f>SUM(R25:R34)</f>
        <v>3635</v>
      </c>
      <c r="S35" s="2844">
        <f t="shared" si="14"/>
        <v>0</v>
      </c>
      <c r="T35" s="2845">
        <f t="shared" si="15"/>
        <v>0</v>
      </c>
      <c r="U35" s="374">
        <f t="shared" si="16"/>
        <v>0</v>
      </c>
      <c r="V35" s="2846">
        <f t="shared" si="17"/>
        <v>0</v>
      </c>
      <c r="W35" s="2847">
        <f t="shared" si="18"/>
        <v>0</v>
      </c>
      <c r="X35" s="2848">
        <f t="shared" si="19"/>
        <v>0</v>
      </c>
      <c r="Y35" s="2849">
        <f t="shared" si="20"/>
        <v>0</v>
      </c>
      <c r="Z35" s="2850">
        <f t="shared" si="21"/>
        <v>0</v>
      </c>
      <c r="AA35" s="2851">
        <f t="shared" si="22"/>
        <v>0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2.75" customHeight="1" thickBot="1">
      <c r="A36" s="3109" t="s">
        <v>139</v>
      </c>
      <c r="B36" s="3110" t="s">
        <v>461</v>
      </c>
      <c r="C36" s="629">
        <f t="shared" si="1"/>
        <v>2.3321759259259265E-4</v>
      </c>
      <c r="D36" s="7100">
        <v>1</v>
      </c>
      <c r="E36" s="7101">
        <v>1</v>
      </c>
      <c r="F36" s="7101">
        <v>1</v>
      </c>
      <c r="G36" s="7101">
        <v>300</v>
      </c>
      <c r="H36" s="7102"/>
      <c r="I36" s="7102">
        <v>2.3148148148148146E-4</v>
      </c>
      <c r="J36" s="7102"/>
      <c r="K36" s="6969" t="s">
        <v>1570</v>
      </c>
      <c r="L36" s="6970">
        <v>0.79861111111111116</v>
      </c>
      <c r="M36" s="7103">
        <v>1.17</v>
      </c>
      <c r="N36" s="7104">
        <f t="shared" ref="N36:N38" si="46">P36*E36*F36+I36*F36*E36+J36*E36</f>
        <v>3.5058564814814822E-3</v>
      </c>
      <c r="O36" s="6971">
        <f>C36*(G36/25)</f>
        <v>2.798611111111112E-3</v>
      </c>
      <c r="P36" s="6971">
        <f>O36*M36</f>
        <v>3.2743750000000008E-3</v>
      </c>
      <c r="Q36" s="6972">
        <v>180</v>
      </c>
      <c r="R36" s="7105">
        <f>E36*F36*G36</f>
        <v>300</v>
      </c>
      <c r="S36" s="2844">
        <f t="shared" si="14"/>
        <v>0.3</v>
      </c>
      <c r="T36" s="2845">
        <f t="shared" si="15"/>
        <v>1.1194444444444448E-2</v>
      </c>
      <c r="U36" s="374">
        <f t="shared" si="16"/>
        <v>0.3</v>
      </c>
      <c r="V36" s="2846">
        <f t="shared" si="17"/>
        <v>0</v>
      </c>
      <c r="W36" s="2847">
        <f t="shared" si="18"/>
        <v>0</v>
      </c>
      <c r="X36" s="2848">
        <f t="shared" si="19"/>
        <v>0</v>
      </c>
      <c r="Y36" s="2849">
        <f t="shared" si="20"/>
        <v>0</v>
      </c>
      <c r="Z36" s="2850">
        <f t="shared" si="21"/>
        <v>0</v>
      </c>
      <c r="AA36" s="2851">
        <f t="shared" si="22"/>
        <v>0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2.75" customHeight="1" thickBot="1">
      <c r="A37" s="3109" t="s">
        <v>458</v>
      </c>
      <c r="B37" s="3110" t="s">
        <v>461</v>
      </c>
      <c r="C37" s="629">
        <f t="shared" si="1"/>
        <v>1.7939814814814817E-4</v>
      </c>
      <c r="D37" s="7141">
        <v>4</v>
      </c>
      <c r="E37" s="7142">
        <v>1</v>
      </c>
      <c r="F37" s="7032">
        <v>6</v>
      </c>
      <c r="G37" s="7032">
        <v>125</v>
      </c>
      <c r="H37" s="7143"/>
      <c r="I37" s="7144">
        <v>3.4722222222222224E-4</v>
      </c>
      <c r="J37" s="7144">
        <v>1.9675925925925928E-3</v>
      </c>
      <c r="K37" s="7032" t="s">
        <v>2031</v>
      </c>
      <c r="L37" s="7145">
        <f>L36+N36</f>
        <v>0.80211696759259266</v>
      </c>
      <c r="M37" s="7033">
        <v>1.17</v>
      </c>
      <c r="N37" s="7145">
        <f t="shared" si="46"/>
        <v>1.0347800925925927E-2</v>
      </c>
      <c r="O37" s="7034">
        <f>C37*(G37/25)</f>
        <v>8.9699074074074084E-4</v>
      </c>
      <c r="P37" s="7145">
        <f>O37*M37</f>
        <v>1.0494791666666667E-3</v>
      </c>
      <c r="Q37" s="7146">
        <v>180</v>
      </c>
      <c r="R37" s="7147">
        <f>E37*F37*G37</f>
        <v>750</v>
      </c>
      <c r="S37" s="2844">
        <f t="shared" si="14"/>
        <v>0.75</v>
      </c>
      <c r="T37" s="2845">
        <f t="shared" si="15"/>
        <v>2.1527777777777781E-2</v>
      </c>
      <c r="U37" s="374">
        <f t="shared" si="16"/>
        <v>0</v>
      </c>
      <c r="V37" s="2846">
        <f t="shared" si="17"/>
        <v>0</v>
      </c>
      <c r="W37" s="2847">
        <f t="shared" si="18"/>
        <v>0</v>
      </c>
      <c r="X37" s="2848">
        <f t="shared" si="19"/>
        <v>0.75</v>
      </c>
      <c r="Y37" s="2849">
        <f t="shared" si="20"/>
        <v>0</v>
      </c>
      <c r="Z37" s="2850">
        <f t="shared" si="21"/>
        <v>0</v>
      </c>
      <c r="AA37" s="2851">
        <f t="shared" si="22"/>
        <v>0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1"/>
    </row>
    <row r="38" spans="1:40" ht="12.75" customHeight="1" thickBot="1">
      <c r="A38" s="3109" t="s">
        <v>462</v>
      </c>
      <c r="B38" s="3110" t="s">
        <v>461</v>
      </c>
      <c r="C38" s="629">
        <f t="shared" si="1"/>
        <v>1.7939814814814817E-4</v>
      </c>
      <c r="D38" s="7148">
        <v>4</v>
      </c>
      <c r="E38" s="7149">
        <v>1</v>
      </c>
      <c r="F38" s="7150">
        <v>4</v>
      </c>
      <c r="G38" s="7032">
        <v>150</v>
      </c>
      <c r="H38" s="7143"/>
      <c r="I38" s="7144">
        <v>3.4722222222222224E-4</v>
      </c>
      <c r="J38" s="7144">
        <v>1.3888888888888889E-3</v>
      </c>
      <c r="K38" s="7032" t="s">
        <v>2032</v>
      </c>
      <c r="L38" s="7145">
        <f>L37+N37</f>
        <v>0.81246476851851857</v>
      </c>
      <c r="M38" s="7033">
        <v>1.17</v>
      </c>
      <c r="N38" s="7145">
        <f t="shared" si="46"/>
        <v>7.8152777777777786E-3</v>
      </c>
      <c r="O38" s="7034">
        <f>C38*(G38/25)</f>
        <v>1.0763888888888891E-3</v>
      </c>
      <c r="P38" s="7145">
        <f>O38*M38</f>
        <v>1.2593750000000001E-3</v>
      </c>
      <c r="Q38" s="7146">
        <v>180</v>
      </c>
      <c r="R38" s="7147">
        <f>E38*F38*G38</f>
        <v>600</v>
      </c>
      <c r="S38" s="2844">
        <f t="shared" si="14"/>
        <v>0.6</v>
      </c>
      <c r="T38" s="2845">
        <f t="shared" si="15"/>
        <v>1.7222222222222226E-2</v>
      </c>
      <c r="U38" s="374">
        <f t="shared" si="16"/>
        <v>0</v>
      </c>
      <c r="V38" s="2846">
        <f t="shared" si="17"/>
        <v>0</v>
      </c>
      <c r="W38" s="2847">
        <f t="shared" si="18"/>
        <v>0</v>
      </c>
      <c r="X38" s="2848">
        <f t="shared" si="19"/>
        <v>0.6</v>
      </c>
      <c r="Y38" s="2849">
        <f t="shared" si="20"/>
        <v>0</v>
      </c>
      <c r="Z38" s="2850">
        <f t="shared" si="21"/>
        <v>0</v>
      </c>
      <c r="AA38" s="2851">
        <f t="shared" si="22"/>
        <v>0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1"/>
    </row>
    <row r="39" spans="1:40" ht="12.75" customHeight="1" thickBot="1">
      <c r="A39" s="3109" t="s">
        <v>140</v>
      </c>
      <c r="B39" s="3110" t="s">
        <v>461</v>
      </c>
      <c r="C39" s="629">
        <f t="shared" si="1"/>
        <v>2.152777777777778E-4</v>
      </c>
      <c r="D39" s="7151">
        <v>2</v>
      </c>
      <c r="E39" s="7152">
        <v>1</v>
      </c>
      <c r="F39" s="7060">
        <v>8</v>
      </c>
      <c r="G39" s="7035">
        <v>100</v>
      </c>
      <c r="H39" s="7153"/>
      <c r="I39" s="7153">
        <v>3.4722222222222224E-4</v>
      </c>
      <c r="J39" s="7153">
        <v>3.4722222222222224E-4</v>
      </c>
      <c r="K39" s="7035" t="s">
        <v>2021</v>
      </c>
      <c r="L39" s="7036">
        <f t="shared" ref="L39:L42" si="47">L38+N38</f>
        <v>0.82028004629629636</v>
      </c>
      <c r="M39" s="7154">
        <v>1.17</v>
      </c>
      <c r="N39" s="7155">
        <f t="shared" ref="N39:N42" si="48">P39*E39*F39+I39*F39*E39+J39*E39</f>
        <v>1.1185000000000002E-2</v>
      </c>
      <c r="O39" s="7037">
        <f t="shared" ref="O39" si="49">C39*(G39/25)</f>
        <v>8.6111111111111121E-4</v>
      </c>
      <c r="P39" s="7037">
        <f t="shared" ref="P39" si="50">O39*M39</f>
        <v>1.0075000000000001E-3</v>
      </c>
      <c r="Q39" s="7038">
        <v>180</v>
      </c>
      <c r="R39" s="7156">
        <f t="shared" ref="R39" si="51">E39*F39*G39</f>
        <v>800</v>
      </c>
      <c r="S39" s="2844">
        <f t="shared" si="14"/>
        <v>0.8</v>
      </c>
      <c r="T39" s="2845">
        <f t="shared" si="15"/>
        <v>2.7555555555555559E-2</v>
      </c>
      <c r="U39" s="374">
        <f t="shared" si="16"/>
        <v>0</v>
      </c>
      <c r="V39" s="2846">
        <f t="shared" si="17"/>
        <v>0.8</v>
      </c>
      <c r="W39" s="2847">
        <f t="shared" si="18"/>
        <v>0</v>
      </c>
      <c r="X39" s="2848">
        <f t="shared" si="19"/>
        <v>0</v>
      </c>
      <c r="Y39" s="2849">
        <f t="shared" si="20"/>
        <v>0</v>
      </c>
      <c r="Z39" s="2850">
        <f t="shared" si="21"/>
        <v>0</v>
      </c>
      <c r="AA39" s="2851">
        <f t="shared" si="22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1"/>
    </row>
    <row r="40" spans="1:40" ht="13.25" customHeight="1" thickBot="1">
      <c r="A40" s="3109" t="s">
        <v>214</v>
      </c>
      <c r="B40" s="3110" t="s">
        <v>461</v>
      </c>
      <c r="C40" s="629">
        <f t="shared" si="1"/>
        <v>1.9733796296296302E-4</v>
      </c>
      <c r="D40" s="7157">
        <v>3</v>
      </c>
      <c r="E40" s="7158">
        <v>1</v>
      </c>
      <c r="F40" s="7039">
        <v>3</v>
      </c>
      <c r="G40" s="7039">
        <v>100</v>
      </c>
      <c r="H40" s="7039"/>
      <c r="I40" s="7159">
        <v>2.3148148148148146E-4</v>
      </c>
      <c r="J40" s="7159">
        <v>9.2592592592592585E-4</v>
      </c>
      <c r="K40" s="7039" t="s">
        <v>1571</v>
      </c>
      <c r="L40" s="7160">
        <f t="shared" si="47"/>
        <v>0.83146504629629636</v>
      </c>
      <c r="M40" s="7039">
        <v>1.17</v>
      </c>
      <c r="N40" s="7160">
        <f t="shared" si="48"/>
        <v>4.3909953703703706E-3</v>
      </c>
      <c r="O40" s="7040">
        <f>C40*(G40/25)</f>
        <v>7.8935185185185206E-4</v>
      </c>
      <c r="P40" s="7160">
        <f>O40*M40</f>
        <v>9.2354166666666691E-4</v>
      </c>
      <c r="Q40" s="7041">
        <v>160</v>
      </c>
      <c r="R40" s="7039">
        <f>E40*F40*G40</f>
        <v>300</v>
      </c>
      <c r="S40" s="2844">
        <f t="shared" si="14"/>
        <v>0.3</v>
      </c>
      <c r="T40" s="2845">
        <f t="shared" si="15"/>
        <v>9.4722222222222256E-3</v>
      </c>
      <c r="U40" s="374">
        <f t="shared" si="16"/>
        <v>0</v>
      </c>
      <c r="V40" s="2846">
        <f t="shared" si="17"/>
        <v>0</v>
      </c>
      <c r="W40" s="2847">
        <f t="shared" si="18"/>
        <v>0.3</v>
      </c>
      <c r="X40" s="2848">
        <f t="shared" si="19"/>
        <v>0</v>
      </c>
      <c r="Y40" s="2849">
        <f t="shared" si="20"/>
        <v>0</v>
      </c>
      <c r="Z40" s="2850">
        <f t="shared" si="21"/>
        <v>0</v>
      </c>
      <c r="AA40" s="2851">
        <f t="shared" si="22"/>
        <v>0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  <c r="AN40" s="1"/>
    </row>
    <row r="41" spans="1:40" ht="13.25" customHeight="1" thickBot="1">
      <c r="A41" s="3109" t="s">
        <v>458</v>
      </c>
      <c r="B41" s="3110" t="s">
        <v>461</v>
      </c>
      <c r="C41" s="629">
        <f t="shared" si="1"/>
        <v>1.7850115740740744E-4</v>
      </c>
      <c r="D41" s="7161">
        <v>5</v>
      </c>
      <c r="E41" s="7042">
        <v>10</v>
      </c>
      <c r="F41" s="7042">
        <v>1</v>
      </c>
      <c r="G41" s="7042">
        <v>75</v>
      </c>
      <c r="H41" s="7043"/>
      <c r="I41" s="7162">
        <v>5.7870370370370366E-5</v>
      </c>
      <c r="J41" s="7162">
        <v>6.9444444444444447E-4</v>
      </c>
      <c r="K41" s="7042" t="s">
        <v>2460</v>
      </c>
      <c r="L41" s="7163">
        <f t="shared" si="47"/>
        <v>0.83585604166666672</v>
      </c>
      <c r="M41" s="7043">
        <v>1.17</v>
      </c>
      <c r="N41" s="7163">
        <f t="shared" si="48"/>
        <v>1.3788538773148149E-2</v>
      </c>
      <c r="O41" s="7044">
        <f>C41*(G41/25)</f>
        <v>5.3550347222222237E-4</v>
      </c>
      <c r="P41" s="7163">
        <f>O41*M41</f>
        <v>6.2653906250000014E-4</v>
      </c>
      <c r="Q41" s="7164">
        <v>180</v>
      </c>
      <c r="R41" s="7042">
        <f>E41*F41*G41</f>
        <v>750</v>
      </c>
      <c r="S41" s="2844">
        <f t="shared" si="14"/>
        <v>0.75</v>
      </c>
      <c r="T41" s="2845">
        <f t="shared" si="15"/>
        <v>2.1420138888888895E-2</v>
      </c>
      <c r="U41" s="374">
        <f t="shared" si="16"/>
        <v>0</v>
      </c>
      <c r="V41" s="2846">
        <f t="shared" si="17"/>
        <v>0</v>
      </c>
      <c r="W41" s="2847">
        <f t="shared" si="18"/>
        <v>0</v>
      </c>
      <c r="X41" s="2848">
        <f t="shared" si="19"/>
        <v>0</v>
      </c>
      <c r="Y41" s="2849">
        <f t="shared" si="20"/>
        <v>0.75</v>
      </c>
      <c r="Z41" s="2850">
        <f t="shared" si="21"/>
        <v>0</v>
      </c>
      <c r="AA41" s="2851">
        <f t="shared" si="22"/>
        <v>0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  <c r="AN41" s="1"/>
    </row>
    <row r="42" spans="1:40" ht="14" customHeight="1">
      <c r="A42" s="3109" t="s">
        <v>219</v>
      </c>
      <c r="B42" s="3110" t="s">
        <v>461</v>
      </c>
      <c r="C42" s="629">
        <f t="shared" ref="C42" si="52">IF(D42=1,U$4,IF(D42=2,V$4,IF(D42=3,W$4,IF(D42=4,X$4,IF(D42=5,Y$4,IF(D42=6,Z$4,IF(D42=7,AA$4,0)))))))</f>
        <v>1.7222222222222224E-4</v>
      </c>
      <c r="D42" s="7165">
        <v>7</v>
      </c>
      <c r="E42" s="7045">
        <v>1</v>
      </c>
      <c r="F42" s="7045">
        <v>4</v>
      </c>
      <c r="G42" s="7046">
        <v>35</v>
      </c>
      <c r="H42" s="7045"/>
      <c r="I42" s="7047">
        <v>4.0509259259259258E-4</v>
      </c>
      <c r="J42" s="7048">
        <v>1.3888888888888889E-3</v>
      </c>
      <c r="K42" s="7045" t="s">
        <v>1568</v>
      </c>
      <c r="L42" s="7049">
        <f t="shared" si="47"/>
        <v>0.84964458043981483</v>
      </c>
      <c r="M42" s="7050">
        <v>1.17</v>
      </c>
      <c r="N42" s="7049">
        <f t="shared" si="48"/>
        <v>4.1376592592592592E-3</v>
      </c>
      <c r="O42" s="7048">
        <f t="shared" ref="O42" si="53">C42*(G42/25)</f>
        <v>2.4111111111111111E-4</v>
      </c>
      <c r="P42" s="7049">
        <f>O42*M42</f>
        <v>2.8209999999999997E-4</v>
      </c>
      <c r="Q42" s="7051"/>
      <c r="R42" s="7052">
        <f t="shared" ref="R42" si="54">E42*F42*G42</f>
        <v>140</v>
      </c>
      <c r="S42" s="2844">
        <f t="shared" si="14"/>
        <v>0.14000000000000001</v>
      </c>
      <c r="T42" s="2845">
        <f t="shared" si="15"/>
        <v>3.8577777777777777E-3</v>
      </c>
      <c r="U42" s="374">
        <f t="shared" si="16"/>
        <v>0</v>
      </c>
      <c r="V42" s="2846">
        <f t="shared" si="17"/>
        <v>0</v>
      </c>
      <c r="W42" s="2847">
        <f t="shared" si="18"/>
        <v>0</v>
      </c>
      <c r="X42" s="2848">
        <f t="shared" si="19"/>
        <v>0</v>
      </c>
      <c r="Y42" s="2849">
        <f t="shared" si="20"/>
        <v>0</v>
      </c>
      <c r="Z42" s="2850">
        <f t="shared" si="21"/>
        <v>0</v>
      </c>
      <c r="AA42" s="2851">
        <f t="shared" si="22"/>
        <v>0.14000000000000001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  <c r="AN42" s="1"/>
    </row>
    <row r="43" spans="1:40" ht="14" customHeight="1" thickBot="1">
      <c r="A43" s="6960"/>
      <c r="B43" s="6960"/>
      <c r="C43" s="6959"/>
      <c r="D43" s="7001"/>
      <c r="E43" s="7001"/>
      <c r="F43" s="7001"/>
      <c r="G43" s="7001"/>
      <c r="H43" s="7002"/>
      <c r="I43" s="7002"/>
      <c r="J43" s="7002"/>
      <c r="K43" s="7003"/>
      <c r="L43" s="5269">
        <f>L42+N42</f>
        <v>0.85378223969907407</v>
      </c>
      <c r="M43" s="7004"/>
      <c r="N43" s="7005"/>
      <c r="O43" s="7002"/>
      <c r="P43" s="7005"/>
      <c r="Q43" s="7006"/>
      <c r="R43" s="7007">
        <f>SUM(R33:R42)</f>
        <v>7410</v>
      </c>
      <c r="S43" s="2844">
        <f t="shared" si="14"/>
        <v>0</v>
      </c>
      <c r="T43" s="2845">
        <f t="shared" si="15"/>
        <v>0</v>
      </c>
      <c r="U43" s="374">
        <f t="shared" si="16"/>
        <v>0</v>
      </c>
      <c r="V43" s="2846">
        <f t="shared" si="17"/>
        <v>0</v>
      </c>
      <c r="W43" s="2847">
        <f t="shared" si="18"/>
        <v>0</v>
      </c>
      <c r="X43" s="2848">
        <f t="shared" si="19"/>
        <v>0</v>
      </c>
      <c r="Y43" s="2849">
        <f t="shared" si="20"/>
        <v>0</v>
      </c>
      <c r="Z43" s="2850">
        <f t="shared" si="21"/>
        <v>0</v>
      </c>
      <c r="AA43" s="2851">
        <f t="shared" si="22"/>
        <v>0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  <c r="AN43" s="1"/>
    </row>
    <row r="44" spans="1:40" ht="14" customHeight="1" thickBot="1">
      <c r="A44" s="3134" t="s">
        <v>217</v>
      </c>
      <c r="B44" s="3135" t="s">
        <v>215</v>
      </c>
      <c r="C44" s="629">
        <f t="shared" ref="C44" si="55">IF(D44=1,U$4,IF(D44=2,V$4,IF(D44=3,W$4,IF(D44=4,X$4,IF(D44=5,Y$4,IF(D44=6,Z$4,IF(D44=7,AA$4,0)))))))</f>
        <v>2.3321759259259265E-4</v>
      </c>
      <c r="D44" s="7117">
        <v>1</v>
      </c>
      <c r="E44" s="7118">
        <v>1</v>
      </c>
      <c r="F44" s="7118">
        <v>16</v>
      </c>
      <c r="G44" s="7118">
        <v>25</v>
      </c>
      <c r="H44" s="7119" t="s">
        <v>2459</v>
      </c>
      <c r="I44" s="7120">
        <v>2.3148148148148146E-4</v>
      </c>
      <c r="J44" s="7120">
        <v>1.3888888888888889E-3</v>
      </c>
      <c r="K44" s="7008" t="s">
        <v>2458</v>
      </c>
      <c r="L44" s="6970">
        <v>0.2951388888888889</v>
      </c>
      <c r="M44" s="7121">
        <v>1.1000000000000001</v>
      </c>
      <c r="N44" s="7120">
        <f t="shared" ref="N44" si="56">P44*E44*F44+I44*E44*F44+J44*E44</f>
        <v>9.2793148148148166E-3</v>
      </c>
      <c r="O44" s="7009">
        <f t="shared" ref="O44" si="57">C44*(G44/25)*1.02</f>
        <v>2.3788194444444451E-4</v>
      </c>
      <c r="P44" s="7009">
        <f t="shared" ref="P44" si="58">O44*M44</f>
        <v>2.6167013888888898E-4</v>
      </c>
      <c r="Q44" s="7010">
        <v>110</v>
      </c>
      <c r="R44" s="7118">
        <f t="shared" ref="R44" si="59">E44*F44*G44</f>
        <v>400</v>
      </c>
      <c r="S44" s="2844">
        <f t="shared" si="14"/>
        <v>0.4</v>
      </c>
      <c r="T44" s="2845">
        <f t="shared" si="15"/>
        <v>1.5224444444444448E-2</v>
      </c>
      <c r="U44" s="374">
        <f t="shared" si="16"/>
        <v>0.4</v>
      </c>
      <c r="V44" s="2846">
        <f t="shared" si="17"/>
        <v>0</v>
      </c>
      <c r="W44" s="2847">
        <f t="shared" si="18"/>
        <v>0</v>
      </c>
      <c r="X44" s="2848">
        <f t="shared" si="19"/>
        <v>0</v>
      </c>
      <c r="Y44" s="2849">
        <f t="shared" si="20"/>
        <v>0</v>
      </c>
      <c r="Z44" s="2850">
        <f t="shared" si="21"/>
        <v>0</v>
      </c>
      <c r="AA44" s="2851">
        <f t="shared" si="22"/>
        <v>0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  <c r="AN44" s="1"/>
    </row>
    <row r="45" spans="1:40" ht="14" customHeight="1" thickBot="1">
      <c r="A45" s="3134" t="s">
        <v>459</v>
      </c>
      <c r="B45" s="3135" t="s">
        <v>215</v>
      </c>
      <c r="C45" s="629">
        <f t="shared" ref="C45" si="60">IF(D45=1,U$4,IF(D45=2,V$4,IF(D45=3,W$4,IF(D45=4,X$4,IF(D45=5,Y$4,IF(D45=6,Z$4,IF(D45=7,AA$4,0)))))))</f>
        <v>1.7581018518518521E-4</v>
      </c>
      <c r="D45" s="7166">
        <v>6</v>
      </c>
      <c r="E45" s="7167">
        <v>1</v>
      </c>
      <c r="F45" s="7168">
        <v>4</v>
      </c>
      <c r="G45" s="7053">
        <v>50</v>
      </c>
      <c r="H45" s="7169" t="s">
        <v>1417</v>
      </c>
      <c r="I45" s="7169">
        <v>2.8935185185185189E-4</v>
      </c>
      <c r="J45" s="7169">
        <v>2.3148148148148146E-4</v>
      </c>
      <c r="K45" s="7053" t="s">
        <v>937</v>
      </c>
      <c r="L45" s="7054">
        <f t="shared" ref="L45" si="61">L44+N44</f>
        <v>0.3044182037037037</v>
      </c>
      <c r="M45" s="7053">
        <v>1.1000000000000001</v>
      </c>
      <c r="N45" s="7170">
        <f>P45*E45*F45+I45*F45*E45+J45*E45</f>
        <v>2.9360185185185188E-3</v>
      </c>
      <c r="O45" s="7053">
        <f t="shared" ref="O45" si="62">C45*(G45/25)</f>
        <v>3.5162037037037041E-4</v>
      </c>
      <c r="P45" s="7055">
        <f t="shared" ref="P45" si="63">O45*M45</f>
        <v>3.8678240740740746E-4</v>
      </c>
      <c r="Q45" s="7053" t="s">
        <v>278</v>
      </c>
      <c r="R45" s="7053">
        <f t="shared" ref="R45" si="64">E45*F45*G45</f>
        <v>200</v>
      </c>
      <c r="S45" s="2844">
        <f t="shared" si="14"/>
        <v>0.2</v>
      </c>
      <c r="T45" s="2845">
        <f t="shared" si="15"/>
        <v>5.6259259259259266E-3</v>
      </c>
      <c r="U45" s="374">
        <f t="shared" si="16"/>
        <v>0</v>
      </c>
      <c r="V45" s="2846">
        <f t="shared" si="17"/>
        <v>0</v>
      </c>
      <c r="W45" s="2847">
        <f t="shared" si="18"/>
        <v>0</v>
      </c>
      <c r="X45" s="2848">
        <f t="shared" si="19"/>
        <v>0</v>
      </c>
      <c r="Y45" s="2849">
        <f t="shared" si="20"/>
        <v>0</v>
      </c>
      <c r="Z45" s="2850">
        <f t="shared" si="21"/>
        <v>0.2</v>
      </c>
      <c r="AA45" s="2851">
        <f t="shared" si="22"/>
        <v>0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  <c r="AN45" s="1"/>
    </row>
    <row r="46" spans="1:40" ht="14" customHeight="1" thickBot="1">
      <c r="A46" s="3134" t="s">
        <v>458</v>
      </c>
      <c r="B46" s="3135" t="s">
        <v>215</v>
      </c>
      <c r="C46" s="629">
        <f t="shared" ref="C46:C49" si="65">IF(D46=1,U$4,IF(D46=2,V$4,IF(D46=3,W$4,IF(D46=4,X$4,IF(D46=5,Y$4,IF(D46=6,Z$4,IF(D46=7,AA$4,0)))))))</f>
        <v>1.7581018518518521E-4</v>
      </c>
      <c r="D46" s="7110">
        <v>6</v>
      </c>
      <c r="E46" s="6962">
        <v>1</v>
      </c>
      <c r="F46" s="6962">
        <v>8</v>
      </c>
      <c r="G46" s="6962">
        <v>75</v>
      </c>
      <c r="H46" s="6962" t="s">
        <v>2045</v>
      </c>
      <c r="I46" s="6965">
        <v>1.3888888888888889E-3</v>
      </c>
      <c r="J46" s="6965">
        <v>2.0833333333333333E-3</v>
      </c>
      <c r="K46" s="6962" t="s">
        <v>2462</v>
      </c>
      <c r="L46" s="6966">
        <f>L45+N45</f>
        <v>0.30735422222222225</v>
      </c>
      <c r="M46" s="6967">
        <v>1.1000000000000001</v>
      </c>
      <c r="N46" s="6965">
        <f t="shared" ref="N46:N49" si="66">P46*E46*F46+I46*E46*F46+J46*E46</f>
        <v>1.7928661111111112E-2</v>
      </c>
      <c r="O46" s="6963">
        <f t="shared" ref="O46:O49" si="67">C46*(G46/25)*1.02</f>
        <v>5.3797916666666675E-4</v>
      </c>
      <c r="P46" s="6964">
        <f t="shared" ref="P46:P49" si="68">O46*M46</f>
        <v>5.9177708333333343E-4</v>
      </c>
      <c r="Q46" s="6968">
        <f>P46*75/61</f>
        <v>7.2759477459016406E-4</v>
      </c>
      <c r="R46" s="6962">
        <f t="shared" ref="R46:R49" si="69">E46*F46*G46</f>
        <v>600</v>
      </c>
      <c r="S46" s="2844">
        <f t="shared" si="14"/>
        <v>0.6</v>
      </c>
      <c r="T46" s="2845">
        <f t="shared" si="15"/>
        <v>1.7215333333333336E-2</v>
      </c>
      <c r="U46" s="374">
        <f t="shared" si="16"/>
        <v>0</v>
      </c>
      <c r="V46" s="2846">
        <f t="shared" si="17"/>
        <v>0</v>
      </c>
      <c r="W46" s="2847">
        <f t="shared" si="18"/>
        <v>0</v>
      </c>
      <c r="X46" s="2848">
        <f t="shared" si="19"/>
        <v>0</v>
      </c>
      <c r="Y46" s="2849">
        <f t="shared" si="20"/>
        <v>0</v>
      </c>
      <c r="Z46" s="2850">
        <f t="shared" si="21"/>
        <v>0.6</v>
      </c>
      <c r="AA46" s="2851">
        <f t="shared" si="22"/>
        <v>0</v>
      </c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  <c r="AN46" s="1"/>
    </row>
    <row r="47" spans="1:40" ht="14" customHeight="1" thickBot="1">
      <c r="A47" s="3134" t="s">
        <v>218</v>
      </c>
      <c r="B47" s="3135" t="s">
        <v>215</v>
      </c>
      <c r="C47" s="629">
        <f t="shared" si="65"/>
        <v>1.7581018518518521E-4</v>
      </c>
      <c r="D47" s="7110">
        <v>6</v>
      </c>
      <c r="E47" s="6962">
        <v>1</v>
      </c>
      <c r="F47" s="6962">
        <v>6</v>
      </c>
      <c r="G47" s="6962">
        <v>75</v>
      </c>
      <c r="H47" s="6962" t="s">
        <v>2045</v>
      </c>
      <c r="I47" s="6965">
        <v>1.3888888888888889E-3</v>
      </c>
      <c r="J47" s="6965">
        <v>2.0833333333333333E-3</v>
      </c>
      <c r="K47" s="6962" t="s">
        <v>2462</v>
      </c>
      <c r="L47" s="6966">
        <f t="shared" ref="L47:L48" si="70">L45+N45</f>
        <v>0.30735422222222225</v>
      </c>
      <c r="M47" s="6967">
        <v>1.08</v>
      </c>
      <c r="N47" s="6965">
        <f t="shared" si="66"/>
        <v>1.3902771666666668E-2</v>
      </c>
      <c r="O47" s="6963">
        <f t="shared" si="67"/>
        <v>5.3797916666666675E-4</v>
      </c>
      <c r="P47" s="6964">
        <f t="shared" si="68"/>
        <v>5.8101750000000014E-4</v>
      </c>
      <c r="Q47" s="6968">
        <f t="shared" ref="Q47:Q48" si="71">P47*75/61</f>
        <v>7.143657786885248E-4</v>
      </c>
      <c r="R47" s="6962">
        <f t="shared" si="69"/>
        <v>450</v>
      </c>
      <c r="S47" s="2844">
        <f t="shared" si="14"/>
        <v>0.45</v>
      </c>
      <c r="T47" s="2845">
        <f t="shared" si="15"/>
        <v>1.2911500000000003E-2</v>
      </c>
      <c r="U47" s="374">
        <f t="shared" si="16"/>
        <v>0</v>
      </c>
      <c r="V47" s="2846">
        <f t="shared" si="17"/>
        <v>0</v>
      </c>
      <c r="W47" s="2847">
        <f t="shared" si="18"/>
        <v>0</v>
      </c>
      <c r="X47" s="2848">
        <f t="shared" si="19"/>
        <v>0</v>
      </c>
      <c r="Y47" s="2849">
        <f t="shared" si="20"/>
        <v>0</v>
      </c>
      <c r="Z47" s="2850">
        <f t="shared" si="21"/>
        <v>0.45</v>
      </c>
      <c r="AA47" s="2851">
        <f t="shared" si="22"/>
        <v>0</v>
      </c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  <c r="AN47" s="1"/>
    </row>
    <row r="48" spans="1:40" ht="14" customHeight="1" thickBot="1">
      <c r="A48" s="3134" t="s">
        <v>458</v>
      </c>
      <c r="B48" s="3135" t="s">
        <v>215</v>
      </c>
      <c r="C48" s="629">
        <f t="shared" si="65"/>
        <v>1.7581018518518521E-4</v>
      </c>
      <c r="D48" s="7110">
        <v>6</v>
      </c>
      <c r="E48" s="6962">
        <v>1</v>
      </c>
      <c r="F48" s="6962">
        <v>4</v>
      </c>
      <c r="G48" s="6962">
        <v>75</v>
      </c>
      <c r="H48" s="6962" t="s">
        <v>2045</v>
      </c>
      <c r="I48" s="6965">
        <v>1.3888888888888889E-3</v>
      </c>
      <c r="J48" s="6965">
        <v>2.0833333333333333E-3</v>
      </c>
      <c r="K48" s="6962" t="s">
        <v>2462</v>
      </c>
      <c r="L48" s="6966">
        <f t="shared" si="70"/>
        <v>0.32528288333333338</v>
      </c>
      <c r="M48" s="6967">
        <v>1.06</v>
      </c>
      <c r="N48" s="6965">
        <f t="shared" si="66"/>
        <v>9.9199205555555552E-3</v>
      </c>
      <c r="O48" s="6963">
        <f t="shared" si="67"/>
        <v>5.3797916666666675E-4</v>
      </c>
      <c r="P48" s="6964">
        <f t="shared" si="68"/>
        <v>5.7025791666666674E-4</v>
      </c>
      <c r="Q48" s="6968">
        <f t="shared" si="71"/>
        <v>7.0113678278688532E-4</v>
      </c>
      <c r="R48" s="6962">
        <f t="shared" si="69"/>
        <v>300</v>
      </c>
      <c r="S48" s="2844">
        <f t="shared" si="14"/>
        <v>0.3</v>
      </c>
      <c r="T48" s="2845">
        <f t="shared" si="15"/>
        <v>8.607666666666668E-3</v>
      </c>
      <c r="U48" s="374">
        <f t="shared" si="16"/>
        <v>0</v>
      </c>
      <c r="V48" s="2846">
        <f t="shared" si="17"/>
        <v>0</v>
      </c>
      <c r="W48" s="2847">
        <f t="shared" si="18"/>
        <v>0</v>
      </c>
      <c r="X48" s="2848">
        <f t="shared" si="19"/>
        <v>0</v>
      </c>
      <c r="Y48" s="2849">
        <f t="shared" si="20"/>
        <v>0</v>
      </c>
      <c r="Z48" s="2850">
        <f t="shared" si="21"/>
        <v>0.3</v>
      </c>
      <c r="AA48" s="2851">
        <f t="shared" si="22"/>
        <v>0</v>
      </c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  <c r="AN48" s="1"/>
    </row>
    <row r="49" spans="1:40" ht="14" customHeight="1" thickBot="1">
      <c r="A49" s="3134" t="s">
        <v>219</v>
      </c>
      <c r="B49" s="3135"/>
      <c r="C49" s="629">
        <f t="shared" si="65"/>
        <v>1.7222222222222224E-4</v>
      </c>
      <c r="D49" s="7016">
        <v>7</v>
      </c>
      <c r="E49" s="7017">
        <v>2</v>
      </c>
      <c r="F49" s="7017">
        <v>4</v>
      </c>
      <c r="G49" s="7017">
        <v>25</v>
      </c>
      <c r="H49" s="7018" t="s">
        <v>1610</v>
      </c>
      <c r="I49" s="7018">
        <v>3.4722222222222224E-4</v>
      </c>
      <c r="J49" s="7018">
        <v>6.9444444444444447E-4</v>
      </c>
      <c r="K49" s="7017" t="s">
        <v>2461</v>
      </c>
      <c r="L49" s="7019">
        <f t="shared" ref="L49:L50" si="72">L48+N48</f>
        <v>0.33520280388888896</v>
      </c>
      <c r="M49" s="7020">
        <v>1.1000000000000001</v>
      </c>
      <c r="N49" s="7018">
        <f t="shared" si="66"/>
        <v>5.7125333333333337E-3</v>
      </c>
      <c r="O49" s="7021">
        <f t="shared" si="67"/>
        <v>1.7566666666666669E-4</v>
      </c>
      <c r="P49" s="7022">
        <f t="shared" si="68"/>
        <v>1.9323333333333339E-4</v>
      </c>
      <c r="Q49" s="7014">
        <v>200</v>
      </c>
      <c r="R49" s="7015">
        <f t="shared" si="69"/>
        <v>200</v>
      </c>
      <c r="S49" s="2844">
        <f t="shared" si="14"/>
        <v>0.2</v>
      </c>
      <c r="T49" s="2845">
        <f t="shared" si="15"/>
        <v>5.6213333333333341E-3</v>
      </c>
      <c r="U49" s="374">
        <f t="shared" si="16"/>
        <v>0</v>
      </c>
      <c r="V49" s="2846">
        <f t="shared" si="17"/>
        <v>0</v>
      </c>
      <c r="W49" s="2847">
        <f t="shared" si="18"/>
        <v>0</v>
      </c>
      <c r="X49" s="2848">
        <f t="shared" si="19"/>
        <v>0</v>
      </c>
      <c r="Y49" s="2849">
        <f t="shared" si="20"/>
        <v>0</v>
      </c>
      <c r="Z49" s="2850">
        <f t="shared" si="21"/>
        <v>0</v>
      </c>
      <c r="AA49" s="2851">
        <f t="shared" si="22"/>
        <v>0.2</v>
      </c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  <c r="AN49" s="1"/>
    </row>
    <row r="50" spans="1:40" ht="14" customHeight="1" thickBot="1">
      <c r="A50" s="3134"/>
      <c r="B50" s="3135"/>
      <c r="C50" s="6961"/>
      <c r="D50" s="7171"/>
      <c r="E50" s="7172"/>
      <c r="F50" s="7172"/>
      <c r="G50" s="7172"/>
      <c r="H50" s="7173"/>
      <c r="I50" s="7173"/>
      <c r="J50" s="7173"/>
      <c r="K50" s="7056"/>
      <c r="L50" s="7057">
        <f t="shared" si="72"/>
        <v>0.34091533722222228</v>
      </c>
      <c r="M50" s="7174"/>
      <c r="N50" s="7058"/>
      <c r="O50" s="7173"/>
      <c r="P50" s="7058"/>
      <c r="Q50" s="7059"/>
      <c r="R50" s="7175">
        <f>SUM(R44:R49)</f>
        <v>2150</v>
      </c>
      <c r="S50" s="2844">
        <f t="shared" si="14"/>
        <v>0</v>
      </c>
      <c r="T50" s="2845">
        <f t="shared" si="15"/>
        <v>0</v>
      </c>
      <c r="U50" s="374">
        <f t="shared" si="16"/>
        <v>0</v>
      </c>
      <c r="V50" s="2846">
        <f t="shared" si="17"/>
        <v>0</v>
      </c>
      <c r="W50" s="2847">
        <f t="shared" si="18"/>
        <v>0</v>
      </c>
      <c r="X50" s="2848">
        <f t="shared" si="19"/>
        <v>0</v>
      </c>
      <c r="Y50" s="2849">
        <f t="shared" si="20"/>
        <v>0</v>
      </c>
      <c r="Z50" s="2850">
        <f t="shared" si="21"/>
        <v>0</v>
      </c>
      <c r="AA50" s="2851">
        <f t="shared" si="22"/>
        <v>0</v>
      </c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  <c r="AN50" s="1"/>
    </row>
    <row r="51" spans="1:40" ht="14" customHeight="1" thickBot="1">
      <c r="A51" s="3134" t="s">
        <v>217</v>
      </c>
      <c r="B51" s="3135" t="s">
        <v>215</v>
      </c>
      <c r="C51" s="629">
        <f t="shared" si="1"/>
        <v>2.152777777777778E-4</v>
      </c>
      <c r="D51" s="7176">
        <v>2</v>
      </c>
      <c r="E51" s="7060">
        <v>1</v>
      </c>
      <c r="F51" s="7060">
        <v>8</v>
      </c>
      <c r="G51" s="7060">
        <v>25</v>
      </c>
      <c r="H51" s="7061"/>
      <c r="I51" s="7061">
        <v>5.7870370370370366E-5</v>
      </c>
      <c r="J51" s="7061">
        <v>6.9444444444444447E-4</v>
      </c>
      <c r="K51" s="7060" t="s">
        <v>1567</v>
      </c>
      <c r="L51" s="7062">
        <v>0.79861111111111116</v>
      </c>
      <c r="M51" s="7063">
        <v>1.17</v>
      </c>
      <c r="N51" s="7064">
        <f t="shared" ref="N51:N57" si="73">P51*E51*F51+I51*F51*E51+J51*E51</f>
        <v>3.1724074074074076E-3</v>
      </c>
      <c r="O51" s="7064">
        <f t="shared" ref="O51:O57" si="74">C51*(G51/25)</f>
        <v>2.152777777777778E-4</v>
      </c>
      <c r="P51" s="7064">
        <f t="shared" ref="P51:P57" si="75">O51*M51</f>
        <v>2.5187500000000004E-4</v>
      </c>
      <c r="Q51" s="7065">
        <v>160</v>
      </c>
      <c r="R51" s="7066">
        <f t="shared" ref="R51:R57" si="76">E51*F51*G51</f>
        <v>200</v>
      </c>
      <c r="S51" s="2844">
        <f t="shared" si="14"/>
        <v>0.2</v>
      </c>
      <c r="T51" s="2845">
        <f t="shared" si="15"/>
        <v>6.8888888888888897E-3</v>
      </c>
      <c r="U51" s="374">
        <f t="shared" si="16"/>
        <v>0</v>
      </c>
      <c r="V51" s="2846">
        <f t="shared" si="17"/>
        <v>0.2</v>
      </c>
      <c r="W51" s="2847">
        <f t="shared" si="18"/>
        <v>0</v>
      </c>
      <c r="X51" s="2848">
        <f t="shared" si="19"/>
        <v>0</v>
      </c>
      <c r="Y51" s="2849">
        <f t="shared" si="20"/>
        <v>0</v>
      </c>
      <c r="Z51" s="2850">
        <f t="shared" si="21"/>
        <v>0</v>
      </c>
      <c r="AA51" s="2851">
        <f t="shared" si="22"/>
        <v>0</v>
      </c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  <c r="AN51" s="1"/>
    </row>
    <row r="52" spans="1:40" ht="14" customHeight="1" thickBot="1">
      <c r="A52" s="3134" t="s">
        <v>459</v>
      </c>
      <c r="B52" s="3135" t="s">
        <v>215</v>
      </c>
      <c r="C52" s="629">
        <f t="shared" si="1"/>
        <v>1.7222222222222224E-4</v>
      </c>
      <c r="D52" s="7176">
        <v>7</v>
      </c>
      <c r="E52" s="7067">
        <v>1</v>
      </c>
      <c r="F52" s="7067">
        <v>4</v>
      </c>
      <c r="G52" s="7067">
        <v>25</v>
      </c>
      <c r="H52" s="7068"/>
      <c r="I52" s="7068">
        <v>1.1574074074074073E-3</v>
      </c>
      <c r="J52" s="7068">
        <v>1.3888888888888889E-3</v>
      </c>
      <c r="K52" s="7069" t="s">
        <v>1572</v>
      </c>
      <c r="L52" s="7070">
        <f t="shared" ref="L52:L57" si="77">L51+N51</f>
        <v>0.80178351851851859</v>
      </c>
      <c r="M52" s="7071">
        <v>1.17</v>
      </c>
      <c r="N52" s="7072">
        <f t="shared" si="73"/>
        <v>6.8245185185185188E-3</v>
      </c>
      <c r="O52" s="7073">
        <f t="shared" si="74"/>
        <v>1.7222222222222224E-4</v>
      </c>
      <c r="P52" s="7074">
        <f t="shared" si="75"/>
        <v>2.0149999999999999E-4</v>
      </c>
      <c r="Q52" s="7075">
        <v>160</v>
      </c>
      <c r="R52" s="7076">
        <f t="shared" si="76"/>
        <v>100</v>
      </c>
      <c r="S52" s="2844">
        <f t="shared" si="14"/>
        <v>0.1</v>
      </c>
      <c r="T52" s="2845">
        <f t="shared" si="15"/>
        <v>2.7555555555555558E-3</v>
      </c>
      <c r="U52" s="374">
        <f t="shared" si="16"/>
        <v>0</v>
      </c>
      <c r="V52" s="2846">
        <f t="shared" si="17"/>
        <v>0</v>
      </c>
      <c r="W52" s="2847">
        <f t="shared" si="18"/>
        <v>0</v>
      </c>
      <c r="X52" s="2848">
        <f t="shared" si="19"/>
        <v>0</v>
      </c>
      <c r="Y52" s="2849">
        <f t="shared" si="20"/>
        <v>0</v>
      </c>
      <c r="Z52" s="2850">
        <f t="shared" si="21"/>
        <v>0</v>
      </c>
      <c r="AA52" s="2851">
        <f t="shared" si="22"/>
        <v>0.1</v>
      </c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  <c r="AN52" s="1"/>
    </row>
    <row r="53" spans="1:40" ht="14" customHeight="1" thickBot="1">
      <c r="A53" s="3134" t="s">
        <v>458</v>
      </c>
      <c r="B53" s="3135" t="s">
        <v>215</v>
      </c>
      <c r="C53" s="629">
        <f t="shared" si="1"/>
        <v>1.9733796296296302E-4</v>
      </c>
      <c r="D53" s="7176">
        <v>3</v>
      </c>
      <c r="E53" s="7077">
        <v>1</v>
      </c>
      <c r="F53" s="7077">
        <v>8</v>
      </c>
      <c r="G53" s="7077">
        <v>25</v>
      </c>
      <c r="H53" s="7078"/>
      <c r="I53" s="7078">
        <v>2.8935185185185189E-4</v>
      </c>
      <c r="J53" s="7078">
        <v>1.3888888888888889E-3</v>
      </c>
      <c r="K53" s="7077" t="s">
        <v>1567</v>
      </c>
      <c r="L53" s="7079">
        <f t="shared" si="77"/>
        <v>0.8086080370370371</v>
      </c>
      <c r="M53" s="7080">
        <v>1.17</v>
      </c>
      <c r="N53" s="7081">
        <f t="shared" si="73"/>
        <v>5.5507870370370381E-3</v>
      </c>
      <c r="O53" s="7082">
        <f t="shared" si="74"/>
        <v>1.9733796296296302E-4</v>
      </c>
      <c r="P53" s="7083">
        <f t="shared" si="75"/>
        <v>2.3088541666666673E-4</v>
      </c>
      <c r="Q53" s="7084">
        <v>160</v>
      </c>
      <c r="R53" s="7085">
        <f t="shared" si="76"/>
        <v>200</v>
      </c>
      <c r="S53" s="2844">
        <f t="shared" si="14"/>
        <v>0.2</v>
      </c>
      <c r="T53" s="2845">
        <f t="shared" si="15"/>
        <v>6.3148148148148165E-3</v>
      </c>
      <c r="U53" s="374">
        <f t="shared" si="16"/>
        <v>0</v>
      </c>
      <c r="V53" s="2846">
        <f t="shared" si="17"/>
        <v>0</v>
      </c>
      <c r="W53" s="2847">
        <f t="shared" si="18"/>
        <v>0.2</v>
      </c>
      <c r="X53" s="2848">
        <f t="shared" si="19"/>
        <v>0</v>
      </c>
      <c r="Y53" s="2849">
        <f t="shared" si="20"/>
        <v>0</v>
      </c>
      <c r="Z53" s="2850">
        <f t="shared" si="21"/>
        <v>0</v>
      </c>
      <c r="AA53" s="2851">
        <f t="shared" si="22"/>
        <v>0</v>
      </c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  <c r="AN53" s="1"/>
    </row>
    <row r="54" spans="1:40" ht="14" customHeight="1" thickBot="1">
      <c r="A54" s="3134" t="s">
        <v>218</v>
      </c>
      <c r="B54" s="3135" t="s">
        <v>215</v>
      </c>
      <c r="C54" s="629">
        <f t="shared" si="1"/>
        <v>1.7222222222222224E-4</v>
      </c>
      <c r="D54" s="7176">
        <v>7</v>
      </c>
      <c r="E54" s="7067">
        <v>1</v>
      </c>
      <c r="F54" s="7067">
        <v>1</v>
      </c>
      <c r="G54" s="7067">
        <v>35</v>
      </c>
      <c r="H54" s="7068"/>
      <c r="I54" s="7068">
        <v>2.3148148148148146E-4</v>
      </c>
      <c r="J54" s="7068">
        <v>1.3888888888888889E-3</v>
      </c>
      <c r="K54" s="7069" t="s">
        <v>284</v>
      </c>
      <c r="L54" s="7070">
        <f t="shared" si="77"/>
        <v>0.81415882407407414</v>
      </c>
      <c r="M54" s="7071">
        <v>1.17</v>
      </c>
      <c r="N54" s="7072">
        <f t="shared" si="73"/>
        <v>1.9024703703703705E-3</v>
      </c>
      <c r="O54" s="7073">
        <f t="shared" si="74"/>
        <v>2.4111111111111111E-4</v>
      </c>
      <c r="P54" s="7074">
        <f t="shared" si="75"/>
        <v>2.8209999999999997E-4</v>
      </c>
      <c r="Q54" s="7075">
        <v>160</v>
      </c>
      <c r="R54" s="7076">
        <f t="shared" si="76"/>
        <v>35</v>
      </c>
      <c r="S54" s="2844">
        <f t="shared" si="14"/>
        <v>3.5000000000000003E-2</v>
      </c>
      <c r="T54" s="2845">
        <f t="shared" si="15"/>
        <v>9.6444444444444442E-4</v>
      </c>
      <c r="U54" s="374">
        <f t="shared" si="16"/>
        <v>0</v>
      </c>
      <c r="V54" s="2846">
        <f t="shared" si="17"/>
        <v>0</v>
      </c>
      <c r="W54" s="2847">
        <f t="shared" si="18"/>
        <v>0</v>
      </c>
      <c r="X54" s="2848">
        <f t="shared" si="19"/>
        <v>0</v>
      </c>
      <c r="Y54" s="2849">
        <f t="shared" si="20"/>
        <v>0</v>
      </c>
      <c r="Z54" s="2850">
        <f t="shared" si="21"/>
        <v>0</v>
      </c>
      <c r="AA54" s="2851">
        <f t="shared" si="22"/>
        <v>3.5000000000000003E-2</v>
      </c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  <c r="AN54" s="1"/>
    </row>
    <row r="55" spans="1:40" ht="14" customHeight="1" thickBot="1">
      <c r="A55" s="3134" t="s">
        <v>458</v>
      </c>
      <c r="B55" s="3135" t="s">
        <v>215</v>
      </c>
      <c r="C55" s="629">
        <f t="shared" si="1"/>
        <v>1.9733796296296302E-4</v>
      </c>
      <c r="D55" s="7176">
        <v>3</v>
      </c>
      <c r="E55" s="7077">
        <v>1</v>
      </c>
      <c r="F55" s="7077">
        <v>8</v>
      </c>
      <c r="G55" s="7077">
        <v>25</v>
      </c>
      <c r="H55" s="7078"/>
      <c r="I55" s="7078">
        <v>2.8935185185185189E-4</v>
      </c>
      <c r="J55" s="7078">
        <v>1.3888888888888889E-3</v>
      </c>
      <c r="K55" s="7077" t="s">
        <v>1567</v>
      </c>
      <c r="L55" s="7079">
        <f t="shared" si="77"/>
        <v>0.81606129444444453</v>
      </c>
      <c r="M55" s="7080">
        <v>1.17</v>
      </c>
      <c r="N55" s="7081">
        <f t="shared" si="73"/>
        <v>5.5507870370370381E-3</v>
      </c>
      <c r="O55" s="7082">
        <f t="shared" si="74"/>
        <v>1.9733796296296302E-4</v>
      </c>
      <c r="P55" s="7083">
        <f t="shared" si="75"/>
        <v>2.3088541666666673E-4</v>
      </c>
      <c r="Q55" s="7084">
        <v>160</v>
      </c>
      <c r="R55" s="7085">
        <f t="shared" si="76"/>
        <v>200</v>
      </c>
      <c r="S55" s="2844">
        <f t="shared" si="14"/>
        <v>0.2</v>
      </c>
      <c r="T55" s="2845">
        <f t="shared" si="15"/>
        <v>6.3148148148148165E-3</v>
      </c>
      <c r="U55" s="374">
        <f t="shared" si="16"/>
        <v>0</v>
      </c>
      <c r="V55" s="2846">
        <f t="shared" si="17"/>
        <v>0</v>
      </c>
      <c r="W55" s="2847">
        <f t="shared" si="18"/>
        <v>0.2</v>
      </c>
      <c r="X55" s="2848">
        <f t="shared" si="19"/>
        <v>0</v>
      </c>
      <c r="Y55" s="2849">
        <f t="shared" si="20"/>
        <v>0</v>
      </c>
      <c r="Z55" s="2850">
        <f t="shared" si="21"/>
        <v>0</v>
      </c>
      <c r="AA55" s="2851">
        <f t="shared" si="22"/>
        <v>0</v>
      </c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  <c r="AN55" s="1"/>
    </row>
    <row r="56" spans="1:40" ht="14" customHeight="1" thickBot="1">
      <c r="A56" s="3134" t="s">
        <v>219</v>
      </c>
      <c r="B56" s="3135" t="s">
        <v>215</v>
      </c>
      <c r="C56" s="629">
        <f t="shared" si="1"/>
        <v>1.7581018518518521E-4</v>
      </c>
      <c r="D56" s="7176">
        <v>6</v>
      </c>
      <c r="E56" s="7086">
        <v>4</v>
      </c>
      <c r="F56" s="7086">
        <v>4</v>
      </c>
      <c r="G56" s="7086">
        <v>50</v>
      </c>
      <c r="H56" s="7169"/>
      <c r="I56" s="7177">
        <v>6.9444444444444447E-4</v>
      </c>
      <c r="J56" s="7177">
        <v>1.1574074074074073E-3</v>
      </c>
      <c r="K56" s="7086" t="s">
        <v>1455</v>
      </c>
      <c r="L56" s="7087">
        <f t="shared" si="77"/>
        <v>0.82161208148148157</v>
      </c>
      <c r="M56" s="7178">
        <v>1.17</v>
      </c>
      <c r="N56" s="7087">
        <f t="shared" si="73"/>
        <v>2.2323074074074075E-2</v>
      </c>
      <c r="O56" s="7177">
        <f t="shared" si="74"/>
        <v>3.5162037037037041E-4</v>
      </c>
      <c r="P56" s="7087">
        <f t="shared" si="75"/>
        <v>4.1139583333333333E-4</v>
      </c>
      <c r="Q56" s="7088">
        <v>160</v>
      </c>
      <c r="R56" s="7179">
        <f t="shared" si="76"/>
        <v>800</v>
      </c>
      <c r="S56" s="2844">
        <f t="shared" si="14"/>
        <v>0.8</v>
      </c>
      <c r="T56" s="2845">
        <f t="shared" si="15"/>
        <v>2.2503703703703706E-2</v>
      </c>
      <c r="U56" s="374">
        <f t="shared" si="16"/>
        <v>0</v>
      </c>
      <c r="V56" s="2846">
        <f t="shared" si="17"/>
        <v>0</v>
      </c>
      <c r="W56" s="2847">
        <f t="shared" si="18"/>
        <v>0</v>
      </c>
      <c r="X56" s="2848">
        <f t="shared" si="19"/>
        <v>0</v>
      </c>
      <c r="Y56" s="2849">
        <f t="shared" si="20"/>
        <v>0</v>
      </c>
      <c r="Z56" s="2850">
        <f t="shared" si="21"/>
        <v>0.8</v>
      </c>
      <c r="AA56" s="2851">
        <f t="shared" si="22"/>
        <v>0</v>
      </c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  <c r="AN56" s="1"/>
    </row>
    <row r="57" spans="1:40" ht="13.25" customHeight="1">
      <c r="A57" s="3134"/>
      <c r="B57" s="3135" t="s">
        <v>215</v>
      </c>
      <c r="C57" s="629">
        <f t="shared" si="1"/>
        <v>1.7581018518518521E-4</v>
      </c>
      <c r="D57" s="7176">
        <v>6</v>
      </c>
      <c r="E57" s="7086">
        <v>4</v>
      </c>
      <c r="F57" s="7086">
        <v>4</v>
      </c>
      <c r="G57" s="7086">
        <v>30</v>
      </c>
      <c r="H57" s="7169"/>
      <c r="I57" s="7177">
        <v>8.6805555555555551E-4</v>
      </c>
      <c r="J57" s="7177">
        <v>2.8935185185185189E-4</v>
      </c>
      <c r="K57" s="7086" t="s">
        <v>1573</v>
      </c>
      <c r="L57" s="7087">
        <f t="shared" si="77"/>
        <v>0.84393515555555565</v>
      </c>
      <c r="M57" s="7178">
        <v>1.17</v>
      </c>
      <c r="N57" s="7087">
        <f t="shared" si="73"/>
        <v>1.8995696296296296E-2</v>
      </c>
      <c r="O57" s="7177">
        <f t="shared" si="74"/>
        <v>2.1097222222222223E-4</v>
      </c>
      <c r="P57" s="7087">
        <f t="shared" si="75"/>
        <v>2.4683749999999998E-4</v>
      </c>
      <c r="Q57" s="7088">
        <v>160</v>
      </c>
      <c r="R57" s="7180">
        <f t="shared" si="76"/>
        <v>480</v>
      </c>
      <c r="S57" s="2844">
        <f t="shared" si="14"/>
        <v>0.48</v>
      </c>
      <c r="T57" s="2845">
        <f t="shared" si="15"/>
        <v>1.3502222222222223E-2</v>
      </c>
      <c r="U57" s="374">
        <f t="shared" si="16"/>
        <v>0</v>
      </c>
      <c r="V57" s="2846">
        <f t="shared" si="17"/>
        <v>0</v>
      </c>
      <c r="W57" s="2847">
        <f t="shared" si="18"/>
        <v>0</v>
      </c>
      <c r="X57" s="2848">
        <f t="shared" si="19"/>
        <v>0</v>
      </c>
      <c r="Y57" s="2849">
        <f t="shared" si="20"/>
        <v>0</v>
      </c>
      <c r="Z57" s="2850">
        <f t="shared" si="21"/>
        <v>0.48</v>
      </c>
      <c r="AA57" s="2851">
        <f t="shared" si="22"/>
        <v>0</v>
      </c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  <c r="AN57" s="1"/>
    </row>
    <row r="58" spans="1:40" ht="14" customHeight="1" thickBot="1">
      <c r="A58" s="6960"/>
      <c r="B58" s="6960"/>
      <c r="C58" s="6959">
        <f t="shared" si="1"/>
        <v>0</v>
      </c>
      <c r="D58" s="7001"/>
      <c r="E58" s="7001"/>
      <c r="F58" s="7001"/>
      <c r="G58" s="7001"/>
      <c r="H58" s="7002"/>
      <c r="I58" s="7002"/>
      <c r="J58" s="7002"/>
      <c r="K58" s="7003"/>
      <c r="L58" s="5269">
        <f>L57+N57</f>
        <v>0.86293085185185192</v>
      </c>
      <c r="M58" s="7004"/>
      <c r="N58" s="7005"/>
      <c r="O58" s="7002"/>
      <c r="P58" s="7005"/>
      <c r="Q58" s="7006"/>
      <c r="R58" s="7007">
        <f>SUM(R51:R57)</f>
        <v>2015</v>
      </c>
      <c r="S58" s="2844">
        <f t="shared" si="14"/>
        <v>0</v>
      </c>
      <c r="T58" s="2845">
        <f t="shared" si="15"/>
        <v>0</v>
      </c>
      <c r="U58" s="374">
        <f t="shared" si="16"/>
        <v>0</v>
      </c>
      <c r="V58" s="2846">
        <f t="shared" si="17"/>
        <v>0</v>
      </c>
      <c r="W58" s="2847">
        <f t="shared" si="18"/>
        <v>0</v>
      </c>
      <c r="X58" s="2848">
        <f t="shared" si="19"/>
        <v>0</v>
      </c>
      <c r="Y58" s="2849">
        <f t="shared" si="20"/>
        <v>0</v>
      </c>
      <c r="Z58" s="2850">
        <f t="shared" si="21"/>
        <v>0</v>
      </c>
      <c r="AA58" s="2851">
        <f t="shared" si="22"/>
        <v>0</v>
      </c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  <c r="AN58" s="1"/>
    </row>
    <row r="59" spans="1:40" ht="13.25" customHeight="1" thickBot="1">
      <c r="A59" s="3109" t="s">
        <v>218</v>
      </c>
      <c r="B59" s="3110" t="s">
        <v>803</v>
      </c>
      <c r="C59" s="629">
        <f t="shared" si="1"/>
        <v>2.3321759259259265E-4</v>
      </c>
      <c r="D59" s="7141">
        <v>1</v>
      </c>
      <c r="E59" s="7181">
        <v>1</v>
      </c>
      <c r="F59" s="7181">
        <v>1</v>
      </c>
      <c r="G59" s="7181">
        <v>600</v>
      </c>
      <c r="H59" s="7182"/>
      <c r="I59" s="7183">
        <v>0</v>
      </c>
      <c r="J59" s="7183">
        <v>1.1574074074074073E-4</v>
      </c>
      <c r="K59" s="7089" t="s">
        <v>717</v>
      </c>
      <c r="L59" s="7090">
        <v>0.46875</v>
      </c>
      <c r="M59" s="7184">
        <v>0.9</v>
      </c>
      <c r="N59" s="7185">
        <f>P59*E59*F59+I59*E59*F59+J59*E59</f>
        <v>5.153240740740743E-3</v>
      </c>
      <c r="O59" s="7091">
        <f t="shared" ref="O59:O62" si="78">C59*(G59/25)</f>
        <v>5.5972222222222239E-3</v>
      </c>
      <c r="P59" s="7091">
        <f>O59*M59</f>
        <v>5.037500000000002E-3</v>
      </c>
      <c r="Q59" s="7092">
        <v>129</v>
      </c>
      <c r="R59" s="7186">
        <f>E59*F59*G59</f>
        <v>600</v>
      </c>
      <c r="S59" s="2844">
        <f t="shared" si="14"/>
        <v>0.6</v>
      </c>
      <c r="T59" s="2845">
        <f t="shared" si="15"/>
        <v>2.2388888888888896E-2</v>
      </c>
      <c r="U59" s="374">
        <f t="shared" si="16"/>
        <v>0.6</v>
      </c>
      <c r="V59" s="2846">
        <f t="shared" si="17"/>
        <v>0</v>
      </c>
      <c r="W59" s="2847">
        <f t="shared" si="18"/>
        <v>0</v>
      </c>
      <c r="X59" s="2848">
        <f t="shared" si="19"/>
        <v>0</v>
      </c>
      <c r="Y59" s="2849">
        <f t="shared" si="20"/>
        <v>0</v>
      </c>
      <c r="Z59" s="2850">
        <f t="shared" si="21"/>
        <v>0</v>
      </c>
      <c r="AA59" s="2851">
        <f t="shared" si="22"/>
        <v>0</v>
      </c>
      <c r="AC59" s="2867"/>
      <c r="AD59" s="2867"/>
      <c r="AE59" s="2867"/>
      <c r="AF59" s="2867"/>
      <c r="AG59" s="2867"/>
      <c r="AH59" s="2867"/>
      <c r="AI59" s="2825"/>
      <c r="AJ59" s="2825"/>
      <c r="AK59" s="2825"/>
      <c r="AL59" s="2825"/>
      <c r="AM59" s="2825"/>
    </row>
    <row r="60" spans="1:40" ht="15" customHeight="1" thickBot="1">
      <c r="A60" s="3109" t="s">
        <v>139</v>
      </c>
      <c r="B60" s="3110" t="s">
        <v>803</v>
      </c>
      <c r="C60" s="629">
        <f t="shared" si="1"/>
        <v>1.7581018518518521E-4</v>
      </c>
      <c r="D60" s="7166">
        <v>6</v>
      </c>
      <c r="E60" s="7053">
        <v>1</v>
      </c>
      <c r="F60" s="7053">
        <v>20</v>
      </c>
      <c r="G60" s="7053">
        <v>20</v>
      </c>
      <c r="H60" s="7169"/>
      <c r="I60" s="7169">
        <v>3.4722222222222224E-4</v>
      </c>
      <c r="J60" s="7169">
        <v>6.9444444444444447E-4</v>
      </c>
      <c r="K60" s="7053" t="s">
        <v>1574</v>
      </c>
      <c r="L60" s="7054">
        <f>L59+N59</f>
        <v>0.47390324074074075</v>
      </c>
      <c r="M60" s="7187">
        <v>1</v>
      </c>
      <c r="N60" s="7170">
        <f>P60*E60*F60+I60*E60*F60+J60*E60</f>
        <v>1.0451851851851853E-2</v>
      </c>
      <c r="O60" s="7093">
        <f t="shared" si="78"/>
        <v>1.4064814814814818E-4</v>
      </c>
      <c r="P60" s="7055">
        <f>O60*M60</f>
        <v>1.4064814814814818E-4</v>
      </c>
      <c r="Q60" s="7188" t="s">
        <v>297</v>
      </c>
      <c r="R60" s="7189">
        <f>E60*F60*G60</f>
        <v>400</v>
      </c>
      <c r="S60" s="2844">
        <f t="shared" si="14"/>
        <v>0.4</v>
      </c>
      <c r="T60" s="2845">
        <f t="shared" si="15"/>
        <v>1.1251851851851855E-2</v>
      </c>
      <c r="U60" s="374">
        <f t="shared" si="16"/>
        <v>0</v>
      </c>
      <c r="V60" s="2846">
        <f t="shared" si="17"/>
        <v>0</v>
      </c>
      <c r="W60" s="2847">
        <f t="shared" si="18"/>
        <v>0</v>
      </c>
      <c r="X60" s="2848">
        <f t="shared" si="19"/>
        <v>0</v>
      </c>
      <c r="Y60" s="2849">
        <f t="shared" si="20"/>
        <v>0</v>
      </c>
      <c r="Z60" s="2850">
        <f t="shared" si="21"/>
        <v>0.4</v>
      </c>
      <c r="AA60" s="2851">
        <f t="shared" si="22"/>
        <v>0</v>
      </c>
      <c r="AC60" s="2867"/>
      <c r="AD60" s="2867"/>
      <c r="AE60" s="2867"/>
      <c r="AF60" s="2867"/>
      <c r="AG60" s="2867"/>
      <c r="AH60" s="2867"/>
      <c r="AI60" s="2825"/>
      <c r="AJ60" s="2825"/>
      <c r="AK60" s="2825"/>
      <c r="AL60" s="2825"/>
      <c r="AM60" s="2825"/>
    </row>
    <row r="61" spans="1:40" ht="14" customHeight="1" thickBot="1">
      <c r="A61" s="3109" t="s">
        <v>458</v>
      </c>
      <c r="B61" s="3110" t="s">
        <v>803</v>
      </c>
      <c r="C61" s="629">
        <f t="shared" si="1"/>
        <v>1.9733796296296302E-4</v>
      </c>
      <c r="D61" s="7190">
        <v>3</v>
      </c>
      <c r="E61" s="7032">
        <v>1</v>
      </c>
      <c r="F61" s="7032">
        <v>4</v>
      </c>
      <c r="G61" s="7032">
        <v>125</v>
      </c>
      <c r="H61" s="7144"/>
      <c r="I61" s="7144">
        <v>2.3148148148148146E-4</v>
      </c>
      <c r="J61" s="7144">
        <v>1.3888888888888889E-3</v>
      </c>
      <c r="K61" s="7032" t="s">
        <v>300</v>
      </c>
      <c r="L61" s="7094">
        <f>L60+N60</f>
        <v>0.48435509259259263</v>
      </c>
      <c r="M61" s="7191">
        <v>1.1000000000000001</v>
      </c>
      <c r="N61" s="7192">
        <f>P61*E61*F61+I61*E61*F61+J61*E61</f>
        <v>6.6562500000000016E-3</v>
      </c>
      <c r="O61" s="7034">
        <f t="shared" si="78"/>
        <v>9.8668981481481502E-4</v>
      </c>
      <c r="P61" s="7034">
        <f>O61*M61</f>
        <v>1.0853587962962967E-3</v>
      </c>
      <c r="Q61" s="7095">
        <v>147</v>
      </c>
      <c r="R61" s="7193">
        <f>E61*F61*G61</f>
        <v>500</v>
      </c>
      <c r="S61" s="2844">
        <f t="shared" si="14"/>
        <v>0.5</v>
      </c>
      <c r="T61" s="2845">
        <f t="shared" si="15"/>
        <v>1.578703703703704E-2</v>
      </c>
      <c r="U61" s="374">
        <f t="shared" si="16"/>
        <v>0</v>
      </c>
      <c r="V61" s="2846">
        <f t="shared" si="17"/>
        <v>0</v>
      </c>
      <c r="W61" s="2847">
        <f t="shared" si="18"/>
        <v>0.5</v>
      </c>
      <c r="X61" s="2848">
        <f t="shared" si="19"/>
        <v>0</v>
      </c>
      <c r="Y61" s="2849">
        <f t="shared" si="20"/>
        <v>0</v>
      </c>
      <c r="Z61" s="2850">
        <f t="shared" si="21"/>
        <v>0</v>
      </c>
      <c r="AA61" s="2851">
        <f t="shared" si="22"/>
        <v>0</v>
      </c>
      <c r="AC61" s="2867"/>
      <c r="AD61" s="2867"/>
      <c r="AE61" s="2867"/>
      <c r="AF61" s="2867"/>
      <c r="AG61" s="2867"/>
      <c r="AH61" s="2867"/>
      <c r="AI61" s="2825"/>
      <c r="AJ61" s="2825"/>
      <c r="AK61" s="2825"/>
      <c r="AL61" s="2825"/>
      <c r="AM61" s="2825"/>
    </row>
    <row r="62" spans="1:40" ht="12.75" customHeight="1" thickBot="1">
      <c r="A62" s="3109" t="s">
        <v>218</v>
      </c>
      <c r="B62" s="3110" t="s">
        <v>803</v>
      </c>
      <c r="C62" s="629">
        <f t="shared" si="1"/>
        <v>1.9733796296296302E-4</v>
      </c>
      <c r="D62" s="7194">
        <v>3</v>
      </c>
      <c r="E62" s="7195">
        <v>1</v>
      </c>
      <c r="F62" s="7195">
        <v>10</v>
      </c>
      <c r="G62" s="7195">
        <v>50</v>
      </c>
      <c r="H62" s="7196"/>
      <c r="I62" s="7196">
        <v>3.4722222222222224E-4</v>
      </c>
      <c r="J62" s="7196">
        <v>1.3888888888888889E-3</v>
      </c>
      <c r="K62" s="7195" t="s">
        <v>2025</v>
      </c>
      <c r="L62" s="7197">
        <f t="shared" ref="L62:L66" si="79">L61+N61</f>
        <v>0.4910113425925926</v>
      </c>
      <c r="M62" s="7198">
        <v>1.1000000000000001</v>
      </c>
      <c r="N62" s="7197">
        <f t="shared" ref="N62:N66" si="80">P62*E62*F62+I62*E62*F62+J62*E62</f>
        <v>9.2025462962962989E-3</v>
      </c>
      <c r="O62" s="7199">
        <f t="shared" si="78"/>
        <v>3.9467592592592603E-4</v>
      </c>
      <c r="P62" s="7199">
        <f>O62*M62</f>
        <v>4.3414351851851866E-4</v>
      </c>
      <c r="Q62" s="7200">
        <v>161</v>
      </c>
      <c r="R62" s="7195">
        <f t="shared" ref="R62:R65" si="81">E62*F62*G62</f>
        <v>500</v>
      </c>
      <c r="S62" s="2844">
        <f t="shared" si="14"/>
        <v>0.5</v>
      </c>
      <c r="T62" s="2845">
        <f t="shared" si="15"/>
        <v>1.578703703703704E-2</v>
      </c>
      <c r="U62" s="374">
        <f t="shared" si="16"/>
        <v>0</v>
      </c>
      <c r="V62" s="2846">
        <f t="shared" si="17"/>
        <v>0</v>
      </c>
      <c r="W62" s="2847">
        <f t="shared" si="18"/>
        <v>0.5</v>
      </c>
      <c r="X62" s="2848">
        <f t="shared" si="19"/>
        <v>0</v>
      </c>
      <c r="Y62" s="2849">
        <f t="shared" si="20"/>
        <v>0</v>
      </c>
      <c r="Z62" s="2850">
        <f t="shared" si="21"/>
        <v>0</v>
      </c>
      <c r="AA62" s="2851">
        <f t="shared" si="22"/>
        <v>0</v>
      </c>
      <c r="AC62" s="2867"/>
      <c r="AD62" s="2867"/>
      <c r="AE62" s="2867"/>
      <c r="AF62" s="2867"/>
      <c r="AG62" s="2867"/>
      <c r="AH62" s="2867"/>
      <c r="AI62" s="2825"/>
      <c r="AJ62" s="2825"/>
      <c r="AK62" s="2825"/>
      <c r="AL62" s="2825"/>
      <c r="AM62" s="2825"/>
    </row>
    <row r="63" spans="1:40" ht="12.75" customHeight="1" thickBot="1">
      <c r="A63" s="3109" t="s">
        <v>139</v>
      </c>
      <c r="B63" s="3110" t="s">
        <v>803</v>
      </c>
      <c r="C63" s="629">
        <f t="shared" si="1"/>
        <v>1.9733796296296302E-4</v>
      </c>
      <c r="D63" s="7194">
        <v>3</v>
      </c>
      <c r="E63" s="7195">
        <v>1</v>
      </c>
      <c r="F63" s="7195">
        <v>7</v>
      </c>
      <c r="G63" s="7195">
        <v>100</v>
      </c>
      <c r="H63" s="7196">
        <v>1.1574074074074073E-3</v>
      </c>
      <c r="I63" s="7196"/>
      <c r="J63" s="7196">
        <v>1.3888888888888889E-3</v>
      </c>
      <c r="K63" s="7195" t="s">
        <v>1405</v>
      </c>
      <c r="L63" s="7197">
        <f t="shared" si="79"/>
        <v>0.50021388888888896</v>
      </c>
      <c r="M63" s="7198">
        <v>1.1000000000000001</v>
      </c>
      <c r="N63" s="7197">
        <f t="shared" si="80"/>
        <v>2.76458888888889E-2</v>
      </c>
      <c r="O63" s="7199">
        <f>C63*16*1.08</f>
        <v>3.4100000000000011E-3</v>
      </c>
      <c r="P63" s="7199">
        <f t="shared" ref="P63" si="82">O63*M63</f>
        <v>3.7510000000000017E-3</v>
      </c>
      <c r="Q63" s="7200">
        <v>153</v>
      </c>
      <c r="R63" s="7195">
        <f t="shared" si="81"/>
        <v>700</v>
      </c>
      <c r="S63" s="2844">
        <f t="shared" si="14"/>
        <v>0.7</v>
      </c>
      <c r="T63" s="2845">
        <f t="shared" si="15"/>
        <v>9.5480000000000037E-2</v>
      </c>
      <c r="U63" s="374">
        <f t="shared" si="16"/>
        <v>0</v>
      </c>
      <c r="V63" s="2846">
        <f t="shared" si="17"/>
        <v>0</v>
      </c>
      <c r="W63" s="2847">
        <f t="shared" si="18"/>
        <v>0.7</v>
      </c>
      <c r="X63" s="2848">
        <f t="shared" si="19"/>
        <v>0</v>
      </c>
      <c r="Y63" s="2849">
        <f t="shared" si="20"/>
        <v>0</v>
      </c>
      <c r="Z63" s="2850">
        <f t="shared" si="21"/>
        <v>0</v>
      </c>
      <c r="AA63" s="2851">
        <f t="shared" si="22"/>
        <v>0</v>
      </c>
      <c r="AC63" s="2867"/>
      <c r="AD63" s="2867"/>
      <c r="AE63" s="2867"/>
      <c r="AF63" s="2867"/>
      <c r="AG63" s="2867"/>
      <c r="AH63" s="2867"/>
      <c r="AI63" s="2825"/>
      <c r="AJ63" s="2825"/>
      <c r="AK63" s="2825"/>
      <c r="AL63" s="2825"/>
      <c r="AM63" s="2825"/>
    </row>
    <row r="64" spans="1:40" ht="12.75" customHeight="1" thickBot="1">
      <c r="A64" s="3109" t="s">
        <v>458</v>
      </c>
      <c r="B64" s="3110" t="s">
        <v>803</v>
      </c>
      <c r="C64" s="629">
        <f t="shared" si="1"/>
        <v>1.9733796296296302E-4</v>
      </c>
      <c r="D64" s="7194">
        <v>3</v>
      </c>
      <c r="E64" s="7195">
        <v>1</v>
      </c>
      <c r="F64" s="7195">
        <v>8</v>
      </c>
      <c r="G64" s="7195">
        <v>50</v>
      </c>
      <c r="H64" s="7196"/>
      <c r="I64" s="7196">
        <v>2.8935185185185189E-4</v>
      </c>
      <c r="J64" s="7196">
        <v>1.3888888888888889E-3</v>
      </c>
      <c r="K64" s="7195" t="s">
        <v>2034</v>
      </c>
      <c r="L64" s="7197">
        <f t="shared" si="79"/>
        <v>0.52785977777777782</v>
      </c>
      <c r="M64" s="7198">
        <v>1.1000000000000001</v>
      </c>
      <c r="N64" s="7197">
        <f t="shared" si="80"/>
        <v>7.1768518518518535E-3</v>
      </c>
      <c r="O64" s="7199">
        <f t="shared" ref="O64:O65" si="83">C64*(G64/25)</f>
        <v>3.9467592592592603E-4</v>
      </c>
      <c r="P64" s="7199">
        <f>O64*M64</f>
        <v>4.3414351851851866E-4</v>
      </c>
      <c r="Q64" s="7200">
        <v>162</v>
      </c>
      <c r="R64" s="7195">
        <f t="shared" si="81"/>
        <v>400</v>
      </c>
      <c r="S64" s="2844">
        <f t="shared" si="14"/>
        <v>0.4</v>
      </c>
      <c r="T64" s="2845">
        <f t="shared" si="15"/>
        <v>1.2629629629629633E-2</v>
      </c>
      <c r="U64" s="374">
        <f t="shared" si="16"/>
        <v>0</v>
      </c>
      <c r="V64" s="2846">
        <f t="shared" si="17"/>
        <v>0</v>
      </c>
      <c r="W64" s="2847">
        <f t="shared" si="18"/>
        <v>0.4</v>
      </c>
      <c r="X64" s="2848">
        <f t="shared" si="19"/>
        <v>0</v>
      </c>
      <c r="Y64" s="2849">
        <f t="shared" si="20"/>
        <v>0</v>
      </c>
      <c r="Z64" s="2850">
        <f t="shared" si="21"/>
        <v>0</v>
      </c>
      <c r="AA64" s="2851">
        <f t="shared" si="22"/>
        <v>0</v>
      </c>
      <c r="AC64" s="2867"/>
      <c r="AD64" s="2867"/>
      <c r="AE64" s="2867"/>
      <c r="AF64" s="2867"/>
      <c r="AG64" s="2867"/>
      <c r="AH64" s="2867"/>
      <c r="AI64" s="2825"/>
      <c r="AJ64" s="2825"/>
      <c r="AK64" s="2825"/>
      <c r="AL64" s="2825"/>
      <c r="AM64" s="2825"/>
    </row>
    <row r="65" spans="1:40" ht="12.75" customHeight="1" thickBot="1">
      <c r="A65" s="3109"/>
      <c r="B65" s="3110" t="s">
        <v>803</v>
      </c>
      <c r="C65" s="629">
        <f t="shared" si="1"/>
        <v>1.9733796296296302E-4</v>
      </c>
      <c r="D65" s="7194">
        <v>3</v>
      </c>
      <c r="E65" s="7195">
        <v>1</v>
      </c>
      <c r="F65" s="7195">
        <v>5</v>
      </c>
      <c r="G65" s="7195">
        <v>100</v>
      </c>
      <c r="H65" s="7196"/>
      <c r="I65" s="7196">
        <v>2.3148148148148146E-4</v>
      </c>
      <c r="J65" s="7196">
        <v>1.3888888888888889E-3</v>
      </c>
      <c r="K65" s="7195" t="s">
        <v>1398</v>
      </c>
      <c r="L65" s="7197">
        <f t="shared" si="79"/>
        <v>0.53503662962962972</v>
      </c>
      <c r="M65" s="7198">
        <v>1.1000000000000001</v>
      </c>
      <c r="N65" s="7197">
        <f t="shared" si="80"/>
        <v>6.8877314814814834E-3</v>
      </c>
      <c r="O65" s="7199">
        <f t="shared" si="83"/>
        <v>7.8935185185185206E-4</v>
      </c>
      <c r="P65" s="7199">
        <f>O65*M65</f>
        <v>8.6828703703703731E-4</v>
      </c>
      <c r="Q65" s="7200">
        <v>162</v>
      </c>
      <c r="R65" s="7195">
        <f t="shared" si="81"/>
        <v>500</v>
      </c>
      <c r="S65" s="2844">
        <f t="shared" si="14"/>
        <v>0.5</v>
      </c>
      <c r="T65" s="2845">
        <f t="shared" si="15"/>
        <v>1.578703703703704E-2</v>
      </c>
      <c r="U65" s="374">
        <f t="shared" si="16"/>
        <v>0</v>
      </c>
      <c r="V65" s="2846">
        <f t="shared" si="17"/>
        <v>0</v>
      </c>
      <c r="W65" s="2847">
        <f t="shared" si="18"/>
        <v>0.5</v>
      </c>
      <c r="X65" s="2848">
        <f t="shared" si="19"/>
        <v>0</v>
      </c>
      <c r="Y65" s="2849">
        <f t="shared" si="20"/>
        <v>0</v>
      </c>
      <c r="Z65" s="2850">
        <f t="shared" si="21"/>
        <v>0</v>
      </c>
      <c r="AA65" s="2851">
        <f t="shared" si="22"/>
        <v>0</v>
      </c>
      <c r="AC65" s="2867"/>
      <c r="AD65" s="2867"/>
      <c r="AE65" s="2867"/>
      <c r="AF65" s="2867"/>
      <c r="AG65" s="2867"/>
      <c r="AH65" s="2867"/>
      <c r="AI65" s="2825"/>
      <c r="AJ65" s="2825"/>
      <c r="AK65" s="2825"/>
      <c r="AL65" s="2825"/>
      <c r="AM65" s="2825"/>
    </row>
    <row r="66" spans="1:40" ht="12.75" customHeight="1" thickBot="1">
      <c r="A66" s="3109"/>
      <c r="B66" s="3110" t="s">
        <v>803</v>
      </c>
      <c r="C66" s="629"/>
      <c r="D66" s="7141"/>
      <c r="E66" s="7096"/>
      <c r="F66" s="7097"/>
      <c r="G66" s="7097"/>
      <c r="H66" s="7097"/>
      <c r="I66" s="7097"/>
      <c r="J66" s="7097"/>
      <c r="K66" s="7097"/>
      <c r="L66" s="7098">
        <f t="shared" si="79"/>
        <v>0.5419243611111112</v>
      </c>
      <c r="M66" s="7097">
        <v>1.1000000000000001</v>
      </c>
      <c r="N66" s="7098">
        <f t="shared" si="80"/>
        <v>0</v>
      </c>
      <c r="O66" s="7097">
        <f>C66*(G66/25)</f>
        <v>0</v>
      </c>
      <c r="P66" s="3349"/>
      <c r="Q66" s="7097"/>
      <c r="R66" s="7099">
        <f>SUM(R59:R65)</f>
        <v>3600</v>
      </c>
      <c r="S66" s="2844">
        <f t="shared" si="14"/>
        <v>0</v>
      </c>
      <c r="T66" s="2845">
        <f t="shared" si="15"/>
        <v>0</v>
      </c>
      <c r="U66" s="374">
        <f t="shared" si="16"/>
        <v>0</v>
      </c>
      <c r="V66" s="2846">
        <f t="shared" si="17"/>
        <v>0</v>
      </c>
      <c r="W66" s="2847">
        <f t="shared" si="18"/>
        <v>0</v>
      </c>
      <c r="X66" s="2848">
        <f t="shared" si="19"/>
        <v>0</v>
      </c>
      <c r="Y66" s="2849">
        <f t="shared" si="20"/>
        <v>0</v>
      </c>
      <c r="Z66" s="2850">
        <f t="shared" si="21"/>
        <v>0</v>
      </c>
      <c r="AA66" s="2851">
        <f t="shared" si="22"/>
        <v>0</v>
      </c>
      <c r="AC66" s="2867"/>
      <c r="AD66" s="2867"/>
      <c r="AE66" s="2867"/>
      <c r="AF66" s="2867"/>
      <c r="AG66" s="2867"/>
      <c r="AH66" s="2867"/>
      <c r="AI66" s="2825"/>
      <c r="AJ66" s="2825"/>
      <c r="AK66" s="2825"/>
      <c r="AL66" s="2825"/>
      <c r="AM66" s="2825"/>
    </row>
    <row r="67" spans="1:40" ht="13.25" customHeight="1" thickTop="1" thickBot="1">
      <c r="A67" s="3109"/>
      <c r="B67" s="3110"/>
      <c r="C67" s="205"/>
      <c r="D67" s="4444"/>
      <c r="E67" s="4594">
        <f>U67*100000/$Q$67</f>
        <v>10.521885521885526</v>
      </c>
      <c r="F67" s="4594">
        <f t="shared" ref="F67:K67" si="84">V67*100000/$Q$67</f>
        <v>28.829966329966336</v>
      </c>
      <c r="G67" s="4594">
        <f t="shared" si="84"/>
        <v>23.148148148148152</v>
      </c>
      <c r="H67" s="4594">
        <f t="shared" si="84"/>
        <v>6.5235690235690234</v>
      </c>
      <c r="I67" s="4594">
        <f t="shared" si="84"/>
        <v>3.156565656565657</v>
      </c>
      <c r="J67" s="4594">
        <f t="shared" si="84"/>
        <v>22.432659932659938</v>
      </c>
      <c r="K67" s="4595">
        <f t="shared" si="84"/>
        <v>5.3872053872053884</v>
      </c>
      <c r="L67" s="6958" t="s">
        <v>1922</v>
      </c>
      <c r="M67" s="4535"/>
      <c r="N67" s="4536"/>
      <c r="O67" s="4536"/>
      <c r="P67" s="4536"/>
      <c r="Q67" s="7881">
        <f>AB67*1000</f>
        <v>23759.999999999996</v>
      </c>
      <c r="R67" s="7882"/>
      <c r="S67" s="3153"/>
      <c r="T67" s="3154"/>
      <c r="U67" s="3155">
        <f t="shared" ref="U67:AA67" si="85">SUM(U5:U65)</f>
        <v>2.5000000000000004</v>
      </c>
      <c r="V67" s="3155">
        <f t="shared" si="85"/>
        <v>6.85</v>
      </c>
      <c r="W67" s="3155">
        <f t="shared" si="85"/>
        <v>5.5</v>
      </c>
      <c r="X67" s="3155">
        <f t="shared" si="85"/>
        <v>1.5499999999999998</v>
      </c>
      <c r="Y67" s="3155">
        <f t="shared" si="85"/>
        <v>0.75</v>
      </c>
      <c r="Z67" s="3155">
        <f t="shared" si="85"/>
        <v>5.33</v>
      </c>
      <c r="AA67" s="3155">
        <f t="shared" si="85"/>
        <v>1.28</v>
      </c>
      <c r="AB67" s="3156">
        <f>SUM(U67:AA67)</f>
        <v>23.759999999999998</v>
      </c>
      <c r="AC67" s="2867">
        <v>0</v>
      </c>
      <c r="AD67" s="2867">
        <v>0</v>
      </c>
      <c r="AE67" s="2838"/>
      <c r="AF67" s="2838"/>
      <c r="AG67" s="2838"/>
      <c r="AH67" s="2838"/>
      <c r="AI67" s="2838"/>
    </row>
    <row r="68" spans="1:40" ht="20.25" customHeight="1" thickBot="1">
      <c r="A68" s="144"/>
      <c r="B68" s="144"/>
      <c r="C68" s="144"/>
      <c r="D68" s="4444"/>
      <c r="E68" s="4521">
        <f>E67*15/100</f>
        <v>1.5782828282828287</v>
      </c>
      <c r="F68" s="4522">
        <f t="shared" ref="F68:K68" si="86">F67*15/100</f>
        <v>4.3244949494949507</v>
      </c>
      <c r="G68" s="4523">
        <f t="shared" si="86"/>
        <v>3.4722222222222228</v>
      </c>
      <c r="H68" s="4524">
        <f t="shared" si="86"/>
        <v>0.97853535353535348</v>
      </c>
      <c r="I68" s="4525">
        <f t="shared" si="86"/>
        <v>0.47348484848484856</v>
      </c>
      <c r="J68" s="4526">
        <f t="shared" si="86"/>
        <v>3.3648989898989909</v>
      </c>
      <c r="K68" s="4527">
        <f t="shared" si="86"/>
        <v>0.80808080808080829</v>
      </c>
      <c r="L68" s="6958" t="s">
        <v>1252</v>
      </c>
      <c r="M68" s="144"/>
      <c r="N68" s="144"/>
      <c r="O68" s="144"/>
      <c r="P68" s="144"/>
      <c r="Q68" s="144"/>
      <c r="R68" s="144"/>
      <c r="S68" s="144"/>
      <c r="T68" s="144"/>
      <c r="U68" s="3157">
        <f>IF(U67&gt;0,U67,#REF!)</f>
        <v>2.5000000000000004</v>
      </c>
      <c r="V68" s="3157">
        <f>IF(V67&gt;0,V67,#REF!)</f>
        <v>6.85</v>
      </c>
      <c r="W68" s="3157">
        <f>IF(W67&gt;0,W67,#REF!)</f>
        <v>5.5</v>
      </c>
      <c r="X68" s="3157">
        <f>IF(X67&gt;0,X67,#REF!)</f>
        <v>1.5499999999999998</v>
      </c>
      <c r="Y68" s="3157">
        <f>IF(Y67&gt;0,Y67,#REF!)</f>
        <v>0.75</v>
      </c>
      <c r="Z68" s="3157">
        <f>IF(Z67&gt;0,Z67,#REF!)</f>
        <v>5.33</v>
      </c>
      <c r="AA68" s="3157">
        <f>IF(AA67&gt;0,AA67,#REF!)</f>
        <v>1.28</v>
      </c>
      <c r="AB68" s="144"/>
      <c r="AC68" s="2825"/>
      <c r="AD68" s="2825"/>
      <c r="AE68" s="2838"/>
      <c r="AF68" s="2838"/>
      <c r="AG68" s="2838"/>
      <c r="AH68" s="2838"/>
      <c r="AI68" s="2838"/>
      <c r="AJ68" s="2825"/>
      <c r="AK68" s="2825"/>
      <c r="AL68" s="2825"/>
      <c r="AM68" s="2825"/>
    </row>
    <row r="69" spans="1:40" s="2914" customFormat="1" ht="19.5" customHeight="1">
      <c r="A69" s="144"/>
      <c r="B69" s="144"/>
      <c r="C69" s="4846"/>
      <c r="D69" s="1034"/>
      <c r="E69" s="2817"/>
      <c r="F69" s="4846"/>
      <c r="G69" s="144"/>
      <c r="H69" s="144"/>
      <c r="I69" s="144"/>
      <c r="J69" s="144"/>
      <c r="K69" s="144"/>
      <c r="L69" s="146"/>
      <c r="M69" s="144"/>
      <c r="N69" s="146"/>
      <c r="O69" s="144"/>
      <c r="P69" s="146"/>
      <c r="Q69" s="144"/>
      <c r="R69" s="144"/>
      <c r="S69" s="144"/>
      <c r="T69" s="144"/>
      <c r="U69" s="3157">
        <f t="shared" ref="U69:AA84" si="87">IF(U68&gt;0,U68,U67)</f>
        <v>2.5000000000000004</v>
      </c>
      <c r="V69" s="3157">
        <f t="shared" si="87"/>
        <v>6.85</v>
      </c>
      <c r="W69" s="3157">
        <f t="shared" si="87"/>
        <v>5.5</v>
      </c>
      <c r="X69" s="3157">
        <f t="shared" si="87"/>
        <v>1.5499999999999998</v>
      </c>
      <c r="Y69" s="3157">
        <f t="shared" si="87"/>
        <v>0.75</v>
      </c>
      <c r="Z69" s="3157">
        <f t="shared" si="87"/>
        <v>5.33</v>
      </c>
      <c r="AA69" s="3157">
        <f t="shared" si="87"/>
        <v>1.28</v>
      </c>
      <c r="AB69" s="144"/>
      <c r="AC69" s="2826"/>
      <c r="AD69" s="2826"/>
      <c r="AE69" s="2838"/>
      <c r="AF69" s="2838"/>
      <c r="AG69" s="2838"/>
      <c r="AH69" s="2838"/>
      <c r="AI69" s="2838"/>
      <c r="AJ69" s="2826"/>
      <c r="AK69" s="2826"/>
      <c r="AL69" s="2826"/>
      <c r="AM69" s="2826"/>
      <c r="AN69" s="2913"/>
    </row>
    <row r="70" spans="1:40" ht="20">
      <c r="A70" s="144"/>
      <c r="B70" s="144"/>
      <c r="C70" s="4846"/>
      <c r="D70" s="1034"/>
      <c r="E70" s="4846"/>
      <c r="F70" s="4846"/>
      <c r="G70" s="144"/>
      <c r="H70" s="144"/>
      <c r="I70" s="144"/>
      <c r="J70" s="144"/>
      <c r="K70" s="144"/>
      <c r="L70" s="146"/>
      <c r="M70" s="144"/>
      <c r="N70" s="146"/>
      <c r="O70" s="144"/>
      <c r="P70" s="146"/>
      <c r="Q70" s="144"/>
      <c r="R70" s="144"/>
      <c r="S70" s="144"/>
      <c r="T70" s="144"/>
      <c r="U70" s="3157">
        <f t="shared" si="87"/>
        <v>2.5000000000000004</v>
      </c>
      <c r="V70" s="3157">
        <f t="shared" si="87"/>
        <v>6.85</v>
      </c>
      <c r="W70" s="3157">
        <f t="shared" si="87"/>
        <v>5.5</v>
      </c>
      <c r="X70" s="3157">
        <f t="shared" si="87"/>
        <v>1.5499999999999998</v>
      </c>
      <c r="Y70" s="3157">
        <f t="shared" si="87"/>
        <v>0.75</v>
      </c>
      <c r="Z70" s="3157">
        <f t="shared" si="87"/>
        <v>5.33</v>
      </c>
      <c r="AA70" s="3157">
        <f t="shared" si="87"/>
        <v>1.28</v>
      </c>
      <c r="AB70" s="144"/>
      <c r="AE70" s="2838"/>
      <c r="AF70" s="2838"/>
      <c r="AG70" s="2838"/>
      <c r="AH70" s="2838"/>
      <c r="AI70" s="2838"/>
    </row>
    <row r="71" spans="1:40" ht="15.75" customHeight="1">
      <c r="A71" s="144"/>
      <c r="B71" s="144"/>
      <c r="C71" s="144"/>
      <c r="D71" s="906"/>
      <c r="E71" s="4846"/>
      <c r="F71" s="4846"/>
      <c r="G71" s="144"/>
      <c r="H71" s="144"/>
      <c r="I71" s="144"/>
      <c r="J71" s="144"/>
      <c r="K71" s="144"/>
      <c r="L71" s="146"/>
      <c r="M71" s="144"/>
      <c r="N71" s="146"/>
      <c r="O71" s="144"/>
      <c r="P71" s="146"/>
      <c r="Q71" s="144"/>
      <c r="R71" s="144"/>
      <c r="S71" s="144"/>
      <c r="T71" s="144"/>
      <c r="U71" s="3157">
        <f t="shared" si="87"/>
        <v>2.5000000000000004</v>
      </c>
      <c r="V71" s="3157">
        <f t="shared" si="87"/>
        <v>6.85</v>
      </c>
      <c r="W71" s="3157">
        <f t="shared" si="87"/>
        <v>5.5</v>
      </c>
      <c r="X71" s="3157">
        <f t="shared" si="87"/>
        <v>1.5499999999999998</v>
      </c>
      <c r="Y71" s="3157">
        <f t="shared" si="87"/>
        <v>0.75</v>
      </c>
      <c r="Z71" s="3157">
        <f t="shared" si="87"/>
        <v>5.33</v>
      </c>
      <c r="AA71" s="3157">
        <f t="shared" si="87"/>
        <v>1.28</v>
      </c>
      <c r="AB71" s="144"/>
    </row>
    <row r="72" spans="1:40" ht="72" customHeight="1">
      <c r="A72" s="144"/>
      <c r="B72" s="144"/>
      <c r="C72" s="144"/>
      <c r="D72" s="906"/>
      <c r="E72" s="4846"/>
      <c r="F72" s="4846"/>
      <c r="G72" s="144"/>
      <c r="H72" s="144"/>
      <c r="I72" s="144"/>
      <c r="J72" s="144"/>
      <c r="K72" s="144"/>
      <c r="L72" s="146"/>
      <c r="M72" s="144"/>
      <c r="N72" s="146"/>
      <c r="O72" s="144"/>
      <c r="P72" s="146"/>
      <c r="Q72" s="144"/>
      <c r="R72" s="144"/>
      <c r="S72" s="144"/>
      <c r="T72" s="144"/>
      <c r="U72" s="3157">
        <f t="shared" si="87"/>
        <v>2.5000000000000004</v>
      </c>
      <c r="V72" s="3157">
        <f t="shared" si="87"/>
        <v>6.85</v>
      </c>
      <c r="W72" s="3157">
        <f t="shared" si="87"/>
        <v>5.5</v>
      </c>
      <c r="X72" s="3157">
        <f t="shared" si="87"/>
        <v>1.5499999999999998</v>
      </c>
      <c r="Y72" s="3157">
        <f t="shared" si="87"/>
        <v>0.75</v>
      </c>
      <c r="Z72" s="3157">
        <f t="shared" si="87"/>
        <v>5.33</v>
      </c>
      <c r="AA72" s="3157">
        <f t="shared" si="87"/>
        <v>1.28</v>
      </c>
      <c r="AB72" s="144"/>
      <c r="AC72" s="2837"/>
      <c r="AD72" s="2838"/>
      <c r="AE72" s="2838"/>
      <c r="AF72" s="2838"/>
      <c r="AG72" s="2838"/>
      <c r="AH72" s="2838"/>
      <c r="AI72" s="2836"/>
      <c r="AJ72" s="1"/>
      <c r="AK72" s="1"/>
      <c r="AL72" s="1"/>
      <c r="AM72" s="1"/>
      <c r="AN72" s="1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6"/>
      <c r="M73" s="144"/>
      <c r="N73" s="146"/>
      <c r="O73" s="144"/>
      <c r="P73" s="146"/>
      <c r="Q73" s="144"/>
      <c r="R73" s="144"/>
      <c r="S73" s="144"/>
      <c r="T73" s="144"/>
      <c r="U73" s="3157">
        <f t="shared" si="87"/>
        <v>2.5000000000000004</v>
      </c>
      <c r="V73" s="3157">
        <f t="shared" si="87"/>
        <v>6.85</v>
      </c>
      <c r="W73" s="3157">
        <f t="shared" si="87"/>
        <v>5.5</v>
      </c>
      <c r="X73" s="3157">
        <f t="shared" si="87"/>
        <v>1.5499999999999998</v>
      </c>
      <c r="Y73" s="3157">
        <f t="shared" si="87"/>
        <v>0.75</v>
      </c>
      <c r="Z73" s="3157">
        <f t="shared" si="87"/>
        <v>5.33</v>
      </c>
      <c r="AA73" s="3157">
        <f t="shared" si="87"/>
        <v>1.28</v>
      </c>
      <c r="AB73" s="144"/>
      <c r="AC73" s="2867" t="s">
        <v>193</v>
      </c>
      <c r="AD73" s="2937"/>
      <c r="AE73" s="2937"/>
      <c r="AF73" s="2937"/>
      <c r="AG73" s="2937"/>
      <c r="AH73" s="2937"/>
      <c r="AI73" s="2935"/>
      <c r="AJ73" s="1"/>
      <c r="AK73" s="1"/>
      <c r="AL73" s="1"/>
      <c r="AM73" s="1"/>
      <c r="AN73" s="1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6"/>
      <c r="M74" s="144"/>
      <c r="N74" s="146"/>
      <c r="O74" s="144"/>
      <c r="P74" s="146"/>
      <c r="Q74" s="144"/>
      <c r="R74" s="144"/>
      <c r="S74" s="144"/>
      <c r="T74" s="144"/>
      <c r="U74" s="3157">
        <f t="shared" si="87"/>
        <v>2.5000000000000004</v>
      </c>
      <c r="V74" s="3157">
        <f t="shared" si="87"/>
        <v>6.85</v>
      </c>
      <c r="W74" s="3157">
        <f t="shared" si="87"/>
        <v>5.5</v>
      </c>
      <c r="X74" s="3157">
        <f t="shared" si="87"/>
        <v>1.5499999999999998</v>
      </c>
      <c r="Y74" s="3157">
        <f t="shared" si="87"/>
        <v>0.75</v>
      </c>
      <c r="Z74" s="3157">
        <f t="shared" si="87"/>
        <v>5.33</v>
      </c>
      <c r="AA74" s="3157">
        <f t="shared" si="87"/>
        <v>1.28</v>
      </c>
      <c r="AB74" s="144"/>
      <c r="AC74" s="2867">
        <v>0</v>
      </c>
      <c r="AD74" s="2867">
        <v>0</v>
      </c>
      <c r="AE74" s="2867">
        <v>0</v>
      </c>
      <c r="AF74" s="2867">
        <v>0</v>
      </c>
      <c r="AG74" s="2867">
        <v>0</v>
      </c>
      <c r="AH74" s="2867">
        <v>0</v>
      </c>
      <c r="AI74" s="2935"/>
      <c r="AJ74" s="1"/>
      <c r="AK74" s="1"/>
      <c r="AL74" s="1"/>
      <c r="AM74" s="1"/>
      <c r="AN74" s="1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6"/>
      <c r="M75" s="144"/>
      <c r="N75" s="146"/>
      <c r="O75" s="144"/>
      <c r="P75" s="146"/>
      <c r="Q75" s="144"/>
      <c r="R75" s="144"/>
      <c r="S75" s="144"/>
      <c r="T75" s="144"/>
      <c r="U75" s="3157">
        <f t="shared" si="87"/>
        <v>2.5000000000000004</v>
      </c>
      <c r="V75" s="3157">
        <f t="shared" si="87"/>
        <v>6.85</v>
      </c>
      <c r="W75" s="3157">
        <f t="shared" si="87"/>
        <v>5.5</v>
      </c>
      <c r="X75" s="3157">
        <f t="shared" si="87"/>
        <v>1.5499999999999998</v>
      </c>
      <c r="Y75" s="3157">
        <f t="shared" si="87"/>
        <v>0.75</v>
      </c>
      <c r="Z75" s="3157">
        <f t="shared" si="87"/>
        <v>5.33</v>
      </c>
      <c r="AA75" s="3157">
        <f t="shared" si="87"/>
        <v>1.28</v>
      </c>
      <c r="AB75" s="144"/>
      <c r="AC75" s="2867"/>
      <c r="AD75" s="2867"/>
      <c r="AE75" s="2867"/>
      <c r="AF75" s="2867"/>
      <c r="AG75" s="2867"/>
      <c r="AH75" s="2867"/>
      <c r="AI75" s="2935"/>
      <c r="AJ75" s="1"/>
      <c r="AK75" s="1"/>
      <c r="AL75" s="1"/>
      <c r="AM75" s="1"/>
      <c r="AN75" s="1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6"/>
      <c r="M76" s="144"/>
      <c r="N76" s="146"/>
      <c r="O76" s="144"/>
      <c r="P76" s="146"/>
      <c r="Q76" s="144"/>
      <c r="R76" s="144"/>
      <c r="S76" s="144"/>
      <c r="T76" s="144"/>
      <c r="U76" s="3157">
        <f t="shared" si="87"/>
        <v>2.5000000000000004</v>
      </c>
      <c r="V76" s="3157">
        <f t="shared" si="87"/>
        <v>6.85</v>
      </c>
      <c r="W76" s="3157">
        <f t="shared" si="87"/>
        <v>5.5</v>
      </c>
      <c r="X76" s="3157">
        <f t="shared" si="87"/>
        <v>1.5499999999999998</v>
      </c>
      <c r="Y76" s="3157">
        <f t="shared" si="87"/>
        <v>0.75</v>
      </c>
      <c r="Z76" s="3157">
        <f t="shared" si="87"/>
        <v>5.33</v>
      </c>
      <c r="AA76" s="3157">
        <f t="shared" si="87"/>
        <v>1.28</v>
      </c>
      <c r="AB76" s="144"/>
      <c r="AC76" s="2867"/>
      <c r="AD76" s="2867"/>
      <c r="AE76" s="2867"/>
      <c r="AF76" s="2867"/>
      <c r="AG76" s="2867"/>
      <c r="AH76" s="2867"/>
      <c r="AI76" s="2935"/>
      <c r="AJ76" s="1"/>
      <c r="AK76" s="1"/>
      <c r="AL76" s="1"/>
      <c r="AM76" s="1"/>
      <c r="AN76" s="1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6"/>
      <c r="M77" s="144"/>
      <c r="N77" s="146"/>
      <c r="O77" s="144"/>
      <c r="P77" s="146"/>
      <c r="Q77" s="144"/>
      <c r="R77" s="144"/>
      <c r="S77" s="144"/>
      <c r="T77" s="144"/>
      <c r="U77" s="3157">
        <f t="shared" si="87"/>
        <v>2.5000000000000004</v>
      </c>
      <c r="V77" s="3157">
        <f t="shared" si="87"/>
        <v>6.85</v>
      </c>
      <c r="W77" s="3157">
        <f t="shared" si="87"/>
        <v>5.5</v>
      </c>
      <c r="X77" s="3157">
        <f t="shared" si="87"/>
        <v>1.5499999999999998</v>
      </c>
      <c r="Y77" s="3157">
        <f t="shared" si="87"/>
        <v>0.75</v>
      </c>
      <c r="Z77" s="3157">
        <f t="shared" si="87"/>
        <v>5.33</v>
      </c>
      <c r="AA77" s="3157">
        <f t="shared" si="87"/>
        <v>1.28</v>
      </c>
      <c r="AB77" s="144"/>
      <c r="AC77" s="2867">
        <v>0</v>
      </c>
      <c r="AD77" s="2867">
        <v>0</v>
      </c>
      <c r="AE77" s="2867">
        <v>0</v>
      </c>
      <c r="AF77" s="2867">
        <v>0</v>
      </c>
      <c r="AG77" s="2867">
        <v>0</v>
      </c>
      <c r="AH77" s="2867">
        <v>0</v>
      </c>
      <c r="AI77" s="2935"/>
      <c r="AJ77" s="1"/>
      <c r="AK77" s="1"/>
      <c r="AL77" s="1"/>
      <c r="AM77" s="1"/>
      <c r="AN77" s="1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6"/>
      <c r="M78" s="144"/>
      <c r="N78" s="146"/>
      <c r="O78" s="144"/>
      <c r="P78" s="146"/>
      <c r="Q78" s="144"/>
      <c r="R78" s="144"/>
      <c r="S78" s="144"/>
      <c r="T78" s="144"/>
      <c r="U78" s="3157">
        <f t="shared" si="87"/>
        <v>2.5000000000000004</v>
      </c>
      <c r="V78" s="3157">
        <f t="shared" si="87"/>
        <v>6.85</v>
      </c>
      <c r="W78" s="3157">
        <f t="shared" si="87"/>
        <v>5.5</v>
      </c>
      <c r="X78" s="3157">
        <f t="shared" si="87"/>
        <v>1.5499999999999998</v>
      </c>
      <c r="Y78" s="3157">
        <f t="shared" si="87"/>
        <v>0.75</v>
      </c>
      <c r="Z78" s="3157">
        <f t="shared" si="87"/>
        <v>5.33</v>
      </c>
      <c r="AA78" s="3157">
        <f t="shared" si="87"/>
        <v>1.28</v>
      </c>
      <c r="AB78" s="144"/>
      <c r="AC78" s="2867">
        <v>0</v>
      </c>
      <c r="AD78" s="2867">
        <v>0</v>
      </c>
      <c r="AE78" s="2867">
        <v>0</v>
      </c>
      <c r="AF78" s="2867">
        <v>0</v>
      </c>
      <c r="AG78" s="2867">
        <v>0</v>
      </c>
      <c r="AH78" s="2867">
        <v>0</v>
      </c>
      <c r="AI78" s="2825"/>
      <c r="AJ78" s="1"/>
      <c r="AK78" s="1"/>
      <c r="AL78" s="1"/>
      <c r="AM78" s="1"/>
      <c r="AN78" s="1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6"/>
      <c r="M79" s="144"/>
      <c r="N79" s="146"/>
      <c r="O79" s="144"/>
      <c r="P79" s="146"/>
      <c r="Q79" s="144"/>
      <c r="R79" s="144"/>
      <c r="S79" s="144"/>
      <c r="T79" s="144"/>
      <c r="U79" s="3157">
        <f t="shared" si="87"/>
        <v>2.5000000000000004</v>
      </c>
      <c r="V79" s="3157">
        <f t="shared" si="87"/>
        <v>6.85</v>
      </c>
      <c r="W79" s="3157">
        <f t="shared" si="87"/>
        <v>5.5</v>
      </c>
      <c r="X79" s="3157">
        <f t="shared" si="87"/>
        <v>1.5499999999999998</v>
      </c>
      <c r="Y79" s="3157">
        <f t="shared" si="87"/>
        <v>0.75</v>
      </c>
      <c r="Z79" s="3157">
        <f t="shared" si="87"/>
        <v>5.33</v>
      </c>
      <c r="AA79" s="3157">
        <f t="shared" si="87"/>
        <v>1.28</v>
      </c>
      <c r="AB79" s="144"/>
      <c r="AC79" s="2867"/>
      <c r="AD79" s="2867"/>
      <c r="AE79" s="2867"/>
      <c r="AF79" s="2867"/>
      <c r="AG79" s="2867"/>
      <c r="AH79" s="2867"/>
      <c r="AI79" s="2825"/>
      <c r="AJ79" s="1"/>
      <c r="AK79" s="1"/>
      <c r="AL79" s="1"/>
      <c r="AM79" s="1"/>
      <c r="AN79" s="1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6"/>
      <c r="M80" s="144"/>
      <c r="N80" s="146"/>
      <c r="O80" s="144"/>
      <c r="P80" s="146"/>
      <c r="Q80" s="144"/>
      <c r="R80" s="144"/>
      <c r="S80" s="144"/>
      <c r="T80" s="144"/>
      <c r="U80" s="3157">
        <f t="shared" si="87"/>
        <v>2.5000000000000004</v>
      </c>
      <c r="V80" s="3157">
        <f t="shared" si="87"/>
        <v>6.85</v>
      </c>
      <c r="W80" s="3157">
        <f t="shared" si="87"/>
        <v>5.5</v>
      </c>
      <c r="X80" s="3157">
        <f t="shared" si="87"/>
        <v>1.5499999999999998</v>
      </c>
      <c r="Y80" s="3157">
        <f t="shared" si="87"/>
        <v>0.75</v>
      </c>
      <c r="Z80" s="3157">
        <f t="shared" si="87"/>
        <v>5.33</v>
      </c>
      <c r="AA80" s="3157">
        <f t="shared" si="87"/>
        <v>1.28</v>
      </c>
      <c r="AB80" s="144"/>
      <c r="AC80" s="2867"/>
      <c r="AD80" s="2867"/>
      <c r="AE80" s="2867"/>
      <c r="AF80" s="2867"/>
      <c r="AG80" s="2867"/>
      <c r="AH80" s="2867"/>
      <c r="AI80" s="2825"/>
      <c r="AJ80" s="1"/>
      <c r="AK80" s="1"/>
      <c r="AL80" s="1"/>
      <c r="AM80" s="1"/>
      <c r="AN80" s="1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6"/>
      <c r="M81" s="144"/>
      <c r="N81" s="146"/>
      <c r="O81" s="144"/>
      <c r="P81" s="146"/>
      <c r="Q81" s="144"/>
      <c r="R81" s="144"/>
      <c r="S81" s="144"/>
      <c r="T81" s="144"/>
      <c r="U81" s="3157">
        <f t="shared" si="87"/>
        <v>2.5000000000000004</v>
      </c>
      <c r="V81" s="3157">
        <f t="shared" si="87"/>
        <v>6.85</v>
      </c>
      <c r="W81" s="3157">
        <f t="shared" si="87"/>
        <v>5.5</v>
      </c>
      <c r="X81" s="3157">
        <f t="shared" si="87"/>
        <v>1.5499999999999998</v>
      </c>
      <c r="Y81" s="3157">
        <f t="shared" si="87"/>
        <v>0.75</v>
      </c>
      <c r="Z81" s="3157">
        <f t="shared" si="87"/>
        <v>5.33</v>
      </c>
      <c r="AA81" s="3157">
        <f t="shared" si="87"/>
        <v>1.28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6"/>
      <c r="M82" s="144"/>
      <c r="N82" s="146"/>
      <c r="O82" s="144"/>
      <c r="P82" s="146"/>
      <c r="Q82" s="144"/>
      <c r="R82" s="144"/>
      <c r="S82" s="144"/>
      <c r="T82" s="144"/>
      <c r="U82" s="3157">
        <f t="shared" si="87"/>
        <v>2.5000000000000004</v>
      </c>
      <c r="V82" s="3157">
        <f t="shared" si="87"/>
        <v>6.85</v>
      </c>
      <c r="W82" s="3157">
        <f t="shared" si="87"/>
        <v>5.5</v>
      </c>
      <c r="X82" s="3157">
        <f t="shared" si="87"/>
        <v>1.5499999999999998</v>
      </c>
      <c r="Y82" s="3157">
        <f t="shared" si="87"/>
        <v>0.75</v>
      </c>
      <c r="Z82" s="3157">
        <f t="shared" si="87"/>
        <v>5.33</v>
      </c>
      <c r="AA82" s="3157">
        <f t="shared" si="87"/>
        <v>1.28</v>
      </c>
      <c r="AB82" s="144"/>
      <c r="AC82" s="2867">
        <v>0</v>
      </c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82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6"/>
      <c r="M83" s="144"/>
      <c r="N83" s="146"/>
      <c r="O83" s="144"/>
      <c r="P83" s="146"/>
      <c r="Q83" s="144"/>
      <c r="R83" s="144"/>
      <c r="S83" s="144"/>
      <c r="T83" s="144"/>
      <c r="U83" s="3157">
        <f t="shared" si="87"/>
        <v>2.5000000000000004</v>
      </c>
      <c r="V83" s="3157">
        <f t="shared" si="87"/>
        <v>6.85</v>
      </c>
      <c r="W83" s="3157">
        <f t="shared" si="87"/>
        <v>5.5</v>
      </c>
      <c r="X83" s="3157">
        <f t="shared" si="87"/>
        <v>1.5499999999999998</v>
      </c>
      <c r="Y83" s="3157">
        <f t="shared" si="87"/>
        <v>0.75</v>
      </c>
      <c r="Z83" s="3157">
        <f t="shared" si="87"/>
        <v>5.33</v>
      </c>
      <c r="AA83" s="3157">
        <f t="shared" si="87"/>
        <v>1.28</v>
      </c>
      <c r="AB83" s="144"/>
      <c r="AC83" s="2867">
        <v>0</v>
      </c>
      <c r="AD83" s="2867">
        <v>0</v>
      </c>
      <c r="AE83" s="2867">
        <v>0</v>
      </c>
      <c r="AF83" s="2867">
        <v>0</v>
      </c>
      <c r="AG83" s="2867">
        <v>0</v>
      </c>
      <c r="AH83" s="2867">
        <v>0</v>
      </c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6"/>
      <c r="M84" s="144"/>
      <c r="N84" s="146"/>
      <c r="O84" s="144"/>
      <c r="P84" s="146"/>
      <c r="Q84" s="144"/>
      <c r="R84" s="144"/>
      <c r="S84" s="144"/>
      <c r="T84" s="144"/>
      <c r="U84" s="3157">
        <f t="shared" si="87"/>
        <v>2.5000000000000004</v>
      </c>
      <c r="V84" s="3157">
        <f t="shared" si="87"/>
        <v>6.85</v>
      </c>
      <c r="W84" s="3157">
        <f t="shared" si="87"/>
        <v>5.5</v>
      </c>
      <c r="X84" s="3157">
        <f t="shared" si="87"/>
        <v>1.5499999999999998</v>
      </c>
      <c r="Y84" s="3157">
        <f t="shared" si="87"/>
        <v>0.75</v>
      </c>
      <c r="Z84" s="3157">
        <f t="shared" si="87"/>
        <v>5.33</v>
      </c>
      <c r="AA84" s="3157">
        <f t="shared" si="87"/>
        <v>1.28</v>
      </c>
      <c r="AB84" s="144"/>
      <c r="AC84" s="2867">
        <v>0</v>
      </c>
      <c r="AD84" s="2867">
        <v>0</v>
      </c>
      <c r="AE84" s="2867">
        <v>0</v>
      </c>
      <c r="AF84" s="2867">
        <v>0</v>
      </c>
      <c r="AG84" s="2867">
        <v>0</v>
      </c>
      <c r="AH84" s="2867">
        <v>0</v>
      </c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6"/>
      <c r="M85" s="144"/>
      <c r="N85" s="146"/>
      <c r="O85" s="144"/>
      <c r="P85" s="146"/>
      <c r="Q85" s="144"/>
      <c r="R85" s="144"/>
      <c r="S85" s="144"/>
      <c r="T85" s="144"/>
      <c r="U85" s="3157">
        <f t="shared" ref="U85:AA100" si="88">IF(U84&gt;0,U84,U83)</f>
        <v>2.5000000000000004</v>
      </c>
      <c r="V85" s="3157">
        <f t="shared" si="88"/>
        <v>6.85</v>
      </c>
      <c r="W85" s="3157">
        <f t="shared" si="88"/>
        <v>5.5</v>
      </c>
      <c r="X85" s="3157">
        <f t="shared" si="88"/>
        <v>1.5499999999999998</v>
      </c>
      <c r="Y85" s="3157">
        <f t="shared" si="88"/>
        <v>0.75</v>
      </c>
      <c r="Z85" s="3157">
        <f t="shared" si="88"/>
        <v>5.33</v>
      </c>
      <c r="AA85" s="3157">
        <f t="shared" si="88"/>
        <v>1.28</v>
      </c>
      <c r="AB85" s="144"/>
      <c r="AC85" s="2867"/>
      <c r="AD85" s="2867"/>
      <c r="AE85" s="2867"/>
      <c r="AF85" s="2867"/>
      <c r="AG85" s="2867"/>
      <c r="AH85" s="2867"/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6"/>
      <c r="M86" s="144"/>
      <c r="N86" s="146"/>
      <c r="O86" s="144"/>
      <c r="P86" s="146"/>
      <c r="Q86" s="144"/>
      <c r="R86" s="144"/>
      <c r="S86" s="144"/>
      <c r="T86" s="144"/>
      <c r="U86" s="3157">
        <f t="shared" si="88"/>
        <v>2.5000000000000004</v>
      </c>
      <c r="V86" s="3157">
        <f t="shared" si="88"/>
        <v>6.85</v>
      </c>
      <c r="W86" s="3157">
        <f t="shared" si="88"/>
        <v>5.5</v>
      </c>
      <c r="X86" s="3157">
        <f t="shared" si="88"/>
        <v>1.5499999999999998</v>
      </c>
      <c r="Y86" s="3157">
        <f t="shared" si="88"/>
        <v>0.75</v>
      </c>
      <c r="Z86" s="3157">
        <f t="shared" si="88"/>
        <v>5.33</v>
      </c>
      <c r="AA86" s="3157">
        <f t="shared" si="88"/>
        <v>1.28</v>
      </c>
      <c r="AB86" s="144"/>
      <c r="AC86" s="2867"/>
      <c r="AD86" s="2867"/>
      <c r="AE86" s="2867"/>
      <c r="AF86" s="2867"/>
      <c r="AG86" s="2867"/>
      <c r="AH86" s="2867"/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6"/>
      <c r="M87" s="144"/>
      <c r="N87" s="146"/>
      <c r="O87" s="144"/>
      <c r="P87" s="146"/>
      <c r="Q87" s="144"/>
      <c r="R87" s="144"/>
      <c r="S87" s="144"/>
      <c r="T87" s="144"/>
      <c r="U87" s="3157">
        <f t="shared" si="88"/>
        <v>2.5000000000000004</v>
      </c>
      <c r="V87" s="3157">
        <f t="shared" si="88"/>
        <v>6.85</v>
      </c>
      <c r="W87" s="3157">
        <f t="shared" si="88"/>
        <v>5.5</v>
      </c>
      <c r="X87" s="3157">
        <f t="shared" si="88"/>
        <v>1.5499999999999998</v>
      </c>
      <c r="Y87" s="3157">
        <f t="shared" si="88"/>
        <v>0.75</v>
      </c>
      <c r="Z87" s="3157">
        <f t="shared" si="88"/>
        <v>5.33</v>
      </c>
      <c r="AA87" s="3157">
        <f t="shared" si="88"/>
        <v>1.28</v>
      </c>
      <c r="AB87" s="144"/>
      <c r="AC87" s="2867">
        <v>0</v>
      </c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6"/>
      <c r="M88" s="144"/>
      <c r="N88" s="146"/>
      <c r="O88" s="144"/>
      <c r="P88" s="146"/>
      <c r="Q88" s="144"/>
      <c r="R88" s="144"/>
      <c r="S88" s="144"/>
      <c r="T88" s="144"/>
      <c r="U88" s="3157">
        <f t="shared" si="88"/>
        <v>2.5000000000000004</v>
      </c>
      <c r="V88" s="3157">
        <f t="shared" si="88"/>
        <v>6.85</v>
      </c>
      <c r="W88" s="3157">
        <f t="shared" si="88"/>
        <v>5.5</v>
      </c>
      <c r="X88" s="3157">
        <f t="shared" si="88"/>
        <v>1.5499999999999998</v>
      </c>
      <c r="Y88" s="3157">
        <f t="shared" si="88"/>
        <v>0.75</v>
      </c>
      <c r="Z88" s="3157">
        <f t="shared" si="88"/>
        <v>5.33</v>
      </c>
      <c r="AA88" s="3157">
        <f t="shared" si="88"/>
        <v>1.28</v>
      </c>
      <c r="AB88" s="144"/>
      <c r="AC88" s="2867">
        <v>0</v>
      </c>
      <c r="AD88" s="2867">
        <v>0</v>
      </c>
      <c r="AE88" s="2867">
        <v>0</v>
      </c>
      <c r="AF88" s="2867">
        <v>0</v>
      </c>
      <c r="AG88" s="2867">
        <v>0</v>
      </c>
      <c r="AH88" s="2867">
        <v>0</v>
      </c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6"/>
      <c r="M89" s="144"/>
      <c r="N89" s="146"/>
      <c r="O89" s="144"/>
      <c r="P89" s="146"/>
      <c r="Q89" s="144"/>
      <c r="R89" s="144"/>
      <c r="S89" s="144"/>
      <c r="T89" s="144"/>
      <c r="U89" s="3157">
        <f t="shared" si="88"/>
        <v>2.5000000000000004</v>
      </c>
      <c r="V89" s="3157">
        <f t="shared" si="88"/>
        <v>6.85</v>
      </c>
      <c r="W89" s="3157">
        <f t="shared" si="88"/>
        <v>5.5</v>
      </c>
      <c r="X89" s="3157">
        <f t="shared" si="88"/>
        <v>1.5499999999999998</v>
      </c>
      <c r="Y89" s="3157">
        <f t="shared" si="88"/>
        <v>0.75</v>
      </c>
      <c r="Z89" s="3157">
        <f t="shared" si="88"/>
        <v>5.33</v>
      </c>
      <c r="AA89" s="3157">
        <f t="shared" si="88"/>
        <v>1.28</v>
      </c>
      <c r="AB89" s="144"/>
      <c r="AC89" s="2867">
        <v>0</v>
      </c>
      <c r="AD89" s="2867">
        <v>0</v>
      </c>
      <c r="AE89" s="2867">
        <v>0</v>
      </c>
      <c r="AF89" s="2867">
        <v>0</v>
      </c>
      <c r="AG89" s="2867">
        <v>0</v>
      </c>
      <c r="AH89" s="2867">
        <v>0</v>
      </c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6"/>
      <c r="M90" s="144"/>
      <c r="N90" s="146"/>
      <c r="O90" s="144"/>
      <c r="P90" s="146"/>
      <c r="Q90" s="144"/>
      <c r="R90" s="144"/>
      <c r="S90" s="144"/>
      <c r="T90" s="144"/>
      <c r="U90" s="3157">
        <f t="shared" si="88"/>
        <v>2.5000000000000004</v>
      </c>
      <c r="V90" s="3157">
        <f t="shared" si="88"/>
        <v>6.85</v>
      </c>
      <c r="W90" s="3157">
        <f t="shared" si="88"/>
        <v>5.5</v>
      </c>
      <c r="X90" s="3157">
        <f t="shared" si="88"/>
        <v>1.5499999999999998</v>
      </c>
      <c r="Y90" s="3157">
        <f t="shared" si="88"/>
        <v>0.75</v>
      </c>
      <c r="Z90" s="3157">
        <f t="shared" si="88"/>
        <v>5.33</v>
      </c>
      <c r="AA90" s="3157">
        <f t="shared" si="88"/>
        <v>1.28</v>
      </c>
      <c r="AB90" s="144"/>
      <c r="AC90" s="2867"/>
      <c r="AD90" s="2867"/>
      <c r="AE90" s="2867"/>
      <c r="AF90" s="2867"/>
      <c r="AG90" s="2867"/>
      <c r="AH90" s="2867"/>
      <c r="AI90" s="2825"/>
      <c r="AJ90" s="1"/>
      <c r="AK90" s="1"/>
      <c r="AL90" s="1"/>
      <c r="AM90" s="1"/>
      <c r="AN90" s="1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6"/>
      <c r="M91" s="144"/>
      <c r="N91" s="146"/>
      <c r="O91" s="144"/>
      <c r="P91" s="146"/>
      <c r="Q91" s="144"/>
      <c r="R91" s="144"/>
      <c r="S91" s="144"/>
      <c r="T91" s="144"/>
      <c r="U91" s="3157">
        <f t="shared" si="88"/>
        <v>2.5000000000000004</v>
      </c>
      <c r="V91" s="3157">
        <f t="shared" si="88"/>
        <v>6.85</v>
      </c>
      <c r="W91" s="3157">
        <f t="shared" si="88"/>
        <v>5.5</v>
      </c>
      <c r="X91" s="3157">
        <f t="shared" si="88"/>
        <v>1.5499999999999998</v>
      </c>
      <c r="Y91" s="3157">
        <f t="shared" si="88"/>
        <v>0.75</v>
      </c>
      <c r="Z91" s="3157">
        <f t="shared" si="88"/>
        <v>5.33</v>
      </c>
      <c r="AA91" s="3157">
        <f t="shared" si="88"/>
        <v>1.28</v>
      </c>
      <c r="AB91" s="144"/>
      <c r="AC91" s="2867"/>
      <c r="AD91" s="2867"/>
      <c r="AE91" s="2867"/>
      <c r="AF91" s="2867"/>
      <c r="AG91" s="2867"/>
      <c r="AH91" s="2867"/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6"/>
      <c r="M92" s="144"/>
      <c r="N92" s="146"/>
      <c r="O92" s="144"/>
      <c r="P92" s="146"/>
      <c r="Q92" s="144"/>
      <c r="R92" s="144"/>
      <c r="S92" s="144"/>
      <c r="T92" s="144"/>
      <c r="U92" s="3157">
        <f t="shared" si="88"/>
        <v>2.5000000000000004</v>
      </c>
      <c r="V92" s="3157">
        <f t="shared" si="88"/>
        <v>6.85</v>
      </c>
      <c r="W92" s="3157">
        <f t="shared" si="88"/>
        <v>5.5</v>
      </c>
      <c r="X92" s="3157">
        <f t="shared" si="88"/>
        <v>1.5499999999999998</v>
      </c>
      <c r="Y92" s="3157">
        <f t="shared" si="88"/>
        <v>0.75</v>
      </c>
      <c r="Z92" s="3157">
        <f t="shared" si="88"/>
        <v>5.33</v>
      </c>
      <c r="AA92" s="3157">
        <f t="shared" si="88"/>
        <v>1.28</v>
      </c>
      <c r="AB92" s="144"/>
      <c r="AC92" s="2867">
        <v>0</v>
      </c>
      <c r="AD92" s="2867">
        <v>0</v>
      </c>
      <c r="AE92" s="2867">
        <v>0</v>
      </c>
      <c r="AF92" s="2867">
        <v>0</v>
      </c>
      <c r="AG92" s="2867">
        <v>0</v>
      </c>
      <c r="AH92" s="2867">
        <v>0</v>
      </c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6"/>
      <c r="M93" s="144"/>
      <c r="N93" s="146"/>
      <c r="O93" s="144"/>
      <c r="P93" s="146"/>
      <c r="Q93" s="144"/>
      <c r="R93" s="144"/>
      <c r="S93" s="144"/>
      <c r="T93" s="144"/>
      <c r="U93" s="3157">
        <f t="shared" si="88"/>
        <v>2.5000000000000004</v>
      </c>
      <c r="V93" s="3157">
        <f t="shared" si="88"/>
        <v>6.85</v>
      </c>
      <c r="W93" s="3157">
        <f t="shared" si="88"/>
        <v>5.5</v>
      </c>
      <c r="X93" s="3157">
        <f t="shared" si="88"/>
        <v>1.5499999999999998</v>
      </c>
      <c r="Y93" s="3157">
        <f t="shared" si="88"/>
        <v>0.75</v>
      </c>
      <c r="Z93" s="3157">
        <f t="shared" si="88"/>
        <v>5.33</v>
      </c>
      <c r="AA93" s="3157">
        <f t="shared" si="88"/>
        <v>1.28</v>
      </c>
      <c r="AB93" s="144"/>
      <c r="AC93" s="2867">
        <v>0</v>
      </c>
      <c r="AD93" s="2867">
        <v>0</v>
      </c>
      <c r="AE93" s="2867">
        <v>0</v>
      </c>
      <c r="AF93" s="2867">
        <v>0</v>
      </c>
      <c r="AG93" s="2867">
        <v>0</v>
      </c>
      <c r="AH93" s="2867">
        <v>0</v>
      </c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6"/>
      <c r="M94" s="144"/>
      <c r="N94" s="146"/>
      <c r="O94" s="144"/>
      <c r="P94" s="146"/>
      <c r="Q94" s="144"/>
      <c r="R94" s="144"/>
      <c r="S94" s="144"/>
      <c r="T94" s="144"/>
      <c r="U94" s="3157">
        <f t="shared" si="88"/>
        <v>2.5000000000000004</v>
      </c>
      <c r="V94" s="3157">
        <f t="shared" si="88"/>
        <v>6.85</v>
      </c>
      <c r="W94" s="3157">
        <f t="shared" si="88"/>
        <v>5.5</v>
      </c>
      <c r="X94" s="3157">
        <f t="shared" si="88"/>
        <v>1.5499999999999998</v>
      </c>
      <c r="Y94" s="3157">
        <f t="shared" si="88"/>
        <v>0.75</v>
      </c>
      <c r="Z94" s="3157">
        <f t="shared" si="88"/>
        <v>5.33</v>
      </c>
      <c r="AA94" s="3157">
        <f t="shared" si="88"/>
        <v>1.28</v>
      </c>
      <c r="AB94" s="144"/>
      <c r="AC94" s="2867">
        <v>0</v>
      </c>
      <c r="AD94" s="2867">
        <v>0</v>
      </c>
      <c r="AE94" s="2867">
        <v>0</v>
      </c>
      <c r="AF94" s="2867">
        <v>0</v>
      </c>
      <c r="AG94" s="2867">
        <v>0</v>
      </c>
      <c r="AH94" s="2867">
        <v>0</v>
      </c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6"/>
      <c r="M95" s="144"/>
      <c r="N95" s="146"/>
      <c r="O95" s="144"/>
      <c r="P95" s="146"/>
      <c r="Q95" s="144"/>
      <c r="R95" s="144"/>
      <c r="S95" s="144"/>
      <c r="T95" s="144"/>
      <c r="U95" s="3157">
        <f t="shared" si="88"/>
        <v>2.5000000000000004</v>
      </c>
      <c r="V95" s="3157">
        <f t="shared" si="88"/>
        <v>6.85</v>
      </c>
      <c r="W95" s="3157">
        <f t="shared" si="88"/>
        <v>5.5</v>
      </c>
      <c r="X95" s="3157">
        <f t="shared" si="88"/>
        <v>1.5499999999999998</v>
      </c>
      <c r="Y95" s="3157">
        <f t="shared" si="88"/>
        <v>0.75</v>
      </c>
      <c r="Z95" s="3157">
        <f t="shared" si="88"/>
        <v>5.33</v>
      </c>
      <c r="AA95" s="3157">
        <f t="shared" si="88"/>
        <v>1.28</v>
      </c>
      <c r="AB95" s="144"/>
      <c r="AC95" s="2867"/>
      <c r="AD95" s="2867"/>
      <c r="AE95" s="2867"/>
      <c r="AF95" s="2867"/>
      <c r="AG95" s="2867"/>
      <c r="AH95" s="2867"/>
      <c r="AI95" s="282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6"/>
      <c r="M96" s="144"/>
      <c r="N96" s="146"/>
      <c r="O96" s="144"/>
      <c r="P96" s="146"/>
      <c r="Q96" s="144"/>
      <c r="R96" s="144"/>
      <c r="S96" s="144"/>
      <c r="T96" s="144"/>
      <c r="U96" s="3157">
        <f t="shared" si="88"/>
        <v>2.5000000000000004</v>
      </c>
      <c r="V96" s="3157">
        <f t="shared" si="88"/>
        <v>6.85</v>
      </c>
      <c r="W96" s="3157">
        <f t="shared" si="88"/>
        <v>5.5</v>
      </c>
      <c r="X96" s="3157">
        <f t="shared" si="88"/>
        <v>1.5499999999999998</v>
      </c>
      <c r="Y96" s="3157">
        <f t="shared" si="88"/>
        <v>0.75</v>
      </c>
      <c r="Z96" s="3157">
        <f t="shared" si="88"/>
        <v>5.33</v>
      </c>
      <c r="AA96" s="3157">
        <f t="shared" si="88"/>
        <v>1.28</v>
      </c>
      <c r="AB96" s="144"/>
      <c r="AC96" s="2867"/>
      <c r="AD96" s="2867"/>
      <c r="AE96" s="2867"/>
      <c r="AF96" s="2867"/>
      <c r="AG96" s="2867"/>
      <c r="AH96" s="2867"/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6"/>
      <c r="M97" s="144"/>
      <c r="N97" s="146"/>
      <c r="O97" s="144"/>
      <c r="P97" s="146"/>
      <c r="Q97" s="144"/>
      <c r="R97" s="144"/>
      <c r="S97" s="144"/>
      <c r="T97" s="144"/>
      <c r="U97" s="3157">
        <f t="shared" si="88"/>
        <v>2.5000000000000004</v>
      </c>
      <c r="V97" s="3157">
        <f t="shared" si="88"/>
        <v>6.85</v>
      </c>
      <c r="W97" s="3157">
        <f t="shared" si="88"/>
        <v>5.5</v>
      </c>
      <c r="X97" s="3157">
        <f t="shared" si="88"/>
        <v>1.5499999999999998</v>
      </c>
      <c r="Y97" s="3157">
        <f t="shared" si="88"/>
        <v>0.75</v>
      </c>
      <c r="Z97" s="3157">
        <f t="shared" si="88"/>
        <v>5.33</v>
      </c>
      <c r="AA97" s="3157">
        <f t="shared" si="88"/>
        <v>1.28</v>
      </c>
      <c r="AB97" s="144"/>
      <c r="AC97" s="2867">
        <v>0</v>
      </c>
      <c r="AD97" s="2867">
        <v>0</v>
      </c>
      <c r="AE97" s="2867">
        <v>0</v>
      </c>
      <c r="AF97" s="2867">
        <v>0</v>
      </c>
      <c r="AG97" s="2867">
        <v>0</v>
      </c>
      <c r="AH97" s="2867">
        <v>0</v>
      </c>
      <c r="AI97" s="2825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6"/>
      <c r="M98" s="144"/>
      <c r="N98" s="146"/>
      <c r="O98" s="144"/>
      <c r="P98" s="146"/>
      <c r="Q98" s="144"/>
      <c r="R98" s="144"/>
      <c r="S98" s="144"/>
      <c r="T98" s="144"/>
      <c r="U98" s="3157">
        <f t="shared" si="88"/>
        <v>2.5000000000000004</v>
      </c>
      <c r="V98" s="3157">
        <f t="shared" si="88"/>
        <v>6.85</v>
      </c>
      <c r="W98" s="3157">
        <f t="shared" si="88"/>
        <v>5.5</v>
      </c>
      <c r="X98" s="3157">
        <f t="shared" si="88"/>
        <v>1.5499999999999998</v>
      </c>
      <c r="Y98" s="3157">
        <f t="shared" si="88"/>
        <v>0.75</v>
      </c>
      <c r="Z98" s="3157">
        <f t="shared" si="88"/>
        <v>5.33</v>
      </c>
      <c r="AA98" s="3157">
        <f t="shared" si="88"/>
        <v>1.28</v>
      </c>
      <c r="AB98" s="144"/>
      <c r="AC98" s="2867">
        <v>0</v>
      </c>
      <c r="AD98" s="2867">
        <v>0</v>
      </c>
      <c r="AE98" s="2867">
        <v>0</v>
      </c>
      <c r="AF98" s="2867">
        <v>0</v>
      </c>
      <c r="AG98" s="2867">
        <v>0</v>
      </c>
      <c r="AH98" s="2867">
        <v>0</v>
      </c>
      <c r="AI98" s="2825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6"/>
      <c r="M99" s="144"/>
      <c r="N99" s="146"/>
      <c r="O99" s="144"/>
      <c r="P99" s="146"/>
      <c r="Q99" s="144"/>
      <c r="R99" s="144"/>
      <c r="S99" s="144"/>
      <c r="T99" s="144"/>
      <c r="U99" s="3157">
        <f t="shared" si="88"/>
        <v>2.5000000000000004</v>
      </c>
      <c r="V99" s="3157">
        <f t="shared" si="88"/>
        <v>6.85</v>
      </c>
      <c r="W99" s="3157">
        <f t="shared" si="88"/>
        <v>5.5</v>
      </c>
      <c r="X99" s="3157">
        <f t="shared" si="88"/>
        <v>1.5499999999999998</v>
      </c>
      <c r="Y99" s="3157">
        <f t="shared" si="88"/>
        <v>0.75</v>
      </c>
      <c r="Z99" s="3157">
        <f t="shared" si="88"/>
        <v>5.33</v>
      </c>
      <c r="AA99" s="3157">
        <f t="shared" si="88"/>
        <v>1.28</v>
      </c>
      <c r="AB99" s="144"/>
      <c r="AC99" s="2867"/>
      <c r="AD99" s="2867"/>
      <c r="AE99" s="2867"/>
      <c r="AF99" s="2867"/>
      <c r="AG99" s="2867"/>
      <c r="AH99" s="2867"/>
      <c r="AI99" s="2825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6"/>
      <c r="M100" s="144"/>
      <c r="N100" s="146"/>
      <c r="O100" s="144"/>
      <c r="P100" s="146"/>
      <c r="Q100" s="144"/>
      <c r="R100" s="144"/>
      <c r="S100" s="144"/>
      <c r="T100" s="144"/>
      <c r="U100" s="3157">
        <f t="shared" si="88"/>
        <v>2.5000000000000004</v>
      </c>
      <c r="V100" s="3157">
        <f t="shared" si="88"/>
        <v>6.85</v>
      </c>
      <c r="W100" s="3157">
        <f t="shared" si="88"/>
        <v>5.5</v>
      </c>
      <c r="X100" s="3157">
        <f t="shared" si="88"/>
        <v>1.5499999999999998</v>
      </c>
      <c r="Y100" s="3157">
        <f t="shared" si="88"/>
        <v>0.75</v>
      </c>
      <c r="Z100" s="3157">
        <f t="shared" si="88"/>
        <v>5.33</v>
      </c>
      <c r="AA100" s="3157">
        <f t="shared" si="88"/>
        <v>1.28</v>
      </c>
      <c r="AB100" s="144"/>
      <c r="AC100" s="2867"/>
      <c r="AD100" s="2867"/>
      <c r="AE100" s="2867"/>
      <c r="AF100" s="2867"/>
      <c r="AG100" s="2867"/>
      <c r="AH100" s="2867"/>
      <c r="AI100" s="2825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6"/>
      <c r="M101" s="144"/>
      <c r="N101" s="146"/>
      <c r="O101" s="144"/>
      <c r="P101" s="146"/>
      <c r="Q101" s="144"/>
      <c r="R101" s="144"/>
      <c r="S101" s="144"/>
      <c r="T101" s="144"/>
      <c r="U101" s="3157">
        <f t="shared" ref="U101:AA116" si="89">IF(U100&gt;0,U100,U99)</f>
        <v>2.5000000000000004</v>
      </c>
      <c r="V101" s="3157">
        <f t="shared" si="89"/>
        <v>6.85</v>
      </c>
      <c r="W101" s="3157">
        <f t="shared" si="89"/>
        <v>5.5</v>
      </c>
      <c r="X101" s="3157">
        <f t="shared" si="89"/>
        <v>1.5499999999999998</v>
      </c>
      <c r="Y101" s="3157">
        <f t="shared" si="89"/>
        <v>0.75</v>
      </c>
      <c r="Z101" s="3157">
        <f t="shared" si="89"/>
        <v>5.33</v>
      </c>
      <c r="AA101" s="3157">
        <f t="shared" si="89"/>
        <v>1.28</v>
      </c>
      <c r="AB101" s="144"/>
      <c r="AC101" s="2867">
        <v>0</v>
      </c>
      <c r="AD101" s="2867">
        <v>0</v>
      </c>
      <c r="AE101" s="2867">
        <v>0</v>
      </c>
      <c r="AF101" s="2867">
        <v>0</v>
      </c>
      <c r="AG101" s="2867">
        <v>0</v>
      </c>
      <c r="AH101" s="2867">
        <v>0</v>
      </c>
      <c r="AI101" s="2825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6"/>
      <c r="M102" s="144"/>
      <c r="N102" s="146"/>
      <c r="O102" s="144"/>
      <c r="P102" s="146"/>
      <c r="Q102" s="144"/>
      <c r="R102" s="144"/>
      <c r="S102" s="144"/>
      <c r="T102" s="144"/>
      <c r="U102" s="3157">
        <f t="shared" si="89"/>
        <v>2.5000000000000004</v>
      </c>
      <c r="V102" s="3157">
        <f t="shared" si="89"/>
        <v>6.85</v>
      </c>
      <c r="W102" s="3157">
        <f t="shared" si="89"/>
        <v>5.5</v>
      </c>
      <c r="X102" s="3157">
        <f t="shared" si="89"/>
        <v>1.5499999999999998</v>
      </c>
      <c r="Y102" s="3157">
        <f t="shared" si="89"/>
        <v>0.75</v>
      </c>
      <c r="Z102" s="3157">
        <f t="shared" si="89"/>
        <v>5.33</v>
      </c>
      <c r="AA102" s="3157">
        <f t="shared" si="89"/>
        <v>1.28</v>
      </c>
      <c r="AB102" s="144"/>
      <c r="AC102" s="2867">
        <v>0</v>
      </c>
      <c r="AD102" s="2867">
        <v>0</v>
      </c>
      <c r="AE102" s="2867">
        <v>0</v>
      </c>
      <c r="AF102" s="2867">
        <v>0</v>
      </c>
      <c r="AG102" s="2867">
        <v>0</v>
      </c>
      <c r="AH102" s="2867">
        <v>0</v>
      </c>
      <c r="AI102" s="2825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6"/>
      <c r="M103" s="144"/>
      <c r="N103" s="146"/>
      <c r="O103" s="144"/>
      <c r="P103" s="146"/>
      <c r="Q103" s="144"/>
      <c r="R103" s="144"/>
      <c r="S103" s="144"/>
      <c r="T103" s="144"/>
      <c r="U103" s="3157">
        <f t="shared" si="89"/>
        <v>2.5000000000000004</v>
      </c>
      <c r="V103" s="3157">
        <f t="shared" si="89"/>
        <v>6.85</v>
      </c>
      <c r="W103" s="3157">
        <f t="shared" si="89"/>
        <v>5.5</v>
      </c>
      <c r="X103" s="3157">
        <f t="shared" si="89"/>
        <v>1.5499999999999998</v>
      </c>
      <c r="Y103" s="3157">
        <f t="shared" si="89"/>
        <v>0.75</v>
      </c>
      <c r="Z103" s="3157">
        <f t="shared" si="89"/>
        <v>5.33</v>
      </c>
      <c r="AA103" s="3157">
        <f t="shared" si="89"/>
        <v>1.28</v>
      </c>
      <c r="AB103" s="144"/>
      <c r="AC103" s="2867">
        <v>0</v>
      </c>
      <c r="AD103" s="2867">
        <v>0</v>
      </c>
      <c r="AE103" s="2867">
        <v>0</v>
      </c>
      <c r="AF103" s="2867">
        <v>0</v>
      </c>
      <c r="AG103" s="2867">
        <v>0</v>
      </c>
      <c r="AH103" s="2867">
        <v>0</v>
      </c>
      <c r="AI103" s="2825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6"/>
      <c r="M104" s="144"/>
      <c r="N104" s="146"/>
      <c r="O104" s="144"/>
      <c r="P104" s="146"/>
      <c r="Q104" s="144"/>
      <c r="R104" s="144"/>
      <c r="S104" s="144"/>
      <c r="T104" s="144"/>
      <c r="U104" s="3157">
        <f t="shared" si="89"/>
        <v>2.5000000000000004</v>
      </c>
      <c r="V104" s="3157">
        <f t="shared" si="89"/>
        <v>6.85</v>
      </c>
      <c r="W104" s="3157">
        <f t="shared" si="89"/>
        <v>5.5</v>
      </c>
      <c r="X104" s="3157">
        <f t="shared" si="89"/>
        <v>1.5499999999999998</v>
      </c>
      <c r="Y104" s="3157">
        <f t="shared" si="89"/>
        <v>0.75</v>
      </c>
      <c r="Z104" s="3157">
        <f t="shared" si="89"/>
        <v>5.33</v>
      </c>
      <c r="AA104" s="3157">
        <f t="shared" si="89"/>
        <v>1.28</v>
      </c>
      <c r="AB104" s="144"/>
      <c r="AC104" s="2867">
        <v>0</v>
      </c>
      <c r="AD104" s="2867">
        <v>0</v>
      </c>
      <c r="AE104" s="2867">
        <v>0</v>
      </c>
      <c r="AF104" s="2867">
        <v>0</v>
      </c>
      <c r="AG104" s="2867">
        <v>0</v>
      </c>
      <c r="AH104" s="2867">
        <v>0</v>
      </c>
      <c r="AI104" s="2825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6"/>
      <c r="M105" s="144"/>
      <c r="N105" s="146"/>
      <c r="O105" s="144"/>
      <c r="P105" s="146"/>
      <c r="Q105" s="144"/>
      <c r="R105" s="144"/>
      <c r="S105" s="144"/>
      <c r="T105" s="144"/>
      <c r="U105" s="3157">
        <f t="shared" si="89"/>
        <v>2.5000000000000004</v>
      </c>
      <c r="V105" s="3157">
        <f t="shared" si="89"/>
        <v>6.85</v>
      </c>
      <c r="W105" s="3157">
        <f t="shared" si="89"/>
        <v>5.5</v>
      </c>
      <c r="X105" s="3157">
        <f t="shared" si="89"/>
        <v>1.5499999999999998</v>
      </c>
      <c r="Y105" s="3157">
        <f t="shared" si="89"/>
        <v>0.75</v>
      </c>
      <c r="Z105" s="3157">
        <f t="shared" si="89"/>
        <v>5.33</v>
      </c>
      <c r="AA105" s="3157">
        <f t="shared" si="89"/>
        <v>1.28</v>
      </c>
      <c r="AB105" s="144"/>
      <c r="AC105" s="2867"/>
      <c r="AD105" s="2867"/>
      <c r="AE105" s="2867"/>
      <c r="AF105" s="2867"/>
      <c r="AG105" s="2867"/>
      <c r="AH105" s="2867"/>
      <c r="AI105" s="2825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6"/>
      <c r="M106" s="144"/>
      <c r="N106" s="146"/>
      <c r="O106" s="144"/>
      <c r="P106" s="146"/>
      <c r="Q106" s="144"/>
      <c r="R106" s="144"/>
      <c r="S106" s="144"/>
      <c r="T106" s="144"/>
      <c r="U106" s="3157">
        <f t="shared" si="89"/>
        <v>2.5000000000000004</v>
      </c>
      <c r="V106" s="3157">
        <f t="shared" si="89"/>
        <v>6.85</v>
      </c>
      <c r="W106" s="3157">
        <f t="shared" si="89"/>
        <v>5.5</v>
      </c>
      <c r="X106" s="3157">
        <f t="shared" si="89"/>
        <v>1.5499999999999998</v>
      </c>
      <c r="Y106" s="3157">
        <f t="shared" si="89"/>
        <v>0.75</v>
      </c>
      <c r="Z106" s="3157">
        <f t="shared" si="89"/>
        <v>5.33</v>
      </c>
      <c r="AA106" s="3157">
        <f t="shared" si="89"/>
        <v>1.28</v>
      </c>
      <c r="AB106" s="144"/>
      <c r="AC106" s="2867">
        <v>0</v>
      </c>
      <c r="AD106" s="2867">
        <v>0</v>
      </c>
      <c r="AE106" s="2867">
        <v>0</v>
      </c>
      <c r="AF106" s="2867">
        <v>0</v>
      </c>
      <c r="AG106" s="2867">
        <v>0</v>
      </c>
      <c r="AH106" s="2867">
        <v>0</v>
      </c>
      <c r="AI106" s="2825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6"/>
      <c r="M107" s="144"/>
      <c r="N107" s="146"/>
      <c r="O107" s="144"/>
      <c r="P107" s="146"/>
      <c r="Q107" s="144"/>
      <c r="R107" s="144"/>
      <c r="S107" s="144"/>
      <c r="T107" s="144"/>
      <c r="U107" s="3157">
        <f t="shared" si="89"/>
        <v>2.5000000000000004</v>
      </c>
      <c r="V107" s="3157">
        <f t="shared" si="89"/>
        <v>6.85</v>
      </c>
      <c r="W107" s="3157">
        <f t="shared" si="89"/>
        <v>5.5</v>
      </c>
      <c r="X107" s="3157">
        <f t="shared" si="89"/>
        <v>1.5499999999999998</v>
      </c>
      <c r="Y107" s="3157">
        <f t="shared" si="89"/>
        <v>0.75</v>
      </c>
      <c r="Z107" s="3157">
        <f t="shared" si="89"/>
        <v>5.33</v>
      </c>
      <c r="AA107" s="3157">
        <f t="shared" si="89"/>
        <v>1.28</v>
      </c>
      <c r="AB107" s="144"/>
      <c r="AC107" s="2867">
        <v>0</v>
      </c>
      <c r="AD107" s="2867">
        <v>0</v>
      </c>
      <c r="AE107" s="2867">
        <v>0</v>
      </c>
      <c r="AF107" s="2867">
        <v>0</v>
      </c>
      <c r="AG107" s="2867">
        <v>0</v>
      </c>
      <c r="AH107" s="2867">
        <v>0</v>
      </c>
      <c r="AI107" s="2825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6"/>
      <c r="M108" s="144"/>
      <c r="N108" s="146"/>
      <c r="O108" s="144"/>
      <c r="P108" s="146"/>
      <c r="Q108" s="144"/>
      <c r="R108" s="144"/>
      <c r="S108" s="144"/>
      <c r="T108" s="144"/>
      <c r="U108" s="3157">
        <f t="shared" si="89"/>
        <v>2.5000000000000004</v>
      </c>
      <c r="V108" s="3157">
        <f t="shared" si="89"/>
        <v>6.85</v>
      </c>
      <c r="W108" s="3157">
        <f t="shared" si="89"/>
        <v>5.5</v>
      </c>
      <c r="X108" s="3157">
        <f t="shared" si="89"/>
        <v>1.5499999999999998</v>
      </c>
      <c r="Y108" s="3157">
        <f t="shared" si="89"/>
        <v>0.75</v>
      </c>
      <c r="Z108" s="3157">
        <f t="shared" si="89"/>
        <v>5.33</v>
      </c>
      <c r="AA108" s="3157">
        <f t="shared" si="89"/>
        <v>1.28</v>
      </c>
      <c r="AB108" s="144"/>
      <c r="AC108" s="2867"/>
      <c r="AD108" s="2867"/>
      <c r="AE108" s="2867"/>
      <c r="AF108" s="2867"/>
      <c r="AG108" s="2867"/>
      <c r="AH108" s="2867"/>
      <c r="AI108" s="2825"/>
      <c r="AJ108" s="1"/>
      <c r="AK108" s="1"/>
      <c r="AL108" s="1"/>
      <c r="AM108" s="1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6"/>
      <c r="M109" s="144"/>
      <c r="N109" s="146"/>
      <c r="O109" s="144"/>
      <c r="P109" s="146"/>
      <c r="Q109" s="144"/>
      <c r="R109" s="144"/>
      <c r="S109" s="144"/>
      <c r="T109" s="144"/>
      <c r="U109" s="3157">
        <f t="shared" si="89"/>
        <v>2.5000000000000004</v>
      </c>
      <c r="V109" s="3157">
        <f t="shared" si="89"/>
        <v>6.85</v>
      </c>
      <c r="W109" s="3157">
        <f t="shared" si="89"/>
        <v>5.5</v>
      </c>
      <c r="X109" s="3157">
        <f t="shared" si="89"/>
        <v>1.5499999999999998</v>
      </c>
      <c r="Y109" s="3157">
        <f t="shared" si="89"/>
        <v>0.75</v>
      </c>
      <c r="Z109" s="3157">
        <f t="shared" si="89"/>
        <v>5.33</v>
      </c>
      <c r="AA109" s="3157">
        <f t="shared" si="89"/>
        <v>1.28</v>
      </c>
      <c r="AB109" s="144"/>
      <c r="AC109" s="2867"/>
      <c r="AD109" s="2867"/>
      <c r="AE109" s="2867"/>
      <c r="AF109" s="2867"/>
      <c r="AG109" s="2867"/>
      <c r="AH109" s="2867"/>
      <c r="AI109" s="2825"/>
      <c r="AJ109" s="1"/>
      <c r="AK109" s="1"/>
      <c r="AL109" s="1"/>
      <c r="AM109" s="1"/>
      <c r="AN109" s="1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6"/>
      <c r="M110" s="144"/>
      <c r="N110" s="146"/>
      <c r="O110" s="144"/>
      <c r="P110" s="146"/>
      <c r="Q110" s="144"/>
      <c r="R110" s="144"/>
      <c r="S110" s="144"/>
      <c r="T110" s="144"/>
      <c r="U110" s="3157">
        <f t="shared" si="89"/>
        <v>2.5000000000000004</v>
      </c>
      <c r="V110" s="3157">
        <f t="shared" si="89"/>
        <v>6.85</v>
      </c>
      <c r="W110" s="3157">
        <f t="shared" si="89"/>
        <v>5.5</v>
      </c>
      <c r="X110" s="3157">
        <f t="shared" si="89"/>
        <v>1.5499999999999998</v>
      </c>
      <c r="Y110" s="3157">
        <f t="shared" si="89"/>
        <v>0.75</v>
      </c>
      <c r="Z110" s="3157">
        <f t="shared" si="89"/>
        <v>5.33</v>
      </c>
      <c r="AA110" s="3157">
        <f t="shared" si="89"/>
        <v>1.28</v>
      </c>
      <c r="AB110" s="144"/>
      <c r="AC110" s="2867">
        <v>0</v>
      </c>
      <c r="AD110" s="2867">
        <v>0</v>
      </c>
      <c r="AE110" s="2867">
        <v>0</v>
      </c>
      <c r="AF110" s="2867">
        <v>0</v>
      </c>
      <c r="AG110" s="2867">
        <v>0</v>
      </c>
      <c r="AH110" s="2867">
        <v>0</v>
      </c>
      <c r="AI110" s="2825"/>
      <c r="AJ110" s="1"/>
      <c r="AK110" s="1"/>
      <c r="AL110" s="1"/>
      <c r="AM110" s="1"/>
      <c r="AN110" s="1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6"/>
      <c r="M111" s="144"/>
      <c r="N111" s="146"/>
      <c r="O111" s="144"/>
      <c r="P111" s="146"/>
      <c r="Q111" s="144"/>
      <c r="R111" s="144"/>
      <c r="S111" s="144"/>
      <c r="T111" s="144"/>
      <c r="U111" s="3157">
        <f t="shared" si="89"/>
        <v>2.5000000000000004</v>
      </c>
      <c r="V111" s="3157">
        <f t="shared" si="89"/>
        <v>6.85</v>
      </c>
      <c r="W111" s="3157">
        <f t="shared" si="89"/>
        <v>5.5</v>
      </c>
      <c r="X111" s="3157">
        <f t="shared" si="89"/>
        <v>1.5499999999999998</v>
      </c>
      <c r="Y111" s="3157">
        <f t="shared" si="89"/>
        <v>0.75</v>
      </c>
      <c r="Z111" s="3157">
        <f t="shared" si="89"/>
        <v>5.33</v>
      </c>
      <c r="AA111" s="3157">
        <f t="shared" si="89"/>
        <v>1.28</v>
      </c>
      <c r="AB111" s="144"/>
      <c r="AC111" s="2867">
        <v>0</v>
      </c>
      <c r="AD111" s="2867">
        <v>0</v>
      </c>
      <c r="AE111" s="2867">
        <v>0</v>
      </c>
      <c r="AF111" s="2867">
        <v>0</v>
      </c>
      <c r="AG111" s="2867">
        <v>0</v>
      </c>
      <c r="AH111" s="2867">
        <v>0</v>
      </c>
      <c r="AI111" s="2825"/>
      <c r="AJ111" s="1"/>
      <c r="AK111" s="1"/>
      <c r="AL111" s="1"/>
      <c r="AM111" s="1"/>
      <c r="AN111" s="1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6"/>
      <c r="M112" s="144"/>
      <c r="N112" s="146"/>
      <c r="O112" s="144"/>
      <c r="P112" s="146"/>
      <c r="Q112" s="144"/>
      <c r="R112" s="144"/>
      <c r="S112" s="144"/>
      <c r="T112" s="144"/>
      <c r="U112" s="3157">
        <f t="shared" si="89"/>
        <v>2.5000000000000004</v>
      </c>
      <c r="V112" s="3157">
        <f t="shared" si="89"/>
        <v>6.85</v>
      </c>
      <c r="W112" s="3157">
        <f t="shared" si="89"/>
        <v>5.5</v>
      </c>
      <c r="X112" s="3157">
        <f t="shared" si="89"/>
        <v>1.5499999999999998</v>
      </c>
      <c r="Y112" s="3157">
        <f t="shared" si="89"/>
        <v>0.75</v>
      </c>
      <c r="Z112" s="3157">
        <f t="shared" si="89"/>
        <v>5.33</v>
      </c>
      <c r="AA112" s="3157">
        <f t="shared" si="89"/>
        <v>1.28</v>
      </c>
      <c r="AB112" s="144"/>
      <c r="AC112" s="2867">
        <v>0</v>
      </c>
      <c r="AD112" s="2867">
        <v>0</v>
      </c>
      <c r="AE112" s="2867">
        <v>0</v>
      </c>
      <c r="AF112" s="2867">
        <v>0</v>
      </c>
      <c r="AG112" s="2867">
        <v>0</v>
      </c>
      <c r="AH112" s="2867">
        <v>0</v>
      </c>
      <c r="AI112" s="2825"/>
      <c r="AJ112" s="1"/>
      <c r="AK112" s="1"/>
      <c r="AL112" s="1"/>
      <c r="AM112" s="1"/>
      <c r="AN112" s="1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6"/>
      <c r="M113" s="144"/>
      <c r="N113" s="146"/>
      <c r="O113" s="144"/>
      <c r="P113" s="146"/>
      <c r="Q113" s="144"/>
      <c r="R113" s="144"/>
      <c r="S113" s="144"/>
      <c r="T113" s="144"/>
      <c r="U113" s="3157">
        <f t="shared" si="89"/>
        <v>2.5000000000000004</v>
      </c>
      <c r="V113" s="3157">
        <f t="shared" si="89"/>
        <v>6.85</v>
      </c>
      <c r="W113" s="3157">
        <f t="shared" si="89"/>
        <v>5.5</v>
      </c>
      <c r="X113" s="3157">
        <f t="shared" si="89"/>
        <v>1.5499999999999998</v>
      </c>
      <c r="Y113" s="3157">
        <f t="shared" si="89"/>
        <v>0.75</v>
      </c>
      <c r="Z113" s="3157">
        <f t="shared" si="89"/>
        <v>5.33</v>
      </c>
      <c r="AA113" s="3157">
        <f t="shared" si="89"/>
        <v>1.28</v>
      </c>
      <c r="AB113" s="144"/>
      <c r="AC113" s="2867"/>
      <c r="AD113" s="2867"/>
      <c r="AE113" s="2867"/>
      <c r="AF113" s="2867"/>
      <c r="AG113" s="2867"/>
      <c r="AH113" s="2867"/>
      <c r="AI113" s="2825"/>
      <c r="AJ113" s="1"/>
      <c r="AK113" s="1"/>
      <c r="AL113" s="1"/>
      <c r="AM113" s="1"/>
      <c r="AN113" s="1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6"/>
      <c r="M114" s="144"/>
      <c r="N114" s="146"/>
      <c r="O114" s="144"/>
      <c r="P114" s="146"/>
      <c r="Q114" s="144"/>
      <c r="R114" s="144"/>
      <c r="S114" s="144"/>
      <c r="T114" s="144"/>
      <c r="U114" s="3157">
        <f t="shared" si="89"/>
        <v>2.5000000000000004</v>
      </c>
      <c r="V114" s="3157">
        <f t="shared" si="89"/>
        <v>6.85</v>
      </c>
      <c r="W114" s="3157">
        <f t="shared" si="89"/>
        <v>5.5</v>
      </c>
      <c r="X114" s="3157">
        <f t="shared" si="89"/>
        <v>1.5499999999999998</v>
      </c>
      <c r="Y114" s="3157">
        <f t="shared" si="89"/>
        <v>0.75</v>
      </c>
      <c r="Z114" s="3157">
        <f t="shared" si="89"/>
        <v>5.33</v>
      </c>
      <c r="AA114" s="3157">
        <f t="shared" si="89"/>
        <v>1.28</v>
      </c>
      <c r="AB114" s="144"/>
      <c r="AC114" s="2867"/>
      <c r="AD114" s="2867"/>
      <c r="AE114" s="2867"/>
      <c r="AF114" s="2867"/>
      <c r="AG114" s="2867"/>
      <c r="AH114" s="2867"/>
      <c r="AI114" s="2825"/>
      <c r="AJ114" s="1"/>
      <c r="AK114" s="1"/>
      <c r="AL114" s="1"/>
      <c r="AM114" s="1"/>
      <c r="AN114" s="1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6"/>
      <c r="M115" s="144"/>
      <c r="N115" s="146"/>
      <c r="O115" s="144"/>
      <c r="P115" s="146"/>
      <c r="Q115" s="144"/>
      <c r="R115" s="144"/>
      <c r="S115" s="144"/>
      <c r="T115" s="144"/>
      <c r="U115" s="3157">
        <f t="shared" si="89"/>
        <v>2.5000000000000004</v>
      </c>
      <c r="V115" s="3157">
        <f t="shared" si="89"/>
        <v>6.85</v>
      </c>
      <c r="W115" s="3157">
        <f t="shared" si="89"/>
        <v>5.5</v>
      </c>
      <c r="X115" s="3157">
        <f t="shared" si="89"/>
        <v>1.5499999999999998</v>
      </c>
      <c r="Y115" s="3157">
        <f t="shared" si="89"/>
        <v>0.75</v>
      </c>
      <c r="Z115" s="3157">
        <f t="shared" si="89"/>
        <v>5.33</v>
      </c>
      <c r="AA115" s="3157">
        <f t="shared" si="89"/>
        <v>1.28</v>
      </c>
      <c r="AB115" s="144"/>
      <c r="AC115" s="2867">
        <v>0</v>
      </c>
      <c r="AD115" s="2867">
        <v>0</v>
      </c>
      <c r="AE115" s="2867">
        <v>0</v>
      </c>
      <c r="AF115" s="2867">
        <v>0</v>
      </c>
      <c r="AG115" s="2867">
        <v>0</v>
      </c>
      <c r="AH115" s="2867">
        <v>0</v>
      </c>
      <c r="AI115" s="2825"/>
      <c r="AJ115" s="1"/>
      <c r="AK115" s="1"/>
      <c r="AL115" s="1"/>
      <c r="AM115" s="1"/>
      <c r="AN115" s="1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6"/>
      <c r="M116" s="144"/>
      <c r="N116" s="146"/>
      <c r="O116" s="144"/>
      <c r="P116" s="146"/>
      <c r="Q116" s="144"/>
      <c r="R116" s="144"/>
      <c r="S116" s="144"/>
      <c r="T116" s="144"/>
      <c r="U116" s="3157">
        <f t="shared" si="89"/>
        <v>2.5000000000000004</v>
      </c>
      <c r="V116" s="3157">
        <f t="shared" si="89"/>
        <v>6.85</v>
      </c>
      <c r="W116" s="3157">
        <f t="shared" si="89"/>
        <v>5.5</v>
      </c>
      <c r="X116" s="3157">
        <f t="shared" si="89"/>
        <v>1.5499999999999998</v>
      </c>
      <c r="Y116" s="3157">
        <f t="shared" si="89"/>
        <v>0.75</v>
      </c>
      <c r="Z116" s="3157">
        <f t="shared" si="89"/>
        <v>5.33</v>
      </c>
      <c r="AA116" s="3157">
        <f t="shared" si="89"/>
        <v>1.28</v>
      </c>
      <c r="AB116" s="144"/>
      <c r="AC116" s="2867">
        <v>0</v>
      </c>
      <c r="AD116" s="2867">
        <v>0</v>
      </c>
      <c r="AE116" s="2867">
        <v>0</v>
      </c>
      <c r="AF116" s="2867">
        <v>0</v>
      </c>
      <c r="AG116" s="2867">
        <v>0</v>
      </c>
      <c r="AH116" s="2867">
        <v>0</v>
      </c>
      <c r="AI116" s="2825"/>
      <c r="AJ116" s="1"/>
      <c r="AK116" s="1"/>
      <c r="AL116" s="1"/>
      <c r="AM116" s="1"/>
      <c r="AN116" s="1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6"/>
      <c r="M117" s="144"/>
      <c r="N117" s="146"/>
      <c r="O117" s="144"/>
      <c r="P117" s="146"/>
      <c r="Q117" s="144"/>
      <c r="R117" s="144"/>
      <c r="S117" s="144"/>
      <c r="T117" s="144"/>
      <c r="U117" s="3157">
        <f t="shared" ref="U117:AA123" si="90">IF(U116&gt;0,U116,U115)</f>
        <v>2.5000000000000004</v>
      </c>
      <c r="V117" s="3157">
        <f t="shared" si="90"/>
        <v>6.85</v>
      </c>
      <c r="W117" s="3157">
        <f t="shared" si="90"/>
        <v>5.5</v>
      </c>
      <c r="X117" s="3157">
        <f t="shared" si="90"/>
        <v>1.5499999999999998</v>
      </c>
      <c r="Y117" s="3157">
        <f t="shared" si="90"/>
        <v>0.75</v>
      </c>
      <c r="Z117" s="3157">
        <f t="shared" si="90"/>
        <v>5.33</v>
      </c>
      <c r="AA117" s="3157">
        <f t="shared" si="90"/>
        <v>1.28</v>
      </c>
      <c r="AB117" s="144"/>
      <c r="AC117" s="2867">
        <v>0</v>
      </c>
      <c r="AD117" s="2867">
        <v>0</v>
      </c>
      <c r="AE117" s="2867">
        <v>0</v>
      </c>
      <c r="AF117" s="2867">
        <v>0</v>
      </c>
      <c r="AG117" s="2867">
        <v>0</v>
      </c>
      <c r="AH117" s="2867">
        <v>0</v>
      </c>
      <c r="AI117" s="2825"/>
      <c r="AJ117" s="1"/>
      <c r="AK117" s="1"/>
      <c r="AL117" s="1"/>
      <c r="AM117" s="1"/>
      <c r="AN117" s="1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6"/>
      <c r="M118" s="144"/>
      <c r="N118" s="146"/>
      <c r="O118" s="144"/>
      <c r="P118" s="146"/>
      <c r="Q118" s="144"/>
      <c r="R118" s="144"/>
      <c r="S118" s="144"/>
      <c r="T118" s="144"/>
      <c r="U118" s="3157">
        <f t="shared" si="90"/>
        <v>2.5000000000000004</v>
      </c>
      <c r="V118" s="3157">
        <f t="shared" si="90"/>
        <v>6.85</v>
      </c>
      <c r="W118" s="3157">
        <f t="shared" si="90"/>
        <v>5.5</v>
      </c>
      <c r="X118" s="3157">
        <f t="shared" si="90"/>
        <v>1.5499999999999998</v>
      </c>
      <c r="Y118" s="3157">
        <f t="shared" si="90"/>
        <v>0.75</v>
      </c>
      <c r="Z118" s="3157">
        <f t="shared" si="90"/>
        <v>5.33</v>
      </c>
      <c r="AA118" s="3157">
        <f t="shared" si="90"/>
        <v>1.28</v>
      </c>
      <c r="AB118" s="144"/>
      <c r="AC118" s="2867"/>
      <c r="AD118" s="2867"/>
      <c r="AE118" s="2867"/>
      <c r="AF118" s="2867"/>
      <c r="AG118" s="2867"/>
      <c r="AH118" s="2867"/>
      <c r="AI118" s="2825"/>
      <c r="AJ118" s="1"/>
      <c r="AK118" s="1"/>
      <c r="AL118" s="1"/>
      <c r="AM118" s="1"/>
      <c r="AN118" s="1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6"/>
      <c r="M119" s="144"/>
      <c r="N119" s="146"/>
      <c r="O119" s="144"/>
      <c r="P119" s="146"/>
      <c r="Q119" s="144"/>
      <c r="R119" s="144"/>
      <c r="S119" s="144"/>
      <c r="T119" s="144"/>
      <c r="U119" s="3157">
        <f t="shared" si="90"/>
        <v>2.5000000000000004</v>
      </c>
      <c r="V119" s="3157">
        <f t="shared" si="90"/>
        <v>6.85</v>
      </c>
      <c r="W119" s="3157">
        <f t="shared" si="90"/>
        <v>5.5</v>
      </c>
      <c r="X119" s="3157">
        <f t="shared" si="90"/>
        <v>1.5499999999999998</v>
      </c>
      <c r="Y119" s="3157">
        <f t="shared" si="90"/>
        <v>0.75</v>
      </c>
      <c r="Z119" s="3157">
        <f t="shared" si="90"/>
        <v>5.33</v>
      </c>
      <c r="AA119" s="3157">
        <f t="shared" si="90"/>
        <v>1.28</v>
      </c>
      <c r="AB119" s="144"/>
      <c r="AC119" s="2867"/>
      <c r="AD119" s="2867"/>
      <c r="AE119" s="2867"/>
      <c r="AF119" s="2867"/>
      <c r="AG119" s="2867"/>
      <c r="AH119" s="2867"/>
      <c r="AI119" s="2825"/>
      <c r="AJ119" s="1"/>
      <c r="AK119" s="1"/>
      <c r="AL119" s="1"/>
      <c r="AM119" s="1"/>
      <c r="AN119" s="1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6"/>
      <c r="M120" s="144"/>
      <c r="N120" s="146"/>
      <c r="O120" s="144"/>
      <c r="P120" s="146"/>
      <c r="Q120" s="144"/>
      <c r="R120" s="144"/>
      <c r="S120" s="144"/>
      <c r="T120" s="144"/>
      <c r="U120" s="3157">
        <f t="shared" si="90"/>
        <v>2.5000000000000004</v>
      </c>
      <c r="V120" s="3157">
        <f t="shared" si="90"/>
        <v>6.85</v>
      </c>
      <c r="W120" s="3157">
        <f t="shared" si="90"/>
        <v>5.5</v>
      </c>
      <c r="X120" s="3157">
        <f t="shared" si="90"/>
        <v>1.5499999999999998</v>
      </c>
      <c r="Y120" s="3157">
        <f t="shared" si="90"/>
        <v>0.75</v>
      </c>
      <c r="Z120" s="3157">
        <f t="shared" si="90"/>
        <v>5.33</v>
      </c>
      <c r="AA120" s="3157">
        <f t="shared" si="90"/>
        <v>1.28</v>
      </c>
      <c r="AB120" s="144"/>
      <c r="AC120" s="2867">
        <v>0</v>
      </c>
      <c r="AD120" s="2867">
        <v>0</v>
      </c>
      <c r="AE120" s="2867">
        <v>0</v>
      </c>
      <c r="AF120" s="2867">
        <v>0</v>
      </c>
      <c r="AG120" s="2867">
        <v>0</v>
      </c>
      <c r="AH120" s="2867">
        <v>0</v>
      </c>
      <c r="AI120" s="2825"/>
      <c r="AJ120" s="1"/>
      <c r="AK120" s="1"/>
      <c r="AL120" s="1"/>
      <c r="AM120" s="1"/>
      <c r="AN120" s="1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6"/>
      <c r="M121" s="144"/>
      <c r="N121" s="146"/>
      <c r="O121" s="144"/>
      <c r="P121" s="146"/>
      <c r="Q121" s="144"/>
      <c r="R121" s="144"/>
      <c r="S121" s="144"/>
      <c r="T121" s="144"/>
      <c r="U121" s="3157">
        <f t="shared" si="90"/>
        <v>2.5000000000000004</v>
      </c>
      <c r="V121" s="3157">
        <f t="shared" si="90"/>
        <v>6.85</v>
      </c>
      <c r="W121" s="3157">
        <f t="shared" si="90"/>
        <v>5.5</v>
      </c>
      <c r="X121" s="3157">
        <f t="shared" si="90"/>
        <v>1.5499999999999998</v>
      </c>
      <c r="Y121" s="3157">
        <f t="shared" si="90"/>
        <v>0.75</v>
      </c>
      <c r="Z121" s="3157">
        <f t="shared" si="90"/>
        <v>5.33</v>
      </c>
      <c r="AA121" s="3157">
        <f t="shared" si="90"/>
        <v>1.28</v>
      </c>
      <c r="AB121" s="144"/>
      <c r="AC121" s="2867">
        <v>0</v>
      </c>
      <c r="AD121" s="2867">
        <v>0</v>
      </c>
      <c r="AE121" s="2867">
        <v>0</v>
      </c>
      <c r="AF121" s="2867">
        <v>0</v>
      </c>
      <c r="AG121" s="2867">
        <v>0</v>
      </c>
      <c r="AH121" s="2867">
        <v>0</v>
      </c>
      <c r="AI121" s="2825"/>
      <c r="AJ121" s="1"/>
      <c r="AK121" s="1"/>
      <c r="AL121" s="1"/>
      <c r="AM121" s="1"/>
      <c r="AN121" s="1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6"/>
      <c r="M122" s="144"/>
      <c r="N122" s="146"/>
      <c r="O122" s="144"/>
      <c r="P122" s="146"/>
      <c r="Q122" s="144"/>
      <c r="R122" s="144"/>
      <c r="S122" s="144"/>
      <c r="T122" s="144"/>
      <c r="U122" s="3157">
        <f t="shared" si="90"/>
        <v>2.5000000000000004</v>
      </c>
      <c r="V122" s="3157">
        <f t="shared" si="90"/>
        <v>6.85</v>
      </c>
      <c r="W122" s="3157">
        <f t="shared" si="90"/>
        <v>5.5</v>
      </c>
      <c r="X122" s="3157">
        <f t="shared" si="90"/>
        <v>1.5499999999999998</v>
      </c>
      <c r="Y122" s="3157">
        <f t="shared" si="90"/>
        <v>0.75</v>
      </c>
      <c r="Z122" s="3157">
        <f t="shared" si="90"/>
        <v>5.33</v>
      </c>
      <c r="AA122" s="3157">
        <f t="shared" si="90"/>
        <v>1.28</v>
      </c>
      <c r="AB122" s="144"/>
      <c r="AC122" s="2867">
        <v>0</v>
      </c>
      <c r="AD122" s="2867">
        <v>0</v>
      </c>
      <c r="AE122" s="2867">
        <v>0</v>
      </c>
      <c r="AF122" s="2867">
        <v>0</v>
      </c>
      <c r="AG122" s="2867">
        <v>0</v>
      </c>
      <c r="AH122" s="2867">
        <v>0</v>
      </c>
      <c r="AI122" s="2825"/>
      <c r="AJ122" s="1"/>
      <c r="AK122" s="1"/>
      <c r="AL122" s="1"/>
      <c r="AM122" s="1"/>
      <c r="AN122" s="1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6"/>
      <c r="M123" s="144"/>
      <c r="N123" s="146"/>
      <c r="O123" s="144"/>
      <c r="P123" s="146"/>
      <c r="Q123" s="144"/>
      <c r="R123" s="144"/>
      <c r="S123" s="144"/>
      <c r="T123" s="144"/>
      <c r="U123" s="3158">
        <f>IF(U122&gt;0,U122,U121)</f>
        <v>2.5000000000000004</v>
      </c>
      <c r="V123" s="3158">
        <f t="shared" si="90"/>
        <v>6.85</v>
      </c>
      <c r="W123" s="3158">
        <f t="shared" si="90"/>
        <v>5.5</v>
      </c>
      <c r="X123" s="3158">
        <f t="shared" si="90"/>
        <v>1.5499999999999998</v>
      </c>
      <c r="Y123" s="3158">
        <f t="shared" si="90"/>
        <v>0.75</v>
      </c>
      <c r="Z123" s="3158">
        <f t="shared" si="90"/>
        <v>5.33</v>
      </c>
      <c r="AA123" s="3158">
        <f t="shared" si="90"/>
        <v>1.28</v>
      </c>
      <c r="AB123" s="144"/>
      <c r="AC123" s="2867"/>
      <c r="AD123" s="2867"/>
      <c r="AE123" s="2867"/>
      <c r="AF123" s="2867"/>
      <c r="AG123" s="2867"/>
      <c r="AH123" s="2867"/>
      <c r="AI123" s="2825"/>
      <c r="AJ123" s="1"/>
      <c r="AK123" s="1"/>
      <c r="AL123" s="1"/>
      <c r="AM123" s="1"/>
      <c r="AN123" s="1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6"/>
      <c r="M124" s="144"/>
      <c r="N124" s="146"/>
      <c r="O124" s="144"/>
      <c r="P124" s="146"/>
      <c r="Q124" s="144"/>
      <c r="R124" s="144"/>
      <c r="S124" s="144"/>
      <c r="T124" s="144"/>
      <c r="U124" s="2838"/>
      <c r="V124" s="2838"/>
      <c r="W124" s="2838"/>
      <c r="X124" s="2838"/>
      <c r="Y124" s="2838"/>
      <c r="Z124" s="2838"/>
      <c r="AA124" s="2838"/>
      <c r="AB124" s="144"/>
      <c r="AC124" s="2867"/>
      <c r="AD124" s="2867"/>
      <c r="AE124" s="2867"/>
      <c r="AF124" s="2867"/>
      <c r="AG124" s="2867"/>
      <c r="AH124" s="2867"/>
      <c r="AI124" s="2825"/>
      <c r="AJ124" s="1"/>
      <c r="AK124" s="1"/>
      <c r="AL124" s="1"/>
      <c r="AM124" s="1"/>
      <c r="AN124" s="1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6"/>
      <c r="M125" s="144"/>
      <c r="N125" s="146"/>
      <c r="O125" s="144"/>
      <c r="P125" s="146"/>
      <c r="Q125" s="144"/>
      <c r="R125" s="144"/>
      <c r="S125" s="144"/>
      <c r="T125" s="144"/>
      <c r="U125" s="2838"/>
      <c r="V125" s="2838"/>
      <c r="W125" s="2838"/>
      <c r="X125" s="2838"/>
      <c r="Y125" s="2838"/>
      <c r="Z125" s="2838"/>
      <c r="AA125" s="2838"/>
      <c r="AB125" s="144"/>
      <c r="AC125" s="2867">
        <v>0</v>
      </c>
      <c r="AD125" s="2867">
        <v>0</v>
      </c>
      <c r="AE125" s="2867">
        <v>0</v>
      </c>
      <c r="AF125" s="2867">
        <v>0</v>
      </c>
      <c r="AG125" s="2867">
        <v>0</v>
      </c>
      <c r="AH125" s="2867">
        <v>0</v>
      </c>
      <c r="AI125" s="2825"/>
      <c r="AJ125" s="1"/>
      <c r="AK125" s="1"/>
      <c r="AL125" s="1"/>
      <c r="AM125" s="1"/>
      <c r="AN125" s="1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6"/>
      <c r="M126" s="144"/>
      <c r="N126" s="146"/>
      <c r="O126" s="144"/>
      <c r="P126" s="146"/>
      <c r="Q126" s="144"/>
      <c r="R126" s="144"/>
      <c r="S126" s="144"/>
      <c r="T126" s="144"/>
      <c r="U126" s="2838"/>
      <c r="V126" s="2838"/>
      <c r="W126" s="2838"/>
      <c r="X126" s="2838"/>
      <c r="Y126" s="2838"/>
      <c r="Z126" s="2838"/>
      <c r="AA126" s="2838"/>
      <c r="AB126" s="144"/>
      <c r="AC126" s="2867"/>
      <c r="AD126" s="2867"/>
      <c r="AE126" s="2867"/>
      <c r="AF126" s="2867"/>
      <c r="AG126" s="2867"/>
      <c r="AH126" s="2867"/>
      <c r="AJ126" s="1"/>
      <c r="AK126" s="1"/>
      <c r="AL126" s="1"/>
      <c r="AM126" s="1"/>
      <c r="AN126" s="1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6"/>
      <c r="M127" s="144"/>
      <c r="N127" s="146"/>
      <c r="O127" s="144"/>
      <c r="P127" s="146"/>
      <c r="Q127" s="144"/>
      <c r="R127" s="144"/>
      <c r="S127" s="144"/>
      <c r="T127" s="144"/>
      <c r="U127" s="2838"/>
      <c r="V127" s="2838"/>
      <c r="W127" s="2838"/>
      <c r="X127" s="2838"/>
      <c r="Y127" s="2838"/>
      <c r="Z127" s="2838"/>
      <c r="AA127" s="2838"/>
      <c r="AB127" s="144"/>
      <c r="AJ127" s="1"/>
      <c r="AK127" s="1"/>
      <c r="AL127" s="1"/>
      <c r="AM127" s="1"/>
      <c r="AN127" s="1"/>
    </row>
    <row r="128" spans="1:40" ht="15" customHeight="1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6"/>
      <c r="M128" s="144"/>
      <c r="N128" s="146"/>
      <c r="O128" s="144"/>
      <c r="P128" s="146"/>
      <c r="Q128" s="144"/>
      <c r="R128" s="144"/>
      <c r="S128" s="144"/>
      <c r="T128" s="144"/>
      <c r="U128" s="2838"/>
      <c r="V128" s="2838"/>
      <c r="W128" s="2838"/>
      <c r="X128" s="2838"/>
      <c r="Y128" s="2838"/>
      <c r="Z128" s="2838"/>
      <c r="AA128" s="2838"/>
      <c r="AB128" s="144"/>
      <c r="AJ128" s="1"/>
      <c r="AK128" s="1"/>
      <c r="AL128" s="1"/>
      <c r="AM128" s="1"/>
      <c r="AN128" s="1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6"/>
      <c r="M129" s="144"/>
      <c r="N129" s="146"/>
      <c r="O129" s="144"/>
      <c r="P129" s="146"/>
      <c r="Q129" s="144"/>
      <c r="R129" s="144"/>
      <c r="S129" s="144"/>
      <c r="T129" s="144"/>
      <c r="U129" s="2838"/>
      <c r="V129" s="2838"/>
      <c r="W129" s="2838"/>
      <c r="X129" s="2838"/>
      <c r="Y129" s="2838"/>
      <c r="Z129" s="2838"/>
      <c r="AA129" s="2838"/>
      <c r="AB129" s="144"/>
      <c r="AJ129" s="1"/>
      <c r="AK129" s="1"/>
      <c r="AL129" s="1"/>
      <c r="AM129" s="1"/>
      <c r="AN129" s="1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6"/>
      <c r="M130" s="144"/>
      <c r="N130" s="146"/>
      <c r="O130" s="144"/>
      <c r="P130" s="146"/>
      <c r="Q130" s="144"/>
      <c r="R130" s="144"/>
      <c r="S130" s="144"/>
      <c r="T130" s="144"/>
      <c r="U130" s="2838"/>
      <c r="V130" s="2838"/>
      <c r="W130" s="2838"/>
      <c r="X130" s="2838"/>
      <c r="Y130" s="2838"/>
      <c r="Z130" s="2838"/>
      <c r="AA130" s="2838"/>
      <c r="AB130" s="144"/>
      <c r="AJ130" s="1"/>
      <c r="AK130" s="1"/>
      <c r="AL130" s="1"/>
      <c r="AM130" s="1"/>
      <c r="AN130" s="1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6"/>
      <c r="M131" s="144"/>
      <c r="N131" s="146"/>
      <c r="O131" s="144"/>
      <c r="P131" s="146"/>
      <c r="Q131" s="144"/>
      <c r="R131" s="144"/>
      <c r="S131" s="144"/>
      <c r="T131" s="144"/>
      <c r="U131" s="2838"/>
      <c r="V131" s="2838"/>
      <c r="W131" s="2838"/>
      <c r="X131" s="2838"/>
      <c r="Y131" s="2838"/>
      <c r="Z131" s="2838"/>
      <c r="AA131" s="2838"/>
      <c r="AB131" s="144"/>
      <c r="AJ131" s="1"/>
      <c r="AK131" s="1"/>
      <c r="AL131" s="1"/>
      <c r="AM131" s="1"/>
      <c r="AN131" s="1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6"/>
      <c r="M132" s="144"/>
      <c r="N132" s="146"/>
      <c r="O132" s="144"/>
      <c r="P132" s="146"/>
      <c r="Q132" s="144"/>
      <c r="R132" s="144"/>
      <c r="S132" s="144"/>
      <c r="T132" s="144"/>
      <c r="U132" s="2838"/>
      <c r="V132" s="2838"/>
      <c r="W132" s="2838"/>
      <c r="X132" s="2838"/>
      <c r="Y132" s="2838"/>
      <c r="Z132" s="2838"/>
      <c r="AA132" s="2838"/>
      <c r="AB132" s="144"/>
      <c r="AJ132" s="1"/>
      <c r="AK132" s="1"/>
      <c r="AL132" s="1"/>
      <c r="AM132" s="1"/>
      <c r="AN132" s="1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6"/>
      <c r="M133" s="144"/>
      <c r="N133" s="146"/>
      <c r="O133" s="144"/>
      <c r="P133" s="146"/>
      <c r="Q133" s="144"/>
      <c r="R133" s="144"/>
      <c r="S133" s="144"/>
      <c r="T133" s="144"/>
      <c r="U133" s="2838"/>
      <c r="V133" s="2838"/>
      <c r="W133" s="2838"/>
      <c r="X133" s="2838"/>
      <c r="Y133" s="2838"/>
      <c r="Z133" s="2838"/>
      <c r="AA133" s="2838"/>
      <c r="AB133" s="144"/>
      <c r="AJ133" s="1"/>
      <c r="AK133" s="1"/>
      <c r="AL133" s="1"/>
      <c r="AM133" s="1"/>
      <c r="AN133" s="1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6"/>
      <c r="M134" s="144"/>
      <c r="N134" s="146"/>
      <c r="O134" s="144"/>
      <c r="P134" s="146"/>
      <c r="Q134" s="144"/>
      <c r="R134" s="144"/>
      <c r="S134" s="144"/>
      <c r="T134" s="144"/>
      <c r="U134" s="2838"/>
      <c r="V134" s="2838"/>
      <c r="W134" s="2838"/>
      <c r="X134" s="2838"/>
      <c r="Y134" s="2838"/>
      <c r="Z134" s="2838"/>
      <c r="AA134" s="2838"/>
      <c r="AB134" s="144"/>
      <c r="AJ134" s="1"/>
      <c r="AK134" s="1"/>
      <c r="AL134" s="1"/>
      <c r="AM134" s="1"/>
      <c r="AN134" s="1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6"/>
      <c r="M135" s="144"/>
      <c r="N135" s="146"/>
      <c r="O135" s="144"/>
      <c r="P135" s="146"/>
      <c r="Q135" s="144"/>
      <c r="R135" s="144"/>
      <c r="S135" s="144"/>
      <c r="T135" s="144"/>
      <c r="U135" s="2838"/>
      <c r="V135" s="2838"/>
      <c r="W135" s="2838"/>
      <c r="X135" s="2838"/>
      <c r="Y135" s="2838"/>
      <c r="Z135" s="2838"/>
      <c r="AA135" s="2838"/>
      <c r="AB135" s="144"/>
      <c r="AJ135" s="1"/>
      <c r="AK135" s="1"/>
      <c r="AL135" s="1"/>
      <c r="AM135" s="1"/>
      <c r="AN135" s="1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6"/>
      <c r="M136" s="144"/>
      <c r="N136" s="146"/>
      <c r="O136" s="144"/>
      <c r="P136" s="146"/>
      <c r="Q136" s="144"/>
      <c r="R136" s="144"/>
      <c r="S136" s="144"/>
      <c r="T136" s="144"/>
      <c r="U136" s="2838"/>
      <c r="V136" s="2838"/>
      <c r="W136" s="2838"/>
      <c r="X136" s="2838"/>
      <c r="Y136" s="2838"/>
      <c r="Z136" s="2838"/>
      <c r="AA136" s="2838"/>
      <c r="AB136" s="144"/>
      <c r="AN136" s="1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6"/>
      <c r="M137" s="144"/>
      <c r="N137" s="146"/>
      <c r="O137" s="144"/>
      <c r="P137" s="146"/>
      <c r="Q137" s="144"/>
      <c r="R137" s="144"/>
      <c r="S137" s="144"/>
      <c r="T137" s="144"/>
      <c r="U137" s="2838"/>
      <c r="V137" s="2838"/>
      <c r="W137" s="2838"/>
      <c r="X137" s="2838"/>
      <c r="Y137" s="2838"/>
      <c r="Z137" s="2838"/>
      <c r="AA137" s="2838"/>
      <c r="AB137" s="144"/>
      <c r="AN137" s="1"/>
    </row>
    <row r="138" spans="1:40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6"/>
      <c r="M138" s="144"/>
      <c r="N138" s="146"/>
      <c r="O138" s="144"/>
      <c r="P138" s="146"/>
      <c r="Q138" s="144"/>
      <c r="R138" s="144"/>
      <c r="S138" s="144"/>
      <c r="T138" s="144"/>
      <c r="U138" s="2838"/>
      <c r="V138" s="2838"/>
      <c r="W138" s="2838"/>
      <c r="X138" s="2838"/>
      <c r="Y138" s="2838"/>
      <c r="Z138" s="2838"/>
      <c r="AA138" s="2838"/>
      <c r="AB138" s="144"/>
      <c r="AC138" s="2825"/>
      <c r="AD138" s="2825"/>
      <c r="AE138" s="2825"/>
      <c r="AF138" s="2825"/>
      <c r="AG138" s="2825"/>
      <c r="AH138" s="2825"/>
      <c r="AI138" s="2825"/>
      <c r="AJ138" s="2825"/>
      <c r="AK138" s="2825"/>
      <c r="AL138" s="2825"/>
      <c r="AM138" s="2825"/>
      <c r="AN138" s="1"/>
    </row>
    <row r="139" spans="1:40" s="3021" customFormat="1" ht="11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6"/>
      <c r="M139" s="144"/>
      <c r="N139" s="146"/>
      <c r="O139" s="144"/>
      <c r="P139" s="146"/>
      <c r="Q139" s="144"/>
      <c r="R139" s="144"/>
      <c r="S139" s="144"/>
      <c r="T139" s="144"/>
      <c r="U139" s="2838"/>
      <c r="V139" s="2838"/>
      <c r="W139" s="2838"/>
      <c r="X139" s="2838"/>
      <c r="Y139" s="2838"/>
      <c r="Z139" s="2838"/>
      <c r="AA139" s="2838"/>
      <c r="AB139" s="144"/>
      <c r="AC139" s="282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1:40" s="3021" customFormat="1" ht="11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6"/>
      <c r="M140" s="144"/>
      <c r="N140" s="146"/>
      <c r="O140" s="144"/>
      <c r="P140" s="146"/>
      <c r="Q140" s="144"/>
      <c r="R140" s="144"/>
      <c r="S140" s="144"/>
      <c r="T140" s="144"/>
      <c r="U140" s="2838"/>
      <c r="V140" s="2838"/>
      <c r="W140" s="2838"/>
      <c r="X140" s="2838"/>
      <c r="Y140" s="2838"/>
      <c r="Z140" s="2838"/>
      <c r="AA140" s="2838"/>
      <c r="AB140" s="144"/>
      <c r="AC140" s="2826"/>
      <c r="AD140" s="2826"/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1:40" s="3021" customFormat="1" ht="11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6"/>
      <c r="M141" s="144"/>
      <c r="N141" s="146"/>
      <c r="O141" s="144"/>
      <c r="P141" s="146"/>
      <c r="Q141" s="144"/>
      <c r="R141" s="144"/>
      <c r="S141" s="144"/>
      <c r="T141" s="144"/>
      <c r="U141" s="2838"/>
      <c r="V141" s="2838"/>
      <c r="W141" s="2838"/>
      <c r="X141" s="2838"/>
      <c r="Y141" s="2838"/>
      <c r="Z141" s="2838"/>
      <c r="AA141" s="2838"/>
      <c r="AB141" s="144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1:40" s="3021" customFormat="1" ht="11">
      <c r="A142" s="144"/>
      <c r="B142" s="144"/>
      <c r="C142" s="144"/>
      <c r="D142" s="906"/>
      <c r="E142" s="144"/>
      <c r="F142" s="144"/>
      <c r="G142" s="144"/>
      <c r="H142" s="144"/>
      <c r="I142" s="144"/>
      <c r="J142" s="144"/>
      <c r="K142" s="144"/>
      <c r="L142" s="146"/>
      <c r="M142" s="144"/>
      <c r="N142" s="146"/>
      <c r="O142" s="144"/>
      <c r="P142" s="146"/>
      <c r="Q142" s="144"/>
      <c r="R142" s="144"/>
      <c r="S142" s="144"/>
      <c r="T142" s="144"/>
      <c r="U142" s="2838"/>
      <c r="V142" s="2838"/>
      <c r="W142" s="2838"/>
      <c r="X142" s="2838"/>
      <c r="Y142" s="2838"/>
      <c r="Z142" s="2838"/>
      <c r="AA142" s="2838"/>
      <c r="AB142" s="144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1:40" s="3021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2838"/>
      <c r="V143" s="2838"/>
      <c r="W143" s="2838"/>
      <c r="X143" s="2838"/>
      <c r="Y143" s="2838"/>
      <c r="Z143" s="2838"/>
      <c r="AA143" s="2838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1:40" s="3021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2838"/>
      <c r="V144" s="2838"/>
      <c r="W144" s="2838"/>
      <c r="X144" s="2838"/>
      <c r="Y144" s="2838"/>
      <c r="Z144" s="2838"/>
      <c r="AA144" s="2838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39" s="3021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2838"/>
      <c r="V145" s="2838"/>
      <c r="W145" s="2838"/>
      <c r="X145" s="2838"/>
      <c r="Y145" s="2838"/>
      <c r="Z145" s="2838"/>
      <c r="AA145" s="2838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39" s="3021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2838"/>
      <c r="V146" s="2838"/>
      <c r="W146" s="2838"/>
      <c r="X146" s="2838"/>
      <c r="Y146" s="2838"/>
      <c r="Z146" s="2838"/>
      <c r="AA146" s="2838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39" s="3021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39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39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39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39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39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39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39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39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39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39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39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39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39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B168" s="3021">
        <f>SUBTOTAL(9,AB126:AB167)</f>
        <v>0</v>
      </c>
      <c r="AC168" s="2826">
        <f>SUBTOTAL(9,AC126:AC167)</f>
        <v>0</v>
      </c>
      <c r="AD168" s="2826">
        <f>SUBTOTAL(9,AD126:AD167)</f>
        <v>0</v>
      </c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B169" s="3021">
        <v>0</v>
      </c>
      <c r="AC169" s="2826">
        <v>0</v>
      </c>
      <c r="AD169" s="2826">
        <v>0</v>
      </c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B170" s="3021">
        <v>0</v>
      </c>
      <c r="AC170" s="2826">
        <v>0</v>
      </c>
      <c r="AD170" s="2826">
        <v>0</v>
      </c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B171" s="3021">
        <v>0</v>
      </c>
      <c r="AC171" s="2826">
        <v>0</v>
      </c>
      <c r="AD171" s="2826">
        <v>0</v>
      </c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B172" s="3021">
        <v>0</v>
      </c>
      <c r="AC172" s="2826">
        <v>0</v>
      </c>
      <c r="AD172" s="2826">
        <v>0</v>
      </c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3021">
        <v>0</v>
      </c>
      <c r="AC173" s="2826">
        <v>0</v>
      </c>
      <c r="AD173" s="2826">
        <v>0</v>
      </c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3021">
        <v>0</v>
      </c>
      <c r="AC174" s="2826">
        <v>0</v>
      </c>
      <c r="AD174" s="2826">
        <v>0</v>
      </c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3021">
        <v>0</v>
      </c>
      <c r="AC175" s="2826">
        <v>0</v>
      </c>
      <c r="AD175" s="2826">
        <v>0</v>
      </c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B176" s="3021">
        <v>0</v>
      </c>
      <c r="AC176" s="2826">
        <v>0</v>
      </c>
      <c r="AD176" s="2826">
        <v>0</v>
      </c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B177" s="3021">
        <v>0</v>
      </c>
      <c r="AC177" s="2826">
        <v>0</v>
      </c>
      <c r="AD177" s="2826">
        <v>0</v>
      </c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B178" s="3021">
        <v>0</v>
      </c>
      <c r="AC178" s="2826">
        <v>0</v>
      </c>
      <c r="AD178" s="2826">
        <v>0</v>
      </c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41" s="3021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>
        <f>SUBTOTAL(9,U137:U178)</f>
        <v>0</v>
      </c>
      <c r="V179" s="146">
        <f t="shared" ref="V179:AA179" si="91">SUBTOTAL(9,V137:V178)</f>
        <v>0</v>
      </c>
      <c r="W179" s="146">
        <f t="shared" si="91"/>
        <v>0</v>
      </c>
      <c r="X179" s="146">
        <f t="shared" si="91"/>
        <v>0</v>
      </c>
      <c r="Y179" s="146">
        <f t="shared" si="91"/>
        <v>0</v>
      </c>
      <c r="Z179" s="146">
        <f t="shared" si="91"/>
        <v>0</v>
      </c>
      <c r="AA179" s="146">
        <f t="shared" si="91"/>
        <v>0</v>
      </c>
      <c r="AB179" s="3021">
        <v>0</v>
      </c>
      <c r="AC179" s="2826">
        <v>0</v>
      </c>
      <c r="AD179" s="2826">
        <v>0</v>
      </c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41" s="2825" customFormat="1" ht="14" thickBot="1">
      <c r="B180" s="139"/>
      <c r="C180" s="138"/>
      <c r="D180" s="908"/>
      <c r="E180" s="138"/>
      <c r="F180" s="140"/>
      <c r="G180" s="141"/>
      <c r="H180" s="141"/>
      <c r="I180" s="141"/>
      <c r="J180" s="141"/>
      <c r="K180" s="141"/>
      <c r="L180" s="141"/>
      <c r="M180" s="458"/>
      <c r="N180" s="140"/>
      <c r="O180" s="141"/>
      <c r="P180" s="141"/>
      <c r="Q180" s="148"/>
      <c r="R180" s="148"/>
      <c r="S180" s="149"/>
      <c r="T180" s="149"/>
      <c r="U180" s="150"/>
      <c r="V180" s="150"/>
      <c r="W180" s="150"/>
      <c r="X180" s="150"/>
      <c r="Y180" s="150"/>
      <c r="Z180" s="150"/>
      <c r="AA180" s="150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41" s="2825" customFormat="1" ht="15" thickTop="1" thickBot="1">
      <c r="B181" s="139"/>
      <c r="C181" s="138"/>
      <c r="D181" s="908"/>
      <c r="E181" s="138"/>
      <c r="F181" s="140"/>
      <c r="G181" s="141"/>
      <c r="H181" s="141"/>
      <c r="I181" s="141"/>
      <c r="J181" s="141"/>
      <c r="K181" s="141"/>
      <c r="L181" s="141"/>
      <c r="M181" s="458"/>
      <c r="N181" s="140"/>
      <c r="O181" s="141"/>
      <c r="P181" s="141"/>
      <c r="Q181" s="148"/>
      <c r="R181" s="148"/>
      <c r="S181" s="148"/>
      <c r="T181" s="149"/>
      <c r="U181" s="151"/>
      <c r="V181" s="152"/>
      <c r="W181" s="153"/>
      <c r="X181" s="153"/>
      <c r="Y181" s="153"/>
      <c r="Z181" s="153"/>
      <c r="AA181" s="154"/>
      <c r="AB181" s="3022"/>
      <c r="AC181" s="3022"/>
      <c r="AE181" s="2826"/>
      <c r="AF181" s="2826"/>
      <c r="AG181" s="2826"/>
      <c r="AH181" s="2826"/>
      <c r="AI181" s="2826"/>
      <c r="AJ181" s="2826"/>
      <c r="AK181" s="2826"/>
      <c r="AL181" s="2826"/>
      <c r="AM181" s="2826"/>
      <c r="AN181" s="2826"/>
      <c r="AO181" s="2826"/>
    </row>
    <row r="182" spans="2:41" s="3021" customFormat="1" ht="12" thickTop="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3021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41" s="3021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41" s="3021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41" s="3021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41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41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3021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3021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3021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3021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3021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3021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3021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3021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3021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41" s="3021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41" s="3021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41" s="3021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41" s="3021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41" s="3021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41" s="3021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41" s="3021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41" s="3021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41" s="3021" customFormat="1" ht="11">
      <c r="B217" s="144"/>
      <c r="C217" s="143"/>
      <c r="D217" s="907"/>
      <c r="E217" s="143"/>
      <c r="F217" s="145"/>
      <c r="G217" s="146"/>
      <c r="H217" s="146"/>
      <c r="I217" s="146"/>
      <c r="J217" s="146"/>
      <c r="K217" s="146"/>
      <c r="L217" s="146"/>
      <c r="M217" s="458"/>
      <c r="N217" s="145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41" s="3021" customFormat="1" ht="11">
      <c r="B218" s="3159"/>
      <c r="D218" s="3160"/>
      <c r="F218" s="3023"/>
      <c r="G218" s="3024"/>
      <c r="H218" s="3024"/>
      <c r="I218" s="3024"/>
      <c r="J218" s="3024"/>
      <c r="K218" s="3024"/>
      <c r="L218" s="3024"/>
      <c r="M218" s="3025"/>
      <c r="N218" s="3023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41" s="3021" customFormat="1" ht="11">
      <c r="B219" s="3159"/>
      <c r="D219" s="3160"/>
      <c r="F219" s="3023"/>
      <c r="G219" s="3024"/>
      <c r="H219" s="3024"/>
      <c r="I219" s="3024"/>
      <c r="J219" s="3024"/>
      <c r="K219" s="3024"/>
      <c r="L219" s="3024"/>
      <c r="M219" s="3025"/>
      <c r="N219" s="3023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41" s="3021" customFormat="1" ht="11">
      <c r="B220" s="3159"/>
      <c r="D220" s="3160"/>
      <c r="F220" s="3023"/>
      <c r="G220" s="3024"/>
      <c r="H220" s="3024"/>
      <c r="I220" s="3024"/>
      <c r="J220" s="3024"/>
      <c r="K220" s="3024"/>
      <c r="L220" s="3024"/>
      <c r="M220" s="3025"/>
      <c r="N220" s="3023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41" s="3021" customFormat="1" ht="11">
      <c r="B221" s="3159"/>
      <c r="D221" s="3160"/>
      <c r="F221" s="3023"/>
      <c r="G221" s="3024"/>
      <c r="H221" s="3024"/>
      <c r="I221" s="3024"/>
      <c r="J221" s="3024"/>
      <c r="K221" s="3024"/>
      <c r="L221" s="3024"/>
      <c r="M221" s="3025"/>
      <c r="N221" s="3023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41" s="3021" customFormat="1" ht="11">
      <c r="B222" s="3159"/>
      <c r="D222" s="3160"/>
      <c r="F222" s="3023"/>
      <c r="G222" s="3024"/>
      <c r="H222" s="3024"/>
      <c r="I222" s="3024"/>
      <c r="J222" s="3024"/>
      <c r="K222" s="3024"/>
      <c r="L222" s="3024"/>
      <c r="M222" s="3025"/>
      <c r="N222" s="3023"/>
      <c r="O222" s="146"/>
      <c r="P222" s="146"/>
      <c r="Q222" s="147"/>
      <c r="R222" s="147"/>
      <c r="S222" s="142"/>
      <c r="T222" s="142"/>
      <c r="U222" s="146">
        <f>SUBTOTAL(9,U180:U221)</f>
        <v>0</v>
      </c>
      <c r="V222" s="146">
        <f t="shared" ref="V222:AA222" si="92">SUBTOTAL(9,V180:V221)</f>
        <v>0</v>
      </c>
      <c r="W222" s="146">
        <f t="shared" si="92"/>
        <v>0</v>
      </c>
      <c r="X222" s="146">
        <f t="shared" si="92"/>
        <v>0</v>
      </c>
      <c r="Y222" s="146">
        <f t="shared" si="92"/>
        <v>0</v>
      </c>
      <c r="Z222" s="146">
        <f t="shared" si="92"/>
        <v>0</v>
      </c>
      <c r="AA222" s="146">
        <f t="shared" si="92"/>
        <v>0</v>
      </c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41" s="2825" customFormat="1" ht="14" thickBot="1">
      <c r="B223" s="2935"/>
      <c r="D223" s="3161"/>
      <c r="F223" s="3026"/>
      <c r="G223" s="3027"/>
      <c r="H223" s="3027"/>
      <c r="I223" s="3027"/>
      <c r="J223" s="3027"/>
      <c r="K223" s="3027"/>
      <c r="L223" s="3027"/>
      <c r="M223" s="3025"/>
      <c r="N223" s="3026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41" s="2825" customFormat="1" ht="15" thickTop="1" thickBot="1">
      <c r="B224" s="2935"/>
      <c r="D224" s="3161"/>
      <c r="F224" s="3026"/>
      <c r="G224" s="3027"/>
      <c r="H224" s="3027"/>
      <c r="I224" s="3027"/>
      <c r="J224" s="3027"/>
      <c r="K224" s="3027"/>
      <c r="L224" s="3027"/>
      <c r="M224" s="3025"/>
      <c r="N224" s="3026"/>
      <c r="O224" s="141"/>
      <c r="P224" s="141"/>
      <c r="Q224" s="148"/>
      <c r="R224" s="148"/>
      <c r="S224" s="148"/>
      <c r="T224" s="148"/>
      <c r="U224" s="151">
        <f>SUBTOTAL(9,U182:U223)</f>
        <v>0</v>
      </c>
      <c r="V224" s="152">
        <f t="shared" ref="V224:AA224" si="93">SUBTOTAL(9,V182:V223)</f>
        <v>0</v>
      </c>
      <c r="W224" s="153">
        <f t="shared" si="93"/>
        <v>0</v>
      </c>
      <c r="X224" s="153">
        <f t="shared" si="93"/>
        <v>0</v>
      </c>
      <c r="Y224" s="153">
        <f t="shared" si="93"/>
        <v>0</v>
      </c>
      <c r="Z224" s="153">
        <f t="shared" si="93"/>
        <v>0</v>
      </c>
      <c r="AA224" s="154">
        <f t="shared" si="93"/>
        <v>0</v>
      </c>
      <c r="AB224" s="3022"/>
      <c r="AC224" s="3022"/>
      <c r="AE224" s="2826"/>
      <c r="AF224" s="2826"/>
      <c r="AG224" s="2826"/>
      <c r="AH224" s="2826"/>
      <c r="AI224" s="2826"/>
      <c r="AJ224" s="2826"/>
      <c r="AK224" s="2826"/>
      <c r="AL224" s="2826"/>
      <c r="AM224" s="2826"/>
      <c r="AN224" s="2826"/>
      <c r="AO224" s="2826"/>
    </row>
    <row r="225" spans="2:39" s="2825" customFormat="1" ht="14" thickTop="1">
      <c r="B225" s="2935"/>
      <c r="D225" s="3161"/>
      <c r="F225" s="3026"/>
      <c r="G225" s="3027"/>
      <c r="H225" s="3027"/>
      <c r="I225" s="3027"/>
      <c r="J225" s="3027"/>
      <c r="K225" s="3027"/>
      <c r="L225" s="3027"/>
      <c r="M225" s="3025"/>
      <c r="N225" s="3026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39" s="2825" customFormat="1">
      <c r="B226" s="2935"/>
      <c r="D226" s="3161"/>
      <c r="F226" s="3026"/>
      <c r="G226" s="3027"/>
      <c r="H226" s="3027"/>
      <c r="I226" s="3027"/>
      <c r="J226" s="3027"/>
      <c r="K226" s="3027"/>
      <c r="L226" s="3027"/>
      <c r="M226" s="3025"/>
      <c r="N226" s="3026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2:39" s="2825" customFormat="1">
      <c r="B227" s="2935"/>
      <c r="D227" s="3161"/>
      <c r="F227" s="3026"/>
      <c r="G227" s="3027"/>
      <c r="H227" s="3027"/>
      <c r="I227" s="3027"/>
      <c r="J227" s="3027"/>
      <c r="K227" s="3027"/>
      <c r="L227" s="3027"/>
      <c r="M227" s="3025"/>
      <c r="N227" s="3026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2:39" s="2825" customFormat="1">
      <c r="B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39" s="2825" customFormat="1">
      <c r="B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026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2:39" s="2825" customFormat="1">
      <c r="B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39" s="2825" customFormat="1">
      <c r="B231" s="2935"/>
      <c r="D231" s="3161"/>
      <c r="F231" s="3026"/>
      <c r="G231" s="3027"/>
      <c r="H231" s="3027"/>
      <c r="I231" s="3027"/>
      <c r="J231" s="3027"/>
      <c r="K231" s="3027"/>
      <c r="L231" s="3027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39" s="2825" customFormat="1">
      <c r="B232" s="2935"/>
      <c r="D232" s="3161"/>
      <c r="F232" s="3026"/>
      <c r="G232" s="3027"/>
      <c r="H232" s="3027"/>
      <c r="I232" s="3027"/>
      <c r="J232" s="3027"/>
      <c r="K232" s="3027"/>
      <c r="L232" s="3027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39" s="2825" customFormat="1">
      <c r="B233" s="2935"/>
      <c r="D233" s="3161"/>
      <c r="F233" s="3026"/>
      <c r="G233" s="3027"/>
      <c r="H233" s="3027"/>
      <c r="I233" s="3027"/>
      <c r="J233" s="3027"/>
      <c r="K233" s="3027"/>
      <c r="L233" s="3027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39" s="2825" customFormat="1">
      <c r="B234" s="2935"/>
      <c r="D234" s="3161"/>
      <c r="F234" s="3026"/>
      <c r="G234" s="3027"/>
      <c r="H234" s="3027"/>
      <c r="I234" s="3027"/>
      <c r="J234" s="3027"/>
      <c r="K234" s="3027"/>
      <c r="L234" s="3027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39" s="2825" customFormat="1">
      <c r="B235" s="2935"/>
      <c r="D235" s="3161"/>
      <c r="F235" s="3026"/>
      <c r="G235" s="3027"/>
      <c r="H235" s="3027"/>
      <c r="I235" s="3027"/>
      <c r="J235" s="3027"/>
      <c r="K235" s="3027"/>
      <c r="L235" s="3027"/>
      <c r="M235" s="3025"/>
      <c r="N235" s="3026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39" s="2825" customFormat="1">
      <c r="B236" s="2935"/>
      <c r="D236" s="3161"/>
      <c r="F236" s="3026"/>
      <c r="G236" s="3027"/>
      <c r="H236" s="3027"/>
      <c r="I236" s="3027"/>
      <c r="J236" s="3027"/>
      <c r="K236" s="3027"/>
      <c r="L236" s="3027"/>
      <c r="M236" s="3025"/>
      <c r="N236" s="3026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39" s="2825" customFormat="1">
      <c r="B237" s="2935"/>
      <c r="D237" s="3161"/>
      <c r="F237" s="3026"/>
      <c r="G237" s="3027"/>
      <c r="H237" s="3027"/>
      <c r="I237" s="3027"/>
      <c r="J237" s="3027"/>
      <c r="K237" s="3027"/>
      <c r="L237" s="3027"/>
      <c r="M237" s="3025"/>
      <c r="N237" s="3026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39" s="2825" customFormat="1">
      <c r="B238" s="2935"/>
      <c r="D238" s="3161"/>
      <c r="F238" s="3026"/>
      <c r="G238" s="3027"/>
      <c r="H238" s="3027"/>
      <c r="I238" s="3027"/>
      <c r="J238" s="3027"/>
      <c r="K238" s="3027"/>
      <c r="L238" s="3027"/>
      <c r="M238" s="3025"/>
      <c r="N238" s="3026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39" s="2825" customFormat="1">
      <c r="B239" s="2935"/>
      <c r="D239" s="3161"/>
      <c r="F239" s="3026"/>
      <c r="G239" s="3027"/>
      <c r="H239" s="3027"/>
      <c r="I239" s="3027"/>
      <c r="J239" s="3027"/>
      <c r="K239" s="3027"/>
      <c r="L239" s="3027"/>
      <c r="M239" s="3025"/>
      <c r="N239" s="3026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39" s="2825" customFormat="1">
      <c r="B240" s="2935"/>
      <c r="D240" s="3161"/>
      <c r="F240" s="3026"/>
      <c r="G240" s="3027"/>
      <c r="H240" s="3027"/>
      <c r="I240" s="3027"/>
      <c r="J240" s="3027"/>
      <c r="K240" s="3027"/>
      <c r="L240" s="3027"/>
      <c r="M240" s="3025"/>
      <c r="N240" s="3026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1:40" s="2825" customFormat="1">
      <c r="B241" s="2935"/>
      <c r="D241" s="3161"/>
      <c r="F241" s="3026"/>
      <c r="G241" s="3027"/>
      <c r="H241" s="3027"/>
      <c r="I241" s="3027"/>
      <c r="J241" s="3027"/>
      <c r="K241" s="3027"/>
      <c r="L241" s="3027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1:40" s="2825" customFormat="1">
      <c r="B242" s="2935"/>
      <c r="D242" s="3161"/>
      <c r="F242" s="3026"/>
      <c r="G242" s="3027"/>
      <c r="H242" s="3027"/>
      <c r="I242" s="3027"/>
      <c r="J242" s="3027"/>
      <c r="K242" s="3027"/>
      <c r="L242" s="3027"/>
      <c r="M242" s="3025"/>
      <c r="N242" s="3026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826"/>
      <c r="AD242" s="2826"/>
      <c r="AE242" s="2826"/>
      <c r="AF242" s="2826"/>
      <c r="AG242" s="2826"/>
      <c r="AH242" s="2826"/>
      <c r="AI242" s="2826"/>
      <c r="AJ242" s="2826"/>
      <c r="AK242" s="2826"/>
      <c r="AL242" s="2826"/>
      <c r="AM242" s="2826"/>
    </row>
    <row r="243" spans="1:40" s="2825" customFormat="1">
      <c r="B243" s="2935"/>
      <c r="D243" s="3161"/>
      <c r="F243" s="3026"/>
      <c r="G243" s="3027"/>
      <c r="H243" s="3027"/>
      <c r="I243" s="3027"/>
      <c r="J243" s="3027"/>
      <c r="K243" s="3027"/>
      <c r="L243" s="3027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1:40" s="2825" customFormat="1">
      <c r="B244" s="2935"/>
      <c r="D244" s="3161"/>
      <c r="F244" s="3026"/>
      <c r="G244" s="3027"/>
      <c r="H244" s="3027"/>
      <c r="I244" s="3027"/>
      <c r="J244" s="3027"/>
      <c r="K244" s="3027"/>
      <c r="L244" s="3027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1:40" s="2825" customFormat="1">
      <c r="B245" s="2935"/>
      <c r="D245" s="3161"/>
      <c r="F245" s="3026"/>
      <c r="G245" s="3027"/>
      <c r="H245" s="3027"/>
      <c r="I245" s="3027"/>
      <c r="J245" s="3027"/>
      <c r="K245" s="3027"/>
      <c r="L245" s="3027"/>
      <c r="M245" s="3025"/>
      <c r="N245" s="3026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826"/>
      <c r="AD245" s="2826"/>
      <c r="AE245" s="2826"/>
      <c r="AF245" s="2826"/>
      <c r="AG245" s="2826"/>
      <c r="AH245" s="2826"/>
      <c r="AI245" s="2826"/>
      <c r="AJ245" s="2826"/>
      <c r="AK245" s="2826"/>
      <c r="AL245" s="2826"/>
      <c r="AM245" s="2826"/>
    </row>
    <row r="246" spans="1:40" s="2825" customFormat="1">
      <c r="B246" s="2935"/>
      <c r="D246" s="3161"/>
      <c r="F246" s="3026"/>
      <c r="G246" s="3027"/>
      <c r="H246" s="3027"/>
      <c r="I246" s="3027"/>
      <c r="J246" s="3027"/>
      <c r="K246" s="3027"/>
      <c r="L246" s="3027"/>
      <c r="M246" s="3025"/>
      <c r="N246" s="3026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826"/>
      <c r="AD246" s="2826"/>
      <c r="AE246" s="2826"/>
      <c r="AF246" s="2826"/>
      <c r="AG246" s="2826"/>
      <c r="AH246" s="2826"/>
      <c r="AI246" s="2826"/>
      <c r="AJ246" s="2826"/>
      <c r="AK246" s="2826"/>
      <c r="AL246" s="2826"/>
      <c r="AM246" s="2826"/>
    </row>
    <row r="247" spans="1:40" s="2825" customFormat="1">
      <c r="B247" s="2935"/>
      <c r="D247" s="3161"/>
      <c r="F247" s="3026"/>
      <c r="G247" s="3027"/>
      <c r="H247" s="3027"/>
      <c r="I247" s="3027"/>
      <c r="J247" s="3027"/>
      <c r="K247" s="3027"/>
      <c r="L247" s="3027"/>
      <c r="M247" s="3025"/>
      <c r="N247" s="3026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826"/>
      <c r="AD247" s="2826"/>
      <c r="AE247" s="2826"/>
      <c r="AF247" s="2826"/>
      <c r="AG247" s="2826"/>
      <c r="AH247" s="2826"/>
      <c r="AI247" s="2826"/>
      <c r="AJ247" s="2826"/>
      <c r="AK247" s="2826"/>
      <c r="AL247" s="2826"/>
      <c r="AM247" s="2826"/>
    </row>
    <row r="248" spans="1:40" s="2825" customFormat="1">
      <c r="B248" s="2935"/>
      <c r="D248" s="3161"/>
      <c r="F248" s="3026"/>
      <c r="G248" s="3027"/>
      <c r="H248" s="3027"/>
      <c r="I248" s="3027"/>
      <c r="J248" s="3027"/>
      <c r="K248" s="3027"/>
      <c r="L248" s="3027"/>
      <c r="M248" s="3025"/>
      <c r="N248" s="3026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826"/>
      <c r="AD248" s="2826"/>
      <c r="AE248" s="2826"/>
      <c r="AF248" s="2826"/>
      <c r="AG248" s="2826"/>
      <c r="AH248" s="2826"/>
      <c r="AI248" s="2826"/>
      <c r="AJ248" s="2826"/>
      <c r="AK248" s="2826"/>
      <c r="AL248" s="2826"/>
      <c r="AM248" s="2826"/>
    </row>
    <row r="249" spans="1:40" s="2825" customFormat="1">
      <c r="B249" s="2935"/>
      <c r="D249" s="3161"/>
      <c r="F249" s="3026"/>
      <c r="G249" s="3027"/>
      <c r="H249" s="3027"/>
      <c r="I249" s="3027"/>
      <c r="J249" s="3027"/>
      <c r="K249" s="3027"/>
      <c r="L249" s="3027"/>
      <c r="M249" s="3025"/>
      <c r="N249" s="3026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826"/>
      <c r="AD249" s="2826"/>
      <c r="AE249" s="2826"/>
      <c r="AF249" s="2826"/>
      <c r="AG249" s="2826"/>
      <c r="AH249" s="2826"/>
      <c r="AI249" s="2826"/>
      <c r="AJ249" s="2826"/>
      <c r="AK249" s="2826"/>
      <c r="AL249" s="2826"/>
      <c r="AM249" s="2826"/>
    </row>
    <row r="250" spans="1:40" s="2825" customFormat="1">
      <c r="B250" s="2935"/>
      <c r="D250" s="3161"/>
      <c r="F250" s="3026"/>
      <c r="G250" s="3027"/>
      <c r="H250" s="3027"/>
      <c r="I250" s="3027"/>
      <c r="J250" s="3027"/>
      <c r="K250" s="3027"/>
      <c r="L250" s="3027"/>
      <c r="M250" s="3025"/>
      <c r="N250" s="3026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826"/>
      <c r="AD250" s="2826"/>
      <c r="AE250" s="2826"/>
      <c r="AF250" s="2826"/>
      <c r="AG250" s="2826"/>
      <c r="AH250" s="2826"/>
      <c r="AI250" s="2826"/>
      <c r="AJ250" s="2826"/>
      <c r="AK250" s="2826"/>
      <c r="AL250" s="2826"/>
      <c r="AM250" s="2826"/>
    </row>
    <row r="251" spans="1:40" s="2825" customFormat="1">
      <c r="B251" s="2935"/>
      <c r="D251" s="3161"/>
      <c r="F251" s="3026"/>
      <c r="G251" s="3027"/>
      <c r="H251" s="3027"/>
      <c r="I251" s="3027"/>
      <c r="J251" s="3027"/>
      <c r="K251" s="3027"/>
      <c r="L251" s="3027"/>
      <c r="M251" s="3025"/>
      <c r="N251" s="3026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826"/>
      <c r="AD251" s="2826"/>
      <c r="AE251" s="2826"/>
      <c r="AF251" s="2826"/>
      <c r="AG251" s="2826"/>
      <c r="AH251" s="2826"/>
      <c r="AI251" s="2826"/>
      <c r="AJ251" s="2826"/>
      <c r="AK251" s="2826"/>
      <c r="AL251" s="2826"/>
      <c r="AM251" s="2826"/>
    </row>
    <row r="252" spans="1:40" s="2825" customFormat="1">
      <c r="B252" s="2935"/>
      <c r="D252" s="3161"/>
      <c r="F252" s="3026"/>
      <c r="G252" s="3027"/>
      <c r="H252" s="3027"/>
      <c r="I252" s="3027"/>
      <c r="J252" s="3027"/>
      <c r="K252" s="3027"/>
      <c r="L252" s="3027"/>
      <c r="M252" s="3025"/>
      <c r="N252" s="3026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826"/>
      <c r="AD252" s="2826"/>
      <c r="AE252" s="2826"/>
      <c r="AF252" s="2826"/>
      <c r="AG252" s="2826"/>
      <c r="AH252" s="2826"/>
      <c r="AI252" s="2826"/>
      <c r="AJ252" s="2826"/>
      <c r="AK252" s="2826"/>
      <c r="AL252" s="2826"/>
      <c r="AM252" s="2826"/>
    </row>
    <row r="253" spans="1:40" s="2825" customFormat="1">
      <c r="B253" s="2935"/>
      <c r="D253" s="3161"/>
      <c r="F253" s="3026"/>
      <c r="G253" s="3027"/>
      <c r="H253" s="3027"/>
      <c r="I253" s="3027"/>
      <c r="J253" s="3027"/>
      <c r="K253" s="3027"/>
      <c r="L253" s="3027"/>
      <c r="M253" s="3025"/>
      <c r="N253" s="3026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826"/>
      <c r="AD253" s="2826"/>
      <c r="AE253" s="2826"/>
      <c r="AF253" s="2826"/>
      <c r="AG253" s="2826"/>
      <c r="AH253" s="2826"/>
      <c r="AI253" s="2826"/>
      <c r="AJ253" s="2826"/>
      <c r="AK253" s="2826"/>
      <c r="AL253" s="2826"/>
      <c r="AM253" s="2826"/>
    </row>
    <row r="254" spans="1:40" s="2825" customFormat="1">
      <c r="B254" s="2935"/>
      <c r="D254" s="3161"/>
      <c r="F254" s="3026"/>
      <c r="G254" s="3027"/>
      <c r="H254" s="3027"/>
      <c r="I254" s="3027"/>
      <c r="J254" s="3027"/>
      <c r="K254" s="3027"/>
      <c r="L254" s="3027"/>
      <c r="M254" s="3025"/>
      <c r="N254" s="3026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826"/>
      <c r="AD254" s="2826"/>
      <c r="AE254" s="2826"/>
      <c r="AF254" s="2826"/>
      <c r="AG254" s="2826"/>
      <c r="AH254" s="2826"/>
      <c r="AI254" s="2826"/>
      <c r="AJ254" s="2826"/>
      <c r="AK254" s="2826"/>
      <c r="AL254" s="2826"/>
      <c r="AM254" s="2826"/>
    </row>
    <row r="255" spans="1:40" s="2825" customFormat="1">
      <c r="B255" s="2935"/>
      <c r="D255" s="3161"/>
      <c r="F255" s="3026"/>
      <c r="G255" s="3027"/>
      <c r="H255" s="3027"/>
      <c r="I255" s="3027"/>
      <c r="J255" s="3027"/>
      <c r="K255" s="3027"/>
      <c r="L255" s="3027"/>
      <c r="M255" s="3025"/>
      <c r="N255" s="3026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826"/>
      <c r="AD255" s="2826"/>
      <c r="AE255" s="2826"/>
      <c r="AF255" s="2826"/>
      <c r="AG255" s="2826"/>
      <c r="AH255" s="2826"/>
      <c r="AI255" s="2826"/>
      <c r="AJ255" s="2826"/>
      <c r="AK255" s="2826"/>
      <c r="AL255" s="2826"/>
      <c r="AM255" s="2826"/>
    </row>
    <row r="256" spans="1:40">
      <c r="A256" s="1"/>
      <c r="O256" s="155"/>
      <c r="P256" s="155"/>
      <c r="Q256" s="1131"/>
      <c r="R256" s="1131"/>
      <c r="S256" s="251"/>
      <c r="T256" s="251"/>
      <c r="U256" s="1132"/>
      <c r="V256" s="1132"/>
      <c r="W256" s="1132"/>
      <c r="X256" s="1132"/>
      <c r="Y256" s="1132"/>
      <c r="Z256" s="1132"/>
      <c r="AA256" s="1132"/>
      <c r="AN256" s="1"/>
    </row>
    <row r="257" spans="1:40">
      <c r="A257" s="1"/>
      <c r="O257" s="155"/>
      <c r="P257" s="155"/>
      <c r="Q257" s="1131"/>
      <c r="R257" s="1131"/>
      <c r="S257" s="251"/>
      <c r="T257" s="251"/>
      <c r="U257" s="1132"/>
      <c r="V257" s="1132"/>
      <c r="W257" s="1132"/>
      <c r="X257" s="1132"/>
      <c r="Y257" s="1132"/>
      <c r="Z257" s="1132"/>
      <c r="AA257" s="1132"/>
      <c r="AN257" s="1"/>
    </row>
    <row r="258" spans="1:40">
      <c r="A258" s="1"/>
      <c r="O258" s="155"/>
      <c r="P258" s="155"/>
      <c r="Q258" s="1131"/>
      <c r="R258" s="1131"/>
      <c r="S258" s="251"/>
      <c r="T258" s="251"/>
      <c r="U258" s="1132"/>
      <c r="V258" s="1132"/>
      <c r="W258" s="1132"/>
      <c r="X258" s="1132"/>
      <c r="Y258" s="1132"/>
      <c r="Z258" s="1132"/>
      <c r="AA258" s="1132"/>
      <c r="AN258" s="1"/>
    </row>
    <row r="259" spans="1:40">
      <c r="A259" s="1"/>
      <c r="O259" s="155"/>
      <c r="P259" s="155"/>
      <c r="Q259" s="1131"/>
      <c r="R259" s="1131"/>
      <c r="S259" s="251"/>
      <c r="T259" s="251"/>
      <c r="U259" s="1132"/>
      <c r="V259" s="1132"/>
      <c r="W259" s="1132"/>
      <c r="X259" s="1132"/>
      <c r="Y259" s="1132"/>
      <c r="Z259" s="1132"/>
      <c r="AA259" s="1132"/>
      <c r="AN259" s="1"/>
    </row>
    <row r="260" spans="1:40">
      <c r="A260" s="1"/>
      <c r="O260" s="155"/>
      <c r="P260" s="155"/>
      <c r="Q260" s="1131"/>
      <c r="R260" s="1131"/>
      <c r="S260" s="251"/>
      <c r="T260" s="251"/>
      <c r="U260" s="1132"/>
      <c r="V260" s="1132"/>
      <c r="W260" s="1132"/>
      <c r="X260" s="1132"/>
      <c r="Y260" s="1132"/>
      <c r="Z260" s="1132"/>
      <c r="AA260" s="1132"/>
      <c r="AN260" s="1"/>
    </row>
    <row r="261" spans="1:40">
      <c r="A261" s="1"/>
      <c r="O261" s="155"/>
      <c r="P261" s="155"/>
      <c r="Q261" s="1131"/>
      <c r="R261" s="1131"/>
      <c r="S261" s="251"/>
      <c r="T261" s="251"/>
      <c r="U261" s="1132"/>
      <c r="V261" s="1132"/>
      <c r="W261" s="1132"/>
      <c r="X261" s="1132"/>
      <c r="Y261" s="1132"/>
      <c r="Z261" s="1132"/>
      <c r="AA261" s="1132"/>
      <c r="AN261" s="1"/>
    </row>
    <row r="262" spans="1:40">
      <c r="A262" s="1"/>
      <c r="O262" s="155"/>
      <c r="P262" s="155"/>
      <c r="Q262" s="1131"/>
      <c r="R262" s="1131"/>
      <c r="S262" s="251"/>
      <c r="T262" s="251"/>
      <c r="U262" s="1132"/>
      <c r="V262" s="1132"/>
      <c r="W262" s="1132"/>
      <c r="X262" s="1132"/>
      <c r="Y262" s="1132"/>
      <c r="Z262" s="1132"/>
      <c r="AA262" s="1132"/>
      <c r="AN262" s="1"/>
    </row>
    <row r="263" spans="1:40">
      <c r="A263" s="1"/>
      <c r="O263" s="155"/>
      <c r="P263" s="155"/>
      <c r="Q263" s="1131"/>
      <c r="R263" s="1131"/>
      <c r="S263" s="251"/>
      <c r="T263" s="251"/>
      <c r="U263" s="1132"/>
      <c r="V263" s="1132"/>
      <c r="W263" s="1132"/>
      <c r="X263" s="1132"/>
      <c r="Y263" s="1132"/>
      <c r="Z263" s="1132"/>
      <c r="AA263" s="1132"/>
      <c r="AN263" s="1"/>
    </row>
    <row r="264" spans="1:40">
      <c r="A264" s="1"/>
      <c r="B264" s="1"/>
      <c r="D264" s="1"/>
      <c r="F264" s="1"/>
      <c r="G264" s="1"/>
      <c r="H264" s="1"/>
      <c r="I264" s="1"/>
      <c r="J264" s="1"/>
      <c r="K264" s="1"/>
      <c r="L264" s="52"/>
      <c r="M264" s="1"/>
      <c r="N264" s="52"/>
      <c r="O264" s="155"/>
      <c r="P264" s="155"/>
      <c r="Q264" s="1131"/>
      <c r="R264" s="1131"/>
      <c r="S264" s="251"/>
      <c r="T264" s="251"/>
      <c r="U264" s="1132"/>
      <c r="V264" s="1132"/>
      <c r="W264" s="1132"/>
      <c r="X264" s="1132"/>
      <c r="Y264" s="1132"/>
      <c r="Z264" s="1132"/>
      <c r="AA264" s="1132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>
      <c r="A265" s="1"/>
      <c r="B265" s="1"/>
      <c r="D265" s="1"/>
      <c r="F265" s="1"/>
      <c r="G265" s="1"/>
      <c r="H265" s="1"/>
      <c r="I265" s="1"/>
      <c r="J265" s="1"/>
      <c r="K265" s="1"/>
      <c r="L265" s="52"/>
      <c r="M265" s="1"/>
      <c r="N265" s="52"/>
      <c r="O265" s="155"/>
      <c r="P265" s="155"/>
      <c r="Q265" s="1131"/>
      <c r="R265" s="1131"/>
      <c r="S265" s="251"/>
      <c r="T265" s="251"/>
      <c r="U265" s="1132"/>
      <c r="V265" s="1132"/>
      <c r="W265" s="1132"/>
      <c r="X265" s="1132"/>
      <c r="Y265" s="1132"/>
      <c r="Z265" s="1132"/>
      <c r="AA265" s="1132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>
      <c r="A266" s="1"/>
      <c r="B266" s="1"/>
      <c r="D266" s="1"/>
      <c r="F266" s="1"/>
      <c r="G266" s="1"/>
      <c r="H266" s="1"/>
      <c r="I266" s="1"/>
      <c r="J266" s="1"/>
      <c r="K266" s="1"/>
      <c r="L266" s="52"/>
      <c r="M266" s="1"/>
      <c r="N266" s="52"/>
      <c r="O266" s="155"/>
      <c r="P266" s="155"/>
      <c r="Q266" s="1131"/>
      <c r="R266" s="1131"/>
      <c r="S266" s="251"/>
      <c r="T266" s="251"/>
      <c r="U266" s="1132"/>
      <c r="V266" s="1132"/>
      <c r="W266" s="1132"/>
      <c r="X266" s="1132"/>
      <c r="Y266" s="1132"/>
      <c r="Z266" s="1132"/>
      <c r="AA266" s="1132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>
      <c r="A267" s="1"/>
      <c r="B267" s="1"/>
      <c r="D267" s="1"/>
      <c r="F267" s="1"/>
      <c r="G267" s="1"/>
      <c r="H267" s="1"/>
      <c r="I267" s="1"/>
      <c r="J267" s="1"/>
      <c r="K267" s="1"/>
      <c r="L267" s="52"/>
      <c r="M267" s="1"/>
      <c r="N267" s="52"/>
      <c r="O267" s="155"/>
      <c r="P267" s="155"/>
      <c r="Q267" s="1131"/>
      <c r="R267" s="1131"/>
      <c r="S267" s="251"/>
      <c r="T267" s="251"/>
      <c r="U267" s="1132"/>
      <c r="V267" s="1132"/>
      <c r="W267" s="1132"/>
      <c r="X267" s="1132"/>
      <c r="Y267" s="1132"/>
      <c r="Z267" s="1132"/>
      <c r="AA267" s="1132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>
      <c r="A268" s="1"/>
      <c r="B268" s="1"/>
      <c r="D268" s="1"/>
      <c r="F268" s="1"/>
      <c r="G268" s="1"/>
      <c r="H268" s="1"/>
      <c r="I268" s="1"/>
      <c r="J268" s="1"/>
      <c r="K268" s="1"/>
      <c r="L268" s="52"/>
      <c r="M268" s="1"/>
      <c r="N268" s="52"/>
      <c r="O268" s="155"/>
      <c r="P268" s="155"/>
      <c r="Q268" s="1131"/>
      <c r="R268" s="1131"/>
      <c r="S268" s="251"/>
      <c r="T268" s="251"/>
      <c r="U268" s="1132"/>
      <c r="V268" s="1132"/>
      <c r="W268" s="1132"/>
      <c r="X268" s="1132"/>
      <c r="Y268" s="1132"/>
      <c r="Z268" s="1132"/>
      <c r="AA268" s="1132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</sheetData>
  <mergeCells count="6">
    <mergeCell ref="Q67:R67"/>
    <mergeCell ref="H12:H15"/>
    <mergeCell ref="H16:H17"/>
    <mergeCell ref="H25:H29"/>
    <mergeCell ref="H30:H32"/>
    <mergeCell ref="H33:H34"/>
  </mergeCells>
  <conditionalFormatting sqref="D7:D9 F7:G9 I7:K9">
    <cfRule type="cellIs" dxfId="591" priority="12" stopIfTrue="1" operator="equal">
      <formula>1</formula>
    </cfRule>
  </conditionalFormatting>
  <conditionalFormatting sqref="H7:H9">
    <cfRule type="cellIs" dxfId="590" priority="11" stopIfTrue="1" operator="equal">
      <formula>1</formula>
    </cfRule>
  </conditionalFormatting>
  <conditionalFormatting sqref="H22">
    <cfRule type="cellIs" dxfId="589" priority="3" stopIfTrue="1" operator="equal">
      <formula>1</formula>
    </cfRule>
  </conditionalFormatting>
  <conditionalFormatting sqref="D20 F20:G20 I20:K20">
    <cfRule type="cellIs" dxfId="588" priority="6" stopIfTrue="1" operator="equal">
      <formula>1</formula>
    </cfRule>
  </conditionalFormatting>
  <conditionalFormatting sqref="H20">
    <cfRule type="cellIs" dxfId="587" priority="5" stopIfTrue="1" operator="equal">
      <formula>1</formula>
    </cfRule>
  </conditionalFormatting>
  <conditionalFormatting sqref="D22 F22:G22 I22:K22">
    <cfRule type="cellIs" dxfId="586" priority="4" stopIfTrue="1" operator="equal">
      <formula>1</formula>
    </cfRule>
  </conditionalFormatting>
  <conditionalFormatting sqref="D46:D48 F46:G48 I46:K48">
    <cfRule type="cellIs" dxfId="585" priority="2" stopIfTrue="1" operator="equal">
      <formula>1</formula>
    </cfRule>
  </conditionalFormatting>
  <conditionalFormatting sqref="H46:H48">
    <cfRule type="cellIs" dxfId="584" priority="1" stopIfTrue="1" operator="equal">
      <formula>1</formula>
    </cfRule>
  </conditionalFormatting>
  <printOptions horizontalCentered="1" verticalCentered="1"/>
  <pageMargins left="0" right="0" top="1.1811023622047245" bottom="2.3622047244094491" header="0" footer="0"/>
  <pageSetup paperSize="9" scale="110" orientation="landscape" horizontalDpi="0" verticalDpi="0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712A2-2F06-AE41-BC6F-2426D5E4C7FA}">
  <sheetPr codeName="Hoja33"/>
  <dimension ref="A1:AO237"/>
  <sheetViews>
    <sheetView topLeftCell="A2" zoomScale="122" zoomScaleNormal="122" workbookViewId="0">
      <selection activeCell="AN37" sqref="AN37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33203125" style="1" customWidth="1"/>
    <col min="4" max="4" width="0.83203125" style="3082" customWidth="1"/>
    <col min="5" max="5" width="2.5" style="1" customWidth="1"/>
    <col min="6" max="6" width="3" style="2818" customWidth="1"/>
    <col min="7" max="7" width="5.6640625" style="780" customWidth="1"/>
    <col min="8" max="8" width="6.5" style="780" customWidth="1"/>
    <col min="9" max="10" width="7.33203125" style="780" customWidth="1"/>
    <col min="11" max="11" width="27.6640625" style="780" customWidth="1"/>
    <col min="12" max="12" width="8" style="780" customWidth="1"/>
    <col min="13" max="13" width="1" style="2820" customWidth="1"/>
    <col min="14" max="14" width="9.5" style="2818" customWidth="1"/>
    <col min="15" max="15" width="1" style="780" customWidth="1"/>
    <col min="16" max="16" width="9" style="780" customWidth="1"/>
    <col min="17" max="17" width="6.6640625" style="2821" customWidth="1"/>
    <col min="18" max="18" width="7.6640625" style="2821" customWidth="1"/>
    <col min="19" max="19" width="1.33203125" style="2822" customWidth="1"/>
    <col min="20" max="20" width="0.3320312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33203125" style="2823" customWidth="1"/>
    <col min="25" max="25" width="6" style="2823" customWidth="1"/>
    <col min="26" max="27" width="5.3320312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33203125" style="2826" customWidth="1"/>
    <col min="40" max="40" width="11.5" style="2825"/>
    <col min="41" max="16384" width="11.5" style="1"/>
  </cols>
  <sheetData>
    <row r="1" spans="1:40" ht="17.25" customHeight="1" thickBot="1">
      <c r="A1" s="6494" t="s">
        <v>344</v>
      </c>
      <c r="B1" s="6495"/>
      <c r="C1" s="6496"/>
      <c r="D1" s="6497"/>
      <c r="E1" s="6496"/>
      <c r="F1" s="6498"/>
      <c r="G1" s="6499"/>
      <c r="H1" s="6499"/>
      <c r="I1" s="6499"/>
      <c r="J1" s="6500"/>
      <c r="K1" s="6501">
        <v>45286</v>
      </c>
      <c r="L1" s="6502"/>
      <c r="M1" s="6503"/>
      <c r="N1" s="6504"/>
      <c r="O1" s="6500"/>
      <c r="P1" s="6500"/>
      <c r="Q1" s="6505"/>
      <c r="R1" s="6505"/>
      <c r="U1" s="2827" t="s">
        <v>345</v>
      </c>
      <c r="AI1" s="2825"/>
      <c r="AJ1" s="2825"/>
      <c r="AK1" s="2825"/>
      <c r="AL1" s="2825"/>
      <c r="AM1" s="2825"/>
    </row>
    <row r="2" spans="1:40" s="2839" customFormat="1" ht="71.25" customHeight="1" thickTop="1" thickBot="1">
      <c r="A2" s="6506" t="s">
        <v>346</v>
      </c>
      <c r="B2" s="6507" t="s">
        <v>347</v>
      </c>
      <c r="C2" s="6508" t="s">
        <v>348</v>
      </c>
      <c r="D2" s="6509"/>
      <c r="E2" s="6510" t="s">
        <v>349</v>
      </c>
      <c r="F2" s="6511" t="s">
        <v>350</v>
      </c>
      <c r="G2" s="6512" t="s">
        <v>351</v>
      </c>
      <c r="H2" s="6512" t="s">
        <v>624</v>
      </c>
      <c r="I2" s="6512" t="s">
        <v>352</v>
      </c>
      <c r="J2" s="6511" t="s">
        <v>353</v>
      </c>
      <c r="K2" s="6512" t="s">
        <v>354</v>
      </c>
      <c r="L2" s="6512"/>
      <c r="M2" s="6513" t="s">
        <v>355</v>
      </c>
      <c r="N2" s="6512" t="s">
        <v>445</v>
      </c>
      <c r="O2" s="6508" t="s">
        <v>446</v>
      </c>
      <c r="P2" s="6508" t="s">
        <v>447</v>
      </c>
      <c r="Q2" s="6514" t="s">
        <v>448</v>
      </c>
      <c r="R2" s="6515" t="s">
        <v>371</v>
      </c>
      <c r="S2" s="2828" t="s">
        <v>449</v>
      </c>
      <c r="T2" s="2828" t="s">
        <v>450</v>
      </c>
      <c r="U2" s="2829" t="s">
        <v>451</v>
      </c>
      <c r="V2" s="2830" t="s">
        <v>452</v>
      </c>
      <c r="W2" s="2831" t="s">
        <v>453</v>
      </c>
      <c r="X2" s="2832" t="s">
        <v>454</v>
      </c>
      <c r="Y2" s="2833" t="s">
        <v>455</v>
      </c>
      <c r="Z2" s="2834" t="s">
        <v>456</v>
      </c>
      <c r="AA2" s="2835" t="s">
        <v>457</v>
      </c>
      <c r="AB2" s="2836"/>
      <c r="AC2" s="2837"/>
      <c r="AD2" s="2838"/>
      <c r="AE2" s="2838"/>
      <c r="AF2" s="2838"/>
      <c r="AG2" s="2838"/>
      <c r="AH2" s="2838"/>
      <c r="AI2" s="2836"/>
      <c r="AJ2" s="2836"/>
      <c r="AK2" s="2836"/>
      <c r="AL2" s="2836"/>
      <c r="AM2" s="2836"/>
      <c r="AN2" s="2836"/>
    </row>
    <row r="3" spans="1:40" s="2839" customFormat="1" ht="11" customHeight="1" thickBot="1">
      <c r="A3" s="6516"/>
      <c r="B3" s="6517"/>
      <c r="C3" s="6518"/>
      <c r="D3" s="6519"/>
      <c r="E3" s="6520"/>
      <c r="F3" s="6521"/>
      <c r="G3" s="6518"/>
      <c r="H3" s="6518"/>
      <c r="I3" s="6518"/>
      <c r="J3" s="6521"/>
      <c r="K3" s="6518"/>
      <c r="L3" s="6518"/>
      <c r="M3" s="6522"/>
      <c r="N3" s="6518"/>
      <c r="O3" s="6518"/>
      <c r="P3" s="6518"/>
      <c r="Q3" s="6523"/>
      <c r="R3" s="6524"/>
      <c r="S3" s="3919"/>
      <c r="T3" s="3919"/>
      <c r="U3" s="3920">
        <v>9.3287037037037058E-4</v>
      </c>
      <c r="V3" s="4694">
        <v>8.6111111111111121E-4</v>
      </c>
      <c r="W3" s="4694">
        <v>7.8935185185185206E-4</v>
      </c>
      <c r="X3" s="4694">
        <v>7.175925925925927E-4</v>
      </c>
      <c r="Y3" s="4694">
        <v>7.1400462962962975E-4</v>
      </c>
      <c r="Z3" s="4694">
        <v>7.0324074074074082E-4</v>
      </c>
      <c r="AA3" s="4695">
        <v>6.8888888888888895E-4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63" customFormat="1" ht="4.25" customHeight="1" thickBot="1">
      <c r="A4" s="6525"/>
      <c r="B4" s="6526"/>
      <c r="C4" s="6527"/>
      <c r="D4" s="6528"/>
      <c r="E4" s="6527"/>
      <c r="F4" s="6529"/>
      <c r="G4" s="6530"/>
      <c r="H4" s="6530"/>
      <c r="I4" s="6530"/>
      <c r="J4" s="6529"/>
      <c r="K4" s="6530"/>
      <c r="L4" s="6530"/>
      <c r="M4" s="6531"/>
      <c r="N4" s="6532"/>
      <c r="O4" s="6527"/>
      <c r="P4" s="6527"/>
      <c r="Q4" s="6527"/>
      <c r="R4" s="6533"/>
      <c r="S4" s="2842"/>
      <c r="T4" s="2842"/>
      <c r="U4" s="2843">
        <f>U3/4</f>
        <v>2.3321759259259265E-4</v>
      </c>
      <c r="V4" s="2843">
        <f t="shared" ref="V4:AA4" si="0">V3/4</f>
        <v>2.152777777777778E-4</v>
      </c>
      <c r="W4" s="2843">
        <f t="shared" si="0"/>
        <v>1.9733796296296302E-4</v>
      </c>
      <c r="X4" s="2843">
        <f t="shared" si="0"/>
        <v>1.7939814814814817E-4</v>
      </c>
      <c r="Y4" s="2843">
        <f t="shared" si="0"/>
        <v>1.7850115740740744E-4</v>
      </c>
      <c r="Z4" s="2843">
        <f t="shared" si="0"/>
        <v>1.7581018518518521E-4</v>
      </c>
      <c r="AA4" s="2843">
        <f t="shared" si="0"/>
        <v>1.7222222222222224E-4</v>
      </c>
      <c r="AB4" s="2935"/>
      <c r="AC4" s="2936"/>
      <c r="AD4" s="2937"/>
      <c r="AE4" s="2937"/>
      <c r="AF4" s="2937"/>
      <c r="AG4" s="2937"/>
      <c r="AH4" s="2937"/>
      <c r="AI4" s="2935"/>
      <c r="AJ4" s="2935"/>
      <c r="AK4" s="2935"/>
      <c r="AL4" s="2935"/>
      <c r="AM4" s="2935"/>
      <c r="AN4" s="2935"/>
    </row>
    <row r="5" spans="1:40" ht="21" customHeight="1" thickTop="1" thickBot="1">
      <c r="A5" s="6534" t="s">
        <v>215</v>
      </c>
      <c r="B5" s="6535" t="s">
        <v>215</v>
      </c>
      <c r="C5" s="6536">
        <f>IF(D5=1,U$4,IF(D5=2,V$4,IF(D5=3,W$4,IF(D5=4,X$4,IF(D5=5,Y$4,IF(D5=6,Z$4,IF(D5=7,AA$4,0)))))))</f>
        <v>2.152777777777778E-4</v>
      </c>
      <c r="D5" s="6537">
        <v>2</v>
      </c>
      <c r="E5" s="6538">
        <v>1</v>
      </c>
      <c r="F5" s="6538">
        <v>30</v>
      </c>
      <c r="G5" s="6538">
        <v>30</v>
      </c>
      <c r="H5" s="6538"/>
      <c r="I5" s="6539">
        <v>3.4722222222222224E-4</v>
      </c>
      <c r="J5" s="6539">
        <v>2.3148148148148146E-4</v>
      </c>
      <c r="K5" s="6540" t="s">
        <v>2463</v>
      </c>
      <c r="L5" s="6539">
        <v>0.34375</v>
      </c>
      <c r="M5" s="6541">
        <v>1</v>
      </c>
      <c r="N5" s="6542">
        <f t="shared" ref="N5:N10" si="1">P5*E5*F5+I5*F5*E5+J5*E5</f>
        <v>1.839814814814815E-2</v>
      </c>
      <c r="O5" s="6542">
        <f>C5*(G5/25)</f>
        <v>2.5833333333333334E-4</v>
      </c>
      <c r="P5" s="6542">
        <f t="shared" ref="P5:P10" si="2">O5*M5</f>
        <v>2.5833333333333334E-4</v>
      </c>
      <c r="Q5" s="6543">
        <v>144</v>
      </c>
      <c r="R5" s="6544">
        <f>E5*F5*G5</f>
        <v>900</v>
      </c>
      <c r="S5" s="2844">
        <f>E5*F5*G5/1000</f>
        <v>0.9</v>
      </c>
      <c r="T5" s="2845">
        <f>E5*F5*O5*4</f>
        <v>3.1E-2</v>
      </c>
      <c r="U5" s="374">
        <f>IF(C5*4&gt;=$U$3,S5,0)</f>
        <v>0</v>
      </c>
      <c r="V5" s="2846">
        <f>IF(AND(C5*4&gt;=$V$3,C5*4&lt;$U$3),S5,0)</f>
        <v>0.9</v>
      </c>
      <c r="W5" s="2847">
        <f>IF(AND(C5*4&gt;=$W$3,C5*4&lt;$V$3),S5,0)</f>
        <v>0</v>
      </c>
      <c r="X5" s="2848">
        <f>IF(AND(C5*4&gt;=$X$3,C5*4&lt;$W$3),S5,0)</f>
        <v>0</v>
      </c>
      <c r="Y5" s="2849">
        <f>IF(AND(C5*4&gt;=$Y$3,C5*4&lt;$X$3),S5,0)</f>
        <v>0</v>
      </c>
      <c r="Z5" s="2850">
        <f>IF(AND(C5*4&gt;=$Z$3,C5*4&lt;$Y$3),S5,0)</f>
        <v>0</v>
      </c>
      <c r="AA5" s="2851">
        <f>IF(AND(C5*4&gt;=$AA$3,C5*4&lt;$Z$3),S5,0)</f>
        <v>0</v>
      </c>
      <c r="AC5" s="2867"/>
      <c r="AD5" s="2867"/>
      <c r="AE5" s="2867"/>
      <c r="AF5" s="2867"/>
      <c r="AG5" s="2867"/>
      <c r="AH5" s="2867"/>
      <c r="AI5" s="2825"/>
      <c r="AJ5" s="2825"/>
      <c r="AK5" s="2825"/>
      <c r="AL5" s="2825"/>
      <c r="AM5" s="2825"/>
    </row>
    <row r="6" spans="1:40" ht="17" customHeight="1" thickBot="1">
      <c r="A6" s="6545" t="s">
        <v>138</v>
      </c>
      <c r="B6" s="6535" t="s">
        <v>215</v>
      </c>
      <c r="C6" s="6536">
        <f t="shared" ref="C6:C22" si="3">IF(D6=1,U$4,IF(D6=2,V$4,IF(D6=3,W$4,IF(D6=4,X$4,IF(D6=5,Y$4,IF(D6=6,Z$4,IF(D6=7,AA$4,0)))))))</f>
        <v>1.9733796296296302E-4</v>
      </c>
      <c r="D6" s="6546">
        <v>3</v>
      </c>
      <c r="E6" s="6547">
        <v>1</v>
      </c>
      <c r="F6" s="6547">
        <v>6</v>
      </c>
      <c r="G6" s="6544">
        <v>75</v>
      </c>
      <c r="H6" s="6548"/>
      <c r="I6" s="6549">
        <v>6.9444444444444447E-4</v>
      </c>
      <c r="J6" s="6549">
        <v>1.0416666666666667E-3</v>
      </c>
      <c r="K6" s="6550" t="s">
        <v>2035</v>
      </c>
      <c r="L6" s="6542">
        <f>L5+N5</f>
        <v>0.36214814814814816</v>
      </c>
      <c r="M6" s="6541">
        <v>1</v>
      </c>
      <c r="N6" s="6542">
        <f t="shared" ref="N6:N7" si="4">P6*E6*F6+I6*E6*F6+J6*E6</f>
        <v>8.7604166666666681E-3</v>
      </c>
      <c r="O6" s="6542">
        <f t="shared" ref="O6:O7" si="5">C6*(G6/25)</f>
        <v>5.920138888888891E-4</v>
      </c>
      <c r="P6" s="6542">
        <f t="shared" si="2"/>
        <v>5.920138888888891E-4</v>
      </c>
      <c r="Q6" s="6543">
        <v>161</v>
      </c>
      <c r="R6" s="6544">
        <f t="shared" ref="R6:R7" si="6">E6*F6*G6</f>
        <v>450</v>
      </c>
      <c r="S6" s="2844">
        <f t="shared" ref="S6:S34" si="7">E6*F6*G6/1000</f>
        <v>0.45</v>
      </c>
      <c r="T6" s="2845">
        <f t="shared" ref="T6:T34" si="8">E6*F6*O6*4</f>
        <v>1.4208333333333338E-2</v>
      </c>
      <c r="U6" s="374">
        <f t="shared" ref="U6:U34" si="9">IF(C6*4&gt;=$U$3,S6,0)</f>
        <v>0</v>
      </c>
      <c r="V6" s="2846">
        <f t="shared" ref="V6:V34" si="10">IF(AND(C6*4&gt;=$V$3,C6*4&lt;$U$3),S6,0)</f>
        <v>0</v>
      </c>
      <c r="W6" s="2847">
        <f t="shared" ref="W6:W34" si="11">IF(AND(C6*4&gt;=$W$3,C6*4&lt;$V$3),S6,0)</f>
        <v>0.45</v>
      </c>
      <c r="X6" s="2848">
        <f t="shared" ref="X6:X34" si="12">IF(AND(C6*4&gt;=$X$3,C6*4&lt;$W$3),S6,0)</f>
        <v>0</v>
      </c>
      <c r="Y6" s="2849">
        <f t="shared" ref="Y6:Y34" si="13">IF(AND(C6*4&gt;=$Y$3,C6*4&lt;$X$3),S6,0)</f>
        <v>0</v>
      </c>
      <c r="Z6" s="2850">
        <f t="shared" ref="Z6:Z34" si="14">IF(AND(C6*4&gt;=$Z$3,C6*4&lt;$Y$3),S6,0)</f>
        <v>0</v>
      </c>
      <c r="AA6" s="2851">
        <f t="shared" ref="AA6:AA34" si="15">IF(AND(C6*4&gt;=$AA$3,C6*4&lt;$Z$3),S6,0)</f>
        <v>0</v>
      </c>
      <c r="AC6" s="2867"/>
      <c r="AD6" s="2867"/>
      <c r="AE6" s="2867"/>
      <c r="AF6" s="2867"/>
      <c r="AG6" s="2867"/>
      <c r="AH6" s="2867"/>
      <c r="AI6" s="2825"/>
      <c r="AJ6" s="2825"/>
      <c r="AK6" s="2825"/>
      <c r="AL6" s="2825"/>
      <c r="AM6" s="2825"/>
    </row>
    <row r="7" spans="1:40" ht="17" customHeight="1" thickBot="1">
      <c r="A7" s="6545" t="s">
        <v>462</v>
      </c>
      <c r="B7" s="6535" t="s">
        <v>215</v>
      </c>
      <c r="C7" s="6536">
        <f t="shared" si="3"/>
        <v>1.7222222222222224E-4</v>
      </c>
      <c r="D7" s="6551">
        <v>7</v>
      </c>
      <c r="E7" s="6552">
        <v>1</v>
      </c>
      <c r="F7" s="6552">
        <v>4</v>
      </c>
      <c r="G7" s="6553">
        <v>30</v>
      </c>
      <c r="H7" s="6552"/>
      <c r="I7" s="6554">
        <v>6.9444444444444447E-4</v>
      </c>
      <c r="J7" s="6555">
        <v>1.0416666666666667E-3</v>
      </c>
      <c r="K7" s="6556" t="s">
        <v>1567</v>
      </c>
      <c r="L7" s="6557">
        <f t="shared" ref="L7:L11" si="16">L6+N6</f>
        <v>0.37090856481481482</v>
      </c>
      <c r="M7" s="6558">
        <v>1</v>
      </c>
      <c r="N7" s="6557">
        <f t="shared" si="4"/>
        <v>4.6461111111111113E-3</v>
      </c>
      <c r="O7" s="6555">
        <f t="shared" si="5"/>
        <v>2.0666666666666668E-4</v>
      </c>
      <c r="P7" s="6557">
        <f t="shared" si="2"/>
        <v>2.0666666666666668E-4</v>
      </c>
      <c r="Q7" s="6559">
        <v>161</v>
      </c>
      <c r="R7" s="6560">
        <f t="shared" si="6"/>
        <v>120</v>
      </c>
      <c r="S7" s="2844">
        <f t="shared" si="7"/>
        <v>0.12</v>
      </c>
      <c r="T7" s="2845">
        <f t="shared" si="8"/>
        <v>3.306666666666667E-3</v>
      </c>
      <c r="U7" s="374">
        <f t="shared" si="9"/>
        <v>0</v>
      </c>
      <c r="V7" s="2846">
        <f t="shared" si="10"/>
        <v>0</v>
      </c>
      <c r="W7" s="2847">
        <f t="shared" si="11"/>
        <v>0</v>
      </c>
      <c r="X7" s="2848">
        <f t="shared" si="12"/>
        <v>0</v>
      </c>
      <c r="Y7" s="2849">
        <f t="shared" si="13"/>
        <v>0</v>
      </c>
      <c r="Z7" s="2850">
        <f t="shared" si="14"/>
        <v>0</v>
      </c>
      <c r="AA7" s="2851">
        <f t="shared" si="15"/>
        <v>0.12</v>
      </c>
      <c r="AC7" s="2867"/>
      <c r="AD7" s="2867"/>
      <c r="AE7" s="2867"/>
      <c r="AF7" s="2867"/>
      <c r="AG7" s="2867"/>
      <c r="AH7" s="2867"/>
      <c r="AI7" s="2825"/>
      <c r="AJ7" s="2825"/>
      <c r="AK7" s="2825"/>
      <c r="AL7" s="2825"/>
      <c r="AM7" s="2825"/>
    </row>
    <row r="8" spans="1:40" ht="17" customHeight="1" thickBot="1">
      <c r="A8" s="6545" t="s">
        <v>461</v>
      </c>
      <c r="B8" s="6561" t="s">
        <v>215</v>
      </c>
      <c r="C8" s="6536">
        <f t="shared" si="3"/>
        <v>1.9733796296296302E-4</v>
      </c>
      <c r="D8" s="6562">
        <v>3</v>
      </c>
      <c r="E8" s="6544">
        <v>1</v>
      </c>
      <c r="F8" s="6544">
        <v>8</v>
      </c>
      <c r="G8" s="6544">
        <v>75</v>
      </c>
      <c r="H8" s="6544"/>
      <c r="I8" s="6542">
        <v>1.7361111111111112E-4</v>
      </c>
      <c r="J8" s="6542">
        <v>1.3888888888888889E-3</v>
      </c>
      <c r="K8" s="6563" t="s">
        <v>2027</v>
      </c>
      <c r="L8" s="6542">
        <f t="shared" si="16"/>
        <v>0.37555467592592595</v>
      </c>
      <c r="M8" s="6563">
        <v>1.1499999999999999</v>
      </c>
      <c r="N8" s="6542">
        <f t="shared" si="1"/>
        <v>8.2243055555555576E-3</v>
      </c>
      <c r="O8" s="6564">
        <f>C8*(G8/25)</f>
        <v>5.920138888888891E-4</v>
      </c>
      <c r="P8" s="6542">
        <f t="shared" si="2"/>
        <v>6.8081597222222241E-4</v>
      </c>
      <c r="Q8" s="6543">
        <v>144</v>
      </c>
      <c r="R8" s="6544">
        <f>E8*F8*G8</f>
        <v>600</v>
      </c>
      <c r="S8" s="2844">
        <f t="shared" si="7"/>
        <v>0.6</v>
      </c>
      <c r="T8" s="2845">
        <f t="shared" si="8"/>
        <v>1.8944444444444451E-2</v>
      </c>
      <c r="U8" s="374">
        <f t="shared" si="9"/>
        <v>0</v>
      </c>
      <c r="V8" s="2846">
        <f t="shared" si="10"/>
        <v>0</v>
      </c>
      <c r="W8" s="2847">
        <f t="shared" si="11"/>
        <v>0.6</v>
      </c>
      <c r="X8" s="2848">
        <f t="shared" si="12"/>
        <v>0</v>
      </c>
      <c r="Y8" s="2849">
        <f t="shared" si="13"/>
        <v>0</v>
      </c>
      <c r="Z8" s="2850">
        <f t="shared" si="14"/>
        <v>0</v>
      </c>
      <c r="AA8" s="2851">
        <f t="shared" si="15"/>
        <v>0</v>
      </c>
      <c r="AC8" s="2867"/>
      <c r="AD8" s="2867"/>
      <c r="AE8" s="2867"/>
      <c r="AF8" s="2867"/>
      <c r="AG8" s="2867"/>
      <c r="AH8" s="2867"/>
      <c r="AI8" s="2825"/>
      <c r="AJ8" s="2825"/>
      <c r="AK8" s="2825"/>
      <c r="AL8" s="2825"/>
      <c r="AM8" s="2825"/>
    </row>
    <row r="9" spans="1:40" ht="17" customHeight="1" thickBot="1">
      <c r="A9" s="7201" t="s">
        <v>458</v>
      </c>
      <c r="B9" s="6561" t="s">
        <v>215</v>
      </c>
      <c r="C9" s="6536">
        <f t="shared" si="3"/>
        <v>1.7850115740740744E-4</v>
      </c>
      <c r="D9" s="6565">
        <v>5</v>
      </c>
      <c r="E9" s="6566">
        <v>1</v>
      </c>
      <c r="F9" s="6566">
        <v>8</v>
      </c>
      <c r="G9" s="6566">
        <v>70</v>
      </c>
      <c r="H9" s="6567"/>
      <c r="I9" s="6568">
        <v>8.1018518518518516E-4</v>
      </c>
      <c r="J9" s="6568">
        <v>1.736111111111111E-3</v>
      </c>
      <c r="K9" s="6569" t="s">
        <v>2026</v>
      </c>
      <c r="L9" s="6568">
        <f t="shared" si="16"/>
        <v>0.38377898148148148</v>
      </c>
      <c r="M9" s="6570">
        <v>1</v>
      </c>
      <c r="N9" s="6568">
        <f t="shared" si="1"/>
        <v>1.2216018518518518E-2</v>
      </c>
      <c r="O9" s="6571">
        <f>C9*(G9/25)</f>
        <v>4.9980324074074076E-4</v>
      </c>
      <c r="P9" s="6568">
        <f t="shared" si="2"/>
        <v>4.9980324074074076E-4</v>
      </c>
      <c r="Q9" s="6572">
        <v>144</v>
      </c>
      <c r="R9" s="6572">
        <f>E9*F9*G9</f>
        <v>560</v>
      </c>
      <c r="S9" s="2844">
        <f t="shared" si="7"/>
        <v>0.56000000000000005</v>
      </c>
      <c r="T9" s="2845">
        <f t="shared" si="8"/>
        <v>1.5993703703703704E-2</v>
      </c>
      <c r="U9" s="374">
        <f t="shared" si="9"/>
        <v>0</v>
      </c>
      <c r="V9" s="2846">
        <f t="shared" si="10"/>
        <v>0</v>
      </c>
      <c r="W9" s="2847">
        <f t="shared" si="11"/>
        <v>0</v>
      </c>
      <c r="X9" s="2848">
        <f t="shared" si="12"/>
        <v>0</v>
      </c>
      <c r="Y9" s="2849">
        <f t="shared" si="13"/>
        <v>0.56000000000000005</v>
      </c>
      <c r="Z9" s="2850">
        <f t="shared" si="14"/>
        <v>0</v>
      </c>
      <c r="AA9" s="2851">
        <f t="shared" si="15"/>
        <v>0</v>
      </c>
      <c r="AC9" s="2867"/>
      <c r="AD9" s="2867"/>
      <c r="AE9" s="2867"/>
      <c r="AF9" s="2867"/>
      <c r="AG9" s="2867"/>
      <c r="AH9" s="2867"/>
      <c r="AI9" s="2825"/>
      <c r="AJ9" s="2825"/>
      <c r="AK9" s="2825"/>
      <c r="AL9" s="2825"/>
      <c r="AM9" s="2825"/>
    </row>
    <row r="10" spans="1:40" ht="16" customHeight="1" thickBot="1">
      <c r="A10" s="7201" t="s">
        <v>219</v>
      </c>
      <c r="B10" s="6561" t="s">
        <v>215</v>
      </c>
      <c r="C10" s="6536">
        <f t="shared" si="3"/>
        <v>1.7222222222222224E-4</v>
      </c>
      <c r="D10" s="6573">
        <v>7</v>
      </c>
      <c r="E10" s="6574">
        <v>1</v>
      </c>
      <c r="F10" s="6575">
        <v>4</v>
      </c>
      <c r="G10" s="6575">
        <v>25</v>
      </c>
      <c r="H10" s="6576"/>
      <c r="I10" s="6577">
        <v>1.1574074074074073E-3</v>
      </c>
      <c r="J10" s="6578">
        <v>1.3888888888888889E-3</v>
      </c>
      <c r="K10" s="6556" t="s">
        <v>1572</v>
      </c>
      <c r="L10" s="6578">
        <f t="shared" si="16"/>
        <v>0.39599499999999999</v>
      </c>
      <c r="M10" s="6579">
        <v>1</v>
      </c>
      <c r="N10" s="6580">
        <f t="shared" si="1"/>
        <v>6.7074074074074076E-3</v>
      </c>
      <c r="O10" s="6557">
        <f>C10*(G10/25)</f>
        <v>1.7222222222222224E-4</v>
      </c>
      <c r="P10" s="6580">
        <f t="shared" si="2"/>
        <v>1.7222222222222224E-4</v>
      </c>
      <c r="Q10" s="6581">
        <v>144</v>
      </c>
      <c r="R10" s="6582">
        <f>E10*F10*G10</f>
        <v>100</v>
      </c>
      <c r="S10" s="2844">
        <f t="shared" si="7"/>
        <v>0.1</v>
      </c>
      <c r="T10" s="2845">
        <f t="shared" si="8"/>
        <v>2.7555555555555558E-3</v>
      </c>
      <c r="U10" s="374">
        <f t="shared" si="9"/>
        <v>0</v>
      </c>
      <c r="V10" s="2846">
        <f t="shared" si="10"/>
        <v>0</v>
      </c>
      <c r="W10" s="2847">
        <f t="shared" si="11"/>
        <v>0</v>
      </c>
      <c r="X10" s="2848">
        <f t="shared" si="12"/>
        <v>0</v>
      </c>
      <c r="Y10" s="2849">
        <f t="shared" si="13"/>
        <v>0</v>
      </c>
      <c r="Z10" s="2850">
        <f t="shared" si="14"/>
        <v>0</v>
      </c>
      <c r="AA10" s="2851">
        <f t="shared" si="15"/>
        <v>0.1</v>
      </c>
      <c r="AC10" s="2867"/>
      <c r="AD10" s="2867"/>
      <c r="AE10" s="2867"/>
      <c r="AF10" s="2867"/>
      <c r="AG10" s="2867"/>
      <c r="AH10" s="2867"/>
      <c r="AI10" s="2825"/>
      <c r="AJ10" s="2825"/>
      <c r="AK10" s="2825"/>
      <c r="AL10" s="2825"/>
      <c r="AM10" s="2825"/>
    </row>
    <row r="11" spans="1:40" ht="12" customHeight="1" thickBot="1">
      <c r="A11" s="6496"/>
      <c r="B11" s="6583"/>
      <c r="C11" s="6536">
        <f t="shared" si="3"/>
        <v>0</v>
      </c>
      <c r="D11" s="6584">
        <v>8</v>
      </c>
      <c r="E11" s="6585"/>
      <c r="F11" s="6586"/>
      <c r="G11" s="6586"/>
      <c r="H11" s="6586"/>
      <c r="I11" s="6586"/>
      <c r="J11" s="6586"/>
      <c r="K11" s="6586"/>
      <c r="L11" s="6542">
        <f t="shared" si="16"/>
        <v>0.40270240740740737</v>
      </c>
      <c r="M11" s="6587">
        <v>2</v>
      </c>
      <c r="N11" s="6588">
        <f>SUM(N5:N10)</f>
        <v>5.8952407407407405E-2</v>
      </c>
      <c r="O11" s="6587"/>
      <c r="P11" s="6587"/>
      <c r="Q11" s="6587"/>
      <c r="R11" s="6589">
        <f>SUM(R5:R10)</f>
        <v>2730</v>
      </c>
      <c r="S11" s="2844">
        <f t="shared" si="7"/>
        <v>0</v>
      </c>
      <c r="T11" s="2845">
        <f t="shared" si="8"/>
        <v>0</v>
      </c>
      <c r="U11" s="374">
        <f t="shared" si="9"/>
        <v>0</v>
      </c>
      <c r="V11" s="2846">
        <f t="shared" si="10"/>
        <v>0</v>
      </c>
      <c r="W11" s="2847">
        <f t="shared" si="11"/>
        <v>0</v>
      </c>
      <c r="X11" s="2848">
        <f t="shared" si="12"/>
        <v>0</v>
      </c>
      <c r="Y11" s="2849">
        <f t="shared" si="13"/>
        <v>0</v>
      </c>
      <c r="Z11" s="2850">
        <f t="shared" si="14"/>
        <v>0</v>
      </c>
      <c r="AA11" s="2851">
        <f t="shared" si="15"/>
        <v>0</v>
      </c>
      <c r="AC11" s="2867"/>
      <c r="AD11" s="2867"/>
      <c r="AE11" s="2867"/>
      <c r="AF11" s="2867"/>
      <c r="AG11" s="2867"/>
      <c r="AH11" s="2867"/>
      <c r="AI11" s="2825"/>
      <c r="AJ11" s="2825"/>
      <c r="AK11" s="2825"/>
      <c r="AL11" s="2825"/>
      <c r="AM11" s="2825"/>
    </row>
    <row r="12" spans="1:40" ht="14" customHeight="1" thickBot="1">
      <c r="A12" s="6590" t="s">
        <v>215</v>
      </c>
      <c r="B12" s="6591" t="s">
        <v>215</v>
      </c>
      <c r="C12" s="6536">
        <f t="shared" si="3"/>
        <v>2.152777777777778E-4</v>
      </c>
      <c r="D12" s="6592">
        <v>2</v>
      </c>
      <c r="E12" s="6593">
        <v>1</v>
      </c>
      <c r="F12" s="6593">
        <v>1</v>
      </c>
      <c r="G12" s="6593">
        <v>1500</v>
      </c>
      <c r="H12" s="6594"/>
      <c r="I12" s="6594">
        <v>0</v>
      </c>
      <c r="J12" s="6594">
        <v>1.1574074074074073E-4</v>
      </c>
      <c r="K12" s="6595" t="s">
        <v>300</v>
      </c>
      <c r="L12" s="6596">
        <v>0.34375</v>
      </c>
      <c r="M12" s="6597">
        <v>1</v>
      </c>
      <c r="N12" s="6594">
        <f>P12*E12*F12+I12*E12*F12+J12*E12</f>
        <v>1.3032407407407409E-2</v>
      </c>
      <c r="O12" s="6598">
        <f>C12*(G12/25)</f>
        <v>1.2916666666666668E-2</v>
      </c>
      <c r="P12" s="6598">
        <f>O12*M12</f>
        <v>1.2916666666666668E-2</v>
      </c>
      <c r="Q12" s="6599">
        <v>129</v>
      </c>
      <c r="R12" s="6600">
        <f t="shared" ref="R12:R16" si="17">E12*F12*G12</f>
        <v>1500</v>
      </c>
      <c r="S12" s="2844">
        <f t="shared" si="7"/>
        <v>1.5</v>
      </c>
      <c r="T12" s="2845">
        <f t="shared" si="8"/>
        <v>5.1666666666666673E-2</v>
      </c>
      <c r="U12" s="374">
        <f t="shared" si="9"/>
        <v>0</v>
      </c>
      <c r="V12" s="2846">
        <f t="shared" si="10"/>
        <v>1.5</v>
      </c>
      <c r="W12" s="2847">
        <f t="shared" si="11"/>
        <v>0</v>
      </c>
      <c r="X12" s="2848">
        <f t="shared" si="12"/>
        <v>0</v>
      </c>
      <c r="Y12" s="2849">
        <f t="shared" si="13"/>
        <v>0</v>
      </c>
      <c r="Z12" s="2850">
        <f t="shared" si="14"/>
        <v>0</v>
      </c>
      <c r="AA12" s="2851">
        <f t="shared" si="15"/>
        <v>0</v>
      </c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</row>
    <row r="13" spans="1:40" ht="16" customHeight="1" thickBot="1">
      <c r="A13" s="6590" t="s">
        <v>139</v>
      </c>
      <c r="B13" s="6591" t="s">
        <v>215</v>
      </c>
      <c r="C13" s="6536">
        <f t="shared" ref="C13" si="18">IF(D13=1,U$4,IF(D13=2,V$4,IF(D13=3,W$4,IF(D13=4,X$4,IF(D13=5,Y$4,IF(D13=6,Z$4,IF(D13=7,AA$4,0)))))))</f>
        <v>1.7581018518518521E-4</v>
      </c>
      <c r="D13" s="6601">
        <v>6</v>
      </c>
      <c r="E13" s="6602">
        <v>1</v>
      </c>
      <c r="F13" s="6602">
        <v>16</v>
      </c>
      <c r="G13" s="6602">
        <v>30</v>
      </c>
      <c r="H13" s="6603"/>
      <c r="I13" s="6603">
        <v>3.4722222222222224E-4</v>
      </c>
      <c r="J13" s="6603">
        <v>6.9444444444444447E-4</v>
      </c>
      <c r="K13" s="6604" t="s">
        <v>2024</v>
      </c>
      <c r="L13" s="6605">
        <f t="shared" ref="L13" si="19">L12+N12</f>
        <v>0.35678240740740741</v>
      </c>
      <c r="M13" s="6602">
        <v>1.08</v>
      </c>
      <c r="N13" s="6603">
        <f>P13*E13*F13+I13*E13*F13+J13*E13</f>
        <v>9.8955999999999992E-3</v>
      </c>
      <c r="O13" s="6602">
        <f t="shared" ref="O13" si="20">C13*(G13/25)</f>
        <v>2.1097222222222223E-4</v>
      </c>
      <c r="P13" s="6606">
        <f t="shared" ref="P13" si="21">O13*M13</f>
        <v>2.2785000000000004E-4</v>
      </c>
      <c r="Q13" s="6602" t="s">
        <v>278</v>
      </c>
      <c r="R13" s="6602">
        <f t="shared" si="17"/>
        <v>480</v>
      </c>
      <c r="S13" s="2844">
        <f t="shared" si="7"/>
        <v>0.48</v>
      </c>
      <c r="T13" s="2845">
        <f t="shared" si="8"/>
        <v>1.3502222222222223E-2</v>
      </c>
      <c r="U13" s="374">
        <f t="shared" si="9"/>
        <v>0</v>
      </c>
      <c r="V13" s="2846">
        <f t="shared" si="10"/>
        <v>0</v>
      </c>
      <c r="W13" s="2847">
        <f t="shared" si="11"/>
        <v>0</v>
      </c>
      <c r="X13" s="2848">
        <f t="shared" si="12"/>
        <v>0</v>
      </c>
      <c r="Y13" s="2849">
        <f t="shared" si="13"/>
        <v>0</v>
      </c>
      <c r="Z13" s="2850">
        <f t="shared" si="14"/>
        <v>0.48</v>
      </c>
      <c r="AA13" s="2851">
        <f t="shared" si="15"/>
        <v>0</v>
      </c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</row>
    <row r="14" spans="1:40" ht="19" customHeight="1" thickBot="1">
      <c r="A14" s="6590" t="s">
        <v>458</v>
      </c>
      <c r="B14" s="6591" t="s">
        <v>215</v>
      </c>
      <c r="C14" s="6536">
        <f t="shared" si="3"/>
        <v>1.7850115740740744E-4</v>
      </c>
      <c r="D14" s="6546">
        <v>5</v>
      </c>
      <c r="E14" s="6566">
        <v>1</v>
      </c>
      <c r="F14" s="6566">
        <v>8</v>
      </c>
      <c r="G14" s="6566">
        <v>30</v>
      </c>
      <c r="H14" s="6567" t="s">
        <v>300</v>
      </c>
      <c r="I14" s="6568">
        <v>4.0509259259259258E-4</v>
      </c>
      <c r="J14" s="6568">
        <v>1.3888888888888889E-3</v>
      </c>
      <c r="K14" s="6569" t="s">
        <v>2029</v>
      </c>
      <c r="L14" s="6568">
        <f>L13+N13</f>
        <v>0.36667800740740741</v>
      </c>
      <c r="M14" s="6570">
        <v>1</v>
      </c>
      <c r="N14" s="6568">
        <f t="shared" ref="N14:N15" si="22">P14*E14*F14+I14*E14*F14+J14*E14</f>
        <v>6.3432407407407413E-3</v>
      </c>
      <c r="O14" s="6571">
        <f t="shared" ref="O14:O17" si="23">C14*(G14/25)</f>
        <v>2.1420138888888891E-4</v>
      </c>
      <c r="P14" s="6568">
        <f t="shared" ref="P14:P15" si="24">O14*M14</f>
        <v>2.1420138888888891E-4</v>
      </c>
      <c r="Q14" s="6572">
        <v>161</v>
      </c>
      <c r="R14" s="6572">
        <f t="shared" ref="R14:R15" si="25">E14*F14*G14</f>
        <v>240</v>
      </c>
      <c r="S14" s="2844">
        <f t="shared" si="7"/>
        <v>0.24</v>
      </c>
      <c r="T14" s="2845">
        <f t="shared" si="8"/>
        <v>6.8544444444444451E-3</v>
      </c>
      <c r="U14" s="374">
        <f t="shared" si="9"/>
        <v>0</v>
      </c>
      <c r="V14" s="2846">
        <f t="shared" si="10"/>
        <v>0</v>
      </c>
      <c r="W14" s="2847">
        <f t="shared" si="11"/>
        <v>0</v>
      </c>
      <c r="X14" s="2848">
        <f t="shared" si="12"/>
        <v>0</v>
      </c>
      <c r="Y14" s="2849">
        <f t="shared" si="13"/>
        <v>0.24</v>
      </c>
      <c r="Z14" s="2850">
        <f t="shared" si="14"/>
        <v>0</v>
      </c>
      <c r="AA14" s="2851">
        <f t="shared" si="15"/>
        <v>0</v>
      </c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</row>
    <row r="15" spans="1:40" ht="18" customHeight="1" thickBot="1">
      <c r="A15" s="6590" t="s">
        <v>462</v>
      </c>
      <c r="B15" s="6591" t="s">
        <v>215</v>
      </c>
      <c r="C15" s="6536">
        <f t="shared" si="3"/>
        <v>1.7222222222222224E-4</v>
      </c>
      <c r="D15" s="6607">
        <v>7</v>
      </c>
      <c r="E15" s="6566">
        <v>1</v>
      </c>
      <c r="F15" s="6566">
        <v>8</v>
      </c>
      <c r="G15" s="6566">
        <v>30</v>
      </c>
      <c r="H15" s="6567" t="s">
        <v>1385</v>
      </c>
      <c r="I15" s="6568">
        <v>4.0509259259259258E-4</v>
      </c>
      <c r="J15" s="6568">
        <v>1.3888888888888889E-3</v>
      </c>
      <c r="K15" s="6569" t="s">
        <v>2030</v>
      </c>
      <c r="L15" s="6568">
        <f>L14+N14</f>
        <v>0.37302124814814813</v>
      </c>
      <c r="M15" s="6570">
        <v>1</v>
      </c>
      <c r="N15" s="6568">
        <f t="shared" si="22"/>
        <v>6.2829629629629633E-3</v>
      </c>
      <c r="O15" s="6571">
        <f t="shared" si="23"/>
        <v>2.0666666666666668E-4</v>
      </c>
      <c r="P15" s="6568">
        <f t="shared" si="24"/>
        <v>2.0666666666666668E-4</v>
      </c>
      <c r="Q15" s="6572">
        <v>162</v>
      </c>
      <c r="R15" s="6572">
        <f t="shared" si="25"/>
        <v>240</v>
      </c>
      <c r="S15" s="2844">
        <f t="shared" si="7"/>
        <v>0.24</v>
      </c>
      <c r="T15" s="2845">
        <f t="shared" si="8"/>
        <v>6.6133333333333339E-3</v>
      </c>
      <c r="U15" s="374">
        <f t="shared" si="9"/>
        <v>0</v>
      </c>
      <c r="V15" s="2846">
        <f t="shared" si="10"/>
        <v>0</v>
      </c>
      <c r="W15" s="2847">
        <f t="shared" si="11"/>
        <v>0</v>
      </c>
      <c r="X15" s="2848">
        <f t="shared" si="12"/>
        <v>0</v>
      </c>
      <c r="Y15" s="2849">
        <f t="shared" si="13"/>
        <v>0</v>
      </c>
      <c r="Z15" s="2850">
        <f t="shared" si="14"/>
        <v>0</v>
      </c>
      <c r="AA15" s="2851">
        <f t="shared" si="15"/>
        <v>0.24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</row>
    <row r="16" spans="1:40" ht="14" customHeight="1" thickBot="1">
      <c r="A16" s="6590" t="s">
        <v>140</v>
      </c>
      <c r="B16" s="6591" t="s">
        <v>215</v>
      </c>
      <c r="C16" s="6536">
        <f t="shared" si="3"/>
        <v>1.7222222222222224E-4</v>
      </c>
      <c r="D16" s="6573">
        <v>7</v>
      </c>
      <c r="E16" s="6574">
        <v>1</v>
      </c>
      <c r="F16" s="6574">
        <v>4</v>
      </c>
      <c r="G16" s="6608">
        <v>35</v>
      </c>
      <c r="H16" s="6574"/>
      <c r="I16" s="6609">
        <v>4.0509259259259258E-4</v>
      </c>
      <c r="J16" s="6578">
        <v>1.3888888888888889E-3</v>
      </c>
      <c r="K16" s="6556" t="s">
        <v>1568</v>
      </c>
      <c r="L16" s="6557">
        <f t="shared" ref="L16" si="26">L15+N15</f>
        <v>0.37930421111111112</v>
      </c>
      <c r="M16" s="6610">
        <v>1.2</v>
      </c>
      <c r="N16" s="6557">
        <f t="shared" ref="N16" si="27">P16*E16*F16+I16*F16*E16+J16*E16</f>
        <v>4.1665925925925924E-3</v>
      </c>
      <c r="O16" s="6578">
        <f t="shared" si="23"/>
        <v>2.4111111111111111E-4</v>
      </c>
      <c r="P16" s="6557">
        <f>O16*M16</f>
        <v>2.8933333333333334E-4</v>
      </c>
      <c r="Q16" s="6559"/>
      <c r="R16" s="6582">
        <f t="shared" si="17"/>
        <v>140</v>
      </c>
      <c r="S16" s="2844">
        <f t="shared" si="7"/>
        <v>0.14000000000000001</v>
      </c>
      <c r="T16" s="2845">
        <f t="shared" si="8"/>
        <v>3.8577777777777777E-3</v>
      </c>
      <c r="U16" s="374">
        <f t="shared" si="9"/>
        <v>0</v>
      </c>
      <c r="V16" s="2846">
        <f t="shared" si="10"/>
        <v>0</v>
      </c>
      <c r="W16" s="2847">
        <f t="shared" si="11"/>
        <v>0</v>
      </c>
      <c r="X16" s="2848">
        <f t="shared" si="12"/>
        <v>0</v>
      </c>
      <c r="Y16" s="2849">
        <f t="shared" si="13"/>
        <v>0</v>
      </c>
      <c r="Z16" s="2850">
        <f t="shared" si="14"/>
        <v>0</v>
      </c>
      <c r="AA16" s="2851">
        <f t="shared" si="15"/>
        <v>0.14000000000000001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</row>
    <row r="17" spans="1:40" ht="14" customHeight="1" thickBot="1">
      <c r="A17" s="6590" t="s">
        <v>674</v>
      </c>
      <c r="B17" s="6591"/>
      <c r="C17" s="6536">
        <f t="shared" si="3"/>
        <v>0</v>
      </c>
      <c r="D17" s="6584"/>
      <c r="E17" s="6585"/>
      <c r="F17" s="6586"/>
      <c r="G17" s="6586"/>
      <c r="H17" s="6586"/>
      <c r="I17" s="6586"/>
      <c r="J17" s="6586"/>
      <c r="K17" s="6586"/>
      <c r="L17" s="6542">
        <f>L16+N16</f>
        <v>0.38347080370370373</v>
      </c>
      <c r="M17" s="6587">
        <v>1.2</v>
      </c>
      <c r="N17" s="6588">
        <f>SUM(N12:N16)</f>
        <v>3.9720803703703698E-2</v>
      </c>
      <c r="O17" s="6587">
        <f t="shared" si="23"/>
        <v>0</v>
      </c>
      <c r="P17" s="6587"/>
      <c r="Q17" s="6587"/>
      <c r="R17" s="6589">
        <f>SUM(R12:R16)</f>
        <v>2600</v>
      </c>
      <c r="S17" s="2844">
        <f t="shared" si="7"/>
        <v>0</v>
      </c>
      <c r="T17" s="2845">
        <f t="shared" si="8"/>
        <v>0</v>
      </c>
      <c r="U17" s="374">
        <f t="shared" si="9"/>
        <v>0</v>
      </c>
      <c r="V17" s="2846">
        <f t="shared" si="10"/>
        <v>0</v>
      </c>
      <c r="W17" s="2847">
        <f t="shared" si="11"/>
        <v>0</v>
      </c>
      <c r="X17" s="2848">
        <f t="shared" si="12"/>
        <v>0</v>
      </c>
      <c r="Y17" s="2849">
        <f t="shared" si="13"/>
        <v>0</v>
      </c>
      <c r="Z17" s="2850">
        <f t="shared" si="14"/>
        <v>0</v>
      </c>
      <c r="AA17" s="2851">
        <f t="shared" si="15"/>
        <v>0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</row>
    <row r="18" spans="1:40" ht="12.75" customHeight="1" thickBot="1">
      <c r="A18" s="6611" t="s">
        <v>217</v>
      </c>
      <c r="B18" s="6583" t="s">
        <v>461</v>
      </c>
      <c r="C18" s="6536">
        <f t="shared" si="3"/>
        <v>2.3321759259259265E-4</v>
      </c>
      <c r="D18" s="6612">
        <v>1</v>
      </c>
      <c r="E18" s="6613">
        <v>1</v>
      </c>
      <c r="F18" s="6613">
        <v>3</v>
      </c>
      <c r="G18" s="6613">
        <v>200</v>
      </c>
      <c r="H18" s="6614"/>
      <c r="I18" s="6614">
        <v>2.3148148148148146E-4</v>
      </c>
      <c r="J18" s="6614"/>
      <c r="K18" s="6615" t="s">
        <v>2036</v>
      </c>
      <c r="L18" s="6616">
        <v>0.79861111111111116</v>
      </c>
      <c r="M18" s="6617">
        <v>1.17</v>
      </c>
      <c r="N18" s="6614">
        <f t="shared" ref="N18:N21" si="28">P18*E18*F18+I18*F18*E18+J18*E18</f>
        <v>7.2431944444444462E-3</v>
      </c>
      <c r="O18" s="6618">
        <f>C18*(G18/25)</f>
        <v>1.8657407407407412E-3</v>
      </c>
      <c r="P18" s="6618">
        <f>O18*M18</f>
        <v>2.1829166666666672E-3</v>
      </c>
      <c r="Q18" s="6619">
        <v>180</v>
      </c>
      <c r="R18" s="6620">
        <f>E18*F18*G18</f>
        <v>600</v>
      </c>
      <c r="S18" s="2844">
        <f t="shared" si="7"/>
        <v>0.6</v>
      </c>
      <c r="T18" s="2845">
        <f t="shared" si="8"/>
        <v>2.2388888888888896E-2</v>
      </c>
      <c r="U18" s="374">
        <f t="shared" si="9"/>
        <v>0.6</v>
      </c>
      <c r="V18" s="2846">
        <f t="shared" si="10"/>
        <v>0</v>
      </c>
      <c r="W18" s="2847">
        <f t="shared" si="11"/>
        <v>0</v>
      </c>
      <c r="X18" s="2848">
        <f t="shared" si="12"/>
        <v>0</v>
      </c>
      <c r="Y18" s="2849">
        <f t="shared" si="13"/>
        <v>0</v>
      </c>
      <c r="Z18" s="2850">
        <f t="shared" si="14"/>
        <v>0</v>
      </c>
      <c r="AA18" s="2851">
        <f t="shared" si="15"/>
        <v>0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1"/>
    </row>
    <row r="19" spans="1:40" ht="12.75" customHeight="1" thickBot="1">
      <c r="A19" s="6611" t="s">
        <v>459</v>
      </c>
      <c r="B19" s="6583" t="s">
        <v>461</v>
      </c>
      <c r="C19" s="6536">
        <f t="shared" si="3"/>
        <v>1.7939814814814817E-4</v>
      </c>
      <c r="D19" s="6573">
        <v>4</v>
      </c>
      <c r="E19" s="6621">
        <v>1</v>
      </c>
      <c r="F19" s="6622">
        <v>6</v>
      </c>
      <c r="G19" s="6622">
        <v>125</v>
      </c>
      <c r="H19" s="6623"/>
      <c r="I19" s="6624">
        <v>3.4722222222222224E-4</v>
      </c>
      <c r="J19" s="6624">
        <v>1.9675925925925928E-3</v>
      </c>
      <c r="K19" s="6625" t="s">
        <v>2031</v>
      </c>
      <c r="L19" s="6626">
        <f>L18+N18</f>
        <v>0.80585430555555559</v>
      </c>
      <c r="M19" s="6627">
        <v>1.17</v>
      </c>
      <c r="N19" s="6626">
        <f t="shared" si="28"/>
        <v>1.0347800925925927E-2</v>
      </c>
      <c r="O19" s="6628">
        <f>C19*(G19/25)</f>
        <v>8.9699074074074084E-4</v>
      </c>
      <c r="P19" s="6626">
        <f>O19*M19</f>
        <v>1.0494791666666667E-3</v>
      </c>
      <c r="Q19" s="6629">
        <v>180</v>
      </c>
      <c r="R19" s="6629">
        <f>E19*F19*G19</f>
        <v>750</v>
      </c>
      <c r="S19" s="2844">
        <f t="shared" si="7"/>
        <v>0.75</v>
      </c>
      <c r="T19" s="2845">
        <f t="shared" si="8"/>
        <v>2.1527777777777781E-2</v>
      </c>
      <c r="U19" s="374">
        <f t="shared" si="9"/>
        <v>0</v>
      </c>
      <c r="V19" s="2846">
        <f t="shared" si="10"/>
        <v>0</v>
      </c>
      <c r="W19" s="2847">
        <f t="shared" si="11"/>
        <v>0</v>
      </c>
      <c r="X19" s="2848">
        <f t="shared" si="12"/>
        <v>0.75</v>
      </c>
      <c r="Y19" s="2849">
        <f t="shared" si="13"/>
        <v>0</v>
      </c>
      <c r="Z19" s="2850">
        <f t="shared" si="14"/>
        <v>0</v>
      </c>
      <c r="AA19" s="2851">
        <f t="shared" si="15"/>
        <v>0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1"/>
    </row>
    <row r="20" spans="1:40" ht="13.25" customHeight="1" thickBot="1">
      <c r="A20" s="6611" t="s">
        <v>458</v>
      </c>
      <c r="B20" s="6583" t="s">
        <v>461</v>
      </c>
      <c r="C20" s="6536">
        <f t="shared" si="3"/>
        <v>1.9733796296296302E-4</v>
      </c>
      <c r="D20" s="6562">
        <v>3</v>
      </c>
      <c r="E20" s="6630">
        <v>1</v>
      </c>
      <c r="F20" s="6544">
        <v>3</v>
      </c>
      <c r="G20" s="6544">
        <v>100</v>
      </c>
      <c r="H20" s="6544"/>
      <c r="I20" s="6542">
        <v>2.3148148148148146E-4</v>
      </c>
      <c r="J20" s="6542">
        <v>9.2592592592592585E-4</v>
      </c>
      <c r="K20" s="6563" t="s">
        <v>1571</v>
      </c>
      <c r="L20" s="6542">
        <f>L19+N19</f>
        <v>0.8162021064814815</v>
      </c>
      <c r="M20" s="6563">
        <v>1.17</v>
      </c>
      <c r="N20" s="6542">
        <f t="shared" si="28"/>
        <v>4.3909953703703706E-3</v>
      </c>
      <c r="O20" s="6564">
        <f>C20*(G20/25)</f>
        <v>7.8935185185185206E-4</v>
      </c>
      <c r="P20" s="6542">
        <f>O20*M20</f>
        <v>9.2354166666666691E-4</v>
      </c>
      <c r="Q20" s="6543">
        <v>160</v>
      </c>
      <c r="R20" s="6544">
        <f>E20*F20*G20</f>
        <v>300</v>
      </c>
      <c r="S20" s="2844">
        <f t="shared" si="7"/>
        <v>0.3</v>
      </c>
      <c r="T20" s="2845">
        <f t="shared" si="8"/>
        <v>9.4722222222222256E-3</v>
      </c>
      <c r="U20" s="374">
        <f t="shared" si="9"/>
        <v>0</v>
      </c>
      <c r="V20" s="2846">
        <f t="shared" si="10"/>
        <v>0</v>
      </c>
      <c r="W20" s="2847">
        <f t="shared" si="11"/>
        <v>0.3</v>
      </c>
      <c r="X20" s="2848">
        <f t="shared" si="12"/>
        <v>0</v>
      </c>
      <c r="Y20" s="2849">
        <f t="shared" si="13"/>
        <v>0</v>
      </c>
      <c r="Z20" s="2850">
        <f t="shared" si="14"/>
        <v>0</v>
      </c>
      <c r="AA20" s="2851">
        <f t="shared" si="15"/>
        <v>0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1"/>
    </row>
    <row r="21" spans="1:40" ht="13.25" customHeight="1" thickBot="1">
      <c r="A21" s="6611" t="s">
        <v>218</v>
      </c>
      <c r="B21" s="6583" t="s">
        <v>461</v>
      </c>
      <c r="C21" s="6536">
        <f t="shared" si="3"/>
        <v>1.7850115740740744E-4</v>
      </c>
      <c r="D21" s="6631">
        <v>5</v>
      </c>
      <c r="E21" s="6566">
        <v>10</v>
      </c>
      <c r="F21" s="6566">
        <v>1</v>
      </c>
      <c r="G21" s="6566">
        <v>75</v>
      </c>
      <c r="H21" s="6567"/>
      <c r="I21" s="6568">
        <v>5.7870370370370366E-5</v>
      </c>
      <c r="J21" s="6568">
        <v>6.9444444444444447E-4</v>
      </c>
      <c r="K21" s="6569" t="s">
        <v>2033</v>
      </c>
      <c r="L21" s="6568">
        <f>L20+N20</f>
        <v>0.82059310185185186</v>
      </c>
      <c r="M21" s="6570">
        <v>1.1000000000000001</v>
      </c>
      <c r="N21" s="6568">
        <f t="shared" si="28"/>
        <v>1.3413686342592594E-2</v>
      </c>
      <c r="O21" s="6571">
        <f>C21*(G21/25)</f>
        <v>5.3550347222222237E-4</v>
      </c>
      <c r="P21" s="6568">
        <f>O21*M21</f>
        <v>5.8905381944444467E-4</v>
      </c>
      <c r="Q21" s="6572">
        <v>180</v>
      </c>
      <c r="R21" s="6572">
        <f>E21*F21*G21</f>
        <v>750</v>
      </c>
      <c r="S21" s="2844">
        <f t="shared" si="7"/>
        <v>0.75</v>
      </c>
      <c r="T21" s="2845">
        <f t="shared" si="8"/>
        <v>2.1420138888888895E-2</v>
      </c>
      <c r="U21" s="374">
        <f t="shared" si="9"/>
        <v>0</v>
      </c>
      <c r="V21" s="2846">
        <f t="shared" si="10"/>
        <v>0</v>
      </c>
      <c r="W21" s="2847">
        <f t="shared" si="11"/>
        <v>0</v>
      </c>
      <c r="X21" s="2848">
        <f t="shared" si="12"/>
        <v>0</v>
      </c>
      <c r="Y21" s="2849">
        <f t="shared" si="13"/>
        <v>0.75</v>
      </c>
      <c r="Z21" s="2850">
        <f t="shared" si="14"/>
        <v>0</v>
      </c>
      <c r="AA21" s="2851">
        <f t="shared" si="15"/>
        <v>0</v>
      </c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1"/>
    </row>
    <row r="22" spans="1:40" ht="14" customHeight="1" thickBot="1">
      <c r="A22" s="6611" t="s">
        <v>219</v>
      </c>
      <c r="B22" s="6583"/>
      <c r="C22" s="6536">
        <f t="shared" si="3"/>
        <v>0</v>
      </c>
      <c r="D22" s="6536"/>
      <c r="E22" s="6584"/>
      <c r="F22" s="6585"/>
      <c r="G22" s="6586"/>
      <c r="H22" s="6586"/>
      <c r="I22" s="6586"/>
      <c r="J22" s="6586"/>
      <c r="K22" s="6586"/>
      <c r="L22" s="6586">
        <f>L21+N21</f>
        <v>0.8340067881944444</v>
      </c>
      <c r="M22" s="6542"/>
      <c r="N22" s="6587">
        <f>SUM(N18:N21)</f>
        <v>3.5395677083333341E-2</v>
      </c>
      <c r="O22" s="6588"/>
      <c r="P22" s="6587"/>
      <c r="Q22" s="6587"/>
      <c r="R22" s="6587">
        <f>SUM(R18:R21)</f>
        <v>2400</v>
      </c>
      <c r="S22" s="2844">
        <f t="shared" si="7"/>
        <v>0</v>
      </c>
      <c r="T22" s="2845">
        <f t="shared" si="8"/>
        <v>0</v>
      </c>
      <c r="U22" s="374">
        <f t="shared" si="9"/>
        <v>0</v>
      </c>
      <c r="V22" s="2846">
        <f t="shared" si="10"/>
        <v>0</v>
      </c>
      <c r="W22" s="2847">
        <f t="shared" si="11"/>
        <v>0</v>
      </c>
      <c r="X22" s="2848">
        <f t="shared" si="12"/>
        <v>0</v>
      </c>
      <c r="Y22" s="2849">
        <f t="shared" si="13"/>
        <v>0</v>
      </c>
      <c r="Z22" s="2850">
        <f t="shared" si="14"/>
        <v>0</v>
      </c>
      <c r="AA22" s="2851">
        <f t="shared" si="15"/>
        <v>0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1"/>
    </row>
    <row r="23" spans="1:40" ht="14" customHeight="1" thickBot="1">
      <c r="A23" s="6591" t="s">
        <v>218</v>
      </c>
      <c r="B23" s="6591"/>
      <c r="C23" s="6591"/>
      <c r="D23" s="7203"/>
      <c r="E23" s="7205"/>
      <c r="F23" s="7205"/>
      <c r="G23" s="7205"/>
      <c r="H23" s="7206"/>
      <c r="I23" s="7206"/>
      <c r="J23" s="7897" t="s">
        <v>2464</v>
      </c>
      <c r="K23" s="7897"/>
      <c r="L23" s="7207"/>
      <c r="M23" s="7208"/>
      <c r="N23" s="7209" t="s">
        <v>121</v>
      </c>
      <c r="O23" s="7210"/>
      <c r="P23" s="7209"/>
      <c r="Q23" s="7211"/>
      <c r="R23" s="7212"/>
      <c r="S23" s="2844">
        <f t="shared" si="7"/>
        <v>0</v>
      </c>
      <c r="T23" s="2845">
        <f t="shared" si="8"/>
        <v>0</v>
      </c>
      <c r="U23" s="374">
        <f t="shared" si="9"/>
        <v>0</v>
      </c>
      <c r="V23" s="2846">
        <f t="shared" si="10"/>
        <v>0</v>
      </c>
      <c r="W23" s="2847">
        <f t="shared" si="11"/>
        <v>0</v>
      </c>
      <c r="X23" s="2848">
        <f t="shared" si="12"/>
        <v>0</v>
      </c>
      <c r="Y23" s="2849">
        <f t="shared" si="13"/>
        <v>0</v>
      </c>
      <c r="Z23" s="2850">
        <f t="shared" si="14"/>
        <v>0</v>
      </c>
      <c r="AA23" s="2851">
        <f t="shared" si="15"/>
        <v>0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1"/>
    </row>
    <row r="24" spans="1:40" ht="14" customHeight="1" thickBot="1">
      <c r="A24" s="6591" t="s">
        <v>139</v>
      </c>
      <c r="B24" s="6591"/>
      <c r="C24" s="6591"/>
      <c r="D24" s="7203"/>
      <c r="E24" s="7205"/>
      <c r="F24" s="7205"/>
      <c r="G24" s="7205"/>
      <c r="H24" s="7206"/>
      <c r="I24" s="7206"/>
      <c r="J24" s="7897"/>
      <c r="K24" s="7897"/>
      <c r="L24" s="7207"/>
      <c r="M24" s="7208"/>
      <c r="N24" s="7228" t="s">
        <v>121</v>
      </c>
      <c r="O24" s="7229"/>
      <c r="P24" s="7230">
        <v>7.1620370370370371E-4</v>
      </c>
      <c r="Q24" s="7228" t="s">
        <v>1232</v>
      </c>
      <c r="R24" s="7212"/>
      <c r="S24" s="2844">
        <f t="shared" si="7"/>
        <v>0</v>
      </c>
      <c r="T24" s="2845">
        <f t="shared" si="8"/>
        <v>0</v>
      </c>
      <c r="U24" s="374">
        <f t="shared" si="9"/>
        <v>0</v>
      </c>
      <c r="V24" s="2846">
        <f t="shared" si="10"/>
        <v>0</v>
      </c>
      <c r="W24" s="2847">
        <f t="shared" si="11"/>
        <v>0</v>
      </c>
      <c r="X24" s="2848">
        <f t="shared" si="12"/>
        <v>0</v>
      </c>
      <c r="Y24" s="2849">
        <f t="shared" si="13"/>
        <v>0</v>
      </c>
      <c r="Z24" s="2850">
        <f t="shared" si="14"/>
        <v>0</v>
      </c>
      <c r="AA24" s="2851">
        <f t="shared" si="15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4" customHeight="1" thickBot="1">
      <c r="A25" s="6591" t="s">
        <v>458</v>
      </c>
      <c r="B25" s="6591"/>
      <c r="C25" s="6591"/>
      <c r="D25" s="7203"/>
      <c r="E25" s="7205"/>
      <c r="F25" s="7205"/>
      <c r="G25" s="7205"/>
      <c r="H25" s="7206"/>
      <c r="I25" s="7206"/>
      <c r="J25" s="7897"/>
      <c r="K25" s="7897"/>
      <c r="L25" s="7207"/>
      <c r="M25" s="7208"/>
      <c r="N25" s="7231" t="s">
        <v>120</v>
      </c>
      <c r="O25" s="7232"/>
      <c r="P25" s="7234" t="s">
        <v>2467</v>
      </c>
      <c r="Q25" s="7233" t="s">
        <v>1232</v>
      </c>
      <c r="R25" s="7212"/>
      <c r="S25" s="2844">
        <f t="shared" si="7"/>
        <v>0</v>
      </c>
      <c r="T25" s="2845">
        <f t="shared" si="8"/>
        <v>0</v>
      </c>
      <c r="U25" s="374">
        <f t="shared" si="9"/>
        <v>0</v>
      </c>
      <c r="V25" s="2846">
        <f t="shared" si="10"/>
        <v>0</v>
      </c>
      <c r="W25" s="2847">
        <f t="shared" si="11"/>
        <v>0</v>
      </c>
      <c r="X25" s="2848">
        <f t="shared" si="12"/>
        <v>0</v>
      </c>
      <c r="Y25" s="2849">
        <f t="shared" si="13"/>
        <v>0</v>
      </c>
      <c r="Z25" s="2850">
        <f t="shared" si="14"/>
        <v>0</v>
      </c>
      <c r="AA25" s="2851">
        <f t="shared" si="15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4" customHeight="1" thickBot="1">
      <c r="A26" s="6591" t="s">
        <v>462</v>
      </c>
      <c r="B26" s="6591"/>
      <c r="C26" s="6591"/>
      <c r="D26" s="7203"/>
      <c r="E26" s="7205"/>
      <c r="F26" s="7205"/>
      <c r="G26" s="7205"/>
      <c r="H26" s="7206"/>
      <c r="I26" s="7206"/>
      <c r="J26" s="7897"/>
      <c r="K26" s="7897"/>
      <c r="L26" s="7207"/>
      <c r="M26" s="7208"/>
      <c r="N26" s="7228" t="s">
        <v>49</v>
      </c>
      <c r="O26" s="7229"/>
      <c r="P26" s="7230">
        <v>3.9224537037037033E-4</v>
      </c>
      <c r="Q26" s="7228" t="s">
        <v>2468</v>
      </c>
      <c r="R26" s="7212"/>
      <c r="S26" s="2844">
        <f t="shared" si="7"/>
        <v>0</v>
      </c>
      <c r="T26" s="2845">
        <f t="shared" si="8"/>
        <v>0</v>
      </c>
      <c r="U26" s="374">
        <f t="shared" si="9"/>
        <v>0</v>
      </c>
      <c r="V26" s="2846">
        <f t="shared" si="10"/>
        <v>0</v>
      </c>
      <c r="W26" s="2847">
        <f t="shared" si="11"/>
        <v>0</v>
      </c>
      <c r="X26" s="2848">
        <f t="shared" si="12"/>
        <v>0</v>
      </c>
      <c r="Y26" s="2849">
        <f t="shared" si="13"/>
        <v>0</v>
      </c>
      <c r="Z26" s="2850">
        <f t="shared" si="14"/>
        <v>0</v>
      </c>
      <c r="AA26" s="2851">
        <f t="shared" si="15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4" customHeight="1" thickBot="1">
      <c r="A27" s="6591" t="s">
        <v>460</v>
      </c>
      <c r="B27" s="6591"/>
      <c r="C27" s="7202"/>
      <c r="D27" s="7203"/>
      <c r="E27" s="7205"/>
      <c r="F27" s="7205"/>
      <c r="G27" s="7205"/>
      <c r="H27" s="7206"/>
      <c r="I27" s="7206"/>
      <c r="J27" s="7897"/>
      <c r="K27" s="7897"/>
      <c r="L27" s="7207"/>
      <c r="M27" s="7208"/>
      <c r="N27" s="7235" t="s">
        <v>50</v>
      </c>
      <c r="O27" s="7236"/>
      <c r="P27" s="7237">
        <v>8.6180555555555565E-4</v>
      </c>
      <c r="Q27" s="7235" t="s">
        <v>2468</v>
      </c>
      <c r="R27" s="7212"/>
      <c r="S27" s="2844">
        <f t="shared" si="7"/>
        <v>0</v>
      </c>
      <c r="T27" s="2845">
        <f t="shared" si="8"/>
        <v>0</v>
      </c>
      <c r="U27" s="374">
        <f t="shared" si="9"/>
        <v>0</v>
      </c>
      <c r="V27" s="2846">
        <f t="shared" si="10"/>
        <v>0</v>
      </c>
      <c r="W27" s="2847">
        <f t="shared" si="11"/>
        <v>0</v>
      </c>
      <c r="X27" s="2848">
        <f t="shared" si="12"/>
        <v>0</v>
      </c>
      <c r="Y27" s="2849">
        <f t="shared" si="13"/>
        <v>0</v>
      </c>
      <c r="Z27" s="2850">
        <f t="shared" si="14"/>
        <v>0</v>
      </c>
      <c r="AA27" s="2851">
        <f t="shared" si="15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4" customHeight="1" thickBot="1">
      <c r="A28" s="6590"/>
      <c r="B28" s="7204"/>
      <c r="C28" s="6536"/>
      <c r="D28" s="6584"/>
      <c r="E28" s="6585"/>
      <c r="F28" s="6586"/>
      <c r="G28" s="6586"/>
      <c r="H28" s="6586"/>
      <c r="I28" s="6586"/>
      <c r="J28" s="6586"/>
      <c r="K28" s="6586"/>
      <c r="L28" s="6542"/>
      <c r="M28" s="6587"/>
      <c r="N28" s="6588"/>
      <c r="O28" s="6587"/>
      <c r="P28" s="6587"/>
      <c r="Q28" s="6587"/>
      <c r="R28" s="6589"/>
      <c r="S28" s="2844">
        <f t="shared" si="7"/>
        <v>0</v>
      </c>
      <c r="T28" s="2845">
        <f t="shared" si="8"/>
        <v>0</v>
      </c>
      <c r="U28" s="374">
        <f t="shared" si="9"/>
        <v>0</v>
      </c>
      <c r="V28" s="2846">
        <f t="shared" si="10"/>
        <v>0</v>
      </c>
      <c r="W28" s="2847">
        <f t="shared" si="11"/>
        <v>0</v>
      </c>
      <c r="X28" s="2848">
        <f t="shared" si="12"/>
        <v>0</v>
      </c>
      <c r="Y28" s="2849">
        <f t="shared" si="13"/>
        <v>0</v>
      </c>
      <c r="Z28" s="2850">
        <f t="shared" si="14"/>
        <v>0</v>
      </c>
      <c r="AA28" s="2851">
        <f t="shared" si="15"/>
        <v>0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4" customHeight="1" thickBot="1">
      <c r="A29" s="398" t="s">
        <v>219</v>
      </c>
      <c r="B29" s="1117" t="s">
        <v>215</v>
      </c>
      <c r="C29" s="274">
        <f t="shared" ref="C29:C35" si="29">IF(D29=1,U$4,IF(D29=2,V$4,IF(D29=3,W$4,IF(D29=4,X$4,IF(D29=5,Y$4,IF(D29=6,Z$4,IF(D29=7,AA$4,0)))))))</f>
        <v>1.9733796296296302E-4</v>
      </c>
      <c r="D29" s="1977">
        <v>3</v>
      </c>
      <c r="E29" s="1980">
        <v>1</v>
      </c>
      <c r="F29" s="300">
        <v>8</v>
      </c>
      <c r="G29" s="2645">
        <v>105</v>
      </c>
      <c r="H29" s="3350"/>
      <c r="I29" s="2649">
        <v>3.4722222222222224E-4</v>
      </c>
      <c r="J29" s="301">
        <v>1.3888888888888889E-3</v>
      </c>
      <c r="K29" s="2653" t="s">
        <v>1403</v>
      </c>
      <c r="L29" s="301">
        <v>0.34375</v>
      </c>
      <c r="M29" s="455">
        <v>1</v>
      </c>
      <c r="N29" s="301">
        <f t="shared" ref="N29:N30" si="30">P29*E29*F29+I29*E29*F29+J29*E29</f>
        <v>1.0797222222222225E-2</v>
      </c>
      <c r="O29" s="301">
        <f t="shared" ref="O29:O30" si="31">C29*(G29/25)</f>
        <v>8.2881944444444474E-4</v>
      </c>
      <c r="P29" s="302">
        <f t="shared" ref="P29:P34" si="32">O29*M29</f>
        <v>8.2881944444444474E-4</v>
      </c>
      <c r="Q29" s="550">
        <v>129</v>
      </c>
      <c r="R29" s="369">
        <f t="shared" ref="R29:R34" si="33">E29*F29*G29</f>
        <v>840</v>
      </c>
      <c r="S29" s="2844">
        <f t="shared" si="7"/>
        <v>0.84</v>
      </c>
      <c r="T29" s="2845">
        <f t="shared" si="8"/>
        <v>2.6522222222222232E-2</v>
      </c>
      <c r="U29" s="374">
        <f t="shared" si="9"/>
        <v>0</v>
      </c>
      <c r="V29" s="2846">
        <f t="shared" si="10"/>
        <v>0</v>
      </c>
      <c r="W29" s="2847">
        <f t="shared" si="11"/>
        <v>0.84</v>
      </c>
      <c r="X29" s="2848">
        <f t="shared" si="12"/>
        <v>0</v>
      </c>
      <c r="Y29" s="2849">
        <f t="shared" si="13"/>
        <v>0</v>
      </c>
      <c r="Z29" s="2850">
        <f t="shared" si="14"/>
        <v>0</v>
      </c>
      <c r="AA29" s="2851">
        <f t="shared" si="15"/>
        <v>0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4" customHeight="1" thickBot="1">
      <c r="A30" s="398" t="s">
        <v>138</v>
      </c>
      <c r="B30" s="1117" t="s">
        <v>215</v>
      </c>
      <c r="C30" s="274">
        <f t="shared" si="29"/>
        <v>1.9733796296296302E-4</v>
      </c>
      <c r="D30" s="1977">
        <v>3</v>
      </c>
      <c r="E30" s="1311">
        <v>1</v>
      </c>
      <c r="F30" s="1311">
        <v>10</v>
      </c>
      <c r="G30" s="280">
        <v>60</v>
      </c>
      <c r="H30" s="3347"/>
      <c r="I30" s="1403">
        <v>3.4722222222222224E-4</v>
      </c>
      <c r="J30" s="1403">
        <v>1.3888888888888889E-3</v>
      </c>
      <c r="K30" s="1976" t="s">
        <v>1404</v>
      </c>
      <c r="L30" s="281">
        <f t="shared" ref="L30:L35" si="34">L29+N29</f>
        <v>0.35454722222222224</v>
      </c>
      <c r="M30" s="453">
        <v>1</v>
      </c>
      <c r="N30" s="281">
        <f t="shared" si="30"/>
        <v>9.597222222222224E-3</v>
      </c>
      <c r="O30" s="281">
        <f t="shared" si="31"/>
        <v>4.7361111111111123E-4</v>
      </c>
      <c r="P30" s="298">
        <f t="shared" si="32"/>
        <v>4.7361111111111123E-4</v>
      </c>
      <c r="Q30" s="333">
        <v>150</v>
      </c>
      <c r="R30" s="280">
        <f t="shared" si="33"/>
        <v>600</v>
      </c>
      <c r="S30" s="2844">
        <f t="shared" si="7"/>
        <v>0.6</v>
      </c>
      <c r="T30" s="2845">
        <f t="shared" si="8"/>
        <v>1.8944444444444448E-2</v>
      </c>
      <c r="U30" s="374">
        <f t="shared" si="9"/>
        <v>0</v>
      </c>
      <c r="V30" s="2846">
        <f t="shared" si="10"/>
        <v>0</v>
      </c>
      <c r="W30" s="2847">
        <f t="shared" si="11"/>
        <v>0.6</v>
      </c>
      <c r="X30" s="2848">
        <f t="shared" si="12"/>
        <v>0</v>
      </c>
      <c r="Y30" s="2849">
        <f t="shared" si="13"/>
        <v>0</v>
      </c>
      <c r="Z30" s="2850">
        <f t="shared" si="14"/>
        <v>0</v>
      </c>
      <c r="AA30" s="2851">
        <f t="shared" si="15"/>
        <v>0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4" customHeight="1" thickBot="1">
      <c r="A31" s="398" t="s">
        <v>779</v>
      </c>
      <c r="B31" s="1117" t="s">
        <v>215</v>
      </c>
      <c r="C31" s="274">
        <f t="shared" si="29"/>
        <v>1.7939814814814817E-4</v>
      </c>
      <c r="D31" s="1977">
        <v>4</v>
      </c>
      <c r="E31" s="1197">
        <v>1</v>
      </c>
      <c r="F31" s="1177">
        <v>15</v>
      </c>
      <c r="G31" s="1177">
        <v>105</v>
      </c>
      <c r="H31" s="1178">
        <v>1.1574074074074073E-3</v>
      </c>
      <c r="I31" s="1178"/>
      <c r="J31" s="1178">
        <v>1.3888888888888889E-3</v>
      </c>
      <c r="K31" s="1178" t="s">
        <v>1405</v>
      </c>
      <c r="L31" s="1179">
        <f t="shared" si="34"/>
        <v>0.36414444444444444</v>
      </c>
      <c r="M31" s="1179">
        <v>1</v>
      </c>
      <c r="N31" s="1180">
        <f>H31*F31*E31</f>
        <v>1.7361111111111112E-2</v>
      </c>
      <c r="O31" s="1178">
        <f>C31*16*1.08</f>
        <v>3.1000000000000008E-3</v>
      </c>
      <c r="P31" s="1181">
        <f t="shared" si="32"/>
        <v>3.1000000000000008E-3</v>
      </c>
      <c r="Q31" s="334">
        <v>150</v>
      </c>
      <c r="R31" s="334">
        <f t="shared" si="33"/>
        <v>1575</v>
      </c>
      <c r="S31" s="2844">
        <f t="shared" si="7"/>
        <v>1.575</v>
      </c>
      <c r="T31" s="2845">
        <f t="shared" si="8"/>
        <v>0.18600000000000005</v>
      </c>
      <c r="U31" s="374">
        <f t="shared" si="9"/>
        <v>0</v>
      </c>
      <c r="V31" s="2846">
        <f t="shared" si="10"/>
        <v>0</v>
      </c>
      <c r="W31" s="2847">
        <f t="shared" si="11"/>
        <v>0</v>
      </c>
      <c r="X31" s="2848">
        <f t="shared" si="12"/>
        <v>1.575</v>
      </c>
      <c r="Y31" s="2849">
        <f t="shared" si="13"/>
        <v>0</v>
      </c>
      <c r="Z31" s="2850">
        <f t="shared" si="14"/>
        <v>0</v>
      </c>
      <c r="AA31" s="2851">
        <f t="shared" si="15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4" customHeight="1" thickBot="1">
      <c r="A32" s="398" t="s">
        <v>674</v>
      </c>
      <c r="B32" s="1117" t="s">
        <v>215</v>
      </c>
      <c r="C32" s="274">
        <f t="shared" si="29"/>
        <v>1.7939814814814817E-4</v>
      </c>
      <c r="D32" s="1977">
        <v>4</v>
      </c>
      <c r="E32" s="1311">
        <v>1</v>
      </c>
      <c r="F32" s="1311">
        <v>8</v>
      </c>
      <c r="G32" s="280">
        <v>105</v>
      </c>
      <c r="H32" s="3347"/>
      <c r="I32" s="1403">
        <v>2.8935185185185189E-4</v>
      </c>
      <c r="J32" s="1403">
        <v>1.3888888888888889E-3</v>
      </c>
      <c r="K32" s="1976" t="s">
        <v>1390</v>
      </c>
      <c r="L32" s="281">
        <f t="shared" si="34"/>
        <v>0.38150555555555554</v>
      </c>
      <c r="M32" s="453">
        <v>1</v>
      </c>
      <c r="N32" s="281">
        <f t="shared" ref="N32:N34" si="35">P32*E32*F32+I32*E32*F32+J32*E32</f>
        <v>9.7314814814814833E-3</v>
      </c>
      <c r="O32" s="281">
        <f t="shared" ref="O32:O34" si="36">C32*(G32/25)</f>
        <v>7.5347222222222233E-4</v>
      </c>
      <c r="P32" s="298">
        <f t="shared" si="32"/>
        <v>7.5347222222222233E-4</v>
      </c>
      <c r="Q32" s="333">
        <v>150</v>
      </c>
      <c r="R32" s="280">
        <f t="shared" si="33"/>
        <v>840</v>
      </c>
      <c r="S32" s="2844">
        <f t="shared" si="7"/>
        <v>0.84</v>
      </c>
      <c r="T32" s="2845">
        <f t="shared" si="8"/>
        <v>2.4111111111111114E-2</v>
      </c>
      <c r="U32" s="374">
        <f t="shared" si="9"/>
        <v>0</v>
      </c>
      <c r="V32" s="2846">
        <f t="shared" si="10"/>
        <v>0</v>
      </c>
      <c r="W32" s="2847">
        <f t="shared" si="11"/>
        <v>0</v>
      </c>
      <c r="X32" s="2848">
        <f t="shared" si="12"/>
        <v>0.84</v>
      </c>
      <c r="Y32" s="2849">
        <f t="shared" si="13"/>
        <v>0</v>
      </c>
      <c r="Z32" s="2850">
        <f t="shared" si="14"/>
        <v>0</v>
      </c>
      <c r="AA32" s="2851">
        <f t="shared" si="15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4" customHeight="1" thickBot="1">
      <c r="A33" s="398" t="s">
        <v>219</v>
      </c>
      <c r="B33" s="1117" t="s">
        <v>215</v>
      </c>
      <c r="C33" s="274">
        <f t="shared" si="29"/>
        <v>1.9733796296296302E-4</v>
      </c>
      <c r="D33" s="1977">
        <v>3</v>
      </c>
      <c r="E33" s="1311">
        <v>1</v>
      </c>
      <c r="F33" s="1311">
        <v>16</v>
      </c>
      <c r="G33" s="280">
        <v>60</v>
      </c>
      <c r="H33" s="3347"/>
      <c r="I33" s="1403">
        <v>2.8935185185185189E-4</v>
      </c>
      <c r="J33" s="1403">
        <v>1.3888888888888889E-3</v>
      </c>
      <c r="K33" s="1976" t="s">
        <v>1406</v>
      </c>
      <c r="L33" s="281">
        <f t="shared" si="34"/>
        <v>0.39123703703703705</v>
      </c>
      <c r="M33" s="453">
        <v>1</v>
      </c>
      <c r="N33" s="281">
        <f t="shared" si="35"/>
        <v>1.3596296296296299E-2</v>
      </c>
      <c r="O33" s="281">
        <f t="shared" si="36"/>
        <v>4.7361111111111123E-4</v>
      </c>
      <c r="P33" s="298">
        <f t="shared" si="32"/>
        <v>4.7361111111111123E-4</v>
      </c>
      <c r="Q33" s="333">
        <v>150</v>
      </c>
      <c r="R33" s="280">
        <f t="shared" si="33"/>
        <v>960</v>
      </c>
      <c r="S33" s="2844">
        <f t="shared" si="7"/>
        <v>0.96</v>
      </c>
      <c r="T33" s="2845">
        <f t="shared" si="8"/>
        <v>3.0311111111111119E-2</v>
      </c>
      <c r="U33" s="374">
        <f t="shared" si="9"/>
        <v>0</v>
      </c>
      <c r="V33" s="2846">
        <f t="shared" si="10"/>
        <v>0</v>
      </c>
      <c r="W33" s="2847">
        <f t="shared" si="11"/>
        <v>0.96</v>
      </c>
      <c r="X33" s="2848">
        <f t="shared" si="12"/>
        <v>0</v>
      </c>
      <c r="Y33" s="2849">
        <f t="shared" si="13"/>
        <v>0</v>
      </c>
      <c r="Z33" s="2850">
        <f t="shared" si="14"/>
        <v>0</v>
      </c>
      <c r="AA33" s="2851">
        <f t="shared" si="15"/>
        <v>0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4" customHeight="1" thickBot="1">
      <c r="A34" s="398" t="s">
        <v>138</v>
      </c>
      <c r="B34" s="1117" t="s">
        <v>215</v>
      </c>
      <c r="C34" s="274">
        <f t="shared" si="29"/>
        <v>1.9733796296296302E-4</v>
      </c>
      <c r="D34" s="1977">
        <v>3</v>
      </c>
      <c r="E34" s="1311">
        <v>1</v>
      </c>
      <c r="F34" s="1311">
        <v>5</v>
      </c>
      <c r="G34" s="280">
        <v>105</v>
      </c>
      <c r="H34" s="3347"/>
      <c r="I34" s="1403">
        <v>2.3148148148148146E-4</v>
      </c>
      <c r="J34" s="1403">
        <v>1.3888888888888889E-3</v>
      </c>
      <c r="K34" s="1976" t="s">
        <v>1398</v>
      </c>
      <c r="L34" s="281">
        <f t="shared" si="34"/>
        <v>0.40483333333333332</v>
      </c>
      <c r="M34" s="453">
        <v>1</v>
      </c>
      <c r="N34" s="281">
        <f t="shared" si="35"/>
        <v>6.69039351851852E-3</v>
      </c>
      <c r="O34" s="281">
        <f t="shared" si="36"/>
        <v>8.2881944444444474E-4</v>
      </c>
      <c r="P34" s="298">
        <f t="shared" si="32"/>
        <v>8.2881944444444474E-4</v>
      </c>
      <c r="Q34" s="333">
        <v>150</v>
      </c>
      <c r="R34" s="280">
        <f t="shared" si="33"/>
        <v>525</v>
      </c>
      <c r="S34" s="2844">
        <f t="shared" si="7"/>
        <v>0.52500000000000002</v>
      </c>
      <c r="T34" s="2845">
        <f t="shared" si="8"/>
        <v>1.6576388888888894E-2</v>
      </c>
      <c r="U34" s="374">
        <f t="shared" si="9"/>
        <v>0</v>
      </c>
      <c r="V34" s="2846">
        <f t="shared" si="10"/>
        <v>0</v>
      </c>
      <c r="W34" s="2847">
        <f t="shared" si="11"/>
        <v>0.52500000000000002</v>
      </c>
      <c r="X34" s="2848">
        <f t="shared" si="12"/>
        <v>0</v>
      </c>
      <c r="Y34" s="2849">
        <f t="shared" si="13"/>
        <v>0</v>
      </c>
      <c r="Z34" s="2850">
        <f t="shared" si="14"/>
        <v>0</v>
      </c>
      <c r="AA34" s="2851">
        <f t="shared" si="15"/>
        <v>0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4" customHeight="1" thickBot="1">
      <c r="A35" s="398"/>
      <c r="B35" s="401"/>
      <c r="C35" s="274">
        <f t="shared" si="29"/>
        <v>0</v>
      </c>
      <c r="D35" s="1977"/>
      <c r="E35" s="845"/>
      <c r="F35" s="839"/>
      <c r="G35" s="839"/>
      <c r="H35" s="3349"/>
      <c r="I35" s="839"/>
      <c r="J35" s="839"/>
      <c r="K35" s="839"/>
      <c r="L35" s="644">
        <f t="shared" si="34"/>
        <v>0.41152372685185185</v>
      </c>
      <c r="M35" s="839">
        <v>1</v>
      </c>
      <c r="N35" s="644">
        <f>SUM(N27:N34)</f>
        <v>6.7773726851851873E-2</v>
      </c>
      <c r="O35" s="839">
        <f>C35*(G35/25)</f>
        <v>0</v>
      </c>
      <c r="P35" s="839"/>
      <c r="Q35" s="839"/>
      <c r="R35" s="1656">
        <f>SUM(R29:R34)</f>
        <v>5340</v>
      </c>
      <c r="S35" s="2844">
        <f t="shared" ref="S35" si="37">E35*F35*G35/1000</f>
        <v>0</v>
      </c>
      <c r="T35" s="2845">
        <f t="shared" ref="T35" si="38">E35*F35*O35*4</f>
        <v>0</v>
      </c>
      <c r="U35" s="374">
        <f t="shared" ref="U35" si="39">IF(C35*4&gt;=$U$3,S35,0)</f>
        <v>0</v>
      </c>
      <c r="V35" s="2846">
        <f t="shared" ref="V35" si="40">IF(AND(C35*4&gt;=$V$3,C35*4&lt;$U$3),S35,0)</f>
        <v>0</v>
      </c>
      <c r="W35" s="2847">
        <f t="shared" ref="W35" si="41">IF(AND(C35*4&gt;=$W$3,C35*4&lt;$V$3),S35,0)</f>
        <v>0</v>
      </c>
      <c r="X35" s="2848">
        <f t="shared" ref="X35" si="42">IF(AND(C35*4&gt;=$X$3,C35*4&lt;$W$3),S35,0)</f>
        <v>0</v>
      </c>
      <c r="Y35" s="2849">
        <f t="shared" ref="Y35" si="43">IF(AND(C35*4&gt;=$Y$3,C35*4&lt;$X$3),S35,0)</f>
        <v>0</v>
      </c>
      <c r="Z35" s="2850">
        <f t="shared" ref="Z35" si="44">IF(AND(C35*4&gt;=$Z$3,C35*4&lt;$Y$3),S35,0)</f>
        <v>0</v>
      </c>
      <c r="AA35" s="2851">
        <f t="shared" ref="AA35" si="45">IF(AND(C35*4&gt;=$AA$3,C35*4&lt;$Z$3),S35,0)</f>
        <v>0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3.25" customHeight="1" thickTop="1" thickBot="1">
      <c r="A36" s="6590"/>
      <c r="B36" s="6632"/>
      <c r="C36" s="6633"/>
      <c r="D36" s="6634"/>
      <c r="E36" s="6635">
        <f>U36*100000/$Q$36</f>
        <v>4.5906656465187448</v>
      </c>
      <c r="F36" s="6635">
        <f t="shared" ref="F36:K36" si="46">V36*100000/$Q$36</f>
        <v>18.362662586074979</v>
      </c>
      <c r="G36" s="6635">
        <f t="shared" si="46"/>
        <v>32.708492731446057</v>
      </c>
      <c r="H36" s="6635">
        <f t="shared" si="46"/>
        <v>24.215761285386378</v>
      </c>
      <c r="I36" s="6635">
        <f t="shared" si="46"/>
        <v>11.859219586840091</v>
      </c>
      <c r="J36" s="6635">
        <f t="shared" si="46"/>
        <v>3.6725325172149956</v>
      </c>
      <c r="K36" s="6635">
        <f t="shared" si="46"/>
        <v>4.5906656465187448</v>
      </c>
      <c r="L36" s="6636" t="s">
        <v>1922</v>
      </c>
      <c r="M36" s="6637"/>
      <c r="N36" s="6638"/>
      <c r="O36" s="6638"/>
      <c r="P36" s="6638"/>
      <c r="Q36" s="7895">
        <f>AB36*1000</f>
        <v>13070.000000000002</v>
      </c>
      <c r="R36" s="7896"/>
      <c r="S36" s="3153"/>
      <c r="T36" s="3154"/>
      <c r="U36" s="3155">
        <f>SUM(U5:U35)</f>
        <v>0.6</v>
      </c>
      <c r="V36" s="3155">
        <f t="shared" ref="V36:AA36" si="47">SUM(V5:V35)</f>
        <v>2.4</v>
      </c>
      <c r="W36" s="3155">
        <f t="shared" si="47"/>
        <v>4.2750000000000004</v>
      </c>
      <c r="X36" s="3155">
        <f t="shared" si="47"/>
        <v>3.165</v>
      </c>
      <c r="Y36" s="3155">
        <f t="shared" si="47"/>
        <v>1.55</v>
      </c>
      <c r="Z36" s="3155">
        <f t="shared" si="47"/>
        <v>0.48</v>
      </c>
      <c r="AA36" s="3155">
        <f t="shared" si="47"/>
        <v>0.6</v>
      </c>
      <c r="AB36" s="3156">
        <f>SUM(U36:AA36)</f>
        <v>13.070000000000002</v>
      </c>
      <c r="AC36" s="2867">
        <v>0</v>
      </c>
      <c r="AD36" s="2867">
        <v>0</v>
      </c>
      <c r="AE36" s="2838"/>
      <c r="AF36" s="2838"/>
      <c r="AG36" s="2838"/>
      <c r="AH36" s="2838"/>
      <c r="AI36" s="2838"/>
    </row>
    <row r="37" spans="1:40" ht="20.25" customHeight="1" thickBot="1">
      <c r="A37" s="6586"/>
      <c r="B37" s="6586"/>
      <c r="C37" s="6586"/>
      <c r="D37" s="6634"/>
      <c r="E37" s="6639">
        <f>E36*15/100</f>
        <v>0.68859984697781174</v>
      </c>
      <c r="F37" s="6640">
        <f t="shared" ref="F37:K37" si="48">F36*15/100</f>
        <v>2.7543993879112469</v>
      </c>
      <c r="G37" s="6641">
        <f t="shared" si="48"/>
        <v>4.9062739097169086</v>
      </c>
      <c r="H37" s="6642">
        <f t="shared" si="48"/>
        <v>3.6323641928079566</v>
      </c>
      <c r="I37" s="6643">
        <f t="shared" si="48"/>
        <v>1.7788829380260136</v>
      </c>
      <c r="J37" s="6644">
        <f t="shared" si="48"/>
        <v>0.55087987758224932</v>
      </c>
      <c r="K37" s="6645">
        <f t="shared" si="48"/>
        <v>0.68859984697781174</v>
      </c>
      <c r="L37" s="6636" t="s">
        <v>1252</v>
      </c>
      <c r="M37" s="6586"/>
      <c r="N37" s="6586"/>
      <c r="O37" s="6586"/>
      <c r="P37" s="6586"/>
      <c r="Q37" s="6586"/>
      <c r="R37" s="6586"/>
      <c r="S37" s="144"/>
      <c r="T37" s="144"/>
      <c r="U37" s="3157">
        <f>IF(U36&gt;0,U36,#REF!)</f>
        <v>0.6</v>
      </c>
      <c r="V37" s="3157">
        <f>IF(V36&gt;0,V36,#REF!)</f>
        <v>2.4</v>
      </c>
      <c r="W37" s="3157">
        <f>IF(W36&gt;0,W36,#REF!)</f>
        <v>4.2750000000000004</v>
      </c>
      <c r="X37" s="3157">
        <f>IF(X36&gt;0,X36,#REF!)</f>
        <v>3.165</v>
      </c>
      <c r="Y37" s="3157">
        <f>IF(Y36&gt;0,Y36,#REF!)</f>
        <v>1.55</v>
      </c>
      <c r="Z37" s="3157">
        <f>IF(Z36&gt;0,Z36,#REF!)</f>
        <v>0.48</v>
      </c>
      <c r="AA37" s="3157">
        <f>IF(AA36&gt;0,AA36,#REF!)</f>
        <v>0.6</v>
      </c>
      <c r="AB37" s="144"/>
      <c r="AC37" s="2825"/>
      <c r="AD37" s="2825"/>
      <c r="AE37" s="2838"/>
      <c r="AF37" s="2838"/>
      <c r="AG37" s="2838"/>
      <c r="AH37" s="2838"/>
      <c r="AI37" s="2838"/>
      <c r="AJ37" s="2825"/>
      <c r="AK37" s="2825"/>
      <c r="AL37" s="2825"/>
      <c r="AM37" s="2825"/>
    </row>
    <row r="38" spans="1:40" s="2914" customFormat="1" ht="19.5" customHeight="1">
      <c r="A38" s="144"/>
      <c r="B38" s="144"/>
      <c r="C38" s="4846"/>
      <c r="D38" s="1034"/>
      <c r="E38" s="2817"/>
      <c r="F38" s="4846"/>
      <c r="G38" s="144"/>
      <c r="H38" s="144"/>
      <c r="I38" s="144"/>
      <c r="J38" s="144"/>
      <c r="K38" s="144"/>
      <c r="L38" s="144"/>
      <c r="M38" s="144"/>
      <c r="N38" s="146"/>
      <c r="O38" s="144"/>
      <c r="P38" s="146"/>
      <c r="Q38" s="144"/>
      <c r="R38" s="144"/>
      <c r="S38" s="144"/>
      <c r="T38" s="144"/>
      <c r="U38" s="3157">
        <f t="shared" ref="U38:AA53" si="49">IF(U37&gt;0,U37,U36)</f>
        <v>0.6</v>
      </c>
      <c r="V38" s="3157">
        <f t="shared" si="49"/>
        <v>2.4</v>
      </c>
      <c r="W38" s="3157">
        <f t="shared" si="49"/>
        <v>4.2750000000000004</v>
      </c>
      <c r="X38" s="3157">
        <f t="shared" si="49"/>
        <v>3.165</v>
      </c>
      <c r="Y38" s="3157">
        <f t="shared" si="49"/>
        <v>1.55</v>
      </c>
      <c r="Z38" s="3157">
        <f t="shared" si="49"/>
        <v>0.48</v>
      </c>
      <c r="AA38" s="3157">
        <f t="shared" si="49"/>
        <v>0.6</v>
      </c>
      <c r="AB38" s="144"/>
      <c r="AC38" s="2826"/>
      <c r="AD38" s="2826"/>
      <c r="AE38" s="2838"/>
      <c r="AF38" s="2838"/>
      <c r="AG38" s="2838"/>
      <c r="AH38" s="2838"/>
      <c r="AI38" s="2838"/>
      <c r="AJ38" s="2826"/>
      <c r="AK38" s="2826"/>
      <c r="AL38" s="2826"/>
      <c r="AM38" s="2826"/>
      <c r="AN38" s="2913"/>
    </row>
    <row r="39" spans="1:40" ht="20">
      <c r="A39" s="144"/>
      <c r="B39" s="144"/>
      <c r="C39" s="4846"/>
      <c r="D39" s="1034"/>
      <c r="E39" s="4846"/>
      <c r="F39" s="4846"/>
      <c r="G39" s="144"/>
      <c r="H39" s="144"/>
      <c r="I39" s="144"/>
      <c r="J39" s="144"/>
      <c r="K39" s="144"/>
      <c r="L39" s="144"/>
      <c r="M39" s="144"/>
      <c r="N39" s="146"/>
      <c r="O39" s="144"/>
      <c r="P39" s="146"/>
      <c r="Q39" s="144"/>
      <c r="R39" s="144"/>
      <c r="S39" s="144"/>
      <c r="T39" s="144"/>
      <c r="U39" s="3157">
        <f t="shared" si="49"/>
        <v>0.6</v>
      </c>
      <c r="V39" s="3157">
        <f t="shared" si="49"/>
        <v>2.4</v>
      </c>
      <c r="W39" s="3157">
        <f t="shared" si="49"/>
        <v>4.2750000000000004</v>
      </c>
      <c r="X39" s="3157">
        <f t="shared" si="49"/>
        <v>3.165</v>
      </c>
      <c r="Y39" s="3157">
        <f t="shared" si="49"/>
        <v>1.55</v>
      </c>
      <c r="Z39" s="3157">
        <f t="shared" si="49"/>
        <v>0.48</v>
      </c>
      <c r="AA39" s="3157">
        <f t="shared" si="49"/>
        <v>0.6</v>
      </c>
      <c r="AB39" s="144"/>
      <c r="AE39" s="2838"/>
      <c r="AF39" s="2838"/>
      <c r="AG39" s="2838"/>
      <c r="AH39" s="2838"/>
      <c r="AI39" s="2838"/>
    </row>
    <row r="40" spans="1:40" ht="15.75" customHeight="1">
      <c r="A40" s="144"/>
      <c r="B40" s="144"/>
      <c r="C40" s="144"/>
      <c r="D40" s="906"/>
      <c r="E40" s="4846"/>
      <c r="F40" s="4846"/>
      <c r="G40" s="144"/>
      <c r="H40" s="144"/>
      <c r="I40" s="144"/>
      <c r="J40" s="144"/>
      <c r="K40" s="144"/>
      <c r="L40" s="144"/>
      <c r="M40" s="144"/>
      <c r="N40" s="146"/>
      <c r="O40" s="144"/>
      <c r="P40" s="146"/>
      <c r="Q40" s="144"/>
      <c r="R40" s="144"/>
      <c r="S40" s="144"/>
      <c r="T40" s="144"/>
      <c r="U40" s="3157">
        <f t="shared" si="49"/>
        <v>0.6</v>
      </c>
      <c r="V40" s="3157">
        <f t="shared" si="49"/>
        <v>2.4</v>
      </c>
      <c r="W40" s="3157">
        <f t="shared" si="49"/>
        <v>4.2750000000000004</v>
      </c>
      <c r="X40" s="3157">
        <f t="shared" si="49"/>
        <v>3.165</v>
      </c>
      <c r="Y40" s="3157">
        <f t="shared" si="49"/>
        <v>1.55</v>
      </c>
      <c r="Z40" s="3157">
        <f t="shared" si="49"/>
        <v>0.48</v>
      </c>
      <c r="AA40" s="3157">
        <f t="shared" si="49"/>
        <v>0.6</v>
      </c>
      <c r="AB40" s="144"/>
    </row>
    <row r="41" spans="1:40" ht="72" customHeight="1">
      <c r="A41" s="144"/>
      <c r="B41" s="144"/>
      <c r="C41" s="144"/>
      <c r="D41" s="906"/>
      <c r="E41" s="4846"/>
      <c r="F41" s="4846"/>
      <c r="G41" s="144"/>
      <c r="H41" s="144"/>
      <c r="I41" s="144"/>
      <c r="J41" s="144"/>
      <c r="K41" s="144"/>
      <c r="L41" s="144"/>
      <c r="M41" s="144"/>
      <c r="N41" s="146"/>
      <c r="O41" s="144"/>
      <c r="P41" s="146"/>
      <c r="Q41" s="144"/>
      <c r="R41" s="144"/>
      <c r="S41" s="144"/>
      <c r="T41" s="144"/>
      <c r="U41" s="3157">
        <f t="shared" si="49"/>
        <v>0.6</v>
      </c>
      <c r="V41" s="3157">
        <f t="shared" si="49"/>
        <v>2.4</v>
      </c>
      <c r="W41" s="3157">
        <f t="shared" si="49"/>
        <v>4.2750000000000004</v>
      </c>
      <c r="X41" s="3157">
        <f t="shared" si="49"/>
        <v>3.165</v>
      </c>
      <c r="Y41" s="3157">
        <f t="shared" si="49"/>
        <v>1.55</v>
      </c>
      <c r="Z41" s="3157">
        <f t="shared" si="49"/>
        <v>0.48</v>
      </c>
      <c r="AA41" s="3157">
        <f t="shared" si="49"/>
        <v>0.6</v>
      </c>
      <c r="AB41" s="144"/>
      <c r="AC41" s="2837"/>
      <c r="AD41" s="2838"/>
      <c r="AE41" s="2838"/>
      <c r="AF41" s="2838"/>
      <c r="AG41" s="2838"/>
      <c r="AH41" s="2838"/>
      <c r="AI41" s="2836"/>
      <c r="AJ41" s="1"/>
      <c r="AK41" s="1"/>
      <c r="AL41" s="1"/>
      <c r="AM41" s="1"/>
      <c r="AN41" s="1"/>
    </row>
    <row r="42" spans="1:40">
      <c r="A42" s="144"/>
      <c r="B42" s="144"/>
      <c r="C42" s="144"/>
      <c r="D42" s="906"/>
      <c r="E42" s="144"/>
      <c r="F42" s="144"/>
      <c r="G42" s="144"/>
      <c r="H42" s="144"/>
      <c r="I42" s="144"/>
      <c r="J42" s="144"/>
      <c r="K42" s="144"/>
      <c r="L42" s="144"/>
      <c r="M42" s="144"/>
      <c r="N42" s="146"/>
      <c r="O42" s="144"/>
      <c r="P42" s="146"/>
      <c r="Q42" s="144"/>
      <c r="R42" s="144"/>
      <c r="S42" s="144"/>
      <c r="T42" s="144"/>
      <c r="U42" s="3157">
        <f t="shared" si="49"/>
        <v>0.6</v>
      </c>
      <c r="V42" s="3157">
        <f t="shared" si="49"/>
        <v>2.4</v>
      </c>
      <c r="W42" s="3157">
        <f t="shared" si="49"/>
        <v>4.2750000000000004</v>
      </c>
      <c r="X42" s="3157">
        <f t="shared" si="49"/>
        <v>3.165</v>
      </c>
      <c r="Y42" s="3157">
        <f t="shared" si="49"/>
        <v>1.55</v>
      </c>
      <c r="Z42" s="3157">
        <f t="shared" si="49"/>
        <v>0.48</v>
      </c>
      <c r="AA42" s="3157">
        <f t="shared" si="49"/>
        <v>0.6</v>
      </c>
      <c r="AB42" s="144"/>
      <c r="AC42" s="2867" t="s">
        <v>193</v>
      </c>
      <c r="AD42" s="2937"/>
      <c r="AE42" s="2937"/>
      <c r="AF42" s="2937"/>
      <c r="AG42" s="2937"/>
      <c r="AH42" s="2937"/>
      <c r="AI42" s="2935"/>
      <c r="AJ42" s="1"/>
      <c r="AK42" s="1"/>
      <c r="AL42" s="1"/>
      <c r="AM42" s="1"/>
      <c r="AN42" s="1"/>
    </row>
    <row r="43" spans="1:40">
      <c r="A43" s="144"/>
      <c r="B43" s="144"/>
      <c r="C43" s="144"/>
      <c r="D43" s="906"/>
      <c r="E43" s="144"/>
      <c r="F43" s="144"/>
      <c r="G43" s="144"/>
      <c r="H43" s="144"/>
      <c r="I43" s="144"/>
      <c r="J43" s="144"/>
      <c r="K43" s="144"/>
      <c r="L43" s="144"/>
      <c r="M43" s="144"/>
      <c r="N43" s="146"/>
      <c r="O43" s="144"/>
      <c r="P43" s="146"/>
      <c r="Q43" s="144"/>
      <c r="R43" s="144"/>
      <c r="S43" s="144"/>
      <c r="T43" s="144"/>
      <c r="U43" s="3157">
        <f t="shared" si="49"/>
        <v>0.6</v>
      </c>
      <c r="V43" s="3157">
        <f t="shared" si="49"/>
        <v>2.4</v>
      </c>
      <c r="W43" s="3157">
        <f t="shared" si="49"/>
        <v>4.2750000000000004</v>
      </c>
      <c r="X43" s="3157">
        <f t="shared" si="49"/>
        <v>3.165</v>
      </c>
      <c r="Y43" s="3157">
        <f t="shared" si="49"/>
        <v>1.55</v>
      </c>
      <c r="Z43" s="3157">
        <f t="shared" si="49"/>
        <v>0.48</v>
      </c>
      <c r="AA43" s="3157">
        <f t="shared" si="49"/>
        <v>0.6</v>
      </c>
      <c r="AB43" s="144"/>
      <c r="AC43" s="2867">
        <v>0</v>
      </c>
      <c r="AD43" s="2867">
        <v>0</v>
      </c>
      <c r="AE43" s="2867">
        <v>0</v>
      </c>
      <c r="AF43" s="2867">
        <v>0</v>
      </c>
      <c r="AG43" s="2867">
        <v>0</v>
      </c>
      <c r="AH43" s="2867">
        <v>0</v>
      </c>
      <c r="AI43" s="2935"/>
      <c r="AJ43" s="1"/>
      <c r="AK43" s="1"/>
      <c r="AL43" s="1"/>
      <c r="AM43" s="1"/>
      <c r="AN43" s="1"/>
    </row>
    <row r="44" spans="1:40">
      <c r="A44" s="144"/>
      <c r="B44" s="144"/>
      <c r="C44" s="144"/>
      <c r="D44" s="906"/>
      <c r="E44" s="144"/>
      <c r="F44" s="144"/>
      <c r="G44" s="144"/>
      <c r="H44" s="144"/>
      <c r="I44" s="144"/>
      <c r="J44" s="144"/>
      <c r="K44" s="144"/>
      <c r="L44" s="144"/>
      <c r="M44" s="144"/>
      <c r="N44" s="146"/>
      <c r="O44" s="144"/>
      <c r="P44" s="146"/>
      <c r="Q44" s="144"/>
      <c r="R44" s="144"/>
      <c r="S44" s="144"/>
      <c r="T44" s="144"/>
      <c r="U44" s="3157">
        <f t="shared" si="49"/>
        <v>0.6</v>
      </c>
      <c r="V44" s="3157">
        <f t="shared" si="49"/>
        <v>2.4</v>
      </c>
      <c r="W44" s="3157">
        <f t="shared" si="49"/>
        <v>4.2750000000000004</v>
      </c>
      <c r="X44" s="3157">
        <f t="shared" si="49"/>
        <v>3.165</v>
      </c>
      <c r="Y44" s="3157">
        <f t="shared" si="49"/>
        <v>1.55</v>
      </c>
      <c r="Z44" s="3157">
        <f t="shared" si="49"/>
        <v>0.48</v>
      </c>
      <c r="AA44" s="3157">
        <f t="shared" si="49"/>
        <v>0.6</v>
      </c>
      <c r="AB44" s="144"/>
      <c r="AC44" s="2867"/>
      <c r="AD44" s="2867"/>
      <c r="AE44" s="2867"/>
      <c r="AF44" s="2867"/>
      <c r="AG44" s="2867"/>
      <c r="AH44" s="2867"/>
      <c r="AI44" s="2935"/>
      <c r="AJ44" s="1"/>
      <c r="AK44" s="1"/>
      <c r="AL44" s="1"/>
      <c r="AM44" s="1"/>
      <c r="AN44" s="1"/>
    </row>
    <row r="45" spans="1:40">
      <c r="A45" s="144"/>
      <c r="B45" s="144"/>
      <c r="C45" s="144"/>
      <c r="D45" s="906"/>
      <c r="E45" s="144"/>
      <c r="F45" s="144"/>
      <c r="G45" s="144"/>
      <c r="H45" s="144"/>
      <c r="I45" s="144"/>
      <c r="J45" s="144"/>
      <c r="K45" s="144"/>
      <c r="L45" s="144"/>
      <c r="M45" s="144"/>
      <c r="N45" s="146"/>
      <c r="O45" s="144"/>
      <c r="P45" s="146"/>
      <c r="Q45" s="144"/>
      <c r="R45" s="144"/>
      <c r="S45" s="144"/>
      <c r="T45" s="144"/>
      <c r="U45" s="3157">
        <f t="shared" si="49"/>
        <v>0.6</v>
      </c>
      <c r="V45" s="3157">
        <f t="shared" si="49"/>
        <v>2.4</v>
      </c>
      <c r="W45" s="3157">
        <f t="shared" si="49"/>
        <v>4.2750000000000004</v>
      </c>
      <c r="X45" s="3157">
        <f t="shared" si="49"/>
        <v>3.165</v>
      </c>
      <c r="Y45" s="3157">
        <f t="shared" si="49"/>
        <v>1.55</v>
      </c>
      <c r="Z45" s="3157">
        <f t="shared" si="49"/>
        <v>0.48</v>
      </c>
      <c r="AA45" s="3157">
        <f t="shared" si="49"/>
        <v>0.6</v>
      </c>
      <c r="AB45" s="144"/>
      <c r="AC45" s="2867"/>
      <c r="AD45" s="2867"/>
      <c r="AE45" s="2867"/>
      <c r="AF45" s="2867"/>
      <c r="AG45" s="2867"/>
      <c r="AH45" s="2867"/>
      <c r="AI45" s="2935"/>
      <c r="AJ45" s="1"/>
      <c r="AK45" s="1"/>
      <c r="AL45" s="1"/>
      <c r="AM45" s="1"/>
      <c r="AN45" s="1"/>
    </row>
    <row r="46" spans="1:40">
      <c r="A46" s="144"/>
      <c r="B46" s="144"/>
      <c r="C46" s="144"/>
      <c r="D46" s="906"/>
      <c r="E46" s="144"/>
      <c r="F46" s="144"/>
      <c r="G46" s="144"/>
      <c r="H46" s="144"/>
      <c r="I46" s="144"/>
      <c r="J46" s="144"/>
      <c r="K46" s="144"/>
      <c r="L46" s="144"/>
      <c r="M46" s="144"/>
      <c r="N46" s="146"/>
      <c r="O46" s="144"/>
      <c r="P46" s="146"/>
      <c r="Q46" s="144"/>
      <c r="R46" s="144"/>
      <c r="S46" s="144"/>
      <c r="T46" s="144"/>
      <c r="U46" s="3157">
        <f t="shared" si="49"/>
        <v>0.6</v>
      </c>
      <c r="V46" s="3157">
        <f t="shared" si="49"/>
        <v>2.4</v>
      </c>
      <c r="W46" s="3157">
        <f t="shared" si="49"/>
        <v>4.2750000000000004</v>
      </c>
      <c r="X46" s="3157">
        <f t="shared" si="49"/>
        <v>3.165</v>
      </c>
      <c r="Y46" s="3157">
        <f t="shared" si="49"/>
        <v>1.55</v>
      </c>
      <c r="Z46" s="3157">
        <f t="shared" si="49"/>
        <v>0.48</v>
      </c>
      <c r="AA46" s="3157">
        <f t="shared" si="49"/>
        <v>0.6</v>
      </c>
      <c r="AB46" s="144"/>
      <c r="AC46" s="2867">
        <v>0</v>
      </c>
      <c r="AD46" s="2867">
        <v>0</v>
      </c>
      <c r="AE46" s="2867">
        <v>0</v>
      </c>
      <c r="AF46" s="2867">
        <v>0</v>
      </c>
      <c r="AG46" s="2867">
        <v>0</v>
      </c>
      <c r="AH46" s="2867">
        <v>0</v>
      </c>
      <c r="AI46" s="2935"/>
      <c r="AJ46" s="1"/>
      <c r="AK46" s="1"/>
      <c r="AL46" s="1"/>
      <c r="AM46" s="1"/>
      <c r="AN46" s="1"/>
    </row>
    <row r="47" spans="1:40">
      <c r="A47" s="144"/>
      <c r="B47" s="144"/>
      <c r="C47" s="144"/>
      <c r="D47" s="906"/>
      <c r="E47" s="144"/>
      <c r="F47" s="144"/>
      <c r="G47" s="144"/>
      <c r="H47" s="144"/>
      <c r="I47" s="144"/>
      <c r="J47" s="144"/>
      <c r="K47" s="144"/>
      <c r="L47" s="144"/>
      <c r="M47" s="144"/>
      <c r="N47" s="146"/>
      <c r="O47" s="144"/>
      <c r="P47" s="146"/>
      <c r="Q47" s="144"/>
      <c r="R47" s="144"/>
      <c r="S47" s="144"/>
      <c r="T47" s="144"/>
      <c r="U47" s="3157">
        <f t="shared" si="49"/>
        <v>0.6</v>
      </c>
      <c r="V47" s="3157">
        <f t="shared" si="49"/>
        <v>2.4</v>
      </c>
      <c r="W47" s="3157">
        <f t="shared" si="49"/>
        <v>4.2750000000000004</v>
      </c>
      <c r="X47" s="3157">
        <f t="shared" si="49"/>
        <v>3.165</v>
      </c>
      <c r="Y47" s="3157">
        <f t="shared" si="49"/>
        <v>1.55</v>
      </c>
      <c r="Z47" s="3157">
        <f t="shared" si="49"/>
        <v>0.48</v>
      </c>
      <c r="AA47" s="3157">
        <f t="shared" si="49"/>
        <v>0.6</v>
      </c>
      <c r="AB47" s="144"/>
      <c r="AC47" s="2867">
        <v>0</v>
      </c>
      <c r="AD47" s="2867">
        <v>0</v>
      </c>
      <c r="AE47" s="2867">
        <v>0</v>
      </c>
      <c r="AF47" s="2867">
        <v>0</v>
      </c>
      <c r="AG47" s="2867">
        <v>0</v>
      </c>
      <c r="AH47" s="2867">
        <v>0</v>
      </c>
      <c r="AI47" s="2825"/>
      <c r="AJ47" s="1"/>
      <c r="AK47" s="1"/>
      <c r="AL47" s="1"/>
      <c r="AM47" s="1"/>
      <c r="AN47" s="1"/>
    </row>
    <row r="48" spans="1:40">
      <c r="A48" s="144"/>
      <c r="B48" s="144"/>
      <c r="C48" s="144"/>
      <c r="D48" s="906"/>
      <c r="E48" s="144"/>
      <c r="F48" s="144"/>
      <c r="G48" s="144"/>
      <c r="H48" s="144"/>
      <c r="I48" s="144"/>
      <c r="J48" s="144"/>
      <c r="K48" s="144"/>
      <c r="L48" s="144"/>
      <c r="M48" s="144"/>
      <c r="N48" s="146"/>
      <c r="O48" s="144"/>
      <c r="P48" s="146"/>
      <c r="Q48" s="144"/>
      <c r="R48" s="144"/>
      <c r="S48" s="144"/>
      <c r="T48" s="144"/>
      <c r="U48" s="3157">
        <f t="shared" si="49"/>
        <v>0.6</v>
      </c>
      <c r="V48" s="3157">
        <f t="shared" si="49"/>
        <v>2.4</v>
      </c>
      <c r="W48" s="3157">
        <f t="shared" si="49"/>
        <v>4.2750000000000004</v>
      </c>
      <c r="X48" s="3157">
        <f t="shared" si="49"/>
        <v>3.165</v>
      </c>
      <c r="Y48" s="3157">
        <f t="shared" si="49"/>
        <v>1.55</v>
      </c>
      <c r="Z48" s="3157">
        <f t="shared" si="49"/>
        <v>0.48</v>
      </c>
      <c r="AA48" s="3157">
        <f t="shared" si="49"/>
        <v>0.6</v>
      </c>
      <c r="AB48" s="144"/>
      <c r="AC48" s="2867"/>
      <c r="AD48" s="2867"/>
      <c r="AE48" s="2867"/>
      <c r="AF48" s="2867"/>
      <c r="AG48" s="2867"/>
      <c r="AH48" s="2867"/>
      <c r="AI48" s="2825"/>
      <c r="AJ48" s="1"/>
      <c r="AK48" s="1"/>
      <c r="AL48" s="1"/>
      <c r="AM48" s="1"/>
      <c r="AN48" s="1"/>
    </row>
    <row r="49" spans="1:40">
      <c r="A49" s="144"/>
      <c r="B49" s="144"/>
      <c r="C49" s="144"/>
      <c r="D49" s="906"/>
      <c r="E49" s="144"/>
      <c r="F49" s="144"/>
      <c r="G49" s="144"/>
      <c r="H49" s="144"/>
      <c r="I49" s="144"/>
      <c r="J49" s="144"/>
      <c r="K49" s="144"/>
      <c r="L49" s="144"/>
      <c r="M49" s="144"/>
      <c r="N49" s="146"/>
      <c r="O49" s="144"/>
      <c r="P49" s="146"/>
      <c r="Q49" s="144"/>
      <c r="R49" s="144"/>
      <c r="S49" s="144"/>
      <c r="T49" s="144"/>
      <c r="U49" s="3157">
        <f t="shared" si="49"/>
        <v>0.6</v>
      </c>
      <c r="V49" s="3157">
        <f t="shared" si="49"/>
        <v>2.4</v>
      </c>
      <c r="W49" s="3157">
        <f t="shared" si="49"/>
        <v>4.2750000000000004</v>
      </c>
      <c r="X49" s="3157">
        <f t="shared" si="49"/>
        <v>3.165</v>
      </c>
      <c r="Y49" s="3157">
        <f t="shared" si="49"/>
        <v>1.55</v>
      </c>
      <c r="Z49" s="3157">
        <f t="shared" si="49"/>
        <v>0.48</v>
      </c>
      <c r="AA49" s="3157">
        <f t="shared" si="49"/>
        <v>0.6</v>
      </c>
      <c r="AB49" s="144"/>
      <c r="AC49" s="2867"/>
      <c r="AD49" s="2867"/>
      <c r="AE49" s="2867"/>
      <c r="AF49" s="2867"/>
      <c r="AG49" s="2867"/>
      <c r="AH49" s="2867"/>
      <c r="AI49" s="2825"/>
      <c r="AJ49" s="1"/>
      <c r="AK49" s="1"/>
      <c r="AL49" s="1"/>
      <c r="AM49" s="1"/>
      <c r="AN49" s="1"/>
    </row>
    <row r="50" spans="1:40">
      <c r="A50" s="144"/>
      <c r="B50" s="144"/>
      <c r="C50" s="144"/>
      <c r="D50" s="906"/>
      <c r="E50" s="144"/>
      <c r="F50" s="144"/>
      <c r="G50" s="144"/>
      <c r="H50" s="144"/>
      <c r="I50" s="144"/>
      <c r="J50" s="144"/>
      <c r="K50" s="144"/>
      <c r="L50" s="144"/>
      <c r="M50" s="144"/>
      <c r="N50" s="146"/>
      <c r="O50" s="144"/>
      <c r="P50" s="146"/>
      <c r="Q50" s="144"/>
      <c r="R50" s="144"/>
      <c r="S50" s="144"/>
      <c r="T50" s="144"/>
      <c r="U50" s="3157">
        <f t="shared" si="49"/>
        <v>0.6</v>
      </c>
      <c r="V50" s="3157">
        <f t="shared" si="49"/>
        <v>2.4</v>
      </c>
      <c r="W50" s="3157">
        <f t="shared" si="49"/>
        <v>4.2750000000000004</v>
      </c>
      <c r="X50" s="3157">
        <f t="shared" si="49"/>
        <v>3.165</v>
      </c>
      <c r="Y50" s="3157">
        <f t="shared" si="49"/>
        <v>1.55</v>
      </c>
      <c r="Z50" s="3157">
        <f t="shared" si="49"/>
        <v>0.48</v>
      </c>
      <c r="AA50" s="3157">
        <f t="shared" si="49"/>
        <v>0.6</v>
      </c>
      <c r="AB50" s="144"/>
      <c r="AC50" s="2867">
        <v>0</v>
      </c>
      <c r="AD50" s="2867">
        <v>0</v>
      </c>
      <c r="AE50" s="2867">
        <v>0</v>
      </c>
      <c r="AF50" s="2867">
        <v>0</v>
      </c>
      <c r="AG50" s="2867">
        <v>0</v>
      </c>
      <c r="AH50" s="2867">
        <v>0</v>
      </c>
      <c r="AI50" s="2825"/>
      <c r="AJ50" s="1"/>
      <c r="AK50" s="1"/>
      <c r="AL50" s="1"/>
      <c r="AM50" s="1"/>
      <c r="AN50" s="1"/>
    </row>
    <row r="51" spans="1:40">
      <c r="A51" s="144"/>
      <c r="B51" s="144"/>
      <c r="C51" s="144"/>
      <c r="D51" s="906"/>
      <c r="E51" s="144"/>
      <c r="F51" s="144"/>
      <c r="G51" s="144"/>
      <c r="H51" s="144"/>
      <c r="I51" s="144"/>
      <c r="J51" s="144"/>
      <c r="K51" s="144"/>
      <c r="L51" s="144"/>
      <c r="M51" s="144"/>
      <c r="N51" s="146"/>
      <c r="O51" s="144"/>
      <c r="P51" s="146"/>
      <c r="Q51" s="144"/>
      <c r="R51" s="144"/>
      <c r="S51" s="144"/>
      <c r="T51" s="144"/>
      <c r="U51" s="3157">
        <f t="shared" si="49"/>
        <v>0.6</v>
      </c>
      <c r="V51" s="3157">
        <f t="shared" si="49"/>
        <v>2.4</v>
      </c>
      <c r="W51" s="3157">
        <f t="shared" si="49"/>
        <v>4.2750000000000004</v>
      </c>
      <c r="X51" s="3157">
        <f t="shared" si="49"/>
        <v>3.165</v>
      </c>
      <c r="Y51" s="3157">
        <f t="shared" si="49"/>
        <v>1.55</v>
      </c>
      <c r="Z51" s="3157">
        <f t="shared" si="49"/>
        <v>0.48</v>
      </c>
      <c r="AA51" s="3157">
        <f t="shared" si="49"/>
        <v>0.6</v>
      </c>
      <c r="AB51" s="144"/>
      <c r="AC51" s="2867">
        <v>0</v>
      </c>
      <c r="AD51" s="2867">
        <v>0</v>
      </c>
      <c r="AE51" s="2867">
        <v>0</v>
      </c>
      <c r="AF51" s="2867">
        <v>0</v>
      </c>
      <c r="AG51" s="2867">
        <v>0</v>
      </c>
      <c r="AH51" s="2867">
        <v>0</v>
      </c>
      <c r="AI51" s="2825"/>
      <c r="AJ51" s="1"/>
      <c r="AK51" s="1"/>
      <c r="AL51" s="1"/>
      <c r="AM51" s="1"/>
      <c r="AN51" s="1"/>
    </row>
    <row r="52" spans="1:40">
      <c r="A52" s="144"/>
      <c r="B52" s="144"/>
      <c r="C52" s="144"/>
      <c r="D52" s="906"/>
      <c r="E52" s="144"/>
      <c r="F52" s="144"/>
      <c r="G52" s="144"/>
      <c r="H52" s="144"/>
      <c r="I52" s="144"/>
      <c r="J52" s="144"/>
      <c r="K52" s="144"/>
      <c r="L52" s="144"/>
      <c r="M52" s="144"/>
      <c r="N52" s="146"/>
      <c r="O52" s="144"/>
      <c r="P52" s="146"/>
      <c r="Q52" s="144"/>
      <c r="R52" s="144"/>
      <c r="S52" s="144"/>
      <c r="T52" s="144"/>
      <c r="U52" s="3157">
        <f t="shared" si="49"/>
        <v>0.6</v>
      </c>
      <c r="V52" s="3157">
        <f t="shared" si="49"/>
        <v>2.4</v>
      </c>
      <c r="W52" s="3157">
        <f t="shared" si="49"/>
        <v>4.2750000000000004</v>
      </c>
      <c r="X52" s="3157">
        <f t="shared" si="49"/>
        <v>3.165</v>
      </c>
      <c r="Y52" s="3157">
        <f t="shared" si="49"/>
        <v>1.55</v>
      </c>
      <c r="Z52" s="3157">
        <f t="shared" si="49"/>
        <v>0.48</v>
      </c>
      <c r="AA52" s="3157">
        <f t="shared" si="49"/>
        <v>0.6</v>
      </c>
      <c r="AB52" s="144"/>
      <c r="AC52" s="2867">
        <v>0</v>
      </c>
      <c r="AD52" s="2867">
        <v>0</v>
      </c>
      <c r="AE52" s="2867">
        <v>0</v>
      </c>
      <c r="AF52" s="2867">
        <v>0</v>
      </c>
      <c r="AG52" s="2867">
        <v>0</v>
      </c>
      <c r="AH52" s="2867">
        <v>0</v>
      </c>
      <c r="AI52" s="2825"/>
      <c r="AJ52" s="1"/>
      <c r="AK52" s="1"/>
      <c r="AL52" s="1"/>
      <c r="AM52" s="1"/>
      <c r="AN52" s="1"/>
    </row>
    <row r="53" spans="1:40">
      <c r="A53" s="144"/>
      <c r="B53" s="144"/>
      <c r="C53" s="144"/>
      <c r="D53" s="906"/>
      <c r="E53" s="144"/>
      <c r="F53" s="144"/>
      <c r="G53" s="144"/>
      <c r="H53" s="144"/>
      <c r="I53" s="144"/>
      <c r="J53" s="144"/>
      <c r="K53" s="144"/>
      <c r="L53" s="144"/>
      <c r="M53" s="144"/>
      <c r="N53" s="146"/>
      <c r="O53" s="144"/>
      <c r="P53" s="146"/>
      <c r="Q53" s="144"/>
      <c r="R53" s="144"/>
      <c r="S53" s="144"/>
      <c r="T53" s="144"/>
      <c r="U53" s="3157">
        <f t="shared" si="49"/>
        <v>0.6</v>
      </c>
      <c r="V53" s="3157">
        <f t="shared" si="49"/>
        <v>2.4</v>
      </c>
      <c r="W53" s="3157">
        <f t="shared" si="49"/>
        <v>4.2750000000000004</v>
      </c>
      <c r="X53" s="3157">
        <f t="shared" si="49"/>
        <v>3.165</v>
      </c>
      <c r="Y53" s="3157">
        <f t="shared" si="49"/>
        <v>1.55</v>
      </c>
      <c r="Z53" s="3157">
        <f t="shared" si="49"/>
        <v>0.48</v>
      </c>
      <c r="AA53" s="3157">
        <f t="shared" si="49"/>
        <v>0.6</v>
      </c>
      <c r="AB53" s="144"/>
      <c r="AC53" s="2867">
        <v>0</v>
      </c>
      <c r="AD53" s="2867">
        <v>0</v>
      </c>
      <c r="AE53" s="2867">
        <v>0</v>
      </c>
      <c r="AF53" s="2867">
        <v>0</v>
      </c>
      <c r="AG53" s="2867">
        <v>0</v>
      </c>
      <c r="AH53" s="2867">
        <v>0</v>
      </c>
      <c r="AI53" s="2825"/>
      <c r="AJ53" s="1"/>
      <c r="AK53" s="1"/>
      <c r="AL53" s="1"/>
      <c r="AM53" s="1"/>
      <c r="AN53" s="1"/>
    </row>
    <row r="54" spans="1:40">
      <c r="A54" s="144"/>
      <c r="B54" s="144"/>
      <c r="C54" s="144"/>
      <c r="D54" s="906"/>
      <c r="E54" s="144"/>
      <c r="F54" s="144"/>
      <c r="G54" s="144"/>
      <c r="H54" s="144"/>
      <c r="I54" s="144"/>
      <c r="J54" s="144"/>
      <c r="K54" s="144"/>
      <c r="L54" s="144"/>
      <c r="M54" s="144"/>
      <c r="N54" s="146"/>
      <c r="O54" s="144"/>
      <c r="P54" s="146"/>
      <c r="Q54" s="144"/>
      <c r="R54" s="144"/>
      <c r="S54" s="144"/>
      <c r="T54" s="144"/>
      <c r="U54" s="3157">
        <f t="shared" ref="U54:AA69" si="50">IF(U53&gt;0,U53,U52)</f>
        <v>0.6</v>
      </c>
      <c r="V54" s="3157">
        <f t="shared" si="50"/>
        <v>2.4</v>
      </c>
      <c r="W54" s="3157">
        <f t="shared" si="50"/>
        <v>4.2750000000000004</v>
      </c>
      <c r="X54" s="3157">
        <f t="shared" si="50"/>
        <v>3.165</v>
      </c>
      <c r="Y54" s="3157">
        <f t="shared" si="50"/>
        <v>1.55</v>
      </c>
      <c r="Z54" s="3157">
        <f t="shared" si="50"/>
        <v>0.48</v>
      </c>
      <c r="AA54" s="3157">
        <f t="shared" si="50"/>
        <v>0.6</v>
      </c>
      <c r="AB54" s="144"/>
      <c r="AC54" s="2867"/>
      <c r="AD54" s="2867"/>
      <c r="AE54" s="2867"/>
      <c r="AF54" s="2867"/>
      <c r="AG54" s="2867"/>
      <c r="AH54" s="2867"/>
      <c r="AI54" s="2825"/>
      <c r="AJ54" s="1"/>
      <c r="AK54" s="1"/>
      <c r="AL54" s="1"/>
      <c r="AM54" s="1"/>
      <c r="AN54" s="1"/>
    </row>
    <row r="55" spans="1:40">
      <c r="A55" s="144"/>
      <c r="B55" s="144"/>
      <c r="C55" s="144"/>
      <c r="D55" s="906"/>
      <c r="E55" s="144"/>
      <c r="F55" s="144"/>
      <c r="G55" s="144"/>
      <c r="H55" s="144"/>
      <c r="I55" s="144"/>
      <c r="J55" s="144"/>
      <c r="K55" s="144"/>
      <c r="L55" s="144"/>
      <c r="M55" s="144"/>
      <c r="N55" s="146"/>
      <c r="O55" s="144"/>
      <c r="P55" s="146"/>
      <c r="Q55" s="144"/>
      <c r="R55" s="144"/>
      <c r="S55" s="144"/>
      <c r="T55" s="144"/>
      <c r="U55" s="3157">
        <f t="shared" si="50"/>
        <v>0.6</v>
      </c>
      <c r="V55" s="3157">
        <f t="shared" si="50"/>
        <v>2.4</v>
      </c>
      <c r="W55" s="3157">
        <f t="shared" si="50"/>
        <v>4.2750000000000004</v>
      </c>
      <c r="X55" s="3157">
        <f t="shared" si="50"/>
        <v>3.165</v>
      </c>
      <c r="Y55" s="3157">
        <f t="shared" si="50"/>
        <v>1.55</v>
      </c>
      <c r="Z55" s="3157">
        <f t="shared" si="50"/>
        <v>0.48</v>
      </c>
      <c r="AA55" s="3157">
        <f t="shared" si="50"/>
        <v>0.6</v>
      </c>
      <c r="AB55" s="144"/>
      <c r="AC55" s="2867"/>
      <c r="AD55" s="2867"/>
      <c r="AE55" s="2867"/>
      <c r="AF55" s="2867"/>
      <c r="AG55" s="2867"/>
      <c r="AH55" s="2867"/>
      <c r="AI55" s="2825"/>
      <c r="AJ55" s="1"/>
      <c r="AK55" s="1"/>
      <c r="AL55" s="1"/>
      <c r="AM55" s="1"/>
      <c r="AN55" s="1"/>
    </row>
    <row r="56" spans="1:40">
      <c r="A56" s="144"/>
      <c r="B56" s="144"/>
      <c r="C56" s="144"/>
      <c r="D56" s="906"/>
      <c r="E56" s="144"/>
      <c r="F56" s="144"/>
      <c r="G56" s="144"/>
      <c r="H56" s="144"/>
      <c r="I56" s="144"/>
      <c r="J56" s="144"/>
      <c r="K56" s="144"/>
      <c r="L56" s="144"/>
      <c r="M56" s="144"/>
      <c r="N56" s="146"/>
      <c r="O56" s="144"/>
      <c r="P56" s="146"/>
      <c r="Q56" s="144"/>
      <c r="R56" s="144"/>
      <c r="S56" s="144"/>
      <c r="T56" s="144"/>
      <c r="U56" s="3157">
        <f t="shared" si="50"/>
        <v>0.6</v>
      </c>
      <c r="V56" s="3157">
        <f t="shared" si="50"/>
        <v>2.4</v>
      </c>
      <c r="W56" s="3157">
        <f t="shared" si="50"/>
        <v>4.2750000000000004</v>
      </c>
      <c r="X56" s="3157">
        <f t="shared" si="50"/>
        <v>3.165</v>
      </c>
      <c r="Y56" s="3157">
        <f t="shared" si="50"/>
        <v>1.55</v>
      </c>
      <c r="Z56" s="3157">
        <f t="shared" si="50"/>
        <v>0.48</v>
      </c>
      <c r="AA56" s="3157">
        <f t="shared" si="50"/>
        <v>0.6</v>
      </c>
      <c r="AB56" s="144"/>
      <c r="AC56" s="2867">
        <v>0</v>
      </c>
      <c r="AD56" s="2867">
        <v>0</v>
      </c>
      <c r="AE56" s="2867">
        <v>0</v>
      </c>
      <c r="AF56" s="2867">
        <v>0</v>
      </c>
      <c r="AG56" s="2867">
        <v>0</v>
      </c>
      <c r="AH56" s="2867">
        <v>0</v>
      </c>
      <c r="AI56" s="2825"/>
      <c r="AJ56" s="1"/>
      <c r="AK56" s="1"/>
      <c r="AL56" s="1"/>
      <c r="AM56" s="1"/>
      <c r="AN56" s="1"/>
    </row>
    <row r="57" spans="1:40">
      <c r="A57" s="144"/>
      <c r="B57" s="144"/>
      <c r="C57" s="144"/>
      <c r="D57" s="906"/>
      <c r="E57" s="144"/>
      <c r="F57" s="144"/>
      <c r="G57" s="144"/>
      <c r="H57" s="144"/>
      <c r="I57" s="144"/>
      <c r="J57" s="144"/>
      <c r="K57" s="144"/>
      <c r="L57" s="144"/>
      <c r="M57" s="144"/>
      <c r="N57" s="146"/>
      <c r="O57" s="144"/>
      <c r="P57" s="146"/>
      <c r="Q57" s="144"/>
      <c r="R57" s="144"/>
      <c r="S57" s="144"/>
      <c r="T57" s="144"/>
      <c r="U57" s="3157">
        <f t="shared" si="50"/>
        <v>0.6</v>
      </c>
      <c r="V57" s="3157">
        <f t="shared" si="50"/>
        <v>2.4</v>
      </c>
      <c r="W57" s="3157">
        <f t="shared" si="50"/>
        <v>4.2750000000000004</v>
      </c>
      <c r="X57" s="3157">
        <f t="shared" si="50"/>
        <v>3.165</v>
      </c>
      <c r="Y57" s="3157">
        <f t="shared" si="50"/>
        <v>1.55</v>
      </c>
      <c r="Z57" s="3157">
        <f t="shared" si="50"/>
        <v>0.48</v>
      </c>
      <c r="AA57" s="3157">
        <f t="shared" si="50"/>
        <v>0.6</v>
      </c>
      <c r="AB57" s="144"/>
      <c r="AC57" s="2867">
        <v>0</v>
      </c>
      <c r="AD57" s="2867">
        <v>0</v>
      </c>
      <c r="AE57" s="2867">
        <v>0</v>
      </c>
      <c r="AF57" s="2867">
        <v>0</v>
      </c>
      <c r="AG57" s="2867">
        <v>0</v>
      </c>
      <c r="AH57" s="2867">
        <v>0</v>
      </c>
      <c r="AI57" s="2825"/>
      <c r="AJ57" s="1"/>
      <c r="AK57" s="1"/>
      <c r="AL57" s="1"/>
      <c r="AM57" s="1"/>
      <c r="AN57" s="1"/>
    </row>
    <row r="58" spans="1:40">
      <c r="A58" s="144"/>
      <c r="B58" s="144"/>
      <c r="C58" s="144"/>
      <c r="D58" s="906"/>
      <c r="E58" s="144"/>
      <c r="F58" s="144"/>
      <c r="G58" s="144"/>
      <c r="H58" s="144"/>
      <c r="I58" s="144"/>
      <c r="J58" s="144"/>
      <c r="K58" s="144"/>
      <c r="L58" s="144"/>
      <c r="M58" s="144"/>
      <c r="N58" s="146"/>
      <c r="O58" s="144"/>
      <c r="P58" s="146"/>
      <c r="Q58" s="144"/>
      <c r="R58" s="144"/>
      <c r="S58" s="144"/>
      <c r="T58" s="144"/>
      <c r="U58" s="3157">
        <f t="shared" si="50"/>
        <v>0.6</v>
      </c>
      <c r="V58" s="3157">
        <f t="shared" si="50"/>
        <v>2.4</v>
      </c>
      <c r="W58" s="3157">
        <f t="shared" si="50"/>
        <v>4.2750000000000004</v>
      </c>
      <c r="X58" s="3157">
        <f t="shared" si="50"/>
        <v>3.165</v>
      </c>
      <c r="Y58" s="3157">
        <f t="shared" si="50"/>
        <v>1.55</v>
      </c>
      <c r="Z58" s="3157">
        <f t="shared" si="50"/>
        <v>0.48</v>
      </c>
      <c r="AA58" s="3157">
        <f t="shared" si="50"/>
        <v>0.6</v>
      </c>
      <c r="AB58" s="144"/>
      <c r="AC58" s="2867">
        <v>0</v>
      </c>
      <c r="AD58" s="2867">
        <v>0</v>
      </c>
      <c r="AE58" s="2867">
        <v>0</v>
      </c>
      <c r="AF58" s="2867">
        <v>0</v>
      </c>
      <c r="AG58" s="2867">
        <v>0</v>
      </c>
      <c r="AH58" s="2867">
        <v>0</v>
      </c>
      <c r="AI58" s="2825"/>
      <c r="AJ58" s="1"/>
      <c r="AK58" s="1"/>
      <c r="AL58" s="1"/>
      <c r="AM58" s="1"/>
      <c r="AN58" s="1"/>
    </row>
    <row r="59" spans="1:40">
      <c r="A59" s="144"/>
      <c r="B59" s="144"/>
      <c r="C59" s="144"/>
      <c r="D59" s="906"/>
      <c r="E59" s="144"/>
      <c r="F59" s="144"/>
      <c r="G59" s="144"/>
      <c r="H59" s="144"/>
      <c r="I59" s="144"/>
      <c r="J59" s="144"/>
      <c r="K59" s="144"/>
      <c r="L59" s="144"/>
      <c r="M59" s="144"/>
      <c r="N59" s="146"/>
      <c r="O59" s="144"/>
      <c r="P59" s="146"/>
      <c r="Q59" s="144"/>
      <c r="R59" s="144"/>
      <c r="S59" s="144"/>
      <c r="T59" s="144"/>
      <c r="U59" s="3157">
        <f t="shared" si="50"/>
        <v>0.6</v>
      </c>
      <c r="V59" s="3157">
        <f t="shared" si="50"/>
        <v>2.4</v>
      </c>
      <c r="W59" s="3157">
        <f t="shared" si="50"/>
        <v>4.2750000000000004</v>
      </c>
      <c r="X59" s="3157">
        <f t="shared" si="50"/>
        <v>3.165</v>
      </c>
      <c r="Y59" s="3157">
        <f t="shared" si="50"/>
        <v>1.55</v>
      </c>
      <c r="Z59" s="3157">
        <f t="shared" si="50"/>
        <v>0.48</v>
      </c>
      <c r="AA59" s="3157">
        <f t="shared" si="50"/>
        <v>0.6</v>
      </c>
      <c r="AB59" s="144"/>
      <c r="AC59" s="2867"/>
      <c r="AD59" s="2867"/>
      <c r="AE59" s="2867"/>
      <c r="AF59" s="2867"/>
      <c r="AG59" s="2867"/>
      <c r="AH59" s="2867"/>
      <c r="AI59" s="2825"/>
      <c r="AJ59" s="1"/>
      <c r="AK59" s="1"/>
      <c r="AL59" s="1"/>
      <c r="AM59" s="1"/>
      <c r="AN59" s="1"/>
    </row>
    <row r="60" spans="1:40">
      <c r="A60" s="144"/>
      <c r="B60" s="144"/>
      <c r="C60" s="144"/>
      <c r="D60" s="906"/>
      <c r="E60" s="144"/>
      <c r="F60" s="144"/>
      <c r="G60" s="144"/>
      <c r="H60" s="144"/>
      <c r="I60" s="144"/>
      <c r="J60" s="144"/>
      <c r="K60" s="144"/>
      <c r="L60" s="144"/>
      <c r="M60" s="144"/>
      <c r="N60" s="146"/>
      <c r="O60" s="144"/>
      <c r="P60" s="146"/>
      <c r="Q60" s="144"/>
      <c r="R60" s="144"/>
      <c r="S60" s="144"/>
      <c r="T60" s="144"/>
      <c r="U60" s="3157">
        <f t="shared" si="50"/>
        <v>0.6</v>
      </c>
      <c r="V60" s="3157">
        <f t="shared" si="50"/>
        <v>2.4</v>
      </c>
      <c r="W60" s="3157">
        <f t="shared" si="50"/>
        <v>4.2750000000000004</v>
      </c>
      <c r="X60" s="3157">
        <f t="shared" si="50"/>
        <v>3.165</v>
      </c>
      <c r="Y60" s="3157">
        <f t="shared" si="50"/>
        <v>1.55</v>
      </c>
      <c r="Z60" s="3157">
        <f t="shared" si="50"/>
        <v>0.48</v>
      </c>
      <c r="AA60" s="3157">
        <f t="shared" si="50"/>
        <v>0.6</v>
      </c>
      <c r="AB60" s="144"/>
      <c r="AC60" s="2867"/>
      <c r="AD60" s="2867"/>
      <c r="AE60" s="2867"/>
      <c r="AF60" s="2867"/>
      <c r="AG60" s="2867"/>
      <c r="AH60" s="2867"/>
      <c r="AI60" s="2825"/>
      <c r="AJ60" s="1"/>
      <c r="AK60" s="1"/>
      <c r="AL60" s="1"/>
      <c r="AM60" s="1"/>
      <c r="AN60" s="1"/>
    </row>
    <row r="61" spans="1:40">
      <c r="A61" s="144"/>
      <c r="B61" s="144"/>
      <c r="C61" s="144"/>
      <c r="D61" s="906"/>
      <c r="E61" s="144"/>
      <c r="F61" s="144"/>
      <c r="G61" s="144"/>
      <c r="H61" s="144"/>
      <c r="I61" s="144"/>
      <c r="J61" s="144"/>
      <c r="K61" s="144"/>
      <c r="L61" s="144"/>
      <c r="M61" s="144"/>
      <c r="N61" s="146"/>
      <c r="O61" s="144"/>
      <c r="P61" s="146"/>
      <c r="Q61" s="144"/>
      <c r="R61" s="144"/>
      <c r="S61" s="144"/>
      <c r="T61" s="144"/>
      <c r="U61" s="3157">
        <f t="shared" si="50"/>
        <v>0.6</v>
      </c>
      <c r="V61" s="3157">
        <f t="shared" si="50"/>
        <v>2.4</v>
      </c>
      <c r="W61" s="3157">
        <f t="shared" si="50"/>
        <v>4.2750000000000004</v>
      </c>
      <c r="X61" s="3157">
        <f t="shared" si="50"/>
        <v>3.165</v>
      </c>
      <c r="Y61" s="3157">
        <f t="shared" si="50"/>
        <v>1.55</v>
      </c>
      <c r="Z61" s="3157">
        <f t="shared" si="50"/>
        <v>0.48</v>
      </c>
      <c r="AA61" s="3157">
        <f t="shared" si="50"/>
        <v>0.6</v>
      </c>
      <c r="AB61" s="144"/>
      <c r="AC61" s="2867">
        <v>0</v>
      </c>
      <c r="AD61" s="2867">
        <v>0</v>
      </c>
      <c r="AE61" s="2867">
        <v>0</v>
      </c>
      <c r="AF61" s="2867">
        <v>0</v>
      </c>
      <c r="AG61" s="2867">
        <v>0</v>
      </c>
      <c r="AH61" s="2867">
        <v>0</v>
      </c>
      <c r="AI61" s="2825"/>
      <c r="AJ61" s="1"/>
      <c r="AK61" s="1"/>
      <c r="AL61" s="1"/>
      <c r="AM61" s="1"/>
      <c r="AN61" s="1"/>
    </row>
    <row r="62" spans="1:40">
      <c r="A62" s="144"/>
      <c r="B62" s="144"/>
      <c r="C62" s="144"/>
      <c r="D62" s="906"/>
      <c r="E62" s="144"/>
      <c r="F62" s="144"/>
      <c r="G62" s="144"/>
      <c r="H62" s="144"/>
      <c r="I62" s="144"/>
      <c r="J62" s="144"/>
      <c r="K62" s="144"/>
      <c r="L62" s="144"/>
      <c r="M62" s="144"/>
      <c r="N62" s="146"/>
      <c r="O62" s="144"/>
      <c r="P62" s="146"/>
      <c r="Q62" s="144"/>
      <c r="R62" s="144"/>
      <c r="S62" s="144"/>
      <c r="T62" s="144"/>
      <c r="U62" s="3157">
        <f t="shared" si="50"/>
        <v>0.6</v>
      </c>
      <c r="V62" s="3157">
        <f t="shared" si="50"/>
        <v>2.4</v>
      </c>
      <c r="W62" s="3157">
        <f t="shared" si="50"/>
        <v>4.2750000000000004</v>
      </c>
      <c r="X62" s="3157">
        <f t="shared" si="50"/>
        <v>3.165</v>
      </c>
      <c r="Y62" s="3157">
        <f t="shared" si="50"/>
        <v>1.55</v>
      </c>
      <c r="Z62" s="3157">
        <f t="shared" si="50"/>
        <v>0.48</v>
      </c>
      <c r="AA62" s="3157">
        <f t="shared" si="50"/>
        <v>0.6</v>
      </c>
      <c r="AB62" s="144"/>
      <c r="AC62" s="2867">
        <v>0</v>
      </c>
      <c r="AD62" s="2867">
        <v>0</v>
      </c>
      <c r="AE62" s="2867">
        <v>0</v>
      </c>
      <c r="AF62" s="2867">
        <v>0</v>
      </c>
      <c r="AG62" s="2867">
        <v>0</v>
      </c>
      <c r="AH62" s="2867">
        <v>0</v>
      </c>
      <c r="AI62" s="2825"/>
      <c r="AJ62" s="1"/>
      <c r="AK62" s="1"/>
      <c r="AL62" s="1"/>
      <c r="AM62" s="1"/>
      <c r="AN62" s="1"/>
    </row>
    <row r="63" spans="1:40">
      <c r="A63" s="144"/>
      <c r="B63" s="144"/>
      <c r="C63" s="144"/>
      <c r="D63" s="906"/>
      <c r="E63" s="144"/>
      <c r="F63" s="144"/>
      <c r="G63" s="144"/>
      <c r="H63" s="144"/>
      <c r="I63" s="144"/>
      <c r="J63" s="144"/>
      <c r="K63" s="144"/>
      <c r="L63" s="144"/>
      <c r="M63" s="144"/>
      <c r="N63" s="146"/>
      <c r="O63" s="144"/>
      <c r="P63" s="146"/>
      <c r="Q63" s="144"/>
      <c r="R63" s="144"/>
      <c r="S63" s="144"/>
      <c r="T63" s="144"/>
      <c r="U63" s="3157">
        <f t="shared" si="50"/>
        <v>0.6</v>
      </c>
      <c r="V63" s="3157">
        <f t="shared" si="50"/>
        <v>2.4</v>
      </c>
      <c r="W63" s="3157">
        <f t="shared" si="50"/>
        <v>4.2750000000000004</v>
      </c>
      <c r="X63" s="3157">
        <f t="shared" si="50"/>
        <v>3.165</v>
      </c>
      <c r="Y63" s="3157">
        <f t="shared" si="50"/>
        <v>1.55</v>
      </c>
      <c r="Z63" s="3157">
        <f t="shared" si="50"/>
        <v>0.48</v>
      </c>
      <c r="AA63" s="3157">
        <f t="shared" si="50"/>
        <v>0.6</v>
      </c>
      <c r="AB63" s="144"/>
      <c r="AC63" s="2867">
        <v>0</v>
      </c>
      <c r="AD63" s="2867">
        <v>0</v>
      </c>
      <c r="AE63" s="2867">
        <v>0</v>
      </c>
      <c r="AF63" s="2867">
        <v>0</v>
      </c>
      <c r="AG63" s="2867">
        <v>0</v>
      </c>
      <c r="AH63" s="2867">
        <v>0</v>
      </c>
      <c r="AI63" s="2825"/>
      <c r="AJ63" s="1"/>
      <c r="AK63" s="1"/>
      <c r="AL63" s="1"/>
      <c r="AM63" s="1"/>
      <c r="AN63" s="1"/>
    </row>
    <row r="64" spans="1:40">
      <c r="A64" s="144"/>
      <c r="B64" s="144"/>
      <c r="C64" s="144"/>
      <c r="D64" s="906"/>
      <c r="E64" s="144"/>
      <c r="F64" s="144"/>
      <c r="G64" s="144"/>
      <c r="H64" s="144"/>
      <c r="I64" s="144"/>
      <c r="J64" s="144"/>
      <c r="K64" s="144"/>
      <c r="L64" s="144"/>
      <c r="M64" s="144"/>
      <c r="N64" s="146"/>
      <c r="O64" s="144"/>
      <c r="P64" s="146"/>
      <c r="Q64" s="144"/>
      <c r="R64" s="144"/>
      <c r="S64" s="144"/>
      <c r="T64" s="144"/>
      <c r="U64" s="3157">
        <f t="shared" si="50"/>
        <v>0.6</v>
      </c>
      <c r="V64" s="3157">
        <f t="shared" si="50"/>
        <v>2.4</v>
      </c>
      <c r="W64" s="3157">
        <f t="shared" si="50"/>
        <v>4.2750000000000004</v>
      </c>
      <c r="X64" s="3157">
        <f t="shared" si="50"/>
        <v>3.165</v>
      </c>
      <c r="Y64" s="3157">
        <f t="shared" si="50"/>
        <v>1.55</v>
      </c>
      <c r="Z64" s="3157">
        <f t="shared" si="50"/>
        <v>0.48</v>
      </c>
      <c r="AA64" s="3157">
        <f t="shared" si="50"/>
        <v>0.6</v>
      </c>
      <c r="AB64" s="144"/>
      <c r="AC64" s="2867"/>
      <c r="AD64" s="2867"/>
      <c r="AE64" s="2867"/>
      <c r="AF64" s="2867"/>
      <c r="AG64" s="2867"/>
      <c r="AH64" s="2867"/>
      <c r="AI64" s="2825"/>
      <c r="AJ64" s="1"/>
      <c r="AK64" s="1"/>
      <c r="AL64" s="1"/>
      <c r="AM64" s="1"/>
      <c r="AN64" s="1"/>
    </row>
    <row r="65" spans="1:40">
      <c r="A65" s="144"/>
      <c r="B65" s="144"/>
      <c r="C65" s="144"/>
      <c r="D65" s="906"/>
      <c r="E65" s="144"/>
      <c r="F65" s="144"/>
      <c r="G65" s="144"/>
      <c r="H65" s="144"/>
      <c r="I65" s="144"/>
      <c r="J65" s="144"/>
      <c r="K65" s="144"/>
      <c r="L65" s="144"/>
      <c r="M65" s="144"/>
      <c r="N65" s="146"/>
      <c r="O65" s="144"/>
      <c r="P65" s="146"/>
      <c r="Q65" s="144"/>
      <c r="R65" s="144"/>
      <c r="S65" s="144"/>
      <c r="T65" s="144"/>
      <c r="U65" s="3157">
        <f t="shared" si="50"/>
        <v>0.6</v>
      </c>
      <c r="V65" s="3157">
        <f t="shared" si="50"/>
        <v>2.4</v>
      </c>
      <c r="W65" s="3157">
        <f t="shared" si="50"/>
        <v>4.2750000000000004</v>
      </c>
      <c r="X65" s="3157">
        <f t="shared" si="50"/>
        <v>3.165</v>
      </c>
      <c r="Y65" s="3157">
        <f t="shared" si="50"/>
        <v>1.55</v>
      </c>
      <c r="Z65" s="3157">
        <f t="shared" si="50"/>
        <v>0.48</v>
      </c>
      <c r="AA65" s="3157">
        <f t="shared" si="50"/>
        <v>0.6</v>
      </c>
      <c r="AB65" s="144"/>
      <c r="AC65" s="2867"/>
      <c r="AD65" s="2867"/>
      <c r="AE65" s="2867"/>
      <c r="AF65" s="2867"/>
      <c r="AG65" s="2867"/>
      <c r="AH65" s="2867"/>
      <c r="AI65" s="2825"/>
      <c r="AJ65" s="1"/>
      <c r="AK65" s="1"/>
      <c r="AL65" s="1"/>
      <c r="AM65" s="1"/>
      <c r="AN65" s="1"/>
    </row>
    <row r="66" spans="1:40">
      <c r="A66" s="144"/>
      <c r="B66" s="144"/>
      <c r="C66" s="144"/>
      <c r="D66" s="906"/>
      <c r="E66" s="144"/>
      <c r="F66" s="144"/>
      <c r="G66" s="144"/>
      <c r="H66" s="144"/>
      <c r="I66" s="144"/>
      <c r="J66" s="144"/>
      <c r="K66" s="144"/>
      <c r="L66" s="144"/>
      <c r="M66" s="144"/>
      <c r="N66" s="146"/>
      <c r="O66" s="144"/>
      <c r="P66" s="146"/>
      <c r="Q66" s="144"/>
      <c r="R66" s="144"/>
      <c r="S66" s="144"/>
      <c r="T66" s="144"/>
      <c r="U66" s="3157">
        <f t="shared" si="50"/>
        <v>0.6</v>
      </c>
      <c r="V66" s="3157">
        <f t="shared" si="50"/>
        <v>2.4</v>
      </c>
      <c r="W66" s="3157">
        <f t="shared" si="50"/>
        <v>4.2750000000000004</v>
      </c>
      <c r="X66" s="3157">
        <f t="shared" si="50"/>
        <v>3.165</v>
      </c>
      <c r="Y66" s="3157">
        <f t="shared" si="50"/>
        <v>1.55</v>
      </c>
      <c r="Z66" s="3157">
        <f t="shared" si="50"/>
        <v>0.48</v>
      </c>
      <c r="AA66" s="3157">
        <f t="shared" si="50"/>
        <v>0.6</v>
      </c>
      <c r="AB66" s="144"/>
      <c r="AC66" s="2867">
        <v>0</v>
      </c>
      <c r="AD66" s="2867">
        <v>0</v>
      </c>
      <c r="AE66" s="2867">
        <v>0</v>
      </c>
      <c r="AF66" s="2867">
        <v>0</v>
      </c>
      <c r="AG66" s="2867">
        <v>0</v>
      </c>
      <c r="AH66" s="2867">
        <v>0</v>
      </c>
      <c r="AI66" s="2825"/>
      <c r="AJ66" s="1"/>
      <c r="AK66" s="1"/>
      <c r="AL66" s="1"/>
      <c r="AM66" s="1"/>
      <c r="AN66" s="1"/>
    </row>
    <row r="67" spans="1:40">
      <c r="A67" s="144"/>
      <c r="B67" s="144"/>
      <c r="C67" s="144"/>
      <c r="D67" s="906"/>
      <c r="E67" s="144"/>
      <c r="F67" s="144"/>
      <c r="G67" s="144"/>
      <c r="H67" s="144"/>
      <c r="I67" s="144"/>
      <c r="J67" s="144"/>
      <c r="K67" s="144"/>
      <c r="L67" s="144"/>
      <c r="M67" s="144"/>
      <c r="N67" s="146"/>
      <c r="O67" s="144"/>
      <c r="P67" s="146"/>
      <c r="Q67" s="144"/>
      <c r="R67" s="144"/>
      <c r="S67" s="144"/>
      <c r="T67" s="144"/>
      <c r="U67" s="3157">
        <f t="shared" si="50"/>
        <v>0.6</v>
      </c>
      <c r="V67" s="3157">
        <f t="shared" si="50"/>
        <v>2.4</v>
      </c>
      <c r="W67" s="3157">
        <f t="shared" si="50"/>
        <v>4.2750000000000004</v>
      </c>
      <c r="X67" s="3157">
        <f t="shared" si="50"/>
        <v>3.165</v>
      </c>
      <c r="Y67" s="3157">
        <f t="shared" si="50"/>
        <v>1.55</v>
      </c>
      <c r="Z67" s="3157">
        <f t="shared" si="50"/>
        <v>0.48</v>
      </c>
      <c r="AA67" s="3157">
        <f t="shared" si="50"/>
        <v>0.6</v>
      </c>
      <c r="AB67" s="144"/>
      <c r="AC67" s="2867">
        <v>0</v>
      </c>
      <c r="AD67" s="2867">
        <v>0</v>
      </c>
      <c r="AE67" s="2867">
        <v>0</v>
      </c>
      <c r="AF67" s="2867">
        <v>0</v>
      </c>
      <c r="AG67" s="2867">
        <v>0</v>
      </c>
      <c r="AH67" s="2867">
        <v>0</v>
      </c>
      <c r="AI67" s="2825"/>
      <c r="AJ67" s="1"/>
      <c r="AK67" s="1"/>
      <c r="AL67" s="1"/>
      <c r="AM67" s="1"/>
      <c r="AN67" s="1"/>
    </row>
    <row r="68" spans="1:40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144"/>
      <c r="M68" s="144"/>
      <c r="N68" s="146"/>
      <c r="O68" s="144"/>
      <c r="P68" s="146"/>
      <c r="Q68" s="144"/>
      <c r="R68" s="144"/>
      <c r="S68" s="144"/>
      <c r="T68" s="144"/>
      <c r="U68" s="3157">
        <f t="shared" si="50"/>
        <v>0.6</v>
      </c>
      <c r="V68" s="3157">
        <f t="shared" si="50"/>
        <v>2.4</v>
      </c>
      <c r="W68" s="3157">
        <f t="shared" si="50"/>
        <v>4.2750000000000004</v>
      </c>
      <c r="X68" s="3157">
        <f t="shared" si="50"/>
        <v>3.165</v>
      </c>
      <c r="Y68" s="3157">
        <f t="shared" si="50"/>
        <v>1.55</v>
      </c>
      <c r="Z68" s="3157">
        <f t="shared" si="50"/>
        <v>0.48</v>
      </c>
      <c r="AA68" s="3157">
        <f t="shared" si="50"/>
        <v>0.6</v>
      </c>
      <c r="AB68" s="144"/>
      <c r="AC68" s="2867"/>
      <c r="AD68" s="2867"/>
      <c r="AE68" s="2867"/>
      <c r="AF68" s="2867"/>
      <c r="AG68" s="2867"/>
      <c r="AH68" s="2867"/>
      <c r="AI68" s="2825"/>
      <c r="AJ68" s="1"/>
      <c r="AK68" s="1"/>
      <c r="AL68" s="1"/>
      <c r="AM68" s="1"/>
      <c r="AN68" s="1"/>
    </row>
    <row r="69" spans="1:40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144"/>
      <c r="M69" s="144"/>
      <c r="N69" s="146"/>
      <c r="O69" s="144"/>
      <c r="P69" s="146"/>
      <c r="Q69" s="144"/>
      <c r="R69" s="144"/>
      <c r="S69" s="144"/>
      <c r="T69" s="144"/>
      <c r="U69" s="3157">
        <f t="shared" si="50"/>
        <v>0.6</v>
      </c>
      <c r="V69" s="3157">
        <f t="shared" si="50"/>
        <v>2.4</v>
      </c>
      <c r="W69" s="3157">
        <f t="shared" si="50"/>
        <v>4.2750000000000004</v>
      </c>
      <c r="X69" s="3157">
        <f t="shared" si="50"/>
        <v>3.165</v>
      </c>
      <c r="Y69" s="3157">
        <f t="shared" si="50"/>
        <v>1.55</v>
      </c>
      <c r="Z69" s="3157">
        <f t="shared" si="50"/>
        <v>0.48</v>
      </c>
      <c r="AA69" s="3157">
        <f t="shared" si="50"/>
        <v>0.6</v>
      </c>
      <c r="AB69" s="144"/>
      <c r="AC69" s="2867"/>
      <c r="AD69" s="2867"/>
      <c r="AE69" s="2867"/>
      <c r="AF69" s="2867"/>
      <c r="AG69" s="2867"/>
      <c r="AH69" s="2867"/>
      <c r="AI69" s="2825"/>
      <c r="AJ69" s="1"/>
      <c r="AK69" s="1"/>
      <c r="AL69" s="1"/>
      <c r="AM69" s="1"/>
      <c r="AN69" s="1"/>
    </row>
    <row r="70" spans="1:40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144"/>
      <c r="M70" s="144"/>
      <c r="N70" s="146"/>
      <c r="O70" s="144"/>
      <c r="P70" s="146"/>
      <c r="Q70" s="144"/>
      <c r="R70" s="144"/>
      <c r="S70" s="144"/>
      <c r="T70" s="144"/>
      <c r="U70" s="3157">
        <f t="shared" ref="U70:AA85" si="51">IF(U69&gt;0,U69,U68)</f>
        <v>0.6</v>
      </c>
      <c r="V70" s="3157">
        <f t="shared" si="51"/>
        <v>2.4</v>
      </c>
      <c r="W70" s="3157">
        <f t="shared" si="51"/>
        <v>4.2750000000000004</v>
      </c>
      <c r="X70" s="3157">
        <f t="shared" si="51"/>
        <v>3.165</v>
      </c>
      <c r="Y70" s="3157">
        <f t="shared" si="51"/>
        <v>1.55</v>
      </c>
      <c r="Z70" s="3157">
        <f t="shared" si="51"/>
        <v>0.48</v>
      </c>
      <c r="AA70" s="3157">
        <f t="shared" si="51"/>
        <v>0.6</v>
      </c>
      <c r="AB70" s="144"/>
      <c r="AC70" s="2867">
        <v>0</v>
      </c>
      <c r="AD70" s="2867">
        <v>0</v>
      </c>
      <c r="AE70" s="2867">
        <v>0</v>
      </c>
      <c r="AF70" s="2867">
        <v>0</v>
      </c>
      <c r="AG70" s="2867">
        <v>0</v>
      </c>
      <c r="AH70" s="2867">
        <v>0</v>
      </c>
      <c r="AI70" s="2825"/>
      <c r="AJ70" s="1"/>
      <c r="AK70" s="1"/>
      <c r="AL70" s="1"/>
      <c r="AM70" s="1"/>
      <c r="AN70" s="1"/>
    </row>
    <row r="71" spans="1:40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144"/>
      <c r="M71" s="144"/>
      <c r="N71" s="146"/>
      <c r="O71" s="144"/>
      <c r="P71" s="146"/>
      <c r="Q71" s="144"/>
      <c r="R71" s="144"/>
      <c r="S71" s="144"/>
      <c r="T71" s="144"/>
      <c r="U71" s="3157">
        <f t="shared" si="51"/>
        <v>0.6</v>
      </c>
      <c r="V71" s="3157">
        <f t="shared" si="51"/>
        <v>2.4</v>
      </c>
      <c r="W71" s="3157">
        <f t="shared" si="51"/>
        <v>4.2750000000000004</v>
      </c>
      <c r="X71" s="3157">
        <f t="shared" si="51"/>
        <v>3.165</v>
      </c>
      <c r="Y71" s="3157">
        <f t="shared" si="51"/>
        <v>1.55</v>
      </c>
      <c r="Z71" s="3157">
        <f t="shared" si="51"/>
        <v>0.48</v>
      </c>
      <c r="AA71" s="3157">
        <f t="shared" si="51"/>
        <v>0.6</v>
      </c>
      <c r="AB71" s="144"/>
      <c r="AC71" s="2867">
        <v>0</v>
      </c>
      <c r="AD71" s="2867">
        <v>0</v>
      </c>
      <c r="AE71" s="2867">
        <v>0</v>
      </c>
      <c r="AF71" s="2867">
        <v>0</v>
      </c>
      <c r="AG71" s="2867">
        <v>0</v>
      </c>
      <c r="AH71" s="2867">
        <v>0</v>
      </c>
      <c r="AI71" s="2825"/>
      <c r="AJ71" s="1"/>
      <c r="AK71" s="1"/>
      <c r="AL71" s="1"/>
      <c r="AM71" s="1"/>
      <c r="AN71" s="1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6"/>
      <c r="O72" s="144"/>
      <c r="P72" s="146"/>
      <c r="Q72" s="144"/>
      <c r="R72" s="144"/>
      <c r="S72" s="144"/>
      <c r="T72" s="144"/>
      <c r="U72" s="3157">
        <f t="shared" si="51"/>
        <v>0.6</v>
      </c>
      <c r="V72" s="3157">
        <f t="shared" si="51"/>
        <v>2.4</v>
      </c>
      <c r="W72" s="3157">
        <f t="shared" si="51"/>
        <v>4.2750000000000004</v>
      </c>
      <c r="X72" s="3157">
        <f t="shared" si="51"/>
        <v>3.165</v>
      </c>
      <c r="Y72" s="3157">
        <f t="shared" si="51"/>
        <v>1.55</v>
      </c>
      <c r="Z72" s="3157">
        <f t="shared" si="51"/>
        <v>0.48</v>
      </c>
      <c r="AA72" s="3157">
        <f t="shared" si="51"/>
        <v>0.6</v>
      </c>
      <c r="AB72" s="144"/>
      <c r="AC72" s="2867">
        <v>0</v>
      </c>
      <c r="AD72" s="2867">
        <v>0</v>
      </c>
      <c r="AE72" s="2867">
        <v>0</v>
      </c>
      <c r="AF72" s="2867">
        <v>0</v>
      </c>
      <c r="AG72" s="2867">
        <v>0</v>
      </c>
      <c r="AH72" s="2867">
        <v>0</v>
      </c>
      <c r="AI72" s="2825"/>
      <c r="AJ72" s="1"/>
      <c r="AK72" s="1"/>
      <c r="AL72" s="1"/>
      <c r="AM72" s="1"/>
      <c r="AN72" s="1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6"/>
      <c r="O73" s="144"/>
      <c r="P73" s="146"/>
      <c r="Q73" s="144"/>
      <c r="R73" s="144"/>
      <c r="S73" s="144"/>
      <c r="T73" s="144"/>
      <c r="U73" s="3157">
        <f t="shared" si="51"/>
        <v>0.6</v>
      </c>
      <c r="V73" s="3157">
        <f t="shared" si="51"/>
        <v>2.4</v>
      </c>
      <c r="W73" s="3157">
        <f t="shared" si="51"/>
        <v>4.2750000000000004</v>
      </c>
      <c r="X73" s="3157">
        <f t="shared" si="51"/>
        <v>3.165</v>
      </c>
      <c r="Y73" s="3157">
        <f t="shared" si="51"/>
        <v>1.55</v>
      </c>
      <c r="Z73" s="3157">
        <f t="shared" si="51"/>
        <v>0.48</v>
      </c>
      <c r="AA73" s="3157">
        <f t="shared" si="51"/>
        <v>0.6</v>
      </c>
      <c r="AB73" s="144"/>
      <c r="AC73" s="2867">
        <v>0</v>
      </c>
      <c r="AD73" s="2867">
        <v>0</v>
      </c>
      <c r="AE73" s="2867">
        <v>0</v>
      </c>
      <c r="AF73" s="2867">
        <v>0</v>
      </c>
      <c r="AG73" s="2867">
        <v>0</v>
      </c>
      <c r="AH73" s="2867">
        <v>0</v>
      </c>
      <c r="AI73" s="2825"/>
      <c r="AJ73" s="1"/>
      <c r="AK73" s="1"/>
      <c r="AL73" s="1"/>
      <c r="AM73" s="1"/>
      <c r="AN73" s="1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6"/>
      <c r="O74" s="144"/>
      <c r="P74" s="146"/>
      <c r="Q74" s="144"/>
      <c r="R74" s="144"/>
      <c r="S74" s="144"/>
      <c r="T74" s="144"/>
      <c r="U74" s="3157">
        <f t="shared" si="51"/>
        <v>0.6</v>
      </c>
      <c r="V74" s="3157">
        <f t="shared" si="51"/>
        <v>2.4</v>
      </c>
      <c r="W74" s="3157">
        <f t="shared" si="51"/>
        <v>4.2750000000000004</v>
      </c>
      <c r="X74" s="3157">
        <f t="shared" si="51"/>
        <v>3.165</v>
      </c>
      <c r="Y74" s="3157">
        <f t="shared" si="51"/>
        <v>1.55</v>
      </c>
      <c r="Z74" s="3157">
        <f t="shared" si="51"/>
        <v>0.48</v>
      </c>
      <c r="AA74" s="3157">
        <f t="shared" si="51"/>
        <v>0.6</v>
      </c>
      <c r="AB74" s="144"/>
      <c r="AC74" s="2867"/>
      <c r="AD74" s="2867"/>
      <c r="AE74" s="2867"/>
      <c r="AF74" s="2867"/>
      <c r="AG74" s="2867"/>
      <c r="AH74" s="2867"/>
      <c r="AI74" s="2825"/>
      <c r="AJ74" s="1"/>
      <c r="AK74" s="1"/>
      <c r="AL74" s="1"/>
      <c r="AM74" s="1"/>
      <c r="AN74" s="1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6"/>
      <c r="O75" s="144"/>
      <c r="P75" s="146"/>
      <c r="Q75" s="144"/>
      <c r="R75" s="144"/>
      <c r="S75" s="144"/>
      <c r="T75" s="144"/>
      <c r="U75" s="3157">
        <f t="shared" si="51"/>
        <v>0.6</v>
      </c>
      <c r="V75" s="3157">
        <f t="shared" si="51"/>
        <v>2.4</v>
      </c>
      <c r="W75" s="3157">
        <f t="shared" si="51"/>
        <v>4.2750000000000004</v>
      </c>
      <c r="X75" s="3157">
        <f t="shared" si="51"/>
        <v>3.165</v>
      </c>
      <c r="Y75" s="3157">
        <f t="shared" si="51"/>
        <v>1.55</v>
      </c>
      <c r="Z75" s="3157">
        <f t="shared" si="51"/>
        <v>0.48</v>
      </c>
      <c r="AA75" s="3157">
        <f t="shared" si="51"/>
        <v>0.6</v>
      </c>
      <c r="AB75" s="144"/>
      <c r="AC75" s="2867">
        <v>0</v>
      </c>
      <c r="AD75" s="2867">
        <v>0</v>
      </c>
      <c r="AE75" s="2867">
        <v>0</v>
      </c>
      <c r="AF75" s="2867">
        <v>0</v>
      </c>
      <c r="AG75" s="2867">
        <v>0</v>
      </c>
      <c r="AH75" s="2867">
        <v>0</v>
      </c>
      <c r="AI75" s="2825"/>
      <c r="AJ75" s="1"/>
      <c r="AK75" s="1"/>
      <c r="AL75" s="1"/>
      <c r="AM75" s="1"/>
      <c r="AN75" s="1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6"/>
      <c r="O76" s="144"/>
      <c r="P76" s="146"/>
      <c r="Q76" s="144"/>
      <c r="R76" s="144"/>
      <c r="S76" s="144"/>
      <c r="T76" s="144"/>
      <c r="U76" s="3157">
        <f t="shared" si="51"/>
        <v>0.6</v>
      </c>
      <c r="V76" s="3157">
        <f t="shared" si="51"/>
        <v>2.4</v>
      </c>
      <c r="W76" s="3157">
        <f t="shared" si="51"/>
        <v>4.2750000000000004</v>
      </c>
      <c r="X76" s="3157">
        <f t="shared" si="51"/>
        <v>3.165</v>
      </c>
      <c r="Y76" s="3157">
        <f t="shared" si="51"/>
        <v>1.55</v>
      </c>
      <c r="Z76" s="3157">
        <f t="shared" si="51"/>
        <v>0.48</v>
      </c>
      <c r="AA76" s="3157">
        <f t="shared" si="51"/>
        <v>0.6</v>
      </c>
      <c r="AB76" s="144"/>
      <c r="AC76" s="2867">
        <v>0</v>
      </c>
      <c r="AD76" s="2867">
        <v>0</v>
      </c>
      <c r="AE76" s="2867">
        <v>0</v>
      </c>
      <c r="AF76" s="2867">
        <v>0</v>
      </c>
      <c r="AG76" s="2867">
        <v>0</v>
      </c>
      <c r="AH76" s="2867">
        <v>0</v>
      </c>
      <c r="AI76" s="2825"/>
      <c r="AJ76" s="1"/>
      <c r="AK76" s="1"/>
      <c r="AL76" s="1"/>
      <c r="AM76" s="1"/>
      <c r="AN76" s="1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6"/>
      <c r="O77" s="144"/>
      <c r="P77" s="146"/>
      <c r="Q77" s="144"/>
      <c r="R77" s="144"/>
      <c r="S77" s="144"/>
      <c r="T77" s="144"/>
      <c r="U77" s="3157">
        <f t="shared" si="51"/>
        <v>0.6</v>
      </c>
      <c r="V77" s="3157">
        <f t="shared" si="51"/>
        <v>2.4</v>
      </c>
      <c r="W77" s="3157">
        <f t="shared" si="51"/>
        <v>4.2750000000000004</v>
      </c>
      <c r="X77" s="3157">
        <f t="shared" si="51"/>
        <v>3.165</v>
      </c>
      <c r="Y77" s="3157">
        <f t="shared" si="51"/>
        <v>1.55</v>
      </c>
      <c r="Z77" s="3157">
        <f t="shared" si="51"/>
        <v>0.48</v>
      </c>
      <c r="AA77" s="3157">
        <f t="shared" si="51"/>
        <v>0.6</v>
      </c>
      <c r="AB77" s="144"/>
      <c r="AC77" s="2867"/>
      <c r="AD77" s="2867"/>
      <c r="AE77" s="2867"/>
      <c r="AF77" s="2867"/>
      <c r="AG77" s="2867"/>
      <c r="AH77" s="2867"/>
      <c r="AI77" s="2825"/>
      <c r="AJ77" s="1"/>
      <c r="AK77" s="1"/>
      <c r="AL77" s="1"/>
      <c r="AM77" s="1"/>
      <c r="AN77" s="1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6"/>
      <c r="O78" s="144"/>
      <c r="P78" s="146"/>
      <c r="Q78" s="144"/>
      <c r="R78" s="144"/>
      <c r="S78" s="144"/>
      <c r="T78" s="144"/>
      <c r="U78" s="3157">
        <f t="shared" si="51"/>
        <v>0.6</v>
      </c>
      <c r="V78" s="3157">
        <f t="shared" si="51"/>
        <v>2.4</v>
      </c>
      <c r="W78" s="3157">
        <f t="shared" si="51"/>
        <v>4.2750000000000004</v>
      </c>
      <c r="X78" s="3157">
        <f t="shared" si="51"/>
        <v>3.165</v>
      </c>
      <c r="Y78" s="3157">
        <f t="shared" si="51"/>
        <v>1.55</v>
      </c>
      <c r="Z78" s="3157">
        <f t="shared" si="51"/>
        <v>0.48</v>
      </c>
      <c r="AA78" s="3157">
        <f t="shared" si="51"/>
        <v>0.6</v>
      </c>
      <c r="AB78" s="144"/>
      <c r="AC78" s="2867"/>
      <c r="AD78" s="2867"/>
      <c r="AE78" s="2867"/>
      <c r="AF78" s="2867"/>
      <c r="AG78" s="2867"/>
      <c r="AH78" s="2867"/>
      <c r="AI78" s="2825"/>
      <c r="AJ78" s="1"/>
      <c r="AK78" s="1"/>
      <c r="AL78" s="1"/>
      <c r="AM78" s="1"/>
      <c r="AN78" s="1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6"/>
      <c r="O79" s="144"/>
      <c r="P79" s="146"/>
      <c r="Q79" s="144"/>
      <c r="R79" s="144"/>
      <c r="S79" s="144"/>
      <c r="T79" s="144"/>
      <c r="U79" s="3157">
        <f t="shared" si="51"/>
        <v>0.6</v>
      </c>
      <c r="V79" s="3157">
        <f t="shared" si="51"/>
        <v>2.4</v>
      </c>
      <c r="W79" s="3157">
        <f t="shared" si="51"/>
        <v>4.2750000000000004</v>
      </c>
      <c r="X79" s="3157">
        <f t="shared" si="51"/>
        <v>3.165</v>
      </c>
      <c r="Y79" s="3157">
        <f t="shared" si="51"/>
        <v>1.55</v>
      </c>
      <c r="Z79" s="3157">
        <f t="shared" si="51"/>
        <v>0.48</v>
      </c>
      <c r="AA79" s="3157">
        <f t="shared" si="51"/>
        <v>0.6</v>
      </c>
      <c r="AB79" s="144"/>
      <c r="AC79" s="2867">
        <v>0</v>
      </c>
      <c r="AD79" s="2867">
        <v>0</v>
      </c>
      <c r="AE79" s="2867">
        <v>0</v>
      </c>
      <c r="AF79" s="2867">
        <v>0</v>
      </c>
      <c r="AG79" s="2867">
        <v>0</v>
      </c>
      <c r="AH79" s="2867">
        <v>0</v>
      </c>
      <c r="AI79" s="2825"/>
      <c r="AJ79" s="1"/>
      <c r="AK79" s="1"/>
      <c r="AL79" s="1"/>
      <c r="AM79" s="1"/>
      <c r="AN79" s="1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6"/>
      <c r="O80" s="144"/>
      <c r="P80" s="146"/>
      <c r="Q80" s="144"/>
      <c r="R80" s="144"/>
      <c r="S80" s="144"/>
      <c r="T80" s="144"/>
      <c r="U80" s="3157">
        <f t="shared" si="51"/>
        <v>0.6</v>
      </c>
      <c r="V80" s="3157">
        <f t="shared" si="51"/>
        <v>2.4</v>
      </c>
      <c r="W80" s="3157">
        <f t="shared" si="51"/>
        <v>4.2750000000000004</v>
      </c>
      <c r="X80" s="3157">
        <f t="shared" si="51"/>
        <v>3.165</v>
      </c>
      <c r="Y80" s="3157">
        <f t="shared" si="51"/>
        <v>1.55</v>
      </c>
      <c r="Z80" s="3157">
        <f t="shared" si="51"/>
        <v>0.48</v>
      </c>
      <c r="AA80" s="3157">
        <f t="shared" si="51"/>
        <v>0.6</v>
      </c>
      <c r="AB80" s="144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825"/>
      <c r="AJ80" s="1"/>
      <c r="AK80" s="1"/>
      <c r="AL80" s="1"/>
      <c r="AM80" s="1"/>
      <c r="AN80" s="1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6"/>
      <c r="O81" s="144"/>
      <c r="P81" s="146"/>
      <c r="Q81" s="144"/>
      <c r="R81" s="144"/>
      <c r="S81" s="144"/>
      <c r="T81" s="144"/>
      <c r="U81" s="3157">
        <f t="shared" si="51"/>
        <v>0.6</v>
      </c>
      <c r="V81" s="3157">
        <f t="shared" si="51"/>
        <v>2.4</v>
      </c>
      <c r="W81" s="3157">
        <f t="shared" si="51"/>
        <v>4.2750000000000004</v>
      </c>
      <c r="X81" s="3157">
        <f t="shared" si="51"/>
        <v>3.165</v>
      </c>
      <c r="Y81" s="3157">
        <f t="shared" si="51"/>
        <v>1.55</v>
      </c>
      <c r="Z81" s="3157">
        <f t="shared" si="51"/>
        <v>0.48</v>
      </c>
      <c r="AA81" s="3157">
        <f t="shared" si="51"/>
        <v>0.6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6"/>
      <c r="O82" s="144"/>
      <c r="P82" s="146"/>
      <c r="Q82" s="144"/>
      <c r="R82" s="144"/>
      <c r="S82" s="144"/>
      <c r="T82" s="144"/>
      <c r="U82" s="3157">
        <f t="shared" si="51"/>
        <v>0.6</v>
      </c>
      <c r="V82" s="3157">
        <f t="shared" si="51"/>
        <v>2.4</v>
      </c>
      <c r="W82" s="3157">
        <f t="shared" si="51"/>
        <v>4.2750000000000004</v>
      </c>
      <c r="X82" s="3157">
        <f t="shared" si="51"/>
        <v>3.165</v>
      </c>
      <c r="Y82" s="3157">
        <f t="shared" si="51"/>
        <v>1.55</v>
      </c>
      <c r="Z82" s="3157">
        <f t="shared" si="51"/>
        <v>0.48</v>
      </c>
      <c r="AA82" s="3157">
        <f t="shared" si="51"/>
        <v>0.6</v>
      </c>
      <c r="AB82" s="144"/>
      <c r="AC82" s="2867"/>
      <c r="AD82" s="2867"/>
      <c r="AE82" s="2867"/>
      <c r="AF82" s="2867"/>
      <c r="AG82" s="2867"/>
      <c r="AH82" s="2867"/>
      <c r="AI82" s="282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6"/>
      <c r="O83" s="144"/>
      <c r="P83" s="146"/>
      <c r="Q83" s="144"/>
      <c r="R83" s="144"/>
      <c r="S83" s="144"/>
      <c r="T83" s="144"/>
      <c r="U83" s="3157">
        <f t="shared" si="51"/>
        <v>0.6</v>
      </c>
      <c r="V83" s="3157">
        <f t="shared" si="51"/>
        <v>2.4</v>
      </c>
      <c r="W83" s="3157">
        <f t="shared" si="51"/>
        <v>4.2750000000000004</v>
      </c>
      <c r="X83" s="3157">
        <f t="shared" si="51"/>
        <v>3.165</v>
      </c>
      <c r="Y83" s="3157">
        <f t="shared" si="51"/>
        <v>1.55</v>
      </c>
      <c r="Z83" s="3157">
        <f t="shared" si="51"/>
        <v>0.48</v>
      </c>
      <c r="AA83" s="3157">
        <f t="shared" si="51"/>
        <v>0.6</v>
      </c>
      <c r="AB83" s="144"/>
      <c r="AC83" s="2867"/>
      <c r="AD83" s="2867"/>
      <c r="AE83" s="2867"/>
      <c r="AF83" s="2867"/>
      <c r="AG83" s="2867"/>
      <c r="AH83" s="2867"/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6"/>
      <c r="O84" s="144"/>
      <c r="P84" s="146"/>
      <c r="Q84" s="144"/>
      <c r="R84" s="144"/>
      <c r="S84" s="144"/>
      <c r="T84" s="144"/>
      <c r="U84" s="3157">
        <f t="shared" si="51"/>
        <v>0.6</v>
      </c>
      <c r="V84" s="3157">
        <f t="shared" si="51"/>
        <v>2.4</v>
      </c>
      <c r="W84" s="3157">
        <f t="shared" si="51"/>
        <v>4.2750000000000004</v>
      </c>
      <c r="X84" s="3157">
        <f t="shared" si="51"/>
        <v>3.165</v>
      </c>
      <c r="Y84" s="3157">
        <f t="shared" si="51"/>
        <v>1.55</v>
      </c>
      <c r="Z84" s="3157">
        <f t="shared" si="51"/>
        <v>0.48</v>
      </c>
      <c r="AA84" s="3157">
        <f t="shared" si="51"/>
        <v>0.6</v>
      </c>
      <c r="AB84" s="144"/>
      <c r="AC84" s="2867">
        <v>0</v>
      </c>
      <c r="AD84" s="2867">
        <v>0</v>
      </c>
      <c r="AE84" s="2867">
        <v>0</v>
      </c>
      <c r="AF84" s="2867">
        <v>0</v>
      </c>
      <c r="AG84" s="2867">
        <v>0</v>
      </c>
      <c r="AH84" s="2867">
        <v>0</v>
      </c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6"/>
      <c r="O85" s="144"/>
      <c r="P85" s="146"/>
      <c r="Q85" s="144"/>
      <c r="R85" s="144"/>
      <c r="S85" s="144"/>
      <c r="T85" s="144"/>
      <c r="U85" s="3157">
        <f t="shared" si="51"/>
        <v>0.6</v>
      </c>
      <c r="V85" s="3157">
        <f t="shared" si="51"/>
        <v>2.4</v>
      </c>
      <c r="W85" s="3157">
        <f t="shared" si="51"/>
        <v>4.2750000000000004</v>
      </c>
      <c r="X85" s="3157">
        <f t="shared" si="51"/>
        <v>3.165</v>
      </c>
      <c r="Y85" s="3157">
        <f t="shared" si="51"/>
        <v>1.55</v>
      </c>
      <c r="Z85" s="3157">
        <f t="shared" si="51"/>
        <v>0.48</v>
      </c>
      <c r="AA85" s="3157">
        <f t="shared" si="51"/>
        <v>0.6</v>
      </c>
      <c r="AB85" s="144"/>
      <c r="AC85" s="2867">
        <v>0</v>
      </c>
      <c r="AD85" s="2867">
        <v>0</v>
      </c>
      <c r="AE85" s="2867">
        <v>0</v>
      </c>
      <c r="AF85" s="2867">
        <v>0</v>
      </c>
      <c r="AG85" s="2867">
        <v>0</v>
      </c>
      <c r="AH85" s="2867">
        <v>0</v>
      </c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6"/>
      <c r="O86" s="144"/>
      <c r="P86" s="146"/>
      <c r="Q86" s="144"/>
      <c r="R86" s="144"/>
      <c r="S86" s="144"/>
      <c r="T86" s="144"/>
      <c r="U86" s="3157">
        <f t="shared" ref="U86:AA92" si="52">IF(U85&gt;0,U85,U84)</f>
        <v>0.6</v>
      </c>
      <c r="V86" s="3157">
        <f t="shared" si="52"/>
        <v>2.4</v>
      </c>
      <c r="W86" s="3157">
        <f t="shared" si="52"/>
        <v>4.2750000000000004</v>
      </c>
      <c r="X86" s="3157">
        <f t="shared" si="52"/>
        <v>3.165</v>
      </c>
      <c r="Y86" s="3157">
        <f t="shared" si="52"/>
        <v>1.55</v>
      </c>
      <c r="Z86" s="3157">
        <f t="shared" si="52"/>
        <v>0.48</v>
      </c>
      <c r="AA86" s="3157">
        <f t="shared" si="52"/>
        <v>0.6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6"/>
      <c r="O87" s="144"/>
      <c r="P87" s="146"/>
      <c r="Q87" s="144"/>
      <c r="R87" s="144"/>
      <c r="S87" s="144"/>
      <c r="T87" s="144"/>
      <c r="U87" s="3157">
        <f t="shared" si="52"/>
        <v>0.6</v>
      </c>
      <c r="V87" s="3157">
        <f t="shared" si="52"/>
        <v>2.4</v>
      </c>
      <c r="W87" s="3157">
        <f t="shared" si="52"/>
        <v>4.2750000000000004</v>
      </c>
      <c r="X87" s="3157">
        <f t="shared" si="52"/>
        <v>3.165</v>
      </c>
      <c r="Y87" s="3157">
        <f t="shared" si="52"/>
        <v>1.55</v>
      </c>
      <c r="Z87" s="3157">
        <f t="shared" si="52"/>
        <v>0.48</v>
      </c>
      <c r="AA87" s="3157">
        <f t="shared" si="52"/>
        <v>0.6</v>
      </c>
      <c r="AB87" s="144"/>
      <c r="AC87" s="2867"/>
      <c r="AD87" s="2867"/>
      <c r="AE87" s="2867"/>
      <c r="AF87" s="2867"/>
      <c r="AG87" s="2867"/>
      <c r="AH87" s="2867"/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6"/>
      <c r="O88" s="144"/>
      <c r="P88" s="146"/>
      <c r="Q88" s="144"/>
      <c r="R88" s="144"/>
      <c r="S88" s="144"/>
      <c r="T88" s="144"/>
      <c r="U88" s="3157">
        <f t="shared" si="52"/>
        <v>0.6</v>
      </c>
      <c r="V88" s="3157">
        <f t="shared" si="52"/>
        <v>2.4</v>
      </c>
      <c r="W88" s="3157">
        <f t="shared" si="52"/>
        <v>4.2750000000000004</v>
      </c>
      <c r="X88" s="3157">
        <f t="shared" si="52"/>
        <v>3.165</v>
      </c>
      <c r="Y88" s="3157">
        <f t="shared" si="52"/>
        <v>1.55</v>
      </c>
      <c r="Z88" s="3157">
        <f t="shared" si="52"/>
        <v>0.48</v>
      </c>
      <c r="AA88" s="3157">
        <f t="shared" si="52"/>
        <v>0.6</v>
      </c>
      <c r="AB88" s="144"/>
      <c r="AC88" s="2867"/>
      <c r="AD88" s="2867"/>
      <c r="AE88" s="2867"/>
      <c r="AF88" s="2867"/>
      <c r="AG88" s="2867"/>
      <c r="AH88" s="2867"/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6"/>
      <c r="O89" s="144"/>
      <c r="P89" s="146"/>
      <c r="Q89" s="144"/>
      <c r="R89" s="144"/>
      <c r="S89" s="144"/>
      <c r="T89" s="144"/>
      <c r="U89" s="3157">
        <f t="shared" si="52"/>
        <v>0.6</v>
      </c>
      <c r="V89" s="3157">
        <f t="shared" si="52"/>
        <v>2.4</v>
      </c>
      <c r="W89" s="3157">
        <f t="shared" si="52"/>
        <v>4.2750000000000004</v>
      </c>
      <c r="X89" s="3157">
        <f t="shared" si="52"/>
        <v>3.165</v>
      </c>
      <c r="Y89" s="3157">
        <f t="shared" si="52"/>
        <v>1.55</v>
      </c>
      <c r="Z89" s="3157">
        <f t="shared" si="52"/>
        <v>0.48</v>
      </c>
      <c r="AA89" s="3157">
        <f t="shared" si="52"/>
        <v>0.6</v>
      </c>
      <c r="AB89" s="144"/>
      <c r="AC89" s="2867">
        <v>0</v>
      </c>
      <c r="AD89" s="2867">
        <v>0</v>
      </c>
      <c r="AE89" s="2867">
        <v>0</v>
      </c>
      <c r="AF89" s="2867">
        <v>0</v>
      </c>
      <c r="AG89" s="2867">
        <v>0</v>
      </c>
      <c r="AH89" s="2867">
        <v>0</v>
      </c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6"/>
      <c r="O90" s="144"/>
      <c r="P90" s="146"/>
      <c r="Q90" s="144"/>
      <c r="R90" s="144"/>
      <c r="S90" s="144"/>
      <c r="T90" s="144"/>
      <c r="U90" s="3157">
        <f t="shared" si="52"/>
        <v>0.6</v>
      </c>
      <c r="V90" s="3157">
        <f t="shared" si="52"/>
        <v>2.4</v>
      </c>
      <c r="W90" s="3157">
        <f t="shared" si="52"/>
        <v>4.2750000000000004</v>
      </c>
      <c r="X90" s="3157">
        <f t="shared" si="52"/>
        <v>3.165</v>
      </c>
      <c r="Y90" s="3157">
        <f t="shared" si="52"/>
        <v>1.55</v>
      </c>
      <c r="Z90" s="3157">
        <f t="shared" si="52"/>
        <v>0.48</v>
      </c>
      <c r="AA90" s="3157">
        <f t="shared" si="52"/>
        <v>0.6</v>
      </c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1"/>
      <c r="AK90" s="1"/>
      <c r="AL90" s="1"/>
      <c r="AM90" s="1"/>
      <c r="AN90" s="1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6"/>
      <c r="O91" s="144"/>
      <c r="P91" s="146"/>
      <c r="Q91" s="144"/>
      <c r="R91" s="144"/>
      <c r="S91" s="144"/>
      <c r="T91" s="144"/>
      <c r="U91" s="3157">
        <f t="shared" si="52"/>
        <v>0.6</v>
      </c>
      <c r="V91" s="3157">
        <f t="shared" si="52"/>
        <v>2.4</v>
      </c>
      <c r="W91" s="3157">
        <f t="shared" si="52"/>
        <v>4.2750000000000004</v>
      </c>
      <c r="X91" s="3157">
        <f t="shared" si="52"/>
        <v>3.165</v>
      </c>
      <c r="Y91" s="3157">
        <f t="shared" si="52"/>
        <v>1.55</v>
      </c>
      <c r="Z91" s="3157">
        <f t="shared" si="52"/>
        <v>0.48</v>
      </c>
      <c r="AA91" s="3157">
        <f t="shared" si="52"/>
        <v>0.6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6"/>
      <c r="O92" s="144"/>
      <c r="P92" s="146"/>
      <c r="Q92" s="144"/>
      <c r="R92" s="144"/>
      <c r="S92" s="144"/>
      <c r="T92" s="144"/>
      <c r="U92" s="3158">
        <f>IF(U91&gt;0,U91,U90)</f>
        <v>0.6</v>
      </c>
      <c r="V92" s="3158">
        <f t="shared" si="52"/>
        <v>2.4</v>
      </c>
      <c r="W92" s="3158">
        <f t="shared" si="52"/>
        <v>4.2750000000000004</v>
      </c>
      <c r="X92" s="3158">
        <f t="shared" si="52"/>
        <v>3.165</v>
      </c>
      <c r="Y92" s="3158">
        <f t="shared" si="52"/>
        <v>1.55</v>
      </c>
      <c r="Z92" s="3158">
        <f t="shared" si="52"/>
        <v>0.48</v>
      </c>
      <c r="AA92" s="3158">
        <f t="shared" si="52"/>
        <v>0.6</v>
      </c>
      <c r="AB92" s="144"/>
      <c r="AC92" s="2867"/>
      <c r="AD92" s="2867"/>
      <c r="AE92" s="2867"/>
      <c r="AF92" s="2867"/>
      <c r="AG92" s="2867"/>
      <c r="AH92" s="2867"/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6"/>
      <c r="O93" s="144"/>
      <c r="P93" s="146"/>
      <c r="Q93" s="144"/>
      <c r="R93" s="144"/>
      <c r="S93" s="144"/>
      <c r="T93" s="144"/>
      <c r="U93" s="2838"/>
      <c r="V93" s="2838"/>
      <c r="W93" s="2838"/>
      <c r="X93" s="2838"/>
      <c r="Y93" s="2838"/>
      <c r="Z93" s="2838"/>
      <c r="AA93" s="2838"/>
      <c r="AB93" s="144"/>
      <c r="AC93" s="2867"/>
      <c r="AD93" s="2867"/>
      <c r="AE93" s="2867"/>
      <c r="AF93" s="2867"/>
      <c r="AG93" s="2867"/>
      <c r="AH93" s="2867"/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6"/>
      <c r="O94" s="144"/>
      <c r="P94" s="146"/>
      <c r="Q94" s="144"/>
      <c r="R94" s="144"/>
      <c r="S94" s="144"/>
      <c r="T94" s="144"/>
      <c r="U94" s="2838"/>
      <c r="V94" s="2838"/>
      <c r="W94" s="2838"/>
      <c r="X94" s="2838"/>
      <c r="Y94" s="2838"/>
      <c r="Z94" s="2838"/>
      <c r="AA94" s="2838"/>
      <c r="AB94" s="144"/>
      <c r="AC94" s="2867">
        <v>0</v>
      </c>
      <c r="AD94" s="2867">
        <v>0</v>
      </c>
      <c r="AE94" s="2867">
        <v>0</v>
      </c>
      <c r="AF94" s="2867">
        <v>0</v>
      </c>
      <c r="AG94" s="2867">
        <v>0</v>
      </c>
      <c r="AH94" s="2867">
        <v>0</v>
      </c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6"/>
      <c r="O95" s="144"/>
      <c r="P95" s="146"/>
      <c r="Q95" s="144"/>
      <c r="R95" s="144"/>
      <c r="S95" s="144"/>
      <c r="T95" s="144"/>
      <c r="U95" s="2838"/>
      <c r="V95" s="2838"/>
      <c r="W95" s="2838"/>
      <c r="X95" s="2838"/>
      <c r="Y95" s="2838"/>
      <c r="Z95" s="2838"/>
      <c r="AA95" s="2838"/>
      <c r="AB95" s="144"/>
      <c r="AC95" s="2867"/>
      <c r="AD95" s="2867"/>
      <c r="AE95" s="2867"/>
      <c r="AF95" s="2867"/>
      <c r="AG95" s="2867"/>
      <c r="AH95" s="2867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6"/>
      <c r="O96" s="144"/>
      <c r="P96" s="146"/>
      <c r="Q96" s="144"/>
      <c r="R96" s="144"/>
      <c r="S96" s="144"/>
      <c r="T96" s="144"/>
      <c r="U96" s="2838"/>
      <c r="V96" s="2838"/>
      <c r="W96" s="2838"/>
      <c r="X96" s="2838"/>
      <c r="Y96" s="2838"/>
      <c r="Z96" s="2838"/>
      <c r="AA96" s="2838"/>
      <c r="AB96" s="144"/>
      <c r="AJ96" s="1"/>
      <c r="AK96" s="1"/>
      <c r="AL96" s="1"/>
      <c r="AM96" s="1"/>
      <c r="AN96" s="1"/>
    </row>
    <row r="97" spans="1:40" ht="15" customHeight="1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6"/>
      <c r="O97" s="144"/>
      <c r="P97" s="146"/>
      <c r="Q97" s="144"/>
      <c r="R97" s="144"/>
      <c r="S97" s="144"/>
      <c r="T97" s="144"/>
      <c r="U97" s="2838"/>
      <c r="V97" s="2838"/>
      <c r="W97" s="2838"/>
      <c r="X97" s="2838"/>
      <c r="Y97" s="2838"/>
      <c r="Z97" s="2838"/>
      <c r="AA97" s="2838"/>
      <c r="AB97" s="144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6"/>
      <c r="O98" s="144"/>
      <c r="P98" s="146"/>
      <c r="Q98" s="144"/>
      <c r="R98" s="144"/>
      <c r="S98" s="144"/>
      <c r="T98" s="144"/>
      <c r="U98" s="2838"/>
      <c r="V98" s="2838"/>
      <c r="W98" s="2838"/>
      <c r="X98" s="2838"/>
      <c r="Y98" s="2838"/>
      <c r="Z98" s="2838"/>
      <c r="AA98" s="2838"/>
      <c r="AB98" s="144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6"/>
      <c r="O99" s="144"/>
      <c r="P99" s="146"/>
      <c r="Q99" s="144"/>
      <c r="R99" s="144"/>
      <c r="S99" s="144"/>
      <c r="T99" s="144"/>
      <c r="U99" s="2838"/>
      <c r="V99" s="2838"/>
      <c r="W99" s="2838"/>
      <c r="X99" s="2838"/>
      <c r="Y99" s="2838"/>
      <c r="Z99" s="2838"/>
      <c r="AA99" s="2838"/>
      <c r="AB99" s="144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6"/>
      <c r="O100" s="144"/>
      <c r="P100" s="146"/>
      <c r="Q100" s="144"/>
      <c r="R100" s="144"/>
      <c r="S100" s="144"/>
      <c r="T100" s="144"/>
      <c r="U100" s="2838"/>
      <c r="V100" s="2838"/>
      <c r="W100" s="2838"/>
      <c r="X100" s="2838"/>
      <c r="Y100" s="2838"/>
      <c r="Z100" s="2838"/>
      <c r="AA100" s="2838"/>
      <c r="AB100" s="144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6"/>
      <c r="O101" s="144"/>
      <c r="P101" s="146"/>
      <c r="Q101" s="144"/>
      <c r="R101" s="144"/>
      <c r="S101" s="144"/>
      <c r="T101" s="144"/>
      <c r="U101" s="2838"/>
      <c r="V101" s="2838"/>
      <c r="W101" s="2838"/>
      <c r="X101" s="2838"/>
      <c r="Y101" s="2838"/>
      <c r="Z101" s="2838"/>
      <c r="AA101" s="2838"/>
      <c r="AB101" s="144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6"/>
      <c r="O102" s="144"/>
      <c r="P102" s="146"/>
      <c r="Q102" s="144"/>
      <c r="R102" s="144"/>
      <c r="S102" s="144"/>
      <c r="T102" s="144"/>
      <c r="U102" s="2838"/>
      <c r="V102" s="2838"/>
      <c r="W102" s="2838"/>
      <c r="X102" s="2838"/>
      <c r="Y102" s="2838"/>
      <c r="Z102" s="2838"/>
      <c r="AA102" s="2838"/>
      <c r="AB102" s="144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6"/>
      <c r="O103" s="144"/>
      <c r="P103" s="146"/>
      <c r="Q103" s="144"/>
      <c r="R103" s="144"/>
      <c r="S103" s="144"/>
      <c r="T103" s="144"/>
      <c r="U103" s="2838"/>
      <c r="V103" s="2838"/>
      <c r="W103" s="2838"/>
      <c r="X103" s="2838"/>
      <c r="Y103" s="2838"/>
      <c r="Z103" s="2838"/>
      <c r="AA103" s="2838"/>
      <c r="AB103" s="144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6"/>
      <c r="O104" s="144"/>
      <c r="P104" s="146"/>
      <c r="Q104" s="144"/>
      <c r="R104" s="144"/>
      <c r="S104" s="144"/>
      <c r="T104" s="144"/>
      <c r="U104" s="2838"/>
      <c r="V104" s="2838"/>
      <c r="W104" s="2838"/>
      <c r="X104" s="2838"/>
      <c r="Y104" s="2838"/>
      <c r="Z104" s="2838"/>
      <c r="AA104" s="2838"/>
      <c r="AB104" s="144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6"/>
      <c r="O105" s="144"/>
      <c r="P105" s="146"/>
      <c r="Q105" s="144"/>
      <c r="R105" s="144"/>
      <c r="S105" s="144"/>
      <c r="T105" s="144"/>
      <c r="U105" s="2838"/>
      <c r="V105" s="2838"/>
      <c r="W105" s="2838"/>
      <c r="X105" s="2838"/>
      <c r="Y105" s="2838"/>
      <c r="Z105" s="2838"/>
      <c r="AA105" s="2838"/>
      <c r="AB105" s="144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6"/>
      <c r="O106" s="144"/>
      <c r="P106" s="146"/>
      <c r="Q106" s="144"/>
      <c r="R106" s="144"/>
      <c r="S106" s="144"/>
      <c r="T106" s="144"/>
      <c r="U106" s="2838"/>
      <c r="V106" s="2838"/>
      <c r="W106" s="2838"/>
      <c r="X106" s="2838"/>
      <c r="Y106" s="2838"/>
      <c r="Z106" s="2838"/>
      <c r="AA106" s="2838"/>
      <c r="AB106" s="144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6"/>
      <c r="O107" s="144"/>
      <c r="P107" s="146"/>
      <c r="Q107" s="144"/>
      <c r="R107" s="144"/>
      <c r="S107" s="144"/>
      <c r="T107" s="144"/>
      <c r="U107" s="2838"/>
      <c r="V107" s="2838"/>
      <c r="W107" s="2838"/>
      <c r="X107" s="2838"/>
      <c r="Y107" s="2838"/>
      <c r="Z107" s="2838"/>
      <c r="AA107" s="2838"/>
      <c r="AB107" s="144"/>
      <c r="AC107" s="2825"/>
      <c r="AD107" s="2825"/>
      <c r="AE107" s="2825"/>
      <c r="AF107" s="2825"/>
      <c r="AG107" s="2825"/>
      <c r="AH107" s="2825"/>
      <c r="AI107" s="2825"/>
      <c r="AJ107" s="2825"/>
      <c r="AK107" s="2825"/>
      <c r="AL107" s="2825"/>
      <c r="AM107" s="2825"/>
      <c r="AN107" s="1"/>
    </row>
    <row r="108" spans="1:40" s="3021" customFormat="1" ht="11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6"/>
      <c r="O108" s="144"/>
      <c r="P108" s="146"/>
      <c r="Q108" s="144"/>
      <c r="R108" s="144"/>
      <c r="S108" s="144"/>
      <c r="T108" s="144"/>
      <c r="U108" s="2838"/>
      <c r="V108" s="2838"/>
      <c r="W108" s="2838"/>
      <c r="X108" s="2838"/>
      <c r="Y108" s="2838"/>
      <c r="Z108" s="2838"/>
      <c r="AA108" s="2838"/>
      <c r="AB108" s="144"/>
      <c r="AC108" s="2826"/>
      <c r="AD108" s="2826"/>
      <c r="AE108" s="2826"/>
      <c r="AF108" s="2826"/>
      <c r="AG108" s="2826"/>
      <c r="AH108" s="2826"/>
      <c r="AI108" s="2826"/>
      <c r="AJ108" s="2826"/>
      <c r="AK108" s="2826"/>
      <c r="AL108" s="2826"/>
      <c r="AM108" s="2826"/>
    </row>
    <row r="109" spans="1:40" s="3021" customFormat="1" ht="11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6"/>
      <c r="O109" s="144"/>
      <c r="P109" s="146"/>
      <c r="Q109" s="144"/>
      <c r="R109" s="144"/>
      <c r="S109" s="144"/>
      <c r="T109" s="144"/>
      <c r="U109" s="2838"/>
      <c r="V109" s="2838"/>
      <c r="W109" s="2838"/>
      <c r="X109" s="2838"/>
      <c r="Y109" s="2838"/>
      <c r="Z109" s="2838"/>
      <c r="AA109" s="2838"/>
      <c r="AB109" s="144"/>
      <c r="AC109" s="2826"/>
      <c r="AD109" s="2826"/>
      <c r="AE109" s="2826"/>
      <c r="AF109" s="2826"/>
      <c r="AG109" s="2826"/>
      <c r="AH109" s="2826"/>
      <c r="AI109" s="2826"/>
      <c r="AJ109" s="2826"/>
      <c r="AK109" s="2826"/>
      <c r="AL109" s="2826"/>
      <c r="AM109" s="2826"/>
    </row>
    <row r="110" spans="1:40" s="3021" customFormat="1" ht="11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6"/>
      <c r="O110" s="144"/>
      <c r="P110" s="146"/>
      <c r="Q110" s="144"/>
      <c r="R110" s="144"/>
      <c r="S110" s="144"/>
      <c r="T110" s="144"/>
      <c r="U110" s="2838"/>
      <c r="V110" s="2838"/>
      <c r="W110" s="2838"/>
      <c r="X110" s="2838"/>
      <c r="Y110" s="2838"/>
      <c r="Z110" s="2838"/>
      <c r="AA110" s="2838"/>
      <c r="AB110" s="144"/>
      <c r="AC110" s="2826"/>
      <c r="AD110" s="2826"/>
      <c r="AE110" s="2826"/>
      <c r="AF110" s="2826"/>
      <c r="AG110" s="2826"/>
      <c r="AH110" s="2826"/>
      <c r="AI110" s="2826"/>
      <c r="AJ110" s="2826"/>
      <c r="AK110" s="2826"/>
      <c r="AL110" s="2826"/>
      <c r="AM110" s="2826"/>
    </row>
    <row r="111" spans="1:40" s="3021" customFormat="1" ht="11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6"/>
      <c r="O111" s="144"/>
      <c r="P111" s="146"/>
      <c r="Q111" s="144"/>
      <c r="R111" s="144"/>
      <c r="S111" s="144"/>
      <c r="T111" s="144"/>
      <c r="U111" s="2838"/>
      <c r="V111" s="2838"/>
      <c r="W111" s="2838"/>
      <c r="X111" s="2838"/>
      <c r="Y111" s="2838"/>
      <c r="Z111" s="2838"/>
      <c r="AA111" s="2838"/>
      <c r="AB111" s="144"/>
      <c r="AC111" s="2826"/>
      <c r="AD111" s="2826"/>
      <c r="AE111" s="2826"/>
      <c r="AF111" s="2826"/>
      <c r="AG111" s="2826"/>
      <c r="AH111" s="2826"/>
      <c r="AI111" s="2826"/>
      <c r="AJ111" s="2826"/>
      <c r="AK111" s="2826"/>
      <c r="AL111" s="2826"/>
      <c r="AM111" s="2826"/>
    </row>
    <row r="112" spans="1:40" s="3021" customFormat="1" ht="11">
      <c r="B112" s="144"/>
      <c r="C112" s="143"/>
      <c r="D112" s="907"/>
      <c r="E112" s="143"/>
      <c r="F112" s="145"/>
      <c r="G112" s="146"/>
      <c r="H112" s="146"/>
      <c r="I112" s="146"/>
      <c r="J112" s="146"/>
      <c r="K112" s="146"/>
      <c r="L112" s="146"/>
      <c r="M112" s="458"/>
      <c r="N112" s="145"/>
      <c r="O112" s="146"/>
      <c r="P112" s="146"/>
      <c r="Q112" s="147"/>
      <c r="R112" s="147"/>
      <c r="S112" s="142"/>
      <c r="T112" s="142"/>
      <c r="U112" s="2838"/>
      <c r="V112" s="2838"/>
      <c r="W112" s="2838"/>
      <c r="X112" s="2838"/>
      <c r="Y112" s="2838"/>
      <c r="Z112" s="2838"/>
      <c r="AA112" s="2838"/>
      <c r="AC112" s="2826"/>
      <c r="AD112" s="2826"/>
      <c r="AE112" s="2826"/>
      <c r="AF112" s="2826"/>
      <c r="AG112" s="2826"/>
      <c r="AH112" s="2826"/>
      <c r="AI112" s="2826"/>
      <c r="AJ112" s="2826"/>
      <c r="AK112" s="2826"/>
      <c r="AL112" s="2826"/>
      <c r="AM112" s="2826"/>
    </row>
    <row r="113" spans="2:39" s="3021" customFormat="1" ht="11">
      <c r="B113" s="144"/>
      <c r="C113" s="143"/>
      <c r="D113" s="907"/>
      <c r="E113" s="143"/>
      <c r="F113" s="145"/>
      <c r="G113" s="146"/>
      <c r="H113" s="146"/>
      <c r="I113" s="146"/>
      <c r="J113" s="146"/>
      <c r="K113" s="146"/>
      <c r="L113" s="146"/>
      <c r="M113" s="458"/>
      <c r="N113" s="145"/>
      <c r="O113" s="146"/>
      <c r="P113" s="146"/>
      <c r="Q113" s="147"/>
      <c r="R113" s="147"/>
      <c r="S113" s="142"/>
      <c r="T113" s="142"/>
      <c r="U113" s="2838"/>
      <c r="V113" s="2838"/>
      <c r="W113" s="2838"/>
      <c r="X113" s="2838"/>
      <c r="Y113" s="2838"/>
      <c r="Z113" s="2838"/>
      <c r="AA113" s="2838"/>
      <c r="AC113" s="2826"/>
      <c r="AD113" s="2826"/>
      <c r="AE113" s="2826"/>
      <c r="AF113" s="2826"/>
      <c r="AG113" s="2826"/>
      <c r="AH113" s="2826"/>
      <c r="AI113" s="2826"/>
      <c r="AJ113" s="2826"/>
      <c r="AK113" s="2826"/>
      <c r="AL113" s="2826"/>
      <c r="AM113" s="2826"/>
    </row>
    <row r="114" spans="2:39" s="3021" customFormat="1" ht="11">
      <c r="B114" s="144"/>
      <c r="C114" s="143"/>
      <c r="D114" s="907"/>
      <c r="E114" s="143"/>
      <c r="F114" s="145"/>
      <c r="G114" s="146"/>
      <c r="H114" s="146"/>
      <c r="I114" s="146"/>
      <c r="J114" s="146"/>
      <c r="K114" s="146"/>
      <c r="L114" s="146"/>
      <c r="M114" s="458"/>
      <c r="N114" s="145"/>
      <c r="O114" s="146"/>
      <c r="P114" s="146"/>
      <c r="Q114" s="147"/>
      <c r="R114" s="147"/>
      <c r="S114" s="142"/>
      <c r="T114" s="142"/>
      <c r="U114" s="2838"/>
      <c r="V114" s="2838"/>
      <c r="W114" s="2838"/>
      <c r="X114" s="2838"/>
      <c r="Y114" s="2838"/>
      <c r="Z114" s="2838"/>
      <c r="AA114" s="2838"/>
      <c r="AC114" s="2826"/>
      <c r="AD114" s="2826"/>
      <c r="AE114" s="2826"/>
      <c r="AF114" s="2826"/>
      <c r="AG114" s="2826"/>
      <c r="AH114" s="2826"/>
      <c r="AI114" s="2826"/>
      <c r="AJ114" s="2826"/>
      <c r="AK114" s="2826"/>
      <c r="AL114" s="2826"/>
      <c r="AM114" s="2826"/>
    </row>
    <row r="115" spans="2:39" s="3021" customFormat="1" ht="11">
      <c r="B115" s="144"/>
      <c r="C115" s="143"/>
      <c r="D115" s="907"/>
      <c r="E115" s="143"/>
      <c r="F115" s="145"/>
      <c r="G115" s="146"/>
      <c r="H115" s="146"/>
      <c r="I115" s="146"/>
      <c r="J115" s="146"/>
      <c r="K115" s="146"/>
      <c r="L115" s="146"/>
      <c r="M115" s="458"/>
      <c r="N115" s="145"/>
      <c r="O115" s="146"/>
      <c r="P115" s="146"/>
      <c r="Q115" s="147"/>
      <c r="R115" s="147"/>
      <c r="S115" s="142"/>
      <c r="T115" s="142"/>
      <c r="U115" s="2838"/>
      <c r="V115" s="2838"/>
      <c r="W115" s="2838"/>
      <c r="X115" s="2838"/>
      <c r="Y115" s="2838"/>
      <c r="Z115" s="2838"/>
      <c r="AA115" s="2838"/>
      <c r="AC115" s="2826"/>
      <c r="AD115" s="2826"/>
      <c r="AE115" s="2826"/>
      <c r="AF115" s="2826"/>
      <c r="AG115" s="2826"/>
      <c r="AH115" s="2826"/>
      <c r="AI115" s="2826"/>
      <c r="AJ115" s="2826"/>
      <c r="AK115" s="2826"/>
      <c r="AL115" s="2826"/>
      <c r="AM115" s="2826"/>
    </row>
    <row r="116" spans="2:39" s="3021" customFormat="1" ht="11">
      <c r="B116" s="144"/>
      <c r="C116" s="143"/>
      <c r="D116" s="907"/>
      <c r="E116" s="143"/>
      <c r="F116" s="145"/>
      <c r="G116" s="146"/>
      <c r="H116" s="146"/>
      <c r="I116" s="146"/>
      <c r="J116" s="146"/>
      <c r="K116" s="146"/>
      <c r="L116" s="146"/>
      <c r="M116" s="458"/>
      <c r="N116" s="145"/>
      <c r="O116" s="146"/>
      <c r="P116" s="146"/>
      <c r="Q116" s="147"/>
      <c r="R116" s="147"/>
      <c r="S116" s="142"/>
      <c r="T116" s="142"/>
      <c r="U116" s="146"/>
      <c r="V116" s="146"/>
      <c r="W116" s="146"/>
      <c r="X116" s="146"/>
      <c r="Y116" s="146"/>
      <c r="Z116" s="146"/>
      <c r="AA116" s="146"/>
      <c r="AC116" s="2826"/>
      <c r="AD116" s="2826"/>
      <c r="AE116" s="2826"/>
      <c r="AF116" s="2826"/>
      <c r="AG116" s="2826"/>
      <c r="AH116" s="2826"/>
      <c r="AI116" s="2826"/>
      <c r="AJ116" s="2826"/>
      <c r="AK116" s="2826"/>
      <c r="AL116" s="2826"/>
      <c r="AM116" s="2826"/>
    </row>
    <row r="117" spans="2:39" s="3021" customFormat="1" ht="11">
      <c r="B117" s="144"/>
      <c r="C117" s="143"/>
      <c r="D117" s="907"/>
      <c r="E117" s="143"/>
      <c r="F117" s="145"/>
      <c r="G117" s="146"/>
      <c r="H117" s="146"/>
      <c r="I117" s="146"/>
      <c r="J117" s="146"/>
      <c r="K117" s="146"/>
      <c r="L117" s="146"/>
      <c r="M117" s="458"/>
      <c r="N117" s="145"/>
      <c r="O117" s="146"/>
      <c r="P117" s="146"/>
      <c r="Q117" s="147"/>
      <c r="R117" s="147"/>
      <c r="S117" s="142"/>
      <c r="T117" s="142"/>
      <c r="U117" s="146"/>
      <c r="V117" s="146"/>
      <c r="W117" s="146"/>
      <c r="X117" s="146"/>
      <c r="Y117" s="146"/>
      <c r="Z117" s="146"/>
      <c r="AA117" s="146"/>
      <c r="AC117" s="2826"/>
      <c r="AD117" s="2826"/>
      <c r="AE117" s="2826"/>
      <c r="AF117" s="2826"/>
      <c r="AG117" s="2826"/>
      <c r="AH117" s="2826"/>
      <c r="AI117" s="2826"/>
      <c r="AJ117" s="2826"/>
      <c r="AK117" s="2826"/>
      <c r="AL117" s="2826"/>
      <c r="AM117" s="2826"/>
    </row>
    <row r="118" spans="2:39" s="3021" customFormat="1" ht="11">
      <c r="B118" s="144"/>
      <c r="C118" s="143"/>
      <c r="D118" s="907"/>
      <c r="E118" s="143"/>
      <c r="F118" s="145"/>
      <c r="G118" s="146"/>
      <c r="H118" s="146"/>
      <c r="I118" s="146"/>
      <c r="J118" s="146"/>
      <c r="K118" s="146"/>
      <c r="L118" s="146"/>
      <c r="M118" s="458"/>
      <c r="N118" s="145"/>
      <c r="O118" s="146"/>
      <c r="P118" s="146"/>
      <c r="Q118" s="147"/>
      <c r="R118" s="147"/>
      <c r="S118" s="142"/>
      <c r="T118" s="142"/>
      <c r="U118" s="146"/>
      <c r="V118" s="146"/>
      <c r="W118" s="146"/>
      <c r="X118" s="146"/>
      <c r="Y118" s="146"/>
      <c r="Z118" s="146"/>
      <c r="AA118" s="146"/>
      <c r="AC118" s="2826"/>
      <c r="AD118" s="2826"/>
      <c r="AE118" s="2826"/>
      <c r="AF118" s="2826"/>
      <c r="AG118" s="2826"/>
      <c r="AH118" s="2826"/>
      <c r="AI118" s="2826"/>
      <c r="AJ118" s="2826"/>
      <c r="AK118" s="2826"/>
      <c r="AL118" s="2826"/>
      <c r="AM118" s="2826"/>
    </row>
    <row r="119" spans="2:39" s="3021" customFormat="1" ht="11">
      <c r="B119" s="144"/>
      <c r="C119" s="143"/>
      <c r="D119" s="907"/>
      <c r="E119" s="143"/>
      <c r="F119" s="145"/>
      <c r="G119" s="146"/>
      <c r="H119" s="146"/>
      <c r="I119" s="146"/>
      <c r="J119" s="146"/>
      <c r="K119" s="146"/>
      <c r="L119" s="146"/>
      <c r="M119" s="458"/>
      <c r="N119" s="145"/>
      <c r="O119" s="146"/>
      <c r="P119" s="146"/>
      <c r="Q119" s="147"/>
      <c r="R119" s="147"/>
      <c r="S119" s="142"/>
      <c r="T119" s="142"/>
      <c r="U119" s="146"/>
      <c r="V119" s="146"/>
      <c r="W119" s="146"/>
      <c r="X119" s="146"/>
      <c r="Y119" s="146"/>
      <c r="Z119" s="146"/>
      <c r="AA119" s="146"/>
      <c r="AC119" s="2826"/>
      <c r="AD119" s="2826"/>
      <c r="AE119" s="2826"/>
      <c r="AF119" s="2826"/>
      <c r="AG119" s="2826"/>
      <c r="AH119" s="2826"/>
      <c r="AI119" s="2826"/>
      <c r="AJ119" s="2826"/>
      <c r="AK119" s="2826"/>
      <c r="AL119" s="2826"/>
      <c r="AM119" s="2826"/>
    </row>
    <row r="120" spans="2:39" s="3021" customFormat="1" ht="11">
      <c r="B120" s="144"/>
      <c r="C120" s="143"/>
      <c r="D120" s="907"/>
      <c r="E120" s="143"/>
      <c r="F120" s="145"/>
      <c r="G120" s="146"/>
      <c r="H120" s="146"/>
      <c r="I120" s="146"/>
      <c r="J120" s="146"/>
      <c r="K120" s="146"/>
      <c r="L120" s="146"/>
      <c r="M120" s="458"/>
      <c r="N120" s="145"/>
      <c r="O120" s="146"/>
      <c r="P120" s="146"/>
      <c r="Q120" s="147"/>
      <c r="R120" s="147"/>
      <c r="S120" s="142"/>
      <c r="T120" s="142"/>
      <c r="U120" s="146"/>
      <c r="V120" s="146"/>
      <c r="W120" s="146"/>
      <c r="X120" s="146"/>
      <c r="Y120" s="146"/>
      <c r="Z120" s="146"/>
      <c r="AA120" s="146"/>
      <c r="AC120" s="2826"/>
      <c r="AD120" s="2826"/>
      <c r="AE120" s="2826"/>
      <c r="AF120" s="2826"/>
      <c r="AG120" s="2826"/>
      <c r="AH120" s="2826"/>
      <c r="AI120" s="2826"/>
      <c r="AJ120" s="2826"/>
      <c r="AK120" s="2826"/>
      <c r="AL120" s="2826"/>
      <c r="AM120" s="2826"/>
    </row>
    <row r="121" spans="2:39" s="3021" customFormat="1" ht="11">
      <c r="B121" s="144"/>
      <c r="C121" s="143"/>
      <c r="D121" s="907"/>
      <c r="E121" s="143"/>
      <c r="F121" s="145"/>
      <c r="G121" s="146"/>
      <c r="H121" s="146"/>
      <c r="I121" s="146"/>
      <c r="J121" s="146"/>
      <c r="K121" s="146"/>
      <c r="L121" s="146"/>
      <c r="M121" s="458"/>
      <c r="N121" s="145"/>
      <c r="O121" s="146"/>
      <c r="P121" s="146"/>
      <c r="Q121" s="147"/>
      <c r="R121" s="147"/>
      <c r="S121" s="142"/>
      <c r="T121" s="142"/>
      <c r="U121" s="146"/>
      <c r="V121" s="146"/>
      <c r="W121" s="146"/>
      <c r="X121" s="146"/>
      <c r="Y121" s="146"/>
      <c r="Z121" s="146"/>
      <c r="AA121" s="146"/>
      <c r="AC121" s="2826"/>
      <c r="AD121" s="2826"/>
      <c r="AE121" s="2826"/>
      <c r="AF121" s="2826"/>
      <c r="AG121" s="2826"/>
      <c r="AH121" s="2826"/>
      <c r="AI121" s="2826"/>
      <c r="AJ121" s="2826"/>
      <c r="AK121" s="2826"/>
      <c r="AL121" s="2826"/>
      <c r="AM121" s="2826"/>
    </row>
    <row r="122" spans="2:39" s="3021" customFormat="1" ht="11">
      <c r="B122" s="144"/>
      <c r="C122" s="143"/>
      <c r="D122" s="907"/>
      <c r="E122" s="143"/>
      <c r="F122" s="145"/>
      <c r="G122" s="146"/>
      <c r="H122" s="146"/>
      <c r="I122" s="146"/>
      <c r="J122" s="146"/>
      <c r="K122" s="146"/>
      <c r="L122" s="146"/>
      <c r="M122" s="458"/>
      <c r="N122" s="145"/>
      <c r="O122" s="146"/>
      <c r="P122" s="146"/>
      <c r="Q122" s="147"/>
      <c r="R122" s="147"/>
      <c r="S122" s="142"/>
      <c r="T122" s="142"/>
      <c r="U122" s="146"/>
      <c r="V122" s="146"/>
      <c r="W122" s="146"/>
      <c r="X122" s="146"/>
      <c r="Y122" s="146"/>
      <c r="Z122" s="146"/>
      <c r="AA122" s="146"/>
      <c r="AC122" s="2826"/>
      <c r="AD122" s="2826"/>
      <c r="AE122" s="2826"/>
      <c r="AF122" s="2826"/>
      <c r="AG122" s="2826"/>
      <c r="AH122" s="2826"/>
      <c r="AI122" s="2826"/>
      <c r="AJ122" s="2826"/>
      <c r="AK122" s="2826"/>
      <c r="AL122" s="2826"/>
      <c r="AM122" s="2826"/>
    </row>
    <row r="123" spans="2:39" s="3021" customFormat="1" ht="11">
      <c r="B123" s="144"/>
      <c r="C123" s="143"/>
      <c r="D123" s="907"/>
      <c r="E123" s="143"/>
      <c r="F123" s="145"/>
      <c r="G123" s="146"/>
      <c r="H123" s="146"/>
      <c r="I123" s="146"/>
      <c r="J123" s="146"/>
      <c r="K123" s="146"/>
      <c r="L123" s="146"/>
      <c r="M123" s="458"/>
      <c r="N123" s="145"/>
      <c r="O123" s="146"/>
      <c r="P123" s="146"/>
      <c r="Q123" s="147"/>
      <c r="R123" s="147"/>
      <c r="S123" s="142"/>
      <c r="T123" s="142"/>
      <c r="U123" s="146"/>
      <c r="V123" s="146"/>
      <c r="W123" s="146"/>
      <c r="X123" s="146"/>
      <c r="Y123" s="146"/>
      <c r="Z123" s="146"/>
      <c r="AA123" s="146"/>
      <c r="AC123" s="2826"/>
      <c r="AD123" s="2826"/>
      <c r="AE123" s="2826"/>
      <c r="AF123" s="2826"/>
      <c r="AG123" s="2826"/>
      <c r="AH123" s="2826"/>
      <c r="AI123" s="2826"/>
      <c r="AJ123" s="2826"/>
      <c r="AK123" s="2826"/>
      <c r="AL123" s="2826"/>
      <c r="AM123" s="2826"/>
    </row>
    <row r="124" spans="2:39" s="3021" customFormat="1" ht="11">
      <c r="B124" s="144"/>
      <c r="C124" s="143"/>
      <c r="D124" s="907"/>
      <c r="E124" s="143"/>
      <c r="F124" s="145"/>
      <c r="G124" s="146"/>
      <c r="H124" s="146"/>
      <c r="I124" s="146"/>
      <c r="J124" s="146"/>
      <c r="K124" s="146"/>
      <c r="L124" s="146"/>
      <c r="M124" s="458"/>
      <c r="N124" s="145"/>
      <c r="O124" s="146"/>
      <c r="P124" s="146"/>
      <c r="Q124" s="147"/>
      <c r="R124" s="147"/>
      <c r="S124" s="142"/>
      <c r="T124" s="142"/>
      <c r="U124" s="146"/>
      <c r="V124" s="146"/>
      <c r="W124" s="146"/>
      <c r="X124" s="146"/>
      <c r="Y124" s="146"/>
      <c r="Z124" s="146"/>
      <c r="AA124" s="146"/>
      <c r="AC124" s="2826"/>
      <c r="AD124" s="2826"/>
      <c r="AE124" s="2826"/>
      <c r="AF124" s="2826"/>
      <c r="AG124" s="2826"/>
      <c r="AH124" s="2826"/>
      <c r="AI124" s="2826"/>
      <c r="AJ124" s="2826"/>
      <c r="AK124" s="2826"/>
      <c r="AL124" s="2826"/>
      <c r="AM124" s="2826"/>
    </row>
    <row r="125" spans="2:39" s="3021" customFormat="1" ht="11">
      <c r="B125" s="144"/>
      <c r="C125" s="143"/>
      <c r="D125" s="907"/>
      <c r="E125" s="143"/>
      <c r="F125" s="145"/>
      <c r="G125" s="146"/>
      <c r="H125" s="146"/>
      <c r="I125" s="146"/>
      <c r="J125" s="146"/>
      <c r="K125" s="146"/>
      <c r="L125" s="146"/>
      <c r="M125" s="458"/>
      <c r="N125" s="145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C125" s="2826"/>
      <c r="AD125" s="2826"/>
      <c r="AE125" s="2826"/>
      <c r="AF125" s="2826"/>
      <c r="AG125" s="2826"/>
      <c r="AH125" s="2826"/>
      <c r="AI125" s="2826"/>
      <c r="AJ125" s="2826"/>
      <c r="AK125" s="2826"/>
      <c r="AL125" s="2826"/>
      <c r="AM125" s="2826"/>
    </row>
    <row r="126" spans="2:39" s="3021" customFormat="1" ht="11">
      <c r="B126" s="144"/>
      <c r="C126" s="143"/>
      <c r="D126" s="907"/>
      <c r="E126" s="143"/>
      <c r="F126" s="145"/>
      <c r="G126" s="146"/>
      <c r="H126" s="146"/>
      <c r="I126" s="146"/>
      <c r="J126" s="146"/>
      <c r="K126" s="146"/>
      <c r="L126" s="146"/>
      <c r="M126" s="458"/>
      <c r="N126" s="145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C126" s="2826"/>
      <c r="AD126" s="2826"/>
      <c r="AE126" s="2826"/>
      <c r="AF126" s="2826"/>
      <c r="AG126" s="2826"/>
      <c r="AH126" s="2826"/>
      <c r="AI126" s="2826"/>
      <c r="AJ126" s="2826"/>
      <c r="AK126" s="2826"/>
      <c r="AL126" s="2826"/>
      <c r="AM126" s="2826"/>
    </row>
    <row r="127" spans="2:39" s="3021" customFormat="1" ht="11">
      <c r="B127" s="144"/>
      <c r="C127" s="143"/>
      <c r="D127" s="907"/>
      <c r="E127" s="143"/>
      <c r="F127" s="145"/>
      <c r="G127" s="146"/>
      <c r="H127" s="146"/>
      <c r="I127" s="146"/>
      <c r="J127" s="146"/>
      <c r="K127" s="146"/>
      <c r="L127" s="146"/>
      <c r="M127" s="458"/>
      <c r="N127" s="145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C127" s="2826"/>
      <c r="AD127" s="2826"/>
      <c r="AE127" s="2826"/>
      <c r="AF127" s="2826"/>
      <c r="AG127" s="2826"/>
      <c r="AH127" s="2826"/>
      <c r="AI127" s="2826"/>
      <c r="AJ127" s="2826"/>
      <c r="AK127" s="2826"/>
      <c r="AL127" s="2826"/>
      <c r="AM127" s="2826"/>
    </row>
    <row r="128" spans="2:39" s="3021" customFormat="1" ht="11">
      <c r="B128" s="144"/>
      <c r="C128" s="143"/>
      <c r="D128" s="907"/>
      <c r="E128" s="143"/>
      <c r="F128" s="145"/>
      <c r="G128" s="146"/>
      <c r="H128" s="146"/>
      <c r="I128" s="146"/>
      <c r="J128" s="146"/>
      <c r="K128" s="146"/>
      <c r="L128" s="146"/>
      <c r="M128" s="458"/>
      <c r="N128" s="145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C128" s="2826"/>
      <c r="AD128" s="2826"/>
      <c r="AE128" s="2826"/>
      <c r="AF128" s="2826"/>
      <c r="AG128" s="2826"/>
      <c r="AH128" s="2826"/>
      <c r="AI128" s="2826"/>
      <c r="AJ128" s="2826"/>
      <c r="AK128" s="2826"/>
      <c r="AL128" s="2826"/>
      <c r="AM128" s="2826"/>
    </row>
    <row r="129" spans="2:39" s="3021" customFormat="1" ht="11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146"/>
      <c r="M129" s="458"/>
      <c r="N129" s="145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C129" s="2826"/>
      <c r="AD129" s="2826"/>
      <c r="AE129" s="2826"/>
      <c r="AF129" s="2826"/>
      <c r="AG129" s="2826"/>
      <c r="AH129" s="2826"/>
      <c r="AI129" s="2826"/>
      <c r="AJ129" s="2826"/>
      <c r="AK129" s="2826"/>
      <c r="AL129" s="2826"/>
      <c r="AM129" s="2826"/>
    </row>
    <row r="130" spans="2:39" s="3021" customFormat="1" ht="11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146"/>
      <c r="M130" s="458"/>
      <c r="N130" s="145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C130" s="2826"/>
      <c r="AD130" s="2826"/>
      <c r="AE130" s="2826"/>
      <c r="AF130" s="2826"/>
      <c r="AG130" s="2826"/>
      <c r="AH130" s="2826"/>
      <c r="AI130" s="2826"/>
      <c r="AJ130" s="2826"/>
      <c r="AK130" s="2826"/>
      <c r="AL130" s="2826"/>
      <c r="AM130" s="2826"/>
    </row>
    <row r="131" spans="2:39" s="3021" customFormat="1" ht="11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146"/>
      <c r="M131" s="458"/>
      <c r="N131" s="145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C131" s="2826"/>
      <c r="AD131" s="2826"/>
      <c r="AE131" s="2826"/>
      <c r="AF131" s="2826"/>
      <c r="AG131" s="2826"/>
      <c r="AH131" s="2826"/>
      <c r="AI131" s="2826"/>
      <c r="AJ131" s="2826"/>
      <c r="AK131" s="2826"/>
      <c r="AL131" s="2826"/>
      <c r="AM131" s="2826"/>
    </row>
    <row r="132" spans="2:39" s="3021" customFormat="1" ht="11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146"/>
      <c r="M132" s="458"/>
      <c r="N132" s="145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C132" s="2826"/>
      <c r="AD132" s="2826"/>
      <c r="AE132" s="2826"/>
      <c r="AF132" s="2826"/>
      <c r="AG132" s="2826"/>
      <c r="AH132" s="2826"/>
      <c r="AI132" s="2826"/>
      <c r="AJ132" s="2826"/>
      <c r="AK132" s="2826"/>
      <c r="AL132" s="2826"/>
      <c r="AM132" s="2826"/>
    </row>
    <row r="133" spans="2:39" s="3021" customFormat="1" ht="11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146"/>
      <c r="M133" s="458"/>
      <c r="N133" s="145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826"/>
      <c r="AD133" s="2826"/>
      <c r="AE133" s="2826"/>
      <c r="AF133" s="2826"/>
      <c r="AG133" s="2826"/>
      <c r="AH133" s="2826"/>
      <c r="AI133" s="2826"/>
      <c r="AJ133" s="2826"/>
      <c r="AK133" s="2826"/>
      <c r="AL133" s="2826"/>
      <c r="AM133" s="2826"/>
    </row>
    <row r="134" spans="2:39" s="3021" customFormat="1" ht="1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146"/>
      <c r="M134" s="458"/>
      <c r="N134" s="145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826"/>
      <c r="AD134" s="2826"/>
      <c r="AE134" s="2826"/>
      <c r="AF134" s="2826"/>
      <c r="AG134" s="2826"/>
      <c r="AH134" s="2826"/>
      <c r="AI134" s="2826"/>
      <c r="AJ134" s="2826"/>
      <c r="AK134" s="2826"/>
      <c r="AL134" s="2826"/>
      <c r="AM134" s="2826"/>
    </row>
    <row r="135" spans="2:39" s="3021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146"/>
      <c r="M135" s="458"/>
      <c r="N135" s="145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826"/>
      <c r="AD135" s="2826"/>
      <c r="AE135" s="2826"/>
      <c r="AF135" s="2826"/>
      <c r="AG135" s="2826"/>
      <c r="AH135" s="2826"/>
      <c r="AI135" s="2826"/>
      <c r="AJ135" s="2826"/>
      <c r="AK135" s="2826"/>
      <c r="AL135" s="2826"/>
      <c r="AM135" s="2826"/>
    </row>
    <row r="136" spans="2:39" s="3021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146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826"/>
      <c r="AD136" s="2826"/>
      <c r="AE136" s="2826"/>
      <c r="AF136" s="2826"/>
      <c r="AG136" s="2826"/>
      <c r="AH136" s="2826"/>
      <c r="AI136" s="2826"/>
      <c r="AJ136" s="2826"/>
      <c r="AK136" s="2826"/>
      <c r="AL136" s="2826"/>
      <c r="AM136" s="2826"/>
    </row>
    <row r="137" spans="2:39" s="3021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146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B137" s="3021">
        <f>SUBTOTAL(9,AB95:AB136)</f>
        <v>0</v>
      </c>
      <c r="AC137" s="2826">
        <f>SUBTOTAL(9,AC95:AC136)</f>
        <v>0</v>
      </c>
      <c r="AD137" s="2826">
        <f>SUBTOTAL(9,AD95:AD136)</f>
        <v>0</v>
      </c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2:39" s="3021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146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B138" s="3021">
        <v>0</v>
      </c>
      <c r="AC138" s="2826">
        <v>0</v>
      </c>
      <c r="AD138" s="2826">
        <v>0</v>
      </c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2:39" s="3021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146"/>
      <c r="M139" s="458"/>
      <c r="N139" s="145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B139" s="3021">
        <v>0</v>
      </c>
      <c r="AC139" s="2826">
        <v>0</v>
      </c>
      <c r="AD139" s="2826">
        <v>0</v>
      </c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2:39" s="3021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B140" s="3021">
        <v>0</v>
      </c>
      <c r="AC140" s="2826">
        <v>0</v>
      </c>
      <c r="AD140" s="2826">
        <v>0</v>
      </c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2:39" s="3021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B141" s="3021">
        <v>0</v>
      </c>
      <c r="AC141" s="2826">
        <v>0</v>
      </c>
      <c r="AD141" s="2826">
        <v>0</v>
      </c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2:39" s="3021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B142" s="3021">
        <v>0</v>
      </c>
      <c r="AC142" s="2826">
        <v>0</v>
      </c>
      <c r="AD142" s="2826">
        <v>0</v>
      </c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2:39" s="3021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B143" s="3021">
        <v>0</v>
      </c>
      <c r="AC143" s="2826">
        <v>0</v>
      </c>
      <c r="AD143" s="2826">
        <v>0</v>
      </c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2:39" s="3021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B144" s="3021">
        <v>0</v>
      </c>
      <c r="AC144" s="2826">
        <v>0</v>
      </c>
      <c r="AD144" s="2826">
        <v>0</v>
      </c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41" s="3021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B145" s="3021">
        <v>0</v>
      </c>
      <c r="AC145" s="2826">
        <v>0</v>
      </c>
      <c r="AD145" s="2826">
        <v>0</v>
      </c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41" s="3021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B146" s="3021">
        <v>0</v>
      </c>
      <c r="AC146" s="2826">
        <v>0</v>
      </c>
      <c r="AD146" s="2826">
        <v>0</v>
      </c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41" s="3021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B147" s="3021">
        <v>0</v>
      </c>
      <c r="AC147" s="2826">
        <v>0</v>
      </c>
      <c r="AD147" s="2826">
        <v>0</v>
      </c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41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>
        <f>SUBTOTAL(9,U106:U147)</f>
        <v>0</v>
      </c>
      <c r="V148" s="146">
        <f t="shared" ref="V148:AA148" si="53">SUBTOTAL(9,V106:V147)</f>
        <v>0</v>
      </c>
      <c r="W148" s="146">
        <f t="shared" si="53"/>
        <v>0</v>
      </c>
      <c r="X148" s="146">
        <f t="shared" si="53"/>
        <v>0</v>
      </c>
      <c r="Y148" s="146">
        <f t="shared" si="53"/>
        <v>0</v>
      </c>
      <c r="Z148" s="146">
        <f t="shared" si="53"/>
        <v>0</v>
      </c>
      <c r="AA148" s="146">
        <f t="shared" si="53"/>
        <v>0</v>
      </c>
      <c r="AB148" s="3021">
        <v>0</v>
      </c>
      <c r="AC148" s="2826">
        <v>0</v>
      </c>
      <c r="AD148" s="2826">
        <v>0</v>
      </c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41" s="2825" customFormat="1" ht="14" thickBot="1">
      <c r="B149" s="139"/>
      <c r="C149" s="138"/>
      <c r="D149" s="908"/>
      <c r="E149" s="138"/>
      <c r="F149" s="140"/>
      <c r="G149" s="141"/>
      <c r="H149" s="141"/>
      <c r="I149" s="141"/>
      <c r="J149" s="141"/>
      <c r="K149" s="141"/>
      <c r="L149" s="141"/>
      <c r="M149" s="458"/>
      <c r="N149" s="140"/>
      <c r="O149" s="141"/>
      <c r="P149" s="141"/>
      <c r="Q149" s="148"/>
      <c r="R149" s="148"/>
      <c r="S149" s="149"/>
      <c r="T149" s="149"/>
      <c r="U149" s="150"/>
      <c r="V149" s="150"/>
      <c r="W149" s="150"/>
      <c r="X149" s="150"/>
      <c r="Y149" s="150"/>
      <c r="Z149" s="150"/>
      <c r="AA149" s="150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41" s="2825" customFormat="1" ht="15" thickTop="1" thickBot="1">
      <c r="B150" s="139"/>
      <c r="C150" s="138"/>
      <c r="D150" s="908"/>
      <c r="E150" s="138"/>
      <c r="F150" s="140"/>
      <c r="G150" s="141"/>
      <c r="H150" s="141"/>
      <c r="I150" s="141"/>
      <c r="J150" s="141"/>
      <c r="K150" s="141"/>
      <c r="L150" s="141"/>
      <c r="M150" s="458"/>
      <c r="N150" s="140"/>
      <c r="O150" s="141"/>
      <c r="P150" s="141"/>
      <c r="Q150" s="148"/>
      <c r="R150" s="148"/>
      <c r="S150" s="148"/>
      <c r="T150" s="149"/>
      <c r="U150" s="151"/>
      <c r="V150" s="152"/>
      <c r="W150" s="153"/>
      <c r="X150" s="153"/>
      <c r="Y150" s="153"/>
      <c r="Z150" s="153"/>
      <c r="AA150" s="154"/>
      <c r="AB150" s="3022"/>
      <c r="AC150" s="3022"/>
      <c r="AE150" s="2826"/>
      <c r="AF150" s="2826"/>
      <c r="AG150" s="2826"/>
      <c r="AH150" s="2826"/>
      <c r="AI150" s="2826"/>
      <c r="AJ150" s="2826"/>
      <c r="AK150" s="2826"/>
      <c r="AL150" s="2826"/>
      <c r="AM150" s="2826"/>
      <c r="AN150" s="2826"/>
      <c r="AO150" s="2826"/>
    </row>
    <row r="151" spans="2:41" s="3021" customFormat="1" ht="12" thickTop="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41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41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41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41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41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41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41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41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41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82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826"/>
      <c r="AD174" s="2826"/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826"/>
      <c r="AD175" s="2826"/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82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39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39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39" s="3021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39" s="3021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39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39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39" s="3021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39" s="3021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39" s="3021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39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39" s="3021" customFormat="1" ht="11">
      <c r="B187" s="3159"/>
      <c r="D187" s="3160"/>
      <c r="F187" s="3023"/>
      <c r="G187" s="3024"/>
      <c r="H187" s="3024"/>
      <c r="I187" s="3024"/>
      <c r="J187" s="3024"/>
      <c r="K187" s="3024"/>
      <c r="L187" s="3024"/>
      <c r="M187" s="3025"/>
      <c r="N187" s="3023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39" s="3021" customFormat="1" ht="11">
      <c r="B188" s="3159"/>
      <c r="D188" s="3160"/>
      <c r="F188" s="3023"/>
      <c r="G188" s="3024"/>
      <c r="H188" s="3024"/>
      <c r="I188" s="3024"/>
      <c r="J188" s="3024"/>
      <c r="K188" s="3024"/>
      <c r="L188" s="3024"/>
      <c r="M188" s="3025"/>
      <c r="N188" s="3023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39" s="3021" customFormat="1" ht="11">
      <c r="B189" s="3159"/>
      <c r="D189" s="3160"/>
      <c r="F189" s="3023"/>
      <c r="G189" s="3024"/>
      <c r="H189" s="3024"/>
      <c r="I189" s="3024"/>
      <c r="J189" s="3024"/>
      <c r="K189" s="3024"/>
      <c r="L189" s="3024"/>
      <c r="M189" s="3025"/>
      <c r="N189" s="3023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39" s="3021" customFormat="1" ht="11">
      <c r="B190" s="3159"/>
      <c r="D190" s="3160"/>
      <c r="F190" s="3023"/>
      <c r="G190" s="3024"/>
      <c r="H190" s="3024"/>
      <c r="I190" s="3024"/>
      <c r="J190" s="3024"/>
      <c r="K190" s="3024"/>
      <c r="L190" s="3024"/>
      <c r="M190" s="3025"/>
      <c r="N190" s="3023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39" s="3021" customFormat="1" ht="11">
      <c r="B191" s="3159"/>
      <c r="D191" s="3160"/>
      <c r="F191" s="3023"/>
      <c r="G191" s="3024"/>
      <c r="H191" s="3024"/>
      <c r="I191" s="3024"/>
      <c r="J191" s="3024"/>
      <c r="K191" s="3024"/>
      <c r="L191" s="3024"/>
      <c r="M191" s="3025"/>
      <c r="N191" s="3023"/>
      <c r="O191" s="146"/>
      <c r="P191" s="146"/>
      <c r="Q191" s="147"/>
      <c r="R191" s="147"/>
      <c r="S191" s="142"/>
      <c r="T191" s="142"/>
      <c r="U191" s="146">
        <f>SUBTOTAL(9,U149:U190)</f>
        <v>0</v>
      </c>
      <c r="V191" s="146">
        <f t="shared" ref="V191:AA191" si="54">SUBTOTAL(9,V149:V190)</f>
        <v>0</v>
      </c>
      <c r="W191" s="146">
        <f t="shared" si="54"/>
        <v>0</v>
      </c>
      <c r="X191" s="146">
        <f t="shared" si="54"/>
        <v>0</v>
      </c>
      <c r="Y191" s="146">
        <f t="shared" si="54"/>
        <v>0</v>
      </c>
      <c r="Z191" s="146">
        <f t="shared" si="54"/>
        <v>0</v>
      </c>
      <c r="AA191" s="146">
        <f t="shared" si="54"/>
        <v>0</v>
      </c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39" s="2825" customFormat="1" ht="14" thickBot="1">
      <c r="B192" s="2935"/>
      <c r="D192" s="3161"/>
      <c r="F192" s="3026"/>
      <c r="G192" s="3027"/>
      <c r="H192" s="3027"/>
      <c r="I192" s="3027"/>
      <c r="J192" s="3027"/>
      <c r="K192" s="3027"/>
      <c r="L192" s="3027"/>
      <c r="M192" s="3025"/>
      <c r="N192" s="3026"/>
      <c r="O192" s="141"/>
      <c r="P192" s="141"/>
      <c r="Q192" s="148"/>
      <c r="R192" s="148"/>
      <c r="S192" s="149"/>
      <c r="T192" s="149"/>
      <c r="U192" s="150"/>
      <c r="V192" s="150"/>
      <c r="W192" s="150"/>
      <c r="X192" s="150"/>
      <c r="Y192" s="150"/>
      <c r="Z192" s="150"/>
      <c r="AA192" s="150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41" s="2825" customFormat="1" ht="15" thickTop="1" thickBot="1">
      <c r="B193" s="2935"/>
      <c r="D193" s="3161"/>
      <c r="F193" s="3026"/>
      <c r="G193" s="3027"/>
      <c r="H193" s="3027"/>
      <c r="I193" s="3027"/>
      <c r="J193" s="3027"/>
      <c r="K193" s="3027"/>
      <c r="L193" s="3027"/>
      <c r="M193" s="3025"/>
      <c r="N193" s="3026"/>
      <c r="O193" s="141"/>
      <c r="P193" s="141"/>
      <c r="Q193" s="148"/>
      <c r="R193" s="148"/>
      <c r="S193" s="148"/>
      <c r="T193" s="148"/>
      <c r="U193" s="151">
        <f>SUBTOTAL(9,U151:U192)</f>
        <v>0</v>
      </c>
      <c r="V193" s="152">
        <f t="shared" ref="V193:AA193" si="55">SUBTOTAL(9,V151:V192)</f>
        <v>0</v>
      </c>
      <c r="W193" s="153">
        <f t="shared" si="55"/>
        <v>0</v>
      </c>
      <c r="X193" s="153">
        <f t="shared" si="55"/>
        <v>0</v>
      </c>
      <c r="Y193" s="153">
        <f t="shared" si="55"/>
        <v>0</v>
      </c>
      <c r="Z193" s="153">
        <f t="shared" si="55"/>
        <v>0</v>
      </c>
      <c r="AA193" s="154">
        <f t="shared" si="55"/>
        <v>0</v>
      </c>
      <c r="AB193" s="3022"/>
      <c r="AC193" s="3022"/>
      <c r="AE193" s="2826"/>
      <c r="AF193" s="2826"/>
      <c r="AG193" s="2826"/>
      <c r="AH193" s="2826"/>
      <c r="AI193" s="2826"/>
      <c r="AJ193" s="2826"/>
      <c r="AK193" s="2826"/>
      <c r="AL193" s="2826"/>
      <c r="AM193" s="2826"/>
      <c r="AN193" s="2826"/>
      <c r="AO193" s="2826"/>
    </row>
    <row r="194" spans="2:41" s="2825" customFormat="1" ht="14" thickTop="1">
      <c r="B194" s="2935"/>
      <c r="D194" s="3161"/>
      <c r="F194" s="3026"/>
      <c r="G194" s="3027"/>
      <c r="H194" s="3027"/>
      <c r="I194" s="3027"/>
      <c r="J194" s="3027"/>
      <c r="K194" s="3027"/>
      <c r="L194" s="3027"/>
      <c r="M194" s="3025"/>
      <c r="N194" s="3026"/>
      <c r="O194" s="141"/>
      <c r="P194" s="141"/>
      <c r="Q194" s="148"/>
      <c r="R194" s="148"/>
      <c r="S194" s="149"/>
      <c r="T194" s="149"/>
      <c r="U194" s="150"/>
      <c r="V194" s="150"/>
      <c r="W194" s="150"/>
      <c r="X194" s="150"/>
      <c r="Y194" s="150"/>
      <c r="Z194" s="150"/>
      <c r="AA194" s="150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41" s="2825" customFormat="1">
      <c r="B195" s="2935"/>
      <c r="D195" s="3161"/>
      <c r="F195" s="3026"/>
      <c r="G195" s="3027"/>
      <c r="H195" s="3027"/>
      <c r="I195" s="3027"/>
      <c r="J195" s="3027"/>
      <c r="K195" s="3027"/>
      <c r="L195" s="3027"/>
      <c r="M195" s="3025"/>
      <c r="N195" s="3026"/>
      <c r="O195" s="141"/>
      <c r="P195" s="141"/>
      <c r="Q195" s="148"/>
      <c r="R195" s="148"/>
      <c r="S195" s="149"/>
      <c r="T195" s="149"/>
      <c r="U195" s="150"/>
      <c r="V195" s="150"/>
      <c r="W195" s="150"/>
      <c r="X195" s="150"/>
      <c r="Y195" s="150"/>
      <c r="Z195" s="150"/>
      <c r="AA195" s="150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41" s="2825" customFormat="1">
      <c r="B196" s="2935"/>
      <c r="D196" s="3161"/>
      <c r="F196" s="3026"/>
      <c r="G196" s="3027"/>
      <c r="H196" s="3027"/>
      <c r="I196" s="3027"/>
      <c r="J196" s="3027"/>
      <c r="K196" s="3027"/>
      <c r="L196" s="3027"/>
      <c r="M196" s="3025"/>
      <c r="N196" s="3026"/>
      <c r="O196" s="141"/>
      <c r="P196" s="141"/>
      <c r="Q196" s="148"/>
      <c r="R196" s="148"/>
      <c r="S196" s="149"/>
      <c r="T196" s="149"/>
      <c r="U196" s="150"/>
      <c r="V196" s="150"/>
      <c r="W196" s="150"/>
      <c r="X196" s="150"/>
      <c r="Y196" s="150"/>
      <c r="Z196" s="150"/>
      <c r="AA196" s="150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41" s="2825" customFormat="1">
      <c r="B197" s="2935"/>
      <c r="D197" s="3161"/>
      <c r="F197" s="3026"/>
      <c r="G197" s="3027"/>
      <c r="H197" s="3027"/>
      <c r="I197" s="3027"/>
      <c r="J197" s="3027"/>
      <c r="K197" s="3027"/>
      <c r="L197" s="3027"/>
      <c r="M197" s="3025"/>
      <c r="N197" s="3026"/>
      <c r="O197" s="141"/>
      <c r="P197" s="141"/>
      <c r="Q197" s="148"/>
      <c r="R197" s="148"/>
      <c r="S197" s="149"/>
      <c r="T197" s="149"/>
      <c r="U197" s="150"/>
      <c r="V197" s="150"/>
      <c r="W197" s="150"/>
      <c r="X197" s="150"/>
      <c r="Y197" s="150"/>
      <c r="Z197" s="150"/>
      <c r="AA197" s="150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41" s="2825" customFormat="1">
      <c r="B198" s="2935"/>
      <c r="D198" s="3161"/>
      <c r="F198" s="3026"/>
      <c r="G198" s="3027"/>
      <c r="H198" s="3027"/>
      <c r="I198" s="3027"/>
      <c r="J198" s="3027"/>
      <c r="K198" s="3027"/>
      <c r="L198" s="3027"/>
      <c r="M198" s="3025"/>
      <c r="N198" s="3026"/>
      <c r="O198" s="141"/>
      <c r="P198" s="141"/>
      <c r="Q198" s="148"/>
      <c r="R198" s="148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41" s="2825" customFormat="1">
      <c r="B199" s="2935"/>
      <c r="D199" s="3161"/>
      <c r="F199" s="3026"/>
      <c r="G199" s="3027"/>
      <c r="H199" s="3027"/>
      <c r="I199" s="3027"/>
      <c r="J199" s="3027"/>
      <c r="K199" s="3027"/>
      <c r="L199" s="3027"/>
      <c r="M199" s="3025"/>
      <c r="N199" s="3026"/>
      <c r="O199" s="141"/>
      <c r="P199" s="141"/>
      <c r="Q199" s="148"/>
      <c r="R199" s="148"/>
      <c r="S199" s="149"/>
      <c r="T199" s="149"/>
      <c r="U199" s="150"/>
      <c r="V199" s="150"/>
      <c r="W199" s="150"/>
      <c r="X199" s="150"/>
      <c r="Y199" s="150"/>
      <c r="Z199" s="150"/>
      <c r="AA199" s="150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41" s="2825" customFormat="1">
      <c r="B200" s="2935"/>
      <c r="D200" s="3161"/>
      <c r="F200" s="3026"/>
      <c r="G200" s="3027"/>
      <c r="H200" s="3027"/>
      <c r="I200" s="3027"/>
      <c r="J200" s="3027"/>
      <c r="K200" s="3027"/>
      <c r="L200" s="3027"/>
      <c r="M200" s="3025"/>
      <c r="N200" s="3026"/>
      <c r="O200" s="141"/>
      <c r="P200" s="141"/>
      <c r="Q200" s="148"/>
      <c r="R200" s="148"/>
      <c r="S200" s="149"/>
      <c r="T200" s="149"/>
      <c r="U200" s="150"/>
      <c r="V200" s="150"/>
      <c r="W200" s="150"/>
      <c r="X200" s="150"/>
      <c r="Y200" s="150"/>
      <c r="Z200" s="150"/>
      <c r="AA200" s="150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41" s="2825" customFormat="1">
      <c r="B201" s="2935"/>
      <c r="D201" s="3161"/>
      <c r="F201" s="3026"/>
      <c r="G201" s="3027"/>
      <c r="H201" s="3027"/>
      <c r="I201" s="3027"/>
      <c r="J201" s="3027"/>
      <c r="K201" s="3027"/>
      <c r="L201" s="3027"/>
      <c r="M201" s="3025"/>
      <c r="N201" s="3026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41" s="2825" customFormat="1">
      <c r="B202" s="2935"/>
      <c r="D202" s="3161"/>
      <c r="F202" s="3026"/>
      <c r="G202" s="3027"/>
      <c r="H202" s="3027"/>
      <c r="I202" s="3027"/>
      <c r="J202" s="3027"/>
      <c r="K202" s="3027"/>
      <c r="L202" s="3027"/>
      <c r="M202" s="3025"/>
      <c r="N202" s="3026"/>
      <c r="O202" s="141"/>
      <c r="P202" s="141"/>
      <c r="Q202" s="148"/>
      <c r="R202" s="148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41" s="2825" customFormat="1">
      <c r="B203" s="2935"/>
      <c r="D203" s="3161"/>
      <c r="F203" s="3026"/>
      <c r="G203" s="3027"/>
      <c r="H203" s="3027"/>
      <c r="I203" s="3027"/>
      <c r="J203" s="3027"/>
      <c r="K203" s="3027"/>
      <c r="L203" s="3027"/>
      <c r="M203" s="3025"/>
      <c r="N203" s="3026"/>
      <c r="O203" s="141"/>
      <c r="P203" s="141"/>
      <c r="Q203" s="148"/>
      <c r="R203" s="148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41" s="2825" customFormat="1">
      <c r="B204" s="2935"/>
      <c r="D204" s="3161"/>
      <c r="F204" s="3026"/>
      <c r="G204" s="3027"/>
      <c r="H204" s="3027"/>
      <c r="I204" s="3027"/>
      <c r="J204" s="3027"/>
      <c r="K204" s="3027"/>
      <c r="L204" s="3027"/>
      <c r="M204" s="3025"/>
      <c r="N204" s="3026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41" s="2825" customFormat="1">
      <c r="B205" s="2935"/>
      <c r="D205" s="3161"/>
      <c r="F205" s="3026"/>
      <c r="G205" s="3027"/>
      <c r="H205" s="3027"/>
      <c r="I205" s="3027"/>
      <c r="J205" s="3027"/>
      <c r="K205" s="3027"/>
      <c r="L205" s="3027"/>
      <c r="M205" s="3025"/>
      <c r="N205" s="3026"/>
      <c r="O205" s="141"/>
      <c r="P205" s="141"/>
      <c r="Q205" s="148"/>
      <c r="R205" s="148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41" s="2825" customFormat="1">
      <c r="B206" s="2935"/>
      <c r="D206" s="3161"/>
      <c r="F206" s="3026"/>
      <c r="G206" s="3027"/>
      <c r="H206" s="3027"/>
      <c r="I206" s="3027"/>
      <c r="J206" s="3027"/>
      <c r="K206" s="3027"/>
      <c r="L206" s="3027"/>
      <c r="M206" s="3025"/>
      <c r="N206" s="3026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41" s="2825" customFormat="1">
      <c r="B207" s="2935"/>
      <c r="D207" s="3161"/>
      <c r="F207" s="3026"/>
      <c r="G207" s="3027"/>
      <c r="H207" s="3027"/>
      <c r="I207" s="3027"/>
      <c r="J207" s="3027"/>
      <c r="K207" s="3027"/>
      <c r="L207" s="3027"/>
      <c r="M207" s="3025"/>
      <c r="N207" s="3026"/>
      <c r="O207" s="141"/>
      <c r="P207" s="141"/>
      <c r="Q207" s="148"/>
      <c r="R207" s="148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41" s="2825" customFormat="1">
      <c r="B208" s="2935"/>
      <c r="D208" s="3161"/>
      <c r="F208" s="3026"/>
      <c r="G208" s="3027"/>
      <c r="H208" s="3027"/>
      <c r="I208" s="3027"/>
      <c r="J208" s="3027"/>
      <c r="K208" s="3027"/>
      <c r="L208" s="3027"/>
      <c r="M208" s="3025"/>
      <c r="N208" s="3026"/>
      <c r="O208" s="141"/>
      <c r="P208" s="141"/>
      <c r="Q208" s="148"/>
      <c r="R208" s="148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39" s="2825" customFormat="1">
      <c r="B209" s="2935"/>
      <c r="D209" s="3161"/>
      <c r="F209" s="3026"/>
      <c r="G209" s="3027"/>
      <c r="H209" s="3027"/>
      <c r="I209" s="3027"/>
      <c r="J209" s="3027"/>
      <c r="K209" s="3027"/>
      <c r="L209" s="3027"/>
      <c r="M209" s="3025"/>
      <c r="N209" s="3026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39" s="2825" customFormat="1">
      <c r="B210" s="2935"/>
      <c r="D210" s="3161"/>
      <c r="F210" s="3026"/>
      <c r="G210" s="3027"/>
      <c r="H210" s="3027"/>
      <c r="I210" s="3027"/>
      <c r="J210" s="3027"/>
      <c r="K210" s="3027"/>
      <c r="L210" s="3027"/>
      <c r="M210" s="3025"/>
      <c r="N210" s="3026"/>
      <c r="O210" s="141"/>
      <c r="P210" s="141"/>
      <c r="Q210" s="148"/>
      <c r="R210" s="148"/>
      <c r="S210" s="149"/>
      <c r="T210" s="149"/>
      <c r="U210" s="150"/>
      <c r="V210" s="150"/>
      <c r="W210" s="150"/>
      <c r="X210" s="150"/>
      <c r="Y210" s="150"/>
      <c r="Z210" s="150"/>
      <c r="AA210" s="150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39" s="2825" customFormat="1">
      <c r="B211" s="2935"/>
      <c r="D211" s="3161"/>
      <c r="F211" s="3026"/>
      <c r="G211" s="3027"/>
      <c r="H211" s="3027"/>
      <c r="I211" s="3027"/>
      <c r="J211" s="3027"/>
      <c r="K211" s="3027"/>
      <c r="L211" s="3027"/>
      <c r="M211" s="3025"/>
      <c r="N211" s="3026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39" s="2825" customFormat="1">
      <c r="B212" s="2935"/>
      <c r="D212" s="3161"/>
      <c r="F212" s="3026"/>
      <c r="G212" s="3027"/>
      <c r="H212" s="3027"/>
      <c r="I212" s="3027"/>
      <c r="J212" s="3027"/>
      <c r="K212" s="3027"/>
      <c r="L212" s="3027"/>
      <c r="M212" s="3025"/>
      <c r="N212" s="3026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39" s="2825" customFormat="1">
      <c r="B213" s="2935"/>
      <c r="D213" s="3161"/>
      <c r="F213" s="3026"/>
      <c r="G213" s="3027"/>
      <c r="H213" s="3027"/>
      <c r="I213" s="3027"/>
      <c r="J213" s="3027"/>
      <c r="K213" s="3027"/>
      <c r="L213" s="3027"/>
      <c r="M213" s="3025"/>
      <c r="N213" s="3026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39" s="2825" customFormat="1">
      <c r="B214" s="2935"/>
      <c r="D214" s="3161"/>
      <c r="F214" s="3026"/>
      <c r="G214" s="3027"/>
      <c r="H214" s="3027"/>
      <c r="I214" s="3027"/>
      <c r="J214" s="3027"/>
      <c r="K214" s="3027"/>
      <c r="L214" s="3027"/>
      <c r="M214" s="3025"/>
      <c r="N214" s="3026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39" s="2825" customFormat="1">
      <c r="B215" s="2935"/>
      <c r="D215" s="3161"/>
      <c r="F215" s="3026"/>
      <c r="G215" s="3027"/>
      <c r="H215" s="3027"/>
      <c r="I215" s="3027"/>
      <c r="J215" s="3027"/>
      <c r="K215" s="3027"/>
      <c r="L215" s="3027"/>
      <c r="M215" s="3025"/>
      <c r="N215" s="3026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39" s="2825" customFormat="1">
      <c r="B216" s="2935"/>
      <c r="D216" s="3161"/>
      <c r="F216" s="3026"/>
      <c r="G216" s="3027"/>
      <c r="H216" s="3027"/>
      <c r="I216" s="3027"/>
      <c r="J216" s="3027"/>
      <c r="K216" s="3027"/>
      <c r="L216" s="3027"/>
      <c r="M216" s="3025"/>
      <c r="N216" s="3026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39" s="2825" customFormat="1">
      <c r="B217" s="2935"/>
      <c r="D217" s="3161"/>
      <c r="F217" s="3026"/>
      <c r="G217" s="3027"/>
      <c r="H217" s="3027"/>
      <c r="I217" s="3027"/>
      <c r="J217" s="3027"/>
      <c r="K217" s="3027"/>
      <c r="L217" s="3027"/>
      <c r="M217" s="3025"/>
      <c r="N217" s="3026"/>
      <c r="O217" s="141"/>
      <c r="P217" s="141"/>
      <c r="Q217" s="148"/>
      <c r="R217" s="148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39" s="2825" customFormat="1">
      <c r="B218" s="2935"/>
      <c r="D218" s="3161"/>
      <c r="F218" s="3026"/>
      <c r="G218" s="3027"/>
      <c r="H218" s="3027"/>
      <c r="I218" s="3027"/>
      <c r="J218" s="3027"/>
      <c r="K218" s="3027"/>
      <c r="L218" s="3027"/>
      <c r="M218" s="3025"/>
      <c r="N218" s="3026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39" s="2825" customFormat="1">
      <c r="B219" s="2935"/>
      <c r="D219" s="3161"/>
      <c r="F219" s="3026"/>
      <c r="G219" s="3027"/>
      <c r="H219" s="3027"/>
      <c r="I219" s="3027"/>
      <c r="J219" s="3027"/>
      <c r="K219" s="3027"/>
      <c r="L219" s="3027"/>
      <c r="M219" s="3025"/>
      <c r="N219" s="3026"/>
      <c r="O219" s="141"/>
      <c r="P219" s="141"/>
      <c r="Q219" s="148"/>
      <c r="R219" s="148"/>
      <c r="S219" s="149"/>
      <c r="T219" s="149"/>
      <c r="U219" s="150"/>
      <c r="V219" s="150"/>
      <c r="W219" s="150"/>
      <c r="X219" s="150"/>
      <c r="Y219" s="150"/>
      <c r="Z219" s="150"/>
      <c r="AA219" s="150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39" s="2825" customFormat="1">
      <c r="B220" s="2935"/>
      <c r="D220" s="3161"/>
      <c r="F220" s="3026"/>
      <c r="G220" s="3027"/>
      <c r="H220" s="3027"/>
      <c r="I220" s="3027"/>
      <c r="J220" s="3027"/>
      <c r="K220" s="3027"/>
      <c r="L220" s="3027"/>
      <c r="M220" s="3025"/>
      <c r="N220" s="3026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39" s="2825" customFormat="1">
      <c r="B221" s="2935"/>
      <c r="D221" s="3161"/>
      <c r="F221" s="3026"/>
      <c r="G221" s="3027"/>
      <c r="H221" s="3027"/>
      <c r="I221" s="3027"/>
      <c r="J221" s="3027"/>
      <c r="K221" s="3027"/>
      <c r="L221" s="3027"/>
      <c r="M221" s="3025"/>
      <c r="N221" s="3026"/>
      <c r="O221" s="141"/>
      <c r="P221" s="141"/>
      <c r="Q221" s="148"/>
      <c r="R221" s="148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39" s="2825" customFormat="1">
      <c r="B222" s="2935"/>
      <c r="D222" s="3161"/>
      <c r="F222" s="3026"/>
      <c r="G222" s="3027"/>
      <c r="H222" s="3027"/>
      <c r="I222" s="3027"/>
      <c r="J222" s="3027"/>
      <c r="K222" s="3027"/>
      <c r="L222" s="3027"/>
      <c r="M222" s="3025"/>
      <c r="N222" s="3026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39" s="2825" customFormat="1">
      <c r="B223" s="2935"/>
      <c r="D223" s="3161"/>
      <c r="F223" s="3026"/>
      <c r="G223" s="3027"/>
      <c r="H223" s="3027"/>
      <c r="I223" s="3027"/>
      <c r="J223" s="3027"/>
      <c r="K223" s="3027"/>
      <c r="L223" s="3027"/>
      <c r="M223" s="3025"/>
      <c r="N223" s="3026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39" s="2825" customFormat="1">
      <c r="B224" s="2935"/>
      <c r="D224" s="3161"/>
      <c r="F224" s="3026"/>
      <c r="G224" s="3027"/>
      <c r="H224" s="3027"/>
      <c r="I224" s="3027"/>
      <c r="J224" s="3027"/>
      <c r="K224" s="3027"/>
      <c r="L224" s="3027"/>
      <c r="M224" s="3025"/>
      <c r="N224" s="3026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1:40">
      <c r="A225" s="1"/>
      <c r="O225" s="155"/>
      <c r="P225" s="155"/>
      <c r="Q225" s="1131"/>
      <c r="R225" s="1131"/>
      <c r="S225" s="251"/>
      <c r="T225" s="251"/>
      <c r="U225" s="1132"/>
      <c r="V225" s="1132"/>
      <c r="W225" s="1132"/>
      <c r="X225" s="1132"/>
      <c r="Y225" s="1132"/>
      <c r="Z225" s="1132"/>
      <c r="AA225" s="1132"/>
      <c r="AN225" s="1"/>
    </row>
    <row r="226" spans="1:40">
      <c r="A226" s="1"/>
      <c r="O226" s="155"/>
      <c r="P226" s="155"/>
      <c r="Q226" s="1131"/>
      <c r="R226" s="1131"/>
      <c r="S226" s="251"/>
      <c r="T226" s="251"/>
      <c r="U226" s="1132"/>
      <c r="V226" s="1132"/>
      <c r="W226" s="1132"/>
      <c r="X226" s="1132"/>
      <c r="Y226" s="1132"/>
      <c r="Z226" s="1132"/>
      <c r="AA226" s="1132"/>
      <c r="AN226" s="1"/>
    </row>
    <row r="227" spans="1:40">
      <c r="A227" s="1"/>
      <c r="O227" s="155"/>
      <c r="P227" s="155"/>
      <c r="Q227" s="1131"/>
      <c r="R227" s="1131"/>
      <c r="S227" s="251"/>
      <c r="T227" s="251"/>
      <c r="U227" s="1132"/>
      <c r="V227" s="1132"/>
      <c r="W227" s="1132"/>
      <c r="X227" s="1132"/>
      <c r="Y227" s="1132"/>
      <c r="Z227" s="1132"/>
      <c r="AA227" s="1132"/>
      <c r="AN227" s="1"/>
    </row>
    <row r="228" spans="1:40">
      <c r="A228" s="1"/>
      <c r="O228" s="155"/>
      <c r="P228" s="155"/>
      <c r="Q228" s="1131"/>
      <c r="R228" s="1131"/>
      <c r="S228" s="251"/>
      <c r="T228" s="251"/>
      <c r="U228" s="1132"/>
      <c r="V228" s="1132"/>
      <c r="W228" s="1132"/>
      <c r="X228" s="1132"/>
      <c r="Y228" s="1132"/>
      <c r="Z228" s="1132"/>
      <c r="AA228" s="1132"/>
      <c r="AN228" s="1"/>
    </row>
    <row r="229" spans="1:40">
      <c r="A229" s="1"/>
      <c r="O229" s="155"/>
      <c r="P229" s="155"/>
      <c r="Q229" s="1131"/>
      <c r="R229" s="1131"/>
      <c r="S229" s="251"/>
      <c r="T229" s="251"/>
      <c r="U229" s="1132"/>
      <c r="V229" s="1132"/>
      <c r="W229" s="1132"/>
      <c r="X229" s="1132"/>
      <c r="Y229" s="1132"/>
      <c r="Z229" s="1132"/>
      <c r="AA229" s="1132"/>
      <c r="AN229" s="1"/>
    </row>
    <row r="230" spans="1:40">
      <c r="A230" s="1"/>
      <c r="O230" s="155"/>
      <c r="P230" s="155"/>
      <c r="Q230" s="1131"/>
      <c r="R230" s="1131"/>
      <c r="S230" s="251"/>
      <c r="T230" s="251"/>
      <c r="U230" s="1132"/>
      <c r="V230" s="1132"/>
      <c r="W230" s="1132"/>
      <c r="X230" s="1132"/>
      <c r="Y230" s="1132"/>
      <c r="Z230" s="1132"/>
      <c r="AA230" s="1132"/>
      <c r="AN230" s="1"/>
    </row>
    <row r="231" spans="1:40">
      <c r="A231" s="1"/>
      <c r="O231" s="155"/>
      <c r="P231" s="155"/>
      <c r="Q231" s="1131"/>
      <c r="R231" s="1131"/>
      <c r="S231" s="251"/>
      <c r="T231" s="251"/>
      <c r="U231" s="1132"/>
      <c r="V231" s="1132"/>
      <c r="W231" s="1132"/>
      <c r="X231" s="1132"/>
      <c r="Y231" s="1132"/>
      <c r="Z231" s="1132"/>
      <c r="AA231" s="1132"/>
      <c r="AN231" s="1"/>
    </row>
    <row r="232" spans="1:40">
      <c r="A232" s="1"/>
      <c r="O232" s="155"/>
      <c r="P232" s="155"/>
      <c r="Q232" s="1131"/>
      <c r="R232" s="1131"/>
      <c r="S232" s="251"/>
      <c r="T232" s="251"/>
      <c r="U232" s="1132"/>
      <c r="V232" s="1132"/>
      <c r="W232" s="1132"/>
      <c r="X232" s="1132"/>
      <c r="Y232" s="1132"/>
      <c r="Z232" s="1132"/>
      <c r="AA232" s="1132"/>
      <c r="AN232" s="1"/>
    </row>
    <row r="233" spans="1:40">
      <c r="A233" s="1"/>
      <c r="B233" s="1"/>
      <c r="D233" s="1"/>
      <c r="F233" s="1"/>
      <c r="G233" s="1"/>
      <c r="H233" s="1"/>
      <c r="I233" s="1"/>
      <c r="J233" s="1"/>
      <c r="K233" s="1"/>
      <c r="L233" s="1"/>
      <c r="M233" s="1"/>
      <c r="N233" s="52"/>
      <c r="O233" s="155"/>
      <c r="P233" s="155"/>
      <c r="Q233" s="1131"/>
      <c r="R233" s="1131"/>
      <c r="S233" s="251"/>
      <c r="T233" s="251"/>
      <c r="U233" s="1132"/>
      <c r="V233" s="1132"/>
      <c r="W233" s="1132"/>
      <c r="X233" s="1132"/>
      <c r="Y233" s="1132"/>
      <c r="Z233" s="1132"/>
      <c r="AA233" s="1132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>
      <c r="A234" s="1"/>
      <c r="B234" s="1"/>
      <c r="D234" s="1"/>
      <c r="F234" s="1"/>
      <c r="G234" s="1"/>
      <c r="H234" s="1"/>
      <c r="I234" s="1"/>
      <c r="J234" s="1"/>
      <c r="K234" s="1"/>
      <c r="L234" s="1"/>
      <c r="M234" s="1"/>
      <c r="N234" s="52"/>
      <c r="O234" s="155"/>
      <c r="P234" s="155"/>
      <c r="Q234" s="1131"/>
      <c r="R234" s="1131"/>
      <c r="S234" s="251"/>
      <c r="T234" s="251"/>
      <c r="U234" s="1132"/>
      <c r="V234" s="1132"/>
      <c r="W234" s="1132"/>
      <c r="X234" s="1132"/>
      <c r="Y234" s="1132"/>
      <c r="Z234" s="1132"/>
      <c r="AA234" s="1132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>
      <c r="A235" s="1"/>
      <c r="B235" s="1"/>
      <c r="D235" s="1"/>
      <c r="F235" s="1"/>
      <c r="G235" s="1"/>
      <c r="H235" s="1"/>
      <c r="I235" s="1"/>
      <c r="J235" s="1"/>
      <c r="K235" s="1"/>
      <c r="L235" s="1"/>
      <c r="M235" s="1"/>
      <c r="N235" s="52"/>
      <c r="O235" s="155"/>
      <c r="P235" s="155"/>
      <c r="Q235" s="1131"/>
      <c r="R235" s="1131"/>
      <c r="S235" s="251"/>
      <c r="T235" s="251"/>
      <c r="U235" s="1132"/>
      <c r="V235" s="1132"/>
      <c r="W235" s="1132"/>
      <c r="X235" s="1132"/>
      <c r="Y235" s="1132"/>
      <c r="Z235" s="1132"/>
      <c r="AA235" s="1132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>
      <c r="A236" s="1"/>
      <c r="B236" s="1"/>
      <c r="D236" s="1"/>
      <c r="F236" s="1"/>
      <c r="G236" s="1"/>
      <c r="H236" s="1"/>
      <c r="I236" s="1"/>
      <c r="J236" s="1"/>
      <c r="K236" s="1"/>
      <c r="L236" s="1"/>
      <c r="M236" s="1"/>
      <c r="N236" s="52"/>
      <c r="O236" s="155"/>
      <c r="P236" s="155"/>
      <c r="Q236" s="1131"/>
      <c r="R236" s="1131"/>
      <c r="S236" s="251"/>
      <c r="T236" s="251"/>
      <c r="U236" s="1132"/>
      <c r="V236" s="1132"/>
      <c r="W236" s="1132"/>
      <c r="X236" s="1132"/>
      <c r="Y236" s="1132"/>
      <c r="Z236" s="1132"/>
      <c r="AA236" s="1132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>
      <c r="A237" s="1"/>
      <c r="B237" s="1"/>
      <c r="D237" s="1"/>
      <c r="F237" s="1"/>
      <c r="G237" s="1"/>
      <c r="H237" s="1"/>
      <c r="I237" s="1"/>
      <c r="J237" s="1"/>
      <c r="K237" s="1"/>
      <c r="L237" s="1"/>
      <c r="M237" s="1"/>
      <c r="N237" s="52"/>
      <c r="O237" s="155"/>
      <c r="P237" s="155"/>
      <c r="Q237" s="1131"/>
      <c r="R237" s="1131"/>
      <c r="S237" s="251"/>
      <c r="T237" s="251"/>
      <c r="U237" s="1132"/>
      <c r="V237" s="1132"/>
      <c r="W237" s="1132"/>
      <c r="X237" s="1132"/>
      <c r="Y237" s="1132"/>
      <c r="Z237" s="1132"/>
      <c r="AA237" s="1132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</sheetData>
  <mergeCells count="2">
    <mergeCell ref="Q36:R36"/>
    <mergeCell ref="J23:K27"/>
  </mergeCells>
  <pageMargins left="0.7" right="0.7" top="0.75" bottom="0.75" header="0.3" footer="0.3"/>
  <pageSetup paperSize="9" orientation="landscape" horizontalDpi="0" verticalDpi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1CC1E-3E0B-094D-9038-21F6F5DFAE91}">
  <sheetPr>
    <tabColor rgb="FF7030A0"/>
  </sheetPr>
  <dimension ref="A14:K94"/>
  <sheetViews>
    <sheetView workbookViewId="0">
      <selection activeCell="U45" sqref="U45"/>
    </sheetView>
  </sheetViews>
  <sheetFormatPr baseColWidth="10" defaultRowHeight="13"/>
  <sheetData>
    <row r="14" spans="1:11">
      <c r="A14" s="7898">
        <v>1</v>
      </c>
      <c r="K14" s="7898">
        <v>5</v>
      </c>
    </row>
    <row r="15" spans="1:11">
      <c r="A15" s="7898"/>
      <c r="K15" s="7898"/>
    </row>
    <row r="18" spans="1:11">
      <c r="A18" s="7898">
        <v>2</v>
      </c>
      <c r="K18" s="7898">
        <v>6</v>
      </c>
    </row>
    <row r="19" spans="1:11">
      <c r="A19" s="7898"/>
      <c r="K19" s="7898"/>
    </row>
    <row r="22" spans="1:11">
      <c r="A22" s="7898">
        <v>3</v>
      </c>
      <c r="K22" s="7898">
        <v>7</v>
      </c>
    </row>
    <row r="23" spans="1:11">
      <c r="A23" s="7898"/>
      <c r="K23" s="7898"/>
    </row>
    <row r="26" spans="1:11">
      <c r="A26" s="7898">
        <v>4</v>
      </c>
      <c r="K26" s="7898">
        <v>8</v>
      </c>
    </row>
    <row r="27" spans="1:11">
      <c r="A27" s="7898"/>
      <c r="K27" s="7898"/>
    </row>
    <row r="30" spans="1:11">
      <c r="K30" s="7898">
        <v>9</v>
      </c>
    </row>
    <row r="31" spans="1:11">
      <c r="A31" s="7898">
        <v>5</v>
      </c>
      <c r="K31" s="7898"/>
    </row>
    <row r="32" spans="1:11">
      <c r="A32" s="7898"/>
    </row>
    <row r="46" spans="1:11">
      <c r="A46" s="7898">
        <v>9</v>
      </c>
      <c r="K46" s="7898">
        <v>14</v>
      </c>
    </row>
    <row r="47" spans="1:11">
      <c r="A47" s="7898"/>
      <c r="K47" s="7898"/>
    </row>
    <row r="50" spans="1:11">
      <c r="A50" s="7898">
        <v>10</v>
      </c>
      <c r="K50" s="7898">
        <v>15</v>
      </c>
    </row>
    <row r="51" spans="1:11">
      <c r="A51" s="7898"/>
      <c r="K51" s="7898"/>
    </row>
    <row r="54" spans="1:11">
      <c r="A54" s="7898">
        <v>11</v>
      </c>
      <c r="K54" s="7898">
        <v>16</v>
      </c>
    </row>
    <row r="55" spans="1:11">
      <c r="A55" s="7898"/>
      <c r="K55" s="7898"/>
    </row>
    <row r="58" spans="1:11">
      <c r="A58" s="7898">
        <v>12</v>
      </c>
      <c r="K58" s="7898">
        <v>17</v>
      </c>
    </row>
    <row r="59" spans="1:11">
      <c r="A59" s="7898"/>
      <c r="K59" s="7898"/>
    </row>
    <row r="63" spans="1:11">
      <c r="A63" s="7898">
        <v>13</v>
      </c>
      <c r="K63" s="7898">
        <v>18</v>
      </c>
    </row>
    <row r="64" spans="1:11">
      <c r="A64" s="7898"/>
      <c r="K64" s="7898"/>
    </row>
    <row r="76" spans="1:11">
      <c r="A76" s="7898">
        <v>18</v>
      </c>
      <c r="K76" s="7898">
        <v>22</v>
      </c>
    </row>
    <row r="77" spans="1:11">
      <c r="A77" s="7898"/>
      <c r="K77" s="7898"/>
    </row>
    <row r="80" spans="1:11">
      <c r="A80" s="7898">
        <v>19</v>
      </c>
      <c r="K80" s="7898">
        <v>23</v>
      </c>
    </row>
    <row r="81" spans="1:11">
      <c r="A81" s="7898"/>
      <c r="K81" s="7898"/>
    </row>
    <row r="84" spans="1:11">
      <c r="A84" s="7898">
        <v>20</v>
      </c>
      <c r="K84" s="7898">
        <v>24</v>
      </c>
    </row>
    <row r="85" spans="1:11">
      <c r="A85" s="7898"/>
      <c r="K85" s="7898"/>
    </row>
    <row r="88" spans="1:11">
      <c r="A88" s="7898">
        <v>21</v>
      </c>
      <c r="K88" s="7898">
        <v>25</v>
      </c>
    </row>
    <row r="89" spans="1:11">
      <c r="A89" s="7898"/>
      <c r="K89" s="7898"/>
    </row>
    <row r="93" spans="1:11">
      <c r="A93" s="7898">
        <v>22</v>
      </c>
      <c r="K93" s="7898">
        <v>26</v>
      </c>
    </row>
    <row r="94" spans="1:11">
      <c r="A94" s="7898"/>
      <c r="K94" s="7898"/>
    </row>
  </sheetData>
  <mergeCells count="30">
    <mergeCell ref="A76:A77"/>
    <mergeCell ref="A80:A81"/>
    <mergeCell ref="A84:A85"/>
    <mergeCell ref="A88:A89"/>
    <mergeCell ref="A93:A94"/>
    <mergeCell ref="K76:K77"/>
    <mergeCell ref="K80:K81"/>
    <mergeCell ref="K84:K85"/>
    <mergeCell ref="K88:K89"/>
    <mergeCell ref="K93:K94"/>
    <mergeCell ref="A54:A55"/>
    <mergeCell ref="A58:A59"/>
    <mergeCell ref="A63:A64"/>
    <mergeCell ref="K46:K47"/>
    <mergeCell ref="K50:K51"/>
    <mergeCell ref="K54:K55"/>
    <mergeCell ref="K58:K59"/>
    <mergeCell ref="K63:K64"/>
    <mergeCell ref="A50:A51"/>
    <mergeCell ref="A26:A27"/>
    <mergeCell ref="K26:K27"/>
    <mergeCell ref="A31:A32"/>
    <mergeCell ref="K30:K31"/>
    <mergeCell ref="A46:A47"/>
    <mergeCell ref="A14:A15"/>
    <mergeCell ref="K14:K15"/>
    <mergeCell ref="A18:A19"/>
    <mergeCell ref="K18:K19"/>
    <mergeCell ref="K22:K23"/>
    <mergeCell ref="A22:A23"/>
  </mergeCells>
  <pageMargins left="0.7" right="0.7" top="0.75" bottom="0.75" header="0.3" footer="0.3"/>
  <pageSetup paperSize="9" orientation="portrait" horizontalDpi="0" verticalDpi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5"/>
  <dimension ref="A1:BG680"/>
  <sheetViews>
    <sheetView topLeftCell="C174" zoomScale="201" zoomScaleNormal="201" zoomScalePageLayoutView="238" workbookViewId="0">
      <selection activeCell="D179" sqref="D179:R179"/>
    </sheetView>
  </sheetViews>
  <sheetFormatPr baseColWidth="10" defaultColWidth="11.5" defaultRowHeight="13"/>
  <cols>
    <col min="1" max="2" width="1.6640625" style="60" customWidth="1"/>
    <col min="3" max="3" width="2.83203125" style="74" customWidth="1"/>
    <col min="4" max="4" width="1.5" style="900" customWidth="1"/>
    <col min="5" max="6" width="5.33203125" style="60" customWidth="1"/>
    <col min="7" max="7" width="5.83203125" style="73" customWidth="1"/>
    <col min="8" max="9" width="9.6640625" style="73" customWidth="1"/>
    <col min="10" max="10" width="10" style="73" customWidth="1"/>
    <col min="11" max="11" width="27.33203125" style="73" customWidth="1"/>
    <col min="12" max="12" width="2" style="73" customWidth="1"/>
    <col min="13" max="13" width="1.6640625" style="523" customWidth="1"/>
    <col min="14" max="14" width="11.6640625" style="73" customWidth="1"/>
    <col min="15" max="15" width="12" style="60" customWidth="1"/>
    <col min="16" max="16" width="15.33203125" style="60" customWidth="1"/>
    <col min="17" max="17" width="10.1640625" style="46" customWidth="1"/>
    <col min="18" max="18" width="9.6640625" style="60" customWidth="1"/>
    <col min="19" max="16384" width="11.5" style="60"/>
  </cols>
  <sheetData>
    <row r="1" spans="3:59" ht="20.25" customHeight="1" thickTop="1" thickBot="1">
      <c r="C1" s="56"/>
      <c r="D1" s="882"/>
      <c r="E1" s="57"/>
      <c r="F1" s="57"/>
      <c r="G1" s="58"/>
      <c r="H1" s="89"/>
      <c r="I1" s="89"/>
      <c r="J1" s="89"/>
      <c r="K1" s="57"/>
      <c r="L1" s="57"/>
      <c r="M1" s="505"/>
      <c r="N1" s="89" t="s">
        <v>359</v>
      </c>
      <c r="O1" s="59"/>
      <c r="P1" s="584"/>
    </row>
    <row r="2" spans="3:59" s="63" customFormat="1" ht="14" thickBot="1">
      <c r="C2" s="64"/>
      <c r="D2" s="883"/>
      <c r="E2" s="65"/>
      <c r="F2" s="65"/>
      <c r="G2" s="66"/>
      <c r="H2" s="66"/>
      <c r="I2" s="66"/>
      <c r="J2" s="66"/>
      <c r="K2" s="66"/>
      <c r="L2" s="66"/>
      <c r="M2" s="506"/>
      <c r="N2" s="66"/>
      <c r="O2" s="61"/>
      <c r="P2" s="61"/>
      <c r="Q2" s="780"/>
    </row>
    <row r="3" spans="3:59" s="63" customFormat="1" ht="14" thickBot="1">
      <c r="C3" s="67"/>
      <c r="D3" s="884"/>
      <c r="E3" s="61"/>
      <c r="F3" s="61"/>
      <c r="G3" s="68" t="s">
        <v>360</v>
      </c>
      <c r="H3" s="69"/>
      <c r="I3" s="69"/>
      <c r="J3" s="70"/>
      <c r="K3" s="62"/>
      <c r="L3" s="62"/>
      <c r="M3" s="507"/>
      <c r="N3" s="61"/>
      <c r="O3" s="61"/>
      <c r="P3" s="61"/>
      <c r="Q3" s="781"/>
    </row>
    <row r="4" spans="3:59">
      <c r="C4" s="71"/>
      <c r="D4" s="885"/>
      <c r="E4" s="61"/>
      <c r="F4" s="45"/>
      <c r="G4" s="72"/>
      <c r="H4" s="72"/>
      <c r="I4" s="72"/>
      <c r="J4" s="72"/>
      <c r="K4" s="274">
        <f>IF(Test!E29,Test!E29/4,Test!D29/4)</f>
        <v>2.2880964381720439E-4</v>
      </c>
      <c r="L4" s="856"/>
      <c r="M4" s="508"/>
      <c r="N4" s="61"/>
      <c r="O4" s="61"/>
      <c r="P4" s="61"/>
      <c r="Q4" s="782">
        <f>IF(Test!E30,Test!E30,Test!D30)</f>
        <v>147</v>
      </c>
    </row>
    <row r="5" spans="3:59" ht="18">
      <c r="C5" s="270"/>
      <c r="D5" s="886"/>
      <c r="E5" s="271"/>
      <c r="F5" s="294" t="s">
        <v>361</v>
      </c>
      <c r="G5" s="271"/>
      <c r="H5" s="271"/>
      <c r="I5" s="271"/>
      <c r="J5" s="271"/>
      <c r="K5" s="274">
        <f>IF(Test!G29,Test!G29/4,Test!F29/4)</f>
        <v>0</v>
      </c>
      <c r="L5" s="856"/>
      <c r="M5" s="509"/>
      <c r="N5" s="61"/>
      <c r="O5" s="61"/>
      <c r="P5" s="61"/>
      <c r="Q5" s="782">
        <f>IF(Test!G30,Test!G30,Test!F30)</f>
        <v>0</v>
      </c>
      <c r="R5" s="271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</row>
    <row r="6" spans="3:59">
      <c r="C6" s="276">
        <f>IF(K5,K5,K4)</f>
        <v>2.2880964381720439E-4</v>
      </c>
      <c r="D6" s="887"/>
      <c r="E6" s="272" t="s">
        <v>362</v>
      </c>
      <c r="F6" s="272" t="s">
        <v>363</v>
      </c>
      <c r="G6" s="272" t="s">
        <v>364</v>
      </c>
      <c r="H6" s="531" t="s">
        <v>142</v>
      </c>
      <c r="I6" s="531" t="s">
        <v>365</v>
      </c>
      <c r="J6" s="272" t="s">
        <v>366</v>
      </c>
      <c r="K6" s="272" t="s">
        <v>367</v>
      </c>
      <c r="L6" s="272"/>
      <c r="M6" s="510"/>
      <c r="N6" s="272" t="s">
        <v>368</v>
      </c>
      <c r="O6" s="273" t="s">
        <v>369</v>
      </c>
      <c r="P6" s="273"/>
      <c r="Q6" s="531" t="s">
        <v>185</v>
      </c>
      <c r="R6" s="272" t="s">
        <v>371</v>
      </c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</row>
    <row r="7" spans="3:59">
      <c r="C7" s="274">
        <f>C$6</f>
        <v>2.2880964381720439E-4</v>
      </c>
      <c r="D7" s="547">
        <v>1</v>
      </c>
      <c r="E7" s="275">
        <v>1</v>
      </c>
      <c r="F7" s="275">
        <v>1</v>
      </c>
      <c r="G7" s="275">
        <v>400</v>
      </c>
      <c r="H7" s="276">
        <v>4.8611111111111112E-3</v>
      </c>
      <c r="I7" s="276"/>
      <c r="J7" s="276">
        <v>0</v>
      </c>
      <c r="K7" s="312"/>
      <c r="L7" s="312"/>
      <c r="M7" s="451">
        <v>1</v>
      </c>
      <c r="N7" s="276">
        <f>H7*F7*E7</f>
        <v>4.8611111111111112E-3</v>
      </c>
      <c r="O7" s="296">
        <f>C7*(G7/25)</f>
        <v>3.6609543010752703E-3</v>
      </c>
      <c r="P7" s="296">
        <f>O7*M7</f>
        <v>3.6609543010752703E-3</v>
      </c>
      <c r="Q7" s="548">
        <v>147</v>
      </c>
      <c r="R7" s="275">
        <f t="shared" ref="R7:R30" si="0">E7*F7*G7</f>
        <v>400</v>
      </c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</row>
    <row r="8" spans="3:59">
      <c r="C8" s="274">
        <f>C$6</f>
        <v>2.2880964381720439E-4</v>
      </c>
      <c r="D8" s="547">
        <v>1</v>
      </c>
      <c r="E8" s="275">
        <v>1</v>
      </c>
      <c r="F8" s="275">
        <v>1</v>
      </c>
      <c r="G8" s="275">
        <v>400</v>
      </c>
      <c r="H8" s="276"/>
      <c r="I8" s="276">
        <v>0</v>
      </c>
      <c r="J8" s="276">
        <v>0</v>
      </c>
      <c r="K8" s="312"/>
      <c r="L8" s="312"/>
      <c r="M8" s="451">
        <v>1</v>
      </c>
      <c r="N8" s="276">
        <f t="shared" ref="N8:N23" si="1">P8*E8*F8+I8*E8*F8+J8*E8</f>
        <v>3.6609543010752703E-3</v>
      </c>
      <c r="O8" s="296">
        <f t="shared" ref="O8:O30" si="2">C8*(G8/25)</f>
        <v>3.6609543010752703E-3</v>
      </c>
      <c r="P8" s="296">
        <f t="shared" ref="P8:P30" si="3">O8*M8</f>
        <v>3.6609543010752703E-3</v>
      </c>
      <c r="Q8" s="548">
        <v>147</v>
      </c>
      <c r="R8" s="275">
        <f t="shared" si="0"/>
        <v>400</v>
      </c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</row>
    <row r="9" spans="3:59">
      <c r="C9" s="274">
        <f t="shared" ref="C9:C30" si="4">C$6</f>
        <v>2.2880964381720439E-4</v>
      </c>
      <c r="D9" s="547">
        <v>1</v>
      </c>
      <c r="E9" s="275">
        <v>1</v>
      </c>
      <c r="F9" s="275">
        <v>1</v>
      </c>
      <c r="G9" s="275">
        <v>500</v>
      </c>
      <c r="H9" s="276"/>
      <c r="I9" s="276">
        <v>0</v>
      </c>
      <c r="J9" s="276">
        <v>0</v>
      </c>
      <c r="K9" s="277" t="s">
        <v>269</v>
      </c>
      <c r="L9" s="277"/>
      <c r="M9" s="451">
        <v>1</v>
      </c>
      <c r="N9" s="276">
        <f t="shared" si="1"/>
        <v>4.5761928763440882E-3</v>
      </c>
      <c r="O9" s="296">
        <f t="shared" si="2"/>
        <v>4.5761928763440882E-3</v>
      </c>
      <c r="P9" s="296">
        <f t="shared" si="3"/>
        <v>4.5761928763440882E-3</v>
      </c>
      <c r="Q9" s="548">
        <v>147</v>
      </c>
      <c r="R9" s="275">
        <f t="shared" si="0"/>
        <v>500</v>
      </c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</row>
    <row r="10" spans="3:59">
      <c r="C10" s="274">
        <f t="shared" si="4"/>
        <v>2.2880964381720439E-4</v>
      </c>
      <c r="D10" s="547">
        <v>1</v>
      </c>
      <c r="E10" s="275">
        <v>1</v>
      </c>
      <c r="F10" s="275">
        <v>1</v>
      </c>
      <c r="G10" s="275">
        <f>50+100+150+200+250</f>
        <v>750</v>
      </c>
      <c r="H10" s="276"/>
      <c r="I10" s="276">
        <v>0</v>
      </c>
      <c r="J10" s="276">
        <v>1.1574074074074073E-4</v>
      </c>
      <c r="K10" s="312" t="s">
        <v>373</v>
      </c>
      <c r="L10" s="312"/>
      <c r="M10" s="451">
        <v>1</v>
      </c>
      <c r="N10" s="276">
        <f t="shared" si="1"/>
        <v>6.9800300552568728E-3</v>
      </c>
      <c r="O10" s="296">
        <f t="shared" si="2"/>
        <v>6.8642893145161319E-3</v>
      </c>
      <c r="P10" s="296">
        <f t="shared" si="3"/>
        <v>6.8642893145161319E-3</v>
      </c>
      <c r="Q10" s="548">
        <v>147</v>
      </c>
      <c r="R10" s="275">
        <f t="shared" si="0"/>
        <v>750</v>
      </c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</row>
    <row r="11" spans="3:59">
      <c r="C11" s="274">
        <f t="shared" si="4"/>
        <v>2.2880964381720439E-4</v>
      </c>
      <c r="D11" s="547">
        <v>1</v>
      </c>
      <c r="E11" s="275">
        <v>1</v>
      </c>
      <c r="F11" s="275">
        <v>1</v>
      </c>
      <c r="G11" s="275">
        <v>200</v>
      </c>
      <c r="H11" s="276"/>
      <c r="I11" s="276">
        <v>0</v>
      </c>
      <c r="J11" s="276">
        <v>1.1574074074074073E-4</v>
      </c>
      <c r="K11" s="312" t="s">
        <v>194</v>
      </c>
      <c r="L11" s="312"/>
      <c r="M11" s="451">
        <v>1</v>
      </c>
      <c r="N11" s="276">
        <f t="shared" si="1"/>
        <v>1.9462178912783758E-3</v>
      </c>
      <c r="O11" s="296">
        <f t="shared" si="2"/>
        <v>1.8304771505376352E-3</v>
      </c>
      <c r="P11" s="296">
        <f t="shared" si="3"/>
        <v>1.8304771505376352E-3</v>
      </c>
      <c r="Q11" s="548">
        <v>147</v>
      </c>
      <c r="R11" s="275">
        <f t="shared" si="0"/>
        <v>200</v>
      </c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</row>
    <row r="12" spans="3:59">
      <c r="C12" s="274">
        <f t="shared" si="4"/>
        <v>2.2880964381720439E-4</v>
      </c>
      <c r="D12" s="547">
        <v>1</v>
      </c>
      <c r="E12" s="275">
        <v>1</v>
      </c>
      <c r="F12" s="275">
        <v>1</v>
      </c>
      <c r="G12" s="275">
        <v>800</v>
      </c>
      <c r="H12" s="276"/>
      <c r="I12" s="276">
        <v>0</v>
      </c>
      <c r="J12" s="276">
        <v>1.1574074074074073E-4</v>
      </c>
      <c r="K12" s="312" t="s">
        <v>374</v>
      </c>
      <c r="L12" s="312"/>
      <c r="M12" s="451">
        <v>1.2</v>
      </c>
      <c r="N12" s="276">
        <f t="shared" si="1"/>
        <v>8.9020310633213893E-3</v>
      </c>
      <c r="O12" s="296">
        <f t="shared" si="2"/>
        <v>7.3219086021505406E-3</v>
      </c>
      <c r="P12" s="296">
        <f t="shared" si="3"/>
        <v>8.7862903225806484E-3</v>
      </c>
      <c r="Q12" s="548">
        <v>147</v>
      </c>
      <c r="R12" s="275">
        <f t="shared" si="0"/>
        <v>800</v>
      </c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</row>
    <row r="13" spans="3:59">
      <c r="C13" s="274">
        <f t="shared" si="4"/>
        <v>2.2880964381720439E-4</v>
      </c>
      <c r="D13" s="547">
        <v>1</v>
      </c>
      <c r="E13" s="275">
        <v>1</v>
      </c>
      <c r="F13" s="275">
        <v>1</v>
      </c>
      <c r="G13" s="275">
        <v>800</v>
      </c>
      <c r="H13" s="276"/>
      <c r="I13" s="276">
        <v>0</v>
      </c>
      <c r="J13" s="276">
        <v>1.1574074074074073E-4</v>
      </c>
      <c r="K13" s="312" t="s">
        <v>780</v>
      </c>
      <c r="L13" s="312"/>
      <c r="M13" s="451">
        <v>1</v>
      </c>
      <c r="N13" s="276">
        <f t="shared" si="1"/>
        <v>7.4376493428912815E-3</v>
      </c>
      <c r="O13" s="296">
        <f t="shared" si="2"/>
        <v>7.3219086021505406E-3</v>
      </c>
      <c r="P13" s="296">
        <f>O13*M13</f>
        <v>7.3219086021505406E-3</v>
      </c>
      <c r="Q13" s="548">
        <v>147</v>
      </c>
      <c r="R13" s="275">
        <f>E13*F13*G13</f>
        <v>800</v>
      </c>
      <c r="S13" s="1097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</row>
    <row r="14" spans="3:59">
      <c r="C14" s="274">
        <f t="shared" si="4"/>
        <v>2.2880964381720439E-4</v>
      </c>
      <c r="D14" s="547">
        <v>1</v>
      </c>
      <c r="E14" s="275">
        <v>1</v>
      </c>
      <c r="F14" s="275">
        <v>1</v>
      </c>
      <c r="G14" s="275">
        <v>900</v>
      </c>
      <c r="H14" s="276"/>
      <c r="I14" s="276">
        <v>0</v>
      </c>
      <c r="J14" s="276">
        <v>0</v>
      </c>
      <c r="K14" s="312" t="s">
        <v>376</v>
      </c>
      <c r="L14" s="312"/>
      <c r="M14" s="451">
        <v>1</v>
      </c>
      <c r="N14" s="276">
        <f t="shared" si="1"/>
        <v>8.2371471774193589E-3</v>
      </c>
      <c r="O14" s="296">
        <f t="shared" si="2"/>
        <v>8.2371471774193589E-3</v>
      </c>
      <c r="P14" s="296">
        <f t="shared" si="3"/>
        <v>8.2371471774193589E-3</v>
      </c>
      <c r="Q14" s="548">
        <v>147</v>
      </c>
      <c r="R14" s="275">
        <f t="shared" si="0"/>
        <v>900</v>
      </c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</row>
    <row r="15" spans="3:59">
      <c r="C15" s="274">
        <f t="shared" si="4"/>
        <v>2.2880964381720439E-4</v>
      </c>
      <c r="D15" s="547">
        <v>1</v>
      </c>
      <c r="E15" s="275">
        <v>1</v>
      </c>
      <c r="F15" s="275">
        <v>1</v>
      </c>
      <c r="G15" s="275">
        <v>1000</v>
      </c>
      <c r="H15" s="276"/>
      <c r="I15" s="276">
        <v>0</v>
      </c>
      <c r="J15" s="276">
        <v>1.1574074074074073E-4</v>
      </c>
      <c r="K15" s="312"/>
      <c r="L15" s="312"/>
      <c r="M15" s="451">
        <v>1</v>
      </c>
      <c r="N15" s="276">
        <f t="shared" si="1"/>
        <v>9.2681264934289173E-3</v>
      </c>
      <c r="O15" s="296">
        <f t="shared" si="2"/>
        <v>9.1523857526881764E-3</v>
      </c>
      <c r="P15" s="296">
        <f t="shared" si="3"/>
        <v>9.1523857526881764E-3</v>
      </c>
      <c r="Q15" s="548">
        <v>147</v>
      </c>
      <c r="R15" s="275">
        <f t="shared" si="0"/>
        <v>1000</v>
      </c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</row>
    <row r="16" spans="3:59">
      <c r="C16" s="274">
        <f t="shared" si="4"/>
        <v>2.2880964381720439E-4</v>
      </c>
      <c r="D16" s="547">
        <v>1</v>
      </c>
      <c r="E16" s="275">
        <v>1</v>
      </c>
      <c r="F16" s="275">
        <v>7</v>
      </c>
      <c r="G16" s="275">
        <v>150</v>
      </c>
      <c r="H16" s="276"/>
      <c r="I16" s="276">
        <v>1.1574074074074073E-4</v>
      </c>
      <c r="J16" s="276">
        <v>1.3888888888888889E-3</v>
      </c>
      <c r="K16" s="312"/>
      <c r="L16" s="312"/>
      <c r="M16" s="451">
        <v>1</v>
      </c>
      <c r="N16" s="276">
        <f t="shared" si="1"/>
        <v>1.1809079114396659E-2</v>
      </c>
      <c r="O16" s="296">
        <f t="shared" si="2"/>
        <v>1.3728578629032264E-3</v>
      </c>
      <c r="P16" s="296">
        <f t="shared" si="3"/>
        <v>1.3728578629032264E-3</v>
      </c>
      <c r="Q16" s="548">
        <v>147</v>
      </c>
      <c r="R16" s="275">
        <f t="shared" si="0"/>
        <v>1050</v>
      </c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</row>
    <row r="17" spans="3:59">
      <c r="C17" s="274">
        <f t="shared" si="4"/>
        <v>2.2880964381720439E-4</v>
      </c>
      <c r="D17" s="547">
        <v>1</v>
      </c>
      <c r="E17" s="275">
        <v>1</v>
      </c>
      <c r="F17" s="275">
        <v>4</v>
      </c>
      <c r="G17" s="275">
        <v>300</v>
      </c>
      <c r="H17" s="276"/>
      <c r="I17" s="276">
        <v>1.1574074074074073E-4</v>
      </c>
      <c r="J17" s="276">
        <v>1.3888888888888889E-3</v>
      </c>
      <c r="K17" s="312"/>
      <c r="L17" s="312"/>
      <c r="M17" s="451">
        <v>1</v>
      </c>
      <c r="N17" s="276">
        <f t="shared" si="1"/>
        <v>1.2834714755077664E-2</v>
      </c>
      <c r="O17" s="296">
        <f t="shared" si="2"/>
        <v>2.7457157258064528E-3</v>
      </c>
      <c r="P17" s="296">
        <f t="shared" si="3"/>
        <v>2.7457157258064528E-3</v>
      </c>
      <c r="Q17" s="548">
        <v>147</v>
      </c>
      <c r="R17" s="275">
        <f t="shared" si="0"/>
        <v>1200</v>
      </c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</row>
    <row r="18" spans="3:59">
      <c r="C18" s="274">
        <f t="shared" si="4"/>
        <v>2.2880964381720439E-4</v>
      </c>
      <c r="D18" s="547">
        <v>1</v>
      </c>
      <c r="E18" s="275">
        <v>1</v>
      </c>
      <c r="F18" s="275">
        <v>1</v>
      </c>
      <c r="G18" s="275">
        <v>600</v>
      </c>
      <c r="H18" s="276"/>
      <c r="I18" s="276">
        <v>0</v>
      </c>
      <c r="J18" s="276">
        <v>1.1574074074074073E-4</v>
      </c>
      <c r="K18" s="312" t="s">
        <v>372</v>
      </c>
      <c r="L18" s="312"/>
      <c r="M18" s="451">
        <v>1</v>
      </c>
      <c r="N18" s="276">
        <f t="shared" si="1"/>
        <v>5.6071721923536466E-3</v>
      </c>
      <c r="O18" s="296">
        <f t="shared" si="2"/>
        <v>5.4914314516129057E-3</v>
      </c>
      <c r="P18" s="296">
        <f t="shared" si="3"/>
        <v>5.4914314516129057E-3</v>
      </c>
      <c r="Q18" s="548">
        <v>147</v>
      </c>
      <c r="R18" s="275">
        <f t="shared" si="0"/>
        <v>600</v>
      </c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</row>
    <row r="19" spans="3:59">
      <c r="C19" s="274">
        <f t="shared" si="4"/>
        <v>2.2880964381720439E-4</v>
      </c>
      <c r="D19" s="547">
        <v>1</v>
      </c>
      <c r="E19" s="275">
        <v>1</v>
      </c>
      <c r="F19" s="275">
        <v>1</v>
      </c>
      <c r="G19" s="275">
        <f>400+200+400+200</f>
        <v>1200</v>
      </c>
      <c r="H19" s="276"/>
      <c r="I19" s="276">
        <v>0</v>
      </c>
      <c r="J19" s="276">
        <v>0</v>
      </c>
      <c r="K19" s="312" t="s">
        <v>377</v>
      </c>
      <c r="L19" s="312"/>
      <c r="M19" s="451">
        <v>1</v>
      </c>
      <c r="N19" s="276">
        <f t="shared" si="1"/>
        <v>1.0982862903225811E-2</v>
      </c>
      <c r="O19" s="296">
        <f t="shared" si="2"/>
        <v>1.0982862903225811E-2</v>
      </c>
      <c r="P19" s="296">
        <f t="shared" si="3"/>
        <v>1.0982862903225811E-2</v>
      </c>
      <c r="Q19" s="548">
        <v>147</v>
      </c>
      <c r="R19" s="275">
        <f t="shared" si="0"/>
        <v>1200</v>
      </c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</row>
    <row r="20" spans="3:59">
      <c r="C20" s="274">
        <f t="shared" si="4"/>
        <v>2.2880964381720439E-4</v>
      </c>
      <c r="D20" s="547">
        <v>1</v>
      </c>
      <c r="E20" s="275">
        <v>1</v>
      </c>
      <c r="F20" s="275">
        <v>2</v>
      </c>
      <c r="G20" s="275">
        <v>700</v>
      </c>
      <c r="H20" s="276"/>
      <c r="I20" s="276">
        <v>1.1574074074074073E-4</v>
      </c>
      <c r="J20" s="276">
        <v>0</v>
      </c>
      <c r="K20" s="312"/>
      <c r="L20" s="312"/>
      <c r="M20" s="451">
        <v>1</v>
      </c>
      <c r="N20" s="276">
        <f t="shared" si="1"/>
        <v>1.3044821535244928E-2</v>
      </c>
      <c r="O20" s="296">
        <f t="shared" si="2"/>
        <v>6.4066700268817231E-3</v>
      </c>
      <c r="P20" s="296">
        <f t="shared" si="3"/>
        <v>6.4066700268817231E-3</v>
      </c>
      <c r="Q20" s="548">
        <v>147</v>
      </c>
      <c r="R20" s="275">
        <f t="shared" si="0"/>
        <v>1400</v>
      </c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</row>
    <row r="21" spans="3:59">
      <c r="C21" s="274">
        <f t="shared" si="4"/>
        <v>2.2880964381720439E-4</v>
      </c>
      <c r="D21" s="547">
        <v>1</v>
      </c>
      <c r="E21" s="275">
        <v>1</v>
      </c>
      <c r="F21" s="275">
        <v>1</v>
      </c>
      <c r="G21" s="275">
        <v>1500</v>
      </c>
      <c r="H21" s="276"/>
      <c r="I21" s="276">
        <v>1.1574074074074073E-4</v>
      </c>
      <c r="J21" s="276">
        <v>0</v>
      </c>
      <c r="K21" s="312" t="s">
        <v>378</v>
      </c>
      <c r="L21" s="312"/>
      <c r="M21" s="451">
        <v>1</v>
      </c>
      <c r="N21" s="276">
        <f t="shared" si="1"/>
        <v>1.3844319369773005E-2</v>
      </c>
      <c r="O21" s="296">
        <f t="shared" si="2"/>
        <v>1.3728578629032264E-2</v>
      </c>
      <c r="P21" s="296">
        <f t="shared" si="3"/>
        <v>1.3728578629032264E-2</v>
      </c>
      <c r="Q21" s="548">
        <v>147</v>
      </c>
      <c r="R21" s="275">
        <f t="shared" si="0"/>
        <v>1500</v>
      </c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</row>
    <row r="22" spans="3:59">
      <c r="C22" s="274">
        <f t="shared" si="4"/>
        <v>2.2880964381720439E-4</v>
      </c>
      <c r="D22" s="547">
        <v>1</v>
      </c>
      <c r="E22" s="275">
        <v>1</v>
      </c>
      <c r="F22" s="275">
        <v>1</v>
      </c>
      <c r="G22" s="275">
        <v>1500</v>
      </c>
      <c r="H22" s="276"/>
      <c r="I22" s="276">
        <v>0</v>
      </c>
      <c r="J22" s="276">
        <v>0</v>
      </c>
      <c r="K22" s="312"/>
      <c r="L22" s="312"/>
      <c r="M22" s="451">
        <v>1</v>
      </c>
      <c r="N22" s="276">
        <f t="shared" si="1"/>
        <v>1.3728578629032264E-2</v>
      </c>
      <c r="O22" s="296">
        <f t="shared" si="2"/>
        <v>1.3728578629032264E-2</v>
      </c>
      <c r="P22" s="296">
        <f t="shared" si="3"/>
        <v>1.3728578629032264E-2</v>
      </c>
      <c r="Q22" s="548">
        <v>147</v>
      </c>
      <c r="R22" s="275">
        <f t="shared" si="0"/>
        <v>1500</v>
      </c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</row>
    <row r="23" spans="3:59">
      <c r="C23" s="274">
        <f t="shared" si="4"/>
        <v>2.2880964381720439E-4</v>
      </c>
      <c r="D23" s="547">
        <v>1</v>
      </c>
      <c r="E23" s="275">
        <v>2</v>
      </c>
      <c r="F23" s="275">
        <v>8</v>
      </c>
      <c r="G23" s="275">
        <v>100</v>
      </c>
      <c r="H23" s="276"/>
      <c r="I23" s="276">
        <v>1.1574074074074073E-4</v>
      </c>
      <c r="J23" s="276">
        <v>1.3888888888888889E-3</v>
      </c>
      <c r="K23" s="312"/>
      <c r="L23" s="312"/>
      <c r="M23" s="451">
        <v>1</v>
      </c>
      <c r="N23" s="276">
        <f t="shared" si="1"/>
        <v>1.9273446833930712E-2</v>
      </c>
      <c r="O23" s="296">
        <f t="shared" si="2"/>
        <v>9.1523857526881758E-4</v>
      </c>
      <c r="P23" s="296">
        <f t="shared" si="3"/>
        <v>9.1523857526881758E-4</v>
      </c>
      <c r="Q23" s="548">
        <v>147</v>
      </c>
      <c r="R23" s="275">
        <f t="shared" si="0"/>
        <v>1600</v>
      </c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</row>
    <row r="24" spans="3:59">
      <c r="C24" s="274">
        <f t="shared" si="4"/>
        <v>2.2880964381720439E-4</v>
      </c>
      <c r="D24" s="547">
        <v>1</v>
      </c>
      <c r="E24" s="275">
        <v>2</v>
      </c>
      <c r="F24" s="275">
        <v>8</v>
      </c>
      <c r="G24" s="275">
        <v>100</v>
      </c>
      <c r="H24" s="276">
        <v>9.2592592592592585E-4</v>
      </c>
      <c r="I24" s="276"/>
      <c r="J24" s="276">
        <v>1.3888888888888889E-3</v>
      </c>
      <c r="K24" s="312"/>
      <c r="L24" s="312"/>
      <c r="M24" s="451">
        <v>1</v>
      </c>
      <c r="N24" s="276">
        <f>H24*F24*E24</f>
        <v>1.4814814814814814E-2</v>
      </c>
      <c r="O24" s="296">
        <f t="shared" si="2"/>
        <v>9.1523857526881758E-4</v>
      </c>
      <c r="P24" s="296">
        <f t="shared" si="3"/>
        <v>9.1523857526881758E-4</v>
      </c>
      <c r="Q24" s="548">
        <v>147</v>
      </c>
      <c r="R24" s="275">
        <f t="shared" si="0"/>
        <v>1600</v>
      </c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</row>
    <row r="25" spans="3:59">
      <c r="C25" s="274">
        <f t="shared" si="4"/>
        <v>2.2880964381720439E-4</v>
      </c>
      <c r="D25" s="547">
        <v>1</v>
      </c>
      <c r="E25" s="275">
        <v>2</v>
      </c>
      <c r="F25" s="275">
        <v>4</v>
      </c>
      <c r="G25" s="275">
        <v>200</v>
      </c>
      <c r="H25" s="276"/>
      <c r="I25" s="276">
        <v>1.1574074074074073E-4</v>
      </c>
      <c r="J25" s="276">
        <v>1.3888888888888889E-3</v>
      </c>
      <c r="K25" s="312"/>
      <c r="L25" s="312"/>
      <c r="M25" s="451">
        <v>1</v>
      </c>
      <c r="N25" s="276">
        <f t="shared" ref="N25:N30" si="5">P25*E25*F25+I25*E25*F25+J25*E25</f>
        <v>1.8347520908004785E-2</v>
      </c>
      <c r="O25" s="296">
        <f t="shared" si="2"/>
        <v>1.8304771505376352E-3</v>
      </c>
      <c r="P25" s="296">
        <f t="shared" si="3"/>
        <v>1.8304771505376352E-3</v>
      </c>
      <c r="Q25" s="548">
        <v>147</v>
      </c>
      <c r="R25" s="275">
        <f t="shared" si="0"/>
        <v>1600</v>
      </c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</row>
    <row r="26" spans="3:59">
      <c r="C26" s="274">
        <f t="shared" si="4"/>
        <v>2.2880964381720439E-4</v>
      </c>
      <c r="D26" s="547">
        <v>1</v>
      </c>
      <c r="E26" s="275">
        <v>1</v>
      </c>
      <c r="F26" s="275">
        <v>1</v>
      </c>
      <c r="G26" s="275">
        <f>400+100+400+100+400+100+400+100</f>
        <v>2000</v>
      </c>
      <c r="H26" s="276"/>
      <c r="I26" s="276">
        <v>0</v>
      </c>
      <c r="J26" s="276">
        <v>0</v>
      </c>
      <c r="K26" s="312" t="s">
        <v>379</v>
      </c>
      <c r="L26" s="312"/>
      <c r="M26" s="451">
        <v>1</v>
      </c>
      <c r="N26" s="276">
        <f t="shared" si="5"/>
        <v>1.8304771505376353E-2</v>
      </c>
      <c r="O26" s="296">
        <f t="shared" si="2"/>
        <v>1.8304771505376353E-2</v>
      </c>
      <c r="P26" s="296">
        <f t="shared" si="3"/>
        <v>1.8304771505376353E-2</v>
      </c>
      <c r="Q26" s="548">
        <v>147</v>
      </c>
      <c r="R26" s="275">
        <f t="shared" si="0"/>
        <v>2000</v>
      </c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</row>
    <row r="27" spans="3:59">
      <c r="C27" s="274">
        <f t="shared" si="4"/>
        <v>2.2880964381720439E-4</v>
      </c>
      <c r="D27" s="547">
        <v>1</v>
      </c>
      <c r="E27" s="275">
        <v>1</v>
      </c>
      <c r="F27" s="275">
        <v>1</v>
      </c>
      <c r="G27" s="275">
        <v>1800</v>
      </c>
      <c r="H27" s="276"/>
      <c r="I27" s="276">
        <v>0</v>
      </c>
      <c r="J27" s="276">
        <v>0</v>
      </c>
      <c r="K27" s="312" t="s">
        <v>625</v>
      </c>
      <c r="L27" s="312"/>
      <c r="M27" s="451">
        <v>1</v>
      </c>
      <c r="N27" s="276">
        <f t="shared" si="5"/>
        <v>1.6474294354838718E-2</v>
      </c>
      <c r="O27" s="296">
        <f t="shared" si="2"/>
        <v>1.6474294354838718E-2</v>
      </c>
      <c r="P27" s="296">
        <f t="shared" si="3"/>
        <v>1.6474294354838718E-2</v>
      </c>
      <c r="Q27" s="548">
        <v>147</v>
      </c>
      <c r="R27" s="275">
        <f t="shared" si="0"/>
        <v>1800</v>
      </c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</row>
    <row r="28" spans="3:59">
      <c r="C28" s="274">
        <f t="shared" si="4"/>
        <v>2.2880964381720439E-4</v>
      </c>
      <c r="D28" s="547">
        <v>1</v>
      </c>
      <c r="E28" s="275">
        <v>2</v>
      </c>
      <c r="F28" s="275">
        <v>3</v>
      </c>
      <c r="G28" s="275">
        <v>400</v>
      </c>
      <c r="H28" s="276"/>
      <c r="I28" s="276">
        <v>1.1574074074074073E-4</v>
      </c>
      <c r="J28" s="276">
        <v>1.3888888888888889E-3</v>
      </c>
      <c r="K28" s="312"/>
      <c r="L28" s="312"/>
      <c r="M28" s="451">
        <v>1</v>
      </c>
      <c r="N28" s="276">
        <f t="shared" si="5"/>
        <v>2.5437948028673846E-2</v>
      </c>
      <c r="O28" s="296">
        <f t="shared" si="2"/>
        <v>3.6609543010752703E-3</v>
      </c>
      <c r="P28" s="296">
        <f t="shared" si="3"/>
        <v>3.6609543010752703E-3</v>
      </c>
      <c r="Q28" s="548">
        <v>147</v>
      </c>
      <c r="R28" s="275">
        <f t="shared" si="0"/>
        <v>2400</v>
      </c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</row>
    <row r="29" spans="3:59">
      <c r="C29" s="274">
        <f t="shared" si="4"/>
        <v>2.2880964381720439E-4</v>
      </c>
      <c r="D29" s="547">
        <v>1</v>
      </c>
      <c r="E29" s="275">
        <v>2</v>
      </c>
      <c r="F29" s="275">
        <v>5</v>
      </c>
      <c r="G29" s="275">
        <v>250</v>
      </c>
      <c r="H29" s="276"/>
      <c r="I29" s="276">
        <v>1.1574074074074073E-4</v>
      </c>
      <c r="J29" s="276">
        <v>1.3888888888888889E-3</v>
      </c>
      <c r="K29" s="312"/>
      <c r="L29" s="312"/>
      <c r="M29" s="451">
        <v>1</v>
      </c>
      <c r="N29" s="276">
        <f t="shared" si="5"/>
        <v>2.6816149566905628E-2</v>
      </c>
      <c r="O29" s="296">
        <f t="shared" si="2"/>
        <v>2.2880964381720441E-3</v>
      </c>
      <c r="P29" s="296">
        <f t="shared" si="3"/>
        <v>2.2880964381720441E-3</v>
      </c>
      <c r="Q29" s="548">
        <v>147</v>
      </c>
      <c r="R29" s="275">
        <f t="shared" si="0"/>
        <v>2500</v>
      </c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</row>
    <row r="30" spans="3:59">
      <c r="C30" s="274">
        <f t="shared" si="4"/>
        <v>2.2880964381720439E-4</v>
      </c>
      <c r="D30" s="547">
        <v>1</v>
      </c>
      <c r="E30" s="275">
        <v>2</v>
      </c>
      <c r="F30" s="275">
        <v>1</v>
      </c>
      <c r="G30" s="275">
        <v>1500</v>
      </c>
      <c r="H30" s="276"/>
      <c r="I30" s="276">
        <v>0</v>
      </c>
      <c r="J30" s="276">
        <v>1.1574074074074073E-4</v>
      </c>
      <c r="K30" s="312"/>
      <c r="L30" s="312"/>
      <c r="M30" s="451">
        <v>1</v>
      </c>
      <c r="N30" s="276">
        <f t="shared" si="5"/>
        <v>2.7688638739546009E-2</v>
      </c>
      <c r="O30" s="296">
        <f t="shared" si="2"/>
        <v>1.3728578629032264E-2</v>
      </c>
      <c r="P30" s="296">
        <f t="shared" si="3"/>
        <v>1.3728578629032264E-2</v>
      </c>
      <c r="Q30" s="548">
        <v>147</v>
      </c>
      <c r="R30" s="275">
        <f t="shared" si="0"/>
        <v>3000</v>
      </c>
      <c r="S30" s="1096" t="s">
        <v>1216</v>
      </c>
      <c r="T30" s="478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</row>
    <row r="31" spans="3:59" ht="18">
      <c r="C31" s="90"/>
      <c r="D31" s="888"/>
      <c r="E31" s="134"/>
      <c r="F31" s="294"/>
      <c r="G31" s="135"/>
      <c r="H31" s="135"/>
      <c r="I31" s="135"/>
      <c r="J31" s="135"/>
      <c r="K31" s="313"/>
      <c r="L31" s="313"/>
      <c r="M31" s="511"/>
      <c r="N31" s="276">
        <f>SUM(N7:N30)</f>
        <v>0.30487859356332153</v>
      </c>
      <c r="O31" s="73"/>
      <c r="P31" s="73"/>
      <c r="Q31" s="783"/>
      <c r="R31" s="73">
        <f>SUM(R7:R30)</f>
        <v>30700</v>
      </c>
      <c r="S31" s="73">
        <f>R31/T32</f>
        <v>1.1654392225343557</v>
      </c>
      <c r="T31" s="2161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</row>
    <row r="32" spans="3:59" ht="18">
      <c r="C32" s="549"/>
      <c r="D32" s="888"/>
      <c r="E32" s="134"/>
      <c r="F32" s="294"/>
      <c r="G32" s="135"/>
      <c r="H32" s="135"/>
      <c r="I32" s="135"/>
      <c r="J32" s="135"/>
      <c r="K32" s="313"/>
      <c r="L32" s="313"/>
      <c r="M32" s="511"/>
      <c r="N32" s="783">
        <v>7</v>
      </c>
      <c r="O32" s="783">
        <v>19</v>
      </c>
      <c r="P32" s="783">
        <v>2</v>
      </c>
      <c r="Q32" s="783"/>
      <c r="R32" s="73"/>
      <c r="S32" s="73"/>
      <c r="T32" s="2162">
        <f>N32*3600+O32*60+P32</f>
        <v>26342</v>
      </c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</row>
    <row r="33" spans="3:59" ht="18">
      <c r="C33" s="549"/>
      <c r="D33" s="888"/>
      <c r="E33" s="134"/>
      <c r="F33" s="294"/>
      <c r="G33" s="135"/>
      <c r="H33" s="135"/>
      <c r="I33" s="135"/>
      <c r="J33" s="135"/>
      <c r="K33" s="274">
        <f>IF(Test!E31,Test!E31/4,Test!D31/4)</f>
        <v>2.1908757716049393E-4</v>
      </c>
      <c r="L33" s="856"/>
      <c r="M33" s="508"/>
      <c r="N33" s="61"/>
      <c r="O33" s="61"/>
      <c r="P33" s="61"/>
      <c r="Q33" s="782">
        <f>IF(Test!E32,Test!E32,Test!D32)</f>
        <v>153</v>
      </c>
      <c r="R33" s="73"/>
      <c r="S33" s="73"/>
      <c r="T33" s="2162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</row>
    <row r="34" spans="3:59" ht="18">
      <c r="C34" s="549"/>
      <c r="D34" s="888"/>
      <c r="E34" s="134"/>
      <c r="F34" s="294" t="s">
        <v>266</v>
      </c>
      <c r="G34" s="135"/>
      <c r="H34" s="135"/>
      <c r="I34" s="135"/>
      <c r="J34" s="135"/>
      <c r="K34" s="274">
        <f>IF(Test!G31,Test!G31/4,Test!F31/4)</f>
        <v>0</v>
      </c>
      <c r="L34" s="856"/>
      <c r="M34" s="509"/>
      <c r="N34" s="61"/>
      <c r="O34" s="61"/>
      <c r="P34" s="61"/>
      <c r="Q34" s="782">
        <f>IF(Test!G32,Test!G32,Test!F32)</f>
        <v>0</v>
      </c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</row>
    <row r="35" spans="3:59">
      <c r="C35" s="299">
        <f>IF(K34,K34,K33)</f>
        <v>2.1908757716049393E-4</v>
      </c>
      <c r="D35" s="921"/>
      <c r="E35" s="272" t="s">
        <v>362</v>
      </c>
      <c r="F35" s="272" t="s">
        <v>363</v>
      </c>
      <c r="G35" s="272" t="s">
        <v>364</v>
      </c>
      <c r="H35" s="531" t="s">
        <v>142</v>
      </c>
      <c r="I35" s="272" t="s">
        <v>365</v>
      </c>
      <c r="J35" s="272" t="s">
        <v>366</v>
      </c>
      <c r="K35" s="272" t="s">
        <v>367</v>
      </c>
      <c r="L35" s="272"/>
      <c r="M35" s="510"/>
      <c r="N35" s="272" t="s">
        <v>368</v>
      </c>
      <c r="O35" s="273" t="s">
        <v>369</v>
      </c>
      <c r="P35" s="273"/>
      <c r="Q35" s="531" t="s">
        <v>185</v>
      </c>
      <c r="R35" s="272" t="s">
        <v>371</v>
      </c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</row>
    <row r="36" spans="3:59">
      <c r="C36" s="299">
        <f>C$35</f>
        <v>2.1908757716049393E-4</v>
      </c>
      <c r="D36" s="889">
        <v>2</v>
      </c>
      <c r="E36" s="300">
        <v>1</v>
      </c>
      <c r="F36" s="300">
        <v>16</v>
      </c>
      <c r="G36" s="300">
        <v>25</v>
      </c>
      <c r="H36" s="301"/>
      <c r="I36" s="301">
        <v>5.7870370370370366E-5</v>
      </c>
      <c r="J36" s="301">
        <v>1.3888888888888889E-3</v>
      </c>
      <c r="K36" s="314"/>
      <c r="L36" s="314"/>
      <c r="M36" s="455">
        <v>1</v>
      </c>
      <c r="N36" s="301">
        <f t="shared" ref="N36:N58" si="6">P36*E36*F36+I36*E36*F36+J36*E36</f>
        <v>5.820216049382718E-3</v>
      </c>
      <c r="O36" s="302">
        <f>C36</f>
        <v>2.1908757716049393E-4</v>
      </c>
      <c r="P36" s="302">
        <f>O36*M36</f>
        <v>2.1908757716049393E-4</v>
      </c>
      <c r="Q36" s="550">
        <v>153</v>
      </c>
      <c r="R36" s="369">
        <f>E36*F36*G36</f>
        <v>400</v>
      </c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</row>
    <row r="37" spans="3:59">
      <c r="C37" s="299">
        <f t="shared" ref="C37:C63" si="7">C$35</f>
        <v>2.1908757716049393E-4</v>
      </c>
      <c r="D37" s="889">
        <v>2</v>
      </c>
      <c r="E37" s="300">
        <v>1</v>
      </c>
      <c r="F37" s="300">
        <v>24</v>
      </c>
      <c r="G37" s="300">
        <v>25</v>
      </c>
      <c r="H37" s="301"/>
      <c r="I37" s="301">
        <v>5.7870370370370366E-5</v>
      </c>
      <c r="J37" s="301">
        <v>1.3888888888888889E-3</v>
      </c>
      <c r="K37" s="314"/>
      <c r="L37" s="314"/>
      <c r="M37" s="455">
        <v>1</v>
      </c>
      <c r="N37" s="301">
        <f t="shared" si="6"/>
        <v>8.0358796296296324E-3</v>
      </c>
      <c r="O37" s="302">
        <f>C37</f>
        <v>2.1908757716049393E-4</v>
      </c>
      <c r="P37" s="302">
        <f t="shared" ref="P37:P63" si="8">O37*M37</f>
        <v>2.1908757716049393E-4</v>
      </c>
      <c r="Q37" s="550">
        <v>153</v>
      </c>
      <c r="R37" s="369">
        <f t="shared" ref="R37:R63" si="9">E37*F37*G37</f>
        <v>600</v>
      </c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</row>
    <row r="38" spans="3:59">
      <c r="C38" s="299">
        <f t="shared" si="7"/>
        <v>2.1908757716049393E-4</v>
      </c>
      <c r="D38" s="889">
        <v>2</v>
      </c>
      <c r="E38" s="300">
        <v>1</v>
      </c>
      <c r="F38" s="300">
        <v>40</v>
      </c>
      <c r="G38" s="300">
        <v>25</v>
      </c>
      <c r="H38" s="301"/>
      <c r="I38" s="301">
        <v>5.7870370370370366E-5</v>
      </c>
      <c r="J38" s="301">
        <v>1.3888888888888889E-3</v>
      </c>
      <c r="K38" s="314"/>
      <c r="L38" s="314"/>
      <c r="M38" s="455">
        <v>1</v>
      </c>
      <c r="N38" s="301">
        <f t="shared" si="6"/>
        <v>1.2467206790123461E-2</v>
      </c>
      <c r="O38" s="302">
        <f>C38</f>
        <v>2.1908757716049393E-4</v>
      </c>
      <c r="P38" s="302">
        <f t="shared" si="8"/>
        <v>2.1908757716049393E-4</v>
      </c>
      <c r="Q38" s="550">
        <v>153</v>
      </c>
      <c r="R38" s="369">
        <f t="shared" si="9"/>
        <v>1000</v>
      </c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</row>
    <row r="39" spans="3:59">
      <c r="C39" s="299">
        <f>C$35</f>
        <v>2.1908757716049393E-4</v>
      </c>
      <c r="D39" s="889">
        <v>2</v>
      </c>
      <c r="E39" s="300">
        <v>2</v>
      </c>
      <c r="F39" s="300">
        <v>20</v>
      </c>
      <c r="G39" s="300">
        <v>25</v>
      </c>
      <c r="H39" s="301"/>
      <c r="I39" s="301">
        <v>5.7870370370370366E-5</v>
      </c>
      <c r="J39" s="301">
        <v>1.3888888888888889E-3</v>
      </c>
      <c r="K39" s="314"/>
      <c r="L39" s="314"/>
      <c r="M39" s="455">
        <v>1</v>
      </c>
      <c r="N39" s="301">
        <f t="shared" si="6"/>
        <v>1.385609567901235E-2</v>
      </c>
      <c r="O39" s="302">
        <f>C39</f>
        <v>2.1908757716049393E-4</v>
      </c>
      <c r="P39" s="302">
        <f t="shared" si="8"/>
        <v>2.1908757716049393E-4</v>
      </c>
      <c r="Q39" s="550">
        <v>153</v>
      </c>
      <c r="R39" s="369">
        <f>E39*F39*G39</f>
        <v>1000</v>
      </c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</row>
    <row r="40" spans="3:59">
      <c r="C40" s="299">
        <f t="shared" si="7"/>
        <v>2.1908757716049393E-4</v>
      </c>
      <c r="D40" s="889">
        <v>2</v>
      </c>
      <c r="E40" s="300">
        <v>1</v>
      </c>
      <c r="F40" s="300">
        <v>10</v>
      </c>
      <c r="G40" s="300">
        <v>50</v>
      </c>
      <c r="H40" s="301"/>
      <c r="I40" s="301">
        <v>1.1574074074074073E-4</v>
      </c>
      <c r="J40" s="301">
        <v>1.3888888888888889E-3</v>
      </c>
      <c r="K40" s="314"/>
      <c r="L40" s="314"/>
      <c r="M40" s="455">
        <v>1</v>
      </c>
      <c r="N40" s="301">
        <f t="shared" si="6"/>
        <v>6.9280478395061752E-3</v>
      </c>
      <c r="O40" s="302">
        <f>C40*2</f>
        <v>4.3817515432098786E-4</v>
      </c>
      <c r="P40" s="302">
        <f t="shared" si="8"/>
        <v>4.3817515432098786E-4</v>
      </c>
      <c r="Q40" s="550">
        <v>153</v>
      </c>
      <c r="R40" s="369">
        <f t="shared" si="9"/>
        <v>500</v>
      </c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</row>
    <row r="41" spans="3:59">
      <c r="C41" s="299">
        <f t="shared" si="7"/>
        <v>2.1908757716049393E-4</v>
      </c>
      <c r="D41" s="889">
        <v>2</v>
      </c>
      <c r="E41" s="300">
        <v>1</v>
      </c>
      <c r="F41" s="300">
        <v>16</v>
      </c>
      <c r="G41" s="300">
        <v>50</v>
      </c>
      <c r="H41" s="301"/>
      <c r="I41" s="301">
        <v>1.1574074074074073E-4</v>
      </c>
      <c r="J41" s="301">
        <v>1.3888888888888889E-3</v>
      </c>
      <c r="K41" s="314"/>
      <c r="L41" s="314"/>
      <c r="M41" s="455">
        <v>1</v>
      </c>
      <c r="N41" s="301">
        <f t="shared" si="6"/>
        <v>1.0251543209876547E-2</v>
      </c>
      <c r="O41" s="302">
        <f>C41*2</f>
        <v>4.3817515432098786E-4</v>
      </c>
      <c r="P41" s="302">
        <f t="shared" si="8"/>
        <v>4.3817515432098786E-4</v>
      </c>
      <c r="Q41" s="550">
        <v>153</v>
      </c>
      <c r="R41" s="369">
        <f t="shared" si="9"/>
        <v>800</v>
      </c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</row>
    <row r="42" spans="3:59">
      <c r="C42" s="299">
        <f t="shared" si="7"/>
        <v>2.1908757716049393E-4</v>
      </c>
      <c r="D42" s="889">
        <v>2</v>
      </c>
      <c r="E42" s="300">
        <v>2</v>
      </c>
      <c r="F42" s="300">
        <v>8</v>
      </c>
      <c r="G42" s="300">
        <v>50</v>
      </c>
      <c r="H42" s="301"/>
      <c r="I42" s="301">
        <v>1.1574074074074073E-4</v>
      </c>
      <c r="J42" s="301">
        <v>1.3888888888888889E-3</v>
      </c>
      <c r="K42" s="314"/>
      <c r="L42" s="314"/>
      <c r="M42" s="455">
        <v>1</v>
      </c>
      <c r="N42" s="301">
        <f t="shared" si="6"/>
        <v>1.1640432098765436E-2</v>
      </c>
      <c r="O42" s="302">
        <f>C42*2</f>
        <v>4.3817515432098786E-4</v>
      </c>
      <c r="P42" s="302">
        <f t="shared" si="8"/>
        <v>4.3817515432098786E-4</v>
      </c>
      <c r="Q42" s="550">
        <v>153</v>
      </c>
      <c r="R42" s="369">
        <f>E42*F42*G42</f>
        <v>800</v>
      </c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</row>
    <row r="43" spans="3:59">
      <c r="C43" s="299">
        <f t="shared" si="7"/>
        <v>2.1908757716049393E-4</v>
      </c>
      <c r="D43" s="889">
        <v>2</v>
      </c>
      <c r="E43" s="300">
        <v>3</v>
      </c>
      <c r="F43" s="300">
        <v>16</v>
      </c>
      <c r="G43" s="300">
        <v>50</v>
      </c>
      <c r="H43" s="301"/>
      <c r="I43" s="301">
        <v>5.7870370370370366E-5</v>
      </c>
      <c r="J43" s="301">
        <v>1.3888888888888889E-3</v>
      </c>
      <c r="K43" s="314"/>
      <c r="L43" s="314"/>
      <c r="M43" s="455">
        <v>1</v>
      </c>
      <c r="N43" s="301">
        <f t="shared" si="6"/>
        <v>2.797685185185186E-2</v>
      </c>
      <c r="O43" s="302">
        <f>C43*2</f>
        <v>4.3817515432098786E-4</v>
      </c>
      <c r="P43" s="302">
        <f t="shared" si="8"/>
        <v>4.3817515432098786E-4</v>
      </c>
      <c r="Q43" s="550">
        <v>153</v>
      </c>
      <c r="R43" s="369">
        <f>E43*F43*G43</f>
        <v>2400</v>
      </c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</row>
    <row r="44" spans="3:59">
      <c r="C44" s="299">
        <f t="shared" si="7"/>
        <v>2.1908757716049393E-4</v>
      </c>
      <c r="D44" s="889">
        <v>2</v>
      </c>
      <c r="E44" s="300">
        <v>1</v>
      </c>
      <c r="F44" s="300">
        <v>8</v>
      </c>
      <c r="G44" s="300">
        <v>75</v>
      </c>
      <c r="H44" s="301"/>
      <c r="I44" s="301">
        <v>1.3888888888888889E-4</v>
      </c>
      <c r="J44" s="301">
        <v>1.3888888888888889E-3</v>
      </c>
      <c r="K44" s="314"/>
      <c r="L44" s="314"/>
      <c r="M44" s="455">
        <v>1</v>
      </c>
      <c r="N44" s="301">
        <f t="shared" si="6"/>
        <v>7.8106828703703732E-3</v>
      </c>
      <c r="O44" s="302">
        <f>C44*3*1.01</f>
        <v>6.6383535879629659E-4</v>
      </c>
      <c r="P44" s="302">
        <f t="shared" si="8"/>
        <v>6.6383535879629659E-4</v>
      </c>
      <c r="Q44" s="550">
        <v>153</v>
      </c>
      <c r="R44" s="369">
        <f t="shared" si="9"/>
        <v>600</v>
      </c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</row>
    <row r="45" spans="3:59">
      <c r="C45" s="299">
        <f t="shared" si="7"/>
        <v>2.1908757716049393E-4</v>
      </c>
      <c r="D45" s="889">
        <v>2</v>
      </c>
      <c r="E45" s="300">
        <v>2</v>
      </c>
      <c r="F45" s="300">
        <v>4</v>
      </c>
      <c r="G45" s="300">
        <v>75</v>
      </c>
      <c r="H45" s="301"/>
      <c r="I45" s="301">
        <v>1.3888888888888889E-4</v>
      </c>
      <c r="J45" s="301">
        <v>1.3888888888888889E-3</v>
      </c>
      <c r="K45" s="314"/>
      <c r="L45" s="314"/>
      <c r="M45" s="455">
        <v>1</v>
      </c>
      <c r="N45" s="301">
        <f t="shared" si="6"/>
        <v>9.1995717592592615E-3</v>
      </c>
      <c r="O45" s="302">
        <f>C45*3*1.01</f>
        <v>6.6383535879629659E-4</v>
      </c>
      <c r="P45" s="302">
        <f t="shared" si="8"/>
        <v>6.6383535879629659E-4</v>
      </c>
      <c r="Q45" s="550">
        <v>153</v>
      </c>
      <c r="R45" s="369">
        <f t="shared" si="9"/>
        <v>600</v>
      </c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</row>
    <row r="46" spans="3:59">
      <c r="C46" s="299">
        <f t="shared" si="7"/>
        <v>2.1908757716049393E-4</v>
      </c>
      <c r="D46" s="889">
        <v>2</v>
      </c>
      <c r="E46" s="300">
        <v>1</v>
      </c>
      <c r="F46" s="300">
        <v>12</v>
      </c>
      <c r="G46" s="300">
        <v>75</v>
      </c>
      <c r="H46" s="301"/>
      <c r="I46" s="301">
        <v>1.3888888888888889E-4</v>
      </c>
      <c r="J46" s="301">
        <v>1.3888888888888889E-3</v>
      </c>
      <c r="K46" s="314"/>
      <c r="L46" s="314"/>
      <c r="M46" s="455">
        <v>1</v>
      </c>
      <c r="N46" s="301">
        <f t="shared" si="6"/>
        <v>1.1021579861111115E-2</v>
      </c>
      <c r="O46" s="302">
        <f>C46*3*1.01</f>
        <v>6.6383535879629659E-4</v>
      </c>
      <c r="P46" s="302">
        <f t="shared" si="8"/>
        <v>6.6383535879629659E-4</v>
      </c>
      <c r="Q46" s="550">
        <v>153</v>
      </c>
      <c r="R46" s="369">
        <f t="shared" si="9"/>
        <v>900</v>
      </c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</row>
    <row r="47" spans="3:59">
      <c r="C47" s="299">
        <f t="shared" si="7"/>
        <v>2.1908757716049393E-4</v>
      </c>
      <c r="D47" s="889">
        <v>2</v>
      </c>
      <c r="E47" s="300">
        <v>2</v>
      </c>
      <c r="F47" s="300">
        <v>10</v>
      </c>
      <c r="G47" s="300">
        <v>75</v>
      </c>
      <c r="H47" s="301"/>
      <c r="I47" s="301">
        <v>1.3888888888888889E-4</v>
      </c>
      <c r="J47" s="301">
        <v>1.3888888888888889E-3</v>
      </c>
      <c r="K47" s="314"/>
      <c r="L47" s="314"/>
      <c r="M47" s="455">
        <v>1</v>
      </c>
      <c r="N47" s="301">
        <f t="shared" si="6"/>
        <v>1.8832262731481489E-2</v>
      </c>
      <c r="O47" s="302">
        <f>C47*3*1.01</f>
        <v>6.6383535879629659E-4</v>
      </c>
      <c r="P47" s="302">
        <f t="shared" si="8"/>
        <v>6.6383535879629659E-4</v>
      </c>
      <c r="Q47" s="550">
        <v>153</v>
      </c>
      <c r="R47" s="369">
        <f>E47*F47*G47</f>
        <v>1500</v>
      </c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</row>
    <row r="48" spans="3:59">
      <c r="C48" s="299">
        <f t="shared" si="7"/>
        <v>2.1908757716049393E-4</v>
      </c>
      <c r="D48" s="889">
        <v>2</v>
      </c>
      <c r="E48" s="300">
        <v>1</v>
      </c>
      <c r="F48" s="300">
        <v>4</v>
      </c>
      <c r="G48" s="300">
        <v>100</v>
      </c>
      <c r="H48" s="301"/>
      <c r="I48" s="301">
        <v>1.7361111111111112E-4</v>
      </c>
      <c r="J48" s="301">
        <v>1.3888888888888889E-3</v>
      </c>
      <c r="K48" s="314"/>
      <c r="L48" s="314"/>
      <c r="M48" s="455">
        <v>1</v>
      </c>
      <c r="N48" s="301">
        <f t="shared" si="6"/>
        <v>5.6588425925925947E-3</v>
      </c>
      <c r="O48" s="302">
        <f>C48*4*1.02</f>
        <v>8.9387731481481523E-4</v>
      </c>
      <c r="P48" s="302">
        <f t="shared" si="8"/>
        <v>8.9387731481481523E-4</v>
      </c>
      <c r="Q48" s="550">
        <v>153</v>
      </c>
      <c r="R48" s="369">
        <f t="shared" si="9"/>
        <v>400</v>
      </c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</row>
    <row r="49" spans="3:59">
      <c r="C49" s="299">
        <f t="shared" si="7"/>
        <v>2.1908757716049393E-4</v>
      </c>
      <c r="D49" s="889">
        <v>2</v>
      </c>
      <c r="E49" s="300">
        <v>3</v>
      </c>
      <c r="F49" s="300">
        <v>4</v>
      </c>
      <c r="G49" s="300">
        <v>100</v>
      </c>
      <c r="H49" s="301"/>
      <c r="I49" s="301">
        <v>1.7361111111111112E-4</v>
      </c>
      <c r="J49" s="301">
        <v>1.3888888888888889E-3</v>
      </c>
      <c r="K49" s="314"/>
      <c r="L49" s="314"/>
      <c r="M49" s="455">
        <v>1</v>
      </c>
      <c r="N49" s="301">
        <f t="shared" si="6"/>
        <v>1.6976527777777781E-2</v>
      </c>
      <c r="O49" s="302">
        <f>C49*4*1.02</f>
        <v>8.9387731481481523E-4</v>
      </c>
      <c r="P49" s="302">
        <f t="shared" si="8"/>
        <v>8.9387731481481523E-4</v>
      </c>
      <c r="Q49" s="550">
        <v>153</v>
      </c>
      <c r="R49" s="369">
        <f t="shared" si="9"/>
        <v>1200</v>
      </c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</row>
    <row r="50" spans="3:59">
      <c r="C50" s="299">
        <f t="shared" si="7"/>
        <v>2.1908757716049393E-4</v>
      </c>
      <c r="D50" s="889">
        <v>2</v>
      </c>
      <c r="E50" s="300">
        <v>2</v>
      </c>
      <c r="F50" s="300">
        <v>6</v>
      </c>
      <c r="G50" s="300">
        <v>100</v>
      </c>
      <c r="H50" s="301"/>
      <c r="I50" s="301">
        <v>1.7361111111111112E-4</v>
      </c>
      <c r="J50" s="301">
        <v>1.3888888888888889E-3</v>
      </c>
      <c r="K50" s="314"/>
      <c r="L50" s="314"/>
      <c r="M50" s="455">
        <v>1</v>
      </c>
      <c r="N50" s="301">
        <f t="shared" si="6"/>
        <v>1.5587638888888894E-2</v>
      </c>
      <c r="O50" s="302">
        <f>C50*4*1.02</f>
        <v>8.9387731481481523E-4</v>
      </c>
      <c r="P50" s="302">
        <f t="shared" si="8"/>
        <v>8.9387731481481523E-4</v>
      </c>
      <c r="Q50" s="550">
        <v>153</v>
      </c>
      <c r="R50" s="369">
        <f t="shared" si="9"/>
        <v>1200</v>
      </c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</row>
    <row r="51" spans="3:59">
      <c r="C51" s="299">
        <f t="shared" si="7"/>
        <v>2.1908757716049393E-4</v>
      </c>
      <c r="D51" s="889">
        <v>2</v>
      </c>
      <c r="E51" s="300">
        <v>2</v>
      </c>
      <c r="F51" s="300">
        <v>7</v>
      </c>
      <c r="G51" s="300">
        <v>100</v>
      </c>
      <c r="H51" s="301"/>
      <c r="I51" s="301">
        <v>1.7361111111111112E-4</v>
      </c>
      <c r="J51" s="301">
        <v>1.3888888888888889E-3</v>
      </c>
      <c r="K51" s="314"/>
      <c r="L51" s="314"/>
      <c r="M51" s="455">
        <v>1</v>
      </c>
      <c r="N51" s="301">
        <f t="shared" si="6"/>
        <v>1.7722615740740747E-2</v>
      </c>
      <c r="O51" s="302">
        <f>C51*4*1.02</f>
        <v>8.9387731481481523E-4</v>
      </c>
      <c r="P51" s="302">
        <f t="shared" si="8"/>
        <v>8.9387731481481523E-4</v>
      </c>
      <c r="Q51" s="550">
        <v>153</v>
      </c>
      <c r="R51" s="369">
        <f t="shared" si="9"/>
        <v>1400</v>
      </c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</row>
    <row r="52" spans="3:59">
      <c r="C52" s="299">
        <f t="shared" si="7"/>
        <v>2.1908757716049393E-4</v>
      </c>
      <c r="D52" s="889">
        <v>2</v>
      </c>
      <c r="E52" s="300">
        <v>1</v>
      </c>
      <c r="F52" s="300">
        <v>5</v>
      </c>
      <c r="G52" s="300">
        <v>150</v>
      </c>
      <c r="H52" s="301"/>
      <c r="I52" s="301">
        <v>2.3148148148148146E-4</v>
      </c>
      <c r="J52" s="301">
        <v>1.3888888888888889E-3</v>
      </c>
      <c r="K52" s="314"/>
      <c r="L52" s="314"/>
      <c r="M52" s="455">
        <v>1</v>
      </c>
      <c r="N52" s="301">
        <f t="shared" si="6"/>
        <v>9.3161024305555579E-3</v>
      </c>
      <c r="O52" s="302">
        <f>C52*6*1.03</f>
        <v>1.3539612268518525E-3</v>
      </c>
      <c r="P52" s="302">
        <f t="shared" si="8"/>
        <v>1.3539612268518525E-3</v>
      </c>
      <c r="Q52" s="550">
        <v>153</v>
      </c>
      <c r="R52" s="369">
        <f t="shared" si="9"/>
        <v>750</v>
      </c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</row>
    <row r="53" spans="3:59">
      <c r="C53" s="299">
        <f t="shared" si="7"/>
        <v>2.1908757716049393E-4</v>
      </c>
      <c r="D53" s="889">
        <v>2</v>
      </c>
      <c r="E53" s="300">
        <v>2</v>
      </c>
      <c r="F53" s="300">
        <v>5</v>
      </c>
      <c r="G53" s="300">
        <v>150</v>
      </c>
      <c r="H53" s="301"/>
      <c r="I53" s="301">
        <v>2.3148148148148146E-4</v>
      </c>
      <c r="J53" s="301">
        <v>1.3888888888888889E-3</v>
      </c>
      <c r="K53" s="314"/>
      <c r="L53" s="314"/>
      <c r="M53" s="455">
        <v>1</v>
      </c>
      <c r="N53" s="301">
        <f t="shared" si="6"/>
        <v>1.8632204861111116E-2</v>
      </c>
      <c r="O53" s="302">
        <f>C53*6*1.03</f>
        <v>1.3539612268518525E-3</v>
      </c>
      <c r="P53" s="302">
        <f t="shared" si="8"/>
        <v>1.3539612268518525E-3</v>
      </c>
      <c r="Q53" s="550">
        <v>153</v>
      </c>
      <c r="R53" s="369">
        <f>E53*F53*G53</f>
        <v>1500</v>
      </c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</row>
    <row r="54" spans="3:59">
      <c r="C54" s="299">
        <f t="shared" si="7"/>
        <v>2.1908757716049393E-4</v>
      </c>
      <c r="D54" s="889">
        <v>2</v>
      </c>
      <c r="E54" s="300">
        <v>2</v>
      </c>
      <c r="F54" s="300">
        <v>3</v>
      </c>
      <c r="G54" s="300">
        <v>200</v>
      </c>
      <c r="H54" s="301"/>
      <c r="I54" s="301">
        <v>2.3148148148148146E-4</v>
      </c>
      <c r="J54" s="301">
        <v>1.3888888888888889E-3</v>
      </c>
      <c r="K54" s="314"/>
      <c r="L54" s="314"/>
      <c r="M54" s="455">
        <v>2</v>
      </c>
      <c r="N54" s="301">
        <f t="shared" si="6"/>
        <v>2.0414201388888897E-2</v>
      </c>
      <c r="O54" s="302">
        <f>C54*6*1.03</f>
        <v>1.3539612268518525E-3</v>
      </c>
      <c r="P54" s="302">
        <f>O54*M54</f>
        <v>2.707922453703705E-3</v>
      </c>
      <c r="Q54" s="550">
        <v>153</v>
      </c>
      <c r="R54" s="369">
        <f>E54*F54*G54</f>
        <v>1200</v>
      </c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</row>
    <row r="55" spans="3:59">
      <c r="C55" s="299">
        <f t="shared" si="7"/>
        <v>2.1908757716049393E-4</v>
      </c>
      <c r="D55" s="889">
        <v>2</v>
      </c>
      <c r="E55" s="300">
        <v>1</v>
      </c>
      <c r="F55" s="300">
        <v>5</v>
      </c>
      <c r="G55" s="300">
        <v>300</v>
      </c>
      <c r="H55" s="301"/>
      <c r="I55" s="301">
        <v>2.3148148148148146E-4</v>
      </c>
      <c r="J55" s="301">
        <v>1.3888888888888889E-3</v>
      </c>
      <c r="K55" s="314"/>
      <c r="L55" s="314"/>
      <c r="M55" s="455">
        <v>1</v>
      </c>
      <c r="N55" s="301">
        <f t="shared" si="6"/>
        <v>1.1660339506172844E-2</v>
      </c>
      <c r="O55" s="302">
        <f>C55*8*1.04</f>
        <v>1.8228086419753095E-3</v>
      </c>
      <c r="P55" s="302">
        <f t="shared" si="8"/>
        <v>1.8228086419753095E-3</v>
      </c>
      <c r="Q55" s="550">
        <v>153</v>
      </c>
      <c r="R55" s="369">
        <f t="shared" si="9"/>
        <v>1500</v>
      </c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</row>
    <row r="56" spans="3:59">
      <c r="C56" s="299">
        <f t="shared" si="7"/>
        <v>2.1908757716049393E-4</v>
      </c>
      <c r="D56" s="889">
        <v>2</v>
      </c>
      <c r="E56" s="300">
        <v>2</v>
      </c>
      <c r="F56" s="300">
        <v>4</v>
      </c>
      <c r="G56" s="300">
        <v>200</v>
      </c>
      <c r="H56" s="301"/>
      <c r="I56" s="301">
        <v>2.3148148148148146E-4</v>
      </c>
      <c r="J56" s="301">
        <v>1.3888888888888889E-3</v>
      </c>
      <c r="K56" s="314"/>
      <c r="L56" s="314"/>
      <c r="M56" s="455">
        <v>1</v>
      </c>
      <c r="N56" s="301">
        <f t="shared" si="6"/>
        <v>1.9212098765432107E-2</v>
      </c>
      <c r="O56" s="302">
        <f>C56*8*1.04</f>
        <v>1.8228086419753095E-3</v>
      </c>
      <c r="P56" s="302">
        <f t="shared" si="8"/>
        <v>1.8228086419753095E-3</v>
      </c>
      <c r="Q56" s="550">
        <v>153</v>
      </c>
      <c r="R56" s="369">
        <f t="shared" si="9"/>
        <v>1600</v>
      </c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</row>
    <row r="57" spans="3:59">
      <c r="C57" s="299">
        <f t="shared" si="7"/>
        <v>2.1908757716049393E-4</v>
      </c>
      <c r="D57" s="889">
        <v>2</v>
      </c>
      <c r="E57" s="300">
        <v>3</v>
      </c>
      <c r="F57" s="300">
        <v>3</v>
      </c>
      <c r="G57" s="300">
        <v>300</v>
      </c>
      <c r="H57" s="301"/>
      <c r="I57" s="301">
        <v>2.3148148148148146E-4</v>
      </c>
      <c r="J57" s="301">
        <v>1.3888888888888889E-3</v>
      </c>
      <c r="K57" s="314"/>
      <c r="L57" s="314"/>
      <c r="M57" s="455">
        <v>1</v>
      </c>
      <c r="N57" s="301">
        <f t="shared" si="6"/>
        <v>3.1331145833333351E-2</v>
      </c>
      <c r="O57" s="302">
        <f>C57*12*1.06</f>
        <v>2.786793981481483E-3</v>
      </c>
      <c r="P57" s="302">
        <f t="shared" si="8"/>
        <v>2.786793981481483E-3</v>
      </c>
      <c r="Q57" s="550">
        <v>153</v>
      </c>
      <c r="R57" s="369">
        <f t="shared" si="9"/>
        <v>2700</v>
      </c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</row>
    <row r="58" spans="3:59">
      <c r="C58" s="299">
        <f t="shared" si="7"/>
        <v>2.1908757716049393E-4</v>
      </c>
      <c r="D58" s="889">
        <v>2</v>
      </c>
      <c r="E58" s="300">
        <v>1</v>
      </c>
      <c r="F58" s="300">
        <v>1</v>
      </c>
      <c r="G58" s="300">
        <v>400</v>
      </c>
      <c r="H58" s="301"/>
      <c r="I58" s="301">
        <v>2.8935185185185189E-4</v>
      </c>
      <c r="J58" s="301">
        <v>1.3888888888888889E-3</v>
      </c>
      <c r="K58" s="314"/>
      <c r="L58" s="314"/>
      <c r="M58" s="455">
        <v>1</v>
      </c>
      <c r="N58" s="301">
        <f t="shared" si="6"/>
        <v>5.4640740740740769E-3</v>
      </c>
      <c r="O58" s="302">
        <f>C58*16*1.08</f>
        <v>3.7858333333333355E-3</v>
      </c>
      <c r="P58" s="302">
        <f t="shared" si="8"/>
        <v>3.7858333333333355E-3</v>
      </c>
      <c r="Q58" s="550">
        <v>153</v>
      </c>
      <c r="R58" s="369">
        <f t="shared" si="9"/>
        <v>400</v>
      </c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</row>
    <row r="59" spans="3:59">
      <c r="C59" s="299">
        <f t="shared" si="7"/>
        <v>2.1908757716049393E-4</v>
      </c>
      <c r="D59" s="889">
        <v>2</v>
      </c>
      <c r="E59" s="300">
        <v>1</v>
      </c>
      <c r="F59" s="300">
        <v>2</v>
      </c>
      <c r="G59" s="300">
        <v>400</v>
      </c>
      <c r="H59" s="301">
        <v>5.5555555555555558E-3</v>
      </c>
      <c r="I59" s="301"/>
      <c r="J59" s="301">
        <v>1.3888888888888889E-3</v>
      </c>
      <c r="K59" s="314"/>
      <c r="L59" s="314"/>
      <c r="M59" s="455">
        <v>1</v>
      </c>
      <c r="N59" s="301">
        <f>H59*F59*E59</f>
        <v>1.1111111111111112E-2</v>
      </c>
      <c r="O59" s="302">
        <f>C59*16*1.08</f>
        <v>3.7858333333333355E-3</v>
      </c>
      <c r="P59" s="302">
        <f t="shared" si="8"/>
        <v>3.7858333333333355E-3</v>
      </c>
      <c r="Q59" s="550">
        <v>153</v>
      </c>
      <c r="R59" s="369">
        <f>E59*F59*G59</f>
        <v>800</v>
      </c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</row>
    <row r="60" spans="3:59">
      <c r="C60" s="299">
        <f t="shared" si="7"/>
        <v>2.1908757716049393E-4</v>
      </c>
      <c r="D60" s="889">
        <v>2</v>
      </c>
      <c r="E60" s="300">
        <v>2</v>
      </c>
      <c r="F60" s="300">
        <v>2</v>
      </c>
      <c r="G60" s="300">
        <v>400</v>
      </c>
      <c r="H60" s="301"/>
      <c r="I60" s="301">
        <v>2.8935185185185189E-4</v>
      </c>
      <c r="J60" s="301">
        <v>1.3888888888888889E-3</v>
      </c>
      <c r="K60" s="314"/>
      <c r="L60" s="314"/>
      <c r="M60" s="455">
        <v>1</v>
      </c>
      <c r="N60" s="301">
        <f>P60*E60*F60+I60*E60*F60+J60*E60</f>
        <v>1.9078518518518529E-2</v>
      </c>
      <c r="O60" s="302">
        <f>C60*16*1.08</f>
        <v>3.7858333333333355E-3</v>
      </c>
      <c r="P60" s="302">
        <f t="shared" si="8"/>
        <v>3.7858333333333355E-3</v>
      </c>
      <c r="Q60" s="550">
        <v>153</v>
      </c>
      <c r="R60" s="369">
        <f t="shared" si="9"/>
        <v>1600</v>
      </c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</row>
    <row r="61" spans="3:59">
      <c r="C61" s="299">
        <f t="shared" si="7"/>
        <v>2.1908757716049393E-4</v>
      </c>
      <c r="D61" s="889">
        <v>2</v>
      </c>
      <c r="E61" s="300">
        <v>2</v>
      </c>
      <c r="F61" s="300">
        <v>1</v>
      </c>
      <c r="G61" s="300">
        <v>500</v>
      </c>
      <c r="H61" s="301"/>
      <c r="I61" s="301">
        <v>2.8935185185185189E-4</v>
      </c>
      <c r="J61" s="301">
        <v>1.3888888888888889E-3</v>
      </c>
      <c r="K61" s="314"/>
      <c r="L61" s="314"/>
      <c r="M61" s="455">
        <v>1</v>
      </c>
      <c r="N61" s="301">
        <f>P61*E61*F61+I61*E61*F61+J61*E61</f>
        <v>1.2996334876543216E-2</v>
      </c>
      <c r="O61" s="302">
        <f>C61*20*1.1</f>
        <v>4.8199266975308668E-3</v>
      </c>
      <c r="P61" s="302">
        <f t="shared" si="8"/>
        <v>4.8199266975308668E-3</v>
      </c>
      <c r="Q61" s="550">
        <v>153</v>
      </c>
      <c r="R61" s="369">
        <f t="shared" si="9"/>
        <v>1000</v>
      </c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</row>
    <row r="62" spans="3:59">
      <c r="C62" s="299">
        <f t="shared" si="7"/>
        <v>2.1908757716049393E-4</v>
      </c>
      <c r="D62" s="889">
        <v>2</v>
      </c>
      <c r="E62" s="300">
        <v>1</v>
      </c>
      <c r="F62" s="300">
        <v>1</v>
      </c>
      <c r="G62" s="300">
        <v>1200</v>
      </c>
      <c r="H62" s="301"/>
      <c r="I62" s="301">
        <v>2.8935185185185189E-4</v>
      </c>
      <c r="J62" s="301">
        <v>1.3888888888888889E-3</v>
      </c>
      <c r="K62" s="314"/>
      <c r="L62" s="314"/>
      <c r="M62" s="455">
        <v>1</v>
      </c>
      <c r="N62" s="301">
        <f>P62*E62*F62+I62*E62*F62+J62*E62</f>
        <v>1.6138020833333339E-2</v>
      </c>
      <c r="O62" s="302">
        <f>C62*60*1.1</f>
        <v>1.44597800925926E-2</v>
      </c>
      <c r="P62" s="302">
        <f t="shared" si="8"/>
        <v>1.44597800925926E-2</v>
      </c>
      <c r="Q62" s="550">
        <v>153</v>
      </c>
      <c r="R62" s="369">
        <f>E62*F62*G62</f>
        <v>1200</v>
      </c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</row>
    <row r="63" spans="3:59">
      <c r="C63" s="299">
        <f t="shared" si="7"/>
        <v>2.1908757716049393E-4</v>
      </c>
      <c r="D63" s="889">
        <v>2</v>
      </c>
      <c r="E63" s="300">
        <v>1</v>
      </c>
      <c r="F63" s="300">
        <v>1</v>
      </c>
      <c r="G63" s="300">
        <v>800</v>
      </c>
      <c r="H63" s="301"/>
      <c r="I63" s="301">
        <v>2.3148148148148146E-4</v>
      </c>
      <c r="J63" s="301">
        <v>1.3888888888888889E-3</v>
      </c>
      <c r="K63" s="314"/>
      <c r="L63" s="314"/>
      <c r="M63" s="455">
        <v>1</v>
      </c>
      <c r="N63" s="301">
        <f>P63*E63*F63+I63*E63*F63+J63*E63</f>
        <v>8.7713888888888928E-3</v>
      </c>
      <c r="O63" s="302">
        <f>C63*32*1.02</f>
        <v>7.1510185185185218E-3</v>
      </c>
      <c r="P63" s="302">
        <f t="shared" si="8"/>
        <v>7.1510185185185218E-3</v>
      </c>
      <c r="Q63" s="550">
        <v>153</v>
      </c>
      <c r="R63" s="369">
        <f t="shared" si="9"/>
        <v>800</v>
      </c>
      <c r="S63" s="1096" t="s">
        <v>1216</v>
      </c>
      <c r="T63" s="478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</row>
    <row r="64" spans="3:59" ht="14">
      <c r="C64" s="90"/>
      <c r="D64" s="888"/>
      <c r="E64" s="134"/>
      <c r="G64" s="135"/>
      <c r="H64" s="135"/>
      <c r="I64" s="135"/>
      <c r="J64" s="135"/>
      <c r="K64" s="313"/>
      <c r="L64" s="313"/>
      <c r="M64" s="511"/>
      <c r="N64" s="551">
        <f>SUM(N36:N63)</f>
        <v>0.38391153645833342</v>
      </c>
      <c r="O64" s="73"/>
      <c r="P64" s="73"/>
      <c r="Q64" s="783"/>
      <c r="R64" s="73">
        <f>SUM(R36:R63)</f>
        <v>30350</v>
      </c>
      <c r="S64" s="73">
        <f>R64/T66</f>
        <v>0.91498341875188427</v>
      </c>
      <c r="T64" s="2161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</row>
    <row r="65" spans="2:59" ht="14">
      <c r="C65" s="549"/>
      <c r="D65" s="888"/>
      <c r="E65" s="134"/>
      <c r="G65" s="135"/>
      <c r="H65" s="135"/>
      <c r="I65" s="135"/>
      <c r="J65" s="135"/>
      <c r="K65" s="313"/>
      <c r="L65" s="313"/>
      <c r="M65" s="511"/>
      <c r="N65" s="551"/>
      <c r="O65" s="73"/>
      <c r="P65" s="73"/>
      <c r="Q65" s="783"/>
      <c r="R65" s="73"/>
      <c r="S65" s="73"/>
      <c r="T65" s="2161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</row>
    <row r="66" spans="2:59" ht="18">
      <c r="C66" s="549"/>
      <c r="D66" s="888"/>
      <c r="E66" s="294" t="s">
        <v>1408</v>
      </c>
      <c r="G66" s="135"/>
      <c r="H66" s="135"/>
      <c r="I66" s="135"/>
      <c r="J66" s="135"/>
      <c r="K66" s="313"/>
      <c r="L66" s="313"/>
      <c r="M66" s="511"/>
      <c r="N66" s="73">
        <v>9</v>
      </c>
      <c r="O66" s="73">
        <v>12</v>
      </c>
      <c r="P66" s="73">
        <v>50</v>
      </c>
      <c r="Q66" s="783"/>
      <c r="R66" s="73"/>
      <c r="S66" s="73"/>
      <c r="T66" s="2162">
        <f>N66*3600+O66*60+P66</f>
        <v>33170</v>
      </c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</row>
    <row r="67" spans="2:59">
      <c r="B67" s="60">
        <v>1</v>
      </c>
      <c r="C67" s="2635">
        <f t="shared" ref="C67:C93" si="10">C$103</f>
        <v>2.1222190799396687E-4</v>
      </c>
      <c r="D67" s="2636">
        <v>3</v>
      </c>
      <c r="E67" s="2637">
        <v>1</v>
      </c>
      <c r="F67" s="2637">
        <v>4</v>
      </c>
      <c r="G67" s="2637">
        <v>200</v>
      </c>
      <c r="H67" s="2635"/>
      <c r="I67" s="2635">
        <v>3.4722222222222224E-4</v>
      </c>
      <c r="J67" s="2635">
        <v>1.3888888888888889E-3</v>
      </c>
      <c r="K67" s="2638" t="s">
        <v>1388</v>
      </c>
      <c r="L67" s="2639"/>
      <c r="M67" s="2640">
        <v>2</v>
      </c>
      <c r="N67" s="2635">
        <f t="shared" ref="N67" si="11">P67*E67*F67+I67*E67*F67+J67*E67</f>
        <v>1.6359979889391658E-2</v>
      </c>
      <c r="O67" s="2641">
        <f t="shared" ref="O67" si="12">C67*(G67/25)</f>
        <v>1.6977752639517349E-3</v>
      </c>
      <c r="P67" s="2641">
        <f>O67*M67</f>
        <v>3.3955505279034699E-3</v>
      </c>
      <c r="Q67" s="2642">
        <v>160</v>
      </c>
      <c r="R67" s="2637">
        <f t="shared" ref="R67:R72" si="13">E67*F67*G67</f>
        <v>800</v>
      </c>
      <c r="S67" s="73"/>
      <c r="T67" s="2162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</row>
    <row r="68" spans="2:59">
      <c r="B68" s="60">
        <v>1</v>
      </c>
      <c r="C68" s="2635">
        <f t="shared" si="10"/>
        <v>2.1222190799396687E-4</v>
      </c>
      <c r="D68" s="2636">
        <v>3</v>
      </c>
      <c r="E68" s="2637">
        <v>1</v>
      </c>
      <c r="F68" s="2637">
        <v>10</v>
      </c>
      <c r="G68" s="2637">
        <v>50</v>
      </c>
      <c r="H68" s="2635"/>
      <c r="I68" s="2635">
        <v>3.4722222222222224E-4</v>
      </c>
      <c r="J68" s="2635">
        <v>1.3888888888888889E-3</v>
      </c>
      <c r="K68" s="2638" t="s">
        <v>1389</v>
      </c>
      <c r="L68" s="2639"/>
      <c r="M68" s="2640">
        <v>3</v>
      </c>
      <c r="N68" s="2635">
        <f t="shared" ref="N68" si="14">P68*E68*F68+I68*E68*F68+J68*E68</f>
        <v>1.7594425590749124E-2</v>
      </c>
      <c r="O68" s="2641">
        <f t="shared" ref="O68" si="15">C68*(G68/25)</f>
        <v>4.2444381598793373E-4</v>
      </c>
      <c r="P68" s="2641">
        <f>O68*M68</f>
        <v>1.2733314479638012E-3</v>
      </c>
      <c r="Q68" s="2642">
        <v>161</v>
      </c>
      <c r="R68" s="2637">
        <f t="shared" si="13"/>
        <v>500</v>
      </c>
      <c r="S68" s="73"/>
      <c r="T68" s="2162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</row>
    <row r="69" spans="2:59">
      <c r="B69" s="60">
        <v>1</v>
      </c>
      <c r="C69" s="2621">
        <f t="shared" si="10"/>
        <v>2.1222190799396687E-4</v>
      </c>
      <c r="D69" s="2622">
        <v>3</v>
      </c>
      <c r="E69" s="2623">
        <v>1</v>
      </c>
      <c r="F69" s="2623">
        <v>8</v>
      </c>
      <c r="G69" s="2623">
        <v>100</v>
      </c>
      <c r="H69" s="2621">
        <v>1.1574074074074073E-3</v>
      </c>
      <c r="I69" s="2621"/>
      <c r="J69" s="2621">
        <v>1.3888888888888889E-3</v>
      </c>
      <c r="K69" s="2643" t="s">
        <v>1392</v>
      </c>
      <c r="L69" s="2624"/>
      <c r="M69" s="2625">
        <v>1</v>
      </c>
      <c r="N69" s="2621">
        <f>H69*F69*E69</f>
        <v>9.2592592592592587E-3</v>
      </c>
      <c r="O69" s="2626">
        <f>C69*16*1.08</f>
        <v>3.6671945701357476E-3</v>
      </c>
      <c r="P69" s="2626">
        <f t="shared" ref="P69" si="16">O69*M69</f>
        <v>3.6671945701357476E-3</v>
      </c>
      <c r="Q69" s="2627">
        <v>153</v>
      </c>
      <c r="R69" s="2623">
        <f t="shared" si="13"/>
        <v>800</v>
      </c>
      <c r="S69" s="73"/>
      <c r="T69" s="2162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</row>
    <row r="70" spans="2:59">
      <c r="B70" s="60">
        <v>1</v>
      </c>
      <c r="C70" s="2628">
        <f t="shared" si="10"/>
        <v>2.1222190799396687E-4</v>
      </c>
      <c r="D70" s="2629">
        <v>3</v>
      </c>
      <c r="E70" s="2630">
        <v>1</v>
      </c>
      <c r="F70" s="2630">
        <v>1</v>
      </c>
      <c r="G70" s="2630">
        <v>800</v>
      </c>
      <c r="H70" s="2628"/>
      <c r="I70" s="2628">
        <v>0</v>
      </c>
      <c r="J70" s="2628">
        <v>1.3888888888888889E-3</v>
      </c>
      <c r="K70" s="1969" t="s">
        <v>1390</v>
      </c>
      <c r="L70" s="2631"/>
      <c r="M70" s="2632">
        <v>3</v>
      </c>
      <c r="N70" s="2628">
        <f t="shared" ref="N70" si="17">P70*E70*F70+I70*E70*F70+J70*E70</f>
        <v>2.1762192056309707E-2</v>
      </c>
      <c r="O70" s="2633">
        <f t="shared" ref="O70" si="18">C70*(G70/25)</f>
        <v>6.7911010558069397E-3</v>
      </c>
      <c r="P70" s="2633">
        <f>O70*M70</f>
        <v>2.0373303167420819E-2</v>
      </c>
      <c r="Q70" s="2634">
        <v>161</v>
      </c>
      <c r="R70" s="2630">
        <f t="shared" si="13"/>
        <v>800</v>
      </c>
      <c r="S70" s="73"/>
      <c r="T70" s="2162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</row>
    <row r="71" spans="2:59">
      <c r="B71" s="60">
        <v>1</v>
      </c>
      <c r="C71" s="2628">
        <f t="shared" si="10"/>
        <v>2.1222190799396687E-4</v>
      </c>
      <c r="D71" s="2629">
        <v>3</v>
      </c>
      <c r="E71" s="2630">
        <v>1</v>
      </c>
      <c r="F71" s="2630">
        <v>12</v>
      </c>
      <c r="G71" s="2630">
        <v>50</v>
      </c>
      <c r="H71" s="2628"/>
      <c r="I71" s="2628">
        <v>2.3148148148148146E-4</v>
      </c>
      <c r="J71" s="2628">
        <v>1.3888888888888889E-3</v>
      </c>
      <c r="K71" s="1969" t="s">
        <v>1391</v>
      </c>
      <c r="L71" s="2631"/>
      <c r="M71" s="2632">
        <v>4</v>
      </c>
      <c r="N71" s="2628">
        <f t="shared" ref="N71" si="19">P71*E71*F71+I71*E71*F71+J71*E71</f>
        <v>2.4539969834087485E-2</v>
      </c>
      <c r="O71" s="2633">
        <f t="shared" ref="O71" si="20">C71*(G71/25)</f>
        <v>4.2444381598793373E-4</v>
      </c>
      <c r="P71" s="2633">
        <f>O71*M71</f>
        <v>1.6977752639517349E-3</v>
      </c>
      <c r="Q71" s="2634">
        <v>162</v>
      </c>
      <c r="R71" s="2630">
        <f t="shared" si="13"/>
        <v>600</v>
      </c>
      <c r="S71" s="73"/>
      <c r="T71" s="2162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</row>
    <row r="72" spans="2:59">
      <c r="B72" s="60">
        <v>1</v>
      </c>
      <c r="C72" s="2621">
        <f t="shared" si="10"/>
        <v>2.1222190799396687E-4</v>
      </c>
      <c r="D72" s="2622">
        <v>3</v>
      </c>
      <c r="E72" s="2623">
        <v>1</v>
      </c>
      <c r="F72" s="2623">
        <v>5</v>
      </c>
      <c r="G72" s="2623">
        <v>100</v>
      </c>
      <c r="H72" s="2621">
        <v>1.1574074074074073E-3</v>
      </c>
      <c r="I72" s="2621"/>
      <c r="J72" s="2621">
        <v>1.3888888888888889E-3</v>
      </c>
      <c r="K72" s="2643" t="s">
        <v>1392</v>
      </c>
      <c r="L72" s="2624"/>
      <c r="M72" s="2625">
        <v>1</v>
      </c>
      <c r="N72" s="2621">
        <f>H72*F72*E72</f>
        <v>5.7870370370370367E-3</v>
      </c>
      <c r="O72" s="2626">
        <f>C72*16*1.08</f>
        <v>3.6671945701357476E-3</v>
      </c>
      <c r="P72" s="2626">
        <f t="shared" ref="P72" si="21">O72*M72</f>
        <v>3.6671945701357476E-3</v>
      </c>
      <c r="Q72" s="2627">
        <v>153</v>
      </c>
      <c r="R72" s="2630">
        <f t="shared" si="13"/>
        <v>500</v>
      </c>
      <c r="S72" s="73"/>
      <c r="T72" s="2162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</row>
    <row r="73" spans="2:59" ht="14">
      <c r="C73" s="549"/>
      <c r="D73" s="888"/>
      <c r="E73" s="134"/>
      <c r="G73" s="135"/>
      <c r="H73" s="135"/>
      <c r="I73" s="135"/>
      <c r="J73" s="135"/>
      <c r="K73" s="313"/>
      <c r="L73" s="313"/>
      <c r="M73" s="511"/>
      <c r="O73" s="73"/>
      <c r="P73" s="73"/>
      <c r="Q73" s="783"/>
      <c r="R73" s="73">
        <f>SUM(R67:R72)</f>
        <v>4000</v>
      </c>
      <c r="S73" s="73"/>
      <c r="T73" s="2162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</row>
    <row r="74" spans="2:59">
      <c r="B74" s="60">
        <v>2</v>
      </c>
      <c r="C74" s="2635">
        <f t="shared" si="10"/>
        <v>2.1222190799396687E-4</v>
      </c>
      <c r="D74" s="2636">
        <v>3</v>
      </c>
      <c r="E74" s="2637">
        <v>1</v>
      </c>
      <c r="F74" s="2637">
        <v>8</v>
      </c>
      <c r="G74" s="2637">
        <v>100</v>
      </c>
      <c r="H74" s="2635"/>
      <c r="I74" s="2635">
        <v>3.4722222222222224E-4</v>
      </c>
      <c r="J74" s="2635">
        <v>1.3888888888888889E-3</v>
      </c>
      <c r="K74" s="2638" t="s">
        <v>1393</v>
      </c>
      <c r="L74" s="2639"/>
      <c r="M74" s="2640">
        <v>2</v>
      </c>
      <c r="N74" s="2635">
        <f t="shared" ref="N74:N75" si="22">P74*E74*F74+I74*E74*F74+J74*E74</f>
        <v>1.7748868778280545E-2</v>
      </c>
      <c r="O74" s="2641">
        <f t="shared" ref="O74:O75" si="23">C74*(G74/25)</f>
        <v>8.4888763197586746E-4</v>
      </c>
      <c r="P74" s="2641">
        <f>O74*M74</f>
        <v>1.6977752639517349E-3</v>
      </c>
      <c r="Q74" s="2642">
        <v>160</v>
      </c>
      <c r="R74" s="2637">
        <f t="shared" ref="R74:R79" si="24">E74*F74*G74</f>
        <v>800</v>
      </c>
      <c r="S74" s="73"/>
      <c r="T74" s="2162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</row>
    <row r="75" spans="2:59">
      <c r="B75" s="60">
        <v>2</v>
      </c>
      <c r="C75" s="2635">
        <f t="shared" si="10"/>
        <v>2.1222190799396687E-4</v>
      </c>
      <c r="D75" s="2636">
        <v>3</v>
      </c>
      <c r="E75" s="2637">
        <v>1</v>
      </c>
      <c r="F75" s="2637">
        <v>10</v>
      </c>
      <c r="G75" s="2637">
        <v>50</v>
      </c>
      <c r="H75" s="2635"/>
      <c r="I75" s="2635">
        <v>3.4722222222222224E-4</v>
      </c>
      <c r="J75" s="2635">
        <v>1.3888888888888889E-3</v>
      </c>
      <c r="K75" s="2638" t="s">
        <v>1389</v>
      </c>
      <c r="L75" s="2639"/>
      <c r="M75" s="2640">
        <v>3</v>
      </c>
      <c r="N75" s="2635">
        <f t="shared" si="22"/>
        <v>1.7594425590749124E-2</v>
      </c>
      <c r="O75" s="2641">
        <f t="shared" si="23"/>
        <v>4.2444381598793373E-4</v>
      </c>
      <c r="P75" s="2641">
        <f>O75*M75</f>
        <v>1.2733314479638012E-3</v>
      </c>
      <c r="Q75" s="2642">
        <v>161</v>
      </c>
      <c r="R75" s="2637">
        <f t="shared" si="24"/>
        <v>500</v>
      </c>
      <c r="S75" s="73"/>
      <c r="T75" s="2162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</row>
    <row r="76" spans="2:59">
      <c r="B76" s="60">
        <v>2</v>
      </c>
      <c r="C76" s="2621">
        <f t="shared" si="10"/>
        <v>2.1222190799396687E-4</v>
      </c>
      <c r="D76" s="2622">
        <v>3</v>
      </c>
      <c r="E76" s="2623">
        <v>1</v>
      </c>
      <c r="F76" s="2623">
        <v>9</v>
      </c>
      <c r="G76" s="2623">
        <v>100</v>
      </c>
      <c r="H76" s="2621">
        <v>1.1574074074074073E-3</v>
      </c>
      <c r="I76" s="2621"/>
      <c r="J76" s="2621">
        <v>1.3888888888888889E-3</v>
      </c>
      <c r="K76" s="2643" t="s">
        <v>1394</v>
      </c>
      <c r="L76" s="2624"/>
      <c r="M76" s="2625">
        <v>1</v>
      </c>
      <c r="N76" s="2621">
        <f>H76*F76*E76</f>
        <v>1.0416666666666666E-2</v>
      </c>
      <c r="O76" s="2626">
        <f>C76*16*1.08</f>
        <v>3.6671945701357476E-3</v>
      </c>
      <c r="P76" s="2626">
        <f t="shared" ref="P76" si="25">O76*M76</f>
        <v>3.6671945701357476E-3</v>
      </c>
      <c r="Q76" s="2627">
        <v>153</v>
      </c>
      <c r="R76" s="2623">
        <f t="shared" si="24"/>
        <v>900</v>
      </c>
      <c r="S76" s="73"/>
      <c r="T76" s="2162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</row>
    <row r="77" spans="2:59">
      <c r="B77" s="60">
        <v>2</v>
      </c>
      <c r="C77" s="2628">
        <f t="shared" si="10"/>
        <v>2.1222190799396687E-4</v>
      </c>
      <c r="D77" s="2629">
        <v>3</v>
      </c>
      <c r="E77" s="2630">
        <v>1</v>
      </c>
      <c r="F77" s="2630">
        <v>16</v>
      </c>
      <c r="G77" s="2630">
        <v>50</v>
      </c>
      <c r="H77" s="2628"/>
      <c r="I77" s="2628">
        <v>2.3148148148148146E-4</v>
      </c>
      <c r="J77" s="2628">
        <v>1.3888888888888889E-3</v>
      </c>
      <c r="K77" s="1969" t="s">
        <v>1390</v>
      </c>
      <c r="L77" s="2631"/>
      <c r="M77" s="2632">
        <v>3</v>
      </c>
      <c r="N77" s="2628">
        <f t="shared" ref="N77:N78" si="26">P77*E77*F77+I77*E77*F77+J77*E77</f>
        <v>2.5465895760013409E-2</v>
      </c>
      <c r="O77" s="2633">
        <f t="shared" ref="O77:O78" si="27">C77*(G77/25)</f>
        <v>4.2444381598793373E-4</v>
      </c>
      <c r="P77" s="2633">
        <f>O77*M77</f>
        <v>1.2733314479638012E-3</v>
      </c>
      <c r="Q77" s="2634">
        <v>161</v>
      </c>
      <c r="R77" s="2630">
        <f t="shared" si="24"/>
        <v>800</v>
      </c>
      <c r="S77" s="73"/>
      <c r="T77" s="2162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</row>
    <row r="78" spans="2:59">
      <c r="B78" s="60">
        <v>2</v>
      </c>
      <c r="C78" s="2628">
        <f t="shared" si="10"/>
        <v>2.1222190799396687E-4</v>
      </c>
      <c r="D78" s="2629">
        <v>3</v>
      </c>
      <c r="E78" s="2630">
        <v>1</v>
      </c>
      <c r="F78" s="2630">
        <v>4</v>
      </c>
      <c r="G78" s="2630">
        <v>200</v>
      </c>
      <c r="H78" s="2628"/>
      <c r="I78" s="2628">
        <v>2.3148148148148146E-4</v>
      </c>
      <c r="J78" s="2628">
        <v>1.3888888888888889E-3</v>
      </c>
      <c r="K78" s="1969" t="s">
        <v>1391</v>
      </c>
      <c r="L78" s="2631"/>
      <c r="M78" s="2632">
        <v>4</v>
      </c>
      <c r="N78" s="2628">
        <f t="shared" si="26"/>
        <v>2.9479219038042574E-2</v>
      </c>
      <c r="O78" s="2633">
        <f t="shared" si="27"/>
        <v>1.6977752639517349E-3</v>
      </c>
      <c r="P78" s="2633">
        <f>O78*M78</f>
        <v>6.7911010558069397E-3</v>
      </c>
      <c r="Q78" s="2634">
        <v>162</v>
      </c>
      <c r="R78" s="2630">
        <f t="shared" si="24"/>
        <v>800</v>
      </c>
      <c r="S78" s="73"/>
      <c r="T78" s="2162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</row>
    <row r="79" spans="2:59">
      <c r="B79" s="60">
        <v>2</v>
      </c>
      <c r="C79" s="2621">
        <f t="shared" si="10"/>
        <v>2.1222190799396687E-4</v>
      </c>
      <c r="D79" s="2622">
        <v>3</v>
      </c>
      <c r="E79" s="2623">
        <v>1</v>
      </c>
      <c r="F79" s="2623">
        <v>6</v>
      </c>
      <c r="G79" s="2623">
        <v>100</v>
      </c>
      <c r="H79" s="2621">
        <v>1.0995370370370371E-3</v>
      </c>
      <c r="I79" s="2621"/>
      <c r="J79" s="2621">
        <v>1.3888888888888889E-3</v>
      </c>
      <c r="K79" s="2643" t="s">
        <v>1392</v>
      </c>
      <c r="L79" s="2624"/>
      <c r="M79" s="2625">
        <v>1</v>
      </c>
      <c r="N79" s="2621">
        <f>H79*F79*E79</f>
        <v>6.5972222222222231E-3</v>
      </c>
      <c r="O79" s="2626">
        <f>C79*16*1.08</f>
        <v>3.6671945701357476E-3</v>
      </c>
      <c r="P79" s="2626">
        <f t="shared" ref="P79" si="28">O79*M79</f>
        <v>3.6671945701357476E-3</v>
      </c>
      <c r="Q79" s="2627">
        <v>153</v>
      </c>
      <c r="R79" s="2630">
        <f t="shared" si="24"/>
        <v>600</v>
      </c>
      <c r="S79" s="73"/>
      <c r="T79" s="2162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</row>
    <row r="80" spans="2:59" ht="14">
      <c r="C80" s="549"/>
      <c r="D80" s="888"/>
      <c r="E80" s="134"/>
      <c r="G80" s="135"/>
      <c r="H80" s="135"/>
      <c r="I80" s="135"/>
      <c r="J80" s="135"/>
      <c r="K80" s="313"/>
      <c r="L80" s="313"/>
      <c r="M80" s="511"/>
      <c r="O80" s="73"/>
      <c r="P80" s="73"/>
      <c r="Q80" s="783"/>
      <c r="R80" s="73">
        <f>SUM(R74:R79)</f>
        <v>4400</v>
      </c>
      <c r="S80" s="73"/>
      <c r="T80" s="2162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</row>
    <row r="81" spans="2:59">
      <c r="B81" s="60">
        <v>3</v>
      </c>
      <c r="C81" s="2635">
        <f t="shared" si="10"/>
        <v>2.1222190799396687E-4</v>
      </c>
      <c r="D81" s="2636">
        <v>3</v>
      </c>
      <c r="E81" s="2637">
        <v>1</v>
      </c>
      <c r="F81" s="2637">
        <v>4</v>
      </c>
      <c r="G81" s="2637">
        <v>200</v>
      </c>
      <c r="H81" s="2635"/>
      <c r="I81" s="2635">
        <v>3.4722222222222224E-4</v>
      </c>
      <c r="J81" s="2635">
        <v>1.3888888888888889E-3</v>
      </c>
      <c r="K81" s="2638" t="s">
        <v>1395</v>
      </c>
      <c r="L81" s="2639"/>
      <c r="M81" s="2640">
        <v>2</v>
      </c>
      <c r="N81" s="2635">
        <f t="shared" ref="N81:N82" si="29">P81*E81*F81+I81*E81*F81+J81*E81</f>
        <v>1.6359979889391658E-2</v>
      </c>
      <c r="O81" s="2641">
        <f t="shared" ref="O81:O82" si="30">C81*(G81/25)</f>
        <v>1.6977752639517349E-3</v>
      </c>
      <c r="P81" s="2641">
        <f>O81*M81</f>
        <v>3.3955505279034699E-3</v>
      </c>
      <c r="Q81" s="2642">
        <v>160</v>
      </c>
      <c r="R81" s="2637">
        <f>E81*F81*G81</f>
        <v>800</v>
      </c>
      <c r="S81" s="73"/>
      <c r="T81" s="2162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</row>
    <row r="82" spans="2:59">
      <c r="B82" s="60">
        <v>3</v>
      </c>
      <c r="C82" s="2635">
        <f t="shared" si="10"/>
        <v>2.1222190799396687E-4</v>
      </c>
      <c r="D82" s="2636">
        <v>3</v>
      </c>
      <c r="E82" s="2637">
        <v>1</v>
      </c>
      <c r="F82" s="2637">
        <v>10</v>
      </c>
      <c r="G82" s="2637">
        <v>50</v>
      </c>
      <c r="H82" s="2635"/>
      <c r="I82" s="2635">
        <v>3.4722222222222224E-4</v>
      </c>
      <c r="J82" s="2635">
        <v>1.3888888888888889E-3</v>
      </c>
      <c r="K82" s="2638" t="s">
        <v>1396</v>
      </c>
      <c r="L82" s="2639"/>
      <c r="M82" s="2640">
        <v>3</v>
      </c>
      <c r="N82" s="2635">
        <f t="shared" si="29"/>
        <v>1.7594425590749124E-2</v>
      </c>
      <c r="O82" s="2641">
        <f t="shared" si="30"/>
        <v>4.2444381598793373E-4</v>
      </c>
      <c r="P82" s="2641">
        <f>O82*M82</f>
        <v>1.2733314479638012E-3</v>
      </c>
      <c r="Q82" s="2642">
        <v>161</v>
      </c>
      <c r="R82" s="2637">
        <f>E82*F82*G82</f>
        <v>500</v>
      </c>
      <c r="S82" s="73"/>
      <c r="T82" s="2162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</row>
    <row r="83" spans="2:59">
      <c r="B83" s="60">
        <v>3</v>
      </c>
      <c r="C83" s="2621">
        <f t="shared" si="10"/>
        <v>2.1222190799396687E-4</v>
      </c>
      <c r="D83" s="2622">
        <v>3</v>
      </c>
      <c r="E83" s="2623">
        <v>1</v>
      </c>
      <c r="F83" s="2623">
        <v>10</v>
      </c>
      <c r="G83" s="2623">
        <v>100</v>
      </c>
      <c r="H83" s="2621">
        <v>1.1574074074074073E-3</v>
      </c>
      <c r="I83" s="2621"/>
      <c r="J83" s="2621">
        <v>1.3888888888888889E-3</v>
      </c>
      <c r="K83" s="2643" t="s">
        <v>1392</v>
      </c>
      <c r="L83" s="2624"/>
      <c r="M83" s="2625">
        <v>1</v>
      </c>
      <c r="N83" s="2621">
        <f>H83*F83*E83</f>
        <v>1.1574074074074073E-2</v>
      </c>
      <c r="O83" s="2626">
        <f>C83*16*1.08</f>
        <v>3.6671945701357476E-3</v>
      </c>
      <c r="P83" s="2626">
        <f t="shared" ref="P83" si="31">O83*M83</f>
        <v>3.6671945701357476E-3</v>
      </c>
      <c r="Q83" s="2627">
        <v>153</v>
      </c>
      <c r="R83" s="2623">
        <f>E83*F83*G83</f>
        <v>1000</v>
      </c>
      <c r="S83" s="73"/>
      <c r="T83" s="2162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</row>
    <row r="84" spans="2:59">
      <c r="B84" s="60">
        <v>3</v>
      </c>
      <c r="C84" s="2628">
        <f t="shared" si="10"/>
        <v>2.1222190799396687E-4</v>
      </c>
      <c r="D84" s="2629">
        <v>3</v>
      </c>
      <c r="E84" s="2630">
        <v>1</v>
      </c>
      <c r="F84" s="2630">
        <v>4</v>
      </c>
      <c r="G84" s="2630">
        <v>200</v>
      </c>
      <c r="H84" s="2628"/>
      <c r="I84" s="2628">
        <v>3.4722222222222224E-4</v>
      </c>
      <c r="J84" s="2628">
        <v>1.3888888888888889E-3</v>
      </c>
      <c r="K84" s="1969" t="s">
        <v>1390</v>
      </c>
      <c r="L84" s="2631"/>
      <c r="M84" s="2632">
        <v>3</v>
      </c>
      <c r="N84" s="2628">
        <f t="shared" ref="N84:N85" si="32">P84*E84*F84+I84*E84*F84+J84*E84</f>
        <v>2.3151080945198594E-2</v>
      </c>
      <c r="O84" s="2633">
        <f t="shared" ref="O84:O85" si="33">C84*(G84/25)</f>
        <v>1.6977752639517349E-3</v>
      </c>
      <c r="P84" s="2633">
        <f>O84*M84</f>
        <v>5.0933257918552048E-3</v>
      </c>
      <c r="Q84" s="2634">
        <v>161</v>
      </c>
      <c r="R84" s="2630">
        <f>E84*F84*G84</f>
        <v>800</v>
      </c>
      <c r="S84" s="73"/>
      <c r="T84" s="2162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</row>
    <row r="85" spans="2:59">
      <c r="B85" s="60">
        <v>3</v>
      </c>
      <c r="C85" s="2628">
        <f t="shared" si="10"/>
        <v>2.1222190799396687E-4</v>
      </c>
      <c r="D85" s="2629">
        <v>3</v>
      </c>
      <c r="E85" s="2630">
        <v>1</v>
      </c>
      <c r="F85" s="2630">
        <v>2</v>
      </c>
      <c r="G85" s="2630">
        <v>500</v>
      </c>
      <c r="H85" s="2628"/>
      <c r="I85" s="2628">
        <v>3.4722222222222224E-4</v>
      </c>
      <c r="J85" s="2628">
        <v>1.3888888888888889E-3</v>
      </c>
      <c r="K85" s="1969" t="s">
        <v>1397</v>
      </c>
      <c r="L85" s="2631"/>
      <c r="M85" s="2632">
        <v>4</v>
      </c>
      <c r="N85" s="2628">
        <f t="shared" si="32"/>
        <v>3.6038838612368028E-2</v>
      </c>
      <c r="O85" s="2633">
        <f t="shared" si="33"/>
        <v>4.2444381598793369E-3</v>
      </c>
      <c r="P85" s="2633">
        <f>O85*M85</f>
        <v>1.6977752639517348E-2</v>
      </c>
      <c r="Q85" s="2634">
        <v>162</v>
      </c>
      <c r="R85" s="2630">
        <f>E85*F85*G85</f>
        <v>1000</v>
      </c>
      <c r="S85" s="73"/>
      <c r="T85" s="2162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</row>
    <row r="86" spans="2:59">
      <c r="B86" s="60">
        <v>3</v>
      </c>
      <c r="C86" s="2621">
        <f t="shared" si="10"/>
        <v>2.1222190799396687E-4</v>
      </c>
      <c r="D86" s="2622">
        <v>3</v>
      </c>
      <c r="E86" s="2623">
        <v>1</v>
      </c>
      <c r="F86" s="2623">
        <v>8</v>
      </c>
      <c r="G86" s="2623">
        <v>100</v>
      </c>
      <c r="H86" s="2621"/>
      <c r="I86" s="2621">
        <v>2.8935185185185189E-4</v>
      </c>
      <c r="J86" s="2621">
        <v>1.3888888888888889E-3</v>
      </c>
      <c r="K86" s="2643" t="s">
        <v>1398</v>
      </c>
      <c r="L86" s="2624"/>
      <c r="M86" s="2625">
        <v>1</v>
      </c>
      <c r="N86" s="2621">
        <v>3.6038838612368028E-2</v>
      </c>
      <c r="O86" s="2626">
        <v>4.2444381598793369E-3</v>
      </c>
      <c r="P86" s="2626">
        <v>1.6977752639517348E-2</v>
      </c>
      <c r="Q86" s="2627">
        <v>162</v>
      </c>
      <c r="R86" s="2623">
        <v>1000</v>
      </c>
      <c r="S86" s="73"/>
      <c r="T86" s="2162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</row>
    <row r="87" spans="2:59" ht="14">
      <c r="C87" s="549"/>
      <c r="D87" s="888"/>
      <c r="E87" s="134"/>
      <c r="G87" s="135"/>
      <c r="H87" s="135"/>
      <c r="I87" s="135"/>
      <c r="J87" s="135"/>
      <c r="K87" s="313"/>
      <c r="L87" s="313"/>
      <c r="M87" s="511"/>
      <c r="O87" s="73"/>
      <c r="P87" s="73"/>
      <c r="Q87" s="783"/>
      <c r="R87" s="73">
        <f>SUM(R81:R86)</f>
        <v>5100</v>
      </c>
      <c r="S87" s="73"/>
      <c r="T87" s="2162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</row>
    <row r="88" spans="2:59">
      <c r="B88" s="60">
        <v>4</v>
      </c>
      <c r="C88" s="2635">
        <f t="shared" si="10"/>
        <v>2.1222190799396687E-4</v>
      </c>
      <c r="D88" s="2636">
        <v>3</v>
      </c>
      <c r="E88" s="2637">
        <v>1</v>
      </c>
      <c r="F88" s="2637">
        <v>8</v>
      </c>
      <c r="G88" s="2637">
        <v>100</v>
      </c>
      <c r="H88" s="2635"/>
      <c r="I88" s="2635">
        <v>3.4722222222222224E-4</v>
      </c>
      <c r="J88" s="2635">
        <v>1.3888888888888889E-3</v>
      </c>
      <c r="K88" s="2638" t="s">
        <v>1399</v>
      </c>
      <c r="L88" s="2639"/>
      <c r="M88" s="2640">
        <v>2</v>
      </c>
      <c r="N88" s="2635">
        <f t="shared" ref="N88:N89" si="34">P88*E88*F88+I88*E88*F88+J88*E88</f>
        <v>1.7748868778280545E-2</v>
      </c>
      <c r="O88" s="2641">
        <f t="shared" ref="O88:O89" si="35">C88*(G88/25)</f>
        <v>8.4888763197586746E-4</v>
      </c>
      <c r="P88" s="2641">
        <f>O88*M88</f>
        <v>1.6977752639517349E-3</v>
      </c>
      <c r="Q88" s="2642">
        <v>160</v>
      </c>
      <c r="R88" s="2637">
        <f t="shared" ref="R88:R93" si="36">E88*F88*G88</f>
        <v>800</v>
      </c>
      <c r="S88" s="73"/>
      <c r="T88" s="2162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</row>
    <row r="89" spans="2:59">
      <c r="B89" s="60">
        <v>4</v>
      </c>
      <c r="C89" s="2635">
        <f t="shared" si="10"/>
        <v>2.1222190799396687E-4</v>
      </c>
      <c r="D89" s="2636">
        <v>3</v>
      </c>
      <c r="E89" s="2637">
        <v>1</v>
      </c>
      <c r="F89" s="2637">
        <v>12</v>
      </c>
      <c r="G89" s="2637">
        <v>50</v>
      </c>
      <c r="H89" s="2635"/>
      <c r="I89" s="2635">
        <v>3.4722222222222224E-4</v>
      </c>
      <c r="J89" s="2635">
        <v>1.3888888888888889E-3</v>
      </c>
      <c r="K89" s="2638" t="s">
        <v>1400</v>
      </c>
      <c r="L89" s="2639"/>
      <c r="M89" s="2640">
        <v>3</v>
      </c>
      <c r="N89" s="2635">
        <f t="shared" si="34"/>
        <v>2.0835532931121167E-2</v>
      </c>
      <c r="O89" s="2641">
        <f t="shared" si="35"/>
        <v>4.2444381598793373E-4</v>
      </c>
      <c r="P89" s="2641">
        <f>O89*M89</f>
        <v>1.2733314479638012E-3</v>
      </c>
      <c r="Q89" s="2642">
        <v>161</v>
      </c>
      <c r="R89" s="2637">
        <f t="shared" si="36"/>
        <v>600</v>
      </c>
      <c r="S89" s="73"/>
      <c r="T89" s="2162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</row>
    <row r="90" spans="2:59">
      <c r="B90" s="60">
        <v>4</v>
      </c>
      <c r="C90" s="2621">
        <f t="shared" si="10"/>
        <v>2.1222190799396687E-4</v>
      </c>
      <c r="D90" s="2622">
        <v>3</v>
      </c>
      <c r="E90" s="2623">
        <v>1</v>
      </c>
      <c r="F90" s="2623">
        <v>12</v>
      </c>
      <c r="G90" s="2623">
        <v>100</v>
      </c>
      <c r="H90" s="2621">
        <v>1.1574074074074073E-3</v>
      </c>
      <c r="I90" s="2621"/>
      <c r="J90" s="2621">
        <v>1.3888888888888889E-3</v>
      </c>
      <c r="K90" s="2643" t="s">
        <v>1401</v>
      </c>
      <c r="L90" s="2624"/>
      <c r="M90" s="2625">
        <v>1</v>
      </c>
      <c r="N90" s="2621">
        <f>H90*F90*E90</f>
        <v>1.3888888888888888E-2</v>
      </c>
      <c r="O90" s="2626">
        <f>C90*16*1.08</f>
        <v>3.6671945701357476E-3</v>
      </c>
      <c r="P90" s="2626">
        <f t="shared" ref="P90" si="37">O90*M90</f>
        <v>3.6671945701357476E-3</v>
      </c>
      <c r="Q90" s="2627">
        <v>153</v>
      </c>
      <c r="R90" s="2623">
        <f t="shared" si="36"/>
        <v>1200</v>
      </c>
      <c r="S90" s="73"/>
      <c r="T90" s="2162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</row>
    <row r="91" spans="2:59">
      <c r="B91" s="60">
        <v>4</v>
      </c>
      <c r="C91" s="2628">
        <f t="shared" si="10"/>
        <v>2.1222190799396687E-4</v>
      </c>
      <c r="D91" s="2629">
        <v>3</v>
      </c>
      <c r="E91" s="2630">
        <v>1</v>
      </c>
      <c r="F91" s="2630">
        <v>2</v>
      </c>
      <c r="G91" s="2630">
        <v>400</v>
      </c>
      <c r="H91" s="2628"/>
      <c r="I91" s="2628">
        <v>4.0509259259259258E-4</v>
      </c>
      <c r="J91" s="2628">
        <v>1.3888888888888889E-3</v>
      </c>
      <c r="K91" s="1969" t="s">
        <v>1390</v>
      </c>
      <c r="L91" s="2631"/>
      <c r="M91" s="2632">
        <v>3</v>
      </c>
      <c r="N91" s="2628">
        <f t="shared" ref="N91:N93" si="38">P91*E91*F91+I91*E91*F91+J91*E91</f>
        <v>2.2572377241494891E-2</v>
      </c>
      <c r="O91" s="2633">
        <f t="shared" ref="O91:O93" si="39">C91*(G91/25)</f>
        <v>3.3955505279034699E-3</v>
      </c>
      <c r="P91" s="2633">
        <f>O91*M91</f>
        <v>1.018665158371041E-2</v>
      </c>
      <c r="Q91" s="2634">
        <v>161</v>
      </c>
      <c r="R91" s="2630">
        <f t="shared" si="36"/>
        <v>800</v>
      </c>
      <c r="S91" s="73"/>
      <c r="T91" s="2162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</row>
    <row r="92" spans="2:59">
      <c r="B92" s="60">
        <v>4</v>
      </c>
      <c r="C92" s="2628">
        <f t="shared" si="10"/>
        <v>2.1222190799396687E-4</v>
      </c>
      <c r="D92" s="2629">
        <v>3</v>
      </c>
      <c r="E92" s="2630">
        <v>1</v>
      </c>
      <c r="F92" s="2630">
        <v>1</v>
      </c>
      <c r="G92" s="2630">
        <v>800</v>
      </c>
      <c r="H92" s="2628"/>
      <c r="I92" s="2628"/>
      <c r="J92" s="2628">
        <v>1.3888888888888889E-3</v>
      </c>
      <c r="K92" s="1969" t="s">
        <v>1402</v>
      </c>
      <c r="L92" s="2631"/>
      <c r="M92" s="2632">
        <v>4</v>
      </c>
      <c r="N92" s="2628">
        <f t="shared" si="38"/>
        <v>2.8553293112116646E-2</v>
      </c>
      <c r="O92" s="2633">
        <f t="shared" si="39"/>
        <v>6.7911010558069397E-3</v>
      </c>
      <c r="P92" s="2633">
        <f>O92*M92</f>
        <v>2.7164404223227759E-2</v>
      </c>
      <c r="Q92" s="2634">
        <v>162</v>
      </c>
      <c r="R92" s="2630">
        <f t="shared" si="36"/>
        <v>800</v>
      </c>
      <c r="S92" s="73"/>
      <c r="T92" s="2162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</row>
    <row r="93" spans="2:59">
      <c r="B93" s="60">
        <v>4</v>
      </c>
      <c r="C93" s="2621">
        <f t="shared" si="10"/>
        <v>2.1222190799396687E-4</v>
      </c>
      <c r="D93" s="2622">
        <v>3</v>
      </c>
      <c r="E93" s="2623">
        <v>1</v>
      </c>
      <c r="F93" s="2623">
        <v>10</v>
      </c>
      <c r="G93" s="2623">
        <v>100</v>
      </c>
      <c r="H93" s="2621"/>
      <c r="I93" s="2621">
        <v>2.8935185185185189E-4</v>
      </c>
      <c r="J93" s="2621">
        <v>1.3888888888888889E-3</v>
      </c>
      <c r="K93" s="2643" t="s">
        <v>1398</v>
      </c>
      <c r="L93" s="2624"/>
      <c r="M93" s="2625">
        <v>4</v>
      </c>
      <c r="N93" s="2621">
        <f t="shared" si="38"/>
        <v>3.8237912686442103E-2</v>
      </c>
      <c r="O93" s="2626">
        <f t="shared" si="39"/>
        <v>8.4888763197586746E-4</v>
      </c>
      <c r="P93" s="2626">
        <f>O93*M93</f>
        <v>3.3955505279034699E-3</v>
      </c>
      <c r="Q93" s="2627">
        <v>162</v>
      </c>
      <c r="R93" s="2623">
        <f t="shared" si="36"/>
        <v>1000</v>
      </c>
      <c r="S93" s="73"/>
      <c r="T93" s="2162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</row>
    <row r="94" spans="2:59" ht="14">
      <c r="C94" s="549"/>
      <c r="D94" s="888"/>
      <c r="E94" s="134"/>
      <c r="G94" s="135"/>
      <c r="H94" s="135"/>
      <c r="I94" s="135"/>
      <c r="J94" s="135"/>
      <c r="K94" s="313"/>
      <c r="L94" s="313"/>
      <c r="M94" s="511"/>
      <c r="O94" s="73"/>
      <c r="P94" s="73"/>
      <c r="Q94" s="783"/>
      <c r="R94" s="73">
        <f>SUM(R88:R93)</f>
        <v>5200</v>
      </c>
      <c r="S94" s="73"/>
      <c r="T94" s="2162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</row>
    <row r="95" spans="2:59">
      <c r="B95" s="60">
        <v>5</v>
      </c>
      <c r="C95" s="2635">
        <f>C$103</f>
        <v>2.1222190799396687E-4</v>
      </c>
      <c r="D95" s="2636">
        <v>3</v>
      </c>
      <c r="E95" s="2637">
        <v>1</v>
      </c>
      <c r="F95" s="2637">
        <v>8</v>
      </c>
      <c r="G95" s="2637">
        <v>100</v>
      </c>
      <c r="H95" s="2635"/>
      <c r="I95" s="2635">
        <v>3.4722222222222224E-4</v>
      </c>
      <c r="J95" s="2635">
        <v>1.3888888888888889E-3</v>
      </c>
      <c r="K95" s="2638" t="s">
        <v>1403</v>
      </c>
      <c r="L95" s="2639"/>
      <c r="M95" s="2640">
        <v>2</v>
      </c>
      <c r="N95" s="2635">
        <f t="shared" ref="N95" si="40">P95*E95*F95+I95*E95*F95+J95*E95</f>
        <v>1.7748868778280545E-2</v>
      </c>
      <c r="O95" s="2641">
        <f t="shared" ref="O95" si="41">C95*(G95/25)</f>
        <v>8.4888763197586746E-4</v>
      </c>
      <c r="P95" s="2641">
        <f>O95*M95</f>
        <v>1.6977752639517349E-3</v>
      </c>
      <c r="Q95" s="2642">
        <v>160</v>
      </c>
      <c r="R95" s="2637">
        <f t="shared" ref="R95:R100" si="42">E95*F95*G95</f>
        <v>800</v>
      </c>
      <c r="S95" s="73"/>
      <c r="T95" s="2162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</row>
    <row r="96" spans="2:59">
      <c r="B96" s="60">
        <v>5</v>
      </c>
      <c r="C96" s="2635">
        <f t="shared" ref="C96:C100" si="43">C$103</f>
        <v>2.1222190799396687E-4</v>
      </c>
      <c r="D96" s="2636">
        <v>3</v>
      </c>
      <c r="E96" s="2637">
        <v>1</v>
      </c>
      <c r="F96" s="2637">
        <v>10</v>
      </c>
      <c r="G96" s="2637">
        <v>50</v>
      </c>
      <c r="H96" s="2635"/>
      <c r="I96" s="2635">
        <v>3.4722222222222224E-4</v>
      </c>
      <c r="J96" s="2635">
        <v>1.3888888888888889E-3</v>
      </c>
      <c r="K96" s="2638" t="s">
        <v>1404</v>
      </c>
      <c r="L96" s="2639"/>
      <c r="M96" s="2640">
        <v>3</v>
      </c>
      <c r="N96" s="2635">
        <f t="shared" ref="N96" si="44">P96*E96*F96+I96*E96*F96+J96*E96</f>
        <v>1.7594425590749124E-2</v>
      </c>
      <c r="O96" s="2641">
        <f t="shared" ref="O96" si="45">C96*(G96/25)</f>
        <v>4.2444381598793373E-4</v>
      </c>
      <c r="P96" s="2641">
        <f>O96*M96</f>
        <v>1.2733314479638012E-3</v>
      </c>
      <c r="Q96" s="2642">
        <v>161</v>
      </c>
      <c r="R96" s="2637">
        <f t="shared" si="42"/>
        <v>500</v>
      </c>
      <c r="S96" s="73"/>
      <c r="T96" s="2162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</row>
    <row r="97" spans="2:59">
      <c r="B97" s="60">
        <v>5</v>
      </c>
      <c r="C97" s="2621">
        <f t="shared" si="43"/>
        <v>2.1222190799396687E-4</v>
      </c>
      <c r="D97" s="2622">
        <v>3</v>
      </c>
      <c r="E97" s="2623">
        <v>1</v>
      </c>
      <c r="F97" s="2623">
        <v>15</v>
      </c>
      <c r="G97" s="2623">
        <v>100</v>
      </c>
      <c r="H97" s="2621">
        <v>1.1574074074074073E-3</v>
      </c>
      <c r="I97" s="2621"/>
      <c r="J97" s="2621">
        <v>1.3888888888888889E-3</v>
      </c>
      <c r="K97" s="2643" t="s">
        <v>1405</v>
      </c>
      <c r="L97" s="2624"/>
      <c r="M97" s="2625">
        <v>1</v>
      </c>
      <c r="N97" s="2621">
        <f>H97*F97*E97</f>
        <v>1.7361111111111112E-2</v>
      </c>
      <c r="O97" s="2626">
        <f>C97*16*1.08</f>
        <v>3.6671945701357476E-3</v>
      </c>
      <c r="P97" s="2626">
        <f t="shared" ref="P97" si="46">O97*M97</f>
        <v>3.6671945701357476E-3</v>
      </c>
      <c r="Q97" s="2627">
        <v>153</v>
      </c>
      <c r="R97" s="2623">
        <f t="shared" si="42"/>
        <v>1500</v>
      </c>
      <c r="S97" s="73"/>
      <c r="T97" s="2162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</row>
    <row r="98" spans="2:59">
      <c r="B98" s="60">
        <v>5</v>
      </c>
      <c r="C98" s="2628">
        <f t="shared" si="43"/>
        <v>2.1222190799396687E-4</v>
      </c>
      <c r="D98" s="2629">
        <v>3</v>
      </c>
      <c r="E98" s="2630">
        <v>1</v>
      </c>
      <c r="F98" s="2630">
        <v>8</v>
      </c>
      <c r="G98" s="2630">
        <v>100</v>
      </c>
      <c r="H98" s="2628"/>
      <c r="I98" s="2628">
        <v>2.8935185185185189E-4</v>
      </c>
      <c r="J98" s="2628">
        <v>1.3888888888888889E-3</v>
      </c>
      <c r="K98" s="1969" t="s">
        <v>1390</v>
      </c>
      <c r="L98" s="2631"/>
      <c r="M98" s="2632">
        <v>3</v>
      </c>
      <c r="N98" s="2628">
        <f t="shared" ref="N98:N100" si="47">P98*E98*F98+I98*E98*F98+J98*E98</f>
        <v>2.4077006871124521E-2</v>
      </c>
      <c r="O98" s="2633">
        <f t="shared" ref="O98:O100" si="48">C98*(G98/25)</f>
        <v>8.4888763197586746E-4</v>
      </c>
      <c r="P98" s="2633">
        <f>O98*M98</f>
        <v>2.5466628959276024E-3</v>
      </c>
      <c r="Q98" s="2634">
        <v>161</v>
      </c>
      <c r="R98" s="2630">
        <f t="shared" si="42"/>
        <v>800</v>
      </c>
      <c r="S98" s="73"/>
      <c r="T98" s="2162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</row>
    <row r="99" spans="2:59">
      <c r="B99" s="60">
        <v>5</v>
      </c>
      <c r="C99" s="2628">
        <f t="shared" si="43"/>
        <v>2.1222190799396687E-4</v>
      </c>
      <c r="D99" s="2629">
        <v>3</v>
      </c>
      <c r="E99" s="2623">
        <v>1</v>
      </c>
      <c r="F99" s="2623">
        <v>16</v>
      </c>
      <c r="G99" s="2623">
        <v>50</v>
      </c>
      <c r="H99" s="2621"/>
      <c r="I99" s="2621">
        <v>2.8935185185185189E-4</v>
      </c>
      <c r="J99" s="2621">
        <v>1.3888888888888889E-3</v>
      </c>
      <c r="K99" s="2643" t="s">
        <v>1406</v>
      </c>
      <c r="L99" s="2624"/>
      <c r="M99" s="2625">
        <v>4</v>
      </c>
      <c r="N99" s="2621">
        <f t="shared" si="47"/>
        <v>3.3182922741746279E-2</v>
      </c>
      <c r="O99" s="2626">
        <f t="shared" si="48"/>
        <v>4.2444381598793373E-4</v>
      </c>
      <c r="P99" s="2626">
        <f>O99*M99</f>
        <v>1.6977752639517349E-3</v>
      </c>
      <c r="Q99" s="2627">
        <v>162</v>
      </c>
      <c r="R99" s="2623">
        <f t="shared" si="42"/>
        <v>800</v>
      </c>
      <c r="S99" s="73"/>
      <c r="T99" s="2162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</row>
    <row r="100" spans="2:59">
      <c r="B100" s="60">
        <v>5</v>
      </c>
      <c r="C100" s="2621">
        <f t="shared" si="43"/>
        <v>2.1222190799396687E-4</v>
      </c>
      <c r="D100" s="2622">
        <v>3</v>
      </c>
      <c r="E100" s="2623">
        <v>1</v>
      </c>
      <c r="F100" s="2623">
        <v>5</v>
      </c>
      <c r="G100" s="2623">
        <v>100</v>
      </c>
      <c r="H100" s="2621"/>
      <c r="I100" s="2621">
        <v>2.3148148148148146E-4</v>
      </c>
      <c r="J100" s="2621">
        <v>1.3888888888888889E-3</v>
      </c>
      <c r="K100" s="2643" t="s">
        <v>1398</v>
      </c>
      <c r="L100" s="2624"/>
      <c r="M100" s="2625">
        <v>4</v>
      </c>
      <c r="N100" s="2621">
        <f t="shared" si="47"/>
        <v>1.9524048935813641E-2</v>
      </c>
      <c r="O100" s="2626">
        <f t="shared" si="48"/>
        <v>8.4888763197586746E-4</v>
      </c>
      <c r="P100" s="2626">
        <f>O100*M100</f>
        <v>3.3955505279034699E-3</v>
      </c>
      <c r="Q100" s="2627">
        <v>162</v>
      </c>
      <c r="R100" s="2623">
        <f t="shared" si="42"/>
        <v>500</v>
      </c>
      <c r="S100" s="73"/>
      <c r="T100" s="2162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</row>
    <row r="101" spans="2:59" ht="18">
      <c r="C101" s="549"/>
      <c r="D101" s="888"/>
      <c r="E101" s="134"/>
      <c r="F101" s="294"/>
      <c r="G101" s="135"/>
      <c r="H101" s="135"/>
      <c r="I101" s="135"/>
      <c r="J101" s="135"/>
      <c r="K101" s="274">
        <f>IF(Test!E33,Test!E33/4,Test!D33/4)</f>
        <v>2.1222190799396687E-4</v>
      </c>
      <c r="L101" s="856"/>
      <c r="M101" s="508"/>
      <c r="N101" s="61"/>
      <c r="O101" s="61"/>
      <c r="P101" s="61"/>
      <c r="Q101" s="782">
        <f>IF(Test!E34,Test!E34,Test!D34)</f>
        <v>160</v>
      </c>
      <c r="R101" s="73">
        <f>SUM(R95:R100)</f>
        <v>4900</v>
      </c>
      <c r="S101" s="73"/>
      <c r="T101" s="2162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</row>
    <row r="102" spans="2:59" ht="18">
      <c r="C102" s="549"/>
      <c r="D102" s="888"/>
      <c r="E102" s="134"/>
      <c r="F102" s="294" t="s">
        <v>271</v>
      </c>
      <c r="G102" s="135"/>
      <c r="H102" s="135"/>
      <c r="I102" s="135"/>
      <c r="J102" s="135"/>
      <c r="K102" s="274">
        <f>IF(Test!G33,Test!G33/4,Test!F33/4)</f>
        <v>0</v>
      </c>
      <c r="L102" s="856"/>
      <c r="M102" s="509"/>
      <c r="N102" s="61"/>
      <c r="O102" s="61"/>
      <c r="P102" s="61"/>
      <c r="Q102" s="782">
        <f>IF(Test!G34,Test!G34,Test!F34)</f>
        <v>0</v>
      </c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</row>
    <row r="103" spans="2:59">
      <c r="C103" s="281">
        <f>IF(K102,K102,K101)</f>
        <v>2.1222190799396687E-4</v>
      </c>
      <c r="D103" s="922"/>
      <c r="E103" s="278" t="s">
        <v>362</v>
      </c>
      <c r="F103" s="278" t="s">
        <v>363</v>
      </c>
      <c r="G103" s="278" t="s">
        <v>364</v>
      </c>
      <c r="H103" s="531" t="s">
        <v>142</v>
      </c>
      <c r="I103" s="278" t="s">
        <v>365</v>
      </c>
      <c r="J103" s="278" t="s">
        <v>366</v>
      </c>
      <c r="K103" s="278" t="s">
        <v>367</v>
      </c>
      <c r="L103" s="278"/>
      <c r="M103" s="512"/>
      <c r="N103" s="278" t="s">
        <v>368</v>
      </c>
      <c r="O103" s="279" t="s">
        <v>369</v>
      </c>
      <c r="P103" s="279"/>
      <c r="Q103" s="784" t="s">
        <v>185</v>
      </c>
      <c r="R103" s="278" t="s">
        <v>371</v>
      </c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</row>
    <row r="104" spans="2:59">
      <c r="C104" s="281">
        <f>C$103</f>
        <v>2.1222190799396687E-4</v>
      </c>
      <c r="D104" s="891">
        <v>3</v>
      </c>
      <c r="E104" s="280">
        <v>1</v>
      </c>
      <c r="F104" s="280">
        <v>4</v>
      </c>
      <c r="G104" s="280">
        <v>200</v>
      </c>
      <c r="H104" s="281"/>
      <c r="I104" s="281">
        <v>2.3148148148148146E-4</v>
      </c>
      <c r="J104" s="281">
        <v>1.3888888888888889E-3</v>
      </c>
      <c r="K104" s="315"/>
      <c r="L104" s="315"/>
      <c r="M104" s="453">
        <v>1</v>
      </c>
      <c r="N104" s="281">
        <f t="shared" ref="N104:N111" si="49">P104*E104*F104+I104*E104*F104+J104*E104</f>
        <v>9.1059158706217544E-3</v>
      </c>
      <c r="O104" s="298">
        <f>C104*(G104/25)</f>
        <v>1.6977752639517349E-3</v>
      </c>
      <c r="P104" s="298">
        <f>O104*M104</f>
        <v>1.6977752639517349E-3</v>
      </c>
      <c r="Q104" s="333">
        <v>160</v>
      </c>
      <c r="R104" s="280">
        <f>E104*F104*G104</f>
        <v>800</v>
      </c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</row>
    <row r="105" spans="2:59">
      <c r="C105" s="281">
        <f t="shared" ref="C105:C129" si="50">C$103</f>
        <v>2.1222190799396687E-4</v>
      </c>
      <c r="D105" s="891">
        <v>3</v>
      </c>
      <c r="E105" s="280">
        <v>1</v>
      </c>
      <c r="F105" s="280">
        <v>20</v>
      </c>
      <c r="G105" s="280">
        <v>25</v>
      </c>
      <c r="H105" s="281"/>
      <c r="I105" s="281">
        <v>5.7870370370370366E-5</v>
      </c>
      <c r="J105" s="281">
        <v>1.3888888888888889E-3</v>
      </c>
      <c r="K105" s="315"/>
      <c r="L105" s="315"/>
      <c r="M105" s="453">
        <v>1</v>
      </c>
      <c r="N105" s="281">
        <f t="shared" si="49"/>
        <v>6.7907344561756334E-3</v>
      </c>
      <c r="O105" s="298">
        <f t="shared" ref="O105:O129" si="51">C105*(G105/25)</f>
        <v>2.1222190799396687E-4</v>
      </c>
      <c r="P105" s="298">
        <f t="shared" ref="P105:P129" si="52">O105*M105</f>
        <v>2.1222190799396687E-4</v>
      </c>
      <c r="Q105" s="333">
        <v>160</v>
      </c>
      <c r="R105" s="280">
        <f t="shared" ref="R105:R129" si="53">E105*F105*G105</f>
        <v>500</v>
      </c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</row>
    <row r="106" spans="2:59">
      <c r="C106" s="281">
        <f t="shared" si="50"/>
        <v>2.1222190799396687E-4</v>
      </c>
      <c r="D106" s="891">
        <v>3</v>
      </c>
      <c r="E106" s="280">
        <v>1</v>
      </c>
      <c r="F106" s="280">
        <v>3</v>
      </c>
      <c r="G106" s="280">
        <v>200</v>
      </c>
      <c r="H106" s="281"/>
      <c r="I106" s="281">
        <v>3.4722222222222224E-4</v>
      </c>
      <c r="J106" s="281">
        <v>1.3888888888888889E-3</v>
      </c>
      <c r="K106" s="315"/>
      <c r="L106" s="315"/>
      <c r="M106" s="453">
        <v>1</v>
      </c>
      <c r="N106" s="281">
        <f t="shared" si="49"/>
        <v>7.5238813474107604E-3</v>
      </c>
      <c r="O106" s="298">
        <f t="shared" si="51"/>
        <v>1.6977752639517349E-3</v>
      </c>
      <c r="P106" s="298">
        <f t="shared" si="52"/>
        <v>1.6977752639517349E-3</v>
      </c>
      <c r="Q106" s="333">
        <v>160</v>
      </c>
      <c r="R106" s="280">
        <f>E106*F106*G106</f>
        <v>600</v>
      </c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</row>
    <row r="107" spans="2:59">
      <c r="C107" s="281">
        <f t="shared" si="50"/>
        <v>2.1222190799396687E-4</v>
      </c>
      <c r="D107" s="891">
        <v>3</v>
      </c>
      <c r="E107" s="280">
        <v>1</v>
      </c>
      <c r="F107" s="280">
        <v>6</v>
      </c>
      <c r="G107" s="280">
        <v>200</v>
      </c>
      <c r="H107" s="281"/>
      <c r="I107" s="281">
        <v>3.4722222222222224E-4</v>
      </c>
      <c r="J107" s="281">
        <v>1.3888888888888889E-3</v>
      </c>
      <c r="K107" s="315"/>
      <c r="L107" s="315"/>
      <c r="M107" s="453">
        <v>2</v>
      </c>
      <c r="N107" s="281">
        <f t="shared" si="49"/>
        <v>2.3845525389643039E-2</v>
      </c>
      <c r="O107" s="298">
        <f t="shared" si="51"/>
        <v>1.6977752639517349E-3</v>
      </c>
      <c r="P107" s="298">
        <f>O107*M107</f>
        <v>3.3955505279034699E-3</v>
      </c>
      <c r="Q107" s="333">
        <v>160</v>
      </c>
      <c r="R107" s="280">
        <f>E107*F107*G107</f>
        <v>1200</v>
      </c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</row>
    <row r="108" spans="2:59">
      <c r="C108" s="281">
        <f t="shared" si="50"/>
        <v>2.1222190799396687E-4</v>
      </c>
      <c r="D108" s="891">
        <v>3</v>
      </c>
      <c r="E108" s="280">
        <v>3</v>
      </c>
      <c r="F108" s="280">
        <v>10</v>
      </c>
      <c r="G108" s="280">
        <v>25</v>
      </c>
      <c r="H108" s="281"/>
      <c r="I108" s="281">
        <v>5.7870370370370366E-5</v>
      </c>
      <c r="J108" s="281">
        <v>1.3888888888888889E-3</v>
      </c>
      <c r="K108" s="315"/>
      <c r="L108" s="315"/>
      <c r="M108" s="453">
        <v>1</v>
      </c>
      <c r="N108" s="281">
        <f t="shared" si="49"/>
        <v>1.2269435017596784E-2</v>
      </c>
      <c r="O108" s="298">
        <f t="shared" si="51"/>
        <v>2.1222190799396687E-4</v>
      </c>
      <c r="P108" s="298">
        <f t="shared" si="52"/>
        <v>2.1222190799396687E-4</v>
      </c>
      <c r="Q108" s="333">
        <v>160</v>
      </c>
      <c r="R108" s="280">
        <f t="shared" si="53"/>
        <v>750</v>
      </c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</row>
    <row r="109" spans="2:59">
      <c r="C109" s="281">
        <f t="shared" si="50"/>
        <v>2.1222190799396687E-4</v>
      </c>
      <c r="D109" s="891">
        <v>3</v>
      </c>
      <c r="E109" s="280">
        <v>1</v>
      </c>
      <c r="F109" s="280">
        <v>10</v>
      </c>
      <c r="G109" s="280">
        <v>75</v>
      </c>
      <c r="H109" s="281"/>
      <c r="I109" s="281">
        <v>1.1574074074074073E-4</v>
      </c>
      <c r="J109" s="281">
        <v>1.3888888888888889E-3</v>
      </c>
      <c r="K109" s="315"/>
      <c r="L109" s="315"/>
      <c r="M109" s="453">
        <v>1</v>
      </c>
      <c r="N109" s="281">
        <f t="shared" si="49"/>
        <v>8.9129535361153027E-3</v>
      </c>
      <c r="O109" s="298">
        <f t="shared" si="51"/>
        <v>6.366657239819006E-4</v>
      </c>
      <c r="P109" s="298">
        <f t="shared" si="52"/>
        <v>6.366657239819006E-4</v>
      </c>
      <c r="Q109" s="333">
        <v>160</v>
      </c>
      <c r="R109" s="280">
        <f>E109*F109*G109</f>
        <v>750</v>
      </c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</row>
    <row r="110" spans="2:59">
      <c r="C110" s="281">
        <f t="shared" si="50"/>
        <v>2.1222190799396687E-4</v>
      </c>
      <c r="D110" s="891">
        <v>3</v>
      </c>
      <c r="E110" s="280">
        <v>1</v>
      </c>
      <c r="F110" s="280">
        <v>8</v>
      </c>
      <c r="G110" s="280">
        <v>50</v>
      </c>
      <c r="H110" s="281"/>
      <c r="I110" s="281">
        <v>8.1018518518518516E-5</v>
      </c>
      <c r="J110" s="281">
        <v>1.3888888888888889E-3</v>
      </c>
      <c r="K110" s="315"/>
      <c r="L110" s="315"/>
      <c r="M110" s="453">
        <v>1</v>
      </c>
      <c r="N110" s="281">
        <f t="shared" si="49"/>
        <v>5.4325875649405067E-3</v>
      </c>
      <c r="O110" s="298">
        <f t="shared" si="51"/>
        <v>4.2444381598793373E-4</v>
      </c>
      <c r="P110" s="298">
        <f t="shared" si="52"/>
        <v>4.2444381598793373E-4</v>
      </c>
      <c r="Q110" s="333">
        <v>160</v>
      </c>
      <c r="R110" s="280">
        <f t="shared" si="53"/>
        <v>400</v>
      </c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</row>
    <row r="111" spans="2:59">
      <c r="C111" s="281">
        <f t="shared" si="50"/>
        <v>2.1222190799396687E-4</v>
      </c>
      <c r="D111" s="891">
        <v>3</v>
      </c>
      <c r="E111" s="280">
        <v>2</v>
      </c>
      <c r="F111" s="280">
        <v>8</v>
      </c>
      <c r="G111" s="280">
        <v>100</v>
      </c>
      <c r="H111" s="281"/>
      <c r="I111" s="281">
        <v>1.7361111111111112E-4</v>
      </c>
      <c r="J111" s="281">
        <v>1.3888888888888889E-3</v>
      </c>
      <c r="K111" s="315"/>
      <c r="L111" s="315"/>
      <c r="M111" s="453">
        <v>1</v>
      </c>
      <c r="N111" s="281">
        <f t="shared" si="49"/>
        <v>1.9137757667169436E-2</v>
      </c>
      <c r="O111" s="298">
        <f t="shared" si="51"/>
        <v>8.4888763197586746E-4</v>
      </c>
      <c r="P111" s="298">
        <f t="shared" si="52"/>
        <v>8.4888763197586746E-4</v>
      </c>
      <c r="Q111" s="333">
        <v>160</v>
      </c>
      <c r="R111" s="280">
        <f t="shared" si="53"/>
        <v>1600</v>
      </c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</row>
    <row r="112" spans="2:59">
      <c r="C112" s="281">
        <f t="shared" si="50"/>
        <v>2.1222190799396687E-4</v>
      </c>
      <c r="D112" s="891">
        <v>3</v>
      </c>
      <c r="E112" s="280">
        <v>1</v>
      </c>
      <c r="F112" s="280">
        <v>16</v>
      </c>
      <c r="G112" s="280">
        <v>100</v>
      </c>
      <c r="H112" s="281">
        <v>1.2152777777777778E-3</v>
      </c>
      <c r="I112" s="281"/>
      <c r="J112" s="281">
        <v>0</v>
      </c>
      <c r="K112" s="315"/>
      <c r="L112" s="315"/>
      <c r="M112" s="453">
        <v>1</v>
      </c>
      <c r="N112" s="281">
        <f>H112*F112*E112</f>
        <v>1.9444444444444445E-2</v>
      </c>
      <c r="O112" s="298">
        <f t="shared" si="51"/>
        <v>8.4888763197586746E-4</v>
      </c>
      <c r="P112" s="298">
        <f t="shared" si="52"/>
        <v>8.4888763197586746E-4</v>
      </c>
      <c r="Q112" s="333">
        <v>160</v>
      </c>
      <c r="R112" s="280">
        <f>E112*F112*G112</f>
        <v>1600</v>
      </c>
      <c r="S112" s="1097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</row>
    <row r="113" spans="3:59">
      <c r="C113" s="281">
        <f t="shared" si="50"/>
        <v>2.1222190799396687E-4</v>
      </c>
      <c r="D113" s="891">
        <v>3</v>
      </c>
      <c r="E113" s="280">
        <v>1</v>
      </c>
      <c r="F113" s="280">
        <v>8</v>
      </c>
      <c r="G113" s="280">
        <v>100</v>
      </c>
      <c r="H113" s="281">
        <v>1.2152777777777778E-3</v>
      </c>
      <c r="I113" s="281"/>
      <c r="J113" s="281">
        <v>0</v>
      </c>
      <c r="K113" s="315"/>
      <c r="L113" s="315"/>
      <c r="M113" s="453">
        <v>1</v>
      </c>
      <c r="N113" s="281">
        <f>H113*F113*E113</f>
        <v>9.7222222222222224E-3</v>
      </c>
      <c r="O113" s="298">
        <f t="shared" si="51"/>
        <v>8.4888763197586746E-4</v>
      </c>
      <c r="P113" s="298">
        <f t="shared" si="52"/>
        <v>8.4888763197586746E-4</v>
      </c>
      <c r="Q113" s="333">
        <v>160</v>
      </c>
      <c r="R113" s="280">
        <f>E113*F113*G113</f>
        <v>800</v>
      </c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</row>
    <row r="114" spans="3:59">
      <c r="C114" s="281">
        <f t="shared" si="50"/>
        <v>2.1222190799396687E-4</v>
      </c>
      <c r="D114" s="891">
        <v>3</v>
      </c>
      <c r="E114" s="280">
        <v>1</v>
      </c>
      <c r="F114" s="280">
        <v>1</v>
      </c>
      <c r="G114" s="280">
        <v>400</v>
      </c>
      <c r="H114" s="281"/>
      <c r="I114" s="281">
        <v>0</v>
      </c>
      <c r="J114" s="281">
        <v>1.3888888888888889E-3</v>
      </c>
      <c r="K114" s="315"/>
      <c r="L114" s="315"/>
      <c r="M114" s="453">
        <v>1</v>
      </c>
      <c r="N114" s="281">
        <f>P114*E114*F114+I114*E114*F114+J114*E114</f>
        <v>4.784439416792359E-3</v>
      </c>
      <c r="O114" s="298">
        <f t="shared" si="51"/>
        <v>3.3955505279034699E-3</v>
      </c>
      <c r="P114" s="298">
        <f t="shared" si="52"/>
        <v>3.3955505279034699E-3</v>
      </c>
      <c r="Q114" s="333">
        <v>160</v>
      </c>
      <c r="R114" s="280">
        <f t="shared" si="53"/>
        <v>400</v>
      </c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</row>
    <row r="115" spans="3:59">
      <c r="C115" s="281">
        <f t="shared" si="50"/>
        <v>2.1222190799396687E-4</v>
      </c>
      <c r="D115" s="891">
        <v>3</v>
      </c>
      <c r="E115" s="280">
        <v>1</v>
      </c>
      <c r="F115" s="280">
        <v>24</v>
      </c>
      <c r="G115" s="280">
        <v>25</v>
      </c>
      <c r="H115" s="281"/>
      <c r="I115" s="281">
        <v>5.7870370370370366E-5</v>
      </c>
      <c r="J115" s="281">
        <v>1.3888888888888889E-3</v>
      </c>
      <c r="K115" s="315"/>
      <c r="L115" s="315"/>
      <c r="M115" s="453">
        <v>1</v>
      </c>
      <c r="N115" s="281">
        <f>P115*E115*F115+I115*E115*F115+J115*E115</f>
        <v>7.8711035696329822E-3</v>
      </c>
      <c r="O115" s="298">
        <f t="shared" si="51"/>
        <v>2.1222190799396687E-4</v>
      </c>
      <c r="P115" s="298">
        <f t="shared" si="52"/>
        <v>2.1222190799396687E-4</v>
      </c>
      <c r="Q115" s="333">
        <v>160</v>
      </c>
      <c r="R115" s="280">
        <f>E115*F115*G115</f>
        <v>600</v>
      </c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</row>
    <row r="116" spans="3:59">
      <c r="C116" s="281">
        <f t="shared" si="50"/>
        <v>2.1222190799396687E-4</v>
      </c>
      <c r="D116" s="891">
        <v>3</v>
      </c>
      <c r="E116" s="280">
        <v>2</v>
      </c>
      <c r="F116" s="280">
        <v>20</v>
      </c>
      <c r="G116" s="280">
        <v>25</v>
      </c>
      <c r="H116" s="281"/>
      <c r="I116" s="281">
        <v>5.7870370370370366E-5</v>
      </c>
      <c r="J116" s="281">
        <v>1.3888888888888889E-3</v>
      </c>
      <c r="K116" s="315"/>
      <c r="L116" s="315"/>
      <c r="M116" s="453">
        <v>1</v>
      </c>
      <c r="N116" s="281">
        <f>P116*E116*F116+I116*E116*F116+J116*E116</f>
        <v>1.3581468912351267E-2</v>
      </c>
      <c r="O116" s="298">
        <f t="shared" si="51"/>
        <v>2.1222190799396687E-4</v>
      </c>
      <c r="P116" s="298">
        <f t="shared" si="52"/>
        <v>2.1222190799396687E-4</v>
      </c>
      <c r="Q116" s="333">
        <v>160</v>
      </c>
      <c r="R116" s="280">
        <f t="shared" si="53"/>
        <v>1000</v>
      </c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</row>
    <row r="117" spans="3:59">
      <c r="C117" s="281">
        <f t="shared" si="50"/>
        <v>2.1222190799396687E-4</v>
      </c>
      <c r="D117" s="891">
        <v>3</v>
      </c>
      <c r="E117" s="280">
        <v>1</v>
      </c>
      <c r="F117" s="280">
        <v>18</v>
      </c>
      <c r="G117" s="280">
        <v>50</v>
      </c>
      <c r="H117" s="281"/>
      <c r="I117" s="281">
        <v>8.1018518518518516E-5</v>
      </c>
      <c r="J117" s="281">
        <v>1.3888888888888889E-3</v>
      </c>
      <c r="K117" s="315" t="s">
        <v>272</v>
      </c>
      <c r="L117" s="315"/>
      <c r="M117" s="453">
        <v>1</v>
      </c>
      <c r="N117" s="281">
        <f>P117*E117*F117+I117*E117*F117+J117*E117</f>
        <v>1.0487210910005028E-2</v>
      </c>
      <c r="O117" s="298">
        <f t="shared" si="51"/>
        <v>4.2444381598793373E-4</v>
      </c>
      <c r="P117" s="298">
        <f t="shared" si="52"/>
        <v>4.2444381598793373E-4</v>
      </c>
      <c r="Q117" s="333">
        <v>160</v>
      </c>
      <c r="R117" s="280">
        <f t="shared" si="53"/>
        <v>900</v>
      </c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</row>
    <row r="118" spans="3:59">
      <c r="C118" s="281">
        <f t="shared" si="50"/>
        <v>2.1222190799396687E-4</v>
      </c>
      <c r="D118" s="891">
        <v>3</v>
      </c>
      <c r="E118" s="280">
        <v>1</v>
      </c>
      <c r="F118" s="280">
        <v>20</v>
      </c>
      <c r="G118" s="280">
        <v>50</v>
      </c>
      <c r="H118" s="281">
        <v>5.7870370370370378E-4</v>
      </c>
      <c r="I118" s="281"/>
      <c r="J118" s="281">
        <v>0</v>
      </c>
      <c r="K118" s="315" t="s">
        <v>272</v>
      </c>
      <c r="L118" s="315"/>
      <c r="M118" s="453">
        <v>1</v>
      </c>
      <c r="N118" s="281">
        <f>H118*F118*E118</f>
        <v>1.1574074074074075E-2</v>
      </c>
      <c r="O118" s="298">
        <f t="shared" si="51"/>
        <v>4.2444381598793373E-4</v>
      </c>
      <c r="P118" s="298">
        <f>O118*M118</f>
        <v>4.2444381598793373E-4</v>
      </c>
      <c r="Q118" s="333">
        <v>160</v>
      </c>
      <c r="R118" s="280">
        <f>E118*F118*G118</f>
        <v>1000</v>
      </c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</row>
    <row r="119" spans="3:59">
      <c r="C119" s="281">
        <f t="shared" si="50"/>
        <v>2.1222190799396687E-4</v>
      </c>
      <c r="D119" s="891">
        <v>3</v>
      </c>
      <c r="E119" s="280">
        <v>2</v>
      </c>
      <c r="F119" s="280">
        <v>10</v>
      </c>
      <c r="G119" s="280">
        <v>100</v>
      </c>
      <c r="H119" s="281"/>
      <c r="I119" s="281">
        <v>1.7361111111111112E-4</v>
      </c>
      <c r="J119" s="281">
        <v>1.3888888888888889E-3</v>
      </c>
      <c r="K119" s="315"/>
      <c r="L119" s="315"/>
      <c r="M119" s="453">
        <v>1</v>
      </c>
      <c r="N119" s="281">
        <f t="shared" ref="N119:N124" si="54">P119*E119*F119+I119*E119*F119+J119*E119</f>
        <v>2.322775263951735E-2</v>
      </c>
      <c r="O119" s="298">
        <f t="shared" si="51"/>
        <v>8.4888763197586746E-4</v>
      </c>
      <c r="P119" s="298">
        <f t="shared" si="52"/>
        <v>8.4888763197586746E-4</v>
      </c>
      <c r="Q119" s="333">
        <v>160</v>
      </c>
      <c r="R119" s="280">
        <f t="shared" si="53"/>
        <v>2000</v>
      </c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</row>
    <row r="120" spans="3:59">
      <c r="C120" s="281">
        <f t="shared" si="50"/>
        <v>2.1222190799396687E-4</v>
      </c>
      <c r="D120" s="891">
        <v>3</v>
      </c>
      <c r="E120" s="280">
        <v>1</v>
      </c>
      <c r="F120" s="280">
        <v>10</v>
      </c>
      <c r="G120" s="280">
        <v>100</v>
      </c>
      <c r="H120" s="281"/>
      <c r="I120" s="281">
        <v>1.7361111111111112E-4</v>
      </c>
      <c r="J120" s="281">
        <v>1.3888888888888889E-3</v>
      </c>
      <c r="K120" s="315"/>
      <c r="L120" s="315"/>
      <c r="M120" s="453">
        <v>1</v>
      </c>
      <c r="N120" s="281">
        <f t="shared" si="54"/>
        <v>1.1613876319758675E-2</v>
      </c>
      <c r="O120" s="298">
        <f t="shared" si="51"/>
        <v>8.4888763197586746E-4</v>
      </c>
      <c r="P120" s="298">
        <f>O120*M120</f>
        <v>8.4888763197586746E-4</v>
      </c>
      <c r="Q120" s="333">
        <v>160</v>
      </c>
      <c r="R120" s="280">
        <f>E120*F120*G120</f>
        <v>1000</v>
      </c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</row>
    <row r="121" spans="3:59">
      <c r="C121" s="281">
        <f t="shared" si="50"/>
        <v>2.1222190799396687E-4</v>
      </c>
      <c r="D121" s="891">
        <v>3</v>
      </c>
      <c r="E121" s="280">
        <v>3</v>
      </c>
      <c r="F121" s="280">
        <v>8</v>
      </c>
      <c r="G121" s="280">
        <v>50</v>
      </c>
      <c r="H121" s="281"/>
      <c r="I121" s="281">
        <v>8.1018518518518516E-5</v>
      </c>
      <c r="J121" s="281">
        <v>1.3888888888888889E-3</v>
      </c>
      <c r="K121" s="315"/>
      <c r="L121" s="315"/>
      <c r="M121" s="453">
        <v>1</v>
      </c>
      <c r="N121" s="281">
        <f t="shared" si="54"/>
        <v>1.629776269482152E-2</v>
      </c>
      <c r="O121" s="298">
        <f t="shared" si="51"/>
        <v>4.2444381598793373E-4</v>
      </c>
      <c r="P121" s="298">
        <f t="shared" si="52"/>
        <v>4.2444381598793373E-4</v>
      </c>
      <c r="Q121" s="333">
        <v>160</v>
      </c>
      <c r="R121" s="280">
        <f t="shared" si="53"/>
        <v>1200</v>
      </c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</row>
    <row r="122" spans="3:59">
      <c r="C122" s="281">
        <f t="shared" si="50"/>
        <v>2.1222190799396687E-4</v>
      </c>
      <c r="D122" s="891">
        <v>3</v>
      </c>
      <c r="E122" s="280">
        <v>2</v>
      </c>
      <c r="F122" s="280">
        <v>8</v>
      </c>
      <c r="G122" s="280">
        <v>75</v>
      </c>
      <c r="H122" s="281"/>
      <c r="I122" s="281">
        <v>1.1574074074074073E-4</v>
      </c>
      <c r="J122" s="281">
        <v>1.3888888888888889E-3</v>
      </c>
      <c r="K122" s="315"/>
      <c r="L122" s="315"/>
      <c r="M122" s="453">
        <v>1</v>
      </c>
      <c r="N122" s="281">
        <f t="shared" si="54"/>
        <v>1.4816281213340039E-2</v>
      </c>
      <c r="O122" s="298">
        <f t="shared" si="51"/>
        <v>6.366657239819006E-4</v>
      </c>
      <c r="P122" s="298">
        <f t="shared" si="52"/>
        <v>6.366657239819006E-4</v>
      </c>
      <c r="Q122" s="333">
        <v>160</v>
      </c>
      <c r="R122" s="280">
        <f>E122*F122*G122</f>
        <v>1200</v>
      </c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</row>
    <row r="123" spans="3:59">
      <c r="C123" s="281">
        <f t="shared" si="50"/>
        <v>2.1222190799396687E-4</v>
      </c>
      <c r="D123" s="891">
        <v>3</v>
      </c>
      <c r="E123" s="280">
        <v>1</v>
      </c>
      <c r="F123" s="280">
        <v>3</v>
      </c>
      <c r="G123" s="280">
        <v>400</v>
      </c>
      <c r="H123" s="281"/>
      <c r="I123" s="281">
        <v>2.8935185185185189E-4</v>
      </c>
      <c r="J123" s="281">
        <v>1.3888888888888889E-3</v>
      </c>
      <c r="K123" s="315"/>
      <c r="L123" s="315"/>
      <c r="M123" s="453">
        <v>1</v>
      </c>
      <c r="N123" s="281">
        <f t="shared" si="54"/>
        <v>1.2443596028154855E-2</v>
      </c>
      <c r="O123" s="298">
        <f t="shared" si="51"/>
        <v>3.3955505279034699E-3</v>
      </c>
      <c r="P123" s="298">
        <f t="shared" si="52"/>
        <v>3.3955505279034699E-3</v>
      </c>
      <c r="Q123" s="333">
        <v>160</v>
      </c>
      <c r="R123" s="280">
        <f t="shared" si="53"/>
        <v>1200</v>
      </c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</row>
    <row r="124" spans="3:59">
      <c r="C124" s="281">
        <f t="shared" si="50"/>
        <v>2.1222190799396687E-4</v>
      </c>
      <c r="D124" s="891">
        <v>3</v>
      </c>
      <c r="E124" s="280">
        <v>1</v>
      </c>
      <c r="F124" s="280">
        <v>1</v>
      </c>
      <c r="G124" s="280">
        <v>400</v>
      </c>
      <c r="H124" s="281"/>
      <c r="I124" s="281">
        <v>2.8935185185185189E-4</v>
      </c>
      <c r="J124" s="281">
        <v>1.3888888888888889E-3</v>
      </c>
      <c r="K124" s="315"/>
      <c r="L124" s="315"/>
      <c r="M124" s="453">
        <v>1</v>
      </c>
      <c r="N124" s="281">
        <f t="shared" si="54"/>
        <v>5.0737912686442104E-3</v>
      </c>
      <c r="O124" s="298">
        <f t="shared" si="51"/>
        <v>3.3955505279034699E-3</v>
      </c>
      <c r="P124" s="298">
        <f t="shared" si="52"/>
        <v>3.3955505279034699E-3</v>
      </c>
      <c r="Q124" s="333">
        <v>160</v>
      </c>
      <c r="R124" s="280">
        <f>E124*F124*G124</f>
        <v>400</v>
      </c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</row>
    <row r="125" spans="3:59">
      <c r="C125" s="281">
        <f t="shared" si="50"/>
        <v>2.1222190799396687E-4</v>
      </c>
      <c r="D125" s="891">
        <v>3</v>
      </c>
      <c r="E125" s="280">
        <v>1</v>
      </c>
      <c r="F125" s="280">
        <v>5</v>
      </c>
      <c r="G125" s="280">
        <v>400</v>
      </c>
      <c r="H125" s="281">
        <v>4.5138888888888893E-3</v>
      </c>
      <c r="I125" s="281"/>
      <c r="J125" s="281">
        <v>1.3888888888888889E-3</v>
      </c>
      <c r="K125" s="315"/>
      <c r="L125" s="315"/>
      <c r="M125" s="453">
        <v>1</v>
      </c>
      <c r="N125" s="281">
        <f>H125*F125*E125</f>
        <v>2.2569444444444448E-2</v>
      </c>
      <c r="O125" s="298">
        <f t="shared" si="51"/>
        <v>3.3955505279034699E-3</v>
      </c>
      <c r="P125" s="298">
        <f t="shared" si="52"/>
        <v>3.3955505279034699E-3</v>
      </c>
      <c r="Q125" s="333">
        <v>160</v>
      </c>
      <c r="R125" s="280">
        <f>E125*F125*G125</f>
        <v>2000</v>
      </c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</row>
    <row r="126" spans="3:59">
      <c r="C126" s="281">
        <f t="shared" si="50"/>
        <v>2.1222190799396687E-4</v>
      </c>
      <c r="D126" s="891">
        <v>3</v>
      </c>
      <c r="E126" s="280">
        <v>5</v>
      </c>
      <c r="F126" s="280">
        <v>6</v>
      </c>
      <c r="G126" s="280">
        <v>75</v>
      </c>
      <c r="H126" s="281"/>
      <c r="I126" s="281">
        <v>1.1574074074074073E-4</v>
      </c>
      <c r="J126" s="281">
        <v>1.3888888888888889E-3</v>
      </c>
      <c r="K126" s="315"/>
      <c r="L126" s="315"/>
      <c r="M126" s="453">
        <v>1</v>
      </c>
      <c r="N126" s="281">
        <f>P126*E126*F126+I126*E126*F126+J126*E126</f>
        <v>2.9516638386123683E-2</v>
      </c>
      <c r="O126" s="298">
        <f t="shared" si="51"/>
        <v>6.366657239819006E-4</v>
      </c>
      <c r="P126" s="298">
        <f t="shared" si="52"/>
        <v>6.366657239819006E-4</v>
      </c>
      <c r="Q126" s="333">
        <v>160</v>
      </c>
      <c r="R126" s="280">
        <f>E126*F126*G126</f>
        <v>2250</v>
      </c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</row>
    <row r="127" spans="3:59">
      <c r="C127" s="281">
        <f t="shared" si="50"/>
        <v>2.1222190799396687E-4</v>
      </c>
      <c r="D127" s="891">
        <v>3</v>
      </c>
      <c r="E127" s="280">
        <v>2</v>
      </c>
      <c r="F127" s="280">
        <v>14</v>
      </c>
      <c r="G127" s="280">
        <v>50</v>
      </c>
      <c r="H127" s="281"/>
      <c r="I127" s="281">
        <v>8.1018518518518516E-5</v>
      </c>
      <c r="J127" s="281">
        <v>1.3888888888888889E-3</v>
      </c>
      <c r="K127" s="315"/>
      <c r="L127" s="315"/>
      <c r="M127" s="453">
        <v>1</v>
      </c>
      <c r="N127" s="281">
        <f>P127*E127*F127+I127*E127*F127+J127*E127</f>
        <v>1.6930723143958441E-2</v>
      </c>
      <c r="O127" s="298">
        <f t="shared" si="51"/>
        <v>4.2444381598793373E-4</v>
      </c>
      <c r="P127" s="298">
        <f t="shared" si="52"/>
        <v>4.2444381598793373E-4</v>
      </c>
      <c r="Q127" s="333">
        <v>160</v>
      </c>
      <c r="R127" s="280">
        <f t="shared" si="53"/>
        <v>1400</v>
      </c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</row>
    <row r="128" spans="3:59">
      <c r="C128" s="281">
        <f t="shared" si="50"/>
        <v>2.1222190799396687E-4</v>
      </c>
      <c r="D128" s="891">
        <v>3</v>
      </c>
      <c r="E128" s="280">
        <v>4</v>
      </c>
      <c r="F128" s="280">
        <v>4</v>
      </c>
      <c r="G128" s="280">
        <v>100</v>
      </c>
      <c r="H128" s="281">
        <v>9.8379629629629642E-4</v>
      </c>
      <c r="I128" s="281"/>
      <c r="J128" s="281">
        <v>1.3888888888888889E-3</v>
      </c>
      <c r="K128" s="315"/>
      <c r="L128" s="315"/>
      <c r="M128" s="453">
        <v>1</v>
      </c>
      <c r="N128" s="281">
        <f>H128*F128*E128</f>
        <v>1.5740740740740743E-2</v>
      </c>
      <c r="O128" s="298">
        <f t="shared" si="51"/>
        <v>8.4888763197586746E-4</v>
      </c>
      <c r="P128" s="298">
        <f t="shared" si="52"/>
        <v>8.4888763197586746E-4</v>
      </c>
      <c r="Q128" s="333">
        <v>160</v>
      </c>
      <c r="R128" s="280">
        <f>E128*F128*G128</f>
        <v>1600</v>
      </c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</row>
    <row r="129" spans="3:59">
      <c r="C129" s="281">
        <f t="shared" si="50"/>
        <v>2.1222190799396687E-4</v>
      </c>
      <c r="D129" s="891">
        <v>3</v>
      </c>
      <c r="E129" s="280">
        <v>2</v>
      </c>
      <c r="F129" s="280">
        <v>7</v>
      </c>
      <c r="G129" s="280">
        <v>100</v>
      </c>
      <c r="H129" s="281"/>
      <c r="I129" s="281">
        <v>1.7361111111111112E-4</v>
      </c>
      <c r="J129" s="281">
        <v>1.3888888888888889E-3</v>
      </c>
      <c r="K129" s="315"/>
      <c r="L129" s="315"/>
      <c r="M129" s="453">
        <v>1</v>
      </c>
      <c r="N129" s="281">
        <f>P129*E129*F129+I129*E129*F129+J129*E129</f>
        <v>1.7092760180995478E-2</v>
      </c>
      <c r="O129" s="298">
        <f t="shared" si="51"/>
        <v>8.4888763197586746E-4</v>
      </c>
      <c r="P129" s="298">
        <f t="shared" si="52"/>
        <v>8.4888763197586746E-4</v>
      </c>
      <c r="Q129" s="333">
        <v>160</v>
      </c>
      <c r="R129" s="280">
        <f t="shared" si="53"/>
        <v>1400</v>
      </c>
      <c r="S129" s="1096" t="s">
        <v>1216</v>
      </c>
      <c r="T129" s="478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</row>
    <row r="130" spans="3:59" ht="14">
      <c r="C130" s="90"/>
      <c r="D130" s="888"/>
      <c r="E130" s="134"/>
      <c r="G130" s="135"/>
      <c r="H130" s="135"/>
      <c r="I130" s="135"/>
      <c r="J130" s="135"/>
      <c r="K130" s="313"/>
      <c r="L130" s="313"/>
      <c r="M130" s="511"/>
      <c r="N130" s="551">
        <f>SUM(N104:N129)</f>
        <v>0.35580712145969495</v>
      </c>
      <c r="O130" s="73"/>
      <c r="P130" s="3335"/>
      <c r="Q130" s="783"/>
      <c r="R130" s="73">
        <f>SUM(R104:R129)</f>
        <v>28550</v>
      </c>
      <c r="S130" s="73">
        <f>R130/T131</f>
        <v>0.93889765851091822</v>
      </c>
      <c r="T130" s="2161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</row>
    <row r="131" spans="3:59" ht="14">
      <c r="C131" s="549"/>
      <c r="D131" s="888"/>
      <c r="E131" s="134"/>
      <c r="G131" s="135"/>
      <c r="H131" s="135"/>
      <c r="I131" s="135"/>
      <c r="J131" s="135"/>
      <c r="K131" s="313"/>
      <c r="L131" s="313"/>
      <c r="M131" s="511"/>
      <c r="N131" s="73">
        <v>8</v>
      </c>
      <c r="O131" s="73">
        <v>26</v>
      </c>
      <c r="P131" s="73">
        <v>48</v>
      </c>
      <c r="Q131" s="783">
        <v>48</v>
      </c>
      <c r="R131" s="73"/>
      <c r="S131" s="73"/>
      <c r="T131" s="2162">
        <f>N131*3600+O131*60+P131</f>
        <v>30408</v>
      </c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</row>
    <row r="132" spans="3:59" ht="18">
      <c r="C132" s="549"/>
      <c r="D132" s="888"/>
      <c r="E132" s="134"/>
      <c r="F132" s="294"/>
      <c r="G132" s="135"/>
      <c r="H132" s="135"/>
      <c r="I132" s="135"/>
      <c r="J132" s="135"/>
      <c r="K132" s="274">
        <f>IF(Test!E35,Test!E35/4,Test!D35/4)</f>
        <v>2.0247664488766629E-4</v>
      </c>
      <c r="L132" s="856"/>
      <c r="M132" s="508"/>
      <c r="N132" s="61"/>
      <c r="O132" s="61"/>
      <c r="P132" s="61"/>
      <c r="Q132" s="782">
        <f>IF(Test!E36,Test!E36,Test!D36)</f>
        <v>166</v>
      </c>
      <c r="R132" s="73"/>
      <c r="S132" s="73"/>
      <c r="T132" s="2162">
        <f>N132*3600+O132*60+P132</f>
        <v>0</v>
      </c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</row>
    <row r="133" spans="3:59" ht="18">
      <c r="C133" s="549"/>
      <c r="D133" s="888"/>
      <c r="E133" s="134"/>
      <c r="F133" s="294" t="s">
        <v>273</v>
      </c>
      <c r="G133" s="135"/>
      <c r="H133" s="135"/>
      <c r="I133" s="135"/>
      <c r="J133" s="135"/>
      <c r="K133" s="274">
        <f>IF(Test!G35,Test!G35/4,Test!F35/4)</f>
        <v>0</v>
      </c>
      <c r="L133" s="856"/>
      <c r="M133" s="509"/>
      <c r="N133" s="61"/>
      <c r="O133" s="61"/>
      <c r="P133" s="61"/>
      <c r="Q133" s="782">
        <f>IF(Test!G36,Test!G36,Test!F36)</f>
        <v>0</v>
      </c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</row>
    <row r="134" spans="3:59">
      <c r="C134" s="295">
        <f>IF(K133,K133,K132)</f>
        <v>2.0247664488766629E-4</v>
      </c>
      <c r="D134" s="923"/>
      <c r="E134" s="282" t="s">
        <v>362</v>
      </c>
      <c r="F134" s="282" t="s">
        <v>363</v>
      </c>
      <c r="G134" s="282" t="s">
        <v>364</v>
      </c>
      <c r="H134" s="531" t="s">
        <v>142</v>
      </c>
      <c r="I134" s="282" t="s">
        <v>365</v>
      </c>
      <c r="J134" s="282" t="s">
        <v>366</v>
      </c>
      <c r="K134" s="282" t="s">
        <v>367</v>
      </c>
      <c r="L134" s="282"/>
      <c r="M134" s="513"/>
      <c r="N134" s="282" t="s">
        <v>368</v>
      </c>
      <c r="O134" s="283" t="s">
        <v>369</v>
      </c>
      <c r="P134" s="283"/>
      <c r="Q134" s="785" t="s">
        <v>370</v>
      </c>
      <c r="R134" s="282" t="s">
        <v>371</v>
      </c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</row>
    <row r="135" spans="3:59">
      <c r="C135" s="295">
        <f>C$134</f>
        <v>2.0247664488766629E-4</v>
      </c>
      <c r="D135" s="892">
        <v>4</v>
      </c>
      <c r="E135" s="303">
        <v>1</v>
      </c>
      <c r="F135" s="303">
        <v>1</v>
      </c>
      <c r="G135" s="303">
        <v>400</v>
      </c>
      <c r="H135" s="304"/>
      <c r="I135" s="304">
        <v>4.6296296296296293E-4</v>
      </c>
      <c r="J135" s="304">
        <v>1.3888888888888889E-3</v>
      </c>
      <c r="K135" s="316"/>
      <c r="L135" s="316"/>
      <c r="M135" s="457">
        <v>1</v>
      </c>
      <c r="N135" s="304">
        <f t="shared" ref="N135:N140" si="55">P135*E135*F135+I135*E135*F135+J135*E135</f>
        <v>5.3506482755107257E-3</v>
      </c>
      <c r="O135" s="297">
        <f>C135*(G135/25)*1.08</f>
        <v>3.4987964236588738E-3</v>
      </c>
      <c r="P135" s="297">
        <f>O135*M135</f>
        <v>3.4987964236588738E-3</v>
      </c>
      <c r="Q135" s="334">
        <v>166</v>
      </c>
      <c r="R135" s="303">
        <f t="shared" ref="R135:R156" si="56">E135*F135*G135</f>
        <v>400</v>
      </c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</row>
    <row r="136" spans="3:59">
      <c r="C136" s="295">
        <f t="shared" ref="C136:C156" si="57">C$134</f>
        <v>2.0247664488766629E-4</v>
      </c>
      <c r="D136" s="892">
        <v>4</v>
      </c>
      <c r="E136" s="303">
        <v>1</v>
      </c>
      <c r="F136" s="303">
        <v>8</v>
      </c>
      <c r="G136" s="303">
        <v>75</v>
      </c>
      <c r="H136" s="304"/>
      <c r="I136" s="304">
        <v>2.3148148148148146E-4</v>
      </c>
      <c r="J136" s="304">
        <v>1.3888888888888889E-3</v>
      </c>
      <c r="K136" s="316"/>
      <c r="L136" s="316"/>
      <c r="M136" s="457">
        <v>1</v>
      </c>
      <c r="N136" s="304">
        <f t="shared" si="55"/>
        <v>8.2459634023638508E-3</v>
      </c>
      <c r="O136" s="297">
        <f>C136*(G136/25)*1.03</f>
        <v>6.2565283270288883E-4</v>
      </c>
      <c r="P136" s="297">
        <f t="shared" ref="P136:P156" si="58">O136*M136</f>
        <v>6.2565283270288883E-4</v>
      </c>
      <c r="Q136" s="334">
        <v>166</v>
      </c>
      <c r="R136" s="303">
        <f t="shared" si="56"/>
        <v>600</v>
      </c>
      <c r="S136" s="480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</row>
    <row r="137" spans="3:59">
      <c r="C137" s="295">
        <f t="shared" si="57"/>
        <v>2.0247664488766629E-4</v>
      </c>
      <c r="D137" s="892">
        <v>4</v>
      </c>
      <c r="E137" s="303">
        <v>1</v>
      </c>
      <c r="F137" s="303">
        <v>6</v>
      </c>
      <c r="G137" s="303">
        <v>75</v>
      </c>
      <c r="H137" s="304"/>
      <c r="I137" s="304">
        <v>2.3148148148148146E-4</v>
      </c>
      <c r="J137" s="304">
        <v>1.3888888888888889E-3</v>
      </c>
      <c r="K137" s="316"/>
      <c r="L137" s="316"/>
      <c r="M137" s="457">
        <v>1</v>
      </c>
      <c r="N137" s="304">
        <f t="shared" si="55"/>
        <v>6.5316947739951104E-3</v>
      </c>
      <c r="O137" s="297">
        <f>C137*(G137/25)*1.03</f>
        <v>6.2565283270288883E-4</v>
      </c>
      <c r="P137" s="297">
        <f t="shared" si="58"/>
        <v>6.2565283270288883E-4</v>
      </c>
      <c r="Q137" s="334">
        <v>166</v>
      </c>
      <c r="R137" s="303">
        <f>E137*F137*G137</f>
        <v>450</v>
      </c>
      <c r="S137" s="480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</row>
    <row r="138" spans="3:59">
      <c r="C138" s="295">
        <f t="shared" si="57"/>
        <v>2.0247664488766629E-4</v>
      </c>
      <c r="D138" s="892">
        <v>4</v>
      </c>
      <c r="E138" s="303">
        <v>1</v>
      </c>
      <c r="F138" s="303">
        <v>6</v>
      </c>
      <c r="G138" s="303">
        <v>50</v>
      </c>
      <c r="H138" s="304"/>
      <c r="I138" s="304">
        <v>3.4722222222222224E-4</v>
      </c>
      <c r="J138" s="304">
        <v>1.3888888888888889E-3</v>
      </c>
      <c r="K138" s="316"/>
      <c r="L138" s="316"/>
      <c r="M138" s="457">
        <v>1</v>
      </c>
      <c r="N138" s="304">
        <f t="shared" si="55"/>
        <v>5.9019419608742178E-3</v>
      </c>
      <c r="O138" s="297">
        <f>C138*(G138/25)</f>
        <v>4.0495328977533258E-4</v>
      </c>
      <c r="P138" s="297">
        <f t="shared" si="58"/>
        <v>4.0495328977533258E-4</v>
      </c>
      <c r="Q138" s="334">
        <v>166</v>
      </c>
      <c r="R138" s="303">
        <f>E138*F138*G138</f>
        <v>300</v>
      </c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</row>
    <row r="139" spans="3:59">
      <c r="C139" s="295">
        <f t="shared" si="57"/>
        <v>2.0247664488766629E-4</v>
      </c>
      <c r="D139" s="892">
        <v>4</v>
      </c>
      <c r="E139" s="303">
        <v>1</v>
      </c>
      <c r="F139" s="303">
        <v>2</v>
      </c>
      <c r="G139" s="303">
        <v>50</v>
      </c>
      <c r="H139" s="304"/>
      <c r="I139" s="304">
        <v>2.3148148148148146E-4</v>
      </c>
      <c r="J139" s="304">
        <v>1.3888888888888889E-3</v>
      </c>
      <c r="K139" s="316"/>
      <c r="L139" s="316"/>
      <c r="M139" s="457">
        <v>1</v>
      </c>
      <c r="N139" s="304">
        <f t="shared" si="55"/>
        <v>2.6617584314025172E-3</v>
      </c>
      <c r="O139" s="297">
        <f>C139*(G139/25)</f>
        <v>4.0495328977533258E-4</v>
      </c>
      <c r="P139" s="297">
        <f t="shared" si="58"/>
        <v>4.0495328977533258E-4</v>
      </c>
      <c r="Q139" s="334">
        <v>166</v>
      </c>
      <c r="R139" s="303">
        <f>E139*F139*G139</f>
        <v>100</v>
      </c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</row>
    <row r="140" spans="3:59">
      <c r="C140" s="295">
        <f t="shared" si="57"/>
        <v>2.0247664488766629E-4</v>
      </c>
      <c r="D140" s="892">
        <v>4</v>
      </c>
      <c r="E140" s="303">
        <v>1</v>
      </c>
      <c r="F140" s="303">
        <v>8</v>
      </c>
      <c r="G140" s="303">
        <v>50</v>
      </c>
      <c r="H140" s="304"/>
      <c r="I140" s="304">
        <v>2.3148148148148146E-4</v>
      </c>
      <c r="J140" s="304">
        <v>1.3888888888888889E-3</v>
      </c>
      <c r="K140" s="316"/>
      <c r="L140" s="316"/>
      <c r="M140" s="457">
        <v>1</v>
      </c>
      <c r="N140" s="304">
        <f t="shared" si="55"/>
        <v>6.4803670589434013E-3</v>
      </c>
      <c r="O140" s="297">
        <f>C140*(G140/25)</f>
        <v>4.0495328977533258E-4</v>
      </c>
      <c r="P140" s="297">
        <f t="shared" si="58"/>
        <v>4.0495328977533258E-4</v>
      </c>
      <c r="Q140" s="334">
        <v>166</v>
      </c>
      <c r="R140" s="303">
        <f t="shared" si="56"/>
        <v>400</v>
      </c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</row>
    <row r="141" spans="3:59">
      <c r="C141" s="295">
        <f t="shared" si="57"/>
        <v>2.0247664488766629E-4</v>
      </c>
      <c r="D141" s="892">
        <v>4</v>
      </c>
      <c r="E141" s="303">
        <v>1</v>
      </c>
      <c r="F141" s="303">
        <v>10</v>
      </c>
      <c r="G141" s="303">
        <v>50</v>
      </c>
      <c r="H141" s="304">
        <v>6.9444444444444447E-4</v>
      </c>
      <c r="I141" s="304">
        <v>0</v>
      </c>
      <c r="J141" s="304">
        <v>0</v>
      </c>
      <c r="K141" s="316"/>
      <c r="L141" s="316"/>
      <c r="M141" s="457">
        <v>1</v>
      </c>
      <c r="N141" s="304">
        <f>H141*F141*E141</f>
        <v>6.9444444444444449E-3</v>
      </c>
      <c r="O141" s="297">
        <f>C141*(G141/25)</f>
        <v>4.0495328977533258E-4</v>
      </c>
      <c r="P141" s="297">
        <f t="shared" si="58"/>
        <v>4.0495328977533258E-4</v>
      </c>
      <c r="Q141" s="334">
        <v>166</v>
      </c>
      <c r="R141" s="303">
        <f t="shared" si="56"/>
        <v>500</v>
      </c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</row>
    <row r="142" spans="3:59">
      <c r="C142" s="295">
        <f t="shared" si="57"/>
        <v>2.0247664488766629E-4</v>
      </c>
      <c r="D142" s="892">
        <v>4</v>
      </c>
      <c r="E142" s="303">
        <v>1</v>
      </c>
      <c r="F142" s="303">
        <v>2</v>
      </c>
      <c r="G142" s="303">
        <v>300</v>
      </c>
      <c r="H142" s="304"/>
      <c r="I142" s="304">
        <v>5.2083333333333333E-4</v>
      </c>
      <c r="J142" s="304">
        <v>1.3888888888888889E-3</v>
      </c>
      <c r="K142" s="316"/>
      <c r="L142" s="316"/>
      <c r="M142" s="457">
        <v>1</v>
      </c>
      <c r="N142" s="304">
        <f>P142*E142*F142+I142*E142*F142+J142*E142</f>
        <v>7.6301557962708258E-3</v>
      </c>
      <c r="O142" s="297">
        <f>C142*(G142/25)*1.07</f>
        <v>2.5998001203576351E-3</v>
      </c>
      <c r="P142" s="297">
        <f t="shared" si="58"/>
        <v>2.5998001203576351E-3</v>
      </c>
      <c r="Q142" s="334">
        <v>166</v>
      </c>
      <c r="R142" s="303">
        <f t="shared" si="56"/>
        <v>600</v>
      </c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</row>
    <row r="143" spans="3:59">
      <c r="C143" s="295">
        <f t="shared" si="57"/>
        <v>2.0247664488766629E-4</v>
      </c>
      <c r="D143" s="892">
        <v>4</v>
      </c>
      <c r="E143" s="303">
        <v>1</v>
      </c>
      <c r="F143" s="303">
        <v>5</v>
      </c>
      <c r="G143" s="303">
        <v>300</v>
      </c>
      <c r="H143" s="304">
        <v>3.1250000000000002E-3</v>
      </c>
      <c r="I143" s="304">
        <v>0</v>
      </c>
      <c r="J143" s="304">
        <v>0</v>
      </c>
      <c r="K143" s="316"/>
      <c r="L143" s="316"/>
      <c r="M143" s="457">
        <v>1</v>
      </c>
      <c r="N143" s="304">
        <f>H143*F143*E143</f>
        <v>1.5625E-2</v>
      </c>
      <c r="O143" s="297">
        <f>C143*(G143/25)*1.07</f>
        <v>2.5998001203576351E-3</v>
      </c>
      <c r="P143" s="297">
        <f t="shared" si="58"/>
        <v>2.5998001203576351E-3</v>
      </c>
      <c r="Q143" s="334">
        <v>166</v>
      </c>
      <c r="R143" s="303">
        <f t="shared" si="56"/>
        <v>1500</v>
      </c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</row>
    <row r="144" spans="3:59">
      <c r="C144" s="295">
        <f t="shared" si="57"/>
        <v>2.0247664488766629E-4</v>
      </c>
      <c r="D144" s="892">
        <v>4</v>
      </c>
      <c r="E144" s="303">
        <v>2</v>
      </c>
      <c r="F144" s="303">
        <v>4</v>
      </c>
      <c r="G144" s="303">
        <v>50</v>
      </c>
      <c r="H144" s="304"/>
      <c r="I144" s="304">
        <v>1.7361111111111112E-4</v>
      </c>
      <c r="J144" s="304">
        <v>1.3888888888888889E-3</v>
      </c>
      <c r="K144" s="316"/>
      <c r="L144" s="316"/>
      <c r="M144" s="457">
        <v>1</v>
      </c>
      <c r="N144" s="304">
        <f>P144*E144*F144+I144*E144*F144+J144*E144</f>
        <v>7.4062929848693268E-3</v>
      </c>
      <c r="O144" s="297">
        <f>C144*(G144/25)</f>
        <v>4.0495328977533258E-4</v>
      </c>
      <c r="P144" s="297">
        <f t="shared" si="58"/>
        <v>4.0495328977533258E-4</v>
      </c>
      <c r="Q144" s="334">
        <v>166</v>
      </c>
      <c r="R144" s="303">
        <f t="shared" si="56"/>
        <v>400</v>
      </c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</row>
    <row r="145" spans="3:59">
      <c r="C145" s="295">
        <f t="shared" si="57"/>
        <v>2.0247664488766629E-4</v>
      </c>
      <c r="D145" s="892">
        <v>4</v>
      </c>
      <c r="E145" s="303">
        <v>6</v>
      </c>
      <c r="F145" s="303">
        <v>4</v>
      </c>
      <c r="G145" s="303">
        <v>50</v>
      </c>
      <c r="H145" s="304">
        <v>5.7870370370370378E-4</v>
      </c>
      <c r="I145" s="304"/>
      <c r="J145" s="304">
        <v>1.3888888888888889E-3</v>
      </c>
      <c r="K145" s="316"/>
      <c r="L145" s="316"/>
      <c r="M145" s="457">
        <v>1</v>
      </c>
      <c r="N145" s="304">
        <f>H145*F145*E145</f>
        <v>1.3888888888888892E-2</v>
      </c>
      <c r="O145" s="297">
        <f>C145*(G145/25)</f>
        <v>4.0495328977533258E-4</v>
      </c>
      <c r="P145" s="297">
        <f t="shared" si="58"/>
        <v>4.0495328977533258E-4</v>
      </c>
      <c r="Q145" s="334">
        <v>166</v>
      </c>
      <c r="R145" s="303">
        <f t="shared" si="56"/>
        <v>1200</v>
      </c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</row>
    <row r="146" spans="3:59">
      <c r="C146" s="295">
        <f t="shared" si="57"/>
        <v>2.0247664488766629E-4</v>
      </c>
      <c r="D146" s="892">
        <v>4</v>
      </c>
      <c r="E146" s="303">
        <v>1</v>
      </c>
      <c r="F146" s="303">
        <v>1</v>
      </c>
      <c r="G146" s="303">
        <v>800</v>
      </c>
      <c r="H146" s="304"/>
      <c r="I146" s="304">
        <v>3.4722222222222224E-4</v>
      </c>
      <c r="J146" s="304">
        <v>1.3888888888888889E-3</v>
      </c>
      <c r="K146" s="316"/>
      <c r="L146" s="316"/>
      <c r="M146" s="457">
        <v>1</v>
      </c>
      <c r="N146" s="304">
        <f>P146*E146*F146+I146*E146*F146+J146*E146</f>
        <v>9.2520441693412833E-3</v>
      </c>
      <c r="O146" s="297">
        <f>C146*(G146/25)*1.16</f>
        <v>7.5159330582301722E-3</v>
      </c>
      <c r="P146" s="297">
        <f t="shared" si="58"/>
        <v>7.5159330582301722E-3</v>
      </c>
      <c r="Q146" s="334">
        <v>166</v>
      </c>
      <c r="R146" s="303">
        <f t="shared" si="56"/>
        <v>800</v>
      </c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</row>
    <row r="147" spans="3:59">
      <c r="C147" s="295">
        <f t="shared" si="57"/>
        <v>2.0247664488766629E-4</v>
      </c>
      <c r="D147" s="892">
        <v>4</v>
      </c>
      <c r="E147" s="303">
        <v>1</v>
      </c>
      <c r="F147" s="303">
        <v>1</v>
      </c>
      <c r="G147" s="303">
        <v>700</v>
      </c>
      <c r="H147" s="304"/>
      <c r="I147" s="304">
        <v>3.4722222222222224E-4</v>
      </c>
      <c r="J147" s="304">
        <v>1.3888888888888889E-3</v>
      </c>
      <c r="K147" s="316"/>
      <c r="L147" s="316"/>
      <c r="M147" s="457">
        <v>1</v>
      </c>
      <c r="N147" s="304">
        <f>P147*E147*F147+I147*E147*F147+J147*E147</f>
        <v>8.1991656159254179E-3</v>
      </c>
      <c r="O147" s="297">
        <f>C147*(G147/25)*1.14</f>
        <v>6.4630545048143069E-3</v>
      </c>
      <c r="P147" s="297">
        <f t="shared" si="58"/>
        <v>6.4630545048143069E-3</v>
      </c>
      <c r="Q147" s="334">
        <v>166</v>
      </c>
      <c r="R147" s="303">
        <f>E147*F147*G147</f>
        <v>700</v>
      </c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</row>
    <row r="148" spans="3:59">
      <c r="C148" s="295">
        <f t="shared" si="57"/>
        <v>2.0247664488766629E-4</v>
      </c>
      <c r="D148" s="892">
        <v>4</v>
      </c>
      <c r="E148" s="303">
        <v>1</v>
      </c>
      <c r="F148" s="303">
        <v>5</v>
      </c>
      <c r="G148" s="303">
        <v>200</v>
      </c>
      <c r="H148" s="304"/>
      <c r="I148" s="304">
        <v>6.9444444444444447E-4</v>
      </c>
      <c r="J148" s="304">
        <v>1.3888888888888889E-3</v>
      </c>
      <c r="K148" s="316"/>
      <c r="L148" s="316"/>
      <c r="M148" s="457">
        <v>1</v>
      </c>
      <c r="N148" s="304">
        <f>P148*E148*F148+I148*E148*F148+J148*E148</f>
        <v>1.3446120854348162E-2</v>
      </c>
      <c r="O148" s="297">
        <f>C148*(G148/25)*1.06</f>
        <v>1.7170019486474103E-3</v>
      </c>
      <c r="P148" s="297">
        <f t="shared" si="58"/>
        <v>1.7170019486474103E-3</v>
      </c>
      <c r="Q148" s="334">
        <v>166</v>
      </c>
      <c r="R148" s="303">
        <f t="shared" si="56"/>
        <v>1000</v>
      </c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</row>
    <row r="149" spans="3:59">
      <c r="C149" s="295">
        <f t="shared" si="57"/>
        <v>2.0247664488766629E-4</v>
      </c>
      <c r="D149" s="892">
        <v>4</v>
      </c>
      <c r="E149" s="303">
        <v>1</v>
      </c>
      <c r="F149" s="303">
        <v>8</v>
      </c>
      <c r="G149" s="303">
        <v>200</v>
      </c>
      <c r="H149" s="304">
        <v>2.0833333333333333E-3</v>
      </c>
      <c r="I149" s="304"/>
      <c r="J149" s="304">
        <v>0</v>
      </c>
      <c r="K149" s="316"/>
      <c r="L149" s="316"/>
      <c r="M149" s="457">
        <v>1</v>
      </c>
      <c r="N149" s="304">
        <f>H149*F149*E149</f>
        <v>1.6666666666666666E-2</v>
      </c>
      <c r="O149" s="297">
        <f>C149*(G149/25)*1.06</f>
        <v>1.7170019486474103E-3</v>
      </c>
      <c r="P149" s="297">
        <f t="shared" si="58"/>
        <v>1.7170019486474103E-3</v>
      </c>
      <c r="Q149" s="334">
        <v>166</v>
      </c>
      <c r="R149" s="303">
        <f t="shared" si="56"/>
        <v>1600</v>
      </c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</row>
    <row r="150" spans="3:59">
      <c r="C150" s="295">
        <f t="shared" si="57"/>
        <v>2.0247664488766629E-4</v>
      </c>
      <c r="D150" s="892">
        <v>4</v>
      </c>
      <c r="E150" s="303">
        <v>1</v>
      </c>
      <c r="F150" s="303">
        <v>2</v>
      </c>
      <c r="G150" s="303">
        <v>500</v>
      </c>
      <c r="H150" s="304"/>
      <c r="I150" s="304">
        <v>5.7870370370370378E-4</v>
      </c>
      <c r="J150" s="304">
        <v>1.3888888888888889E-3</v>
      </c>
      <c r="K150" s="316"/>
      <c r="L150" s="316"/>
      <c r="M150" s="457">
        <v>1</v>
      </c>
      <c r="N150" s="304">
        <f>P150*E150*F150+I150*E150*F150+J150*E150</f>
        <v>1.1374278013398546E-2</v>
      </c>
      <c r="O150" s="297">
        <f>C150*(G150/25)*1.09</f>
        <v>4.4139908585511247E-3</v>
      </c>
      <c r="P150" s="297">
        <f t="shared" si="58"/>
        <v>4.4139908585511247E-3</v>
      </c>
      <c r="Q150" s="334">
        <v>166</v>
      </c>
      <c r="R150" s="303">
        <f t="shared" si="56"/>
        <v>1000</v>
      </c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</row>
    <row r="151" spans="3:59">
      <c r="C151" s="295">
        <f t="shared" si="57"/>
        <v>2.0247664488766629E-4</v>
      </c>
      <c r="D151" s="892">
        <v>4</v>
      </c>
      <c r="E151" s="303">
        <v>1</v>
      </c>
      <c r="F151" s="303">
        <v>2</v>
      </c>
      <c r="G151" s="303">
        <v>400</v>
      </c>
      <c r="H151" s="304">
        <v>5.5555555555555558E-3</v>
      </c>
      <c r="I151" s="304"/>
      <c r="J151" s="304">
        <v>1.3888888888888889E-3</v>
      </c>
      <c r="K151" s="316"/>
      <c r="L151" s="316"/>
      <c r="M151" s="457">
        <v>1</v>
      </c>
      <c r="N151" s="304">
        <f>H151*F151*E151</f>
        <v>1.1111111111111112E-2</v>
      </c>
      <c r="O151" s="297">
        <f>C151*(G151/25)*1.08</f>
        <v>3.4987964236588738E-3</v>
      </c>
      <c r="P151" s="297">
        <f t="shared" si="58"/>
        <v>3.4987964236588738E-3</v>
      </c>
      <c r="Q151" s="334">
        <v>166</v>
      </c>
      <c r="R151" s="303">
        <f t="shared" si="56"/>
        <v>800</v>
      </c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</row>
    <row r="152" spans="3:59">
      <c r="C152" s="295">
        <f t="shared" si="57"/>
        <v>2.0247664488766629E-4</v>
      </c>
      <c r="D152" s="892">
        <v>4</v>
      </c>
      <c r="E152" s="303">
        <v>1</v>
      </c>
      <c r="F152" s="303">
        <v>4</v>
      </c>
      <c r="G152" s="303">
        <v>400</v>
      </c>
      <c r="H152" s="304">
        <v>4.8611111111111112E-3</v>
      </c>
      <c r="I152" s="304"/>
      <c r="J152" s="304">
        <v>1.3888888888888889E-3</v>
      </c>
      <c r="K152" s="316" t="s">
        <v>535</v>
      </c>
      <c r="L152" s="316"/>
      <c r="M152" s="457">
        <v>1</v>
      </c>
      <c r="N152" s="304">
        <f>H152*F152*E152</f>
        <v>1.9444444444444445E-2</v>
      </c>
      <c r="O152" s="297">
        <f>C152*(G152/25)*1.08</f>
        <v>3.4987964236588738E-3</v>
      </c>
      <c r="P152" s="297">
        <f t="shared" si="58"/>
        <v>3.4987964236588738E-3</v>
      </c>
      <c r="Q152" s="334">
        <v>166</v>
      </c>
      <c r="R152" s="303">
        <f t="shared" si="56"/>
        <v>1600</v>
      </c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</row>
    <row r="153" spans="3:59">
      <c r="C153" s="295">
        <f t="shared" si="57"/>
        <v>2.0247664488766629E-4</v>
      </c>
      <c r="D153" s="892">
        <v>4</v>
      </c>
      <c r="E153" s="303">
        <v>2</v>
      </c>
      <c r="F153" s="303">
        <v>8</v>
      </c>
      <c r="G153" s="303">
        <v>100</v>
      </c>
      <c r="H153" s="304"/>
      <c r="I153" s="304">
        <v>2.8935185185185189E-4</v>
      </c>
      <c r="J153" s="304">
        <v>1.3888888888888889E-3</v>
      </c>
      <c r="K153" s="316"/>
      <c r="L153" s="316"/>
      <c r="M153" s="457">
        <v>1</v>
      </c>
      <c r="N153" s="304">
        <f>P153*E153*F153+I153*E153*F153+J153*E153</f>
        <v>2.0884252891130477E-2</v>
      </c>
      <c r="O153" s="297">
        <f>C153*(G153/25)*1.04</f>
        <v>8.4230284273269175E-4</v>
      </c>
      <c r="P153" s="297">
        <f t="shared" si="58"/>
        <v>8.4230284273269175E-4</v>
      </c>
      <c r="Q153" s="334">
        <v>166</v>
      </c>
      <c r="R153" s="303">
        <f t="shared" si="56"/>
        <v>1600</v>
      </c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</row>
    <row r="154" spans="3:59">
      <c r="C154" s="295">
        <f t="shared" si="57"/>
        <v>2.0247664488766629E-4</v>
      </c>
      <c r="D154" s="892">
        <v>4</v>
      </c>
      <c r="E154" s="303">
        <v>1</v>
      </c>
      <c r="F154" s="303">
        <v>4</v>
      </c>
      <c r="G154" s="303">
        <v>100</v>
      </c>
      <c r="H154" s="304"/>
      <c r="I154" s="304">
        <v>2.8935185185185189E-4</v>
      </c>
      <c r="J154" s="304">
        <v>1.3888888888888889E-3</v>
      </c>
      <c r="K154" s="316"/>
      <c r="L154" s="316"/>
      <c r="M154" s="457">
        <v>1</v>
      </c>
      <c r="N154" s="304">
        <f>P154*E154*F154+I154*E154*F154+J154*E154</f>
        <v>5.9155076672270639E-3</v>
      </c>
      <c r="O154" s="297">
        <f>C154*(G154/25)*1.04</f>
        <v>8.4230284273269175E-4</v>
      </c>
      <c r="P154" s="297">
        <f t="shared" si="58"/>
        <v>8.4230284273269175E-4</v>
      </c>
      <c r="Q154" s="334">
        <v>166</v>
      </c>
      <c r="R154" s="303">
        <f>E154*F154*G154</f>
        <v>400</v>
      </c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</row>
    <row r="155" spans="3:59">
      <c r="C155" s="295">
        <f t="shared" si="57"/>
        <v>2.0247664488766629E-4</v>
      </c>
      <c r="D155" s="892">
        <v>4</v>
      </c>
      <c r="E155" s="303">
        <v>1</v>
      </c>
      <c r="F155" s="303">
        <v>6</v>
      </c>
      <c r="G155" s="303">
        <v>100</v>
      </c>
      <c r="H155" s="304">
        <v>1.0416666666666667E-3</v>
      </c>
      <c r="I155" s="304">
        <v>0</v>
      </c>
      <c r="J155" s="304">
        <v>0</v>
      </c>
      <c r="K155" s="316"/>
      <c r="L155" s="316"/>
      <c r="M155" s="457">
        <v>1</v>
      </c>
      <c r="N155" s="304">
        <f>H155*F155*E155</f>
        <v>6.2500000000000003E-3</v>
      </c>
      <c r="O155" s="297">
        <f>C155*(G155/25)*1.04</f>
        <v>8.4230284273269175E-4</v>
      </c>
      <c r="P155" s="297">
        <f t="shared" si="58"/>
        <v>8.4230284273269175E-4</v>
      </c>
      <c r="Q155" s="334">
        <v>166</v>
      </c>
      <c r="R155" s="303">
        <f t="shared" si="56"/>
        <v>600</v>
      </c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</row>
    <row r="156" spans="3:59">
      <c r="C156" s="295">
        <f t="shared" si="57"/>
        <v>2.0247664488766629E-4</v>
      </c>
      <c r="D156" s="892">
        <v>4</v>
      </c>
      <c r="E156" s="303">
        <v>1</v>
      </c>
      <c r="F156" s="303">
        <v>6</v>
      </c>
      <c r="G156" s="303">
        <v>150</v>
      </c>
      <c r="H156" s="304"/>
      <c r="I156" s="304">
        <v>2.8935185185185189E-4</v>
      </c>
      <c r="J156" s="304">
        <v>1.3888888888888889E-3</v>
      </c>
      <c r="K156" s="316"/>
      <c r="L156" s="316"/>
      <c r="M156" s="457">
        <v>1</v>
      </c>
      <c r="N156" s="304">
        <f>P156*E156*F156+I156*E156*F156+J156*E156</f>
        <v>1.0778617176753788E-2</v>
      </c>
      <c r="O156" s="297">
        <f>C156*(G156/25)*1.05</f>
        <v>1.2756028627922977E-3</v>
      </c>
      <c r="P156" s="297">
        <f t="shared" si="58"/>
        <v>1.2756028627922977E-3</v>
      </c>
      <c r="Q156" s="334">
        <v>166</v>
      </c>
      <c r="R156" s="303">
        <f t="shared" si="56"/>
        <v>900</v>
      </c>
      <c r="S156" s="1096" t="s">
        <v>1216</v>
      </c>
      <c r="T156" s="478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</row>
    <row r="157" spans="3:59" ht="14">
      <c r="C157" s="90"/>
      <c r="D157" s="888"/>
      <c r="E157" s="134"/>
      <c r="G157" s="135"/>
      <c r="H157" s="135"/>
      <c r="I157" s="135"/>
      <c r="J157" s="135"/>
      <c r="K157" s="313"/>
      <c r="L157" s="313"/>
      <c r="M157" s="511"/>
      <c r="N157" s="551">
        <f>SUM(N135:N156)</f>
        <v>0.2199893646279103</v>
      </c>
      <c r="O157" s="73"/>
      <c r="P157" s="73"/>
      <c r="Q157" s="783"/>
      <c r="R157" s="73">
        <f>SUM(R135:R156)</f>
        <v>17450</v>
      </c>
      <c r="S157" s="73">
        <f>R157/T158</f>
        <v>0.91808281159572791</v>
      </c>
      <c r="T157" s="2161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</row>
    <row r="158" spans="3:59" ht="14">
      <c r="C158" s="549"/>
      <c r="D158" s="888"/>
      <c r="E158" s="134"/>
      <c r="G158" s="135"/>
      <c r="H158" s="135"/>
      <c r="I158" s="135"/>
      <c r="J158" s="135"/>
      <c r="K158" s="313"/>
      <c r="L158" s="313"/>
      <c r="M158" s="511"/>
      <c r="N158" s="73">
        <v>5</v>
      </c>
      <c r="O158" s="73">
        <v>16</v>
      </c>
      <c r="P158" s="783">
        <v>47</v>
      </c>
      <c r="Q158" s="783"/>
      <c r="R158" s="73"/>
      <c r="S158" s="73"/>
      <c r="T158" s="2162">
        <f>N158*3600+O158*60+P158</f>
        <v>19007</v>
      </c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</row>
    <row r="159" spans="3:59" ht="18">
      <c r="C159" s="549"/>
      <c r="D159" s="888"/>
      <c r="E159" s="134"/>
      <c r="F159" s="294"/>
      <c r="G159" s="135"/>
      <c r="H159" s="135"/>
      <c r="I159" s="135"/>
      <c r="J159" s="135"/>
      <c r="K159" s="274">
        <f>IF(Test!E37,Test!E37/4,Test!D37/4)</f>
        <v>1.8933937422552669E-4</v>
      </c>
      <c r="L159" s="856"/>
      <c r="M159" s="511"/>
      <c r="O159" s="73"/>
      <c r="P159" s="73"/>
      <c r="Q159" s="782">
        <f>IF(Test!E38,Test!E38,Test!D38)</f>
        <v>173</v>
      </c>
      <c r="R159" s="73"/>
      <c r="S159" s="73"/>
      <c r="T159" s="2162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</row>
    <row r="160" spans="3:59" ht="18">
      <c r="C160" s="549"/>
      <c r="D160" s="888"/>
      <c r="E160" s="134"/>
      <c r="F160" s="294" t="s">
        <v>296</v>
      </c>
      <c r="G160" s="135"/>
      <c r="H160" s="135"/>
      <c r="I160" s="135"/>
      <c r="J160" s="135"/>
      <c r="K160" s="274">
        <f>IF(Test!G37,Test!G37/4,Test!F37/4)</f>
        <v>0</v>
      </c>
      <c r="L160" s="856"/>
      <c r="M160" s="511"/>
      <c r="N160" s="135"/>
      <c r="O160" s="73"/>
      <c r="P160" s="73"/>
      <c r="Q160" s="782">
        <f>IF(Test!G38,Test!G38,Test!F38)</f>
        <v>0</v>
      </c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</row>
    <row r="161" spans="3:59">
      <c r="C161" s="284"/>
      <c r="D161" s="893"/>
      <c r="E161" s="285" t="s">
        <v>362</v>
      </c>
      <c r="F161" s="286" t="s">
        <v>363</v>
      </c>
      <c r="G161" s="286" t="s">
        <v>364</v>
      </c>
      <c r="H161" s="531" t="s">
        <v>142</v>
      </c>
      <c r="I161" s="287" t="s">
        <v>365</v>
      </c>
      <c r="J161" s="287" t="s">
        <v>366</v>
      </c>
      <c r="K161" s="286" t="s">
        <v>367</v>
      </c>
      <c r="L161" s="286"/>
      <c r="M161" s="514"/>
      <c r="N161" s="287" t="s">
        <v>368</v>
      </c>
      <c r="P161" s="286" t="s">
        <v>276</v>
      </c>
      <c r="Q161" s="286" t="s">
        <v>370</v>
      </c>
      <c r="R161" s="288" t="s">
        <v>371</v>
      </c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</row>
    <row r="162" spans="3:59">
      <c r="C162" s="295">
        <f>IF(K160,K160,K159)</f>
        <v>1.8933937422552669E-4</v>
      </c>
      <c r="D162" s="894">
        <v>5</v>
      </c>
      <c r="E162" s="308">
        <v>4</v>
      </c>
      <c r="F162" s="308">
        <v>1</v>
      </c>
      <c r="G162" s="309">
        <f>50+25</f>
        <v>75</v>
      </c>
      <c r="H162" s="306"/>
      <c r="I162" s="306">
        <v>5.7870370370370366E-5</v>
      </c>
      <c r="J162" s="306">
        <v>2.0833333333333333E-3</v>
      </c>
      <c r="K162" s="291" t="s">
        <v>285</v>
      </c>
      <c r="L162" s="857"/>
      <c r="M162" s="452">
        <v>1</v>
      </c>
      <c r="N162" s="306">
        <f t="shared" ref="N162:N187" si="59">P162*E162*F162+I162*E162*F162+J162*E162</f>
        <v>1.0905049480242325E-2</v>
      </c>
      <c r="O162" s="305">
        <f>C162*(G162/25)*1.03</f>
        <v>5.8505866635687751E-4</v>
      </c>
      <c r="P162" s="585">
        <f>O162*M162</f>
        <v>5.8505866635687751E-4</v>
      </c>
      <c r="Q162" s="786">
        <v>173</v>
      </c>
      <c r="R162" s="290">
        <f t="shared" ref="R162:R183" si="60">E162*F162*G162</f>
        <v>300</v>
      </c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</row>
    <row r="163" spans="3:59">
      <c r="C163" s="289">
        <f>C$162</f>
        <v>1.8933937422552669E-4</v>
      </c>
      <c r="D163" s="894">
        <v>5</v>
      </c>
      <c r="E163" s="308">
        <v>4</v>
      </c>
      <c r="F163" s="308">
        <v>1</v>
      </c>
      <c r="G163" s="309">
        <f>50+25</f>
        <v>75</v>
      </c>
      <c r="H163" s="306"/>
      <c r="I163" s="306">
        <v>5.7870370370370366E-5</v>
      </c>
      <c r="J163" s="306">
        <v>2.0833333333333333E-3</v>
      </c>
      <c r="K163" s="291" t="s">
        <v>787</v>
      </c>
      <c r="L163" s="857"/>
      <c r="M163" s="452">
        <v>1</v>
      </c>
      <c r="N163" s="306">
        <f t="shared" si="59"/>
        <v>1.0905049480242325E-2</v>
      </c>
      <c r="O163" s="305">
        <f>C163*(G163/25)*1.03</f>
        <v>5.8505866635687751E-4</v>
      </c>
      <c r="P163" s="585">
        <f>O163*M163</f>
        <v>5.8505866635687751E-4</v>
      </c>
      <c r="Q163" s="786">
        <v>173</v>
      </c>
      <c r="R163" s="290">
        <f>E163*F163*G163</f>
        <v>300</v>
      </c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</row>
    <row r="164" spans="3:59">
      <c r="C164" s="289">
        <f t="shared" ref="C164:C187" si="61">C$162</f>
        <v>1.8933937422552669E-4</v>
      </c>
      <c r="D164" s="894">
        <v>5</v>
      </c>
      <c r="E164" s="307">
        <v>8</v>
      </c>
      <c r="F164" s="307">
        <v>2</v>
      </c>
      <c r="G164" s="307">
        <v>25</v>
      </c>
      <c r="H164" s="306"/>
      <c r="I164" s="306">
        <v>5.7870370370370366E-5</v>
      </c>
      <c r="J164" s="306">
        <v>2.0833333333333333E-3</v>
      </c>
      <c r="K164" s="317" t="s">
        <v>277</v>
      </c>
      <c r="L164" s="858"/>
      <c r="M164" s="454">
        <v>1</v>
      </c>
      <c r="N164" s="306">
        <f t="shared" si="59"/>
        <v>2.0622022580201019E-2</v>
      </c>
      <c r="O164" s="305">
        <f>C164*(G164/25)</f>
        <v>1.8933937422552669E-4</v>
      </c>
      <c r="P164" s="585">
        <f t="shared" ref="P164:P187" si="62">O164*M164</f>
        <v>1.8933937422552669E-4</v>
      </c>
      <c r="Q164" s="786">
        <v>173</v>
      </c>
      <c r="R164" s="290">
        <f t="shared" si="60"/>
        <v>400</v>
      </c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</row>
    <row r="165" spans="3:59">
      <c r="C165" s="289">
        <f t="shared" si="61"/>
        <v>1.8933937422552669E-4</v>
      </c>
      <c r="D165" s="894">
        <v>5</v>
      </c>
      <c r="E165" s="307">
        <v>4</v>
      </c>
      <c r="F165" s="307">
        <v>2</v>
      </c>
      <c r="G165" s="307">
        <v>25</v>
      </c>
      <c r="H165" s="306"/>
      <c r="I165" s="306">
        <v>5.7870370370370366E-5</v>
      </c>
      <c r="J165" s="306">
        <v>2.0833333333333333E-3</v>
      </c>
      <c r="K165" s="317" t="s">
        <v>212</v>
      </c>
      <c r="L165" s="858"/>
      <c r="M165" s="454">
        <v>1</v>
      </c>
      <c r="N165" s="306">
        <f t="shared" si="59"/>
        <v>1.031101129010051E-2</v>
      </c>
      <c r="O165" s="305">
        <f>C165*(G165/25)</f>
        <v>1.8933937422552669E-4</v>
      </c>
      <c r="P165" s="585">
        <f t="shared" si="62"/>
        <v>1.8933937422552669E-4</v>
      </c>
      <c r="Q165" s="786">
        <v>173</v>
      </c>
      <c r="R165" s="290">
        <f>E165*F165*G165</f>
        <v>200</v>
      </c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</row>
    <row r="166" spans="3:59">
      <c r="C166" s="289">
        <f t="shared" si="61"/>
        <v>1.8933937422552669E-4</v>
      </c>
      <c r="D166" s="894">
        <v>5</v>
      </c>
      <c r="E166" s="307">
        <v>4</v>
      </c>
      <c r="F166" s="307">
        <v>4</v>
      </c>
      <c r="G166" s="307">
        <v>25</v>
      </c>
      <c r="H166" s="306"/>
      <c r="I166" s="306">
        <v>5.7870370370370366E-5</v>
      </c>
      <c r="J166" s="306">
        <v>2.0833333333333333E-3</v>
      </c>
      <c r="K166" s="317" t="s">
        <v>270</v>
      </c>
      <c r="L166" s="858"/>
      <c r="M166" s="454">
        <v>1</v>
      </c>
      <c r="N166" s="306">
        <f t="shared" si="59"/>
        <v>1.2288689246867686E-2</v>
      </c>
      <c r="O166" s="305">
        <f>C166*(G166/25)</f>
        <v>1.8933937422552669E-4</v>
      </c>
      <c r="P166" s="585">
        <f t="shared" si="62"/>
        <v>1.8933937422552669E-4</v>
      </c>
      <c r="Q166" s="786">
        <v>173</v>
      </c>
      <c r="R166" s="290">
        <f>E166*F166*G166</f>
        <v>400</v>
      </c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</row>
    <row r="167" spans="3:59">
      <c r="C167" s="289">
        <f t="shared" si="61"/>
        <v>1.8933937422552669E-4</v>
      </c>
      <c r="D167" s="894">
        <v>5</v>
      </c>
      <c r="E167" s="308">
        <v>4</v>
      </c>
      <c r="F167" s="308">
        <v>2</v>
      </c>
      <c r="G167" s="308">
        <v>50</v>
      </c>
      <c r="H167" s="306"/>
      <c r="I167" s="306">
        <v>1.1574074074074073E-4</v>
      </c>
      <c r="J167" s="306">
        <v>2.0833333333333333E-3</v>
      </c>
      <c r="K167" s="317" t="s">
        <v>281</v>
      </c>
      <c r="L167" s="858"/>
      <c r="M167" s="454">
        <v>1</v>
      </c>
      <c r="N167" s="306">
        <f t="shared" si="59"/>
        <v>1.231898354674377E-2</v>
      </c>
      <c r="O167" s="305">
        <f>C167*(G167/25)*1.01</f>
        <v>3.824655359355639E-4</v>
      </c>
      <c r="P167" s="585">
        <f t="shared" si="62"/>
        <v>3.824655359355639E-4</v>
      </c>
      <c r="Q167" s="786">
        <v>173</v>
      </c>
      <c r="R167" s="290">
        <f t="shared" si="60"/>
        <v>400</v>
      </c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</row>
    <row r="168" spans="3:59">
      <c r="C168" s="289">
        <f t="shared" si="61"/>
        <v>1.8933937422552669E-4</v>
      </c>
      <c r="D168" s="894">
        <v>5</v>
      </c>
      <c r="E168" s="308">
        <v>4</v>
      </c>
      <c r="F168" s="308">
        <v>1</v>
      </c>
      <c r="G168" s="309">
        <f>75+25</f>
        <v>100</v>
      </c>
      <c r="H168" s="306"/>
      <c r="I168" s="306">
        <v>5.7870370370370366E-5</v>
      </c>
      <c r="J168" s="306">
        <v>2.0833333333333333E-3</v>
      </c>
      <c r="K168" s="291" t="s">
        <v>288</v>
      </c>
      <c r="L168" s="857"/>
      <c r="M168" s="452">
        <v>1</v>
      </c>
      <c r="N168" s="306">
        <f t="shared" si="59"/>
        <v>1.1715422001927579E-2</v>
      </c>
      <c r="O168" s="305">
        <f>C168*(G168/25)*1.04</f>
        <v>7.8765179677819106E-4</v>
      </c>
      <c r="P168" s="585">
        <f t="shared" si="62"/>
        <v>7.8765179677819106E-4</v>
      </c>
      <c r="Q168" s="786">
        <v>173</v>
      </c>
      <c r="R168" s="290">
        <f t="shared" si="60"/>
        <v>400</v>
      </c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</row>
    <row r="169" spans="3:59">
      <c r="C169" s="289">
        <f t="shared" si="61"/>
        <v>1.8933937422552669E-4</v>
      </c>
      <c r="D169" s="894">
        <v>5</v>
      </c>
      <c r="E169" s="308">
        <v>3</v>
      </c>
      <c r="F169" s="308">
        <v>3</v>
      </c>
      <c r="G169" s="308">
        <v>50</v>
      </c>
      <c r="H169" s="306"/>
      <c r="I169" s="306">
        <v>1.1574074074074073E-4</v>
      </c>
      <c r="J169" s="306">
        <v>2.0833333333333333E-3</v>
      </c>
      <c r="K169" s="317" t="s">
        <v>282</v>
      </c>
      <c r="L169" s="858"/>
      <c r="M169" s="454">
        <v>1</v>
      </c>
      <c r="N169" s="306">
        <f t="shared" si="59"/>
        <v>1.0733856490086742E-2</v>
      </c>
      <c r="O169" s="305">
        <f>C169*(G169/25)*1.01</f>
        <v>3.824655359355639E-4</v>
      </c>
      <c r="P169" s="585">
        <f t="shared" si="62"/>
        <v>3.824655359355639E-4</v>
      </c>
      <c r="Q169" s="786">
        <v>173</v>
      </c>
      <c r="R169" s="290">
        <f t="shared" si="60"/>
        <v>450</v>
      </c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</row>
    <row r="170" spans="3:59">
      <c r="C170" s="289">
        <f t="shared" si="61"/>
        <v>1.8933937422552669E-4</v>
      </c>
      <c r="D170" s="894">
        <v>5</v>
      </c>
      <c r="E170" s="308">
        <v>1</v>
      </c>
      <c r="F170" s="308">
        <v>10</v>
      </c>
      <c r="G170" s="308">
        <v>50</v>
      </c>
      <c r="H170" s="306"/>
      <c r="I170" s="306">
        <v>1.1574074074074073E-4</v>
      </c>
      <c r="J170" s="306">
        <v>2.0833333333333333E-3</v>
      </c>
      <c r="K170" s="317" t="s">
        <v>283</v>
      </c>
      <c r="L170" s="858"/>
      <c r="M170" s="454">
        <v>1</v>
      </c>
      <c r="N170" s="306">
        <f t="shared" si="59"/>
        <v>7.0653961000963789E-3</v>
      </c>
      <c r="O170" s="305">
        <f>C170*(G170/25)*1.01</f>
        <v>3.824655359355639E-4</v>
      </c>
      <c r="P170" s="585">
        <f t="shared" si="62"/>
        <v>3.824655359355639E-4</v>
      </c>
      <c r="Q170" s="786">
        <v>173</v>
      </c>
      <c r="R170" s="290">
        <f t="shared" si="60"/>
        <v>500</v>
      </c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</row>
    <row r="171" spans="3:59">
      <c r="C171" s="289">
        <f t="shared" si="61"/>
        <v>1.8933937422552669E-4</v>
      </c>
      <c r="D171" s="894">
        <v>5</v>
      </c>
      <c r="E171" s="308">
        <v>4</v>
      </c>
      <c r="F171" s="308">
        <v>1</v>
      </c>
      <c r="G171" s="309">
        <f>50+2*25</f>
        <v>100</v>
      </c>
      <c r="H171" s="306"/>
      <c r="I171" s="306">
        <v>5.7870370370370366E-5</v>
      </c>
      <c r="J171" s="306">
        <v>2.0833333333333333E-3</v>
      </c>
      <c r="K171" s="291" t="s">
        <v>289</v>
      </c>
      <c r="L171" s="857"/>
      <c r="M171" s="452">
        <v>1</v>
      </c>
      <c r="N171" s="306">
        <f t="shared" si="59"/>
        <v>1.1715422001927579E-2</v>
      </c>
      <c r="O171" s="305">
        <f>C171*(G171/25)*1.04</f>
        <v>7.8765179677819106E-4</v>
      </c>
      <c r="P171" s="585">
        <f t="shared" si="62"/>
        <v>7.8765179677819106E-4</v>
      </c>
      <c r="Q171" s="786">
        <v>173</v>
      </c>
      <c r="R171" s="290">
        <f t="shared" si="60"/>
        <v>400</v>
      </c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</row>
    <row r="172" spans="3:59">
      <c r="C172" s="289">
        <f t="shared" si="61"/>
        <v>1.8933937422552669E-4</v>
      </c>
      <c r="D172" s="894">
        <v>5</v>
      </c>
      <c r="E172" s="308">
        <v>6</v>
      </c>
      <c r="F172" s="308">
        <v>4</v>
      </c>
      <c r="G172" s="308">
        <v>25</v>
      </c>
      <c r="H172" s="306"/>
      <c r="I172" s="306">
        <v>5.7870370370370366E-5</v>
      </c>
      <c r="J172" s="306">
        <v>2.0833333333333333E-3</v>
      </c>
      <c r="K172" s="317" t="s">
        <v>277</v>
      </c>
      <c r="L172" s="858"/>
      <c r="M172" s="454">
        <v>1</v>
      </c>
      <c r="N172" s="306">
        <f t="shared" si="59"/>
        <v>1.843303387030153E-2</v>
      </c>
      <c r="O172" s="305">
        <f>C172*(G172/25)</f>
        <v>1.8933937422552669E-4</v>
      </c>
      <c r="P172" s="585">
        <f t="shared" si="62"/>
        <v>1.8933937422552669E-4</v>
      </c>
      <c r="Q172" s="786">
        <v>173</v>
      </c>
      <c r="R172" s="290">
        <f t="shared" si="60"/>
        <v>600</v>
      </c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</row>
    <row r="173" spans="3:59" ht="18">
      <c r="C173" s="289">
        <f t="shared" si="61"/>
        <v>1.8933937422552669E-4</v>
      </c>
      <c r="D173" s="894">
        <v>5</v>
      </c>
      <c r="E173" s="308">
        <v>3</v>
      </c>
      <c r="F173" s="308">
        <v>4</v>
      </c>
      <c r="G173" s="308">
        <v>50</v>
      </c>
      <c r="H173" s="306"/>
      <c r="I173" s="306">
        <v>1.1574074074074073E-4</v>
      </c>
      <c r="J173" s="306">
        <v>2.0833333333333333E-3</v>
      </c>
      <c r="K173" s="317" t="s">
        <v>284</v>
      </c>
      <c r="L173" s="858"/>
      <c r="M173" s="454">
        <v>1</v>
      </c>
      <c r="N173" s="306">
        <f t="shared" si="59"/>
        <v>1.2228475320115655E-2</v>
      </c>
      <c r="O173" s="305">
        <f>C173*(G173/25)*1.01</f>
        <v>3.824655359355639E-4</v>
      </c>
      <c r="P173" s="585">
        <f t="shared" si="62"/>
        <v>3.824655359355639E-4</v>
      </c>
      <c r="Q173" s="786">
        <v>173</v>
      </c>
      <c r="R173" s="290">
        <f t="shared" si="60"/>
        <v>600</v>
      </c>
      <c r="S173" s="73"/>
      <c r="T173" s="294" t="s">
        <v>296</v>
      </c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</row>
    <row r="174" spans="3:59">
      <c r="C174" s="289">
        <f t="shared" si="61"/>
        <v>1.8933937422552669E-4</v>
      </c>
      <c r="D174" s="894">
        <v>5</v>
      </c>
      <c r="E174" s="308">
        <v>4</v>
      </c>
      <c r="F174" s="308">
        <v>2</v>
      </c>
      <c r="G174" s="309">
        <v>75</v>
      </c>
      <c r="H174" s="306"/>
      <c r="I174" s="306">
        <v>5.7870370370370366E-5</v>
      </c>
      <c r="J174" s="306">
        <v>2.0833333333333333E-3</v>
      </c>
      <c r="K174" s="291" t="s">
        <v>286</v>
      </c>
      <c r="L174" s="857"/>
      <c r="M174" s="452">
        <v>1</v>
      </c>
      <c r="N174" s="306">
        <f t="shared" si="59"/>
        <v>1.3476765627151315E-2</v>
      </c>
      <c r="O174" s="305">
        <f>C174*(G174/25)*1.03</f>
        <v>5.8505866635687751E-4</v>
      </c>
      <c r="P174" s="585">
        <f t="shared" si="62"/>
        <v>5.8505866635687751E-4</v>
      </c>
      <c r="Q174" s="786">
        <v>173</v>
      </c>
      <c r="R174" s="290">
        <f t="shared" si="60"/>
        <v>600</v>
      </c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</row>
    <row r="175" spans="3:59">
      <c r="C175" s="289">
        <f t="shared" si="61"/>
        <v>1.8933937422552669E-4</v>
      </c>
      <c r="D175" s="894">
        <v>5</v>
      </c>
      <c r="E175" s="308">
        <v>4</v>
      </c>
      <c r="F175" s="308">
        <v>2</v>
      </c>
      <c r="G175" s="308">
        <v>75</v>
      </c>
      <c r="H175" s="306"/>
      <c r="I175" s="306">
        <v>1.1574074074074073E-4</v>
      </c>
      <c r="J175" s="306">
        <v>3.472222222222222E-3</v>
      </c>
      <c r="K175" s="317" t="s">
        <v>279</v>
      </c>
      <c r="L175" s="858"/>
      <c r="M175" s="454">
        <v>1</v>
      </c>
      <c r="N175" s="306">
        <f t="shared" si="59"/>
        <v>1.9495284145669832E-2</v>
      </c>
      <c r="O175" s="305">
        <f>C175*(G175/25)*1.03</f>
        <v>5.8505866635687751E-4</v>
      </c>
      <c r="P175" s="585">
        <f t="shared" si="62"/>
        <v>5.8505866635687751E-4</v>
      </c>
      <c r="Q175" s="786">
        <v>173</v>
      </c>
      <c r="R175" s="290">
        <f>E175*F175*G175</f>
        <v>600</v>
      </c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</row>
    <row r="176" spans="3:59">
      <c r="C176" s="289">
        <f t="shared" si="61"/>
        <v>1.8933937422552669E-4</v>
      </c>
      <c r="D176" s="894">
        <v>5</v>
      </c>
      <c r="E176" s="308">
        <v>3</v>
      </c>
      <c r="F176" s="308">
        <v>2</v>
      </c>
      <c r="G176" s="308">
        <v>100</v>
      </c>
      <c r="H176" s="306"/>
      <c r="I176" s="306">
        <v>1.1574074074074073E-4</v>
      </c>
      <c r="J176" s="306">
        <v>3.472222222222222E-3</v>
      </c>
      <c r="K176" s="317" t="s">
        <v>280</v>
      </c>
      <c r="L176" s="858"/>
      <c r="M176" s="454">
        <v>1</v>
      </c>
      <c r="N176" s="306">
        <f t="shared" si="59"/>
        <v>1.5837021891780257E-2</v>
      </c>
      <c r="O176" s="305">
        <f>C176*(G176/25)*1.04</f>
        <v>7.8765179677819106E-4</v>
      </c>
      <c r="P176" s="585">
        <f t="shared" si="62"/>
        <v>7.8765179677819106E-4</v>
      </c>
      <c r="Q176" s="786">
        <v>173</v>
      </c>
      <c r="R176" s="290">
        <f t="shared" si="60"/>
        <v>600</v>
      </c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</row>
    <row r="177" spans="3:59">
      <c r="C177" s="289">
        <f t="shared" si="61"/>
        <v>1.8933937422552669E-4</v>
      </c>
      <c r="D177" s="894">
        <v>5</v>
      </c>
      <c r="E177" s="308">
        <v>4</v>
      </c>
      <c r="F177" s="308">
        <v>1</v>
      </c>
      <c r="G177" s="309">
        <f>25+50+25</f>
        <v>100</v>
      </c>
      <c r="H177" s="306"/>
      <c r="I177" s="306">
        <v>5.7870370370370366E-5</v>
      </c>
      <c r="J177" s="306">
        <v>2.0833333333333333E-3</v>
      </c>
      <c r="K177" s="291" t="s">
        <v>290</v>
      </c>
      <c r="L177" s="857"/>
      <c r="M177" s="452">
        <v>1</v>
      </c>
      <c r="N177" s="306">
        <f t="shared" si="59"/>
        <v>1.1715422001927579E-2</v>
      </c>
      <c r="O177" s="305">
        <f>C177*(G177/25)*1.04</f>
        <v>7.8765179677819106E-4</v>
      </c>
      <c r="P177" s="585">
        <f t="shared" si="62"/>
        <v>7.8765179677819106E-4</v>
      </c>
      <c r="Q177" s="786">
        <v>173</v>
      </c>
      <c r="R177" s="290">
        <f t="shared" si="60"/>
        <v>400</v>
      </c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</row>
    <row r="178" spans="3:59">
      <c r="C178" s="289">
        <f t="shared" si="61"/>
        <v>1.8933937422552669E-4</v>
      </c>
      <c r="D178" s="894">
        <v>5</v>
      </c>
      <c r="E178" s="308">
        <v>4</v>
      </c>
      <c r="F178" s="308">
        <v>1</v>
      </c>
      <c r="G178" s="309">
        <f>100+50</f>
        <v>150</v>
      </c>
      <c r="H178" s="306"/>
      <c r="I178" s="306">
        <v>5.7870370370370366E-5</v>
      </c>
      <c r="J178" s="306">
        <v>3.472222222222222E-3</v>
      </c>
      <c r="K178" s="291" t="s">
        <v>292</v>
      </c>
      <c r="L178" s="857"/>
      <c r="M178" s="452">
        <v>1</v>
      </c>
      <c r="N178" s="306">
        <f t="shared" si="59"/>
        <v>1.8891722600853644E-2</v>
      </c>
      <c r="O178" s="305">
        <f>C178*(G178/25)*1.05</f>
        <v>1.1928380576208182E-3</v>
      </c>
      <c r="P178" s="585">
        <f>O178*M178</f>
        <v>1.1928380576208182E-3</v>
      </c>
      <c r="Q178" s="786">
        <v>173</v>
      </c>
      <c r="R178" s="290">
        <f>E178*F178*G178</f>
        <v>600</v>
      </c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</row>
    <row r="179" spans="3:59">
      <c r="C179" s="289">
        <f t="shared" si="61"/>
        <v>1.8933937422552669E-4</v>
      </c>
      <c r="D179" s="894">
        <v>5</v>
      </c>
      <c r="E179" s="308">
        <v>3</v>
      </c>
      <c r="F179" s="308">
        <v>3</v>
      </c>
      <c r="G179" s="309">
        <v>75</v>
      </c>
      <c r="H179" s="306"/>
      <c r="I179" s="306">
        <v>5.7870370370370366E-5</v>
      </c>
      <c r="J179" s="306">
        <v>2.0833333333333333E-3</v>
      </c>
      <c r="K179" s="291" t="s">
        <v>287</v>
      </c>
      <c r="L179" s="857"/>
      <c r="M179" s="452">
        <v>1</v>
      </c>
      <c r="N179" s="306">
        <f t="shared" si="59"/>
        <v>1.2036361330545231E-2</v>
      </c>
      <c r="O179" s="305">
        <f>C179*(G179/25)*1.03</f>
        <v>5.8505866635687751E-4</v>
      </c>
      <c r="P179" s="585">
        <f t="shared" si="62"/>
        <v>5.8505866635687751E-4</v>
      </c>
      <c r="Q179" s="786">
        <v>173</v>
      </c>
      <c r="R179" s="290">
        <f>E179*F179*G179</f>
        <v>675</v>
      </c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</row>
    <row r="180" spans="3:59">
      <c r="C180" s="289">
        <f t="shared" si="61"/>
        <v>1.8933937422552669E-4</v>
      </c>
      <c r="D180" s="894">
        <v>5</v>
      </c>
      <c r="E180" s="308">
        <v>5</v>
      </c>
      <c r="F180" s="308">
        <v>6</v>
      </c>
      <c r="G180" s="308">
        <v>25</v>
      </c>
      <c r="H180" s="306"/>
      <c r="I180" s="306">
        <v>5.7870370370370366E-5</v>
      </c>
      <c r="J180" s="306">
        <v>2.0833333333333333E-3</v>
      </c>
      <c r="K180" s="317" t="s">
        <v>279</v>
      </c>
      <c r="L180" s="858"/>
      <c r="M180" s="454">
        <v>1</v>
      </c>
      <c r="N180" s="306">
        <f t="shared" si="59"/>
        <v>1.7832959004543576E-2</v>
      </c>
      <c r="O180" s="305">
        <f>C180*(G180/25)</f>
        <v>1.8933937422552669E-4</v>
      </c>
      <c r="P180" s="585">
        <f t="shared" si="62"/>
        <v>1.8933937422552669E-4</v>
      </c>
      <c r="Q180" s="786">
        <v>173</v>
      </c>
      <c r="R180" s="290">
        <f t="shared" si="60"/>
        <v>750</v>
      </c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</row>
    <row r="181" spans="3:59">
      <c r="C181" s="289">
        <f t="shared" si="61"/>
        <v>1.8933937422552669E-4</v>
      </c>
      <c r="D181" s="894">
        <v>5</v>
      </c>
      <c r="E181" s="308">
        <v>5</v>
      </c>
      <c r="F181" s="308">
        <v>1</v>
      </c>
      <c r="G181" s="309">
        <f>75+50+25</f>
        <v>150</v>
      </c>
      <c r="H181" s="306"/>
      <c r="I181" s="306">
        <v>5.7870370370370366E-5</v>
      </c>
      <c r="J181" s="306">
        <v>3.472222222222222E-3</v>
      </c>
      <c r="K181" s="534" t="s">
        <v>293</v>
      </c>
      <c r="L181" s="859"/>
      <c r="M181" s="452">
        <v>1</v>
      </c>
      <c r="N181" s="306">
        <f t="shared" si="59"/>
        <v>2.3614653251067055E-2</v>
      </c>
      <c r="O181" s="305">
        <f>C181*(G181/25)*1.05</f>
        <v>1.1928380576208182E-3</v>
      </c>
      <c r="P181" s="585">
        <f t="shared" si="62"/>
        <v>1.1928380576208182E-3</v>
      </c>
      <c r="Q181" s="786">
        <v>173</v>
      </c>
      <c r="R181" s="290">
        <f>E181*F181*G181</f>
        <v>750</v>
      </c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</row>
    <row r="182" spans="3:59">
      <c r="C182" s="289">
        <f t="shared" si="61"/>
        <v>1.8933937422552669E-4</v>
      </c>
      <c r="D182" s="894">
        <v>5</v>
      </c>
      <c r="E182" s="308">
        <v>4</v>
      </c>
      <c r="F182" s="308">
        <v>8</v>
      </c>
      <c r="G182" s="308">
        <v>25</v>
      </c>
      <c r="H182" s="306"/>
      <c r="I182" s="306">
        <v>5.7870370370370366E-5</v>
      </c>
      <c r="J182" s="306">
        <v>2.0833333333333333E-3</v>
      </c>
      <c r="K182" s="317" t="s">
        <v>280</v>
      </c>
      <c r="L182" s="858"/>
      <c r="M182" s="454">
        <v>1</v>
      </c>
      <c r="N182" s="306">
        <f t="shared" si="59"/>
        <v>1.6244045160402037E-2</v>
      </c>
      <c r="O182" s="305">
        <f>C182*(G182/25)</f>
        <v>1.8933937422552669E-4</v>
      </c>
      <c r="P182" s="585">
        <f t="shared" si="62"/>
        <v>1.8933937422552669E-4</v>
      </c>
      <c r="Q182" s="786">
        <v>173</v>
      </c>
      <c r="R182" s="290">
        <f t="shared" si="60"/>
        <v>800</v>
      </c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</row>
    <row r="183" spans="3:59">
      <c r="C183" s="289">
        <f t="shared" si="61"/>
        <v>1.8933937422552669E-4</v>
      </c>
      <c r="D183" s="894">
        <v>5</v>
      </c>
      <c r="E183" s="308">
        <v>4</v>
      </c>
      <c r="F183" s="308">
        <v>4</v>
      </c>
      <c r="G183" s="308">
        <v>50</v>
      </c>
      <c r="H183" s="306"/>
      <c r="I183" s="306">
        <v>1.1574074074074073E-4</v>
      </c>
      <c r="J183" s="306">
        <v>2.0833333333333333E-3</v>
      </c>
      <c r="K183" s="317" t="s">
        <v>281</v>
      </c>
      <c r="L183" s="858"/>
      <c r="M183" s="454">
        <v>1</v>
      </c>
      <c r="N183" s="306">
        <f t="shared" si="59"/>
        <v>1.6304633760154209E-2</v>
      </c>
      <c r="O183" s="305">
        <f>C183*(G183/25)*1.01</f>
        <v>3.824655359355639E-4</v>
      </c>
      <c r="P183" s="585">
        <f t="shared" si="62"/>
        <v>3.824655359355639E-4</v>
      </c>
      <c r="Q183" s="786">
        <v>173</v>
      </c>
      <c r="R183" s="290">
        <f t="shared" si="60"/>
        <v>800</v>
      </c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</row>
    <row r="184" spans="3:59">
      <c r="C184" s="289">
        <f t="shared" si="61"/>
        <v>1.8933937422552669E-4</v>
      </c>
      <c r="D184" s="894">
        <v>5</v>
      </c>
      <c r="E184" s="308">
        <v>1</v>
      </c>
      <c r="F184" s="308">
        <v>8</v>
      </c>
      <c r="G184" s="309">
        <v>100</v>
      </c>
      <c r="H184" s="306"/>
      <c r="I184" s="306">
        <v>5.7870370370370366E-5</v>
      </c>
      <c r="J184" s="306">
        <v>3.472222222222222E-3</v>
      </c>
      <c r="K184" s="291" t="s">
        <v>291</v>
      </c>
      <c r="L184" s="857"/>
      <c r="M184" s="452">
        <v>1</v>
      </c>
      <c r="N184" s="306">
        <f t="shared" si="59"/>
        <v>1.0236399559410712E-2</v>
      </c>
      <c r="O184" s="305">
        <f>C184*(G184/25)*1.04</f>
        <v>7.8765179677819106E-4</v>
      </c>
      <c r="P184" s="585">
        <f t="shared" si="62"/>
        <v>7.8765179677819106E-4</v>
      </c>
      <c r="Q184" s="786">
        <v>173</v>
      </c>
      <c r="R184" s="290">
        <f>E184*F184*G184</f>
        <v>800</v>
      </c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  <c r="BE184" s="73"/>
      <c r="BF184" s="73"/>
      <c r="BG184" s="73"/>
    </row>
    <row r="185" spans="3:59">
      <c r="C185" s="289">
        <f t="shared" si="61"/>
        <v>1.8933937422552669E-4</v>
      </c>
      <c r="D185" s="894">
        <v>5</v>
      </c>
      <c r="E185" s="310">
        <v>4</v>
      </c>
      <c r="F185" s="308">
        <v>1</v>
      </c>
      <c r="G185" s="311">
        <f>100+2*50</f>
        <v>200</v>
      </c>
      <c r="H185" s="306"/>
      <c r="I185" s="306">
        <v>5.7870370370370366E-5</v>
      </c>
      <c r="J185" s="306">
        <v>3.472222222222222E-3</v>
      </c>
      <c r="K185" s="292" t="s">
        <v>294</v>
      </c>
      <c r="L185" s="857"/>
      <c r="M185" s="452">
        <v>1</v>
      </c>
      <c r="N185" s="306">
        <f t="shared" si="59"/>
        <v>2.0542761944100235E-2</v>
      </c>
      <c r="O185" s="305">
        <f>C185*(G185/25)*1.06</f>
        <v>1.6055978934324665E-3</v>
      </c>
      <c r="P185" s="585">
        <f t="shared" si="62"/>
        <v>1.6055978934324665E-3</v>
      </c>
      <c r="Q185" s="786">
        <v>173</v>
      </c>
      <c r="R185" s="290">
        <f>E185*F185*G185</f>
        <v>800</v>
      </c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</row>
    <row r="186" spans="3:59">
      <c r="C186" s="289">
        <f t="shared" si="61"/>
        <v>1.8933937422552669E-4</v>
      </c>
      <c r="D186" s="894">
        <v>5</v>
      </c>
      <c r="E186" s="310">
        <v>6</v>
      </c>
      <c r="F186" s="308">
        <v>1</v>
      </c>
      <c r="G186" s="311">
        <f>100+2*50</f>
        <v>200</v>
      </c>
      <c r="H186" s="306"/>
      <c r="I186" s="306">
        <v>5.7870370370370366E-5</v>
      </c>
      <c r="J186" s="306">
        <v>3.472222222222222E-3</v>
      </c>
      <c r="K186" s="562" t="s">
        <v>268</v>
      </c>
      <c r="L186" s="859"/>
      <c r="M186" s="452">
        <v>1</v>
      </c>
      <c r="N186" s="306">
        <f t="shared" si="59"/>
        <v>3.0814142916150353E-2</v>
      </c>
      <c r="O186" s="305">
        <f>C186*(G186/25)*1.06</f>
        <v>1.6055978934324665E-3</v>
      </c>
      <c r="P186" s="585">
        <f t="shared" si="62"/>
        <v>1.6055978934324665E-3</v>
      </c>
      <c r="Q186" s="786">
        <v>173</v>
      </c>
      <c r="R186" s="290">
        <f>E186*F186*G186</f>
        <v>1200</v>
      </c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</row>
    <row r="187" spans="3:59">
      <c r="C187" s="289">
        <f t="shared" si="61"/>
        <v>1.8933937422552669E-4</v>
      </c>
      <c r="D187" s="894">
        <v>5</v>
      </c>
      <c r="E187" s="308">
        <v>4</v>
      </c>
      <c r="F187" s="308">
        <v>1</v>
      </c>
      <c r="G187" s="309">
        <f>100+4*25</f>
        <v>200</v>
      </c>
      <c r="H187" s="306"/>
      <c r="I187" s="306">
        <v>5.7870370370370366E-5</v>
      </c>
      <c r="J187" s="306">
        <v>3.472222222222222E-3</v>
      </c>
      <c r="K187" s="291" t="s">
        <v>295</v>
      </c>
      <c r="L187" s="857"/>
      <c r="M187" s="452">
        <v>1</v>
      </c>
      <c r="N187" s="306">
        <f t="shared" si="59"/>
        <v>2.0542761944100235E-2</v>
      </c>
      <c r="O187" s="305">
        <f>C187*(G187/25)*1.06</f>
        <v>1.6055978934324665E-3</v>
      </c>
      <c r="P187" s="585">
        <f t="shared" si="62"/>
        <v>1.6055978934324665E-3</v>
      </c>
      <c r="Q187" s="786">
        <v>173</v>
      </c>
      <c r="R187" s="290">
        <f>E187*F187*G187</f>
        <v>800</v>
      </c>
      <c r="S187" s="1096" t="s">
        <v>1216</v>
      </c>
      <c r="T187" s="478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  <c r="BE187" s="73"/>
      <c r="BF187" s="73"/>
      <c r="BG187" s="73"/>
    </row>
    <row r="188" spans="3:59">
      <c r="C188" s="284"/>
      <c r="D188" s="893"/>
      <c r="E188" s="285"/>
      <c r="G188" s="286"/>
      <c r="H188" s="287"/>
      <c r="I188" s="287"/>
      <c r="J188" s="287"/>
      <c r="K188" s="286"/>
      <c r="L188" s="286"/>
      <c r="M188" s="514"/>
      <c r="N188" s="937">
        <f>SUM(N162:N187)</f>
        <v>0.39682734654670926</v>
      </c>
      <c r="O188" s="286"/>
      <c r="P188" s="286"/>
      <c r="Q188" s="286"/>
      <c r="R188" s="288">
        <f>SUM(R162:R187)</f>
        <v>15125</v>
      </c>
      <c r="S188" s="73">
        <f>R188/T189</f>
        <v>0.44114215714869043</v>
      </c>
      <c r="T188" s="2161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  <c r="BE188" s="73"/>
      <c r="BF188" s="73"/>
      <c r="BG188" s="73"/>
    </row>
    <row r="189" spans="3:59">
      <c r="C189" s="284"/>
      <c r="D189" s="893"/>
      <c r="E189" s="285"/>
      <c r="G189" s="286"/>
      <c r="H189" s="287"/>
      <c r="I189" s="287"/>
      <c r="J189" s="287"/>
      <c r="K189" s="286"/>
      <c r="L189" s="286"/>
      <c r="M189" s="514"/>
      <c r="N189" s="286">
        <v>9</v>
      </c>
      <c r="O189" s="286">
        <v>31</v>
      </c>
      <c r="P189" s="286">
        <v>26</v>
      </c>
      <c r="Q189" s="286"/>
      <c r="R189" s="288"/>
      <c r="S189" s="73"/>
      <c r="T189" s="2162">
        <f>N189*3600+O189*60+P189</f>
        <v>34286</v>
      </c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  <c r="BE189" s="73"/>
      <c r="BF189" s="73"/>
      <c r="BG189" s="73"/>
    </row>
    <row r="190" spans="3:59" ht="18">
      <c r="C190" s="284"/>
      <c r="D190" s="893"/>
      <c r="E190" s="285"/>
      <c r="F190" s="294"/>
      <c r="G190" s="286"/>
      <c r="H190" s="287"/>
      <c r="I190" s="287"/>
      <c r="J190" s="287"/>
      <c r="K190" s="274">
        <f>IF(Test!E39,Test!E39/4,Test!D39/4)</f>
        <v>1.8229166666666673E-4</v>
      </c>
      <c r="L190" s="856"/>
      <c r="M190" s="514"/>
      <c r="N190" s="287"/>
      <c r="O190" s="286"/>
      <c r="P190" s="286"/>
      <c r="Q190" s="782">
        <f>IF(Test!E40,Test!E40,Test!D40)</f>
        <v>177</v>
      </c>
      <c r="R190" s="288"/>
      <c r="S190" s="73"/>
      <c r="T190" s="2162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  <c r="BE190" s="73"/>
      <c r="BF190" s="73"/>
      <c r="BG190" s="73"/>
    </row>
    <row r="191" spans="3:59" ht="18">
      <c r="C191" s="284"/>
      <c r="D191" s="893"/>
      <c r="E191" s="285"/>
      <c r="F191" s="294" t="s">
        <v>275</v>
      </c>
      <c r="G191" s="286"/>
      <c r="H191" s="287"/>
      <c r="I191" s="287"/>
      <c r="J191" s="287"/>
      <c r="K191" s="274">
        <f>IF(Test!G39,Test!G39/4,Test!F39/4)</f>
        <v>0</v>
      </c>
      <c r="L191" s="856"/>
      <c r="M191" s="514"/>
      <c r="N191" s="287"/>
      <c r="O191" s="286"/>
      <c r="P191" s="286"/>
      <c r="Q191" s="782">
        <f>IF(Test!G40,Test!G640,Test!F40)</f>
        <v>0</v>
      </c>
      <c r="R191" s="288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</row>
    <row r="192" spans="3:59">
      <c r="C192" s="284"/>
      <c r="D192" s="893"/>
      <c r="E192" s="285" t="s">
        <v>362</v>
      </c>
      <c r="F192" s="286" t="s">
        <v>363</v>
      </c>
      <c r="G192" s="286" t="s">
        <v>364</v>
      </c>
      <c r="H192" s="531" t="s">
        <v>142</v>
      </c>
      <c r="I192" s="287" t="s">
        <v>365</v>
      </c>
      <c r="J192" s="287" t="s">
        <v>366</v>
      </c>
      <c r="K192" s="286" t="s">
        <v>367</v>
      </c>
      <c r="L192" s="286"/>
      <c r="M192" s="514"/>
      <c r="N192" s="287" t="s">
        <v>368</v>
      </c>
      <c r="P192" s="286" t="s">
        <v>276</v>
      </c>
      <c r="Q192" s="286" t="s">
        <v>370</v>
      </c>
      <c r="R192" s="288" t="s">
        <v>371</v>
      </c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</row>
    <row r="193" spans="3:59">
      <c r="C193" s="295">
        <f>IF(K191,K191,K190)</f>
        <v>1.8229166666666673E-4</v>
      </c>
      <c r="D193" s="895">
        <v>6</v>
      </c>
      <c r="E193" s="365">
        <v>1</v>
      </c>
      <c r="F193" s="365">
        <v>12</v>
      </c>
      <c r="G193" s="365">
        <v>25</v>
      </c>
      <c r="H193" s="366"/>
      <c r="I193" s="366">
        <v>3.4722222222222224E-4</v>
      </c>
      <c r="J193" s="366">
        <v>0</v>
      </c>
      <c r="K193" s="367"/>
      <c r="L193" s="685"/>
      <c r="M193" s="456">
        <v>1</v>
      </c>
      <c r="N193" s="366">
        <f t="shared" ref="N193:N206" si="63">P193*E193*F193+I193*E193*F193+J193*E193</f>
        <v>6.3541666666666677E-3</v>
      </c>
      <c r="O193" s="368">
        <f>C193*(G193/25)</f>
        <v>1.8229166666666673E-4</v>
      </c>
      <c r="P193" s="586">
        <f>O193*M193</f>
        <v>1.8229166666666673E-4</v>
      </c>
      <c r="Q193" s="787">
        <v>177</v>
      </c>
      <c r="R193" s="365">
        <f t="shared" ref="R193:R215" si="64">E193*F193*G193</f>
        <v>300</v>
      </c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</row>
    <row r="194" spans="3:59">
      <c r="C194" s="364">
        <f>C$193</f>
        <v>1.8229166666666673E-4</v>
      </c>
      <c r="D194" s="895">
        <v>6</v>
      </c>
      <c r="E194" s="365">
        <v>1</v>
      </c>
      <c r="F194" s="365">
        <v>6</v>
      </c>
      <c r="G194" s="365">
        <v>50</v>
      </c>
      <c r="H194" s="366"/>
      <c r="I194" s="366">
        <v>6.9444444444444447E-4</v>
      </c>
      <c r="J194" s="366">
        <v>0</v>
      </c>
      <c r="K194" s="367"/>
      <c r="L194" s="685"/>
      <c r="M194" s="456">
        <v>1</v>
      </c>
      <c r="N194" s="366">
        <f t="shared" si="63"/>
        <v>6.3979166666666672E-3</v>
      </c>
      <c r="O194" s="368">
        <f>C194*(G194/25)*1.02</f>
        <v>3.7187500000000014E-4</v>
      </c>
      <c r="P194" s="586">
        <f t="shared" ref="P194:P215" si="65">O194*M194</f>
        <v>3.7187500000000014E-4</v>
      </c>
      <c r="Q194" s="787">
        <v>177</v>
      </c>
      <c r="R194" s="365">
        <f t="shared" si="64"/>
        <v>300</v>
      </c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  <c r="BE194" s="73"/>
      <c r="BF194" s="73"/>
      <c r="BG194" s="73"/>
    </row>
    <row r="195" spans="3:59">
      <c r="C195" s="364">
        <f t="shared" ref="C195:C215" si="66">C$193</f>
        <v>1.8229166666666673E-4</v>
      </c>
      <c r="D195" s="895">
        <v>6</v>
      </c>
      <c r="E195" s="365">
        <v>1</v>
      </c>
      <c r="F195" s="365">
        <v>2</v>
      </c>
      <c r="G195" s="365">
        <v>150</v>
      </c>
      <c r="H195" s="366"/>
      <c r="I195" s="366">
        <v>2.0833333333333333E-3</v>
      </c>
      <c r="J195" s="366">
        <v>0</v>
      </c>
      <c r="K195" s="367"/>
      <c r="L195" s="685"/>
      <c r="M195" s="456">
        <v>1</v>
      </c>
      <c r="N195" s="366">
        <f t="shared" si="63"/>
        <v>6.4635416666666678E-3</v>
      </c>
      <c r="O195" s="368">
        <f>C195*(G195/25)*1.05</f>
        <v>1.1484375000000004E-3</v>
      </c>
      <c r="P195" s="586">
        <f t="shared" si="65"/>
        <v>1.1484375000000004E-3</v>
      </c>
      <c r="Q195" s="787">
        <v>177</v>
      </c>
      <c r="R195" s="365">
        <f t="shared" si="64"/>
        <v>300</v>
      </c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  <c r="BE195" s="73"/>
      <c r="BF195" s="73"/>
      <c r="BG195" s="73"/>
    </row>
    <row r="196" spans="3:59">
      <c r="C196" s="364">
        <f t="shared" si="66"/>
        <v>1.8229166666666673E-4</v>
      </c>
      <c r="D196" s="895">
        <v>6</v>
      </c>
      <c r="E196" s="365">
        <v>1</v>
      </c>
      <c r="F196" s="365">
        <v>10</v>
      </c>
      <c r="G196" s="365">
        <v>25</v>
      </c>
      <c r="H196" s="366"/>
      <c r="I196" s="366">
        <v>3.4722222222222224E-4</v>
      </c>
      <c r="J196" s="366">
        <v>0</v>
      </c>
      <c r="K196" s="367"/>
      <c r="L196" s="685"/>
      <c r="M196" s="456">
        <v>1</v>
      </c>
      <c r="N196" s="366">
        <f t="shared" si="63"/>
        <v>5.29513888888889E-3</v>
      </c>
      <c r="O196" s="368">
        <f>C196*(G196/25)</f>
        <v>1.8229166666666673E-4</v>
      </c>
      <c r="P196" s="586">
        <f t="shared" si="65"/>
        <v>1.8229166666666673E-4</v>
      </c>
      <c r="Q196" s="787">
        <v>177</v>
      </c>
      <c r="R196" s="365">
        <f t="shared" si="64"/>
        <v>250</v>
      </c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  <c r="BE196" s="73"/>
      <c r="BF196" s="73"/>
      <c r="BG196" s="73"/>
    </row>
    <row r="197" spans="3:59">
      <c r="C197" s="364">
        <f t="shared" si="66"/>
        <v>1.8229166666666673E-4</v>
      </c>
      <c r="D197" s="895">
        <v>6</v>
      </c>
      <c r="E197" s="365">
        <v>1</v>
      </c>
      <c r="F197" s="365">
        <v>10</v>
      </c>
      <c r="G197" s="365">
        <v>50</v>
      </c>
      <c r="H197" s="366"/>
      <c r="I197" s="366">
        <v>6.9444444444444447E-4</v>
      </c>
      <c r="J197" s="366">
        <v>0</v>
      </c>
      <c r="K197" s="367"/>
      <c r="L197" s="685"/>
      <c r="M197" s="456">
        <v>1</v>
      </c>
      <c r="N197" s="366">
        <f t="shared" si="63"/>
        <v>1.059027777777778E-2</v>
      </c>
      <c r="O197" s="368">
        <f>C197*(G197/25)</f>
        <v>3.6458333333333346E-4</v>
      </c>
      <c r="P197" s="586">
        <f t="shared" si="65"/>
        <v>3.6458333333333346E-4</v>
      </c>
      <c r="Q197" s="787">
        <v>177</v>
      </c>
      <c r="R197" s="365">
        <f t="shared" si="64"/>
        <v>500</v>
      </c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  <c r="BC197" s="73"/>
      <c r="BD197" s="73"/>
      <c r="BE197" s="73"/>
      <c r="BF197" s="73"/>
      <c r="BG197" s="73"/>
    </row>
    <row r="198" spans="3:59">
      <c r="C198" s="364">
        <f t="shared" si="66"/>
        <v>1.8229166666666673E-4</v>
      </c>
      <c r="D198" s="895">
        <v>6</v>
      </c>
      <c r="E198" s="365">
        <v>1</v>
      </c>
      <c r="F198" s="365">
        <v>8</v>
      </c>
      <c r="G198" s="365">
        <v>50</v>
      </c>
      <c r="H198" s="366"/>
      <c r="I198" s="366">
        <v>1.0416666666666667E-3</v>
      </c>
      <c r="J198" s="366">
        <v>0</v>
      </c>
      <c r="K198" s="367"/>
      <c r="L198" s="685"/>
      <c r="M198" s="456">
        <v>1</v>
      </c>
      <c r="N198" s="366">
        <f t="shared" si="63"/>
        <v>1.1308333333333333E-2</v>
      </c>
      <c r="O198" s="368">
        <f>C198*(G198/25)*1.02</f>
        <v>3.7187500000000014E-4</v>
      </c>
      <c r="P198" s="586">
        <f t="shared" si="65"/>
        <v>3.7187500000000014E-4</v>
      </c>
      <c r="Q198" s="787">
        <v>177</v>
      </c>
      <c r="R198" s="365">
        <f t="shared" si="64"/>
        <v>400</v>
      </c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  <c r="BE198" s="73"/>
      <c r="BF198" s="73"/>
      <c r="BG198" s="73"/>
    </row>
    <row r="199" spans="3:59">
      <c r="C199" s="364">
        <f t="shared" si="66"/>
        <v>1.8229166666666673E-4</v>
      </c>
      <c r="D199" s="895">
        <v>6</v>
      </c>
      <c r="E199" s="365">
        <v>1</v>
      </c>
      <c r="F199" s="365">
        <v>4</v>
      </c>
      <c r="G199" s="365">
        <v>50</v>
      </c>
      <c r="H199" s="366"/>
      <c r="I199" s="366">
        <v>1.3888888888888889E-3</v>
      </c>
      <c r="J199" s="366">
        <v>0</v>
      </c>
      <c r="K199" s="367"/>
      <c r="L199" s="685"/>
      <c r="M199" s="456">
        <v>1</v>
      </c>
      <c r="N199" s="366">
        <f t="shared" si="63"/>
        <v>7.0430555555555559E-3</v>
      </c>
      <c r="O199" s="368">
        <f>C199*(G199/25)*1.02</f>
        <v>3.7187500000000014E-4</v>
      </c>
      <c r="P199" s="586">
        <f t="shared" si="65"/>
        <v>3.7187500000000014E-4</v>
      </c>
      <c r="Q199" s="787">
        <v>177</v>
      </c>
      <c r="R199" s="365">
        <f t="shared" si="64"/>
        <v>200</v>
      </c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  <c r="BE199" s="73"/>
      <c r="BF199" s="73"/>
      <c r="BG199" s="73"/>
    </row>
    <row r="200" spans="3:59">
      <c r="C200" s="364">
        <f t="shared" si="66"/>
        <v>1.8229166666666673E-4</v>
      </c>
      <c r="D200" s="895">
        <v>6</v>
      </c>
      <c r="E200" s="365">
        <v>1</v>
      </c>
      <c r="F200" s="365">
        <v>3</v>
      </c>
      <c r="G200" s="365">
        <v>50</v>
      </c>
      <c r="H200" s="366"/>
      <c r="I200" s="366">
        <v>3.4722222222222224E-4</v>
      </c>
      <c r="J200" s="366">
        <v>0</v>
      </c>
      <c r="K200" s="367"/>
      <c r="L200" s="685"/>
      <c r="M200" s="456">
        <v>1</v>
      </c>
      <c r="N200" s="366">
        <f t="shared" si="63"/>
        <v>2.135416666666667E-3</v>
      </c>
      <c r="O200" s="368">
        <f>C200*(G200/25)</f>
        <v>3.6458333333333346E-4</v>
      </c>
      <c r="P200" s="586">
        <f t="shared" si="65"/>
        <v>3.6458333333333346E-4</v>
      </c>
      <c r="Q200" s="787">
        <v>177</v>
      </c>
      <c r="R200" s="365">
        <f t="shared" si="64"/>
        <v>150</v>
      </c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  <c r="BE200" s="73"/>
      <c r="BF200" s="73"/>
      <c r="BG200" s="73"/>
    </row>
    <row r="201" spans="3:59">
      <c r="C201" s="364">
        <f t="shared" si="66"/>
        <v>1.8229166666666673E-4</v>
      </c>
      <c r="D201" s="895">
        <v>6</v>
      </c>
      <c r="E201" s="365">
        <v>1</v>
      </c>
      <c r="F201" s="365">
        <v>4</v>
      </c>
      <c r="G201" s="365">
        <v>100</v>
      </c>
      <c r="H201" s="366"/>
      <c r="I201" s="366">
        <v>1.3888888888888889E-3</v>
      </c>
      <c r="J201" s="366">
        <v>0</v>
      </c>
      <c r="K201" s="367"/>
      <c r="L201" s="685"/>
      <c r="M201" s="456">
        <v>1</v>
      </c>
      <c r="N201" s="366">
        <f t="shared" si="63"/>
        <v>8.5888888888888907E-3</v>
      </c>
      <c r="O201" s="368">
        <f>C201*(G201/25)*1.04</f>
        <v>7.5833333333333362E-4</v>
      </c>
      <c r="P201" s="586">
        <f t="shared" si="65"/>
        <v>7.5833333333333362E-4</v>
      </c>
      <c r="Q201" s="787">
        <v>177</v>
      </c>
      <c r="R201" s="365">
        <f t="shared" si="64"/>
        <v>400</v>
      </c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  <c r="BC201" s="73"/>
      <c r="BD201" s="73"/>
      <c r="BE201" s="73"/>
      <c r="BF201" s="73"/>
      <c r="BG201" s="73"/>
    </row>
    <row r="202" spans="3:59">
      <c r="C202" s="364">
        <f t="shared" si="66"/>
        <v>1.8229166666666673E-4</v>
      </c>
      <c r="D202" s="895">
        <v>6</v>
      </c>
      <c r="E202" s="365">
        <v>1</v>
      </c>
      <c r="F202" s="365">
        <v>18</v>
      </c>
      <c r="G202" s="365">
        <v>25</v>
      </c>
      <c r="H202" s="366"/>
      <c r="I202" s="366">
        <v>3.4722222222222224E-4</v>
      </c>
      <c r="J202" s="366">
        <v>0</v>
      </c>
      <c r="K202" s="367"/>
      <c r="L202" s="685"/>
      <c r="M202" s="456">
        <v>1</v>
      </c>
      <c r="N202" s="366">
        <f t="shared" si="63"/>
        <v>9.5312500000000015E-3</v>
      </c>
      <c r="O202" s="368">
        <f>C202*(G202/25)</f>
        <v>1.8229166666666673E-4</v>
      </c>
      <c r="P202" s="586">
        <f t="shared" si="65"/>
        <v>1.8229166666666673E-4</v>
      </c>
      <c r="Q202" s="787">
        <v>177</v>
      </c>
      <c r="R202" s="365">
        <f t="shared" si="64"/>
        <v>450</v>
      </c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</row>
    <row r="203" spans="3:59">
      <c r="C203" s="364">
        <f t="shared" si="66"/>
        <v>1.8229166666666673E-4</v>
      </c>
      <c r="D203" s="895">
        <v>6</v>
      </c>
      <c r="E203" s="365">
        <v>1</v>
      </c>
      <c r="F203" s="365">
        <v>6</v>
      </c>
      <c r="G203" s="365">
        <v>75</v>
      </c>
      <c r="H203" s="366"/>
      <c r="I203" s="366">
        <v>1.0416666666666667E-3</v>
      </c>
      <c r="J203" s="366">
        <v>0</v>
      </c>
      <c r="K203" s="367"/>
      <c r="L203" s="685"/>
      <c r="M203" s="456">
        <v>1</v>
      </c>
      <c r="N203" s="366">
        <f t="shared" si="63"/>
        <v>9.6296875000000011E-3</v>
      </c>
      <c r="O203" s="368">
        <f>C203*(G203/25)*1.03</f>
        <v>5.632812500000002E-4</v>
      </c>
      <c r="P203" s="586">
        <f t="shared" si="65"/>
        <v>5.632812500000002E-4</v>
      </c>
      <c r="Q203" s="787">
        <v>177</v>
      </c>
      <c r="R203" s="365">
        <f t="shared" si="64"/>
        <v>450</v>
      </c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  <c r="BE203" s="73"/>
      <c r="BF203" s="73"/>
      <c r="BG203" s="73"/>
    </row>
    <row r="204" spans="3:59">
      <c r="C204" s="364">
        <f t="shared" si="66"/>
        <v>1.8229166666666673E-4</v>
      </c>
      <c r="D204" s="895">
        <v>6</v>
      </c>
      <c r="E204" s="365">
        <v>1</v>
      </c>
      <c r="F204" s="365">
        <v>20</v>
      </c>
      <c r="G204" s="365">
        <v>25</v>
      </c>
      <c r="H204" s="366"/>
      <c r="I204" s="366">
        <v>3.4722222222222224E-4</v>
      </c>
      <c r="J204" s="366">
        <v>0</v>
      </c>
      <c r="K204" s="367"/>
      <c r="L204" s="685"/>
      <c r="M204" s="456">
        <v>1</v>
      </c>
      <c r="N204" s="366">
        <f t="shared" si="63"/>
        <v>1.059027777777778E-2</v>
      </c>
      <c r="O204" s="368">
        <f>C204*(G204/25)</f>
        <v>1.8229166666666673E-4</v>
      </c>
      <c r="P204" s="586">
        <f t="shared" si="65"/>
        <v>1.8229166666666673E-4</v>
      </c>
      <c r="Q204" s="787">
        <v>177</v>
      </c>
      <c r="R204" s="365">
        <f t="shared" si="64"/>
        <v>500</v>
      </c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  <c r="BE204" s="73"/>
      <c r="BF204" s="73"/>
      <c r="BG204" s="73"/>
    </row>
    <row r="205" spans="3:59">
      <c r="C205" s="364">
        <f t="shared" si="66"/>
        <v>1.8229166666666673E-4</v>
      </c>
      <c r="D205" s="895">
        <v>6</v>
      </c>
      <c r="E205" s="365">
        <v>1</v>
      </c>
      <c r="F205" s="365">
        <v>3</v>
      </c>
      <c r="G205" s="365">
        <v>100</v>
      </c>
      <c r="H205" s="366"/>
      <c r="I205" s="366">
        <v>1.3888888888888889E-3</v>
      </c>
      <c r="J205" s="366">
        <v>0</v>
      </c>
      <c r="K205" s="367"/>
      <c r="L205" s="685"/>
      <c r="M205" s="456">
        <v>1</v>
      </c>
      <c r="N205" s="366">
        <f t="shared" si="63"/>
        <v>6.4416666666666676E-3</v>
      </c>
      <c r="O205" s="368">
        <f>C205*(G205/25)*1.04</f>
        <v>7.5833333333333362E-4</v>
      </c>
      <c r="P205" s="586">
        <f t="shared" si="65"/>
        <v>7.5833333333333362E-4</v>
      </c>
      <c r="Q205" s="787">
        <v>177</v>
      </c>
      <c r="R205" s="365">
        <f t="shared" si="64"/>
        <v>300</v>
      </c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  <c r="BE205" s="73"/>
      <c r="BF205" s="73"/>
      <c r="BG205" s="73"/>
    </row>
    <row r="206" spans="3:59">
      <c r="C206" s="364">
        <f t="shared" si="66"/>
        <v>1.8229166666666673E-4</v>
      </c>
      <c r="D206" s="895">
        <v>6</v>
      </c>
      <c r="E206" s="365">
        <v>1</v>
      </c>
      <c r="F206" s="365">
        <v>5</v>
      </c>
      <c r="G206" s="365">
        <v>115</v>
      </c>
      <c r="H206" s="366"/>
      <c r="I206" s="366">
        <v>1.3888888888888889E-3</v>
      </c>
      <c r="J206" s="366">
        <v>0</v>
      </c>
      <c r="K206" s="367"/>
      <c r="L206" s="685"/>
      <c r="M206" s="456">
        <v>1</v>
      </c>
      <c r="N206" s="366">
        <f t="shared" si="63"/>
        <v>1.1317439236111112E-2</v>
      </c>
      <c r="O206" s="368">
        <f>C206*(G206/25)*1.043</f>
        <v>8.7459895833333356E-4</v>
      </c>
      <c r="P206" s="586">
        <f t="shared" si="65"/>
        <v>8.7459895833333356E-4</v>
      </c>
      <c r="Q206" s="787">
        <v>177</v>
      </c>
      <c r="R206" s="365">
        <f t="shared" si="64"/>
        <v>575</v>
      </c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  <c r="BE206" s="73"/>
      <c r="BF206" s="73"/>
      <c r="BG206" s="73"/>
    </row>
    <row r="207" spans="3:59">
      <c r="C207" s="364">
        <f t="shared" si="66"/>
        <v>1.8229166666666673E-4</v>
      </c>
      <c r="D207" s="895">
        <v>6</v>
      </c>
      <c r="E207" s="365">
        <v>1</v>
      </c>
      <c r="F207" s="365">
        <v>8</v>
      </c>
      <c r="G207" s="365">
        <v>50</v>
      </c>
      <c r="H207" s="366">
        <v>1.0416666666666667E-3</v>
      </c>
      <c r="I207" s="366"/>
      <c r="J207" s="366">
        <v>0</v>
      </c>
      <c r="K207" s="367"/>
      <c r="L207" s="685"/>
      <c r="M207" s="456">
        <v>1</v>
      </c>
      <c r="N207" s="366">
        <f>H207*F207*E207</f>
        <v>8.3333333333333332E-3</v>
      </c>
      <c r="O207" s="368">
        <f>C207*(G207/25)*1.02</f>
        <v>3.7187500000000014E-4</v>
      </c>
      <c r="P207" s="586">
        <f t="shared" si="65"/>
        <v>3.7187500000000014E-4</v>
      </c>
      <c r="Q207" s="787">
        <v>177</v>
      </c>
      <c r="R207" s="365">
        <f t="shared" si="64"/>
        <v>400</v>
      </c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  <c r="BE207" s="73"/>
      <c r="BF207" s="73"/>
      <c r="BG207" s="73"/>
    </row>
    <row r="208" spans="3:59">
      <c r="C208" s="364">
        <f t="shared" si="66"/>
        <v>1.8229166666666673E-4</v>
      </c>
      <c r="D208" s="895">
        <v>6</v>
      </c>
      <c r="E208" s="365">
        <v>1</v>
      </c>
      <c r="F208" s="365">
        <v>12</v>
      </c>
      <c r="G208" s="365">
        <v>50</v>
      </c>
      <c r="H208" s="366"/>
      <c r="I208" s="366">
        <v>6.9444444444444447E-4</v>
      </c>
      <c r="J208" s="366">
        <v>0</v>
      </c>
      <c r="K208" s="367"/>
      <c r="L208" s="685"/>
      <c r="M208" s="456">
        <v>1</v>
      </c>
      <c r="N208" s="366">
        <f t="shared" ref="N208:N215" si="67">P208*E208*F208+I208*E208*F208+J208*E208</f>
        <v>1.2795833333333334E-2</v>
      </c>
      <c r="O208" s="368">
        <f>C208*(G208/25)*1.02</f>
        <v>3.7187500000000014E-4</v>
      </c>
      <c r="P208" s="586">
        <f t="shared" si="65"/>
        <v>3.7187500000000014E-4</v>
      </c>
      <c r="Q208" s="787">
        <v>177</v>
      </c>
      <c r="R208" s="365">
        <f t="shared" si="64"/>
        <v>600</v>
      </c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  <c r="BE208" s="73"/>
      <c r="BF208" s="73"/>
      <c r="BG208" s="73"/>
    </row>
    <row r="209" spans="1:59">
      <c r="C209" s="364">
        <f t="shared" si="66"/>
        <v>1.8229166666666673E-4</v>
      </c>
      <c r="D209" s="895">
        <v>6</v>
      </c>
      <c r="E209" s="365">
        <v>1</v>
      </c>
      <c r="F209" s="365">
        <v>8</v>
      </c>
      <c r="G209" s="365">
        <v>75</v>
      </c>
      <c r="H209" s="366"/>
      <c r="I209" s="366">
        <v>1.0416666666666667E-3</v>
      </c>
      <c r="J209" s="366">
        <v>0</v>
      </c>
      <c r="K209" s="367"/>
      <c r="L209" s="685"/>
      <c r="M209" s="456">
        <v>1</v>
      </c>
      <c r="N209" s="366">
        <f t="shared" si="67"/>
        <v>1.2839583333333335E-2</v>
      </c>
      <c r="O209" s="368">
        <f>C209*(G209/25)*1.03</f>
        <v>5.632812500000002E-4</v>
      </c>
      <c r="P209" s="586">
        <f t="shared" si="65"/>
        <v>5.632812500000002E-4</v>
      </c>
      <c r="Q209" s="787">
        <v>177</v>
      </c>
      <c r="R209" s="365">
        <f t="shared" si="64"/>
        <v>600</v>
      </c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  <c r="BE209" s="73"/>
      <c r="BF209" s="73"/>
      <c r="BG209" s="73"/>
    </row>
    <row r="210" spans="1:59">
      <c r="C210" s="364">
        <f t="shared" si="66"/>
        <v>1.8229166666666673E-4</v>
      </c>
      <c r="D210" s="895">
        <v>6</v>
      </c>
      <c r="E210" s="365">
        <v>1</v>
      </c>
      <c r="F210" s="365">
        <v>6</v>
      </c>
      <c r="G210" s="365">
        <v>100</v>
      </c>
      <c r="H210" s="366"/>
      <c r="I210" s="366">
        <v>1.3888888888888889E-3</v>
      </c>
      <c r="J210" s="366">
        <v>0</v>
      </c>
      <c r="K210" s="367"/>
      <c r="L210" s="685"/>
      <c r="M210" s="456">
        <v>1</v>
      </c>
      <c r="N210" s="366">
        <f t="shared" si="67"/>
        <v>1.2883333333333335E-2</v>
      </c>
      <c r="O210" s="368">
        <f>C210*(G210/25)*1.04</f>
        <v>7.5833333333333362E-4</v>
      </c>
      <c r="P210" s="586">
        <f t="shared" si="65"/>
        <v>7.5833333333333362E-4</v>
      </c>
      <c r="Q210" s="787">
        <v>177</v>
      </c>
      <c r="R210" s="365">
        <f t="shared" si="64"/>
        <v>600</v>
      </c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  <c r="BE210" s="73"/>
      <c r="BF210" s="73"/>
      <c r="BG210" s="73"/>
    </row>
    <row r="211" spans="1:59">
      <c r="C211" s="364">
        <f t="shared" si="66"/>
        <v>1.8229166666666673E-4</v>
      </c>
      <c r="D211" s="895">
        <v>6</v>
      </c>
      <c r="E211" s="365">
        <v>1</v>
      </c>
      <c r="F211" s="365">
        <v>4</v>
      </c>
      <c r="G211" s="365">
        <v>150</v>
      </c>
      <c r="H211" s="366"/>
      <c r="I211" s="366">
        <v>2.0833333333333333E-3</v>
      </c>
      <c r="J211" s="366">
        <v>0</v>
      </c>
      <c r="K211" s="367"/>
      <c r="L211" s="685"/>
      <c r="M211" s="456">
        <v>1</v>
      </c>
      <c r="N211" s="366">
        <f t="shared" si="67"/>
        <v>1.2927083333333336E-2</v>
      </c>
      <c r="O211" s="368">
        <f>C211*(G211/25)*1.05</f>
        <v>1.1484375000000004E-3</v>
      </c>
      <c r="P211" s="586">
        <f t="shared" si="65"/>
        <v>1.1484375000000004E-3</v>
      </c>
      <c r="Q211" s="787">
        <v>177</v>
      </c>
      <c r="R211" s="365">
        <f t="shared" si="64"/>
        <v>600</v>
      </c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  <c r="BE211" s="73"/>
      <c r="BF211" s="73"/>
      <c r="BG211" s="73"/>
    </row>
    <row r="212" spans="1:59">
      <c r="C212" s="364">
        <f t="shared" si="66"/>
        <v>1.8229166666666673E-4</v>
      </c>
      <c r="D212" s="895">
        <v>6</v>
      </c>
      <c r="E212" s="365">
        <v>1</v>
      </c>
      <c r="F212" s="365">
        <v>10</v>
      </c>
      <c r="G212" s="365">
        <v>75</v>
      </c>
      <c r="H212" s="366"/>
      <c r="I212" s="366">
        <v>1.0416666666666667E-3</v>
      </c>
      <c r="J212" s="366">
        <v>0</v>
      </c>
      <c r="K212" s="367"/>
      <c r="L212" s="685"/>
      <c r="M212" s="456">
        <v>1</v>
      </c>
      <c r="N212" s="366">
        <f t="shared" si="67"/>
        <v>1.6049479166666668E-2</v>
      </c>
      <c r="O212" s="368">
        <f>C212*(G212/25)*1.03</f>
        <v>5.632812500000002E-4</v>
      </c>
      <c r="P212" s="586">
        <f t="shared" si="65"/>
        <v>5.632812500000002E-4</v>
      </c>
      <c r="Q212" s="787">
        <v>177</v>
      </c>
      <c r="R212" s="365">
        <f t="shared" si="64"/>
        <v>750</v>
      </c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  <c r="BE212" s="73"/>
      <c r="BF212" s="73"/>
      <c r="BG212" s="73"/>
    </row>
    <row r="213" spans="1:59">
      <c r="C213" s="364">
        <f t="shared" si="66"/>
        <v>1.8229166666666673E-4</v>
      </c>
      <c r="D213" s="895">
        <v>6</v>
      </c>
      <c r="E213" s="365">
        <v>1</v>
      </c>
      <c r="F213" s="365">
        <v>16</v>
      </c>
      <c r="G213" s="365">
        <v>50</v>
      </c>
      <c r="H213" s="366"/>
      <c r="I213" s="366">
        <v>6.9444444444444447E-4</v>
      </c>
      <c r="J213" s="366">
        <v>0</v>
      </c>
      <c r="K213" s="367"/>
      <c r="L213" s="685"/>
      <c r="M213" s="456">
        <v>1</v>
      </c>
      <c r="N213" s="366">
        <f t="shared" si="67"/>
        <v>1.7061111111111114E-2</v>
      </c>
      <c r="O213" s="368">
        <f>C213*(G213/25)*1.02</f>
        <v>3.7187500000000014E-4</v>
      </c>
      <c r="P213" s="586">
        <f t="shared" si="65"/>
        <v>3.7187500000000014E-4</v>
      </c>
      <c r="Q213" s="787">
        <v>177</v>
      </c>
      <c r="R213" s="365">
        <f t="shared" si="64"/>
        <v>800</v>
      </c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  <c r="BE213" s="73"/>
      <c r="BF213" s="73"/>
      <c r="BG213" s="73"/>
    </row>
    <row r="214" spans="1:59">
      <c r="C214" s="364">
        <f t="shared" si="66"/>
        <v>1.8229166666666673E-4</v>
      </c>
      <c r="D214" s="895">
        <v>6</v>
      </c>
      <c r="E214" s="365">
        <v>1</v>
      </c>
      <c r="F214" s="365">
        <v>8</v>
      </c>
      <c r="G214" s="365">
        <v>100</v>
      </c>
      <c r="H214" s="366"/>
      <c r="I214" s="366">
        <v>1.3888888888888889E-3</v>
      </c>
      <c r="J214" s="366">
        <v>0</v>
      </c>
      <c r="K214" s="367"/>
      <c r="L214" s="685"/>
      <c r="M214" s="456">
        <v>1</v>
      </c>
      <c r="N214" s="366">
        <f t="shared" si="67"/>
        <v>1.7177777777777781E-2</v>
      </c>
      <c r="O214" s="368">
        <f>C214*(G214/25)*1.04</f>
        <v>7.5833333333333362E-4</v>
      </c>
      <c r="P214" s="586">
        <f t="shared" si="65"/>
        <v>7.5833333333333362E-4</v>
      </c>
      <c r="Q214" s="787">
        <v>177</v>
      </c>
      <c r="R214" s="365">
        <f t="shared" si="64"/>
        <v>800</v>
      </c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</row>
    <row r="215" spans="1:59">
      <c r="C215" s="364">
        <f t="shared" si="66"/>
        <v>1.8229166666666673E-4</v>
      </c>
      <c r="D215" s="895">
        <v>6</v>
      </c>
      <c r="E215" s="365">
        <v>1</v>
      </c>
      <c r="F215" s="365">
        <v>12</v>
      </c>
      <c r="G215" s="365">
        <v>75</v>
      </c>
      <c r="H215" s="366"/>
      <c r="I215" s="366">
        <v>1.0416666666666667E-3</v>
      </c>
      <c r="J215" s="366">
        <v>0</v>
      </c>
      <c r="K215" s="367"/>
      <c r="L215" s="685"/>
      <c r="M215" s="456">
        <v>1</v>
      </c>
      <c r="N215" s="366">
        <f t="shared" si="67"/>
        <v>1.9259375000000002E-2</v>
      </c>
      <c r="O215" s="368">
        <f>C215*(G215/25)*1.03</f>
        <v>5.632812500000002E-4</v>
      </c>
      <c r="P215" s="586">
        <f t="shared" si="65"/>
        <v>5.632812500000002E-4</v>
      </c>
      <c r="Q215" s="787">
        <v>177</v>
      </c>
      <c r="R215" s="365">
        <f t="shared" si="64"/>
        <v>900</v>
      </c>
      <c r="S215" s="1096" t="s">
        <v>1216</v>
      </c>
      <c r="T215" s="478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  <c r="BE215" s="73"/>
      <c r="BF215" s="73"/>
      <c r="BG215" s="73"/>
    </row>
    <row r="216" spans="1:59" ht="14">
      <c r="C216" s="91"/>
      <c r="D216" s="896"/>
      <c r="E216" s="136"/>
      <c r="G216" s="137"/>
      <c r="H216" s="137"/>
      <c r="I216" s="137"/>
      <c r="J216" s="137"/>
      <c r="K216" s="318"/>
      <c r="L216" s="318"/>
      <c r="M216" s="515"/>
      <c r="N216" s="936">
        <f>SUM(N193:N215)</f>
        <v>0.24101396701388889</v>
      </c>
      <c r="O216" s="73"/>
      <c r="P216" s="73"/>
      <c r="Q216" s="783"/>
      <c r="R216" s="73">
        <f>SUM(R193:R215)</f>
        <v>11125</v>
      </c>
      <c r="S216" s="73">
        <f>R216/T217</f>
        <v>0.53423933922397238</v>
      </c>
      <c r="T216" s="2161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  <c r="BE216" s="73"/>
      <c r="BF216" s="73"/>
      <c r="BG216" s="73"/>
    </row>
    <row r="217" spans="1:59" ht="14">
      <c r="C217" s="91"/>
      <c r="D217" s="896"/>
      <c r="E217" s="136"/>
      <c r="G217" s="137"/>
      <c r="H217" s="137"/>
      <c r="I217" s="137"/>
      <c r="J217" s="137"/>
      <c r="K217" s="318"/>
      <c r="L217" s="318"/>
      <c r="M217" s="515"/>
      <c r="N217" s="73">
        <v>5</v>
      </c>
      <c r="O217" s="73">
        <v>47</v>
      </c>
      <c r="P217" s="73">
        <v>4</v>
      </c>
      <c r="Q217" s="783"/>
      <c r="R217" s="73"/>
      <c r="S217" s="73"/>
      <c r="T217" s="2162">
        <f>N217*3600+O217*60+P217</f>
        <v>20824</v>
      </c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  <c r="BE217" s="73"/>
      <c r="BF217" s="73"/>
      <c r="BG217" s="73"/>
    </row>
    <row r="218" spans="1:59" ht="14">
      <c r="C218" s="549"/>
      <c r="D218" s="888"/>
      <c r="G218" s="135"/>
      <c r="H218" s="135"/>
      <c r="I218" s="135"/>
      <c r="J218" s="135"/>
      <c r="K218" s="313"/>
      <c r="L218" s="313"/>
      <c r="M218" s="511"/>
      <c r="N218" s="73">
        <v>9</v>
      </c>
      <c r="O218" s="73">
        <v>12</v>
      </c>
      <c r="P218" s="73">
        <v>50</v>
      </c>
      <c r="Q218" s="783"/>
      <c r="R218" s="73"/>
      <c r="S218" s="73"/>
      <c r="T218" s="2162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  <c r="BE218" s="73"/>
      <c r="BF218" s="73"/>
      <c r="BG218" s="73"/>
    </row>
    <row r="219" spans="1:59" ht="18">
      <c r="C219" s="549"/>
      <c r="D219" s="888"/>
      <c r="E219" s="294" t="s">
        <v>1409</v>
      </c>
      <c r="G219" s="135"/>
      <c r="H219" s="135"/>
      <c r="I219" s="135"/>
      <c r="J219" s="135"/>
      <c r="K219" s="313"/>
      <c r="L219" s="313"/>
      <c r="M219" s="511"/>
      <c r="O219" s="73"/>
      <c r="P219" s="73"/>
      <c r="Q219" s="783"/>
      <c r="R219" s="73"/>
      <c r="S219" s="73"/>
      <c r="T219" s="2162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  <c r="BE219" s="73"/>
      <c r="BF219" s="73"/>
      <c r="BG219" s="73"/>
    </row>
    <row r="220" spans="1:59" ht="24">
      <c r="A220" s="60" t="s">
        <v>461</v>
      </c>
      <c r="B220" s="60">
        <v>1</v>
      </c>
      <c r="C220" s="2657">
        <f t="shared" ref="C220:C238" si="68">C$103</f>
        <v>2.1222190799396687E-4</v>
      </c>
      <c r="D220" s="2658">
        <v>5</v>
      </c>
      <c r="E220" s="2656">
        <v>1</v>
      </c>
      <c r="F220" s="2656">
        <v>10</v>
      </c>
      <c r="G220" s="2656">
        <v>30</v>
      </c>
      <c r="H220" s="2657"/>
      <c r="I220" s="2657">
        <v>3.4722222222222224E-4</v>
      </c>
      <c r="J220" s="2657">
        <v>1.0416666666666667E-3</v>
      </c>
      <c r="K220" s="2659" t="s">
        <v>1410</v>
      </c>
      <c r="L220" s="2660"/>
      <c r="M220" s="2661">
        <v>1</v>
      </c>
      <c r="N220" s="2657">
        <f t="shared" ref="N220:N221" si="69">P220*E220*F220+I220*E220*F220+J220*E220</f>
        <v>7.0605517848164913E-3</v>
      </c>
      <c r="O220" s="2662">
        <f t="shared" ref="O220:O221" si="70">C220*(G220/25)</f>
        <v>2.5466628959276022E-4</v>
      </c>
      <c r="P220" s="2662">
        <f>O220*M220</f>
        <v>2.5466628959276022E-4</v>
      </c>
      <c r="Q220" s="2663">
        <v>160</v>
      </c>
      <c r="R220" s="2656">
        <f t="shared" ref="R220:R221" si="71">E220*F220*G220</f>
        <v>300</v>
      </c>
      <c r="S220" s="73"/>
      <c r="T220" s="2162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  <c r="BE220" s="73"/>
      <c r="BF220" s="73"/>
      <c r="BG220" s="73"/>
    </row>
    <row r="221" spans="1:59">
      <c r="A221" s="60" t="s">
        <v>462</v>
      </c>
      <c r="B221" s="60">
        <v>1</v>
      </c>
      <c r="C221" s="2657">
        <f t="shared" si="68"/>
        <v>2.1222190799396687E-4</v>
      </c>
      <c r="D221" s="2658">
        <v>5</v>
      </c>
      <c r="E221" s="2656">
        <v>1</v>
      </c>
      <c r="F221" s="2656">
        <v>4</v>
      </c>
      <c r="G221" s="2656">
        <v>30</v>
      </c>
      <c r="H221" s="2657"/>
      <c r="I221" s="2657">
        <v>6.9444444444444447E-4</v>
      </c>
      <c r="J221" s="2657">
        <v>1.0416666666666667E-3</v>
      </c>
      <c r="K221" s="2664" t="s">
        <v>1411</v>
      </c>
      <c r="L221" s="2660"/>
      <c r="M221" s="2661">
        <v>1</v>
      </c>
      <c r="N221" s="2657">
        <f t="shared" si="69"/>
        <v>4.8381096028154852E-3</v>
      </c>
      <c r="O221" s="2662">
        <f t="shared" si="70"/>
        <v>2.5466628959276022E-4</v>
      </c>
      <c r="P221" s="2662">
        <f>O221*M221</f>
        <v>2.5466628959276022E-4</v>
      </c>
      <c r="Q221" s="2663">
        <v>161</v>
      </c>
      <c r="R221" s="2656">
        <f t="shared" si="71"/>
        <v>120</v>
      </c>
      <c r="S221" s="73"/>
      <c r="T221" s="2162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  <c r="BE221" s="73"/>
      <c r="BF221" s="73"/>
      <c r="BG221" s="73"/>
    </row>
    <row r="222" spans="1:59">
      <c r="A222" s="60" t="s">
        <v>459</v>
      </c>
      <c r="B222" s="60">
        <v>1</v>
      </c>
      <c r="C222" s="2667">
        <f t="shared" si="68"/>
        <v>2.1222190799396687E-4</v>
      </c>
      <c r="D222" s="2668">
        <v>7</v>
      </c>
      <c r="E222" s="2669">
        <v>1</v>
      </c>
      <c r="F222" s="2669">
        <v>4</v>
      </c>
      <c r="G222" s="2669">
        <v>30</v>
      </c>
      <c r="H222" s="2667"/>
      <c r="I222" s="2667">
        <v>6.9444444444444447E-4</v>
      </c>
      <c r="J222" s="2667">
        <v>1.0416666666666667E-3</v>
      </c>
      <c r="K222" s="2670" t="s">
        <v>1412</v>
      </c>
      <c r="L222" s="2670"/>
      <c r="M222" s="2671">
        <v>1</v>
      </c>
      <c r="N222" s="2667">
        <f t="shared" ref="N222" si="72">P222*E222*F222+I222*E222*F222+J222*E222</f>
        <v>4.8381096028154852E-3</v>
      </c>
      <c r="O222" s="2672">
        <f t="shared" ref="O222" si="73">C222*(G222/25)</f>
        <v>2.5466628959276022E-4</v>
      </c>
      <c r="P222" s="2672">
        <f>O222*M222</f>
        <v>2.5466628959276022E-4</v>
      </c>
      <c r="Q222" s="2673">
        <v>161</v>
      </c>
      <c r="R222" s="2669">
        <f t="shared" ref="R222" si="74">E222*F222*G222</f>
        <v>120</v>
      </c>
      <c r="S222" s="73"/>
      <c r="T222" s="2162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  <c r="BE222" s="73"/>
      <c r="BF222" s="73"/>
      <c r="BG222" s="73"/>
    </row>
    <row r="223" spans="1:59" ht="14">
      <c r="C223" s="549"/>
      <c r="D223" s="888"/>
      <c r="E223" s="134"/>
      <c r="G223" s="135"/>
      <c r="H223" s="135"/>
      <c r="I223" s="135"/>
      <c r="J223" s="135"/>
      <c r="K223" s="313"/>
      <c r="L223" s="313"/>
      <c r="M223" s="511"/>
      <c r="O223" s="73"/>
      <c r="P223" s="73"/>
      <c r="Q223" s="783"/>
      <c r="R223" s="73">
        <f>SUM(R220:R222)</f>
        <v>540</v>
      </c>
      <c r="S223" s="73"/>
      <c r="T223" s="2162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  <c r="BE223" s="73"/>
      <c r="BF223" s="73"/>
      <c r="BG223" s="73"/>
    </row>
    <row r="224" spans="1:59" ht="24">
      <c r="A224" s="60" t="s">
        <v>461</v>
      </c>
      <c r="B224" s="60">
        <v>2</v>
      </c>
      <c r="C224" s="2667">
        <f t="shared" si="68"/>
        <v>2.1222190799396687E-4</v>
      </c>
      <c r="D224" s="2668">
        <v>7</v>
      </c>
      <c r="E224" s="2669">
        <v>1</v>
      </c>
      <c r="F224" s="2669">
        <v>6</v>
      </c>
      <c r="G224" s="2669">
        <v>15</v>
      </c>
      <c r="H224" s="2667" t="s">
        <v>1414</v>
      </c>
      <c r="I224" s="2667">
        <v>6.9444444444444447E-4</v>
      </c>
      <c r="J224" s="2667">
        <v>1.3888888888888889E-3</v>
      </c>
      <c r="K224" s="2674" t="s">
        <v>1418</v>
      </c>
      <c r="L224" s="2670"/>
      <c r="M224" s="2671">
        <v>1</v>
      </c>
      <c r="N224" s="2667">
        <f t="shared" ref="N224:N225" si="75">P224*E224*F224+I224*E224*F224+J224*E224</f>
        <v>6.3195544243338361E-3</v>
      </c>
      <c r="O224" s="2672">
        <f t="shared" ref="O224:O225" si="76">C224*(G224/25)</f>
        <v>1.2733314479638011E-4</v>
      </c>
      <c r="P224" s="2672">
        <f>O224*M224</f>
        <v>1.2733314479638011E-4</v>
      </c>
      <c r="Q224" s="2673">
        <v>160</v>
      </c>
      <c r="R224" s="2669">
        <f t="shared" ref="R224:R225" si="77">E224*F224*G224</f>
        <v>90</v>
      </c>
      <c r="S224" s="73"/>
      <c r="T224" s="2162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  <c r="BE224" s="73"/>
      <c r="BF224" s="73"/>
      <c r="BG224" s="73"/>
    </row>
    <row r="225" spans="1:59">
      <c r="A225" s="60" t="s">
        <v>462</v>
      </c>
      <c r="B225" s="60">
        <v>2</v>
      </c>
      <c r="C225" s="2657">
        <f t="shared" si="68"/>
        <v>2.1222190799396687E-4</v>
      </c>
      <c r="D225" s="2658">
        <v>5</v>
      </c>
      <c r="E225" s="2656">
        <v>1</v>
      </c>
      <c r="F225" s="2656">
        <v>3</v>
      </c>
      <c r="G225" s="2656">
        <v>15</v>
      </c>
      <c r="H225" s="2664" t="s">
        <v>1414</v>
      </c>
      <c r="I225" s="2657">
        <v>3.4722222222222224E-4</v>
      </c>
      <c r="J225" s="2657">
        <v>1.3888888888888889E-3</v>
      </c>
      <c r="K225" s="2664" t="s">
        <v>1413</v>
      </c>
      <c r="L225" s="2660"/>
      <c r="M225" s="2661">
        <v>1</v>
      </c>
      <c r="N225" s="2657">
        <f t="shared" si="75"/>
        <v>2.8125549899446958E-3</v>
      </c>
      <c r="O225" s="2662">
        <f t="shared" si="76"/>
        <v>1.2733314479638011E-4</v>
      </c>
      <c r="P225" s="2662">
        <f>O225*M225</f>
        <v>1.2733314479638011E-4</v>
      </c>
      <c r="Q225" s="2663">
        <v>161</v>
      </c>
      <c r="R225" s="2656">
        <f t="shared" si="77"/>
        <v>45</v>
      </c>
      <c r="S225" s="73"/>
      <c r="T225" s="2162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  <c r="BE225" s="73"/>
      <c r="BF225" s="73"/>
      <c r="BG225" s="73"/>
    </row>
    <row r="226" spans="1:59" ht="24">
      <c r="A226" s="60" t="s">
        <v>459</v>
      </c>
      <c r="B226" s="60">
        <v>2</v>
      </c>
      <c r="C226" s="2667">
        <f t="shared" si="68"/>
        <v>2.1222190799396687E-4</v>
      </c>
      <c r="D226" s="2668">
        <v>7</v>
      </c>
      <c r="E226" s="2669">
        <v>1</v>
      </c>
      <c r="F226" s="2669">
        <v>6</v>
      </c>
      <c r="G226" s="2669">
        <v>15</v>
      </c>
      <c r="H226" s="2667" t="s">
        <v>882</v>
      </c>
      <c r="I226" s="2667">
        <v>6.9444444444444447E-4</v>
      </c>
      <c r="J226" s="2667">
        <v>1.3888888888888889E-3</v>
      </c>
      <c r="K226" s="2674" t="s">
        <v>1418</v>
      </c>
      <c r="L226" s="2670"/>
      <c r="M226" s="2671">
        <v>1</v>
      </c>
      <c r="N226" s="2667">
        <f t="shared" ref="N226:N227" si="78">P226*E226*F226+I226*E226*F226+J226*E226</f>
        <v>6.3195544243338361E-3</v>
      </c>
      <c r="O226" s="2672">
        <f t="shared" ref="O226:O227" si="79">C226*(G226/25)</f>
        <v>1.2733314479638011E-4</v>
      </c>
      <c r="P226" s="2672">
        <f>O226*M226</f>
        <v>1.2733314479638011E-4</v>
      </c>
      <c r="Q226" s="2673">
        <v>160</v>
      </c>
      <c r="R226" s="2669">
        <f t="shared" ref="R226:R227" si="80">E226*F226*G226</f>
        <v>90</v>
      </c>
      <c r="S226" s="73"/>
      <c r="T226" s="2162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  <c r="BE226" s="73"/>
      <c r="BF226" s="73"/>
      <c r="BG226" s="73"/>
    </row>
    <row r="227" spans="1:59">
      <c r="B227" s="60">
        <v>2</v>
      </c>
      <c r="C227" s="2657">
        <f t="shared" si="68"/>
        <v>2.1222190799396687E-4</v>
      </c>
      <c r="D227" s="2658">
        <v>5</v>
      </c>
      <c r="E227" s="2656">
        <v>1</v>
      </c>
      <c r="F227" s="2656">
        <v>3</v>
      </c>
      <c r="G227" s="2656">
        <v>15</v>
      </c>
      <c r="H227" s="2664" t="s">
        <v>882</v>
      </c>
      <c r="I227" s="2657">
        <v>3.4722222222222224E-4</v>
      </c>
      <c r="J227" s="2657">
        <v>1.3888888888888889E-3</v>
      </c>
      <c r="K227" s="2664" t="s">
        <v>1413</v>
      </c>
      <c r="L227" s="2660"/>
      <c r="M227" s="2661">
        <v>1</v>
      </c>
      <c r="N227" s="2657">
        <f t="shared" si="78"/>
        <v>2.8125549899446958E-3</v>
      </c>
      <c r="O227" s="2662">
        <f t="shared" si="79"/>
        <v>1.2733314479638011E-4</v>
      </c>
      <c r="P227" s="2662">
        <f>O227*M227</f>
        <v>1.2733314479638011E-4</v>
      </c>
      <c r="Q227" s="2663">
        <v>161</v>
      </c>
      <c r="R227" s="2656">
        <f t="shared" si="80"/>
        <v>45</v>
      </c>
      <c r="S227" s="73"/>
      <c r="T227" s="2162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  <c r="BE227" s="73"/>
      <c r="BF227" s="73"/>
      <c r="BG227" s="73"/>
    </row>
    <row r="228" spans="1:59" ht="14">
      <c r="C228" s="549"/>
      <c r="D228" s="888"/>
      <c r="E228" s="134"/>
      <c r="G228" s="135"/>
      <c r="H228" s="135"/>
      <c r="I228" s="135"/>
      <c r="J228" s="135"/>
      <c r="K228" s="313"/>
      <c r="L228" s="313"/>
      <c r="M228" s="511"/>
      <c r="O228" s="73"/>
      <c r="P228" s="73"/>
      <c r="Q228" s="783"/>
      <c r="R228" s="73">
        <f>SUM(R224:R227)</f>
        <v>270</v>
      </c>
      <c r="S228" s="73"/>
      <c r="T228" s="2162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</row>
    <row r="229" spans="1:59" ht="24">
      <c r="A229" s="60" t="s">
        <v>461</v>
      </c>
      <c r="B229" s="60">
        <v>3</v>
      </c>
      <c r="C229" s="2657">
        <f t="shared" si="68"/>
        <v>2.1222190799396687E-4</v>
      </c>
      <c r="D229" s="2658">
        <v>5</v>
      </c>
      <c r="E229" s="2656">
        <v>1</v>
      </c>
      <c r="F229" s="2656">
        <v>8</v>
      </c>
      <c r="G229" s="2656">
        <v>30</v>
      </c>
      <c r="H229" s="2665" t="s">
        <v>1417</v>
      </c>
      <c r="I229" s="2657">
        <v>4.0509259259259258E-4</v>
      </c>
      <c r="J229" s="2657">
        <v>1.3888888888888889E-3</v>
      </c>
      <c r="K229" s="2666" t="s">
        <v>1416</v>
      </c>
      <c r="L229" s="2660"/>
      <c r="M229" s="2661">
        <v>1</v>
      </c>
      <c r="N229" s="2657">
        <f t="shared" ref="N229" si="81">P229*E229*F229+I229*E229*F229+J229*E229</f>
        <v>6.666959946371712E-3</v>
      </c>
      <c r="O229" s="2662">
        <f t="shared" ref="O229" si="82">C229*(G229/25)</f>
        <v>2.5466628959276022E-4</v>
      </c>
      <c r="P229" s="2662">
        <f>O229*M229</f>
        <v>2.5466628959276022E-4</v>
      </c>
      <c r="Q229" s="2663">
        <v>160</v>
      </c>
      <c r="R229" s="2656">
        <f>E229*F229*G229</f>
        <v>240</v>
      </c>
      <c r="S229" s="73"/>
      <c r="T229" s="2162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  <c r="BE229" s="73"/>
      <c r="BF229" s="73"/>
      <c r="BG229" s="73"/>
    </row>
    <row r="230" spans="1:59" ht="24">
      <c r="A230" s="60" t="s">
        <v>462</v>
      </c>
      <c r="B230" s="60">
        <v>3</v>
      </c>
      <c r="C230" s="2657">
        <f t="shared" si="68"/>
        <v>2.1222190799396687E-4</v>
      </c>
      <c r="D230" s="2658">
        <v>5</v>
      </c>
      <c r="E230" s="2656">
        <v>1</v>
      </c>
      <c r="F230" s="2656">
        <v>8</v>
      </c>
      <c r="G230" s="2656">
        <v>30</v>
      </c>
      <c r="H230" s="2665" t="s">
        <v>300</v>
      </c>
      <c r="I230" s="2657">
        <v>4.0509259259259258E-4</v>
      </c>
      <c r="J230" s="2657">
        <v>1.3888888888888889E-3</v>
      </c>
      <c r="K230" s="2666" t="s">
        <v>1416</v>
      </c>
      <c r="L230" s="2660"/>
      <c r="M230" s="2661">
        <v>1</v>
      </c>
      <c r="N230" s="2657">
        <f t="shared" ref="N230:N231" si="83">P230*E230*F230+I230*E230*F230+J230*E230</f>
        <v>6.666959946371712E-3</v>
      </c>
      <c r="O230" s="2662">
        <f t="shared" ref="O230:O231" si="84">C230*(G230/25)</f>
        <v>2.5466628959276022E-4</v>
      </c>
      <c r="P230" s="2662">
        <f t="shared" ref="P230:P231" si="85">O230*M230</f>
        <v>2.5466628959276022E-4</v>
      </c>
      <c r="Q230" s="2663">
        <v>161</v>
      </c>
      <c r="R230" s="2656">
        <f t="shared" ref="R230:R231" si="86">E230*F230*G230</f>
        <v>240</v>
      </c>
      <c r="S230" s="73"/>
      <c r="T230" s="2162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</row>
    <row r="231" spans="1:59" ht="24">
      <c r="A231" s="60" t="s">
        <v>459</v>
      </c>
      <c r="B231" s="60">
        <v>3</v>
      </c>
      <c r="C231" s="2667">
        <f t="shared" si="68"/>
        <v>2.1222190799396687E-4</v>
      </c>
      <c r="D231" s="2668">
        <v>7</v>
      </c>
      <c r="E231" s="2669">
        <v>1</v>
      </c>
      <c r="F231" s="2669">
        <v>8</v>
      </c>
      <c r="G231" s="2669">
        <v>30</v>
      </c>
      <c r="H231" s="2667" t="s">
        <v>1385</v>
      </c>
      <c r="I231" s="2667">
        <v>4.0509259259259258E-4</v>
      </c>
      <c r="J231" s="2667">
        <v>1.3888888888888889E-3</v>
      </c>
      <c r="K231" s="2674" t="s">
        <v>1416</v>
      </c>
      <c r="L231" s="2670"/>
      <c r="M231" s="2671">
        <v>1</v>
      </c>
      <c r="N231" s="2667">
        <f t="shared" si="83"/>
        <v>6.666959946371712E-3</v>
      </c>
      <c r="O231" s="2672">
        <f t="shared" si="84"/>
        <v>2.5466628959276022E-4</v>
      </c>
      <c r="P231" s="2672">
        <f t="shared" si="85"/>
        <v>2.5466628959276022E-4</v>
      </c>
      <c r="Q231" s="2673">
        <v>162</v>
      </c>
      <c r="R231" s="2669">
        <f t="shared" si="86"/>
        <v>240</v>
      </c>
      <c r="S231" s="73"/>
      <c r="T231" s="2162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  <c r="BG231" s="73"/>
    </row>
    <row r="232" spans="1:59" ht="14">
      <c r="C232" s="549"/>
      <c r="D232" s="888"/>
      <c r="E232" s="134"/>
      <c r="G232" s="135"/>
      <c r="H232" s="135"/>
      <c r="I232" s="135"/>
      <c r="J232" s="135"/>
      <c r="K232" s="313"/>
      <c r="L232" s="313"/>
      <c r="M232" s="511"/>
      <c r="O232" s="73"/>
      <c r="P232" s="73"/>
      <c r="Q232" s="783"/>
      <c r="R232" s="73">
        <f>SUM(R229:R231)</f>
        <v>720</v>
      </c>
      <c r="S232" s="73"/>
      <c r="T232" s="2162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  <c r="BE232" s="73"/>
      <c r="BF232" s="73"/>
      <c r="BG232" s="73"/>
    </row>
    <row r="233" spans="1:59">
      <c r="B233" s="60">
        <v>4</v>
      </c>
      <c r="C233" s="2635">
        <f t="shared" si="68"/>
        <v>2.1222190799396687E-4</v>
      </c>
      <c r="D233" s="2636">
        <v>3</v>
      </c>
      <c r="E233" s="2637">
        <v>1</v>
      </c>
      <c r="F233" s="2637">
        <v>8</v>
      </c>
      <c r="G233" s="2637">
        <v>100</v>
      </c>
      <c r="H233" s="2655" t="s">
        <v>1415</v>
      </c>
      <c r="I233" s="2635">
        <v>4.0509259259259258E-4</v>
      </c>
      <c r="J233" s="2635">
        <v>1.3888888888888889E-3</v>
      </c>
      <c r="K233" s="2638" t="s">
        <v>1416</v>
      </c>
      <c r="L233" s="2639"/>
      <c r="M233" s="2640">
        <v>2</v>
      </c>
      <c r="N233" s="2635">
        <f t="shared" ref="N233:N234" si="87">P233*E233*F233+I233*E233*F233+J233*E233</f>
        <v>1.8211831741243509E-2</v>
      </c>
      <c r="O233" s="2641">
        <f t="shared" ref="O233:O234" si="88">C233*(G233/25)</f>
        <v>8.4888763197586746E-4</v>
      </c>
      <c r="P233" s="2641">
        <f>O233*M233</f>
        <v>1.6977752639517349E-3</v>
      </c>
      <c r="Q233" s="2642">
        <v>160</v>
      </c>
      <c r="R233" s="2637">
        <f t="shared" ref="R233:R238" si="89">E233*F233*G233</f>
        <v>800</v>
      </c>
      <c r="S233" s="73"/>
      <c r="T233" s="2162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</row>
    <row r="234" spans="1:59">
      <c r="B234" s="60">
        <v>4</v>
      </c>
      <c r="C234" s="2635">
        <f t="shared" si="68"/>
        <v>2.1222190799396687E-4</v>
      </c>
      <c r="D234" s="2636">
        <v>3</v>
      </c>
      <c r="E234" s="2637">
        <v>1</v>
      </c>
      <c r="F234" s="2637">
        <v>12</v>
      </c>
      <c r="G234" s="2637">
        <v>50</v>
      </c>
      <c r="H234" s="2635"/>
      <c r="I234" s="2635">
        <v>3.4722222222222224E-4</v>
      </c>
      <c r="J234" s="2635">
        <v>1.3888888888888889E-3</v>
      </c>
      <c r="K234" s="2638" t="s">
        <v>1400</v>
      </c>
      <c r="L234" s="2639"/>
      <c r="M234" s="2640">
        <v>3</v>
      </c>
      <c r="N234" s="2635">
        <f t="shared" si="87"/>
        <v>2.0835532931121167E-2</v>
      </c>
      <c r="O234" s="2641">
        <f t="shared" si="88"/>
        <v>4.2444381598793373E-4</v>
      </c>
      <c r="P234" s="2641">
        <f>O234*M234</f>
        <v>1.2733314479638012E-3</v>
      </c>
      <c r="Q234" s="2642">
        <v>161</v>
      </c>
      <c r="R234" s="2637">
        <f t="shared" si="89"/>
        <v>600</v>
      </c>
      <c r="S234" s="73"/>
      <c r="T234" s="2162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</row>
    <row r="235" spans="1:59">
      <c r="B235" s="60">
        <v>4</v>
      </c>
      <c r="C235" s="2621">
        <f t="shared" si="68"/>
        <v>2.1222190799396687E-4</v>
      </c>
      <c r="D235" s="2622">
        <v>3</v>
      </c>
      <c r="E235" s="2623">
        <v>1</v>
      </c>
      <c r="F235" s="2623">
        <v>12</v>
      </c>
      <c r="G235" s="2623">
        <v>100</v>
      </c>
      <c r="H235" s="2621">
        <v>1.1574074074074073E-3</v>
      </c>
      <c r="I235" s="2621"/>
      <c r="J235" s="2621">
        <v>1.3888888888888889E-3</v>
      </c>
      <c r="K235" s="2643" t="s">
        <v>1401</v>
      </c>
      <c r="L235" s="2624"/>
      <c r="M235" s="2625">
        <v>1</v>
      </c>
      <c r="N235" s="2621">
        <f>H235*F235*E235</f>
        <v>1.3888888888888888E-2</v>
      </c>
      <c r="O235" s="2626">
        <f>C235*16*1.08</f>
        <v>3.6671945701357476E-3</v>
      </c>
      <c r="P235" s="2626">
        <f t="shared" ref="P235" si="90">O235*M235</f>
        <v>3.6671945701357476E-3</v>
      </c>
      <c r="Q235" s="2627">
        <v>153</v>
      </c>
      <c r="R235" s="2623">
        <f t="shared" si="89"/>
        <v>1200</v>
      </c>
      <c r="S235" s="73"/>
      <c r="T235" s="2162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</row>
    <row r="236" spans="1:59">
      <c r="B236" s="60">
        <v>4</v>
      </c>
      <c r="C236" s="2628">
        <f t="shared" si="68"/>
        <v>2.1222190799396687E-4</v>
      </c>
      <c r="D236" s="2629">
        <v>3</v>
      </c>
      <c r="E236" s="2630">
        <v>1</v>
      </c>
      <c r="F236" s="2630">
        <v>2</v>
      </c>
      <c r="G236" s="2630">
        <v>400</v>
      </c>
      <c r="H236" s="60"/>
      <c r="I236" s="2628">
        <v>4.0509259259259258E-4</v>
      </c>
      <c r="J236" s="2628">
        <v>1.3888888888888889E-3</v>
      </c>
      <c r="K236" s="1969" t="s">
        <v>1390</v>
      </c>
      <c r="L236" s="2631"/>
      <c r="M236" s="2632">
        <v>3</v>
      </c>
      <c r="N236" s="2628">
        <f t="shared" ref="N236:N238" si="91">P236*E236*F236+I236*E236*F236+J236*E236</f>
        <v>2.2572377241494891E-2</v>
      </c>
      <c r="O236" s="2633">
        <f t="shared" ref="O236:O238" si="92">C236*(G236/25)</f>
        <v>3.3955505279034699E-3</v>
      </c>
      <c r="P236" s="2633">
        <f>O236*M236</f>
        <v>1.018665158371041E-2</v>
      </c>
      <c r="Q236" s="2634">
        <v>161</v>
      </c>
      <c r="R236" s="2630">
        <f t="shared" si="89"/>
        <v>800</v>
      </c>
      <c r="S236" s="73"/>
      <c r="T236" s="2162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  <c r="BE236" s="73"/>
      <c r="BF236" s="73"/>
      <c r="BG236" s="73"/>
    </row>
    <row r="237" spans="1:59">
      <c r="B237" s="60">
        <v>4</v>
      </c>
      <c r="C237" s="2628">
        <f t="shared" si="68"/>
        <v>2.1222190799396687E-4</v>
      </c>
      <c r="D237" s="2629">
        <v>3</v>
      </c>
      <c r="E237" s="2630">
        <v>1</v>
      </c>
      <c r="F237" s="2630">
        <v>1</v>
      </c>
      <c r="G237" s="2630">
        <v>800</v>
      </c>
      <c r="H237" s="2628"/>
      <c r="I237" s="2628"/>
      <c r="J237" s="2628">
        <v>1.3888888888888889E-3</v>
      </c>
      <c r="K237" s="1969" t="s">
        <v>1402</v>
      </c>
      <c r="L237" s="2631"/>
      <c r="M237" s="2632">
        <v>4</v>
      </c>
      <c r="N237" s="2628">
        <f t="shared" si="91"/>
        <v>2.8553293112116646E-2</v>
      </c>
      <c r="O237" s="2633">
        <f t="shared" si="92"/>
        <v>6.7911010558069397E-3</v>
      </c>
      <c r="P237" s="2633">
        <f>O237*M237</f>
        <v>2.7164404223227759E-2</v>
      </c>
      <c r="Q237" s="2634">
        <v>162</v>
      </c>
      <c r="R237" s="2630">
        <f t="shared" si="89"/>
        <v>800</v>
      </c>
      <c r="S237" s="73"/>
      <c r="T237" s="2162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  <c r="BG237" s="73"/>
    </row>
    <row r="238" spans="1:59">
      <c r="B238" s="60">
        <v>4</v>
      </c>
      <c r="C238" s="2621">
        <f t="shared" si="68"/>
        <v>2.1222190799396687E-4</v>
      </c>
      <c r="D238" s="2622">
        <v>3</v>
      </c>
      <c r="E238" s="2623">
        <v>1</v>
      </c>
      <c r="F238" s="2623">
        <v>10</v>
      </c>
      <c r="G238" s="2623">
        <v>100</v>
      </c>
      <c r="H238" s="2621"/>
      <c r="I238" s="2621">
        <v>2.8935185185185189E-4</v>
      </c>
      <c r="J238" s="2621">
        <v>1.3888888888888889E-3</v>
      </c>
      <c r="K238" s="2643" t="s">
        <v>1398</v>
      </c>
      <c r="L238" s="2624"/>
      <c r="M238" s="2625">
        <v>4</v>
      </c>
      <c r="N238" s="2621">
        <f t="shared" si="91"/>
        <v>3.8237912686442103E-2</v>
      </c>
      <c r="O238" s="2626">
        <f t="shared" si="92"/>
        <v>8.4888763197586746E-4</v>
      </c>
      <c r="P238" s="2626">
        <f>O238*M238</f>
        <v>3.3955505279034699E-3</v>
      </c>
      <c r="Q238" s="2627">
        <v>162</v>
      </c>
      <c r="R238" s="2623">
        <f t="shared" si="89"/>
        <v>1000</v>
      </c>
      <c r="S238" s="73"/>
      <c r="T238" s="2162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</row>
    <row r="239" spans="1:59" ht="14">
      <c r="C239" s="549"/>
      <c r="D239" s="888"/>
      <c r="E239" s="134"/>
      <c r="G239" s="135"/>
      <c r="H239" s="135"/>
      <c r="I239" s="135"/>
      <c r="J239" s="135"/>
      <c r="K239" s="313"/>
      <c r="L239" s="313"/>
      <c r="M239" s="511"/>
      <c r="O239" s="73"/>
      <c r="P239" s="73"/>
      <c r="Q239" s="783"/>
      <c r="R239" s="73">
        <f>SUM(R233:R238)</f>
        <v>5200</v>
      </c>
      <c r="S239" s="73"/>
      <c r="T239" s="2162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</row>
    <row r="240" spans="1:59">
      <c r="B240" s="60">
        <v>5</v>
      </c>
      <c r="C240" s="2635">
        <f>C$103</f>
        <v>2.1222190799396687E-4</v>
      </c>
      <c r="D240" s="2636">
        <v>3</v>
      </c>
      <c r="E240" s="2637">
        <v>1</v>
      </c>
      <c r="F240" s="2637">
        <v>8</v>
      </c>
      <c r="G240" s="2637">
        <v>100</v>
      </c>
      <c r="H240" s="2635"/>
      <c r="I240" s="2635">
        <v>3.4722222222222224E-4</v>
      </c>
      <c r="J240" s="2635">
        <v>1.3888888888888889E-3</v>
      </c>
      <c r="K240" s="2638" t="s">
        <v>1403</v>
      </c>
      <c r="L240" s="2639"/>
      <c r="M240" s="2640">
        <v>2</v>
      </c>
      <c r="N240" s="2635">
        <f t="shared" ref="N240:N241" si="93">P240*E240*F240+I240*E240*F240+J240*E240</f>
        <v>1.7748868778280545E-2</v>
      </c>
      <c r="O240" s="2641">
        <f t="shared" ref="O240:O241" si="94">C240*(G240/25)</f>
        <v>8.4888763197586746E-4</v>
      </c>
      <c r="P240" s="2641">
        <f>O240*M240</f>
        <v>1.6977752639517349E-3</v>
      </c>
      <c r="Q240" s="2642">
        <v>160</v>
      </c>
      <c r="R240" s="2637">
        <f t="shared" ref="R240:R245" si="95">E240*F240*G240</f>
        <v>800</v>
      </c>
      <c r="S240" s="73"/>
      <c r="T240" s="2162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</row>
    <row r="241" spans="2:59">
      <c r="B241" s="60">
        <v>5</v>
      </c>
      <c r="C241" s="2635">
        <f t="shared" ref="C241:C245" si="96">C$103</f>
        <v>2.1222190799396687E-4</v>
      </c>
      <c r="D241" s="2636">
        <v>3</v>
      </c>
      <c r="E241" s="2637">
        <v>1</v>
      </c>
      <c r="F241" s="2637">
        <v>10</v>
      </c>
      <c r="G241" s="2637">
        <v>50</v>
      </c>
      <c r="H241" s="2635"/>
      <c r="I241" s="2635">
        <v>3.4722222222222224E-4</v>
      </c>
      <c r="J241" s="2635">
        <v>1.3888888888888889E-3</v>
      </c>
      <c r="K241" s="2638" t="s">
        <v>1404</v>
      </c>
      <c r="L241" s="2639"/>
      <c r="M241" s="2640">
        <v>3</v>
      </c>
      <c r="N241" s="2635">
        <f t="shared" si="93"/>
        <v>1.7594425590749124E-2</v>
      </c>
      <c r="O241" s="2641">
        <f t="shared" si="94"/>
        <v>4.2444381598793373E-4</v>
      </c>
      <c r="P241" s="2641">
        <f>O241*M241</f>
        <v>1.2733314479638012E-3</v>
      </c>
      <c r="Q241" s="2642">
        <v>161</v>
      </c>
      <c r="R241" s="2637">
        <f t="shared" si="95"/>
        <v>500</v>
      </c>
      <c r="S241" s="73"/>
      <c r="T241" s="2162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</row>
    <row r="242" spans="2:59">
      <c r="B242" s="60">
        <v>5</v>
      </c>
      <c r="C242" s="2621">
        <f t="shared" si="96"/>
        <v>2.1222190799396687E-4</v>
      </c>
      <c r="D242" s="2622">
        <v>3</v>
      </c>
      <c r="E242" s="2623">
        <v>1</v>
      </c>
      <c r="F242" s="2623">
        <v>15</v>
      </c>
      <c r="G242" s="2656">
        <v>100</v>
      </c>
      <c r="H242" s="2621">
        <v>1.1574074074074073E-3</v>
      </c>
      <c r="I242" s="2621"/>
      <c r="J242" s="2621">
        <v>1.3888888888888889E-3</v>
      </c>
      <c r="K242" s="2643" t="s">
        <v>1405</v>
      </c>
      <c r="L242" s="2624"/>
      <c r="M242" s="2625">
        <v>1</v>
      </c>
      <c r="N242" s="2621">
        <f>H242*F242*E242</f>
        <v>1.7361111111111112E-2</v>
      </c>
      <c r="O242" s="2626">
        <f>C242*16*1.08</f>
        <v>3.6671945701357476E-3</v>
      </c>
      <c r="P242" s="2626">
        <f t="shared" ref="P242" si="97">O242*M242</f>
        <v>3.6671945701357476E-3</v>
      </c>
      <c r="Q242" s="2627">
        <v>153</v>
      </c>
      <c r="R242" s="2623">
        <f t="shared" si="95"/>
        <v>1500</v>
      </c>
      <c r="S242" s="73"/>
      <c r="T242" s="2162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</row>
    <row r="243" spans="2:59">
      <c r="B243" s="60">
        <v>5</v>
      </c>
      <c r="C243" s="2628">
        <f t="shared" si="96"/>
        <v>2.1222190799396687E-4</v>
      </c>
      <c r="D243" s="2629">
        <v>3</v>
      </c>
      <c r="E243" s="2630">
        <v>1</v>
      </c>
      <c r="F243" s="2630">
        <v>8</v>
      </c>
      <c r="G243" s="2630">
        <v>100</v>
      </c>
      <c r="H243" s="2628"/>
      <c r="I243" s="2628">
        <v>2.8935185185185189E-4</v>
      </c>
      <c r="J243" s="2628">
        <v>1.3888888888888889E-3</v>
      </c>
      <c r="K243" s="1969" t="s">
        <v>1390</v>
      </c>
      <c r="L243" s="2631"/>
      <c r="M243" s="2632">
        <v>3</v>
      </c>
      <c r="N243" s="2628">
        <f t="shared" ref="N243:N245" si="98">P243*E243*F243+I243*E243*F243+J243*E243</f>
        <v>2.4077006871124521E-2</v>
      </c>
      <c r="O243" s="2633">
        <f t="shared" ref="O243:O245" si="99">C243*(G243/25)</f>
        <v>8.4888763197586746E-4</v>
      </c>
      <c r="P243" s="2633">
        <f>O243*M243</f>
        <v>2.5466628959276024E-3</v>
      </c>
      <c r="Q243" s="2634">
        <v>161</v>
      </c>
      <c r="R243" s="2630">
        <f t="shared" si="95"/>
        <v>800</v>
      </c>
      <c r="S243" s="73"/>
      <c r="T243" s="2162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</row>
    <row r="244" spans="2:59">
      <c r="B244" s="60">
        <v>5</v>
      </c>
      <c r="C244" s="2628">
        <f t="shared" si="96"/>
        <v>2.1222190799396687E-4</v>
      </c>
      <c r="D244" s="2629">
        <v>3</v>
      </c>
      <c r="E244" s="2623">
        <v>1</v>
      </c>
      <c r="F244" s="2623">
        <v>16</v>
      </c>
      <c r="G244" s="2623">
        <v>50</v>
      </c>
      <c r="H244" s="2621"/>
      <c r="I244" s="2621">
        <v>2.8935185185185189E-4</v>
      </c>
      <c r="J244" s="2621">
        <v>1.3888888888888889E-3</v>
      </c>
      <c r="K244" s="2643" t="s">
        <v>1406</v>
      </c>
      <c r="L244" s="2624"/>
      <c r="M244" s="2625">
        <v>4</v>
      </c>
      <c r="N244" s="2621">
        <f t="shared" si="98"/>
        <v>3.3182922741746279E-2</v>
      </c>
      <c r="O244" s="2626">
        <f t="shared" si="99"/>
        <v>4.2444381598793373E-4</v>
      </c>
      <c r="P244" s="2626">
        <f>O244*M244</f>
        <v>1.6977752639517349E-3</v>
      </c>
      <c r="Q244" s="2627">
        <v>162</v>
      </c>
      <c r="R244" s="2623">
        <f t="shared" si="95"/>
        <v>800</v>
      </c>
      <c r="S244" s="73"/>
      <c r="T244" s="2162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</row>
    <row r="245" spans="2:59">
      <c r="B245" s="60">
        <v>5</v>
      </c>
      <c r="C245" s="2621">
        <f t="shared" si="96"/>
        <v>2.1222190799396687E-4</v>
      </c>
      <c r="D245" s="2622">
        <v>3</v>
      </c>
      <c r="E245" s="2623">
        <v>1</v>
      </c>
      <c r="F245" s="2623">
        <v>5</v>
      </c>
      <c r="G245" s="2623">
        <v>100</v>
      </c>
      <c r="H245" s="2621"/>
      <c r="I245" s="2621">
        <v>2.3148148148148146E-4</v>
      </c>
      <c r="J245" s="2621">
        <v>1.3888888888888889E-3</v>
      </c>
      <c r="K245" s="2643" t="s">
        <v>1398</v>
      </c>
      <c r="L245" s="2624"/>
      <c r="M245" s="2625">
        <v>4</v>
      </c>
      <c r="N245" s="2621">
        <f t="shared" si="98"/>
        <v>1.9524048935813641E-2</v>
      </c>
      <c r="O245" s="2626">
        <f t="shared" si="99"/>
        <v>8.4888763197586746E-4</v>
      </c>
      <c r="P245" s="2626">
        <f>O245*M245</f>
        <v>3.3955505279034699E-3</v>
      </c>
      <c r="Q245" s="2627">
        <v>162</v>
      </c>
      <c r="R245" s="2623">
        <f t="shared" si="95"/>
        <v>500</v>
      </c>
      <c r="S245" s="73"/>
      <c r="T245" s="2162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</row>
    <row r="246" spans="2:59" ht="18">
      <c r="C246" s="549"/>
      <c r="D246" s="888"/>
      <c r="E246" s="134"/>
      <c r="F246" s="294"/>
      <c r="G246" s="135"/>
      <c r="H246" s="135"/>
      <c r="I246" s="135"/>
      <c r="J246" s="135"/>
      <c r="K246" s="274">
        <f>IF(Test!E185,Test!E185/4,Test!D185/4)</f>
        <v>0</v>
      </c>
      <c r="L246" s="856"/>
      <c r="M246" s="508"/>
      <c r="N246" s="61"/>
      <c r="O246" s="61"/>
      <c r="P246" s="61"/>
      <c r="Q246" s="782">
        <f>IF(Test!E186,Test!E186,Test!D186)</f>
        <v>0</v>
      </c>
      <c r="R246" s="73">
        <f>SUM(R240:R245)</f>
        <v>4900</v>
      </c>
      <c r="S246" s="73"/>
      <c r="T246" s="2162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</row>
    <row r="247" spans="2:59" ht="14">
      <c r="C247" s="91"/>
      <c r="D247" s="896"/>
      <c r="E247" s="136"/>
      <c r="G247" s="137"/>
      <c r="H247" s="137"/>
      <c r="I247" s="137"/>
      <c r="J247" s="137"/>
      <c r="K247" s="318"/>
      <c r="L247" s="318"/>
      <c r="M247" s="515"/>
      <c r="O247" s="73"/>
      <c r="P247" s="73"/>
      <c r="Q247" s="783"/>
      <c r="R247" s="73"/>
      <c r="S247" s="73"/>
      <c r="T247" s="2162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</row>
    <row r="248" spans="2:59" ht="18">
      <c r="C248" s="91"/>
      <c r="D248" s="896"/>
      <c r="E248" s="136"/>
      <c r="F248" s="294"/>
      <c r="G248" s="137"/>
      <c r="H248" s="137"/>
      <c r="I248" s="137"/>
      <c r="J248" s="137"/>
      <c r="K248" s="274">
        <f>IF(Test!E41,Test!E41/4,Test!D41/4)</f>
        <v>1.7682291666666674E-4</v>
      </c>
      <c r="L248" s="856"/>
      <c r="M248" s="515"/>
      <c r="N248" s="137"/>
      <c r="O248" s="73"/>
      <c r="P248" s="73"/>
      <c r="Q248" s="782">
        <f>IF(Test!E42,Test!E42,Test!D42)</f>
        <v>179</v>
      </c>
      <c r="R248" s="73"/>
      <c r="S248" s="73"/>
      <c r="T248" s="2162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</row>
    <row r="249" spans="2:59" ht="18">
      <c r="C249" s="91"/>
      <c r="D249" s="896"/>
      <c r="E249" s="136"/>
      <c r="F249" s="294" t="s">
        <v>301</v>
      </c>
      <c r="G249" s="137"/>
      <c r="H249" s="137"/>
      <c r="I249" s="137"/>
      <c r="J249" s="137"/>
      <c r="K249" s="274">
        <f>IF(Test!G41,Test!G41/4,Test!F41/4)</f>
        <v>0</v>
      </c>
      <c r="L249" s="856"/>
      <c r="M249" s="515"/>
      <c r="N249" s="137"/>
      <c r="O249" s="73"/>
      <c r="P249" s="73"/>
      <c r="Q249" s="782">
        <f>IF(Test!G42,Test!G42,Test!F42)</f>
        <v>0</v>
      </c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</row>
    <row r="250" spans="2:59">
      <c r="C250" s="284"/>
      <c r="D250" s="893"/>
      <c r="E250" s="285" t="s">
        <v>362</v>
      </c>
      <c r="F250" s="286" t="s">
        <v>363</v>
      </c>
      <c r="G250" s="286" t="s">
        <v>364</v>
      </c>
      <c r="H250" s="531" t="s">
        <v>142</v>
      </c>
      <c r="I250" s="287" t="s">
        <v>365</v>
      </c>
      <c r="J250" s="287" t="s">
        <v>366</v>
      </c>
      <c r="K250" s="286" t="s">
        <v>367</v>
      </c>
      <c r="L250" s="286"/>
      <c r="M250" s="514"/>
      <c r="N250" s="287" t="s">
        <v>368</v>
      </c>
      <c r="P250" s="286" t="s">
        <v>276</v>
      </c>
      <c r="Q250" s="286" t="s">
        <v>370</v>
      </c>
      <c r="R250" s="288" t="s">
        <v>371</v>
      </c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</row>
    <row r="251" spans="2:59">
      <c r="C251" s="295">
        <f>IF(K249,K249,K248)</f>
        <v>1.7682291666666674E-4</v>
      </c>
      <c r="D251" s="897">
        <v>7</v>
      </c>
      <c r="E251" s="435">
        <v>2</v>
      </c>
      <c r="F251" s="435">
        <v>6</v>
      </c>
      <c r="G251" s="435">
        <v>5</v>
      </c>
      <c r="H251" s="436"/>
      <c r="I251" s="436">
        <v>2.3148148148148146E-4</v>
      </c>
      <c r="J251" s="437">
        <v>1.3888888888888889E-3</v>
      </c>
      <c r="K251" s="1187" t="s">
        <v>302</v>
      </c>
      <c r="L251" s="860"/>
      <c r="M251" s="516">
        <v>1</v>
      </c>
      <c r="N251" s="437">
        <f t="shared" ref="N251:N288" si="100">P251*E251*F251+I251*E251*F251+J251*E251</f>
        <v>5.979930555555556E-3</v>
      </c>
      <c r="O251" s="439">
        <f t="shared" ref="O251:O286" si="101">C251*(G251/25)</f>
        <v>3.5364583333333347E-5</v>
      </c>
      <c r="P251" s="587">
        <f>O251*M251</f>
        <v>3.5364583333333347E-5</v>
      </c>
      <c r="Q251" s="788">
        <v>179</v>
      </c>
      <c r="R251" s="435">
        <f t="shared" ref="R251:R288" si="102">E251*F251*G251</f>
        <v>60</v>
      </c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</row>
    <row r="252" spans="2:59">
      <c r="C252" s="293">
        <f>C$251</f>
        <v>1.7682291666666674E-4</v>
      </c>
      <c r="D252" s="897">
        <v>7</v>
      </c>
      <c r="E252" s="435">
        <v>2</v>
      </c>
      <c r="F252" s="435">
        <v>3</v>
      </c>
      <c r="G252" s="435">
        <v>10</v>
      </c>
      <c r="H252" s="436"/>
      <c r="I252" s="436">
        <v>6.9444444444444447E-4</v>
      </c>
      <c r="J252" s="437">
        <v>6.9444444444444447E-4</v>
      </c>
      <c r="K252" s="1187" t="s">
        <v>311</v>
      </c>
      <c r="L252" s="860"/>
      <c r="M252" s="516">
        <v>1</v>
      </c>
      <c r="N252" s="437">
        <f t="shared" si="100"/>
        <v>5.979930555555556E-3</v>
      </c>
      <c r="O252" s="439">
        <f t="shared" si="101"/>
        <v>7.0729166666666694E-5</v>
      </c>
      <c r="P252" s="587">
        <f t="shared" ref="P252:P288" si="103">O252*M252</f>
        <v>7.0729166666666694E-5</v>
      </c>
      <c r="Q252" s="788">
        <v>179</v>
      </c>
      <c r="R252" s="435">
        <f t="shared" si="102"/>
        <v>60</v>
      </c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  <c r="BE252" s="73"/>
      <c r="BF252" s="73"/>
      <c r="BG252" s="73"/>
    </row>
    <row r="253" spans="2:59">
      <c r="C253" s="293">
        <f t="shared" ref="C253:C288" si="104">C$251</f>
        <v>1.7682291666666674E-4</v>
      </c>
      <c r="D253" s="897">
        <v>7</v>
      </c>
      <c r="E253" s="435">
        <v>2</v>
      </c>
      <c r="F253" s="435">
        <v>5</v>
      </c>
      <c r="G253" s="435">
        <v>7.5</v>
      </c>
      <c r="H253" s="436"/>
      <c r="I253" s="436">
        <v>2.8935185185185189E-4</v>
      </c>
      <c r="J253" s="437">
        <v>1.3888888888888889E-3</v>
      </c>
      <c r="K253" s="1187" t="s">
        <v>306</v>
      </c>
      <c r="L253" s="860"/>
      <c r="M253" s="516">
        <v>1</v>
      </c>
      <c r="N253" s="437">
        <f t="shared" si="100"/>
        <v>6.2017650462962964E-3</v>
      </c>
      <c r="O253" s="439">
        <f t="shared" si="101"/>
        <v>5.3046875000000021E-5</v>
      </c>
      <c r="P253" s="587">
        <f t="shared" si="103"/>
        <v>5.3046875000000021E-5</v>
      </c>
      <c r="Q253" s="788">
        <v>179</v>
      </c>
      <c r="R253" s="435">
        <f t="shared" si="102"/>
        <v>75</v>
      </c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  <c r="BE253" s="73"/>
      <c r="BF253" s="73"/>
      <c r="BG253" s="73"/>
    </row>
    <row r="254" spans="2:59">
      <c r="C254" s="293">
        <f t="shared" si="104"/>
        <v>1.7682291666666674E-4</v>
      </c>
      <c r="D254" s="897">
        <v>7</v>
      </c>
      <c r="E254" s="435">
        <v>2</v>
      </c>
      <c r="F254" s="435">
        <v>8</v>
      </c>
      <c r="G254" s="435">
        <v>5</v>
      </c>
      <c r="H254" s="436"/>
      <c r="I254" s="436">
        <v>1.7361111111111112E-4</v>
      </c>
      <c r="J254" s="437">
        <v>1.3888888888888889E-3</v>
      </c>
      <c r="K254" s="1187" t="s">
        <v>303</v>
      </c>
      <c r="L254" s="860"/>
      <c r="M254" s="516">
        <v>1</v>
      </c>
      <c r="N254" s="437">
        <f t="shared" si="100"/>
        <v>6.1213888888888898E-3</v>
      </c>
      <c r="O254" s="439">
        <f t="shared" si="101"/>
        <v>3.5364583333333347E-5</v>
      </c>
      <c r="P254" s="587">
        <f t="shared" si="103"/>
        <v>3.5364583333333347E-5</v>
      </c>
      <c r="Q254" s="788">
        <v>179</v>
      </c>
      <c r="R254" s="435">
        <f t="shared" si="102"/>
        <v>80</v>
      </c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</row>
    <row r="255" spans="2:59">
      <c r="C255" s="293">
        <f t="shared" si="104"/>
        <v>1.7682291666666674E-4</v>
      </c>
      <c r="D255" s="897">
        <v>7</v>
      </c>
      <c r="E255" s="435">
        <v>2</v>
      </c>
      <c r="F255" s="435">
        <v>4</v>
      </c>
      <c r="G255" s="435">
        <v>10</v>
      </c>
      <c r="H255" s="436"/>
      <c r="I255" s="436">
        <v>4.6296296296296293E-4</v>
      </c>
      <c r="J255" s="437">
        <v>6.9444444444444447E-4</v>
      </c>
      <c r="K255" s="1187" t="s">
        <v>312</v>
      </c>
      <c r="L255" s="860"/>
      <c r="M255" s="516">
        <v>1</v>
      </c>
      <c r="N255" s="437">
        <f t="shared" si="100"/>
        <v>5.6584259259259261E-3</v>
      </c>
      <c r="O255" s="439">
        <f t="shared" si="101"/>
        <v>7.0729166666666694E-5</v>
      </c>
      <c r="P255" s="587">
        <f t="shared" si="103"/>
        <v>7.0729166666666694E-5</v>
      </c>
      <c r="Q255" s="788">
        <v>179</v>
      </c>
      <c r="R255" s="435">
        <f t="shared" si="102"/>
        <v>80</v>
      </c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</row>
    <row r="256" spans="2:59">
      <c r="C256" s="293">
        <f t="shared" si="104"/>
        <v>1.7682291666666674E-4</v>
      </c>
      <c r="D256" s="897">
        <v>7</v>
      </c>
      <c r="E256" s="435">
        <v>1</v>
      </c>
      <c r="F256" s="435">
        <v>4</v>
      </c>
      <c r="G256" s="435">
        <v>25</v>
      </c>
      <c r="H256" s="436"/>
      <c r="I256" s="436">
        <v>4.6296296296296293E-4</v>
      </c>
      <c r="J256" s="437">
        <v>1.3888888888888889E-3</v>
      </c>
      <c r="K256" s="1187" t="s">
        <v>411</v>
      </c>
      <c r="L256" s="860"/>
      <c r="M256" s="516">
        <v>1</v>
      </c>
      <c r="N256" s="437">
        <f t="shared" si="100"/>
        <v>3.9480324074074079E-3</v>
      </c>
      <c r="O256" s="439">
        <f t="shared" si="101"/>
        <v>1.7682291666666674E-4</v>
      </c>
      <c r="P256" s="587">
        <f t="shared" si="103"/>
        <v>1.7682291666666674E-4</v>
      </c>
      <c r="Q256" s="788">
        <v>179</v>
      </c>
      <c r="R256" s="435">
        <f t="shared" si="102"/>
        <v>100</v>
      </c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</row>
    <row r="257" spans="3:59">
      <c r="C257" s="293">
        <f t="shared" si="104"/>
        <v>1.7682291666666674E-4</v>
      </c>
      <c r="D257" s="897">
        <v>7</v>
      </c>
      <c r="E257" s="563">
        <v>1</v>
      </c>
      <c r="F257" s="563">
        <v>2</v>
      </c>
      <c r="G257" s="563">
        <v>50</v>
      </c>
      <c r="H257" s="434"/>
      <c r="I257" s="434">
        <v>1.3888888888888889E-3</v>
      </c>
      <c r="J257" s="465">
        <v>0</v>
      </c>
      <c r="K257" s="1382" t="s">
        <v>315</v>
      </c>
      <c r="L257" s="861"/>
      <c r="M257" s="564">
        <v>1</v>
      </c>
      <c r="N257" s="465">
        <f t="shared" si="100"/>
        <v>3.4992152777777782E-3</v>
      </c>
      <c r="O257" s="439">
        <f>C257*(G257/25)*1.02</f>
        <v>3.6071875000000015E-4</v>
      </c>
      <c r="P257" s="587">
        <f t="shared" si="103"/>
        <v>3.6071875000000015E-4</v>
      </c>
      <c r="Q257" s="788">
        <v>179</v>
      </c>
      <c r="R257" s="435">
        <f t="shared" si="102"/>
        <v>100</v>
      </c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</row>
    <row r="258" spans="3:59">
      <c r="C258" s="293">
        <f t="shared" si="104"/>
        <v>1.7682291666666674E-4</v>
      </c>
      <c r="D258" s="897">
        <v>7</v>
      </c>
      <c r="E258" s="435">
        <v>4</v>
      </c>
      <c r="F258" s="435">
        <v>6</v>
      </c>
      <c r="G258" s="435">
        <v>5</v>
      </c>
      <c r="H258" s="436"/>
      <c r="I258" s="436">
        <v>6.9444444444444447E-4</v>
      </c>
      <c r="J258" s="437">
        <v>1.3888888888888889E-3</v>
      </c>
      <c r="K258" s="1187" t="s">
        <v>304</v>
      </c>
      <c r="L258" s="860"/>
      <c r="M258" s="516">
        <v>1</v>
      </c>
      <c r="N258" s="437">
        <f t="shared" si="100"/>
        <v>2.3070972222222222E-2</v>
      </c>
      <c r="O258" s="439">
        <f t="shared" si="101"/>
        <v>3.5364583333333347E-5</v>
      </c>
      <c r="P258" s="587">
        <f t="shared" si="103"/>
        <v>3.5364583333333347E-5</v>
      </c>
      <c r="Q258" s="788">
        <v>179</v>
      </c>
      <c r="R258" s="435">
        <f t="shared" si="102"/>
        <v>120</v>
      </c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</row>
    <row r="259" spans="3:59">
      <c r="C259" s="293">
        <f t="shared" si="104"/>
        <v>1.7682291666666674E-4</v>
      </c>
      <c r="D259" s="897">
        <v>7</v>
      </c>
      <c r="E259" s="435">
        <v>2</v>
      </c>
      <c r="F259" s="435">
        <v>8</v>
      </c>
      <c r="G259" s="435">
        <v>7.5</v>
      </c>
      <c r="H259" s="436"/>
      <c r="I259" s="436">
        <v>3.4722222222222224E-4</v>
      </c>
      <c r="J259" s="437">
        <v>6.9444444444444447E-4</v>
      </c>
      <c r="K259" s="1187" t="s">
        <v>307</v>
      </c>
      <c r="L259" s="860"/>
      <c r="M259" s="516">
        <v>1</v>
      </c>
      <c r="N259" s="437">
        <f t="shared" si="100"/>
        <v>7.7931944444444455E-3</v>
      </c>
      <c r="O259" s="439">
        <f t="shared" si="101"/>
        <v>5.3046875000000021E-5</v>
      </c>
      <c r="P259" s="587">
        <f t="shared" si="103"/>
        <v>5.3046875000000021E-5</v>
      </c>
      <c r="Q259" s="788">
        <v>179</v>
      </c>
      <c r="R259" s="435">
        <f t="shared" si="102"/>
        <v>120</v>
      </c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</row>
    <row r="260" spans="3:59">
      <c r="C260" s="293">
        <f t="shared" si="104"/>
        <v>1.7682291666666674E-4</v>
      </c>
      <c r="D260" s="897">
        <v>7</v>
      </c>
      <c r="E260" s="435">
        <v>2</v>
      </c>
      <c r="F260" s="435">
        <v>4</v>
      </c>
      <c r="G260" s="435">
        <v>15</v>
      </c>
      <c r="H260" s="436"/>
      <c r="I260" s="436">
        <v>3.4722222222222224E-4</v>
      </c>
      <c r="J260" s="437">
        <v>6.9444444444444447E-4</v>
      </c>
      <c r="K260" s="1187" t="s">
        <v>407</v>
      </c>
      <c r="L260" s="860"/>
      <c r="M260" s="516">
        <v>1</v>
      </c>
      <c r="N260" s="437">
        <f t="shared" si="100"/>
        <v>5.0154166666666672E-3</v>
      </c>
      <c r="O260" s="439">
        <f t="shared" si="101"/>
        <v>1.0609375000000004E-4</v>
      </c>
      <c r="P260" s="587">
        <f t="shared" si="103"/>
        <v>1.0609375000000004E-4</v>
      </c>
      <c r="Q260" s="788">
        <v>179</v>
      </c>
      <c r="R260" s="435">
        <f t="shared" si="102"/>
        <v>120</v>
      </c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  <c r="BE260" s="73"/>
      <c r="BF260" s="73"/>
      <c r="BG260" s="73"/>
    </row>
    <row r="261" spans="3:59">
      <c r="C261" s="293">
        <f t="shared" si="104"/>
        <v>1.7682291666666674E-4</v>
      </c>
      <c r="D261" s="897">
        <v>7</v>
      </c>
      <c r="E261" s="441">
        <v>4</v>
      </c>
      <c r="F261" s="441">
        <v>5</v>
      </c>
      <c r="G261" s="441">
        <v>7.5</v>
      </c>
      <c r="H261" s="436"/>
      <c r="I261" s="436">
        <v>2.8935185185185189E-4</v>
      </c>
      <c r="J261" s="437">
        <v>6.9444444444444447E-4</v>
      </c>
      <c r="K261" s="1201" t="s">
        <v>308</v>
      </c>
      <c r="L261" s="442"/>
      <c r="M261" s="517">
        <v>1</v>
      </c>
      <c r="N261" s="437">
        <f t="shared" si="100"/>
        <v>9.6257523148148161E-3</v>
      </c>
      <c r="O261" s="439">
        <f t="shared" si="101"/>
        <v>5.3046875000000021E-5</v>
      </c>
      <c r="P261" s="587">
        <f t="shared" si="103"/>
        <v>5.3046875000000021E-5</v>
      </c>
      <c r="Q261" s="788">
        <v>179</v>
      </c>
      <c r="R261" s="435">
        <f t="shared" si="102"/>
        <v>150</v>
      </c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</row>
    <row r="262" spans="3:59">
      <c r="C262" s="293">
        <f t="shared" si="104"/>
        <v>1.7682291666666674E-4</v>
      </c>
      <c r="D262" s="897">
        <v>7</v>
      </c>
      <c r="E262" s="441">
        <v>4</v>
      </c>
      <c r="F262" s="441">
        <v>8</v>
      </c>
      <c r="G262" s="441">
        <v>5</v>
      </c>
      <c r="H262" s="436"/>
      <c r="I262" s="436">
        <v>3.4722222222222224E-4</v>
      </c>
      <c r="J262" s="437">
        <v>6.9444444444444447E-4</v>
      </c>
      <c r="K262" s="1201" t="s">
        <v>305</v>
      </c>
      <c r="L262" s="442"/>
      <c r="M262" s="517">
        <v>1</v>
      </c>
      <c r="N262" s="437">
        <f t="shared" si="100"/>
        <v>1.5020555555555558E-2</v>
      </c>
      <c r="O262" s="439">
        <f t="shared" si="101"/>
        <v>3.5364583333333347E-5</v>
      </c>
      <c r="P262" s="587">
        <f t="shared" si="103"/>
        <v>3.5364583333333347E-5</v>
      </c>
      <c r="Q262" s="788">
        <v>179</v>
      </c>
      <c r="R262" s="435">
        <f>E262*F262*G262</f>
        <v>160</v>
      </c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  <c r="BE262" s="73"/>
      <c r="BF262" s="73"/>
      <c r="BG262" s="73"/>
    </row>
    <row r="263" spans="3:59">
      <c r="C263" s="293">
        <f t="shared" si="104"/>
        <v>1.7682291666666674E-4</v>
      </c>
      <c r="D263" s="897">
        <v>7</v>
      </c>
      <c r="E263" s="441">
        <v>4</v>
      </c>
      <c r="F263" s="441">
        <v>4</v>
      </c>
      <c r="G263" s="441">
        <v>10</v>
      </c>
      <c r="H263" s="436"/>
      <c r="I263" s="436">
        <v>1.0416666666666667E-3</v>
      </c>
      <c r="J263" s="436">
        <v>6.9444444444444447E-4</v>
      </c>
      <c r="K263" s="1201" t="s">
        <v>313</v>
      </c>
      <c r="L263" s="442"/>
      <c r="M263" s="517">
        <v>1</v>
      </c>
      <c r="N263" s="436">
        <f t="shared" si="100"/>
        <v>2.0576111111111111E-2</v>
      </c>
      <c r="O263" s="439">
        <f t="shared" si="101"/>
        <v>7.0729166666666694E-5</v>
      </c>
      <c r="P263" s="587">
        <f t="shared" si="103"/>
        <v>7.0729166666666694E-5</v>
      </c>
      <c r="Q263" s="788">
        <v>179</v>
      </c>
      <c r="R263" s="435">
        <f>E263*F263*G263</f>
        <v>160</v>
      </c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  <c r="BE263" s="73"/>
      <c r="BF263" s="73"/>
      <c r="BG263" s="73"/>
    </row>
    <row r="264" spans="3:59" ht="12.75" customHeight="1">
      <c r="C264" s="293">
        <f t="shared" si="104"/>
        <v>1.7682291666666674E-4</v>
      </c>
      <c r="D264" s="897">
        <v>7</v>
      </c>
      <c r="E264" s="441">
        <v>4</v>
      </c>
      <c r="F264" s="441">
        <v>6</v>
      </c>
      <c r="G264" s="441">
        <v>7.5</v>
      </c>
      <c r="H264" s="436"/>
      <c r="I264" s="436">
        <v>2.3148148148148146E-4</v>
      </c>
      <c r="J264" s="436">
        <v>6.9444444444444447E-4</v>
      </c>
      <c r="K264" s="1201" t="s">
        <v>309</v>
      </c>
      <c r="L264" s="442"/>
      <c r="M264" s="517">
        <v>1</v>
      </c>
      <c r="N264" s="436">
        <f t="shared" si="100"/>
        <v>9.6064583333333332E-3</v>
      </c>
      <c r="O264" s="439">
        <f t="shared" si="101"/>
        <v>5.3046875000000021E-5</v>
      </c>
      <c r="P264" s="587">
        <f t="shared" si="103"/>
        <v>5.3046875000000021E-5</v>
      </c>
      <c r="Q264" s="788">
        <v>179</v>
      </c>
      <c r="R264" s="435">
        <f t="shared" si="102"/>
        <v>180</v>
      </c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  <c r="BE264" s="73"/>
      <c r="BF264" s="73"/>
      <c r="BG264" s="73"/>
    </row>
    <row r="265" spans="3:59">
      <c r="C265" s="293">
        <f t="shared" si="104"/>
        <v>1.7682291666666674E-4</v>
      </c>
      <c r="D265" s="897">
        <v>7</v>
      </c>
      <c r="E265" s="441">
        <v>4</v>
      </c>
      <c r="F265" s="441">
        <v>3</v>
      </c>
      <c r="G265" s="441">
        <v>15</v>
      </c>
      <c r="H265" s="436"/>
      <c r="I265" s="436">
        <v>1.0416666666666667E-3</v>
      </c>
      <c r="J265" s="436">
        <v>6.9444444444444447E-4</v>
      </c>
      <c r="K265" s="1201" t="s">
        <v>317</v>
      </c>
      <c r="L265" s="442"/>
      <c r="M265" s="517">
        <v>1</v>
      </c>
      <c r="N265" s="436">
        <f t="shared" si="100"/>
        <v>1.6550902777777779E-2</v>
      </c>
      <c r="O265" s="439">
        <f t="shared" si="101"/>
        <v>1.0609375000000004E-4</v>
      </c>
      <c r="P265" s="587">
        <f t="shared" si="103"/>
        <v>1.0609375000000004E-4</v>
      </c>
      <c r="Q265" s="788">
        <v>179</v>
      </c>
      <c r="R265" s="435">
        <f t="shared" si="102"/>
        <v>180</v>
      </c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</row>
    <row r="266" spans="3:59">
      <c r="C266" s="293">
        <f t="shared" si="104"/>
        <v>1.7682291666666674E-4</v>
      </c>
      <c r="D266" s="897">
        <v>7</v>
      </c>
      <c r="E266" s="441">
        <v>4</v>
      </c>
      <c r="F266" s="441">
        <v>3</v>
      </c>
      <c r="G266" s="441">
        <v>15</v>
      </c>
      <c r="H266" s="436"/>
      <c r="I266" s="436">
        <v>6.9444444444444447E-4</v>
      </c>
      <c r="J266" s="437">
        <v>6.9444444444444447E-4</v>
      </c>
      <c r="K266" s="1201" t="s">
        <v>318</v>
      </c>
      <c r="L266" s="442"/>
      <c r="M266" s="517">
        <v>1</v>
      </c>
      <c r="N266" s="437">
        <f t="shared" si="100"/>
        <v>1.2384236111111111E-2</v>
      </c>
      <c r="O266" s="439">
        <f t="shared" si="101"/>
        <v>1.0609375000000004E-4</v>
      </c>
      <c r="P266" s="587">
        <f t="shared" si="103"/>
        <v>1.0609375000000004E-4</v>
      </c>
      <c r="Q266" s="788">
        <v>179</v>
      </c>
      <c r="R266" s="435">
        <f t="shared" si="102"/>
        <v>180</v>
      </c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</row>
    <row r="267" spans="3:59">
      <c r="C267" s="293">
        <f t="shared" si="104"/>
        <v>1.7682291666666674E-4</v>
      </c>
      <c r="D267" s="897">
        <v>7</v>
      </c>
      <c r="E267" s="444">
        <v>1</v>
      </c>
      <c r="F267" s="444">
        <v>15</v>
      </c>
      <c r="G267" s="444">
        <v>12.5</v>
      </c>
      <c r="H267" s="434"/>
      <c r="I267" s="434">
        <v>6.9444444444444447E-4</v>
      </c>
      <c r="J267" s="465">
        <v>0</v>
      </c>
      <c r="K267" s="1333" t="s">
        <v>315</v>
      </c>
      <c r="L267" s="445"/>
      <c r="M267" s="518">
        <v>1</v>
      </c>
      <c r="N267" s="465">
        <f t="shared" si="100"/>
        <v>1.1742838541666668E-2</v>
      </c>
      <c r="O267" s="439">
        <f t="shared" si="101"/>
        <v>8.8411458333333368E-5</v>
      </c>
      <c r="P267" s="587">
        <f t="shared" si="103"/>
        <v>8.8411458333333368E-5</v>
      </c>
      <c r="Q267" s="788">
        <v>179</v>
      </c>
      <c r="R267" s="435">
        <f>E267*F267*G267</f>
        <v>187.5</v>
      </c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  <c r="BE267" s="73"/>
      <c r="BF267" s="73"/>
      <c r="BG267" s="73"/>
    </row>
    <row r="268" spans="3:59">
      <c r="C268" s="293">
        <f t="shared" si="104"/>
        <v>1.7682291666666674E-4</v>
      </c>
      <c r="D268" s="897">
        <v>7</v>
      </c>
      <c r="E268" s="441">
        <v>4</v>
      </c>
      <c r="F268" s="441">
        <v>5</v>
      </c>
      <c r="G268" s="441">
        <v>10</v>
      </c>
      <c r="H268" s="436"/>
      <c r="I268" s="436">
        <v>6.9444444444444447E-4</v>
      </c>
      <c r="J268" s="437">
        <v>1.3888888888888889E-3</v>
      </c>
      <c r="K268" s="1201" t="s">
        <v>314</v>
      </c>
      <c r="L268" s="442"/>
      <c r="M268" s="517">
        <v>1</v>
      </c>
      <c r="N268" s="437">
        <f t="shared" si="100"/>
        <v>2.0859027777777778E-2</v>
      </c>
      <c r="O268" s="439">
        <f t="shared" si="101"/>
        <v>7.0729166666666694E-5</v>
      </c>
      <c r="P268" s="587">
        <f t="shared" si="103"/>
        <v>7.0729166666666694E-5</v>
      </c>
      <c r="Q268" s="788">
        <v>179</v>
      </c>
      <c r="R268" s="435">
        <f>E268*F268*G268</f>
        <v>200</v>
      </c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  <c r="BE268" s="73"/>
      <c r="BF268" s="73"/>
      <c r="BG268" s="73"/>
    </row>
    <row r="269" spans="3:59">
      <c r="C269" s="293">
        <f t="shared" si="104"/>
        <v>1.7682291666666674E-4</v>
      </c>
      <c r="D269" s="897">
        <v>7</v>
      </c>
      <c r="E269" s="444">
        <v>1</v>
      </c>
      <c r="F269" s="444">
        <v>8</v>
      </c>
      <c r="G269" s="444">
        <v>25</v>
      </c>
      <c r="H269" s="434"/>
      <c r="I269" s="436">
        <v>6.9444444444444447E-4</v>
      </c>
      <c r="J269" s="465">
        <v>0</v>
      </c>
      <c r="K269" s="1333" t="s">
        <v>315</v>
      </c>
      <c r="L269" s="445"/>
      <c r="M269" s="518">
        <v>1</v>
      </c>
      <c r="N269" s="465">
        <f t="shared" si="100"/>
        <v>6.9701388888888894E-3</v>
      </c>
      <c r="O269" s="439">
        <f t="shared" si="101"/>
        <v>1.7682291666666674E-4</v>
      </c>
      <c r="P269" s="587">
        <f t="shared" si="103"/>
        <v>1.7682291666666674E-4</v>
      </c>
      <c r="Q269" s="788">
        <v>179</v>
      </c>
      <c r="R269" s="435">
        <f t="shared" si="102"/>
        <v>200</v>
      </c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  <c r="BE269" s="73"/>
      <c r="BF269" s="73"/>
      <c r="BG269" s="73"/>
    </row>
    <row r="270" spans="3:59">
      <c r="C270" s="293">
        <f t="shared" si="104"/>
        <v>1.7682291666666674E-4</v>
      </c>
      <c r="D270" s="897">
        <v>7</v>
      </c>
      <c r="E270" s="444">
        <v>1</v>
      </c>
      <c r="F270" s="444">
        <v>4</v>
      </c>
      <c r="G270" s="444">
        <v>50</v>
      </c>
      <c r="H270" s="434"/>
      <c r="I270" s="434">
        <v>3.4722222222222224E-4</v>
      </c>
      <c r="J270" s="465">
        <v>0</v>
      </c>
      <c r="K270" s="1333" t="s">
        <v>315</v>
      </c>
      <c r="L270" s="445"/>
      <c r="M270" s="518">
        <v>1</v>
      </c>
      <c r="N270" s="465">
        <f t="shared" si="100"/>
        <v>2.8317638888888897E-3</v>
      </c>
      <c r="O270" s="439">
        <f>C270*(G270/25)*1.02</f>
        <v>3.6071875000000015E-4</v>
      </c>
      <c r="P270" s="587">
        <f t="shared" si="103"/>
        <v>3.6071875000000015E-4</v>
      </c>
      <c r="Q270" s="788">
        <v>179</v>
      </c>
      <c r="R270" s="435">
        <f t="shared" si="102"/>
        <v>200</v>
      </c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  <c r="BE270" s="73"/>
      <c r="BF270" s="73"/>
      <c r="BG270" s="73"/>
    </row>
    <row r="271" spans="3:59">
      <c r="C271" s="293">
        <f t="shared" si="104"/>
        <v>1.7682291666666674E-4</v>
      </c>
      <c r="D271" s="897">
        <v>7</v>
      </c>
      <c r="E271" s="441">
        <v>4</v>
      </c>
      <c r="F271" s="441">
        <v>8</v>
      </c>
      <c r="G271" s="441">
        <v>7.5</v>
      </c>
      <c r="H271" s="436"/>
      <c r="I271" s="436">
        <v>1.7361111111111112E-4</v>
      </c>
      <c r="J271" s="436">
        <v>6.9444444444444447E-4</v>
      </c>
      <c r="K271" s="1201" t="s">
        <v>310</v>
      </c>
      <c r="L271" s="442"/>
      <c r="M271" s="517">
        <v>1</v>
      </c>
      <c r="N271" s="436">
        <f t="shared" si="100"/>
        <v>1.0030833333333334E-2</v>
      </c>
      <c r="O271" s="439">
        <f t="shared" si="101"/>
        <v>5.3046875000000021E-5</v>
      </c>
      <c r="P271" s="587">
        <f t="shared" si="103"/>
        <v>5.3046875000000021E-5</v>
      </c>
      <c r="Q271" s="788">
        <v>179</v>
      </c>
      <c r="R271" s="435">
        <f t="shared" si="102"/>
        <v>240</v>
      </c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  <c r="BE271" s="73"/>
      <c r="BF271" s="73"/>
      <c r="BG271" s="73"/>
    </row>
    <row r="272" spans="3:59">
      <c r="C272" s="293">
        <f t="shared" si="104"/>
        <v>1.7682291666666674E-4</v>
      </c>
      <c r="D272" s="897">
        <v>7</v>
      </c>
      <c r="E272" s="441">
        <v>4</v>
      </c>
      <c r="F272" s="441">
        <v>4</v>
      </c>
      <c r="G272" s="441">
        <v>15</v>
      </c>
      <c r="H272" s="436"/>
      <c r="I272" s="436">
        <v>1.0416666666666667E-3</v>
      </c>
      <c r="J272" s="436">
        <v>6.9444444444444447E-4</v>
      </c>
      <c r="K272" s="1201" t="s">
        <v>319</v>
      </c>
      <c r="L272" s="442"/>
      <c r="M272" s="517">
        <v>1</v>
      </c>
      <c r="N272" s="436">
        <f t="shared" si="100"/>
        <v>2.1141944444444446E-2</v>
      </c>
      <c r="O272" s="439">
        <f t="shared" si="101"/>
        <v>1.0609375000000004E-4</v>
      </c>
      <c r="P272" s="587">
        <f t="shared" si="103"/>
        <v>1.0609375000000004E-4</v>
      </c>
      <c r="Q272" s="788">
        <v>179</v>
      </c>
      <c r="R272" s="435">
        <f t="shared" si="102"/>
        <v>240</v>
      </c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  <c r="BE272" s="73"/>
      <c r="BF272" s="73"/>
      <c r="BG272" s="73"/>
    </row>
    <row r="273" spans="3:59">
      <c r="C273" s="293">
        <f t="shared" si="104"/>
        <v>1.7682291666666674E-4</v>
      </c>
      <c r="D273" s="897">
        <v>7</v>
      </c>
      <c r="E273" s="441">
        <v>4</v>
      </c>
      <c r="F273" s="441">
        <v>4</v>
      </c>
      <c r="G273" s="441">
        <v>15</v>
      </c>
      <c r="H273" s="436"/>
      <c r="I273" s="436">
        <v>4.6296296296296293E-4</v>
      </c>
      <c r="J273" s="436">
        <v>6.9444444444444447E-4</v>
      </c>
      <c r="K273" s="1201" t="s">
        <v>408</v>
      </c>
      <c r="L273" s="442"/>
      <c r="M273" s="517">
        <v>1</v>
      </c>
      <c r="N273" s="436">
        <f t="shared" si="100"/>
        <v>1.1882685185185185E-2</v>
      </c>
      <c r="O273" s="439">
        <f t="shared" si="101"/>
        <v>1.0609375000000004E-4</v>
      </c>
      <c r="P273" s="587">
        <f t="shared" si="103"/>
        <v>1.0609375000000004E-4</v>
      </c>
      <c r="Q273" s="788">
        <v>179</v>
      </c>
      <c r="R273" s="435">
        <f t="shared" si="102"/>
        <v>240</v>
      </c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  <c r="BE273" s="73"/>
      <c r="BF273" s="73"/>
      <c r="BG273" s="73"/>
    </row>
    <row r="274" spans="3:59">
      <c r="C274" s="293">
        <f t="shared" si="104"/>
        <v>1.7682291666666674E-4</v>
      </c>
      <c r="D274" s="897">
        <v>7</v>
      </c>
      <c r="E274" s="444">
        <v>1</v>
      </c>
      <c r="F274" s="444">
        <v>12</v>
      </c>
      <c r="G274" s="444">
        <v>20</v>
      </c>
      <c r="H274" s="434"/>
      <c r="I274" s="434">
        <v>4.6296296296296293E-4</v>
      </c>
      <c r="J274" s="434">
        <v>2.0833333333333333E-3</v>
      </c>
      <c r="K274" s="1383" t="s">
        <v>409</v>
      </c>
      <c r="L274" s="447"/>
      <c r="M274" s="519">
        <v>1</v>
      </c>
      <c r="N274" s="434">
        <f t="shared" si="100"/>
        <v>9.3363888888888889E-3</v>
      </c>
      <c r="O274" s="439">
        <f t="shared" si="101"/>
        <v>1.4145833333333339E-4</v>
      </c>
      <c r="P274" s="587">
        <f t="shared" si="103"/>
        <v>1.4145833333333339E-4</v>
      </c>
      <c r="Q274" s="788">
        <v>179</v>
      </c>
      <c r="R274" s="435">
        <f t="shared" si="102"/>
        <v>240</v>
      </c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  <c r="BE274" s="73"/>
      <c r="BF274" s="73"/>
      <c r="BG274" s="73"/>
    </row>
    <row r="275" spans="3:59">
      <c r="C275" s="293">
        <f t="shared" si="104"/>
        <v>1.7682291666666674E-4</v>
      </c>
      <c r="D275" s="897">
        <v>7</v>
      </c>
      <c r="E275" s="441">
        <v>2</v>
      </c>
      <c r="F275" s="441">
        <v>3</v>
      </c>
      <c r="G275" s="441">
        <v>40</v>
      </c>
      <c r="H275" s="436"/>
      <c r="I275" s="436">
        <v>6.9444444444444447E-4</v>
      </c>
      <c r="J275" s="436">
        <v>2.0833333333333333E-3</v>
      </c>
      <c r="K275" s="1201" t="s">
        <v>414</v>
      </c>
      <c r="L275" s="442"/>
      <c r="M275" s="517">
        <v>1</v>
      </c>
      <c r="N275" s="436">
        <f t="shared" si="100"/>
        <v>1.0030833333333333E-2</v>
      </c>
      <c r="O275" s="439">
        <f t="shared" si="101"/>
        <v>2.8291666666666678E-4</v>
      </c>
      <c r="P275" s="587">
        <f t="shared" si="103"/>
        <v>2.8291666666666678E-4</v>
      </c>
      <c r="Q275" s="788">
        <v>179</v>
      </c>
      <c r="R275" s="435">
        <f t="shared" si="102"/>
        <v>240</v>
      </c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</row>
    <row r="276" spans="3:59">
      <c r="C276" s="293">
        <f t="shared" si="104"/>
        <v>1.7682291666666674E-4</v>
      </c>
      <c r="D276" s="897">
        <v>7</v>
      </c>
      <c r="E276" s="441">
        <v>2</v>
      </c>
      <c r="F276" s="441">
        <v>6</v>
      </c>
      <c r="G276" s="441">
        <v>25</v>
      </c>
      <c r="H276" s="436"/>
      <c r="I276" s="436">
        <v>4.6296296296296293E-4</v>
      </c>
      <c r="J276" s="436">
        <v>1.3888888888888889E-3</v>
      </c>
      <c r="K276" s="1201" t="s">
        <v>411</v>
      </c>
      <c r="L276" s="442"/>
      <c r="M276" s="517">
        <v>1</v>
      </c>
      <c r="N276" s="436">
        <f t="shared" si="100"/>
        <v>1.0455208333333334E-2</v>
      </c>
      <c r="O276" s="439">
        <f t="shared" si="101"/>
        <v>1.7682291666666674E-4</v>
      </c>
      <c r="P276" s="587">
        <f t="shared" si="103"/>
        <v>1.7682291666666674E-4</v>
      </c>
      <c r="Q276" s="788">
        <v>179</v>
      </c>
      <c r="R276" s="435">
        <f t="shared" si="102"/>
        <v>300</v>
      </c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</row>
    <row r="277" spans="3:59">
      <c r="C277" s="293">
        <f t="shared" si="104"/>
        <v>1.7682291666666674E-4</v>
      </c>
      <c r="D277" s="897">
        <v>7</v>
      </c>
      <c r="E277" s="444">
        <v>3</v>
      </c>
      <c r="F277" s="444">
        <v>4</v>
      </c>
      <c r="G277" s="444">
        <v>40</v>
      </c>
      <c r="H277" s="434"/>
      <c r="I277" s="434">
        <v>4.6296296296296293E-4</v>
      </c>
      <c r="J277" s="434">
        <v>2.0833333333333333E-3</v>
      </c>
      <c r="K277" s="1383" t="s">
        <v>409</v>
      </c>
      <c r="L277" s="447"/>
      <c r="M277" s="519">
        <v>1</v>
      </c>
      <c r="N277" s="434">
        <f t="shared" si="100"/>
        <v>1.5254875555555556E-2</v>
      </c>
      <c r="O277" s="439">
        <f>C277*(G277/25)*1.016</f>
        <v>2.8744333333333345E-4</v>
      </c>
      <c r="P277" s="587">
        <f t="shared" si="103"/>
        <v>2.8744333333333345E-4</v>
      </c>
      <c r="Q277" s="788">
        <v>179</v>
      </c>
      <c r="R277" s="435">
        <f t="shared" si="102"/>
        <v>480</v>
      </c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  <c r="BE277" s="73"/>
      <c r="BF277" s="73"/>
      <c r="BG277" s="73"/>
    </row>
    <row r="278" spans="3:59">
      <c r="C278" s="293">
        <f t="shared" si="104"/>
        <v>1.7682291666666674E-4</v>
      </c>
      <c r="D278" s="897">
        <v>7</v>
      </c>
      <c r="E278" s="444">
        <v>1</v>
      </c>
      <c r="F278" s="444">
        <v>10</v>
      </c>
      <c r="G278" s="444">
        <v>50</v>
      </c>
      <c r="H278" s="434"/>
      <c r="I278" s="434">
        <v>2.0833333333333333E-3</v>
      </c>
      <c r="J278" s="434">
        <v>0</v>
      </c>
      <c r="K278" s="1333" t="s">
        <v>315</v>
      </c>
      <c r="L278" s="445"/>
      <c r="M278" s="518">
        <v>1</v>
      </c>
      <c r="N278" s="434">
        <f t="shared" si="100"/>
        <v>2.4440520833333333E-2</v>
      </c>
      <c r="O278" s="439">
        <f>C278*(G278/25)*1.02</f>
        <v>3.6071875000000015E-4</v>
      </c>
      <c r="P278" s="587">
        <f t="shared" si="103"/>
        <v>3.6071875000000015E-4</v>
      </c>
      <c r="Q278" s="788">
        <v>179</v>
      </c>
      <c r="R278" s="435">
        <f t="shared" si="102"/>
        <v>500</v>
      </c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</row>
    <row r="279" spans="3:59">
      <c r="C279" s="293">
        <f t="shared" si="104"/>
        <v>1.7682291666666674E-4</v>
      </c>
      <c r="D279" s="897">
        <v>7</v>
      </c>
      <c r="E279" s="441">
        <v>4</v>
      </c>
      <c r="F279" s="441">
        <v>5</v>
      </c>
      <c r="G279" s="441">
        <v>30</v>
      </c>
      <c r="H279" s="436"/>
      <c r="I279" s="436">
        <v>4.6296296296296293E-4</v>
      </c>
      <c r="J279" s="436">
        <v>1.3888888888888889E-3</v>
      </c>
      <c r="K279" s="1201" t="s">
        <v>413</v>
      </c>
      <c r="L279" s="442"/>
      <c r="M279" s="517">
        <v>1</v>
      </c>
      <c r="N279" s="436">
        <f t="shared" si="100"/>
        <v>1.9117977314814818E-2</v>
      </c>
      <c r="O279" s="439">
        <f>C279*(G279/25)*1.014</f>
        <v>2.1515812500000009E-4</v>
      </c>
      <c r="P279" s="587">
        <f t="shared" si="103"/>
        <v>2.1515812500000009E-4</v>
      </c>
      <c r="Q279" s="788">
        <v>179</v>
      </c>
      <c r="R279" s="435">
        <f t="shared" si="102"/>
        <v>600</v>
      </c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</row>
    <row r="280" spans="3:59">
      <c r="C280" s="293">
        <f t="shared" si="104"/>
        <v>1.7682291666666674E-4</v>
      </c>
      <c r="D280" s="897">
        <v>7</v>
      </c>
      <c r="E280" s="441">
        <v>4</v>
      </c>
      <c r="F280" s="441">
        <v>3</v>
      </c>
      <c r="G280" s="441">
        <v>50</v>
      </c>
      <c r="H280" s="436"/>
      <c r="I280" s="436">
        <v>6.9444444444444447E-4</v>
      </c>
      <c r="J280" s="436">
        <v>2.0833333333333333E-3</v>
      </c>
      <c r="K280" s="1201" t="s">
        <v>416</v>
      </c>
      <c r="L280" s="442"/>
      <c r="M280" s="517">
        <v>1</v>
      </c>
      <c r="N280" s="436">
        <f t="shared" si="100"/>
        <v>2.0910416666666667E-2</v>
      </c>
      <c r="O280" s="439">
        <f t="shared" si="101"/>
        <v>3.5364583333333347E-4</v>
      </c>
      <c r="P280" s="587">
        <f t="shared" si="103"/>
        <v>3.5364583333333347E-4</v>
      </c>
      <c r="Q280" s="788">
        <v>179</v>
      </c>
      <c r="R280" s="435">
        <f t="shared" si="102"/>
        <v>600</v>
      </c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  <c r="BE280" s="73"/>
      <c r="BF280" s="73"/>
      <c r="BG280" s="73"/>
    </row>
    <row r="281" spans="3:59">
      <c r="C281" s="293">
        <f t="shared" si="104"/>
        <v>1.7682291666666674E-4</v>
      </c>
      <c r="D281" s="897">
        <v>7</v>
      </c>
      <c r="E281" s="444">
        <v>1</v>
      </c>
      <c r="F281" s="444">
        <v>50</v>
      </c>
      <c r="G281" s="444">
        <v>12.5</v>
      </c>
      <c r="H281" s="434"/>
      <c r="I281" s="434">
        <v>3.4722222222222224E-4</v>
      </c>
      <c r="J281" s="434">
        <v>0</v>
      </c>
      <c r="K281" s="1333" t="s">
        <v>315</v>
      </c>
      <c r="L281" s="445"/>
      <c r="M281" s="518">
        <v>1</v>
      </c>
      <c r="N281" s="434">
        <f t="shared" si="100"/>
        <v>2.1781684027777779E-2</v>
      </c>
      <c r="O281" s="439">
        <f t="shared" si="101"/>
        <v>8.8411458333333368E-5</v>
      </c>
      <c r="P281" s="587">
        <f t="shared" si="103"/>
        <v>8.8411458333333368E-5</v>
      </c>
      <c r="Q281" s="788">
        <v>179</v>
      </c>
      <c r="R281" s="435">
        <f t="shared" si="102"/>
        <v>625</v>
      </c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</row>
    <row r="282" spans="3:59">
      <c r="C282" s="293">
        <f t="shared" si="104"/>
        <v>1.7682291666666674E-4</v>
      </c>
      <c r="D282" s="897">
        <v>7</v>
      </c>
      <c r="E282" s="441">
        <v>4</v>
      </c>
      <c r="F282" s="441">
        <v>4</v>
      </c>
      <c r="G282" s="441">
        <v>40</v>
      </c>
      <c r="H282" s="436"/>
      <c r="I282" s="436">
        <v>6.9444444444444447E-4</v>
      </c>
      <c r="J282" s="436">
        <v>2.0833333333333333E-3</v>
      </c>
      <c r="K282" s="1201" t="s">
        <v>415</v>
      </c>
      <c r="L282" s="442"/>
      <c r="M282" s="517">
        <v>1</v>
      </c>
      <c r="N282" s="436">
        <f t="shared" si="100"/>
        <v>2.4043537777777776E-2</v>
      </c>
      <c r="O282" s="439">
        <f>C282*(G282/25)*1.016</f>
        <v>2.8744333333333345E-4</v>
      </c>
      <c r="P282" s="587">
        <f t="shared" si="103"/>
        <v>2.8744333333333345E-4</v>
      </c>
      <c r="Q282" s="788">
        <v>179</v>
      </c>
      <c r="R282" s="435">
        <f t="shared" si="102"/>
        <v>640</v>
      </c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  <c r="BE282" s="73"/>
      <c r="BF282" s="73"/>
      <c r="BG282" s="73"/>
    </row>
    <row r="283" spans="3:59">
      <c r="C283" s="293">
        <f t="shared" si="104"/>
        <v>1.7682291666666674E-4</v>
      </c>
      <c r="D283" s="897">
        <v>7</v>
      </c>
      <c r="E283" s="441">
        <v>4</v>
      </c>
      <c r="F283" s="441">
        <v>6</v>
      </c>
      <c r="G283" s="441">
        <v>30</v>
      </c>
      <c r="H283" s="436"/>
      <c r="I283" s="436">
        <v>4.6296296296296293E-4</v>
      </c>
      <c r="J283" s="436">
        <v>1.3888888888888889E-3</v>
      </c>
      <c r="K283" s="1201" t="s">
        <v>414</v>
      </c>
      <c r="L283" s="442"/>
      <c r="M283" s="517">
        <v>1</v>
      </c>
      <c r="N283" s="436">
        <f t="shared" si="100"/>
        <v>2.1830461666666669E-2</v>
      </c>
      <c r="O283" s="439">
        <f>C283*(G283/25)*1.014</f>
        <v>2.1515812500000009E-4</v>
      </c>
      <c r="P283" s="587">
        <f t="shared" si="103"/>
        <v>2.1515812500000009E-4</v>
      </c>
      <c r="Q283" s="788">
        <v>179</v>
      </c>
      <c r="R283" s="435">
        <f t="shared" si="102"/>
        <v>720</v>
      </c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</row>
    <row r="284" spans="3:59">
      <c r="C284" s="293">
        <f t="shared" si="104"/>
        <v>1.7682291666666674E-4</v>
      </c>
      <c r="D284" s="897">
        <v>7</v>
      </c>
      <c r="E284" s="444">
        <v>4</v>
      </c>
      <c r="F284" s="444">
        <v>10</v>
      </c>
      <c r="G284" s="444">
        <v>20</v>
      </c>
      <c r="H284" s="434"/>
      <c r="I284" s="434">
        <v>4.6296296296296293E-4</v>
      </c>
      <c r="J284" s="434">
        <v>2.0833333333333333E-3</v>
      </c>
      <c r="K284" s="1383" t="s">
        <v>410</v>
      </c>
      <c r="L284" s="447"/>
      <c r="M284" s="519">
        <v>1</v>
      </c>
      <c r="N284" s="434">
        <f t="shared" si="100"/>
        <v>3.2510185185185184E-2</v>
      </c>
      <c r="O284" s="439">
        <f t="shared" si="101"/>
        <v>1.4145833333333339E-4</v>
      </c>
      <c r="P284" s="587">
        <f t="shared" si="103"/>
        <v>1.4145833333333339E-4</v>
      </c>
      <c r="Q284" s="788">
        <v>179</v>
      </c>
      <c r="R284" s="435">
        <f t="shared" si="102"/>
        <v>800</v>
      </c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  <c r="BE284" s="73"/>
      <c r="BF284" s="73"/>
      <c r="BG284" s="73"/>
    </row>
    <row r="285" spans="3:59">
      <c r="C285" s="293">
        <f t="shared" si="104"/>
        <v>1.7682291666666674E-4</v>
      </c>
      <c r="D285" s="897">
        <v>7</v>
      </c>
      <c r="E285" s="444">
        <v>1</v>
      </c>
      <c r="F285" s="444">
        <v>20</v>
      </c>
      <c r="G285" s="444">
        <v>40</v>
      </c>
      <c r="H285" s="434"/>
      <c r="I285" s="434">
        <v>3.4722222222222224E-4</v>
      </c>
      <c r="J285" s="434">
        <v>0</v>
      </c>
      <c r="K285" s="1333" t="s">
        <v>315</v>
      </c>
      <c r="L285" s="445"/>
      <c r="M285" s="518">
        <v>1</v>
      </c>
      <c r="N285" s="434">
        <f t="shared" si="100"/>
        <v>1.2693311111111114E-2</v>
      </c>
      <c r="O285" s="439">
        <f>C285*(G285/25)*1.016</f>
        <v>2.8744333333333345E-4</v>
      </c>
      <c r="P285" s="587">
        <f t="shared" si="103"/>
        <v>2.8744333333333345E-4</v>
      </c>
      <c r="Q285" s="788">
        <v>179</v>
      </c>
      <c r="R285" s="435">
        <f t="shared" si="102"/>
        <v>800</v>
      </c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</row>
    <row r="286" spans="3:59">
      <c r="C286" s="293">
        <f t="shared" si="104"/>
        <v>1.7682291666666674E-4</v>
      </c>
      <c r="D286" s="897">
        <v>7</v>
      </c>
      <c r="E286" s="441">
        <v>1</v>
      </c>
      <c r="F286" s="492">
        <v>40</v>
      </c>
      <c r="G286" s="444">
        <v>25</v>
      </c>
      <c r="H286" s="491"/>
      <c r="I286" s="491">
        <v>4.6296296296296293E-4</v>
      </c>
      <c r="J286" s="436">
        <v>1.3888888888888889E-3</v>
      </c>
      <c r="K286" s="1201" t="s">
        <v>412</v>
      </c>
      <c r="L286" s="442"/>
      <c r="M286" s="520">
        <v>1</v>
      </c>
      <c r="N286" s="436">
        <f t="shared" si="100"/>
        <v>2.6980324074074073E-2</v>
      </c>
      <c r="O286" s="439">
        <f t="shared" si="101"/>
        <v>1.7682291666666674E-4</v>
      </c>
      <c r="P286" s="587">
        <f t="shared" si="103"/>
        <v>1.7682291666666674E-4</v>
      </c>
      <c r="Q286" s="788">
        <v>179</v>
      </c>
      <c r="R286" s="493">
        <f t="shared" si="102"/>
        <v>1000</v>
      </c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</row>
    <row r="287" spans="3:59">
      <c r="C287" s="293">
        <f t="shared" si="104"/>
        <v>1.7682291666666674E-4</v>
      </c>
      <c r="D287" s="897">
        <v>7</v>
      </c>
      <c r="E287" s="444">
        <v>1</v>
      </c>
      <c r="F287" s="444">
        <v>20</v>
      </c>
      <c r="G287" s="444">
        <v>50</v>
      </c>
      <c r="H287" s="434"/>
      <c r="I287" s="434">
        <v>1.3888888888888889E-3</v>
      </c>
      <c r="J287" s="434">
        <v>0</v>
      </c>
      <c r="K287" s="1333" t="s">
        <v>315</v>
      </c>
      <c r="L287" s="445"/>
      <c r="M287" s="518">
        <v>1</v>
      </c>
      <c r="N287" s="434">
        <f t="shared" si="100"/>
        <v>3.4992152777777785E-2</v>
      </c>
      <c r="O287" s="439">
        <f>C287*(G287/25)*1.02</f>
        <v>3.6071875000000015E-4</v>
      </c>
      <c r="P287" s="587">
        <f t="shared" si="103"/>
        <v>3.6071875000000015E-4</v>
      </c>
      <c r="Q287" s="788">
        <v>179</v>
      </c>
      <c r="R287" s="435">
        <f t="shared" si="102"/>
        <v>1000</v>
      </c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</row>
    <row r="288" spans="3:59">
      <c r="C288" s="293">
        <f t="shared" si="104"/>
        <v>1.7682291666666674E-4</v>
      </c>
      <c r="D288" s="897">
        <v>7</v>
      </c>
      <c r="E288" s="444">
        <v>3</v>
      </c>
      <c r="F288" s="444">
        <v>10</v>
      </c>
      <c r="G288" s="444">
        <v>40</v>
      </c>
      <c r="H288" s="434"/>
      <c r="I288" s="434">
        <v>4.6296296296296293E-4</v>
      </c>
      <c r="J288" s="434">
        <v>2.0833333333333333E-3</v>
      </c>
      <c r="K288" s="1383" t="s">
        <v>410</v>
      </c>
      <c r="L288" s="447"/>
      <c r="M288" s="519">
        <v>1</v>
      </c>
      <c r="N288" s="434">
        <f t="shared" si="100"/>
        <v>2.8762188888888894E-2</v>
      </c>
      <c r="O288" s="439">
        <f>C288*(G288/25)*1.016</f>
        <v>2.8744333333333345E-4</v>
      </c>
      <c r="P288" s="587">
        <f t="shared" si="103"/>
        <v>2.8744333333333345E-4</v>
      </c>
      <c r="Q288" s="788">
        <v>179</v>
      </c>
      <c r="R288" s="435">
        <f t="shared" si="102"/>
        <v>1200</v>
      </c>
      <c r="S288" s="1096" t="s">
        <v>1216</v>
      </c>
      <c r="T288" s="478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</row>
    <row r="289" spans="3:59" ht="23">
      <c r="C289" s="337"/>
      <c r="D289" s="899"/>
      <c r="E289" s="338"/>
      <c r="F289" s="337"/>
      <c r="G289" s="337"/>
      <c r="H289" s="339"/>
      <c r="I289" s="339"/>
      <c r="J289" s="340"/>
      <c r="K289"/>
      <c r="L289"/>
      <c r="M289" s="521"/>
      <c r="N289" s="935">
        <f>SUM(N251:N288)</f>
        <v>0.55563158668981494</v>
      </c>
      <c r="O289" s="337"/>
      <c r="P289" s="337"/>
      <c r="Q289" s="341"/>
      <c r="R289" s="73">
        <f>SUM(R251:R288)</f>
        <v>13177.5</v>
      </c>
      <c r="S289" s="73">
        <f>R289/T290</f>
        <v>0.27449122003041221</v>
      </c>
      <c r="T289" s="2161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</row>
    <row r="290" spans="3:59" ht="16">
      <c r="C290" s="338"/>
      <c r="D290" s="924"/>
      <c r="E290" s="342"/>
      <c r="F290" s="343"/>
      <c r="G290" s="343"/>
      <c r="H290" s="343"/>
      <c r="I290" s="343"/>
      <c r="J290" s="344"/>
      <c r="K290" s="343"/>
      <c r="L290" s="343"/>
      <c r="M290" s="522"/>
      <c r="N290" s="344">
        <v>13</v>
      </c>
      <c r="O290" s="345">
        <v>20</v>
      </c>
      <c r="P290" s="345">
        <v>7</v>
      </c>
      <c r="Q290" s="346"/>
      <c r="R290" s="73"/>
      <c r="S290" s="73"/>
      <c r="T290" s="2162">
        <f>N290*3600+O290*60+P290</f>
        <v>48007</v>
      </c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</row>
    <row r="291" spans="3:59" ht="16">
      <c r="C291" s="338"/>
      <c r="D291" s="924"/>
      <c r="E291" s="2553"/>
      <c r="F291" s="2553"/>
      <c r="G291" s="2553"/>
      <c r="H291" s="2553"/>
      <c r="I291" s="2553"/>
      <c r="J291" s="3292"/>
      <c r="K291" s="3293"/>
      <c r="L291" s="2553"/>
      <c r="M291" s="2554"/>
      <c r="N291" s="3292"/>
      <c r="O291" s="3294"/>
      <c r="P291" s="3294"/>
      <c r="Q291" s="3295"/>
      <c r="R291" s="73"/>
      <c r="S291" s="73"/>
      <c r="T291" s="2162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</row>
    <row r="292" spans="3:59" ht="16">
      <c r="C292" s="338"/>
      <c r="D292" s="924"/>
      <c r="E292" s="2553"/>
      <c r="F292" s="2553"/>
      <c r="G292" s="2553"/>
      <c r="H292" s="2553"/>
      <c r="I292" s="2553"/>
      <c r="J292" s="3292"/>
      <c r="K292" s="274">
        <v>1.7361111111111112E-4</v>
      </c>
      <c r="L292" s="856"/>
      <c r="M292" s="511"/>
      <c r="O292" s="73"/>
      <c r="P292" s="73"/>
      <c r="Q292" s="782">
        <f>IF(Test!E171,Test!E171,Test!D171)</f>
        <v>0</v>
      </c>
      <c r="R292" s="73"/>
      <c r="S292" s="73"/>
      <c r="T292" s="2162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</row>
    <row r="293" spans="3:59" ht="18">
      <c r="C293" s="338"/>
      <c r="D293" s="294" t="s">
        <v>1553</v>
      </c>
      <c r="E293" s="2553"/>
      <c r="F293" s="2553"/>
      <c r="G293" s="2553"/>
      <c r="H293" s="2553"/>
      <c r="I293" s="2553"/>
      <c r="J293" s="3292"/>
      <c r="K293" s="3296">
        <f>IF(Test!G170,Test!G170/4,Test!F170/4)</f>
        <v>0</v>
      </c>
      <c r="L293" s="856"/>
      <c r="M293" s="511"/>
      <c r="N293" s="135"/>
      <c r="O293" s="73"/>
      <c r="P293" s="73"/>
      <c r="Q293" s="3297">
        <f>IF(Test!G171,Test!G171,Test!F171)</f>
        <v>0</v>
      </c>
      <c r="R293" s="73"/>
      <c r="S293" s="73"/>
      <c r="T293" s="2162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</row>
    <row r="294" spans="3:59" ht="16">
      <c r="C294" s="338"/>
      <c r="D294" s="3298"/>
      <c r="E294" s="3299" t="s">
        <v>362</v>
      </c>
      <c r="F294" s="3299" t="s">
        <v>363</v>
      </c>
      <c r="G294" s="3299" t="s">
        <v>364</v>
      </c>
      <c r="H294" s="3300" t="s">
        <v>142</v>
      </c>
      <c r="I294" s="3300" t="s">
        <v>365</v>
      </c>
      <c r="J294" s="3299" t="s">
        <v>366</v>
      </c>
      <c r="K294" s="3299" t="s">
        <v>367</v>
      </c>
      <c r="L294" s="3299"/>
      <c r="M294" s="3301"/>
      <c r="N294" s="3299" t="s">
        <v>368</v>
      </c>
      <c r="O294" s="3302" t="s">
        <v>369</v>
      </c>
      <c r="P294" s="3302"/>
      <c r="Q294" s="3300" t="s">
        <v>185</v>
      </c>
      <c r="R294" s="3299" t="s">
        <v>371</v>
      </c>
      <c r="S294" s="73"/>
      <c r="T294" s="2162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</row>
    <row r="295" spans="3:59" ht="24">
      <c r="C295" s="295">
        <f>IF(K292,K292,K291)</f>
        <v>1.7361111111111112E-4</v>
      </c>
      <c r="D295" s="3303">
        <v>5</v>
      </c>
      <c r="E295" s="3304">
        <v>1</v>
      </c>
      <c r="F295" s="3304">
        <v>3</v>
      </c>
      <c r="G295" s="3305">
        <v>35</v>
      </c>
      <c r="H295" s="3306"/>
      <c r="I295" s="3306">
        <v>8.1018518518518516E-4</v>
      </c>
      <c r="J295" s="3306">
        <v>2.0833333333333333E-3</v>
      </c>
      <c r="K295" s="3307" t="s">
        <v>1554</v>
      </c>
      <c r="L295" s="3308"/>
      <c r="M295" s="3309">
        <v>1</v>
      </c>
      <c r="N295" s="3306">
        <f t="shared" ref="N295:N296" si="105">P295*E295*F295+I295*E295*F295+J295*E295</f>
        <v>5.2649305555555557E-3</v>
      </c>
      <c r="O295" s="3310">
        <f>C295*(G295/25)*1.03</f>
        <v>2.5034722222222223E-4</v>
      </c>
      <c r="P295" s="3311">
        <f>O295*M295</f>
        <v>2.5034722222222223E-4</v>
      </c>
      <c r="Q295" s="3312">
        <v>173</v>
      </c>
      <c r="R295" s="3313">
        <f t="shared" ref="R295" si="106">E295*F295*G295</f>
        <v>105</v>
      </c>
      <c r="S295" s="73"/>
      <c r="T295" s="2162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</row>
    <row r="296" spans="3:59">
      <c r="C296" s="295">
        <f>IF(K293,K293,K292)</f>
        <v>1.7361111111111112E-4</v>
      </c>
      <c r="D296" s="3303">
        <v>5</v>
      </c>
      <c r="E296" s="3314">
        <v>4</v>
      </c>
      <c r="F296" s="3314">
        <v>4</v>
      </c>
      <c r="G296" s="3315">
        <v>35</v>
      </c>
      <c r="H296" s="3316"/>
      <c r="I296" s="3316">
        <v>7.5231481481481471E-4</v>
      </c>
      <c r="J296" s="3316">
        <v>2.0833333333333333E-3</v>
      </c>
      <c r="K296" s="3317" t="s">
        <v>787</v>
      </c>
      <c r="L296" s="3308"/>
      <c r="M296" s="3309">
        <v>0.9</v>
      </c>
      <c r="N296" s="3316">
        <f t="shared" si="105"/>
        <v>2.3975370370370369E-2</v>
      </c>
      <c r="O296" s="3318">
        <f>C296*(G296/25)*1.03</f>
        <v>2.5034722222222223E-4</v>
      </c>
      <c r="P296" s="3311">
        <f>O296*M296</f>
        <v>2.2531250000000001E-4</v>
      </c>
      <c r="Q296" s="3319">
        <v>173</v>
      </c>
      <c r="R296" s="3320">
        <f>E296*F296*G296</f>
        <v>560</v>
      </c>
      <c r="S296" s="73"/>
      <c r="T296" s="2162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</row>
    <row r="297" spans="3:59" ht="16">
      <c r="C297" s="338"/>
      <c r="D297" s="924"/>
      <c r="E297" s="2553"/>
      <c r="F297" s="2553"/>
      <c r="G297" s="2553"/>
      <c r="H297" s="2553"/>
      <c r="I297" s="2553"/>
      <c r="J297" s="3292"/>
      <c r="K297" s="3293"/>
      <c r="L297" s="2553"/>
      <c r="M297" s="2554"/>
      <c r="N297" s="3292"/>
      <c r="O297" s="3294"/>
      <c r="P297" s="3294"/>
      <c r="Q297" s="3295"/>
      <c r="R297" s="73"/>
      <c r="S297" s="73"/>
      <c r="T297" s="2162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</row>
    <row r="298" spans="3:59" ht="16">
      <c r="C298" s="338"/>
      <c r="D298" s="924"/>
      <c r="E298" s="2553"/>
      <c r="F298" s="2553"/>
      <c r="G298" s="2553"/>
      <c r="H298" s="2553"/>
      <c r="I298" s="2553"/>
      <c r="J298" s="3292"/>
      <c r="K298" s="3293"/>
      <c r="L298" s="2553"/>
      <c r="M298" s="2554"/>
      <c r="N298" s="3292"/>
      <c r="O298" s="3294"/>
      <c r="P298" s="3294"/>
      <c r="Q298" s="3295"/>
      <c r="R298" s="73"/>
      <c r="S298" s="73"/>
      <c r="T298" s="2162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  <c r="BE298" s="73"/>
      <c r="BF298" s="73"/>
      <c r="BG298" s="73"/>
    </row>
    <row r="299" spans="3:59" ht="16">
      <c r="C299" s="338"/>
      <c r="D299" s="924"/>
      <c r="E299" s="2553"/>
      <c r="F299" s="2553"/>
      <c r="G299" s="2553"/>
      <c r="H299" s="2553"/>
      <c r="I299" s="2553"/>
      <c r="J299" s="3292"/>
      <c r="K299" s="3293"/>
      <c r="L299" s="2553"/>
      <c r="M299" s="2554"/>
      <c r="N299" s="3292"/>
      <c r="O299" s="3294"/>
      <c r="P299" s="3294"/>
      <c r="Q299" s="3295"/>
      <c r="R299" s="73"/>
      <c r="S299" s="73"/>
      <c r="T299" s="2162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</row>
    <row r="300" spans="3:59" ht="16">
      <c r="C300" s="338"/>
      <c r="D300" s="924"/>
      <c r="E300" s="2553"/>
      <c r="F300" s="2553"/>
      <c r="G300" s="2553"/>
      <c r="H300" s="2553"/>
      <c r="I300" s="2553"/>
      <c r="J300" s="3292"/>
      <c r="K300" s="3293"/>
      <c r="L300" s="2553"/>
      <c r="M300" s="2554"/>
      <c r="N300" s="3292"/>
      <c r="O300" s="3294"/>
      <c r="P300" s="3294"/>
      <c r="Q300" s="3295"/>
      <c r="R300" s="73"/>
      <c r="S300" s="73"/>
      <c r="T300" s="2162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</row>
    <row r="301" spans="3:59" ht="18">
      <c r="C301" s="91"/>
      <c r="D301" s="896"/>
      <c r="E301" s="136"/>
      <c r="F301" s="294"/>
      <c r="G301" s="137"/>
      <c r="H301" s="137"/>
      <c r="I301" s="137"/>
      <c r="J301" s="137"/>
      <c r="K301" s="274">
        <f>IF(Test!E41,Test!E41/4,Test!D41/4)</f>
        <v>1.7682291666666674E-4</v>
      </c>
      <c r="L301" s="856"/>
      <c r="M301" s="515"/>
      <c r="N301" s="137"/>
      <c r="O301" s="73"/>
      <c r="P301" s="73"/>
      <c r="Q301" s="78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  <c r="BE301" s="73"/>
      <c r="BF301" s="73"/>
      <c r="BG301" s="73"/>
    </row>
    <row r="302" spans="3:59" ht="18">
      <c r="C302" s="91"/>
      <c r="D302" s="896"/>
      <c r="E302" s="136"/>
      <c r="F302" s="294" t="s">
        <v>86</v>
      </c>
      <c r="G302" s="137"/>
      <c r="H302" s="137"/>
      <c r="I302" s="137"/>
      <c r="J302" s="137"/>
      <c r="K302" s="274">
        <f>IF(Test!G41,Test!G41/4,Test!F41/4)</f>
        <v>0</v>
      </c>
      <c r="L302" s="856"/>
      <c r="M302" s="515"/>
      <c r="N302" s="137"/>
      <c r="O302" s="73"/>
      <c r="P302" s="73"/>
      <c r="Q302" s="78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  <c r="BE302" s="73"/>
      <c r="BF302" s="73"/>
      <c r="BG302" s="73"/>
    </row>
    <row r="303" spans="3:59">
      <c r="C303" s="284"/>
      <c r="D303" s="893"/>
      <c r="E303" s="285" t="s">
        <v>362</v>
      </c>
      <c r="F303" s="286" t="s">
        <v>363</v>
      </c>
      <c r="G303" s="286" t="s">
        <v>364</v>
      </c>
      <c r="H303" s="531" t="s">
        <v>142</v>
      </c>
      <c r="I303" s="287" t="s">
        <v>365</v>
      </c>
      <c r="J303" s="287" t="s">
        <v>366</v>
      </c>
      <c r="K303" s="286" t="s">
        <v>367</v>
      </c>
      <c r="L303" s="286"/>
      <c r="M303" s="514"/>
      <c r="N303" s="287" t="s">
        <v>368</v>
      </c>
      <c r="P303" s="286" t="s">
        <v>276</v>
      </c>
      <c r="Q303" s="286" t="s">
        <v>370</v>
      </c>
      <c r="R303" s="288" t="s">
        <v>371</v>
      </c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</row>
    <row r="304" spans="3:59">
      <c r="C304" s="712">
        <f>IF(K302,K302,K301)</f>
        <v>1.7682291666666674E-4</v>
      </c>
      <c r="D304" s="925"/>
      <c r="E304" s="7899">
        <v>3</v>
      </c>
      <c r="F304" s="713">
        <v>1</v>
      </c>
      <c r="G304" s="713">
        <v>400</v>
      </c>
      <c r="H304" s="714"/>
      <c r="I304" s="714">
        <v>2.3148148148148146E-4</v>
      </c>
      <c r="J304" s="715">
        <v>6.9444444444444447E-4</v>
      </c>
      <c r="K304" s="716" t="s">
        <v>703</v>
      </c>
      <c r="L304" s="862"/>
      <c r="M304" s="717">
        <v>1.2</v>
      </c>
      <c r="N304" s="715">
        <f t="shared" ref="N304:N312" si="107">P304*E$304*F304+I304*E$304*F304+J304*E$304</f>
        <v>1.296277777777778E-2</v>
      </c>
      <c r="O304" s="718">
        <f>C304*400/25</f>
        <v>2.8291666666666678E-3</v>
      </c>
      <c r="P304" s="719">
        <f>O304*M304</f>
        <v>3.3950000000000013E-3</v>
      </c>
      <c r="Q304" s="791">
        <f>100-((M304-INT(M304))*100/INT(M304))</f>
        <v>80</v>
      </c>
      <c r="R304" s="713">
        <f>E$304*F304*G304</f>
        <v>1200</v>
      </c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  <c r="BE304" s="73"/>
      <c r="BF304" s="73"/>
      <c r="BG304" s="73"/>
    </row>
    <row r="305" spans="3:59">
      <c r="C305" s="712">
        <v>1.7962962962962963E-4</v>
      </c>
      <c r="D305" s="925"/>
      <c r="E305" s="7900"/>
      <c r="F305" s="713">
        <v>2</v>
      </c>
      <c r="G305" s="713">
        <v>400</v>
      </c>
      <c r="H305" s="714"/>
      <c r="I305" s="714">
        <v>6.9444444444444447E-4</v>
      </c>
      <c r="J305" s="715">
        <v>6.9444444444444447E-4</v>
      </c>
      <c r="K305" s="716" t="s">
        <v>87</v>
      </c>
      <c r="L305" s="862"/>
      <c r="M305" s="717">
        <v>1.2</v>
      </c>
      <c r="N305" s="715">
        <f t="shared" si="107"/>
        <v>2.6943333333333333E-2</v>
      </c>
      <c r="O305" s="718">
        <f>C305*400/25</f>
        <v>2.874074074074074E-3</v>
      </c>
      <c r="P305" s="719">
        <f t="shared" ref="P305:P344" si="108">O305*M305</f>
        <v>3.4488888888888889E-3</v>
      </c>
      <c r="Q305" s="791">
        <f t="shared" ref="Q305:Q344" si="109">100-((M305-INT(M305))*100/INT(M305))</f>
        <v>80</v>
      </c>
      <c r="R305" s="713">
        <f t="shared" ref="R305:R312" si="110">E$304*F305*G305</f>
        <v>2400</v>
      </c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</row>
    <row r="306" spans="3:59">
      <c r="C306" s="712">
        <v>1.7962962962962963E-4</v>
      </c>
      <c r="D306" s="925"/>
      <c r="E306" s="7900"/>
      <c r="F306" s="713">
        <v>1</v>
      </c>
      <c r="G306" s="713">
        <v>100</v>
      </c>
      <c r="H306" s="714"/>
      <c r="I306" s="714">
        <v>0</v>
      </c>
      <c r="J306" s="715">
        <v>6.9444444444444447E-4</v>
      </c>
      <c r="K306" s="716" t="s">
        <v>706</v>
      </c>
      <c r="L306" s="862"/>
      <c r="M306" s="717">
        <v>1.2</v>
      </c>
      <c r="N306" s="715">
        <f t="shared" si="107"/>
        <v>4.6700000000000005E-3</v>
      </c>
      <c r="O306" s="718">
        <f>C306*100/25</f>
        <v>7.1851851851851851E-4</v>
      </c>
      <c r="P306" s="719">
        <f t="shared" si="108"/>
        <v>8.6222222222222223E-4</v>
      </c>
      <c r="Q306" s="791">
        <f t="shared" si="109"/>
        <v>80</v>
      </c>
      <c r="R306" s="713">
        <f t="shared" si="110"/>
        <v>300</v>
      </c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  <c r="BE306" s="73"/>
      <c r="BF306" s="73"/>
      <c r="BG306" s="73"/>
    </row>
    <row r="307" spans="3:59">
      <c r="C307" s="712">
        <v>1.7962962962962963E-4</v>
      </c>
      <c r="D307" s="925"/>
      <c r="E307" s="7900"/>
      <c r="F307" s="713">
        <v>3</v>
      </c>
      <c r="G307" s="713">
        <v>100</v>
      </c>
      <c r="H307" s="714"/>
      <c r="I307" s="714">
        <v>1.7361111111111112E-4</v>
      </c>
      <c r="J307" s="715">
        <v>6.9444444444444447E-4</v>
      </c>
      <c r="K307" s="716" t="s">
        <v>88</v>
      </c>
      <c r="L307" s="862"/>
      <c r="M307" s="717">
        <v>1.2</v>
      </c>
      <c r="N307" s="715">
        <f t="shared" si="107"/>
        <v>1.1405833333333334E-2</v>
      </c>
      <c r="O307" s="718">
        <f>C307*100/25</f>
        <v>7.1851851851851851E-4</v>
      </c>
      <c r="P307" s="719">
        <f t="shared" si="108"/>
        <v>8.6222222222222223E-4</v>
      </c>
      <c r="Q307" s="791">
        <f t="shared" si="109"/>
        <v>80</v>
      </c>
      <c r="R307" s="713">
        <f t="shared" si="110"/>
        <v>900</v>
      </c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</row>
    <row r="308" spans="3:59">
      <c r="C308" s="712">
        <v>1.7962962962962963E-4</v>
      </c>
      <c r="D308" s="925"/>
      <c r="E308" s="7900"/>
      <c r="F308" s="713">
        <v>3</v>
      </c>
      <c r="G308" s="713">
        <v>50</v>
      </c>
      <c r="H308" s="714"/>
      <c r="I308" s="714">
        <v>2.3148148148148146E-4</v>
      </c>
      <c r="J308" s="715">
        <v>6.9444444444444447E-4</v>
      </c>
      <c r="K308" s="716" t="s">
        <v>89</v>
      </c>
      <c r="L308" s="862"/>
      <c r="M308" s="717">
        <v>1.2</v>
      </c>
      <c r="N308" s="715">
        <f t="shared" si="107"/>
        <v>8.0466666666666655E-3</v>
      </c>
      <c r="O308" s="718">
        <f>C308*50/25</f>
        <v>3.5925925925925925E-4</v>
      </c>
      <c r="P308" s="719">
        <f t="shared" si="108"/>
        <v>4.3111111111111112E-4</v>
      </c>
      <c r="Q308" s="791">
        <f t="shared" si="109"/>
        <v>80</v>
      </c>
      <c r="R308" s="713">
        <f t="shared" si="110"/>
        <v>450</v>
      </c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  <c r="BE308" s="73"/>
      <c r="BF308" s="73"/>
      <c r="BG308" s="73"/>
    </row>
    <row r="309" spans="3:59">
      <c r="C309" s="712">
        <v>1.7962962962962963E-4</v>
      </c>
      <c r="D309" s="925"/>
      <c r="E309" s="7900"/>
      <c r="F309" s="713">
        <v>3</v>
      </c>
      <c r="G309" s="713">
        <v>100</v>
      </c>
      <c r="H309" s="714"/>
      <c r="I309" s="714">
        <v>4.6296296296296293E-4</v>
      </c>
      <c r="J309" s="715">
        <v>6.9444444444444447E-4</v>
      </c>
      <c r="K309" s="716" t="s">
        <v>90</v>
      </c>
      <c r="L309" s="862"/>
      <c r="M309" s="717">
        <v>1.25</v>
      </c>
      <c r="N309" s="715">
        <f t="shared" si="107"/>
        <v>1.4333333333333333E-2</v>
      </c>
      <c r="O309" s="718">
        <f>C309*100/25</f>
        <v>7.1851851851851851E-4</v>
      </c>
      <c r="P309" s="719">
        <f t="shared" si="108"/>
        <v>8.9814814814814813E-4</v>
      </c>
      <c r="Q309" s="791">
        <f t="shared" si="109"/>
        <v>75</v>
      </c>
      <c r="R309" s="713">
        <f t="shared" si="110"/>
        <v>900</v>
      </c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</row>
    <row r="310" spans="3:59">
      <c r="C310" s="712">
        <v>1.7962962962962963E-4</v>
      </c>
      <c r="D310" s="925"/>
      <c r="E310" s="7900"/>
      <c r="F310" s="720">
        <v>3</v>
      </c>
      <c r="G310" s="720">
        <v>50</v>
      </c>
      <c r="H310" s="712"/>
      <c r="I310" s="714">
        <v>1.7361111111111112E-4</v>
      </c>
      <c r="J310" s="715">
        <v>6.9444444444444447E-4</v>
      </c>
      <c r="K310" s="722" t="s">
        <v>716</v>
      </c>
      <c r="L310" s="863"/>
      <c r="M310" s="723">
        <v>1.1499999999999999</v>
      </c>
      <c r="N310" s="715">
        <f t="shared" si="107"/>
        <v>7.3641666666666664E-3</v>
      </c>
      <c r="O310" s="718">
        <f>C310*2</f>
        <v>3.5925925925925925E-4</v>
      </c>
      <c r="P310" s="719">
        <f t="shared" si="108"/>
        <v>4.1314814814814811E-4</v>
      </c>
      <c r="Q310" s="791">
        <f t="shared" si="109"/>
        <v>85.000000000000014</v>
      </c>
      <c r="R310" s="713">
        <f t="shared" si="110"/>
        <v>450</v>
      </c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</row>
    <row r="311" spans="3:59">
      <c r="C311" s="712">
        <v>1.7962962962962963E-4</v>
      </c>
      <c r="D311" s="925"/>
      <c r="E311" s="7900"/>
      <c r="F311" s="713">
        <v>3</v>
      </c>
      <c r="G311" s="713">
        <v>100</v>
      </c>
      <c r="H311" s="714"/>
      <c r="I311" s="714">
        <v>1.7361111111111112E-4</v>
      </c>
      <c r="J311" s="715">
        <v>6.9444444444444447E-4</v>
      </c>
      <c r="K311" s="716" t="s">
        <v>91</v>
      </c>
      <c r="L311" s="862"/>
      <c r="M311" s="717">
        <v>1.4</v>
      </c>
      <c r="N311" s="715">
        <f t="shared" si="107"/>
        <v>1.2699166666666666E-2</v>
      </c>
      <c r="O311" s="718">
        <f>C311*100/25</f>
        <v>7.1851851851851851E-4</v>
      </c>
      <c r="P311" s="719">
        <f t="shared" si="108"/>
        <v>1.005925925925926E-3</v>
      </c>
      <c r="Q311" s="791">
        <f t="shared" si="109"/>
        <v>60.000000000000007</v>
      </c>
      <c r="R311" s="713">
        <f t="shared" si="110"/>
        <v>900</v>
      </c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</row>
    <row r="312" spans="3:59">
      <c r="C312" s="712">
        <v>1.7962962962962963E-4</v>
      </c>
      <c r="D312" s="925"/>
      <c r="E312" s="7901"/>
      <c r="F312" s="713">
        <v>1</v>
      </c>
      <c r="G312" s="713">
        <v>100</v>
      </c>
      <c r="H312" s="714"/>
      <c r="I312" s="714">
        <v>0</v>
      </c>
      <c r="J312" s="715">
        <v>6.9444444444444447E-4</v>
      </c>
      <c r="K312" s="716" t="s">
        <v>706</v>
      </c>
      <c r="L312" s="862"/>
      <c r="M312" s="717">
        <v>1.2</v>
      </c>
      <c r="N312" s="715">
        <f t="shared" si="107"/>
        <v>4.6700000000000005E-3</v>
      </c>
      <c r="O312" s="718">
        <f>C312*100/25</f>
        <v>7.1851851851851851E-4</v>
      </c>
      <c r="P312" s="719">
        <f t="shared" si="108"/>
        <v>8.6222222222222223E-4</v>
      </c>
      <c r="Q312" s="791">
        <f t="shared" si="109"/>
        <v>80</v>
      </c>
      <c r="R312" s="713">
        <f t="shared" si="110"/>
        <v>300</v>
      </c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</row>
    <row r="313" spans="3:59">
      <c r="C313" s="695"/>
      <c r="D313" s="926"/>
      <c r="E313" s="737"/>
      <c r="F313" s="696"/>
      <c r="G313" s="696"/>
      <c r="H313" s="697"/>
      <c r="I313" s="697"/>
      <c r="J313" s="698"/>
      <c r="K313" s="699"/>
      <c r="L313" s="864"/>
      <c r="M313" s="700"/>
      <c r="N313" s="739">
        <f>SUM(N304:N312)</f>
        <v>0.10309527777777777</v>
      </c>
      <c r="O313" s="686"/>
      <c r="P313" s="738"/>
      <c r="Q313" s="792"/>
      <c r="R313" s="740">
        <f>SUM(R304:R312)</f>
        <v>7800</v>
      </c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</row>
    <row r="314" spans="3:59">
      <c r="C314" s="712">
        <v>1.7962962962962963E-4</v>
      </c>
      <c r="D314" s="927"/>
      <c r="E314" s="713">
        <v>1</v>
      </c>
      <c r="F314" s="713">
        <v>1</v>
      </c>
      <c r="G314" s="713">
        <v>400</v>
      </c>
      <c r="H314" s="714"/>
      <c r="I314" s="714">
        <v>0</v>
      </c>
      <c r="J314" s="715">
        <v>6.9444444444444447E-4</v>
      </c>
      <c r="K314" s="716" t="s">
        <v>703</v>
      </c>
      <c r="L314" s="862"/>
      <c r="M314" s="717">
        <v>1.2</v>
      </c>
      <c r="N314" s="715">
        <f t="shared" ref="N314:N321" si="111">P314*E314*F314+I314*E314*F314+J314*E314</f>
        <v>4.1433333333333331E-3</v>
      </c>
      <c r="O314" s="718">
        <f>C314*400/25</f>
        <v>2.874074074074074E-3</v>
      </c>
      <c r="P314" s="719">
        <f t="shared" si="108"/>
        <v>3.4488888888888889E-3</v>
      </c>
      <c r="Q314" s="791">
        <f t="shared" si="109"/>
        <v>80</v>
      </c>
      <c r="R314" s="713">
        <f t="shared" ref="R314:R321" si="112">E314*F314*G314</f>
        <v>400</v>
      </c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</row>
    <row r="315" spans="3:59">
      <c r="C315" s="712">
        <v>1.7962962962962963E-4</v>
      </c>
      <c r="D315" s="928"/>
      <c r="E315" s="724">
        <v>1</v>
      </c>
      <c r="F315" s="724">
        <v>4</v>
      </c>
      <c r="G315" s="724">
        <v>400</v>
      </c>
      <c r="H315" s="714"/>
      <c r="I315" s="714">
        <v>2.8935185185185189E-4</v>
      </c>
      <c r="J315" s="715">
        <v>6.9444444444444447E-4</v>
      </c>
      <c r="K315" s="725" t="s">
        <v>300</v>
      </c>
      <c r="L315" s="725"/>
      <c r="M315" s="726">
        <v>1.2</v>
      </c>
      <c r="N315" s="715">
        <f t="shared" si="111"/>
        <v>1.5647407407407408E-2</v>
      </c>
      <c r="O315" s="718">
        <f>C315*400/25</f>
        <v>2.874074074074074E-3</v>
      </c>
      <c r="P315" s="719">
        <f t="shared" si="108"/>
        <v>3.4488888888888889E-3</v>
      </c>
      <c r="Q315" s="791">
        <f t="shared" si="109"/>
        <v>80</v>
      </c>
      <c r="R315" s="713">
        <f t="shared" si="112"/>
        <v>1600</v>
      </c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</row>
    <row r="316" spans="3:59">
      <c r="C316" s="712">
        <v>1.7962962962962963E-4</v>
      </c>
      <c r="D316" s="928"/>
      <c r="E316" s="724">
        <v>1</v>
      </c>
      <c r="F316" s="724">
        <v>16</v>
      </c>
      <c r="G316" s="724">
        <v>50</v>
      </c>
      <c r="H316" s="714"/>
      <c r="I316" s="714">
        <v>1.7361111111111112E-4</v>
      </c>
      <c r="J316" s="715">
        <v>6.9444444444444447E-4</v>
      </c>
      <c r="K316" s="725" t="s">
        <v>92</v>
      </c>
      <c r="L316" s="725"/>
      <c r="M316" s="726">
        <v>1.2</v>
      </c>
      <c r="N316" s="715">
        <f t="shared" si="111"/>
        <v>1.0369999999999999E-2</v>
      </c>
      <c r="O316" s="718">
        <f>C316*50/25</f>
        <v>3.5925925925925925E-4</v>
      </c>
      <c r="P316" s="719">
        <f t="shared" si="108"/>
        <v>4.3111111111111112E-4</v>
      </c>
      <c r="Q316" s="791">
        <f t="shared" si="109"/>
        <v>80</v>
      </c>
      <c r="R316" s="713">
        <f t="shared" si="112"/>
        <v>800</v>
      </c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  <c r="BE316" s="73"/>
      <c r="BF316" s="73"/>
      <c r="BG316" s="73"/>
    </row>
    <row r="317" spans="3:59">
      <c r="C317" s="712">
        <v>1.7962962962962963E-4</v>
      </c>
      <c r="D317" s="928"/>
      <c r="E317" s="724">
        <v>1</v>
      </c>
      <c r="F317" s="724">
        <v>6</v>
      </c>
      <c r="G317" s="724">
        <v>100</v>
      </c>
      <c r="H317" s="714"/>
      <c r="I317" s="714">
        <v>2.3148148148148146E-4</v>
      </c>
      <c r="J317" s="714">
        <v>6.9444444444444447E-4</v>
      </c>
      <c r="K317" s="725" t="s">
        <v>93</v>
      </c>
      <c r="L317" s="725"/>
      <c r="M317" s="726">
        <v>1.1499999999999999</v>
      </c>
      <c r="N317" s="714">
        <f t="shared" si="111"/>
        <v>7.04111111111111E-3</v>
      </c>
      <c r="O317" s="718">
        <f>C317*100/25</f>
        <v>7.1851851851851851E-4</v>
      </c>
      <c r="P317" s="719">
        <f t="shared" si="108"/>
        <v>8.2629629629629622E-4</v>
      </c>
      <c r="Q317" s="791">
        <f t="shared" si="109"/>
        <v>85.000000000000014</v>
      </c>
      <c r="R317" s="713">
        <f t="shared" si="112"/>
        <v>600</v>
      </c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  <c r="BE317" s="73"/>
      <c r="BF317" s="73"/>
      <c r="BG317" s="73"/>
    </row>
    <row r="318" spans="3:59">
      <c r="C318" s="712">
        <v>1.7962962962962963E-4</v>
      </c>
      <c r="D318" s="928"/>
      <c r="E318" s="724">
        <v>1</v>
      </c>
      <c r="F318" s="724">
        <v>4</v>
      </c>
      <c r="G318" s="724">
        <v>100</v>
      </c>
      <c r="H318" s="714"/>
      <c r="I318" s="714">
        <v>4.6296296296296293E-4</v>
      </c>
      <c r="J318" s="714">
        <v>6.9444444444444447E-4</v>
      </c>
      <c r="K318" s="725" t="s">
        <v>705</v>
      </c>
      <c r="L318" s="725"/>
      <c r="M318" s="726">
        <v>1.2</v>
      </c>
      <c r="N318" s="714">
        <f t="shared" si="111"/>
        <v>5.995185185185185E-3</v>
      </c>
      <c r="O318" s="718">
        <f>C318*100/25</f>
        <v>7.1851851851851851E-4</v>
      </c>
      <c r="P318" s="719">
        <f t="shared" si="108"/>
        <v>8.6222222222222223E-4</v>
      </c>
      <c r="Q318" s="791">
        <f t="shared" si="109"/>
        <v>80</v>
      </c>
      <c r="R318" s="713">
        <f t="shared" si="112"/>
        <v>400</v>
      </c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  <c r="BE318" s="73"/>
      <c r="BF318" s="73"/>
      <c r="BG318" s="73"/>
    </row>
    <row r="319" spans="3:59">
      <c r="C319" s="712">
        <v>1.7962962962962963E-4</v>
      </c>
      <c r="D319" s="928"/>
      <c r="E319" s="724">
        <v>1</v>
      </c>
      <c r="F319" s="724">
        <v>6</v>
      </c>
      <c r="G319" s="724">
        <v>100</v>
      </c>
      <c r="H319" s="714"/>
      <c r="I319" s="714">
        <v>2.3148148148148146E-4</v>
      </c>
      <c r="J319" s="714">
        <v>6.9444444444444447E-4</v>
      </c>
      <c r="K319" s="725" t="s">
        <v>94</v>
      </c>
      <c r="L319" s="725"/>
      <c r="M319" s="726">
        <v>1.1499999999999999</v>
      </c>
      <c r="N319" s="714">
        <f t="shared" si="111"/>
        <v>7.04111111111111E-3</v>
      </c>
      <c r="O319" s="718">
        <f>C319*100/25</f>
        <v>7.1851851851851851E-4</v>
      </c>
      <c r="P319" s="719">
        <f t="shared" si="108"/>
        <v>8.2629629629629622E-4</v>
      </c>
      <c r="Q319" s="791">
        <f t="shared" si="109"/>
        <v>85.000000000000014</v>
      </c>
      <c r="R319" s="713">
        <f t="shared" si="112"/>
        <v>600</v>
      </c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</row>
    <row r="320" spans="3:59">
      <c r="C320" s="712">
        <v>1.7962962962962963E-4</v>
      </c>
      <c r="D320" s="928"/>
      <c r="E320" s="724">
        <v>1</v>
      </c>
      <c r="F320" s="724">
        <v>4</v>
      </c>
      <c r="G320" s="724">
        <v>100</v>
      </c>
      <c r="H320" s="714"/>
      <c r="I320" s="714">
        <v>4.6296296296296293E-4</v>
      </c>
      <c r="J320" s="715">
        <v>6.9444444444444447E-4</v>
      </c>
      <c r="K320" s="725" t="s">
        <v>95</v>
      </c>
      <c r="L320" s="725"/>
      <c r="M320" s="726">
        <v>1.2</v>
      </c>
      <c r="N320" s="715">
        <f t="shared" si="111"/>
        <v>5.995185185185185E-3</v>
      </c>
      <c r="O320" s="718">
        <f>C320*100/25</f>
        <v>7.1851851851851851E-4</v>
      </c>
      <c r="P320" s="719">
        <f t="shared" si="108"/>
        <v>8.6222222222222223E-4</v>
      </c>
      <c r="Q320" s="791">
        <f t="shared" si="109"/>
        <v>80</v>
      </c>
      <c r="R320" s="713">
        <f t="shared" si="112"/>
        <v>400</v>
      </c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</row>
    <row r="321" spans="3:59">
      <c r="C321" s="712">
        <v>1.7962962962962963E-4</v>
      </c>
      <c r="D321" s="928"/>
      <c r="E321" s="727">
        <v>1</v>
      </c>
      <c r="F321" s="727">
        <v>1</v>
      </c>
      <c r="G321" s="727">
        <v>1000</v>
      </c>
      <c r="H321" s="712"/>
      <c r="I321" s="712">
        <v>1.1574074074074073E-4</v>
      </c>
      <c r="J321" s="721">
        <v>0</v>
      </c>
      <c r="K321" s="728" t="s">
        <v>16</v>
      </c>
      <c r="L321" s="728"/>
      <c r="M321" s="729">
        <v>1.2</v>
      </c>
      <c r="N321" s="721">
        <f t="shared" si="111"/>
        <v>8.737962962962963E-3</v>
      </c>
      <c r="O321" s="718">
        <f>C321*1000/25</f>
        <v>7.1851851851851859E-3</v>
      </c>
      <c r="P321" s="719">
        <f t="shared" si="108"/>
        <v>8.6222222222222221E-3</v>
      </c>
      <c r="Q321" s="791">
        <f t="shared" si="109"/>
        <v>80</v>
      </c>
      <c r="R321" s="713">
        <f t="shared" si="112"/>
        <v>1000</v>
      </c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</row>
    <row r="322" spans="3:59">
      <c r="C322" s="695"/>
      <c r="D322" s="929"/>
      <c r="E322" s="707"/>
      <c r="F322" s="707"/>
      <c r="G322" s="707"/>
      <c r="H322" s="695"/>
      <c r="I322" s="695"/>
      <c r="J322" s="703"/>
      <c r="K322" s="708"/>
      <c r="L322" s="708"/>
      <c r="M322" s="709"/>
      <c r="N322" s="741">
        <f>SUM(N314:N321)</f>
        <v>6.4971296296296291E-2</v>
      </c>
      <c r="O322" s="686"/>
      <c r="P322" s="738"/>
      <c r="Q322" s="793"/>
      <c r="R322" s="740">
        <f>SUM(R314:R321)</f>
        <v>5800</v>
      </c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  <c r="BE322" s="73"/>
      <c r="BF322" s="73"/>
      <c r="BG322" s="73"/>
    </row>
    <row r="323" spans="3:59">
      <c r="C323" s="712">
        <v>1.7962962962962963E-4</v>
      </c>
      <c r="D323" s="930"/>
      <c r="E323" s="7902">
        <v>3</v>
      </c>
      <c r="F323" s="724">
        <v>5</v>
      </c>
      <c r="G323" s="724">
        <v>300</v>
      </c>
      <c r="H323" s="714"/>
      <c r="I323" s="714">
        <v>4.6296296296296293E-4</v>
      </c>
      <c r="J323" s="715">
        <v>1.3888888888888889E-3</v>
      </c>
      <c r="K323" s="725" t="s">
        <v>17</v>
      </c>
      <c r="L323" s="725"/>
      <c r="M323" s="726">
        <v>1.2</v>
      </c>
      <c r="N323" s="715">
        <f>P323*E$323*F323+I323*E$323*F323+J323*E$323</f>
        <v>4.9911111111111114E-2</v>
      </c>
      <c r="O323" s="718">
        <f>C323*300/25</f>
        <v>2.1555555555555555E-3</v>
      </c>
      <c r="P323" s="719">
        <f t="shared" si="108"/>
        <v>2.5866666666666664E-3</v>
      </c>
      <c r="Q323" s="791">
        <f t="shared" si="109"/>
        <v>80</v>
      </c>
      <c r="R323" s="713">
        <f>E$323*F323*G323</f>
        <v>4500</v>
      </c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  <c r="BE323" s="73"/>
      <c r="BF323" s="73"/>
      <c r="BG323" s="73"/>
    </row>
    <row r="324" spans="3:59">
      <c r="C324" s="712">
        <v>1.7962962962962963E-4</v>
      </c>
      <c r="D324" s="931"/>
      <c r="E324" s="7903"/>
      <c r="F324" s="727">
        <v>1</v>
      </c>
      <c r="G324" s="727">
        <v>100</v>
      </c>
      <c r="H324" s="712"/>
      <c r="I324" s="714">
        <v>0</v>
      </c>
      <c r="J324" s="715">
        <v>1.3888888888888889E-3</v>
      </c>
      <c r="K324" s="728" t="s">
        <v>18</v>
      </c>
      <c r="L324" s="728"/>
      <c r="M324" s="729">
        <v>1.1499999999999999</v>
      </c>
      <c r="N324" s="715">
        <f>P324*E$323*F324+I324*E$323*F324+J324*E$323</f>
        <v>6.6455555555555556E-3</v>
      </c>
      <c r="O324" s="718">
        <f>C324*100/25</f>
        <v>7.1851851851851851E-4</v>
      </c>
      <c r="P324" s="719">
        <f t="shared" si="108"/>
        <v>8.2629629629629622E-4</v>
      </c>
      <c r="Q324" s="791">
        <f t="shared" si="109"/>
        <v>85.000000000000014</v>
      </c>
      <c r="R324" s="713">
        <f>E$323*F324*G324</f>
        <v>300</v>
      </c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</row>
    <row r="325" spans="3:59">
      <c r="C325" s="712">
        <v>1.7962962962962963E-4</v>
      </c>
      <c r="D325" s="931"/>
      <c r="E325" s="7903"/>
      <c r="F325" s="727">
        <v>3</v>
      </c>
      <c r="G325" s="727">
        <v>100</v>
      </c>
      <c r="H325" s="712"/>
      <c r="I325" s="712">
        <v>3.4722222222222224E-4</v>
      </c>
      <c r="J325" s="715">
        <v>1.3888888888888889E-3</v>
      </c>
      <c r="K325" s="728" t="s">
        <v>17</v>
      </c>
      <c r="L325" s="728"/>
      <c r="M325" s="729">
        <v>1.1000000000000001</v>
      </c>
      <c r="N325" s="715">
        <f>P325*E$323*F325+I325*E$323*F325+J325*E$323</f>
        <v>1.4405000000000001E-2</v>
      </c>
      <c r="O325" s="718">
        <f>C325*100/25</f>
        <v>7.1851851851851851E-4</v>
      </c>
      <c r="P325" s="719">
        <f t="shared" si="108"/>
        <v>7.9037037037037042E-4</v>
      </c>
      <c r="Q325" s="791">
        <f t="shared" si="109"/>
        <v>89.999999999999986</v>
      </c>
      <c r="R325" s="713">
        <f>E$323*F325*G325</f>
        <v>900</v>
      </c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</row>
    <row r="326" spans="3:59">
      <c r="C326" s="712">
        <v>1.7962962962962963E-4</v>
      </c>
      <c r="D326" s="932"/>
      <c r="E326" s="7904"/>
      <c r="F326" s="724">
        <v>1</v>
      </c>
      <c r="G326" s="724">
        <v>100</v>
      </c>
      <c r="H326" s="714"/>
      <c r="I326" s="714">
        <v>1.7361111111111112E-4</v>
      </c>
      <c r="J326" s="715">
        <v>1.3888888888888889E-3</v>
      </c>
      <c r="K326" s="725" t="s">
        <v>18</v>
      </c>
      <c r="L326" s="725"/>
      <c r="M326" s="726">
        <v>1.1499999999999999</v>
      </c>
      <c r="N326" s="715">
        <f>P326*E$323*F326+I326*E$323*F326+J326*E$323</f>
        <v>7.1663888888888888E-3</v>
      </c>
      <c r="O326" s="718">
        <f>C326*100/25</f>
        <v>7.1851851851851851E-4</v>
      </c>
      <c r="P326" s="719">
        <f t="shared" si="108"/>
        <v>8.2629629629629622E-4</v>
      </c>
      <c r="Q326" s="791">
        <f t="shared" si="109"/>
        <v>85.000000000000014</v>
      </c>
      <c r="R326" s="713">
        <f>E$323*F326*G326</f>
        <v>300</v>
      </c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</row>
    <row r="327" spans="3:59">
      <c r="C327" s="695"/>
      <c r="D327" s="929"/>
      <c r="E327" s="704"/>
      <c r="F327" s="704"/>
      <c r="G327" s="704"/>
      <c r="H327" s="697"/>
      <c r="I327" s="697"/>
      <c r="J327" s="697"/>
      <c r="K327" s="705"/>
      <c r="L327" s="705"/>
      <c r="M327" s="706"/>
      <c r="N327" s="742">
        <f>SUM(N323:N326)</f>
        <v>7.8128055555555562E-2</v>
      </c>
      <c r="O327" s="686"/>
      <c r="P327" s="738"/>
      <c r="Q327" s="794"/>
      <c r="R327" s="740">
        <f>SUM(R323:R326)</f>
        <v>6000</v>
      </c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</row>
    <row r="328" spans="3:59">
      <c r="C328" s="712">
        <v>1.7962962962962963E-4</v>
      </c>
      <c r="D328" s="928"/>
      <c r="E328" s="724">
        <v>4</v>
      </c>
      <c r="F328" s="724">
        <v>4</v>
      </c>
      <c r="G328" s="724">
        <v>15</v>
      </c>
      <c r="H328" s="714"/>
      <c r="I328" s="714">
        <v>1.0416666666666667E-3</v>
      </c>
      <c r="J328" s="714">
        <v>6.9444444444444447E-4</v>
      </c>
      <c r="K328" s="725" t="s">
        <v>319</v>
      </c>
      <c r="L328" s="725"/>
      <c r="M328" s="726">
        <v>1</v>
      </c>
      <c r="N328" s="714">
        <f t="shared" ref="N328:N344" si="113">P328*E328*F328+I328*E328*F328+J328*E328</f>
        <v>2.116888888888889E-2</v>
      </c>
      <c r="O328" s="718">
        <f>C328*15/25</f>
        <v>1.0777777777777778E-4</v>
      </c>
      <c r="P328" s="719">
        <f t="shared" si="108"/>
        <v>1.0777777777777778E-4</v>
      </c>
      <c r="Q328" s="791">
        <f t="shared" si="109"/>
        <v>100</v>
      </c>
      <c r="R328" s="713">
        <f t="shared" ref="R328:R344" si="114">E328*F328*G328</f>
        <v>240</v>
      </c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</row>
    <row r="329" spans="3:59">
      <c r="C329" s="712">
        <v>1.7962962962962963E-4</v>
      </c>
      <c r="D329" s="928"/>
      <c r="E329" s="724">
        <v>4</v>
      </c>
      <c r="F329" s="724">
        <v>4</v>
      </c>
      <c r="G329" s="724">
        <v>15</v>
      </c>
      <c r="H329" s="714"/>
      <c r="I329" s="714">
        <v>4.6296296296296293E-4</v>
      </c>
      <c r="J329" s="714">
        <v>6.9444444444444447E-4</v>
      </c>
      <c r="K329" s="725" t="s">
        <v>408</v>
      </c>
      <c r="L329" s="725"/>
      <c r="M329" s="726">
        <v>1</v>
      </c>
      <c r="N329" s="714">
        <f t="shared" si="113"/>
        <v>1.1909629629629629E-2</v>
      </c>
      <c r="O329" s="718">
        <f>C329*15/25</f>
        <v>1.0777777777777778E-4</v>
      </c>
      <c r="P329" s="719">
        <f t="shared" si="108"/>
        <v>1.0777777777777778E-4</v>
      </c>
      <c r="Q329" s="791">
        <f t="shared" si="109"/>
        <v>100</v>
      </c>
      <c r="R329" s="713">
        <f t="shared" si="114"/>
        <v>240</v>
      </c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</row>
    <row r="330" spans="3:59">
      <c r="C330" s="712">
        <v>1.7962962962962963E-4</v>
      </c>
      <c r="D330" s="928"/>
      <c r="E330" s="727">
        <v>1</v>
      </c>
      <c r="F330" s="727">
        <v>12</v>
      </c>
      <c r="G330" s="727">
        <v>20</v>
      </c>
      <c r="H330" s="712"/>
      <c r="I330" s="712">
        <v>4.6296296296296293E-4</v>
      </c>
      <c r="J330" s="712">
        <v>2.0833333333333333E-3</v>
      </c>
      <c r="K330" s="730" t="s">
        <v>409</v>
      </c>
      <c r="L330" s="730"/>
      <c r="M330" s="731">
        <v>1</v>
      </c>
      <c r="N330" s="712">
        <f t="shared" si="113"/>
        <v>9.3633333333333329E-3</v>
      </c>
      <c r="O330" s="718">
        <f>C330*20/25</f>
        <v>1.437037037037037E-4</v>
      </c>
      <c r="P330" s="719">
        <f t="shared" si="108"/>
        <v>1.437037037037037E-4</v>
      </c>
      <c r="Q330" s="791">
        <f t="shared" si="109"/>
        <v>100</v>
      </c>
      <c r="R330" s="713">
        <f t="shared" si="114"/>
        <v>240</v>
      </c>
      <c r="S330" s="73"/>
      <c r="T330" s="73"/>
    </row>
    <row r="331" spans="3:59">
      <c r="C331" s="732">
        <v>1.7962962962962963E-4</v>
      </c>
      <c r="D331" s="933"/>
      <c r="E331" s="724">
        <v>2</v>
      </c>
      <c r="F331" s="724">
        <v>3</v>
      </c>
      <c r="G331" s="724">
        <v>40</v>
      </c>
      <c r="H331" s="714"/>
      <c r="I331" s="714">
        <v>6.9444444444444447E-4</v>
      </c>
      <c r="J331" s="714">
        <v>2.0833333333333333E-3</v>
      </c>
      <c r="K331" s="725" t="s">
        <v>414</v>
      </c>
      <c r="L331" s="725"/>
      <c r="M331" s="726">
        <v>1</v>
      </c>
      <c r="N331" s="714">
        <f t="shared" si="113"/>
        <v>1.0057777777777777E-2</v>
      </c>
      <c r="O331" s="718">
        <f>C331*40/25</f>
        <v>2.8740740740740739E-4</v>
      </c>
      <c r="P331" s="719">
        <f t="shared" si="108"/>
        <v>2.8740740740740739E-4</v>
      </c>
      <c r="Q331" s="791">
        <f t="shared" si="109"/>
        <v>100</v>
      </c>
      <c r="R331" s="713">
        <f t="shared" si="114"/>
        <v>240</v>
      </c>
      <c r="S331" s="73"/>
      <c r="T331" s="73"/>
    </row>
    <row r="332" spans="3:59">
      <c r="C332" s="712">
        <v>1.7962962962962963E-4</v>
      </c>
      <c r="D332" s="928"/>
      <c r="E332" s="724">
        <v>2</v>
      </c>
      <c r="F332" s="724">
        <v>6</v>
      </c>
      <c r="G332" s="724">
        <v>25</v>
      </c>
      <c r="H332" s="714"/>
      <c r="I332" s="714">
        <v>4.6296296296296293E-4</v>
      </c>
      <c r="J332" s="714">
        <v>1.3888888888888889E-3</v>
      </c>
      <c r="K332" s="725" t="s">
        <v>411</v>
      </c>
      <c r="L332" s="725"/>
      <c r="M332" s="726">
        <v>1</v>
      </c>
      <c r="N332" s="714">
        <f t="shared" si="113"/>
        <v>1.0488888888888888E-2</v>
      </c>
      <c r="O332" s="718">
        <f>C332</f>
        <v>1.7962962962962963E-4</v>
      </c>
      <c r="P332" s="719">
        <f t="shared" si="108"/>
        <v>1.7962962962962963E-4</v>
      </c>
      <c r="Q332" s="791">
        <f t="shared" si="109"/>
        <v>100</v>
      </c>
      <c r="R332" s="713">
        <f t="shared" si="114"/>
        <v>300</v>
      </c>
      <c r="S332" s="73"/>
      <c r="T332" s="73"/>
    </row>
    <row r="333" spans="3:59">
      <c r="C333" s="712">
        <v>1.7962962962962963E-4</v>
      </c>
      <c r="D333" s="928"/>
      <c r="E333" s="727">
        <v>3</v>
      </c>
      <c r="F333" s="727">
        <v>4</v>
      </c>
      <c r="G333" s="727">
        <v>40</v>
      </c>
      <c r="H333" s="712"/>
      <c r="I333" s="712">
        <v>4.6296296296296293E-4</v>
      </c>
      <c r="J333" s="712">
        <v>2.0833333333333333E-3</v>
      </c>
      <c r="K333" s="730" t="s">
        <v>409</v>
      </c>
      <c r="L333" s="730"/>
      <c r="M333" s="731">
        <v>1</v>
      </c>
      <c r="N333" s="712">
        <f t="shared" si="113"/>
        <v>1.5254444444444444E-2</v>
      </c>
      <c r="O333" s="718">
        <f>C333*40/25</f>
        <v>2.8740740740740739E-4</v>
      </c>
      <c r="P333" s="719">
        <f t="shared" si="108"/>
        <v>2.8740740740740739E-4</v>
      </c>
      <c r="Q333" s="791">
        <f t="shared" si="109"/>
        <v>100</v>
      </c>
      <c r="R333" s="713">
        <f t="shared" si="114"/>
        <v>480</v>
      </c>
      <c r="S333" s="73"/>
      <c r="T333" s="73"/>
    </row>
    <row r="334" spans="3:59">
      <c r="C334" s="712">
        <v>1.7962962962962963E-4</v>
      </c>
      <c r="D334" s="928"/>
      <c r="E334" s="727">
        <v>1</v>
      </c>
      <c r="F334" s="727">
        <v>10</v>
      </c>
      <c r="G334" s="727">
        <v>50</v>
      </c>
      <c r="H334" s="712"/>
      <c r="I334" s="712">
        <v>2.0833333333333333E-3</v>
      </c>
      <c r="J334" s="712">
        <v>0</v>
      </c>
      <c r="K334" s="728" t="s">
        <v>315</v>
      </c>
      <c r="L334" s="728"/>
      <c r="M334" s="729">
        <v>1</v>
      </c>
      <c r="N334" s="712">
        <f t="shared" si="113"/>
        <v>2.4425925925925924E-2</v>
      </c>
      <c r="O334" s="718">
        <f>C334*2</f>
        <v>3.5925925925925925E-4</v>
      </c>
      <c r="P334" s="719">
        <f t="shared" si="108"/>
        <v>3.5925925925925925E-4</v>
      </c>
      <c r="Q334" s="791">
        <f t="shared" si="109"/>
        <v>100</v>
      </c>
      <c r="R334" s="713">
        <f t="shared" si="114"/>
        <v>500</v>
      </c>
      <c r="S334" s="73"/>
      <c r="T334" s="73"/>
    </row>
    <row r="335" spans="3:59">
      <c r="C335" s="712">
        <v>1.7962962962962963E-4</v>
      </c>
      <c r="D335" s="928"/>
      <c r="E335" s="724">
        <v>4</v>
      </c>
      <c r="F335" s="724">
        <v>5</v>
      </c>
      <c r="G335" s="724">
        <v>30</v>
      </c>
      <c r="H335" s="714"/>
      <c r="I335" s="714">
        <v>4.6296296296296293E-4</v>
      </c>
      <c r="J335" s="714">
        <v>1.3888888888888889E-3</v>
      </c>
      <c r="K335" s="725" t="s">
        <v>413</v>
      </c>
      <c r="L335" s="725"/>
      <c r="M335" s="726">
        <v>1</v>
      </c>
      <c r="N335" s="714">
        <f t="shared" si="113"/>
        <v>1.9125925925925925E-2</v>
      </c>
      <c r="O335" s="718">
        <f>C335*30/25</f>
        <v>2.1555555555555556E-4</v>
      </c>
      <c r="P335" s="719">
        <f t="shared" si="108"/>
        <v>2.1555555555555556E-4</v>
      </c>
      <c r="Q335" s="791">
        <f t="shared" si="109"/>
        <v>100</v>
      </c>
      <c r="R335" s="713">
        <f t="shared" si="114"/>
        <v>600</v>
      </c>
      <c r="S335" s="73"/>
      <c r="T335" s="73"/>
    </row>
    <row r="336" spans="3:59">
      <c r="C336" s="712">
        <v>1.7962962962962963E-4</v>
      </c>
      <c r="D336" s="928"/>
      <c r="E336" s="724">
        <v>4</v>
      </c>
      <c r="F336" s="724">
        <v>3</v>
      </c>
      <c r="G336" s="724">
        <v>50</v>
      </c>
      <c r="H336" s="714"/>
      <c r="I336" s="714">
        <v>6.9444444444444447E-4</v>
      </c>
      <c r="J336" s="714">
        <v>2.0833333333333333E-3</v>
      </c>
      <c r="K336" s="725" t="s">
        <v>416</v>
      </c>
      <c r="L336" s="725"/>
      <c r="M336" s="726">
        <v>1</v>
      </c>
      <c r="N336" s="714">
        <f t="shared" si="113"/>
        <v>2.0977777777777776E-2</v>
      </c>
      <c r="O336" s="718">
        <f>C336*2</f>
        <v>3.5925925925925925E-4</v>
      </c>
      <c r="P336" s="719">
        <f t="shared" si="108"/>
        <v>3.5925925925925925E-4</v>
      </c>
      <c r="Q336" s="791">
        <f t="shared" si="109"/>
        <v>100</v>
      </c>
      <c r="R336" s="713">
        <f t="shared" si="114"/>
        <v>600</v>
      </c>
      <c r="S336" s="73"/>
      <c r="T336" s="73"/>
    </row>
    <row r="337" spans="3:20">
      <c r="C337" s="712">
        <v>1.7962962962962963E-4</v>
      </c>
      <c r="D337" s="928"/>
      <c r="E337" s="727">
        <v>1</v>
      </c>
      <c r="F337" s="727">
        <v>50</v>
      </c>
      <c r="G337" s="727">
        <v>12.5</v>
      </c>
      <c r="H337" s="712"/>
      <c r="I337" s="712">
        <v>3.4722222222222224E-4</v>
      </c>
      <c r="J337" s="712">
        <v>0</v>
      </c>
      <c r="K337" s="728" t="s">
        <v>315</v>
      </c>
      <c r="L337" s="728"/>
      <c r="M337" s="729">
        <v>1</v>
      </c>
      <c r="N337" s="712">
        <f t="shared" si="113"/>
        <v>2.1851851851851851E-2</v>
      </c>
      <c r="O337" s="718">
        <f>C337/2</f>
        <v>8.9814814814814813E-5</v>
      </c>
      <c r="P337" s="719">
        <f t="shared" si="108"/>
        <v>8.9814814814814813E-5</v>
      </c>
      <c r="Q337" s="791">
        <f t="shared" si="109"/>
        <v>100</v>
      </c>
      <c r="R337" s="713">
        <f t="shared" si="114"/>
        <v>625</v>
      </c>
      <c r="S337" s="73"/>
      <c r="T337" s="73"/>
    </row>
    <row r="338" spans="3:20">
      <c r="C338" s="712">
        <v>1.7962962962962963E-4</v>
      </c>
      <c r="D338" s="928"/>
      <c r="E338" s="724">
        <v>4</v>
      </c>
      <c r="F338" s="724">
        <v>4</v>
      </c>
      <c r="G338" s="724">
        <v>40</v>
      </c>
      <c r="H338" s="714"/>
      <c r="I338" s="714">
        <v>6.9444444444444447E-4</v>
      </c>
      <c r="J338" s="714">
        <v>2.0833333333333333E-3</v>
      </c>
      <c r="K338" s="725" t="s">
        <v>415</v>
      </c>
      <c r="L338" s="725"/>
      <c r="M338" s="726">
        <v>1</v>
      </c>
      <c r="N338" s="714">
        <f t="shared" si="113"/>
        <v>2.404296296296296E-2</v>
      </c>
      <c r="O338" s="718">
        <f>C338*40/25</f>
        <v>2.8740740740740739E-4</v>
      </c>
      <c r="P338" s="719">
        <f t="shared" si="108"/>
        <v>2.8740740740740739E-4</v>
      </c>
      <c r="Q338" s="791">
        <f t="shared" si="109"/>
        <v>100</v>
      </c>
      <c r="R338" s="713">
        <f t="shared" si="114"/>
        <v>640</v>
      </c>
      <c r="S338" s="73"/>
      <c r="T338" s="73"/>
    </row>
    <row r="339" spans="3:20">
      <c r="C339" s="712">
        <v>1.8518518518518518E-4</v>
      </c>
      <c r="D339" s="928"/>
      <c r="E339" s="724">
        <v>4</v>
      </c>
      <c r="F339" s="724">
        <v>6</v>
      </c>
      <c r="G339" s="724">
        <v>30</v>
      </c>
      <c r="H339" s="714"/>
      <c r="I339" s="714">
        <v>4.6296296296296293E-4</v>
      </c>
      <c r="J339" s="714">
        <v>1.3888888888888889E-3</v>
      </c>
      <c r="K339" s="725" t="s">
        <v>414</v>
      </c>
      <c r="L339" s="725"/>
      <c r="M339" s="726">
        <v>1</v>
      </c>
      <c r="N339" s="714">
        <f t="shared" si="113"/>
        <v>2.1999999999999999E-2</v>
      </c>
      <c r="O339" s="718">
        <f>C339*30/25</f>
        <v>2.2222222222222221E-4</v>
      </c>
      <c r="P339" s="719">
        <f t="shared" si="108"/>
        <v>2.2222222222222221E-4</v>
      </c>
      <c r="Q339" s="791">
        <f t="shared" si="109"/>
        <v>100</v>
      </c>
      <c r="R339" s="713">
        <f t="shared" si="114"/>
        <v>720</v>
      </c>
      <c r="S339" s="73"/>
      <c r="T339" s="73"/>
    </row>
    <row r="340" spans="3:20">
      <c r="C340" s="712">
        <v>1.7962962962962963E-4</v>
      </c>
      <c r="D340" s="928"/>
      <c r="E340" s="727">
        <v>4</v>
      </c>
      <c r="F340" s="727">
        <v>10</v>
      </c>
      <c r="G340" s="727">
        <v>20</v>
      </c>
      <c r="H340" s="712"/>
      <c r="I340" s="712">
        <v>4.6296296296296293E-4</v>
      </c>
      <c r="J340" s="712">
        <v>2.0833333333333333E-3</v>
      </c>
      <c r="K340" s="730" t="s">
        <v>410</v>
      </c>
      <c r="L340" s="730"/>
      <c r="M340" s="731">
        <v>1</v>
      </c>
      <c r="N340" s="712">
        <f t="shared" si="113"/>
        <v>3.4094518518518517E-2</v>
      </c>
      <c r="O340" s="718">
        <f>C340*20/25*1.26</f>
        <v>1.8106666666666666E-4</v>
      </c>
      <c r="P340" s="719">
        <f t="shared" si="108"/>
        <v>1.8106666666666666E-4</v>
      </c>
      <c r="Q340" s="791">
        <f t="shared" si="109"/>
        <v>100</v>
      </c>
      <c r="R340" s="713">
        <f t="shared" si="114"/>
        <v>800</v>
      </c>
      <c r="S340" s="73"/>
      <c r="T340" s="73"/>
    </row>
    <row r="341" spans="3:20">
      <c r="C341" s="712">
        <v>1.7962962962962963E-4</v>
      </c>
      <c r="D341" s="928"/>
      <c r="E341" s="727">
        <v>1</v>
      </c>
      <c r="F341" s="727">
        <v>20</v>
      </c>
      <c r="G341" s="727">
        <v>40</v>
      </c>
      <c r="H341" s="712"/>
      <c r="I341" s="712">
        <v>3.4722222222222224E-4</v>
      </c>
      <c r="J341" s="712">
        <v>0</v>
      </c>
      <c r="K341" s="728" t="s">
        <v>315</v>
      </c>
      <c r="L341" s="728"/>
      <c r="M341" s="729">
        <v>1</v>
      </c>
      <c r="N341" s="712">
        <f t="shared" si="113"/>
        <v>1.2692592592592592E-2</v>
      </c>
      <c r="O341" s="718">
        <f>C341*40/25</f>
        <v>2.8740740740740739E-4</v>
      </c>
      <c r="P341" s="719">
        <f t="shared" si="108"/>
        <v>2.8740740740740739E-4</v>
      </c>
      <c r="Q341" s="791">
        <f t="shared" si="109"/>
        <v>100</v>
      </c>
      <c r="R341" s="713">
        <f t="shared" si="114"/>
        <v>800</v>
      </c>
      <c r="S341" s="73"/>
      <c r="T341" s="73"/>
    </row>
    <row r="342" spans="3:20">
      <c r="C342" s="712">
        <v>1.7962962962962963E-4</v>
      </c>
      <c r="D342" s="928"/>
      <c r="E342" s="724">
        <v>1</v>
      </c>
      <c r="F342" s="733">
        <v>40</v>
      </c>
      <c r="G342" s="733">
        <v>25</v>
      </c>
      <c r="H342" s="734"/>
      <c r="I342" s="734">
        <v>4.6296296296296293E-4</v>
      </c>
      <c r="J342" s="714">
        <v>1.3888888888888889E-3</v>
      </c>
      <c r="K342" s="725" t="s">
        <v>412</v>
      </c>
      <c r="L342" s="725"/>
      <c r="M342" s="735">
        <v>1</v>
      </c>
      <c r="N342" s="714">
        <f t="shared" si="113"/>
        <v>2.7092592592592588E-2</v>
      </c>
      <c r="O342" s="718">
        <f>C342</f>
        <v>1.7962962962962963E-4</v>
      </c>
      <c r="P342" s="719">
        <f t="shared" si="108"/>
        <v>1.7962962962962963E-4</v>
      </c>
      <c r="Q342" s="791">
        <f t="shared" si="109"/>
        <v>100</v>
      </c>
      <c r="R342" s="736">
        <f t="shared" si="114"/>
        <v>1000</v>
      </c>
      <c r="S342" s="73"/>
      <c r="T342" s="73"/>
    </row>
    <row r="343" spans="3:20">
      <c r="C343" s="712">
        <v>1.7962962962962963E-4</v>
      </c>
      <c r="D343" s="928"/>
      <c r="E343" s="727">
        <v>1</v>
      </c>
      <c r="F343" s="727">
        <v>20</v>
      </c>
      <c r="G343" s="727">
        <v>50</v>
      </c>
      <c r="H343" s="712"/>
      <c r="I343" s="712">
        <v>1.3888888888888889E-3</v>
      </c>
      <c r="J343" s="712">
        <v>0</v>
      </c>
      <c r="K343" s="728" t="s">
        <v>315</v>
      </c>
      <c r="L343" s="728"/>
      <c r="M343" s="729">
        <v>1</v>
      </c>
      <c r="N343" s="712">
        <f t="shared" si="113"/>
        <v>3.4962962962962967E-2</v>
      </c>
      <c r="O343" s="718">
        <f>C343*2</f>
        <v>3.5925925925925925E-4</v>
      </c>
      <c r="P343" s="719">
        <f t="shared" si="108"/>
        <v>3.5925925925925925E-4</v>
      </c>
      <c r="Q343" s="791">
        <f t="shared" si="109"/>
        <v>100</v>
      </c>
      <c r="R343" s="713">
        <f t="shared" si="114"/>
        <v>1000</v>
      </c>
      <c r="S343" s="73"/>
      <c r="T343" s="73"/>
    </row>
    <row r="344" spans="3:20">
      <c r="C344" s="695">
        <v>1.7962962962962963E-4</v>
      </c>
      <c r="D344" s="929"/>
      <c r="E344" s="707">
        <v>3</v>
      </c>
      <c r="F344" s="707">
        <v>10</v>
      </c>
      <c r="G344" s="707">
        <v>40</v>
      </c>
      <c r="H344" s="695"/>
      <c r="I344" s="695">
        <v>4.6296296296296293E-4</v>
      </c>
      <c r="J344" s="695">
        <v>2.0833333333333333E-3</v>
      </c>
      <c r="K344" s="710" t="s">
        <v>410</v>
      </c>
      <c r="L344" s="710"/>
      <c r="M344" s="711">
        <v>1</v>
      </c>
      <c r="N344" s="695">
        <f t="shared" si="113"/>
        <v>3.048555555555555E-2</v>
      </c>
      <c r="O344" s="701">
        <f>C344*40/25*1.2</f>
        <v>3.4488888888888888E-4</v>
      </c>
      <c r="P344" s="702">
        <f t="shared" si="108"/>
        <v>3.4488888888888888E-4</v>
      </c>
      <c r="Q344" s="791">
        <f t="shared" si="109"/>
        <v>100</v>
      </c>
      <c r="R344" s="696">
        <f t="shared" si="114"/>
        <v>1200</v>
      </c>
      <c r="S344" s="73"/>
      <c r="T344" s="478"/>
    </row>
    <row r="345" spans="3:20" ht="23">
      <c r="C345" s="337"/>
      <c r="D345" s="899"/>
      <c r="E345" s="338"/>
      <c r="F345" s="337"/>
      <c r="G345" s="337"/>
      <c r="H345" s="339"/>
      <c r="I345" s="339"/>
      <c r="J345" s="340" t="s">
        <v>343</v>
      </c>
      <c r="K345"/>
      <c r="L345"/>
      <c r="M345" s="521"/>
      <c r="N345" s="935">
        <f>N327+N322+N313</f>
        <v>0.24619462962962962</v>
      </c>
      <c r="O345" s="337"/>
      <c r="P345" s="337"/>
      <c r="Q345" s="341"/>
      <c r="R345" s="73">
        <f>R327+R322+R313</f>
        <v>19600</v>
      </c>
      <c r="S345" s="73">
        <f>R345/T346</f>
        <v>0.91183996278204238</v>
      </c>
      <c r="T345" s="2161"/>
    </row>
    <row r="346" spans="3:20">
      <c r="C346" s="73"/>
      <c r="D346" s="934"/>
      <c r="E346" s="73"/>
      <c r="F346" s="73"/>
      <c r="M346" s="73"/>
      <c r="N346" s="73">
        <v>5</v>
      </c>
      <c r="O346" s="73">
        <v>58</v>
      </c>
      <c r="P346" s="73">
        <v>15</v>
      </c>
      <c r="Q346" s="783"/>
      <c r="R346" s="73"/>
      <c r="S346" s="73"/>
      <c r="T346" s="2162">
        <f>N346*3600+O346*60+P346</f>
        <v>21495</v>
      </c>
    </row>
    <row r="347" spans="3:20">
      <c r="C347" s="73"/>
      <c r="D347" s="934"/>
      <c r="E347" s="73"/>
      <c r="F347" s="73"/>
      <c r="H347" s="1096" t="s">
        <v>877</v>
      </c>
      <c r="M347" s="73"/>
      <c r="O347" s="73"/>
      <c r="P347" s="73"/>
      <c r="Q347" s="783"/>
      <c r="R347" s="73"/>
      <c r="S347" s="73"/>
    </row>
    <row r="348" spans="3:20">
      <c r="C348" s="274">
        <f t="shared" ref="C348:C353" si="115">IF(D348=1,U$5,IF(D348=2,V$5,IF(D348=3,W$5,IF(D348=4,X$5,IF(D348=5,Y$5,IF(D348=6,Z$5,IF(D348=7,AA$5,0)))))))</f>
        <v>0</v>
      </c>
      <c r="D348" s="4558">
        <v>6</v>
      </c>
      <c r="E348" s="4559">
        <v>2</v>
      </c>
      <c r="F348" s="4559">
        <v>4</v>
      </c>
      <c r="G348" s="4559">
        <v>100</v>
      </c>
      <c r="H348" s="4559"/>
      <c r="I348" s="4560">
        <v>3.4722222222222224E-4</v>
      </c>
      <c r="J348" s="4560">
        <v>6.9444444444444441E-3</v>
      </c>
      <c r="K348" s="4561" t="s">
        <v>974</v>
      </c>
      <c r="L348" s="4560">
        <f t="shared" ref="L348" si="116">L347+N347</f>
        <v>0</v>
      </c>
      <c r="M348" s="4562">
        <v>1.07</v>
      </c>
      <c r="N348" s="4560">
        <f t="shared" ref="N348:N353" si="117">P348*E348*F348+I348*E348*F348+J348*E348</f>
        <v>1.6666666666666666E-2</v>
      </c>
      <c r="O348" s="4563">
        <f>C348*(G348/25)</f>
        <v>0</v>
      </c>
      <c r="P348" s="4564">
        <f t="shared" ref="P348:P353" si="118">O348*M348</f>
        <v>0</v>
      </c>
      <c r="Q348" s="4565">
        <v>177</v>
      </c>
      <c r="R348" s="4559">
        <f t="shared" ref="R348:R353" si="119">E348*F348*G348</f>
        <v>800</v>
      </c>
      <c r="S348" s="73"/>
    </row>
    <row r="349" spans="3:20">
      <c r="C349" s="274">
        <f t="shared" si="115"/>
        <v>0</v>
      </c>
      <c r="D349" s="4558">
        <v>6</v>
      </c>
      <c r="E349" s="4559">
        <v>2</v>
      </c>
      <c r="F349" s="4559">
        <v>4</v>
      </c>
      <c r="G349" s="4559">
        <v>75</v>
      </c>
      <c r="H349" s="4559"/>
      <c r="I349" s="4560">
        <v>6.9444444444444447E-4</v>
      </c>
      <c r="J349" s="4560">
        <v>3.472222222222222E-3</v>
      </c>
      <c r="K349" s="4561" t="s">
        <v>974</v>
      </c>
      <c r="L349" s="4560">
        <f>L347+N347</f>
        <v>0</v>
      </c>
      <c r="M349" s="4562">
        <v>1.08</v>
      </c>
      <c r="N349" s="4560">
        <f t="shared" si="117"/>
        <v>1.2500000000000001E-2</v>
      </c>
      <c r="O349" s="4563">
        <f>C349*(G349/25)*1.02</f>
        <v>0</v>
      </c>
      <c r="P349" s="4564">
        <f t="shared" si="118"/>
        <v>0</v>
      </c>
      <c r="Q349" s="4565">
        <v>177</v>
      </c>
      <c r="R349" s="4559">
        <f t="shared" si="119"/>
        <v>600</v>
      </c>
      <c r="S349" s="73"/>
    </row>
    <row r="350" spans="3:20">
      <c r="C350" s="274">
        <f t="shared" si="115"/>
        <v>0</v>
      </c>
      <c r="D350" s="4558">
        <v>6</v>
      </c>
      <c r="E350" s="4559">
        <v>2</v>
      </c>
      <c r="F350" s="4559">
        <v>5</v>
      </c>
      <c r="G350" s="4559">
        <v>80</v>
      </c>
      <c r="H350" s="2430" t="s">
        <v>1059</v>
      </c>
      <c r="I350" s="4560">
        <v>2.8935185185185189E-4</v>
      </c>
      <c r="J350" s="4560">
        <v>3.472222222222222E-3</v>
      </c>
      <c r="K350" s="4561" t="s">
        <v>1055</v>
      </c>
      <c r="L350" s="4560">
        <f t="shared" ref="L350:L352" si="120">L349+N349</f>
        <v>1.2500000000000001E-2</v>
      </c>
      <c r="M350" s="4562">
        <v>1.05</v>
      </c>
      <c r="N350" s="4560">
        <f t="shared" si="117"/>
        <v>9.8379629629629633E-3</v>
      </c>
      <c r="O350" s="4563">
        <f>C350*(G350/25)*1.04</f>
        <v>0</v>
      </c>
      <c r="P350" s="4564">
        <f t="shared" si="118"/>
        <v>0</v>
      </c>
      <c r="Q350" s="4565">
        <v>177</v>
      </c>
      <c r="R350" s="4559">
        <f t="shared" si="119"/>
        <v>800</v>
      </c>
      <c r="S350" s="73"/>
    </row>
    <row r="351" spans="3:20">
      <c r="C351" s="274">
        <f t="shared" si="115"/>
        <v>0</v>
      </c>
      <c r="D351" s="4558">
        <v>6</v>
      </c>
      <c r="E351" s="4559">
        <v>3</v>
      </c>
      <c r="F351" s="4559">
        <v>6</v>
      </c>
      <c r="G351" s="4559">
        <v>20</v>
      </c>
      <c r="H351" s="2430" t="s">
        <v>1286</v>
      </c>
      <c r="I351" s="4560">
        <v>2.3148148148148146E-4</v>
      </c>
      <c r="J351" s="4560">
        <v>3.472222222222222E-3</v>
      </c>
      <c r="K351" s="4561" t="s">
        <v>1056</v>
      </c>
      <c r="L351" s="4560">
        <f t="shared" si="120"/>
        <v>2.2337962962962962E-2</v>
      </c>
      <c r="M351" s="4562">
        <v>1.05</v>
      </c>
      <c r="N351" s="4560">
        <f t="shared" si="117"/>
        <v>1.4583333333333332E-2</v>
      </c>
      <c r="O351" s="4563">
        <f>C351*(G351/25)</f>
        <v>0</v>
      </c>
      <c r="P351" s="4564">
        <f t="shared" si="118"/>
        <v>0</v>
      </c>
      <c r="Q351" s="4565">
        <v>177</v>
      </c>
      <c r="R351" s="4559">
        <f t="shared" si="119"/>
        <v>360</v>
      </c>
      <c r="S351" s="73"/>
    </row>
    <row r="352" spans="3:20">
      <c r="C352" s="274">
        <f t="shared" si="115"/>
        <v>0</v>
      </c>
      <c r="D352" s="4619">
        <v>6</v>
      </c>
      <c r="E352" s="4620">
        <v>1</v>
      </c>
      <c r="F352" s="4620">
        <v>6</v>
      </c>
      <c r="G352" s="4620">
        <v>80</v>
      </c>
      <c r="H352" s="4620"/>
      <c r="I352" s="4621">
        <v>3.4722222222222224E-4</v>
      </c>
      <c r="J352" s="4621">
        <v>6.9444444444444441E-3</v>
      </c>
      <c r="K352" s="4561" t="s">
        <v>974</v>
      </c>
      <c r="L352" s="4621">
        <f t="shared" si="120"/>
        <v>3.6921296296296292E-2</v>
      </c>
      <c r="M352" s="4622">
        <v>1.07</v>
      </c>
      <c r="N352" s="4621">
        <f t="shared" si="117"/>
        <v>9.0277777777777769E-3</v>
      </c>
      <c r="O352" s="4563">
        <f>C352*(G352/25)</f>
        <v>0</v>
      </c>
      <c r="P352" s="4564">
        <f t="shared" si="118"/>
        <v>0</v>
      </c>
      <c r="Q352" s="4623">
        <v>177</v>
      </c>
      <c r="R352" s="4620">
        <f t="shared" si="119"/>
        <v>480</v>
      </c>
      <c r="S352" s="73"/>
    </row>
    <row r="353" spans="3:20">
      <c r="C353" s="274">
        <f t="shared" si="115"/>
        <v>0</v>
      </c>
      <c r="D353" s="4619">
        <v>6</v>
      </c>
      <c r="E353" s="4620">
        <v>1</v>
      </c>
      <c r="F353" s="4620">
        <v>8</v>
      </c>
      <c r="G353" s="4620">
        <v>50</v>
      </c>
      <c r="H353" s="4620"/>
      <c r="I353" s="4621">
        <v>6.9444444444444447E-4</v>
      </c>
      <c r="J353" s="4621">
        <v>3.472222222222222E-3</v>
      </c>
      <c r="K353" s="4561" t="s">
        <v>974</v>
      </c>
      <c r="L353" s="4621">
        <f>L351+N351</f>
        <v>3.6921296296296292E-2</v>
      </c>
      <c r="M353" s="4622">
        <v>1.05</v>
      </c>
      <c r="N353" s="4621">
        <f t="shared" si="117"/>
        <v>9.0277777777777769E-3</v>
      </c>
      <c r="O353" s="4563">
        <f>C353*(G353/25)*1.02</f>
        <v>0</v>
      </c>
      <c r="P353" s="4564">
        <f t="shared" si="118"/>
        <v>0</v>
      </c>
      <c r="Q353" s="4623">
        <v>177</v>
      </c>
      <c r="R353" s="4620">
        <f t="shared" si="119"/>
        <v>400</v>
      </c>
      <c r="S353" s="73"/>
    </row>
    <row r="354" spans="3:20">
      <c r="C354" s="73"/>
      <c r="D354" s="934"/>
      <c r="E354" s="73"/>
      <c r="F354" s="73"/>
      <c r="M354" s="73"/>
      <c r="N354" s="3335">
        <f>SUM(N348:N353)</f>
        <v>7.1643518518518509E-2</v>
      </c>
      <c r="O354" s="73"/>
      <c r="P354" s="73"/>
      <c r="Q354" s="783"/>
      <c r="R354" s="73">
        <f>SUM(R348:R353)</f>
        <v>3440</v>
      </c>
      <c r="S354" s="73">
        <f>R354/T355</f>
        <v>0.50218978102189782</v>
      </c>
      <c r="T354" s="2161"/>
    </row>
    <row r="355" spans="3:20">
      <c r="C355" s="73"/>
      <c r="D355" s="934"/>
      <c r="E355" s="73"/>
      <c r="F355" s="73"/>
      <c r="M355" s="73"/>
      <c r="N355" s="73">
        <v>1</v>
      </c>
      <c r="O355" s="73">
        <v>54</v>
      </c>
      <c r="P355" s="73">
        <v>10</v>
      </c>
      <c r="Q355" s="783"/>
      <c r="R355" s="73"/>
      <c r="S355" s="73"/>
      <c r="T355" s="2162">
        <f>N355*3600+O355*60+P355</f>
        <v>6850</v>
      </c>
    </row>
    <row r="356" spans="3:20">
      <c r="C356" s="73"/>
      <c r="D356" s="934"/>
      <c r="E356" s="73"/>
      <c r="F356" s="73"/>
      <c r="M356" s="73"/>
      <c r="O356" s="73"/>
      <c r="P356" s="73"/>
      <c r="Q356" s="783"/>
      <c r="R356" s="73"/>
      <c r="S356" s="73"/>
    </row>
    <row r="357" spans="3:20">
      <c r="C357" s="73"/>
      <c r="D357" s="934"/>
      <c r="E357" s="73"/>
      <c r="F357" s="73"/>
      <c r="M357" s="73"/>
      <c r="O357" s="73"/>
      <c r="P357" s="73"/>
      <c r="Q357" s="783"/>
      <c r="R357" s="73"/>
      <c r="S357" s="73"/>
    </row>
    <row r="358" spans="3:20">
      <c r="C358" s="73"/>
      <c r="D358" s="934"/>
      <c r="E358" s="73"/>
      <c r="F358" s="73"/>
      <c r="M358" s="73"/>
      <c r="O358" s="73"/>
      <c r="P358" s="73"/>
      <c r="Q358" s="783"/>
      <c r="R358" s="73"/>
      <c r="S358" s="73"/>
    </row>
    <row r="359" spans="3:20">
      <c r="C359" s="73"/>
      <c r="D359" s="934"/>
      <c r="E359" s="73"/>
      <c r="F359" s="73"/>
      <c r="M359" s="73"/>
      <c r="O359" s="73"/>
      <c r="P359" s="73"/>
      <c r="Q359" s="783"/>
      <c r="R359" s="73"/>
      <c r="S359" s="73"/>
    </row>
    <row r="360" spans="3:20">
      <c r="C360" s="73"/>
      <c r="D360" s="934"/>
      <c r="E360" s="73"/>
      <c r="F360" s="73"/>
      <c r="M360" s="73"/>
      <c r="O360" s="73"/>
      <c r="P360" s="73"/>
      <c r="Q360" s="783"/>
      <c r="R360" s="73"/>
      <c r="S360" s="73"/>
    </row>
    <row r="361" spans="3:20">
      <c r="C361" s="73"/>
      <c r="D361" s="934"/>
      <c r="E361" s="73"/>
      <c r="F361" s="73"/>
      <c r="M361" s="73"/>
      <c r="O361" s="73"/>
      <c r="P361" s="73"/>
      <c r="Q361" s="783"/>
      <c r="R361" s="73"/>
      <c r="S361" s="73"/>
    </row>
    <row r="362" spans="3:20">
      <c r="C362" s="73"/>
      <c r="D362" s="934"/>
      <c r="E362" s="73"/>
      <c r="F362" s="73"/>
      <c r="M362" s="73"/>
      <c r="O362" s="73"/>
      <c r="P362" s="73"/>
      <c r="Q362" s="783"/>
      <c r="R362" s="73"/>
      <c r="S362" s="73"/>
    </row>
    <row r="363" spans="3:20">
      <c r="C363" s="73"/>
      <c r="D363" s="934"/>
      <c r="E363" s="73"/>
      <c r="F363" s="73"/>
      <c r="M363" s="73"/>
      <c r="O363" s="73"/>
      <c r="P363" s="73"/>
      <c r="Q363" s="783"/>
      <c r="R363" s="73"/>
      <c r="S363" s="73"/>
    </row>
    <row r="364" spans="3:20">
      <c r="C364" s="73"/>
      <c r="D364" s="934"/>
      <c r="E364" s="73"/>
      <c r="F364" s="73"/>
      <c r="M364" s="73"/>
      <c r="O364" s="73"/>
      <c r="P364" s="73"/>
      <c r="Q364" s="783"/>
      <c r="R364" s="73"/>
      <c r="S364" s="73"/>
    </row>
    <row r="365" spans="3:20">
      <c r="C365" s="73"/>
      <c r="D365" s="934"/>
      <c r="E365" s="73"/>
      <c r="F365" s="73"/>
      <c r="M365" s="73"/>
      <c r="O365" s="73"/>
      <c r="P365" s="73"/>
      <c r="Q365" s="783"/>
      <c r="R365" s="73"/>
      <c r="S365" s="73"/>
    </row>
    <row r="366" spans="3:20">
      <c r="C366" s="73"/>
      <c r="D366" s="934"/>
      <c r="E366" s="73"/>
      <c r="F366" s="73"/>
      <c r="M366" s="73"/>
      <c r="O366" s="73"/>
      <c r="P366" s="73"/>
      <c r="Q366" s="783"/>
      <c r="R366" s="73"/>
      <c r="S366" s="73"/>
    </row>
    <row r="367" spans="3:20">
      <c r="C367" s="73"/>
      <c r="D367" s="934"/>
      <c r="E367" s="73"/>
      <c r="F367" s="73"/>
      <c r="M367" s="73"/>
      <c r="O367" s="73"/>
      <c r="P367" s="73"/>
      <c r="Q367" s="783"/>
      <c r="R367" s="73"/>
      <c r="S367" s="73"/>
    </row>
    <row r="368" spans="3:20">
      <c r="C368" s="73"/>
      <c r="D368" s="934"/>
      <c r="E368" s="73"/>
      <c r="F368" s="73"/>
      <c r="M368" s="73"/>
      <c r="O368" s="73"/>
      <c r="P368" s="73"/>
      <c r="Q368" s="783"/>
      <c r="R368" s="73"/>
      <c r="S368" s="73"/>
    </row>
    <row r="369" spans="3:19">
      <c r="C369" s="73"/>
      <c r="D369" s="934"/>
      <c r="E369" s="73"/>
      <c r="F369" s="73"/>
      <c r="M369" s="73"/>
      <c r="O369" s="73"/>
      <c r="P369" s="73"/>
      <c r="Q369" s="783"/>
      <c r="R369" s="73"/>
      <c r="S369" s="73"/>
    </row>
    <row r="370" spans="3:19">
      <c r="C370" s="73"/>
      <c r="D370" s="934"/>
      <c r="E370" s="73"/>
      <c r="F370" s="73"/>
      <c r="M370" s="73"/>
      <c r="O370" s="73"/>
      <c r="P370" s="73"/>
      <c r="Q370" s="783"/>
      <c r="R370" s="73"/>
      <c r="S370" s="73"/>
    </row>
    <row r="371" spans="3:19">
      <c r="C371" s="73"/>
      <c r="D371" s="934"/>
      <c r="E371" s="73"/>
      <c r="F371" s="73"/>
      <c r="M371" s="73"/>
      <c r="O371" s="73"/>
      <c r="P371" s="73"/>
      <c r="Q371" s="783"/>
      <c r="R371" s="73"/>
      <c r="S371" s="73"/>
    </row>
    <row r="372" spans="3:19">
      <c r="C372" s="73"/>
      <c r="D372" s="934"/>
      <c r="E372" s="73"/>
      <c r="F372" s="73"/>
      <c r="M372" s="73"/>
      <c r="O372" s="73"/>
      <c r="P372" s="73"/>
      <c r="Q372" s="783"/>
      <c r="R372" s="73"/>
      <c r="S372" s="73"/>
    </row>
    <row r="373" spans="3:19">
      <c r="C373" s="73"/>
      <c r="D373" s="934"/>
      <c r="E373" s="73"/>
      <c r="F373" s="73"/>
      <c r="M373" s="73"/>
      <c r="O373" s="73"/>
      <c r="P373" s="73"/>
      <c r="Q373" s="783"/>
      <c r="R373" s="73"/>
      <c r="S373" s="73"/>
    </row>
    <row r="374" spans="3:19">
      <c r="C374" s="73"/>
      <c r="D374" s="934"/>
      <c r="E374" s="73"/>
      <c r="F374" s="73"/>
      <c r="M374" s="73"/>
      <c r="O374" s="73"/>
      <c r="P374" s="73"/>
      <c r="Q374" s="783"/>
      <c r="R374" s="73"/>
      <c r="S374" s="73"/>
    </row>
    <row r="375" spans="3:19">
      <c r="C375" s="73"/>
      <c r="D375" s="934"/>
      <c r="E375" s="73"/>
      <c r="F375" s="73"/>
      <c r="M375" s="73"/>
      <c r="O375" s="73"/>
      <c r="P375" s="73"/>
      <c r="Q375" s="783"/>
      <c r="R375" s="73"/>
      <c r="S375" s="73"/>
    </row>
    <row r="376" spans="3:19">
      <c r="C376" s="73"/>
      <c r="D376" s="934"/>
      <c r="E376" s="73"/>
      <c r="F376" s="73"/>
      <c r="M376" s="73"/>
      <c r="O376" s="73"/>
      <c r="P376" s="73"/>
      <c r="Q376" s="783"/>
      <c r="R376" s="73"/>
      <c r="S376" s="73"/>
    </row>
    <row r="377" spans="3:19">
      <c r="C377" s="73"/>
      <c r="D377" s="934"/>
      <c r="E377" s="73"/>
      <c r="F377" s="73"/>
      <c r="M377" s="73"/>
      <c r="O377" s="73"/>
      <c r="P377" s="73"/>
      <c r="Q377" s="783"/>
      <c r="R377" s="73"/>
      <c r="S377" s="73"/>
    </row>
    <row r="378" spans="3:19">
      <c r="C378" s="73"/>
      <c r="D378" s="934"/>
      <c r="E378" s="73"/>
      <c r="F378" s="73"/>
      <c r="M378" s="73"/>
      <c r="O378" s="73"/>
      <c r="P378" s="73"/>
      <c r="Q378" s="783"/>
      <c r="R378" s="73"/>
      <c r="S378" s="73"/>
    </row>
    <row r="379" spans="3:19">
      <c r="C379" s="73"/>
      <c r="D379" s="934"/>
      <c r="E379" s="73"/>
      <c r="F379" s="73"/>
      <c r="M379" s="73"/>
      <c r="O379" s="73"/>
      <c r="P379" s="73"/>
      <c r="Q379" s="783"/>
      <c r="R379" s="73"/>
      <c r="S379" s="73"/>
    </row>
    <row r="380" spans="3:19">
      <c r="C380" s="73"/>
      <c r="D380" s="934"/>
      <c r="E380" s="73"/>
      <c r="F380" s="73"/>
      <c r="M380" s="73"/>
      <c r="O380" s="73"/>
      <c r="P380" s="73"/>
      <c r="Q380" s="783"/>
      <c r="R380" s="73"/>
      <c r="S380" s="73"/>
    </row>
    <row r="381" spans="3:19">
      <c r="C381" s="73"/>
      <c r="D381" s="934"/>
      <c r="E381" s="73"/>
      <c r="F381" s="73"/>
      <c r="M381" s="73"/>
      <c r="O381" s="73"/>
      <c r="P381" s="73"/>
      <c r="Q381" s="783"/>
      <c r="R381" s="73"/>
      <c r="S381" s="73"/>
    </row>
    <row r="382" spans="3:19">
      <c r="C382" s="73"/>
      <c r="D382" s="934"/>
      <c r="E382" s="73"/>
      <c r="F382" s="73"/>
      <c r="M382" s="73"/>
      <c r="O382" s="73"/>
      <c r="P382" s="73"/>
      <c r="Q382" s="783"/>
      <c r="R382" s="73"/>
      <c r="S382" s="73"/>
    </row>
    <row r="383" spans="3:19">
      <c r="C383" s="73"/>
      <c r="D383" s="934"/>
      <c r="E383" s="73"/>
      <c r="F383" s="73"/>
      <c r="M383" s="73"/>
      <c r="O383" s="73"/>
      <c r="P383" s="73"/>
      <c r="Q383" s="783"/>
      <c r="R383" s="73"/>
      <c r="S383" s="73"/>
    </row>
    <row r="384" spans="3:19">
      <c r="C384" s="73"/>
      <c r="D384" s="934"/>
      <c r="E384" s="73"/>
      <c r="F384" s="73"/>
      <c r="M384" s="73"/>
      <c r="O384" s="73"/>
      <c r="P384" s="73"/>
      <c r="Q384" s="783"/>
      <c r="R384" s="73"/>
      <c r="S384" s="73"/>
    </row>
    <row r="385" spans="3:19">
      <c r="C385" s="73"/>
      <c r="D385" s="934"/>
      <c r="E385" s="73"/>
      <c r="F385" s="73"/>
      <c r="M385" s="73"/>
      <c r="O385" s="73"/>
      <c r="P385" s="73"/>
      <c r="Q385" s="783"/>
      <c r="R385" s="73"/>
      <c r="S385" s="73"/>
    </row>
    <row r="386" spans="3:19">
      <c r="C386" s="73"/>
      <c r="D386" s="934"/>
      <c r="E386" s="73"/>
      <c r="F386" s="73"/>
      <c r="M386" s="73"/>
      <c r="O386" s="73"/>
      <c r="P386" s="73"/>
      <c r="Q386" s="783"/>
      <c r="R386" s="73"/>
      <c r="S386" s="73"/>
    </row>
    <row r="387" spans="3:19">
      <c r="C387" s="73"/>
      <c r="D387" s="934"/>
      <c r="E387" s="73"/>
      <c r="F387" s="73"/>
      <c r="M387" s="73"/>
      <c r="O387" s="73"/>
      <c r="P387" s="73"/>
      <c r="Q387" s="783"/>
      <c r="R387" s="73"/>
      <c r="S387" s="73"/>
    </row>
    <row r="388" spans="3:19">
      <c r="C388" s="73"/>
      <c r="D388" s="934"/>
      <c r="E388" s="73"/>
      <c r="F388" s="73"/>
      <c r="M388" s="73"/>
      <c r="O388" s="73"/>
      <c r="P388" s="73"/>
      <c r="Q388" s="783"/>
      <c r="R388" s="73"/>
      <c r="S388" s="73"/>
    </row>
    <row r="389" spans="3:19">
      <c r="C389" s="73"/>
      <c r="D389" s="934"/>
      <c r="E389" s="73"/>
      <c r="F389" s="73"/>
      <c r="M389" s="73"/>
      <c r="O389" s="73"/>
      <c r="P389" s="73"/>
      <c r="Q389" s="783"/>
      <c r="R389" s="73"/>
      <c r="S389" s="73"/>
    </row>
    <row r="390" spans="3:19">
      <c r="C390" s="73"/>
      <c r="D390" s="934"/>
      <c r="E390" s="73"/>
      <c r="F390" s="73"/>
      <c r="M390" s="73"/>
      <c r="O390" s="73"/>
      <c r="P390" s="73"/>
      <c r="Q390" s="783"/>
      <c r="R390" s="73"/>
      <c r="S390" s="73"/>
    </row>
    <row r="391" spans="3:19">
      <c r="C391" s="73"/>
      <c r="D391" s="934"/>
      <c r="E391" s="73"/>
      <c r="F391" s="73"/>
      <c r="M391" s="73"/>
      <c r="O391" s="73"/>
      <c r="P391" s="73"/>
      <c r="Q391" s="783"/>
      <c r="R391" s="73"/>
      <c r="S391" s="73"/>
    </row>
    <row r="392" spans="3:19">
      <c r="C392" s="73"/>
      <c r="D392" s="934"/>
      <c r="E392" s="73"/>
      <c r="F392" s="73"/>
      <c r="M392" s="73"/>
      <c r="O392" s="73"/>
      <c r="P392" s="73"/>
      <c r="Q392" s="783"/>
      <c r="R392" s="73"/>
      <c r="S392" s="73"/>
    </row>
    <row r="393" spans="3:19">
      <c r="C393" s="73"/>
      <c r="D393" s="934"/>
      <c r="E393" s="73"/>
      <c r="F393" s="73"/>
      <c r="M393" s="73"/>
      <c r="O393" s="73"/>
      <c r="P393" s="73"/>
      <c r="Q393" s="783"/>
      <c r="R393" s="73"/>
      <c r="S393" s="73"/>
    </row>
    <row r="394" spans="3:19">
      <c r="C394" s="73"/>
      <c r="D394" s="934"/>
      <c r="E394" s="73"/>
      <c r="F394" s="73"/>
      <c r="M394" s="73"/>
      <c r="O394" s="73"/>
      <c r="P394" s="73"/>
      <c r="Q394" s="783"/>
      <c r="R394" s="73"/>
      <c r="S394" s="73"/>
    </row>
    <row r="395" spans="3:19">
      <c r="C395" s="73"/>
      <c r="D395" s="934"/>
      <c r="E395" s="73"/>
      <c r="F395" s="73"/>
      <c r="M395" s="73"/>
      <c r="O395" s="73"/>
      <c r="P395" s="73"/>
      <c r="Q395" s="783"/>
      <c r="R395" s="73"/>
      <c r="S395" s="73"/>
    </row>
    <row r="396" spans="3:19">
      <c r="C396" s="73"/>
      <c r="D396" s="934"/>
      <c r="E396" s="73"/>
      <c r="F396" s="73"/>
      <c r="M396" s="73"/>
      <c r="O396" s="73"/>
      <c r="P396" s="73"/>
      <c r="Q396" s="783"/>
      <c r="R396" s="73"/>
      <c r="S396" s="73"/>
    </row>
    <row r="397" spans="3:19">
      <c r="C397" s="73"/>
      <c r="D397" s="934"/>
      <c r="E397" s="73"/>
      <c r="F397" s="73"/>
      <c r="M397" s="73"/>
      <c r="O397" s="73"/>
      <c r="P397" s="73"/>
      <c r="Q397" s="783"/>
      <c r="R397" s="73"/>
      <c r="S397" s="73"/>
    </row>
    <row r="398" spans="3:19">
      <c r="C398" s="73"/>
      <c r="D398" s="934"/>
      <c r="E398" s="73"/>
      <c r="F398" s="73"/>
      <c r="M398" s="73"/>
      <c r="O398" s="73"/>
      <c r="P398" s="73"/>
      <c r="Q398" s="783"/>
      <c r="R398" s="73"/>
      <c r="S398" s="73"/>
    </row>
    <row r="399" spans="3:19">
      <c r="C399" s="73"/>
      <c r="D399" s="934"/>
      <c r="E399" s="73"/>
      <c r="F399" s="73"/>
      <c r="M399" s="73"/>
      <c r="O399" s="73"/>
      <c r="P399" s="73"/>
      <c r="Q399" s="783"/>
      <c r="R399" s="73"/>
      <c r="S399" s="73"/>
    </row>
    <row r="400" spans="3:19">
      <c r="C400" s="73"/>
      <c r="D400" s="934"/>
      <c r="E400" s="73"/>
      <c r="F400" s="73"/>
      <c r="M400" s="73"/>
      <c r="O400" s="73"/>
      <c r="P400" s="73"/>
      <c r="Q400" s="783"/>
      <c r="R400" s="73"/>
      <c r="S400" s="73"/>
    </row>
    <row r="401" spans="3:19">
      <c r="C401" s="73"/>
      <c r="D401" s="934"/>
      <c r="E401" s="73"/>
      <c r="F401" s="73"/>
      <c r="M401" s="73"/>
      <c r="O401" s="73"/>
      <c r="P401" s="73"/>
      <c r="Q401" s="783"/>
      <c r="R401" s="73"/>
      <c r="S401" s="73"/>
    </row>
    <row r="402" spans="3:19">
      <c r="C402" s="73"/>
      <c r="D402" s="934"/>
      <c r="E402" s="73"/>
      <c r="F402" s="73"/>
      <c r="M402" s="73"/>
      <c r="O402" s="73"/>
      <c r="P402" s="73"/>
      <c r="Q402" s="783"/>
      <c r="R402" s="73"/>
      <c r="S402" s="73"/>
    </row>
    <row r="403" spans="3:19">
      <c r="C403" s="73"/>
      <c r="D403" s="934"/>
      <c r="E403" s="73"/>
      <c r="F403" s="73"/>
      <c r="M403" s="73"/>
      <c r="O403" s="73"/>
      <c r="P403" s="73"/>
      <c r="Q403" s="783"/>
      <c r="R403" s="73"/>
      <c r="S403" s="73"/>
    </row>
    <row r="404" spans="3:19">
      <c r="C404" s="73"/>
      <c r="D404" s="934"/>
      <c r="E404" s="73"/>
      <c r="F404" s="73"/>
      <c r="M404" s="73"/>
      <c r="O404" s="73"/>
      <c r="P404" s="73"/>
      <c r="Q404" s="783"/>
      <c r="R404" s="73"/>
      <c r="S404" s="73"/>
    </row>
    <row r="405" spans="3:19">
      <c r="C405" s="73"/>
      <c r="D405" s="934"/>
      <c r="E405" s="73"/>
      <c r="F405" s="73"/>
      <c r="M405" s="73"/>
      <c r="O405" s="73"/>
      <c r="P405" s="73"/>
      <c r="Q405" s="783"/>
      <c r="R405" s="73"/>
      <c r="S405" s="73"/>
    </row>
    <row r="406" spans="3:19">
      <c r="C406" s="73"/>
      <c r="D406" s="934"/>
      <c r="E406" s="73"/>
      <c r="F406" s="73"/>
      <c r="M406" s="73"/>
      <c r="O406" s="73"/>
      <c r="P406" s="73"/>
      <c r="Q406" s="783"/>
      <c r="R406" s="73"/>
      <c r="S406" s="73"/>
    </row>
    <row r="407" spans="3:19">
      <c r="C407" s="73"/>
      <c r="D407" s="934"/>
      <c r="E407" s="73"/>
      <c r="F407" s="73"/>
      <c r="M407" s="73"/>
      <c r="O407" s="73"/>
      <c r="P407" s="73"/>
      <c r="Q407" s="783"/>
      <c r="R407" s="73"/>
      <c r="S407" s="73"/>
    </row>
    <row r="408" spans="3:19">
      <c r="C408" s="73"/>
      <c r="D408" s="934"/>
      <c r="E408" s="73"/>
      <c r="F408" s="73"/>
      <c r="M408" s="73"/>
      <c r="O408" s="73"/>
      <c r="P408" s="73"/>
      <c r="Q408" s="783"/>
      <c r="R408" s="73"/>
      <c r="S408" s="73"/>
    </row>
    <row r="409" spans="3:19">
      <c r="C409" s="73"/>
      <c r="D409" s="934"/>
      <c r="E409" s="73"/>
      <c r="F409" s="73"/>
      <c r="M409" s="73"/>
      <c r="O409" s="73"/>
      <c r="P409" s="73"/>
      <c r="Q409" s="783"/>
      <c r="R409" s="73"/>
      <c r="S409" s="73"/>
    </row>
    <row r="410" spans="3:19">
      <c r="C410" s="73"/>
      <c r="D410" s="934"/>
      <c r="E410" s="73"/>
      <c r="F410" s="73"/>
      <c r="M410" s="73"/>
      <c r="O410" s="73"/>
      <c r="P410" s="73"/>
      <c r="Q410" s="783"/>
      <c r="R410" s="73"/>
      <c r="S410" s="73"/>
    </row>
    <row r="411" spans="3:19">
      <c r="C411" s="73"/>
      <c r="D411" s="934"/>
      <c r="E411" s="73"/>
      <c r="F411" s="73"/>
      <c r="M411" s="73"/>
      <c r="O411" s="73"/>
      <c r="P411" s="73"/>
      <c r="Q411" s="783"/>
      <c r="R411" s="73"/>
      <c r="S411" s="73"/>
    </row>
    <row r="412" spans="3:19">
      <c r="C412" s="73"/>
      <c r="D412" s="934"/>
      <c r="E412" s="73"/>
      <c r="F412" s="73"/>
      <c r="M412" s="73"/>
      <c r="O412" s="73"/>
      <c r="P412" s="73"/>
      <c r="Q412" s="783"/>
      <c r="R412" s="73"/>
      <c r="S412" s="73"/>
    </row>
    <row r="413" spans="3:19">
      <c r="C413" s="73"/>
      <c r="D413" s="934"/>
      <c r="E413" s="73"/>
      <c r="F413" s="73"/>
      <c r="M413" s="73"/>
      <c r="O413" s="73"/>
      <c r="P413" s="73"/>
      <c r="Q413" s="783"/>
      <c r="R413" s="73"/>
      <c r="S413" s="73"/>
    </row>
    <row r="414" spans="3:19">
      <c r="C414" s="73"/>
      <c r="D414" s="934"/>
      <c r="E414" s="73"/>
      <c r="F414" s="73"/>
      <c r="M414" s="73"/>
      <c r="O414" s="73"/>
      <c r="P414" s="73"/>
      <c r="Q414" s="783"/>
      <c r="R414" s="73"/>
      <c r="S414" s="73"/>
    </row>
    <row r="415" spans="3:19">
      <c r="C415" s="73"/>
      <c r="D415" s="934"/>
      <c r="E415" s="73"/>
      <c r="F415" s="73"/>
      <c r="M415" s="73"/>
      <c r="O415" s="73"/>
      <c r="P415" s="73"/>
      <c r="Q415" s="783"/>
      <c r="R415" s="73"/>
      <c r="S415" s="73"/>
    </row>
    <row r="416" spans="3:19">
      <c r="C416" s="73"/>
      <c r="D416" s="934"/>
      <c r="E416" s="73"/>
      <c r="F416" s="73"/>
      <c r="M416" s="73"/>
      <c r="O416" s="73"/>
      <c r="P416" s="73"/>
      <c r="Q416" s="783"/>
      <c r="R416" s="73"/>
      <c r="S416" s="73"/>
    </row>
    <row r="417" spans="3:19">
      <c r="C417" s="73"/>
      <c r="D417" s="934"/>
      <c r="E417" s="73"/>
      <c r="F417" s="73"/>
      <c r="M417" s="73"/>
      <c r="O417" s="73"/>
      <c r="P417" s="73"/>
      <c r="Q417" s="783"/>
      <c r="R417" s="73"/>
      <c r="S417" s="73"/>
    </row>
    <row r="418" spans="3:19">
      <c r="C418" s="73"/>
      <c r="D418" s="934"/>
      <c r="E418" s="73"/>
      <c r="F418" s="73"/>
      <c r="M418" s="73"/>
      <c r="O418" s="73"/>
      <c r="P418" s="73"/>
      <c r="Q418" s="783"/>
      <c r="R418" s="73"/>
      <c r="S418" s="73"/>
    </row>
    <row r="419" spans="3:19">
      <c r="C419" s="73"/>
      <c r="D419" s="934"/>
      <c r="E419" s="73"/>
      <c r="F419" s="73"/>
      <c r="M419" s="73"/>
      <c r="O419" s="73"/>
      <c r="P419" s="73"/>
      <c r="Q419" s="783"/>
      <c r="R419" s="73"/>
      <c r="S419" s="73"/>
    </row>
    <row r="420" spans="3:19">
      <c r="C420" s="73"/>
      <c r="D420" s="934"/>
      <c r="E420" s="73"/>
      <c r="F420" s="73"/>
      <c r="M420" s="73"/>
      <c r="O420" s="73"/>
      <c r="P420" s="73"/>
      <c r="Q420" s="783"/>
      <c r="R420" s="73"/>
      <c r="S420" s="73"/>
    </row>
    <row r="421" spans="3:19">
      <c r="C421" s="73"/>
      <c r="D421" s="934"/>
      <c r="E421" s="73"/>
      <c r="F421" s="73"/>
      <c r="M421" s="73"/>
      <c r="O421" s="73"/>
      <c r="P421" s="73"/>
      <c r="Q421" s="783"/>
      <c r="R421" s="73"/>
      <c r="S421" s="73"/>
    </row>
    <row r="422" spans="3:19">
      <c r="C422" s="73"/>
      <c r="D422" s="934"/>
      <c r="E422" s="73"/>
      <c r="F422" s="73"/>
      <c r="M422" s="73"/>
      <c r="O422" s="73"/>
      <c r="P422" s="73"/>
      <c r="Q422" s="783"/>
      <c r="R422" s="73"/>
      <c r="S422" s="73"/>
    </row>
    <row r="423" spans="3:19">
      <c r="C423" s="73"/>
      <c r="D423" s="934"/>
      <c r="E423" s="73"/>
      <c r="F423" s="73"/>
      <c r="M423" s="73"/>
      <c r="O423" s="73"/>
      <c r="P423" s="73"/>
      <c r="Q423" s="783"/>
      <c r="R423" s="73"/>
      <c r="S423" s="73"/>
    </row>
    <row r="424" spans="3:19">
      <c r="C424" s="73"/>
      <c r="D424" s="934"/>
      <c r="E424" s="73"/>
      <c r="F424" s="73"/>
      <c r="M424" s="73"/>
      <c r="O424" s="73"/>
      <c r="P424" s="73"/>
      <c r="Q424" s="783"/>
      <c r="R424" s="73"/>
      <c r="S424" s="73"/>
    </row>
    <row r="425" spans="3:19">
      <c r="C425" s="73"/>
      <c r="D425" s="934"/>
      <c r="E425" s="73"/>
      <c r="F425" s="73"/>
      <c r="M425" s="73"/>
      <c r="O425" s="73"/>
      <c r="P425" s="73"/>
      <c r="Q425" s="783"/>
      <c r="R425" s="73"/>
      <c r="S425" s="73"/>
    </row>
    <row r="426" spans="3:19">
      <c r="C426" s="73"/>
      <c r="D426" s="934"/>
      <c r="E426" s="73"/>
      <c r="F426" s="73"/>
      <c r="M426" s="73"/>
      <c r="O426" s="73"/>
      <c r="P426" s="73"/>
      <c r="Q426" s="783"/>
      <c r="R426" s="73"/>
      <c r="S426" s="73"/>
    </row>
    <row r="427" spans="3:19">
      <c r="C427" s="73"/>
      <c r="D427" s="934"/>
      <c r="E427" s="73"/>
      <c r="F427" s="73"/>
      <c r="M427" s="73"/>
      <c r="O427" s="73"/>
      <c r="P427" s="73"/>
      <c r="Q427" s="783"/>
      <c r="R427" s="73"/>
      <c r="S427" s="73"/>
    </row>
    <row r="428" spans="3:19">
      <c r="C428" s="73"/>
      <c r="D428" s="934"/>
      <c r="E428" s="73"/>
      <c r="F428" s="73"/>
      <c r="M428" s="73"/>
      <c r="O428" s="73"/>
      <c r="P428" s="73"/>
      <c r="Q428" s="783"/>
      <c r="R428" s="73"/>
      <c r="S428" s="73"/>
    </row>
    <row r="429" spans="3:19">
      <c r="C429" s="73"/>
      <c r="D429" s="934"/>
      <c r="E429" s="73"/>
      <c r="F429" s="73"/>
      <c r="M429" s="73"/>
      <c r="O429" s="73"/>
      <c r="P429" s="73"/>
      <c r="Q429" s="783"/>
      <c r="R429" s="73"/>
      <c r="S429" s="73"/>
    </row>
    <row r="430" spans="3:19">
      <c r="C430" s="73"/>
      <c r="D430" s="934"/>
      <c r="E430" s="73"/>
      <c r="F430" s="73"/>
      <c r="M430" s="73"/>
      <c r="O430" s="73"/>
      <c r="P430" s="73"/>
      <c r="Q430" s="783"/>
      <c r="R430" s="73"/>
      <c r="S430" s="73"/>
    </row>
    <row r="431" spans="3:19">
      <c r="C431" s="73"/>
      <c r="D431" s="934"/>
      <c r="E431" s="73"/>
      <c r="F431" s="73"/>
      <c r="M431" s="73"/>
      <c r="O431" s="73"/>
      <c r="P431" s="73"/>
      <c r="Q431" s="783"/>
      <c r="R431" s="73"/>
      <c r="S431" s="73"/>
    </row>
    <row r="432" spans="3:19">
      <c r="C432" s="73"/>
      <c r="D432" s="934"/>
      <c r="E432" s="73"/>
      <c r="F432" s="73"/>
      <c r="M432" s="73"/>
      <c r="O432" s="73"/>
      <c r="P432" s="73"/>
      <c r="Q432" s="783"/>
      <c r="R432" s="73"/>
      <c r="S432" s="73"/>
    </row>
    <row r="433" spans="3:19">
      <c r="C433" s="73"/>
      <c r="D433" s="934"/>
      <c r="E433" s="73"/>
      <c r="F433" s="73"/>
      <c r="M433" s="73"/>
      <c r="O433" s="73"/>
      <c r="P433" s="73"/>
      <c r="Q433" s="783"/>
      <c r="R433" s="73"/>
      <c r="S433" s="73"/>
    </row>
    <row r="434" spans="3:19">
      <c r="C434" s="73"/>
      <c r="D434" s="934"/>
      <c r="E434" s="73"/>
      <c r="F434" s="73"/>
      <c r="M434" s="73"/>
      <c r="O434" s="73"/>
      <c r="P434" s="73"/>
      <c r="Q434" s="783"/>
      <c r="R434" s="73"/>
      <c r="S434" s="73"/>
    </row>
    <row r="435" spans="3:19">
      <c r="C435" s="73"/>
      <c r="D435" s="934"/>
      <c r="E435" s="73"/>
      <c r="F435" s="73"/>
      <c r="M435" s="73"/>
      <c r="O435" s="73"/>
      <c r="P435" s="73"/>
      <c r="Q435" s="783"/>
      <c r="R435" s="73"/>
      <c r="S435" s="73"/>
    </row>
    <row r="436" spans="3:19">
      <c r="C436" s="73"/>
      <c r="D436" s="934"/>
      <c r="E436" s="73"/>
      <c r="F436" s="73"/>
      <c r="M436" s="73"/>
      <c r="O436" s="73"/>
      <c r="P436" s="73"/>
      <c r="Q436" s="783"/>
      <c r="R436" s="73"/>
      <c r="S436" s="73"/>
    </row>
    <row r="437" spans="3:19">
      <c r="C437" s="73"/>
      <c r="D437" s="934"/>
      <c r="E437" s="73"/>
      <c r="F437" s="73"/>
      <c r="M437" s="73"/>
      <c r="O437" s="73"/>
      <c r="P437" s="73"/>
      <c r="Q437" s="783"/>
      <c r="R437" s="73"/>
      <c r="S437" s="73"/>
    </row>
    <row r="438" spans="3:19">
      <c r="C438" s="73"/>
      <c r="D438" s="934"/>
      <c r="E438" s="73"/>
      <c r="F438" s="73"/>
      <c r="M438" s="73"/>
      <c r="O438" s="73"/>
      <c r="P438" s="73"/>
      <c r="Q438" s="783"/>
      <c r="R438" s="73"/>
      <c r="S438" s="73"/>
    </row>
    <row r="439" spans="3:19">
      <c r="C439" s="73"/>
      <c r="D439" s="934"/>
      <c r="E439" s="73"/>
      <c r="F439" s="73"/>
      <c r="M439" s="73"/>
      <c r="O439" s="73"/>
      <c r="P439" s="73"/>
      <c r="Q439" s="783"/>
      <c r="R439" s="73"/>
      <c r="S439" s="73"/>
    </row>
    <row r="440" spans="3:19">
      <c r="C440" s="73"/>
      <c r="D440" s="934"/>
      <c r="E440" s="73"/>
      <c r="F440" s="73"/>
      <c r="M440" s="73"/>
      <c r="O440" s="73"/>
      <c r="P440" s="73"/>
      <c r="Q440" s="783"/>
      <c r="R440" s="73"/>
      <c r="S440" s="73"/>
    </row>
    <row r="441" spans="3:19">
      <c r="C441" s="73"/>
      <c r="D441" s="934"/>
      <c r="E441" s="73"/>
      <c r="F441" s="73"/>
      <c r="M441" s="73"/>
      <c r="O441" s="73"/>
      <c r="P441" s="73"/>
      <c r="Q441" s="783"/>
      <c r="R441" s="73"/>
      <c r="S441" s="73"/>
    </row>
    <row r="442" spans="3:19">
      <c r="C442" s="73"/>
      <c r="D442" s="934"/>
      <c r="E442" s="73"/>
      <c r="F442" s="73"/>
      <c r="M442" s="73"/>
      <c r="O442" s="73"/>
      <c r="P442" s="73"/>
      <c r="Q442" s="783"/>
      <c r="R442" s="73"/>
      <c r="S442" s="73"/>
    </row>
    <row r="443" spans="3:19">
      <c r="C443" s="73"/>
      <c r="D443" s="934"/>
      <c r="E443" s="73"/>
      <c r="F443" s="73"/>
      <c r="M443" s="73"/>
      <c r="O443" s="73"/>
      <c r="P443" s="73"/>
      <c r="Q443" s="783"/>
      <c r="R443" s="73"/>
      <c r="S443" s="73"/>
    </row>
    <row r="444" spans="3:19">
      <c r="C444" s="73"/>
      <c r="D444" s="934"/>
      <c r="E444" s="73"/>
      <c r="F444" s="73"/>
      <c r="M444" s="73"/>
      <c r="O444" s="73"/>
      <c r="P444" s="73"/>
      <c r="Q444" s="783"/>
      <c r="R444" s="73"/>
      <c r="S444" s="73"/>
    </row>
    <row r="445" spans="3:19">
      <c r="C445" s="73"/>
      <c r="D445" s="934"/>
      <c r="E445" s="73"/>
      <c r="F445" s="73"/>
      <c r="M445" s="73"/>
      <c r="O445" s="73"/>
      <c r="P445" s="73"/>
      <c r="Q445" s="783"/>
      <c r="R445" s="73"/>
      <c r="S445" s="73"/>
    </row>
    <row r="446" spans="3:19">
      <c r="C446" s="73"/>
      <c r="D446" s="934"/>
      <c r="E446" s="73"/>
      <c r="F446" s="73"/>
      <c r="M446" s="73"/>
      <c r="O446" s="73"/>
      <c r="P446" s="73"/>
      <c r="Q446" s="783"/>
      <c r="R446" s="73"/>
      <c r="S446" s="73"/>
    </row>
    <row r="447" spans="3:19">
      <c r="C447" s="73"/>
      <c r="D447" s="934"/>
      <c r="E447" s="73"/>
      <c r="F447" s="73"/>
      <c r="M447" s="73"/>
      <c r="O447" s="73"/>
      <c r="P447" s="73"/>
      <c r="Q447" s="783"/>
      <c r="R447" s="73"/>
      <c r="S447" s="73"/>
    </row>
    <row r="448" spans="3:19">
      <c r="C448" s="73"/>
      <c r="D448" s="934"/>
      <c r="E448" s="73"/>
      <c r="F448" s="73"/>
      <c r="M448" s="73"/>
      <c r="O448" s="73"/>
      <c r="P448" s="73"/>
      <c r="Q448" s="783"/>
      <c r="R448" s="73"/>
      <c r="S448" s="73"/>
    </row>
    <row r="449" spans="3:19">
      <c r="C449" s="73"/>
      <c r="D449" s="934"/>
      <c r="E449" s="73"/>
      <c r="F449" s="73"/>
      <c r="M449" s="73"/>
      <c r="O449" s="73"/>
      <c r="P449" s="73"/>
      <c r="Q449" s="783"/>
      <c r="R449" s="73"/>
      <c r="S449" s="73"/>
    </row>
    <row r="450" spans="3:19">
      <c r="C450" s="73"/>
      <c r="D450" s="934"/>
      <c r="E450" s="73"/>
      <c r="F450" s="73"/>
      <c r="M450" s="73"/>
      <c r="O450" s="73"/>
      <c r="P450" s="73"/>
      <c r="Q450" s="783"/>
      <c r="R450" s="73"/>
      <c r="S450" s="73"/>
    </row>
    <row r="451" spans="3:19">
      <c r="C451" s="73"/>
      <c r="D451" s="934"/>
      <c r="E451" s="73"/>
      <c r="F451" s="73"/>
      <c r="M451" s="73"/>
      <c r="O451" s="73"/>
      <c r="P451" s="73"/>
      <c r="Q451" s="783"/>
      <c r="R451" s="73"/>
      <c r="S451" s="73"/>
    </row>
    <row r="452" spans="3:19">
      <c r="C452" s="73"/>
      <c r="D452" s="934"/>
      <c r="E452" s="73"/>
      <c r="F452" s="73"/>
      <c r="M452" s="73"/>
      <c r="O452" s="73"/>
      <c r="P452" s="73"/>
      <c r="Q452" s="783"/>
      <c r="R452" s="73"/>
      <c r="S452" s="73"/>
    </row>
    <row r="453" spans="3:19">
      <c r="C453" s="73"/>
      <c r="D453" s="934"/>
      <c r="E453" s="73"/>
      <c r="F453" s="73"/>
      <c r="M453" s="73"/>
      <c r="O453" s="73"/>
      <c r="P453" s="73"/>
      <c r="Q453" s="783"/>
      <c r="R453" s="73"/>
      <c r="S453" s="73"/>
    </row>
    <row r="454" spans="3:19">
      <c r="C454" s="73"/>
      <c r="D454" s="934"/>
      <c r="E454" s="73"/>
      <c r="F454" s="73"/>
      <c r="M454" s="73"/>
      <c r="O454" s="73"/>
      <c r="P454" s="73"/>
      <c r="Q454" s="783"/>
      <c r="R454" s="73"/>
      <c r="S454" s="73"/>
    </row>
    <row r="455" spans="3:19">
      <c r="C455" s="73"/>
      <c r="D455" s="934"/>
      <c r="E455" s="73"/>
      <c r="F455" s="73"/>
      <c r="M455" s="73"/>
      <c r="O455" s="73"/>
      <c r="P455" s="73"/>
      <c r="Q455" s="783"/>
      <c r="R455" s="73"/>
      <c r="S455" s="73"/>
    </row>
    <row r="456" spans="3:19">
      <c r="C456" s="73"/>
      <c r="D456" s="934"/>
      <c r="E456" s="73"/>
      <c r="F456" s="73"/>
      <c r="M456" s="73"/>
      <c r="O456" s="73"/>
      <c r="P456" s="73"/>
      <c r="Q456" s="783"/>
      <c r="R456" s="73"/>
      <c r="S456" s="73"/>
    </row>
    <row r="457" spans="3:19">
      <c r="C457" s="73"/>
      <c r="D457" s="934"/>
      <c r="E457" s="73"/>
      <c r="F457" s="73"/>
      <c r="M457" s="73"/>
      <c r="O457" s="73"/>
      <c r="P457" s="73"/>
      <c r="Q457" s="783"/>
      <c r="R457" s="73"/>
      <c r="S457" s="73"/>
    </row>
    <row r="458" spans="3:19">
      <c r="C458" s="73"/>
      <c r="D458" s="934"/>
      <c r="E458" s="73"/>
      <c r="F458" s="73"/>
      <c r="M458" s="73"/>
      <c r="O458" s="73"/>
      <c r="P458" s="73"/>
      <c r="Q458" s="783"/>
      <c r="R458" s="73"/>
      <c r="S458" s="73"/>
    </row>
    <row r="459" spans="3:19">
      <c r="C459" s="73"/>
      <c r="D459" s="934"/>
      <c r="E459" s="73"/>
      <c r="F459" s="73"/>
      <c r="M459" s="73"/>
      <c r="O459" s="73"/>
      <c r="P459" s="73"/>
      <c r="Q459" s="783"/>
      <c r="R459" s="73"/>
      <c r="S459" s="73"/>
    </row>
    <row r="460" spans="3:19">
      <c r="C460" s="73"/>
      <c r="D460" s="934"/>
      <c r="E460" s="73"/>
      <c r="F460" s="73"/>
      <c r="M460" s="73"/>
      <c r="O460" s="73"/>
      <c r="P460" s="73"/>
      <c r="Q460" s="783"/>
      <c r="R460" s="73"/>
      <c r="S460" s="73"/>
    </row>
    <row r="461" spans="3:19">
      <c r="C461" s="73"/>
      <c r="D461" s="934"/>
      <c r="E461" s="73"/>
      <c r="F461" s="73"/>
      <c r="M461" s="73"/>
      <c r="O461" s="73"/>
      <c r="P461" s="73"/>
      <c r="Q461" s="783"/>
      <c r="R461" s="73"/>
      <c r="S461" s="73"/>
    </row>
    <row r="462" spans="3:19">
      <c r="C462" s="73"/>
      <c r="D462" s="934"/>
      <c r="E462" s="73"/>
      <c r="F462" s="73"/>
      <c r="M462" s="73"/>
      <c r="O462" s="73"/>
      <c r="P462" s="73"/>
      <c r="Q462" s="783"/>
      <c r="R462" s="73"/>
      <c r="S462" s="73"/>
    </row>
    <row r="463" spans="3:19">
      <c r="C463" s="73"/>
      <c r="D463" s="934"/>
      <c r="E463" s="73"/>
      <c r="F463" s="73"/>
      <c r="M463" s="73"/>
      <c r="O463" s="73"/>
      <c r="P463" s="73"/>
      <c r="Q463" s="783"/>
      <c r="R463" s="73"/>
      <c r="S463" s="73"/>
    </row>
    <row r="464" spans="3:19">
      <c r="C464" s="73"/>
      <c r="D464" s="934"/>
      <c r="E464" s="73"/>
      <c r="F464" s="73"/>
      <c r="M464" s="73"/>
      <c r="O464" s="73"/>
      <c r="P464" s="73"/>
      <c r="Q464" s="783"/>
      <c r="R464" s="73"/>
      <c r="S464" s="73"/>
    </row>
    <row r="465" spans="3:19">
      <c r="C465" s="73"/>
      <c r="D465" s="934"/>
      <c r="E465" s="73"/>
      <c r="F465" s="73"/>
      <c r="M465" s="73"/>
      <c r="O465" s="73"/>
      <c r="P465" s="73"/>
      <c r="Q465" s="783"/>
      <c r="R465" s="73"/>
      <c r="S465" s="73"/>
    </row>
    <row r="466" spans="3:19">
      <c r="C466" s="73"/>
      <c r="D466" s="934"/>
      <c r="E466" s="73"/>
      <c r="F466" s="73"/>
      <c r="M466" s="73"/>
      <c r="O466" s="73"/>
      <c r="P466" s="73"/>
      <c r="Q466" s="783"/>
      <c r="R466" s="73"/>
      <c r="S466" s="73"/>
    </row>
    <row r="467" spans="3:19">
      <c r="C467" s="73"/>
      <c r="D467" s="934"/>
      <c r="E467" s="73"/>
      <c r="F467" s="73"/>
      <c r="M467" s="73"/>
      <c r="O467" s="73"/>
      <c r="P467" s="73"/>
      <c r="Q467" s="783"/>
      <c r="R467" s="73"/>
      <c r="S467" s="73"/>
    </row>
    <row r="468" spans="3:19">
      <c r="C468" s="73"/>
      <c r="D468" s="934"/>
      <c r="E468" s="73"/>
      <c r="F468" s="73"/>
      <c r="M468" s="73"/>
      <c r="O468" s="73"/>
      <c r="P468" s="73"/>
      <c r="Q468" s="783"/>
      <c r="R468" s="73"/>
      <c r="S468" s="73"/>
    </row>
    <row r="469" spans="3:19">
      <c r="C469" s="73"/>
      <c r="D469" s="934"/>
      <c r="E469" s="73"/>
      <c r="F469" s="73"/>
      <c r="M469" s="73"/>
      <c r="O469" s="73"/>
      <c r="P469" s="73"/>
      <c r="Q469" s="783"/>
      <c r="R469" s="73"/>
      <c r="S469" s="73"/>
    </row>
    <row r="470" spans="3:19">
      <c r="C470" s="73"/>
      <c r="D470" s="934"/>
      <c r="E470" s="73"/>
      <c r="F470" s="73"/>
      <c r="M470" s="73"/>
      <c r="O470" s="73"/>
      <c r="P470" s="73"/>
      <c r="Q470" s="783"/>
      <c r="R470" s="73"/>
      <c r="S470" s="73"/>
    </row>
    <row r="471" spans="3:19">
      <c r="C471" s="73"/>
      <c r="D471" s="934"/>
      <c r="E471" s="73"/>
      <c r="F471" s="73"/>
      <c r="M471" s="73"/>
      <c r="O471" s="73"/>
      <c r="P471" s="73"/>
      <c r="Q471" s="783"/>
      <c r="R471" s="73"/>
      <c r="S471" s="73"/>
    </row>
    <row r="472" spans="3:19">
      <c r="C472" s="73"/>
      <c r="D472" s="934"/>
      <c r="E472" s="73"/>
      <c r="F472" s="73"/>
      <c r="M472" s="73"/>
      <c r="O472" s="73"/>
      <c r="P472" s="73"/>
      <c r="Q472" s="783"/>
      <c r="R472" s="73"/>
      <c r="S472" s="73"/>
    </row>
    <row r="473" spans="3:19">
      <c r="E473" s="75"/>
    </row>
    <row r="474" spans="3:19">
      <c r="E474" s="75"/>
    </row>
    <row r="475" spans="3:19">
      <c r="E475" s="75"/>
    </row>
    <row r="476" spans="3:19">
      <c r="E476" s="75"/>
    </row>
    <row r="477" spans="3:19">
      <c r="E477" s="75"/>
    </row>
    <row r="478" spans="3:19">
      <c r="E478" s="75"/>
    </row>
    <row r="479" spans="3:19">
      <c r="E479" s="75"/>
    </row>
    <row r="480" spans="3:19">
      <c r="E480" s="75"/>
    </row>
    <row r="481" spans="3:17">
      <c r="E481" s="75"/>
    </row>
    <row r="482" spans="3:17">
      <c r="C482" s="60"/>
      <c r="D482" s="60"/>
      <c r="E482" s="75"/>
      <c r="G482" s="60"/>
      <c r="H482" s="60"/>
      <c r="I482" s="60"/>
      <c r="J482" s="60"/>
      <c r="K482" s="60"/>
      <c r="L482" s="60"/>
      <c r="M482" s="60"/>
      <c r="N482" s="60"/>
      <c r="Q482" s="60"/>
    </row>
    <row r="483" spans="3:17">
      <c r="C483" s="60"/>
      <c r="D483" s="60"/>
      <c r="E483" s="75"/>
      <c r="G483" s="60"/>
      <c r="H483" s="60"/>
      <c r="I483" s="60"/>
      <c r="J483" s="60"/>
      <c r="K483" s="60"/>
      <c r="L483" s="60"/>
      <c r="M483" s="60"/>
      <c r="N483" s="60"/>
      <c r="Q483" s="60"/>
    </row>
    <row r="484" spans="3:17">
      <c r="C484" s="60"/>
      <c r="D484" s="60"/>
      <c r="E484" s="75"/>
      <c r="G484" s="60"/>
      <c r="H484" s="60"/>
      <c r="I484" s="60"/>
      <c r="J484" s="60"/>
      <c r="K484" s="60"/>
      <c r="L484" s="60"/>
      <c r="M484" s="60"/>
      <c r="N484" s="60"/>
      <c r="Q484" s="60"/>
    </row>
    <row r="485" spans="3:17">
      <c r="C485" s="60"/>
      <c r="D485" s="60"/>
      <c r="E485" s="75"/>
      <c r="G485" s="60"/>
      <c r="H485" s="60"/>
      <c r="I485" s="60"/>
      <c r="J485" s="60"/>
      <c r="K485" s="60"/>
      <c r="L485" s="60"/>
      <c r="M485" s="60"/>
      <c r="N485" s="60"/>
      <c r="Q485" s="60"/>
    </row>
    <row r="486" spans="3:17">
      <c r="C486" s="60"/>
      <c r="D486" s="60"/>
      <c r="E486" s="75"/>
      <c r="G486" s="60"/>
      <c r="H486" s="60"/>
      <c r="I486" s="60"/>
      <c r="J486" s="60"/>
      <c r="K486" s="60"/>
      <c r="L486" s="60"/>
      <c r="M486" s="60"/>
      <c r="N486" s="60"/>
      <c r="Q486" s="60"/>
    </row>
    <row r="487" spans="3:17">
      <c r="C487" s="60"/>
      <c r="D487" s="60"/>
      <c r="E487" s="75"/>
      <c r="G487" s="60"/>
      <c r="H487" s="60"/>
      <c r="I487" s="60"/>
      <c r="J487" s="60"/>
      <c r="K487" s="60"/>
      <c r="L487" s="60"/>
      <c r="M487" s="60"/>
      <c r="N487" s="60"/>
      <c r="Q487" s="60"/>
    </row>
    <row r="488" spans="3:17">
      <c r="C488" s="60"/>
      <c r="D488" s="60"/>
      <c r="E488" s="75"/>
      <c r="G488" s="60"/>
      <c r="H488" s="60"/>
      <c r="I488" s="60"/>
      <c r="J488" s="60"/>
      <c r="K488" s="60"/>
      <c r="L488" s="60"/>
      <c r="M488" s="60"/>
      <c r="N488" s="60"/>
      <c r="Q488" s="60"/>
    </row>
    <row r="489" spans="3:17">
      <c r="C489" s="60"/>
      <c r="D489" s="60"/>
      <c r="E489" s="75"/>
      <c r="G489" s="60"/>
      <c r="H489" s="60"/>
      <c r="I489" s="60"/>
      <c r="J489" s="60"/>
      <c r="K489" s="60"/>
      <c r="L489" s="60"/>
      <c r="M489" s="60"/>
      <c r="N489" s="60"/>
      <c r="Q489" s="60"/>
    </row>
    <row r="490" spans="3:17">
      <c r="C490" s="60"/>
      <c r="D490" s="60"/>
      <c r="E490" s="75"/>
      <c r="G490" s="60"/>
      <c r="H490" s="60"/>
      <c r="I490" s="60"/>
      <c r="J490" s="60"/>
      <c r="K490" s="60"/>
      <c r="L490" s="60"/>
      <c r="M490" s="60"/>
      <c r="N490" s="60"/>
      <c r="Q490" s="60"/>
    </row>
    <row r="491" spans="3:17">
      <c r="C491" s="60"/>
      <c r="D491" s="60"/>
      <c r="E491" s="75"/>
      <c r="G491" s="60"/>
      <c r="H491" s="60"/>
      <c r="I491" s="60"/>
      <c r="J491" s="60"/>
      <c r="K491" s="60"/>
      <c r="L491" s="60"/>
      <c r="M491" s="60"/>
      <c r="N491" s="60"/>
      <c r="Q491" s="60"/>
    </row>
    <row r="492" spans="3:17">
      <c r="C492" s="60"/>
      <c r="D492" s="60"/>
      <c r="E492" s="75"/>
      <c r="G492" s="60"/>
      <c r="H492" s="60"/>
      <c r="I492" s="60"/>
      <c r="J492" s="60"/>
      <c r="K492" s="60"/>
      <c r="L492" s="60"/>
      <c r="M492" s="60"/>
      <c r="N492" s="60"/>
      <c r="Q492" s="60"/>
    </row>
    <row r="493" spans="3:17">
      <c r="C493" s="60"/>
      <c r="D493" s="60"/>
      <c r="E493" s="75"/>
      <c r="G493" s="60"/>
      <c r="H493" s="60"/>
      <c r="I493" s="60"/>
      <c r="J493" s="60"/>
      <c r="K493" s="60"/>
      <c r="L493" s="60"/>
      <c r="M493" s="60"/>
      <c r="N493" s="60"/>
      <c r="Q493" s="60"/>
    </row>
    <row r="494" spans="3:17">
      <c r="C494" s="60"/>
      <c r="D494" s="60"/>
      <c r="E494" s="75"/>
      <c r="G494" s="60"/>
      <c r="H494" s="60"/>
      <c r="I494" s="60"/>
      <c r="J494" s="60"/>
      <c r="K494" s="60"/>
      <c r="L494" s="60"/>
      <c r="M494" s="60"/>
      <c r="N494" s="60"/>
      <c r="Q494" s="60"/>
    </row>
    <row r="495" spans="3:17">
      <c r="C495" s="60"/>
      <c r="D495" s="60"/>
      <c r="E495" s="75"/>
      <c r="G495" s="60"/>
      <c r="H495" s="60"/>
      <c r="I495" s="60"/>
      <c r="J495" s="60"/>
      <c r="K495" s="60"/>
      <c r="L495" s="60"/>
      <c r="M495" s="60"/>
      <c r="N495" s="60"/>
      <c r="Q495" s="60"/>
    </row>
    <row r="496" spans="3:17">
      <c r="C496" s="60"/>
      <c r="D496" s="60"/>
      <c r="E496" s="75"/>
      <c r="G496" s="60"/>
      <c r="H496" s="60"/>
      <c r="I496" s="60"/>
      <c r="J496" s="60"/>
      <c r="K496" s="60"/>
      <c r="L496" s="60"/>
      <c r="M496" s="60"/>
      <c r="N496" s="60"/>
      <c r="Q496" s="60"/>
    </row>
    <row r="497" spans="3:17">
      <c r="C497" s="60"/>
      <c r="D497" s="60"/>
      <c r="E497" s="75"/>
      <c r="G497" s="60"/>
      <c r="H497" s="60"/>
      <c r="I497" s="60"/>
      <c r="J497" s="60"/>
      <c r="K497" s="60"/>
      <c r="L497" s="60"/>
      <c r="M497" s="60"/>
      <c r="N497" s="60"/>
      <c r="Q497" s="60"/>
    </row>
    <row r="498" spans="3:17">
      <c r="C498" s="60"/>
      <c r="D498" s="60"/>
      <c r="E498" s="75"/>
      <c r="G498" s="60"/>
      <c r="H498" s="60"/>
      <c r="I498" s="60"/>
      <c r="J498" s="60"/>
      <c r="K498" s="60"/>
      <c r="L498" s="60"/>
      <c r="M498" s="60"/>
      <c r="N498" s="60"/>
      <c r="Q498" s="60"/>
    </row>
    <row r="499" spans="3:17">
      <c r="C499" s="60"/>
      <c r="D499" s="60"/>
      <c r="E499" s="75"/>
      <c r="G499" s="60"/>
      <c r="H499" s="60"/>
      <c r="I499" s="60"/>
      <c r="J499" s="60"/>
      <c r="K499" s="60"/>
      <c r="L499" s="60"/>
      <c r="M499" s="60"/>
      <c r="N499" s="60"/>
      <c r="Q499" s="60"/>
    </row>
    <row r="500" spans="3:17">
      <c r="C500" s="60"/>
      <c r="D500" s="60"/>
      <c r="E500" s="75"/>
      <c r="G500" s="60"/>
      <c r="H500" s="60"/>
      <c r="I500" s="60"/>
      <c r="J500" s="60"/>
      <c r="K500" s="60"/>
      <c r="L500" s="60"/>
      <c r="M500" s="60"/>
      <c r="N500" s="60"/>
      <c r="Q500" s="60"/>
    </row>
    <row r="501" spans="3:17">
      <c r="C501" s="60"/>
      <c r="D501" s="60"/>
      <c r="E501" s="75"/>
      <c r="G501" s="60"/>
      <c r="H501" s="60"/>
      <c r="I501" s="60"/>
      <c r="J501" s="60"/>
      <c r="K501" s="60"/>
      <c r="L501" s="60"/>
      <c r="M501" s="60"/>
      <c r="N501" s="60"/>
      <c r="Q501" s="60"/>
    </row>
    <row r="502" spans="3:17">
      <c r="C502" s="60"/>
      <c r="D502" s="60"/>
      <c r="E502" s="75"/>
      <c r="G502" s="60"/>
      <c r="H502" s="60"/>
      <c r="I502" s="60"/>
      <c r="J502" s="60"/>
      <c r="K502" s="60"/>
      <c r="L502" s="60"/>
      <c r="M502" s="60"/>
      <c r="N502" s="60"/>
      <c r="Q502" s="60"/>
    </row>
    <row r="503" spans="3:17">
      <c r="C503" s="60"/>
      <c r="D503" s="60"/>
      <c r="E503" s="75"/>
      <c r="G503" s="60"/>
      <c r="H503" s="60"/>
      <c r="I503" s="60"/>
      <c r="J503" s="60"/>
      <c r="K503" s="60"/>
      <c r="L503" s="60"/>
      <c r="M503" s="60"/>
      <c r="N503" s="60"/>
      <c r="Q503" s="60"/>
    </row>
    <row r="504" spans="3:17">
      <c r="C504" s="60"/>
      <c r="D504" s="60"/>
      <c r="E504" s="75"/>
      <c r="G504" s="60"/>
      <c r="H504" s="60"/>
      <c r="I504" s="60"/>
      <c r="J504" s="60"/>
      <c r="K504" s="60"/>
      <c r="L504" s="60"/>
      <c r="M504" s="60"/>
      <c r="N504" s="60"/>
      <c r="Q504" s="60"/>
    </row>
    <row r="505" spans="3:17">
      <c r="C505" s="60"/>
      <c r="D505" s="60"/>
      <c r="E505" s="75"/>
      <c r="G505" s="60"/>
      <c r="H505" s="60"/>
      <c r="I505" s="60"/>
      <c r="J505" s="60"/>
      <c r="K505" s="60"/>
      <c r="L505" s="60"/>
      <c r="M505" s="60"/>
      <c r="N505" s="60"/>
      <c r="Q505" s="60"/>
    </row>
    <row r="506" spans="3:17">
      <c r="C506" s="60"/>
      <c r="D506" s="60"/>
      <c r="E506" s="75"/>
      <c r="G506" s="60"/>
      <c r="H506" s="60"/>
      <c r="I506" s="60"/>
      <c r="J506" s="60"/>
      <c r="K506" s="60"/>
      <c r="L506" s="60"/>
      <c r="M506" s="60"/>
      <c r="N506" s="60"/>
      <c r="Q506" s="60"/>
    </row>
    <row r="507" spans="3:17">
      <c r="C507" s="60"/>
      <c r="D507" s="60"/>
      <c r="E507" s="75"/>
      <c r="G507" s="60"/>
      <c r="H507" s="60"/>
      <c r="I507" s="60"/>
      <c r="J507" s="60"/>
      <c r="K507" s="60"/>
      <c r="L507" s="60"/>
      <c r="M507" s="60"/>
      <c r="N507" s="60"/>
      <c r="Q507" s="60"/>
    </row>
    <row r="508" spans="3:17">
      <c r="C508" s="60"/>
      <c r="D508" s="60"/>
      <c r="E508" s="75"/>
      <c r="G508" s="60"/>
      <c r="H508" s="60"/>
      <c r="I508" s="60"/>
      <c r="J508" s="60"/>
      <c r="K508" s="60"/>
      <c r="L508" s="60"/>
      <c r="M508" s="60"/>
      <c r="N508" s="60"/>
      <c r="Q508" s="60"/>
    </row>
    <row r="509" spans="3:17">
      <c r="C509" s="60"/>
      <c r="D509" s="60"/>
      <c r="E509" s="75"/>
      <c r="G509" s="60"/>
      <c r="H509" s="60"/>
      <c r="I509" s="60"/>
      <c r="J509" s="60"/>
      <c r="K509" s="60"/>
      <c r="L509" s="60"/>
      <c r="M509" s="60"/>
      <c r="N509" s="60"/>
      <c r="Q509" s="60"/>
    </row>
    <row r="510" spans="3:17">
      <c r="C510" s="60"/>
      <c r="D510" s="60"/>
      <c r="E510" s="75"/>
      <c r="G510" s="60"/>
      <c r="H510" s="60"/>
      <c r="I510" s="60"/>
      <c r="J510" s="60"/>
      <c r="K510" s="60"/>
      <c r="L510" s="60"/>
      <c r="M510" s="60"/>
      <c r="N510" s="60"/>
      <c r="Q510" s="60"/>
    </row>
    <row r="511" spans="3:17">
      <c r="C511" s="60"/>
      <c r="D511" s="60"/>
      <c r="E511" s="75"/>
      <c r="G511" s="60"/>
      <c r="H511" s="60"/>
      <c r="I511" s="60"/>
      <c r="J511" s="60"/>
      <c r="K511" s="60"/>
      <c r="L511" s="60"/>
      <c r="M511" s="60"/>
      <c r="N511" s="60"/>
      <c r="Q511" s="60"/>
    </row>
    <row r="512" spans="3:17">
      <c r="C512" s="60"/>
      <c r="D512" s="60"/>
      <c r="E512" s="75"/>
      <c r="G512" s="60"/>
      <c r="H512" s="60"/>
      <c r="I512" s="60"/>
      <c r="J512" s="60"/>
      <c r="K512" s="60"/>
      <c r="L512" s="60"/>
      <c r="M512" s="60"/>
      <c r="N512" s="60"/>
      <c r="Q512" s="60"/>
    </row>
    <row r="513" spans="3:17">
      <c r="C513" s="60"/>
      <c r="D513" s="60"/>
      <c r="E513" s="75"/>
      <c r="G513" s="60"/>
      <c r="H513" s="60"/>
      <c r="I513" s="60"/>
      <c r="J513" s="60"/>
      <c r="K513" s="60"/>
      <c r="L513" s="60"/>
      <c r="M513" s="60"/>
      <c r="N513" s="60"/>
      <c r="Q513" s="60"/>
    </row>
    <row r="514" spans="3:17">
      <c r="C514" s="60"/>
      <c r="D514" s="60"/>
      <c r="E514" s="75"/>
      <c r="G514" s="60"/>
      <c r="H514" s="60"/>
      <c r="I514" s="60"/>
      <c r="J514" s="60"/>
      <c r="K514" s="60"/>
      <c r="L514" s="60"/>
      <c r="M514" s="60"/>
      <c r="N514" s="60"/>
      <c r="Q514" s="60"/>
    </row>
    <row r="515" spans="3:17">
      <c r="C515" s="60"/>
      <c r="D515" s="60"/>
      <c r="E515" s="75"/>
      <c r="G515" s="60"/>
      <c r="H515" s="60"/>
      <c r="I515" s="60"/>
      <c r="J515" s="60"/>
      <c r="K515" s="60"/>
      <c r="L515" s="60"/>
      <c r="M515" s="60"/>
      <c r="N515" s="60"/>
      <c r="Q515" s="60"/>
    </row>
    <row r="516" spans="3:17">
      <c r="C516" s="60"/>
      <c r="D516" s="60"/>
      <c r="E516" s="75"/>
      <c r="G516" s="60"/>
      <c r="H516" s="60"/>
      <c r="I516" s="60"/>
      <c r="J516" s="60"/>
      <c r="K516" s="60"/>
      <c r="L516" s="60"/>
      <c r="M516" s="60"/>
      <c r="N516" s="60"/>
      <c r="Q516" s="60"/>
    </row>
    <row r="517" spans="3:17">
      <c r="C517" s="60"/>
      <c r="D517" s="60"/>
      <c r="E517" s="75"/>
      <c r="G517" s="60"/>
      <c r="H517" s="60"/>
      <c r="I517" s="60"/>
      <c r="J517" s="60"/>
      <c r="K517" s="60"/>
      <c r="L517" s="60"/>
      <c r="M517" s="60"/>
      <c r="N517" s="60"/>
      <c r="Q517" s="60"/>
    </row>
    <row r="518" spans="3:17">
      <c r="C518" s="60"/>
      <c r="D518" s="60"/>
      <c r="E518" s="75"/>
      <c r="G518" s="60"/>
      <c r="H518" s="60"/>
      <c r="I518" s="60"/>
      <c r="J518" s="60"/>
      <c r="K518" s="60"/>
      <c r="L518" s="60"/>
      <c r="M518" s="60"/>
      <c r="N518" s="60"/>
      <c r="Q518" s="60"/>
    </row>
    <row r="519" spans="3:17">
      <c r="C519" s="60"/>
      <c r="D519" s="60"/>
      <c r="E519" s="75"/>
      <c r="G519" s="60"/>
      <c r="H519" s="60"/>
      <c r="I519" s="60"/>
      <c r="J519" s="60"/>
      <c r="K519" s="60"/>
      <c r="L519" s="60"/>
      <c r="M519" s="60"/>
      <c r="N519" s="60"/>
      <c r="Q519" s="60"/>
    </row>
    <row r="520" spans="3:17">
      <c r="C520" s="60"/>
      <c r="D520" s="60"/>
      <c r="E520" s="75"/>
      <c r="G520" s="60"/>
      <c r="H520" s="60"/>
      <c r="I520" s="60"/>
      <c r="J520" s="60"/>
      <c r="K520" s="60"/>
      <c r="L520" s="60"/>
      <c r="M520" s="60"/>
      <c r="N520" s="60"/>
      <c r="Q520" s="60"/>
    </row>
    <row r="521" spans="3:17">
      <c r="C521" s="60"/>
      <c r="D521" s="60"/>
      <c r="E521" s="75"/>
      <c r="G521" s="60"/>
      <c r="H521" s="60"/>
      <c r="I521" s="60"/>
      <c r="J521" s="60"/>
      <c r="K521" s="60"/>
      <c r="L521" s="60"/>
      <c r="M521" s="60"/>
      <c r="N521" s="60"/>
      <c r="Q521" s="60"/>
    </row>
    <row r="522" spans="3:17">
      <c r="C522" s="60"/>
      <c r="D522" s="60"/>
      <c r="E522" s="75"/>
      <c r="G522" s="60"/>
      <c r="H522" s="60"/>
      <c r="I522" s="60"/>
      <c r="J522" s="60"/>
      <c r="K522" s="60"/>
      <c r="L522" s="60"/>
      <c r="M522" s="60"/>
      <c r="N522" s="60"/>
      <c r="Q522" s="60"/>
    </row>
    <row r="523" spans="3:17">
      <c r="C523" s="60"/>
      <c r="D523" s="60"/>
      <c r="E523" s="75"/>
      <c r="G523" s="60"/>
      <c r="H523" s="60"/>
      <c r="I523" s="60"/>
      <c r="J523" s="60"/>
      <c r="K523" s="60"/>
      <c r="L523" s="60"/>
      <c r="M523" s="60"/>
      <c r="N523" s="60"/>
      <c r="Q523" s="60"/>
    </row>
    <row r="524" spans="3:17">
      <c r="C524" s="60"/>
      <c r="D524" s="60"/>
      <c r="E524" s="75"/>
      <c r="G524" s="60"/>
      <c r="H524" s="60"/>
      <c r="I524" s="60"/>
      <c r="J524" s="60"/>
      <c r="K524" s="60"/>
      <c r="L524" s="60"/>
      <c r="M524" s="60"/>
      <c r="N524" s="60"/>
      <c r="Q524" s="60"/>
    </row>
    <row r="525" spans="3:17">
      <c r="C525" s="60"/>
      <c r="D525" s="60"/>
      <c r="E525" s="75"/>
      <c r="G525" s="60"/>
      <c r="H525" s="60"/>
      <c r="I525" s="60"/>
      <c r="J525" s="60"/>
      <c r="K525" s="60"/>
      <c r="L525" s="60"/>
      <c r="M525" s="60"/>
      <c r="N525" s="60"/>
      <c r="Q525" s="60"/>
    </row>
    <row r="526" spans="3:17">
      <c r="C526" s="60"/>
      <c r="D526" s="60"/>
      <c r="E526" s="75"/>
      <c r="G526" s="60"/>
      <c r="H526" s="60"/>
      <c r="I526" s="60"/>
      <c r="J526" s="60"/>
      <c r="K526" s="60"/>
      <c r="L526" s="60"/>
      <c r="M526" s="60"/>
      <c r="N526" s="60"/>
      <c r="Q526" s="60"/>
    </row>
    <row r="527" spans="3:17">
      <c r="C527" s="60"/>
      <c r="D527" s="60"/>
      <c r="E527" s="75"/>
      <c r="G527" s="60"/>
      <c r="H527" s="60"/>
      <c r="I527" s="60"/>
      <c r="J527" s="60"/>
      <c r="K527" s="60"/>
      <c r="L527" s="60"/>
      <c r="M527" s="60"/>
      <c r="N527" s="60"/>
      <c r="Q527" s="60"/>
    </row>
    <row r="528" spans="3:17">
      <c r="C528" s="60"/>
      <c r="D528" s="60"/>
      <c r="E528" s="75"/>
      <c r="G528" s="60"/>
      <c r="H528" s="60"/>
      <c r="I528" s="60"/>
      <c r="J528" s="60"/>
      <c r="K528" s="60"/>
      <c r="L528" s="60"/>
      <c r="M528" s="60"/>
      <c r="N528" s="60"/>
      <c r="Q528" s="60"/>
    </row>
    <row r="529" spans="3:17">
      <c r="C529" s="60"/>
      <c r="D529" s="60"/>
      <c r="E529" s="75"/>
      <c r="G529" s="60"/>
      <c r="H529" s="60"/>
      <c r="I529" s="60"/>
      <c r="J529" s="60"/>
      <c r="K529" s="60"/>
      <c r="L529" s="60"/>
      <c r="M529" s="60"/>
      <c r="N529" s="60"/>
      <c r="Q529" s="60"/>
    </row>
    <row r="530" spans="3:17">
      <c r="C530" s="60"/>
      <c r="D530" s="60"/>
      <c r="E530" s="75"/>
      <c r="G530" s="60"/>
      <c r="H530" s="60"/>
      <c r="I530" s="60"/>
      <c r="J530" s="60"/>
      <c r="K530" s="60"/>
      <c r="L530" s="60"/>
      <c r="M530" s="60"/>
      <c r="N530" s="60"/>
      <c r="Q530" s="60"/>
    </row>
    <row r="531" spans="3:17">
      <c r="C531" s="60"/>
      <c r="D531" s="60"/>
      <c r="E531" s="75"/>
      <c r="G531" s="60"/>
      <c r="H531" s="60"/>
      <c r="I531" s="60"/>
      <c r="J531" s="60"/>
      <c r="K531" s="60"/>
      <c r="L531" s="60"/>
      <c r="M531" s="60"/>
      <c r="N531" s="60"/>
      <c r="Q531" s="60"/>
    </row>
    <row r="532" spans="3:17">
      <c r="C532" s="60"/>
      <c r="D532" s="60"/>
      <c r="E532" s="75"/>
      <c r="G532" s="60"/>
      <c r="H532" s="60"/>
      <c r="I532" s="60"/>
      <c r="J532" s="60"/>
      <c r="K532" s="60"/>
      <c r="L532" s="60"/>
      <c r="M532" s="60"/>
      <c r="N532" s="60"/>
      <c r="Q532" s="60"/>
    </row>
    <row r="533" spans="3:17">
      <c r="C533" s="60"/>
      <c r="D533" s="60"/>
      <c r="E533" s="75"/>
      <c r="G533" s="60"/>
      <c r="H533" s="60"/>
      <c r="I533" s="60"/>
      <c r="J533" s="60"/>
      <c r="K533" s="60"/>
      <c r="L533" s="60"/>
      <c r="M533" s="60"/>
      <c r="N533" s="60"/>
      <c r="Q533" s="60"/>
    </row>
    <row r="534" spans="3:17">
      <c r="C534" s="60"/>
      <c r="D534" s="60"/>
      <c r="E534" s="75"/>
      <c r="G534" s="60"/>
      <c r="H534" s="60"/>
      <c r="I534" s="60"/>
      <c r="J534" s="60"/>
      <c r="K534" s="60"/>
      <c r="L534" s="60"/>
      <c r="M534" s="60"/>
      <c r="N534" s="60"/>
      <c r="Q534" s="60"/>
    </row>
    <row r="535" spans="3:17">
      <c r="C535" s="60"/>
      <c r="D535" s="60"/>
      <c r="E535" s="75"/>
      <c r="G535" s="60"/>
      <c r="H535" s="60"/>
      <c r="I535" s="60"/>
      <c r="J535" s="60"/>
      <c r="K535" s="60"/>
      <c r="L535" s="60"/>
      <c r="M535" s="60"/>
      <c r="N535" s="60"/>
      <c r="Q535" s="60"/>
    </row>
    <row r="536" spans="3:17">
      <c r="C536" s="60"/>
      <c r="D536" s="60"/>
      <c r="E536" s="75"/>
      <c r="G536" s="60"/>
      <c r="H536" s="60"/>
      <c r="I536" s="60"/>
      <c r="J536" s="60"/>
      <c r="K536" s="60"/>
      <c r="L536" s="60"/>
      <c r="M536" s="60"/>
      <c r="N536" s="60"/>
      <c r="Q536" s="60"/>
    </row>
    <row r="537" spans="3:17">
      <c r="C537" s="60"/>
      <c r="D537" s="60"/>
      <c r="E537" s="75"/>
      <c r="G537" s="60"/>
      <c r="H537" s="60"/>
      <c r="I537" s="60"/>
      <c r="J537" s="60"/>
      <c r="K537" s="60"/>
      <c r="L537" s="60"/>
      <c r="M537" s="60"/>
      <c r="N537" s="60"/>
      <c r="Q537" s="60"/>
    </row>
    <row r="538" spans="3:17">
      <c r="C538" s="60"/>
      <c r="D538" s="60"/>
      <c r="E538" s="75"/>
      <c r="G538" s="60"/>
      <c r="H538" s="60"/>
      <c r="I538" s="60"/>
      <c r="J538" s="60"/>
      <c r="K538" s="60"/>
      <c r="L538" s="60"/>
      <c r="M538" s="60"/>
      <c r="N538" s="60"/>
      <c r="Q538" s="60"/>
    </row>
    <row r="539" spans="3:17">
      <c r="C539" s="60"/>
      <c r="D539" s="60"/>
      <c r="E539" s="75"/>
      <c r="G539" s="60"/>
      <c r="H539" s="60"/>
      <c r="I539" s="60"/>
      <c r="J539" s="60"/>
      <c r="K539" s="60"/>
      <c r="L539" s="60"/>
      <c r="M539" s="60"/>
      <c r="N539" s="60"/>
      <c r="Q539" s="60"/>
    </row>
    <row r="540" spans="3:17">
      <c r="C540" s="60"/>
      <c r="D540" s="60"/>
      <c r="E540" s="75"/>
      <c r="G540" s="60"/>
      <c r="H540" s="60"/>
      <c r="I540" s="60"/>
      <c r="J540" s="60"/>
      <c r="K540" s="60"/>
      <c r="L540" s="60"/>
      <c r="M540" s="60"/>
      <c r="N540" s="60"/>
      <c r="Q540" s="60"/>
    </row>
    <row r="541" spans="3:17">
      <c r="C541" s="60"/>
      <c r="D541" s="60"/>
      <c r="E541" s="75"/>
      <c r="G541" s="60"/>
      <c r="H541" s="60"/>
      <c r="I541" s="60"/>
      <c r="J541" s="60"/>
      <c r="K541" s="60"/>
      <c r="L541" s="60"/>
      <c r="M541" s="60"/>
      <c r="N541" s="60"/>
      <c r="Q541" s="60"/>
    </row>
    <row r="542" spans="3:17">
      <c r="C542" s="60"/>
      <c r="D542" s="60"/>
      <c r="E542" s="75"/>
      <c r="G542" s="60"/>
      <c r="H542" s="60"/>
      <c r="I542" s="60"/>
      <c r="J542" s="60"/>
      <c r="K542" s="60"/>
      <c r="L542" s="60"/>
      <c r="M542" s="60"/>
      <c r="N542" s="60"/>
      <c r="Q542" s="60"/>
    </row>
    <row r="543" spans="3:17">
      <c r="C543" s="60"/>
      <c r="D543" s="60"/>
      <c r="E543" s="75"/>
      <c r="G543" s="60"/>
      <c r="H543" s="60"/>
      <c r="I543" s="60"/>
      <c r="J543" s="60"/>
      <c r="K543" s="60"/>
      <c r="L543" s="60"/>
      <c r="M543" s="60"/>
      <c r="N543" s="60"/>
      <c r="Q543" s="60"/>
    </row>
    <row r="544" spans="3:17">
      <c r="C544" s="60"/>
      <c r="D544" s="60"/>
      <c r="E544" s="75"/>
      <c r="G544" s="60"/>
      <c r="H544" s="60"/>
      <c r="I544" s="60"/>
      <c r="J544" s="60"/>
      <c r="K544" s="60"/>
      <c r="L544" s="60"/>
      <c r="M544" s="60"/>
      <c r="N544" s="60"/>
      <c r="Q544" s="60"/>
    </row>
    <row r="545" spans="3:17">
      <c r="C545" s="60"/>
      <c r="D545" s="60"/>
      <c r="E545" s="75"/>
      <c r="G545" s="60"/>
      <c r="H545" s="60"/>
      <c r="I545" s="60"/>
      <c r="J545" s="60"/>
      <c r="K545" s="60"/>
      <c r="L545" s="60"/>
      <c r="M545" s="60"/>
      <c r="N545" s="60"/>
      <c r="Q545" s="60"/>
    </row>
    <row r="546" spans="3:17">
      <c r="C546" s="60"/>
      <c r="D546" s="60"/>
      <c r="E546" s="75"/>
      <c r="G546" s="60"/>
      <c r="H546" s="60"/>
      <c r="I546" s="60"/>
      <c r="J546" s="60"/>
      <c r="K546" s="60"/>
      <c r="L546" s="60"/>
      <c r="M546" s="60"/>
      <c r="N546" s="60"/>
      <c r="Q546" s="60"/>
    </row>
    <row r="547" spans="3:17">
      <c r="C547" s="60"/>
      <c r="D547" s="60"/>
      <c r="E547" s="75"/>
      <c r="G547" s="60"/>
      <c r="H547" s="60"/>
      <c r="I547" s="60"/>
      <c r="J547" s="60"/>
      <c r="K547" s="60"/>
      <c r="L547" s="60"/>
      <c r="M547" s="60"/>
      <c r="N547" s="60"/>
      <c r="Q547" s="60"/>
    </row>
    <row r="548" spans="3:17">
      <c r="C548" s="60"/>
      <c r="D548" s="60"/>
      <c r="E548" s="75"/>
      <c r="G548" s="60"/>
      <c r="H548" s="60"/>
      <c r="I548" s="60"/>
      <c r="J548" s="60"/>
      <c r="K548" s="60"/>
      <c r="L548" s="60"/>
      <c r="M548" s="60"/>
      <c r="N548" s="60"/>
      <c r="Q548" s="60"/>
    </row>
    <row r="549" spans="3:17">
      <c r="C549" s="60"/>
      <c r="D549" s="60"/>
      <c r="E549" s="75"/>
      <c r="G549" s="60"/>
      <c r="H549" s="60"/>
      <c r="I549" s="60"/>
      <c r="J549" s="60"/>
      <c r="K549" s="60"/>
      <c r="L549" s="60"/>
      <c r="M549" s="60"/>
      <c r="N549" s="60"/>
      <c r="Q549" s="60"/>
    </row>
    <row r="550" spans="3:17">
      <c r="C550" s="60"/>
      <c r="D550" s="60"/>
      <c r="E550" s="75"/>
      <c r="G550" s="60"/>
      <c r="H550" s="60"/>
      <c r="I550" s="60"/>
      <c r="J550" s="60"/>
      <c r="K550" s="60"/>
      <c r="L550" s="60"/>
      <c r="M550" s="60"/>
      <c r="N550" s="60"/>
      <c r="Q550" s="60"/>
    </row>
    <row r="551" spans="3:17">
      <c r="C551" s="60"/>
      <c r="D551" s="60"/>
      <c r="E551" s="75"/>
      <c r="G551" s="60"/>
      <c r="H551" s="60"/>
      <c r="I551" s="60"/>
      <c r="J551" s="60"/>
      <c r="K551" s="60"/>
      <c r="L551" s="60"/>
      <c r="M551" s="60"/>
      <c r="N551" s="60"/>
      <c r="Q551" s="60"/>
    </row>
    <row r="552" spans="3:17">
      <c r="C552" s="60"/>
      <c r="D552" s="60"/>
      <c r="E552" s="75"/>
      <c r="G552" s="60"/>
      <c r="H552" s="60"/>
      <c r="I552" s="60"/>
      <c r="J552" s="60"/>
      <c r="K552" s="60"/>
      <c r="L552" s="60"/>
      <c r="M552" s="60"/>
      <c r="N552" s="60"/>
      <c r="Q552" s="60"/>
    </row>
    <row r="553" spans="3:17">
      <c r="C553" s="60"/>
      <c r="D553" s="60"/>
      <c r="E553" s="75"/>
      <c r="G553" s="60"/>
      <c r="H553" s="60"/>
      <c r="I553" s="60"/>
      <c r="J553" s="60"/>
      <c r="K553" s="60"/>
      <c r="L553" s="60"/>
      <c r="M553" s="60"/>
      <c r="N553" s="60"/>
      <c r="Q553" s="60"/>
    </row>
    <row r="554" spans="3:17">
      <c r="C554" s="60"/>
      <c r="D554" s="60"/>
      <c r="E554" s="75"/>
      <c r="G554" s="60"/>
      <c r="H554" s="60"/>
      <c r="I554" s="60"/>
      <c r="J554" s="60"/>
      <c r="K554" s="60"/>
      <c r="L554" s="60"/>
      <c r="M554" s="60"/>
      <c r="N554" s="60"/>
      <c r="Q554" s="60"/>
    </row>
    <row r="555" spans="3:17">
      <c r="C555" s="60"/>
      <c r="D555" s="60"/>
      <c r="E555" s="75"/>
      <c r="G555" s="60"/>
      <c r="H555" s="60"/>
      <c r="I555" s="60"/>
      <c r="J555" s="60"/>
      <c r="K555" s="60"/>
      <c r="L555" s="60"/>
      <c r="M555" s="60"/>
      <c r="N555" s="60"/>
      <c r="Q555" s="60"/>
    </row>
    <row r="556" spans="3:17">
      <c r="C556" s="60"/>
      <c r="D556" s="60"/>
      <c r="E556" s="75"/>
      <c r="G556" s="60"/>
      <c r="H556" s="60"/>
      <c r="I556" s="60"/>
      <c r="J556" s="60"/>
      <c r="K556" s="60"/>
      <c r="L556" s="60"/>
      <c r="M556" s="60"/>
      <c r="N556" s="60"/>
      <c r="Q556" s="60"/>
    </row>
    <row r="557" spans="3:17">
      <c r="C557" s="60"/>
      <c r="D557" s="60"/>
      <c r="E557" s="75"/>
      <c r="G557" s="60"/>
      <c r="H557" s="60"/>
      <c r="I557" s="60"/>
      <c r="J557" s="60"/>
      <c r="K557" s="60"/>
      <c r="L557" s="60"/>
      <c r="M557" s="60"/>
      <c r="N557" s="60"/>
      <c r="Q557" s="60"/>
    </row>
    <row r="558" spans="3:17">
      <c r="C558" s="60"/>
      <c r="D558" s="60"/>
      <c r="E558" s="75"/>
      <c r="G558" s="60"/>
      <c r="H558" s="60"/>
      <c r="I558" s="60"/>
      <c r="J558" s="60"/>
      <c r="K558" s="60"/>
      <c r="L558" s="60"/>
      <c r="M558" s="60"/>
      <c r="N558" s="60"/>
      <c r="Q558" s="60"/>
    </row>
    <row r="559" spans="3:17">
      <c r="C559" s="60"/>
      <c r="D559" s="60"/>
      <c r="E559" s="75"/>
      <c r="G559" s="60"/>
      <c r="H559" s="60"/>
      <c r="I559" s="60"/>
      <c r="J559" s="60"/>
      <c r="K559" s="60"/>
      <c r="L559" s="60"/>
      <c r="M559" s="60"/>
      <c r="N559" s="60"/>
      <c r="Q559" s="60"/>
    </row>
    <row r="560" spans="3:17">
      <c r="C560" s="60"/>
      <c r="D560" s="60"/>
      <c r="E560" s="75"/>
      <c r="G560" s="60"/>
      <c r="H560" s="60"/>
      <c r="I560" s="60"/>
      <c r="J560" s="60"/>
      <c r="K560" s="60"/>
      <c r="L560" s="60"/>
      <c r="M560" s="60"/>
      <c r="N560" s="60"/>
      <c r="Q560" s="60"/>
    </row>
    <row r="561" spans="3:17">
      <c r="C561" s="60"/>
      <c r="D561" s="60"/>
      <c r="E561" s="75"/>
      <c r="G561" s="60"/>
      <c r="H561" s="60"/>
      <c r="I561" s="60"/>
      <c r="J561" s="60"/>
      <c r="K561" s="60"/>
      <c r="L561" s="60"/>
      <c r="M561" s="60"/>
      <c r="N561" s="60"/>
      <c r="Q561" s="60"/>
    </row>
    <row r="562" spans="3:17">
      <c r="C562" s="60"/>
      <c r="D562" s="60"/>
      <c r="E562" s="75"/>
      <c r="G562" s="60"/>
      <c r="H562" s="60"/>
      <c r="I562" s="60"/>
      <c r="J562" s="60"/>
      <c r="K562" s="60"/>
      <c r="L562" s="60"/>
      <c r="M562" s="60"/>
      <c r="N562" s="60"/>
      <c r="Q562" s="60"/>
    </row>
    <row r="563" spans="3:17">
      <c r="C563" s="60"/>
      <c r="D563" s="60"/>
      <c r="E563" s="75"/>
      <c r="G563" s="60"/>
      <c r="H563" s="60"/>
      <c r="I563" s="60"/>
      <c r="J563" s="60"/>
      <c r="K563" s="60"/>
      <c r="L563" s="60"/>
      <c r="M563" s="60"/>
      <c r="N563" s="60"/>
      <c r="Q563" s="60"/>
    </row>
    <row r="564" spans="3:17">
      <c r="C564" s="60"/>
      <c r="D564" s="60"/>
      <c r="E564" s="75"/>
      <c r="G564" s="60"/>
      <c r="H564" s="60"/>
      <c r="I564" s="60"/>
      <c r="J564" s="60"/>
      <c r="K564" s="60"/>
      <c r="L564" s="60"/>
      <c r="M564" s="60"/>
      <c r="N564" s="60"/>
      <c r="Q564" s="60"/>
    </row>
    <row r="565" spans="3:17">
      <c r="C565" s="60"/>
      <c r="D565" s="60"/>
      <c r="E565" s="75"/>
      <c r="G565" s="60"/>
      <c r="H565" s="60"/>
      <c r="I565" s="60"/>
      <c r="J565" s="60"/>
      <c r="K565" s="60"/>
      <c r="L565" s="60"/>
      <c r="M565" s="60"/>
      <c r="N565" s="60"/>
      <c r="Q565" s="60"/>
    </row>
    <row r="566" spans="3:17">
      <c r="C566" s="60"/>
      <c r="D566" s="60"/>
      <c r="E566" s="75"/>
      <c r="G566" s="60"/>
      <c r="H566" s="60"/>
      <c r="I566" s="60"/>
      <c r="J566" s="60"/>
      <c r="K566" s="60"/>
      <c r="L566" s="60"/>
      <c r="M566" s="60"/>
      <c r="N566" s="60"/>
      <c r="Q566" s="60"/>
    </row>
    <row r="567" spans="3:17">
      <c r="C567" s="60"/>
      <c r="D567" s="60"/>
      <c r="E567" s="75"/>
      <c r="G567" s="60"/>
      <c r="H567" s="60"/>
      <c r="I567" s="60"/>
      <c r="J567" s="60"/>
      <c r="K567" s="60"/>
      <c r="L567" s="60"/>
      <c r="M567" s="60"/>
      <c r="N567" s="60"/>
      <c r="Q567" s="60"/>
    </row>
    <row r="568" spans="3:17">
      <c r="C568" s="60"/>
      <c r="D568" s="60"/>
      <c r="E568" s="75"/>
      <c r="G568" s="60"/>
      <c r="H568" s="60"/>
      <c r="I568" s="60"/>
      <c r="J568" s="60"/>
      <c r="K568" s="60"/>
      <c r="L568" s="60"/>
      <c r="M568" s="60"/>
      <c r="N568" s="60"/>
      <c r="Q568" s="60"/>
    </row>
    <row r="569" spans="3:17">
      <c r="C569" s="60"/>
      <c r="D569" s="60"/>
      <c r="E569" s="75"/>
      <c r="G569" s="60"/>
      <c r="H569" s="60"/>
      <c r="I569" s="60"/>
      <c r="J569" s="60"/>
      <c r="K569" s="60"/>
      <c r="L569" s="60"/>
      <c r="M569" s="60"/>
      <c r="N569" s="60"/>
      <c r="Q569" s="60"/>
    </row>
    <row r="570" spans="3:17">
      <c r="C570" s="60"/>
      <c r="D570" s="60"/>
      <c r="E570" s="75"/>
      <c r="G570" s="60"/>
      <c r="H570" s="60"/>
      <c r="I570" s="60"/>
      <c r="J570" s="60"/>
      <c r="K570" s="60"/>
      <c r="L570" s="60"/>
      <c r="M570" s="60"/>
      <c r="N570" s="60"/>
      <c r="Q570" s="60"/>
    </row>
    <row r="571" spans="3:17">
      <c r="C571" s="60"/>
      <c r="D571" s="60"/>
      <c r="E571" s="75"/>
      <c r="G571" s="60"/>
      <c r="H571" s="60"/>
      <c r="I571" s="60"/>
      <c r="J571" s="60"/>
      <c r="K571" s="60"/>
      <c r="L571" s="60"/>
      <c r="M571" s="60"/>
      <c r="N571" s="60"/>
      <c r="Q571" s="60"/>
    </row>
    <row r="572" spans="3:17">
      <c r="C572" s="60"/>
      <c r="D572" s="60"/>
      <c r="E572" s="75"/>
      <c r="G572" s="60"/>
      <c r="H572" s="60"/>
      <c r="I572" s="60"/>
      <c r="J572" s="60"/>
      <c r="K572" s="60"/>
      <c r="L572" s="60"/>
      <c r="M572" s="60"/>
      <c r="N572" s="60"/>
      <c r="Q572" s="60"/>
    </row>
    <row r="573" spans="3:17">
      <c r="C573" s="60"/>
      <c r="D573" s="60"/>
      <c r="E573" s="75"/>
      <c r="G573" s="60"/>
      <c r="H573" s="60"/>
      <c r="I573" s="60"/>
      <c r="J573" s="60"/>
      <c r="K573" s="60"/>
      <c r="L573" s="60"/>
      <c r="M573" s="60"/>
      <c r="N573" s="60"/>
      <c r="Q573" s="60"/>
    </row>
    <row r="574" spans="3:17">
      <c r="C574" s="60"/>
      <c r="D574" s="60"/>
      <c r="E574" s="75"/>
      <c r="G574" s="60"/>
      <c r="H574" s="60"/>
      <c r="I574" s="60"/>
      <c r="J574" s="60"/>
      <c r="K574" s="60"/>
      <c r="L574" s="60"/>
      <c r="M574" s="60"/>
      <c r="N574" s="60"/>
      <c r="Q574" s="60"/>
    </row>
    <row r="575" spans="3:17">
      <c r="C575" s="60"/>
      <c r="D575" s="60"/>
      <c r="E575" s="75"/>
      <c r="G575" s="60"/>
      <c r="H575" s="60"/>
      <c r="I575" s="60"/>
      <c r="J575" s="60"/>
      <c r="K575" s="60"/>
      <c r="L575" s="60"/>
      <c r="M575" s="60"/>
      <c r="N575" s="60"/>
      <c r="Q575" s="60"/>
    </row>
    <row r="576" spans="3:17">
      <c r="C576" s="60"/>
      <c r="D576" s="60"/>
      <c r="E576" s="75"/>
      <c r="G576" s="60"/>
      <c r="H576" s="60"/>
      <c r="I576" s="60"/>
      <c r="J576" s="60"/>
      <c r="K576" s="60"/>
      <c r="L576" s="60"/>
      <c r="M576" s="60"/>
      <c r="N576" s="60"/>
      <c r="Q576" s="60"/>
    </row>
    <row r="577" spans="3:17">
      <c r="C577" s="60"/>
      <c r="D577" s="60"/>
      <c r="E577" s="75"/>
      <c r="G577" s="60"/>
      <c r="H577" s="60"/>
      <c r="I577" s="60"/>
      <c r="J577" s="60"/>
      <c r="K577" s="60"/>
      <c r="L577" s="60"/>
      <c r="M577" s="60"/>
      <c r="N577" s="60"/>
      <c r="Q577" s="60"/>
    </row>
    <row r="578" spans="3:17">
      <c r="C578" s="60"/>
      <c r="D578" s="60"/>
      <c r="E578" s="75"/>
      <c r="G578" s="60"/>
      <c r="H578" s="60"/>
      <c r="I578" s="60"/>
      <c r="J578" s="60"/>
      <c r="K578" s="60"/>
      <c r="L578" s="60"/>
      <c r="M578" s="60"/>
      <c r="N578" s="60"/>
      <c r="Q578" s="60"/>
    </row>
    <row r="579" spans="3:17">
      <c r="C579" s="60"/>
      <c r="D579" s="60"/>
      <c r="E579" s="75"/>
      <c r="G579" s="60"/>
      <c r="H579" s="60"/>
      <c r="I579" s="60"/>
      <c r="J579" s="60"/>
      <c r="K579" s="60"/>
      <c r="L579" s="60"/>
      <c r="M579" s="60"/>
      <c r="N579" s="60"/>
      <c r="Q579" s="60"/>
    </row>
    <row r="580" spans="3:17">
      <c r="C580" s="60"/>
      <c r="D580" s="60"/>
      <c r="E580" s="75"/>
      <c r="G580" s="60"/>
      <c r="H580" s="60"/>
      <c r="I580" s="60"/>
      <c r="J580" s="60"/>
      <c r="K580" s="60"/>
      <c r="L580" s="60"/>
      <c r="M580" s="60"/>
      <c r="N580" s="60"/>
      <c r="Q580" s="60"/>
    </row>
    <row r="581" spans="3:17">
      <c r="C581" s="60"/>
      <c r="D581" s="60"/>
      <c r="E581" s="75"/>
      <c r="G581" s="60"/>
      <c r="H581" s="60"/>
      <c r="I581" s="60"/>
      <c r="J581" s="60"/>
      <c r="K581" s="60"/>
      <c r="L581" s="60"/>
      <c r="M581" s="60"/>
      <c r="N581" s="60"/>
      <c r="Q581" s="60"/>
    </row>
    <row r="582" spans="3:17">
      <c r="C582" s="60"/>
      <c r="D582" s="60"/>
      <c r="E582" s="75"/>
      <c r="G582" s="60"/>
      <c r="H582" s="60"/>
      <c r="I582" s="60"/>
      <c r="J582" s="60"/>
      <c r="K582" s="60"/>
      <c r="L582" s="60"/>
      <c r="M582" s="60"/>
      <c r="N582" s="60"/>
      <c r="Q582" s="60"/>
    </row>
    <row r="583" spans="3:17">
      <c r="C583" s="60"/>
      <c r="D583" s="60"/>
      <c r="E583" s="75"/>
      <c r="G583" s="60"/>
      <c r="H583" s="60"/>
      <c r="I583" s="60"/>
      <c r="J583" s="60"/>
      <c r="K583" s="60"/>
      <c r="L583" s="60"/>
      <c r="M583" s="60"/>
      <c r="N583" s="60"/>
      <c r="Q583" s="60"/>
    </row>
    <row r="584" spans="3:17">
      <c r="C584" s="60"/>
      <c r="D584" s="60"/>
      <c r="E584" s="75"/>
      <c r="G584" s="60"/>
      <c r="H584" s="60"/>
      <c r="I584" s="60"/>
      <c r="J584" s="60"/>
      <c r="K584" s="60"/>
      <c r="L584" s="60"/>
      <c r="M584" s="60"/>
      <c r="N584" s="60"/>
      <c r="Q584" s="60"/>
    </row>
    <row r="585" spans="3:17">
      <c r="C585" s="60"/>
      <c r="D585" s="60"/>
      <c r="E585" s="75"/>
      <c r="G585" s="60"/>
      <c r="H585" s="60"/>
      <c r="I585" s="60"/>
      <c r="J585" s="60"/>
      <c r="K585" s="60"/>
      <c r="L585" s="60"/>
      <c r="M585" s="60"/>
      <c r="N585" s="60"/>
      <c r="Q585" s="60"/>
    </row>
    <row r="586" spans="3:17">
      <c r="C586" s="60"/>
      <c r="D586" s="60"/>
      <c r="E586" s="75"/>
      <c r="G586" s="60"/>
      <c r="H586" s="60"/>
      <c r="I586" s="60"/>
      <c r="J586" s="60"/>
      <c r="K586" s="60"/>
      <c r="L586" s="60"/>
      <c r="M586" s="60"/>
      <c r="N586" s="60"/>
      <c r="Q586" s="60"/>
    </row>
    <row r="587" spans="3:17">
      <c r="C587" s="60"/>
      <c r="D587" s="60"/>
      <c r="E587" s="75"/>
      <c r="G587" s="60"/>
      <c r="H587" s="60"/>
      <c r="I587" s="60"/>
      <c r="J587" s="60"/>
      <c r="K587" s="60"/>
      <c r="L587" s="60"/>
      <c r="M587" s="60"/>
      <c r="N587" s="60"/>
      <c r="Q587" s="60"/>
    </row>
    <row r="588" spans="3:17">
      <c r="C588" s="60"/>
      <c r="D588" s="60"/>
      <c r="E588" s="75"/>
      <c r="G588" s="60"/>
      <c r="H588" s="60"/>
      <c r="I588" s="60"/>
      <c r="J588" s="60"/>
      <c r="K588" s="60"/>
      <c r="L588" s="60"/>
      <c r="M588" s="60"/>
      <c r="N588" s="60"/>
      <c r="Q588" s="60"/>
    </row>
    <row r="589" spans="3:17">
      <c r="C589" s="60"/>
      <c r="D589" s="60"/>
      <c r="E589" s="75"/>
      <c r="G589" s="60"/>
      <c r="H589" s="60"/>
      <c r="I589" s="60"/>
      <c r="J589" s="60"/>
      <c r="K589" s="60"/>
      <c r="L589" s="60"/>
      <c r="M589" s="60"/>
      <c r="N589" s="60"/>
      <c r="Q589" s="60"/>
    </row>
    <row r="590" spans="3:17">
      <c r="C590" s="60"/>
      <c r="D590" s="60"/>
      <c r="E590" s="75"/>
      <c r="G590" s="60"/>
      <c r="H590" s="60"/>
      <c r="I590" s="60"/>
      <c r="J590" s="60"/>
      <c r="K590" s="60"/>
      <c r="L590" s="60"/>
      <c r="M590" s="60"/>
      <c r="N590" s="60"/>
      <c r="Q590" s="60"/>
    </row>
    <row r="591" spans="3:17">
      <c r="C591" s="60"/>
      <c r="D591" s="60"/>
      <c r="E591" s="75"/>
      <c r="G591" s="60"/>
      <c r="H591" s="60"/>
      <c r="I591" s="60"/>
      <c r="J591" s="60"/>
      <c r="K591" s="60"/>
      <c r="L591" s="60"/>
      <c r="M591" s="60"/>
      <c r="N591" s="60"/>
      <c r="Q591" s="60"/>
    </row>
    <row r="592" spans="3:17">
      <c r="C592" s="60"/>
      <c r="D592" s="60"/>
      <c r="E592" s="75"/>
      <c r="G592" s="60"/>
      <c r="H592" s="60"/>
      <c r="I592" s="60"/>
      <c r="J592" s="60"/>
      <c r="K592" s="60"/>
      <c r="L592" s="60"/>
      <c r="M592" s="60"/>
      <c r="N592" s="60"/>
      <c r="Q592" s="60"/>
    </row>
    <row r="593" spans="3:17">
      <c r="C593" s="60"/>
      <c r="D593" s="60"/>
      <c r="E593" s="75"/>
      <c r="G593" s="60"/>
      <c r="H593" s="60"/>
      <c r="I593" s="60"/>
      <c r="J593" s="60"/>
      <c r="K593" s="60"/>
      <c r="L593" s="60"/>
      <c r="M593" s="60"/>
      <c r="N593" s="60"/>
      <c r="Q593" s="60"/>
    </row>
    <row r="594" spans="3:17">
      <c r="C594" s="60"/>
      <c r="D594" s="60"/>
      <c r="E594" s="75"/>
      <c r="G594" s="60"/>
      <c r="H594" s="60"/>
      <c r="I594" s="60"/>
      <c r="J594" s="60"/>
      <c r="K594" s="60"/>
      <c r="L594" s="60"/>
      <c r="M594" s="60"/>
      <c r="N594" s="60"/>
      <c r="Q594" s="60"/>
    </row>
    <row r="595" spans="3:17">
      <c r="C595" s="60"/>
      <c r="D595" s="60"/>
      <c r="E595" s="75"/>
      <c r="G595" s="60"/>
      <c r="H595" s="60"/>
      <c r="I595" s="60"/>
      <c r="J595" s="60"/>
      <c r="K595" s="60"/>
      <c r="L595" s="60"/>
      <c r="M595" s="60"/>
      <c r="N595" s="60"/>
      <c r="Q595" s="60"/>
    </row>
    <row r="596" spans="3:17">
      <c r="C596" s="60"/>
      <c r="D596" s="60"/>
      <c r="E596" s="75"/>
      <c r="G596" s="60"/>
      <c r="H596" s="60"/>
      <c r="I596" s="60"/>
      <c r="J596" s="60"/>
      <c r="K596" s="60"/>
      <c r="L596" s="60"/>
      <c r="M596" s="60"/>
      <c r="N596" s="60"/>
      <c r="Q596" s="60"/>
    </row>
    <row r="597" spans="3:17">
      <c r="C597" s="60"/>
      <c r="D597" s="60"/>
      <c r="E597" s="75"/>
      <c r="G597" s="60"/>
      <c r="H597" s="60"/>
      <c r="I597" s="60"/>
      <c r="J597" s="60"/>
      <c r="K597" s="60"/>
      <c r="L597" s="60"/>
      <c r="M597" s="60"/>
      <c r="N597" s="60"/>
      <c r="Q597" s="60"/>
    </row>
    <row r="598" spans="3:17">
      <c r="C598" s="60"/>
      <c r="D598" s="60"/>
      <c r="E598" s="75"/>
      <c r="G598" s="60"/>
      <c r="H598" s="60"/>
      <c r="I598" s="60"/>
      <c r="J598" s="60"/>
      <c r="K598" s="60"/>
      <c r="L598" s="60"/>
      <c r="M598" s="60"/>
      <c r="N598" s="60"/>
      <c r="Q598" s="60"/>
    </row>
    <row r="599" spans="3:17">
      <c r="C599" s="60"/>
      <c r="D599" s="60"/>
      <c r="E599" s="75"/>
      <c r="G599" s="60"/>
      <c r="H599" s="60"/>
      <c r="I599" s="60"/>
      <c r="J599" s="60"/>
      <c r="K599" s="60"/>
      <c r="L599" s="60"/>
      <c r="M599" s="60"/>
      <c r="N599" s="60"/>
      <c r="Q599" s="60"/>
    </row>
    <row r="600" spans="3:17">
      <c r="C600" s="60"/>
      <c r="D600" s="60"/>
      <c r="E600" s="75"/>
      <c r="G600" s="60"/>
      <c r="H600" s="60"/>
      <c r="I600" s="60"/>
      <c r="J600" s="60"/>
      <c r="K600" s="60"/>
      <c r="L600" s="60"/>
      <c r="M600" s="60"/>
      <c r="N600" s="60"/>
      <c r="Q600" s="60"/>
    </row>
    <row r="601" spans="3:17">
      <c r="C601" s="60"/>
      <c r="D601" s="60"/>
      <c r="E601" s="75"/>
      <c r="G601" s="60"/>
      <c r="H601" s="60"/>
      <c r="I601" s="60"/>
      <c r="J601" s="60"/>
      <c r="K601" s="60"/>
      <c r="L601" s="60"/>
      <c r="M601" s="60"/>
      <c r="N601" s="60"/>
      <c r="Q601" s="60"/>
    </row>
    <row r="602" spans="3:17">
      <c r="C602" s="60"/>
      <c r="D602" s="60"/>
      <c r="E602" s="75"/>
      <c r="G602" s="60"/>
      <c r="H602" s="60"/>
      <c r="I602" s="60"/>
      <c r="J602" s="60"/>
      <c r="K602" s="60"/>
      <c r="L602" s="60"/>
      <c r="M602" s="60"/>
      <c r="N602" s="60"/>
      <c r="Q602" s="60"/>
    </row>
    <row r="603" spans="3:17">
      <c r="C603" s="60"/>
      <c r="D603" s="60"/>
      <c r="E603" s="75"/>
      <c r="G603" s="60"/>
      <c r="H603" s="60"/>
      <c r="I603" s="60"/>
      <c r="J603" s="60"/>
      <c r="K603" s="60"/>
      <c r="L603" s="60"/>
      <c r="M603" s="60"/>
      <c r="N603" s="60"/>
      <c r="Q603" s="60"/>
    </row>
    <row r="604" spans="3:17">
      <c r="C604" s="60"/>
      <c r="D604" s="60"/>
      <c r="E604" s="75"/>
      <c r="G604" s="60"/>
      <c r="H604" s="60"/>
      <c r="I604" s="60"/>
      <c r="J604" s="60"/>
      <c r="K604" s="60"/>
      <c r="L604" s="60"/>
      <c r="M604" s="60"/>
      <c r="N604" s="60"/>
      <c r="Q604" s="60"/>
    </row>
    <row r="605" spans="3:17">
      <c r="C605" s="60"/>
      <c r="D605" s="60"/>
      <c r="E605" s="75"/>
      <c r="G605" s="60"/>
      <c r="H605" s="60"/>
      <c r="I605" s="60"/>
      <c r="J605" s="60"/>
      <c r="K605" s="60"/>
      <c r="L605" s="60"/>
      <c r="M605" s="60"/>
      <c r="N605" s="60"/>
      <c r="Q605" s="60"/>
    </row>
    <row r="606" spans="3:17">
      <c r="C606" s="60"/>
      <c r="D606" s="60"/>
      <c r="E606" s="75"/>
      <c r="G606" s="60"/>
      <c r="H606" s="60"/>
      <c r="I606" s="60"/>
      <c r="J606" s="60"/>
      <c r="K606" s="60"/>
      <c r="L606" s="60"/>
      <c r="M606" s="60"/>
      <c r="N606" s="60"/>
      <c r="Q606" s="60"/>
    </row>
    <row r="607" spans="3:17">
      <c r="C607" s="60"/>
      <c r="D607" s="60"/>
      <c r="E607" s="75"/>
      <c r="G607" s="60"/>
      <c r="H607" s="60"/>
      <c r="I607" s="60"/>
      <c r="J607" s="60"/>
      <c r="K607" s="60"/>
      <c r="L607" s="60"/>
      <c r="M607" s="60"/>
      <c r="N607" s="60"/>
      <c r="Q607" s="60"/>
    </row>
    <row r="608" spans="3:17">
      <c r="C608" s="60"/>
      <c r="D608" s="60"/>
      <c r="E608" s="75"/>
      <c r="G608" s="60"/>
      <c r="H608" s="60"/>
      <c r="I608" s="60"/>
      <c r="J608" s="60"/>
      <c r="K608" s="60"/>
      <c r="L608" s="60"/>
      <c r="M608" s="60"/>
      <c r="N608" s="60"/>
      <c r="Q608" s="60"/>
    </row>
    <row r="609" spans="3:17">
      <c r="C609" s="60"/>
      <c r="D609" s="60"/>
      <c r="E609" s="75"/>
      <c r="G609" s="60"/>
      <c r="H609" s="60"/>
      <c r="I609" s="60"/>
      <c r="J609" s="60"/>
      <c r="K609" s="60"/>
      <c r="L609" s="60"/>
      <c r="M609" s="60"/>
      <c r="N609" s="60"/>
      <c r="Q609" s="60"/>
    </row>
    <row r="610" spans="3:17">
      <c r="C610" s="60"/>
      <c r="D610" s="60"/>
      <c r="E610" s="75"/>
      <c r="G610" s="60"/>
      <c r="H610" s="60"/>
      <c r="I610" s="60"/>
      <c r="J610" s="60"/>
      <c r="K610" s="60"/>
      <c r="L610" s="60"/>
      <c r="M610" s="60"/>
      <c r="N610" s="60"/>
      <c r="Q610" s="60"/>
    </row>
    <row r="611" spans="3:17">
      <c r="C611" s="60"/>
      <c r="D611" s="60"/>
      <c r="E611" s="75"/>
      <c r="G611" s="60"/>
      <c r="H611" s="60"/>
      <c r="I611" s="60"/>
      <c r="J611" s="60"/>
      <c r="K611" s="60"/>
      <c r="L611" s="60"/>
      <c r="M611" s="60"/>
      <c r="N611" s="60"/>
      <c r="Q611" s="60"/>
    </row>
    <row r="612" spans="3:17">
      <c r="C612" s="60"/>
      <c r="D612" s="60"/>
      <c r="E612" s="75"/>
      <c r="G612" s="60"/>
      <c r="H612" s="60"/>
      <c r="I612" s="60"/>
      <c r="J612" s="60"/>
      <c r="K612" s="60"/>
      <c r="L612" s="60"/>
      <c r="M612" s="60"/>
      <c r="N612" s="60"/>
      <c r="Q612" s="60"/>
    </row>
    <row r="613" spans="3:17">
      <c r="C613" s="60"/>
      <c r="D613" s="60"/>
      <c r="E613" s="75"/>
      <c r="G613" s="60"/>
      <c r="H613" s="60"/>
      <c r="I613" s="60"/>
      <c r="J613" s="60"/>
      <c r="K613" s="60"/>
      <c r="L613" s="60"/>
      <c r="M613" s="60"/>
      <c r="N613" s="60"/>
      <c r="Q613" s="60"/>
    </row>
    <row r="614" spans="3:17">
      <c r="C614" s="60"/>
      <c r="D614" s="60"/>
      <c r="E614" s="75"/>
      <c r="G614" s="60"/>
      <c r="H614" s="60"/>
      <c r="I614" s="60"/>
      <c r="J614" s="60"/>
      <c r="K614" s="60"/>
      <c r="L614" s="60"/>
      <c r="M614" s="60"/>
      <c r="N614" s="60"/>
      <c r="Q614" s="60"/>
    </row>
    <row r="615" spans="3:17">
      <c r="C615" s="60"/>
      <c r="D615" s="60"/>
      <c r="E615" s="75"/>
      <c r="G615" s="60"/>
      <c r="H615" s="60"/>
      <c r="I615" s="60"/>
      <c r="J615" s="60"/>
      <c r="K615" s="60"/>
      <c r="L615" s="60"/>
      <c r="M615" s="60"/>
      <c r="N615" s="60"/>
      <c r="Q615" s="60"/>
    </row>
    <row r="616" spans="3:17">
      <c r="C616" s="60"/>
      <c r="D616" s="60"/>
      <c r="E616" s="75"/>
      <c r="G616" s="60"/>
      <c r="H616" s="60"/>
      <c r="I616" s="60"/>
      <c r="J616" s="60"/>
      <c r="K616" s="60"/>
      <c r="L616" s="60"/>
      <c r="M616" s="60"/>
      <c r="N616" s="60"/>
      <c r="Q616" s="60"/>
    </row>
    <row r="617" spans="3:17">
      <c r="C617" s="60"/>
      <c r="D617" s="60"/>
      <c r="E617" s="75"/>
      <c r="G617" s="60"/>
      <c r="H617" s="60"/>
      <c r="I617" s="60"/>
      <c r="J617" s="60"/>
      <c r="K617" s="60"/>
      <c r="L617" s="60"/>
      <c r="M617" s="60"/>
      <c r="N617" s="60"/>
      <c r="Q617" s="60"/>
    </row>
    <row r="618" spans="3:17">
      <c r="C618" s="60"/>
      <c r="D618" s="60"/>
      <c r="E618" s="75"/>
      <c r="G618" s="60"/>
      <c r="H618" s="60"/>
      <c r="I618" s="60"/>
      <c r="J618" s="60"/>
      <c r="K618" s="60"/>
      <c r="L618" s="60"/>
      <c r="M618" s="60"/>
      <c r="N618" s="60"/>
      <c r="Q618" s="60"/>
    </row>
    <row r="619" spans="3:17">
      <c r="C619" s="60"/>
      <c r="D619" s="60"/>
      <c r="E619" s="75"/>
      <c r="G619" s="60"/>
      <c r="H619" s="60"/>
      <c r="I619" s="60"/>
      <c r="J619" s="60"/>
      <c r="K619" s="60"/>
      <c r="L619" s="60"/>
      <c r="M619" s="60"/>
      <c r="N619" s="60"/>
      <c r="Q619" s="60"/>
    </row>
    <row r="620" spans="3:17">
      <c r="C620" s="60"/>
      <c r="D620" s="60"/>
      <c r="E620" s="75"/>
      <c r="G620" s="60"/>
      <c r="H620" s="60"/>
      <c r="I620" s="60"/>
      <c r="J620" s="60"/>
      <c r="K620" s="60"/>
      <c r="L620" s="60"/>
      <c r="M620" s="60"/>
      <c r="N620" s="60"/>
      <c r="Q620" s="60"/>
    </row>
    <row r="621" spans="3:17">
      <c r="C621" s="60"/>
      <c r="D621" s="60"/>
      <c r="E621" s="75"/>
      <c r="G621" s="60"/>
      <c r="H621" s="60"/>
      <c r="I621" s="60"/>
      <c r="J621" s="60"/>
      <c r="K621" s="60"/>
      <c r="L621" s="60"/>
      <c r="M621" s="60"/>
      <c r="N621" s="60"/>
      <c r="Q621" s="60"/>
    </row>
    <row r="622" spans="3:17">
      <c r="C622" s="60"/>
      <c r="D622" s="60"/>
      <c r="E622" s="75"/>
      <c r="G622" s="60"/>
      <c r="H622" s="60"/>
      <c r="I622" s="60"/>
      <c r="J622" s="60"/>
      <c r="K622" s="60"/>
      <c r="L622" s="60"/>
      <c r="M622" s="60"/>
      <c r="N622" s="60"/>
      <c r="Q622" s="60"/>
    </row>
    <row r="623" spans="3:17">
      <c r="C623" s="60"/>
      <c r="D623" s="60"/>
      <c r="E623" s="75"/>
      <c r="G623" s="60"/>
      <c r="H623" s="60"/>
      <c r="I623" s="60"/>
      <c r="J623" s="60"/>
      <c r="K623" s="60"/>
      <c r="L623" s="60"/>
      <c r="M623" s="60"/>
      <c r="N623" s="60"/>
      <c r="Q623" s="60"/>
    </row>
    <row r="624" spans="3:17">
      <c r="C624" s="60"/>
      <c r="D624" s="60"/>
      <c r="E624" s="75"/>
      <c r="G624" s="60"/>
      <c r="H624" s="60"/>
      <c r="I624" s="60"/>
      <c r="J624" s="60"/>
      <c r="K624" s="60"/>
      <c r="L624" s="60"/>
      <c r="M624" s="60"/>
      <c r="N624" s="60"/>
      <c r="Q624" s="60"/>
    </row>
    <row r="625" spans="3:17">
      <c r="C625" s="60"/>
      <c r="D625" s="60"/>
      <c r="E625" s="75"/>
      <c r="G625" s="60"/>
      <c r="H625" s="60"/>
      <c r="I625" s="60"/>
      <c r="J625" s="60"/>
      <c r="K625" s="60"/>
      <c r="L625" s="60"/>
      <c r="M625" s="60"/>
      <c r="N625" s="60"/>
      <c r="Q625" s="60"/>
    </row>
    <row r="626" spans="3:17">
      <c r="C626" s="60"/>
      <c r="D626" s="60"/>
      <c r="E626" s="75"/>
      <c r="G626" s="60"/>
      <c r="H626" s="60"/>
      <c r="I626" s="60"/>
      <c r="J626" s="60"/>
      <c r="K626" s="60"/>
      <c r="L626" s="60"/>
      <c r="M626" s="60"/>
      <c r="N626" s="60"/>
      <c r="Q626" s="60"/>
    </row>
    <row r="627" spans="3:17">
      <c r="C627" s="60"/>
      <c r="D627" s="60"/>
      <c r="E627" s="75"/>
      <c r="G627" s="60"/>
      <c r="H627" s="60"/>
      <c r="I627" s="60"/>
      <c r="J627" s="60"/>
      <c r="K627" s="60"/>
      <c r="L627" s="60"/>
      <c r="M627" s="60"/>
      <c r="N627" s="60"/>
      <c r="Q627" s="60"/>
    </row>
    <row r="628" spans="3:17">
      <c r="C628" s="60"/>
      <c r="D628" s="60"/>
      <c r="E628" s="75"/>
      <c r="G628" s="60"/>
      <c r="H628" s="60"/>
      <c r="I628" s="60"/>
      <c r="J628" s="60"/>
      <c r="K628" s="60"/>
      <c r="L628" s="60"/>
      <c r="M628" s="60"/>
      <c r="N628" s="60"/>
      <c r="Q628" s="60"/>
    </row>
    <row r="629" spans="3:17">
      <c r="C629" s="60"/>
      <c r="D629" s="60"/>
      <c r="E629" s="75"/>
      <c r="G629" s="60"/>
      <c r="H629" s="60"/>
      <c r="I629" s="60"/>
      <c r="J629" s="60"/>
      <c r="K629" s="60"/>
      <c r="L629" s="60"/>
      <c r="M629" s="60"/>
      <c r="N629" s="60"/>
      <c r="Q629" s="60"/>
    </row>
    <row r="630" spans="3:17">
      <c r="C630" s="60"/>
      <c r="D630" s="60"/>
      <c r="E630" s="75"/>
      <c r="G630" s="60"/>
      <c r="H630" s="60"/>
      <c r="I630" s="60"/>
      <c r="J630" s="60"/>
      <c r="K630" s="60"/>
      <c r="L630" s="60"/>
      <c r="M630" s="60"/>
      <c r="N630" s="60"/>
      <c r="Q630" s="60"/>
    </row>
    <row r="631" spans="3:17">
      <c r="C631" s="60"/>
      <c r="D631" s="60"/>
      <c r="E631" s="75"/>
      <c r="G631" s="60"/>
      <c r="H631" s="60"/>
      <c r="I631" s="60"/>
      <c r="J631" s="60"/>
      <c r="K631" s="60"/>
      <c r="L631" s="60"/>
      <c r="M631" s="60"/>
      <c r="N631" s="60"/>
      <c r="Q631" s="60"/>
    </row>
    <row r="632" spans="3:17">
      <c r="C632" s="60"/>
      <c r="D632" s="60"/>
      <c r="E632" s="75"/>
      <c r="G632" s="60"/>
      <c r="H632" s="60"/>
      <c r="I632" s="60"/>
      <c r="J632" s="60"/>
      <c r="K632" s="60"/>
      <c r="L632" s="60"/>
      <c r="M632" s="60"/>
      <c r="N632" s="60"/>
      <c r="Q632" s="60"/>
    </row>
    <row r="633" spans="3:17">
      <c r="C633" s="60"/>
      <c r="D633" s="60"/>
      <c r="E633" s="75"/>
      <c r="G633" s="60"/>
      <c r="H633" s="60"/>
      <c r="I633" s="60"/>
      <c r="J633" s="60"/>
      <c r="K633" s="60"/>
      <c r="L633" s="60"/>
      <c r="M633" s="60"/>
      <c r="N633" s="60"/>
      <c r="Q633" s="60"/>
    </row>
    <row r="634" spans="3:17">
      <c r="C634" s="60"/>
      <c r="D634" s="60"/>
      <c r="E634" s="75"/>
      <c r="G634" s="60"/>
      <c r="H634" s="60"/>
      <c r="I634" s="60"/>
      <c r="J634" s="60"/>
      <c r="K634" s="60"/>
      <c r="L634" s="60"/>
      <c r="M634" s="60"/>
      <c r="N634" s="60"/>
      <c r="Q634" s="60"/>
    </row>
    <row r="635" spans="3:17">
      <c r="C635" s="60"/>
      <c r="D635" s="60"/>
      <c r="E635" s="75"/>
      <c r="G635" s="60"/>
      <c r="H635" s="60"/>
      <c r="I635" s="60"/>
      <c r="J635" s="60"/>
      <c r="K635" s="60"/>
      <c r="L635" s="60"/>
      <c r="M635" s="60"/>
      <c r="N635" s="60"/>
      <c r="Q635" s="60"/>
    </row>
    <row r="636" spans="3:17">
      <c r="C636" s="60"/>
      <c r="D636" s="60"/>
      <c r="E636" s="75"/>
      <c r="G636" s="60"/>
      <c r="H636" s="60"/>
      <c r="I636" s="60"/>
      <c r="J636" s="60"/>
      <c r="K636" s="60"/>
      <c r="L636" s="60"/>
      <c r="M636" s="60"/>
      <c r="N636" s="60"/>
      <c r="Q636" s="60"/>
    </row>
    <row r="637" spans="3:17">
      <c r="C637" s="60"/>
      <c r="D637" s="60"/>
      <c r="E637" s="75"/>
      <c r="G637" s="60"/>
      <c r="H637" s="60"/>
      <c r="I637" s="60"/>
      <c r="J637" s="60"/>
      <c r="K637" s="60"/>
      <c r="L637" s="60"/>
      <c r="M637" s="60"/>
      <c r="N637" s="60"/>
      <c r="Q637" s="60"/>
    </row>
    <row r="638" spans="3:17">
      <c r="C638" s="60"/>
      <c r="D638" s="60"/>
      <c r="E638" s="75"/>
      <c r="G638" s="60"/>
      <c r="H638" s="60"/>
      <c r="I638" s="60"/>
      <c r="J638" s="60"/>
      <c r="K638" s="60"/>
      <c r="L638" s="60"/>
      <c r="M638" s="60"/>
      <c r="N638" s="60"/>
      <c r="Q638" s="60"/>
    </row>
    <row r="639" spans="3:17">
      <c r="C639" s="60"/>
      <c r="D639" s="60"/>
      <c r="E639" s="75"/>
      <c r="G639" s="60"/>
      <c r="H639" s="60"/>
      <c r="I639" s="60"/>
      <c r="J639" s="60"/>
      <c r="K639" s="60"/>
      <c r="L639" s="60"/>
      <c r="M639" s="60"/>
      <c r="N639" s="60"/>
      <c r="Q639" s="60"/>
    </row>
    <row r="640" spans="3:17">
      <c r="C640" s="60"/>
      <c r="D640" s="60"/>
      <c r="E640" s="75"/>
      <c r="G640" s="60"/>
      <c r="H640" s="60"/>
      <c r="I640" s="60"/>
      <c r="J640" s="60"/>
      <c r="K640" s="60"/>
      <c r="L640" s="60"/>
      <c r="M640" s="60"/>
      <c r="N640" s="60"/>
      <c r="Q640" s="60"/>
    </row>
    <row r="641" spans="3:17">
      <c r="C641" s="60"/>
      <c r="D641" s="60"/>
      <c r="E641" s="75"/>
      <c r="G641" s="60"/>
      <c r="H641" s="60"/>
      <c r="I641" s="60"/>
      <c r="J641" s="60"/>
      <c r="K641" s="60"/>
      <c r="L641" s="60"/>
      <c r="M641" s="60"/>
      <c r="N641" s="60"/>
      <c r="Q641" s="60"/>
    </row>
    <row r="642" spans="3:17">
      <c r="C642" s="60"/>
      <c r="D642" s="60"/>
      <c r="E642" s="75"/>
      <c r="G642" s="60"/>
      <c r="H642" s="60"/>
      <c r="I642" s="60"/>
      <c r="J642" s="60"/>
      <c r="K642" s="60"/>
      <c r="L642" s="60"/>
      <c r="M642" s="60"/>
      <c r="N642" s="60"/>
      <c r="Q642" s="60"/>
    </row>
    <row r="643" spans="3:17">
      <c r="C643" s="60"/>
      <c r="D643" s="60"/>
      <c r="E643" s="75"/>
      <c r="G643" s="60"/>
      <c r="H643" s="60"/>
      <c r="I643" s="60"/>
      <c r="J643" s="60"/>
      <c r="K643" s="60"/>
      <c r="L643" s="60"/>
      <c r="M643" s="60"/>
      <c r="N643" s="60"/>
      <c r="Q643" s="60"/>
    </row>
    <row r="644" spans="3:17">
      <c r="C644" s="60"/>
      <c r="D644" s="60"/>
      <c r="E644" s="75"/>
      <c r="G644" s="60"/>
      <c r="H644" s="60"/>
      <c r="I644" s="60"/>
      <c r="J644" s="60"/>
      <c r="K644" s="60"/>
      <c r="L644" s="60"/>
      <c r="M644" s="60"/>
      <c r="N644" s="60"/>
      <c r="Q644" s="60"/>
    </row>
    <row r="645" spans="3:17">
      <c r="C645" s="60"/>
      <c r="D645" s="60"/>
      <c r="E645" s="75"/>
      <c r="G645" s="60"/>
      <c r="H645" s="60"/>
      <c r="I645" s="60"/>
      <c r="J645" s="60"/>
      <c r="K645" s="60"/>
      <c r="L645" s="60"/>
      <c r="M645" s="60"/>
      <c r="N645" s="60"/>
      <c r="Q645" s="60"/>
    </row>
    <row r="646" spans="3:17">
      <c r="C646" s="60"/>
      <c r="D646" s="60"/>
      <c r="E646" s="75"/>
      <c r="G646" s="60"/>
      <c r="H646" s="60"/>
      <c r="I646" s="60"/>
      <c r="J646" s="60"/>
      <c r="K646" s="60"/>
      <c r="L646" s="60"/>
      <c r="M646" s="60"/>
      <c r="N646" s="60"/>
      <c r="Q646" s="60"/>
    </row>
    <row r="647" spans="3:17">
      <c r="C647" s="60"/>
      <c r="D647" s="60"/>
      <c r="E647" s="75"/>
      <c r="G647" s="60"/>
      <c r="H647" s="60"/>
      <c r="I647" s="60"/>
      <c r="J647" s="60"/>
      <c r="K647" s="60"/>
      <c r="L647" s="60"/>
      <c r="M647" s="60"/>
      <c r="N647" s="60"/>
      <c r="Q647" s="60"/>
    </row>
    <row r="648" spans="3:17">
      <c r="C648" s="60"/>
      <c r="D648" s="60"/>
      <c r="E648" s="75"/>
      <c r="G648" s="60"/>
      <c r="H648" s="60"/>
      <c r="I648" s="60"/>
      <c r="J648" s="60"/>
      <c r="K648" s="60"/>
      <c r="L648" s="60"/>
      <c r="M648" s="60"/>
      <c r="N648" s="60"/>
      <c r="Q648" s="60"/>
    </row>
    <row r="649" spans="3:17">
      <c r="C649" s="60"/>
      <c r="D649" s="60"/>
      <c r="E649" s="75"/>
      <c r="G649" s="60"/>
      <c r="H649" s="60"/>
      <c r="I649" s="60"/>
      <c r="J649" s="60"/>
      <c r="K649" s="60"/>
      <c r="L649" s="60"/>
      <c r="M649" s="60"/>
      <c r="N649" s="60"/>
      <c r="Q649" s="60"/>
    </row>
    <row r="650" spans="3:17">
      <c r="C650" s="60"/>
      <c r="D650" s="60"/>
      <c r="E650" s="75"/>
      <c r="G650" s="60"/>
      <c r="H650" s="60"/>
      <c r="I650" s="60"/>
      <c r="J650" s="60"/>
      <c r="K650" s="60"/>
      <c r="L650" s="60"/>
      <c r="M650" s="60"/>
      <c r="N650" s="60"/>
      <c r="Q650" s="60"/>
    </row>
    <row r="651" spans="3:17">
      <c r="C651" s="60"/>
      <c r="D651" s="60"/>
      <c r="E651" s="75"/>
      <c r="G651" s="60"/>
      <c r="H651" s="60"/>
      <c r="I651" s="60"/>
      <c r="J651" s="60"/>
      <c r="K651" s="60"/>
      <c r="L651" s="60"/>
      <c r="M651" s="60"/>
      <c r="N651" s="60"/>
      <c r="Q651" s="60"/>
    </row>
    <row r="652" spans="3:17">
      <c r="C652" s="60"/>
      <c r="D652" s="60"/>
      <c r="E652" s="75"/>
      <c r="G652" s="60"/>
      <c r="H652" s="60"/>
      <c r="I652" s="60"/>
      <c r="J652" s="60"/>
      <c r="K652" s="60"/>
      <c r="L652" s="60"/>
      <c r="M652" s="60"/>
      <c r="N652" s="60"/>
      <c r="Q652" s="60"/>
    </row>
    <row r="653" spans="3:17">
      <c r="C653" s="60"/>
      <c r="D653" s="60"/>
      <c r="E653" s="75"/>
      <c r="G653" s="60"/>
      <c r="H653" s="60"/>
      <c r="I653" s="60"/>
      <c r="J653" s="60"/>
      <c r="K653" s="60"/>
      <c r="L653" s="60"/>
      <c r="M653" s="60"/>
      <c r="N653" s="60"/>
      <c r="Q653" s="60"/>
    </row>
    <row r="654" spans="3:17">
      <c r="C654" s="60"/>
      <c r="D654" s="60"/>
      <c r="E654" s="75"/>
      <c r="G654" s="60"/>
      <c r="H654" s="60"/>
      <c r="I654" s="60"/>
      <c r="J654" s="60"/>
      <c r="K654" s="60"/>
      <c r="L654" s="60"/>
      <c r="M654" s="60"/>
      <c r="N654" s="60"/>
      <c r="Q654" s="60"/>
    </row>
    <row r="655" spans="3:17">
      <c r="C655" s="60"/>
      <c r="D655" s="60"/>
      <c r="E655" s="75"/>
      <c r="G655" s="60"/>
      <c r="H655" s="60"/>
      <c r="I655" s="60"/>
      <c r="J655" s="60"/>
      <c r="K655" s="60"/>
      <c r="L655" s="60"/>
      <c r="M655" s="60"/>
      <c r="N655" s="60"/>
      <c r="Q655" s="60"/>
    </row>
    <row r="656" spans="3:17">
      <c r="C656" s="60"/>
      <c r="D656" s="60"/>
      <c r="E656" s="75"/>
      <c r="G656" s="60"/>
      <c r="H656" s="60"/>
      <c r="I656" s="60"/>
      <c r="J656" s="60"/>
      <c r="K656" s="60"/>
      <c r="L656" s="60"/>
      <c r="M656" s="60"/>
      <c r="N656" s="60"/>
      <c r="Q656" s="60"/>
    </row>
    <row r="657" spans="3:17">
      <c r="C657" s="60"/>
      <c r="D657" s="60"/>
      <c r="E657" s="75"/>
      <c r="G657" s="60"/>
      <c r="H657" s="60"/>
      <c r="I657" s="60"/>
      <c r="J657" s="60"/>
      <c r="K657" s="60"/>
      <c r="L657" s="60"/>
      <c r="M657" s="60"/>
      <c r="N657" s="60"/>
      <c r="Q657" s="60"/>
    </row>
    <row r="658" spans="3:17">
      <c r="C658" s="60"/>
      <c r="D658" s="60"/>
      <c r="E658" s="75"/>
      <c r="G658" s="60"/>
      <c r="H658" s="60"/>
      <c r="I658" s="60"/>
      <c r="J658" s="60"/>
      <c r="K658" s="60"/>
      <c r="L658" s="60"/>
      <c r="M658" s="60"/>
      <c r="N658" s="60"/>
      <c r="Q658" s="60"/>
    </row>
    <row r="659" spans="3:17">
      <c r="C659" s="60"/>
      <c r="D659" s="60"/>
      <c r="E659" s="75"/>
      <c r="G659" s="60"/>
      <c r="H659" s="60"/>
      <c r="I659" s="60"/>
      <c r="J659" s="60"/>
      <c r="K659" s="60"/>
      <c r="L659" s="60"/>
      <c r="M659" s="60"/>
      <c r="N659" s="60"/>
      <c r="Q659" s="60"/>
    </row>
    <row r="660" spans="3:17">
      <c r="C660" s="60"/>
      <c r="D660" s="60"/>
      <c r="E660" s="75"/>
      <c r="G660" s="60"/>
      <c r="H660" s="60"/>
      <c r="I660" s="60"/>
      <c r="J660" s="60"/>
      <c r="K660" s="60"/>
      <c r="L660" s="60"/>
      <c r="M660" s="60"/>
      <c r="N660" s="60"/>
      <c r="Q660" s="60"/>
    </row>
    <row r="661" spans="3:17">
      <c r="C661" s="60"/>
      <c r="D661" s="60"/>
      <c r="E661" s="75"/>
      <c r="G661" s="60"/>
      <c r="H661" s="60"/>
      <c r="I661" s="60"/>
      <c r="J661" s="60"/>
      <c r="K661" s="60"/>
      <c r="L661" s="60"/>
      <c r="M661" s="60"/>
      <c r="N661" s="60"/>
      <c r="Q661" s="60"/>
    </row>
    <row r="662" spans="3:17">
      <c r="C662" s="60"/>
      <c r="D662" s="60"/>
      <c r="E662" s="75"/>
      <c r="G662" s="60"/>
      <c r="H662" s="60"/>
      <c r="I662" s="60"/>
      <c r="J662" s="60"/>
      <c r="K662" s="60"/>
      <c r="L662" s="60"/>
      <c r="M662" s="60"/>
      <c r="N662" s="60"/>
      <c r="Q662" s="60"/>
    </row>
    <row r="663" spans="3:17">
      <c r="C663" s="60"/>
      <c r="D663" s="60"/>
      <c r="E663" s="75"/>
      <c r="G663" s="60"/>
      <c r="H663" s="60"/>
      <c r="I663" s="60"/>
      <c r="J663" s="60"/>
      <c r="K663" s="60"/>
      <c r="L663" s="60"/>
      <c r="M663" s="60"/>
      <c r="N663" s="60"/>
      <c r="Q663" s="60"/>
    </row>
    <row r="664" spans="3:17">
      <c r="C664" s="60"/>
      <c r="D664" s="60"/>
      <c r="E664" s="75"/>
      <c r="G664" s="60"/>
      <c r="H664" s="60"/>
      <c r="I664" s="60"/>
      <c r="J664" s="60"/>
      <c r="K664" s="60"/>
      <c r="L664" s="60"/>
      <c r="M664" s="60"/>
      <c r="N664" s="60"/>
      <c r="Q664" s="60"/>
    </row>
    <row r="665" spans="3:17">
      <c r="C665" s="60"/>
      <c r="D665" s="60"/>
      <c r="E665" s="75"/>
      <c r="G665" s="60"/>
      <c r="H665" s="60"/>
      <c r="I665" s="60"/>
      <c r="J665" s="60"/>
      <c r="K665" s="60"/>
      <c r="L665" s="60"/>
      <c r="M665" s="60"/>
      <c r="N665" s="60"/>
      <c r="Q665" s="60"/>
    </row>
    <row r="666" spans="3:17">
      <c r="C666" s="60"/>
      <c r="D666" s="60"/>
      <c r="E666" s="75"/>
      <c r="G666" s="60"/>
      <c r="H666" s="60"/>
      <c r="I666" s="60"/>
      <c r="J666" s="60"/>
      <c r="K666" s="60"/>
      <c r="L666" s="60"/>
      <c r="M666" s="60"/>
      <c r="N666" s="60"/>
      <c r="Q666" s="60"/>
    </row>
    <row r="667" spans="3:17">
      <c r="C667" s="60"/>
      <c r="D667" s="60"/>
      <c r="E667" s="75"/>
      <c r="G667" s="60"/>
      <c r="H667" s="60"/>
      <c r="I667" s="60"/>
      <c r="J667" s="60"/>
      <c r="K667" s="60"/>
      <c r="L667" s="60"/>
      <c r="M667" s="60"/>
      <c r="N667" s="60"/>
      <c r="Q667" s="60"/>
    </row>
    <row r="668" spans="3:17">
      <c r="C668" s="60"/>
      <c r="D668" s="60"/>
      <c r="E668" s="75"/>
      <c r="G668" s="60"/>
      <c r="H668" s="60"/>
      <c r="I668" s="60"/>
      <c r="J668" s="60"/>
      <c r="K668" s="60"/>
      <c r="L668" s="60"/>
      <c r="M668" s="60"/>
      <c r="N668" s="60"/>
      <c r="Q668" s="60"/>
    </row>
    <row r="669" spans="3:17">
      <c r="C669" s="60"/>
      <c r="D669" s="60"/>
      <c r="E669" s="75"/>
      <c r="G669" s="60"/>
      <c r="H669" s="60"/>
      <c r="I669" s="60"/>
      <c r="J669" s="60"/>
      <c r="K669" s="60"/>
      <c r="L669" s="60"/>
      <c r="M669" s="60"/>
      <c r="N669" s="60"/>
      <c r="Q669" s="60"/>
    </row>
    <row r="670" spans="3:17">
      <c r="C670" s="60"/>
      <c r="D670" s="60"/>
      <c r="E670" s="75"/>
      <c r="G670" s="60"/>
      <c r="H670" s="60"/>
      <c r="I670" s="60"/>
      <c r="J670" s="60"/>
      <c r="K670" s="60"/>
      <c r="L670" s="60"/>
      <c r="M670" s="60"/>
      <c r="N670" s="60"/>
      <c r="Q670" s="60"/>
    </row>
    <row r="671" spans="3:17">
      <c r="C671" s="60"/>
      <c r="D671" s="60"/>
      <c r="E671" s="75"/>
      <c r="G671" s="60"/>
      <c r="H671" s="60"/>
      <c r="I671" s="60"/>
      <c r="J671" s="60"/>
      <c r="K671" s="60"/>
      <c r="L671" s="60"/>
      <c r="M671" s="60"/>
      <c r="N671" s="60"/>
      <c r="Q671" s="60"/>
    </row>
    <row r="672" spans="3:17">
      <c r="C672" s="60"/>
      <c r="D672" s="60"/>
      <c r="E672" s="75"/>
      <c r="G672" s="60"/>
      <c r="H672" s="60"/>
      <c r="I672" s="60"/>
      <c r="J672" s="60"/>
      <c r="K672" s="60"/>
      <c r="L672" s="60"/>
      <c r="M672" s="60"/>
      <c r="N672" s="60"/>
      <c r="Q672" s="60"/>
    </row>
    <row r="673" spans="3:17">
      <c r="C673" s="60"/>
      <c r="D673" s="60"/>
      <c r="E673" s="75"/>
      <c r="G673" s="60"/>
      <c r="H673" s="60"/>
      <c r="I673" s="60"/>
      <c r="J673" s="60"/>
      <c r="K673" s="60"/>
      <c r="L673" s="60"/>
      <c r="M673" s="60"/>
      <c r="N673" s="60"/>
      <c r="Q673" s="60"/>
    </row>
    <row r="674" spans="3:17">
      <c r="C674" s="60"/>
      <c r="D674" s="60"/>
      <c r="E674" s="75"/>
      <c r="G674" s="60"/>
      <c r="H674" s="60"/>
      <c r="I674" s="60"/>
      <c r="J674" s="60"/>
      <c r="K674" s="60"/>
      <c r="L674" s="60"/>
      <c r="M674" s="60"/>
      <c r="N674" s="60"/>
      <c r="Q674" s="60"/>
    </row>
    <row r="675" spans="3:17">
      <c r="C675" s="60"/>
      <c r="D675" s="60"/>
      <c r="E675" s="75"/>
      <c r="G675" s="60"/>
      <c r="H675" s="60"/>
      <c r="I675" s="60"/>
      <c r="J675" s="60"/>
      <c r="K675" s="60"/>
      <c r="L675" s="60"/>
      <c r="M675" s="60"/>
      <c r="N675" s="60"/>
      <c r="Q675" s="60"/>
    </row>
    <row r="676" spans="3:17">
      <c r="C676" s="60"/>
      <c r="D676" s="60"/>
      <c r="E676" s="75"/>
      <c r="G676" s="60"/>
      <c r="H676" s="60"/>
      <c r="I676" s="60"/>
      <c r="J676" s="60"/>
      <c r="K676" s="60"/>
      <c r="L676" s="60"/>
      <c r="M676" s="60"/>
      <c r="N676" s="60"/>
      <c r="Q676" s="60"/>
    </row>
    <row r="677" spans="3:17">
      <c r="C677" s="60"/>
      <c r="D677" s="60"/>
      <c r="E677" s="75"/>
      <c r="G677" s="60"/>
      <c r="H677" s="60"/>
      <c r="I677" s="60"/>
      <c r="J677" s="60"/>
      <c r="K677" s="60"/>
      <c r="L677" s="60"/>
      <c r="M677" s="60"/>
      <c r="N677" s="60"/>
      <c r="Q677" s="60"/>
    </row>
    <row r="678" spans="3:17">
      <c r="C678" s="60"/>
      <c r="D678" s="60"/>
      <c r="E678" s="75"/>
      <c r="G678" s="60"/>
      <c r="H678" s="60"/>
      <c r="I678" s="60"/>
      <c r="J678" s="60"/>
      <c r="K678" s="60"/>
      <c r="L678" s="60"/>
      <c r="M678" s="60"/>
      <c r="N678" s="60"/>
      <c r="Q678" s="60"/>
    </row>
    <row r="679" spans="3:17">
      <c r="C679" s="60"/>
      <c r="D679" s="60"/>
      <c r="E679" s="75"/>
      <c r="G679" s="60"/>
      <c r="H679" s="60"/>
      <c r="I679" s="60"/>
      <c r="J679" s="60"/>
      <c r="K679" s="60"/>
      <c r="L679" s="60"/>
      <c r="M679" s="60"/>
      <c r="N679" s="60"/>
      <c r="Q679" s="60"/>
    </row>
    <row r="680" spans="3:17">
      <c r="C680" s="60"/>
      <c r="D680" s="60"/>
      <c r="E680" s="75"/>
      <c r="G680" s="60"/>
      <c r="H680" s="60"/>
      <c r="I680" s="60"/>
      <c r="J680" s="60"/>
      <c r="K680" s="60"/>
      <c r="L680" s="60"/>
      <c r="M680" s="60"/>
      <c r="N680" s="60"/>
      <c r="Q680" s="60"/>
    </row>
  </sheetData>
  <mergeCells count="2">
    <mergeCell ref="E304:E312"/>
    <mergeCell ref="E323:E326"/>
  </mergeCells>
  <phoneticPr fontId="21" type="noConversion"/>
  <conditionalFormatting sqref="F348:G348 D348 I348:K348">
    <cfRule type="cellIs" dxfId="583" priority="12" stopIfTrue="1" operator="equal">
      <formula>1</formula>
    </cfRule>
  </conditionalFormatting>
  <conditionalFormatting sqref="H348">
    <cfRule type="cellIs" dxfId="582" priority="11" stopIfTrue="1" operator="equal">
      <formula>1</formula>
    </cfRule>
  </conditionalFormatting>
  <conditionalFormatting sqref="D349 F349:G349 I349:K349">
    <cfRule type="cellIs" dxfId="581" priority="10" stopIfTrue="1" operator="equal">
      <formula>1</formula>
    </cfRule>
  </conditionalFormatting>
  <conditionalFormatting sqref="H349">
    <cfRule type="cellIs" dxfId="580" priority="9" stopIfTrue="1" operator="equal">
      <formula>1</formula>
    </cfRule>
  </conditionalFormatting>
  <conditionalFormatting sqref="D350 F350:G350">
    <cfRule type="cellIs" dxfId="579" priority="8" stopIfTrue="1" operator="equal">
      <formula>1</formula>
    </cfRule>
  </conditionalFormatting>
  <conditionalFormatting sqref="I350:K350">
    <cfRule type="cellIs" dxfId="578" priority="7" stopIfTrue="1" operator="equal">
      <formula>1</formula>
    </cfRule>
  </conditionalFormatting>
  <conditionalFormatting sqref="I351:K351">
    <cfRule type="cellIs" dxfId="577" priority="5" stopIfTrue="1" operator="equal">
      <formula>1</formula>
    </cfRule>
  </conditionalFormatting>
  <conditionalFormatting sqref="D351 F351:G351">
    <cfRule type="cellIs" dxfId="576" priority="6" stopIfTrue="1" operator="equal">
      <formula>1</formula>
    </cfRule>
  </conditionalFormatting>
  <conditionalFormatting sqref="H352">
    <cfRule type="cellIs" dxfId="575" priority="3" stopIfTrue="1" operator="equal">
      <formula>1</formula>
    </cfRule>
  </conditionalFormatting>
  <conditionalFormatting sqref="F352:G352 D352 I352:K352">
    <cfRule type="cellIs" dxfId="574" priority="4" stopIfTrue="1" operator="equal">
      <formula>1</formula>
    </cfRule>
  </conditionalFormatting>
  <conditionalFormatting sqref="H353">
    <cfRule type="cellIs" dxfId="573" priority="1" stopIfTrue="1" operator="equal">
      <formula>1</formula>
    </cfRule>
  </conditionalFormatting>
  <conditionalFormatting sqref="D353 F353:G353 I353:K353">
    <cfRule type="cellIs" dxfId="572" priority="2" stopIfTrue="1" operator="equal">
      <formula>1</formula>
    </cfRule>
  </conditionalFormatting>
  <pageMargins left="0.75" right="0.75" top="1" bottom="1" header="0" footer="0"/>
  <pageSetup paperSize="9" orientation="landscape" horizontalDpi="0" verticalDpi="0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9">
    <tabColor rgb="FF00FF00"/>
    <pageSetUpPr fitToPage="1"/>
  </sheetPr>
  <dimension ref="A1:BI96"/>
  <sheetViews>
    <sheetView topLeftCell="A58" zoomScale="150" zoomScaleNormal="150" zoomScalePageLayoutView="132" workbookViewId="0">
      <selection activeCell="K72" sqref="K71:K72"/>
    </sheetView>
  </sheetViews>
  <sheetFormatPr baseColWidth="10" defaultColWidth="10.83203125" defaultRowHeight="13"/>
  <cols>
    <col min="1" max="1" width="11.6640625" customWidth="1"/>
    <col min="2" max="3" width="12" customWidth="1"/>
    <col min="4" max="4" width="11" customWidth="1"/>
    <col min="5" max="5" width="12.33203125" customWidth="1"/>
    <col min="6" max="6" width="11" customWidth="1"/>
    <col min="7" max="8" width="12" customWidth="1"/>
    <col min="9" max="9" width="12.1640625" bestFit="1" customWidth="1"/>
    <col min="11" max="11" width="11.33203125" customWidth="1"/>
    <col min="12" max="12" width="12.1640625" bestFit="1" customWidth="1"/>
    <col min="13" max="13" width="12.33203125" customWidth="1"/>
    <col min="14" max="14" width="12" customWidth="1"/>
    <col min="15" max="15" width="11" customWidth="1"/>
    <col min="16" max="61" width="8.6640625" customWidth="1"/>
  </cols>
  <sheetData>
    <row r="1" spans="1:61" ht="42.75" customHeight="1" thickBot="1">
      <c r="C1" s="469"/>
      <c r="D1" s="324"/>
      <c r="E1" s="324"/>
      <c r="F1" s="486" t="s">
        <v>223</v>
      </c>
      <c r="G1" s="324"/>
      <c r="H1" s="324"/>
      <c r="I1" s="324"/>
      <c r="J1" s="324"/>
      <c r="K1" s="324"/>
      <c r="L1" s="324"/>
      <c r="M1" s="324"/>
      <c r="N1" s="324"/>
      <c r="O1" s="471"/>
      <c r="P1" s="469"/>
      <c r="Q1" s="324"/>
      <c r="R1" s="324"/>
      <c r="S1" s="324"/>
      <c r="T1" s="324"/>
      <c r="U1" s="324"/>
      <c r="V1" s="324"/>
      <c r="W1" s="324"/>
      <c r="X1" s="324"/>
      <c r="Y1" s="324"/>
      <c r="Z1" s="324"/>
      <c r="AA1" s="324"/>
      <c r="AB1" s="324"/>
      <c r="AC1" s="324"/>
      <c r="AD1" s="324"/>
      <c r="AE1" s="324"/>
      <c r="AF1" s="324"/>
      <c r="AG1" s="324"/>
      <c r="AH1" s="324"/>
      <c r="AI1" s="324"/>
      <c r="AJ1" s="471"/>
      <c r="AK1" s="324"/>
      <c r="AL1" s="324"/>
      <c r="AM1" s="324"/>
      <c r="AN1" s="324"/>
      <c r="AO1" s="324"/>
      <c r="AP1" s="324"/>
      <c r="AQ1" s="324"/>
      <c r="AR1" s="324"/>
      <c r="AS1" s="324"/>
      <c r="AT1" s="324"/>
      <c r="AU1" s="324"/>
      <c r="AV1" s="324"/>
      <c r="AW1" s="324"/>
      <c r="AX1" s="324"/>
      <c r="AY1" s="324"/>
      <c r="AZ1" s="324"/>
      <c r="BA1" s="324"/>
      <c r="BB1" s="324"/>
      <c r="BC1" s="324"/>
      <c r="BD1" s="324"/>
      <c r="BE1" s="471"/>
      <c r="BF1" s="469"/>
      <c r="BG1" s="324"/>
      <c r="BH1" s="324"/>
      <c r="BI1" s="471"/>
    </row>
    <row r="2" spans="1:61">
      <c r="A2" s="466">
        <v>0.16666666666666666</v>
      </c>
      <c r="B2" s="582">
        <v>1</v>
      </c>
      <c r="C2" s="582">
        <v>2</v>
      </c>
      <c r="D2" s="582">
        <v>3</v>
      </c>
      <c r="E2" s="468">
        <v>4</v>
      </c>
      <c r="F2" s="468">
        <v>5</v>
      </c>
      <c r="G2" s="468">
        <v>6</v>
      </c>
      <c r="H2" s="468">
        <v>7</v>
      </c>
      <c r="I2" s="468">
        <v>8</v>
      </c>
      <c r="J2" s="468">
        <v>9</v>
      </c>
      <c r="K2" s="468">
        <v>10</v>
      </c>
      <c r="L2" s="468">
        <v>11</v>
      </c>
      <c r="M2" s="468">
        <v>12</v>
      </c>
      <c r="N2" s="468">
        <v>13</v>
      </c>
      <c r="O2" s="581">
        <v>14</v>
      </c>
    </row>
    <row r="3" spans="1:61" ht="14" thickBot="1">
      <c r="A3" s="469"/>
      <c r="B3" s="6207" t="s">
        <v>226</v>
      </c>
      <c r="C3" s="6207" t="s">
        <v>227</v>
      </c>
      <c r="D3" s="6207" t="s">
        <v>228</v>
      </c>
      <c r="E3" s="6207" t="s">
        <v>229</v>
      </c>
      <c r="F3" s="6207" t="s">
        <v>224</v>
      </c>
      <c r="G3" s="6207" t="s">
        <v>230</v>
      </c>
      <c r="H3" s="6207" t="s">
        <v>225</v>
      </c>
      <c r="I3" s="533" t="s">
        <v>226</v>
      </c>
      <c r="J3" s="533" t="s">
        <v>227</v>
      </c>
      <c r="K3" s="533" t="s">
        <v>228</v>
      </c>
      <c r="L3" s="533" t="s">
        <v>229</v>
      </c>
      <c r="M3" s="533" t="s">
        <v>224</v>
      </c>
      <c r="N3" s="533" t="s">
        <v>230</v>
      </c>
      <c r="O3" s="533" t="s">
        <v>225</v>
      </c>
    </row>
    <row r="4" spans="1:61">
      <c r="A4" s="472">
        <v>44927</v>
      </c>
      <c r="B4" s="472">
        <v>44928</v>
      </c>
      <c r="C4" s="472">
        <v>44929</v>
      </c>
      <c r="D4" s="472">
        <v>44930</v>
      </c>
      <c r="E4" s="472">
        <v>44931</v>
      </c>
      <c r="F4" s="472">
        <v>44932</v>
      </c>
      <c r="G4" s="472">
        <v>44933</v>
      </c>
      <c r="H4" s="472">
        <v>44934</v>
      </c>
      <c r="I4" s="472">
        <v>44935</v>
      </c>
      <c r="J4" s="472">
        <v>44936</v>
      </c>
      <c r="K4" s="472">
        <v>44937</v>
      </c>
      <c r="L4" s="472">
        <v>44938</v>
      </c>
      <c r="M4" s="472">
        <v>44939</v>
      </c>
      <c r="N4" s="472">
        <v>44940</v>
      </c>
      <c r="O4" s="472">
        <v>44941</v>
      </c>
    </row>
    <row r="5" spans="1:61">
      <c r="A5" s="466">
        <f>$A$2*Plan!$AI$15/100</f>
        <v>1.5151515151515152E-2</v>
      </c>
      <c r="B5" s="324"/>
      <c r="C5" s="324"/>
      <c r="D5" s="471"/>
      <c r="E5" s="7905" t="s">
        <v>170</v>
      </c>
      <c r="F5" s="7906"/>
      <c r="G5" s="1032">
        <f>(B6+C6+D6+E6+F6+G6+H6)/6</f>
        <v>0.12847222222222221</v>
      </c>
      <c r="H5" s="466">
        <f>$A$2*Plan!$AJ$15/100</f>
        <v>1.5151515151515152E-2</v>
      </c>
      <c r="I5" s="324"/>
      <c r="J5" s="324"/>
      <c r="K5" s="324"/>
      <c r="L5" s="7905" t="s">
        <v>170</v>
      </c>
      <c r="M5" s="7906"/>
      <c r="N5" s="1032">
        <f>(I6+J6+K6+L6+M6+N6+O6)/6</f>
        <v>0.12847222222222221</v>
      </c>
      <c r="O5" s="853">
        <f>SUM(I6:O6)</f>
        <v>0.77083333333333326</v>
      </c>
    </row>
    <row r="6" spans="1:61">
      <c r="A6" s="578" t="s">
        <v>231</v>
      </c>
      <c r="B6" s="466">
        <v>0.1111111111111111</v>
      </c>
      <c r="C6" s="466">
        <v>0.15277777777777776</v>
      </c>
      <c r="D6" s="466">
        <v>0.15277777777777776</v>
      </c>
      <c r="E6" s="466">
        <v>0.16666666666666666</v>
      </c>
      <c r="F6" s="466">
        <v>0.10416666666666667</v>
      </c>
      <c r="G6" s="466">
        <v>8.3333333333333329E-2</v>
      </c>
      <c r="H6" s="466">
        <v>0</v>
      </c>
      <c r="I6" s="466">
        <v>0.1111111111111111</v>
      </c>
      <c r="J6" s="466">
        <v>0.15277777777777776</v>
      </c>
      <c r="K6" s="466">
        <v>0.15277777777777776</v>
      </c>
      <c r="L6" s="466">
        <v>0.16666666666666666</v>
      </c>
      <c r="M6" s="466">
        <v>0.10416666666666667</v>
      </c>
      <c r="N6" s="466">
        <v>8.3333333333333329E-2</v>
      </c>
      <c r="O6" s="466">
        <v>0</v>
      </c>
    </row>
    <row r="7" spans="1:61">
      <c r="A7" s="578" t="s">
        <v>232</v>
      </c>
      <c r="B7" s="474">
        <v>0.9</v>
      </c>
      <c r="C7" s="474">
        <v>0.9</v>
      </c>
      <c r="D7" s="474">
        <v>0.9</v>
      </c>
      <c r="E7" s="474">
        <v>0.9</v>
      </c>
      <c r="F7" s="474">
        <v>0.9</v>
      </c>
      <c r="G7" s="474">
        <v>0.9</v>
      </c>
      <c r="H7" s="474">
        <v>0.9</v>
      </c>
      <c r="I7" s="474">
        <v>0.8</v>
      </c>
      <c r="J7" s="474">
        <v>0.8</v>
      </c>
      <c r="K7" s="474">
        <v>0.8</v>
      </c>
      <c r="L7" s="474">
        <v>0.8</v>
      </c>
      <c r="M7" s="474">
        <v>0.8</v>
      </c>
      <c r="N7" s="474">
        <v>0.8</v>
      </c>
      <c r="O7" s="474">
        <v>0.8</v>
      </c>
    </row>
    <row r="8" spans="1:61" ht="14" thickBot="1">
      <c r="A8" s="579" t="s">
        <v>233</v>
      </c>
      <c r="B8" s="533">
        <v>60</v>
      </c>
      <c r="C8" s="533">
        <v>0</v>
      </c>
      <c r="D8" s="533">
        <v>60</v>
      </c>
      <c r="E8" s="533">
        <v>0</v>
      </c>
      <c r="F8" s="533">
        <v>60</v>
      </c>
      <c r="G8" s="533">
        <v>0</v>
      </c>
      <c r="H8" s="533"/>
      <c r="I8" s="533">
        <v>60</v>
      </c>
      <c r="J8" s="533">
        <v>30</v>
      </c>
      <c r="K8" s="533">
        <v>60</v>
      </c>
      <c r="L8" s="533">
        <v>30</v>
      </c>
      <c r="M8" s="533">
        <v>60</v>
      </c>
      <c r="N8" s="533">
        <v>0</v>
      </c>
      <c r="O8" s="580"/>
    </row>
    <row r="9" spans="1:61" ht="14" thickBot="1">
      <c r="B9" s="324">
        <v>1</v>
      </c>
      <c r="C9" s="324">
        <v>2</v>
      </c>
      <c r="D9" s="324">
        <v>3</v>
      </c>
      <c r="E9" s="324">
        <v>4</v>
      </c>
      <c r="F9" s="324">
        <v>5</v>
      </c>
      <c r="G9" s="324">
        <v>6</v>
      </c>
      <c r="H9" s="324">
        <v>7</v>
      </c>
      <c r="I9" s="324">
        <v>8</v>
      </c>
      <c r="J9" s="324">
        <v>9</v>
      </c>
      <c r="K9" s="324">
        <v>10</v>
      </c>
      <c r="L9" s="324">
        <v>11</v>
      </c>
      <c r="M9" s="324">
        <v>12</v>
      </c>
      <c r="N9" s="324">
        <v>13</v>
      </c>
      <c r="O9" s="324">
        <v>14</v>
      </c>
    </row>
    <row r="10" spans="1:61">
      <c r="A10" s="467"/>
      <c r="B10" s="6208" t="s">
        <v>226</v>
      </c>
      <c r="C10" s="6208" t="s">
        <v>227</v>
      </c>
      <c r="D10" s="6208" t="s">
        <v>228</v>
      </c>
      <c r="E10" s="6208" t="s">
        <v>229</v>
      </c>
      <c r="F10" s="6208" t="s">
        <v>224</v>
      </c>
      <c r="G10" s="6208" t="s">
        <v>230</v>
      </c>
      <c r="H10" s="6208" t="s">
        <v>225</v>
      </c>
      <c r="I10" s="6209" t="s">
        <v>226</v>
      </c>
      <c r="J10" s="6209" t="s">
        <v>227</v>
      </c>
      <c r="K10" s="6209" t="s">
        <v>228</v>
      </c>
      <c r="L10" s="6209" t="s">
        <v>229</v>
      </c>
      <c r="M10" s="6209" t="s">
        <v>224</v>
      </c>
      <c r="N10" s="6209" t="s">
        <v>230</v>
      </c>
      <c r="O10" s="6209" t="s">
        <v>225</v>
      </c>
    </row>
    <row r="11" spans="1:61">
      <c r="A11" s="472">
        <v>44941</v>
      </c>
      <c r="B11" s="472">
        <v>44942</v>
      </c>
      <c r="C11" s="472">
        <v>44943</v>
      </c>
      <c r="D11" s="472">
        <v>44944</v>
      </c>
      <c r="E11" s="472">
        <v>44945</v>
      </c>
      <c r="F11" s="472">
        <v>44946</v>
      </c>
      <c r="G11" s="472">
        <v>44947</v>
      </c>
      <c r="H11" s="472">
        <v>44948</v>
      </c>
      <c r="I11" s="472">
        <v>44949</v>
      </c>
      <c r="J11" s="472">
        <v>44950</v>
      </c>
      <c r="K11" s="472">
        <v>44951</v>
      </c>
      <c r="L11" s="472">
        <v>44952</v>
      </c>
      <c r="M11" s="472">
        <v>44953</v>
      </c>
      <c r="N11" s="472">
        <v>44954</v>
      </c>
      <c r="O11" s="472">
        <v>44955</v>
      </c>
    </row>
    <row r="12" spans="1:61">
      <c r="A12" s="466">
        <f>$A$2*Plan!$AK$15/100</f>
        <v>1.5151515151515152E-2</v>
      </c>
      <c r="B12" s="324"/>
      <c r="C12" s="324"/>
      <c r="D12" s="324"/>
      <c r="E12" s="7905" t="s">
        <v>170</v>
      </c>
      <c r="F12" s="7906"/>
      <c r="G12" s="1032">
        <f>(B13+C13+D13+E13+F13+G13+H13)/6</f>
        <v>0.12847222222222221</v>
      </c>
      <c r="H12" s="466">
        <f>$A$2*Plan!$AL$15/100</f>
        <v>1.5151515151515152E-2</v>
      </c>
      <c r="I12" s="324"/>
      <c r="J12" s="324"/>
      <c r="K12" s="471"/>
      <c r="L12" s="7905" t="s">
        <v>170</v>
      </c>
      <c r="M12" s="7906"/>
      <c r="N12" s="1032">
        <f>(I13+J13+K13+L13+M13+N13+O13)/6</f>
        <v>0.13541666666666666</v>
      </c>
      <c r="O12" s="853">
        <f>SUM(I13:O13)</f>
        <v>0.81249999999999989</v>
      </c>
    </row>
    <row r="13" spans="1:61">
      <c r="A13" s="578" t="s">
        <v>231</v>
      </c>
      <c r="B13" s="466">
        <v>0.1111111111111111</v>
      </c>
      <c r="C13" s="466">
        <v>0.15277777777777776</v>
      </c>
      <c r="D13" s="466">
        <v>0.15277777777777776</v>
      </c>
      <c r="E13" s="466">
        <v>0.16666666666666666</v>
      </c>
      <c r="F13" s="466">
        <v>0.10416666666666667</v>
      </c>
      <c r="G13" s="466">
        <v>8.3333333333333329E-2</v>
      </c>
      <c r="H13" s="466">
        <v>0</v>
      </c>
      <c r="I13" s="466">
        <v>0.1111111111111111</v>
      </c>
      <c r="J13" s="466">
        <v>0.15277777777777776</v>
      </c>
      <c r="K13" s="466">
        <v>0.15277777777777776</v>
      </c>
      <c r="L13" s="466">
        <v>0.16666666666666666</v>
      </c>
      <c r="M13" s="466">
        <v>0.10416666666666667</v>
      </c>
      <c r="N13" s="466">
        <v>8.3333333333333329E-2</v>
      </c>
      <c r="O13" s="466">
        <v>4.1666666666666664E-2</v>
      </c>
    </row>
    <row r="14" spans="1:61">
      <c r="A14" s="578" t="s">
        <v>232</v>
      </c>
      <c r="B14" s="474">
        <v>0.7</v>
      </c>
      <c r="C14" s="474">
        <v>0.7</v>
      </c>
      <c r="D14" s="474">
        <v>0.7</v>
      </c>
      <c r="E14" s="474">
        <v>0.7</v>
      </c>
      <c r="F14" s="474">
        <v>0.7</v>
      </c>
      <c r="G14" s="474">
        <v>0.7</v>
      </c>
      <c r="H14" s="474">
        <v>0.7</v>
      </c>
      <c r="I14" s="474">
        <v>0.9</v>
      </c>
      <c r="J14" s="474">
        <v>0.6</v>
      </c>
      <c r="K14" s="474">
        <v>0.8</v>
      </c>
      <c r="L14" s="474">
        <v>0.66666666666666696</v>
      </c>
      <c r="M14" s="474">
        <v>0.61666666666666603</v>
      </c>
      <c r="N14" s="474">
        <v>0.56666666666666698</v>
      </c>
      <c r="O14" s="474">
        <v>0.51666666666666705</v>
      </c>
    </row>
    <row r="15" spans="1:61" ht="14" thickBot="1">
      <c r="A15" s="579" t="s">
        <v>233</v>
      </c>
      <c r="B15" s="533">
        <v>60</v>
      </c>
      <c r="C15" s="533">
        <v>30</v>
      </c>
      <c r="D15" s="533">
        <v>60</v>
      </c>
      <c r="E15" s="533">
        <v>30</v>
      </c>
      <c r="F15" s="533">
        <v>60</v>
      </c>
      <c r="G15" s="533">
        <v>0</v>
      </c>
      <c r="H15" s="580"/>
      <c r="I15" s="533">
        <v>60</v>
      </c>
      <c r="J15" s="533">
        <v>30</v>
      </c>
      <c r="K15" s="533">
        <v>60</v>
      </c>
      <c r="L15" s="533">
        <v>30</v>
      </c>
      <c r="M15" s="533">
        <v>60</v>
      </c>
      <c r="N15" s="533">
        <v>0</v>
      </c>
      <c r="O15" s="580"/>
    </row>
    <row r="16" spans="1:61" ht="14" thickBot="1">
      <c r="B16" s="324">
        <v>1</v>
      </c>
      <c r="C16" s="324">
        <v>2</v>
      </c>
      <c r="D16" s="324">
        <v>3</v>
      </c>
      <c r="E16" s="324">
        <v>4</v>
      </c>
      <c r="F16" s="324">
        <v>5</v>
      </c>
      <c r="G16" s="324">
        <v>6</v>
      </c>
      <c r="H16" s="324">
        <v>7</v>
      </c>
      <c r="I16" s="324">
        <v>1</v>
      </c>
      <c r="J16" s="324">
        <v>2</v>
      </c>
      <c r="K16" s="324">
        <v>3</v>
      </c>
      <c r="L16" s="324">
        <v>4</v>
      </c>
      <c r="M16" s="324">
        <v>5</v>
      </c>
      <c r="N16" s="324">
        <v>6</v>
      </c>
      <c r="O16" s="324">
        <v>7</v>
      </c>
    </row>
    <row r="17" spans="1:17" ht="14" thickBot="1">
      <c r="A17" s="467"/>
      <c r="B17" s="6210" t="s">
        <v>226</v>
      </c>
      <c r="C17" s="6210" t="s">
        <v>227</v>
      </c>
      <c r="D17" s="6210" t="s">
        <v>228</v>
      </c>
      <c r="E17" s="6210" t="s">
        <v>229</v>
      </c>
      <c r="F17" s="6210" t="s">
        <v>224</v>
      </c>
      <c r="G17" s="6210" t="s">
        <v>230</v>
      </c>
      <c r="H17" s="6210" t="s">
        <v>225</v>
      </c>
      <c r="I17" s="468" t="s">
        <v>226</v>
      </c>
      <c r="J17" s="468" t="s">
        <v>227</v>
      </c>
      <c r="K17" s="581" t="s">
        <v>228</v>
      </c>
      <c r="L17" s="468" t="s">
        <v>229</v>
      </c>
      <c r="M17" s="468" t="s">
        <v>224</v>
      </c>
      <c r="N17" s="468" t="s">
        <v>230</v>
      </c>
      <c r="O17" s="533" t="s">
        <v>225</v>
      </c>
    </row>
    <row r="18" spans="1:17">
      <c r="A18" s="472">
        <v>44955</v>
      </c>
      <c r="B18" s="472">
        <v>44956</v>
      </c>
      <c r="C18" s="472">
        <v>44957</v>
      </c>
      <c r="D18" s="472">
        <v>44958</v>
      </c>
      <c r="E18" s="472">
        <v>44959</v>
      </c>
      <c r="F18" s="472">
        <v>44960</v>
      </c>
      <c r="G18" s="472">
        <v>44961</v>
      </c>
      <c r="H18" s="472">
        <v>44962</v>
      </c>
      <c r="I18" s="472">
        <v>44963</v>
      </c>
      <c r="J18" s="472">
        <v>44964</v>
      </c>
      <c r="K18" s="472">
        <v>44965</v>
      </c>
      <c r="L18" s="472">
        <v>44966</v>
      </c>
      <c r="M18" s="472">
        <v>44967</v>
      </c>
      <c r="N18" s="472">
        <v>44968</v>
      </c>
      <c r="O18" s="472">
        <v>44969</v>
      </c>
    </row>
    <row r="19" spans="1:17">
      <c r="A19" s="466">
        <f>$A$2*Plan!$AM$15/100</f>
        <v>1.5151515151515152E-2</v>
      </c>
      <c r="B19" s="324"/>
      <c r="C19" s="324"/>
      <c r="D19" s="324"/>
      <c r="E19" s="7905" t="s">
        <v>170</v>
      </c>
      <c r="F19" s="7906"/>
      <c r="G19" s="1032">
        <f>(B20+C20+D20+E20+F20+G20+H20)/6</f>
        <v>9.1435185185185161E-2</v>
      </c>
      <c r="H19" s="466">
        <f>$A$2*Plan!$AN$15/100</f>
        <v>1.5151515151515152E-2</v>
      </c>
      <c r="I19" s="324"/>
      <c r="J19" s="324"/>
      <c r="K19" s="471"/>
      <c r="L19" s="7905" t="s">
        <v>170</v>
      </c>
      <c r="M19" s="7906"/>
      <c r="N19" s="1032">
        <f>(I20+J20+K20+L20+M20+N20+O20)/6</f>
        <v>0.12847222222222221</v>
      </c>
      <c r="O19" s="853">
        <f>SUM(I20:O20)</f>
        <v>0.77083333333333326</v>
      </c>
    </row>
    <row r="20" spans="1:17">
      <c r="A20" s="578" t="s">
        <v>231</v>
      </c>
      <c r="B20" s="466">
        <v>0.1111111111111111</v>
      </c>
      <c r="C20" s="466">
        <v>6.9444444444444434E-2</v>
      </c>
      <c r="D20" s="466">
        <v>0.15277777777777776</v>
      </c>
      <c r="E20" s="466">
        <v>6.9444444444444434E-2</v>
      </c>
      <c r="F20" s="466">
        <v>6.25E-2</v>
      </c>
      <c r="G20" s="466">
        <v>4.1666666666666664E-2</v>
      </c>
      <c r="H20" s="466">
        <v>4.1666666666666664E-2</v>
      </c>
      <c r="I20" s="466">
        <v>0.1111111111111111</v>
      </c>
      <c r="J20" s="466">
        <v>0.15277777777777776</v>
      </c>
      <c r="K20" s="466">
        <v>0.15277777777777776</v>
      </c>
      <c r="L20" s="466">
        <v>0.16666666666666666</v>
      </c>
      <c r="M20" s="466">
        <v>0.10416666666666667</v>
      </c>
      <c r="N20" s="466">
        <v>8.3333333333333329E-2</v>
      </c>
      <c r="O20" s="466">
        <v>0</v>
      </c>
    </row>
    <row r="21" spans="1:17">
      <c r="A21" s="578" t="s">
        <v>232</v>
      </c>
      <c r="B21" s="474">
        <v>0.7</v>
      </c>
      <c r="C21" s="474">
        <v>0.4</v>
      </c>
      <c r="D21" s="475">
        <v>0.9</v>
      </c>
      <c r="E21" s="475">
        <v>0.6</v>
      </c>
      <c r="F21" s="474">
        <v>0.8</v>
      </c>
      <c r="G21" s="474">
        <v>0.9</v>
      </c>
      <c r="H21" s="476">
        <v>0.9</v>
      </c>
      <c r="I21" s="474">
        <v>0.7</v>
      </c>
      <c r="J21" s="474">
        <v>0.4</v>
      </c>
      <c r="K21" s="475">
        <v>0.9</v>
      </c>
      <c r="L21" s="475">
        <v>0.6</v>
      </c>
      <c r="M21" s="474">
        <v>0.8</v>
      </c>
      <c r="N21" s="474">
        <v>0.9</v>
      </c>
      <c r="O21" s="475">
        <v>0</v>
      </c>
    </row>
    <row r="22" spans="1:17" ht="14" thickBot="1">
      <c r="A22" s="579" t="s">
        <v>233</v>
      </c>
      <c r="B22" s="533">
        <v>60</v>
      </c>
      <c r="C22" s="533">
        <v>30</v>
      </c>
      <c r="D22" s="533">
        <v>60</v>
      </c>
      <c r="E22" s="533">
        <v>30</v>
      </c>
      <c r="F22" s="533">
        <v>60</v>
      </c>
      <c r="G22" s="533">
        <v>0</v>
      </c>
      <c r="H22" s="580"/>
      <c r="I22" s="533">
        <v>60</v>
      </c>
      <c r="J22" s="533">
        <v>30</v>
      </c>
      <c r="K22" s="533">
        <v>60</v>
      </c>
      <c r="L22" s="533">
        <v>30</v>
      </c>
      <c r="M22" s="533">
        <v>60</v>
      </c>
      <c r="N22" s="533">
        <v>0</v>
      </c>
      <c r="O22" s="580"/>
    </row>
    <row r="23" spans="1:17" ht="14" thickBot="1">
      <c r="B23" s="487">
        <v>1</v>
      </c>
      <c r="C23" s="487">
        <v>2</v>
      </c>
      <c r="D23" s="487">
        <v>3</v>
      </c>
      <c r="E23" s="487">
        <v>4</v>
      </c>
      <c r="F23" s="487">
        <v>5</v>
      </c>
      <c r="G23" s="487">
        <v>6</v>
      </c>
      <c r="H23" s="487">
        <v>7</v>
      </c>
      <c r="I23" s="487">
        <v>1</v>
      </c>
      <c r="J23" s="487">
        <v>2</v>
      </c>
      <c r="K23" s="487">
        <v>3</v>
      </c>
      <c r="L23" s="487">
        <v>4</v>
      </c>
      <c r="M23" s="487">
        <v>5</v>
      </c>
      <c r="N23" s="487">
        <v>6</v>
      </c>
      <c r="O23" s="487">
        <v>7</v>
      </c>
    </row>
    <row r="24" spans="1:17">
      <c r="A24" s="467"/>
      <c r="B24" s="468" t="s">
        <v>226</v>
      </c>
      <c r="C24" s="468" t="s">
        <v>227</v>
      </c>
      <c r="D24" s="468" t="s">
        <v>228</v>
      </c>
      <c r="E24" s="468" t="s">
        <v>229</v>
      </c>
      <c r="F24" s="468" t="s">
        <v>224</v>
      </c>
      <c r="G24" s="468" t="s">
        <v>230</v>
      </c>
      <c r="H24" s="6201" t="s">
        <v>225</v>
      </c>
      <c r="I24" s="468" t="s">
        <v>226</v>
      </c>
      <c r="J24" s="468" t="s">
        <v>227</v>
      </c>
      <c r="K24" s="468" t="s">
        <v>228</v>
      </c>
      <c r="L24" s="468" t="s">
        <v>229</v>
      </c>
      <c r="M24" s="468" t="s">
        <v>224</v>
      </c>
      <c r="N24" s="468" t="s">
        <v>230</v>
      </c>
      <c r="O24" s="6202" t="s">
        <v>225</v>
      </c>
    </row>
    <row r="25" spans="1:17">
      <c r="A25" s="472">
        <v>44969</v>
      </c>
      <c r="B25" s="472">
        <v>44970</v>
      </c>
      <c r="C25" s="472">
        <v>44971</v>
      </c>
      <c r="D25" s="472">
        <v>44972</v>
      </c>
      <c r="E25" s="472">
        <v>44973</v>
      </c>
      <c r="F25" s="472">
        <v>44974</v>
      </c>
      <c r="G25" s="472">
        <v>44975</v>
      </c>
      <c r="H25" s="472">
        <v>44976</v>
      </c>
      <c r="I25" s="472">
        <v>44977</v>
      </c>
      <c r="J25" s="472">
        <v>44978</v>
      </c>
      <c r="K25" s="472">
        <v>44979</v>
      </c>
      <c r="L25" s="472">
        <v>44980</v>
      </c>
      <c r="M25" s="472">
        <v>44981</v>
      </c>
      <c r="N25" s="472">
        <v>44982</v>
      </c>
      <c r="O25" s="472">
        <v>44983</v>
      </c>
      <c r="P25" s="472"/>
      <c r="Q25" s="472"/>
    </row>
    <row r="26" spans="1:17">
      <c r="A26" s="466">
        <f>$A$2*Plan!$HAO$15/100</f>
        <v>0</v>
      </c>
      <c r="B26" s="324"/>
      <c r="C26" s="324"/>
      <c r="D26" s="324"/>
      <c r="E26" s="7905" t="s">
        <v>170</v>
      </c>
      <c r="F26" s="7906"/>
      <c r="G26" s="1032">
        <f>(B27+C27+D27+E27+F27+G27+H27)/6</f>
        <v>0.12847222222222221</v>
      </c>
      <c r="H26" s="466">
        <f>$A$2*Plan!$AP$15/100</f>
        <v>1.5151515151515152E-2</v>
      </c>
      <c r="I26" s="324"/>
      <c r="J26" s="324"/>
      <c r="K26" s="324"/>
      <c r="L26" s="7905" t="s">
        <v>170</v>
      </c>
      <c r="M26" s="7906"/>
      <c r="N26" s="1032">
        <f>(I27+J27+K27+L27+M27+N27)/6</f>
        <v>0.12847222222222221</v>
      </c>
      <c r="O26" s="853">
        <f>SUM(I27:O27)</f>
        <v>0.77083333333333326</v>
      </c>
    </row>
    <row r="27" spans="1:17">
      <c r="A27" s="578" t="s">
        <v>231</v>
      </c>
      <c r="B27" s="466">
        <v>0.1111111111111111</v>
      </c>
      <c r="C27" s="466">
        <v>0.15277777777777776</v>
      </c>
      <c r="D27" s="466">
        <v>0.15277777777777776</v>
      </c>
      <c r="E27" s="466">
        <v>0.16666666666666666</v>
      </c>
      <c r="F27" s="466">
        <v>0.10416666666666667</v>
      </c>
      <c r="G27" s="466">
        <v>8.3333333333333329E-2</v>
      </c>
      <c r="H27" s="466">
        <v>0</v>
      </c>
      <c r="I27" s="466">
        <v>0.1111111111111111</v>
      </c>
      <c r="J27" s="466">
        <v>0.15277777777777776</v>
      </c>
      <c r="K27" s="466">
        <v>0.15277777777777776</v>
      </c>
      <c r="L27" s="466">
        <v>0.16666666666666666</v>
      </c>
      <c r="M27" s="466">
        <v>0.10416666666666667</v>
      </c>
      <c r="N27" s="466">
        <v>8.3333333333333329E-2</v>
      </c>
      <c r="O27" s="466">
        <v>0</v>
      </c>
    </row>
    <row r="28" spans="1:17">
      <c r="A28" s="578" t="s">
        <v>232</v>
      </c>
      <c r="B28" s="474">
        <v>0.7</v>
      </c>
      <c r="C28" s="474">
        <v>0.4</v>
      </c>
      <c r="D28" s="475">
        <v>0.9</v>
      </c>
      <c r="E28" s="475">
        <v>0.6</v>
      </c>
      <c r="F28" s="474">
        <v>0.8</v>
      </c>
      <c r="G28" s="474">
        <v>0.9</v>
      </c>
      <c r="H28" s="476">
        <v>0.5</v>
      </c>
      <c r="I28" s="474">
        <v>0.7</v>
      </c>
      <c r="J28" s="474">
        <v>0.4</v>
      </c>
      <c r="K28" s="475">
        <v>0.9</v>
      </c>
      <c r="L28" s="475">
        <v>0.6</v>
      </c>
      <c r="M28" s="474">
        <v>0.8</v>
      </c>
      <c r="N28" s="474">
        <v>0.9</v>
      </c>
      <c r="O28" s="475">
        <v>0.3</v>
      </c>
    </row>
    <row r="29" spans="1:17" ht="14" thickBot="1">
      <c r="A29" s="579" t="s">
        <v>233</v>
      </c>
      <c r="B29" s="533">
        <v>60</v>
      </c>
      <c r="C29" s="533">
        <v>30</v>
      </c>
      <c r="D29" s="533">
        <v>60</v>
      </c>
      <c r="E29" s="533">
        <v>30</v>
      </c>
      <c r="F29" s="533">
        <v>60</v>
      </c>
      <c r="G29" s="533">
        <v>0</v>
      </c>
      <c r="H29" s="580"/>
      <c r="I29" s="533">
        <v>60</v>
      </c>
      <c r="J29" s="533">
        <v>30</v>
      </c>
      <c r="K29" s="533">
        <v>60</v>
      </c>
      <c r="L29" s="533">
        <v>30</v>
      </c>
      <c r="M29" s="533">
        <v>60</v>
      </c>
      <c r="N29" s="533">
        <v>0</v>
      </c>
      <c r="O29" s="580"/>
    </row>
    <row r="30" spans="1:17" ht="14" thickBot="1">
      <c r="B30" s="487">
        <v>1</v>
      </c>
      <c r="C30" s="487">
        <v>2</v>
      </c>
      <c r="D30" s="487">
        <v>3</v>
      </c>
      <c r="E30" s="487">
        <v>4</v>
      </c>
      <c r="F30" s="487">
        <v>5</v>
      </c>
      <c r="G30" s="487">
        <v>6</v>
      </c>
      <c r="H30" s="487">
        <v>7</v>
      </c>
      <c r="I30" s="487">
        <v>1</v>
      </c>
      <c r="J30" s="487">
        <v>2</v>
      </c>
      <c r="K30" s="487">
        <v>3</v>
      </c>
      <c r="L30" s="487">
        <v>4</v>
      </c>
      <c r="M30" s="487">
        <v>5</v>
      </c>
      <c r="N30" s="487">
        <v>6</v>
      </c>
      <c r="O30" s="487">
        <v>7</v>
      </c>
    </row>
    <row r="31" spans="1:17">
      <c r="A31" s="472"/>
      <c r="B31" s="468" t="s">
        <v>226</v>
      </c>
      <c r="C31" s="468" t="s">
        <v>227</v>
      </c>
      <c r="D31" s="468" t="s">
        <v>228</v>
      </c>
      <c r="E31" s="468" t="s">
        <v>229</v>
      </c>
      <c r="F31" s="468" t="s">
        <v>224</v>
      </c>
      <c r="G31" s="468" t="s">
        <v>230</v>
      </c>
      <c r="H31" s="6201" t="s">
        <v>225</v>
      </c>
      <c r="I31" s="468" t="s">
        <v>226</v>
      </c>
      <c r="J31" s="468" t="s">
        <v>227</v>
      </c>
      <c r="K31" s="468" t="s">
        <v>228</v>
      </c>
      <c r="L31" s="468" t="s">
        <v>229</v>
      </c>
      <c r="M31" s="468" t="s">
        <v>224</v>
      </c>
      <c r="N31" s="468" t="s">
        <v>230</v>
      </c>
      <c r="O31" s="6203" t="s">
        <v>225</v>
      </c>
    </row>
    <row r="32" spans="1:17">
      <c r="A32" s="472">
        <v>44983</v>
      </c>
      <c r="B32" s="472">
        <v>44984</v>
      </c>
      <c r="C32" s="472">
        <v>44985</v>
      </c>
      <c r="D32" s="472">
        <v>44986</v>
      </c>
      <c r="E32" s="472">
        <v>44987</v>
      </c>
      <c r="F32" s="472">
        <v>44988</v>
      </c>
      <c r="G32" s="472">
        <v>44989</v>
      </c>
      <c r="H32" s="472">
        <v>44990</v>
      </c>
      <c r="I32" s="472">
        <v>44991</v>
      </c>
      <c r="J32" s="472">
        <v>44992</v>
      </c>
      <c r="K32" s="472">
        <v>44993</v>
      </c>
      <c r="L32" s="472">
        <v>44994</v>
      </c>
      <c r="M32" s="472">
        <v>44995</v>
      </c>
      <c r="N32" s="472">
        <v>44996</v>
      </c>
      <c r="O32" s="472">
        <v>44997</v>
      </c>
    </row>
    <row r="33" spans="1:15">
      <c r="A33" s="466">
        <f>$A$2*Plan!$AQ$15/100</f>
        <v>1.5151515151515152E-2</v>
      </c>
      <c r="B33" s="324"/>
      <c r="C33" s="324"/>
      <c r="D33" s="324"/>
      <c r="E33" s="7905" t="s">
        <v>170</v>
      </c>
      <c r="F33" s="7906"/>
      <c r="G33" s="1032">
        <f>(B34+C34+D34+E34+F34+G34+H34)/6</f>
        <v>0.10416666666666667</v>
      </c>
      <c r="H33" s="466">
        <f>$A$2*Plan!$AR$15/100</f>
        <v>1.5151515151515152E-2</v>
      </c>
      <c r="I33" s="324"/>
      <c r="J33" s="324"/>
      <c r="K33" s="324"/>
      <c r="L33" s="7905" t="s">
        <v>170</v>
      </c>
      <c r="M33" s="7906"/>
      <c r="N33" s="1032">
        <f>(I34+J34+K34+L34+M34+N34)/6</f>
        <v>0.10416666666666667</v>
      </c>
      <c r="O33" s="853">
        <f>SUM(I34:O34)</f>
        <v>0.625</v>
      </c>
    </row>
    <row r="34" spans="1:15">
      <c r="A34" s="578" t="s">
        <v>231</v>
      </c>
      <c r="B34" s="466">
        <v>0.11458333333333333</v>
      </c>
      <c r="C34" s="466">
        <v>0.11458333333333333</v>
      </c>
      <c r="D34" s="466">
        <v>0.11458333333333333</v>
      </c>
      <c r="E34" s="466">
        <v>8.3333333333333329E-2</v>
      </c>
      <c r="F34" s="466">
        <v>0.11458333333333333</v>
      </c>
      <c r="G34" s="466">
        <v>8.3333333333333329E-2</v>
      </c>
      <c r="H34" s="466">
        <v>0</v>
      </c>
      <c r="I34" s="466">
        <v>0.11458333333333333</v>
      </c>
      <c r="J34" s="466">
        <v>0.11458333333333333</v>
      </c>
      <c r="K34" s="466">
        <v>0.11458333333333333</v>
      </c>
      <c r="L34" s="466">
        <v>8.3333333333333329E-2</v>
      </c>
      <c r="M34" s="466">
        <v>0.11458333333333333</v>
      </c>
      <c r="N34" s="466">
        <v>8.3333333333333329E-2</v>
      </c>
      <c r="O34" s="466">
        <v>0</v>
      </c>
    </row>
    <row r="35" spans="1:15">
      <c r="A35" s="578" t="s">
        <v>232</v>
      </c>
      <c r="B35" s="474">
        <v>0.7</v>
      </c>
      <c r="C35" s="474">
        <v>0.4</v>
      </c>
      <c r="D35" s="475">
        <v>0.9</v>
      </c>
      <c r="E35" s="475">
        <v>0.6</v>
      </c>
      <c r="F35" s="474">
        <v>0.8</v>
      </c>
      <c r="G35" s="474">
        <v>0.9</v>
      </c>
      <c r="H35" s="474">
        <v>0.4</v>
      </c>
      <c r="I35" s="474">
        <v>0.7</v>
      </c>
      <c r="J35" s="474">
        <v>0.4</v>
      </c>
      <c r="K35" s="475">
        <v>0.9</v>
      </c>
      <c r="L35" s="475">
        <v>0.6</v>
      </c>
      <c r="M35" s="474">
        <v>0.8</v>
      </c>
      <c r="N35" s="474">
        <v>0.9</v>
      </c>
      <c r="O35" s="475"/>
    </row>
    <row r="36" spans="1:15" ht="14" thickBot="1">
      <c r="A36" s="579" t="s">
        <v>233</v>
      </c>
      <c r="B36" s="533">
        <v>60</v>
      </c>
      <c r="C36" s="533">
        <v>30</v>
      </c>
      <c r="D36" s="533">
        <v>60</v>
      </c>
      <c r="E36" s="533">
        <v>30</v>
      </c>
      <c r="F36" s="533">
        <v>60</v>
      </c>
      <c r="G36" s="533">
        <v>0</v>
      </c>
      <c r="H36" s="580"/>
      <c r="I36" s="533">
        <v>60</v>
      </c>
      <c r="J36" s="533">
        <v>30</v>
      </c>
      <c r="K36" s="533">
        <v>60</v>
      </c>
      <c r="L36" s="533">
        <v>30</v>
      </c>
      <c r="M36" s="533">
        <v>60</v>
      </c>
      <c r="N36" s="533">
        <v>0</v>
      </c>
      <c r="O36" s="580"/>
    </row>
    <row r="37" spans="1:15" ht="14" thickBot="1">
      <c r="B37" s="487">
        <v>1</v>
      </c>
      <c r="C37" s="487">
        <v>2</v>
      </c>
      <c r="D37" s="487">
        <v>3</v>
      </c>
      <c r="E37" s="487">
        <v>4</v>
      </c>
      <c r="F37" s="487">
        <v>5</v>
      </c>
      <c r="G37" s="487">
        <v>6</v>
      </c>
      <c r="H37" s="487">
        <v>7</v>
      </c>
      <c r="I37" s="487">
        <v>1</v>
      </c>
      <c r="J37" s="487">
        <v>2</v>
      </c>
      <c r="K37" s="487">
        <v>3</v>
      </c>
      <c r="L37" s="487">
        <v>4</v>
      </c>
      <c r="M37" s="487">
        <v>5</v>
      </c>
      <c r="N37" s="487">
        <v>6</v>
      </c>
      <c r="O37" s="487">
        <v>7</v>
      </c>
    </row>
    <row r="38" spans="1:15">
      <c r="A38" s="472"/>
      <c r="B38" s="468" t="s">
        <v>226</v>
      </c>
      <c r="C38" s="468" t="s">
        <v>227</v>
      </c>
      <c r="D38" s="468" t="s">
        <v>228</v>
      </c>
      <c r="E38" s="468" t="s">
        <v>229</v>
      </c>
      <c r="F38" s="468" t="s">
        <v>224</v>
      </c>
      <c r="G38" s="468" t="s">
        <v>230</v>
      </c>
      <c r="H38" s="6204" t="s">
        <v>225</v>
      </c>
      <c r="I38" s="468" t="s">
        <v>226</v>
      </c>
      <c r="J38" s="468" t="s">
        <v>227</v>
      </c>
      <c r="K38" s="468" t="s">
        <v>228</v>
      </c>
      <c r="L38" s="468" t="s">
        <v>229</v>
      </c>
      <c r="M38" s="468" t="s">
        <v>224</v>
      </c>
      <c r="N38" s="468" t="s">
        <v>230</v>
      </c>
      <c r="O38" s="6203" t="s">
        <v>225</v>
      </c>
    </row>
    <row r="39" spans="1:15">
      <c r="A39" s="472">
        <v>44997</v>
      </c>
      <c r="B39" s="472">
        <v>44998</v>
      </c>
      <c r="C39" s="472">
        <v>44999</v>
      </c>
      <c r="D39" s="472">
        <v>45000</v>
      </c>
      <c r="E39" s="472">
        <v>45001</v>
      </c>
      <c r="F39" s="472">
        <v>45002</v>
      </c>
      <c r="G39" s="472">
        <v>45003</v>
      </c>
      <c r="H39" s="472">
        <v>45004</v>
      </c>
      <c r="I39" s="472">
        <v>45005</v>
      </c>
      <c r="J39" s="472">
        <v>45006</v>
      </c>
      <c r="K39" s="472">
        <v>45007</v>
      </c>
      <c r="L39" s="472">
        <v>45008</v>
      </c>
      <c r="M39" s="472">
        <v>45009</v>
      </c>
      <c r="N39" s="472">
        <v>45010</v>
      </c>
      <c r="O39" s="472">
        <v>45011</v>
      </c>
    </row>
    <row r="40" spans="1:15">
      <c r="A40" s="466">
        <f>$A$2*Plan!$AS$15/100</f>
        <v>1.5151515151515152E-2</v>
      </c>
      <c r="B40" s="324"/>
      <c r="C40" s="324"/>
      <c r="D40" s="324"/>
      <c r="E40" s="7905" t="s">
        <v>170</v>
      </c>
      <c r="F40" s="7906"/>
      <c r="G40" s="1032">
        <f>(B41+C41+D41+E41+F41+G41+H41)/6</f>
        <v>0.10416666666666667</v>
      </c>
      <c r="H40" s="466">
        <f>$A$2*Plan!$AT$15/100</f>
        <v>1.5151515151515152E-2</v>
      </c>
      <c r="I40" s="324"/>
      <c r="J40" s="324"/>
      <c r="K40" s="324"/>
      <c r="L40" s="7905" t="s">
        <v>170</v>
      </c>
      <c r="M40" s="7906"/>
      <c r="N40" s="1032">
        <f>(I41+J41+K41+L41+M41+N41)/6</f>
        <v>0.10416666666666667</v>
      </c>
      <c r="O40" s="853">
        <f>SUM(I41:O41)</f>
        <v>0.625</v>
      </c>
    </row>
    <row r="41" spans="1:15">
      <c r="A41" s="578" t="s">
        <v>231</v>
      </c>
      <c r="B41" s="466">
        <v>0.11458333333333333</v>
      </c>
      <c r="C41" s="466">
        <v>0.11458333333333333</v>
      </c>
      <c r="D41" s="466">
        <v>0.11458333333333333</v>
      </c>
      <c r="E41" s="466">
        <v>8.3333333333333329E-2</v>
      </c>
      <c r="F41" s="466">
        <v>0.11458333333333333</v>
      </c>
      <c r="G41" s="466">
        <v>8.3333333333333329E-2</v>
      </c>
      <c r="H41" s="466">
        <v>0</v>
      </c>
      <c r="I41" s="466">
        <v>0.11458333333333333</v>
      </c>
      <c r="J41" s="466">
        <v>0.11458333333333333</v>
      </c>
      <c r="K41" s="466">
        <v>0.11458333333333333</v>
      </c>
      <c r="L41" s="466">
        <v>8.3333333333333329E-2</v>
      </c>
      <c r="M41" s="466">
        <v>0.11458333333333333</v>
      </c>
      <c r="N41" s="466">
        <v>8.3333333333333329E-2</v>
      </c>
      <c r="O41" s="466">
        <v>0</v>
      </c>
    </row>
    <row r="42" spans="1:15">
      <c r="A42" s="578" t="s">
        <v>232</v>
      </c>
      <c r="B42" s="474">
        <v>0.7</v>
      </c>
      <c r="C42" s="474">
        <v>0.4</v>
      </c>
      <c r="D42" s="475">
        <v>0.9</v>
      </c>
      <c r="E42" s="475">
        <v>0.6</v>
      </c>
      <c r="F42" s="474">
        <v>0.8</v>
      </c>
      <c r="G42" s="474">
        <v>0.9</v>
      </c>
      <c r="H42" s="474">
        <v>0.4</v>
      </c>
      <c r="I42" s="474">
        <v>0.7</v>
      </c>
      <c r="J42" s="474">
        <v>0.4</v>
      </c>
      <c r="K42" s="475">
        <v>0.9</v>
      </c>
      <c r="L42" s="475">
        <v>0.6</v>
      </c>
      <c r="M42" s="474">
        <v>0.8</v>
      </c>
      <c r="N42" s="474">
        <v>0.9</v>
      </c>
      <c r="O42" s="475"/>
    </row>
    <row r="43" spans="1:15" ht="14" thickBot="1">
      <c r="A43" s="579" t="s">
        <v>233</v>
      </c>
      <c r="B43" s="533">
        <v>60</v>
      </c>
      <c r="C43" s="533">
        <v>30</v>
      </c>
      <c r="D43" s="533">
        <v>60</v>
      </c>
      <c r="E43" s="533">
        <v>30</v>
      </c>
      <c r="F43" s="533">
        <v>60</v>
      </c>
      <c r="G43" s="533">
        <v>0</v>
      </c>
      <c r="H43" s="580"/>
      <c r="I43" s="533">
        <v>60</v>
      </c>
      <c r="J43" s="533">
        <v>30</v>
      </c>
      <c r="K43" s="533">
        <v>60</v>
      </c>
      <c r="L43" s="533">
        <v>30</v>
      </c>
      <c r="M43" s="533">
        <v>60</v>
      </c>
      <c r="N43" s="533">
        <v>0</v>
      </c>
      <c r="O43" s="580"/>
    </row>
    <row r="44" spans="1:15" ht="14" thickBot="1">
      <c r="B44" s="487">
        <v>1</v>
      </c>
      <c r="C44" s="487">
        <v>2</v>
      </c>
      <c r="D44" s="487">
        <v>3</v>
      </c>
      <c r="E44" s="487">
        <v>4</v>
      </c>
      <c r="F44" s="487">
        <v>5</v>
      </c>
      <c r="G44" s="487">
        <v>6</v>
      </c>
      <c r="H44" s="487">
        <v>7</v>
      </c>
      <c r="I44" s="487">
        <v>1</v>
      </c>
      <c r="J44" s="487">
        <v>2</v>
      </c>
      <c r="K44" s="487">
        <v>3</v>
      </c>
      <c r="L44" s="487">
        <v>4</v>
      </c>
      <c r="M44" s="487">
        <v>5</v>
      </c>
      <c r="N44" s="487">
        <v>6</v>
      </c>
      <c r="O44" s="487">
        <v>7</v>
      </c>
    </row>
    <row r="45" spans="1:15">
      <c r="A45" s="472"/>
      <c r="B45" s="468" t="s">
        <v>226</v>
      </c>
      <c r="C45" s="468" t="s">
        <v>227</v>
      </c>
      <c r="D45" s="468" t="s">
        <v>228</v>
      </c>
      <c r="E45" s="468" t="s">
        <v>229</v>
      </c>
      <c r="F45" s="468" t="s">
        <v>224</v>
      </c>
      <c r="G45" s="468" t="s">
        <v>230</v>
      </c>
      <c r="H45" s="6205" t="s">
        <v>225</v>
      </c>
      <c r="I45" s="468" t="s">
        <v>226</v>
      </c>
      <c r="J45" s="468" t="s">
        <v>227</v>
      </c>
      <c r="K45" s="468" t="s">
        <v>228</v>
      </c>
      <c r="L45" s="468" t="s">
        <v>229</v>
      </c>
      <c r="M45" s="468" t="s">
        <v>224</v>
      </c>
      <c r="N45" s="468" t="s">
        <v>230</v>
      </c>
      <c r="O45" s="6206" t="s">
        <v>225</v>
      </c>
    </row>
    <row r="46" spans="1:15">
      <c r="A46" s="472">
        <v>45011</v>
      </c>
      <c r="B46" s="472">
        <v>45012</v>
      </c>
      <c r="C46" s="472">
        <v>45013</v>
      </c>
      <c r="D46" s="6783">
        <v>45014</v>
      </c>
      <c r="E46" s="6783">
        <v>45015</v>
      </c>
      <c r="F46" s="6783">
        <v>45016</v>
      </c>
      <c r="G46" s="6783">
        <v>45017</v>
      </c>
      <c r="H46" s="6783">
        <v>45018</v>
      </c>
      <c r="I46" s="472">
        <v>45019</v>
      </c>
      <c r="J46" s="472">
        <v>45020</v>
      </c>
      <c r="K46" s="472">
        <v>45021</v>
      </c>
      <c r="L46" s="472">
        <v>45022</v>
      </c>
      <c r="M46" s="472">
        <v>45023</v>
      </c>
      <c r="N46" s="472">
        <v>45024</v>
      </c>
      <c r="O46" s="472">
        <v>45025</v>
      </c>
    </row>
    <row r="47" spans="1:15">
      <c r="A47" s="466">
        <f>$A$2*Plan!$AU$15/100</f>
        <v>1.5151515151515152E-2</v>
      </c>
      <c r="B47" s="324"/>
      <c r="C47" s="324"/>
      <c r="D47" s="324"/>
      <c r="E47" s="7905" t="s">
        <v>170</v>
      </c>
      <c r="F47" s="7906"/>
      <c r="G47" s="1032">
        <f>(B48+C48+D48+E48+F48+G48+H48)/6</f>
        <v>0.10416666666666667</v>
      </c>
      <c r="H47" s="466">
        <f>$A$2*Plan!$AV$15/100</f>
        <v>1.5151515151515152E-2</v>
      </c>
      <c r="I47" s="324"/>
      <c r="J47" s="324"/>
      <c r="K47" s="324"/>
      <c r="L47" s="7905" t="s">
        <v>170</v>
      </c>
      <c r="M47" s="7906"/>
      <c r="N47" s="1032">
        <f>(I48+J48+K48+L48+M48+N48)/6</f>
        <v>0.10416666666666667</v>
      </c>
      <c r="O47" s="853">
        <f>SUM(I48:O48)</f>
        <v>0.625</v>
      </c>
    </row>
    <row r="48" spans="1:15">
      <c r="A48" s="578" t="s">
        <v>231</v>
      </c>
      <c r="B48" s="466">
        <v>0.11458333333333333</v>
      </c>
      <c r="C48" s="466">
        <v>0.11458333333333333</v>
      </c>
      <c r="D48" s="466">
        <v>0.11458333333333333</v>
      </c>
      <c r="E48" s="466">
        <v>8.3333333333333329E-2</v>
      </c>
      <c r="F48" s="466">
        <v>0.11458333333333333</v>
      </c>
      <c r="G48" s="466">
        <v>8.3333333333333329E-2</v>
      </c>
      <c r="H48" s="466">
        <v>0</v>
      </c>
      <c r="I48" s="466">
        <v>0.11458333333333333</v>
      </c>
      <c r="J48" s="466">
        <v>0.11458333333333333</v>
      </c>
      <c r="K48" s="466">
        <v>0.11458333333333333</v>
      </c>
      <c r="L48" s="466">
        <v>8.3333333333333329E-2</v>
      </c>
      <c r="M48" s="466">
        <v>0.11458333333333333</v>
      </c>
      <c r="N48" s="466">
        <v>8.3333333333333329E-2</v>
      </c>
      <c r="O48" s="466">
        <v>0</v>
      </c>
    </row>
    <row r="49" spans="1:16">
      <c r="A49" s="578" t="s">
        <v>232</v>
      </c>
      <c r="B49" s="474">
        <v>0.7</v>
      </c>
      <c r="C49" s="474">
        <v>0.4</v>
      </c>
      <c r="D49" s="475">
        <v>0.9</v>
      </c>
      <c r="E49" s="475">
        <v>0.6</v>
      </c>
      <c r="F49" s="474">
        <v>0.8</v>
      </c>
      <c r="G49" s="474">
        <v>0.9</v>
      </c>
      <c r="H49" s="474">
        <v>0.4</v>
      </c>
      <c r="I49" s="474">
        <v>0.7</v>
      </c>
      <c r="J49" s="474">
        <v>0.4</v>
      </c>
      <c r="K49" s="475">
        <v>0.9</v>
      </c>
      <c r="L49" s="475">
        <v>0.6</v>
      </c>
      <c r="M49" s="474">
        <v>0.8</v>
      </c>
      <c r="N49" s="474">
        <v>0.9</v>
      </c>
      <c r="O49" s="475"/>
    </row>
    <row r="50" spans="1:16" ht="14" thickBot="1">
      <c r="A50" s="579" t="s">
        <v>233</v>
      </c>
      <c r="B50" s="533">
        <v>60</v>
      </c>
      <c r="C50" s="533">
        <v>30</v>
      </c>
      <c r="D50" s="533">
        <v>60</v>
      </c>
      <c r="E50" s="533">
        <v>30</v>
      </c>
      <c r="F50" s="533">
        <v>60</v>
      </c>
      <c r="G50" s="533">
        <v>0</v>
      </c>
      <c r="H50" s="580"/>
      <c r="I50" s="533">
        <v>60</v>
      </c>
      <c r="J50" s="533">
        <v>30</v>
      </c>
      <c r="K50" s="533">
        <v>60</v>
      </c>
      <c r="L50" s="533">
        <v>30</v>
      </c>
      <c r="M50" s="533">
        <v>60</v>
      </c>
      <c r="N50" s="533">
        <v>0</v>
      </c>
      <c r="O50" s="580"/>
    </row>
    <row r="51" spans="1:16" ht="14" thickBot="1">
      <c r="B51" s="487">
        <v>1</v>
      </c>
      <c r="C51" s="487">
        <v>2</v>
      </c>
      <c r="D51" s="487">
        <v>3</v>
      </c>
      <c r="E51" s="487">
        <v>4</v>
      </c>
      <c r="F51" s="487">
        <v>5</v>
      </c>
      <c r="G51" s="487">
        <v>6</v>
      </c>
      <c r="H51" s="487">
        <v>7</v>
      </c>
      <c r="I51" s="487">
        <v>1</v>
      </c>
      <c r="J51" s="487">
        <v>2</v>
      </c>
      <c r="K51" s="487">
        <v>3</v>
      </c>
      <c r="L51" s="487">
        <v>4</v>
      </c>
      <c r="M51" s="487">
        <v>5</v>
      </c>
      <c r="N51" s="487">
        <v>6</v>
      </c>
      <c r="O51" s="487">
        <v>7</v>
      </c>
    </row>
    <row r="52" spans="1:16">
      <c r="A52" s="472"/>
      <c r="B52" s="468" t="s">
        <v>226</v>
      </c>
      <c r="C52" s="468" t="s">
        <v>227</v>
      </c>
      <c r="D52" s="468" t="s">
        <v>228</v>
      </c>
      <c r="E52" s="468" t="s">
        <v>229</v>
      </c>
      <c r="F52" s="468" t="s">
        <v>224</v>
      </c>
      <c r="G52" s="468" t="s">
        <v>230</v>
      </c>
      <c r="H52" s="576" t="s">
        <v>225</v>
      </c>
      <c r="I52" s="468" t="s">
        <v>226</v>
      </c>
      <c r="J52" s="468" t="s">
        <v>227</v>
      </c>
      <c r="K52" s="468" t="s">
        <v>228</v>
      </c>
      <c r="L52" s="468" t="s">
        <v>229</v>
      </c>
      <c r="M52" s="468" t="s">
        <v>224</v>
      </c>
      <c r="N52" s="468" t="s">
        <v>230</v>
      </c>
      <c r="O52" s="577" t="s">
        <v>225</v>
      </c>
    </row>
    <row r="53" spans="1:16">
      <c r="A53" s="472">
        <v>45025</v>
      </c>
      <c r="B53" s="472">
        <v>45026</v>
      </c>
      <c r="C53" s="472">
        <v>45027</v>
      </c>
      <c r="D53" s="472">
        <v>45028</v>
      </c>
      <c r="E53" s="472">
        <v>45029</v>
      </c>
      <c r="F53" s="472">
        <v>45030</v>
      </c>
      <c r="G53" s="472">
        <v>45031</v>
      </c>
      <c r="H53" s="472">
        <v>45032</v>
      </c>
      <c r="I53" s="472">
        <v>45033</v>
      </c>
      <c r="J53" s="472">
        <v>45034</v>
      </c>
      <c r="K53" s="472">
        <v>45035</v>
      </c>
      <c r="L53" s="472">
        <v>45036</v>
      </c>
      <c r="M53" s="472">
        <v>45037</v>
      </c>
      <c r="N53" s="472">
        <v>45038</v>
      </c>
      <c r="O53" s="472">
        <v>45039</v>
      </c>
    </row>
    <row r="54" spans="1:16">
      <c r="A54" s="466">
        <f>$A$2*Plan!$AW$15/100</f>
        <v>1.5151515151515152E-2</v>
      </c>
      <c r="B54" s="324"/>
      <c r="C54" s="324"/>
      <c r="D54" s="324"/>
      <c r="E54" s="7905" t="s">
        <v>170</v>
      </c>
      <c r="F54" s="7906"/>
      <c r="G54" s="1032">
        <f>(B55+C55+D55+E55+F55+G55+H55)/6</f>
        <v>0.10416666666666667</v>
      </c>
      <c r="H54" s="466">
        <f>$A$2*Plan!$AX$15/100</f>
        <v>1.5151515151515152E-2</v>
      </c>
      <c r="I54" s="324"/>
      <c r="J54" s="324"/>
      <c r="K54" s="324"/>
      <c r="L54" s="7905" t="s">
        <v>170</v>
      </c>
      <c r="M54" s="7906"/>
      <c r="N54" s="1032">
        <f>(I55+J55+K55+L55+M55+N55)/6</f>
        <v>0.10416666666666667</v>
      </c>
      <c r="O54" s="853">
        <f>SUM(I55:O55)</f>
        <v>0.625</v>
      </c>
    </row>
    <row r="55" spans="1:16">
      <c r="A55" s="578" t="s">
        <v>231</v>
      </c>
      <c r="B55" s="466">
        <v>0.11458333333333333</v>
      </c>
      <c r="C55" s="466">
        <v>0.11458333333333333</v>
      </c>
      <c r="D55" s="466">
        <v>0.11458333333333333</v>
      </c>
      <c r="E55" s="466">
        <v>8.3333333333333329E-2</v>
      </c>
      <c r="F55" s="466">
        <v>0.11458333333333333</v>
      </c>
      <c r="G55" s="466">
        <v>8.3333333333333329E-2</v>
      </c>
      <c r="H55" s="466">
        <v>0</v>
      </c>
      <c r="I55" s="466">
        <v>0.11458333333333333</v>
      </c>
      <c r="J55" s="466">
        <v>0.11458333333333333</v>
      </c>
      <c r="K55" s="466">
        <v>0.11458333333333333</v>
      </c>
      <c r="L55" s="466">
        <v>8.3333333333333329E-2</v>
      </c>
      <c r="M55" s="466">
        <v>0.11458333333333333</v>
      </c>
      <c r="N55" s="466">
        <v>8.3333333333333329E-2</v>
      </c>
      <c r="O55" s="466">
        <v>0</v>
      </c>
    </row>
    <row r="56" spans="1:16">
      <c r="A56" s="578" t="s">
        <v>232</v>
      </c>
      <c r="B56" s="474">
        <v>0.7</v>
      </c>
      <c r="C56" s="474">
        <v>0.4</v>
      </c>
      <c r="D56" s="475">
        <v>0.9</v>
      </c>
      <c r="E56" s="475">
        <v>0.6</v>
      </c>
      <c r="F56" s="474">
        <v>0.8</v>
      </c>
      <c r="G56" s="474">
        <v>0.9</v>
      </c>
      <c r="H56" s="474">
        <v>0.4</v>
      </c>
      <c r="I56" s="474">
        <v>0.7</v>
      </c>
      <c r="J56" s="474">
        <v>0.4</v>
      </c>
      <c r="K56" s="475">
        <v>0.9</v>
      </c>
      <c r="L56" s="475">
        <v>0.6</v>
      </c>
      <c r="M56" s="474">
        <v>0.8</v>
      </c>
      <c r="N56" s="474">
        <v>0.9</v>
      </c>
      <c r="O56" s="475"/>
    </row>
    <row r="57" spans="1:16" ht="14" thickBot="1">
      <c r="A57" s="579" t="s">
        <v>233</v>
      </c>
      <c r="B57" s="533">
        <v>60</v>
      </c>
      <c r="C57" s="533">
        <v>30</v>
      </c>
      <c r="D57" s="533">
        <v>60</v>
      </c>
      <c r="E57" s="533">
        <v>30</v>
      </c>
      <c r="F57" s="533">
        <v>60</v>
      </c>
      <c r="G57" s="533">
        <v>0</v>
      </c>
      <c r="H57" s="580"/>
      <c r="I57" s="533">
        <v>60</v>
      </c>
      <c r="J57" s="533">
        <v>30</v>
      </c>
      <c r="K57" s="533">
        <v>60</v>
      </c>
      <c r="L57" s="533">
        <v>30</v>
      </c>
      <c r="M57" s="533">
        <v>60</v>
      </c>
      <c r="N57" s="533">
        <v>0</v>
      </c>
      <c r="O57" s="580"/>
    </row>
    <row r="58" spans="1:16">
      <c r="A58" s="49" t="s">
        <v>215</v>
      </c>
      <c r="B58" t="s">
        <v>226</v>
      </c>
      <c r="C58" t="s">
        <v>234</v>
      </c>
      <c r="D58" t="s">
        <v>235</v>
      </c>
      <c r="E58" t="s">
        <v>236</v>
      </c>
      <c r="F58" t="s">
        <v>237</v>
      </c>
      <c r="G58" t="s">
        <v>238</v>
      </c>
      <c r="H58" t="s">
        <v>239</v>
      </c>
      <c r="M58" s="483"/>
    </row>
    <row r="59" spans="1:16" ht="14" thickBot="1">
      <c r="A59" s="46" t="s">
        <v>694</v>
      </c>
      <c r="B59" s="473">
        <f t="shared" ref="B59:H59" si="0">B6</f>
        <v>0.1111111111111111</v>
      </c>
      <c r="C59" s="473">
        <f t="shared" si="0"/>
        <v>0.15277777777777776</v>
      </c>
      <c r="D59" s="473">
        <f t="shared" si="0"/>
        <v>0.15277777777777776</v>
      </c>
      <c r="E59" s="473">
        <f t="shared" si="0"/>
        <v>0.16666666666666666</v>
      </c>
      <c r="F59" s="473">
        <f t="shared" si="0"/>
        <v>0.10416666666666667</v>
      </c>
      <c r="G59" s="473">
        <f t="shared" si="0"/>
        <v>8.3333333333333329E-2</v>
      </c>
      <c r="H59" s="473">
        <f t="shared" si="0"/>
        <v>0</v>
      </c>
      <c r="I59" s="466">
        <f>SUM(B59:H59)</f>
        <v>0.77083333333333326</v>
      </c>
      <c r="K59" s="481" t="s">
        <v>240</v>
      </c>
      <c r="L59" t="s">
        <v>241</v>
      </c>
      <c r="M59" t="s">
        <v>242</v>
      </c>
    </row>
    <row r="60" spans="1:16">
      <c r="A60" s="983" t="s">
        <v>331</v>
      </c>
      <c r="B60" s="482">
        <f>B59/I59</f>
        <v>0.14414414414414414</v>
      </c>
      <c r="C60" s="482">
        <f>C59/I59</f>
        <v>0.1981981981981982</v>
      </c>
      <c r="D60" s="482">
        <f>D59/I59</f>
        <v>0.1981981981981982</v>
      </c>
      <c r="E60" s="482">
        <f>E59/I59</f>
        <v>0.21621621621621623</v>
      </c>
      <c r="F60" s="482">
        <f>F59/I59</f>
        <v>0.13513513513513514</v>
      </c>
      <c r="G60" s="482">
        <f>G59/I59</f>
        <v>0.10810810810810811</v>
      </c>
      <c r="H60" s="482">
        <v>0</v>
      </c>
      <c r="I60" s="483">
        <f>SUM(B60:H60)</f>
        <v>1</v>
      </c>
      <c r="K60" s="262">
        <v>1</v>
      </c>
      <c r="L60" s="480">
        <f>'Medios 2'!S31</f>
        <v>1.1654392225343557</v>
      </c>
      <c r="M60" s="2163">
        <f>P60/86400</f>
        <v>9.9310833634937884E-6</v>
      </c>
      <c r="N60" s="554" t="s">
        <v>243</v>
      </c>
      <c r="P60" s="2164">
        <f>K60/L60</f>
        <v>0.85804560260586327</v>
      </c>
    </row>
    <row r="61" spans="1:16" ht="14" thickBot="1">
      <c r="A61" s="46" t="s">
        <v>718</v>
      </c>
      <c r="B61" s="466">
        <f>I6</f>
        <v>0.1111111111111111</v>
      </c>
      <c r="C61" s="466">
        <f t="shared" ref="C61:H61" si="1">J6</f>
        <v>0.15277777777777776</v>
      </c>
      <c r="D61" s="466">
        <f t="shared" si="1"/>
        <v>0.15277777777777776</v>
      </c>
      <c r="E61" s="466">
        <f t="shared" si="1"/>
        <v>0.16666666666666666</v>
      </c>
      <c r="F61" s="466">
        <f t="shared" si="1"/>
        <v>0.10416666666666667</v>
      </c>
      <c r="G61" s="466">
        <f t="shared" si="1"/>
        <v>8.3333333333333329E-2</v>
      </c>
      <c r="H61" s="466">
        <f t="shared" si="1"/>
        <v>0</v>
      </c>
      <c r="I61" s="466">
        <f>SUM(B61:H61)</f>
        <v>0.77083333333333326</v>
      </c>
      <c r="J61" s="54"/>
      <c r="K61" s="263">
        <v>19637.36363636364</v>
      </c>
      <c r="L61" s="480">
        <f>'Medios 2'!S64</f>
        <v>0.91498341875188427</v>
      </c>
      <c r="M61" s="2163">
        <f t="shared" ref="M61:M66" si="2">P61/86400</f>
        <v>0.24840264499747616</v>
      </c>
      <c r="N61" s="555" t="s">
        <v>244</v>
      </c>
      <c r="P61" s="2165">
        <f t="shared" ref="P61:P66" si="3">K61/L61</f>
        <v>21461.988527781941</v>
      </c>
    </row>
    <row r="62" spans="1:16" ht="14" thickBot="1">
      <c r="A62" s="983" t="s">
        <v>331</v>
      </c>
      <c r="B62" s="482">
        <f>B61/I61</f>
        <v>0.14414414414414414</v>
      </c>
      <c r="C62" s="482">
        <f>C61/I61</f>
        <v>0.1981981981981982</v>
      </c>
      <c r="D62" s="482">
        <f>D61/I61</f>
        <v>0.1981981981981982</v>
      </c>
      <c r="E62" s="482">
        <f>E61/I61</f>
        <v>0.21621621621621623</v>
      </c>
      <c r="F62" s="482">
        <f>F61/I61</f>
        <v>0.13513513513513514</v>
      </c>
      <c r="G62" s="482">
        <f>G61/I61</f>
        <v>0.10810810810810811</v>
      </c>
      <c r="H62" s="482">
        <f>H61/I61</f>
        <v>0</v>
      </c>
      <c r="I62" s="483">
        <f t="shared" ref="I62:I75" si="4">SUM(B62:H62)</f>
        <v>1</v>
      </c>
      <c r="K62" s="262">
        <v>6873.7272727272721</v>
      </c>
      <c r="L62" s="480">
        <f>'Medios 2'!S130</f>
        <v>0.93889765851091822</v>
      </c>
      <c r="M62" s="2163">
        <f t="shared" si="2"/>
        <v>8.4734505298165536E-2</v>
      </c>
      <c r="N62" s="556" t="s">
        <v>245</v>
      </c>
      <c r="P62" s="2165">
        <f t="shared" si="3"/>
        <v>7321.061257761502</v>
      </c>
    </row>
    <row r="63" spans="1:16" ht="14" thickBot="1">
      <c r="A63" s="46" t="s">
        <v>719</v>
      </c>
      <c r="B63" s="466">
        <f>B13</f>
        <v>0.1111111111111111</v>
      </c>
      <c r="C63" s="466">
        <f t="shared" ref="C63:H63" si="5">C13</f>
        <v>0.15277777777777776</v>
      </c>
      <c r="D63" s="466">
        <f t="shared" si="5"/>
        <v>0.15277777777777776</v>
      </c>
      <c r="E63" s="466">
        <f t="shared" si="5"/>
        <v>0.16666666666666666</v>
      </c>
      <c r="F63" s="466">
        <f>F13</f>
        <v>0.10416666666666667</v>
      </c>
      <c r="G63" s="466">
        <f t="shared" si="5"/>
        <v>8.3333333333333329E-2</v>
      </c>
      <c r="H63" s="466">
        <f t="shared" si="5"/>
        <v>0</v>
      </c>
      <c r="I63" s="466">
        <f t="shared" si="4"/>
        <v>0.77083333333333326</v>
      </c>
      <c r="K63" s="262">
        <v>5891.909090909091</v>
      </c>
      <c r="L63" s="480">
        <f>'Medios 2'!S157</f>
        <v>0.91808281159572791</v>
      </c>
      <c r="M63" s="2163">
        <f t="shared" si="2"/>
        <v>7.4278040493280462E-2</v>
      </c>
      <c r="N63" s="557" t="s">
        <v>246</v>
      </c>
      <c r="P63" s="2165">
        <f t="shared" si="3"/>
        <v>6417.6226986194324</v>
      </c>
    </row>
    <row r="64" spans="1:16" ht="14" thickBot="1">
      <c r="A64" s="983" t="s">
        <v>331</v>
      </c>
      <c r="B64" s="482">
        <f>B63/I63</f>
        <v>0.14414414414414414</v>
      </c>
      <c r="C64" s="482">
        <f>C63/I63</f>
        <v>0.1981981981981982</v>
      </c>
      <c r="D64" s="482">
        <f>D63/I63</f>
        <v>0.1981981981981982</v>
      </c>
      <c r="E64" s="482">
        <f>E63/I63</f>
        <v>0.21621621621621623</v>
      </c>
      <c r="F64" s="482">
        <f>F63/I63</f>
        <v>0.13513513513513514</v>
      </c>
      <c r="G64" s="482">
        <f>G63/I63</f>
        <v>0.10810810810810811</v>
      </c>
      <c r="H64" s="482">
        <f>H63/I63</f>
        <v>0</v>
      </c>
      <c r="I64" s="483">
        <f t="shared" si="4"/>
        <v>1</v>
      </c>
      <c r="K64" s="262">
        <v>1</v>
      </c>
      <c r="L64" s="480">
        <f>'Medios 2'!S188</f>
        <v>0.44114215714869043</v>
      </c>
      <c r="M64" s="2163">
        <f t="shared" si="2"/>
        <v>2.6236608509335782E-5</v>
      </c>
      <c r="N64" s="558" t="s">
        <v>247</v>
      </c>
      <c r="P64" s="2165">
        <f t="shared" si="3"/>
        <v>2.2668429752066115</v>
      </c>
    </row>
    <row r="65" spans="1:16" ht="14" thickBot="1">
      <c r="A65" s="46" t="s">
        <v>720</v>
      </c>
      <c r="B65" s="466">
        <v>0.11458333333333333</v>
      </c>
      <c r="C65" s="466">
        <v>0.11458333333333333</v>
      </c>
      <c r="D65" s="466">
        <v>0.11458333333333333</v>
      </c>
      <c r="E65" s="466">
        <v>8.3333333333333329E-2</v>
      </c>
      <c r="F65" s="466">
        <v>0.11458333333333333</v>
      </c>
      <c r="G65" s="466">
        <v>8.3333333333333329E-2</v>
      </c>
      <c r="H65" s="466">
        <v>0</v>
      </c>
      <c r="I65" s="466">
        <f t="shared" si="4"/>
        <v>0.625</v>
      </c>
      <c r="K65" s="262">
        <v>1</v>
      </c>
      <c r="L65" s="480">
        <f>'Medios 2'!S216</f>
        <v>0.53423933922397238</v>
      </c>
      <c r="M65" s="2163">
        <f t="shared" si="2"/>
        <v>2.1664585934248852E-5</v>
      </c>
      <c r="N65" s="559" t="s">
        <v>248</v>
      </c>
      <c r="P65" s="2165">
        <f t="shared" si="3"/>
        <v>1.8718202247191009</v>
      </c>
    </row>
    <row r="66" spans="1:16" ht="14" thickBot="1">
      <c r="A66" s="983" t="s">
        <v>331</v>
      </c>
      <c r="B66" s="482">
        <f>B65/I65</f>
        <v>0.18333333333333332</v>
      </c>
      <c r="C66" s="482">
        <f>C65/I65</f>
        <v>0.18333333333333332</v>
      </c>
      <c r="D66" s="482">
        <f>D65/I65</f>
        <v>0.18333333333333332</v>
      </c>
      <c r="E66" s="482">
        <f>E65/I65</f>
        <v>0.13333333333333333</v>
      </c>
      <c r="F66" s="482">
        <f>F65/I65</f>
        <v>0.18333333333333332</v>
      </c>
      <c r="G66" s="482">
        <f>G65/I65</f>
        <v>0.13333333333333333</v>
      </c>
      <c r="H66" s="482">
        <f>H65/I65</f>
        <v>0</v>
      </c>
      <c r="I66" s="483">
        <f t="shared" si="4"/>
        <v>0.99999999999999989</v>
      </c>
      <c r="J66" s="54"/>
      <c r="K66" s="262">
        <v>2946.4545454545455</v>
      </c>
      <c r="L66" s="480">
        <f>'Medios 2'!S289</f>
        <v>0.27449122003041221</v>
      </c>
      <c r="M66" s="2163">
        <f t="shared" si="2"/>
        <v>0.12423888516800204</v>
      </c>
      <c r="N66" s="560" t="s">
        <v>249</v>
      </c>
      <c r="P66" s="2166">
        <f t="shared" si="3"/>
        <v>10734.239678515376</v>
      </c>
    </row>
    <row r="67" spans="1:16" ht="14" thickBot="1">
      <c r="A67" s="46" t="s">
        <v>721</v>
      </c>
      <c r="B67" s="481">
        <f t="shared" ref="B67:H67" si="6">B20</f>
        <v>0.1111111111111111</v>
      </c>
      <c r="C67" s="481">
        <f t="shared" si="6"/>
        <v>6.9444444444444434E-2</v>
      </c>
      <c r="D67" s="481">
        <f t="shared" si="6"/>
        <v>0.15277777777777776</v>
      </c>
      <c r="E67" s="481">
        <f t="shared" si="6"/>
        <v>6.9444444444444434E-2</v>
      </c>
      <c r="F67" s="481">
        <f t="shared" si="6"/>
        <v>6.25E-2</v>
      </c>
      <c r="G67" s="481">
        <f t="shared" si="6"/>
        <v>4.1666666666666664E-2</v>
      </c>
      <c r="H67" s="481">
        <f t="shared" si="6"/>
        <v>4.1666666666666664E-2</v>
      </c>
      <c r="I67" s="466">
        <f t="shared" si="4"/>
        <v>0.54861111111111094</v>
      </c>
      <c r="K67" s="479">
        <f>SUM(K60:K66)</f>
        <v>35352.454545454551</v>
      </c>
      <c r="M67" s="561">
        <f>SUM(M60:M66)</f>
        <v>0.53171190823473125</v>
      </c>
    </row>
    <row r="68" spans="1:16" ht="14" thickBot="1">
      <c r="A68" s="983" t="s">
        <v>331</v>
      </c>
      <c r="B68" s="482">
        <f>B67/I67</f>
        <v>0.20253164556962031</v>
      </c>
      <c r="C68" s="482">
        <f>C67/I67</f>
        <v>0.12658227848101267</v>
      </c>
      <c r="D68" s="482">
        <f>D67/I67</f>
        <v>0.27848101265822789</v>
      </c>
      <c r="E68" s="482">
        <f>E67/I67</f>
        <v>0.12658227848101267</v>
      </c>
      <c r="F68" s="482">
        <f>F67/I67</f>
        <v>0.11392405063291143</v>
      </c>
      <c r="G68" s="482">
        <f>G67/I67</f>
        <v>7.5949367088607611E-2</v>
      </c>
      <c r="H68" s="482">
        <f>H67/I67</f>
        <v>7.5949367088607611E-2</v>
      </c>
      <c r="I68" s="483">
        <f t="shared" si="4"/>
        <v>1.0000000000000002</v>
      </c>
      <c r="K68" s="872" t="s">
        <v>694</v>
      </c>
      <c r="L68" s="872" t="s">
        <v>718</v>
      </c>
      <c r="M68" s="872" t="s">
        <v>719</v>
      </c>
      <c r="N68" s="872" t="s">
        <v>720</v>
      </c>
      <c r="O68" s="872" t="s">
        <v>721</v>
      </c>
      <c r="P68" s="872"/>
    </row>
    <row r="69" spans="1:16" ht="14" thickBot="1">
      <c r="A69" s="46" t="s">
        <v>722</v>
      </c>
      <c r="B69" s="466">
        <f t="shared" ref="B69:H69" si="7">I20</f>
        <v>0.1111111111111111</v>
      </c>
      <c r="C69" s="466">
        <f t="shared" si="7"/>
        <v>0.15277777777777776</v>
      </c>
      <c r="D69" s="466">
        <f t="shared" si="7"/>
        <v>0.15277777777777776</v>
      </c>
      <c r="E69" s="466">
        <f t="shared" si="7"/>
        <v>0.16666666666666666</v>
      </c>
      <c r="F69" s="466">
        <f t="shared" si="7"/>
        <v>0.10416666666666667</v>
      </c>
      <c r="G69" s="466">
        <f t="shared" si="7"/>
        <v>8.3333333333333329E-2</v>
      </c>
      <c r="H69" s="466">
        <f t="shared" si="7"/>
        <v>0</v>
      </c>
      <c r="I69" s="466">
        <f t="shared" si="4"/>
        <v>0.77083333333333326</v>
      </c>
      <c r="K69" s="262">
        <f>IF($M$67&lt;$I$59,$K60,$K60*$I$59/$M$67)</f>
        <v>1</v>
      </c>
      <c r="L69" s="262">
        <f>IF($M$67&lt;$I$61,$K60,$K60*$I$61/$M$67)</f>
        <v>1</v>
      </c>
      <c r="M69" s="262">
        <f>IF($M$67&lt;$I$63,$K60,$K60*$I$63/$M$67)</f>
        <v>1</v>
      </c>
      <c r="N69" s="262">
        <f>IF($M$67&lt;$I$65,$K60,$K60*$I$65/$M$67)</f>
        <v>1</v>
      </c>
      <c r="O69" s="805">
        <f>IF($M$67&lt;$I$67,$K60,$K60*$I$67/$M$67)</f>
        <v>1</v>
      </c>
      <c r="P69" s="805">
        <f>IF($M$67&lt;$I$67,$K60,$K60*$I$67/$M$67)</f>
        <v>1</v>
      </c>
    </row>
    <row r="70" spans="1:16" ht="14" thickBot="1">
      <c r="A70" s="983" t="s">
        <v>331</v>
      </c>
      <c r="B70" s="482">
        <f>B69/I69</f>
        <v>0.14414414414414414</v>
      </c>
      <c r="C70" s="482">
        <f>C69/I69</f>
        <v>0.1981981981981982</v>
      </c>
      <c r="D70" s="482">
        <f>D69/I69</f>
        <v>0.1981981981981982</v>
      </c>
      <c r="E70" s="482">
        <f>E69/I69</f>
        <v>0.21621621621621623</v>
      </c>
      <c r="F70" s="482">
        <f>F69/I69</f>
        <v>0.13513513513513514</v>
      </c>
      <c r="G70" s="482">
        <f>G69/I69</f>
        <v>0.10810810810810811</v>
      </c>
      <c r="H70" s="482">
        <f>H69/I69</f>
        <v>0</v>
      </c>
      <c r="I70" s="483">
        <f t="shared" si="4"/>
        <v>1</v>
      </c>
      <c r="K70" s="262">
        <f t="shared" ref="K70:K75" si="8">IF($M$67&lt;$I$59,$K61,$K61*$I$59/$M$67)</f>
        <v>19637.36363636364</v>
      </c>
      <c r="L70" s="262">
        <f t="shared" ref="L70:L75" si="9">IF($M$67&lt;$I$61,$K61,$K61*$I$61/$M$67)</f>
        <v>19637.36363636364</v>
      </c>
      <c r="M70" s="262">
        <f t="shared" ref="M70:M75" si="10">IF($M$67&lt;$I$63,$K61,$K61*$I$63/$M$67)</f>
        <v>19637.36363636364</v>
      </c>
      <c r="N70" s="262">
        <f t="shared" ref="N70:N75" si="11">IF($M$67&lt;$I$65,$K61,$K61*$I$65/$M$67)</f>
        <v>19637.36363636364</v>
      </c>
      <c r="O70" s="805">
        <f t="shared" ref="O70:P75" si="12">IF($M$67&lt;$I$67,$K61,$K61*$I$67/$M$67)</f>
        <v>19637.36363636364</v>
      </c>
      <c r="P70" s="805">
        <f t="shared" si="12"/>
        <v>19637.36363636364</v>
      </c>
    </row>
    <row r="71" spans="1:16" ht="14" thickBot="1">
      <c r="A71" s="46" t="s">
        <v>723</v>
      </c>
      <c r="B71" s="466">
        <f>B27</f>
        <v>0.1111111111111111</v>
      </c>
      <c r="C71" s="466">
        <f t="shared" ref="C71:H71" si="13">C27</f>
        <v>0.15277777777777776</v>
      </c>
      <c r="D71" s="466">
        <f t="shared" si="13"/>
        <v>0.15277777777777776</v>
      </c>
      <c r="E71" s="466">
        <f t="shared" si="13"/>
        <v>0.16666666666666666</v>
      </c>
      <c r="F71" s="466">
        <f t="shared" si="13"/>
        <v>0.10416666666666667</v>
      </c>
      <c r="G71" s="466">
        <f t="shared" si="13"/>
        <v>8.3333333333333329E-2</v>
      </c>
      <c r="H71" s="466">
        <f t="shared" si="13"/>
        <v>0</v>
      </c>
      <c r="I71" s="466">
        <f t="shared" si="4"/>
        <v>0.77083333333333326</v>
      </c>
      <c r="J71" s="54"/>
      <c r="K71" s="262">
        <f t="shared" si="8"/>
        <v>6873.7272727272721</v>
      </c>
      <c r="L71" s="262">
        <f t="shared" si="9"/>
        <v>6873.7272727272721</v>
      </c>
      <c r="M71" s="262">
        <f t="shared" si="10"/>
        <v>6873.7272727272721</v>
      </c>
      <c r="N71" s="262">
        <f t="shared" si="11"/>
        <v>6873.7272727272721</v>
      </c>
      <c r="O71" s="805">
        <f t="shared" si="12"/>
        <v>6873.7272727272721</v>
      </c>
      <c r="P71" s="805">
        <f t="shared" si="12"/>
        <v>6873.7272727272721</v>
      </c>
    </row>
    <row r="72" spans="1:16" ht="14" thickBot="1">
      <c r="A72" s="983" t="s">
        <v>331</v>
      </c>
      <c r="B72" s="482">
        <f>B71/I71</f>
        <v>0.14414414414414414</v>
      </c>
      <c r="C72" s="482">
        <f>C71/I71</f>
        <v>0.1981981981981982</v>
      </c>
      <c r="D72" s="482">
        <f>D71/I71</f>
        <v>0.1981981981981982</v>
      </c>
      <c r="E72" s="482">
        <f>E71/I71</f>
        <v>0.21621621621621623</v>
      </c>
      <c r="F72" s="482">
        <f>F71/I71</f>
        <v>0.13513513513513514</v>
      </c>
      <c r="G72" s="482">
        <f>G71/I71</f>
        <v>0.10810810810810811</v>
      </c>
      <c r="H72" s="482">
        <f>H71/I71</f>
        <v>0</v>
      </c>
      <c r="I72" s="483">
        <f t="shared" si="4"/>
        <v>1</v>
      </c>
      <c r="K72" s="262">
        <f t="shared" si="8"/>
        <v>5891.909090909091</v>
      </c>
      <c r="L72" s="262">
        <f t="shared" si="9"/>
        <v>5891.909090909091</v>
      </c>
      <c r="M72" s="262">
        <f t="shared" si="10"/>
        <v>5891.909090909091</v>
      </c>
      <c r="N72" s="262">
        <f t="shared" si="11"/>
        <v>5891.909090909091</v>
      </c>
      <c r="O72" s="805">
        <f t="shared" si="12"/>
        <v>5891.909090909091</v>
      </c>
      <c r="P72" s="805">
        <f t="shared" si="12"/>
        <v>5891.909090909091</v>
      </c>
    </row>
    <row r="73" spans="1:16" ht="14" thickBot="1">
      <c r="A73" s="46" t="s">
        <v>755</v>
      </c>
      <c r="B73" s="481">
        <f t="shared" ref="B73:G73" si="14">I27</f>
        <v>0.1111111111111111</v>
      </c>
      <c r="C73" s="481">
        <f t="shared" si="14"/>
        <v>0.15277777777777776</v>
      </c>
      <c r="D73" s="481">
        <f t="shared" si="14"/>
        <v>0.15277777777777776</v>
      </c>
      <c r="E73" s="481">
        <f t="shared" si="14"/>
        <v>0.16666666666666666</v>
      </c>
      <c r="F73" s="481">
        <f t="shared" si="14"/>
        <v>0.10416666666666667</v>
      </c>
      <c r="G73" s="481">
        <f t="shared" si="14"/>
        <v>8.3333333333333329E-2</v>
      </c>
      <c r="H73" s="481">
        <v>0</v>
      </c>
      <c r="I73" s="466">
        <f t="shared" si="4"/>
        <v>0.77083333333333326</v>
      </c>
      <c r="K73" s="262">
        <f t="shared" si="8"/>
        <v>1</v>
      </c>
      <c r="L73" s="262">
        <f t="shared" si="9"/>
        <v>1</v>
      </c>
      <c r="M73" s="262">
        <f t="shared" si="10"/>
        <v>1</v>
      </c>
      <c r="N73" s="262">
        <f t="shared" si="11"/>
        <v>1</v>
      </c>
      <c r="O73" s="805">
        <f t="shared" si="12"/>
        <v>1</v>
      </c>
      <c r="P73" s="805">
        <f t="shared" si="12"/>
        <v>1</v>
      </c>
    </row>
    <row r="74" spans="1:16" ht="14" thickBot="1">
      <c r="A74" s="983" t="s">
        <v>331</v>
      </c>
      <c r="B74" s="482">
        <f>B73/I73</f>
        <v>0.14414414414414414</v>
      </c>
      <c r="C74" s="482">
        <f>C73/I73</f>
        <v>0.1981981981981982</v>
      </c>
      <c r="D74" s="482">
        <f>D73/I73</f>
        <v>0.1981981981981982</v>
      </c>
      <c r="E74" s="482">
        <f>E73/I73</f>
        <v>0.21621621621621623</v>
      </c>
      <c r="F74" s="482">
        <f>F73/I73</f>
        <v>0.13513513513513514</v>
      </c>
      <c r="G74" s="482">
        <f>G73/I73</f>
        <v>0.10810810810810811</v>
      </c>
      <c r="H74" s="482">
        <f>H73/I73</f>
        <v>0</v>
      </c>
      <c r="I74" s="483">
        <f t="shared" si="4"/>
        <v>1</v>
      </c>
      <c r="K74" s="262">
        <f t="shared" si="8"/>
        <v>1</v>
      </c>
      <c r="L74" s="262">
        <f t="shared" si="9"/>
        <v>1</v>
      </c>
      <c r="M74" s="262">
        <f t="shared" si="10"/>
        <v>1</v>
      </c>
      <c r="N74" s="262">
        <f t="shared" si="11"/>
        <v>1</v>
      </c>
      <c r="O74" s="805">
        <f t="shared" si="12"/>
        <v>1</v>
      </c>
      <c r="P74" s="805">
        <f t="shared" si="12"/>
        <v>1</v>
      </c>
    </row>
    <row r="75" spans="1:16">
      <c r="A75" s="46" t="s">
        <v>756</v>
      </c>
      <c r="B75" s="466">
        <f>B34</f>
        <v>0.11458333333333333</v>
      </c>
      <c r="C75" s="466">
        <f t="shared" ref="C75:H75" si="15">C34</f>
        <v>0.11458333333333333</v>
      </c>
      <c r="D75" s="466">
        <f t="shared" si="15"/>
        <v>0.11458333333333333</v>
      </c>
      <c r="E75" s="466">
        <f t="shared" si="15"/>
        <v>8.3333333333333329E-2</v>
      </c>
      <c r="F75" s="466">
        <f t="shared" si="15"/>
        <v>0.11458333333333333</v>
      </c>
      <c r="G75" s="466">
        <f t="shared" si="15"/>
        <v>8.3333333333333329E-2</v>
      </c>
      <c r="H75" s="466">
        <f t="shared" si="15"/>
        <v>0</v>
      </c>
      <c r="I75" s="466">
        <f t="shared" si="4"/>
        <v>0.625</v>
      </c>
      <c r="K75" s="262">
        <f t="shared" si="8"/>
        <v>2946.4545454545455</v>
      </c>
      <c r="L75" s="262">
        <f t="shared" si="9"/>
        <v>2946.4545454545455</v>
      </c>
      <c r="M75" s="262">
        <f t="shared" si="10"/>
        <v>2946.4545454545455</v>
      </c>
      <c r="N75" s="262">
        <f t="shared" si="11"/>
        <v>2946.4545454545455</v>
      </c>
      <c r="O75" s="805">
        <f t="shared" si="12"/>
        <v>2946.4545454545455</v>
      </c>
      <c r="P75" s="805">
        <f t="shared" si="12"/>
        <v>2946.4545454545455</v>
      </c>
    </row>
    <row r="76" spans="1:16" ht="14" thickBot="1">
      <c r="A76" s="983" t="s">
        <v>331</v>
      </c>
      <c r="B76" s="482">
        <f>B75/I75</f>
        <v>0.18333333333333332</v>
      </c>
      <c r="C76" s="482">
        <f>C75/I75</f>
        <v>0.18333333333333332</v>
      </c>
      <c r="D76" s="482">
        <f>D75/I75</f>
        <v>0.18333333333333332</v>
      </c>
      <c r="E76" s="482">
        <f>E75/I75</f>
        <v>0.13333333333333333</v>
      </c>
      <c r="F76" s="482">
        <f>F75/I75</f>
        <v>0.18333333333333332</v>
      </c>
      <c r="G76" s="482">
        <f>G75/I75</f>
        <v>0.13333333333333333</v>
      </c>
      <c r="H76" s="482">
        <f>H75/I75</f>
        <v>0</v>
      </c>
      <c r="I76" s="483">
        <f>SUM(B76:H76)</f>
        <v>0.99999999999999989</v>
      </c>
      <c r="K76" s="806">
        <f t="shared" ref="K76:P76" si="16">SUM(K69:K75)</f>
        <v>35352.454545454551</v>
      </c>
      <c r="L76" s="807">
        <f t="shared" si="16"/>
        <v>35352.454545454551</v>
      </c>
      <c r="M76" s="807">
        <f t="shared" si="16"/>
        <v>35352.454545454551</v>
      </c>
      <c r="N76" s="807">
        <f t="shared" si="16"/>
        <v>35352.454545454551</v>
      </c>
      <c r="O76" s="808">
        <f t="shared" si="16"/>
        <v>35352.454545454551</v>
      </c>
      <c r="P76" s="808">
        <f t="shared" si="16"/>
        <v>35352.454545454551</v>
      </c>
    </row>
    <row r="77" spans="1:16">
      <c r="A77" s="46" t="s">
        <v>757</v>
      </c>
      <c r="B77" s="466">
        <f>I34</f>
        <v>0.11458333333333333</v>
      </c>
      <c r="C77" s="466">
        <f t="shared" ref="C77:H77" si="17">J34</f>
        <v>0.11458333333333333</v>
      </c>
      <c r="D77" s="466">
        <f t="shared" si="17"/>
        <v>0.11458333333333333</v>
      </c>
      <c r="E77" s="466">
        <f t="shared" si="17"/>
        <v>8.3333333333333329E-2</v>
      </c>
      <c r="F77" s="466">
        <f t="shared" si="17"/>
        <v>0.11458333333333333</v>
      </c>
      <c r="G77" s="466">
        <f t="shared" si="17"/>
        <v>8.3333333333333329E-2</v>
      </c>
      <c r="H77" s="466">
        <f t="shared" si="17"/>
        <v>0</v>
      </c>
      <c r="I77" s="466">
        <f>SUM(B77:H77)</f>
        <v>0.625</v>
      </c>
    </row>
    <row r="78" spans="1:16">
      <c r="A78" s="983" t="s">
        <v>331</v>
      </c>
      <c r="B78" s="482">
        <f>B77/I77</f>
        <v>0.18333333333333332</v>
      </c>
      <c r="C78" s="482">
        <f>C77/I77</f>
        <v>0.18333333333333332</v>
      </c>
      <c r="D78" s="482">
        <f>D77/I77</f>
        <v>0.18333333333333332</v>
      </c>
      <c r="E78" s="482">
        <f>E77/I77</f>
        <v>0.13333333333333333</v>
      </c>
      <c r="F78" s="482">
        <f>F77/I77</f>
        <v>0.18333333333333332</v>
      </c>
      <c r="G78" s="482">
        <f>G77/I77</f>
        <v>0.13333333333333333</v>
      </c>
      <c r="H78" s="482">
        <f>H77/I77</f>
        <v>0</v>
      </c>
      <c r="I78" s="483">
        <f>SUM(B78:H78)</f>
        <v>0.99999999999999989</v>
      </c>
    </row>
    <row r="79" spans="1:16">
      <c r="A79" s="46" t="s">
        <v>758</v>
      </c>
      <c r="B79" s="466">
        <f>B41</f>
        <v>0.11458333333333333</v>
      </c>
      <c r="C79" s="466">
        <f t="shared" ref="C79:H79" si="18">C41</f>
        <v>0.11458333333333333</v>
      </c>
      <c r="D79" s="466">
        <f t="shared" si="18"/>
        <v>0.11458333333333333</v>
      </c>
      <c r="E79" s="466">
        <f t="shared" si="18"/>
        <v>8.3333333333333329E-2</v>
      </c>
      <c r="F79" s="466">
        <f t="shared" si="18"/>
        <v>0.11458333333333333</v>
      </c>
      <c r="G79" s="466">
        <f t="shared" si="18"/>
        <v>8.3333333333333329E-2</v>
      </c>
      <c r="H79" s="466">
        <f t="shared" si="18"/>
        <v>0</v>
      </c>
      <c r="I79" s="466">
        <f t="shared" ref="I79:I85" si="19">SUM(B79:H79)</f>
        <v>0.625</v>
      </c>
    </row>
    <row r="80" spans="1:16">
      <c r="A80" s="983" t="s">
        <v>331</v>
      </c>
      <c r="B80" s="482">
        <f t="shared" ref="B80" si="20">B79/I79</f>
        <v>0.18333333333333332</v>
      </c>
      <c r="C80" s="482">
        <f t="shared" ref="C80" si="21">C79/I79</f>
        <v>0.18333333333333332</v>
      </c>
      <c r="D80" s="482">
        <f t="shared" ref="D80" si="22">D79/I79</f>
        <v>0.18333333333333332</v>
      </c>
      <c r="E80" s="482">
        <f t="shared" ref="E80" si="23">E79/I79</f>
        <v>0.13333333333333333</v>
      </c>
      <c r="F80" s="482">
        <f t="shared" ref="F80" si="24">F79/I79</f>
        <v>0.18333333333333332</v>
      </c>
      <c r="G80" s="482">
        <f t="shared" ref="G80" si="25">G79/I79</f>
        <v>0.13333333333333333</v>
      </c>
      <c r="H80" s="482">
        <f t="shared" ref="H80" si="26">H79/I79</f>
        <v>0</v>
      </c>
      <c r="I80" s="483">
        <f t="shared" si="19"/>
        <v>0.99999999999999989</v>
      </c>
    </row>
    <row r="81" spans="1:9">
      <c r="A81" s="46" t="s">
        <v>759</v>
      </c>
      <c r="B81" s="466">
        <f>I41</f>
        <v>0.11458333333333333</v>
      </c>
      <c r="C81" s="466">
        <f t="shared" ref="C81:H81" si="27">J41</f>
        <v>0.11458333333333333</v>
      </c>
      <c r="D81" s="466">
        <f t="shared" si="27"/>
        <v>0.11458333333333333</v>
      </c>
      <c r="E81" s="466">
        <f t="shared" si="27"/>
        <v>8.3333333333333329E-2</v>
      </c>
      <c r="F81" s="466">
        <f t="shared" si="27"/>
        <v>0.11458333333333333</v>
      </c>
      <c r="G81" s="466">
        <f t="shared" si="27"/>
        <v>8.3333333333333329E-2</v>
      </c>
      <c r="H81" s="466">
        <f t="shared" si="27"/>
        <v>0</v>
      </c>
      <c r="I81" s="466">
        <f t="shared" si="19"/>
        <v>0.625</v>
      </c>
    </row>
    <row r="82" spans="1:9">
      <c r="A82" s="983" t="s">
        <v>331</v>
      </c>
      <c r="B82" s="482">
        <f t="shared" ref="B82" si="28">B81/I81</f>
        <v>0.18333333333333332</v>
      </c>
      <c r="C82" s="482">
        <f t="shared" ref="C82" si="29">C81/I81</f>
        <v>0.18333333333333332</v>
      </c>
      <c r="D82" s="482">
        <f t="shared" ref="D82" si="30">D81/I81</f>
        <v>0.18333333333333332</v>
      </c>
      <c r="E82" s="482">
        <f t="shared" ref="E82" si="31">E81/I81</f>
        <v>0.13333333333333333</v>
      </c>
      <c r="F82" s="482">
        <f t="shared" ref="F82" si="32">F81/I81</f>
        <v>0.18333333333333332</v>
      </c>
      <c r="G82" s="482">
        <f t="shared" ref="G82" si="33">G81/I81</f>
        <v>0.13333333333333333</v>
      </c>
      <c r="H82" s="482">
        <f t="shared" ref="H82" si="34">H81/I81</f>
        <v>0</v>
      </c>
      <c r="I82" s="483">
        <f t="shared" si="19"/>
        <v>0.99999999999999989</v>
      </c>
    </row>
    <row r="83" spans="1:9">
      <c r="A83" s="46" t="s">
        <v>760</v>
      </c>
      <c r="B83" s="466">
        <f>B48</f>
        <v>0.11458333333333333</v>
      </c>
      <c r="C83" s="466">
        <f t="shared" ref="C83:H83" si="35">C48</f>
        <v>0.11458333333333333</v>
      </c>
      <c r="D83" s="466">
        <f t="shared" si="35"/>
        <v>0.11458333333333333</v>
      </c>
      <c r="E83" s="466">
        <f t="shared" si="35"/>
        <v>8.3333333333333329E-2</v>
      </c>
      <c r="F83" s="466">
        <f t="shared" si="35"/>
        <v>0.11458333333333333</v>
      </c>
      <c r="G83" s="466">
        <f t="shared" si="35"/>
        <v>8.3333333333333329E-2</v>
      </c>
      <c r="H83" s="466">
        <f t="shared" si="35"/>
        <v>0</v>
      </c>
      <c r="I83" s="466">
        <f t="shared" si="19"/>
        <v>0.625</v>
      </c>
    </row>
    <row r="84" spans="1:9">
      <c r="A84" s="983" t="s">
        <v>331</v>
      </c>
      <c r="B84" s="482">
        <f t="shared" ref="B84" si="36">B83/I83</f>
        <v>0.18333333333333332</v>
      </c>
      <c r="C84" s="482">
        <f t="shared" ref="C84" si="37">C83/I83</f>
        <v>0.18333333333333332</v>
      </c>
      <c r="D84" s="482">
        <f t="shared" ref="D84" si="38">D83/I83</f>
        <v>0.18333333333333332</v>
      </c>
      <c r="E84" s="482">
        <f t="shared" ref="E84" si="39">E83/I83</f>
        <v>0.13333333333333333</v>
      </c>
      <c r="F84" s="482">
        <f t="shared" ref="F84" si="40">F83/I83</f>
        <v>0.18333333333333332</v>
      </c>
      <c r="G84" s="482">
        <f t="shared" ref="G84" si="41">G83/I83</f>
        <v>0.13333333333333333</v>
      </c>
      <c r="H84" s="482">
        <f t="shared" ref="H84" si="42">H83/I83</f>
        <v>0</v>
      </c>
      <c r="I84" s="483">
        <f t="shared" si="19"/>
        <v>0.99999999999999989</v>
      </c>
    </row>
    <row r="85" spans="1:9">
      <c r="A85" s="46" t="s">
        <v>761</v>
      </c>
      <c r="B85" s="466">
        <f>I48</f>
        <v>0.11458333333333333</v>
      </c>
      <c r="C85" s="466">
        <f t="shared" ref="C85:H85" si="43">J48</f>
        <v>0.11458333333333333</v>
      </c>
      <c r="D85" s="466">
        <f t="shared" si="43"/>
        <v>0.11458333333333333</v>
      </c>
      <c r="E85" s="466">
        <f t="shared" si="43"/>
        <v>8.3333333333333329E-2</v>
      </c>
      <c r="F85" s="466">
        <f t="shared" si="43"/>
        <v>0.11458333333333333</v>
      </c>
      <c r="G85" s="466">
        <f t="shared" si="43"/>
        <v>8.3333333333333329E-2</v>
      </c>
      <c r="H85" s="466">
        <f t="shared" si="43"/>
        <v>0</v>
      </c>
      <c r="I85" s="466">
        <f t="shared" si="19"/>
        <v>0.625</v>
      </c>
    </row>
    <row r="86" spans="1:9">
      <c r="A86" s="983" t="s">
        <v>331</v>
      </c>
      <c r="B86" s="482">
        <f t="shared" ref="B86" si="44">B85/I85</f>
        <v>0.18333333333333332</v>
      </c>
      <c r="C86" s="482">
        <f t="shared" ref="C86" si="45">C85/I85</f>
        <v>0.18333333333333332</v>
      </c>
      <c r="D86" s="482">
        <f t="shared" ref="D86" si="46">D85/I85</f>
        <v>0.18333333333333332</v>
      </c>
      <c r="E86" s="482">
        <f t="shared" ref="E86" si="47">E85/I85</f>
        <v>0.13333333333333333</v>
      </c>
      <c r="F86" s="482">
        <f t="shared" ref="F86" si="48">F85/I85</f>
        <v>0.18333333333333332</v>
      </c>
      <c r="G86" s="482">
        <f t="shared" ref="G86" si="49">G85/I85</f>
        <v>0.13333333333333333</v>
      </c>
      <c r="H86" s="482">
        <f t="shared" ref="H86" si="50">H85/I85</f>
        <v>0</v>
      </c>
      <c r="I86" s="483">
        <f t="shared" ref="I86:I89" si="51">SUM(B86:H86)</f>
        <v>0.99999999999999989</v>
      </c>
    </row>
    <row r="87" spans="1:9">
      <c r="A87" s="46" t="s">
        <v>2333</v>
      </c>
      <c r="B87" s="466">
        <f>B55</f>
        <v>0.11458333333333333</v>
      </c>
      <c r="C87" s="466">
        <f t="shared" ref="C87:H87" si="52">C55</f>
        <v>0.11458333333333333</v>
      </c>
      <c r="D87" s="466">
        <f t="shared" si="52"/>
        <v>0.11458333333333333</v>
      </c>
      <c r="E87" s="466">
        <f t="shared" si="52"/>
        <v>8.3333333333333329E-2</v>
      </c>
      <c r="F87" s="466">
        <f t="shared" si="52"/>
        <v>0.11458333333333333</v>
      </c>
      <c r="G87" s="466">
        <f t="shared" si="52"/>
        <v>8.3333333333333329E-2</v>
      </c>
      <c r="H87" s="466">
        <f t="shared" si="52"/>
        <v>0</v>
      </c>
      <c r="I87" s="466">
        <f t="shared" si="51"/>
        <v>0.625</v>
      </c>
    </row>
    <row r="88" spans="1:9">
      <c r="A88" s="983" t="s">
        <v>331</v>
      </c>
      <c r="B88" s="482">
        <f t="shared" ref="B88" si="53">B87/I87</f>
        <v>0.18333333333333332</v>
      </c>
      <c r="C88" s="482">
        <f t="shared" ref="C88" si="54">C87/I87</f>
        <v>0.18333333333333332</v>
      </c>
      <c r="D88" s="482">
        <f t="shared" ref="D88" si="55">D87/I87</f>
        <v>0.18333333333333332</v>
      </c>
      <c r="E88" s="482">
        <f t="shared" ref="E88" si="56">E87/I87</f>
        <v>0.13333333333333333</v>
      </c>
      <c r="F88" s="482">
        <f t="shared" ref="F88" si="57">F87/I87</f>
        <v>0.18333333333333332</v>
      </c>
      <c r="G88" s="482">
        <f t="shared" ref="G88" si="58">G87/I87</f>
        <v>0.13333333333333333</v>
      </c>
      <c r="H88" s="482">
        <f t="shared" ref="H88" si="59">H87/I87</f>
        <v>0</v>
      </c>
      <c r="I88" s="483">
        <f t="shared" si="51"/>
        <v>0.99999999999999989</v>
      </c>
    </row>
    <row r="89" spans="1:9">
      <c r="A89" s="46" t="s">
        <v>2334</v>
      </c>
      <c r="B89" s="466">
        <f>I55</f>
        <v>0.11458333333333333</v>
      </c>
      <c r="C89" s="466">
        <f t="shared" ref="C89:H89" si="60">J55</f>
        <v>0.11458333333333333</v>
      </c>
      <c r="D89" s="466">
        <f t="shared" si="60"/>
        <v>0.11458333333333333</v>
      </c>
      <c r="E89" s="466">
        <f t="shared" si="60"/>
        <v>8.3333333333333329E-2</v>
      </c>
      <c r="F89" s="466">
        <f t="shared" si="60"/>
        <v>0.11458333333333333</v>
      </c>
      <c r="G89" s="466">
        <f t="shared" si="60"/>
        <v>8.3333333333333329E-2</v>
      </c>
      <c r="H89" s="466">
        <f t="shared" si="60"/>
        <v>0</v>
      </c>
      <c r="I89" s="466">
        <f t="shared" si="51"/>
        <v>0.625</v>
      </c>
    </row>
    <row r="90" spans="1:9" ht="14" thickBot="1">
      <c r="A90" s="983" t="s">
        <v>331</v>
      </c>
      <c r="B90" s="482">
        <f t="shared" ref="B90" si="61">B89/I89</f>
        <v>0.18333333333333332</v>
      </c>
      <c r="C90" s="482">
        <f t="shared" ref="C90" si="62">C89/I89</f>
        <v>0.18333333333333332</v>
      </c>
      <c r="D90" s="482">
        <f t="shared" ref="D90" si="63">D89/I89</f>
        <v>0.18333333333333332</v>
      </c>
      <c r="E90" s="482">
        <f t="shared" ref="E90" si="64">E89/I89</f>
        <v>0.13333333333333333</v>
      </c>
      <c r="F90" s="482">
        <f t="shared" ref="F90" si="65">F89/I89</f>
        <v>0.18333333333333332</v>
      </c>
      <c r="G90" s="482">
        <f t="shared" ref="G90" si="66">G89/I89</f>
        <v>0.13333333333333333</v>
      </c>
      <c r="H90" s="482">
        <f t="shared" ref="H90" si="67">H89/I89</f>
        <v>0</v>
      </c>
      <c r="I90" s="483">
        <f t="shared" ref="I90" si="68">SUM(B90:H90)</f>
        <v>0.99999999999999989</v>
      </c>
    </row>
    <row r="91" spans="1:9" ht="14" thickBot="1">
      <c r="A91" s="341"/>
      <c r="B91" s="467" t="s">
        <v>250</v>
      </c>
      <c r="C91" s="468"/>
      <c r="D91" s="468"/>
      <c r="E91" s="468"/>
      <c r="F91" s="488" t="s">
        <v>251</v>
      </c>
      <c r="G91" s="489" t="s">
        <v>356</v>
      </c>
      <c r="H91" s="490"/>
      <c r="I91" s="477"/>
    </row>
    <row r="92" spans="1:9" ht="14" thickBot="1">
      <c r="B92" s="482">
        <v>0.14414414414414414</v>
      </c>
      <c r="C92" s="482">
        <v>0.1981981981981982</v>
      </c>
      <c r="D92" s="482">
        <v>0.1981981981981982</v>
      </c>
      <c r="E92" s="482">
        <v>0.21621621621621623</v>
      </c>
      <c r="F92" s="482">
        <v>0.13513513513513514</v>
      </c>
      <c r="G92" s="482">
        <v>0.10810810810810811</v>
      </c>
      <c r="H92" s="482">
        <v>0</v>
      </c>
      <c r="I92" s="477">
        <v>1</v>
      </c>
    </row>
    <row r="93" spans="1:9" ht="14" thickBot="1">
      <c r="B93" s="467" t="s">
        <v>357</v>
      </c>
      <c r="C93" s="468"/>
      <c r="D93" s="468"/>
      <c r="E93" s="468"/>
      <c r="F93" s="391" t="s">
        <v>251</v>
      </c>
      <c r="G93" s="494" t="s">
        <v>356</v>
      </c>
      <c r="H93" s="495"/>
      <c r="I93" s="477"/>
    </row>
    <row r="94" spans="1:9" ht="14" thickBot="1">
      <c r="B94" s="865">
        <v>1</v>
      </c>
      <c r="C94" s="865">
        <v>1</v>
      </c>
      <c r="D94" s="866">
        <v>1</v>
      </c>
      <c r="E94" s="866">
        <v>1</v>
      </c>
      <c r="F94" s="865">
        <v>1</v>
      </c>
      <c r="G94" s="865">
        <v>1</v>
      </c>
      <c r="H94" s="866" t="s">
        <v>1231</v>
      </c>
      <c r="I94" s="477">
        <v>1</v>
      </c>
    </row>
    <row r="95" spans="1:9" ht="14" thickBot="1">
      <c r="B95" s="467" t="s">
        <v>358</v>
      </c>
      <c r="C95" s="468"/>
      <c r="D95" s="468"/>
      <c r="E95" s="468"/>
      <c r="F95" s="496" t="s">
        <v>251</v>
      </c>
      <c r="G95" s="497" t="s">
        <v>356</v>
      </c>
      <c r="H95" s="498"/>
      <c r="I95" s="477"/>
    </row>
    <row r="96" spans="1:9" ht="14" thickBot="1">
      <c r="B96" s="533"/>
      <c r="C96" s="533"/>
      <c r="D96" s="533"/>
      <c r="E96" s="533"/>
      <c r="F96" s="533"/>
      <c r="G96" s="533"/>
      <c r="H96" s="580"/>
      <c r="I96" s="477"/>
    </row>
  </sheetData>
  <mergeCells count="16">
    <mergeCell ref="E40:F40"/>
    <mergeCell ref="L40:M40"/>
    <mergeCell ref="E47:F47"/>
    <mergeCell ref="L47:M47"/>
    <mergeCell ref="E54:F54"/>
    <mergeCell ref="L54:M54"/>
    <mergeCell ref="E5:F5"/>
    <mergeCell ref="L5:M5"/>
    <mergeCell ref="E12:F12"/>
    <mergeCell ref="L12:M12"/>
    <mergeCell ref="E33:F33"/>
    <mergeCell ref="L33:M33"/>
    <mergeCell ref="L19:M19"/>
    <mergeCell ref="E19:F19"/>
    <mergeCell ref="E26:F26"/>
    <mergeCell ref="L26:M26"/>
  </mergeCells>
  <phoneticPr fontId="21" type="noConversion"/>
  <pageMargins left="0.75" right="0.75" top="0.76" bottom="1" header="0.4" footer="0.511811024"/>
  <pageSetup paperSize="9" orientation="landscape" horizontalDpi="0" verticalDpi="0"/>
  <headerFooter>
    <oddHeader>&amp;LAne Zubeldia&amp;A&amp;C&amp;A&amp;F&amp;R&amp;D</oddHeader>
    <oddFooter>Página &amp;P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3">
    <tabColor rgb="FF00FF00"/>
    <outlinePr showOutlineSymbols="0"/>
  </sheetPr>
  <dimension ref="A1:BF67"/>
  <sheetViews>
    <sheetView showGridLines="0" showOutlineSymbols="0" zoomScale="188" zoomScaleNormal="125" zoomScalePageLayoutView="296" workbookViewId="0">
      <selection activeCell="X18" sqref="X18"/>
    </sheetView>
  </sheetViews>
  <sheetFormatPr baseColWidth="10" defaultColWidth="11.5" defaultRowHeight="11"/>
  <cols>
    <col min="1" max="1" width="6.5" style="2145" customWidth="1"/>
    <col min="2" max="2" width="2.33203125" style="2145" customWidth="1"/>
    <col min="3" max="5" width="2.33203125" style="2147" customWidth="1"/>
    <col min="6" max="35" width="2.33203125" style="3723" customWidth="1"/>
    <col min="36" max="58" width="2.33203125" style="2147" customWidth="1"/>
    <col min="59" max="16384" width="11.5" style="2147"/>
  </cols>
  <sheetData>
    <row r="1" spans="1:58" s="2143" customFormat="1" ht="22" customHeight="1">
      <c r="A1" s="2142" t="s">
        <v>2466</v>
      </c>
      <c r="B1" s="2142"/>
      <c r="C1" s="5578"/>
      <c r="D1" s="5579"/>
      <c r="E1" s="5579"/>
      <c r="F1" s="5580"/>
      <c r="G1" s="5580"/>
      <c r="H1" s="5580"/>
      <c r="I1" s="5581"/>
      <c r="J1" s="5581"/>
      <c r="K1" s="5581"/>
      <c r="L1" s="5581"/>
      <c r="M1" s="5581"/>
      <c r="N1" s="5581"/>
      <c r="O1" s="5581"/>
      <c r="P1" s="5581"/>
      <c r="Q1" s="5581"/>
      <c r="R1" s="5581"/>
      <c r="S1" s="7215"/>
      <c r="T1" s="7216"/>
      <c r="U1" s="7216"/>
      <c r="V1" s="7215"/>
      <c r="W1" s="7216"/>
      <c r="X1" s="7216"/>
      <c r="Y1" s="7215"/>
      <c r="Z1" s="7216"/>
      <c r="AA1" s="7216"/>
      <c r="AB1" s="7215"/>
      <c r="AC1" s="7216"/>
      <c r="AD1" s="7216"/>
      <c r="AE1" s="7215"/>
      <c r="AF1" s="7216"/>
      <c r="AG1" s="7216"/>
      <c r="AH1" s="7215"/>
      <c r="AI1" s="7216"/>
      <c r="AJ1" s="7216"/>
      <c r="AK1" s="7215"/>
      <c r="AL1" s="7216"/>
      <c r="AM1" s="7216"/>
      <c r="AN1" s="7215"/>
      <c r="AO1" s="7216"/>
      <c r="AP1" s="7216"/>
      <c r="AQ1" s="7215"/>
      <c r="AR1" s="7216"/>
      <c r="AS1" s="7216"/>
      <c r="AT1" s="7215"/>
      <c r="AU1" s="7216"/>
      <c r="AV1" s="7216"/>
      <c r="AW1" s="6216"/>
      <c r="AX1" s="6217"/>
      <c r="AY1" s="6217"/>
      <c r="AZ1" s="6216"/>
      <c r="BA1" s="6217"/>
      <c r="BB1" s="6217"/>
      <c r="BC1" s="5582"/>
      <c r="BD1" s="5582"/>
      <c r="BE1" s="5582"/>
      <c r="BF1" s="5582"/>
    </row>
    <row r="2" spans="1:58" s="2143" customFormat="1" ht="15" customHeight="1">
      <c r="C2" s="2144"/>
      <c r="F2" s="5582"/>
      <c r="G2" s="5582"/>
      <c r="H2" s="5582"/>
      <c r="I2" s="5582"/>
      <c r="J2" s="5582"/>
      <c r="K2" s="5582"/>
      <c r="L2" s="5582"/>
      <c r="M2" s="5582"/>
      <c r="N2" s="5582"/>
      <c r="O2" s="5582"/>
      <c r="P2" s="5582"/>
      <c r="Q2" s="5582"/>
      <c r="R2" s="5582"/>
      <c r="S2" s="7216"/>
      <c r="T2" s="7216"/>
      <c r="U2" s="7216"/>
      <c r="V2" s="7216"/>
      <c r="W2" s="7216"/>
      <c r="X2" s="7216"/>
      <c r="Y2" s="7216"/>
      <c r="Z2" s="7216"/>
      <c r="AA2" s="7216"/>
      <c r="AB2" s="7216"/>
      <c r="AC2" s="7216"/>
      <c r="AD2" s="7216"/>
      <c r="AE2" s="7216"/>
      <c r="AF2" s="7216"/>
      <c r="AG2" s="7216"/>
      <c r="AH2" s="7216"/>
      <c r="AI2" s="7216"/>
      <c r="AJ2" s="7216"/>
      <c r="AK2" s="7216"/>
      <c r="AL2" s="7216"/>
      <c r="AM2" s="7216"/>
      <c r="AN2" s="7216"/>
      <c r="AO2" s="7216"/>
      <c r="AP2" s="7216"/>
      <c r="AQ2" s="7216"/>
      <c r="AR2" s="7216"/>
      <c r="AS2" s="7216"/>
      <c r="AT2" s="7216"/>
      <c r="AU2" s="7216"/>
      <c r="AV2" s="7216"/>
      <c r="AW2" s="6217"/>
      <c r="AX2" s="6217"/>
      <c r="AY2" s="6217"/>
      <c r="AZ2" s="6217"/>
      <c r="BA2" s="6217"/>
      <c r="BB2" s="6217"/>
      <c r="BC2" s="5582"/>
      <c r="BD2" s="5582"/>
      <c r="BE2" s="5582"/>
      <c r="BF2" s="5582"/>
    </row>
    <row r="3" spans="1:58" s="2143" customFormat="1" ht="12" customHeight="1">
      <c r="C3" s="2144"/>
      <c r="F3" s="5582"/>
      <c r="G3" s="5582"/>
      <c r="H3" s="5582"/>
      <c r="I3" s="5582"/>
      <c r="J3" s="5582"/>
      <c r="K3" s="5582"/>
      <c r="L3" s="5582"/>
      <c r="M3" s="5582"/>
      <c r="N3" s="5582"/>
      <c r="O3" s="5582"/>
      <c r="P3" s="5582"/>
      <c r="Q3" s="5582"/>
      <c r="R3" s="5582"/>
      <c r="S3" s="7216"/>
      <c r="T3" s="7216"/>
      <c r="U3" s="7216"/>
      <c r="V3" s="7216"/>
      <c r="W3" s="7216"/>
      <c r="X3" s="7216"/>
      <c r="Y3" s="7216"/>
      <c r="Z3" s="7216"/>
      <c r="AA3" s="7216"/>
      <c r="AB3" s="7216"/>
      <c r="AC3" s="7216"/>
      <c r="AD3" s="7216"/>
      <c r="AE3" s="7216"/>
      <c r="AF3" s="7216"/>
      <c r="AG3" s="7216"/>
      <c r="AH3" s="7216"/>
      <c r="AI3" s="7216"/>
      <c r="AJ3" s="7216"/>
      <c r="AK3" s="7216"/>
      <c r="AL3" s="7216"/>
      <c r="AM3" s="7216"/>
      <c r="AN3" s="7216"/>
      <c r="AO3" s="7216"/>
      <c r="AP3" s="7216"/>
      <c r="AQ3" s="7216"/>
      <c r="AR3" s="7216"/>
      <c r="AS3" s="7216"/>
      <c r="AT3" s="7216"/>
      <c r="AU3" s="7216"/>
      <c r="AV3" s="7216"/>
      <c r="AW3" s="6217"/>
      <c r="AX3" s="6217"/>
      <c r="AY3" s="6217"/>
      <c r="AZ3" s="6217"/>
      <c r="BA3" s="6217"/>
      <c r="BB3" s="6217"/>
      <c r="BC3" s="5582"/>
      <c r="BD3" s="5582"/>
      <c r="BE3" s="5582"/>
      <c r="BF3" s="5582"/>
    </row>
    <row r="4" spans="1:58" ht="9" customHeight="1">
      <c r="C4" s="2146"/>
      <c r="S4" s="7217"/>
      <c r="T4" s="7216"/>
      <c r="U4" s="7216"/>
      <c r="V4" s="7217"/>
      <c r="W4" s="7216"/>
      <c r="X4" s="7216"/>
      <c r="Y4" s="7217"/>
      <c r="Z4" s="7216"/>
      <c r="AA4" s="7216"/>
      <c r="AB4" s="7217"/>
      <c r="AC4" s="7216"/>
      <c r="AD4" s="7216"/>
      <c r="AE4" s="7217"/>
      <c r="AF4" s="7216"/>
      <c r="AG4" s="7216"/>
      <c r="AH4" s="7217"/>
      <c r="AI4" s="7216"/>
      <c r="AJ4" s="7216"/>
      <c r="AK4" s="7217"/>
      <c r="AL4" s="7216"/>
      <c r="AM4" s="7216"/>
      <c r="AN4" s="7217"/>
      <c r="AO4" s="7216"/>
      <c r="AP4" s="7216"/>
      <c r="AQ4" s="7217"/>
      <c r="AR4" s="7216"/>
      <c r="AS4" s="7216"/>
      <c r="AT4" s="7217"/>
      <c r="AU4" s="7216"/>
      <c r="AV4" s="7216"/>
      <c r="AW4" s="6218"/>
      <c r="AX4" s="6217"/>
      <c r="AY4" s="6217"/>
      <c r="AZ4" s="6218"/>
      <c r="BA4" s="6217"/>
      <c r="BB4" s="6217"/>
      <c r="BC4" s="3723"/>
      <c r="BD4" s="3723"/>
      <c r="BE4" s="3723"/>
      <c r="BF4" s="3723"/>
    </row>
    <row r="5" spans="1:58" ht="15" customHeight="1" thickBot="1">
      <c r="C5" s="2146"/>
      <c r="S5" s="7217"/>
      <c r="T5" s="7216"/>
      <c r="U5" s="7216"/>
      <c r="V5" s="7217"/>
      <c r="W5" s="7216"/>
      <c r="X5" s="7216"/>
      <c r="Y5" s="7217"/>
      <c r="Z5" s="7216"/>
      <c r="AA5" s="7216"/>
      <c r="AB5" s="7217"/>
      <c r="AC5" s="7216"/>
      <c r="AD5" s="7216"/>
      <c r="AE5" s="7217"/>
      <c r="AF5" s="7216"/>
      <c r="AG5" s="7216"/>
      <c r="AH5" s="7217"/>
      <c r="AI5" s="7216"/>
      <c r="AJ5" s="7216"/>
      <c r="AK5" s="7217"/>
      <c r="AL5" s="7216"/>
      <c r="AM5" s="7216"/>
      <c r="AN5" s="7217"/>
      <c r="AO5" s="7216"/>
      <c r="AP5" s="7216"/>
      <c r="AQ5" s="7217"/>
      <c r="AR5" s="7216"/>
      <c r="AS5" s="7216"/>
      <c r="AT5" s="7217"/>
      <c r="AU5" s="7216"/>
      <c r="AV5" s="7216"/>
      <c r="AW5" s="6218"/>
      <c r="AX5" s="6217"/>
      <c r="AY5" s="6217"/>
      <c r="AZ5" s="6218"/>
      <c r="BA5" s="6217"/>
      <c r="BB5" s="6217"/>
      <c r="BC5" s="3723"/>
      <c r="BD5" s="3723"/>
      <c r="BE5" s="3723"/>
      <c r="BF5" s="3723"/>
    </row>
    <row r="6" spans="1:58" s="2150" customFormat="1" ht="12" customHeight="1">
      <c r="A6" s="5583">
        <v>100</v>
      </c>
      <c r="B6" s="2148">
        <f t="shared" ref="B6:D14" si="0">B7</f>
        <v>45.454545454545453</v>
      </c>
      <c r="C6" s="2148">
        <f t="shared" si="0"/>
        <v>54.545454545454547</v>
      </c>
      <c r="D6" s="2148"/>
      <c r="E6" s="2149">
        <f t="shared" ref="E6:AB14" si="1">E7</f>
        <v>72.727272727272734</v>
      </c>
      <c r="F6" s="5584">
        <f t="shared" si="1"/>
        <v>81.818181818181813</v>
      </c>
      <c r="G6" s="3720">
        <f t="shared" si="1"/>
        <v>72.727272727272734</v>
      </c>
      <c r="H6" s="3720">
        <f t="shared" si="1"/>
        <v>54.545454545454547</v>
      </c>
      <c r="I6" s="3720">
        <f t="shared" si="1"/>
        <v>72.727272727272734</v>
      </c>
      <c r="J6" s="3720">
        <f t="shared" si="1"/>
        <v>81.818181818181813</v>
      </c>
      <c r="K6" s="3720">
        <f t="shared" si="1"/>
        <v>90.909090909090907</v>
      </c>
      <c r="L6" s="3720">
        <f t="shared" si="1"/>
        <v>63.636363636363633</v>
      </c>
      <c r="M6" s="3720">
        <f t="shared" si="1"/>
        <v>54.545454545454547</v>
      </c>
      <c r="N6" s="3720">
        <f t="shared" si="1"/>
        <v>45.454545454545453</v>
      </c>
      <c r="O6" s="3720">
        <f t="shared" si="1"/>
        <v>36.363636363636367</v>
      </c>
      <c r="P6" s="3720">
        <f t="shared" si="1"/>
        <v>36.363636363636367</v>
      </c>
      <c r="Q6" s="3720">
        <f t="shared" si="1"/>
        <v>27.272727272727273</v>
      </c>
      <c r="R6" s="6661">
        <f t="shared" si="1"/>
        <v>27.272727272727273</v>
      </c>
      <c r="S6" s="6669">
        <f t="shared" si="1"/>
        <v>45.454545454545453</v>
      </c>
      <c r="T6" s="6673">
        <f t="shared" si="1"/>
        <v>54.545454545454547</v>
      </c>
      <c r="U6" s="6673">
        <f t="shared" si="1"/>
        <v>81.818181818181813</v>
      </c>
      <c r="V6" s="6673">
        <f t="shared" si="1"/>
        <v>90.909090909090907</v>
      </c>
      <c r="W6" s="6673">
        <f t="shared" si="1"/>
        <v>109.09090909090909</v>
      </c>
      <c r="X6" s="6673">
        <f t="shared" si="1"/>
        <v>72.727272727272734</v>
      </c>
      <c r="Y6" s="6673">
        <f t="shared" si="1"/>
        <v>54.545454545454547</v>
      </c>
      <c r="Z6" s="6673">
        <f t="shared" si="1"/>
        <v>54.545454545454547</v>
      </c>
      <c r="AA6" s="6673">
        <f t="shared" si="1"/>
        <v>54.545454545454547</v>
      </c>
      <c r="AB6" s="6673">
        <f t="shared" si="1"/>
        <v>9.0909090909090917</v>
      </c>
      <c r="AC6" s="6673">
        <f t="shared" ref="AC6:AZ14" si="2">AC7</f>
        <v>9.0909090909090917</v>
      </c>
      <c r="AD6" s="6673">
        <f t="shared" si="2"/>
        <v>9.0909090909090917</v>
      </c>
      <c r="AE6" s="6673">
        <f t="shared" si="2"/>
        <v>9.0909090909090917</v>
      </c>
      <c r="AF6" s="6673">
        <f t="shared" si="2"/>
        <v>9.0909090909090917</v>
      </c>
      <c r="AG6" s="6671">
        <f t="shared" si="2"/>
        <v>9.0909090909090917</v>
      </c>
      <c r="AH6" s="6648">
        <f t="shared" si="2"/>
        <v>9.0909090909090917</v>
      </c>
      <c r="AI6" s="3721">
        <f t="shared" si="2"/>
        <v>9.0909090909090917</v>
      </c>
      <c r="AJ6" s="3721">
        <f t="shared" si="2"/>
        <v>9.0909090909090917</v>
      </c>
      <c r="AK6" s="3721">
        <f t="shared" si="2"/>
        <v>9.0909090909090917</v>
      </c>
      <c r="AL6" s="3721">
        <f t="shared" si="2"/>
        <v>9.0909090909090917</v>
      </c>
      <c r="AM6" s="5585">
        <v>45</v>
      </c>
      <c r="AN6" s="3721">
        <f t="shared" si="2"/>
        <v>9.0909090909090917</v>
      </c>
      <c r="AO6" s="3721">
        <f t="shared" si="2"/>
        <v>9.0909090909090917</v>
      </c>
      <c r="AP6" s="3721">
        <f t="shared" si="2"/>
        <v>9.0909090909090917</v>
      </c>
      <c r="AQ6" s="3721">
        <f t="shared" si="2"/>
        <v>9.0909090909090917</v>
      </c>
      <c r="AR6" s="3721">
        <f t="shared" si="2"/>
        <v>9.0909090909090917</v>
      </c>
      <c r="AS6" s="3721">
        <f t="shared" si="2"/>
        <v>9.0909090909090917</v>
      </c>
      <c r="AT6" s="3721">
        <f t="shared" si="2"/>
        <v>9.0909090909090917</v>
      </c>
      <c r="AU6" s="3721">
        <f t="shared" si="2"/>
        <v>9.0909090909090917</v>
      </c>
      <c r="AV6" s="3721">
        <f t="shared" si="2"/>
        <v>9.0909090909090917</v>
      </c>
      <c r="AW6" s="3721">
        <f t="shared" si="2"/>
        <v>9.0909090909090917</v>
      </c>
      <c r="AX6" s="3725">
        <f>AX7</f>
        <v>9.0909090909090917</v>
      </c>
      <c r="AY6" s="3725">
        <f t="shared" si="2"/>
        <v>9.0909090909090917</v>
      </c>
      <c r="AZ6" s="3725">
        <f t="shared" si="2"/>
        <v>9.0909090909090917</v>
      </c>
      <c r="BA6" s="3725">
        <f t="shared" ref="AW6:BA14" si="3">BA7</f>
        <v>9.0909090909090917</v>
      </c>
      <c r="BB6" s="3721"/>
      <c r="BC6" s="3721"/>
      <c r="BD6" s="3721"/>
      <c r="BE6" s="3721"/>
      <c r="BF6" s="3721"/>
    </row>
    <row r="7" spans="1:58" s="2150" customFormat="1" ht="12" customHeight="1">
      <c r="A7" s="5586">
        <v>90</v>
      </c>
      <c r="B7" s="5587">
        <f t="shared" si="0"/>
        <v>45.454545454545453</v>
      </c>
      <c r="C7" s="5587">
        <f t="shared" si="0"/>
        <v>54.545454545454547</v>
      </c>
      <c r="D7" s="5587">
        <f>D8</f>
        <v>63.636363636363633</v>
      </c>
      <c r="E7" s="5588">
        <f t="shared" si="1"/>
        <v>72.727272727272734</v>
      </c>
      <c r="F7" s="5584">
        <f t="shared" si="1"/>
        <v>81.818181818181813</v>
      </c>
      <c r="G7" s="5584">
        <f t="shared" si="1"/>
        <v>72.727272727272734</v>
      </c>
      <c r="H7" s="5584">
        <f t="shared" si="1"/>
        <v>54.545454545454547</v>
      </c>
      <c r="I7" s="5584">
        <f t="shared" si="1"/>
        <v>72.727272727272734</v>
      </c>
      <c r="J7" s="5584">
        <f t="shared" si="1"/>
        <v>81.818181818181813</v>
      </c>
      <c r="K7" s="5584">
        <f t="shared" si="1"/>
        <v>90.909090909090907</v>
      </c>
      <c r="L7" s="5584">
        <f t="shared" si="1"/>
        <v>63.636363636363633</v>
      </c>
      <c r="M7" s="5584">
        <f t="shared" si="1"/>
        <v>54.545454545454547</v>
      </c>
      <c r="N7" s="5584">
        <f t="shared" si="1"/>
        <v>45.454545454545453</v>
      </c>
      <c r="O7" s="5584">
        <f t="shared" si="1"/>
        <v>36.363636363636367</v>
      </c>
      <c r="P7" s="6646">
        <f t="shared" si="1"/>
        <v>36.363636363636367</v>
      </c>
      <c r="Q7" s="6646">
        <f t="shared" si="1"/>
        <v>27.272727272727273</v>
      </c>
      <c r="R7" s="6662">
        <f t="shared" si="1"/>
        <v>27.272727272727273</v>
      </c>
      <c r="S7" s="6670">
        <f t="shared" si="1"/>
        <v>45.454545454545453</v>
      </c>
      <c r="T7" s="6673">
        <f t="shared" si="1"/>
        <v>54.545454545454547</v>
      </c>
      <c r="U7" s="6673">
        <f t="shared" si="1"/>
        <v>81.818181818181813</v>
      </c>
      <c r="V7" s="6674">
        <f t="shared" si="1"/>
        <v>90.909090909090907</v>
      </c>
      <c r="W7" s="6674">
        <f t="shared" si="1"/>
        <v>109.09090909090909</v>
      </c>
      <c r="X7" s="6674">
        <f t="shared" si="1"/>
        <v>72.727272727272734</v>
      </c>
      <c r="Y7" s="6674">
        <f t="shared" si="1"/>
        <v>54.545454545454547</v>
      </c>
      <c r="Z7" s="6674">
        <f t="shared" si="1"/>
        <v>54.545454545454547</v>
      </c>
      <c r="AA7" s="6674">
        <f t="shared" si="1"/>
        <v>54.545454545454547</v>
      </c>
      <c r="AB7" s="6674">
        <f t="shared" si="1"/>
        <v>9.0909090909090917</v>
      </c>
      <c r="AC7" s="6674">
        <f t="shared" si="2"/>
        <v>9.0909090909090917</v>
      </c>
      <c r="AD7" s="6674">
        <f t="shared" si="2"/>
        <v>9.0909090909090917</v>
      </c>
      <c r="AE7" s="6674">
        <f t="shared" si="2"/>
        <v>9.0909090909090917</v>
      </c>
      <c r="AF7" s="6674">
        <f t="shared" si="2"/>
        <v>9.0909090909090917</v>
      </c>
      <c r="AG7" s="6672">
        <f t="shared" si="2"/>
        <v>9.0909090909090917</v>
      </c>
      <c r="AH7" s="6667">
        <f t="shared" si="2"/>
        <v>9.0909090909090917</v>
      </c>
      <c r="AI7" s="5589">
        <f t="shared" si="2"/>
        <v>9.0909090909090917</v>
      </c>
      <c r="AJ7" s="5590">
        <f t="shared" si="2"/>
        <v>9.0909090909090917</v>
      </c>
      <c r="AK7" s="5590">
        <f t="shared" si="2"/>
        <v>9.0909090909090917</v>
      </c>
      <c r="AL7" s="5590">
        <f t="shared" si="2"/>
        <v>9.0909090909090917</v>
      </c>
      <c r="AM7" s="5590">
        <f t="shared" si="2"/>
        <v>9.0909090909090917</v>
      </c>
      <c r="AN7" s="5590">
        <f t="shared" si="2"/>
        <v>9.0909090909090917</v>
      </c>
      <c r="AO7" s="5590">
        <f t="shared" si="2"/>
        <v>9.0909090909090917</v>
      </c>
      <c r="AP7" s="5590">
        <f t="shared" si="2"/>
        <v>9.0909090909090917</v>
      </c>
      <c r="AQ7" s="5590">
        <f t="shared" si="2"/>
        <v>9.0909090909090917</v>
      </c>
      <c r="AR7" s="5590">
        <f t="shared" si="2"/>
        <v>9.0909090909090917</v>
      </c>
      <c r="AS7" s="5590">
        <f t="shared" si="2"/>
        <v>9.0909090909090917</v>
      </c>
      <c r="AT7" s="5590">
        <f t="shared" si="2"/>
        <v>9.0909090909090917</v>
      </c>
      <c r="AU7" s="5590">
        <f t="shared" si="2"/>
        <v>9.0909090909090917</v>
      </c>
      <c r="AV7" s="5590">
        <f t="shared" si="2"/>
        <v>9.0909090909090917</v>
      </c>
      <c r="AW7" s="5590">
        <f t="shared" si="2"/>
        <v>9.0909090909090917</v>
      </c>
      <c r="AX7" s="5591">
        <f t="shared" si="3"/>
        <v>9.0909090909090917</v>
      </c>
      <c r="AY7" s="5591">
        <f t="shared" si="3"/>
        <v>9.0909090909090917</v>
      </c>
      <c r="AZ7" s="5590">
        <f t="shared" si="3"/>
        <v>9.0909090909090917</v>
      </c>
      <c r="BA7" s="5590">
        <f t="shared" si="3"/>
        <v>9.0909090909090917</v>
      </c>
      <c r="BB7" s="5592"/>
      <c r="BC7" s="5592"/>
      <c r="BD7" s="5592"/>
      <c r="BE7" s="5592"/>
      <c r="BF7" s="5592"/>
    </row>
    <row r="8" spans="1:58" s="2150" customFormat="1" ht="12" customHeight="1">
      <c r="A8" s="5586">
        <v>80</v>
      </c>
      <c r="B8" s="5587">
        <f t="shared" si="0"/>
        <v>45.454545454545453</v>
      </c>
      <c r="C8" s="5587">
        <f t="shared" si="0"/>
        <v>54.545454545454547</v>
      </c>
      <c r="D8" s="5587">
        <f t="shared" si="0"/>
        <v>63.636363636363633</v>
      </c>
      <c r="E8" s="5588">
        <f t="shared" si="1"/>
        <v>72.727272727272734</v>
      </c>
      <c r="F8" s="5584">
        <f t="shared" si="1"/>
        <v>81.818181818181813</v>
      </c>
      <c r="G8" s="5584">
        <f t="shared" si="1"/>
        <v>72.727272727272734</v>
      </c>
      <c r="H8" s="5584">
        <f t="shared" si="1"/>
        <v>54.545454545454547</v>
      </c>
      <c r="I8" s="5584">
        <f t="shared" si="1"/>
        <v>72.727272727272734</v>
      </c>
      <c r="J8" s="5584">
        <f t="shared" si="1"/>
        <v>81.818181818181813</v>
      </c>
      <c r="K8" s="5584">
        <f t="shared" si="1"/>
        <v>90.909090909090907</v>
      </c>
      <c r="L8" s="5584">
        <f t="shared" si="1"/>
        <v>63.636363636363633</v>
      </c>
      <c r="M8" s="5584">
        <f t="shared" si="1"/>
        <v>54.545454545454547</v>
      </c>
      <c r="N8" s="5584">
        <f t="shared" si="1"/>
        <v>45.454545454545453</v>
      </c>
      <c r="O8" s="5584">
        <f t="shared" si="1"/>
        <v>36.363636363636367</v>
      </c>
      <c r="P8" s="6646">
        <f t="shared" si="1"/>
        <v>36.363636363636367</v>
      </c>
      <c r="Q8" s="6646">
        <f t="shared" si="1"/>
        <v>27.272727272727273</v>
      </c>
      <c r="R8" s="6663">
        <f t="shared" si="1"/>
        <v>27.272727272727273</v>
      </c>
      <c r="S8" s="6670">
        <f t="shared" si="1"/>
        <v>45.454545454545453</v>
      </c>
      <c r="T8" s="6673">
        <f t="shared" si="1"/>
        <v>54.545454545454547</v>
      </c>
      <c r="U8" s="6673">
        <f t="shared" si="1"/>
        <v>81.818181818181813</v>
      </c>
      <c r="V8" s="6674">
        <f t="shared" si="1"/>
        <v>90.909090909090907</v>
      </c>
      <c r="W8" s="6674">
        <f t="shared" si="1"/>
        <v>109.09090909090909</v>
      </c>
      <c r="X8" s="6674">
        <f t="shared" si="1"/>
        <v>72.727272727272734</v>
      </c>
      <c r="Y8" s="6674">
        <f t="shared" si="1"/>
        <v>54.545454545454547</v>
      </c>
      <c r="Z8" s="6674">
        <f t="shared" si="1"/>
        <v>54.545454545454547</v>
      </c>
      <c r="AA8" s="6674">
        <f t="shared" si="1"/>
        <v>54.545454545454547</v>
      </c>
      <c r="AB8" s="6674">
        <f t="shared" si="1"/>
        <v>9.0909090909090917</v>
      </c>
      <c r="AC8" s="6674">
        <f t="shared" si="2"/>
        <v>9.0909090909090917</v>
      </c>
      <c r="AD8" s="6674">
        <f t="shared" si="2"/>
        <v>9.0909090909090917</v>
      </c>
      <c r="AE8" s="6674">
        <f t="shared" si="2"/>
        <v>9.0909090909090917</v>
      </c>
      <c r="AF8" s="6674">
        <f t="shared" si="2"/>
        <v>9.0909090909090917</v>
      </c>
      <c r="AG8" s="6672">
        <f t="shared" si="2"/>
        <v>9.0909090909090917</v>
      </c>
      <c r="AH8" s="6667">
        <f t="shared" si="2"/>
        <v>9.0909090909090917</v>
      </c>
      <c r="AI8" s="5589">
        <f t="shared" si="2"/>
        <v>9.0909090909090917</v>
      </c>
      <c r="AJ8" s="5590">
        <f t="shared" si="2"/>
        <v>9.0909090909090917</v>
      </c>
      <c r="AK8" s="5590">
        <f t="shared" si="2"/>
        <v>9.0909090909090917</v>
      </c>
      <c r="AL8" s="5590">
        <f t="shared" si="2"/>
        <v>9.0909090909090917</v>
      </c>
      <c r="AM8" s="5590">
        <f t="shared" si="2"/>
        <v>9.0909090909090917</v>
      </c>
      <c r="AN8" s="5590">
        <f t="shared" si="2"/>
        <v>9.0909090909090917</v>
      </c>
      <c r="AO8" s="5590">
        <f t="shared" si="2"/>
        <v>9.0909090909090917</v>
      </c>
      <c r="AP8" s="5590">
        <f t="shared" si="2"/>
        <v>9.0909090909090917</v>
      </c>
      <c r="AQ8" s="5590">
        <f t="shared" si="2"/>
        <v>9.0909090909090917</v>
      </c>
      <c r="AR8" s="5590">
        <f t="shared" si="2"/>
        <v>9.0909090909090917</v>
      </c>
      <c r="AS8" s="5590">
        <f t="shared" si="2"/>
        <v>9.0909090909090917</v>
      </c>
      <c r="AT8" s="5590">
        <f t="shared" si="2"/>
        <v>9.0909090909090917</v>
      </c>
      <c r="AU8" s="5590">
        <f t="shared" si="2"/>
        <v>9.0909090909090917</v>
      </c>
      <c r="AV8" s="5590">
        <f t="shared" si="2"/>
        <v>9.0909090909090917</v>
      </c>
      <c r="AW8" s="5590">
        <f t="shared" si="2"/>
        <v>9.0909090909090917</v>
      </c>
      <c r="AX8" s="5591">
        <f t="shared" si="3"/>
        <v>9.0909090909090917</v>
      </c>
      <c r="AY8" s="5590">
        <f t="shared" si="3"/>
        <v>9.0909090909090917</v>
      </c>
      <c r="AZ8" s="5590">
        <f t="shared" si="3"/>
        <v>9.0909090909090917</v>
      </c>
      <c r="BA8" s="5590">
        <f t="shared" si="3"/>
        <v>9.0909090909090917</v>
      </c>
      <c r="BB8" s="5592"/>
      <c r="BC8" s="5592"/>
      <c r="BD8" s="5592"/>
      <c r="BE8" s="5592"/>
      <c r="BF8" s="5592"/>
    </row>
    <row r="9" spans="1:58" s="2150" customFormat="1" ht="12" customHeight="1">
      <c r="A9" s="5586">
        <v>70</v>
      </c>
      <c r="B9" s="5587">
        <f t="shared" si="0"/>
        <v>45.454545454545453</v>
      </c>
      <c r="C9" s="5587">
        <f t="shared" si="0"/>
        <v>54.545454545454547</v>
      </c>
      <c r="D9" s="5587">
        <f t="shared" si="0"/>
        <v>63.636363636363633</v>
      </c>
      <c r="E9" s="5588">
        <f t="shared" si="1"/>
        <v>72.727272727272734</v>
      </c>
      <c r="F9" s="5584">
        <f t="shared" si="1"/>
        <v>81.818181818181813</v>
      </c>
      <c r="G9" s="5584">
        <f t="shared" si="1"/>
        <v>72.727272727272734</v>
      </c>
      <c r="H9" s="5584">
        <f t="shared" si="1"/>
        <v>54.545454545454547</v>
      </c>
      <c r="I9" s="5584">
        <f t="shared" si="1"/>
        <v>72.727272727272734</v>
      </c>
      <c r="J9" s="5584">
        <f t="shared" si="1"/>
        <v>81.818181818181813</v>
      </c>
      <c r="K9" s="5584">
        <f t="shared" si="1"/>
        <v>90.909090909090907</v>
      </c>
      <c r="L9" s="5584">
        <f t="shared" si="1"/>
        <v>63.636363636363633</v>
      </c>
      <c r="M9" s="5584">
        <f t="shared" si="1"/>
        <v>54.545454545454547</v>
      </c>
      <c r="N9" s="5584">
        <f t="shared" si="1"/>
        <v>45.454545454545453</v>
      </c>
      <c r="O9" s="5584">
        <f t="shared" si="1"/>
        <v>36.363636363636367</v>
      </c>
      <c r="P9" s="6646">
        <f t="shared" si="1"/>
        <v>36.363636363636367</v>
      </c>
      <c r="Q9" s="6646">
        <f t="shared" si="1"/>
        <v>27.272727272727273</v>
      </c>
      <c r="R9" s="6663">
        <f t="shared" si="1"/>
        <v>27.272727272727273</v>
      </c>
      <c r="S9" s="6670">
        <f t="shared" si="1"/>
        <v>45.454545454545453</v>
      </c>
      <c r="T9" s="6673">
        <f t="shared" si="1"/>
        <v>54.545454545454547</v>
      </c>
      <c r="U9" s="6673">
        <f t="shared" si="1"/>
        <v>81.818181818181813</v>
      </c>
      <c r="V9" s="6674">
        <f t="shared" si="1"/>
        <v>90.909090909090907</v>
      </c>
      <c r="W9" s="6674">
        <f t="shared" si="1"/>
        <v>109.09090909090909</v>
      </c>
      <c r="X9" s="6674">
        <f t="shared" si="1"/>
        <v>72.727272727272734</v>
      </c>
      <c r="Y9" s="6674">
        <f t="shared" si="1"/>
        <v>54.545454545454547</v>
      </c>
      <c r="Z9" s="6674">
        <f t="shared" si="1"/>
        <v>54.545454545454547</v>
      </c>
      <c r="AA9" s="6674">
        <f t="shared" si="1"/>
        <v>54.545454545454547</v>
      </c>
      <c r="AB9" s="6674">
        <f t="shared" si="1"/>
        <v>9.0909090909090917</v>
      </c>
      <c r="AC9" s="6674">
        <f t="shared" si="2"/>
        <v>9.0909090909090917</v>
      </c>
      <c r="AD9" s="6674">
        <f t="shared" si="2"/>
        <v>9.0909090909090917</v>
      </c>
      <c r="AE9" s="6674">
        <f t="shared" si="2"/>
        <v>9.0909090909090917</v>
      </c>
      <c r="AF9" s="6674">
        <f t="shared" si="2"/>
        <v>9.0909090909090917</v>
      </c>
      <c r="AG9" s="6672">
        <f t="shared" si="2"/>
        <v>9.0909090909090917</v>
      </c>
      <c r="AH9" s="6667">
        <f t="shared" si="2"/>
        <v>9.0909090909090917</v>
      </c>
      <c r="AI9" s="5589">
        <f t="shared" si="2"/>
        <v>9.0909090909090917</v>
      </c>
      <c r="AJ9" s="5590">
        <f t="shared" si="2"/>
        <v>9.0909090909090917</v>
      </c>
      <c r="AK9" s="5590">
        <f t="shared" si="2"/>
        <v>9.0909090909090917</v>
      </c>
      <c r="AL9" s="5590">
        <f t="shared" si="2"/>
        <v>9.0909090909090917</v>
      </c>
      <c r="AM9" s="5590">
        <f t="shared" si="2"/>
        <v>9.0909090909090917</v>
      </c>
      <c r="AN9" s="5590">
        <f t="shared" si="2"/>
        <v>9.0909090909090917</v>
      </c>
      <c r="AO9" s="5590">
        <f t="shared" si="2"/>
        <v>9.0909090909090917</v>
      </c>
      <c r="AP9" s="5590">
        <f t="shared" si="2"/>
        <v>9.0909090909090917</v>
      </c>
      <c r="AQ9" s="5590">
        <f t="shared" si="2"/>
        <v>9.0909090909090917</v>
      </c>
      <c r="AR9" s="5590">
        <f t="shared" si="2"/>
        <v>9.0909090909090917</v>
      </c>
      <c r="AS9" s="5590">
        <f t="shared" si="2"/>
        <v>9.0909090909090917</v>
      </c>
      <c r="AT9" s="5590">
        <f t="shared" si="2"/>
        <v>9.0909090909090917</v>
      </c>
      <c r="AU9" s="5590">
        <f t="shared" si="2"/>
        <v>9.0909090909090917</v>
      </c>
      <c r="AV9" s="5590">
        <f t="shared" si="2"/>
        <v>9.0909090909090917</v>
      </c>
      <c r="AW9" s="5590">
        <f t="shared" si="2"/>
        <v>9.0909090909090917</v>
      </c>
      <c r="AX9" s="5591">
        <f t="shared" si="3"/>
        <v>9.0909090909090917</v>
      </c>
      <c r="AY9" s="5591">
        <f t="shared" si="3"/>
        <v>9.0909090909090917</v>
      </c>
      <c r="AZ9" s="5590">
        <f t="shared" si="3"/>
        <v>9.0909090909090917</v>
      </c>
      <c r="BA9" s="5590">
        <f t="shared" si="3"/>
        <v>9.0909090909090917</v>
      </c>
      <c r="BB9" s="5592"/>
      <c r="BC9" s="5592"/>
      <c r="BD9" s="5592"/>
      <c r="BE9" s="5592"/>
      <c r="BF9" s="5592"/>
    </row>
    <row r="10" spans="1:58" s="2150" customFormat="1" ht="12" customHeight="1">
      <c r="A10" s="5586">
        <v>60</v>
      </c>
      <c r="B10" s="5587">
        <f t="shared" si="0"/>
        <v>45.454545454545453</v>
      </c>
      <c r="C10" s="5587">
        <f t="shared" si="0"/>
        <v>54.545454545454547</v>
      </c>
      <c r="D10" s="5587">
        <f t="shared" si="0"/>
        <v>63.636363636363633</v>
      </c>
      <c r="E10" s="5588">
        <f t="shared" si="1"/>
        <v>72.727272727272734</v>
      </c>
      <c r="F10" s="5584">
        <f t="shared" si="1"/>
        <v>81.818181818181813</v>
      </c>
      <c r="G10" s="5584">
        <f t="shared" si="1"/>
        <v>72.727272727272734</v>
      </c>
      <c r="H10" s="5584">
        <f t="shared" si="1"/>
        <v>54.545454545454547</v>
      </c>
      <c r="I10" s="5584">
        <f t="shared" si="1"/>
        <v>72.727272727272734</v>
      </c>
      <c r="J10" s="5584">
        <f t="shared" si="1"/>
        <v>81.818181818181813</v>
      </c>
      <c r="K10" s="5584">
        <f t="shared" si="1"/>
        <v>90.909090909090907</v>
      </c>
      <c r="L10" s="5584">
        <f t="shared" si="1"/>
        <v>63.636363636363633</v>
      </c>
      <c r="M10" s="5584">
        <f t="shared" si="1"/>
        <v>54.545454545454547</v>
      </c>
      <c r="N10" s="5584">
        <f t="shared" si="1"/>
        <v>45.454545454545453</v>
      </c>
      <c r="O10" s="5584">
        <f t="shared" si="1"/>
        <v>36.363636363636367</v>
      </c>
      <c r="P10" s="6646">
        <f t="shared" si="1"/>
        <v>36.363636363636367</v>
      </c>
      <c r="Q10" s="6646">
        <f t="shared" si="1"/>
        <v>27.272727272727273</v>
      </c>
      <c r="R10" s="6663">
        <f t="shared" si="1"/>
        <v>27.272727272727273</v>
      </c>
      <c r="S10" s="6670">
        <f t="shared" si="1"/>
        <v>45.454545454545453</v>
      </c>
      <c r="T10" s="6673">
        <f t="shared" si="1"/>
        <v>54.545454545454547</v>
      </c>
      <c r="U10" s="6673">
        <f t="shared" si="1"/>
        <v>81.818181818181813</v>
      </c>
      <c r="V10" s="6674">
        <f t="shared" si="1"/>
        <v>90.909090909090907</v>
      </c>
      <c r="W10" s="6674">
        <f t="shared" si="1"/>
        <v>109.09090909090909</v>
      </c>
      <c r="X10" s="6674">
        <f t="shared" si="1"/>
        <v>72.727272727272734</v>
      </c>
      <c r="Y10" s="6674">
        <f t="shared" si="1"/>
        <v>54.545454545454547</v>
      </c>
      <c r="Z10" s="6674">
        <f t="shared" si="1"/>
        <v>54.545454545454547</v>
      </c>
      <c r="AA10" s="6674">
        <f t="shared" si="1"/>
        <v>54.545454545454547</v>
      </c>
      <c r="AB10" s="6674">
        <f t="shared" si="1"/>
        <v>9.0909090909090917</v>
      </c>
      <c r="AC10" s="6674">
        <f t="shared" si="2"/>
        <v>9.0909090909090917</v>
      </c>
      <c r="AD10" s="6674">
        <f t="shared" si="2"/>
        <v>9.0909090909090917</v>
      </c>
      <c r="AE10" s="6674">
        <f t="shared" si="2"/>
        <v>9.0909090909090917</v>
      </c>
      <c r="AF10" s="6674">
        <f t="shared" si="2"/>
        <v>9.0909090909090917</v>
      </c>
      <c r="AG10" s="6672">
        <f t="shared" si="2"/>
        <v>9.0909090909090917</v>
      </c>
      <c r="AH10" s="6667">
        <f t="shared" si="2"/>
        <v>9.0909090909090917</v>
      </c>
      <c r="AI10" s="5589">
        <f t="shared" si="2"/>
        <v>9.0909090909090917</v>
      </c>
      <c r="AJ10" s="5590">
        <f t="shared" si="2"/>
        <v>9.0909090909090917</v>
      </c>
      <c r="AK10" s="5590">
        <f t="shared" si="2"/>
        <v>9.0909090909090917</v>
      </c>
      <c r="AL10" s="5590">
        <f t="shared" si="2"/>
        <v>9.0909090909090917</v>
      </c>
      <c r="AM10" s="5590">
        <f t="shared" si="2"/>
        <v>9.0909090909090917</v>
      </c>
      <c r="AN10" s="5590">
        <f t="shared" si="2"/>
        <v>9.0909090909090917</v>
      </c>
      <c r="AO10" s="5590">
        <f t="shared" si="2"/>
        <v>9.0909090909090917</v>
      </c>
      <c r="AP10" s="5590">
        <f t="shared" si="2"/>
        <v>9.0909090909090917</v>
      </c>
      <c r="AQ10" s="5590">
        <f t="shared" si="2"/>
        <v>9.0909090909090917</v>
      </c>
      <c r="AR10" s="5590">
        <f t="shared" si="2"/>
        <v>9.0909090909090917</v>
      </c>
      <c r="AS10" s="5590">
        <f t="shared" si="2"/>
        <v>9.0909090909090917</v>
      </c>
      <c r="AT10" s="5590">
        <f t="shared" si="2"/>
        <v>9.0909090909090917</v>
      </c>
      <c r="AU10" s="5590">
        <f t="shared" si="2"/>
        <v>9.0909090909090917</v>
      </c>
      <c r="AV10" s="5590">
        <f t="shared" si="2"/>
        <v>9.0909090909090917</v>
      </c>
      <c r="AW10" s="5591">
        <f t="shared" si="3"/>
        <v>9.0909090909090917</v>
      </c>
      <c r="AX10" s="5591">
        <f t="shared" si="3"/>
        <v>9.0909090909090917</v>
      </c>
      <c r="AY10" s="5591">
        <f t="shared" si="3"/>
        <v>9.0909090909090917</v>
      </c>
      <c r="AZ10" s="5591">
        <f t="shared" si="3"/>
        <v>9.0909090909090917</v>
      </c>
      <c r="BA10" s="5591">
        <f t="shared" si="3"/>
        <v>9.0909090909090917</v>
      </c>
      <c r="BB10" s="5592"/>
      <c r="BC10" s="5592"/>
      <c r="BD10" s="5592"/>
      <c r="BE10" s="5592"/>
      <c r="BF10" s="5592"/>
    </row>
    <row r="11" spans="1:58" s="2150" customFormat="1" ht="12" customHeight="1">
      <c r="A11" s="5586">
        <v>50</v>
      </c>
      <c r="B11" s="5587">
        <f t="shared" si="0"/>
        <v>45.454545454545453</v>
      </c>
      <c r="C11" s="5587">
        <f t="shared" si="0"/>
        <v>54.545454545454547</v>
      </c>
      <c r="D11" s="5587">
        <f t="shared" si="0"/>
        <v>63.636363636363633</v>
      </c>
      <c r="E11" s="5588">
        <f t="shared" si="1"/>
        <v>72.727272727272734</v>
      </c>
      <c r="F11" s="5584">
        <f t="shared" si="1"/>
        <v>81.818181818181813</v>
      </c>
      <c r="G11" s="5584">
        <f t="shared" si="1"/>
        <v>72.727272727272734</v>
      </c>
      <c r="H11" s="5584">
        <f t="shared" si="1"/>
        <v>54.545454545454547</v>
      </c>
      <c r="I11" s="5584">
        <f t="shared" si="1"/>
        <v>72.727272727272734</v>
      </c>
      <c r="J11" s="5584">
        <f t="shared" si="1"/>
        <v>81.818181818181813</v>
      </c>
      <c r="K11" s="5584">
        <f t="shared" si="1"/>
        <v>90.909090909090907</v>
      </c>
      <c r="L11" s="5584">
        <f t="shared" si="1"/>
        <v>63.636363636363633</v>
      </c>
      <c r="M11" s="5584">
        <f t="shared" si="1"/>
        <v>54.545454545454547</v>
      </c>
      <c r="N11" s="5584">
        <f t="shared" si="1"/>
        <v>45.454545454545453</v>
      </c>
      <c r="O11" s="5584">
        <f t="shared" si="1"/>
        <v>36.363636363636367</v>
      </c>
      <c r="P11" s="6646">
        <f t="shared" si="1"/>
        <v>36.363636363636367</v>
      </c>
      <c r="Q11" s="6646">
        <f t="shared" si="1"/>
        <v>27.272727272727273</v>
      </c>
      <c r="R11" s="6663">
        <f t="shared" si="1"/>
        <v>27.272727272727273</v>
      </c>
      <c r="S11" s="6670">
        <f t="shared" si="1"/>
        <v>45.454545454545453</v>
      </c>
      <c r="T11" s="6673">
        <f t="shared" si="1"/>
        <v>54.545454545454547</v>
      </c>
      <c r="U11" s="6673">
        <f t="shared" si="1"/>
        <v>81.818181818181813</v>
      </c>
      <c r="V11" s="6674">
        <f t="shared" si="1"/>
        <v>90.909090909090907</v>
      </c>
      <c r="W11" s="6674">
        <f t="shared" si="1"/>
        <v>109.09090909090909</v>
      </c>
      <c r="X11" s="6674">
        <f t="shared" si="1"/>
        <v>72.727272727272734</v>
      </c>
      <c r="Y11" s="6674">
        <f t="shared" si="1"/>
        <v>54.545454545454547</v>
      </c>
      <c r="Z11" s="6674">
        <f t="shared" si="1"/>
        <v>54.545454545454547</v>
      </c>
      <c r="AA11" s="6674">
        <f t="shared" si="1"/>
        <v>54.545454545454547</v>
      </c>
      <c r="AB11" s="6674">
        <f t="shared" si="1"/>
        <v>9.0909090909090917</v>
      </c>
      <c r="AC11" s="6674">
        <f t="shared" si="2"/>
        <v>9.0909090909090917</v>
      </c>
      <c r="AD11" s="6674">
        <f t="shared" si="2"/>
        <v>9.0909090909090917</v>
      </c>
      <c r="AE11" s="6674">
        <f t="shared" si="2"/>
        <v>9.0909090909090917</v>
      </c>
      <c r="AF11" s="6674">
        <f t="shared" si="2"/>
        <v>9.0909090909090917</v>
      </c>
      <c r="AG11" s="6672">
        <f t="shared" si="2"/>
        <v>9.0909090909090917</v>
      </c>
      <c r="AH11" s="6667">
        <f t="shared" si="2"/>
        <v>9.0909090909090917</v>
      </c>
      <c r="AI11" s="5589">
        <f t="shared" si="2"/>
        <v>9.0909090909090917</v>
      </c>
      <c r="AJ11" s="5590">
        <f t="shared" si="2"/>
        <v>9.0909090909090917</v>
      </c>
      <c r="AK11" s="5590">
        <f t="shared" si="2"/>
        <v>9.0909090909090917</v>
      </c>
      <c r="AL11" s="5590">
        <f t="shared" si="2"/>
        <v>9.0909090909090917</v>
      </c>
      <c r="AM11" s="5590">
        <f t="shared" si="2"/>
        <v>9.0909090909090917</v>
      </c>
      <c r="AN11" s="5590">
        <f>AN12</f>
        <v>9.0909090909090917</v>
      </c>
      <c r="AO11" s="5590">
        <f t="shared" si="2"/>
        <v>9.0909090909090917</v>
      </c>
      <c r="AP11" s="5590">
        <f t="shared" si="2"/>
        <v>9.0909090909090917</v>
      </c>
      <c r="AQ11" s="5590">
        <f t="shared" si="2"/>
        <v>9.0909090909090917</v>
      </c>
      <c r="AR11" s="5590">
        <f t="shared" si="2"/>
        <v>9.0909090909090917</v>
      </c>
      <c r="AS11" s="5590">
        <f t="shared" si="2"/>
        <v>9.0909090909090917</v>
      </c>
      <c r="AT11" s="5590">
        <f t="shared" si="2"/>
        <v>9.0909090909090917</v>
      </c>
      <c r="AU11" s="5590">
        <f t="shared" si="2"/>
        <v>9.0909090909090917</v>
      </c>
      <c r="AV11" s="5590">
        <f t="shared" si="2"/>
        <v>9.0909090909090917</v>
      </c>
      <c r="AW11" s="5590">
        <f t="shared" si="2"/>
        <v>9.0909090909090917</v>
      </c>
      <c r="AX11" s="5591">
        <f t="shared" si="3"/>
        <v>9.0909090909090917</v>
      </c>
      <c r="AY11" s="5591">
        <f t="shared" si="3"/>
        <v>9.0909090909090917</v>
      </c>
      <c r="AZ11" s="5591">
        <f t="shared" si="3"/>
        <v>9.0909090909090917</v>
      </c>
      <c r="BA11" s="5591">
        <f t="shared" si="3"/>
        <v>9.0909090909090917</v>
      </c>
      <c r="BB11" s="5592"/>
      <c r="BC11" s="5592"/>
      <c r="BD11" s="5592"/>
      <c r="BE11" s="5592"/>
      <c r="BF11" s="5592"/>
    </row>
    <row r="12" spans="1:58" s="2150" customFormat="1" ht="12" customHeight="1">
      <c r="A12" s="5586">
        <v>40</v>
      </c>
      <c r="B12" s="5587">
        <f t="shared" si="0"/>
        <v>45.454545454545453</v>
      </c>
      <c r="C12" s="5587">
        <f t="shared" si="0"/>
        <v>54.545454545454547</v>
      </c>
      <c r="D12" s="5587">
        <f t="shared" si="0"/>
        <v>63.636363636363633</v>
      </c>
      <c r="E12" s="5588">
        <f t="shared" si="1"/>
        <v>72.727272727272734</v>
      </c>
      <c r="F12" s="5584">
        <f t="shared" si="1"/>
        <v>81.818181818181813</v>
      </c>
      <c r="G12" s="5584">
        <f t="shared" si="1"/>
        <v>72.727272727272734</v>
      </c>
      <c r="H12" s="5584">
        <f t="shared" si="1"/>
        <v>54.545454545454547</v>
      </c>
      <c r="I12" s="5584">
        <f t="shared" si="1"/>
        <v>72.727272727272734</v>
      </c>
      <c r="J12" s="5584">
        <f t="shared" si="1"/>
        <v>81.818181818181813</v>
      </c>
      <c r="K12" s="5584">
        <f t="shared" si="1"/>
        <v>90.909090909090907</v>
      </c>
      <c r="L12" s="5584">
        <f t="shared" si="1"/>
        <v>63.636363636363633</v>
      </c>
      <c r="M12" s="5584">
        <f t="shared" si="1"/>
        <v>54.545454545454547</v>
      </c>
      <c r="N12" s="5584">
        <f t="shared" si="1"/>
        <v>45.454545454545453</v>
      </c>
      <c r="O12" s="5584">
        <f t="shared" si="1"/>
        <v>36.363636363636367</v>
      </c>
      <c r="P12" s="6646">
        <f t="shared" si="1"/>
        <v>36.363636363636367</v>
      </c>
      <c r="Q12" s="6646">
        <f t="shared" si="1"/>
        <v>27.272727272727273</v>
      </c>
      <c r="R12" s="6663">
        <f>R13</f>
        <v>27.272727272727273</v>
      </c>
      <c r="S12" s="6670">
        <f t="shared" si="1"/>
        <v>45.454545454545453</v>
      </c>
      <c r="T12" s="6673">
        <f t="shared" si="1"/>
        <v>54.545454545454547</v>
      </c>
      <c r="U12" s="6673">
        <f t="shared" si="1"/>
        <v>81.818181818181813</v>
      </c>
      <c r="V12" s="6674">
        <f t="shared" si="1"/>
        <v>90.909090909090907</v>
      </c>
      <c r="W12" s="6674">
        <f t="shared" si="1"/>
        <v>109.09090909090909</v>
      </c>
      <c r="X12" s="6674">
        <f t="shared" si="1"/>
        <v>72.727272727272734</v>
      </c>
      <c r="Y12" s="6674">
        <f t="shared" si="1"/>
        <v>54.545454545454547</v>
      </c>
      <c r="Z12" s="6674">
        <f t="shared" si="1"/>
        <v>54.545454545454547</v>
      </c>
      <c r="AA12" s="6674">
        <f t="shared" si="1"/>
        <v>54.545454545454547</v>
      </c>
      <c r="AB12" s="6674">
        <f t="shared" si="1"/>
        <v>9.0909090909090917</v>
      </c>
      <c r="AC12" s="6674">
        <f t="shared" si="2"/>
        <v>9.0909090909090917</v>
      </c>
      <c r="AD12" s="6674">
        <f t="shared" si="2"/>
        <v>9.0909090909090917</v>
      </c>
      <c r="AE12" s="6674">
        <f t="shared" si="2"/>
        <v>9.0909090909090917</v>
      </c>
      <c r="AF12" s="6674">
        <f t="shared" si="2"/>
        <v>9.0909090909090917</v>
      </c>
      <c r="AG12" s="6672">
        <f t="shared" si="2"/>
        <v>9.0909090909090917</v>
      </c>
      <c r="AH12" s="6667">
        <f t="shared" si="2"/>
        <v>9.0909090909090917</v>
      </c>
      <c r="AI12" s="5589">
        <f t="shared" si="2"/>
        <v>9.0909090909090917</v>
      </c>
      <c r="AJ12" s="5590">
        <f t="shared" si="2"/>
        <v>9.0909090909090917</v>
      </c>
      <c r="AK12" s="5590">
        <f t="shared" si="2"/>
        <v>9.0909090909090917</v>
      </c>
      <c r="AL12" s="5590">
        <f t="shared" si="2"/>
        <v>9.0909090909090917</v>
      </c>
      <c r="AM12" s="5590">
        <f t="shared" si="2"/>
        <v>9.0909090909090917</v>
      </c>
      <c r="AN12" s="5590">
        <f t="shared" si="2"/>
        <v>9.0909090909090917</v>
      </c>
      <c r="AO12" s="5590">
        <f t="shared" si="2"/>
        <v>9.0909090909090917</v>
      </c>
      <c r="AP12" s="5590">
        <f t="shared" si="2"/>
        <v>9.0909090909090917</v>
      </c>
      <c r="AQ12" s="5590">
        <f t="shared" si="2"/>
        <v>9.0909090909090917</v>
      </c>
      <c r="AR12" s="5590">
        <f t="shared" si="2"/>
        <v>9.0909090909090917</v>
      </c>
      <c r="AS12" s="5590">
        <f t="shared" si="2"/>
        <v>9.0909090909090917</v>
      </c>
      <c r="AT12" s="5590">
        <f t="shared" si="2"/>
        <v>9.0909090909090917</v>
      </c>
      <c r="AU12" s="5590">
        <f t="shared" si="2"/>
        <v>9.0909090909090917</v>
      </c>
      <c r="AV12" s="5590">
        <f t="shared" si="2"/>
        <v>9.0909090909090917</v>
      </c>
      <c r="AW12" s="5590">
        <f t="shared" si="2"/>
        <v>9.0909090909090917</v>
      </c>
      <c r="AX12" s="5591">
        <f t="shared" si="3"/>
        <v>9.0909090909090917</v>
      </c>
      <c r="AY12" s="5591">
        <f t="shared" si="3"/>
        <v>9.0909090909090917</v>
      </c>
      <c r="AZ12" s="5591">
        <f t="shared" si="3"/>
        <v>9.0909090909090917</v>
      </c>
      <c r="BA12" s="5591">
        <f t="shared" si="3"/>
        <v>9.0909090909090917</v>
      </c>
      <c r="BB12" s="5592"/>
      <c r="BC12" s="5592"/>
      <c r="BD12" s="5592"/>
      <c r="BE12" s="5592"/>
      <c r="BF12" s="5592"/>
    </row>
    <row r="13" spans="1:58" s="2150" customFormat="1" ht="12" customHeight="1">
      <c r="A13" s="5586">
        <v>30</v>
      </c>
      <c r="B13" s="5587">
        <f t="shared" si="0"/>
        <v>45.454545454545453</v>
      </c>
      <c r="C13" s="5587">
        <f t="shared" si="0"/>
        <v>54.545454545454547</v>
      </c>
      <c r="D13" s="5587">
        <f t="shared" si="0"/>
        <v>63.636363636363633</v>
      </c>
      <c r="E13" s="5588">
        <f t="shared" si="1"/>
        <v>72.727272727272734</v>
      </c>
      <c r="F13" s="5584">
        <f t="shared" si="1"/>
        <v>81.818181818181813</v>
      </c>
      <c r="G13" s="5584">
        <f t="shared" si="1"/>
        <v>72.727272727272734</v>
      </c>
      <c r="H13" s="5584">
        <f t="shared" si="1"/>
        <v>54.545454545454547</v>
      </c>
      <c r="I13" s="5584">
        <f t="shared" si="1"/>
        <v>72.727272727272734</v>
      </c>
      <c r="J13" s="5584">
        <f t="shared" si="1"/>
        <v>81.818181818181813</v>
      </c>
      <c r="K13" s="5584">
        <f t="shared" si="1"/>
        <v>90.909090909090907</v>
      </c>
      <c r="L13" s="5584">
        <f t="shared" si="1"/>
        <v>63.636363636363633</v>
      </c>
      <c r="M13" s="5584">
        <f t="shared" si="1"/>
        <v>54.545454545454547</v>
      </c>
      <c r="N13" s="5584">
        <f t="shared" si="1"/>
        <v>45.454545454545453</v>
      </c>
      <c r="O13" s="5584">
        <f t="shared" si="1"/>
        <v>36.363636363636367</v>
      </c>
      <c r="P13" s="6646">
        <f t="shared" si="1"/>
        <v>36.363636363636367</v>
      </c>
      <c r="Q13" s="6646">
        <f t="shared" si="1"/>
        <v>27.272727272727273</v>
      </c>
      <c r="R13" s="6663">
        <f t="shared" si="1"/>
        <v>27.272727272727273</v>
      </c>
      <c r="S13" s="6670">
        <f t="shared" si="1"/>
        <v>45.454545454545453</v>
      </c>
      <c r="T13" s="6673">
        <f t="shared" si="1"/>
        <v>54.545454545454547</v>
      </c>
      <c r="U13" s="6673">
        <f t="shared" si="1"/>
        <v>81.818181818181813</v>
      </c>
      <c r="V13" s="6674">
        <f t="shared" si="1"/>
        <v>90.909090909090907</v>
      </c>
      <c r="W13" s="6674">
        <f t="shared" si="1"/>
        <v>109.09090909090909</v>
      </c>
      <c r="X13" s="6674">
        <f t="shared" si="1"/>
        <v>72.727272727272734</v>
      </c>
      <c r="Y13" s="6674">
        <f t="shared" si="1"/>
        <v>54.545454545454547</v>
      </c>
      <c r="Z13" s="6674">
        <f t="shared" si="1"/>
        <v>54.545454545454547</v>
      </c>
      <c r="AA13" s="6674">
        <f t="shared" si="1"/>
        <v>54.545454545454547</v>
      </c>
      <c r="AB13" s="6674">
        <f t="shared" si="1"/>
        <v>9.0909090909090917</v>
      </c>
      <c r="AC13" s="6674">
        <f t="shared" si="2"/>
        <v>9.0909090909090917</v>
      </c>
      <c r="AD13" s="6674">
        <f t="shared" si="2"/>
        <v>9.0909090909090917</v>
      </c>
      <c r="AE13" s="6674">
        <f t="shared" si="2"/>
        <v>9.0909090909090917</v>
      </c>
      <c r="AF13" s="6674">
        <f t="shared" si="2"/>
        <v>9.0909090909090917</v>
      </c>
      <c r="AG13" s="6672">
        <f t="shared" si="2"/>
        <v>9.0909090909090917</v>
      </c>
      <c r="AH13" s="6667">
        <f t="shared" si="2"/>
        <v>9.0909090909090917</v>
      </c>
      <c r="AI13" s="5589">
        <f t="shared" si="2"/>
        <v>9.0909090909090917</v>
      </c>
      <c r="AJ13" s="5590">
        <f t="shared" si="2"/>
        <v>9.0909090909090917</v>
      </c>
      <c r="AK13" s="5590">
        <f t="shared" si="2"/>
        <v>9.0909090909090917</v>
      </c>
      <c r="AL13" s="5590">
        <f t="shared" si="2"/>
        <v>9.0909090909090917</v>
      </c>
      <c r="AM13" s="5590">
        <f t="shared" si="2"/>
        <v>9.0909090909090917</v>
      </c>
      <c r="AN13" s="5590">
        <f t="shared" si="2"/>
        <v>9.0909090909090917</v>
      </c>
      <c r="AO13" s="5590">
        <f t="shared" si="2"/>
        <v>9.0909090909090917</v>
      </c>
      <c r="AP13" s="5590">
        <f t="shared" si="2"/>
        <v>9.0909090909090917</v>
      </c>
      <c r="AQ13" s="5590">
        <f t="shared" si="2"/>
        <v>9.0909090909090917</v>
      </c>
      <c r="AR13" s="5590">
        <f t="shared" si="2"/>
        <v>9.0909090909090917</v>
      </c>
      <c r="AS13" s="5590">
        <f t="shared" si="2"/>
        <v>9.0909090909090917</v>
      </c>
      <c r="AT13" s="5590">
        <f t="shared" si="2"/>
        <v>9.0909090909090917</v>
      </c>
      <c r="AU13" s="5590">
        <f t="shared" si="2"/>
        <v>9.0909090909090917</v>
      </c>
      <c r="AV13" s="5590">
        <f t="shared" si="2"/>
        <v>9.0909090909090917</v>
      </c>
      <c r="AW13" s="5590">
        <f t="shared" si="2"/>
        <v>9.0909090909090917</v>
      </c>
      <c r="AX13" s="5591">
        <f t="shared" si="3"/>
        <v>9.0909090909090917</v>
      </c>
      <c r="AY13" s="5591">
        <f t="shared" si="3"/>
        <v>9.0909090909090917</v>
      </c>
      <c r="AZ13" s="5591">
        <f t="shared" si="3"/>
        <v>9.0909090909090917</v>
      </c>
      <c r="BA13" s="5590">
        <f t="shared" si="3"/>
        <v>9.0909090909090917</v>
      </c>
      <c r="BB13" s="5592"/>
      <c r="BC13" s="5592"/>
      <c r="BD13" s="5592"/>
      <c r="BE13" s="5592"/>
      <c r="BF13" s="5592"/>
    </row>
    <row r="14" spans="1:58" s="2150" customFormat="1" ht="12" customHeight="1">
      <c r="A14" s="2151"/>
      <c r="B14" s="5587">
        <f t="shared" si="0"/>
        <v>45.454545454545453</v>
      </c>
      <c r="C14" s="5587">
        <f t="shared" si="0"/>
        <v>54.545454545454547</v>
      </c>
      <c r="D14" s="5587">
        <f t="shared" si="0"/>
        <v>63.636363636363633</v>
      </c>
      <c r="E14" s="5588">
        <f t="shared" si="1"/>
        <v>72.727272727272734</v>
      </c>
      <c r="F14" s="5584">
        <f t="shared" si="1"/>
        <v>81.818181818181813</v>
      </c>
      <c r="G14" s="5584">
        <f t="shared" si="1"/>
        <v>72.727272727272734</v>
      </c>
      <c r="H14" s="5584">
        <f t="shared" si="1"/>
        <v>54.545454545454547</v>
      </c>
      <c r="I14" s="5584">
        <f t="shared" si="1"/>
        <v>72.727272727272734</v>
      </c>
      <c r="J14" s="5584">
        <f t="shared" si="1"/>
        <v>81.818181818181813</v>
      </c>
      <c r="K14" s="5584">
        <f t="shared" si="1"/>
        <v>90.909090909090907</v>
      </c>
      <c r="L14" s="5584">
        <f t="shared" si="1"/>
        <v>63.636363636363633</v>
      </c>
      <c r="M14" s="5584">
        <f t="shared" si="1"/>
        <v>54.545454545454547</v>
      </c>
      <c r="N14" s="5584">
        <f t="shared" si="1"/>
        <v>45.454545454545453</v>
      </c>
      <c r="O14" s="5584">
        <f t="shared" si="1"/>
        <v>36.363636363636367</v>
      </c>
      <c r="P14" s="6646">
        <f t="shared" si="1"/>
        <v>36.363636363636367</v>
      </c>
      <c r="Q14" s="6646">
        <f t="shared" si="1"/>
        <v>27.272727272727273</v>
      </c>
      <c r="R14" s="6663">
        <f t="shared" si="1"/>
        <v>27.272727272727273</v>
      </c>
      <c r="S14" s="6675">
        <f t="shared" si="1"/>
        <v>45.454545454545453</v>
      </c>
      <c r="T14" s="6676">
        <f t="shared" si="1"/>
        <v>54.545454545454547</v>
      </c>
      <c r="U14" s="6676">
        <f t="shared" si="1"/>
        <v>81.818181818181813</v>
      </c>
      <c r="V14" s="6677">
        <f t="shared" si="1"/>
        <v>90.909090909090907</v>
      </c>
      <c r="W14" s="6677">
        <f t="shared" si="1"/>
        <v>109.09090909090909</v>
      </c>
      <c r="X14" s="6677">
        <f t="shared" si="1"/>
        <v>72.727272727272734</v>
      </c>
      <c r="Y14" s="6677">
        <f t="shared" si="1"/>
        <v>54.545454545454547</v>
      </c>
      <c r="Z14" s="6677">
        <f t="shared" si="1"/>
        <v>54.545454545454547</v>
      </c>
      <c r="AA14" s="6677">
        <f t="shared" si="1"/>
        <v>54.545454545454547</v>
      </c>
      <c r="AB14" s="6677">
        <f t="shared" si="1"/>
        <v>9.0909090909090917</v>
      </c>
      <c r="AC14" s="6677">
        <f t="shared" si="2"/>
        <v>9.0909090909090917</v>
      </c>
      <c r="AD14" s="6677">
        <f t="shared" si="2"/>
        <v>9.0909090909090917</v>
      </c>
      <c r="AE14" s="6677">
        <f t="shared" si="2"/>
        <v>9.0909090909090917</v>
      </c>
      <c r="AF14" s="6677">
        <f t="shared" si="2"/>
        <v>9.0909090909090917</v>
      </c>
      <c r="AG14" s="6678">
        <f t="shared" si="2"/>
        <v>9.0909090909090917</v>
      </c>
      <c r="AH14" s="6667">
        <f t="shared" si="2"/>
        <v>9.0909090909090917</v>
      </c>
      <c r="AI14" s="5589">
        <f t="shared" si="2"/>
        <v>9.0909090909090917</v>
      </c>
      <c r="AJ14" s="5590">
        <f>AJ15</f>
        <v>9.0909090909090917</v>
      </c>
      <c r="AK14" s="5590">
        <f t="shared" si="2"/>
        <v>9.0909090909090917</v>
      </c>
      <c r="AL14" s="5590">
        <f t="shared" si="2"/>
        <v>9.0909090909090917</v>
      </c>
      <c r="AM14" s="5590">
        <f t="shared" si="2"/>
        <v>9.0909090909090917</v>
      </c>
      <c r="AN14" s="5590">
        <f t="shared" si="2"/>
        <v>9.0909090909090917</v>
      </c>
      <c r="AO14" s="5590">
        <f t="shared" si="2"/>
        <v>9.0909090909090917</v>
      </c>
      <c r="AP14" s="5590">
        <f t="shared" si="2"/>
        <v>9.0909090909090917</v>
      </c>
      <c r="AQ14" s="5590">
        <f t="shared" si="2"/>
        <v>9.0909090909090917</v>
      </c>
      <c r="AR14" s="5590">
        <f t="shared" si="2"/>
        <v>9.0909090909090917</v>
      </c>
      <c r="AS14" s="5590">
        <f t="shared" si="2"/>
        <v>9.0909090909090917</v>
      </c>
      <c r="AT14" s="5590">
        <f t="shared" si="2"/>
        <v>9.0909090909090917</v>
      </c>
      <c r="AU14" s="5590">
        <f t="shared" si="2"/>
        <v>9.0909090909090917</v>
      </c>
      <c r="AV14" s="5590">
        <f t="shared" si="2"/>
        <v>9.0909090909090917</v>
      </c>
      <c r="AW14" s="5590">
        <f t="shared" si="2"/>
        <v>9.0909090909090917</v>
      </c>
      <c r="AX14" s="5591">
        <f t="shared" si="3"/>
        <v>9.0909090909090917</v>
      </c>
      <c r="AY14" s="5591">
        <f t="shared" si="3"/>
        <v>9.0909090909090917</v>
      </c>
      <c r="AZ14" s="5591">
        <f t="shared" si="3"/>
        <v>9.0909090909090917</v>
      </c>
      <c r="BA14" s="5591">
        <f t="shared" si="3"/>
        <v>9.0909090909090917</v>
      </c>
      <c r="BB14" s="5592"/>
      <c r="BC14" s="5592"/>
      <c r="BD14" s="5592"/>
      <c r="BE14" s="5592"/>
      <c r="BF14" s="5592"/>
    </row>
    <row r="15" spans="1:58" s="2150" customFormat="1" ht="12" customHeight="1">
      <c r="A15" s="2151"/>
      <c r="B15" s="5593">
        <f>B18*100/55</f>
        <v>45.454545454545453</v>
      </c>
      <c r="C15" s="5593">
        <f>C18*100/55</f>
        <v>54.545454545454547</v>
      </c>
      <c r="D15" s="5593">
        <f t="shared" ref="D15:BA15" si="4">D18*100/55</f>
        <v>63.636363636363633</v>
      </c>
      <c r="E15" s="5593">
        <f t="shared" si="4"/>
        <v>72.727272727272734</v>
      </c>
      <c r="F15" s="5593">
        <f t="shared" si="4"/>
        <v>81.818181818181813</v>
      </c>
      <c r="G15" s="5593">
        <f t="shared" si="4"/>
        <v>72.727272727272734</v>
      </c>
      <c r="H15" s="5593">
        <f t="shared" si="4"/>
        <v>54.545454545454547</v>
      </c>
      <c r="I15" s="5593">
        <f t="shared" si="4"/>
        <v>72.727272727272734</v>
      </c>
      <c r="J15" s="5593">
        <f t="shared" si="4"/>
        <v>81.818181818181813</v>
      </c>
      <c r="K15" s="5593">
        <f t="shared" si="4"/>
        <v>90.909090909090907</v>
      </c>
      <c r="L15" s="5593">
        <f t="shared" si="4"/>
        <v>63.636363636363633</v>
      </c>
      <c r="M15" s="5593">
        <f t="shared" si="4"/>
        <v>54.545454545454547</v>
      </c>
      <c r="N15" s="5593">
        <f t="shared" si="4"/>
        <v>45.454545454545453</v>
      </c>
      <c r="O15" s="5593">
        <f t="shared" si="4"/>
        <v>36.363636363636367</v>
      </c>
      <c r="P15" s="6647">
        <f t="shared" si="4"/>
        <v>36.363636363636367</v>
      </c>
      <c r="Q15" s="6647">
        <f t="shared" si="4"/>
        <v>27.272727272727273</v>
      </c>
      <c r="R15" s="6664">
        <f t="shared" si="4"/>
        <v>27.272727272727273</v>
      </c>
      <c r="S15" s="7218">
        <f t="shared" si="4"/>
        <v>45.454545454545453</v>
      </c>
      <c r="T15" s="7218">
        <f t="shared" si="4"/>
        <v>54.545454545454547</v>
      </c>
      <c r="U15" s="7218">
        <f t="shared" si="4"/>
        <v>81.818181818181813</v>
      </c>
      <c r="V15" s="7218">
        <f t="shared" si="4"/>
        <v>90.909090909090907</v>
      </c>
      <c r="W15" s="7218">
        <f t="shared" si="4"/>
        <v>109.09090909090909</v>
      </c>
      <c r="X15" s="7218">
        <f t="shared" si="4"/>
        <v>72.727272727272734</v>
      </c>
      <c r="Y15" s="7218">
        <f t="shared" si="4"/>
        <v>54.545454545454547</v>
      </c>
      <c r="Z15" s="7218">
        <f t="shared" si="4"/>
        <v>54.545454545454547</v>
      </c>
      <c r="AA15" s="7218">
        <f t="shared" si="4"/>
        <v>54.545454545454547</v>
      </c>
      <c r="AB15" s="7220">
        <f t="shared" si="4"/>
        <v>9.0909090909090917</v>
      </c>
      <c r="AC15" s="7220">
        <f t="shared" si="4"/>
        <v>9.0909090909090917</v>
      </c>
      <c r="AD15" s="7220">
        <f t="shared" si="4"/>
        <v>9.0909090909090917</v>
      </c>
      <c r="AE15" s="7220">
        <f t="shared" si="4"/>
        <v>9.0909090909090917</v>
      </c>
      <c r="AF15" s="7220">
        <f t="shared" si="4"/>
        <v>9.0909090909090917</v>
      </c>
      <c r="AG15" s="7220">
        <f t="shared" si="4"/>
        <v>9.0909090909090917</v>
      </c>
      <c r="AH15" s="7221">
        <f t="shared" si="4"/>
        <v>9.0909090909090917</v>
      </c>
      <c r="AI15" s="7222">
        <f t="shared" si="4"/>
        <v>9.0909090909090917</v>
      </c>
      <c r="AJ15" s="7222">
        <f t="shared" si="4"/>
        <v>9.0909090909090917</v>
      </c>
      <c r="AK15" s="7222">
        <f t="shared" si="4"/>
        <v>9.0909090909090917</v>
      </c>
      <c r="AL15" s="7222">
        <f t="shared" si="4"/>
        <v>9.0909090909090917</v>
      </c>
      <c r="AM15" s="7222">
        <f t="shared" si="4"/>
        <v>9.0909090909090917</v>
      </c>
      <c r="AN15" s="7222">
        <f t="shared" si="4"/>
        <v>9.0909090909090917</v>
      </c>
      <c r="AO15" s="7222">
        <f t="shared" si="4"/>
        <v>9.0909090909090917</v>
      </c>
      <c r="AP15" s="7222">
        <f t="shared" si="4"/>
        <v>9.0909090909090917</v>
      </c>
      <c r="AQ15" s="7222">
        <f t="shared" si="4"/>
        <v>9.0909090909090917</v>
      </c>
      <c r="AR15" s="7222">
        <f t="shared" si="4"/>
        <v>9.0909090909090917</v>
      </c>
      <c r="AS15" s="7222">
        <f t="shared" si="4"/>
        <v>9.0909090909090917</v>
      </c>
      <c r="AT15" s="7222">
        <f t="shared" si="4"/>
        <v>9.0909090909090917</v>
      </c>
      <c r="AU15" s="7222">
        <f t="shared" si="4"/>
        <v>9.0909090909090917</v>
      </c>
      <c r="AV15" s="7222">
        <f t="shared" si="4"/>
        <v>9.0909090909090917</v>
      </c>
      <c r="AW15" s="7222">
        <f t="shared" si="4"/>
        <v>9.0909090909090917</v>
      </c>
      <c r="AX15" s="7222">
        <f t="shared" si="4"/>
        <v>9.0909090909090917</v>
      </c>
      <c r="AY15" s="7222">
        <f t="shared" si="4"/>
        <v>9.0909090909090917</v>
      </c>
      <c r="AZ15" s="7223">
        <f t="shared" si="4"/>
        <v>9.0909090909090917</v>
      </c>
      <c r="BA15" s="7223">
        <f t="shared" si="4"/>
        <v>9.0909090909090917</v>
      </c>
      <c r="BB15" s="7222"/>
      <c r="BC15" s="7222"/>
      <c r="BD15" s="7222"/>
      <c r="BE15" s="7222"/>
      <c r="BF15" s="5594"/>
    </row>
    <row r="16" spans="1:58" s="2152" customFormat="1" ht="12" customHeight="1" thickBot="1">
      <c r="A16" s="5595"/>
      <c r="B16" s="6213">
        <v>1</v>
      </c>
      <c r="C16" s="6213">
        <v>2</v>
      </c>
      <c r="D16" s="6213">
        <v>3</v>
      </c>
      <c r="E16" s="6213">
        <v>4</v>
      </c>
      <c r="F16" s="6213">
        <v>5</v>
      </c>
      <c r="G16" s="6213">
        <v>6</v>
      </c>
      <c r="H16" s="6214">
        <v>7</v>
      </c>
      <c r="I16" s="6214">
        <v>8</v>
      </c>
      <c r="J16" s="6214">
        <v>9</v>
      </c>
      <c r="K16" s="6214">
        <v>10</v>
      </c>
      <c r="L16" s="6215">
        <v>11</v>
      </c>
      <c r="M16" s="6215">
        <v>12</v>
      </c>
      <c r="N16" s="6215">
        <v>13</v>
      </c>
      <c r="O16" s="6215">
        <v>14</v>
      </c>
      <c r="P16" s="6649">
        <v>15</v>
      </c>
      <c r="Q16" s="6231">
        <v>16</v>
      </c>
      <c r="R16" s="6665">
        <v>17</v>
      </c>
      <c r="S16" s="7219">
        <v>18</v>
      </c>
      <c r="T16" s="7219">
        <v>19</v>
      </c>
      <c r="U16" s="7219">
        <v>20</v>
      </c>
      <c r="V16" s="7219">
        <v>21</v>
      </c>
      <c r="W16" s="7219">
        <v>22</v>
      </c>
      <c r="X16" s="7219">
        <v>23</v>
      </c>
      <c r="Y16" s="7219">
        <v>24</v>
      </c>
      <c r="Z16" s="7219">
        <v>25</v>
      </c>
      <c r="AA16" s="7219">
        <v>26</v>
      </c>
      <c r="AB16" s="7224">
        <v>27</v>
      </c>
      <c r="AC16" s="7224">
        <v>28</v>
      </c>
      <c r="AD16" s="7224">
        <v>29</v>
      </c>
      <c r="AE16" s="7224">
        <v>30</v>
      </c>
      <c r="AF16" s="7224">
        <v>31</v>
      </c>
      <c r="AG16" s="7224">
        <v>32</v>
      </c>
      <c r="AH16" s="7225">
        <v>33</v>
      </c>
      <c r="AI16" s="7226">
        <v>34</v>
      </c>
      <c r="AJ16" s="7226">
        <v>35</v>
      </c>
      <c r="AK16" s="7226">
        <v>36</v>
      </c>
      <c r="AL16" s="7226">
        <v>37</v>
      </c>
      <c r="AM16" s="7226">
        <v>38</v>
      </c>
      <c r="AN16" s="7226">
        <v>39</v>
      </c>
      <c r="AO16" s="7226">
        <v>40</v>
      </c>
      <c r="AP16" s="7226">
        <v>41</v>
      </c>
      <c r="AQ16" s="7226">
        <v>42</v>
      </c>
      <c r="AR16" s="7226">
        <v>43</v>
      </c>
      <c r="AS16" s="7226">
        <v>44</v>
      </c>
      <c r="AT16" s="7226">
        <v>45</v>
      </c>
      <c r="AU16" s="7226">
        <v>46</v>
      </c>
      <c r="AV16" s="7226">
        <v>47</v>
      </c>
      <c r="AW16" s="7226">
        <v>48</v>
      </c>
      <c r="AX16" s="7226">
        <v>49</v>
      </c>
      <c r="AY16" s="7226">
        <v>50</v>
      </c>
      <c r="AZ16" s="7226">
        <v>51</v>
      </c>
      <c r="BA16" s="7227"/>
      <c r="BB16" s="7227"/>
      <c r="BC16" s="7227"/>
      <c r="BD16" s="7227"/>
      <c r="BE16" s="7227"/>
      <c r="BF16" s="5600"/>
    </row>
    <row r="17" spans="1:58" s="5601" customFormat="1" ht="20" customHeight="1" thickBot="1">
      <c r="A17" s="4370" t="s">
        <v>1206</v>
      </c>
      <c r="B17" s="7213">
        <v>45173</v>
      </c>
      <c r="C17" s="7214">
        <v>45180</v>
      </c>
      <c r="D17" s="7213">
        <v>45187</v>
      </c>
      <c r="E17" s="7214">
        <v>45194</v>
      </c>
      <c r="F17" s="7213">
        <v>45201</v>
      </c>
      <c r="G17" s="7214">
        <v>45208</v>
      </c>
      <c r="H17" s="7213">
        <v>45215</v>
      </c>
      <c r="I17" s="7214">
        <v>45222</v>
      </c>
      <c r="J17" s="7213">
        <v>45229</v>
      </c>
      <c r="K17" s="7214">
        <v>45236</v>
      </c>
      <c r="L17" s="7213">
        <v>45243</v>
      </c>
      <c r="M17" s="7214">
        <v>45250</v>
      </c>
      <c r="N17" s="7213">
        <v>45257</v>
      </c>
      <c r="O17" s="7214">
        <v>45264</v>
      </c>
      <c r="P17" s="7213">
        <v>45271</v>
      </c>
      <c r="Q17" s="7214">
        <v>45278</v>
      </c>
      <c r="R17" s="7213">
        <v>45285</v>
      </c>
      <c r="S17" s="2153">
        <v>45292</v>
      </c>
      <c r="T17" s="2154">
        <v>45299</v>
      </c>
      <c r="U17" s="2153">
        <v>45306</v>
      </c>
      <c r="V17" s="2154">
        <v>45313</v>
      </c>
      <c r="W17" s="2153">
        <v>45320</v>
      </c>
      <c r="X17" s="2154">
        <v>45327</v>
      </c>
      <c r="Y17" s="2153">
        <v>45334</v>
      </c>
      <c r="Z17" s="2154">
        <v>45341</v>
      </c>
      <c r="AA17" s="2153">
        <v>45348</v>
      </c>
      <c r="AB17" s="2154">
        <v>45355</v>
      </c>
      <c r="AC17" s="2153">
        <v>45362</v>
      </c>
      <c r="AD17" s="2154">
        <v>45369</v>
      </c>
      <c r="AE17" s="2153">
        <v>45376</v>
      </c>
      <c r="AF17" s="2154">
        <v>45383</v>
      </c>
      <c r="AG17" s="2153">
        <v>45390</v>
      </c>
      <c r="AH17" s="2154">
        <v>45397</v>
      </c>
      <c r="AI17" s="2153">
        <v>45404</v>
      </c>
      <c r="AJ17" s="2154">
        <v>45411</v>
      </c>
      <c r="AK17" s="2153">
        <v>45418</v>
      </c>
      <c r="AL17" s="2154">
        <v>45425</v>
      </c>
      <c r="AM17" s="2153">
        <v>45432</v>
      </c>
      <c r="AN17" s="2154">
        <v>45439</v>
      </c>
      <c r="AO17" s="2153">
        <v>45446</v>
      </c>
      <c r="AP17" s="2154">
        <v>45453</v>
      </c>
      <c r="AQ17" s="2153">
        <v>45460</v>
      </c>
      <c r="AR17" s="2154">
        <v>45467</v>
      </c>
      <c r="AS17" s="2153">
        <v>45474</v>
      </c>
      <c r="AT17" s="2154">
        <v>45481</v>
      </c>
      <c r="AU17" s="2153">
        <v>45488</v>
      </c>
      <c r="AV17" s="2154">
        <v>45495</v>
      </c>
      <c r="AW17" s="2153">
        <v>45502</v>
      </c>
      <c r="AX17" s="2154">
        <v>45509</v>
      </c>
      <c r="AY17" s="2153">
        <v>45516</v>
      </c>
      <c r="AZ17" s="2154">
        <v>45523</v>
      </c>
      <c r="BA17" s="2153">
        <v>45530</v>
      </c>
      <c r="BB17" s="2154">
        <v>45537</v>
      </c>
      <c r="BC17" s="2153">
        <v>45544</v>
      </c>
      <c r="BD17" s="2154">
        <v>45551</v>
      </c>
      <c r="BE17" s="2153">
        <v>45558</v>
      </c>
      <c r="BF17" s="2154">
        <v>45565</v>
      </c>
    </row>
    <row r="18" spans="1:58" s="5601" customFormat="1" ht="17" customHeight="1" thickBot="1">
      <c r="A18" s="4370" t="s">
        <v>2221</v>
      </c>
      <c r="B18" s="6336">
        <v>25</v>
      </c>
      <c r="C18" s="6336">
        <v>30</v>
      </c>
      <c r="D18" s="6336">
        <v>35</v>
      </c>
      <c r="E18" s="6336">
        <v>40</v>
      </c>
      <c r="F18" s="6336">
        <v>45</v>
      </c>
      <c r="G18" s="6336">
        <v>40</v>
      </c>
      <c r="H18" s="6336">
        <v>30</v>
      </c>
      <c r="I18" s="6336">
        <v>40</v>
      </c>
      <c r="J18" s="6336">
        <v>45</v>
      </c>
      <c r="K18" s="6336">
        <v>50</v>
      </c>
      <c r="L18" s="6336">
        <v>35</v>
      </c>
      <c r="M18" s="6336">
        <v>30</v>
      </c>
      <c r="N18" s="6336">
        <v>25</v>
      </c>
      <c r="O18" s="6336">
        <v>20</v>
      </c>
      <c r="P18" s="6336">
        <v>20</v>
      </c>
      <c r="Q18" s="6336">
        <v>15</v>
      </c>
      <c r="R18" s="6666">
        <v>15</v>
      </c>
      <c r="S18" s="6682">
        <v>25</v>
      </c>
      <c r="T18" s="6682">
        <v>30</v>
      </c>
      <c r="U18" s="6682">
        <v>45</v>
      </c>
      <c r="V18" s="6682">
        <v>50</v>
      </c>
      <c r="W18" s="6682">
        <v>60</v>
      </c>
      <c r="X18" s="6682">
        <v>40</v>
      </c>
      <c r="Y18" s="6682">
        <v>30</v>
      </c>
      <c r="Z18" s="6682">
        <v>30</v>
      </c>
      <c r="AA18" s="6682">
        <v>30</v>
      </c>
      <c r="AB18" s="6682">
        <v>5</v>
      </c>
      <c r="AC18" s="6682">
        <v>5</v>
      </c>
      <c r="AD18" s="6682">
        <v>5</v>
      </c>
      <c r="AE18" s="6682">
        <v>5</v>
      </c>
      <c r="AF18" s="6682">
        <v>5</v>
      </c>
      <c r="AG18" s="6682">
        <v>5</v>
      </c>
      <c r="AH18" s="6668">
        <v>5</v>
      </c>
      <c r="AI18" s="6337">
        <v>5</v>
      </c>
      <c r="AJ18" s="6337">
        <v>5</v>
      </c>
      <c r="AK18" s="6337">
        <v>5</v>
      </c>
      <c r="AL18" s="6337">
        <v>5</v>
      </c>
      <c r="AM18" s="6337">
        <v>5</v>
      </c>
      <c r="AN18" s="6337">
        <v>5</v>
      </c>
      <c r="AO18" s="6337">
        <v>5</v>
      </c>
      <c r="AP18" s="6337">
        <v>5</v>
      </c>
      <c r="AQ18" s="6337">
        <v>5</v>
      </c>
      <c r="AR18" s="6337">
        <v>5</v>
      </c>
      <c r="AS18" s="6337">
        <v>5</v>
      </c>
      <c r="AT18" s="6337">
        <v>5</v>
      </c>
      <c r="AU18" s="6337">
        <v>5</v>
      </c>
      <c r="AV18" s="6337">
        <v>5</v>
      </c>
      <c r="AW18" s="6337">
        <v>5</v>
      </c>
      <c r="AX18" s="6337">
        <v>5</v>
      </c>
      <c r="AY18" s="6337">
        <v>5</v>
      </c>
      <c r="AZ18" s="6337">
        <v>5</v>
      </c>
      <c r="BA18" s="6337">
        <v>5</v>
      </c>
      <c r="BB18" s="5602"/>
      <c r="BC18" s="5602"/>
      <c r="BD18" s="5602"/>
      <c r="BE18" s="5602"/>
      <c r="BF18" s="5602"/>
    </row>
    <row r="19" spans="1:58" ht="32" customHeight="1" thickBot="1">
      <c r="A19" s="4370" t="s">
        <v>1208</v>
      </c>
      <c r="B19" s="7923" t="s">
        <v>2244</v>
      </c>
      <c r="C19" s="7924"/>
      <c r="D19" s="7924"/>
      <c r="E19" s="7924"/>
      <c r="F19" s="7924"/>
      <c r="G19" s="7925"/>
      <c r="H19" s="7926" t="s">
        <v>1211</v>
      </c>
      <c r="I19" s="7927"/>
      <c r="J19" s="7927"/>
      <c r="K19" s="7928"/>
      <c r="L19" s="7929" t="s">
        <v>1212</v>
      </c>
      <c r="M19" s="7930"/>
      <c r="N19" s="7930"/>
      <c r="O19" s="7930"/>
      <c r="P19" s="7931" t="s">
        <v>2222</v>
      </c>
      <c r="Q19" s="7931"/>
      <c r="R19" s="7931"/>
      <c r="S19" s="7916" t="s">
        <v>2246</v>
      </c>
      <c r="T19" s="7916"/>
      <c r="U19" s="7916"/>
      <c r="V19" s="7916"/>
      <c r="W19" s="7917"/>
      <c r="X19" s="7907" t="s">
        <v>2222</v>
      </c>
      <c r="Y19" s="7908"/>
      <c r="Z19" s="7908"/>
      <c r="AA19" s="7909"/>
      <c r="AB19" s="7910" t="s">
        <v>2246</v>
      </c>
      <c r="AC19" s="7911"/>
      <c r="AD19" s="7911"/>
      <c r="AE19" s="7911"/>
      <c r="AF19" s="7911"/>
      <c r="AG19" s="7911"/>
      <c r="AH19" s="7912"/>
      <c r="AI19" s="7913" t="s">
        <v>2245</v>
      </c>
      <c r="AJ19" s="7914"/>
      <c r="AK19" s="7914"/>
      <c r="AL19" s="7914"/>
      <c r="AM19" s="7914"/>
      <c r="AN19" s="7915"/>
      <c r="AO19" s="7920" t="s">
        <v>1212</v>
      </c>
      <c r="AP19" s="7921"/>
      <c r="AQ19" s="7921"/>
      <c r="AR19" s="7921"/>
      <c r="AS19" s="7922"/>
      <c r="AT19" s="7907" t="s">
        <v>2222</v>
      </c>
      <c r="AU19" s="7908"/>
      <c r="AV19" s="7908"/>
      <c r="AW19" s="7909"/>
      <c r="AX19" s="5603"/>
      <c r="AY19" s="5603"/>
      <c r="AZ19" s="5603"/>
      <c r="BA19" s="5603"/>
      <c r="BB19" s="5603"/>
      <c r="BC19" s="5603"/>
      <c r="BD19" s="5603"/>
      <c r="BE19" s="5603"/>
      <c r="BF19" s="5603"/>
    </row>
    <row r="20" spans="1:58" ht="16" customHeight="1" thickBot="1">
      <c r="A20" s="4370" t="s">
        <v>1207</v>
      </c>
      <c r="B20" s="4370"/>
      <c r="C20" s="6334" t="s">
        <v>2465</v>
      </c>
      <c r="D20" s="6335"/>
      <c r="E20" s="6335"/>
      <c r="F20" s="6335"/>
      <c r="G20" s="6335"/>
      <c r="H20" s="6335"/>
      <c r="I20" s="6335"/>
      <c r="J20" s="6335"/>
      <c r="K20" s="6335"/>
      <c r="L20" s="6335"/>
      <c r="M20" s="6335"/>
      <c r="N20" s="6335"/>
      <c r="O20" s="6335"/>
      <c r="P20" s="6653"/>
      <c r="Q20" s="6653"/>
      <c r="R20" s="6653"/>
      <c r="S20" s="7918" t="s">
        <v>1209</v>
      </c>
      <c r="T20" s="7918"/>
      <c r="U20" s="7918"/>
      <c r="V20" s="7918"/>
      <c r="W20" s="7918"/>
      <c r="X20" s="7918"/>
      <c r="Y20" s="7918"/>
      <c r="Z20" s="7918"/>
      <c r="AA20" s="7918"/>
      <c r="AB20" s="7918"/>
      <c r="AC20" s="7918"/>
      <c r="AD20" s="7918"/>
      <c r="AE20" s="7918"/>
      <c r="AF20" s="7918"/>
      <c r="AG20" s="7918"/>
      <c r="AH20" s="7919" t="s">
        <v>1210</v>
      </c>
      <c r="AI20" s="7919"/>
      <c r="AJ20" s="7919"/>
      <c r="AK20" s="7919"/>
      <c r="AL20" s="7919"/>
      <c r="AM20" s="7919"/>
      <c r="AN20" s="7919"/>
      <c r="AO20" s="7919"/>
      <c r="AP20" s="7919"/>
      <c r="AQ20" s="7919"/>
      <c r="AR20" s="7919"/>
      <c r="AS20" s="7919"/>
      <c r="AT20" s="7919"/>
      <c r="AU20" s="7919"/>
      <c r="AV20" s="7919"/>
      <c r="AW20" s="7919"/>
      <c r="AX20" s="7919"/>
      <c r="AY20" s="5604"/>
      <c r="AZ20" s="5604"/>
      <c r="BA20" s="5604"/>
      <c r="BB20" s="5604"/>
      <c r="BC20" s="5604"/>
      <c r="BD20" s="5604"/>
      <c r="BE20" s="5604"/>
      <c r="BF20" s="5604"/>
    </row>
    <row r="21" spans="1:58" ht="9.75" customHeight="1" thickTop="1" thickBot="1">
      <c r="A21" s="2155"/>
      <c r="B21" s="5605">
        <f t="shared" ref="B21:BF21" si="5">B26+B32+B38+B44+B50+B56+B62</f>
        <v>15</v>
      </c>
      <c r="C21" s="5605">
        <f t="shared" si="5"/>
        <v>15</v>
      </c>
      <c r="D21" s="2156">
        <f t="shared" si="5"/>
        <v>15</v>
      </c>
      <c r="E21" s="2156">
        <f t="shared" si="5"/>
        <v>15</v>
      </c>
      <c r="F21" s="2156">
        <f t="shared" si="5"/>
        <v>15</v>
      </c>
      <c r="G21" s="6220">
        <f t="shared" si="5"/>
        <v>15</v>
      </c>
      <c r="H21" s="5605">
        <f t="shared" si="5"/>
        <v>15</v>
      </c>
      <c r="I21" s="2156">
        <f t="shared" si="5"/>
        <v>15</v>
      </c>
      <c r="J21" s="2156">
        <f t="shared" si="5"/>
        <v>15</v>
      </c>
      <c r="K21" s="6220">
        <f t="shared" si="5"/>
        <v>15</v>
      </c>
      <c r="L21" s="5605">
        <f t="shared" si="5"/>
        <v>15</v>
      </c>
      <c r="M21" s="2156">
        <f t="shared" si="5"/>
        <v>15</v>
      </c>
      <c r="N21" s="2156">
        <f t="shared" si="5"/>
        <v>15</v>
      </c>
      <c r="O21" s="6651">
        <f t="shared" si="5"/>
        <v>15</v>
      </c>
      <c r="P21" s="6655">
        <f t="shared" si="5"/>
        <v>15</v>
      </c>
      <c r="Q21" s="6656">
        <f t="shared" si="5"/>
        <v>15</v>
      </c>
      <c r="R21" s="6679">
        <f t="shared" si="5"/>
        <v>15</v>
      </c>
      <c r="S21" s="6685">
        <f t="shared" si="5"/>
        <v>15</v>
      </c>
      <c r="T21" s="6686">
        <f t="shared" si="5"/>
        <v>15</v>
      </c>
      <c r="U21" s="6686">
        <f t="shared" si="5"/>
        <v>15</v>
      </c>
      <c r="V21" s="6686">
        <f t="shared" si="5"/>
        <v>15</v>
      </c>
      <c r="W21" s="6687">
        <f t="shared" si="5"/>
        <v>15</v>
      </c>
      <c r="X21" s="6685">
        <f t="shared" si="5"/>
        <v>15</v>
      </c>
      <c r="Y21" s="6686">
        <f t="shared" si="5"/>
        <v>15</v>
      </c>
      <c r="Z21" s="6686">
        <f t="shared" si="5"/>
        <v>15</v>
      </c>
      <c r="AA21" s="6686">
        <f t="shared" si="5"/>
        <v>15</v>
      </c>
      <c r="AB21" s="6686">
        <f t="shared" si="5"/>
        <v>15</v>
      </c>
      <c r="AC21" s="6687">
        <f t="shared" si="5"/>
        <v>15</v>
      </c>
      <c r="AD21" s="6685">
        <f t="shared" si="5"/>
        <v>15</v>
      </c>
      <c r="AE21" s="6686">
        <f t="shared" si="5"/>
        <v>15</v>
      </c>
      <c r="AF21" s="6686">
        <f t="shared" si="5"/>
        <v>15</v>
      </c>
      <c r="AG21" s="6687">
        <f t="shared" si="5"/>
        <v>15</v>
      </c>
      <c r="AH21" s="6219">
        <f t="shared" si="5"/>
        <v>15</v>
      </c>
      <c r="AI21" s="2156">
        <f t="shared" si="5"/>
        <v>15</v>
      </c>
      <c r="AJ21" s="5606">
        <f t="shared" si="5"/>
        <v>15</v>
      </c>
      <c r="AK21" s="5606">
        <f t="shared" si="5"/>
        <v>15</v>
      </c>
      <c r="AL21" s="5606">
        <f t="shared" si="5"/>
        <v>15</v>
      </c>
      <c r="AM21" s="5606">
        <f t="shared" si="5"/>
        <v>15</v>
      </c>
      <c r="AN21" s="5606">
        <f t="shared" si="5"/>
        <v>15</v>
      </c>
      <c r="AO21" s="5606">
        <f t="shared" si="5"/>
        <v>15</v>
      </c>
      <c r="AP21" s="5606">
        <f t="shared" si="5"/>
        <v>15</v>
      </c>
      <c r="AQ21" s="5606">
        <f t="shared" si="5"/>
        <v>15</v>
      </c>
      <c r="AR21" s="5606">
        <f t="shared" si="5"/>
        <v>15</v>
      </c>
      <c r="AS21" s="5606">
        <f t="shared" si="5"/>
        <v>15</v>
      </c>
      <c r="AT21" s="5606">
        <f t="shared" si="5"/>
        <v>15</v>
      </c>
      <c r="AU21" s="5606">
        <f t="shared" si="5"/>
        <v>15</v>
      </c>
      <c r="AV21" s="5606">
        <f t="shared" si="5"/>
        <v>15</v>
      </c>
      <c r="AW21" s="5606">
        <f t="shared" si="5"/>
        <v>15</v>
      </c>
      <c r="AX21" s="5606">
        <f t="shared" si="5"/>
        <v>15</v>
      </c>
      <c r="AY21" s="5607">
        <f t="shared" si="5"/>
        <v>15</v>
      </c>
      <c r="AZ21" s="5607">
        <f t="shared" si="5"/>
        <v>0</v>
      </c>
      <c r="BA21" s="5607">
        <f t="shared" si="5"/>
        <v>0</v>
      </c>
      <c r="BB21" s="5607">
        <f t="shared" si="5"/>
        <v>0</v>
      </c>
      <c r="BC21" s="5607">
        <f t="shared" si="5"/>
        <v>0</v>
      </c>
      <c r="BD21" s="5607">
        <f t="shared" si="5"/>
        <v>0</v>
      </c>
      <c r="BE21" s="5607">
        <f t="shared" si="5"/>
        <v>0</v>
      </c>
      <c r="BF21" s="5607">
        <f t="shared" si="5"/>
        <v>0</v>
      </c>
    </row>
    <row r="22" spans="1:58" ht="7.25" customHeight="1" thickTop="1">
      <c r="A22" s="2155"/>
      <c r="B22" s="6221">
        <f t="shared" ref="B22:Q25" si="6">B23</f>
        <v>4</v>
      </c>
      <c r="C22" s="6221">
        <f t="shared" si="6"/>
        <v>3</v>
      </c>
      <c r="D22" s="6222">
        <f t="shared" si="6"/>
        <v>2</v>
      </c>
      <c r="E22" s="6222">
        <f t="shared" si="6"/>
        <v>4</v>
      </c>
      <c r="F22" s="6223">
        <f t="shared" si="6"/>
        <v>2</v>
      </c>
      <c r="G22" s="6224">
        <f t="shared" si="6"/>
        <v>3</v>
      </c>
      <c r="H22" s="6229">
        <f t="shared" si="6"/>
        <v>1</v>
      </c>
      <c r="I22" s="6223">
        <f t="shared" si="6"/>
        <v>1</v>
      </c>
      <c r="J22" s="6223">
        <f t="shared" si="6"/>
        <v>1</v>
      </c>
      <c r="K22" s="6224">
        <f t="shared" si="6"/>
        <v>1</v>
      </c>
      <c r="L22" s="6229">
        <f t="shared" si="6"/>
        <v>2</v>
      </c>
      <c r="M22" s="6223">
        <f t="shared" si="6"/>
        <v>0</v>
      </c>
      <c r="N22" s="6223">
        <f t="shared" si="6"/>
        <v>0</v>
      </c>
      <c r="O22" s="6342">
        <f t="shared" si="6"/>
        <v>1</v>
      </c>
      <c r="P22" s="6657">
        <f t="shared" si="6"/>
        <v>0</v>
      </c>
      <c r="Q22" s="6650">
        <f t="shared" si="6"/>
        <v>0</v>
      </c>
      <c r="R22" s="6342">
        <f t="shared" ref="R22:AG25" si="7">R23</f>
        <v>3</v>
      </c>
      <c r="S22" s="6688">
        <f t="shared" si="7"/>
        <v>3</v>
      </c>
      <c r="T22" s="6683">
        <f t="shared" si="7"/>
        <v>2</v>
      </c>
      <c r="U22" s="6683">
        <f t="shared" si="7"/>
        <v>3</v>
      </c>
      <c r="V22" s="6683">
        <f t="shared" si="7"/>
        <v>2</v>
      </c>
      <c r="W22" s="6689">
        <f t="shared" si="7"/>
        <v>2</v>
      </c>
      <c r="X22" s="6688">
        <f t="shared" si="7"/>
        <v>0</v>
      </c>
      <c r="Y22" s="6683">
        <f t="shared" si="7"/>
        <v>4</v>
      </c>
      <c r="Z22" s="6683">
        <f t="shared" si="7"/>
        <v>0</v>
      </c>
      <c r="AA22" s="6683">
        <f t="shared" si="7"/>
        <v>0</v>
      </c>
      <c r="AB22" s="6683">
        <f t="shared" si="7"/>
        <v>0</v>
      </c>
      <c r="AC22" s="6689">
        <f t="shared" si="7"/>
        <v>0</v>
      </c>
      <c r="AD22" s="6688">
        <f t="shared" si="7"/>
        <v>0</v>
      </c>
      <c r="AE22" s="6683">
        <f t="shared" si="7"/>
        <v>0</v>
      </c>
      <c r="AF22" s="6683">
        <f t="shared" si="7"/>
        <v>2</v>
      </c>
      <c r="AG22" s="6689">
        <f t="shared" si="7"/>
        <v>2</v>
      </c>
      <c r="AH22" s="6660">
        <f t="shared" ref="AH22:AW25" si="8">AH23</f>
        <v>6</v>
      </c>
      <c r="AI22" s="5609">
        <f t="shared" si="8"/>
        <v>7</v>
      </c>
      <c r="AJ22" s="5608">
        <f t="shared" si="8"/>
        <v>4</v>
      </c>
      <c r="AK22" s="5608">
        <f t="shared" si="8"/>
        <v>1</v>
      </c>
      <c r="AL22" s="5608">
        <f t="shared" si="8"/>
        <v>1</v>
      </c>
      <c r="AM22" s="5608">
        <f t="shared" si="8"/>
        <v>1</v>
      </c>
      <c r="AN22" s="5608">
        <f t="shared" si="8"/>
        <v>1</v>
      </c>
      <c r="AO22" s="5608">
        <f t="shared" si="8"/>
        <v>4</v>
      </c>
      <c r="AP22" s="5608">
        <f t="shared" si="8"/>
        <v>2</v>
      </c>
      <c r="AQ22" s="5608">
        <f t="shared" si="8"/>
        <v>2</v>
      </c>
      <c r="AR22" s="5608">
        <f t="shared" si="8"/>
        <v>1</v>
      </c>
      <c r="AS22" s="5608">
        <f t="shared" si="8"/>
        <v>1</v>
      </c>
      <c r="AT22" s="5608">
        <f t="shared" si="8"/>
        <v>2</v>
      </c>
      <c r="AU22" s="5608">
        <f t="shared" si="8"/>
        <v>2</v>
      </c>
      <c r="AV22" s="5608">
        <f>AV23</f>
        <v>5</v>
      </c>
      <c r="AW22" s="5608">
        <f t="shared" ref="AW22:AY25" si="9">AW23</f>
        <v>6</v>
      </c>
      <c r="AX22" s="5608">
        <f t="shared" si="9"/>
        <v>2</v>
      </c>
      <c r="AY22" s="5610">
        <f t="shared" si="9"/>
        <v>5</v>
      </c>
      <c r="AZ22" s="5610"/>
      <c r="BA22" s="5610"/>
      <c r="BB22" s="5610"/>
      <c r="BC22" s="5610"/>
      <c r="BD22" s="5610"/>
      <c r="BE22" s="5610"/>
      <c r="BF22" s="5610"/>
    </row>
    <row r="23" spans="1:58" ht="7.25" customHeight="1">
      <c r="A23" s="2157"/>
      <c r="B23" s="6221">
        <f t="shared" si="6"/>
        <v>4</v>
      </c>
      <c r="C23" s="6221">
        <f t="shared" si="6"/>
        <v>3</v>
      </c>
      <c r="D23" s="6222">
        <f t="shared" si="6"/>
        <v>2</v>
      </c>
      <c r="E23" s="6222">
        <f t="shared" si="6"/>
        <v>4</v>
      </c>
      <c r="F23" s="6223">
        <f t="shared" si="6"/>
        <v>2</v>
      </c>
      <c r="G23" s="6224">
        <f t="shared" si="6"/>
        <v>3</v>
      </c>
      <c r="H23" s="6229">
        <f t="shared" si="6"/>
        <v>1</v>
      </c>
      <c r="I23" s="6223">
        <f t="shared" si="6"/>
        <v>1</v>
      </c>
      <c r="J23" s="6223">
        <f t="shared" si="6"/>
        <v>1</v>
      </c>
      <c r="K23" s="6224">
        <f t="shared" si="6"/>
        <v>1</v>
      </c>
      <c r="L23" s="6229">
        <f t="shared" si="6"/>
        <v>2</v>
      </c>
      <c r="M23" s="6223">
        <f t="shared" si="6"/>
        <v>0</v>
      </c>
      <c r="N23" s="6223">
        <f t="shared" si="6"/>
        <v>0</v>
      </c>
      <c r="O23" s="6342">
        <f t="shared" si="6"/>
        <v>1</v>
      </c>
      <c r="P23" s="6657">
        <f t="shared" si="6"/>
        <v>0</v>
      </c>
      <c r="Q23" s="6650">
        <f t="shared" si="6"/>
        <v>0</v>
      </c>
      <c r="R23" s="6342">
        <f t="shared" si="7"/>
        <v>3</v>
      </c>
      <c r="S23" s="6688">
        <f t="shared" si="7"/>
        <v>3</v>
      </c>
      <c r="T23" s="6683">
        <f t="shared" si="7"/>
        <v>2</v>
      </c>
      <c r="U23" s="6683">
        <f t="shared" si="7"/>
        <v>3</v>
      </c>
      <c r="V23" s="6683">
        <f t="shared" si="7"/>
        <v>2</v>
      </c>
      <c r="W23" s="6689">
        <f t="shared" si="7"/>
        <v>2</v>
      </c>
      <c r="X23" s="6695">
        <f t="shared" si="7"/>
        <v>0</v>
      </c>
      <c r="Y23" s="6683">
        <f t="shared" si="7"/>
        <v>4</v>
      </c>
      <c r="Z23" s="6683">
        <f t="shared" si="7"/>
        <v>0</v>
      </c>
      <c r="AA23" s="6683">
        <f t="shared" si="7"/>
        <v>0</v>
      </c>
      <c r="AB23" s="6683">
        <f t="shared" si="7"/>
        <v>0</v>
      </c>
      <c r="AC23" s="6689">
        <f t="shared" si="7"/>
        <v>0</v>
      </c>
      <c r="AD23" s="6688">
        <f t="shared" si="7"/>
        <v>0</v>
      </c>
      <c r="AE23" s="6683">
        <f t="shared" si="7"/>
        <v>0</v>
      </c>
      <c r="AF23" s="6683">
        <f t="shared" si="7"/>
        <v>2</v>
      </c>
      <c r="AG23" s="6689">
        <f t="shared" si="7"/>
        <v>2</v>
      </c>
      <c r="AH23" s="6660">
        <f t="shared" si="8"/>
        <v>6</v>
      </c>
      <c r="AI23" s="5609">
        <f t="shared" si="8"/>
        <v>7</v>
      </c>
      <c r="AJ23" s="5608">
        <f t="shared" si="8"/>
        <v>4</v>
      </c>
      <c r="AK23" s="5608">
        <f t="shared" si="8"/>
        <v>1</v>
      </c>
      <c r="AL23" s="5608">
        <f t="shared" si="8"/>
        <v>1</v>
      </c>
      <c r="AM23" s="5608">
        <f t="shared" si="8"/>
        <v>1</v>
      </c>
      <c r="AN23" s="5608">
        <f t="shared" si="8"/>
        <v>1</v>
      </c>
      <c r="AO23" s="5608">
        <f t="shared" si="8"/>
        <v>4</v>
      </c>
      <c r="AP23" s="5608">
        <f t="shared" si="8"/>
        <v>2</v>
      </c>
      <c r="AQ23" s="5608">
        <f t="shared" si="8"/>
        <v>2</v>
      </c>
      <c r="AR23" s="5608">
        <f t="shared" si="8"/>
        <v>1</v>
      </c>
      <c r="AS23" s="5608">
        <f t="shared" si="8"/>
        <v>1</v>
      </c>
      <c r="AT23" s="5608">
        <f t="shared" si="8"/>
        <v>2</v>
      </c>
      <c r="AU23" s="5608">
        <f t="shared" si="8"/>
        <v>2</v>
      </c>
      <c r="AV23" s="5608">
        <f t="shared" si="8"/>
        <v>5</v>
      </c>
      <c r="AW23" s="5608">
        <f t="shared" si="8"/>
        <v>6</v>
      </c>
      <c r="AX23" s="5608">
        <f t="shared" si="9"/>
        <v>2</v>
      </c>
      <c r="AY23" s="5610">
        <f t="shared" si="9"/>
        <v>5</v>
      </c>
      <c r="AZ23" s="5610"/>
      <c r="BA23" s="5610"/>
      <c r="BB23" s="5610"/>
      <c r="BC23" s="5610"/>
      <c r="BD23" s="5610"/>
      <c r="BE23" s="5610"/>
      <c r="BF23" s="5610"/>
    </row>
    <row r="24" spans="1:58" ht="6" customHeight="1">
      <c r="A24" s="2157"/>
      <c r="B24" s="6221">
        <f t="shared" si="6"/>
        <v>4</v>
      </c>
      <c r="C24" s="6221">
        <f t="shared" si="6"/>
        <v>3</v>
      </c>
      <c r="D24" s="6222">
        <f t="shared" si="6"/>
        <v>2</v>
      </c>
      <c r="E24" s="6222">
        <f t="shared" si="6"/>
        <v>4</v>
      </c>
      <c r="F24" s="6223">
        <f t="shared" si="6"/>
        <v>2</v>
      </c>
      <c r="G24" s="6224">
        <f t="shared" si="6"/>
        <v>3</v>
      </c>
      <c r="H24" s="6229">
        <f t="shared" si="6"/>
        <v>1</v>
      </c>
      <c r="I24" s="6223">
        <f t="shared" si="6"/>
        <v>1</v>
      </c>
      <c r="J24" s="6223">
        <f t="shared" si="6"/>
        <v>1</v>
      </c>
      <c r="K24" s="6224">
        <f t="shared" si="6"/>
        <v>1</v>
      </c>
      <c r="L24" s="6229">
        <f t="shared" si="6"/>
        <v>2</v>
      </c>
      <c r="M24" s="6223">
        <f t="shared" si="6"/>
        <v>0</v>
      </c>
      <c r="N24" s="6223">
        <f t="shared" si="6"/>
        <v>0</v>
      </c>
      <c r="O24" s="6342">
        <f t="shared" si="6"/>
        <v>1</v>
      </c>
      <c r="P24" s="6657">
        <f t="shared" si="6"/>
        <v>0</v>
      </c>
      <c r="Q24" s="6650">
        <f t="shared" si="6"/>
        <v>0</v>
      </c>
      <c r="R24" s="6342">
        <f t="shared" si="7"/>
        <v>3</v>
      </c>
      <c r="S24" s="6688">
        <f t="shared" si="7"/>
        <v>3</v>
      </c>
      <c r="T24" s="6683">
        <f t="shared" si="7"/>
        <v>2</v>
      </c>
      <c r="U24" s="6683">
        <f t="shared" si="7"/>
        <v>3</v>
      </c>
      <c r="V24" s="6683">
        <f t="shared" si="7"/>
        <v>2</v>
      </c>
      <c r="W24" s="6689">
        <f t="shared" si="7"/>
        <v>2</v>
      </c>
      <c r="X24" s="6688">
        <f t="shared" si="7"/>
        <v>0</v>
      </c>
      <c r="Y24" s="6683">
        <f t="shared" si="7"/>
        <v>4</v>
      </c>
      <c r="Z24" s="6683">
        <f t="shared" si="7"/>
        <v>0</v>
      </c>
      <c r="AA24" s="6683">
        <f t="shared" si="7"/>
        <v>0</v>
      </c>
      <c r="AB24" s="6683">
        <f t="shared" si="7"/>
        <v>0</v>
      </c>
      <c r="AC24" s="6689">
        <f t="shared" si="7"/>
        <v>0</v>
      </c>
      <c r="AD24" s="6688">
        <f t="shared" si="7"/>
        <v>0</v>
      </c>
      <c r="AE24" s="6683">
        <f t="shared" si="7"/>
        <v>0</v>
      </c>
      <c r="AF24" s="6683">
        <f t="shared" si="7"/>
        <v>2</v>
      </c>
      <c r="AG24" s="6689">
        <f t="shared" si="7"/>
        <v>2</v>
      </c>
      <c r="AH24" s="6660">
        <f t="shared" si="8"/>
        <v>6</v>
      </c>
      <c r="AI24" s="5609">
        <f t="shared" si="8"/>
        <v>7</v>
      </c>
      <c r="AJ24" s="5608">
        <f t="shared" si="8"/>
        <v>4</v>
      </c>
      <c r="AK24" s="5608">
        <f t="shared" si="8"/>
        <v>1</v>
      </c>
      <c r="AL24" s="5608">
        <f t="shared" si="8"/>
        <v>1</v>
      </c>
      <c r="AM24" s="5608">
        <f t="shared" si="8"/>
        <v>1</v>
      </c>
      <c r="AN24" s="5608">
        <f t="shared" si="8"/>
        <v>1</v>
      </c>
      <c r="AO24" s="5608">
        <f t="shared" si="8"/>
        <v>4</v>
      </c>
      <c r="AP24" s="5608">
        <f t="shared" si="8"/>
        <v>2</v>
      </c>
      <c r="AQ24" s="5608">
        <f t="shared" si="8"/>
        <v>2</v>
      </c>
      <c r="AR24" s="5608">
        <f t="shared" si="8"/>
        <v>1</v>
      </c>
      <c r="AS24" s="5608">
        <f t="shared" si="8"/>
        <v>1</v>
      </c>
      <c r="AT24" s="5608">
        <f t="shared" si="8"/>
        <v>2</v>
      </c>
      <c r="AU24" s="5608">
        <f t="shared" si="8"/>
        <v>2</v>
      </c>
      <c r="AV24" s="5608">
        <f t="shared" si="8"/>
        <v>5</v>
      </c>
      <c r="AW24" s="5608">
        <f t="shared" si="8"/>
        <v>6</v>
      </c>
      <c r="AX24" s="5608">
        <f t="shared" si="9"/>
        <v>2</v>
      </c>
      <c r="AY24" s="5610">
        <f t="shared" si="9"/>
        <v>5</v>
      </c>
      <c r="AZ24" s="5610"/>
      <c r="BA24" s="5610"/>
      <c r="BB24" s="5610"/>
      <c r="BC24" s="5610"/>
      <c r="BD24" s="5610"/>
      <c r="BE24" s="5610"/>
      <c r="BF24" s="5610"/>
    </row>
    <row r="25" spans="1:58" ht="6" customHeight="1">
      <c r="A25" s="2157"/>
      <c r="B25" s="6221">
        <f t="shared" si="6"/>
        <v>4</v>
      </c>
      <c r="C25" s="6221">
        <f t="shared" si="6"/>
        <v>3</v>
      </c>
      <c r="D25" s="6222">
        <f t="shared" si="6"/>
        <v>2</v>
      </c>
      <c r="E25" s="6222">
        <f t="shared" si="6"/>
        <v>4</v>
      </c>
      <c r="F25" s="6223">
        <f t="shared" si="6"/>
        <v>2</v>
      </c>
      <c r="G25" s="6224">
        <f t="shared" si="6"/>
        <v>3</v>
      </c>
      <c r="H25" s="6229">
        <f t="shared" si="6"/>
        <v>1</v>
      </c>
      <c r="I25" s="6223">
        <f t="shared" si="6"/>
        <v>1</v>
      </c>
      <c r="J25" s="6223">
        <f t="shared" si="6"/>
        <v>1</v>
      </c>
      <c r="K25" s="6224">
        <f t="shared" si="6"/>
        <v>1</v>
      </c>
      <c r="L25" s="6229">
        <f t="shared" si="6"/>
        <v>2</v>
      </c>
      <c r="M25" s="6223">
        <f t="shared" si="6"/>
        <v>0</v>
      </c>
      <c r="N25" s="6223">
        <f t="shared" si="6"/>
        <v>0</v>
      </c>
      <c r="O25" s="6342">
        <f t="shared" si="6"/>
        <v>1</v>
      </c>
      <c r="P25" s="6657">
        <f t="shared" si="6"/>
        <v>0</v>
      </c>
      <c r="Q25" s="6650">
        <f t="shared" si="6"/>
        <v>0</v>
      </c>
      <c r="R25" s="6342">
        <f t="shared" si="7"/>
        <v>3</v>
      </c>
      <c r="S25" s="6688">
        <f t="shared" si="7"/>
        <v>3</v>
      </c>
      <c r="T25" s="6683">
        <f t="shared" si="7"/>
        <v>2</v>
      </c>
      <c r="U25" s="6683">
        <f t="shared" si="7"/>
        <v>3</v>
      </c>
      <c r="V25" s="6683">
        <f t="shared" si="7"/>
        <v>2</v>
      </c>
      <c r="W25" s="6689">
        <f t="shared" si="7"/>
        <v>2</v>
      </c>
      <c r="X25" s="6688">
        <f t="shared" si="7"/>
        <v>0</v>
      </c>
      <c r="Y25" s="6683">
        <f t="shared" si="7"/>
        <v>4</v>
      </c>
      <c r="Z25" s="6683">
        <f t="shared" si="7"/>
        <v>0</v>
      </c>
      <c r="AA25" s="6683">
        <f t="shared" si="7"/>
        <v>0</v>
      </c>
      <c r="AB25" s="6683">
        <f t="shared" si="7"/>
        <v>0</v>
      </c>
      <c r="AC25" s="6689">
        <f t="shared" si="7"/>
        <v>0</v>
      </c>
      <c r="AD25" s="6688">
        <f t="shared" si="7"/>
        <v>0</v>
      </c>
      <c r="AE25" s="6683">
        <f t="shared" si="7"/>
        <v>0</v>
      </c>
      <c r="AF25" s="6683">
        <f t="shared" si="7"/>
        <v>2</v>
      </c>
      <c r="AG25" s="6689">
        <f t="shared" si="7"/>
        <v>2</v>
      </c>
      <c r="AH25" s="6660">
        <f t="shared" si="8"/>
        <v>6</v>
      </c>
      <c r="AI25" s="5609">
        <f t="shared" si="8"/>
        <v>7</v>
      </c>
      <c r="AJ25" s="5608">
        <f t="shared" si="8"/>
        <v>4</v>
      </c>
      <c r="AK25" s="5608">
        <f t="shared" si="8"/>
        <v>1</v>
      </c>
      <c r="AL25" s="5608">
        <f t="shared" si="8"/>
        <v>1</v>
      </c>
      <c r="AM25" s="5608">
        <f t="shared" si="8"/>
        <v>1</v>
      </c>
      <c r="AN25" s="5608">
        <f t="shared" si="8"/>
        <v>1</v>
      </c>
      <c r="AO25" s="5608">
        <f t="shared" si="8"/>
        <v>4</v>
      </c>
      <c r="AP25" s="5608">
        <f t="shared" si="8"/>
        <v>2</v>
      </c>
      <c r="AQ25" s="5608">
        <f t="shared" si="8"/>
        <v>2</v>
      </c>
      <c r="AR25" s="5608">
        <f t="shared" si="8"/>
        <v>1</v>
      </c>
      <c r="AS25" s="5608">
        <f t="shared" si="8"/>
        <v>1</v>
      </c>
      <c r="AT25" s="5608">
        <f t="shared" si="8"/>
        <v>2</v>
      </c>
      <c r="AU25" s="5608">
        <f t="shared" si="8"/>
        <v>2</v>
      </c>
      <c r="AV25" s="5608">
        <f t="shared" si="8"/>
        <v>5</v>
      </c>
      <c r="AW25" s="5608">
        <f t="shared" si="8"/>
        <v>6</v>
      </c>
      <c r="AX25" s="5608">
        <f>AX26</f>
        <v>2</v>
      </c>
      <c r="AY25" s="5610">
        <f t="shared" si="9"/>
        <v>5</v>
      </c>
      <c r="AZ25" s="5610"/>
      <c r="BA25" s="5610"/>
      <c r="BB25" s="5610"/>
      <c r="BC25" s="5610"/>
      <c r="BD25" s="5610"/>
      <c r="BE25" s="5610"/>
      <c r="BF25" s="5610"/>
    </row>
    <row r="26" spans="1:58" ht="6" customHeight="1">
      <c r="A26" s="5611"/>
      <c r="B26" s="6221">
        <f t="shared" ref="B26:AY26" si="10">15-B32-B38-B44-B50-B56-B62</f>
        <v>4</v>
      </c>
      <c r="C26" s="6221">
        <f t="shared" si="10"/>
        <v>3</v>
      </c>
      <c r="D26" s="6338">
        <f t="shared" si="10"/>
        <v>2</v>
      </c>
      <c r="E26" s="6338">
        <f t="shared" si="10"/>
        <v>4</v>
      </c>
      <c r="F26" s="6339">
        <f t="shared" si="10"/>
        <v>2</v>
      </c>
      <c r="G26" s="6340">
        <f t="shared" si="10"/>
        <v>3</v>
      </c>
      <c r="H26" s="6229">
        <f t="shared" si="10"/>
        <v>1</v>
      </c>
      <c r="I26" s="6339">
        <f t="shared" si="10"/>
        <v>1</v>
      </c>
      <c r="J26" s="6339">
        <f t="shared" si="10"/>
        <v>1</v>
      </c>
      <c r="K26" s="6341">
        <f t="shared" si="10"/>
        <v>1</v>
      </c>
      <c r="L26" s="6229">
        <f t="shared" si="10"/>
        <v>2</v>
      </c>
      <c r="M26" s="6339">
        <f t="shared" si="10"/>
        <v>0</v>
      </c>
      <c r="N26" s="6339">
        <f t="shared" si="10"/>
        <v>0</v>
      </c>
      <c r="O26" s="6342">
        <f t="shared" si="10"/>
        <v>1</v>
      </c>
      <c r="P26" s="6657">
        <f t="shared" si="10"/>
        <v>0</v>
      </c>
      <c r="Q26" s="6650">
        <f t="shared" si="10"/>
        <v>0</v>
      </c>
      <c r="R26" s="6342">
        <f t="shared" si="10"/>
        <v>3</v>
      </c>
      <c r="S26" s="6688">
        <f t="shared" si="10"/>
        <v>3</v>
      </c>
      <c r="T26" s="6683">
        <f t="shared" si="10"/>
        <v>2</v>
      </c>
      <c r="U26" s="6683">
        <f t="shared" si="10"/>
        <v>3</v>
      </c>
      <c r="V26" s="6683">
        <f t="shared" si="10"/>
        <v>2</v>
      </c>
      <c r="W26" s="6689">
        <f t="shared" si="10"/>
        <v>2</v>
      </c>
      <c r="X26" s="6688">
        <f t="shared" si="10"/>
        <v>0</v>
      </c>
      <c r="Y26" s="6683">
        <f t="shared" si="10"/>
        <v>4</v>
      </c>
      <c r="Z26" s="6683">
        <f t="shared" si="10"/>
        <v>0</v>
      </c>
      <c r="AA26" s="6683">
        <f t="shared" si="10"/>
        <v>0</v>
      </c>
      <c r="AB26" s="6683">
        <f t="shared" si="10"/>
        <v>0</v>
      </c>
      <c r="AC26" s="6689">
        <f>15-AC32-AC38-AC44-AC50-AC56-AC62</f>
        <v>0</v>
      </c>
      <c r="AD26" s="6688">
        <f t="shared" si="10"/>
        <v>0</v>
      </c>
      <c r="AE26" s="6683">
        <f t="shared" si="10"/>
        <v>0</v>
      </c>
      <c r="AF26" s="6683">
        <f t="shared" si="10"/>
        <v>2</v>
      </c>
      <c r="AG26" s="6689">
        <f t="shared" si="10"/>
        <v>2</v>
      </c>
      <c r="AH26" s="6660">
        <f t="shared" si="10"/>
        <v>6</v>
      </c>
      <c r="AI26" s="6229">
        <f t="shared" si="10"/>
        <v>7</v>
      </c>
      <c r="AJ26" s="6338">
        <f t="shared" si="10"/>
        <v>4</v>
      </c>
      <c r="AK26" s="6338">
        <f t="shared" si="10"/>
        <v>1</v>
      </c>
      <c r="AL26" s="6338">
        <f t="shared" si="10"/>
        <v>1</v>
      </c>
      <c r="AM26" s="6338">
        <f t="shared" si="10"/>
        <v>1</v>
      </c>
      <c r="AN26" s="6338">
        <f t="shared" si="10"/>
        <v>1</v>
      </c>
      <c r="AO26" s="6338">
        <f t="shared" si="10"/>
        <v>4</v>
      </c>
      <c r="AP26" s="6338">
        <f t="shared" si="10"/>
        <v>2</v>
      </c>
      <c r="AQ26" s="6338">
        <f t="shared" si="10"/>
        <v>2</v>
      </c>
      <c r="AR26" s="6338">
        <f t="shared" si="10"/>
        <v>1</v>
      </c>
      <c r="AS26" s="6338">
        <f t="shared" si="10"/>
        <v>1</v>
      </c>
      <c r="AT26" s="6338">
        <f t="shared" si="10"/>
        <v>2</v>
      </c>
      <c r="AU26" s="6338">
        <f t="shared" si="10"/>
        <v>2</v>
      </c>
      <c r="AV26" s="6338">
        <f t="shared" si="10"/>
        <v>5</v>
      </c>
      <c r="AW26" s="6338">
        <f t="shared" si="10"/>
        <v>6</v>
      </c>
      <c r="AX26" s="6338">
        <f t="shared" si="10"/>
        <v>2</v>
      </c>
      <c r="AY26" s="6343">
        <f t="shared" si="10"/>
        <v>5</v>
      </c>
      <c r="AZ26" s="5610"/>
      <c r="BA26" s="5610"/>
      <c r="BB26" s="5610"/>
      <c r="BC26" s="5610"/>
      <c r="BD26" s="5610"/>
      <c r="BE26" s="5610"/>
      <c r="BF26" s="5610"/>
    </row>
    <row r="27" spans="1:58" ht="2" customHeight="1">
      <c r="A27" s="5612"/>
      <c r="B27" s="6221"/>
      <c r="C27" s="6221"/>
      <c r="D27" s="6338"/>
      <c r="E27" s="6338"/>
      <c r="F27" s="6339"/>
      <c r="G27" s="6341"/>
      <c r="H27" s="6229"/>
      <c r="I27" s="6339"/>
      <c r="J27" s="6339"/>
      <c r="K27" s="6341"/>
      <c r="L27" s="6229"/>
      <c r="M27" s="6339"/>
      <c r="N27" s="6339"/>
      <c r="O27" s="6342"/>
      <c r="P27" s="6657"/>
      <c r="Q27" s="6650"/>
      <c r="R27" s="6342"/>
      <c r="S27" s="6688"/>
      <c r="T27" s="6683"/>
      <c r="U27" s="6683"/>
      <c r="V27" s="6683"/>
      <c r="W27" s="6689"/>
      <c r="X27" s="6688"/>
      <c r="Y27" s="6683"/>
      <c r="Z27" s="6683"/>
      <c r="AA27" s="6683"/>
      <c r="AB27" s="6683"/>
      <c r="AC27" s="6689"/>
      <c r="AD27" s="6688"/>
      <c r="AE27" s="6683"/>
      <c r="AF27" s="6683"/>
      <c r="AG27" s="6689"/>
      <c r="AH27" s="6660"/>
      <c r="AI27" s="3722"/>
      <c r="AJ27" s="5613"/>
      <c r="AK27" s="5613"/>
      <c r="AL27" s="5613"/>
      <c r="AM27" s="5613"/>
      <c r="AN27" s="5613"/>
      <c r="AO27" s="5613"/>
      <c r="AP27" s="5613"/>
      <c r="AQ27" s="5613"/>
      <c r="AR27" s="5613"/>
      <c r="AS27" s="5613"/>
      <c r="AT27" s="5613"/>
      <c r="AU27" s="5613"/>
      <c r="AV27" s="5613"/>
      <c r="AW27" s="5613"/>
      <c r="AX27" s="5613"/>
      <c r="AY27" s="2160"/>
      <c r="AZ27" s="2160"/>
      <c r="BA27" s="2160"/>
      <c r="BB27" s="2160"/>
      <c r="BC27" s="2160"/>
      <c r="BD27" s="2160"/>
      <c r="BE27" s="2160"/>
      <c r="BF27" s="2160"/>
    </row>
    <row r="28" spans="1:58" ht="6" customHeight="1">
      <c r="A28" s="2158"/>
      <c r="B28" s="6221">
        <f t="shared" ref="B28:Q31" si="11">B29</f>
        <v>5</v>
      </c>
      <c r="C28" s="6221">
        <f t="shared" si="11"/>
        <v>3</v>
      </c>
      <c r="D28" s="6338">
        <f t="shared" si="11"/>
        <v>3</v>
      </c>
      <c r="E28" s="6338">
        <f t="shared" si="11"/>
        <v>4</v>
      </c>
      <c r="F28" s="6339">
        <f t="shared" si="11"/>
        <v>4</v>
      </c>
      <c r="G28" s="6341">
        <f t="shared" si="11"/>
        <v>1</v>
      </c>
      <c r="H28" s="6229">
        <f t="shared" si="11"/>
        <v>2</v>
      </c>
      <c r="I28" s="6339">
        <f t="shared" si="11"/>
        <v>2</v>
      </c>
      <c r="J28" s="6339">
        <f t="shared" si="11"/>
        <v>2</v>
      </c>
      <c r="K28" s="6341">
        <f t="shared" si="11"/>
        <v>3</v>
      </c>
      <c r="L28" s="6229">
        <f t="shared" si="11"/>
        <v>2</v>
      </c>
      <c r="M28" s="6339">
        <f t="shared" si="11"/>
        <v>2</v>
      </c>
      <c r="N28" s="6339">
        <f t="shared" si="11"/>
        <v>3</v>
      </c>
      <c r="O28" s="6342">
        <f t="shared" si="11"/>
        <v>2</v>
      </c>
      <c r="P28" s="6657">
        <f t="shared" si="11"/>
        <v>2</v>
      </c>
      <c r="Q28" s="6650">
        <f t="shared" si="11"/>
        <v>3</v>
      </c>
      <c r="R28" s="6342">
        <f t="shared" ref="R28:AG31" si="12">R29</f>
        <v>3</v>
      </c>
      <c r="S28" s="6688">
        <f t="shared" si="12"/>
        <v>3</v>
      </c>
      <c r="T28" s="6683">
        <f t="shared" si="12"/>
        <v>3</v>
      </c>
      <c r="U28" s="6683">
        <f t="shared" si="12"/>
        <v>3</v>
      </c>
      <c r="V28" s="6683">
        <f t="shared" si="12"/>
        <v>3</v>
      </c>
      <c r="W28" s="6689">
        <f t="shared" si="12"/>
        <v>3</v>
      </c>
      <c r="X28" s="6688">
        <f t="shared" si="12"/>
        <v>5</v>
      </c>
      <c r="Y28" s="6683">
        <f t="shared" si="12"/>
        <v>3</v>
      </c>
      <c r="Z28" s="6683">
        <f t="shared" si="12"/>
        <v>3</v>
      </c>
      <c r="AA28" s="6683">
        <f t="shared" si="12"/>
        <v>3</v>
      </c>
      <c r="AB28" s="6683">
        <f t="shared" si="12"/>
        <v>2</v>
      </c>
      <c r="AC28" s="6689">
        <f>AC29</f>
        <v>1</v>
      </c>
      <c r="AD28" s="6688">
        <f t="shared" si="12"/>
        <v>2</v>
      </c>
      <c r="AE28" s="6683">
        <f t="shared" si="12"/>
        <v>5</v>
      </c>
      <c r="AF28" s="6683">
        <f t="shared" si="12"/>
        <v>2</v>
      </c>
      <c r="AG28" s="6689">
        <f t="shared" si="12"/>
        <v>3</v>
      </c>
      <c r="AH28" s="6660">
        <f t="shared" ref="AH28:AY31" si="13">AH29</f>
        <v>3</v>
      </c>
      <c r="AI28" s="6229">
        <f t="shared" si="13"/>
        <v>5</v>
      </c>
      <c r="AJ28" s="6338">
        <f t="shared" si="13"/>
        <v>5</v>
      </c>
      <c r="AK28" s="6338">
        <f t="shared" si="13"/>
        <v>5</v>
      </c>
      <c r="AL28" s="6338">
        <f t="shared" si="13"/>
        <v>1</v>
      </c>
      <c r="AM28" s="6338">
        <f t="shared" si="13"/>
        <v>1</v>
      </c>
      <c r="AN28" s="6338">
        <f t="shared" si="13"/>
        <v>3</v>
      </c>
      <c r="AO28" s="6338">
        <f t="shared" si="13"/>
        <v>3</v>
      </c>
      <c r="AP28" s="6338">
        <f t="shared" si="13"/>
        <v>2</v>
      </c>
      <c r="AQ28" s="6338">
        <f t="shared" si="13"/>
        <v>1</v>
      </c>
      <c r="AR28" s="6338">
        <f t="shared" si="13"/>
        <v>0</v>
      </c>
      <c r="AS28" s="6338">
        <f t="shared" si="13"/>
        <v>1</v>
      </c>
      <c r="AT28" s="6338">
        <f t="shared" si="13"/>
        <v>1</v>
      </c>
      <c r="AU28" s="6338">
        <f t="shared" si="13"/>
        <v>5</v>
      </c>
      <c r="AV28" s="6338">
        <f t="shared" si="13"/>
        <v>5</v>
      </c>
      <c r="AW28" s="6338">
        <f t="shared" si="13"/>
        <v>5</v>
      </c>
      <c r="AX28" s="6338">
        <f t="shared" si="13"/>
        <v>4</v>
      </c>
      <c r="AY28" s="6343">
        <f t="shared" si="13"/>
        <v>1</v>
      </c>
      <c r="AZ28" s="5610"/>
      <c r="BA28" s="5610"/>
      <c r="BB28" s="5610"/>
      <c r="BC28" s="5610"/>
      <c r="BD28" s="5610"/>
      <c r="BE28" s="5610"/>
      <c r="BF28" s="5610"/>
    </row>
    <row r="29" spans="1:58" ht="6" customHeight="1">
      <c r="A29" s="2158"/>
      <c r="B29" s="6221">
        <f t="shared" si="11"/>
        <v>5</v>
      </c>
      <c r="C29" s="6221">
        <f t="shared" si="11"/>
        <v>3</v>
      </c>
      <c r="D29" s="6338">
        <f t="shared" si="11"/>
        <v>3</v>
      </c>
      <c r="E29" s="6338">
        <f t="shared" si="11"/>
        <v>4</v>
      </c>
      <c r="F29" s="6339">
        <f t="shared" si="11"/>
        <v>4</v>
      </c>
      <c r="G29" s="6341">
        <f t="shared" si="11"/>
        <v>1</v>
      </c>
      <c r="H29" s="6229">
        <f t="shared" si="11"/>
        <v>2</v>
      </c>
      <c r="I29" s="6339">
        <f t="shared" si="11"/>
        <v>2</v>
      </c>
      <c r="J29" s="6339">
        <f t="shared" si="11"/>
        <v>2</v>
      </c>
      <c r="K29" s="6341">
        <f t="shared" si="11"/>
        <v>3</v>
      </c>
      <c r="L29" s="6229">
        <f t="shared" si="11"/>
        <v>2</v>
      </c>
      <c r="M29" s="6339">
        <f t="shared" si="11"/>
        <v>2</v>
      </c>
      <c r="N29" s="6339">
        <f t="shared" si="11"/>
        <v>3</v>
      </c>
      <c r="O29" s="6342">
        <f t="shared" si="11"/>
        <v>2</v>
      </c>
      <c r="P29" s="6657">
        <f t="shared" si="11"/>
        <v>2</v>
      </c>
      <c r="Q29" s="6650">
        <f t="shared" si="11"/>
        <v>3</v>
      </c>
      <c r="R29" s="6342">
        <f t="shared" si="12"/>
        <v>3</v>
      </c>
      <c r="S29" s="6688">
        <f t="shared" si="12"/>
        <v>3</v>
      </c>
      <c r="T29" s="6683">
        <f t="shared" si="12"/>
        <v>3</v>
      </c>
      <c r="U29" s="6683">
        <f t="shared" si="12"/>
        <v>3</v>
      </c>
      <c r="V29" s="6683">
        <f t="shared" si="12"/>
        <v>3</v>
      </c>
      <c r="W29" s="6689">
        <f t="shared" si="12"/>
        <v>3</v>
      </c>
      <c r="X29" s="6688">
        <f t="shared" si="12"/>
        <v>5</v>
      </c>
      <c r="Y29" s="6683">
        <f t="shared" si="12"/>
        <v>3</v>
      </c>
      <c r="Z29" s="6683">
        <f t="shared" si="12"/>
        <v>3</v>
      </c>
      <c r="AA29" s="6683">
        <f t="shared" si="12"/>
        <v>3</v>
      </c>
      <c r="AB29" s="6683">
        <f t="shared" si="12"/>
        <v>2</v>
      </c>
      <c r="AC29" s="6689">
        <f t="shared" si="12"/>
        <v>1</v>
      </c>
      <c r="AD29" s="6688">
        <f t="shared" si="12"/>
        <v>2</v>
      </c>
      <c r="AE29" s="6683">
        <f t="shared" si="12"/>
        <v>5</v>
      </c>
      <c r="AF29" s="6683">
        <f t="shared" si="12"/>
        <v>2</v>
      </c>
      <c r="AG29" s="6689">
        <f t="shared" si="12"/>
        <v>3</v>
      </c>
      <c r="AH29" s="6660">
        <f t="shared" si="13"/>
        <v>3</v>
      </c>
      <c r="AI29" s="6229">
        <f t="shared" si="13"/>
        <v>5</v>
      </c>
      <c r="AJ29" s="6338">
        <f t="shared" si="13"/>
        <v>5</v>
      </c>
      <c r="AK29" s="6338">
        <f t="shared" si="13"/>
        <v>5</v>
      </c>
      <c r="AL29" s="6338">
        <f t="shared" si="13"/>
        <v>1</v>
      </c>
      <c r="AM29" s="6338">
        <f t="shared" si="13"/>
        <v>1</v>
      </c>
      <c r="AN29" s="6338">
        <f t="shared" si="13"/>
        <v>3</v>
      </c>
      <c r="AO29" s="6338">
        <f t="shared" si="13"/>
        <v>3</v>
      </c>
      <c r="AP29" s="6338">
        <f t="shared" si="13"/>
        <v>2</v>
      </c>
      <c r="AQ29" s="6338">
        <f t="shared" si="13"/>
        <v>1</v>
      </c>
      <c r="AR29" s="6338">
        <f t="shared" si="13"/>
        <v>0</v>
      </c>
      <c r="AS29" s="6338">
        <f t="shared" si="13"/>
        <v>1</v>
      </c>
      <c r="AT29" s="6338">
        <f t="shared" si="13"/>
        <v>1</v>
      </c>
      <c r="AU29" s="6338">
        <f t="shared" si="13"/>
        <v>5</v>
      </c>
      <c r="AV29" s="6338">
        <f t="shared" si="13"/>
        <v>5</v>
      </c>
      <c r="AW29" s="6338">
        <f t="shared" si="13"/>
        <v>5</v>
      </c>
      <c r="AX29" s="6338">
        <f t="shared" si="13"/>
        <v>4</v>
      </c>
      <c r="AY29" s="6343">
        <f t="shared" si="13"/>
        <v>1</v>
      </c>
      <c r="AZ29" s="5610"/>
      <c r="BA29" s="5610"/>
      <c r="BB29" s="5610"/>
      <c r="BC29" s="5610"/>
      <c r="BD29" s="5610"/>
      <c r="BE29" s="5610"/>
      <c r="BF29" s="5610"/>
    </row>
    <row r="30" spans="1:58" ht="6" customHeight="1">
      <c r="A30" s="2158"/>
      <c r="B30" s="6221">
        <f t="shared" si="11"/>
        <v>5</v>
      </c>
      <c r="C30" s="6221">
        <f t="shared" si="11"/>
        <v>3</v>
      </c>
      <c r="D30" s="6338">
        <f t="shared" si="11"/>
        <v>3</v>
      </c>
      <c r="E30" s="6338">
        <f t="shared" si="11"/>
        <v>4</v>
      </c>
      <c r="F30" s="6339">
        <f t="shared" si="11"/>
        <v>4</v>
      </c>
      <c r="G30" s="6341">
        <f t="shared" si="11"/>
        <v>1</v>
      </c>
      <c r="H30" s="6229">
        <f t="shared" si="11"/>
        <v>2</v>
      </c>
      <c r="I30" s="6339">
        <f t="shared" si="11"/>
        <v>2</v>
      </c>
      <c r="J30" s="6339">
        <f t="shared" si="11"/>
        <v>2</v>
      </c>
      <c r="K30" s="6341">
        <f t="shared" si="11"/>
        <v>3</v>
      </c>
      <c r="L30" s="6229">
        <f t="shared" si="11"/>
        <v>2</v>
      </c>
      <c r="M30" s="6339">
        <f t="shared" si="11"/>
        <v>2</v>
      </c>
      <c r="N30" s="6339">
        <f t="shared" si="11"/>
        <v>3</v>
      </c>
      <c r="O30" s="6342">
        <f t="shared" si="11"/>
        <v>2</v>
      </c>
      <c r="P30" s="6657">
        <f t="shared" si="11"/>
        <v>2</v>
      </c>
      <c r="Q30" s="6650">
        <f t="shared" si="11"/>
        <v>3</v>
      </c>
      <c r="R30" s="6342">
        <f t="shared" si="12"/>
        <v>3</v>
      </c>
      <c r="S30" s="6688">
        <f t="shared" si="12"/>
        <v>3</v>
      </c>
      <c r="T30" s="6683">
        <f t="shared" si="12"/>
        <v>3</v>
      </c>
      <c r="U30" s="6683">
        <f t="shared" si="12"/>
        <v>3</v>
      </c>
      <c r="V30" s="6683">
        <f t="shared" si="12"/>
        <v>3</v>
      </c>
      <c r="W30" s="6689">
        <f t="shared" si="12"/>
        <v>3</v>
      </c>
      <c r="X30" s="6688">
        <f t="shared" si="12"/>
        <v>5</v>
      </c>
      <c r="Y30" s="6683">
        <f t="shared" si="12"/>
        <v>3</v>
      </c>
      <c r="Z30" s="6683">
        <f t="shared" si="12"/>
        <v>3</v>
      </c>
      <c r="AA30" s="6683">
        <f t="shared" si="12"/>
        <v>3</v>
      </c>
      <c r="AB30" s="6683">
        <f t="shared" si="12"/>
        <v>2</v>
      </c>
      <c r="AC30" s="6689">
        <f t="shared" si="12"/>
        <v>1</v>
      </c>
      <c r="AD30" s="6688">
        <f t="shared" si="12"/>
        <v>2</v>
      </c>
      <c r="AE30" s="6683">
        <f t="shared" si="12"/>
        <v>5</v>
      </c>
      <c r="AF30" s="6683">
        <f t="shared" si="12"/>
        <v>2</v>
      </c>
      <c r="AG30" s="6689">
        <f t="shared" si="12"/>
        <v>3</v>
      </c>
      <c r="AH30" s="6660">
        <f t="shared" si="13"/>
        <v>3</v>
      </c>
      <c r="AI30" s="6229">
        <f t="shared" si="13"/>
        <v>5</v>
      </c>
      <c r="AJ30" s="6338">
        <f t="shared" si="13"/>
        <v>5</v>
      </c>
      <c r="AK30" s="6338">
        <f t="shared" si="13"/>
        <v>5</v>
      </c>
      <c r="AL30" s="6338">
        <f t="shared" si="13"/>
        <v>1</v>
      </c>
      <c r="AM30" s="6338">
        <f t="shared" si="13"/>
        <v>1</v>
      </c>
      <c r="AN30" s="6338">
        <f t="shared" si="13"/>
        <v>3</v>
      </c>
      <c r="AO30" s="6338">
        <f t="shared" si="13"/>
        <v>3</v>
      </c>
      <c r="AP30" s="6338">
        <f t="shared" si="13"/>
        <v>2</v>
      </c>
      <c r="AQ30" s="6338">
        <f t="shared" si="13"/>
        <v>1</v>
      </c>
      <c r="AR30" s="6338">
        <f t="shared" si="13"/>
        <v>0</v>
      </c>
      <c r="AS30" s="6338">
        <f t="shared" si="13"/>
        <v>1</v>
      </c>
      <c r="AT30" s="6338">
        <f t="shared" si="13"/>
        <v>1</v>
      </c>
      <c r="AU30" s="6338">
        <f t="shared" si="13"/>
        <v>5</v>
      </c>
      <c r="AV30" s="6338">
        <f t="shared" si="13"/>
        <v>5</v>
      </c>
      <c r="AW30" s="6338">
        <f t="shared" si="13"/>
        <v>5</v>
      </c>
      <c r="AX30" s="6338">
        <f t="shared" si="13"/>
        <v>4</v>
      </c>
      <c r="AY30" s="6343">
        <f t="shared" si="13"/>
        <v>1</v>
      </c>
      <c r="AZ30" s="5610"/>
      <c r="BA30" s="5610"/>
      <c r="BB30" s="5610"/>
      <c r="BC30" s="5610"/>
      <c r="BD30" s="5610"/>
      <c r="BE30" s="5610"/>
      <c r="BF30" s="5610"/>
    </row>
    <row r="31" spans="1:58" ht="6" customHeight="1">
      <c r="A31" s="2158"/>
      <c r="B31" s="6221">
        <f t="shared" si="11"/>
        <v>5</v>
      </c>
      <c r="C31" s="6221">
        <f t="shared" si="11"/>
        <v>3</v>
      </c>
      <c r="D31" s="6338">
        <f t="shared" si="11"/>
        <v>3</v>
      </c>
      <c r="E31" s="6338">
        <f t="shared" si="11"/>
        <v>4</v>
      </c>
      <c r="F31" s="6339">
        <f t="shared" si="11"/>
        <v>4</v>
      </c>
      <c r="G31" s="6341">
        <f t="shared" si="11"/>
        <v>1</v>
      </c>
      <c r="H31" s="6229">
        <f t="shared" si="11"/>
        <v>2</v>
      </c>
      <c r="I31" s="6339">
        <f t="shared" si="11"/>
        <v>2</v>
      </c>
      <c r="J31" s="6339">
        <f t="shared" si="11"/>
        <v>2</v>
      </c>
      <c r="K31" s="6341">
        <f t="shared" si="11"/>
        <v>3</v>
      </c>
      <c r="L31" s="6229">
        <f t="shared" si="11"/>
        <v>2</v>
      </c>
      <c r="M31" s="6339">
        <f t="shared" si="11"/>
        <v>2</v>
      </c>
      <c r="N31" s="6339">
        <f t="shared" si="11"/>
        <v>3</v>
      </c>
      <c r="O31" s="6342">
        <f t="shared" si="11"/>
        <v>2</v>
      </c>
      <c r="P31" s="6657">
        <f t="shared" si="11"/>
        <v>2</v>
      </c>
      <c r="Q31" s="6650">
        <f t="shared" si="11"/>
        <v>3</v>
      </c>
      <c r="R31" s="6342">
        <f t="shared" si="12"/>
        <v>3</v>
      </c>
      <c r="S31" s="6688">
        <f t="shared" si="12"/>
        <v>3</v>
      </c>
      <c r="T31" s="6683">
        <f t="shared" si="12"/>
        <v>3</v>
      </c>
      <c r="U31" s="6683">
        <f t="shared" si="12"/>
        <v>3</v>
      </c>
      <c r="V31" s="6683">
        <f t="shared" si="12"/>
        <v>3</v>
      </c>
      <c r="W31" s="6689">
        <f t="shared" si="12"/>
        <v>3</v>
      </c>
      <c r="X31" s="6688">
        <f t="shared" si="12"/>
        <v>5</v>
      </c>
      <c r="Y31" s="6683">
        <f t="shared" si="12"/>
        <v>3</v>
      </c>
      <c r="Z31" s="6683">
        <f t="shared" si="12"/>
        <v>3</v>
      </c>
      <c r="AA31" s="6683">
        <f t="shared" si="12"/>
        <v>3</v>
      </c>
      <c r="AB31" s="6683">
        <f t="shared" si="12"/>
        <v>2</v>
      </c>
      <c r="AC31" s="6689">
        <f t="shared" si="12"/>
        <v>1</v>
      </c>
      <c r="AD31" s="6688">
        <f t="shared" si="12"/>
        <v>2</v>
      </c>
      <c r="AE31" s="6683">
        <f t="shared" si="12"/>
        <v>5</v>
      </c>
      <c r="AF31" s="6683">
        <f t="shared" si="12"/>
        <v>2</v>
      </c>
      <c r="AG31" s="6689">
        <f t="shared" si="12"/>
        <v>3</v>
      </c>
      <c r="AH31" s="6660">
        <f t="shared" si="13"/>
        <v>3</v>
      </c>
      <c r="AI31" s="6229">
        <f t="shared" si="13"/>
        <v>5</v>
      </c>
      <c r="AJ31" s="6338">
        <f t="shared" si="13"/>
        <v>5</v>
      </c>
      <c r="AK31" s="6338">
        <f t="shared" si="13"/>
        <v>5</v>
      </c>
      <c r="AL31" s="6338">
        <f t="shared" si="13"/>
        <v>1</v>
      </c>
      <c r="AM31" s="6338">
        <f t="shared" si="13"/>
        <v>1</v>
      </c>
      <c r="AN31" s="6338">
        <f t="shared" si="13"/>
        <v>3</v>
      </c>
      <c r="AO31" s="6338">
        <f t="shared" si="13"/>
        <v>3</v>
      </c>
      <c r="AP31" s="6338">
        <f t="shared" si="13"/>
        <v>2</v>
      </c>
      <c r="AQ31" s="6338">
        <f t="shared" si="13"/>
        <v>1</v>
      </c>
      <c r="AR31" s="6338">
        <f t="shared" si="13"/>
        <v>0</v>
      </c>
      <c r="AS31" s="6338">
        <f t="shared" si="13"/>
        <v>1</v>
      </c>
      <c r="AT31" s="6338">
        <f t="shared" si="13"/>
        <v>1</v>
      </c>
      <c r="AU31" s="6338">
        <f t="shared" si="13"/>
        <v>5</v>
      </c>
      <c r="AV31" s="6338">
        <f t="shared" si="13"/>
        <v>5</v>
      </c>
      <c r="AW31" s="6338">
        <f t="shared" si="13"/>
        <v>5</v>
      </c>
      <c r="AX31" s="6338">
        <f t="shared" si="13"/>
        <v>4</v>
      </c>
      <c r="AY31" s="6343">
        <f t="shared" si="13"/>
        <v>1</v>
      </c>
      <c r="AZ31" s="5610"/>
      <c r="BA31" s="5610"/>
      <c r="BB31" s="5610"/>
      <c r="BC31" s="5610"/>
      <c r="BD31" s="5610"/>
      <c r="BE31" s="5610"/>
      <c r="BF31" s="5610"/>
    </row>
    <row r="32" spans="1:58" ht="7.25" customHeight="1">
      <c r="A32" s="2158"/>
      <c r="B32" s="6221">
        <v>5</v>
      </c>
      <c r="C32" s="6221">
        <v>3</v>
      </c>
      <c r="D32" s="6338">
        <v>3</v>
      </c>
      <c r="E32" s="6338">
        <v>4</v>
      </c>
      <c r="F32" s="6339">
        <v>4</v>
      </c>
      <c r="G32" s="6341">
        <v>1</v>
      </c>
      <c r="H32" s="6229">
        <v>2</v>
      </c>
      <c r="I32" s="6339">
        <v>2</v>
      </c>
      <c r="J32" s="6339">
        <v>2</v>
      </c>
      <c r="K32" s="6341">
        <v>3</v>
      </c>
      <c r="L32" s="6229">
        <v>2</v>
      </c>
      <c r="M32" s="6339">
        <v>2</v>
      </c>
      <c r="N32" s="6339">
        <v>3</v>
      </c>
      <c r="O32" s="6342">
        <v>2</v>
      </c>
      <c r="P32" s="6657">
        <v>2</v>
      </c>
      <c r="Q32" s="6650">
        <v>3</v>
      </c>
      <c r="R32" s="6342">
        <v>3</v>
      </c>
      <c r="S32" s="6688">
        <v>3</v>
      </c>
      <c r="T32" s="6683">
        <v>3</v>
      </c>
      <c r="U32" s="6683">
        <v>3</v>
      </c>
      <c r="V32" s="6683">
        <v>3</v>
      </c>
      <c r="W32" s="6689">
        <v>3</v>
      </c>
      <c r="X32" s="6688">
        <v>5</v>
      </c>
      <c r="Y32" s="6683">
        <v>3</v>
      </c>
      <c r="Z32" s="6683">
        <v>3</v>
      </c>
      <c r="AA32" s="6683">
        <v>3</v>
      </c>
      <c r="AB32" s="6683">
        <v>2</v>
      </c>
      <c r="AC32" s="6689">
        <v>1</v>
      </c>
      <c r="AD32" s="6688">
        <v>2</v>
      </c>
      <c r="AE32" s="6683">
        <v>5</v>
      </c>
      <c r="AF32" s="6683">
        <v>2</v>
      </c>
      <c r="AG32" s="6689">
        <v>3</v>
      </c>
      <c r="AH32" s="6660">
        <v>3</v>
      </c>
      <c r="AI32" s="6229">
        <v>5</v>
      </c>
      <c r="AJ32" s="6338">
        <v>5</v>
      </c>
      <c r="AK32" s="6338">
        <v>5</v>
      </c>
      <c r="AL32" s="6338">
        <v>1</v>
      </c>
      <c r="AM32" s="6338">
        <v>1</v>
      </c>
      <c r="AN32" s="6338">
        <v>3</v>
      </c>
      <c r="AO32" s="6338">
        <v>3</v>
      </c>
      <c r="AP32" s="6338">
        <v>2</v>
      </c>
      <c r="AQ32" s="6338">
        <v>1</v>
      </c>
      <c r="AR32" s="6338">
        <v>0</v>
      </c>
      <c r="AS32" s="6338">
        <v>1</v>
      </c>
      <c r="AT32" s="6338">
        <v>1</v>
      </c>
      <c r="AU32" s="6338">
        <v>5</v>
      </c>
      <c r="AV32" s="6338">
        <v>5</v>
      </c>
      <c r="AW32" s="6338">
        <v>5</v>
      </c>
      <c r="AX32" s="6338">
        <v>4</v>
      </c>
      <c r="AY32" s="6343">
        <v>1</v>
      </c>
      <c r="AZ32" s="5610"/>
      <c r="BA32" s="5610"/>
      <c r="BB32" s="5610"/>
      <c r="BC32" s="5610"/>
      <c r="BD32" s="5610"/>
      <c r="BE32" s="5610"/>
      <c r="BF32" s="5610"/>
    </row>
    <row r="33" spans="1:58" ht="2" customHeight="1">
      <c r="A33" s="5614"/>
      <c r="B33" s="6221"/>
      <c r="C33" s="6221"/>
      <c r="D33" s="6338"/>
      <c r="E33" s="6338"/>
      <c r="F33" s="6339"/>
      <c r="G33" s="6341"/>
      <c r="H33" s="6229"/>
      <c r="I33" s="6339"/>
      <c r="J33" s="6339"/>
      <c r="K33" s="6341"/>
      <c r="L33" s="6229"/>
      <c r="M33" s="6339"/>
      <c r="N33" s="6339"/>
      <c r="O33" s="6342"/>
      <c r="P33" s="6657"/>
      <c r="Q33" s="6650"/>
      <c r="R33" s="6342"/>
      <c r="S33" s="6688"/>
      <c r="T33" s="6683"/>
      <c r="U33" s="6683"/>
      <c r="V33" s="6683"/>
      <c r="W33" s="6689"/>
      <c r="X33" s="6688"/>
      <c r="Y33" s="6683"/>
      <c r="Z33" s="6683"/>
      <c r="AA33" s="6683"/>
      <c r="AB33" s="6683"/>
      <c r="AC33" s="6689"/>
      <c r="AD33" s="6688"/>
      <c r="AE33" s="6683"/>
      <c r="AF33" s="6683"/>
      <c r="AG33" s="6689"/>
      <c r="AH33" s="6660"/>
      <c r="AI33" s="3722"/>
      <c r="AJ33" s="5613"/>
      <c r="AK33" s="5613"/>
      <c r="AL33" s="5613"/>
      <c r="AM33" s="5613"/>
      <c r="AN33" s="5613"/>
      <c r="AO33" s="5613"/>
      <c r="AP33" s="5613"/>
      <c r="AQ33" s="5613"/>
      <c r="AR33" s="5613"/>
      <c r="AS33" s="5613"/>
      <c r="AT33" s="5613"/>
      <c r="AU33" s="5613"/>
      <c r="AV33" s="5613"/>
      <c r="AW33" s="5613"/>
      <c r="AX33" s="5613"/>
      <c r="AY33" s="2160"/>
      <c r="AZ33" s="2160"/>
      <c r="BA33" s="2160"/>
      <c r="BB33" s="2160"/>
      <c r="BC33" s="2160"/>
      <c r="BD33" s="2160"/>
      <c r="BE33" s="2160"/>
      <c r="BF33" s="2160"/>
    </row>
    <row r="34" spans="1:58" ht="8" customHeight="1">
      <c r="A34" s="2157"/>
      <c r="B34" s="6221">
        <f t="shared" ref="B34:AB37" si="14">B35</f>
        <v>5</v>
      </c>
      <c r="C34" s="6221">
        <f t="shared" si="14"/>
        <v>3</v>
      </c>
      <c r="D34" s="6338">
        <f t="shared" si="14"/>
        <v>2</v>
      </c>
      <c r="E34" s="6338">
        <f t="shared" si="14"/>
        <v>1</v>
      </c>
      <c r="F34" s="6339">
        <f t="shared" si="14"/>
        <v>2</v>
      </c>
      <c r="G34" s="6341">
        <f t="shared" si="14"/>
        <v>2</v>
      </c>
      <c r="H34" s="6229">
        <f t="shared" si="14"/>
        <v>3</v>
      </c>
      <c r="I34" s="6339">
        <f t="shared" si="14"/>
        <v>2</v>
      </c>
      <c r="J34" s="6339">
        <f t="shared" si="14"/>
        <v>2</v>
      </c>
      <c r="K34" s="6341">
        <f t="shared" si="14"/>
        <v>3</v>
      </c>
      <c r="L34" s="6229">
        <f t="shared" si="14"/>
        <v>3</v>
      </c>
      <c r="M34" s="6339">
        <f t="shared" si="14"/>
        <v>2</v>
      </c>
      <c r="N34" s="6339">
        <f t="shared" si="14"/>
        <v>1</v>
      </c>
      <c r="O34" s="6342">
        <f t="shared" si="14"/>
        <v>4</v>
      </c>
      <c r="P34" s="6657">
        <f t="shared" si="14"/>
        <v>2</v>
      </c>
      <c r="Q34" s="6650">
        <f t="shared" si="14"/>
        <v>3</v>
      </c>
      <c r="R34" s="6342">
        <f t="shared" si="14"/>
        <v>2</v>
      </c>
      <c r="S34" s="6688">
        <f t="shared" si="14"/>
        <v>5</v>
      </c>
      <c r="T34" s="6683">
        <f t="shared" si="14"/>
        <v>5</v>
      </c>
      <c r="U34" s="6683">
        <f t="shared" si="14"/>
        <v>3</v>
      </c>
      <c r="V34" s="6683">
        <f t="shared" si="14"/>
        <v>3</v>
      </c>
      <c r="W34" s="6689">
        <f t="shared" si="14"/>
        <v>2</v>
      </c>
      <c r="X34" s="6688">
        <f t="shared" si="14"/>
        <v>2</v>
      </c>
      <c r="Y34" s="6683">
        <f t="shared" si="14"/>
        <v>1</v>
      </c>
      <c r="Z34" s="6683">
        <f t="shared" si="14"/>
        <v>3</v>
      </c>
      <c r="AA34" s="6683">
        <f t="shared" si="14"/>
        <v>2</v>
      </c>
      <c r="AB34" s="6683">
        <f t="shared" si="14"/>
        <v>3</v>
      </c>
      <c r="AC34" s="6689">
        <f t="shared" ref="AC34:AR37" si="15">AC35</f>
        <v>3</v>
      </c>
      <c r="AD34" s="6688">
        <f t="shared" si="15"/>
        <v>1</v>
      </c>
      <c r="AE34" s="6683">
        <f t="shared" si="15"/>
        <v>1</v>
      </c>
      <c r="AF34" s="6683">
        <f t="shared" si="15"/>
        <v>1</v>
      </c>
      <c r="AG34" s="6689">
        <f t="shared" si="15"/>
        <v>2</v>
      </c>
      <c r="AH34" s="6660">
        <f t="shared" si="15"/>
        <v>2</v>
      </c>
      <c r="AI34" s="6229">
        <f t="shared" si="15"/>
        <v>1</v>
      </c>
      <c r="AJ34" s="6338">
        <f t="shared" si="15"/>
        <v>2</v>
      </c>
      <c r="AK34" s="6338">
        <f t="shared" si="15"/>
        <v>3</v>
      </c>
      <c r="AL34" s="6338">
        <f t="shared" si="15"/>
        <v>5</v>
      </c>
      <c r="AM34" s="6338">
        <f t="shared" si="15"/>
        <v>5</v>
      </c>
      <c r="AN34" s="6338">
        <f t="shared" si="15"/>
        <v>5</v>
      </c>
      <c r="AO34" s="6338">
        <f t="shared" si="15"/>
        <v>4</v>
      </c>
      <c r="AP34" s="6338">
        <f t="shared" si="15"/>
        <v>2</v>
      </c>
      <c r="AQ34" s="6338">
        <f t="shared" si="15"/>
        <v>2</v>
      </c>
      <c r="AR34" s="6338">
        <f t="shared" si="15"/>
        <v>2</v>
      </c>
      <c r="AS34" s="6338">
        <f t="shared" ref="AS34:AY37" si="16">AS35</f>
        <v>5</v>
      </c>
      <c r="AT34" s="6338"/>
      <c r="AU34" s="6338">
        <f t="shared" si="16"/>
        <v>3</v>
      </c>
      <c r="AV34" s="6338">
        <f t="shared" si="16"/>
        <v>1</v>
      </c>
      <c r="AW34" s="6338">
        <f t="shared" si="16"/>
        <v>0</v>
      </c>
      <c r="AX34" s="6338">
        <f t="shared" si="16"/>
        <v>2</v>
      </c>
      <c r="AY34" s="6343">
        <f t="shared" si="16"/>
        <v>4</v>
      </c>
      <c r="AZ34" s="5610"/>
      <c r="BA34" s="5610"/>
      <c r="BB34" s="5610"/>
      <c r="BC34" s="5610"/>
      <c r="BD34" s="5610"/>
      <c r="BE34" s="5610"/>
      <c r="BF34" s="5610"/>
    </row>
    <row r="35" spans="1:58" ht="8" customHeight="1">
      <c r="A35" s="2157"/>
      <c r="B35" s="6221">
        <f t="shared" si="14"/>
        <v>5</v>
      </c>
      <c r="C35" s="6221">
        <f t="shared" si="14"/>
        <v>3</v>
      </c>
      <c r="D35" s="6338">
        <f t="shared" si="14"/>
        <v>2</v>
      </c>
      <c r="E35" s="6229">
        <f t="shared" si="14"/>
        <v>1</v>
      </c>
      <c r="F35" s="6339">
        <f t="shared" si="14"/>
        <v>2</v>
      </c>
      <c r="G35" s="6341">
        <f t="shared" si="14"/>
        <v>2</v>
      </c>
      <c r="H35" s="6229">
        <f t="shared" si="14"/>
        <v>3</v>
      </c>
      <c r="I35" s="6339">
        <f t="shared" si="14"/>
        <v>2</v>
      </c>
      <c r="J35" s="6339">
        <f t="shared" si="14"/>
        <v>2</v>
      </c>
      <c r="K35" s="6341">
        <f t="shared" si="14"/>
        <v>3</v>
      </c>
      <c r="L35" s="6229">
        <f t="shared" si="14"/>
        <v>3</v>
      </c>
      <c r="M35" s="6339">
        <f t="shared" si="14"/>
        <v>2</v>
      </c>
      <c r="N35" s="6339">
        <f t="shared" si="14"/>
        <v>1</v>
      </c>
      <c r="O35" s="6342">
        <f t="shared" si="14"/>
        <v>4</v>
      </c>
      <c r="P35" s="6657">
        <f t="shared" si="14"/>
        <v>2</v>
      </c>
      <c r="Q35" s="6650">
        <f t="shared" si="14"/>
        <v>3</v>
      </c>
      <c r="R35" s="6342">
        <f t="shared" si="14"/>
        <v>2</v>
      </c>
      <c r="S35" s="6688">
        <f t="shared" si="14"/>
        <v>5</v>
      </c>
      <c r="T35" s="6683">
        <f t="shared" si="14"/>
        <v>5</v>
      </c>
      <c r="U35" s="6683">
        <f t="shared" si="14"/>
        <v>3</v>
      </c>
      <c r="V35" s="6683">
        <f t="shared" si="14"/>
        <v>3</v>
      </c>
      <c r="W35" s="6689">
        <f t="shared" si="14"/>
        <v>2</v>
      </c>
      <c r="X35" s="6688">
        <f t="shared" si="14"/>
        <v>2</v>
      </c>
      <c r="Y35" s="6683">
        <f t="shared" si="14"/>
        <v>1</v>
      </c>
      <c r="Z35" s="6683">
        <f t="shared" si="14"/>
        <v>3</v>
      </c>
      <c r="AA35" s="6683">
        <f t="shared" si="14"/>
        <v>2</v>
      </c>
      <c r="AB35" s="6683">
        <f t="shared" si="14"/>
        <v>3</v>
      </c>
      <c r="AC35" s="6689">
        <f t="shared" si="15"/>
        <v>3</v>
      </c>
      <c r="AD35" s="6688">
        <f t="shared" si="15"/>
        <v>1</v>
      </c>
      <c r="AE35" s="6683">
        <f t="shared" si="15"/>
        <v>1</v>
      </c>
      <c r="AF35" s="6683">
        <f t="shared" si="15"/>
        <v>1</v>
      </c>
      <c r="AG35" s="6689">
        <f t="shared" si="15"/>
        <v>2</v>
      </c>
      <c r="AH35" s="6660">
        <f t="shared" si="15"/>
        <v>2</v>
      </c>
      <c r="AI35" s="6229">
        <f t="shared" si="15"/>
        <v>1</v>
      </c>
      <c r="AJ35" s="6338">
        <f t="shared" si="15"/>
        <v>2</v>
      </c>
      <c r="AK35" s="6338">
        <f t="shared" si="15"/>
        <v>3</v>
      </c>
      <c r="AL35" s="6338">
        <f t="shared" si="15"/>
        <v>5</v>
      </c>
      <c r="AM35" s="6338">
        <f t="shared" si="15"/>
        <v>5</v>
      </c>
      <c r="AN35" s="6338">
        <f t="shared" si="15"/>
        <v>5</v>
      </c>
      <c r="AO35" s="6338">
        <f t="shared" si="15"/>
        <v>4</v>
      </c>
      <c r="AP35" s="6338">
        <f t="shared" si="15"/>
        <v>2</v>
      </c>
      <c r="AQ35" s="6338">
        <f t="shared" si="15"/>
        <v>2</v>
      </c>
      <c r="AR35" s="6338">
        <f t="shared" si="15"/>
        <v>2</v>
      </c>
      <c r="AS35" s="6338">
        <f t="shared" si="16"/>
        <v>5</v>
      </c>
      <c r="AT35" s="6338">
        <f t="shared" si="16"/>
        <v>4</v>
      </c>
      <c r="AU35" s="6338">
        <f t="shared" si="16"/>
        <v>3</v>
      </c>
      <c r="AV35" s="6338">
        <f t="shared" si="16"/>
        <v>1</v>
      </c>
      <c r="AW35" s="6338">
        <f t="shared" si="16"/>
        <v>0</v>
      </c>
      <c r="AX35" s="6338">
        <f t="shared" si="16"/>
        <v>2</v>
      </c>
      <c r="AY35" s="6343">
        <f t="shared" si="16"/>
        <v>4</v>
      </c>
      <c r="AZ35" s="5610"/>
      <c r="BA35" s="5610"/>
      <c r="BB35" s="5610"/>
      <c r="BC35" s="5610"/>
      <c r="BD35" s="5610"/>
      <c r="BE35" s="5610"/>
      <c r="BF35" s="5610"/>
    </row>
    <row r="36" spans="1:58" ht="7.25" customHeight="1">
      <c r="A36" s="2157"/>
      <c r="B36" s="6221">
        <f t="shared" si="14"/>
        <v>5</v>
      </c>
      <c r="C36" s="6221">
        <f t="shared" si="14"/>
        <v>3</v>
      </c>
      <c r="D36" s="6338">
        <f t="shared" si="14"/>
        <v>2</v>
      </c>
      <c r="E36" s="6338">
        <f t="shared" si="14"/>
        <v>1</v>
      </c>
      <c r="F36" s="6339">
        <f t="shared" si="14"/>
        <v>2</v>
      </c>
      <c r="G36" s="6341">
        <f t="shared" si="14"/>
        <v>2</v>
      </c>
      <c r="H36" s="6229">
        <f t="shared" si="14"/>
        <v>3</v>
      </c>
      <c r="I36" s="6339">
        <f t="shared" si="14"/>
        <v>2</v>
      </c>
      <c r="J36" s="6339">
        <f t="shared" si="14"/>
        <v>2</v>
      </c>
      <c r="K36" s="6341">
        <f t="shared" si="14"/>
        <v>3</v>
      </c>
      <c r="L36" s="6229">
        <f t="shared" si="14"/>
        <v>3</v>
      </c>
      <c r="M36" s="6339">
        <f t="shared" si="14"/>
        <v>2</v>
      </c>
      <c r="N36" s="6339">
        <f t="shared" si="14"/>
        <v>1</v>
      </c>
      <c r="O36" s="6342">
        <f t="shared" si="14"/>
        <v>4</v>
      </c>
      <c r="P36" s="6657">
        <f t="shared" si="14"/>
        <v>2</v>
      </c>
      <c r="Q36" s="6650">
        <f t="shared" si="14"/>
        <v>3</v>
      </c>
      <c r="R36" s="6342">
        <f t="shared" si="14"/>
        <v>2</v>
      </c>
      <c r="S36" s="6688">
        <f t="shared" si="14"/>
        <v>5</v>
      </c>
      <c r="T36" s="6683">
        <f t="shared" si="14"/>
        <v>5</v>
      </c>
      <c r="U36" s="6683">
        <f t="shared" si="14"/>
        <v>3</v>
      </c>
      <c r="V36" s="6683">
        <f t="shared" si="14"/>
        <v>3</v>
      </c>
      <c r="W36" s="6689">
        <f t="shared" si="14"/>
        <v>2</v>
      </c>
      <c r="X36" s="6688">
        <f t="shared" si="14"/>
        <v>2</v>
      </c>
      <c r="Y36" s="6683">
        <f t="shared" si="14"/>
        <v>1</v>
      </c>
      <c r="Z36" s="6683">
        <f t="shared" si="14"/>
        <v>3</v>
      </c>
      <c r="AA36" s="6684">
        <f t="shared" si="14"/>
        <v>2</v>
      </c>
      <c r="AB36" s="6683">
        <f t="shared" si="14"/>
        <v>3</v>
      </c>
      <c r="AC36" s="6689">
        <f t="shared" si="15"/>
        <v>3</v>
      </c>
      <c r="AD36" s="6688">
        <f t="shared" si="15"/>
        <v>1</v>
      </c>
      <c r="AE36" s="6683">
        <f t="shared" si="15"/>
        <v>1</v>
      </c>
      <c r="AF36" s="6683">
        <f t="shared" si="15"/>
        <v>1</v>
      </c>
      <c r="AG36" s="6689">
        <f t="shared" si="15"/>
        <v>2</v>
      </c>
      <c r="AH36" s="6660">
        <f t="shared" si="15"/>
        <v>2</v>
      </c>
      <c r="AI36" s="6229">
        <f t="shared" si="15"/>
        <v>1</v>
      </c>
      <c r="AJ36" s="6338">
        <f t="shared" si="15"/>
        <v>2</v>
      </c>
      <c r="AK36" s="6338">
        <f t="shared" si="15"/>
        <v>3</v>
      </c>
      <c r="AL36" s="6338">
        <f t="shared" si="15"/>
        <v>5</v>
      </c>
      <c r="AM36" s="6338">
        <f t="shared" si="15"/>
        <v>5</v>
      </c>
      <c r="AN36" s="6338">
        <f t="shared" si="15"/>
        <v>5</v>
      </c>
      <c r="AO36" s="6338">
        <f t="shared" si="15"/>
        <v>4</v>
      </c>
      <c r="AP36" s="6338">
        <f t="shared" si="15"/>
        <v>2</v>
      </c>
      <c r="AQ36" s="6338">
        <f t="shared" si="15"/>
        <v>2</v>
      </c>
      <c r="AR36" s="6338">
        <f t="shared" si="15"/>
        <v>2</v>
      </c>
      <c r="AS36" s="6338">
        <f t="shared" si="16"/>
        <v>5</v>
      </c>
      <c r="AT36" s="6338">
        <f t="shared" si="16"/>
        <v>4</v>
      </c>
      <c r="AU36" s="6338">
        <f t="shared" si="16"/>
        <v>3</v>
      </c>
      <c r="AV36" s="6338">
        <f t="shared" si="16"/>
        <v>1</v>
      </c>
      <c r="AW36" s="6338">
        <f t="shared" si="16"/>
        <v>0</v>
      </c>
      <c r="AX36" s="6338">
        <f t="shared" si="16"/>
        <v>2</v>
      </c>
      <c r="AY36" s="6343">
        <f t="shared" si="16"/>
        <v>4</v>
      </c>
      <c r="AZ36" s="5610"/>
      <c r="BA36" s="5610"/>
      <c r="BB36" s="5610"/>
      <c r="BC36" s="5610"/>
      <c r="BD36" s="5610"/>
      <c r="BE36" s="5610"/>
      <c r="BF36" s="5610"/>
    </row>
    <row r="37" spans="1:58" ht="9" customHeight="1">
      <c r="A37" s="2157"/>
      <c r="B37" s="6221">
        <f t="shared" si="14"/>
        <v>5</v>
      </c>
      <c r="C37" s="6221">
        <f t="shared" si="14"/>
        <v>3</v>
      </c>
      <c r="D37" s="6338">
        <f t="shared" si="14"/>
        <v>2</v>
      </c>
      <c r="E37" s="6338">
        <f t="shared" si="14"/>
        <v>1</v>
      </c>
      <c r="F37" s="6339">
        <f t="shared" si="14"/>
        <v>2</v>
      </c>
      <c r="G37" s="6341">
        <f t="shared" si="14"/>
        <v>2</v>
      </c>
      <c r="H37" s="6229">
        <f t="shared" si="14"/>
        <v>3</v>
      </c>
      <c r="I37" s="6339">
        <f t="shared" si="14"/>
        <v>2</v>
      </c>
      <c r="J37" s="6339">
        <f t="shared" si="14"/>
        <v>2</v>
      </c>
      <c r="K37" s="6341">
        <f t="shared" si="14"/>
        <v>3</v>
      </c>
      <c r="L37" s="6229">
        <f t="shared" si="14"/>
        <v>3</v>
      </c>
      <c r="M37" s="6339">
        <f t="shared" si="14"/>
        <v>2</v>
      </c>
      <c r="N37" s="6339">
        <f t="shared" si="14"/>
        <v>1</v>
      </c>
      <c r="O37" s="6342">
        <f t="shared" si="14"/>
        <v>4</v>
      </c>
      <c r="P37" s="6657">
        <f t="shared" si="14"/>
        <v>2</v>
      </c>
      <c r="Q37" s="6650">
        <f t="shared" si="14"/>
        <v>3</v>
      </c>
      <c r="R37" s="6342">
        <f t="shared" si="14"/>
        <v>2</v>
      </c>
      <c r="S37" s="6688">
        <f t="shared" si="14"/>
        <v>5</v>
      </c>
      <c r="T37" s="6683">
        <f t="shared" si="14"/>
        <v>5</v>
      </c>
      <c r="U37" s="6684">
        <f t="shared" si="14"/>
        <v>3</v>
      </c>
      <c r="V37" s="6683">
        <f t="shared" si="14"/>
        <v>3</v>
      </c>
      <c r="W37" s="6689">
        <f t="shared" si="14"/>
        <v>2</v>
      </c>
      <c r="X37" s="6688">
        <f t="shared" si="14"/>
        <v>2</v>
      </c>
      <c r="Y37" s="6683">
        <f t="shared" si="14"/>
        <v>1</v>
      </c>
      <c r="Z37" s="6683">
        <f t="shared" si="14"/>
        <v>3</v>
      </c>
      <c r="AA37" s="6683">
        <f t="shared" si="14"/>
        <v>2</v>
      </c>
      <c r="AB37" s="6683">
        <f t="shared" si="14"/>
        <v>3</v>
      </c>
      <c r="AC37" s="6689">
        <f t="shared" si="15"/>
        <v>3</v>
      </c>
      <c r="AD37" s="6688">
        <f t="shared" si="15"/>
        <v>1</v>
      </c>
      <c r="AE37" s="6683">
        <f t="shared" si="15"/>
        <v>1</v>
      </c>
      <c r="AF37" s="6683">
        <f t="shared" si="15"/>
        <v>1</v>
      </c>
      <c r="AG37" s="6689">
        <f t="shared" si="15"/>
        <v>2</v>
      </c>
      <c r="AH37" s="6660">
        <f t="shared" si="15"/>
        <v>2</v>
      </c>
      <c r="AI37" s="6229">
        <f t="shared" si="15"/>
        <v>1</v>
      </c>
      <c r="AJ37" s="6338">
        <f t="shared" si="15"/>
        <v>2</v>
      </c>
      <c r="AK37" s="6338">
        <f t="shared" si="15"/>
        <v>3</v>
      </c>
      <c r="AL37" s="6338">
        <f t="shared" si="15"/>
        <v>5</v>
      </c>
      <c r="AM37" s="6338">
        <f t="shared" si="15"/>
        <v>5</v>
      </c>
      <c r="AN37" s="6338">
        <f t="shared" si="15"/>
        <v>5</v>
      </c>
      <c r="AO37" s="6338">
        <f t="shared" si="15"/>
        <v>4</v>
      </c>
      <c r="AP37" s="6338">
        <f t="shared" si="15"/>
        <v>2</v>
      </c>
      <c r="AQ37" s="6338">
        <f t="shared" si="15"/>
        <v>2</v>
      </c>
      <c r="AR37" s="6338">
        <f t="shared" si="15"/>
        <v>2</v>
      </c>
      <c r="AS37" s="6338">
        <f t="shared" si="16"/>
        <v>5</v>
      </c>
      <c r="AT37" s="6338">
        <f t="shared" si="16"/>
        <v>4</v>
      </c>
      <c r="AU37" s="6338">
        <f t="shared" si="16"/>
        <v>3</v>
      </c>
      <c r="AV37" s="6338">
        <f t="shared" si="16"/>
        <v>1</v>
      </c>
      <c r="AW37" s="6338">
        <f t="shared" si="16"/>
        <v>0</v>
      </c>
      <c r="AX37" s="6338">
        <f t="shared" si="16"/>
        <v>2</v>
      </c>
      <c r="AY37" s="6343">
        <f t="shared" si="16"/>
        <v>4</v>
      </c>
      <c r="AZ37" s="5610"/>
      <c r="BA37" s="5610"/>
      <c r="BB37" s="5610"/>
      <c r="BC37" s="5610"/>
      <c r="BD37" s="5610"/>
      <c r="BE37" s="5610"/>
      <c r="BF37" s="5610"/>
    </row>
    <row r="38" spans="1:58" ht="8" customHeight="1">
      <c r="A38" s="2157"/>
      <c r="B38" s="6221">
        <v>5</v>
      </c>
      <c r="C38" s="6221">
        <v>3</v>
      </c>
      <c r="D38" s="6338">
        <v>2</v>
      </c>
      <c r="E38" s="6338">
        <v>1</v>
      </c>
      <c r="F38" s="6339">
        <v>2</v>
      </c>
      <c r="G38" s="6341">
        <v>2</v>
      </c>
      <c r="H38" s="6229">
        <v>3</v>
      </c>
      <c r="I38" s="6339">
        <v>2</v>
      </c>
      <c r="J38" s="6339">
        <v>2</v>
      </c>
      <c r="K38" s="6341">
        <v>3</v>
      </c>
      <c r="L38" s="6229">
        <v>3</v>
      </c>
      <c r="M38" s="6339">
        <v>2</v>
      </c>
      <c r="N38" s="6339">
        <v>1</v>
      </c>
      <c r="O38" s="6342">
        <v>4</v>
      </c>
      <c r="P38" s="6657">
        <v>2</v>
      </c>
      <c r="Q38" s="6650">
        <v>3</v>
      </c>
      <c r="R38" s="6342">
        <v>2</v>
      </c>
      <c r="S38" s="6688">
        <v>5</v>
      </c>
      <c r="T38" s="6683">
        <v>5</v>
      </c>
      <c r="U38" s="6683">
        <v>3</v>
      </c>
      <c r="V38" s="6683">
        <v>3</v>
      </c>
      <c r="W38" s="6689">
        <v>2</v>
      </c>
      <c r="X38" s="6688">
        <v>2</v>
      </c>
      <c r="Y38" s="6683">
        <v>1</v>
      </c>
      <c r="Z38" s="6683">
        <v>3</v>
      </c>
      <c r="AA38" s="6683">
        <v>2</v>
      </c>
      <c r="AB38" s="6683">
        <v>3</v>
      </c>
      <c r="AC38" s="6689">
        <v>3</v>
      </c>
      <c r="AD38" s="6688">
        <v>1</v>
      </c>
      <c r="AE38" s="6683">
        <v>1</v>
      </c>
      <c r="AF38" s="6683">
        <v>1</v>
      </c>
      <c r="AG38" s="6689">
        <v>2</v>
      </c>
      <c r="AH38" s="6660">
        <v>2</v>
      </c>
      <c r="AI38" s="6229">
        <v>1</v>
      </c>
      <c r="AJ38" s="6338">
        <v>2</v>
      </c>
      <c r="AK38" s="6338">
        <v>3</v>
      </c>
      <c r="AL38" s="6338">
        <v>5</v>
      </c>
      <c r="AM38" s="6338">
        <v>5</v>
      </c>
      <c r="AN38" s="6338">
        <v>5</v>
      </c>
      <c r="AO38" s="6338">
        <v>4</v>
      </c>
      <c r="AP38" s="6338">
        <v>2</v>
      </c>
      <c r="AQ38" s="6338">
        <v>2</v>
      </c>
      <c r="AR38" s="6338">
        <v>2</v>
      </c>
      <c r="AS38" s="6338">
        <v>5</v>
      </c>
      <c r="AT38" s="6338">
        <v>4</v>
      </c>
      <c r="AU38" s="6338">
        <v>3</v>
      </c>
      <c r="AV38" s="6338">
        <v>1</v>
      </c>
      <c r="AW38" s="6338">
        <v>0</v>
      </c>
      <c r="AX38" s="6338">
        <v>2</v>
      </c>
      <c r="AY38" s="6343">
        <v>4</v>
      </c>
      <c r="AZ38" s="5610"/>
      <c r="BA38" s="5610"/>
      <c r="BB38" s="5610"/>
      <c r="BC38" s="5610"/>
      <c r="BD38" s="5610"/>
      <c r="BE38" s="5610"/>
      <c r="BF38" s="5610"/>
    </row>
    <row r="39" spans="1:58" ht="2" customHeight="1" thickBot="1">
      <c r="A39" s="5612"/>
      <c r="B39" s="6221"/>
      <c r="C39" s="6221"/>
      <c r="D39" s="6338"/>
      <c r="E39" s="6338"/>
      <c r="F39" s="6339"/>
      <c r="G39" s="6341"/>
      <c r="H39" s="6229"/>
      <c r="I39" s="6339"/>
      <c r="J39" s="6339"/>
      <c r="K39" s="6341"/>
      <c r="L39" s="6229"/>
      <c r="M39" s="6339"/>
      <c r="N39" s="6339"/>
      <c r="O39" s="6342"/>
      <c r="P39" s="6657"/>
      <c r="Q39" s="6650"/>
      <c r="R39" s="6342"/>
      <c r="S39" s="6688"/>
      <c r="T39" s="6683"/>
      <c r="U39" s="6683"/>
      <c r="V39" s="6683"/>
      <c r="W39" s="6689"/>
      <c r="X39" s="6688"/>
      <c r="Y39" s="6683"/>
      <c r="Z39" s="6683"/>
      <c r="AA39" s="6683"/>
      <c r="AB39" s="6683"/>
      <c r="AC39" s="6689"/>
      <c r="AD39" s="6688"/>
      <c r="AE39" s="6683"/>
      <c r="AF39" s="6683"/>
      <c r="AG39" s="6689"/>
      <c r="AH39" s="6660"/>
      <c r="AI39" s="3722"/>
      <c r="AJ39" s="5613"/>
      <c r="AK39" s="5613"/>
      <c r="AL39" s="5613"/>
      <c r="AM39" s="5613"/>
      <c r="AN39" s="5613"/>
      <c r="AO39" s="5613"/>
      <c r="AP39" s="5613"/>
      <c r="AQ39" s="5613"/>
      <c r="AR39" s="5613"/>
      <c r="AS39" s="5613"/>
      <c r="AT39" s="5613"/>
      <c r="AU39" s="5613"/>
      <c r="AV39" s="5613"/>
      <c r="AW39" s="5613"/>
      <c r="AX39" s="5613"/>
      <c r="AY39" s="2160"/>
      <c r="AZ39" s="2160"/>
      <c r="BA39" s="2160"/>
      <c r="BB39" s="2160"/>
      <c r="BC39" s="2160"/>
      <c r="BD39" s="2160"/>
      <c r="BE39" s="2160"/>
      <c r="BF39" s="2160"/>
    </row>
    <row r="40" spans="1:58" ht="9" customHeight="1">
      <c r="A40" s="5615"/>
      <c r="B40" s="6221">
        <f t="shared" ref="B40:AB43" si="17">B41</f>
        <v>0</v>
      </c>
      <c r="C40" s="6221">
        <f t="shared" si="17"/>
        <v>4</v>
      </c>
      <c r="D40" s="6338">
        <f t="shared" si="17"/>
        <v>5</v>
      </c>
      <c r="E40" s="6338">
        <v>2</v>
      </c>
      <c r="F40" s="6339">
        <f t="shared" si="17"/>
        <v>2</v>
      </c>
      <c r="G40" s="6341">
        <f t="shared" si="17"/>
        <v>2</v>
      </c>
      <c r="H40" s="6229">
        <f t="shared" si="17"/>
        <v>2</v>
      </c>
      <c r="I40" s="6339">
        <f t="shared" si="17"/>
        <v>2</v>
      </c>
      <c r="J40" s="6339">
        <f t="shared" si="17"/>
        <v>2</v>
      </c>
      <c r="K40" s="6341">
        <f t="shared" si="17"/>
        <v>0</v>
      </c>
      <c r="L40" s="6229">
        <f t="shared" si="17"/>
        <v>0</v>
      </c>
      <c r="M40" s="6339">
        <f t="shared" si="17"/>
        <v>0</v>
      </c>
      <c r="N40" s="6339">
        <f t="shared" si="17"/>
        <v>0</v>
      </c>
      <c r="O40" s="6342">
        <f t="shared" si="17"/>
        <v>0</v>
      </c>
      <c r="P40" s="6657">
        <f t="shared" si="17"/>
        <v>1</v>
      </c>
      <c r="Q40" s="6650">
        <f t="shared" si="17"/>
        <v>1</v>
      </c>
      <c r="R40" s="6342">
        <f t="shared" si="17"/>
        <v>1</v>
      </c>
      <c r="S40" s="6688">
        <f t="shared" si="17"/>
        <v>1</v>
      </c>
      <c r="T40" s="6683">
        <f t="shared" si="17"/>
        <v>2</v>
      </c>
      <c r="U40" s="6683">
        <f t="shared" si="17"/>
        <v>3</v>
      </c>
      <c r="V40" s="6683">
        <f t="shared" si="17"/>
        <v>4</v>
      </c>
      <c r="W40" s="6689">
        <f t="shared" si="17"/>
        <v>3</v>
      </c>
      <c r="X40" s="6688">
        <f t="shared" si="17"/>
        <v>2</v>
      </c>
      <c r="Y40" s="6683">
        <f t="shared" si="17"/>
        <v>1</v>
      </c>
      <c r="Z40" s="6683">
        <f t="shared" si="17"/>
        <v>0</v>
      </c>
      <c r="AA40" s="6683">
        <f t="shared" si="17"/>
        <v>0</v>
      </c>
      <c r="AB40" s="6683">
        <f t="shared" si="17"/>
        <v>0</v>
      </c>
      <c r="AC40" s="6689">
        <f t="shared" ref="AC40:AR43" si="18">AC41</f>
        <v>0</v>
      </c>
      <c r="AD40" s="6688">
        <f t="shared" si="18"/>
        <v>0</v>
      </c>
      <c r="AE40" s="6683">
        <f t="shared" si="18"/>
        <v>0</v>
      </c>
      <c r="AF40" s="6683">
        <f t="shared" si="18"/>
        <v>0</v>
      </c>
      <c r="AG40" s="6689">
        <f t="shared" si="18"/>
        <v>0</v>
      </c>
      <c r="AH40" s="6660">
        <f t="shared" si="18"/>
        <v>0</v>
      </c>
      <c r="AI40" s="6229">
        <f t="shared" si="18"/>
        <v>0</v>
      </c>
      <c r="AJ40" s="6338">
        <f t="shared" si="18"/>
        <v>0</v>
      </c>
      <c r="AK40" s="6338">
        <f t="shared" si="18"/>
        <v>0</v>
      </c>
      <c r="AL40" s="6338">
        <f t="shared" si="18"/>
        <v>0</v>
      </c>
      <c r="AM40" s="6338">
        <f t="shared" si="18"/>
        <v>0</v>
      </c>
      <c r="AN40" s="6338">
        <f t="shared" si="18"/>
        <v>1</v>
      </c>
      <c r="AO40" s="6338">
        <f t="shared" si="18"/>
        <v>2</v>
      </c>
      <c r="AP40" s="6338">
        <f t="shared" si="18"/>
        <v>4</v>
      </c>
      <c r="AQ40" s="6338">
        <f t="shared" si="18"/>
        <v>5</v>
      </c>
      <c r="AR40" s="6338">
        <f t="shared" si="18"/>
        <v>5</v>
      </c>
      <c r="AS40" s="6338">
        <f t="shared" ref="AS40:AY43" si="19">AS41</f>
        <v>0</v>
      </c>
      <c r="AT40" s="6338">
        <f t="shared" si="19"/>
        <v>0</v>
      </c>
      <c r="AU40" s="6338">
        <f t="shared" si="19"/>
        <v>0</v>
      </c>
      <c r="AV40" s="6338">
        <f t="shared" si="19"/>
        <v>0</v>
      </c>
      <c r="AW40" s="6338">
        <f t="shared" si="19"/>
        <v>0</v>
      </c>
      <c r="AX40" s="6338">
        <f t="shared" si="19"/>
        <v>0</v>
      </c>
      <c r="AY40" s="6343">
        <f t="shared" si="19"/>
        <v>0</v>
      </c>
      <c r="AZ40" s="5610"/>
      <c r="BA40" s="5610"/>
      <c r="BB40" s="5610"/>
      <c r="BC40" s="5610"/>
      <c r="BD40" s="5610"/>
      <c r="BE40" s="5610"/>
      <c r="BF40" s="5610"/>
    </row>
    <row r="41" spans="1:58" ht="6" customHeight="1">
      <c r="A41" s="2151"/>
      <c r="B41" s="6221">
        <f t="shared" si="17"/>
        <v>0</v>
      </c>
      <c r="C41" s="6221">
        <f t="shared" si="17"/>
        <v>4</v>
      </c>
      <c r="D41" s="6338">
        <f t="shared" si="17"/>
        <v>5</v>
      </c>
      <c r="E41" s="6338">
        <f t="shared" si="17"/>
        <v>2</v>
      </c>
      <c r="F41" s="6339">
        <f t="shared" si="17"/>
        <v>2</v>
      </c>
      <c r="G41" s="6341">
        <f t="shared" si="17"/>
        <v>2</v>
      </c>
      <c r="H41" s="6229">
        <f t="shared" si="17"/>
        <v>2</v>
      </c>
      <c r="I41" s="6339">
        <f t="shared" si="17"/>
        <v>2</v>
      </c>
      <c r="J41" s="6339">
        <f t="shared" si="17"/>
        <v>2</v>
      </c>
      <c r="K41" s="6341">
        <f t="shared" si="17"/>
        <v>0</v>
      </c>
      <c r="L41" s="6229">
        <f t="shared" si="17"/>
        <v>0</v>
      </c>
      <c r="M41" s="6339">
        <f t="shared" si="17"/>
        <v>0</v>
      </c>
      <c r="N41" s="6339">
        <f t="shared" si="17"/>
        <v>0</v>
      </c>
      <c r="O41" s="6342">
        <f t="shared" si="17"/>
        <v>0</v>
      </c>
      <c r="P41" s="6657">
        <f t="shared" si="17"/>
        <v>1</v>
      </c>
      <c r="Q41" s="6650">
        <f t="shared" si="17"/>
        <v>1</v>
      </c>
      <c r="R41" s="6342">
        <f t="shared" si="17"/>
        <v>1</v>
      </c>
      <c r="S41" s="6688">
        <f t="shared" si="17"/>
        <v>1</v>
      </c>
      <c r="T41" s="6683">
        <f t="shared" si="17"/>
        <v>2</v>
      </c>
      <c r="U41" s="6683">
        <f t="shared" si="17"/>
        <v>3</v>
      </c>
      <c r="V41" s="6683">
        <f t="shared" si="17"/>
        <v>4</v>
      </c>
      <c r="W41" s="6689">
        <f t="shared" si="17"/>
        <v>3</v>
      </c>
      <c r="X41" s="6688">
        <f t="shared" si="17"/>
        <v>2</v>
      </c>
      <c r="Y41" s="6683">
        <f t="shared" si="17"/>
        <v>1</v>
      </c>
      <c r="Z41" s="6683">
        <f t="shared" si="17"/>
        <v>0</v>
      </c>
      <c r="AA41" s="6683">
        <f t="shared" si="17"/>
        <v>0</v>
      </c>
      <c r="AB41" s="6683">
        <f>AB42</f>
        <v>0</v>
      </c>
      <c r="AC41" s="6689">
        <f t="shared" si="18"/>
        <v>0</v>
      </c>
      <c r="AD41" s="6688">
        <f t="shared" si="18"/>
        <v>0</v>
      </c>
      <c r="AE41" s="6683">
        <f t="shared" si="18"/>
        <v>0</v>
      </c>
      <c r="AF41" s="6683">
        <f t="shared" si="18"/>
        <v>0</v>
      </c>
      <c r="AG41" s="6689">
        <f t="shared" si="18"/>
        <v>0</v>
      </c>
      <c r="AH41" s="6660">
        <f t="shared" si="18"/>
        <v>0</v>
      </c>
      <c r="AI41" s="6229">
        <f t="shared" si="18"/>
        <v>0</v>
      </c>
      <c r="AJ41" s="6338">
        <f t="shared" si="18"/>
        <v>0</v>
      </c>
      <c r="AK41" s="6338">
        <f t="shared" si="18"/>
        <v>0</v>
      </c>
      <c r="AL41" s="6338">
        <f t="shared" si="18"/>
        <v>0</v>
      </c>
      <c r="AM41" s="6338">
        <f t="shared" si="18"/>
        <v>0</v>
      </c>
      <c r="AN41" s="6338">
        <f t="shared" si="18"/>
        <v>1</v>
      </c>
      <c r="AO41" s="6338">
        <f t="shared" si="18"/>
        <v>2</v>
      </c>
      <c r="AP41" s="6338">
        <f t="shared" si="18"/>
        <v>4</v>
      </c>
      <c r="AQ41" s="6338">
        <f t="shared" si="18"/>
        <v>5</v>
      </c>
      <c r="AR41" s="6338">
        <f t="shared" si="18"/>
        <v>5</v>
      </c>
      <c r="AS41" s="6338">
        <f t="shared" si="19"/>
        <v>0</v>
      </c>
      <c r="AT41" s="6338">
        <f t="shared" si="19"/>
        <v>0</v>
      </c>
      <c r="AU41" s="6338">
        <f t="shared" si="19"/>
        <v>0</v>
      </c>
      <c r="AV41" s="6338">
        <f t="shared" si="19"/>
        <v>0</v>
      </c>
      <c r="AW41" s="6338">
        <f t="shared" si="19"/>
        <v>0</v>
      </c>
      <c r="AX41" s="6338">
        <f t="shared" si="19"/>
        <v>0</v>
      </c>
      <c r="AY41" s="6343">
        <f t="shared" si="19"/>
        <v>0</v>
      </c>
      <c r="AZ41" s="5610"/>
      <c r="BA41" s="5610"/>
      <c r="BB41" s="5610"/>
      <c r="BC41" s="5610"/>
      <c r="BD41" s="5610"/>
      <c r="BE41" s="5610"/>
      <c r="BF41" s="5610"/>
    </row>
    <row r="42" spans="1:58" ht="7.25" customHeight="1">
      <c r="A42" s="2151"/>
      <c r="B42" s="6221">
        <f t="shared" si="17"/>
        <v>0</v>
      </c>
      <c r="C42" s="6221">
        <f t="shared" si="17"/>
        <v>4</v>
      </c>
      <c r="D42" s="6338">
        <f t="shared" si="17"/>
        <v>5</v>
      </c>
      <c r="E42" s="6338">
        <f t="shared" si="17"/>
        <v>2</v>
      </c>
      <c r="F42" s="6339">
        <f t="shared" si="17"/>
        <v>2</v>
      </c>
      <c r="G42" s="6341">
        <f t="shared" si="17"/>
        <v>2</v>
      </c>
      <c r="H42" s="6229">
        <f t="shared" si="17"/>
        <v>2</v>
      </c>
      <c r="I42" s="6339">
        <f t="shared" si="17"/>
        <v>2</v>
      </c>
      <c r="J42" s="6339">
        <f t="shared" si="17"/>
        <v>2</v>
      </c>
      <c r="K42" s="6341">
        <f t="shared" si="17"/>
        <v>0</v>
      </c>
      <c r="L42" s="6229">
        <f t="shared" si="17"/>
        <v>0</v>
      </c>
      <c r="M42" s="6339">
        <f t="shared" si="17"/>
        <v>0</v>
      </c>
      <c r="N42" s="6339">
        <f t="shared" si="17"/>
        <v>0</v>
      </c>
      <c r="O42" s="6342">
        <f t="shared" si="17"/>
        <v>0</v>
      </c>
      <c r="P42" s="6657">
        <f t="shared" si="17"/>
        <v>1</v>
      </c>
      <c r="Q42" s="6650">
        <f t="shared" si="17"/>
        <v>1</v>
      </c>
      <c r="R42" s="6342">
        <f t="shared" si="17"/>
        <v>1</v>
      </c>
      <c r="S42" s="6688">
        <f t="shared" si="17"/>
        <v>1</v>
      </c>
      <c r="T42" s="6683">
        <f t="shared" si="17"/>
        <v>2</v>
      </c>
      <c r="U42" s="6683">
        <f t="shared" si="17"/>
        <v>3</v>
      </c>
      <c r="V42" s="6683">
        <f t="shared" si="17"/>
        <v>4</v>
      </c>
      <c r="W42" s="6689">
        <f t="shared" si="17"/>
        <v>3</v>
      </c>
      <c r="X42" s="6688">
        <f t="shared" si="17"/>
        <v>2</v>
      </c>
      <c r="Y42" s="6683">
        <f t="shared" si="17"/>
        <v>1</v>
      </c>
      <c r="Z42" s="6683">
        <f t="shared" si="17"/>
        <v>0</v>
      </c>
      <c r="AA42" s="6683">
        <f t="shared" si="17"/>
        <v>0</v>
      </c>
      <c r="AB42" s="6683">
        <f>AB43</f>
        <v>0</v>
      </c>
      <c r="AC42" s="6689">
        <f t="shared" si="18"/>
        <v>0</v>
      </c>
      <c r="AD42" s="6688">
        <f t="shared" si="18"/>
        <v>0</v>
      </c>
      <c r="AE42" s="6683">
        <f t="shared" si="18"/>
        <v>0</v>
      </c>
      <c r="AF42" s="6683">
        <f t="shared" si="18"/>
        <v>0</v>
      </c>
      <c r="AG42" s="6689">
        <f t="shared" si="18"/>
        <v>0</v>
      </c>
      <c r="AH42" s="6660">
        <f t="shared" si="18"/>
        <v>0</v>
      </c>
      <c r="AI42" s="6229">
        <f t="shared" si="18"/>
        <v>0</v>
      </c>
      <c r="AJ42" s="6338">
        <f t="shared" si="18"/>
        <v>0</v>
      </c>
      <c r="AK42" s="6338">
        <f t="shared" si="18"/>
        <v>0</v>
      </c>
      <c r="AL42" s="6338">
        <f t="shared" si="18"/>
        <v>0</v>
      </c>
      <c r="AM42" s="6338">
        <f t="shared" si="18"/>
        <v>0</v>
      </c>
      <c r="AN42" s="6338">
        <f t="shared" si="18"/>
        <v>1</v>
      </c>
      <c r="AO42" s="6338">
        <f t="shared" si="18"/>
        <v>2</v>
      </c>
      <c r="AP42" s="6338">
        <f t="shared" si="18"/>
        <v>4</v>
      </c>
      <c r="AQ42" s="6338">
        <f t="shared" si="18"/>
        <v>5</v>
      </c>
      <c r="AR42" s="6338">
        <f t="shared" si="18"/>
        <v>5</v>
      </c>
      <c r="AS42" s="6338">
        <f t="shared" si="19"/>
        <v>0</v>
      </c>
      <c r="AT42" s="6338">
        <f t="shared" si="19"/>
        <v>0</v>
      </c>
      <c r="AU42" s="6338">
        <f t="shared" si="19"/>
        <v>0</v>
      </c>
      <c r="AV42" s="6338">
        <f t="shared" si="19"/>
        <v>0</v>
      </c>
      <c r="AW42" s="6338">
        <f t="shared" si="19"/>
        <v>0</v>
      </c>
      <c r="AX42" s="6338">
        <f t="shared" si="19"/>
        <v>0</v>
      </c>
      <c r="AY42" s="6343">
        <f t="shared" si="19"/>
        <v>0</v>
      </c>
      <c r="AZ42" s="5610"/>
      <c r="BA42" s="5610"/>
      <c r="BB42" s="5610"/>
      <c r="BC42" s="5610"/>
      <c r="BD42" s="5610"/>
      <c r="BE42" s="5610"/>
      <c r="BF42" s="5610"/>
    </row>
    <row r="43" spans="1:58" ht="8" customHeight="1">
      <c r="A43" s="2151"/>
      <c r="B43" s="6221">
        <f t="shared" si="17"/>
        <v>0</v>
      </c>
      <c r="C43" s="6221">
        <f t="shared" si="17"/>
        <v>4</v>
      </c>
      <c r="D43" s="6338">
        <f t="shared" si="17"/>
        <v>5</v>
      </c>
      <c r="E43" s="6338">
        <f t="shared" si="17"/>
        <v>2</v>
      </c>
      <c r="F43" s="6339">
        <f t="shared" si="17"/>
        <v>2</v>
      </c>
      <c r="G43" s="6341">
        <f t="shared" si="17"/>
        <v>2</v>
      </c>
      <c r="H43" s="6229">
        <f t="shared" si="17"/>
        <v>2</v>
      </c>
      <c r="I43" s="6339">
        <f t="shared" si="17"/>
        <v>2</v>
      </c>
      <c r="J43" s="6339">
        <f t="shared" si="17"/>
        <v>2</v>
      </c>
      <c r="K43" s="6341">
        <f t="shared" si="17"/>
        <v>0</v>
      </c>
      <c r="L43" s="6229">
        <f t="shared" si="17"/>
        <v>0</v>
      </c>
      <c r="M43" s="6339">
        <f t="shared" si="17"/>
        <v>0</v>
      </c>
      <c r="N43" s="6339">
        <f t="shared" si="17"/>
        <v>0</v>
      </c>
      <c r="O43" s="6342">
        <f t="shared" si="17"/>
        <v>0</v>
      </c>
      <c r="P43" s="6657">
        <f t="shared" si="17"/>
        <v>1</v>
      </c>
      <c r="Q43" s="6650">
        <f t="shared" si="17"/>
        <v>1</v>
      </c>
      <c r="R43" s="6342">
        <f t="shared" si="17"/>
        <v>1</v>
      </c>
      <c r="S43" s="6688">
        <f t="shared" si="17"/>
        <v>1</v>
      </c>
      <c r="T43" s="6683">
        <f t="shared" si="17"/>
        <v>2</v>
      </c>
      <c r="U43" s="6683">
        <f t="shared" si="17"/>
        <v>3</v>
      </c>
      <c r="V43" s="6683">
        <f t="shared" si="17"/>
        <v>4</v>
      </c>
      <c r="W43" s="6689">
        <f t="shared" si="17"/>
        <v>3</v>
      </c>
      <c r="X43" s="6688">
        <f t="shared" si="17"/>
        <v>2</v>
      </c>
      <c r="Y43" s="6683">
        <f t="shared" si="17"/>
        <v>1</v>
      </c>
      <c r="Z43" s="6683">
        <f t="shared" si="17"/>
        <v>0</v>
      </c>
      <c r="AA43" s="6683">
        <f t="shared" si="17"/>
        <v>0</v>
      </c>
      <c r="AB43" s="6683">
        <f t="shared" si="17"/>
        <v>0</v>
      </c>
      <c r="AC43" s="6689">
        <f t="shared" si="18"/>
        <v>0</v>
      </c>
      <c r="AD43" s="6688">
        <f t="shared" si="18"/>
        <v>0</v>
      </c>
      <c r="AE43" s="6683">
        <f t="shared" si="18"/>
        <v>0</v>
      </c>
      <c r="AF43" s="6683">
        <f t="shared" si="18"/>
        <v>0</v>
      </c>
      <c r="AG43" s="6689">
        <f t="shared" si="18"/>
        <v>0</v>
      </c>
      <c r="AH43" s="6660">
        <f t="shared" si="18"/>
        <v>0</v>
      </c>
      <c r="AI43" s="6229">
        <f t="shared" si="18"/>
        <v>0</v>
      </c>
      <c r="AJ43" s="6338">
        <f t="shared" si="18"/>
        <v>0</v>
      </c>
      <c r="AK43" s="6338">
        <f t="shared" si="18"/>
        <v>0</v>
      </c>
      <c r="AL43" s="6338">
        <f t="shared" si="18"/>
        <v>0</v>
      </c>
      <c r="AM43" s="6338">
        <f t="shared" si="18"/>
        <v>0</v>
      </c>
      <c r="AN43" s="6338">
        <f t="shared" si="18"/>
        <v>1</v>
      </c>
      <c r="AO43" s="6338">
        <f t="shared" si="18"/>
        <v>2</v>
      </c>
      <c r="AP43" s="6338">
        <f t="shared" si="18"/>
        <v>4</v>
      </c>
      <c r="AQ43" s="6338">
        <f t="shared" si="18"/>
        <v>5</v>
      </c>
      <c r="AR43" s="6338">
        <f t="shared" si="18"/>
        <v>5</v>
      </c>
      <c r="AS43" s="6338">
        <f t="shared" si="19"/>
        <v>0</v>
      </c>
      <c r="AT43" s="6338">
        <f t="shared" si="19"/>
        <v>0</v>
      </c>
      <c r="AU43" s="6338">
        <f t="shared" si="19"/>
        <v>0</v>
      </c>
      <c r="AV43" s="6338">
        <f t="shared" si="19"/>
        <v>0</v>
      </c>
      <c r="AW43" s="6338">
        <f t="shared" si="19"/>
        <v>0</v>
      </c>
      <c r="AX43" s="6338">
        <f t="shared" si="19"/>
        <v>0</v>
      </c>
      <c r="AY43" s="6343">
        <f t="shared" si="19"/>
        <v>0</v>
      </c>
      <c r="AZ43" s="5610"/>
      <c r="BA43" s="5610"/>
      <c r="BB43" s="5610"/>
      <c r="BC43" s="5610"/>
      <c r="BD43" s="5610"/>
      <c r="BE43" s="5610"/>
      <c r="BF43" s="5610"/>
    </row>
    <row r="44" spans="1:58" ht="8" customHeight="1" thickBot="1">
      <c r="A44" s="5595"/>
      <c r="B44" s="6221">
        <v>0</v>
      </c>
      <c r="C44" s="6221">
        <v>4</v>
      </c>
      <c r="D44" s="6338">
        <v>5</v>
      </c>
      <c r="E44" s="6338">
        <v>2</v>
      </c>
      <c r="F44" s="6339">
        <v>2</v>
      </c>
      <c r="G44" s="6341">
        <v>2</v>
      </c>
      <c r="H44" s="6229">
        <v>2</v>
      </c>
      <c r="I44" s="6339">
        <v>2</v>
      </c>
      <c r="J44" s="6339">
        <v>2</v>
      </c>
      <c r="K44" s="6341">
        <v>0</v>
      </c>
      <c r="L44" s="6229">
        <v>0</v>
      </c>
      <c r="M44" s="6339">
        <v>0</v>
      </c>
      <c r="N44" s="6339">
        <v>0</v>
      </c>
      <c r="O44" s="6342">
        <v>0</v>
      </c>
      <c r="P44" s="6657">
        <v>1</v>
      </c>
      <c r="Q44" s="6650">
        <v>1</v>
      </c>
      <c r="R44" s="6342">
        <v>1</v>
      </c>
      <c r="S44" s="6688">
        <v>1</v>
      </c>
      <c r="T44" s="6683">
        <v>2</v>
      </c>
      <c r="U44" s="6683">
        <v>3</v>
      </c>
      <c r="V44" s="6683">
        <v>4</v>
      </c>
      <c r="W44" s="6689">
        <v>3</v>
      </c>
      <c r="X44" s="6688">
        <v>2</v>
      </c>
      <c r="Y44" s="6683">
        <v>1</v>
      </c>
      <c r="Z44" s="6683">
        <v>0</v>
      </c>
      <c r="AA44" s="6683">
        <v>0</v>
      </c>
      <c r="AB44" s="6683">
        <v>0</v>
      </c>
      <c r="AC44" s="6689">
        <v>0</v>
      </c>
      <c r="AD44" s="6688">
        <v>0</v>
      </c>
      <c r="AE44" s="6683">
        <v>0</v>
      </c>
      <c r="AF44" s="6683">
        <v>0</v>
      </c>
      <c r="AG44" s="6689">
        <v>0</v>
      </c>
      <c r="AH44" s="6660">
        <v>0</v>
      </c>
      <c r="AI44" s="6229">
        <v>0</v>
      </c>
      <c r="AJ44" s="6338">
        <v>0</v>
      </c>
      <c r="AK44" s="6338">
        <v>0</v>
      </c>
      <c r="AL44" s="6338">
        <v>0</v>
      </c>
      <c r="AM44" s="6338">
        <v>0</v>
      </c>
      <c r="AN44" s="6338">
        <v>1</v>
      </c>
      <c r="AO44" s="6338">
        <v>2</v>
      </c>
      <c r="AP44" s="6338">
        <v>4</v>
      </c>
      <c r="AQ44" s="6338">
        <v>5</v>
      </c>
      <c r="AR44" s="6338">
        <v>5</v>
      </c>
      <c r="AS44" s="6338">
        <v>0</v>
      </c>
      <c r="AT44" s="6338">
        <v>0</v>
      </c>
      <c r="AU44" s="6338">
        <v>0</v>
      </c>
      <c r="AV44" s="6338">
        <v>0</v>
      </c>
      <c r="AW44" s="6338">
        <v>0</v>
      </c>
      <c r="AX44" s="6338">
        <v>0</v>
      </c>
      <c r="AY44" s="6343">
        <v>0</v>
      </c>
      <c r="AZ44" s="5610"/>
      <c r="BA44" s="5610"/>
      <c r="BB44" s="5610"/>
      <c r="BC44" s="5610"/>
      <c r="BD44" s="5610"/>
      <c r="BE44" s="5610"/>
      <c r="BF44" s="5610"/>
    </row>
    <row r="45" spans="1:58" ht="2" customHeight="1" thickBot="1">
      <c r="A45" s="2151"/>
      <c r="B45" s="6221"/>
      <c r="C45" s="6221"/>
      <c r="D45" s="6338"/>
      <c r="E45" s="6338"/>
      <c r="F45" s="6338"/>
      <c r="G45" s="6341"/>
      <c r="H45" s="6229"/>
      <c r="I45" s="6339"/>
      <c r="J45" s="6339"/>
      <c r="K45" s="6341"/>
      <c r="L45" s="6229"/>
      <c r="M45" s="6339"/>
      <c r="N45" s="6339"/>
      <c r="O45" s="6342"/>
      <c r="P45" s="6657"/>
      <c r="Q45" s="6650"/>
      <c r="R45" s="6342"/>
      <c r="S45" s="6688"/>
      <c r="T45" s="6683"/>
      <c r="U45" s="6683"/>
      <c r="V45" s="6683"/>
      <c r="W45" s="6689"/>
      <c r="X45" s="6688"/>
      <c r="Y45" s="6683"/>
      <c r="Z45" s="6683"/>
      <c r="AA45" s="6683"/>
      <c r="AB45" s="6683"/>
      <c r="AC45" s="6689"/>
      <c r="AD45" s="6688"/>
      <c r="AE45" s="6683"/>
      <c r="AF45" s="6683"/>
      <c r="AG45" s="6689"/>
      <c r="AH45" s="6660"/>
      <c r="AI45" s="3722"/>
      <c r="AJ45" s="5613"/>
      <c r="AK45" s="5613"/>
      <c r="AL45" s="5613"/>
      <c r="AM45" s="5613"/>
      <c r="AN45" s="5613"/>
      <c r="AO45" s="5613"/>
      <c r="AP45" s="5613"/>
      <c r="AQ45" s="5613"/>
      <c r="AR45" s="5613"/>
      <c r="AS45" s="5613"/>
      <c r="AT45" s="5613"/>
      <c r="AU45" s="5613"/>
      <c r="AV45" s="5613"/>
      <c r="AW45" s="5613"/>
      <c r="AX45" s="5613"/>
      <c r="AY45" s="2160"/>
      <c r="AZ45" s="2160"/>
      <c r="BA45" s="2160"/>
      <c r="BB45" s="2160"/>
      <c r="BC45" s="2160"/>
      <c r="BD45" s="2160"/>
      <c r="BE45" s="2160"/>
      <c r="BF45" s="2160"/>
    </row>
    <row r="46" spans="1:58" ht="7.25" customHeight="1">
      <c r="A46" s="5615"/>
      <c r="B46" s="6221">
        <f t="shared" ref="B46:S49" si="20">B47</f>
        <v>0</v>
      </c>
      <c r="C46" s="6221">
        <f t="shared" si="20"/>
        <v>0</v>
      </c>
      <c r="D46" s="6338">
        <f t="shared" si="20"/>
        <v>0</v>
      </c>
      <c r="E46" s="6338">
        <f t="shared" si="20"/>
        <v>0</v>
      </c>
      <c r="F46" s="6339">
        <f t="shared" si="20"/>
        <v>0</v>
      </c>
      <c r="G46" s="6341">
        <f t="shared" si="20"/>
        <v>1</v>
      </c>
      <c r="H46" s="6229">
        <f t="shared" si="20"/>
        <v>2</v>
      </c>
      <c r="I46" s="6339">
        <f t="shared" si="20"/>
        <v>3</v>
      </c>
      <c r="J46" s="6339">
        <f t="shared" si="20"/>
        <v>4</v>
      </c>
      <c r="K46" s="6341">
        <f t="shared" si="20"/>
        <v>5</v>
      </c>
      <c r="L46" s="6229">
        <f t="shared" si="20"/>
        <v>4</v>
      </c>
      <c r="M46" s="6339">
        <f t="shared" si="20"/>
        <v>4</v>
      </c>
      <c r="N46" s="6339">
        <f t="shared" si="20"/>
        <v>4</v>
      </c>
      <c r="O46" s="6342">
        <f t="shared" si="20"/>
        <v>2</v>
      </c>
      <c r="P46" s="6657">
        <f t="shared" si="20"/>
        <v>4</v>
      </c>
      <c r="Q46" s="6650">
        <f t="shared" si="20"/>
        <v>3</v>
      </c>
      <c r="R46" s="6342">
        <f t="shared" si="20"/>
        <v>2</v>
      </c>
      <c r="S46" s="6688">
        <f t="shared" si="20"/>
        <v>1</v>
      </c>
      <c r="T46" s="6683">
        <f t="shared" ref="T46:AI49" si="21">T47</f>
        <v>0</v>
      </c>
      <c r="U46" s="6683">
        <f t="shared" si="21"/>
        <v>0</v>
      </c>
      <c r="V46" s="6683">
        <f t="shared" si="21"/>
        <v>0</v>
      </c>
      <c r="W46" s="6689">
        <f t="shared" si="21"/>
        <v>0</v>
      </c>
      <c r="X46" s="6688">
        <f t="shared" si="21"/>
        <v>0</v>
      </c>
      <c r="Y46" s="6683">
        <f t="shared" si="21"/>
        <v>0</v>
      </c>
      <c r="Z46" s="6683">
        <f t="shared" si="21"/>
        <v>1</v>
      </c>
      <c r="AA46" s="6683">
        <f t="shared" si="21"/>
        <v>2</v>
      </c>
      <c r="AB46" s="6683">
        <f t="shared" si="21"/>
        <v>3</v>
      </c>
      <c r="AC46" s="6689">
        <f t="shared" si="21"/>
        <v>4</v>
      </c>
      <c r="AD46" s="6688">
        <f t="shared" si="21"/>
        <v>5</v>
      </c>
      <c r="AE46" s="6683">
        <f t="shared" si="21"/>
        <v>3</v>
      </c>
      <c r="AF46" s="6683">
        <f t="shared" si="21"/>
        <v>4</v>
      </c>
      <c r="AG46" s="6689">
        <f t="shared" si="21"/>
        <v>3</v>
      </c>
      <c r="AH46" s="6660">
        <f t="shared" si="21"/>
        <v>3</v>
      </c>
      <c r="AI46" s="6229">
        <f t="shared" si="21"/>
        <v>0</v>
      </c>
      <c r="AJ46" s="6338">
        <f t="shared" ref="AJ46:AY49" si="22">AJ47</f>
        <v>0</v>
      </c>
      <c r="AK46" s="6338">
        <f t="shared" si="22"/>
        <v>0</v>
      </c>
      <c r="AL46" s="6338">
        <f t="shared" si="22"/>
        <v>0</v>
      </c>
      <c r="AM46" s="6338">
        <f t="shared" si="22"/>
        <v>0</v>
      </c>
      <c r="AN46" s="6338">
        <f t="shared" si="22"/>
        <v>0</v>
      </c>
      <c r="AO46" s="6338">
        <f t="shared" si="22"/>
        <v>0</v>
      </c>
      <c r="AP46" s="6338">
        <f t="shared" si="22"/>
        <v>0</v>
      </c>
      <c r="AQ46" s="6338">
        <f t="shared" si="22"/>
        <v>0</v>
      </c>
      <c r="AR46" s="6338">
        <f t="shared" si="22"/>
        <v>0</v>
      </c>
      <c r="AS46" s="6338">
        <f t="shared" si="22"/>
        <v>4</v>
      </c>
      <c r="AT46" s="6338">
        <f t="shared" si="22"/>
        <v>3</v>
      </c>
      <c r="AU46" s="6338">
        <f t="shared" si="22"/>
        <v>1</v>
      </c>
      <c r="AV46" s="6338">
        <f t="shared" si="22"/>
        <v>2</v>
      </c>
      <c r="AW46" s="6338">
        <f t="shared" si="22"/>
        <v>3</v>
      </c>
      <c r="AX46" s="6338">
        <f t="shared" si="22"/>
        <v>4</v>
      </c>
      <c r="AY46" s="6343">
        <f t="shared" si="22"/>
        <v>0</v>
      </c>
      <c r="AZ46" s="5610"/>
      <c r="BA46" s="5610"/>
      <c r="BB46" s="5610"/>
      <c r="BC46" s="5610"/>
      <c r="BD46" s="5610"/>
      <c r="BE46" s="5610"/>
      <c r="BF46" s="5610"/>
    </row>
    <row r="47" spans="1:58" ht="7.25" customHeight="1">
      <c r="A47" s="2151"/>
      <c r="B47" s="6221">
        <f t="shared" si="20"/>
        <v>0</v>
      </c>
      <c r="C47" s="6221">
        <f t="shared" si="20"/>
        <v>0</v>
      </c>
      <c r="D47" s="6338">
        <f t="shared" si="20"/>
        <v>0</v>
      </c>
      <c r="E47" s="6338">
        <f t="shared" si="20"/>
        <v>0</v>
      </c>
      <c r="F47" s="6339">
        <f t="shared" si="20"/>
        <v>0</v>
      </c>
      <c r="G47" s="6341">
        <f t="shared" si="20"/>
        <v>1</v>
      </c>
      <c r="H47" s="6229">
        <f t="shared" si="20"/>
        <v>2</v>
      </c>
      <c r="I47" s="6339">
        <f t="shared" si="20"/>
        <v>3</v>
      </c>
      <c r="J47" s="6339">
        <f t="shared" si="20"/>
        <v>4</v>
      </c>
      <c r="K47" s="6341">
        <f t="shared" si="20"/>
        <v>5</v>
      </c>
      <c r="L47" s="6229">
        <f t="shared" si="20"/>
        <v>4</v>
      </c>
      <c r="M47" s="6339">
        <f t="shared" si="20"/>
        <v>4</v>
      </c>
      <c r="N47" s="6339">
        <f t="shared" si="20"/>
        <v>4</v>
      </c>
      <c r="O47" s="6342">
        <f t="shared" si="20"/>
        <v>2</v>
      </c>
      <c r="P47" s="6657">
        <f t="shared" si="20"/>
        <v>4</v>
      </c>
      <c r="Q47" s="6650">
        <f t="shared" si="20"/>
        <v>3</v>
      </c>
      <c r="R47" s="6342">
        <f t="shared" si="20"/>
        <v>2</v>
      </c>
      <c r="S47" s="6688">
        <f t="shared" si="20"/>
        <v>1</v>
      </c>
      <c r="T47" s="6683">
        <f t="shared" si="21"/>
        <v>0</v>
      </c>
      <c r="U47" s="6683">
        <f t="shared" si="21"/>
        <v>0</v>
      </c>
      <c r="V47" s="6683">
        <f t="shared" si="21"/>
        <v>0</v>
      </c>
      <c r="W47" s="6689">
        <f t="shared" si="21"/>
        <v>0</v>
      </c>
      <c r="X47" s="6688">
        <f t="shared" si="21"/>
        <v>0</v>
      </c>
      <c r="Y47" s="6683">
        <f t="shared" si="21"/>
        <v>0</v>
      </c>
      <c r="Z47" s="6683">
        <f t="shared" si="21"/>
        <v>1</v>
      </c>
      <c r="AA47" s="6683">
        <f t="shared" si="21"/>
        <v>2</v>
      </c>
      <c r="AB47" s="6683">
        <f t="shared" si="21"/>
        <v>3</v>
      </c>
      <c r="AC47" s="6689">
        <f t="shared" si="21"/>
        <v>4</v>
      </c>
      <c r="AD47" s="6688">
        <f t="shared" si="21"/>
        <v>5</v>
      </c>
      <c r="AE47" s="6683">
        <f t="shared" si="21"/>
        <v>3</v>
      </c>
      <c r="AF47" s="6683">
        <f t="shared" si="21"/>
        <v>4</v>
      </c>
      <c r="AG47" s="6689">
        <f t="shared" si="21"/>
        <v>3</v>
      </c>
      <c r="AH47" s="6660">
        <f t="shared" si="21"/>
        <v>3</v>
      </c>
      <c r="AI47" s="6229">
        <f t="shared" si="21"/>
        <v>0</v>
      </c>
      <c r="AJ47" s="6338">
        <f t="shared" si="22"/>
        <v>0</v>
      </c>
      <c r="AK47" s="6338">
        <f t="shared" si="22"/>
        <v>0</v>
      </c>
      <c r="AL47" s="6338">
        <f t="shared" si="22"/>
        <v>0</v>
      </c>
      <c r="AM47" s="6338">
        <f t="shared" si="22"/>
        <v>0</v>
      </c>
      <c r="AN47" s="6338">
        <f t="shared" si="22"/>
        <v>0</v>
      </c>
      <c r="AO47" s="6338">
        <f t="shared" si="22"/>
        <v>0</v>
      </c>
      <c r="AP47" s="6338">
        <f t="shared" si="22"/>
        <v>0</v>
      </c>
      <c r="AQ47" s="6338">
        <f t="shared" si="22"/>
        <v>0</v>
      </c>
      <c r="AR47" s="6338">
        <f t="shared" si="22"/>
        <v>0</v>
      </c>
      <c r="AS47" s="6338">
        <f t="shared" si="22"/>
        <v>4</v>
      </c>
      <c r="AT47" s="6338">
        <f t="shared" si="22"/>
        <v>3</v>
      </c>
      <c r="AU47" s="6338">
        <f t="shared" si="22"/>
        <v>1</v>
      </c>
      <c r="AV47" s="6338">
        <f t="shared" si="22"/>
        <v>2</v>
      </c>
      <c r="AW47" s="6338">
        <f t="shared" si="22"/>
        <v>3</v>
      </c>
      <c r="AX47" s="6338">
        <f t="shared" si="22"/>
        <v>4</v>
      </c>
      <c r="AY47" s="6343">
        <f t="shared" si="22"/>
        <v>0</v>
      </c>
      <c r="AZ47" s="5610"/>
      <c r="BA47" s="5610"/>
      <c r="BB47" s="5610"/>
      <c r="BC47" s="5610"/>
      <c r="BD47" s="5610"/>
      <c r="BE47" s="5610"/>
      <c r="BF47" s="5610"/>
    </row>
    <row r="48" spans="1:58" ht="7.25" customHeight="1">
      <c r="A48" s="2151"/>
      <c r="B48" s="6221">
        <f t="shared" si="20"/>
        <v>0</v>
      </c>
      <c r="C48" s="6221">
        <f t="shared" si="20"/>
        <v>0</v>
      </c>
      <c r="D48" s="6338">
        <f t="shared" si="20"/>
        <v>0</v>
      </c>
      <c r="E48" s="6338">
        <f t="shared" si="20"/>
        <v>0</v>
      </c>
      <c r="F48" s="6339">
        <f t="shared" si="20"/>
        <v>0</v>
      </c>
      <c r="G48" s="6341">
        <f t="shared" si="20"/>
        <v>1</v>
      </c>
      <c r="H48" s="6229">
        <f t="shared" si="20"/>
        <v>2</v>
      </c>
      <c r="I48" s="6339">
        <f t="shared" si="20"/>
        <v>3</v>
      </c>
      <c r="J48" s="6339">
        <f t="shared" si="20"/>
        <v>4</v>
      </c>
      <c r="K48" s="6341">
        <f t="shared" si="20"/>
        <v>5</v>
      </c>
      <c r="L48" s="6229">
        <f t="shared" si="20"/>
        <v>4</v>
      </c>
      <c r="M48" s="6339">
        <f t="shared" si="20"/>
        <v>4</v>
      </c>
      <c r="N48" s="6339">
        <f t="shared" si="20"/>
        <v>4</v>
      </c>
      <c r="O48" s="6342">
        <f t="shared" si="20"/>
        <v>2</v>
      </c>
      <c r="P48" s="6657">
        <f t="shared" si="20"/>
        <v>4</v>
      </c>
      <c r="Q48" s="6650">
        <f t="shared" si="20"/>
        <v>3</v>
      </c>
      <c r="R48" s="6342">
        <f t="shared" si="20"/>
        <v>2</v>
      </c>
      <c r="S48" s="6688">
        <f t="shared" si="20"/>
        <v>1</v>
      </c>
      <c r="T48" s="6683">
        <f t="shared" si="21"/>
        <v>0</v>
      </c>
      <c r="U48" s="6683">
        <f t="shared" si="21"/>
        <v>0</v>
      </c>
      <c r="V48" s="6683">
        <f t="shared" si="21"/>
        <v>0</v>
      </c>
      <c r="W48" s="6689">
        <f t="shared" si="21"/>
        <v>0</v>
      </c>
      <c r="X48" s="6688">
        <f t="shared" si="21"/>
        <v>0</v>
      </c>
      <c r="Y48" s="6683">
        <f t="shared" si="21"/>
        <v>0</v>
      </c>
      <c r="Z48" s="6683">
        <f t="shared" si="21"/>
        <v>1</v>
      </c>
      <c r="AA48" s="6683">
        <f t="shared" si="21"/>
        <v>2</v>
      </c>
      <c r="AB48" s="6683">
        <f t="shared" si="21"/>
        <v>3</v>
      </c>
      <c r="AC48" s="6689">
        <f t="shared" si="21"/>
        <v>4</v>
      </c>
      <c r="AD48" s="6688">
        <f t="shared" si="21"/>
        <v>5</v>
      </c>
      <c r="AE48" s="6683">
        <f t="shared" si="21"/>
        <v>3</v>
      </c>
      <c r="AF48" s="6683">
        <f t="shared" si="21"/>
        <v>4</v>
      </c>
      <c r="AG48" s="6689">
        <f t="shared" si="21"/>
        <v>3</v>
      </c>
      <c r="AH48" s="6660">
        <f t="shared" si="21"/>
        <v>3</v>
      </c>
      <c r="AI48" s="6229">
        <f t="shared" si="21"/>
        <v>0</v>
      </c>
      <c r="AJ48" s="6338">
        <f t="shared" si="22"/>
        <v>0</v>
      </c>
      <c r="AK48" s="6338">
        <f t="shared" si="22"/>
        <v>0</v>
      </c>
      <c r="AL48" s="6338">
        <f t="shared" si="22"/>
        <v>0</v>
      </c>
      <c r="AM48" s="6338">
        <f t="shared" si="22"/>
        <v>0</v>
      </c>
      <c r="AN48" s="6338">
        <f t="shared" si="22"/>
        <v>0</v>
      </c>
      <c r="AO48" s="6338">
        <f t="shared" si="22"/>
        <v>0</v>
      </c>
      <c r="AP48" s="6338">
        <f t="shared" si="22"/>
        <v>0</v>
      </c>
      <c r="AQ48" s="6338">
        <f t="shared" si="22"/>
        <v>0</v>
      </c>
      <c r="AR48" s="6338">
        <f t="shared" si="22"/>
        <v>0</v>
      </c>
      <c r="AS48" s="6338">
        <f t="shared" si="22"/>
        <v>4</v>
      </c>
      <c r="AT48" s="6338">
        <f t="shared" si="22"/>
        <v>3</v>
      </c>
      <c r="AU48" s="6338">
        <f t="shared" si="22"/>
        <v>1</v>
      </c>
      <c r="AV48" s="6338">
        <f t="shared" si="22"/>
        <v>2</v>
      </c>
      <c r="AW48" s="6338">
        <f t="shared" si="22"/>
        <v>3</v>
      </c>
      <c r="AX48" s="6338">
        <f t="shared" si="22"/>
        <v>4</v>
      </c>
      <c r="AY48" s="6343">
        <f t="shared" si="22"/>
        <v>0</v>
      </c>
      <c r="AZ48" s="5610"/>
      <c r="BA48" s="5610"/>
      <c r="BB48" s="5610"/>
      <c r="BC48" s="5610"/>
      <c r="BD48" s="5610"/>
      <c r="BE48" s="5610"/>
      <c r="BF48" s="5610"/>
    </row>
    <row r="49" spans="1:58" ht="7" customHeight="1">
      <c r="A49" s="2151"/>
      <c r="B49" s="6221">
        <f t="shared" si="20"/>
        <v>0</v>
      </c>
      <c r="C49" s="6221">
        <f t="shared" si="20"/>
        <v>0</v>
      </c>
      <c r="D49" s="6338">
        <f t="shared" si="20"/>
        <v>0</v>
      </c>
      <c r="E49" s="6338">
        <f t="shared" si="20"/>
        <v>0</v>
      </c>
      <c r="F49" s="6339">
        <f t="shared" si="20"/>
        <v>0</v>
      </c>
      <c r="G49" s="6341">
        <f t="shared" si="20"/>
        <v>1</v>
      </c>
      <c r="H49" s="6229">
        <f t="shared" si="20"/>
        <v>2</v>
      </c>
      <c r="I49" s="6339">
        <f t="shared" si="20"/>
        <v>3</v>
      </c>
      <c r="J49" s="6339">
        <f t="shared" si="20"/>
        <v>4</v>
      </c>
      <c r="K49" s="6341">
        <f t="shared" si="20"/>
        <v>5</v>
      </c>
      <c r="L49" s="6229">
        <f t="shared" si="20"/>
        <v>4</v>
      </c>
      <c r="M49" s="6339">
        <f t="shared" si="20"/>
        <v>4</v>
      </c>
      <c r="N49" s="6339">
        <f t="shared" si="20"/>
        <v>4</v>
      </c>
      <c r="O49" s="6342">
        <f t="shared" si="20"/>
        <v>2</v>
      </c>
      <c r="P49" s="6657">
        <f t="shared" si="20"/>
        <v>4</v>
      </c>
      <c r="Q49" s="6650">
        <f t="shared" si="20"/>
        <v>3</v>
      </c>
      <c r="R49" s="6342">
        <f t="shared" si="20"/>
        <v>2</v>
      </c>
      <c r="S49" s="6688">
        <f t="shared" si="20"/>
        <v>1</v>
      </c>
      <c r="T49" s="6683">
        <f t="shared" si="21"/>
        <v>0</v>
      </c>
      <c r="U49" s="6683">
        <f t="shared" si="21"/>
        <v>0</v>
      </c>
      <c r="V49" s="6683">
        <f t="shared" si="21"/>
        <v>0</v>
      </c>
      <c r="W49" s="6689">
        <f t="shared" si="21"/>
        <v>0</v>
      </c>
      <c r="X49" s="6688">
        <f t="shared" si="21"/>
        <v>0</v>
      </c>
      <c r="Y49" s="6683">
        <f t="shared" si="21"/>
        <v>0</v>
      </c>
      <c r="Z49" s="6683">
        <f t="shared" si="21"/>
        <v>1</v>
      </c>
      <c r="AA49" s="6683">
        <f t="shared" si="21"/>
        <v>2</v>
      </c>
      <c r="AB49" s="6683">
        <f t="shared" si="21"/>
        <v>3</v>
      </c>
      <c r="AC49" s="6689">
        <f t="shared" si="21"/>
        <v>4</v>
      </c>
      <c r="AD49" s="6688">
        <f t="shared" si="21"/>
        <v>5</v>
      </c>
      <c r="AE49" s="6683">
        <f t="shared" si="21"/>
        <v>3</v>
      </c>
      <c r="AF49" s="6683">
        <f t="shared" si="21"/>
        <v>4</v>
      </c>
      <c r="AG49" s="6689">
        <f t="shared" si="21"/>
        <v>3</v>
      </c>
      <c r="AH49" s="6660">
        <f t="shared" si="21"/>
        <v>3</v>
      </c>
      <c r="AI49" s="6229">
        <f t="shared" si="21"/>
        <v>0</v>
      </c>
      <c r="AJ49" s="6338">
        <f t="shared" si="22"/>
        <v>0</v>
      </c>
      <c r="AK49" s="6338">
        <f t="shared" si="22"/>
        <v>0</v>
      </c>
      <c r="AL49" s="6338">
        <f t="shared" si="22"/>
        <v>0</v>
      </c>
      <c r="AM49" s="6338">
        <f t="shared" si="22"/>
        <v>0</v>
      </c>
      <c r="AN49" s="6338">
        <f t="shared" si="22"/>
        <v>0</v>
      </c>
      <c r="AO49" s="6338">
        <f t="shared" si="22"/>
        <v>0</v>
      </c>
      <c r="AP49" s="6338">
        <f t="shared" si="22"/>
        <v>0</v>
      </c>
      <c r="AQ49" s="6338">
        <f t="shared" si="22"/>
        <v>0</v>
      </c>
      <c r="AR49" s="6338">
        <f t="shared" si="22"/>
        <v>0</v>
      </c>
      <c r="AS49" s="6338">
        <f t="shared" si="22"/>
        <v>4</v>
      </c>
      <c r="AT49" s="6338">
        <f t="shared" si="22"/>
        <v>3</v>
      </c>
      <c r="AU49" s="6338">
        <f t="shared" si="22"/>
        <v>1</v>
      </c>
      <c r="AV49" s="6338">
        <f t="shared" si="22"/>
        <v>2</v>
      </c>
      <c r="AW49" s="6338">
        <f t="shared" si="22"/>
        <v>3</v>
      </c>
      <c r="AX49" s="6338">
        <f t="shared" si="22"/>
        <v>4</v>
      </c>
      <c r="AY49" s="6343">
        <f t="shared" si="22"/>
        <v>0</v>
      </c>
      <c r="AZ49" s="5610"/>
      <c r="BA49" s="5610"/>
      <c r="BB49" s="5610"/>
      <c r="BC49" s="5610"/>
      <c r="BD49" s="5610"/>
      <c r="BE49" s="5610"/>
      <c r="BF49" s="5610"/>
    </row>
    <row r="50" spans="1:58" ht="6" customHeight="1" thickBot="1">
      <c r="A50" s="5595"/>
      <c r="B50" s="6221">
        <v>0</v>
      </c>
      <c r="C50" s="6221">
        <v>0</v>
      </c>
      <c r="D50" s="6338">
        <v>0</v>
      </c>
      <c r="E50" s="6338">
        <v>0</v>
      </c>
      <c r="F50" s="6339">
        <v>0</v>
      </c>
      <c r="G50" s="6341">
        <v>1</v>
      </c>
      <c r="H50" s="6229">
        <v>2</v>
      </c>
      <c r="I50" s="6339">
        <v>3</v>
      </c>
      <c r="J50" s="6339">
        <v>4</v>
      </c>
      <c r="K50" s="6341">
        <v>5</v>
      </c>
      <c r="L50" s="6229">
        <v>4</v>
      </c>
      <c r="M50" s="6339">
        <v>4</v>
      </c>
      <c r="N50" s="6339">
        <v>4</v>
      </c>
      <c r="O50" s="6342">
        <v>2</v>
      </c>
      <c r="P50" s="6657">
        <v>4</v>
      </c>
      <c r="Q50" s="6650">
        <v>3</v>
      </c>
      <c r="R50" s="6342">
        <v>2</v>
      </c>
      <c r="S50" s="6688">
        <v>1</v>
      </c>
      <c r="T50" s="6683">
        <v>0</v>
      </c>
      <c r="U50" s="6683">
        <v>0</v>
      </c>
      <c r="V50" s="6683">
        <v>0</v>
      </c>
      <c r="W50" s="6689">
        <v>0</v>
      </c>
      <c r="X50" s="6688">
        <v>0</v>
      </c>
      <c r="Y50" s="6683">
        <v>0</v>
      </c>
      <c r="Z50" s="6683">
        <v>1</v>
      </c>
      <c r="AA50" s="6683">
        <v>2</v>
      </c>
      <c r="AB50" s="6683">
        <v>3</v>
      </c>
      <c r="AC50" s="6689">
        <v>4</v>
      </c>
      <c r="AD50" s="6688">
        <v>5</v>
      </c>
      <c r="AE50" s="6683">
        <v>3</v>
      </c>
      <c r="AF50" s="6683">
        <v>4</v>
      </c>
      <c r="AG50" s="6689">
        <v>3</v>
      </c>
      <c r="AH50" s="6660">
        <v>3</v>
      </c>
      <c r="AI50" s="6229">
        <v>0</v>
      </c>
      <c r="AJ50" s="6338">
        <v>0</v>
      </c>
      <c r="AK50" s="6338">
        <v>0</v>
      </c>
      <c r="AL50" s="6338">
        <v>0</v>
      </c>
      <c r="AM50" s="6338">
        <v>0</v>
      </c>
      <c r="AN50" s="6338">
        <v>0</v>
      </c>
      <c r="AO50" s="6338">
        <v>0</v>
      </c>
      <c r="AP50" s="6338">
        <v>0</v>
      </c>
      <c r="AQ50" s="6338">
        <v>0</v>
      </c>
      <c r="AR50" s="6338">
        <v>0</v>
      </c>
      <c r="AS50" s="6338">
        <v>4</v>
      </c>
      <c r="AT50" s="6338">
        <v>3</v>
      </c>
      <c r="AU50" s="6338">
        <v>1</v>
      </c>
      <c r="AV50" s="6338">
        <v>2</v>
      </c>
      <c r="AW50" s="6338">
        <v>3</v>
      </c>
      <c r="AX50" s="6338">
        <v>4</v>
      </c>
      <c r="AY50" s="6343">
        <v>0</v>
      </c>
      <c r="AZ50" s="5610"/>
      <c r="BA50" s="5610"/>
      <c r="BB50" s="5610"/>
      <c r="BC50" s="5610"/>
      <c r="BD50" s="5610"/>
      <c r="BE50" s="5610"/>
      <c r="BF50" s="5610"/>
    </row>
    <row r="51" spans="1:58" ht="2" customHeight="1">
      <c r="A51" s="5612"/>
      <c r="B51" s="6221"/>
      <c r="C51" s="6221"/>
      <c r="D51" s="6338"/>
      <c r="E51" s="6338"/>
      <c r="F51" s="6339"/>
      <c r="G51" s="6341"/>
      <c r="H51" s="6229"/>
      <c r="I51" s="6339"/>
      <c r="J51" s="6339"/>
      <c r="K51" s="6341"/>
      <c r="L51" s="6229"/>
      <c r="M51" s="6339"/>
      <c r="N51" s="6339"/>
      <c r="O51" s="6342"/>
      <c r="P51" s="6657"/>
      <c r="Q51" s="6650"/>
      <c r="R51" s="6342"/>
      <c r="S51" s="6688"/>
      <c r="T51" s="6683"/>
      <c r="U51" s="6683"/>
      <c r="V51" s="6683"/>
      <c r="W51" s="6689"/>
      <c r="X51" s="6688"/>
      <c r="Y51" s="6683"/>
      <c r="Z51" s="6683"/>
      <c r="AA51" s="6683"/>
      <c r="AB51" s="6683"/>
      <c r="AC51" s="6689"/>
      <c r="AD51" s="6688"/>
      <c r="AE51" s="6683"/>
      <c r="AF51" s="6683"/>
      <c r="AG51" s="6689"/>
      <c r="AH51" s="6660"/>
      <c r="AI51" s="3722"/>
      <c r="AJ51" s="5613"/>
      <c r="AK51" s="5613"/>
      <c r="AL51" s="5613"/>
      <c r="AM51" s="5613"/>
      <c r="AN51" s="5613"/>
      <c r="AO51" s="5613"/>
      <c r="AP51" s="5613"/>
      <c r="AQ51" s="5613"/>
      <c r="AR51" s="5613"/>
      <c r="AS51" s="5613"/>
      <c r="AT51" s="5613"/>
      <c r="AU51" s="5613"/>
      <c r="AV51" s="5613"/>
      <c r="AW51" s="5613"/>
      <c r="AX51" s="5613"/>
      <c r="AY51" s="2160"/>
      <c r="AZ51" s="2160"/>
      <c r="BA51" s="2160"/>
      <c r="BB51" s="2160"/>
      <c r="BC51" s="2160"/>
      <c r="BD51" s="2160"/>
      <c r="BE51" s="2160"/>
      <c r="BF51" s="2160"/>
    </row>
    <row r="52" spans="1:58" ht="6" customHeight="1">
      <c r="A52" s="2157"/>
      <c r="B52" s="6221">
        <f t="shared" ref="B52:Q55" si="23">B53</f>
        <v>0</v>
      </c>
      <c r="C52" s="6221">
        <f t="shared" si="23"/>
        <v>1</v>
      </c>
      <c r="D52" s="6338">
        <f t="shared" si="23"/>
        <v>2</v>
      </c>
      <c r="E52" s="6338">
        <f t="shared" si="23"/>
        <v>3</v>
      </c>
      <c r="F52" s="6339">
        <f t="shared" si="23"/>
        <v>4</v>
      </c>
      <c r="G52" s="6341">
        <f t="shared" si="23"/>
        <v>5</v>
      </c>
      <c r="H52" s="6229">
        <f t="shared" si="23"/>
        <v>3</v>
      </c>
      <c r="I52" s="6339">
        <f t="shared" si="23"/>
        <v>2</v>
      </c>
      <c r="J52" s="6339">
        <f t="shared" si="23"/>
        <v>1</v>
      </c>
      <c r="K52" s="6341">
        <f t="shared" si="23"/>
        <v>0</v>
      </c>
      <c r="L52" s="6229">
        <f t="shared" si="23"/>
        <v>2</v>
      </c>
      <c r="M52" s="6339">
        <f t="shared" si="23"/>
        <v>3</v>
      </c>
      <c r="N52" s="6339">
        <f t="shared" si="23"/>
        <v>4</v>
      </c>
      <c r="O52" s="6342">
        <f t="shared" si="23"/>
        <v>4</v>
      </c>
      <c r="P52" s="6657">
        <f t="shared" si="23"/>
        <v>2</v>
      </c>
      <c r="Q52" s="6650">
        <f t="shared" si="23"/>
        <v>2</v>
      </c>
      <c r="R52" s="6342">
        <f t="shared" ref="R52:AG55" si="24">R53</f>
        <v>0</v>
      </c>
      <c r="S52" s="6688">
        <f t="shared" si="24"/>
        <v>1</v>
      </c>
      <c r="T52" s="6683">
        <f t="shared" si="24"/>
        <v>2</v>
      </c>
      <c r="U52" s="6683">
        <f t="shared" si="24"/>
        <v>2</v>
      </c>
      <c r="V52" s="6683">
        <f t="shared" si="24"/>
        <v>2</v>
      </c>
      <c r="W52" s="6689">
        <f t="shared" si="24"/>
        <v>3</v>
      </c>
      <c r="X52" s="6688">
        <f t="shared" si="24"/>
        <v>4</v>
      </c>
      <c r="Y52" s="6683">
        <f t="shared" si="24"/>
        <v>4</v>
      </c>
      <c r="Z52" s="6683">
        <f t="shared" si="24"/>
        <v>5</v>
      </c>
      <c r="AA52" s="6683">
        <f t="shared" si="24"/>
        <v>5</v>
      </c>
      <c r="AB52" s="6683">
        <f t="shared" si="24"/>
        <v>4</v>
      </c>
      <c r="AC52" s="6689">
        <f t="shared" si="24"/>
        <v>3</v>
      </c>
      <c r="AD52" s="6688">
        <f t="shared" si="24"/>
        <v>3</v>
      </c>
      <c r="AE52" s="6683">
        <f t="shared" si="24"/>
        <v>2</v>
      </c>
      <c r="AF52" s="6683">
        <f t="shared" si="24"/>
        <v>1</v>
      </c>
      <c r="AG52" s="6689">
        <f t="shared" si="24"/>
        <v>0</v>
      </c>
      <c r="AH52" s="6660">
        <f t="shared" ref="AH52:AY55" si="25">AH53</f>
        <v>0</v>
      </c>
      <c r="AI52" s="6229">
        <f t="shared" si="25"/>
        <v>0</v>
      </c>
      <c r="AJ52" s="6338">
        <f t="shared" si="25"/>
        <v>2</v>
      </c>
      <c r="AK52" s="6338">
        <f t="shared" si="25"/>
        <v>3</v>
      </c>
      <c r="AL52" s="6338">
        <f t="shared" si="25"/>
        <v>4</v>
      </c>
      <c r="AM52" s="6338">
        <f t="shared" si="25"/>
        <v>5</v>
      </c>
      <c r="AN52" s="6338">
        <f t="shared" si="25"/>
        <v>4</v>
      </c>
      <c r="AO52" s="6338">
        <f t="shared" si="25"/>
        <v>0</v>
      </c>
      <c r="AP52" s="6338">
        <f t="shared" si="25"/>
        <v>2</v>
      </c>
      <c r="AQ52" s="6338">
        <f t="shared" si="25"/>
        <v>2</v>
      </c>
      <c r="AR52" s="6338">
        <f t="shared" si="25"/>
        <v>5</v>
      </c>
      <c r="AS52" s="6338">
        <f t="shared" si="25"/>
        <v>0</v>
      </c>
      <c r="AT52" s="6338">
        <f t="shared" si="25"/>
        <v>0</v>
      </c>
      <c r="AU52" s="6338">
        <f t="shared" si="25"/>
        <v>0</v>
      </c>
      <c r="AV52" s="6338">
        <f t="shared" si="25"/>
        <v>0</v>
      </c>
      <c r="AW52" s="6338">
        <f t="shared" si="25"/>
        <v>0</v>
      </c>
      <c r="AX52" s="6338">
        <f t="shared" si="25"/>
        <v>0</v>
      </c>
      <c r="AY52" s="6343">
        <f t="shared" si="25"/>
        <v>0</v>
      </c>
      <c r="AZ52" s="5610"/>
      <c r="BA52" s="5610"/>
      <c r="BB52" s="5610"/>
      <c r="BC52" s="5610"/>
      <c r="BD52" s="5610"/>
      <c r="BE52" s="5610"/>
      <c r="BF52" s="5610"/>
    </row>
    <row r="53" spans="1:58" ht="6" customHeight="1">
      <c r="A53" s="2157"/>
      <c r="B53" s="6221">
        <f t="shared" si="23"/>
        <v>0</v>
      </c>
      <c r="C53" s="6221">
        <f t="shared" si="23"/>
        <v>1</v>
      </c>
      <c r="D53" s="6338">
        <f t="shared" si="23"/>
        <v>2</v>
      </c>
      <c r="E53" s="6338">
        <f t="shared" si="23"/>
        <v>3</v>
      </c>
      <c r="F53" s="6339">
        <f t="shared" si="23"/>
        <v>4</v>
      </c>
      <c r="G53" s="6341">
        <f t="shared" si="23"/>
        <v>5</v>
      </c>
      <c r="H53" s="6229">
        <f t="shared" si="23"/>
        <v>3</v>
      </c>
      <c r="I53" s="6339">
        <f t="shared" si="23"/>
        <v>2</v>
      </c>
      <c r="J53" s="6339">
        <f t="shared" si="23"/>
        <v>1</v>
      </c>
      <c r="K53" s="6341">
        <f t="shared" si="23"/>
        <v>0</v>
      </c>
      <c r="L53" s="6229">
        <f t="shared" si="23"/>
        <v>2</v>
      </c>
      <c r="M53" s="6339">
        <f t="shared" si="23"/>
        <v>3</v>
      </c>
      <c r="N53" s="6339">
        <f t="shared" si="23"/>
        <v>4</v>
      </c>
      <c r="O53" s="6342">
        <f t="shared" si="23"/>
        <v>4</v>
      </c>
      <c r="P53" s="6657">
        <f t="shared" si="23"/>
        <v>2</v>
      </c>
      <c r="Q53" s="6650">
        <f t="shared" si="23"/>
        <v>2</v>
      </c>
      <c r="R53" s="6342">
        <f t="shared" si="24"/>
        <v>0</v>
      </c>
      <c r="S53" s="6688">
        <f t="shared" si="24"/>
        <v>1</v>
      </c>
      <c r="T53" s="6683">
        <f t="shared" si="24"/>
        <v>2</v>
      </c>
      <c r="U53" s="6683">
        <f t="shared" si="24"/>
        <v>2</v>
      </c>
      <c r="V53" s="6683">
        <f t="shared" si="24"/>
        <v>2</v>
      </c>
      <c r="W53" s="6689">
        <f t="shared" si="24"/>
        <v>3</v>
      </c>
      <c r="X53" s="6688">
        <f t="shared" si="24"/>
        <v>4</v>
      </c>
      <c r="Y53" s="6683">
        <f t="shared" si="24"/>
        <v>4</v>
      </c>
      <c r="Z53" s="6683">
        <f t="shared" si="24"/>
        <v>5</v>
      </c>
      <c r="AA53" s="6683">
        <f t="shared" si="24"/>
        <v>5</v>
      </c>
      <c r="AB53" s="6683">
        <f t="shared" si="24"/>
        <v>4</v>
      </c>
      <c r="AC53" s="6683">
        <f t="shared" si="24"/>
        <v>3</v>
      </c>
      <c r="AD53" s="6688">
        <f t="shared" si="24"/>
        <v>3</v>
      </c>
      <c r="AE53" s="6683">
        <f t="shared" si="24"/>
        <v>2</v>
      </c>
      <c r="AF53" s="6683">
        <f t="shared" si="24"/>
        <v>1</v>
      </c>
      <c r="AG53" s="6689">
        <f t="shared" si="24"/>
        <v>0</v>
      </c>
      <c r="AH53" s="6660">
        <f t="shared" si="25"/>
        <v>0</v>
      </c>
      <c r="AI53" s="6229">
        <f t="shared" si="25"/>
        <v>0</v>
      </c>
      <c r="AJ53" s="6338">
        <f t="shared" si="25"/>
        <v>2</v>
      </c>
      <c r="AK53" s="6338">
        <f t="shared" si="25"/>
        <v>3</v>
      </c>
      <c r="AL53" s="6338">
        <f t="shared" si="25"/>
        <v>4</v>
      </c>
      <c r="AM53" s="6338">
        <f t="shared" si="25"/>
        <v>5</v>
      </c>
      <c r="AN53" s="6338">
        <f t="shared" si="25"/>
        <v>4</v>
      </c>
      <c r="AO53" s="6338">
        <f t="shared" si="25"/>
        <v>0</v>
      </c>
      <c r="AP53" s="6338">
        <f t="shared" si="25"/>
        <v>2</v>
      </c>
      <c r="AQ53" s="6338">
        <f t="shared" si="25"/>
        <v>2</v>
      </c>
      <c r="AR53" s="6338">
        <f t="shared" si="25"/>
        <v>5</v>
      </c>
      <c r="AS53" s="6338">
        <f t="shared" si="25"/>
        <v>0</v>
      </c>
      <c r="AT53" s="6338">
        <f t="shared" si="25"/>
        <v>0</v>
      </c>
      <c r="AU53" s="6338">
        <f t="shared" si="25"/>
        <v>0</v>
      </c>
      <c r="AV53" s="6338">
        <f t="shared" si="25"/>
        <v>0</v>
      </c>
      <c r="AW53" s="6338">
        <f t="shared" si="25"/>
        <v>0</v>
      </c>
      <c r="AX53" s="6338">
        <f t="shared" si="25"/>
        <v>0</v>
      </c>
      <c r="AY53" s="6343">
        <f t="shared" si="25"/>
        <v>0</v>
      </c>
      <c r="AZ53" s="5610"/>
      <c r="BA53" s="5610"/>
      <c r="BB53" s="5610"/>
      <c r="BC53" s="5610"/>
      <c r="BD53" s="5610"/>
      <c r="BE53" s="5610"/>
      <c r="BF53" s="5610"/>
    </row>
    <row r="54" spans="1:58" ht="6" customHeight="1">
      <c r="A54" s="2157"/>
      <c r="B54" s="6221">
        <f t="shared" si="23"/>
        <v>0</v>
      </c>
      <c r="C54" s="6221">
        <f t="shared" si="23"/>
        <v>1</v>
      </c>
      <c r="D54" s="6338">
        <f t="shared" si="23"/>
        <v>2</v>
      </c>
      <c r="E54" s="6338">
        <f t="shared" si="23"/>
        <v>3</v>
      </c>
      <c r="F54" s="6339">
        <f t="shared" si="23"/>
        <v>4</v>
      </c>
      <c r="G54" s="6341">
        <f t="shared" si="23"/>
        <v>5</v>
      </c>
      <c r="H54" s="6229">
        <f t="shared" si="23"/>
        <v>3</v>
      </c>
      <c r="I54" s="6339">
        <f t="shared" si="23"/>
        <v>2</v>
      </c>
      <c r="J54" s="6339">
        <f t="shared" si="23"/>
        <v>1</v>
      </c>
      <c r="K54" s="6341">
        <f t="shared" si="23"/>
        <v>0</v>
      </c>
      <c r="L54" s="6229">
        <f t="shared" si="23"/>
        <v>2</v>
      </c>
      <c r="M54" s="6339">
        <f t="shared" si="23"/>
        <v>3</v>
      </c>
      <c r="N54" s="6339">
        <f t="shared" si="23"/>
        <v>4</v>
      </c>
      <c r="O54" s="6342">
        <f t="shared" si="23"/>
        <v>4</v>
      </c>
      <c r="P54" s="6657">
        <f t="shared" si="23"/>
        <v>2</v>
      </c>
      <c r="Q54" s="6650">
        <f t="shared" si="23"/>
        <v>2</v>
      </c>
      <c r="R54" s="6342">
        <f t="shared" si="24"/>
        <v>0</v>
      </c>
      <c r="S54" s="6688">
        <f t="shared" si="24"/>
        <v>1</v>
      </c>
      <c r="T54" s="6683">
        <f t="shared" si="24"/>
        <v>2</v>
      </c>
      <c r="U54" s="6683">
        <f t="shared" si="24"/>
        <v>2</v>
      </c>
      <c r="V54" s="6683">
        <f t="shared" si="24"/>
        <v>2</v>
      </c>
      <c r="W54" s="6689">
        <f t="shared" si="24"/>
        <v>3</v>
      </c>
      <c r="X54" s="6688">
        <f t="shared" si="24"/>
        <v>4</v>
      </c>
      <c r="Y54" s="6683">
        <f t="shared" si="24"/>
        <v>4</v>
      </c>
      <c r="Z54" s="6683">
        <f t="shared" si="24"/>
        <v>5</v>
      </c>
      <c r="AA54" s="6683">
        <f t="shared" si="24"/>
        <v>5</v>
      </c>
      <c r="AB54" s="6683">
        <f t="shared" si="24"/>
        <v>4</v>
      </c>
      <c r="AC54" s="6689">
        <f t="shared" si="24"/>
        <v>3</v>
      </c>
      <c r="AD54" s="6688">
        <f t="shared" si="24"/>
        <v>3</v>
      </c>
      <c r="AE54" s="6683">
        <f t="shared" si="24"/>
        <v>2</v>
      </c>
      <c r="AF54" s="6683">
        <f t="shared" si="24"/>
        <v>1</v>
      </c>
      <c r="AG54" s="6689">
        <f t="shared" si="24"/>
        <v>0</v>
      </c>
      <c r="AH54" s="6660">
        <f t="shared" si="25"/>
        <v>0</v>
      </c>
      <c r="AI54" s="6229">
        <f t="shared" si="25"/>
        <v>0</v>
      </c>
      <c r="AJ54" s="6338">
        <f t="shared" si="25"/>
        <v>2</v>
      </c>
      <c r="AK54" s="6338">
        <f t="shared" si="25"/>
        <v>3</v>
      </c>
      <c r="AL54" s="6338">
        <f t="shared" si="25"/>
        <v>4</v>
      </c>
      <c r="AM54" s="6338">
        <f t="shared" si="25"/>
        <v>5</v>
      </c>
      <c r="AN54" s="6338">
        <f t="shared" si="25"/>
        <v>4</v>
      </c>
      <c r="AO54" s="6338">
        <f t="shared" si="25"/>
        <v>0</v>
      </c>
      <c r="AP54" s="6338">
        <f t="shared" si="25"/>
        <v>2</v>
      </c>
      <c r="AQ54" s="6338">
        <f t="shared" si="25"/>
        <v>2</v>
      </c>
      <c r="AR54" s="6338">
        <f t="shared" si="25"/>
        <v>5</v>
      </c>
      <c r="AS54" s="6338">
        <f t="shared" si="25"/>
        <v>0</v>
      </c>
      <c r="AT54" s="6338">
        <f t="shared" si="25"/>
        <v>0</v>
      </c>
      <c r="AU54" s="6338">
        <f t="shared" si="25"/>
        <v>0</v>
      </c>
      <c r="AV54" s="6338">
        <f t="shared" si="25"/>
        <v>0</v>
      </c>
      <c r="AW54" s="6338">
        <f t="shared" si="25"/>
        <v>0</v>
      </c>
      <c r="AX54" s="6338">
        <f t="shared" si="25"/>
        <v>0</v>
      </c>
      <c r="AY54" s="6343">
        <f t="shared" si="25"/>
        <v>0</v>
      </c>
      <c r="AZ54" s="5610"/>
      <c r="BA54" s="5610"/>
      <c r="BB54" s="5610"/>
      <c r="BC54" s="5610"/>
      <c r="BD54" s="5610"/>
      <c r="BE54" s="5610"/>
      <c r="BF54" s="5610"/>
    </row>
    <row r="55" spans="1:58" ht="6" customHeight="1">
      <c r="A55" s="2157"/>
      <c r="B55" s="6221">
        <f t="shared" si="23"/>
        <v>0</v>
      </c>
      <c r="C55" s="6221">
        <f t="shared" si="23"/>
        <v>1</v>
      </c>
      <c r="D55" s="6338">
        <f t="shared" si="23"/>
        <v>2</v>
      </c>
      <c r="E55" s="6338">
        <f t="shared" si="23"/>
        <v>3</v>
      </c>
      <c r="F55" s="6339">
        <f t="shared" si="23"/>
        <v>4</v>
      </c>
      <c r="G55" s="6341">
        <f t="shared" si="23"/>
        <v>5</v>
      </c>
      <c r="H55" s="6229">
        <f t="shared" si="23"/>
        <v>3</v>
      </c>
      <c r="I55" s="6339">
        <f t="shared" si="23"/>
        <v>2</v>
      </c>
      <c r="J55" s="6339">
        <f t="shared" si="23"/>
        <v>1</v>
      </c>
      <c r="K55" s="6341">
        <f t="shared" si="23"/>
        <v>0</v>
      </c>
      <c r="L55" s="6229">
        <f t="shared" si="23"/>
        <v>2</v>
      </c>
      <c r="M55" s="6339">
        <f t="shared" si="23"/>
        <v>3</v>
      </c>
      <c r="N55" s="6339">
        <f t="shared" si="23"/>
        <v>4</v>
      </c>
      <c r="O55" s="6342">
        <f t="shared" si="23"/>
        <v>4</v>
      </c>
      <c r="P55" s="6657">
        <v>2</v>
      </c>
      <c r="Q55" s="6650">
        <f t="shared" si="23"/>
        <v>2</v>
      </c>
      <c r="R55" s="6342">
        <f t="shared" si="24"/>
        <v>0</v>
      </c>
      <c r="S55" s="6688">
        <f t="shared" si="24"/>
        <v>1</v>
      </c>
      <c r="T55" s="6683">
        <f t="shared" si="24"/>
        <v>2</v>
      </c>
      <c r="U55" s="6683">
        <f t="shared" si="24"/>
        <v>2</v>
      </c>
      <c r="V55" s="6683">
        <f t="shared" si="24"/>
        <v>2</v>
      </c>
      <c r="W55" s="6689">
        <f t="shared" si="24"/>
        <v>3</v>
      </c>
      <c r="X55" s="6688">
        <f t="shared" si="24"/>
        <v>4</v>
      </c>
      <c r="Y55" s="6683">
        <f t="shared" si="24"/>
        <v>4</v>
      </c>
      <c r="Z55" s="6683">
        <f t="shared" si="24"/>
        <v>5</v>
      </c>
      <c r="AA55" s="6683">
        <f t="shared" si="24"/>
        <v>5</v>
      </c>
      <c r="AB55" s="6683">
        <f t="shared" si="24"/>
        <v>4</v>
      </c>
      <c r="AC55" s="6699">
        <f t="shared" si="24"/>
        <v>3</v>
      </c>
      <c r="AD55" s="6688">
        <f t="shared" si="24"/>
        <v>3</v>
      </c>
      <c r="AE55" s="6683">
        <f t="shared" si="24"/>
        <v>2</v>
      </c>
      <c r="AF55" s="6683">
        <f t="shared" si="24"/>
        <v>1</v>
      </c>
      <c r="AG55" s="6689">
        <f t="shared" si="24"/>
        <v>0</v>
      </c>
      <c r="AH55" s="6660">
        <f t="shared" si="25"/>
        <v>0</v>
      </c>
      <c r="AI55" s="6229">
        <f t="shared" si="25"/>
        <v>0</v>
      </c>
      <c r="AJ55" s="6338">
        <f t="shared" si="25"/>
        <v>2</v>
      </c>
      <c r="AK55" s="6338">
        <f t="shared" si="25"/>
        <v>3</v>
      </c>
      <c r="AL55" s="6338">
        <f t="shared" si="25"/>
        <v>4</v>
      </c>
      <c r="AM55" s="6338">
        <f t="shared" si="25"/>
        <v>5</v>
      </c>
      <c r="AN55" s="6338">
        <f t="shared" si="25"/>
        <v>4</v>
      </c>
      <c r="AO55" s="6338">
        <f t="shared" si="25"/>
        <v>0</v>
      </c>
      <c r="AP55" s="6338">
        <f t="shared" si="25"/>
        <v>2</v>
      </c>
      <c r="AQ55" s="6338">
        <f t="shared" si="25"/>
        <v>2</v>
      </c>
      <c r="AR55" s="6338">
        <f t="shared" si="25"/>
        <v>5</v>
      </c>
      <c r="AS55" s="6338">
        <f t="shared" si="25"/>
        <v>0</v>
      </c>
      <c r="AT55" s="6338">
        <f t="shared" si="25"/>
        <v>0</v>
      </c>
      <c r="AU55" s="6338">
        <f t="shared" si="25"/>
        <v>0</v>
      </c>
      <c r="AV55" s="6338">
        <f t="shared" si="25"/>
        <v>0</v>
      </c>
      <c r="AW55" s="6338">
        <f t="shared" si="25"/>
        <v>0</v>
      </c>
      <c r="AX55" s="6338">
        <f t="shared" si="25"/>
        <v>0</v>
      </c>
      <c r="AY55" s="6343">
        <f t="shared" si="25"/>
        <v>0</v>
      </c>
      <c r="AZ55" s="5610"/>
      <c r="BA55" s="5610"/>
      <c r="BB55" s="5610"/>
      <c r="BC55" s="5610"/>
      <c r="BD55" s="5610"/>
      <c r="BE55" s="5610"/>
      <c r="BF55" s="5610"/>
    </row>
    <row r="56" spans="1:58" ht="7" customHeight="1">
      <c r="A56" s="2157"/>
      <c r="B56" s="6221">
        <v>0</v>
      </c>
      <c r="C56" s="6221">
        <v>1</v>
      </c>
      <c r="D56" s="6338">
        <v>2</v>
      </c>
      <c r="E56" s="6338">
        <v>3</v>
      </c>
      <c r="F56" s="6339">
        <v>4</v>
      </c>
      <c r="G56" s="6341">
        <v>5</v>
      </c>
      <c r="H56" s="6229">
        <v>3</v>
      </c>
      <c r="I56" s="6339">
        <v>2</v>
      </c>
      <c r="J56" s="6339">
        <v>1</v>
      </c>
      <c r="K56" s="6341">
        <v>0</v>
      </c>
      <c r="L56" s="6229">
        <v>2</v>
      </c>
      <c r="M56" s="6339">
        <v>3</v>
      </c>
      <c r="N56" s="6339">
        <v>4</v>
      </c>
      <c r="O56" s="6342">
        <v>4</v>
      </c>
      <c r="P56" s="6657">
        <v>2</v>
      </c>
      <c r="Q56" s="6650">
        <v>2</v>
      </c>
      <c r="R56" s="6342">
        <v>0</v>
      </c>
      <c r="S56" s="6688">
        <v>1</v>
      </c>
      <c r="T56" s="6683">
        <v>2</v>
      </c>
      <c r="U56" s="6683">
        <v>2</v>
      </c>
      <c r="V56" s="6683">
        <v>2</v>
      </c>
      <c r="W56" s="6689">
        <v>3</v>
      </c>
      <c r="X56" s="6688">
        <v>4</v>
      </c>
      <c r="Y56" s="6683">
        <v>4</v>
      </c>
      <c r="Z56" s="6683">
        <v>5</v>
      </c>
      <c r="AA56" s="6683">
        <v>5</v>
      </c>
      <c r="AB56" s="6683">
        <v>4</v>
      </c>
      <c r="AC56" s="6689">
        <v>3</v>
      </c>
      <c r="AD56" s="6688">
        <v>3</v>
      </c>
      <c r="AE56" s="6683">
        <v>2</v>
      </c>
      <c r="AF56" s="6683">
        <v>1</v>
      </c>
      <c r="AG56" s="6689">
        <v>0</v>
      </c>
      <c r="AH56" s="6660">
        <v>0</v>
      </c>
      <c r="AI56" s="6229">
        <v>0</v>
      </c>
      <c r="AJ56" s="6338">
        <v>2</v>
      </c>
      <c r="AK56" s="6338">
        <v>3</v>
      </c>
      <c r="AL56" s="6338">
        <v>4</v>
      </c>
      <c r="AM56" s="6338">
        <v>5</v>
      </c>
      <c r="AN56" s="6338">
        <v>4</v>
      </c>
      <c r="AO56" s="6338">
        <v>0</v>
      </c>
      <c r="AP56" s="6338">
        <v>2</v>
      </c>
      <c r="AQ56" s="6338">
        <v>2</v>
      </c>
      <c r="AR56" s="6338">
        <v>5</v>
      </c>
      <c r="AS56" s="6338">
        <v>0</v>
      </c>
      <c r="AT56" s="6338">
        <v>0</v>
      </c>
      <c r="AU56" s="6338">
        <v>0</v>
      </c>
      <c r="AV56" s="6338">
        <v>0</v>
      </c>
      <c r="AW56" s="6338">
        <v>0</v>
      </c>
      <c r="AX56" s="6338">
        <v>0</v>
      </c>
      <c r="AY56" s="6343">
        <v>0</v>
      </c>
      <c r="AZ56" s="5610"/>
      <c r="BA56" s="5610"/>
      <c r="BB56" s="5610"/>
      <c r="BC56" s="5610"/>
      <c r="BD56" s="5610"/>
      <c r="BE56" s="5610"/>
      <c r="BF56" s="5610"/>
    </row>
    <row r="57" spans="1:58" ht="2" customHeight="1" thickBot="1">
      <c r="A57" s="5612"/>
      <c r="B57" s="6221"/>
      <c r="C57" s="6221"/>
      <c r="D57" s="6338"/>
      <c r="E57" s="6338"/>
      <c r="F57" s="6339"/>
      <c r="G57" s="6341"/>
      <c r="H57" s="6229"/>
      <c r="I57" s="6339"/>
      <c r="J57" s="6339"/>
      <c r="K57" s="6341"/>
      <c r="L57" s="6229"/>
      <c r="M57" s="6339"/>
      <c r="N57" s="6339"/>
      <c r="O57" s="6342"/>
      <c r="P57" s="6657"/>
      <c r="Q57" s="6650"/>
      <c r="R57" s="6342"/>
      <c r="S57" s="6688"/>
      <c r="T57" s="6683"/>
      <c r="U57" s="6683"/>
      <c r="V57" s="6683"/>
      <c r="W57" s="6689"/>
      <c r="X57" s="6688"/>
      <c r="Y57" s="6683"/>
      <c r="Z57" s="6683"/>
      <c r="AA57" s="6683"/>
      <c r="AB57" s="6683"/>
      <c r="AC57" s="6689"/>
      <c r="AD57" s="6688"/>
      <c r="AE57" s="6683"/>
      <c r="AF57" s="6683"/>
      <c r="AG57" s="6689"/>
      <c r="AH57" s="6660"/>
      <c r="AI57" s="3722"/>
      <c r="AJ57" s="5613"/>
      <c r="AK57" s="5613"/>
      <c r="AL57" s="5613"/>
      <c r="AM57" s="5613"/>
      <c r="AN57" s="5613"/>
      <c r="AO57" s="5613"/>
      <c r="AP57" s="5613"/>
      <c r="AQ57" s="5613"/>
      <c r="AR57" s="5613"/>
      <c r="AS57" s="5613"/>
      <c r="AT57" s="5613"/>
      <c r="AU57" s="5613"/>
      <c r="AV57" s="5613"/>
      <c r="AW57" s="5613"/>
      <c r="AX57" s="5613"/>
      <c r="AY57" s="2160"/>
      <c r="AZ57" s="2160"/>
      <c r="BA57" s="2160"/>
      <c r="BB57" s="2160"/>
      <c r="BC57" s="2160"/>
      <c r="BD57" s="2160"/>
      <c r="BE57" s="2160"/>
      <c r="BF57" s="2160"/>
    </row>
    <row r="58" spans="1:58" ht="7.25" customHeight="1">
      <c r="A58" s="5615"/>
      <c r="B58" s="6221">
        <f t="shared" ref="B58:Q61" si="26">B59</f>
        <v>1</v>
      </c>
      <c r="C58" s="6221">
        <f t="shared" si="26"/>
        <v>1</v>
      </c>
      <c r="D58" s="6338">
        <f t="shared" si="26"/>
        <v>1</v>
      </c>
      <c r="E58" s="6338">
        <f t="shared" si="26"/>
        <v>1</v>
      </c>
      <c r="F58" s="6339">
        <f t="shared" si="26"/>
        <v>1</v>
      </c>
      <c r="G58" s="6341">
        <f t="shared" si="26"/>
        <v>1</v>
      </c>
      <c r="H58" s="6229">
        <f t="shared" si="26"/>
        <v>2</v>
      </c>
      <c r="I58" s="6339">
        <f t="shared" si="26"/>
        <v>3</v>
      </c>
      <c r="J58" s="6339">
        <f t="shared" si="26"/>
        <v>3</v>
      </c>
      <c r="K58" s="6341">
        <f t="shared" si="26"/>
        <v>3</v>
      </c>
      <c r="L58" s="6229">
        <f t="shared" si="26"/>
        <v>2</v>
      </c>
      <c r="M58" s="6339">
        <f t="shared" si="26"/>
        <v>4</v>
      </c>
      <c r="N58" s="6339">
        <f t="shared" si="26"/>
        <v>3</v>
      </c>
      <c r="O58" s="6342">
        <f t="shared" si="26"/>
        <v>2</v>
      </c>
      <c r="P58" s="6657">
        <f t="shared" si="26"/>
        <v>4</v>
      </c>
      <c r="Q58" s="6650">
        <f t="shared" si="26"/>
        <v>3</v>
      </c>
      <c r="R58" s="6342">
        <f t="shared" ref="R58:AG61" si="27">R59</f>
        <v>4</v>
      </c>
      <c r="S58" s="6688">
        <f t="shared" si="27"/>
        <v>1</v>
      </c>
      <c r="T58" s="6683">
        <f t="shared" si="27"/>
        <v>1</v>
      </c>
      <c r="U58" s="6683">
        <f t="shared" si="27"/>
        <v>1</v>
      </c>
      <c r="V58" s="6683">
        <f t="shared" si="27"/>
        <v>1</v>
      </c>
      <c r="W58" s="6689">
        <f t="shared" si="27"/>
        <v>2</v>
      </c>
      <c r="X58" s="6688">
        <f t="shared" si="27"/>
        <v>2</v>
      </c>
      <c r="Y58" s="6683">
        <f t="shared" si="27"/>
        <v>2</v>
      </c>
      <c r="Z58" s="6683">
        <f t="shared" si="27"/>
        <v>3</v>
      </c>
      <c r="AA58" s="6683">
        <f t="shared" si="27"/>
        <v>3</v>
      </c>
      <c r="AB58" s="6683">
        <f t="shared" si="27"/>
        <v>3</v>
      </c>
      <c r="AC58" s="6689">
        <f t="shared" si="27"/>
        <v>4</v>
      </c>
      <c r="AD58" s="6688">
        <f t="shared" si="27"/>
        <v>4</v>
      </c>
      <c r="AE58" s="6683">
        <f t="shared" si="27"/>
        <v>4</v>
      </c>
      <c r="AF58" s="6683">
        <f t="shared" si="27"/>
        <v>5</v>
      </c>
      <c r="AG58" s="6689">
        <f t="shared" si="27"/>
        <v>5</v>
      </c>
      <c r="AH58" s="6660">
        <f t="shared" ref="AH58:AY61" si="28">AH59</f>
        <v>1</v>
      </c>
      <c r="AI58" s="6229">
        <f t="shared" si="28"/>
        <v>2</v>
      </c>
      <c r="AJ58" s="6338">
        <f t="shared" si="28"/>
        <v>2</v>
      </c>
      <c r="AK58" s="6338">
        <f t="shared" si="28"/>
        <v>3</v>
      </c>
      <c r="AL58" s="6338">
        <f t="shared" si="28"/>
        <v>4</v>
      </c>
      <c r="AM58" s="6338">
        <f t="shared" si="28"/>
        <v>3</v>
      </c>
      <c r="AN58" s="6338">
        <f t="shared" si="28"/>
        <v>1</v>
      </c>
      <c r="AO58" s="6338">
        <f t="shared" si="28"/>
        <v>2</v>
      </c>
      <c r="AP58" s="6338">
        <f t="shared" si="28"/>
        <v>3</v>
      </c>
      <c r="AQ58" s="6338">
        <f t="shared" si="28"/>
        <v>3</v>
      </c>
      <c r="AR58" s="6338">
        <f t="shared" si="28"/>
        <v>2</v>
      </c>
      <c r="AS58" s="6338">
        <f t="shared" si="28"/>
        <v>4</v>
      </c>
      <c r="AT58" s="6338">
        <f t="shared" si="28"/>
        <v>5</v>
      </c>
      <c r="AU58" s="6338">
        <f t="shared" si="28"/>
        <v>4</v>
      </c>
      <c r="AV58" s="6338">
        <f t="shared" si="28"/>
        <v>2</v>
      </c>
      <c r="AW58" s="6338">
        <f t="shared" si="28"/>
        <v>1</v>
      </c>
      <c r="AX58" s="6338">
        <f t="shared" si="28"/>
        <v>3</v>
      </c>
      <c r="AY58" s="6343">
        <f t="shared" si="28"/>
        <v>5</v>
      </c>
      <c r="AZ58" s="5610"/>
      <c r="BA58" s="5610"/>
      <c r="BB58" s="5610"/>
      <c r="BC58" s="5610"/>
      <c r="BD58" s="5610"/>
      <c r="BE58" s="5610"/>
      <c r="BF58" s="5610"/>
    </row>
    <row r="59" spans="1:58" ht="8" customHeight="1">
      <c r="A59" s="2151"/>
      <c r="B59" s="6221">
        <f t="shared" si="26"/>
        <v>1</v>
      </c>
      <c r="C59" s="6221">
        <f t="shared" si="26"/>
        <v>1</v>
      </c>
      <c r="D59" s="6338">
        <f t="shared" si="26"/>
        <v>1</v>
      </c>
      <c r="E59" s="6338">
        <f t="shared" si="26"/>
        <v>1</v>
      </c>
      <c r="F59" s="6339">
        <f t="shared" si="26"/>
        <v>1</v>
      </c>
      <c r="G59" s="6341">
        <f t="shared" si="26"/>
        <v>1</v>
      </c>
      <c r="H59" s="6229">
        <f t="shared" si="26"/>
        <v>2</v>
      </c>
      <c r="I59" s="6339">
        <f t="shared" si="26"/>
        <v>3</v>
      </c>
      <c r="J59" s="6339">
        <f t="shared" si="26"/>
        <v>3</v>
      </c>
      <c r="K59" s="6341">
        <f t="shared" si="26"/>
        <v>3</v>
      </c>
      <c r="L59" s="6229">
        <f t="shared" si="26"/>
        <v>2</v>
      </c>
      <c r="M59" s="6339">
        <f t="shared" si="26"/>
        <v>4</v>
      </c>
      <c r="N59" s="6339">
        <f t="shared" si="26"/>
        <v>3</v>
      </c>
      <c r="O59" s="6342">
        <f t="shared" si="26"/>
        <v>2</v>
      </c>
      <c r="P59" s="6657">
        <f t="shared" si="26"/>
        <v>4</v>
      </c>
      <c r="Q59" s="6650">
        <f t="shared" si="26"/>
        <v>3</v>
      </c>
      <c r="R59" s="6342">
        <f t="shared" si="27"/>
        <v>4</v>
      </c>
      <c r="S59" s="6688">
        <f t="shared" si="27"/>
        <v>1</v>
      </c>
      <c r="T59" s="6683">
        <f t="shared" si="27"/>
        <v>1</v>
      </c>
      <c r="U59" s="6683">
        <f t="shared" si="27"/>
        <v>1</v>
      </c>
      <c r="V59" s="6683">
        <f t="shared" si="27"/>
        <v>1</v>
      </c>
      <c r="W59" s="6689">
        <f t="shared" si="27"/>
        <v>2</v>
      </c>
      <c r="X59" s="6688">
        <f t="shared" si="27"/>
        <v>2</v>
      </c>
      <c r="Y59" s="6683">
        <f t="shared" si="27"/>
        <v>2</v>
      </c>
      <c r="Z59" s="6683">
        <f t="shared" si="27"/>
        <v>3</v>
      </c>
      <c r="AA59" s="6683">
        <f t="shared" si="27"/>
        <v>3</v>
      </c>
      <c r="AB59" s="6683">
        <f t="shared" si="27"/>
        <v>3</v>
      </c>
      <c r="AC59" s="6689">
        <f t="shared" si="27"/>
        <v>4</v>
      </c>
      <c r="AD59" s="6688">
        <f t="shared" si="27"/>
        <v>4</v>
      </c>
      <c r="AE59" s="6683">
        <f t="shared" si="27"/>
        <v>4</v>
      </c>
      <c r="AF59" s="6683">
        <f t="shared" si="27"/>
        <v>5</v>
      </c>
      <c r="AG59" s="6689">
        <f t="shared" si="27"/>
        <v>5</v>
      </c>
      <c r="AH59" s="6660">
        <f t="shared" si="28"/>
        <v>1</v>
      </c>
      <c r="AI59" s="6229">
        <f t="shared" si="28"/>
        <v>2</v>
      </c>
      <c r="AJ59" s="6338">
        <f t="shared" si="28"/>
        <v>2</v>
      </c>
      <c r="AK59" s="6338">
        <f t="shared" si="28"/>
        <v>3</v>
      </c>
      <c r="AL59" s="6338">
        <f t="shared" si="28"/>
        <v>4</v>
      </c>
      <c r="AM59" s="6338">
        <f t="shared" si="28"/>
        <v>3</v>
      </c>
      <c r="AN59" s="6338">
        <f t="shared" si="28"/>
        <v>1</v>
      </c>
      <c r="AO59" s="6338">
        <f t="shared" si="28"/>
        <v>2</v>
      </c>
      <c r="AP59" s="6338">
        <f t="shared" si="28"/>
        <v>3</v>
      </c>
      <c r="AQ59" s="6338">
        <f t="shared" si="28"/>
        <v>3</v>
      </c>
      <c r="AR59" s="6338">
        <f t="shared" si="28"/>
        <v>2</v>
      </c>
      <c r="AS59" s="6338">
        <f t="shared" si="28"/>
        <v>4</v>
      </c>
      <c r="AT59" s="6338">
        <f t="shared" si="28"/>
        <v>5</v>
      </c>
      <c r="AU59" s="6338">
        <f t="shared" si="28"/>
        <v>4</v>
      </c>
      <c r="AV59" s="6338">
        <f t="shared" si="28"/>
        <v>2</v>
      </c>
      <c r="AW59" s="6338">
        <f t="shared" si="28"/>
        <v>1</v>
      </c>
      <c r="AX59" s="6338">
        <f t="shared" si="28"/>
        <v>3</v>
      </c>
      <c r="AY59" s="6343">
        <f t="shared" si="28"/>
        <v>5</v>
      </c>
      <c r="AZ59" s="5610"/>
      <c r="BA59" s="5610"/>
      <c r="BB59" s="5610"/>
      <c r="BC59" s="5610"/>
      <c r="BD59" s="5610"/>
      <c r="BE59" s="5610"/>
      <c r="BF59" s="5610"/>
    </row>
    <row r="60" spans="1:58" ht="8" customHeight="1">
      <c r="A60" s="2151"/>
      <c r="B60" s="6221">
        <f t="shared" si="26"/>
        <v>1</v>
      </c>
      <c r="C60" s="6221">
        <f t="shared" si="26"/>
        <v>1</v>
      </c>
      <c r="D60" s="6338">
        <f t="shared" si="26"/>
        <v>1</v>
      </c>
      <c r="E60" s="6338">
        <f t="shared" si="26"/>
        <v>1</v>
      </c>
      <c r="F60" s="6339">
        <f t="shared" si="26"/>
        <v>1</v>
      </c>
      <c r="G60" s="6341">
        <f t="shared" si="26"/>
        <v>1</v>
      </c>
      <c r="H60" s="6229">
        <f t="shared" si="26"/>
        <v>2</v>
      </c>
      <c r="I60" s="6339">
        <f t="shared" si="26"/>
        <v>3</v>
      </c>
      <c r="J60" s="6339">
        <f t="shared" si="26"/>
        <v>3</v>
      </c>
      <c r="K60" s="6341">
        <f t="shared" si="26"/>
        <v>3</v>
      </c>
      <c r="L60" s="6229">
        <f t="shared" si="26"/>
        <v>2</v>
      </c>
      <c r="M60" s="6339">
        <f t="shared" si="26"/>
        <v>4</v>
      </c>
      <c r="N60" s="6339">
        <f t="shared" si="26"/>
        <v>3</v>
      </c>
      <c r="O60" s="6342">
        <f t="shared" si="26"/>
        <v>2</v>
      </c>
      <c r="P60" s="6657">
        <f t="shared" si="26"/>
        <v>4</v>
      </c>
      <c r="Q60" s="6650">
        <f t="shared" si="26"/>
        <v>3</v>
      </c>
      <c r="R60" s="6342">
        <f t="shared" si="27"/>
        <v>4</v>
      </c>
      <c r="S60" s="6688">
        <f t="shared" si="27"/>
        <v>1</v>
      </c>
      <c r="T60" s="6683">
        <f t="shared" si="27"/>
        <v>1</v>
      </c>
      <c r="U60" s="6683">
        <f t="shared" si="27"/>
        <v>1</v>
      </c>
      <c r="V60" s="6683">
        <f t="shared" si="27"/>
        <v>1</v>
      </c>
      <c r="W60" s="6689">
        <f t="shared" si="27"/>
        <v>2</v>
      </c>
      <c r="X60" s="6688">
        <f t="shared" si="27"/>
        <v>2</v>
      </c>
      <c r="Y60" s="6683">
        <f t="shared" si="27"/>
        <v>2</v>
      </c>
      <c r="Z60" s="6683">
        <f t="shared" si="27"/>
        <v>3</v>
      </c>
      <c r="AA60" s="6683">
        <f t="shared" si="27"/>
        <v>3</v>
      </c>
      <c r="AB60" s="6683">
        <f t="shared" si="27"/>
        <v>3</v>
      </c>
      <c r="AC60" s="6689">
        <f t="shared" si="27"/>
        <v>4</v>
      </c>
      <c r="AD60" s="6688">
        <f t="shared" si="27"/>
        <v>4</v>
      </c>
      <c r="AE60" s="6683">
        <f t="shared" si="27"/>
        <v>4</v>
      </c>
      <c r="AF60" s="6683">
        <f t="shared" si="27"/>
        <v>5</v>
      </c>
      <c r="AG60" s="6689">
        <f t="shared" si="27"/>
        <v>5</v>
      </c>
      <c r="AH60" s="6660">
        <f t="shared" si="28"/>
        <v>1</v>
      </c>
      <c r="AI60" s="6229">
        <f t="shared" si="28"/>
        <v>2</v>
      </c>
      <c r="AJ60" s="6338">
        <f t="shared" si="28"/>
        <v>2</v>
      </c>
      <c r="AK60" s="6338">
        <f t="shared" si="28"/>
        <v>3</v>
      </c>
      <c r="AL60" s="6338">
        <f t="shared" si="28"/>
        <v>4</v>
      </c>
      <c r="AM60" s="6338">
        <f t="shared" si="28"/>
        <v>3</v>
      </c>
      <c r="AN60" s="6338">
        <f t="shared" si="28"/>
        <v>1</v>
      </c>
      <c r="AO60" s="6338">
        <f t="shared" si="28"/>
        <v>2</v>
      </c>
      <c r="AP60" s="6338">
        <f t="shared" si="28"/>
        <v>3</v>
      </c>
      <c r="AQ60" s="6338">
        <f t="shared" si="28"/>
        <v>3</v>
      </c>
      <c r="AR60" s="6338">
        <f t="shared" si="28"/>
        <v>2</v>
      </c>
      <c r="AS60" s="6338">
        <f t="shared" si="28"/>
        <v>4</v>
      </c>
      <c r="AT60" s="6338">
        <f t="shared" si="28"/>
        <v>5</v>
      </c>
      <c r="AU60" s="6338">
        <f t="shared" si="28"/>
        <v>4</v>
      </c>
      <c r="AV60" s="6338">
        <f t="shared" si="28"/>
        <v>2</v>
      </c>
      <c r="AW60" s="6338">
        <f t="shared" si="28"/>
        <v>1</v>
      </c>
      <c r="AX60" s="6338">
        <f t="shared" si="28"/>
        <v>3</v>
      </c>
      <c r="AY60" s="6343">
        <f t="shared" si="28"/>
        <v>5</v>
      </c>
      <c r="AZ60" s="5610"/>
      <c r="BA60" s="5610"/>
      <c r="BB60" s="5610"/>
      <c r="BC60" s="5610"/>
      <c r="BD60" s="5610"/>
      <c r="BE60" s="5610"/>
      <c r="BF60" s="5610"/>
    </row>
    <row r="61" spans="1:58" ht="7" customHeight="1">
      <c r="A61" s="2151"/>
      <c r="B61" s="6221">
        <f t="shared" si="26"/>
        <v>1</v>
      </c>
      <c r="C61" s="6221">
        <f t="shared" si="26"/>
        <v>1</v>
      </c>
      <c r="D61" s="6338">
        <f t="shared" si="26"/>
        <v>1</v>
      </c>
      <c r="E61" s="6338">
        <f t="shared" si="26"/>
        <v>1</v>
      </c>
      <c r="F61" s="6339">
        <f t="shared" si="26"/>
        <v>1</v>
      </c>
      <c r="G61" s="6341">
        <f t="shared" si="26"/>
        <v>1</v>
      </c>
      <c r="H61" s="6229">
        <f t="shared" si="26"/>
        <v>2</v>
      </c>
      <c r="I61" s="6339">
        <f t="shared" si="26"/>
        <v>3</v>
      </c>
      <c r="J61" s="6339">
        <f t="shared" si="26"/>
        <v>3</v>
      </c>
      <c r="K61" s="6341">
        <f t="shared" si="26"/>
        <v>3</v>
      </c>
      <c r="L61" s="6229">
        <f t="shared" si="26"/>
        <v>2</v>
      </c>
      <c r="M61" s="6339">
        <f t="shared" si="26"/>
        <v>4</v>
      </c>
      <c r="N61" s="6339">
        <f t="shared" si="26"/>
        <v>3</v>
      </c>
      <c r="O61" s="6342">
        <f t="shared" si="26"/>
        <v>2</v>
      </c>
      <c r="P61" s="6657">
        <f t="shared" si="26"/>
        <v>4</v>
      </c>
      <c r="Q61" s="6650">
        <f t="shared" si="26"/>
        <v>3</v>
      </c>
      <c r="R61" s="6342">
        <f t="shared" si="27"/>
        <v>4</v>
      </c>
      <c r="S61" s="6688">
        <f t="shared" si="27"/>
        <v>1</v>
      </c>
      <c r="T61" s="6683">
        <f t="shared" si="27"/>
        <v>1</v>
      </c>
      <c r="U61" s="6683">
        <f t="shared" si="27"/>
        <v>1</v>
      </c>
      <c r="V61" s="6683">
        <f t="shared" si="27"/>
        <v>1</v>
      </c>
      <c r="W61" s="6689">
        <f t="shared" si="27"/>
        <v>2</v>
      </c>
      <c r="X61" s="6688">
        <f t="shared" si="27"/>
        <v>2</v>
      </c>
      <c r="Y61" s="6683">
        <f t="shared" si="27"/>
        <v>2</v>
      </c>
      <c r="Z61" s="6683">
        <f t="shared" si="27"/>
        <v>3</v>
      </c>
      <c r="AA61" s="6683">
        <f t="shared" si="27"/>
        <v>3</v>
      </c>
      <c r="AB61" s="6683">
        <f t="shared" si="27"/>
        <v>3</v>
      </c>
      <c r="AC61" s="6689">
        <f t="shared" si="27"/>
        <v>4</v>
      </c>
      <c r="AD61" s="6688">
        <f t="shared" si="27"/>
        <v>4</v>
      </c>
      <c r="AE61" s="6683">
        <f t="shared" si="27"/>
        <v>4</v>
      </c>
      <c r="AF61" s="6683">
        <f t="shared" si="27"/>
        <v>5</v>
      </c>
      <c r="AG61" s="6689">
        <f t="shared" si="27"/>
        <v>5</v>
      </c>
      <c r="AH61" s="6660">
        <f t="shared" si="28"/>
        <v>1</v>
      </c>
      <c r="AI61" s="6229">
        <f t="shared" si="28"/>
        <v>2</v>
      </c>
      <c r="AJ61" s="6338">
        <f t="shared" si="28"/>
        <v>2</v>
      </c>
      <c r="AK61" s="6338">
        <f t="shared" si="28"/>
        <v>3</v>
      </c>
      <c r="AL61" s="6338">
        <f t="shared" si="28"/>
        <v>4</v>
      </c>
      <c r="AM61" s="6338">
        <f t="shared" si="28"/>
        <v>3</v>
      </c>
      <c r="AN61" s="6338">
        <f t="shared" si="28"/>
        <v>1</v>
      </c>
      <c r="AO61" s="6338">
        <f t="shared" si="28"/>
        <v>2</v>
      </c>
      <c r="AP61" s="6338">
        <f t="shared" si="28"/>
        <v>3</v>
      </c>
      <c r="AQ61" s="6338">
        <f t="shared" si="28"/>
        <v>3</v>
      </c>
      <c r="AR61" s="6338">
        <f t="shared" si="28"/>
        <v>2</v>
      </c>
      <c r="AS61" s="6338">
        <f t="shared" si="28"/>
        <v>4</v>
      </c>
      <c r="AT61" s="6338">
        <f t="shared" si="28"/>
        <v>5</v>
      </c>
      <c r="AU61" s="6338">
        <f t="shared" si="28"/>
        <v>4</v>
      </c>
      <c r="AV61" s="6338">
        <f t="shared" si="28"/>
        <v>2</v>
      </c>
      <c r="AW61" s="6338">
        <f t="shared" si="28"/>
        <v>1</v>
      </c>
      <c r="AX61" s="6338">
        <f t="shared" si="28"/>
        <v>3</v>
      </c>
      <c r="AY61" s="6343">
        <f t="shared" si="28"/>
        <v>5</v>
      </c>
      <c r="AZ61" s="5610"/>
      <c r="BA61" s="5610"/>
      <c r="BB61" s="5610"/>
      <c r="BC61" s="5610"/>
      <c r="BD61" s="5610"/>
      <c r="BE61" s="5610"/>
      <c r="BF61" s="5610"/>
    </row>
    <row r="62" spans="1:58" ht="8" customHeight="1" thickBot="1">
      <c r="A62" s="5595"/>
      <c r="B62" s="6225">
        <v>1</v>
      </c>
      <c r="C62" s="6225">
        <v>1</v>
      </c>
      <c r="D62" s="6226">
        <v>1</v>
      </c>
      <c r="E62" s="6226">
        <v>1</v>
      </c>
      <c r="F62" s="6227">
        <v>1</v>
      </c>
      <c r="G62" s="6228">
        <v>1</v>
      </c>
      <c r="H62" s="6230">
        <v>2</v>
      </c>
      <c r="I62" s="6227">
        <v>3</v>
      </c>
      <c r="J62" s="6227">
        <v>3</v>
      </c>
      <c r="K62" s="6228">
        <v>3</v>
      </c>
      <c r="L62" s="6230">
        <v>2</v>
      </c>
      <c r="M62" s="6227">
        <v>4</v>
      </c>
      <c r="N62" s="6227">
        <v>3</v>
      </c>
      <c r="O62" s="6652">
        <v>2</v>
      </c>
      <c r="P62" s="6658">
        <v>4</v>
      </c>
      <c r="Q62" s="6659">
        <v>3</v>
      </c>
      <c r="R62" s="6680">
        <v>4</v>
      </c>
      <c r="S62" s="6688">
        <v>1</v>
      </c>
      <c r="T62" s="6683">
        <v>1</v>
      </c>
      <c r="U62" s="6683">
        <v>1</v>
      </c>
      <c r="V62" s="6683">
        <v>1</v>
      </c>
      <c r="W62" s="6689">
        <v>2</v>
      </c>
      <c r="X62" s="6696">
        <v>2</v>
      </c>
      <c r="Y62" s="6697">
        <v>2</v>
      </c>
      <c r="Z62" s="6697">
        <v>3</v>
      </c>
      <c r="AA62" s="6697">
        <v>3</v>
      </c>
      <c r="AB62" s="6697">
        <v>3</v>
      </c>
      <c r="AC62" s="6698">
        <v>4</v>
      </c>
      <c r="AD62" s="6696">
        <v>4</v>
      </c>
      <c r="AE62" s="6697">
        <v>4</v>
      </c>
      <c r="AF62" s="6697">
        <v>5</v>
      </c>
      <c r="AG62" s="6698">
        <v>5</v>
      </c>
      <c r="AH62" s="6660">
        <v>1</v>
      </c>
      <c r="AI62" s="6230">
        <v>2</v>
      </c>
      <c r="AJ62" s="6226">
        <v>2</v>
      </c>
      <c r="AK62" s="6226">
        <v>3</v>
      </c>
      <c r="AL62" s="6226">
        <v>4</v>
      </c>
      <c r="AM62" s="6226">
        <v>3</v>
      </c>
      <c r="AN62" s="6226">
        <v>1</v>
      </c>
      <c r="AO62" s="6226">
        <v>2</v>
      </c>
      <c r="AP62" s="6226">
        <v>3</v>
      </c>
      <c r="AQ62" s="6226">
        <v>3</v>
      </c>
      <c r="AR62" s="6226">
        <v>2</v>
      </c>
      <c r="AS62" s="6226">
        <v>4</v>
      </c>
      <c r="AT62" s="6226">
        <v>5</v>
      </c>
      <c r="AU62" s="6226">
        <v>4</v>
      </c>
      <c r="AV62" s="6226">
        <v>2</v>
      </c>
      <c r="AW62" s="6226">
        <v>1</v>
      </c>
      <c r="AX62" s="6226">
        <v>3</v>
      </c>
      <c r="AY62" s="6344">
        <v>5</v>
      </c>
      <c r="AZ62" s="5616"/>
      <c r="BA62" s="5616"/>
      <c r="BB62" s="5616"/>
      <c r="BC62" s="5616"/>
      <c r="BD62" s="5616"/>
      <c r="BE62" s="5616"/>
      <c r="BF62" s="5616"/>
    </row>
    <row r="63" spans="1:58" ht="10" customHeight="1" thickBot="1">
      <c r="A63" s="5617"/>
      <c r="B63" s="5596">
        <v>1</v>
      </c>
      <c r="C63" s="5596">
        <v>2</v>
      </c>
      <c r="D63" s="5596">
        <v>3</v>
      </c>
      <c r="E63" s="5596">
        <v>4</v>
      </c>
      <c r="F63" s="5596">
        <v>5</v>
      </c>
      <c r="G63" s="5596">
        <v>6</v>
      </c>
      <c r="H63" s="6231">
        <v>7</v>
      </c>
      <c r="I63" s="6231">
        <v>8</v>
      </c>
      <c r="J63" s="6231">
        <v>9</v>
      </c>
      <c r="K63" s="6232">
        <v>10</v>
      </c>
      <c r="L63" s="6231">
        <v>11</v>
      </c>
      <c r="M63" s="6231">
        <v>12</v>
      </c>
      <c r="N63" s="6231">
        <v>13</v>
      </c>
      <c r="O63" s="6232">
        <v>14</v>
      </c>
      <c r="P63" s="6654">
        <v>15</v>
      </c>
      <c r="Q63" s="6654">
        <v>16</v>
      </c>
      <c r="R63" s="6681">
        <v>17</v>
      </c>
      <c r="S63" s="6690">
        <v>18</v>
      </c>
      <c r="T63" s="6691">
        <v>19</v>
      </c>
      <c r="U63" s="6691">
        <v>20</v>
      </c>
      <c r="V63" s="6691">
        <v>21</v>
      </c>
      <c r="W63" s="6692">
        <v>22</v>
      </c>
      <c r="X63" s="6693">
        <v>23</v>
      </c>
      <c r="Y63" s="6694">
        <v>24</v>
      </c>
      <c r="Z63" s="6694">
        <v>25</v>
      </c>
      <c r="AA63" s="6694">
        <v>26</v>
      </c>
      <c r="AB63" s="6694">
        <v>27</v>
      </c>
      <c r="AC63" s="6694">
        <v>28</v>
      </c>
      <c r="AD63" s="6694">
        <v>29</v>
      </c>
      <c r="AE63" s="6694">
        <v>30</v>
      </c>
      <c r="AF63" s="6694">
        <v>31</v>
      </c>
      <c r="AG63" s="6694">
        <v>32</v>
      </c>
      <c r="AH63" s="6233">
        <v>33</v>
      </c>
      <c r="AI63" s="5597">
        <v>34</v>
      </c>
      <c r="AJ63" s="5597">
        <v>35</v>
      </c>
      <c r="AK63" s="5597">
        <v>36</v>
      </c>
      <c r="AL63" s="5597">
        <v>37</v>
      </c>
      <c r="AM63" s="5598">
        <v>38</v>
      </c>
      <c r="AN63" s="5598">
        <v>39</v>
      </c>
      <c r="AO63" s="5598">
        <v>40</v>
      </c>
      <c r="AP63" s="5598">
        <v>41</v>
      </c>
      <c r="AQ63" s="5598">
        <v>42</v>
      </c>
      <c r="AR63" s="5598">
        <v>43</v>
      </c>
      <c r="AS63" s="5598">
        <v>44</v>
      </c>
      <c r="AT63" s="5598">
        <v>45</v>
      </c>
      <c r="AU63" s="5598">
        <v>46</v>
      </c>
      <c r="AV63" s="5598">
        <v>47</v>
      </c>
      <c r="AW63" s="5598">
        <v>48</v>
      </c>
      <c r="AX63" s="5598">
        <v>49</v>
      </c>
      <c r="AY63" s="5598">
        <v>50</v>
      </c>
      <c r="AZ63" s="5598">
        <v>51</v>
      </c>
      <c r="BA63" s="5599"/>
      <c r="BB63" s="5599"/>
      <c r="BC63" s="5599"/>
      <c r="BD63" s="5599"/>
      <c r="BE63" s="5600"/>
      <c r="BF63" s="5600"/>
    </row>
    <row r="64" spans="1:58" ht="9" customHeight="1">
      <c r="C64" s="2145"/>
      <c r="D64" s="2145"/>
      <c r="E64" s="2147" t="s">
        <v>252</v>
      </c>
      <c r="K64" s="6211" t="s">
        <v>253</v>
      </c>
      <c r="R64" s="6211" t="s">
        <v>254</v>
      </c>
      <c r="Y64" s="6211" t="s">
        <v>254</v>
      </c>
      <c r="Z64" s="3724"/>
      <c r="AE64" s="5618"/>
      <c r="AF64" s="6212" t="s">
        <v>254</v>
      </c>
      <c r="AG64" s="5618"/>
      <c r="AH64" s="3724"/>
      <c r="AM64" s="2150" t="s">
        <v>254</v>
      </c>
      <c r="AV64" s="5619">
        <v>1</v>
      </c>
      <c r="AW64" s="5619">
        <v>2</v>
      </c>
      <c r="AX64" s="5619">
        <v>3</v>
      </c>
    </row>
    <row r="65" spans="3:58" ht="9" customHeight="1">
      <c r="C65" s="2145"/>
      <c r="D65" s="2145"/>
      <c r="E65" s="2147" t="s">
        <v>255</v>
      </c>
      <c r="K65" s="6211" t="s">
        <v>153</v>
      </c>
      <c r="R65" s="6211" t="s">
        <v>154</v>
      </c>
      <c r="Y65" s="6211" t="s">
        <v>155</v>
      </c>
      <c r="Z65" s="3724"/>
      <c r="AF65" s="6211" t="s">
        <v>156</v>
      </c>
      <c r="AH65" s="3724"/>
      <c r="AM65" s="2147" t="s">
        <v>421</v>
      </c>
      <c r="AW65" s="2159" t="s">
        <v>524</v>
      </c>
    </row>
    <row r="66" spans="3:58" ht="6" customHeight="1">
      <c r="C66" s="2145"/>
      <c r="D66" s="2145"/>
      <c r="K66" s="3723" t="s">
        <v>420</v>
      </c>
      <c r="AN66" s="2150"/>
      <c r="AO66" s="2150"/>
      <c r="AP66" s="2150"/>
      <c r="AQ66" s="2150"/>
      <c r="AR66" s="2150"/>
      <c r="AS66" s="2150"/>
      <c r="AT66" s="2150"/>
      <c r="AV66" s="2150"/>
      <c r="AW66" s="2147" t="s">
        <v>523</v>
      </c>
      <c r="AX66" s="2150"/>
      <c r="AY66" s="2150"/>
      <c r="AZ66" s="2150"/>
      <c r="BA66" s="2150"/>
      <c r="BB66" s="2150"/>
      <c r="BC66" s="2150"/>
      <c r="BD66" s="2150"/>
      <c r="BE66" s="2150"/>
      <c r="BF66" s="2150"/>
    </row>
    <row r="67" spans="3:58" ht="13">
      <c r="C67" s="5620"/>
      <c r="D67" s="5620"/>
      <c r="H67" s="5621"/>
      <c r="L67" s="5622"/>
      <c r="P67" s="5621"/>
      <c r="U67" s="5621"/>
      <c r="AA67" s="5621"/>
      <c r="AP67" s="5623"/>
    </row>
  </sheetData>
  <mergeCells count="12">
    <mergeCell ref="B19:G19"/>
    <mergeCell ref="H19:K19"/>
    <mergeCell ref="L19:O19"/>
    <mergeCell ref="P19:R19"/>
    <mergeCell ref="X19:AA19"/>
    <mergeCell ref="AT19:AW19"/>
    <mergeCell ref="AB19:AH19"/>
    <mergeCell ref="AI19:AN19"/>
    <mergeCell ref="S19:W19"/>
    <mergeCell ref="S20:AG20"/>
    <mergeCell ref="AH20:AX20"/>
    <mergeCell ref="AO19:AS19"/>
  </mergeCells>
  <phoneticPr fontId="21" type="noConversion"/>
  <conditionalFormatting sqref="X22:AY22 B22:O22">
    <cfRule type="cellIs" dxfId="571" priority="319" stopIfTrue="1" operator="greaterThanOrEqual">
      <formula>5</formula>
    </cfRule>
    <cfRule type="cellIs" dxfId="570" priority="320" stopIfTrue="1" operator="lessThanOrEqual">
      <formula>4</formula>
    </cfRule>
  </conditionalFormatting>
  <conditionalFormatting sqref="X23:AY23 B23:O23">
    <cfRule type="cellIs" dxfId="569" priority="321" stopIfTrue="1" operator="greaterThanOrEqual">
      <formula>4</formula>
    </cfRule>
    <cfRule type="cellIs" dxfId="568" priority="322" stopIfTrue="1" operator="lessThanOrEqual">
      <formula>3</formula>
    </cfRule>
  </conditionalFormatting>
  <conditionalFormatting sqref="X24:AY24 B24:O24">
    <cfRule type="cellIs" dxfId="567" priority="323" stopIfTrue="1" operator="greaterThanOrEqual">
      <formula>3</formula>
    </cfRule>
    <cfRule type="cellIs" dxfId="566" priority="324" stopIfTrue="1" operator="lessThanOrEqual">
      <formula>2</formula>
    </cfRule>
  </conditionalFormatting>
  <conditionalFormatting sqref="X25:AY25 B25:O25">
    <cfRule type="cellIs" dxfId="565" priority="325" stopIfTrue="1" operator="greaterThanOrEqual">
      <formula>2</formula>
    </cfRule>
    <cfRule type="cellIs" dxfId="564" priority="326" stopIfTrue="1" operator="lessThanOrEqual">
      <formula>1</formula>
    </cfRule>
  </conditionalFormatting>
  <conditionalFormatting sqref="A28">
    <cfRule type="cellIs" dxfId="563" priority="327" stopIfTrue="1" operator="greaterThanOrEqual">
      <formula>5</formula>
    </cfRule>
    <cfRule type="cellIs" dxfId="562" priority="328" stopIfTrue="1" operator="lessThanOrEqual">
      <formula>4</formula>
    </cfRule>
  </conditionalFormatting>
  <conditionalFormatting sqref="A29">
    <cfRule type="cellIs" dxfId="561" priority="329" stopIfTrue="1" operator="greaterThanOrEqual">
      <formula>4</formula>
    </cfRule>
    <cfRule type="cellIs" dxfId="560" priority="330" stopIfTrue="1" operator="lessThanOrEqual">
      <formula>3</formula>
    </cfRule>
  </conditionalFormatting>
  <conditionalFormatting sqref="A30">
    <cfRule type="cellIs" dxfId="559" priority="331" stopIfTrue="1" operator="greaterThanOrEqual">
      <formula>3</formula>
    </cfRule>
    <cfRule type="cellIs" dxfId="558" priority="332" stopIfTrue="1" operator="lessThanOrEqual">
      <formula>2</formula>
    </cfRule>
  </conditionalFormatting>
  <conditionalFormatting sqref="A31">
    <cfRule type="cellIs" dxfId="557" priority="333" stopIfTrue="1" operator="greaterThanOrEqual">
      <formula>2</formula>
    </cfRule>
    <cfRule type="cellIs" dxfId="556" priority="334" stopIfTrue="1" operator="lessThanOrEqual">
      <formula>1</formula>
    </cfRule>
  </conditionalFormatting>
  <conditionalFormatting sqref="A32:A33">
    <cfRule type="cellIs" dxfId="555" priority="335" stopIfTrue="1" operator="greaterThanOrEqual">
      <formula>1</formula>
    </cfRule>
    <cfRule type="cellIs" dxfId="554" priority="336" stopIfTrue="1" operator="lessThanOrEqual">
      <formula>0</formula>
    </cfRule>
  </conditionalFormatting>
  <conditionalFormatting sqref="E6 G6:S6 B6:C6">
    <cfRule type="cellIs" dxfId="553" priority="387" stopIfTrue="1" operator="greaterThanOrEqual">
      <formula>100</formula>
    </cfRule>
    <cfRule type="cellIs" dxfId="552" priority="388" stopIfTrue="1" operator="lessThanOrEqual">
      <formula>90</formula>
    </cfRule>
  </conditionalFormatting>
  <conditionalFormatting sqref="E7:S7 AW7 AY7:BA7 V7:AT7 B7:C7">
    <cfRule type="cellIs" dxfId="551" priority="389" stopIfTrue="1" operator="greaterThanOrEqual">
      <formula>90</formula>
    </cfRule>
    <cfRule type="cellIs" dxfId="550" priority="390" stopIfTrue="1" operator="lessThanOrEqual">
      <formula>80</formula>
    </cfRule>
  </conditionalFormatting>
  <conditionalFormatting sqref="F8:S8 AW8 AY8:BA8 V8:AT8 B8:C8">
    <cfRule type="cellIs" dxfId="549" priority="391" stopIfTrue="1" operator="greaterThanOrEqual">
      <formula>80</formula>
    </cfRule>
    <cfRule type="cellIs" dxfId="548" priority="392" stopIfTrue="1" operator="lessThanOrEqual">
      <formula>70</formula>
    </cfRule>
  </conditionalFormatting>
  <conditionalFormatting sqref="E9:S9 AW9 AY9:BA9 V9:AT9 B9:C9">
    <cfRule type="cellIs" dxfId="547" priority="393" stopIfTrue="1" operator="greaterThanOrEqual">
      <formula>70</formula>
    </cfRule>
    <cfRule type="cellIs" dxfId="546" priority="394" stopIfTrue="1" operator="lessThanOrEqual">
      <formula>60</formula>
    </cfRule>
  </conditionalFormatting>
  <conditionalFormatting sqref="BA10:BA11 AY10:AY11 V10:AT10 B10:S10">
    <cfRule type="cellIs" dxfId="545" priority="395" stopIfTrue="1" operator="greaterThanOrEqual">
      <formula>60</formula>
    </cfRule>
    <cfRule type="cellIs" dxfId="544" priority="396" stopIfTrue="1" operator="lessThanOrEqual">
      <formula>50</formula>
    </cfRule>
  </conditionalFormatting>
  <conditionalFormatting sqref="V11:AT11 B11:S11">
    <cfRule type="cellIs" dxfId="543" priority="397" stopIfTrue="1" operator="greaterThanOrEqual">
      <formula>50</formula>
    </cfRule>
    <cfRule type="cellIs" dxfId="542" priority="398" stopIfTrue="1" operator="lessThanOrEqual">
      <formula>40</formula>
    </cfRule>
  </conditionalFormatting>
  <conditionalFormatting sqref="AW12 AY12:BA12 V12:AT12 B12:S12">
    <cfRule type="cellIs" dxfId="541" priority="399" stopIfTrue="1" operator="greaterThanOrEqual">
      <formula>40</formula>
    </cfRule>
    <cfRule type="cellIs" dxfId="540" priority="400" stopIfTrue="1" operator="lessThanOrEqual">
      <formula>30</formula>
    </cfRule>
  </conditionalFormatting>
  <conditionalFormatting sqref="AQ14 AW13 AY13:BA13 V13:AT13 B13:S13">
    <cfRule type="cellIs" dxfId="539" priority="401" stopIfTrue="1" operator="greaterThanOrEqual">
      <formula>30</formula>
    </cfRule>
    <cfRule type="cellIs" dxfId="538" priority="402" stopIfTrue="1" operator="lessThanOrEqual">
      <formula>20</formula>
    </cfRule>
  </conditionalFormatting>
  <conditionalFormatting sqref="AR14:AT14 AW14 AY14:BA14 V14:AP14 B14:S14">
    <cfRule type="cellIs" dxfId="537" priority="403" stopIfTrue="1" operator="greaterThanOrEqual">
      <formula>20</formula>
    </cfRule>
    <cfRule type="cellIs" dxfId="536" priority="404" stopIfTrue="1" operator="lessThanOrEqual">
      <formula>10</formula>
    </cfRule>
  </conditionalFormatting>
  <conditionalFormatting sqref="B21:BF21">
    <cfRule type="cellIs" dxfId="535" priority="405" stopIfTrue="1" operator="greaterThan">
      <formula>15</formula>
    </cfRule>
    <cfRule type="cellIs" dxfId="534" priority="406" stopIfTrue="1" operator="lessThan">
      <formula>15</formula>
    </cfRule>
  </conditionalFormatting>
  <conditionalFormatting sqref="P22">
    <cfRule type="cellIs" dxfId="533" priority="308" stopIfTrue="1" operator="greaterThanOrEqual">
      <formula>5</formula>
    </cfRule>
    <cfRule type="cellIs" dxfId="532" priority="309" stopIfTrue="1" operator="lessThanOrEqual">
      <formula>4</formula>
    </cfRule>
  </conditionalFormatting>
  <conditionalFormatting sqref="P23">
    <cfRule type="cellIs" dxfId="531" priority="310" stopIfTrue="1" operator="greaterThanOrEqual">
      <formula>4</formula>
    </cfRule>
    <cfRule type="cellIs" dxfId="530" priority="311" stopIfTrue="1" operator="lessThanOrEqual">
      <formula>3</formula>
    </cfRule>
  </conditionalFormatting>
  <conditionalFormatting sqref="P24">
    <cfRule type="cellIs" dxfId="529" priority="312" stopIfTrue="1" operator="greaterThanOrEqual">
      <formula>3</formula>
    </cfRule>
    <cfRule type="cellIs" dxfId="528" priority="313" stopIfTrue="1" operator="lessThanOrEqual">
      <formula>2</formula>
    </cfRule>
  </conditionalFormatting>
  <conditionalFormatting sqref="P25">
    <cfRule type="cellIs" dxfId="527" priority="314" stopIfTrue="1" operator="greaterThanOrEqual">
      <formula>2</formula>
    </cfRule>
    <cfRule type="cellIs" dxfId="526" priority="315" stopIfTrue="1" operator="lessThanOrEqual">
      <formula>1</formula>
    </cfRule>
  </conditionalFormatting>
  <conditionalFormatting sqref="Q22">
    <cfRule type="cellIs" dxfId="525" priority="297" stopIfTrue="1" operator="greaterThanOrEqual">
      <formula>5</formula>
    </cfRule>
    <cfRule type="cellIs" dxfId="524" priority="298" stopIfTrue="1" operator="lessThanOrEqual">
      <formula>4</formula>
    </cfRule>
  </conditionalFormatting>
  <conditionalFormatting sqref="Q23">
    <cfRule type="cellIs" dxfId="523" priority="299" stopIfTrue="1" operator="greaterThanOrEqual">
      <formula>4</formula>
    </cfRule>
    <cfRule type="cellIs" dxfId="522" priority="300" stopIfTrue="1" operator="lessThanOrEqual">
      <formula>3</formula>
    </cfRule>
  </conditionalFormatting>
  <conditionalFormatting sqref="Q24">
    <cfRule type="cellIs" dxfId="521" priority="301" stopIfTrue="1" operator="greaterThanOrEqual">
      <formula>3</formula>
    </cfRule>
    <cfRule type="cellIs" dxfId="520" priority="302" stopIfTrue="1" operator="lessThanOrEqual">
      <formula>2</formula>
    </cfRule>
  </conditionalFormatting>
  <conditionalFormatting sqref="Q25">
    <cfRule type="cellIs" dxfId="519" priority="303" stopIfTrue="1" operator="greaterThanOrEqual">
      <formula>2</formula>
    </cfRule>
    <cfRule type="cellIs" dxfId="518" priority="304" stopIfTrue="1" operator="lessThanOrEqual">
      <formula>1</formula>
    </cfRule>
  </conditionalFormatting>
  <conditionalFormatting sqref="R22:W22">
    <cfRule type="cellIs" dxfId="517" priority="286" stopIfTrue="1" operator="greaterThanOrEqual">
      <formula>5</formula>
    </cfRule>
    <cfRule type="cellIs" dxfId="516" priority="287" stopIfTrue="1" operator="lessThanOrEqual">
      <formula>4</formula>
    </cfRule>
  </conditionalFormatting>
  <conditionalFormatting sqref="R23:W23">
    <cfRule type="cellIs" dxfId="515" priority="288" stopIfTrue="1" operator="greaterThanOrEqual">
      <formula>4</formula>
    </cfRule>
    <cfRule type="cellIs" dxfId="514" priority="289" stopIfTrue="1" operator="lessThanOrEqual">
      <formula>3</formula>
    </cfRule>
  </conditionalFormatting>
  <conditionalFormatting sqref="R24:W24">
    <cfRule type="cellIs" dxfId="513" priority="290" stopIfTrue="1" operator="greaterThanOrEqual">
      <formula>3</formula>
    </cfRule>
    <cfRule type="cellIs" dxfId="512" priority="291" stopIfTrue="1" operator="lessThanOrEqual">
      <formula>2</formula>
    </cfRule>
  </conditionalFormatting>
  <conditionalFormatting sqref="R25:W25">
    <cfRule type="cellIs" dxfId="511" priority="292" stopIfTrue="1" operator="greaterThanOrEqual">
      <formula>2</formula>
    </cfRule>
    <cfRule type="cellIs" dxfId="510" priority="293" stopIfTrue="1" operator="lessThanOrEqual">
      <formula>1</formula>
    </cfRule>
  </conditionalFormatting>
  <conditionalFormatting sqref="D6">
    <cfRule type="cellIs" dxfId="509" priority="275" stopIfTrue="1" operator="greaterThanOrEqual">
      <formula>100</formula>
    </cfRule>
    <cfRule type="cellIs" dxfId="508" priority="276" stopIfTrue="1" operator="lessThanOrEqual">
      <formula>90</formula>
    </cfRule>
  </conditionalFormatting>
  <conditionalFormatting sqref="D7">
    <cfRule type="cellIs" dxfId="507" priority="277" stopIfTrue="1" operator="greaterThanOrEqual">
      <formula>90</formula>
    </cfRule>
    <cfRule type="cellIs" dxfId="506" priority="278" stopIfTrue="1" operator="lessThanOrEqual">
      <formula>80</formula>
    </cfRule>
  </conditionalFormatting>
  <conditionalFormatting sqref="D8">
    <cfRule type="cellIs" dxfId="505" priority="279" stopIfTrue="1" operator="greaterThanOrEqual">
      <formula>80</formula>
    </cfRule>
    <cfRule type="cellIs" dxfId="504" priority="280" stopIfTrue="1" operator="lessThanOrEqual">
      <formula>70</formula>
    </cfRule>
  </conditionalFormatting>
  <conditionalFormatting sqref="D9">
    <cfRule type="cellIs" dxfId="503" priority="281" stopIfTrue="1" operator="greaterThanOrEqual">
      <formula>70</formula>
    </cfRule>
    <cfRule type="cellIs" dxfId="502" priority="282" stopIfTrue="1" operator="lessThanOrEqual">
      <formula>60</formula>
    </cfRule>
  </conditionalFormatting>
  <conditionalFormatting sqref="E8">
    <cfRule type="cellIs" dxfId="501" priority="273" stopIfTrue="1" operator="greaterThanOrEqual">
      <formula>90</formula>
    </cfRule>
    <cfRule type="cellIs" dxfId="500" priority="274" stopIfTrue="1" operator="lessThanOrEqual">
      <formula>80</formula>
    </cfRule>
  </conditionalFormatting>
  <conditionalFormatting sqref="F6">
    <cfRule type="cellIs" dxfId="499" priority="271" stopIfTrue="1" operator="greaterThanOrEqual">
      <formula>90</formula>
    </cfRule>
    <cfRule type="cellIs" dxfId="498" priority="272" stopIfTrue="1" operator="lessThanOrEqual">
      <formula>80</formula>
    </cfRule>
  </conditionalFormatting>
  <conditionalFormatting sqref="AZ22:BF22">
    <cfRule type="cellIs" dxfId="497" priority="184" stopIfTrue="1" operator="greaterThanOrEqual">
      <formula>5</formula>
    </cfRule>
    <cfRule type="cellIs" dxfId="496" priority="185" stopIfTrue="1" operator="lessThanOrEqual">
      <formula>4</formula>
    </cfRule>
  </conditionalFormatting>
  <conditionalFormatting sqref="AZ23:BF23">
    <cfRule type="cellIs" dxfId="495" priority="186" stopIfTrue="1" operator="greaterThanOrEqual">
      <formula>4</formula>
    </cfRule>
    <cfRule type="cellIs" dxfId="494" priority="187" stopIfTrue="1" operator="lessThanOrEqual">
      <formula>3</formula>
    </cfRule>
  </conditionalFormatting>
  <conditionalFormatting sqref="AZ24:BF24">
    <cfRule type="cellIs" dxfId="493" priority="188" stopIfTrue="1" operator="greaterThanOrEqual">
      <formula>3</formula>
    </cfRule>
    <cfRule type="cellIs" dxfId="492" priority="189" stopIfTrue="1" operator="lessThanOrEqual">
      <formula>2</formula>
    </cfRule>
  </conditionalFormatting>
  <conditionalFormatting sqref="AZ25:BF25">
    <cfRule type="cellIs" dxfId="491" priority="190" stopIfTrue="1" operator="greaterThanOrEqual">
      <formula>2</formula>
    </cfRule>
    <cfRule type="cellIs" dxfId="490" priority="191" stopIfTrue="1" operator="lessThanOrEqual">
      <formula>1</formula>
    </cfRule>
  </conditionalFormatting>
  <conditionalFormatting sqref="AZ28:BF28">
    <cfRule type="cellIs" dxfId="489" priority="192" stopIfTrue="1" operator="greaterThanOrEqual">
      <formula>5</formula>
    </cfRule>
    <cfRule type="cellIs" dxfId="488" priority="193" stopIfTrue="1" operator="lessThanOrEqual">
      <formula>4</formula>
    </cfRule>
  </conditionalFormatting>
  <conditionalFormatting sqref="AZ29:BF29">
    <cfRule type="cellIs" dxfId="487" priority="194" stopIfTrue="1" operator="greaterThanOrEqual">
      <formula>4</formula>
    </cfRule>
    <cfRule type="cellIs" dxfId="486" priority="195" stopIfTrue="1" operator="lessThanOrEqual">
      <formula>3</formula>
    </cfRule>
  </conditionalFormatting>
  <conditionalFormatting sqref="AZ30:BF30">
    <cfRule type="cellIs" dxfId="485" priority="196" stopIfTrue="1" operator="greaterThanOrEqual">
      <formula>3</formula>
    </cfRule>
    <cfRule type="cellIs" dxfId="484" priority="197" stopIfTrue="1" operator="lessThanOrEqual">
      <formula>2</formula>
    </cfRule>
  </conditionalFormatting>
  <conditionalFormatting sqref="AZ31:BF31">
    <cfRule type="cellIs" dxfId="483" priority="198" stopIfTrue="1" operator="greaterThanOrEqual">
      <formula>2</formula>
    </cfRule>
    <cfRule type="cellIs" dxfId="482" priority="199" stopIfTrue="1" operator="lessThanOrEqual">
      <formula>1</formula>
    </cfRule>
  </conditionalFormatting>
  <conditionalFormatting sqref="AZ32:BF32">
    <cfRule type="cellIs" dxfId="481" priority="200" stopIfTrue="1" operator="greaterThanOrEqual">
      <formula>1</formula>
    </cfRule>
    <cfRule type="cellIs" dxfId="480" priority="201" stopIfTrue="1" operator="lessThanOrEqual">
      <formula>0</formula>
    </cfRule>
  </conditionalFormatting>
  <conditionalFormatting sqref="AZ34:BF34">
    <cfRule type="cellIs" dxfId="479" priority="202" stopIfTrue="1" operator="greaterThanOrEqual">
      <formula>5</formula>
    </cfRule>
    <cfRule type="cellIs" dxfId="478" priority="203" stopIfTrue="1" operator="lessThanOrEqual">
      <formula>4</formula>
    </cfRule>
  </conditionalFormatting>
  <conditionalFormatting sqref="AZ35:BF35">
    <cfRule type="cellIs" dxfId="477" priority="204" stopIfTrue="1" operator="greaterThanOrEqual">
      <formula>4</formula>
    </cfRule>
    <cfRule type="cellIs" dxfId="476" priority="205" stopIfTrue="1" operator="lessThanOrEqual">
      <formula>3</formula>
    </cfRule>
  </conditionalFormatting>
  <conditionalFormatting sqref="AZ36:BF36">
    <cfRule type="cellIs" dxfId="475" priority="206" stopIfTrue="1" operator="greaterThanOrEqual">
      <formula>3</formula>
    </cfRule>
    <cfRule type="cellIs" dxfId="474" priority="207" stopIfTrue="1" operator="lessThanOrEqual">
      <formula>2</formula>
    </cfRule>
  </conditionalFormatting>
  <conditionalFormatting sqref="AZ37:BF37">
    <cfRule type="cellIs" dxfId="473" priority="208" stopIfTrue="1" operator="greaterThanOrEqual">
      <formula>2</formula>
    </cfRule>
    <cfRule type="cellIs" dxfId="472" priority="209" stopIfTrue="1" operator="lessThanOrEqual">
      <formula>1</formula>
    </cfRule>
  </conditionalFormatting>
  <conditionalFormatting sqref="AZ38:BF38">
    <cfRule type="cellIs" dxfId="471" priority="210" stopIfTrue="1" operator="greaterThanOrEqual">
      <formula>1</formula>
    </cfRule>
    <cfRule type="cellIs" dxfId="470" priority="211" stopIfTrue="1" operator="lessThanOrEqual">
      <formula>0</formula>
    </cfRule>
  </conditionalFormatting>
  <conditionalFormatting sqref="AZ40:BF40">
    <cfRule type="cellIs" dxfId="469" priority="212" stopIfTrue="1" operator="greaterThanOrEqual">
      <formula>5</formula>
    </cfRule>
    <cfRule type="cellIs" dxfId="468" priority="213" stopIfTrue="1" operator="lessThanOrEqual">
      <formula>4</formula>
    </cfRule>
  </conditionalFormatting>
  <conditionalFormatting sqref="AZ41:BF41">
    <cfRule type="cellIs" dxfId="467" priority="214" stopIfTrue="1" operator="greaterThanOrEqual">
      <formula>4</formula>
    </cfRule>
    <cfRule type="cellIs" dxfId="466" priority="215" stopIfTrue="1" operator="lessThanOrEqual">
      <formula>3</formula>
    </cfRule>
  </conditionalFormatting>
  <conditionalFormatting sqref="AZ42:BF42">
    <cfRule type="cellIs" dxfId="465" priority="216" stopIfTrue="1" operator="greaterThanOrEqual">
      <formula>3</formula>
    </cfRule>
    <cfRule type="cellIs" dxfId="464" priority="217" stopIfTrue="1" operator="lessThanOrEqual">
      <formula>2</formula>
    </cfRule>
  </conditionalFormatting>
  <conditionalFormatting sqref="AZ43:BF43">
    <cfRule type="cellIs" dxfId="463" priority="218" stopIfTrue="1" operator="greaterThanOrEqual">
      <formula>2</formula>
    </cfRule>
    <cfRule type="cellIs" dxfId="462" priority="219" stopIfTrue="1" operator="lessThanOrEqual">
      <formula>1</formula>
    </cfRule>
  </conditionalFormatting>
  <conditionalFormatting sqref="AZ44:BF44">
    <cfRule type="cellIs" dxfId="461" priority="220" stopIfTrue="1" operator="greaterThanOrEqual">
      <formula>1</formula>
    </cfRule>
    <cfRule type="cellIs" dxfId="460" priority="221" stopIfTrue="1" operator="lessThanOrEqual">
      <formula>0</formula>
    </cfRule>
  </conditionalFormatting>
  <conditionalFormatting sqref="AZ58:BF58">
    <cfRule type="cellIs" dxfId="459" priority="222" stopIfTrue="1" operator="greaterThanOrEqual">
      <formula>5</formula>
    </cfRule>
    <cfRule type="cellIs" dxfId="458" priority="223" stopIfTrue="1" operator="lessThanOrEqual">
      <formula>4</formula>
    </cfRule>
  </conditionalFormatting>
  <conditionalFormatting sqref="AZ59:BF59">
    <cfRule type="cellIs" dxfId="457" priority="224" stopIfTrue="1" operator="greaterThanOrEqual">
      <formula>4</formula>
    </cfRule>
    <cfRule type="cellIs" dxfId="456" priority="225" stopIfTrue="1" operator="lessThanOrEqual">
      <formula>3</formula>
    </cfRule>
  </conditionalFormatting>
  <conditionalFormatting sqref="AZ60:BF60">
    <cfRule type="cellIs" dxfId="455" priority="226" stopIfTrue="1" operator="greaterThanOrEqual">
      <formula>3</formula>
    </cfRule>
    <cfRule type="cellIs" dxfId="454" priority="227" stopIfTrue="1" operator="lessThanOrEqual">
      <formula>2</formula>
    </cfRule>
  </conditionalFormatting>
  <conditionalFormatting sqref="AZ61:BF61">
    <cfRule type="cellIs" dxfId="453" priority="228" stopIfTrue="1" operator="greaterThanOrEqual">
      <formula>2</formula>
    </cfRule>
    <cfRule type="cellIs" dxfId="452" priority="229" stopIfTrue="1" operator="lessThanOrEqual">
      <formula>1</formula>
    </cfRule>
  </conditionalFormatting>
  <conditionalFormatting sqref="AZ62:BF62">
    <cfRule type="cellIs" dxfId="451" priority="230" stopIfTrue="1" operator="greaterThanOrEqual">
      <formula>1</formula>
    </cfRule>
    <cfRule type="cellIs" dxfId="450" priority="231" stopIfTrue="1" operator="lessThanOrEqual">
      <formula>0</formula>
    </cfRule>
  </conditionalFormatting>
  <conditionalFormatting sqref="AZ46:BF46">
    <cfRule type="cellIs" dxfId="449" priority="232" stopIfTrue="1" operator="greaterThanOrEqual">
      <formula>5</formula>
    </cfRule>
    <cfRule type="cellIs" dxfId="448" priority="233" stopIfTrue="1" operator="lessThanOrEqual">
      <formula>4</formula>
    </cfRule>
  </conditionalFormatting>
  <conditionalFormatting sqref="AZ47:BF47">
    <cfRule type="cellIs" dxfId="447" priority="234" stopIfTrue="1" operator="greaterThanOrEqual">
      <formula>4</formula>
    </cfRule>
    <cfRule type="cellIs" dxfId="446" priority="235" stopIfTrue="1" operator="lessThanOrEqual">
      <formula>3</formula>
    </cfRule>
  </conditionalFormatting>
  <conditionalFormatting sqref="AZ48:BF48">
    <cfRule type="cellIs" dxfId="445" priority="236" stopIfTrue="1" operator="greaterThanOrEqual">
      <formula>3</formula>
    </cfRule>
    <cfRule type="cellIs" dxfId="444" priority="237" stopIfTrue="1" operator="lessThanOrEqual">
      <formula>2</formula>
    </cfRule>
  </conditionalFormatting>
  <conditionalFormatting sqref="AZ49:BF49">
    <cfRule type="cellIs" dxfId="443" priority="238" stopIfTrue="1" operator="greaterThanOrEqual">
      <formula>2</formula>
    </cfRule>
    <cfRule type="cellIs" dxfId="442" priority="239" stopIfTrue="1" operator="lessThanOrEqual">
      <formula>1</formula>
    </cfRule>
  </conditionalFormatting>
  <conditionalFormatting sqref="AZ50:BF50">
    <cfRule type="cellIs" dxfId="441" priority="240" stopIfTrue="1" operator="greaterThanOrEqual">
      <formula>1</formula>
    </cfRule>
    <cfRule type="cellIs" dxfId="440" priority="241" stopIfTrue="1" operator="lessThanOrEqual">
      <formula>0</formula>
    </cfRule>
  </conditionalFormatting>
  <conditionalFormatting sqref="AZ52:BF52">
    <cfRule type="cellIs" dxfId="439" priority="242" stopIfTrue="1" operator="greaterThanOrEqual">
      <formula>5</formula>
    </cfRule>
    <cfRule type="cellIs" dxfId="438" priority="243" stopIfTrue="1" operator="lessThanOrEqual">
      <formula>4</formula>
    </cfRule>
  </conditionalFormatting>
  <conditionalFormatting sqref="AZ53:BF53">
    <cfRule type="cellIs" dxfId="437" priority="244" stopIfTrue="1" operator="greaterThanOrEqual">
      <formula>4</formula>
    </cfRule>
    <cfRule type="cellIs" dxfId="436" priority="245" stopIfTrue="1" operator="lessThanOrEqual">
      <formula>3</formula>
    </cfRule>
  </conditionalFormatting>
  <conditionalFormatting sqref="AZ54:BF54">
    <cfRule type="cellIs" dxfId="435" priority="246" stopIfTrue="1" operator="greaterThanOrEqual">
      <formula>3</formula>
    </cfRule>
    <cfRule type="cellIs" dxfId="434" priority="247" stopIfTrue="1" operator="lessThanOrEqual">
      <formula>2</formula>
    </cfRule>
  </conditionalFormatting>
  <conditionalFormatting sqref="AZ55:BF55">
    <cfRule type="cellIs" dxfId="433" priority="248" stopIfTrue="1" operator="greaterThanOrEqual">
      <formula>2</formula>
    </cfRule>
    <cfRule type="cellIs" dxfId="432" priority="249" stopIfTrue="1" operator="lessThanOrEqual">
      <formula>1</formula>
    </cfRule>
  </conditionalFormatting>
  <conditionalFormatting sqref="AZ56:BF56">
    <cfRule type="cellIs" dxfId="431" priority="250" stopIfTrue="1" operator="greaterThanOrEqual">
      <formula>1</formula>
    </cfRule>
    <cfRule type="cellIs" dxfId="430" priority="251" stopIfTrue="1" operator="lessThanOrEqual">
      <formula>0</formula>
    </cfRule>
  </conditionalFormatting>
  <conditionalFormatting sqref="BB7:BF7">
    <cfRule type="cellIs" dxfId="429" priority="252" stopIfTrue="1" operator="greaterThanOrEqual">
      <formula>90</formula>
    </cfRule>
    <cfRule type="cellIs" dxfId="428" priority="253" stopIfTrue="1" operator="lessThanOrEqual">
      <formula>80</formula>
    </cfRule>
  </conditionalFormatting>
  <conditionalFormatting sqref="BB8:BF8">
    <cfRule type="cellIs" dxfId="427" priority="254" stopIfTrue="1" operator="greaterThanOrEqual">
      <formula>80</formula>
    </cfRule>
    <cfRule type="cellIs" dxfId="426" priority="255" stopIfTrue="1" operator="lessThanOrEqual">
      <formula>70</formula>
    </cfRule>
  </conditionalFormatting>
  <conditionalFormatting sqref="BB9:BF9">
    <cfRule type="cellIs" dxfId="425" priority="256" stopIfTrue="1" operator="greaterThanOrEqual">
      <formula>70</formula>
    </cfRule>
    <cfRule type="cellIs" dxfId="424" priority="257" stopIfTrue="1" operator="lessThanOrEqual">
      <formula>60</formula>
    </cfRule>
  </conditionalFormatting>
  <conditionalFormatting sqref="BB10:BF10">
    <cfRule type="cellIs" dxfId="423" priority="258" stopIfTrue="1" operator="greaterThanOrEqual">
      <formula>60</formula>
    </cfRule>
    <cfRule type="cellIs" dxfId="422" priority="259" stopIfTrue="1" operator="lessThanOrEqual">
      <formula>50</formula>
    </cfRule>
  </conditionalFormatting>
  <conditionalFormatting sqref="BB11:BF11">
    <cfRule type="cellIs" dxfId="421" priority="260" stopIfTrue="1" operator="greaterThanOrEqual">
      <formula>50</formula>
    </cfRule>
    <cfRule type="cellIs" dxfId="420" priority="261" stopIfTrue="1" operator="lessThanOrEqual">
      <formula>40</formula>
    </cfRule>
  </conditionalFormatting>
  <conditionalFormatting sqref="BB12:BF12">
    <cfRule type="cellIs" dxfId="419" priority="262" stopIfTrue="1" operator="greaterThanOrEqual">
      <formula>40</formula>
    </cfRule>
    <cfRule type="cellIs" dxfId="418" priority="263" stopIfTrue="1" operator="lessThanOrEqual">
      <formula>30</formula>
    </cfRule>
  </conditionalFormatting>
  <conditionalFormatting sqref="BB13:BF13">
    <cfRule type="cellIs" dxfId="417" priority="264" stopIfTrue="1" operator="greaterThanOrEqual">
      <formula>30</formula>
    </cfRule>
    <cfRule type="cellIs" dxfId="416" priority="265" stopIfTrue="1" operator="lessThanOrEqual">
      <formula>20</formula>
    </cfRule>
  </conditionalFormatting>
  <conditionalFormatting sqref="BB14:BF14">
    <cfRule type="cellIs" dxfId="415" priority="266" stopIfTrue="1" operator="greaterThanOrEqual">
      <formula>20</formula>
    </cfRule>
    <cfRule type="cellIs" dxfId="414" priority="267" stopIfTrue="1" operator="lessThanOrEqual">
      <formula>10</formula>
    </cfRule>
  </conditionalFormatting>
  <conditionalFormatting sqref="AZ26:BF26">
    <cfRule type="cellIs" dxfId="413" priority="268" stopIfTrue="1" operator="greaterThanOrEqual">
      <formula>1</formula>
    </cfRule>
    <cfRule type="cellIs" dxfId="412" priority="269" stopIfTrue="1" operator="equal">
      <formula>0</formula>
    </cfRule>
    <cfRule type="cellIs" dxfId="411" priority="270" stopIfTrue="1" operator="lessThan">
      <formula>0</formula>
    </cfRule>
  </conditionalFormatting>
  <conditionalFormatting sqref="AU7">
    <cfRule type="cellIs" dxfId="410" priority="168" stopIfTrue="1" operator="greaterThanOrEqual">
      <formula>90</formula>
    </cfRule>
    <cfRule type="cellIs" dxfId="409" priority="169" stopIfTrue="1" operator="lessThanOrEqual">
      <formula>80</formula>
    </cfRule>
  </conditionalFormatting>
  <conditionalFormatting sqref="AU8">
    <cfRule type="cellIs" dxfId="408" priority="170" stopIfTrue="1" operator="greaterThanOrEqual">
      <formula>80</formula>
    </cfRule>
    <cfRule type="cellIs" dxfId="407" priority="171" stopIfTrue="1" operator="lessThanOrEqual">
      <formula>70</formula>
    </cfRule>
  </conditionalFormatting>
  <conditionalFormatting sqref="AU9">
    <cfRule type="cellIs" dxfId="406" priority="172" stopIfTrue="1" operator="greaterThanOrEqual">
      <formula>70</formula>
    </cfRule>
    <cfRule type="cellIs" dxfId="405" priority="173" stopIfTrue="1" operator="lessThanOrEqual">
      <formula>60</formula>
    </cfRule>
  </conditionalFormatting>
  <conditionalFormatting sqref="AU10">
    <cfRule type="cellIs" dxfId="404" priority="174" stopIfTrue="1" operator="greaterThanOrEqual">
      <formula>60</formula>
    </cfRule>
    <cfRule type="cellIs" dxfId="403" priority="175" stopIfTrue="1" operator="lessThanOrEqual">
      <formula>50</formula>
    </cfRule>
  </conditionalFormatting>
  <conditionalFormatting sqref="AU11">
    <cfRule type="cellIs" dxfId="402" priority="176" stopIfTrue="1" operator="greaterThanOrEqual">
      <formula>50</formula>
    </cfRule>
    <cfRule type="cellIs" dxfId="401" priority="177" stopIfTrue="1" operator="lessThanOrEqual">
      <formula>40</formula>
    </cfRule>
  </conditionalFormatting>
  <conditionalFormatting sqref="AU12">
    <cfRule type="cellIs" dxfId="400" priority="178" stopIfTrue="1" operator="greaterThanOrEqual">
      <formula>40</formula>
    </cfRule>
    <cfRule type="cellIs" dxfId="399" priority="179" stopIfTrue="1" operator="lessThanOrEqual">
      <formula>30</formula>
    </cfRule>
  </conditionalFormatting>
  <conditionalFormatting sqref="AU13">
    <cfRule type="cellIs" dxfId="398" priority="180" stopIfTrue="1" operator="greaterThanOrEqual">
      <formula>30</formula>
    </cfRule>
    <cfRule type="cellIs" dxfId="397" priority="181" stopIfTrue="1" operator="lessThanOrEqual">
      <formula>20</formula>
    </cfRule>
  </conditionalFormatting>
  <conditionalFormatting sqref="AU14">
    <cfRule type="cellIs" dxfId="396" priority="182" stopIfTrue="1" operator="greaterThanOrEqual">
      <formula>20</formula>
    </cfRule>
    <cfRule type="cellIs" dxfId="395" priority="183" stopIfTrue="1" operator="lessThanOrEqual">
      <formula>10</formula>
    </cfRule>
  </conditionalFormatting>
  <conditionalFormatting sqref="AV7">
    <cfRule type="cellIs" dxfId="394" priority="152" stopIfTrue="1" operator="greaterThanOrEqual">
      <formula>90</formula>
    </cfRule>
    <cfRule type="cellIs" dxfId="393" priority="153" stopIfTrue="1" operator="lessThanOrEqual">
      <formula>80</formula>
    </cfRule>
  </conditionalFormatting>
  <conditionalFormatting sqref="AV8">
    <cfRule type="cellIs" dxfId="392" priority="154" stopIfTrue="1" operator="greaterThanOrEqual">
      <formula>80</formula>
    </cfRule>
    <cfRule type="cellIs" dxfId="391" priority="155" stopIfTrue="1" operator="lessThanOrEqual">
      <formula>70</formula>
    </cfRule>
  </conditionalFormatting>
  <conditionalFormatting sqref="AV9">
    <cfRule type="cellIs" dxfId="390" priority="156" stopIfTrue="1" operator="greaterThanOrEqual">
      <formula>70</formula>
    </cfRule>
    <cfRule type="cellIs" dxfId="389" priority="157" stopIfTrue="1" operator="lessThanOrEqual">
      <formula>60</formula>
    </cfRule>
  </conditionalFormatting>
  <conditionalFormatting sqref="AV10">
    <cfRule type="cellIs" dxfId="388" priority="158" stopIfTrue="1" operator="greaterThanOrEqual">
      <formula>60</formula>
    </cfRule>
    <cfRule type="cellIs" dxfId="387" priority="159" stopIfTrue="1" operator="lessThanOrEqual">
      <formula>50</formula>
    </cfRule>
  </conditionalFormatting>
  <conditionalFormatting sqref="AV11">
    <cfRule type="cellIs" dxfId="386" priority="160" stopIfTrue="1" operator="greaterThanOrEqual">
      <formula>50</formula>
    </cfRule>
    <cfRule type="cellIs" dxfId="385" priority="161" stopIfTrue="1" operator="lessThanOrEqual">
      <formula>40</formula>
    </cfRule>
  </conditionalFormatting>
  <conditionalFormatting sqref="AV12">
    <cfRule type="cellIs" dxfId="384" priority="162" stopIfTrue="1" operator="greaterThanOrEqual">
      <formula>40</formula>
    </cfRule>
    <cfRule type="cellIs" dxfId="383" priority="163" stopIfTrue="1" operator="lessThanOrEqual">
      <formula>30</formula>
    </cfRule>
  </conditionalFormatting>
  <conditionalFormatting sqref="AV13">
    <cfRule type="cellIs" dxfId="382" priority="164" stopIfTrue="1" operator="greaterThanOrEqual">
      <formula>30</formula>
    </cfRule>
    <cfRule type="cellIs" dxfId="381" priority="165" stopIfTrue="1" operator="lessThanOrEqual">
      <formula>20</formula>
    </cfRule>
  </conditionalFormatting>
  <conditionalFormatting sqref="AV14">
    <cfRule type="cellIs" dxfId="380" priority="166" stopIfTrue="1" operator="greaterThanOrEqual">
      <formula>20</formula>
    </cfRule>
    <cfRule type="cellIs" dxfId="379" priority="167" stopIfTrue="1" operator="lessThanOrEqual">
      <formula>10</formula>
    </cfRule>
  </conditionalFormatting>
  <conditionalFormatting sqref="AX7">
    <cfRule type="cellIs" dxfId="378" priority="136" stopIfTrue="1" operator="greaterThanOrEqual">
      <formula>90</formula>
    </cfRule>
    <cfRule type="cellIs" dxfId="377" priority="137" stopIfTrue="1" operator="lessThanOrEqual">
      <formula>80</formula>
    </cfRule>
  </conditionalFormatting>
  <conditionalFormatting sqref="AX8">
    <cfRule type="cellIs" dxfId="376" priority="138" stopIfTrue="1" operator="greaterThanOrEqual">
      <formula>80</formula>
    </cfRule>
    <cfRule type="cellIs" dxfId="375" priority="139" stopIfTrue="1" operator="lessThanOrEqual">
      <formula>70</formula>
    </cfRule>
  </conditionalFormatting>
  <conditionalFormatting sqref="AX9">
    <cfRule type="cellIs" dxfId="374" priority="140" stopIfTrue="1" operator="greaterThanOrEqual">
      <formula>70</formula>
    </cfRule>
    <cfRule type="cellIs" dxfId="373" priority="141" stopIfTrue="1" operator="lessThanOrEqual">
      <formula>60</formula>
    </cfRule>
  </conditionalFormatting>
  <conditionalFormatting sqref="AX10">
    <cfRule type="cellIs" dxfId="372" priority="142" stopIfTrue="1" operator="greaterThanOrEqual">
      <formula>60</formula>
    </cfRule>
    <cfRule type="cellIs" dxfId="371" priority="143" stopIfTrue="1" operator="lessThanOrEqual">
      <formula>50</formula>
    </cfRule>
  </conditionalFormatting>
  <conditionalFormatting sqref="AX11">
    <cfRule type="cellIs" dxfId="370" priority="144" stopIfTrue="1" operator="greaterThanOrEqual">
      <formula>50</formula>
    </cfRule>
    <cfRule type="cellIs" dxfId="369" priority="145" stopIfTrue="1" operator="lessThanOrEqual">
      <formula>40</formula>
    </cfRule>
  </conditionalFormatting>
  <conditionalFormatting sqref="AX12">
    <cfRule type="cellIs" dxfId="368" priority="146" stopIfTrue="1" operator="greaterThanOrEqual">
      <formula>40</formula>
    </cfRule>
    <cfRule type="cellIs" dxfId="367" priority="147" stopIfTrue="1" operator="lessThanOrEqual">
      <formula>30</formula>
    </cfRule>
  </conditionalFormatting>
  <conditionalFormatting sqref="AX13">
    <cfRule type="cellIs" dxfId="366" priority="148" stopIfTrue="1" operator="greaterThanOrEqual">
      <formula>30</formula>
    </cfRule>
    <cfRule type="cellIs" dxfId="365" priority="149" stopIfTrue="1" operator="lessThanOrEqual">
      <formula>20</formula>
    </cfRule>
  </conditionalFormatting>
  <conditionalFormatting sqref="AX14">
    <cfRule type="cellIs" dxfId="364" priority="150" stopIfTrue="1" operator="greaterThanOrEqual">
      <formula>20</formula>
    </cfRule>
    <cfRule type="cellIs" dxfId="363" priority="151" stopIfTrue="1" operator="lessThanOrEqual">
      <formula>10</formula>
    </cfRule>
  </conditionalFormatting>
  <conditionalFormatting sqref="T6">
    <cfRule type="cellIs" dxfId="362" priority="118" stopIfTrue="1" operator="greaterThanOrEqual">
      <formula>100</formula>
    </cfRule>
    <cfRule type="cellIs" dxfId="361" priority="119" stopIfTrue="1" operator="lessThanOrEqual">
      <formula>90</formula>
    </cfRule>
  </conditionalFormatting>
  <conditionalFormatting sqref="T7">
    <cfRule type="cellIs" dxfId="360" priority="120" stopIfTrue="1" operator="greaterThanOrEqual">
      <formula>90</formula>
    </cfRule>
    <cfRule type="cellIs" dxfId="359" priority="121" stopIfTrue="1" operator="lessThanOrEqual">
      <formula>80</formula>
    </cfRule>
  </conditionalFormatting>
  <conditionalFormatting sqref="T8">
    <cfRule type="cellIs" dxfId="358" priority="122" stopIfTrue="1" operator="greaterThanOrEqual">
      <formula>80</formula>
    </cfRule>
    <cfRule type="cellIs" dxfId="357" priority="123" stopIfTrue="1" operator="lessThanOrEqual">
      <formula>70</formula>
    </cfRule>
  </conditionalFormatting>
  <conditionalFormatting sqref="T9">
    <cfRule type="cellIs" dxfId="356" priority="124" stopIfTrue="1" operator="greaterThanOrEqual">
      <formula>70</formula>
    </cfRule>
    <cfRule type="cellIs" dxfId="355" priority="125" stopIfTrue="1" operator="lessThanOrEqual">
      <formula>60</formula>
    </cfRule>
  </conditionalFormatting>
  <conditionalFormatting sqref="T10">
    <cfRule type="cellIs" dxfId="354" priority="126" stopIfTrue="1" operator="greaterThanOrEqual">
      <formula>60</formula>
    </cfRule>
    <cfRule type="cellIs" dxfId="353" priority="127" stopIfTrue="1" operator="lessThanOrEqual">
      <formula>50</formula>
    </cfRule>
  </conditionalFormatting>
  <conditionalFormatting sqref="T11">
    <cfRule type="cellIs" dxfId="352" priority="128" stopIfTrue="1" operator="greaterThanOrEqual">
      <formula>50</formula>
    </cfRule>
    <cfRule type="cellIs" dxfId="351" priority="129" stopIfTrue="1" operator="lessThanOrEqual">
      <formula>40</formula>
    </cfRule>
  </conditionalFormatting>
  <conditionalFormatting sqref="T12">
    <cfRule type="cellIs" dxfId="350" priority="130" stopIfTrue="1" operator="greaterThanOrEqual">
      <formula>40</formula>
    </cfRule>
    <cfRule type="cellIs" dxfId="349" priority="131" stopIfTrue="1" operator="lessThanOrEqual">
      <formula>30</formula>
    </cfRule>
  </conditionalFormatting>
  <conditionalFormatting sqref="T13">
    <cfRule type="cellIs" dxfId="348" priority="132" stopIfTrue="1" operator="greaterThanOrEqual">
      <formula>30</formula>
    </cfRule>
    <cfRule type="cellIs" dxfId="347" priority="133" stopIfTrue="1" operator="lessThanOrEqual">
      <formula>20</formula>
    </cfRule>
  </conditionalFormatting>
  <conditionalFormatting sqref="T14">
    <cfRule type="cellIs" dxfId="346" priority="134" stopIfTrue="1" operator="greaterThanOrEqual">
      <formula>20</formula>
    </cfRule>
    <cfRule type="cellIs" dxfId="345" priority="135" stopIfTrue="1" operator="lessThanOrEqual">
      <formula>10</formula>
    </cfRule>
  </conditionalFormatting>
  <conditionalFormatting sqref="U6">
    <cfRule type="cellIs" dxfId="344" priority="100" stopIfTrue="1" operator="greaterThanOrEqual">
      <formula>100</formula>
    </cfRule>
    <cfRule type="cellIs" dxfId="343" priority="101" stopIfTrue="1" operator="lessThanOrEqual">
      <formula>90</formula>
    </cfRule>
  </conditionalFormatting>
  <conditionalFormatting sqref="U7">
    <cfRule type="cellIs" dxfId="342" priority="102" stopIfTrue="1" operator="greaterThanOrEqual">
      <formula>90</formula>
    </cfRule>
    <cfRule type="cellIs" dxfId="341" priority="103" stopIfTrue="1" operator="lessThanOrEqual">
      <formula>80</formula>
    </cfRule>
  </conditionalFormatting>
  <conditionalFormatting sqref="U8">
    <cfRule type="cellIs" dxfId="340" priority="104" stopIfTrue="1" operator="greaterThanOrEqual">
      <formula>80</formula>
    </cfRule>
    <cfRule type="cellIs" dxfId="339" priority="105" stopIfTrue="1" operator="lessThanOrEqual">
      <formula>70</formula>
    </cfRule>
  </conditionalFormatting>
  <conditionalFormatting sqref="U9">
    <cfRule type="cellIs" dxfId="338" priority="106" stopIfTrue="1" operator="greaterThanOrEqual">
      <formula>70</formula>
    </cfRule>
    <cfRule type="cellIs" dxfId="337" priority="107" stopIfTrue="1" operator="lessThanOrEqual">
      <formula>60</formula>
    </cfRule>
  </conditionalFormatting>
  <conditionalFormatting sqref="U10">
    <cfRule type="cellIs" dxfId="336" priority="108" stopIfTrue="1" operator="greaterThanOrEqual">
      <formula>60</formula>
    </cfRule>
    <cfRule type="cellIs" dxfId="335" priority="109" stopIfTrue="1" operator="lessThanOrEqual">
      <formula>50</formula>
    </cfRule>
  </conditionalFormatting>
  <conditionalFormatting sqref="U11">
    <cfRule type="cellIs" dxfId="334" priority="110" stopIfTrue="1" operator="greaterThanOrEqual">
      <formula>50</formula>
    </cfRule>
    <cfRule type="cellIs" dxfId="333" priority="111" stopIfTrue="1" operator="lessThanOrEqual">
      <formula>40</formula>
    </cfRule>
  </conditionalFormatting>
  <conditionalFormatting sqref="U12">
    <cfRule type="cellIs" dxfId="332" priority="112" stopIfTrue="1" operator="greaterThanOrEqual">
      <formula>40</formula>
    </cfRule>
    <cfRule type="cellIs" dxfId="331" priority="113" stopIfTrue="1" operator="lessThanOrEqual">
      <formula>30</formula>
    </cfRule>
  </conditionalFormatting>
  <conditionalFormatting sqref="U13">
    <cfRule type="cellIs" dxfId="330" priority="114" stopIfTrue="1" operator="greaterThanOrEqual">
      <formula>30</formula>
    </cfRule>
    <cfRule type="cellIs" dxfId="329" priority="115" stopIfTrue="1" operator="lessThanOrEqual">
      <formula>20</formula>
    </cfRule>
  </conditionalFormatting>
  <conditionalFormatting sqref="U14">
    <cfRule type="cellIs" dxfId="328" priority="116" stopIfTrue="1" operator="greaterThanOrEqual">
      <formula>20</formula>
    </cfRule>
    <cfRule type="cellIs" dxfId="327" priority="117" stopIfTrue="1" operator="lessThanOrEqual">
      <formula>10</formula>
    </cfRule>
  </conditionalFormatting>
  <conditionalFormatting sqref="V6:AL6 AN6:BF6">
    <cfRule type="cellIs" dxfId="326" priority="98" stopIfTrue="1" operator="greaterThanOrEqual">
      <formula>100</formula>
    </cfRule>
    <cfRule type="cellIs" dxfId="325" priority="99" stopIfTrue="1" operator="lessThanOrEqual">
      <formula>90</formula>
    </cfRule>
  </conditionalFormatting>
  <conditionalFormatting sqref="AZ11">
    <cfRule type="cellIs" dxfId="324" priority="94" stopIfTrue="1" operator="greaterThanOrEqual">
      <formula>60</formula>
    </cfRule>
    <cfRule type="cellIs" dxfId="323" priority="95" stopIfTrue="1" operator="lessThanOrEqual">
      <formula>50</formula>
    </cfRule>
  </conditionalFormatting>
  <conditionalFormatting sqref="AZ10">
    <cfRule type="cellIs" dxfId="322" priority="92" stopIfTrue="1" operator="greaterThanOrEqual">
      <formula>60</formula>
    </cfRule>
    <cfRule type="cellIs" dxfId="321" priority="93" stopIfTrue="1" operator="lessThanOrEqual">
      <formula>50</formula>
    </cfRule>
  </conditionalFormatting>
  <conditionalFormatting sqref="AW10">
    <cfRule type="cellIs" dxfId="320" priority="90" stopIfTrue="1" operator="greaterThanOrEqual">
      <formula>60</formula>
    </cfRule>
    <cfRule type="cellIs" dxfId="319" priority="91" stopIfTrue="1" operator="lessThanOrEqual">
      <formula>50</formula>
    </cfRule>
  </conditionalFormatting>
  <conditionalFormatting sqref="AW11">
    <cfRule type="cellIs" dxfId="318" priority="88" stopIfTrue="1" operator="greaterThanOrEqual">
      <formula>40</formula>
    </cfRule>
    <cfRule type="cellIs" dxfId="317" priority="89" stopIfTrue="1" operator="lessThanOrEqual">
      <formula>30</formula>
    </cfRule>
  </conditionalFormatting>
  <conditionalFormatting sqref="B28:AY28">
    <cfRule type="cellIs" dxfId="316" priority="25" stopIfTrue="1" operator="greaterThanOrEqual">
      <formula>5</formula>
    </cfRule>
    <cfRule type="cellIs" dxfId="315" priority="26" stopIfTrue="1" operator="lessThanOrEqual">
      <formula>4</formula>
    </cfRule>
  </conditionalFormatting>
  <conditionalFormatting sqref="B29:AY29">
    <cfRule type="cellIs" dxfId="314" priority="27" stopIfTrue="1" operator="greaterThanOrEqual">
      <formula>4</formula>
    </cfRule>
    <cfRule type="cellIs" dxfId="313" priority="28" stopIfTrue="1" operator="lessThanOrEqual">
      <formula>3</formula>
    </cfRule>
  </conditionalFormatting>
  <conditionalFormatting sqref="B30:AY30">
    <cfRule type="cellIs" dxfId="312" priority="29" stopIfTrue="1" operator="greaterThanOrEqual">
      <formula>3</formula>
    </cfRule>
    <cfRule type="cellIs" dxfId="311" priority="30" stopIfTrue="1" operator="lessThanOrEqual">
      <formula>2</formula>
    </cfRule>
  </conditionalFormatting>
  <conditionalFormatting sqref="B31:AY31">
    <cfRule type="cellIs" dxfId="310" priority="31" stopIfTrue="1" operator="greaterThanOrEqual">
      <formula>2</formula>
    </cfRule>
    <cfRule type="cellIs" dxfId="309" priority="32" stopIfTrue="1" operator="lessThanOrEqual">
      <formula>1</formula>
    </cfRule>
  </conditionalFormatting>
  <conditionalFormatting sqref="C33:AH33 C32:AY32 B32:B33">
    <cfRule type="cellIs" dxfId="308" priority="33" stopIfTrue="1" operator="greaterThanOrEqual">
      <formula>1</formula>
    </cfRule>
    <cfRule type="cellIs" dxfId="307" priority="34" stopIfTrue="1" operator="lessThanOrEqual">
      <formula>0</formula>
    </cfRule>
  </conditionalFormatting>
  <conditionalFormatting sqref="B34:AY34">
    <cfRule type="cellIs" dxfId="306" priority="35" stopIfTrue="1" operator="greaterThanOrEqual">
      <formula>5</formula>
    </cfRule>
    <cfRule type="cellIs" dxfId="305" priority="36" stopIfTrue="1" operator="lessThanOrEqual">
      <formula>4</formula>
    </cfRule>
  </conditionalFormatting>
  <conditionalFormatting sqref="B35:D35 F35:AY35">
    <cfRule type="cellIs" dxfId="304" priority="37" stopIfTrue="1" operator="greaterThanOrEqual">
      <formula>4</formula>
    </cfRule>
    <cfRule type="cellIs" dxfId="303" priority="38" stopIfTrue="1" operator="lessThanOrEqual">
      <formula>3</formula>
    </cfRule>
  </conditionalFormatting>
  <conditionalFormatting sqref="B36:AY36">
    <cfRule type="cellIs" dxfId="302" priority="39" stopIfTrue="1" operator="greaterThanOrEqual">
      <formula>3</formula>
    </cfRule>
    <cfRule type="cellIs" dxfId="301" priority="40" stopIfTrue="1" operator="lessThanOrEqual">
      <formula>2</formula>
    </cfRule>
  </conditionalFormatting>
  <conditionalFormatting sqref="B37:AY37">
    <cfRule type="cellIs" dxfId="300" priority="41" stopIfTrue="1" operator="greaterThanOrEqual">
      <formula>2</formula>
    </cfRule>
    <cfRule type="cellIs" dxfId="299" priority="42" stopIfTrue="1" operator="lessThanOrEqual">
      <formula>1</formula>
    </cfRule>
  </conditionalFormatting>
  <conditionalFormatting sqref="C38:AY38 C39:AH39 B38:B39">
    <cfRule type="cellIs" dxfId="298" priority="43" stopIfTrue="1" operator="greaterThanOrEqual">
      <formula>1</formula>
    </cfRule>
    <cfRule type="cellIs" dxfId="297" priority="44" stopIfTrue="1" operator="lessThanOrEqual">
      <formula>0</formula>
    </cfRule>
  </conditionalFormatting>
  <conditionalFormatting sqref="B40:AY40">
    <cfRule type="cellIs" dxfId="296" priority="45" stopIfTrue="1" operator="greaterThanOrEqual">
      <formula>5</formula>
    </cfRule>
    <cfRule type="cellIs" dxfId="295" priority="46" stopIfTrue="1" operator="lessThanOrEqual">
      <formula>4</formula>
    </cfRule>
  </conditionalFormatting>
  <conditionalFormatting sqref="B41:AY41">
    <cfRule type="cellIs" dxfId="294" priority="47" stopIfTrue="1" operator="greaterThanOrEqual">
      <formula>4</formula>
    </cfRule>
    <cfRule type="cellIs" dxfId="293" priority="48" stopIfTrue="1" operator="lessThanOrEqual">
      <formula>3</formula>
    </cfRule>
  </conditionalFormatting>
  <conditionalFormatting sqref="B42:AY42">
    <cfRule type="cellIs" dxfId="292" priority="49" stopIfTrue="1" operator="greaterThanOrEqual">
      <formula>3</formula>
    </cfRule>
    <cfRule type="cellIs" dxfId="291" priority="50" stopIfTrue="1" operator="lessThanOrEqual">
      <formula>2</formula>
    </cfRule>
  </conditionalFormatting>
  <conditionalFormatting sqref="E45 B43:AY43">
    <cfRule type="cellIs" dxfId="290" priority="51" stopIfTrue="1" operator="greaterThanOrEqual">
      <formula>2</formula>
    </cfRule>
    <cfRule type="cellIs" dxfId="289" priority="52" stopIfTrue="1" operator="lessThanOrEqual">
      <formula>1</formula>
    </cfRule>
  </conditionalFormatting>
  <conditionalFormatting sqref="F44:AO44 B44:D45 F45:AH45 AQ44:AY44">
    <cfRule type="cellIs" dxfId="288" priority="53" stopIfTrue="1" operator="greaterThanOrEqual">
      <formula>1</formula>
    </cfRule>
    <cfRule type="cellIs" dxfId="287" priority="54" stopIfTrue="1" operator="lessThanOrEqual">
      <formula>0</formula>
    </cfRule>
  </conditionalFormatting>
  <conditionalFormatting sqref="B58:AY58">
    <cfRule type="cellIs" dxfId="286" priority="55" stopIfTrue="1" operator="greaterThanOrEqual">
      <formula>5</formula>
    </cfRule>
    <cfRule type="cellIs" dxfId="285" priority="56" stopIfTrue="1" operator="lessThanOrEqual">
      <formula>4</formula>
    </cfRule>
  </conditionalFormatting>
  <conditionalFormatting sqref="B59:AY59">
    <cfRule type="cellIs" dxfId="284" priority="57" stopIfTrue="1" operator="greaterThanOrEqual">
      <formula>4</formula>
    </cfRule>
    <cfRule type="cellIs" dxfId="283" priority="58" stopIfTrue="1" operator="lessThanOrEqual">
      <formula>3</formula>
    </cfRule>
  </conditionalFormatting>
  <conditionalFormatting sqref="T61 B60:AY60">
    <cfRule type="cellIs" dxfId="282" priority="59" stopIfTrue="1" operator="greaterThanOrEqual">
      <formula>3</formula>
    </cfRule>
    <cfRule type="cellIs" dxfId="281" priority="60" stopIfTrue="1" operator="lessThanOrEqual">
      <formula>2</formula>
    </cfRule>
  </conditionalFormatting>
  <conditionalFormatting sqref="U61:AY61 B61:S61">
    <cfRule type="cellIs" dxfId="280" priority="61" stopIfTrue="1" operator="greaterThanOrEqual">
      <formula>2</formula>
    </cfRule>
    <cfRule type="cellIs" dxfId="279" priority="62" stopIfTrue="1" operator="lessThanOrEqual">
      <formula>1</formula>
    </cfRule>
  </conditionalFormatting>
  <conditionalFormatting sqref="B62:AY62">
    <cfRule type="cellIs" dxfId="278" priority="63" stopIfTrue="1" operator="greaterThanOrEqual">
      <formula>1</formula>
    </cfRule>
    <cfRule type="cellIs" dxfId="277" priority="64" stopIfTrue="1" operator="lessThanOrEqual">
      <formula>0</formula>
    </cfRule>
  </conditionalFormatting>
  <conditionalFormatting sqref="B46:AY46">
    <cfRule type="cellIs" dxfId="276" priority="65" stopIfTrue="1" operator="greaterThanOrEqual">
      <formula>5</formula>
    </cfRule>
    <cfRule type="cellIs" dxfId="275" priority="66" stopIfTrue="1" operator="lessThanOrEqual">
      <formula>4</formula>
    </cfRule>
  </conditionalFormatting>
  <conditionalFormatting sqref="B47:AY47">
    <cfRule type="cellIs" dxfId="274" priority="67" stopIfTrue="1" operator="greaterThanOrEqual">
      <formula>4</formula>
    </cfRule>
    <cfRule type="cellIs" dxfId="273" priority="68" stopIfTrue="1" operator="lessThanOrEqual">
      <formula>3</formula>
    </cfRule>
  </conditionalFormatting>
  <conditionalFormatting sqref="B48:AY48">
    <cfRule type="cellIs" dxfId="272" priority="69" stopIfTrue="1" operator="greaterThanOrEqual">
      <formula>3</formula>
    </cfRule>
    <cfRule type="cellIs" dxfId="271" priority="70" stopIfTrue="1" operator="lessThanOrEqual">
      <formula>2</formula>
    </cfRule>
  </conditionalFormatting>
  <conditionalFormatting sqref="B49:AY49">
    <cfRule type="cellIs" dxfId="270" priority="71" stopIfTrue="1" operator="greaterThanOrEqual">
      <formula>2</formula>
    </cfRule>
    <cfRule type="cellIs" dxfId="269" priority="72" stopIfTrue="1" operator="lessThanOrEqual">
      <formula>1</formula>
    </cfRule>
  </conditionalFormatting>
  <conditionalFormatting sqref="C50:AY50 C51:AH51 B50:B51">
    <cfRule type="cellIs" dxfId="268" priority="73" stopIfTrue="1" operator="greaterThanOrEqual">
      <formula>1</formula>
    </cfRule>
    <cfRule type="cellIs" dxfId="267" priority="74" stopIfTrue="1" operator="lessThanOrEqual">
      <formula>0</formula>
    </cfRule>
  </conditionalFormatting>
  <conditionalFormatting sqref="B52:AY52">
    <cfRule type="cellIs" dxfId="266" priority="75" stopIfTrue="1" operator="greaterThanOrEqual">
      <formula>5</formula>
    </cfRule>
    <cfRule type="cellIs" dxfId="265" priority="76" stopIfTrue="1" operator="lessThanOrEqual">
      <formula>4</formula>
    </cfRule>
  </conditionalFormatting>
  <conditionalFormatting sqref="B53:AB53 AD53:AY53">
    <cfRule type="cellIs" dxfId="264" priority="77" stopIfTrue="1" operator="greaterThanOrEqual">
      <formula>4</formula>
    </cfRule>
    <cfRule type="cellIs" dxfId="263" priority="78" stopIfTrue="1" operator="lessThanOrEqual">
      <formula>3</formula>
    </cfRule>
  </conditionalFormatting>
  <conditionalFormatting sqref="B54:AY54">
    <cfRule type="cellIs" dxfId="262" priority="79" stopIfTrue="1" operator="greaterThanOrEqual">
      <formula>3</formula>
    </cfRule>
    <cfRule type="cellIs" dxfId="261" priority="80" stopIfTrue="1" operator="lessThanOrEqual">
      <formula>2</formula>
    </cfRule>
  </conditionalFormatting>
  <conditionalFormatting sqref="B55:AY55">
    <cfRule type="cellIs" dxfId="260" priority="81" stopIfTrue="1" operator="greaterThanOrEqual">
      <formula>2</formula>
    </cfRule>
    <cfRule type="cellIs" dxfId="259" priority="82" stopIfTrue="1" operator="lessThanOrEqual">
      <formula>1</formula>
    </cfRule>
  </conditionalFormatting>
  <conditionalFormatting sqref="C56:AY56 C57:AH57 B56:B57">
    <cfRule type="cellIs" dxfId="258" priority="83" stopIfTrue="1" operator="greaterThanOrEqual">
      <formula>1</formula>
    </cfRule>
    <cfRule type="cellIs" dxfId="257" priority="84" stopIfTrue="1" operator="lessThanOrEqual">
      <formula>0</formula>
    </cfRule>
  </conditionalFormatting>
  <conditionalFormatting sqref="X26:AY26 X27:AH27 B26:O27">
    <cfRule type="cellIs" dxfId="256" priority="85" stopIfTrue="1" operator="greaterThanOrEqual">
      <formula>1</formula>
    </cfRule>
    <cfRule type="cellIs" dxfId="255" priority="86" stopIfTrue="1" operator="equal">
      <formula>0</formula>
    </cfRule>
    <cfRule type="cellIs" dxfId="254" priority="87" stopIfTrue="1" operator="lessThan">
      <formula>0</formula>
    </cfRule>
  </conditionalFormatting>
  <conditionalFormatting sqref="P26:P27">
    <cfRule type="cellIs" dxfId="253" priority="22" stopIfTrue="1" operator="greaterThanOrEqual">
      <formula>1</formula>
    </cfRule>
    <cfRule type="cellIs" dxfId="252" priority="23" stopIfTrue="1" operator="equal">
      <formula>0</formula>
    </cfRule>
    <cfRule type="cellIs" dxfId="251" priority="24" stopIfTrue="1" operator="lessThan">
      <formula>0</formula>
    </cfRule>
  </conditionalFormatting>
  <conditionalFormatting sqref="Q26:Q27">
    <cfRule type="cellIs" dxfId="250" priority="19" stopIfTrue="1" operator="greaterThanOrEqual">
      <formula>1</formula>
    </cfRule>
    <cfRule type="cellIs" dxfId="249" priority="20" stopIfTrue="1" operator="equal">
      <formula>0</formula>
    </cfRule>
    <cfRule type="cellIs" dxfId="248" priority="21" stopIfTrue="1" operator="lessThan">
      <formula>0</formula>
    </cfRule>
  </conditionalFormatting>
  <conditionalFormatting sqref="R26:U27 W26:W27">
    <cfRule type="cellIs" dxfId="247" priority="16" stopIfTrue="1" operator="greaterThanOrEqual">
      <formula>1</formula>
    </cfRule>
    <cfRule type="cellIs" dxfId="246" priority="17" stopIfTrue="1" operator="equal">
      <formula>0</formula>
    </cfRule>
    <cfRule type="cellIs" dxfId="245" priority="18" stopIfTrue="1" operator="lessThan">
      <formula>0</formula>
    </cfRule>
  </conditionalFormatting>
  <conditionalFormatting sqref="V26:V27">
    <cfRule type="cellIs" dxfId="244" priority="13" stopIfTrue="1" operator="greaterThanOrEqual">
      <formula>1</formula>
    </cfRule>
    <cfRule type="cellIs" dxfId="243" priority="14" stopIfTrue="1" operator="equal">
      <formula>0</formula>
    </cfRule>
    <cfRule type="cellIs" dxfId="242" priority="15" stopIfTrue="1" operator="lessThan">
      <formula>0</formula>
    </cfRule>
  </conditionalFormatting>
  <conditionalFormatting sqref="E44">
    <cfRule type="cellIs" dxfId="241" priority="11" stopIfTrue="1" operator="greaterThanOrEqual">
      <formula>1</formula>
    </cfRule>
    <cfRule type="cellIs" dxfId="240" priority="12" stopIfTrue="1" operator="lessThanOrEqual">
      <formula>0</formula>
    </cfRule>
  </conditionalFormatting>
  <conditionalFormatting sqref="E35">
    <cfRule type="cellIs" dxfId="239" priority="9" stopIfTrue="1" operator="greaterThanOrEqual">
      <formula>3</formula>
    </cfRule>
    <cfRule type="cellIs" dxfId="238" priority="10" stopIfTrue="1" operator="lessThanOrEqual">
      <formula>2</formula>
    </cfRule>
  </conditionalFormatting>
  <conditionalFormatting sqref="AP44">
    <cfRule type="cellIs" dxfId="237" priority="5" stopIfTrue="1" operator="greaterThanOrEqual">
      <formula>1</formula>
    </cfRule>
    <cfRule type="cellIs" dxfId="236" priority="6" stopIfTrue="1" operator="lessThanOrEqual">
      <formula>0</formula>
    </cfRule>
  </conditionalFormatting>
  <conditionalFormatting sqref="AC53">
    <cfRule type="cellIs" dxfId="235" priority="1" stopIfTrue="1" operator="greaterThanOrEqual">
      <formula>4</formula>
    </cfRule>
    <cfRule type="cellIs" dxfId="234" priority="2" stopIfTrue="1" operator="lessThanOrEqual">
      <formula>3</formula>
    </cfRule>
  </conditionalFormatting>
  <printOptions horizontalCentered="1" verticalCentered="1"/>
  <pageMargins left="0" right="0" top="0" bottom="0" header="0" footer="0"/>
  <pageSetup paperSize="9" scale="130" orientation="portrait" horizontalDpi="0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DA718-399E-EE4B-8DE4-7CEADCD9A7BE}">
  <sheetPr>
    <tabColor rgb="FFE75FE8"/>
  </sheetPr>
  <dimension ref="A1:N59"/>
  <sheetViews>
    <sheetView zoomScale="150" zoomScaleNormal="150" workbookViewId="0">
      <selection activeCell="M46" sqref="M46"/>
    </sheetView>
  </sheetViews>
  <sheetFormatPr baseColWidth="10" defaultColWidth="10.83203125" defaultRowHeight="13"/>
  <cols>
    <col min="1" max="1" width="3.5" customWidth="1"/>
    <col min="2" max="2" width="13.5" style="49" customWidth="1"/>
    <col min="3" max="3" width="7.6640625" style="49" customWidth="1"/>
    <col min="4" max="4" width="8.5" style="49" customWidth="1"/>
    <col min="5" max="5" width="8.1640625" style="49" customWidth="1"/>
    <col min="6" max="6" width="8.6640625" style="49" customWidth="1"/>
    <col min="7" max="7" width="8.1640625" style="49" customWidth="1"/>
    <col min="8" max="8" width="8" customWidth="1"/>
    <col min="9" max="9" width="9.1640625" customWidth="1"/>
    <col min="10" max="10" width="9.5" customWidth="1"/>
    <col min="11" max="11" width="10.33203125" customWidth="1"/>
    <col min="12" max="12" width="3.33203125" customWidth="1"/>
  </cols>
  <sheetData>
    <row r="1" spans="1:12" ht="12" customHeight="1" thickBot="1">
      <c r="A1" s="106"/>
      <c r="B1" s="81"/>
      <c r="C1" s="568" t="s">
        <v>2361</v>
      </c>
      <c r="D1" s="568" t="s">
        <v>2362</v>
      </c>
      <c r="E1" s="568" t="s">
        <v>2363</v>
      </c>
      <c r="F1" s="568" t="s">
        <v>2364</v>
      </c>
      <c r="G1" s="568" t="s">
        <v>2365</v>
      </c>
      <c r="H1" s="568" t="s">
        <v>2366</v>
      </c>
      <c r="I1" s="568" t="s">
        <v>2367</v>
      </c>
      <c r="J1" s="568" t="s">
        <v>2368</v>
      </c>
      <c r="K1" s="76"/>
      <c r="L1" s="1"/>
    </row>
    <row r="2" spans="1:12" ht="10.5" customHeight="1">
      <c r="A2" s="84">
        <v>1</v>
      </c>
      <c r="B2" s="85" t="s">
        <v>339</v>
      </c>
      <c r="C2" s="262">
        <f>Plan!X26*15*6*Plan!X15*1+1</f>
        <v>1</v>
      </c>
      <c r="D2" s="262">
        <f>Plan!Y26*15*6*Plan!Y15*1+1</f>
        <v>19637.363636363636</v>
      </c>
      <c r="E2" s="262">
        <f>Plan!Z26*15*6*Plan!Z15*1+1</f>
        <v>1</v>
      </c>
      <c r="F2" s="262">
        <f>Plan!AA26*15*6*Plan!AA15*1+1</f>
        <v>1</v>
      </c>
      <c r="G2" s="262">
        <f>Plan!AB26*15*6*Plan!AB15*1+1</f>
        <v>1</v>
      </c>
      <c r="H2" s="262">
        <f>Plan!AC26*15*6*Plan!AC15*1+1</f>
        <v>1</v>
      </c>
      <c r="I2" s="262">
        <f>Plan!AD26*15*6*Plan!AD15*1+1</f>
        <v>1</v>
      </c>
      <c r="J2" s="262">
        <f>Plan!AE26*15*6*Plan!AE15*1+1</f>
        <v>1</v>
      </c>
      <c r="K2" s="80"/>
      <c r="L2" s="1"/>
    </row>
    <row r="3" spans="1:12" ht="10.5" customHeight="1" thickBot="1">
      <c r="A3" s="84">
        <v>2</v>
      </c>
      <c r="B3" s="85" t="s">
        <v>340</v>
      </c>
      <c r="C3" s="263">
        <f>Plan!X32*15*6*Plan!X15*0.8+1</f>
        <v>26182.818181818187</v>
      </c>
      <c r="D3" s="263">
        <f>Plan!Y32*15*6*Plan!Y15*0.8+1</f>
        <v>11782.818181818184</v>
      </c>
      <c r="E3" s="263">
        <f>Plan!Z32*15*6*Plan!Z15*0.8+1</f>
        <v>11782.818181818184</v>
      </c>
      <c r="F3" s="263">
        <f>Plan!AA32*15*6*Plan!AA15*0.8+1</f>
        <v>11782.818181818184</v>
      </c>
      <c r="G3" s="263">
        <f>Plan!AB32*15*6*Plan!AB15*0.8+1</f>
        <v>1310.0909090909092</v>
      </c>
      <c r="H3" s="263">
        <f>Plan!AC32*15*6*Plan!AC15*0.8+1</f>
        <v>655.54545454545462</v>
      </c>
      <c r="I3" s="263">
        <f>Plan!AD32*15*6*Plan!AD15*0.8+1</f>
        <v>1310.0909090909092</v>
      </c>
      <c r="J3" s="263">
        <f>Plan!AE32*15*6*Plan!AE15*0.8+1</f>
        <v>3273.7272727272734</v>
      </c>
      <c r="K3" s="80"/>
      <c r="L3" s="1"/>
    </row>
    <row r="4" spans="1:12" ht="10.5" customHeight="1" thickBot="1">
      <c r="A4" s="84">
        <v>3</v>
      </c>
      <c r="B4" s="85" t="s">
        <v>341</v>
      </c>
      <c r="C4" s="262">
        <f>Plan!X38*15*6*Plan!X15*0.7+1</f>
        <v>9164.636363636364</v>
      </c>
      <c r="D4" s="262">
        <f>Plan!Y38*15*6*Plan!Y15*0.7+1</f>
        <v>3437.363636363636</v>
      </c>
      <c r="E4" s="262">
        <f>Plan!Z38*15*6*Plan!Z15*0.7+1</f>
        <v>10310.090909090908</v>
      </c>
      <c r="F4" s="262">
        <f>Plan!AA38*15*6*Plan!AA15*0.7+1</f>
        <v>6873.7272727272721</v>
      </c>
      <c r="G4" s="262">
        <f>Plan!AB38*15*6*Plan!AB15*0.7+1</f>
        <v>1719.1818181818185</v>
      </c>
      <c r="H4" s="262">
        <f>Plan!AC38*15*6*Plan!AC15*0.7+1</f>
        <v>1719.1818181818185</v>
      </c>
      <c r="I4" s="262">
        <f>Plan!AD38*15*6*Plan!AD15*0.7+1</f>
        <v>573.72727272727275</v>
      </c>
      <c r="J4" s="262">
        <f>Plan!AE38*15*6*Plan!AE15*0.7+1</f>
        <v>573.72727272727275</v>
      </c>
      <c r="K4" s="80"/>
      <c r="L4" s="1"/>
    </row>
    <row r="5" spans="1:12" ht="10.5" customHeight="1" thickBot="1">
      <c r="A5" s="84">
        <v>4</v>
      </c>
      <c r="B5" s="85" t="s">
        <v>342</v>
      </c>
      <c r="C5" s="262">
        <f>Plan!X44*15*6*Plan!X15*0.6+1</f>
        <v>7855.545454545455</v>
      </c>
      <c r="D5" s="262">
        <f>Plan!Y44*15*6*Plan!Y15*0.6+1</f>
        <v>2946.4545454545455</v>
      </c>
      <c r="E5" s="262">
        <f>Plan!Z44*15*6*Plan!Z15*0.6+1</f>
        <v>1</v>
      </c>
      <c r="F5" s="262">
        <f>Plan!AA44*15*6*Plan!AA15*0.6+1</f>
        <v>1</v>
      </c>
      <c r="G5" s="262">
        <f>Plan!AB44*15*6*Plan!AB15*0.6+1</f>
        <v>1</v>
      </c>
      <c r="H5" s="262">
        <f>Plan!AC44*15*6*Plan!AC15*0.6+1</f>
        <v>1</v>
      </c>
      <c r="I5" s="262">
        <f>Plan!AD44*15*6*Plan!AD15*0.6+1</f>
        <v>1</v>
      </c>
      <c r="J5" s="262">
        <f>Plan!AE44*15*6*Plan!AE15*0.6+1</f>
        <v>1</v>
      </c>
      <c r="K5" s="80"/>
      <c r="L5" s="1"/>
    </row>
    <row r="6" spans="1:12" ht="10.5" customHeight="1" thickBot="1">
      <c r="A6" s="84">
        <v>5</v>
      </c>
      <c r="B6" s="85" t="s">
        <v>202</v>
      </c>
      <c r="C6" s="262">
        <f>Plan!X50*15*6*Plan!X15*0.5+1</f>
        <v>1</v>
      </c>
      <c r="D6" s="262">
        <f>Plan!Y50*15*6*Plan!Y15*0.5+1</f>
        <v>1</v>
      </c>
      <c r="E6" s="262">
        <f>Plan!Z50*15*6*Plan!Z15*0.5+1</f>
        <v>2455.5454545454545</v>
      </c>
      <c r="F6" s="262">
        <f>Plan!AA50*15*6*Plan!AA15*0.5+1</f>
        <v>4910.090909090909</v>
      </c>
      <c r="G6" s="262">
        <f>Plan!AB50*15*6*Plan!AB15*0.5+1</f>
        <v>1228.2727272727275</v>
      </c>
      <c r="H6" s="262">
        <f>Plan!AC50*15*6*Plan!AC15*0.5+1</f>
        <v>1637.3636363636365</v>
      </c>
      <c r="I6" s="262">
        <f>Plan!AD50*15*6*Plan!AD15*0.5+1</f>
        <v>2046.4545454545457</v>
      </c>
      <c r="J6" s="262">
        <f>Plan!AE50*15*6*Plan!AE15*0.5+1</f>
        <v>1228.2727272727275</v>
      </c>
      <c r="K6" s="80"/>
      <c r="L6" s="1"/>
    </row>
    <row r="7" spans="1:12" ht="10.5" customHeight="1" thickBot="1">
      <c r="A7" s="84">
        <v>6</v>
      </c>
      <c r="B7" s="85" t="s">
        <v>203</v>
      </c>
      <c r="C7" s="262">
        <f>Plan!X56*15*6*Plan!XS15*0.4+1</f>
        <v>1</v>
      </c>
      <c r="D7" s="262">
        <f>Plan!Y56*15*6*Plan!XT15*0.4+1</f>
        <v>1</v>
      </c>
      <c r="E7" s="262">
        <f>Plan!Z56*15*6*Plan!XU15*0.4+1</f>
        <v>1</v>
      </c>
      <c r="F7" s="262">
        <f>Plan!AA56*15*6*Plan!XV15*0.4+1</f>
        <v>1</v>
      </c>
      <c r="G7" s="262">
        <f>Plan!AB56*15*6*Plan!XW15*0.4+1</f>
        <v>1</v>
      </c>
      <c r="H7" s="262">
        <f>Plan!AC56*15*6*Plan!XX15*0.4+1</f>
        <v>1</v>
      </c>
      <c r="I7" s="262">
        <f>Plan!AD56*15*6*Plan!XY15*0.4+1</f>
        <v>1</v>
      </c>
      <c r="J7" s="262">
        <f>Plan!AE56*15*6*Plan!XZ15*0.4+1</f>
        <v>1</v>
      </c>
      <c r="K7" s="80"/>
      <c r="L7" s="1"/>
    </row>
    <row r="8" spans="1:12" ht="10.5" customHeight="1" thickBot="1">
      <c r="A8" s="84">
        <v>7</v>
      </c>
      <c r="B8" s="85" t="s">
        <v>204</v>
      </c>
      <c r="C8" s="262">
        <f>Plan!X62*15*6*Plan!X15*0.3+1</f>
        <v>3928.2727272727275</v>
      </c>
      <c r="D8" s="262">
        <f>Plan!Y62*15*6*Plan!Y15*0.3+1</f>
        <v>2946.4545454545455</v>
      </c>
      <c r="E8" s="262">
        <f>Plan!Z62*15*6*Plan!Z15*0.3+1</f>
        <v>4419.181818181818</v>
      </c>
      <c r="F8" s="262">
        <f>Plan!AA62*15*6*Plan!AA15*0.3+1</f>
        <v>4419.181818181818</v>
      </c>
      <c r="G8" s="262">
        <f>Plan!AB62*15*6*Plan!AB15*0.3+1</f>
        <v>737.36363636363649</v>
      </c>
      <c r="H8" s="262">
        <f>Plan!AC62*15*6*Plan!AC15*0.3+1</f>
        <v>982.81818181818187</v>
      </c>
      <c r="I8" s="262">
        <f>Plan!AD62*15*6*Plan!AD15*0.3+1</f>
        <v>982.81818181818187</v>
      </c>
      <c r="J8" s="262">
        <f>Plan!AE62*15*6*Plan!AE15*0.3+1</f>
        <v>982.81818181818187</v>
      </c>
      <c r="K8" s="80"/>
      <c r="L8" s="1"/>
    </row>
    <row r="9" spans="1:12" ht="10.5" customHeight="1" thickBot="1">
      <c r="A9" s="84">
        <v>8</v>
      </c>
      <c r="B9" s="85" t="s">
        <v>205</v>
      </c>
      <c r="C9" s="588" t="e">
        <f>Plan!#REF!*5.5*5+1</f>
        <v>#REF!</v>
      </c>
      <c r="D9" s="588" t="e">
        <f>Plan!#REF!*5.5*5+1</f>
        <v>#REF!</v>
      </c>
      <c r="E9" s="588" t="e">
        <f>Plan!#REF!*5.5*5+1</f>
        <v>#REF!</v>
      </c>
      <c r="F9" s="588" t="e">
        <f>Plan!#REF!*5.5*5+1</f>
        <v>#REF!</v>
      </c>
      <c r="G9" s="588" t="e">
        <f>Plan!#REF!*5.5*5+1</f>
        <v>#REF!</v>
      </c>
      <c r="H9" s="588" t="e">
        <f>Plan!#REF!*5.5*5+1</f>
        <v>#REF!</v>
      </c>
      <c r="I9" s="588" t="e">
        <f>Plan!#REF!*5.5*5+1</f>
        <v>#REF!</v>
      </c>
      <c r="J9" s="588" t="e">
        <f>Plan!#REF!*5.5*5+1</f>
        <v>#REF!</v>
      </c>
      <c r="K9" s="80"/>
      <c r="L9" s="1"/>
    </row>
    <row r="10" spans="1:12" ht="10.5" customHeight="1" thickBot="1">
      <c r="A10" s="84">
        <v>9</v>
      </c>
      <c r="B10" s="85" t="s">
        <v>206</v>
      </c>
      <c r="C10" s="588" t="e">
        <f>Plan!#REF!*5.5*5+1</f>
        <v>#REF!</v>
      </c>
      <c r="D10" s="588" t="e">
        <f>Plan!#REF!*5.5*5+1</f>
        <v>#REF!</v>
      </c>
      <c r="E10" s="588" t="e">
        <f>Plan!#REF!*5.5*5+1</f>
        <v>#REF!</v>
      </c>
      <c r="F10" s="588" t="e">
        <f>Plan!#REF!*5.5*5+1</f>
        <v>#REF!</v>
      </c>
      <c r="G10" s="588" t="e">
        <f>Plan!#REF!*5.5*5+1</f>
        <v>#REF!</v>
      </c>
      <c r="H10" s="588" t="e">
        <f>Plan!#REF!*5.5*5+1</f>
        <v>#REF!</v>
      </c>
      <c r="I10" s="588" t="e">
        <f>Plan!#REF!*5.5*5+1</f>
        <v>#REF!</v>
      </c>
      <c r="J10" s="588" t="e">
        <f>Plan!#REF!*5.5*5+1</f>
        <v>#REF!</v>
      </c>
      <c r="K10" s="80"/>
      <c r="L10" s="1"/>
    </row>
    <row r="11" spans="1:12" ht="10.5" customHeight="1" thickBot="1">
      <c r="A11" s="84">
        <v>10</v>
      </c>
      <c r="B11" s="85" t="s">
        <v>207</v>
      </c>
      <c r="C11" s="588" t="e">
        <f>Plan!#REF!*5.5*5+1</f>
        <v>#REF!</v>
      </c>
      <c r="D11" s="588" t="e">
        <f>Plan!#REF!*5.5*5+1</f>
        <v>#REF!</v>
      </c>
      <c r="E11" s="588" t="e">
        <f>Plan!#REF!*5.5*5+1</f>
        <v>#REF!</v>
      </c>
      <c r="F11" s="588" t="e">
        <f>Plan!#REF!*5.5*5+1</f>
        <v>#REF!</v>
      </c>
      <c r="G11" s="588" t="e">
        <f>Plan!#REF!*5.5*5+1</f>
        <v>#REF!</v>
      </c>
      <c r="H11" s="588" t="e">
        <f>Plan!#REF!*5.5*5+1</f>
        <v>#REF!</v>
      </c>
      <c r="I11" s="588" t="e">
        <f>Plan!#REF!*5.5*5+1</f>
        <v>#REF!</v>
      </c>
      <c r="J11" s="588" t="e">
        <f>Plan!#REF!*5.5*5+1</f>
        <v>#REF!</v>
      </c>
      <c r="K11" s="80"/>
      <c r="L11" s="1"/>
    </row>
    <row r="12" spans="1:12" ht="10.5" customHeight="1" thickBot="1">
      <c r="A12" s="84">
        <v>11</v>
      </c>
      <c r="B12" s="85" t="s">
        <v>208</v>
      </c>
      <c r="C12" s="588" t="e">
        <f>Plan!#REF!*5.5*5+1</f>
        <v>#REF!</v>
      </c>
      <c r="D12" s="588" t="e">
        <f>Plan!#REF!*5.5*5+1</f>
        <v>#REF!</v>
      </c>
      <c r="E12" s="588" t="e">
        <f>Plan!#REF!*5.5*5+1</f>
        <v>#REF!</v>
      </c>
      <c r="F12" s="588" t="e">
        <f>Plan!#REF!*5.5*5+1</f>
        <v>#REF!</v>
      </c>
      <c r="G12" s="588" t="e">
        <f>Plan!#REF!*5.5*5+1</f>
        <v>#REF!</v>
      </c>
      <c r="H12" s="588" t="e">
        <f>Plan!#REF!*5.5*5+1</f>
        <v>#REF!</v>
      </c>
      <c r="I12" s="588" t="e">
        <f>Plan!#REF!*5.5*5+1</f>
        <v>#REF!</v>
      </c>
      <c r="J12" s="588" t="e">
        <f>Plan!#REF!*5.5*5+1</f>
        <v>#REF!</v>
      </c>
      <c r="K12" s="80"/>
      <c r="L12" s="1"/>
    </row>
    <row r="13" spans="1:12" ht="10.5" customHeight="1">
      <c r="A13" s="84">
        <v>12</v>
      </c>
      <c r="B13" s="85" t="s">
        <v>209</v>
      </c>
      <c r="C13" s="588" t="e">
        <f>Plan!#REF!*5.5*5+1</f>
        <v>#REF!</v>
      </c>
      <c r="D13" s="588" t="e">
        <f>Plan!#REF!*5.5*5+1</f>
        <v>#REF!</v>
      </c>
      <c r="E13" s="588" t="e">
        <f>Plan!#REF!*5.5*5+1</f>
        <v>#REF!</v>
      </c>
      <c r="F13" s="588" t="e">
        <f>Plan!#REF!*5.5*5+1</f>
        <v>#REF!</v>
      </c>
      <c r="G13" s="588" t="e">
        <f>Plan!#REF!*5.5*5+1</f>
        <v>#REF!</v>
      </c>
      <c r="H13" s="588" t="e">
        <f>Plan!#REF!*5.5*5+1</f>
        <v>#REF!</v>
      </c>
      <c r="I13" s="588" t="e">
        <f>Plan!#REF!*5.5*5+1</f>
        <v>#REF!</v>
      </c>
      <c r="J13" s="588" t="e">
        <f>Plan!#REF!*5.5*5+1</f>
        <v>#REF!</v>
      </c>
      <c r="K13" s="80"/>
      <c r="L13" s="1"/>
    </row>
    <row r="14" spans="1:12" ht="12" customHeight="1">
      <c r="A14" s="84"/>
      <c r="B14" s="265" t="s">
        <v>210</v>
      </c>
      <c r="C14" s="268">
        <f t="shared" ref="C14:G14" si="0">SUM(C2:C8)</f>
        <v>47134.272727272735</v>
      </c>
      <c r="D14" s="268">
        <f t="shared" si="0"/>
        <v>40752.454545454544</v>
      </c>
      <c r="E14" s="268">
        <f t="shared" si="0"/>
        <v>28970.636363636368</v>
      </c>
      <c r="F14" s="268">
        <f t="shared" si="0"/>
        <v>27988.818181818184</v>
      </c>
      <c r="G14" s="267">
        <f t="shared" si="0"/>
        <v>4997.9090909090919</v>
      </c>
      <c r="H14" s="267">
        <f t="shared" ref="H14:J14" si="1">SUM(H2:H8)</f>
        <v>4997.909090909091</v>
      </c>
      <c r="I14" s="267">
        <f t="shared" si="1"/>
        <v>4916.0909090909099</v>
      </c>
      <c r="J14" s="267">
        <f t="shared" si="1"/>
        <v>6061.5454545454559</v>
      </c>
      <c r="K14" s="80"/>
      <c r="L14" s="1"/>
    </row>
    <row r="15" spans="1:12" ht="12" customHeight="1" thickBot="1">
      <c r="A15" s="86"/>
      <c r="B15" s="321" t="s">
        <v>76</v>
      </c>
      <c r="C15" s="87" t="e">
        <f t="shared" ref="C15:G15" si="2">SUM(C9:C13)*100</f>
        <v>#REF!</v>
      </c>
      <c r="D15" s="87" t="e">
        <f t="shared" si="2"/>
        <v>#REF!</v>
      </c>
      <c r="E15" s="87" t="e">
        <f t="shared" si="2"/>
        <v>#REF!</v>
      </c>
      <c r="F15" s="87" t="e">
        <f t="shared" si="2"/>
        <v>#REF!</v>
      </c>
      <c r="G15" s="87" t="e">
        <f t="shared" si="2"/>
        <v>#REF!</v>
      </c>
      <c r="H15" s="87" t="e">
        <f t="shared" ref="H15:J15" si="3">SUM(H9:H13)*100</f>
        <v>#REF!</v>
      </c>
      <c r="I15" s="87" t="e">
        <f t="shared" si="3"/>
        <v>#REF!</v>
      </c>
      <c r="J15" s="87" t="e">
        <f t="shared" si="3"/>
        <v>#REF!</v>
      </c>
      <c r="K15" s="80"/>
      <c r="L15" s="1"/>
    </row>
    <row r="16" spans="1:12" ht="9" customHeight="1">
      <c r="A16" s="78"/>
      <c r="B16" s="79"/>
      <c r="C16" s="50"/>
      <c r="D16" s="50"/>
      <c r="E16" s="50"/>
      <c r="F16" s="50"/>
      <c r="G16" s="76"/>
      <c r="H16" s="76"/>
      <c r="I16" s="76"/>
      <c r="J16" s="76"/>
      <c r="K16" s="76"/>
      <c r="L16" s="1"/>
    </row>
    <row r="17" spans="1:12" ht="9" customHeight="1">
      <c r="A17" s="76"/>
      <c r="B17" s="50"/>
      <c r="C17" s="52"/>
      <c r="D17" s="52"/>
      <c r="E17" s="52"/>
      <c r="F17" s="52"/>
      <c r="G17" s="52"/>
      <c r="H17" s="1"/>
      <c r="I17" s="1"/>
      <c r="J17" s="1"/>
      <c r="K17" s="1"/>
      <c r="L17" s="1"/>
    </row>
    <row r="18" spans="1:12" ht="9" customHeight="1">
      <c r="A18" s="1"/>
      <c r="B18" s="52"/>
      <c r="C18" s="52"/>
      <c r="D18" s="52"/>
      <c r="E18" s="52"/>
      <c r="F18" s="52"/>
      <c r="G18" s="52"/>
      <c r="H18" s="1"/>
      <c r="I18" s="1"/>
      <c r="J18" s="1"/>
      <c r="K18" s="1"/>
      <c r="L18" s="1"/>
    </row>
    <row r="19" spans="1:12" ht="9" customHeight="1">
      <c r="A19" s="1"/>
      <c r="B19" s="52"/>
      <c r="C19" s="52"/>
      <c r="D19" s="52"/>
      <c r="E19" s="52"/>
      <c r="F19" s="52"/>
      <c r="G19" s="52"/>
      <c r="H19" s="1"/>
      <c r="I19" s="1"/>
      <c r="J19" s="1"/>
      <c r="K19" s="1"/>
      <c r="L19" s="1"/>
    </row>
    <row r="20" spans="1:12" ht="9" customHeight="1">
      <c r="A20" s="1"/>
      <c r="B20" s="52"/>
      <c r="C20" s="52"/>
      <c r="D20" s="52"/>
      <c r="E20" s="52"/>
      <c r="F20" s="52"/>
      <c r="G20" s="52"/>
      <c r="H20" s="1"/>
      <c r="I20" s="1"/>
      <c r="J20" s="1"/>
      <c r="K20" s="1"/>
      <c r="L20" s="1"/>
    </row>
    <row r="21" spans="1:12" ht="9" customHeight="1">
      <c r="A21" s="1"/>
      <c r="B21" s="52"/>
      <c r="C21" s="52"/>
      <c r="D21" s="52"/>
      <c r="E21" s="52"/>
      <c r="F21" s="52"/>
      <c r="G21" s="52"/>
      <c r="H21" s="1"/>
      <c r="I21" s="1"/>
      <c r="J21" s="1"/>
      <c r="K21" s="1"/>
      <c r="L21" s="1"/>
    </row>
    <row r="22" spans="1:12" ht="9" customHeight="1">
      <c r="A22" s="1"/>
      <c r="B22" s="52"/>
      <c r="C22" s="52"/>
      <c r="D22" s="52"/>
      <c r="E22" s="52"/>
      <c r="F22" s="52"/>
      <c r="G22" s="52"/>
      <c r="H22" s="1"/>
      <c r="I22" s="1"/>
      <c r="J22" s="1"/>
      <c r="K22" s="1"/>
      <c r="L22" s="1"/>
    </row>
    <row r="23" spans="1:12" ht="9" customHeight="1">
      <c r="A23" s="1"/>
      <c r="B23" s="52"/>
      <c r="C23" s="52"/>
      <c r="D23" s="52"/>
      <c r="E23" s="52"/>
      <c r="F23" s="52"/>
      <c r="G23" s="52"/>
      <c r="H23" s="1"/>
      <c r="I23" s="1"/>
      <c r="J23" s="1"/>
      <c r="K23" s="1"/>
      <c r="L23" s="1"/>
    </row>
    <row r="24" spans="1:12" ht="9" customHeight="1">
      <c r="A24" s="1"/>
      <c r="B24" s="52"/>
      <c r="C24" s="52"/>
      <c r="D24" s="52"/>
      <c r="E24" s="52"/>
      <c r="F24" s="52"/>
      <c r="G24" s="52"/>
      <c r="H24" s="1"/>
      <c r="I24" s="1"/>
      <c r="J24" s="1"/>
      <c r="K24" s="1"/>
      <c r="L24" s="1"/>
    </row>
    <row r="25" spans="1:12" ht="9" customHeight="1">
      <c r="A25" s="1"/>
      <c r="B25" s="52"/>
      <c r="C25" s="52"/>
      <c r="D25" s="52"/>
      <c r="E25" s="52"/>
      <c r="F25" s="52"/>
      <c r="G25" s="52"/>
      <c r="H25" s="1"/>
      <c r="I25" s="1"/>
      <c r="J25" s="1"/>
      <c r="K25" s="1"/>
      <c r="L25" s="1"/>
    </row>
    <row r="26" spans="1:12" ht="9" customHeight="1">
      <c r="A26" s="1"/>
      <c r="B26" s="52"/>
      <c r="C26" s="52"/>
      <c r="D26" s="52"/>
      <c r="E26" s="52"/>
      <c r="F26" s="52"/>
      <c r="G26" s="52"/>
      <c r="H26" s="1"/>
      <c r="I26" s="1"/>
      <c r="J26" s="1"/>
      <c r="K26" s="1"/>
      <c r="L26" s="1"/>
    </row>
    <row r="27" spans="1:12" ht="9" customHeight="1">
      <c r="A27" s="1"/>
      <c r="B27" s="52"/>
      <c r="C27" s="52"/>
      <c r="D27" s="52"/>
      <c r="E27" s="52"/>
      <c r="F27" s="52"/>
      <c r="G27" s="52"/>
      <c r="H27" s="1"/>
      <c r="I27" s="1"/>
      <c r="J27" s="1"/>
      <c r="K27" s="1"/>
      <c r="L27" s="1"/>
    </row>
    <row r="28" spans="1:12" ht="9" customHeight="1">
      <c r="A28" s="1"/>
      <c r="B28" s="52"/>
      <c r="C28" s="52"/>
      <c r="D28" s="52"/>
      <c r="E28" s="52"/>
      <c r="F28" s="52"/>
      <c r="G28" s="52"/>
      <c r="H28" s="1"/>
      <c r="I28" s="1"/>
      <c r="J28" s="1"/>
      <c r="K28" s="1"/>
      <c r="L28" s="1"/>
    </row>
    <row r="29" spans="1:12" ht="9" customHeight="1">
      <c r="A29" s="1"/>
      <c r="B29" s="52"/>
      <c r="C29" s="52"/>
      <c r="D29" s="52"/>
      <c r="E29" s="52"/>
      <c r="F29" s="52"/>
      <c r="G29" s="52"/>
      <c r="H29" s="1"/>
      <c r="I29" s="1"/>
      <c r="J29" s="1"/>
      <c r="K29" s="1"/>
      <c r="L29" s="1"/>
    </row>
    <row r="30" spans="1:12" ht="9" customHeight="1">
      <c r="A30" s="1"/>
      <c r="B30" s="52"/>
      <c r="C30" s="52"/>
      <c r="D30" s="52"/>
      <c r="E30" s="52"/>
      <c r="F30" s="52"/>
      <c r="G30" s="52"/>
      <c r="H30" s="1"/>
      <c r="I30" s="1"/>
      <c r="J30" s="1"/>
      <c r="K30" s="1"/>
      <c r="L30" s="1"/>
    </row>
    <row r="31" spans="1:12" ht="9" customHeight="1">
      <c r="A31" s="1"/>
      <c r="B31" s="52"/>
      <c r="C31" s="52"/>
      <c r="D31" s="52"/>
      <c r="E31" s="52"/>
      <c r="F31" s="52"/>
      <c r="G31" s="52"/>
      <c r="H31" s="1"/>
      <c r="I31" s="1"/>
      <c r="J31" s="1"/>
      <c r="K31" s="1"/>
      <c r="L31" s="1"/>
    </row>
    <row r="32" spans="1:12" ht="9" customHeight="1">
      <c r="A32" s="1"/>
      <c r="B32" s="52"/>
      <c r="C32" s="52"/>
      <c r="D32" s="52"/>
      <c r="E32" s="52"/>
      <c r="F32" s="52"/>
      <c r="G32" s="52"/>
      <c r="H32" s="1"/>
      <c r="I32" s="1"/>
      <c r="J32" s="1"/>
      <c r="K32" s="1"/>
      <c r="L32" s="1"/>
    </row>
    <row r="33" spans="1:14" ht="9" customHeight="1">
      <c r="A33" s="1"/>
      <c r="B33" s="52"/>
      <c r="C33" s="52"/>
      <c r="D33" s="52"/>
      <c r="E33" s="52"/>
      <c r="F33" s="52"/>
      <c r="G33" s="52"/>
      <c r="H33" s="1"/>
      <c r="I33" s="1"/>
      <c r="J33" s="1"/>
      <c r="K33" s="1"/>
      <c r="L33" s="1"/>
    </row>
    <row r="34" spans="1:14" ht="9" customHeight="1">
      <c r="A34" s="1"/>
      <c r="B34" s="52"/>
      <c r="C34" s="52"/>
      <c r="D34" s="52"/>
      <c r="E34" s="52"/>
      <c r="F34" s="52"/>
      <c r="G34" s="52"/>
      <c r="H34" s="1"/>
      <c r="I34" s="1"/>
      <c r="J34" s="1"/>
      <c r="K34" s="1"/>
      <c r="L34" s="1"/>
    </row>
    <row r="35" spans="1:14" ht="12" customHeight="1">
      <c r="A35" s="1"/>
      <c r="B35" s="52"/>
      <c r="C35" s="52"/>
      <c r="D35" s="52"/>
      <c r="E35" s="52"/>
      <c r="F35" s="52"/>
      <c r="G35" s="52"/>
      <c r="H35" s="1"/>
      <c r="I35" s="1"/>
      <c r="J35" s="1"/>
      <c r="K35" s="1"/>
      <c r="L35" s="1"/>
    </row>
    <row r="36" spans="1:14">
      <c r="A36" s="1"/>
      <c r="B36" s="52"/>
      <c r="C36" s="52"/>
      <c r="D36" s="52"/>
      <c r="E36" s="52"/>
      <c r="F36" s="52"/>
      <c r="G36" s="52"/>
      <c r="H36" s="1"/>
      <c r="I36" s="1"/>
      <c r="J36" s="1"/>
      <c r="K36" s="1"/>
      <c r="L36" s="1"/>
    </row>
    <row r="37" spans="1:14">
      <c r="A37" s="1"/>
      <c r="B37" s="52"/>
      <c r="C37" s="52"/>
      <c r="D37" s="52"/>
      <c r="E37" s="52"/>
      <c r="F37" s="52"/>
      <c r="G37" s="52"/>
      <c r="H37" s="1"/>
      <c r="I37" s="1"/>
      <c r="J37" s="1"/>
      <c r="K37" s="1"/>
      <c r="L37" s="1"/>
    </row>
    <row r="38" spans="1:14">
      <c r="A38" s="1"/>
      <c r="B38" s="52"/>
      <c r="C38" s="52"/>
      <c r="D38" s="52"/>
      <c r="E38" s="52"/>
      <c r="F38" s="52"/>
      <c r="G38" s="52"/>
      <c r="H38" s="1"/>
      <c r="I38" s="1"/>
      <c r="J38" s="1"/>
      <c r="K38" s="1"/>
      <c r="L38" s="1"/>
    </row>
    <row r="39" spans="1:14">
      <c r="A39" s="76"/>
      <c r="B39" s="50"/>
      <c r="C39" s="50"/>
      <c r="D39" s="50"/>
      <c r="E39" s="50"/>
      <c r="F39" s="50"/>
      <c r="G39" s="50"/>
      <c r="H39" s="76"/>
      <c r="I39" s="76"/>
      <c r="J39" s="76"/>
      <c r="K39" s="76"/>
      <c r="L39" s="1"/>
    </row>
    <row r="40" spans="1:14">
      <c r="C40" s="54"/>
    </row>
    <row r="41" spans="1:14">
      <c r="A41" s="49"/>
      <c r="H41" s="49"/>
      <c r="I41" s="49"/>
      <c r="J41" s="49"/>
      <c r="K41" s="49"/>
      <c r="L41" s="49"/>
      <c r="M41" s="49"/>
      <c r="N41" s="49"/>
    </row>
    <row r="42" spans="1:14">
      <c r="A42" s="49"/>
      <c r="H42" s="49"/>
      <c r="I42" s="49"/>
      <c r="J42" s="49"/>
      <c r="K42" s="49"/>
      <c r="L42" s="49"/>
      <c r="M42" s="49"/>
      <c r="N42" s="49"/>
    </row>
    <row r="43" spans="1:14">
      <c r="A43" s="49"/>
      <c r="H43" s="49"/>
      <c r="I43" s="49"/>
      <c r="J43" s="49"/>
      <c r="K43" s="49"/>
      <c r="L43" s="49"/>
      <c r="M43" s="49"/>
      <c r="N43" s="49"/>
    </row>
    <row r="44" spans="1:14">
      <c r="A44" s="49"/>
      <c r="H44" s="49"/>
      <c r="I44" s="49"/>
      <c r="J44" s="49"/>
      <c r="K44" s="49"/>
      <c r="L44" s="49"/>
      <c r="M44" s="49"/>
      <c r="N44" s="49"/>
    </row>
    <row r="45" spans="1:14">
      <c r="A45" s="49"/>
      <c r="H45" s="49"/>
      <c r="I45" s="49"/>
      <c r="J45" s="49"/>
      <c r="K45" s="49"/>
      <c r="L45" s="49"/>
      <c r="M45" s="49"/>
      <c r="N45" s="49"/>
    </row>
    <row r="46" spans="1:14">
      <c r="A46" s="49"/>
      <c r="H46" s="49"/>
      <c r="I46" s="49"/>
      <c r="J46" s="49"/>
      <c r="K46" s="49"/>
      <c r="L46" s="49"/>
      <c r="M46" s="49"/>
      <c r="N46" s="49"/>
    </row>
    <row r="47" spans="1:14">
      <c r="A47" s="49"/>
      <c r="H47" s="49"/>
      <c r="I47" s="49"/>
      <c r="J47" s="49"/>
      <c r="K47" s="49"/>
      <c r="L47" s="49"/>
      <c r="M47" s="49"/>
      <c r="N47" s="49"/>
    </row>
    <row r="48" spans="1:14" ht="12.75" customHeight="1">
      <c r="A48" s="49"/>
      <c r="H48" s="49"/>
      <c r="I48" s="49"/>
      <c r="J48" s="49"/>
      <c r="K48" s="49"/>
      <c r="L48" s="49"/>
      <c r="M48" s="49"/>
      <c r="N48" s="49"/>
    </row>
    <row r="49" spans="1:14">
      <c r="A49" s="49"/>
      <c r="H49" s="49"/>
      <c r="I49" s="49"/>
      <c r="J49" s="49"/>
      <c r="K49" s="49"/>
      <c r="L49" s="49"/>
      <c r="M49" s="49"/>
      <c r="N49" s="49"/>
    </row>
    <row r="50" spans="1:14">
      <c r="A50" s="49"/>
      <c r="H50" s="49"/>
      <c r="I50" s="49"/>
      <c r="J50" s="49"/>
      <c r="K50" s="49"/>
      <c r="L50" s="49"/>
      <c r="M50" s="49"/>
      <c r="N50" s="49"/>
    </row>
    <row r="51" spans="1:14">
      <c r="A51" s="49"/>
      <c r="H51" s="49"/>
      <c r="I51" s="49"/>
      <c r="J51" s="49"/>
      <c r="K51" s="49"/>
      <c r="L51" s="49"/>
      <c r="M51" s="49"/>
      <c r="N51" s="49"/>
    </row>
    <row r="52" spans="1:14">
      <c r="A52" s="49"/>
      <c r="H52" s="49"/>
      <c r="I52" s="49"/>
      <c r="J52" s="49"/>
      <c r="K52" s="49"/>
      <c r="L52" s="49"/>
      <c r="M52" s="49"/>
      <c r="N52" s="49"/>
    </row>
    <row r="53" spans="1:14">
      <c r="A53" s="49"/>
      <c r="H53" s="49"/>
      <c r="I53" s="49"/>
      <c r="J53" s="49"/>
      <c r="K53" s="49"/>
      <c r="L53" s="49"/>
      <c r="M53" s="49"/>
      <c r="N53" s="49"/>
    </row>
    <row r="54" spans="1:14">
      <c r="A54" s="49"/>
      <c r="H54" s="49"/>
      <c r="I54" s="49"/>
      <c r="J54" s="49"/>
      <c r="K54" s="49"/>
      <c r="L54" s="49"/>
      <c r="M54" s="49"/>
      <c r="N54" s="49"/>
    </row>
    <row r="55" spans="1:14">
      <c r="A55" s="49"/>
      <c r="H55" s="49"/>
      <c r="I55" s="49"/>
      <c r="J55" s="49"/>
      <c r="K55" s="49"/>
      <c r="L55" s="49"/>
      <c r="M55" s="49"/>
      <c r="N55" s="49"/>
    </row>
    <row r="56" spans="1:14">
      <c r="A56" s="49"/>
      <c r="H56" s="49"/>
      <c r="I56" s="49"/>
      <c r="J56" s="49"/>
      <c r="K56" s="49"/>
      <c r="L56" s="49"/>
      <c r="M56" s="49"/>
      <c r="N56" s="49"/>
    </row>
    <row r="57" spans="1:14">
      <c r="A57" s="49"/>
      <c r="H57" s="49"/>
      <c r="I57" s="49"/>
      <c r="J57" s="49"/>
      <c r="K57" s="49"/>
      <c r="L57" s="49"/>
      <c r="M57" s="49"/>
      <c r="N57" s="49"/>
    </row>
    <row r="58" spans="1:14">
      <c r="A58" s="49"/>
      <c r="H58" s="49"/>
      <c r="I58" s="49"/>
      <c r="J58" s="49"/>
      <c r="K58" s="49"/>
      <c r="L58" s="49"/>
      <c r="M58" s="49"/>
      <c r="N58" s="49"/>
    </row>
    <row r="59" spans="1:14">
      <c r="A59" s="49"/>
      <c r="H59" s="49"/>
      <c r="I59" s="49"/>
      <c r="J59" s="49"/>
      <c r="K59" s="49"/>
      <c r="L59" s="49"/>
      <c r="M59" s="49"/>
      <c r="N59" s="49"/>
    </row>
  </sheetData>
  <phoneticPr fontId="19" type="noConversion"/>
  <pageMargins left="0.7" right="0.7" top="0.75" bottom="0.75" header="0.3" footer="0.3"/>
  <pageSetup paperSize="9" orientation="landscape" horizontalDpi="0" verticalDpi="0"/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8"/>
  <dimension ref="A1:W38"/>
  <sheetViews>
    <sheetView zoomScale="150" zoomScaleNormal="150" workbookViewId="0">
      <selection activeCell="N1" sqref="N1"/>
    </sheetView>
  </sheetViews>
  <sheetFormatPr baseColWidth="10" defaultColWidth="10.83203125" defaultRowHeight="13"/>
  <cols>
    <col min="1" max="1" width="3.5" customWidth="1"/>
    <col min="2" max="2" width="13.5" style="49" customWidth="1"/>
    <col min="3" max="3" width="7" customWidth="1"/>
    <col min="4" max="4" width="7" style="49" customWidth="1"/>
    <col min="5" max="5" width="7.33203125" style="49" customWidth="1"/>
    <col min="6" max="7" width="7" style="49" customWidth="1"/>
    <col min="8" max="8" width="7.1640625" style="49" customWidth="1"/>
    <col min="9" max="9" width="6.6640625" style="49" customWidth="1"/>
    <col min="10" max="10" width="6.5" style="49" customWidth="1"/>
    <col min="11" max="11" width="9" style="55" customWidth="1"/>
    <col min="12" max="12" width="2.5" customWidth="1"/>
    <col min="13" max="13" width="3.5" customWidth="1"/>
    <col min="14" max="14" width="13.5" style="49" customWidth="1"/>
    <col min="15" max="15" width="7" customWidth="1"/>
    <col min="16" max="17" width="7.6640625" customWidth="1"/>
    <col min="18" max="18" width="9" customWidth="1"/>
    <col min="19" max="23" width="7.6640625" customWidth="1"/>
  </cols>
  <sheetData>
    <row r="1" spans="1:23" ht="28">
      <c r="C1" s="6253"/>
      <c r="D1" s="6200" t="s">
        <v>2227</v>
      </c>
      <c r="E1" s="6200"/>
      <c r="Q1" s="6253" t="s">
        <v>2228</v>
      </c>
    </row>
    <row r="2" spans="1:23" ht="14" thickBot="1"/>
    <row r="3" spans="1:23" ht="14.25" customHeight="1" thickBot="1">
      <c r="A3" s="106"/>
      <c r="B3" s="81"/>
      <c r="C3" s="370" t="s">
        <v>213</v>
      </c>
      <c r="D3" s="82" t="s">
        <v>214</v>
      </c>
      <c r="E3" s="82" t="s">
        <v>215</v>
      </c>
      <c r="F3" s="82" t="s">
        <v>216</v>
      </c>
      <c r="G3" s="82" t="s">
        <v>217</v>
      </c>
      <c r="H3" s="82" t="s">
        <v>218</v>
      </c>
      <c r="I3" s="82" t="s">
        <v>219</v>
      </c>
      <c r="J3" s="82" t="s">
        <v>220</v>
      </c>
      <c r="K3" s="83" t="s">
        <v>211</v>
      </c>
      <c r="M3" s="106"/>
      <c r="N3" s="81"/>
      <c r="O3" s="370" t="s">
        <v>213</v>
      </c>
      <c r="P3" s="82" t="s">
        <v>214</v>
      </c>
      <c r="Q3" s="82" t="s">
        <v>215</v>
      </c>
      <c r="R3" s="82" t="s">
        <v>216</v>
      </c>
      <c r="S3" s="82" t="s">
        <v>217</v>
      </c>
      <c r="T3" s="82" t="s">
        <v>218</v>
      </c>
      <c r="U3" s="82" t="s">
        <v>219</v>
      </c>
      <c r="V3" s="82" t="s">
        <v>220</v>
      </c>
      <c r="W3" s="83" t="s">
        <v>211</v>
      </c>
    </row>
    <row r="4" spans="1:23" ht="13.5" customHeight="1" thickBot="1">
      <c r="A4" s="84">
        <v>1</v>
      </c>
      <c r="B4" s="85" t="s">
        <v>339</v>
      </c>
      <c r="C4" s="262">
        <v>1</v>
      </c>
      <c r="D4" s="484">
        <f>IF($C4*Calendario!B$92*$A4&gt;100,$C4*Calendario!B$92*$A4,1)</f>
        <v>1</v>
      </c>
      <c r="E4" s="484">
        <f>IF($C4*Calendario!C$92*$A4&gt;100,$C4*Calendario!C$92*$A4,1)</f>
        <v>1</v>
      </c>
      <c r="F4" s="484">
        <f>IF($C4*Calendario!D$92*$A4&gt;100,$C4*Calendario!D$92*$A4,1)</f>
        <v>1</v>
      </c>
      <c r="G4" s="484">
        <f>IF($C4*Calendario!E$92*$A4&gt;100,$C4*Calendario!E$92*$A4,1)</f>
        <v>1</v>
      </c>
      <c r="H4" s="484">
        <f>IF($C4*Calendario!F$92*$A4&gt;100,$C4*Calendario!F$92*$A4,1)</f>
        <v>1</v>
      </c>
      <c r="I4" s="484">
        <f>IF($C4*Calendario!G$92*$A4&gt;100,$C4*Calendario!G$92*$A4,1)</f>
        <v>1</v>
      </c>
      <c r="J4" s="484">
        <f>IF($C4*Calendario!H$92*$A4&gt;100,$C4*Calendario!H$92*$A4,1)</f>
        <v>1</v>
      </c>
      <c r="K4" s="485">
        <f>SUM(D4:J4)</f>
        <v>7</v>
      </c>
      <c r="M4" s="84">
        <v>1</v>
      </c>
      <c r="N4" s="85"/>
      <c r="O4" s="262">
        <v>1</v>
      </c>
      <c r="P4" s="484">
        <f>D4</f>
        <v>1</v>
      </c>
      <c r="Q4" s="484">
        <f t="shared" ref="Q4:V4" si="0">E4</f>
        <v>1</v>
      </c>
      <c r="R4" s="484">
        <f t="shared" si="0"/>
        <v>1</v>
      </c>
      <c r="S4" s="484">
        <f t="shared" si="0"/>
        <v>1</v>
      </c>
      <c r="T4" s="484">
        <f t="shared" si="0"/>
        <v>1</v>
      </c>
      <c r="U4" s="484">
        <f t="shared" si="0"/>
        <v>1</v>
      </c>
      <c r="V4" s="484">
        <f t="shared" si="0"/>
        <v>1</v>
      </c>
      <c r="W4" s="485">
        <f>SUM(P4:V4)</f>
        <v>7</v>
      </c>
    </row>
    <row r="5" spans="1:23" ht="13.5" customHeight="1" thickBot="1">
      <c r="A5" s="84">
        <v>1</v>
      </c>
      <c r="B5" s="85" t="s">
        <v>340</v>
      </c>
      <c r="C5" s="262">
        <v>19637.36363636364</v>
      </c>
      <c r="D5" s="535">
        <f>IF($C5*Calendario!B$92*$A5&gt;100,$C5*Calendario!B$92*$A5,1)</f>
        <v>2830.6109746109751</v>
      </c>
      <c r="E5" s="535">
        <f>IF($C5*Calendario!C$92*$A5&gt;100,$C5*Calendario!C$92*$A5,1)</f>
        <v>3892.0900900900906</v>
      </c>
      <c r="F5" s="535">
        <f>IF($C5*Calendario!D$92*$A5&gt;100,$C5*Calendario!D$92*$A5,1)</f>
        <v>3892.0900900900906</v>
      </c>
      <c r="G5" s="535">
        <f>IF($C5*Calendario!E$92*$A5&gt;100,$C5*Calendario!E$92*$A5,1)</f>
        <v>4245.916461916463</v>
      </c>
      <c r="H5" s="535">
        <f>IF($C5*Calendario!F$92*$A5&gt;100,$C5*Calendario!F$92*$A5,1)</f>
        <v>2653.6977886977893</v>
      </c>
      <c r="I5" s="535">
        <f>IF($C5*Calendario!G$92*$A5&gt;100,$C5*Calendario!G$92*$A5,1)</f>
        <v>2122.9582309582315</v>
      </c>
      <c r="J5" s="535">
        <f>IF($C5*Calendario!H$92*$A5&gt;100,$C5*Calendario!H$92*$A5,1)</f>
        <v>1</v>
      </c>
      <c r="K5" s="485">
        <f t="shared" ref="K5:K10" si="1">SUM(D5:J5)</f>
        <v>19638.36363636364</v>
      </c>
      <c r="M5" s="84">
        <v>1</v>
      </c>
      <c r="N5" s="85" t="s">
        <v>340</v>
      </c>
      <c r="O5" s="262">
        <v>19637.36363636364</v>
      </c>
      <c r="P5" s="535">
        <f>IF(P6&gt;0,D5,D5+P6)</f>
        <v>2830.6109746109751</v>
      </c>
      <c r="Q5" s="535">
        <f>IF(Q6&gt;0,E5,E5+Q6)</f>
        <v>3892.0900900900906</v>
      </c>
      <c r="R5" s="535">
        <f>IF(R6&gt;0,F5,F5+R6)</f>
        <v>3892.0900900900906</v>
      </c>
      <c r="S5" s="535">
        <f>IF(S6&gt;0,G5,G5+S6)</f>
        <v>4245.916461916463</v>
      </c>
      <c r="T5" s="535">
        <f>IF(T6&gt;0,H5,H5+T6)</f>
        <v>2653.6977886977893</v>
      </c>
      <c r="U5" s="535">
        <f t="shared" ref="U5:V7" si="2">I5</f>
        <v>2122.9582309582315</v>
      </c>
      <c r="V5" s="535">
        <f t="shared" si="2"/>
        <v>1</v>
      </c>
      <c r="W5" s="485">
        <f t="shared" ref="W5:W15" si="3">SUM(P5:V5)</f>
        <v>19638.36363636364</v>
      </c>
    </row>
    <row r="6" spans="1:23" ht="13.5" customHeight="1" thickBot="1">
      <c r="A6" s="84">
        <v>1</v>
      </c>
      <c r="B6" s="85" t="s">
        <v>341</v>
      </c>
      <c r="C6" s="262">
        <v>6873.7272727272721</v>
      </c>
      <c r="D6" s="500">
        <f>IF($C6*Calendario!B$92*$A6&gt;100,$C6*Calendario!B$92*$A6,1)</f>
        <v>990.80753480753469</v>
      </c>
      <c r="E6" s="500">
        <f>IF($C6*Calendario!C$92*$A6&gt;100,$C6*Calendario!C$92*$A6,1)</f>
        <v>1362.3603603603603</v>
      </c>
      <c r="F6" s="500">
        <f>IF($C6*Calendario!D$92*$A6&gt;100,$C6*Calendario!D$92*$A6,1)</f>
        <v>1362.3603603603603</v>
      </c>
      <c r="G6" s="500">
        <f>IF($C6*Calendario!E$92*$A6&gt;100,$C6*Calendario!E$92*$A6,1)</f>
        <v>1486.2113022113022</v>
      </c>
      <c r="H6" s="500">
        <f>IF($C6*Calendario!F$92*$A6&gt;100,$C6*Calendario!F$92*$A6,1)</f>
        <v>928.88206388206379</v>
      </c>
      <c r="I6" s="500">
        <f>IF($C6*Calendario!G$92*$A6&gt;100,$C6*Calendario!G$92*$A6,1)</f>
        <v>743.10565110565108</v>
      </c>
      <c r="J6" s="500">
        <f>IF($C6*Calendario!H$92*$A6&gt;100,$C6*Calendario!H$92*$A6,1)</f>
        <v>1</v>
      </c>
      <c r="K6" s="485">
        <f t="shared" si="1"/>
        <v>6874.727272727273</v>
      </c>
      <c r="M6" s="84">
        <v>1</v>
      </c>
      <c r="N6" s="85" t="s">
        <v>341</v>
      </c>
      <c r="O6" s="262">
        <v>6873.7272727272721</v>
      </c>
      <c r="P6" s="500">
        <f>IF(D6-(P7-D7)*0.6-(P9-D9)-(P8-D8)&gt;D6,D6,D6-(P7-D7)*0.6-(P9-D9)-(P8-D8))</f>
        <v>990.80753480753469</v>
      </c>
      <c r="Q6" s="500">
        <f>IF(E6-(Q7-E7)*0.6-(Q9-E9)-(Q8-E8)&gt;E6,E6,E6-(Q7-E7)*0.6-(Q9-E9)-(Q8-E8))</f>
        <v>1004.2961834561833</v>
      </c>
      <c r="R6" s="500">
        <f>IF(F6-(R7-F7)*0.6-(R9-F9)-(R8-F8)&gt;F6,F6,F6-(R7-F7)*0.6-(R9-F9)-(R8-F8))</f>
        <v>650.72163800163787</v>
      </c>
      <c r="S6" s="500">
        <f>IF(G6-(S7-G7)*0.6-(S9-G9)-(S8-G8)&gt;G6,G6,0)</f>
        <v>1486.2113022113022</v>
      </c>
      <c r="T6" s="500">
        <f>IF(H6-(T7-H7)*0.6-(T9-H9)-(T8-H8)&gt;H6,H6,H6-(T7-H7)*0.6-(T9-H9)-(T8-H8))</f>
        <v>730.05867321867299</v>
      </c>
      <c r="U6" s="500">
        <f t="shared" si="2"/>
        <v>743.10565110565108</v>
      </c>
      <c r="V6" s="500">
        <f t="shared" si="2"/>
        <v>1</v>
      </c>
      <c r="W6" s="485">
        <f t="shared" si="3"/>
        <v>5606.2009828009823</v>
      </c>
    </row>
    <row r="7" spans="1:23" ht="13.5" customHeight="1" thickBot="1">
      <c r="A7" s="84">
        <v>1</v>
      </c>
      <c r="B7" s="85" t="s">
        <v>342</v>
      </c>
      <c r="C7" s="262">
        <v>5891.909090909091</v>
      </c>
      <c r="D7" s="501">
        <f>IF($C7*Calendario!B$92*$A7&gt;100,$C7*Calendario!B$92*$A7,1)</f>
        <v>849.28419328419329</v>
      </c>
      <c r="E7" s="501">
        <f>IF($C7*Calendario!C$92*$A7&gt;100,$C7*Calendario!C$92*$A7,1)</f>
        <v>1167.7657657657658</v>
      </c>
      <c r="F7" s="501">
        <f>IF($C7*Calendario!D$92*$A7&gt;100,$C7*Calendario!D$92*$A7,1)</f>
        <v>1167.7657657657658</v>
      </c>
      <c r="G7" s="501">
        <f>IF($C7*Calendario!E$92*$A7&gt;100,$C7*Calendario!E$92*$A7,1)</f>
        <v>1273.9262899262901</v>
      </c>
      <c r="H7" s="501">
        <f>IF($C7*Calendario!F$92*$A7&gt;100,$C7*Calendario!F$92*$A7,1)</f>
        <v>796.20393120393123</v>
      </c>
      <c r="I7" s="501">
        <f>IF($C7*Calendario!G$92*$A7&gt;100,$C7*Calendario!G$92*$A7,1)</f>
        <v>636.96314496314506</v>
      </c>
      <c r="J7" s="501">
        <f>IF($C7*Calendario!H$92*$A7&gt;100,$C7*Calendario!H$92*$A7,1)</f>
        <v>1</v>
      </c>
      <c r="K7" s="485">
        <f t="shared" si="1"/>
        <v>5892.9090909090919</v>
      </c>
      <c r="M7" s="84">
        <v>1</v>
      </c>
      <c r="N7" s="85" t="s">
        <v>342</v>
      </c>
      <c r="O7" s="262">
        <v>5891.909090909091</v>
      </c>
      <c r="P7" s="501">
        <v>0</v>
      </c>
      <c r="Q7" s="501">
        <f>IF(K7&gt;3000,K7*0.3,0)</f>
        <v>1767.8727272727276</v>
      </c>
      <c r="R7" s="501">
        <f>IF(K7&gt;3000,K7*0.4,K7)</f>
        <v>2357.1636363636367</v>
      </c>
      <c r="S7" s="501">
        <v>0</v>
      </c>
      <c r="T7" s="501">
        <f>K7-Q7-R7-U7</f>
        <v>1130.9095823095827</v>
      </c>
      <c r="U7" s="501">
        <f t="shared" si="2"/>
        <v>636.96314496314506</v>
      </c>
      <c r="V7" s="501">
        <f t="shared" si="2"/>
        <v>1</v>
      </c>
      <c r="W7" s="485">
        <f t="shared" si="3"/>
        <v>5893.9090909090919</v>
      </c>
    </row>
    <row r="8" spans="1:23" ht="13.5" customHeight="1" thickBot="1">
      <c r="A8" s="84">
        <v>1</v>
      </c>
      <c r="B8" s="85" t="s">
        <v>202</v>
      </c>
      <c r="C8" s="262">
        <v>1</v>
      </c>
      <c r="D8" s="502">
        <f>IF($C8*Calendario!B$92*$A8&gt;100,$C8*Calendario!B$92*$A8,1)</f>
        <v>1</v>
      </c>
      <c r="E8" s="502">
        <f>IF($C8*Calendario!C$92*$A8&gt;100,$C8*Calendario!C$92*$A8,1)</f>
        <v>1</v>
      </c>
      <c r="F8" s="502">
        <f>IF($C8*Calendario!D$92*$A8&gt;100,$C8*Calendario!D$92*$A8,1)</f>
        <v>1</v>
      </c>
      <c r="G8" s="502">
        <f>IF($C8*Calendario!E$92*$A8&gt;100,$C8*Calendario!E$92*$A8,1)</f>
        <v>1</v>
      </c>
      <c r="H8" s="502">
        <f>IF($C8*Calendario!F$92*$A8&gt;100,$C8*Calendario!F$92*$A8,1)</f>
        <v>1</v>
      </c>
      <c r="I8" s="502">
        <f>IF($C8*Calendario!G$92*$A8&gt;100,$C8*Calendario!G$92*$A8,1)</f>
        <v>1</v>
      </c>
      <c r="J8" s="502">
        <f>IF($C8*Calendario!H$92*$A8&gt;100,$C8*Calendario!H$92*$A8,1)</f>
        <v>1</v>
      </c>
      <c r="K8" s="485">
        <f t="shared" si="1"/>
        <v>7</v>
      </c>
      <c r="M8" s="84">
        <v>1</v>
      </c>
      <c r="N8" s="85" t="s">
        <v>202</v>
      </c>
      <c r="O8" s="262">
        <v>1</v>
      </c>
      <c r="P8" s="502">
        <v>0</v>
      </c>
      <c r="Q8" s="502">
        <v>0</v>
      </c>
      <c r="R8" s="502">
        <f>IF(S8=K8,0,K8-S8)</f>
        <v>0</v>
      </c>
      <c r="S8" s="502">
        <f>IF(K8&gt;3000,K8*0.7,K8)</f>
        <v>7</v>
      </c>
      <c r="T8" s="502">
        <v>0</v>
      </c>
      <c r="U8" s="502">
        <v>0</v>
      </c>
      <c r="V8" s="502">
        <v>0</v>
      </c>
      <c r="W8" s="485">
        <f t="shared" si="3"/>
        <v>7</v>
      </c>
    </row>
    <row r="9" spans="1:23" ht="13.5" customHeight="1" thickBot="1">
      <c r="A9" s="84">
        <v>1</v>
      </c>
      <c r="B9" s="85" t="s">
        <v>203</v>
      </c>
      <c r="C9" s="262">
        <v>1</v>
      </c>
      <c r="D9" s="503">
        <f>IF($C9*Calendario!B$92*$A9&gt;100,$C9*Calendario!B$92*$A9,1)</f>
        <v>1</v>
      </c>
      <c r="E9" s="503">
        <f>IF($C9*Calendario!C$92*$A9&gt;100,$C9*Calendario!C$92*$A9,1)</f>
        <v>1</v>
      </c>
      <c r="F9" s="503">
        <f>IF($C9*Calendario!D$92*$A9&gt;100,$C9*Calendario!D$92*$A9,1)</f>
        <v>1</v>
      </c>
      <c r="G9" s="503">
        <f>IF($C9*Calendario!E$92*$A9&gt;100,$C9*Calendario!E$92*$A9,1)</f>
        <v>1</v>
      </c>
      <c r="H9" s="503">
        <f>IF($C9*Calendario!F$92*$A9&gt;100,$C9*Calendario!F$92*$A9,1)</f>
        <v>1</v>
      </c>
      <c r="I9" s="503">
        <f>IF($C9*Calendario!G$92*$A9&gt;100,$C9*Calendario!G$92*$A9,1)</f>
        <v>1</v>
      </c>
      <c r="J9" s="503">
        <f>IF($C9*Calendario!H$92*$A9&gt;100,$C9*Calendario!H$92*$A9,1)</f>
        <v>1</v>
      </c>
      <c r="K9" s="485">
        <f t="shared" si="1"/>
        <v>7</v>
      </c>
      <c r="M9" s="84">
        <v>1</v>
      </c>
      <c r="N9" s="85" t="s">
        <v>203</v>
      </c>
      <c r="O9" s="262">
        <v>1</v>
      </c>
      <c r="P9" s="503">
        <f>IF($K$9&gt;3000,$K$9*0.2,$K$9)</f>
        <v>7</v>
      </c>
      <c r="Q9" s="503">
        <f>IF(S9=K9,0,$K$9-P9-S9-U9)</f>
        <v>0</v>
      </c>
      <c r="R9" s="503">
        <v>0</v>
      </c>
      <c r="S9" s="503">
        <f>IF($K$9&gt;3000,$K$9*0.5,$K$9)</f>
        <v>7</v>
      </c>
      <c r="T9" s="503">
        <v>0</v>
      </c>
      <c r="U9" s="503">
        <f>IF($K$9&gt;3000,$K$9*0.2,$K$9)</f>
        <v>7</v>
      </c>
      <c r="V9" s="503">
        <v>0</v>
      </c>
      <c r="W9" s="485">
        <f t="shared" si="3"/>
        <v>21</v>
      </c>
    </row>
    <row r="10" spans="1:23" ht="13.5" customHeight="1" thickBot="1">
      <c r="A10" s="84">
        <v>1</v>
      </c>
      <c r="B10" s="85" t="s">
        <v>204</v>
      </c>
      <c r="C10" s="262">
        <v>2946.4545454545455</v>
      </c>
      <c r="D10" s="504">
        <f>IF($C10*Calendario!B$92*$A10&gt;100,$C10*Calendario!B$92*$A10,1)</f>
        <v>424.71416871416869</v>
      </c>
      <c r="E10" s="504">
        <f>IF($C10*Calendario!C$92*$A10&gt;100,$C10*Calendario!C$92*$A10,1)</f>
        <v>583.98198198198202</v>
      </c>
      <c r="F10" s="504">
        <f>IF($C10*Calendario!D$92*$A10&gt;100,$C10*Calendario!D$92*$A10,1)</f>
        <v>583.98198198198202</v>
      </c>
      <c r="G10" s="504">
        <f>IF($C10*Calendario!E$92*$A10&gt;100,$C10*Calendario!E$92*$A10,1)</f>
        <v>637.07125307125307</v>
      </c>
      <c r="H10" s="504">
        <f>IF($C10*Calendario!F$92*$A10&gt;100,$C10*Calendario!F$92*$A10,1)</f>
        <v>398.16953316953322</v>
      </c>
      <c r="I10" s="504">
        <f>IF($C10*Calendario!G$92*$A10&gt;100,$C10*Calendario!G$92*$A10,1)</f>
        <v>318.53562653562653</v>
      </c>
      <c r="J10" s="504">
        <f>IF($C10*Calendario!H$92*$A10&gt;100,$C10*Calendario!H$92*$A10,1)</f>
        <v>1</v>
      </c>
      <c r="K10" s="485">
        <f t="shared" si="1"/>
        <v>2947.454545454545</v>
      </c>
      <c r="M10" s="84">
        <v>1</v>
      </c>
      <c r="N10" s="85" t="s">
        <v>204</v>
      </c>
      <c r="O10" s="262">
        <v>2946.4545454545455</v>
      </c>
      <c r="P10" s="504">
        <f t="shared" ref="P10:P15" si="4">D10</f>
        <v>424.71416871416869</v>
      </c>
      <c r="Q10" s="504">
        <f t="shared" ref="Q10:Q15" si="5">E10</f>
        <v>583.98198198198202</v>
      </c>
      <c r="R10" s="504">
        <f t="shared" ref="R10:R15" si="6">F10</f>
        <v>583.98198198198202</v>
      </c>
      <c r="S10" s="504">
        <f t="shared" ref="S10:S15" si="7">G10</f>
        <v>637.07125307125307</v>
      </c>
      <c r="T10" s="504">
        <f t="shared" ref="T10:T15" si="8">H10</f>
        <v>398.16953316953322</v>
      </c>
      <c r="U10" s="504">
        <f t="shared" ref="U10:V15" si="9">I10</f>
        <v>318.53562653562653</v>
      </c>
      <c r="V10" s="504">
        <f t="shared" si="9"/>
        <v>1</v>
      </c>
      <c r="W10" s="485">
        <f t="shared" si="3"/>
        <v>2947.454545454545</v>
      </c>
    </row>
    <row r="11" spans="1:23" ht="14.25" customHeight="1" thickBot="1">
      <c r="A11" s="84">
        <v>1</v>
      </c>
      <c r="B11" s="85" t="s">
        <v>205</v>
      </c>
      <c r="C11" s="319">
        <v>3437.363636363636</v>
      </c>
      <c r="D11" s="532">
        <f>$C11*Calendario!B$96/Microc.!$C$17+1</f>
        <v>1</v>
      </c>
      <c r="E11" s="532">
        <v>1</v>
      </c>
      <c r="F11" s="532">
        <f>$C11*Calendario!D$96/Microc.!$C$17+1</f>
        <v>1</v>
      </c>
      <c r="G11" s="532">
        <f>$C11*Calendario!E$96/Microc.!$C$17+1</f>
        <v>1</v>
      </c>
      <c r="H11" s="532">
        <f>$C11*Calendario!F$96/Microc.!$C$17+1</f>
        <v>1</v>
      </c>
      <c r="I11" s="532">
        <f>$C11*Calendario!G$96/Microc.!$C$17+1</f>
        <v>1</v>
      </c>
      <c r="J11" s="532">
        <f>$C11*Calendario!H$96/Microc.!$C$17+1</f>
        <v>1</v>
      </c>
      <c r="K11" s="266">
        <f>SUM(D11:I11)</f>
        <v>6</v>
      </c>
      <c r="M11" s="84">
        <v>1</v>
      </c>
      <c r="N11" s="85" t="s">
        <v>205</v>
      </c>
      <c r="O11" s="319">
        <v>1</v>
      </c>
      <c r="P11" s="532">
        <f t="shared" si="4"/>
        <v>1</v>
      </c>
      <c r="Q11" s="532">
        <f t="shared" si="5"/>
        <v>1</v>
      </c>
      <c r="R11" s="532">
        <f t="shared" si="6"/>
        <v>1</v>
      </c>
      <c r="S11" s="532">
        <f t="shared" si="7"/>
        <v>1</v>
      </c>
      <c r="T11" s="532">
        <f t="shared" si="8"/>
        <v>1</v>
      </c>
      <c r="U11" s="532">
        <f>I11</f>
        <v>1</v>
      </c>
      <c r="V11" s="532">
        <f t="shared" si="9"/>
        <v>1</v>
      </c>
      <c r="W11" s="485">
        <f t="shared" si="3"/>
        <v>7</v>
      </c>
    </row>
    <row r="12" spans="1:23" ht="14.25" customHeight="1" thickBot="1">
      <c r="A12" s="84">
        <v>1</v>
      </c>
      <c r="B12" s="85" t="s">
        <v>206</v>
      </c>
      <c r="C12" s="319">
        <v>56</v>
      </c>
      <c r="D12" s="532">
        <f>$C12*Calendario!B$96/Microc.!$C$17+1</f>
        <v>1</v>
      </c>
      <c r="E12" s="532">
        <v>1</v>
      </c>
      <c r="F12" s="532">
        <v>11</v>
      </c>
      <c r="G12" s="532">
        <v>1</v>
      </c>
      <c r="H12" s="532">
        <f>$C12*Calendario!F$96/Microc.!$C$17+1</f>
        <v>1</v>
      </c>
      <c r="I12" s="532">
        <v>1</v>
      </c>
      <c r="J12" s="532">
        <f>$C12*Calendario!H$96/Microc.!$C$17+1</f>
        <v>1</v>
      </c>
      <c r="K12" s="266">
        <f>SUM(D12:I12)</f>
        <v>16</v>
      </c>
      <c r="M12" s="84">
        <v>1</v>
      </c>
      <c r="N12" s="85" t="s">
        <v>206</v>
      </c>
      <c r="O12" s="319">
        <v>83.5</v>
      </c>
      <c r="P12" s="532">
        <f t="shared" si="4"/>
        <v>1</v>
      </c>
      <c r="Q12" s="532">
        <f t="shared" si="5"/>
        <v>1</v>
      </c>
      <c r="R12" s="532">
        <f t="shared" si="6"/>
        <v>11</v>
      </c>
      <c r="S12" s="532">
        <f t="shared" si="7"/>
        <v>1</v>
      </c>
      <c r="T12" s="532">
        <f t="shared" si="8"/>
        <v>1</v>
      </c>
      <c r="U12" s="532">
        <f>I12</f>
        <v>1</v>
      </c>
      <c r="V12" s="532">
        <f t="shared" si="9"/>
        <v>1</v>
      </c>
      <c r="W12" s="485">
        <f t="shared" si="3"/>
        <v>17</v>
      </c>
    </row>
    <row r="13" spans="1:23" ht="14.25" customHeight="1" thickBot="1">
      <c r="A13" s="84">
        <v>1</v>
      </c>
      <c r="B13" s="85" t="s">
        <v>207</v>
      </c>
      <c r="C13" s="319">
        <v>1</v>
      </c>
      <c r="D13" s="532">
        <f>$C13*Calendario!B$96/Microc.!$C$17+1</f>
        <v>1</v>
      </c>
      <c r="E13" s="532">
        <v>1</v>
      </c>
      <c r="F13" s="532">
        <f>$C13*Calendario!D$96/Microc.!$C$17+1</f>
        <v>1</v>
      </c>
      <c r="G13" s="532">
        <v>1</v>
      </c>
      <c r="H13" s="532">
        <f>$C13*Calendario!F$96/Microc.!$C$17+1</f>
        <v>1</v>
      </c>
      <c r="I13" s="532">
        <v>1</v>
      </c>
      <c r="J13" s="532">
        <f>$C13*Calendario!H$96/Microc.!$C$17+1</f>
        <v>1</v>
      </c>
      <c r="K13" s="266">
        <f>SUM(D13:I13)</f>
        <v>6</v>
      </c>
      <c r="M13" s="84">
        <v>1</v>
      </c>
      <c r="N13" s="85" t="s">
        <v>207</v>
      </c>
      <c r="O13" s="319">
        <v>111</v>
      </c>
      <c r="P13" s="532">
        <f t="shared" si="4"/>
        <v>1</v>
      </c>
      <c r="Q13" s="532">
        <f t="shared" si="5"/>
        <v>1</v>
      </c>
      <c r="R13" s="532">
        <f t="shared" si="6"/>
        <v>1</v>
      </c>
      <c r="S13" s="532">
        <f t="shared" si="7"/>
        <v>1</v>
      </c>
      <c r="T13" s="532">
        <f t="shared" si="8"/>
        <v>1</v>
      </c>
      <c r="U13" s="532">
        <f>I13</f>
        <v>1</v>
      </c>
      <c r="V13" s="532">
        <f t="shared" si="9"/>
        <v>1</v>
      </c>
      <c r="W13" s="485">
        <f t="shared" si="3"/>
        <v>7</v>
      </c>
    </row>
    <row r="14" spans="1:23" ht="14.25" customHeight="1" thickBot="1">
      <c r="A14" s="84">
        <v>1</v>
      </c>
      <c r="B14" s="85" t="s">
        <v>208</v>
      </c>
      <c r="C14" s="319">
        <v>138.5</v>
      </c>
      <c r="D14" s="532">
        <f>$C14*Calendario!B$96/Microc.!$C$17+1</f>
        <v>1</v>
      </c>
      <c r="E14" s="532">
        <v>1</v>
      </c>
      <c r="F14" s="532">
        <v>26</v>
      </c>
      <c r="G14" s="532">
        <v>1</v>
      </c>
      <c r="H14" s="532">
        <f>$C14*Calendario!F$96/Microc.!$C$17+1</f>
        <v>1</v>
      </c>
      <c r="I14" s="532">
        <v>1</v>
      </c>
      <c r="J14" s="532">
        <f>$C14*Calendario!H$96/Microc.!$C$17+1</f>
        <v>1</v>
      </c>
      <c r="K14" s="266">
        <f>SUM(D14:I14)</f>
        <v>31</v>
      </c>
      <c r="M14" s="84">
        <v>1</v>
      </c>
      <c r="N14" s="85" t="s">
        <v>208</v>
      </c>
      <c r="O14" s="319">
        <v>83.5</v>
      </c>
      <c r="P14" s="532">
        <v>0</v>
      </c>
      <c r="Q14" s="532">
        <f t="shared" si="5"/>
        <v>1</v>
      </c>
      <c r="R14" s="532">
        <f t="shared" si="6"/>
        <v>26</v>
      </c>
      <c r="S14" s="532">
        <f t="shared" si="7"/>
        <v>1</v>
      </c>
      <c r="T14" s="532">
        <f t="shared" si="8"/>
        <v>1</v>
      </c>
      <c r="U14" s="532">
        <f>I14</f>
        <v>1</v>
      </c>
      <c r="V14" s="532">
        <f t="shared" si="9"/>
        <v>1</v>
      </c>
      <c r="W14" s="485">
        <f t="shared" si="3"/>
        <v>31</v>
      </c>
    </row>
    <row r="15" spans="1:23" ht="14.25" customHeight="1" thickBot="1">
      <c r="A15" s="84">
        <v>1</v>
      </c>
      <c r="B15" s="85" t="s">
        <v>209</v>
      </c>
      <c r="C15" s="319">
        <v>83.5</v>
      </c>
      <c r="D15" s="532">
        <f>$C15*Calendario!B$96/Microc.!$C$17+1</f>
        <v>1</v>
      </c>
      <c r="E15" s="532">
        <v>1</v>
      </c>
      <c r="F15" s="532">
        <v>16</v>
      </c>
      <c r="G15" s="532">
        <v>1</v>
      </c>
      <c r="H15" s="532">
        <f>$C15*Calendario!F$96/Microc.!$C$17+1</f>
        <v>1</v>
      </c>
      <c r="I15" s="532">
        <v>1</v>
      </c>
      <c r="J15" s="532">
        <f>$C15*Calendario!H$96/Microc.!$C$17+1</f>
        <v>1</v>
      </c>
      <c r="K15" s="266">
        <f>SUM(D15:I15)</f>
        <v>21</v>
      </c>
      <c r="M15" s="84">
        <v>1</v>
      </c>
      <c r="N15" s="85" t="s">
        <v>209</v>
      </c>
      <c r="O15" s="319">
        <v>1</v>
      </c>
      <c r="P15" s="532">
        <f t="shared" si="4"/>
        <v>1</v>
      </c>
      <c r="Q15" s="532">
        <f t="shared" si="5"/>
        <v>1</v>
      </c>
      <c r="R15" s="532">
        <f t="shared" si="6"/>
        <v>16</v>
      </c>
      <c r="S15" s="532">
        <f t="shared" si="7"/>
        <v>1</v>
      </c>
      <c r="T15" s="532">
        <f t="shared" si="8"/>
        <v>1</v>
      </c>
      <c r="U15" s="532">
        <f>I15</f>
        <v>1</v>
      </c>
      <c r="V15" s="532">
        <f t="shared" si="9"/>
        <v>1</v>
      </c>
      <c r="W15" s="485">
        <f t="shared" si="3"/>
        <v>22</v>
      </c>
    </row>
    <row r="16" spans="1:23" ht="15.75" customHeight="1" thickBot="1">
      <c r="A16" s="84"/>
      <c r="B16" s="265" t="s">
        <v>210</v>
      </c>
      <c r="C16" s="319">
        <f>SUM(C4:C10)</f>
        <v>35352.454545454551</v>
      </c>
      <c r="D16" s="264">
        <f t="shared" ref="D16:J16" si="10">SUM(D4:D10)</f>
        <v>5098.4168714168709</v>
      </c>
      <c r="E16" s="264">
        <f t="shared" si="10"/>
        <v>7009.198198198199</v>
      </c>
      <c r="F16" s="264">
        <f t="shared" si="10"/>
        <v>7009.198198198199</v>
      </c>
      <c r="G16" s="264">
        <f t="shared" si="10"/>
        <v>7646.1253071253086</v>
      </c>
      <c r="H16" s="264">
        <f t="shared" si="10"/>
        <v>4779.953316953317</v>
      </c>
      <c r="I16" s="264">
        <f t="shared" si="10"/>
        <v>3824.5626535626543</v>
      </c>
      <c r="J16" s="264">
        <f t="shared" si="10"/>
        <v>7</v>
      </c>
      <c r="K16" s="266">
        <f>SUM(D16:J16)</f>
        <v>35374.454545454544</v>
      </c>
      <c r="M16" s="84"/>
      <c r="N16" s="265" t="s">
        <v>210</v>
      </c>
      <c r="O16" s="319">
        <f>SUM(O4:O15)</f>
        <v>35632.454545454551</v>
      </c>
      <c r="P16" s="264">
        <f>SUM(P4:P10)</f>
        <v>4254.1326781326779</v>
      </c>
      <c r="Q16" s="264">
        <f t="shared" ref="Q16:V16" si="11">SUM(Q4:Q10)</f>
        <v>7249.2409828009831</v>
      </c>
      <c r="R16" s="264">
        <f t="shared" si="11"/>
        <v>7484.957346437348</v>
      </c>
      <c r="S16" s="264">
        <f t="shared" si="11"/>
        <v>6384.1990171990183</v>
      </c>
      <c r="T16" s="264">
        <f t="shared" si="11"/>
        <v>4913.8355773955791</v>
      </c>
      <c r="U16" s="264">
        <f t="shared" si="11"/>
        <v>3829.5626535626543</v>
      </c>
      <c r="V16" s="264">
        <f t="shared" si="11"/>
        <v>5</v>
      </c>
      <c r="W16" s="485">
        <f>SUM(P16:V16)</f>
        <v>34120.928255528255</v>
      </c>
    </row>
    <row r="17" spans="1:23" ht="17.25" customHeight="1" thickBot="1">
      <c r="A17" s="86"/>
      <c r="B17" s="269" t="s">
        <v>221</v>
      </c>
      <c r="C17" s="87">
        <f>SUM(C11:C15)</f>
        <v>3716.363636363636</v>
      </c>
      <c r="D17" s="532">
        <f t="shared" ref="D17:I17" si="12">SUM(D11:D15)</f>
        <v>5</v>
      </c>
      <c r="E17" s="532">
        <f t="shared" si="12"/>
        <v>5</v>
      </c>
      <c r="F17" s="532">
        <f t="shared" si="12"/>
        <v>55</v>
      </c>
      <c r="G17" s="532">
        <f t="shared" si="12"/>
        <v>5</v>
      </c>
      <c r="H17" s="532">
        <f t="shared" si="12"/>
        <v>5</v>
      </c>
      <c r="I17" s="532">
        <f t="shared" si="12"/>
        <v>5</v>
      </c>
      <c r="J17" s="846" t="s">
        <v>193</v>
      </c>
      <c r="K17" s="320">
        <f>SUM(D17:J17)*100</f>
        <v>8000</v>
      </c>
      <c r="M17" s="86"/>
      <c r="N17" s="269" t="s">
        <v>221</v>
      </c>
      <c r="O17" s="87">
        <f>SUM(O11:O15)</f>
        <v>280</v>
      </c>
      <c r="P17" s="532">
        <f t="shared" ref="P17:V17" si="13">SUM(P11:P15)</f>
        <v>4</v>
      </c>
      <c r="Q17" s="532">
        <f t="shared" si="13"/>
        <v>5</v>
      </c>
      <c r="R17" s="532">
        <f t="shared" si="13"/>
        <v>55</v>
      </c>
      <c r="S17" s="532">
        <f t="shared" si="13"/>
        <v>5</v>
      </c>
      <c r="T17" s="532">
        <f t="shared" si="13"/>
        <v>5</v>
      </c>
      <c r="U17" s="532">
        <f t="shared" si="13"/>
        <v>5</v>
      </c>
      <c r="V17" s="532">
        <f t="shared" si="13"/>
        <v>5</v>
      </c>
      <c r="W17" s="320">
        <f>SUM(P17:V17)*100</f>
        <v>8400</v>
      </c>
    </row>
    <row r="18" spans="1:23" ht="15.75" customHeight="1">
      <c r="A18" s="78"/>
      <c r="B18" s="79" t="s">
        <v>222</v>
      </c>
      <c r="C18" s="50"/>
      <c r="D18" s="499">
        <f>Calendario!B94</f>
        <v>1</v>
      </c>
      <c r="E18" s="499">
        <f>Calendario!C94</f>
        <v>1</v>
      </c>
      <c r="F18" s="499">
        <f>Calendario!D94</f>
        <v>1</v>
      </c>
      <c r="G18" s="499">
        <f>Calendario!E94</f>
        <v>1</v>
      </c>
      <c r="H18" s="499">
        <f>Calendario!F94</f>
        <v>1</v>
      </c>
      <c r="I18" s="499">
        <f>Calendario!G94</f>
        <v>1</v>
      </c>
      <c r="J18" s="499">
        <v>0.7</v>
      </c>
      <c r="K18" s="77" t="s">
        <v>138</v>
      </c>
      <c r="M18" s="78"/>
      <c r="N18" s="79" t="s">
        <v>222</v>
      </c>
      <c r="O18" s="50"/>
      <c r="P18" s="499">
        <f t="shared" ref="P18:V18" si="14">D18</f>
        <v>1</v>
      </c>
      <c r="Q18" s="499">
        <f t="shared" si="14"/>
        <v>1</v>
      </c>
      <c r="R18" s="499">
        <f t="shared" si="14"/>
        <v>1</v>
      </c>
      <c r="S18" s="499">
        <f t="shared" si="14"/>
        <v>1</v>
      </c>
      <c r="T18" s="499">
        <f t="shared" si="14"/>
        <v>1</v>
      </c>
      <c r="U18" s="499">
        <f t="shared" si="14"/>
        <v>1</v>
      </c>
      <c r="V18" s="499">
        <f t="shared" si="14"/>
        <v>0.7</v>
      </c>
      <c r="W18" s="77"/>
    </row>
    <row r="20" spans="1:23" ht="28">
      <c r="D20"/>
      <c r="E20" s="6253" t="s">
        <v>2228</v>
      </c>
      <c r="F20"/>
      <c r="G20"/>
      <c r="H20"/>
      <c r="I20"/>
      <c r="J20"/>
      <c r="K20"/>
    </row>
    <row r="21" spans="1:23" ht="14" thickBot="1">
      <c r="D21"/>
      <c r="E21"/>
      <c r="F21"/>
      <c r="G21"/>
      <c r="H21"/>
      <c r="I21"/>
      <c r="J21"/>
      <c r="K21"/>
    </row>
    <row r="22" spans="1:23" ht="14" thickBot="1">
      <c r="A22" s="106"/>
      <c r="B22" s="81"/>
      <c r="C22" s="370" t="s">
        <v>213</v>
      </c>
      <c r="D22" s="82" t="s">
        <v>214</v>
      </c>
      <c r="E22" s="82" t="s">
        <v>215</v>
      </c>
      <c r="F22" s="82" t="s">
        <v>216</v>
      </c>
      <c r="G22" s="82" t="s">
        <v>217</v>
      </c>
      <c r="H22" s="82" t="s">
        <v>218</v>
      </c>
      <c r="I22" s="82" t="s">
        <v>219</v>
      </c>
      <c r="J22" s="82" t="s">
        <v>220</v>
      </c>
      <c r="K22" s="83" t="s">
        <v>211</v>
      </c>
    </row>
    <row r="23" spans="1:23" ht="14" thickBot="1">
      <c r="A23" s="84">
        <v>1</v>
      </c>
      <c r="B23" s="85" t="s">
        <v>339</v>
      </c>
      <c r="C23" s="262">
        <v>4910.090909090909</v>
      </c>
      <c r="D23" s="484">
        <v>1090.0410629202536</v>
      </c>
      <c r="E23" s="484">
        <v>1498.8064615153487</v>
      </c>
      <c r="F23" s="484">
        <v>1498.8064615153487</v>
      </c>
      <c r="G23" s="484">
        <v>1635.0615943803805</v>
      </c>
      <c r="H23" s="484">
        <v>1021.9134964877378</v>
      </c>
      <c r="I23" s="484">
        <v>817.53079719019024</v>
      </c>
      <c r="J23" s="484">
        <v>1</v>
      </c>
      <c r="K23" s="485">
        <v>7563.1598740092595</v>
      </c>
    </row>
    <row r="24" spans="1:23" ht="14" thickBot="1">
      <c r="A24" s="84">
        <v>1</v>
      </c>
      <c r="B24" s="85" t="s">
        <v>340</v>
      </c>
      <c r="C24" s="262">
        <v>5891.9090909090919</v>
      </c>
      <c r="D24" s="535">
        <v>1308.03024470272</v>
      </c>
      <c r="E24" s="535">
        <v>1798.54158646624</v>
      </c>
      <c r="F24" s="535">
        <v>1798.54158646624</v>
      </c>
      <c r="G24" s="535">
        <v>1962.0453670540801</v>
      </c>
      <c r="H24" s="535">
        <v>1226.2783544088002</v>
      </c>
      <c r="I24" s="535">
        <v>981.02268352704004</v>
      </c>
      <c r="J24" s="535">
        <v>1</v>
      </c>
      <c r="K24" s="485">
        <v>9075.4598226251201</v>
      </c>
    </row>
    <row r="25" spans="1:23" ht="14" thickBot="1">
      <c r="A25" s="84">
        <v>1</v>
      </c>
      <c r="B25" s="85" t="s">
        <v>341</v>
      </c>
      <c r="C25" s="262">
        <v>8591.9090909090919</v>
      </c>
      <c r="D25" s="500">
        <v>763.05729024655375</v>
      </c>
      <c r="E25" s="500">
        <v>1049.2037740890114</v>
      </c>
      <c r="F25" s="500">
        <v>1049.2037740890114</v>
      </c>
      <c r="G25" s="500">
        <v>0</v>
      </c>
      <c r="H25" s="500">
        <v>715.36620960614425</v>
      </c>
      <c r="I25" s="500">
        <v>572.29296768491531</v>
      </c>
      <c r="J25" s="500">
        <v>1</v>
      </c>
      <c r="K25" s="485">
        <v>4150.1240157156362</v>
      </c>
    </row>
    <row r="26" spans="1:23" ht="14" thickBot="1">
      <c r="A26" s="84">
        <v>1</v>
      </c>
      <c r="B26" s="85" t="s">
        <v>342</v>
      </c>
      <c r="C26" s="262">
        <v>2946.4545454545455</v>
      </c>
      <c r="D26" s="501">
        <v>0</v>
      </c>
      <c r="E26" s="501">
        <v>2042.1029699103983</v>
      </c>
      <c r="F26" s="501">
        <v>2722.8039598805317</v>
      </c>
      <c r="G26" s="501">
        <v>0</v>
      </c>
      <c r="H26" s="501">
        <v>1306.3181158886332</v>
      </c>
      <c r="I26" s="501">
        <v>735.78485402176523</v>
      </c>
      <c r="J26" s="501">
        <v>1</v>
      </c>
      <c r="K26" s="485">
        <v>6808.0098997013283</v>
      </c>
    </row>
    <row r="27" spans="1:23" ht="14" thickBot="1">
      <c r="A27" s="84">
        <v>1</v>
      </c>
      <c r="B27" s="85" t="s">
        <v>202</v>
      </c>
      <c r="C27" s="262">
        <v>1</v>
      </c>
      <c r="D27" s="502">
        <v>0</v>
      </c>
      <c r="E27" s="502">
        <v>0</v>
      </c>
      <c r="F27" s="502">
        <v>0</v>
      </c>
      <c r="G27" s="502">
        <v>7</v>
      </c>
      <c r="H27" s="502">
        <v>0</v>
      </c>
      <c r="I27" s="502">
        <v>0</v>
      </c>
      <c r="J27" s="502">
        <v>0</v>
      </c>
      <c r="K27" s="485">
        <v>7</v>
      </c>
    </row>
    <row r="28" spans="1:23" ht="14" thickBot="1">
      <c r="A28" s="84">
        <v>1</v>
      </c>
      <c r="B28" s="85" t="s">
        <v>203</v>
      </c>
      <c r="C28" s="262">
        <v>1964.6363636363637</v>
      </c>
      <c r="D28" s="503">
        <v>907.71199535550716</v>
      </c>
      <c r="E28" s="503">
        <v>453.85599767775363</v>
      </c>
      <c r="F28" s="503">
        <v>0</v>
      </c>
      <c r="G28" s="503">
        <v>2269.2799883887678</v>
      </c>
      <c r="H28" s="503">
        <v>0</v>
      </c>
      <c r="I28" s="503">
        <v>907.71199535550716</v>
      </c>
      <c r="J28" s="503">
        <v>0</v>
      </c>
      <c r="K28" s="485">
        <v>4538.5599767775357</v>
      </c>
    </row>
    <row r="29" spans="1:23" ht="14" thickBot="1">
      <c r="A29" s="84">
        <v>1</v>
      </c>
      <c r="B29" s="85" t="s">
        <v>204</v>
      </c>
      <c r="C29" s="262">
        <v>5891.909090909091</v>
      </c>
      <c r="D29" s="504">
        <v>373.79089420643498</v>
      </c>
      <c r="E29" s="504">
        <v>513.96247953384818</v>
      </c>
      <c r="F29" s="504">
        <v>513.96247953384818</v>
      </c>
      <c r="G29" s="504">
        <v>560.68634130965256</v>
      </c>
      <c r="H29" s="504">
        <v>350.42896331853285</v>
      </c>
      <c r="I29" s="504">
        <v>280.34317065482628</v>
      </c>
      <c r="J29" s="504">
        <v>1</v>
      </c>
      <c r="K29" s="485">
        <v>2594.1743285571429</v>
      </c>
    </row>
    <row r="30" spans="1:23" ht="14" thickBot="1">
      <c r="A30" s="84">
        <v>1</v>
      </c>
      <c r="B30" s="85" t="s">
        <v>205</v>
      </c>
      <c r="C30" s="319">
        <v>1</v>
      </c>
      <c r="D30" s="532">
        <v>1</v>
      </c>
      <c r="E30" s="532">
        <v>1</v>
      </c>
      <c r="F30" s="532">
        <v>1</v>
      </c>
      <c r="G30" s="532">
        <v>1</v>
      </c>
      <c r="H30" s="532">
        <v>1</v>
      </c>
      <c r="I30" s="532">
        <v>1</v>
      </c>
      <c r="J30" s="532">
        <v>1</v>
      </c>
      <c r="K30" s="485">
        <v>7</v>
      </c>
    </row>
    <row r="31" spans="1:23" ht="14" thickBot="1">
      <c r="A31" s="84">
        <v>1</v>
      </c>
      <c r="B31" s="85" t="s">
        <v>206</v>
      </c>
      <c r="C31" s="319">
        <v>83.5</v>
      </c>
      <c r="D31" s="532">
        <v>1</v>
      </c>
      <c r="E31" s="532">
        <v>1</v>
      </c>
      <c r="F31" s="532">
        <v>11</v>
      </c>
      <c r="G31" s="532">
        <v>1</v>
      </c>
      <c r="H31" s="532">
        <v>1</v>
      </c>
      <c r="I31" s="532">
        <v>1</v>
      </c>
      <c r="J31" s="532">
        <v>1</v>
      </c>
      <c r="K31" s="485">
        <v>17</v>
      </c>
    </row>
    <row r="32" spans="1:23" ht="14" thickBot="1">
      <c r="A32" s="84">
        <v>1</v>
      </c>
      <c r="B32" s="85" t="s">
        <v>207</v>
      </c>
      <c r="C32" s="319">
        <v>111</v>
      </c>
      <c r="D32" s="532">
        <v>1</v>
      </c>
      <c r="E32" s="532">
        <v>1</v>
      </c>
      <c r="F32" s="532">
        <v>1</v>
      </c>
      <c r="G32" s="532">
        <v>1</v>
      </c>
      <c r="H32" s="532">
        <v>1</v>
      </c>
      <c r="I32" s="532">
        <v>1</v>
      </c>
      <c r="J32" s="532">
        <v>1</v>
      </c>
      <c r="K32" s="485">
        <v>7</v>
      </c>
    </row>
    <row r="33" spans="1:11" ht="14" thickBot="1">
      <c r="A33" s="84">
        <v>1</v>
      </c>
      <c r="B33" s="85" t="s">
        <v>208</v>
      </c>
      <c r="C33" s="319">
        <v>83.5</v>
      </c>
      <c r="D33" s="532">
        <v>0</v>
      </c>
      <c r="E33" s="532">
        <v>1</v>
      </c>
      <c r="F33" s="532">
        <v>26</v>
      </c>
      <c r="G33" s="532">
        <v>1</v>
      </c>
      <c r="H33" s="532">
        <v>1</v>
      </c>
      <c r="I33" s="532">
        <v>1</v>
      </c>
      <c r="J33" s="532">
        <v>1</v>
      </c>
      <c r="K33" s="485">
        <v>31</v>
      </c>
    </row>
    <row r="34" spans="1:11" ht="14" thickBot="1">
      <c r="A34" s="84">
        <v>1</v>
      </c>
      <c r="B34" s="85" t="s">
        <v>209</v>
      </c>
      <c r="C34" s="319">
        <v>1</v>
      </c>
      <c r="D34" s="532">
        <v>1</v>
      </c>
      <c r="E34" s="532">
        <v>1</v>
      </c>
      <c r="F34" s="532">
        <v>16</v>
      </c>
      <c r="G34" s="532">
        <v>1</v>
      </c>
      <c r="H34" s="532">
        <v>1</v>
      </c>
      <c r="I34" s="532">
        <v>1</v>
      </c>
      <c r="J34" s="532">
        <v>1</v>
      </c>
      <c r="K34" s="485">
        <v>22</v>
      </c>
    </row>
    <row r="35" spans="1:11" ht="14" thickBot="1">
      <c r="A35" s="84"/>
      <c r="B35" s="265" t="s">
        <v>210</v>
      </c>
      <c r="C35" s="319">
        <v>37977.909090909088</v>
      </c>
      <c r="D35" s="264">
        <v>4856.0134316134317</v>
      </c>
      <c r="E35" s="264">
        <v>7283.4328419328422</v>
      </c>
      <c r="F35" s="264">
        <v>7212.7603603603611</v>
      </c>
      <c r="G35" s="264">
        <v>8146.2407862407881</v>
      </c>
      <c r="H35" s="264">
        <v>5076.0837837837844</v>
      </c>
      <c r="I35" s="264">
        <v>3970.3828009828017</v>
      </c>
      <c r="J35" s="264">
        <v>5</v>
      </c>
      <c r="K35" s="485">
        <v>36549.914004914004</v>
      </c>
    </row>
    <row r="36" spans="1:11" ht="14" thickBot="1">
      <c r="A36" s="86"/>
      <c r="B36" s="269" t="s">
        <v>221</v>
      </c>
      <c r="C36" s="87">
        <v>280</v>
      </c>
      <c r="D36" s="532">
        <v>4</v>
      </c>
      <c r="E36" s="532">
        <v>5</v>
      </c>
      <c r="F36" s="532">
        <v>55</v>
      </c>
      <c r="G36" s="532">
        <v>5</v>
      </c>
      <c r="H36" s="532">
        <v>5</v>
      </c>
      <c r="I36" s="532">
        <v>5</v>
      </c>
      <c r="J36" s="532">
        <v>5</v>
      </c>
      <c r="K36" s="320">
        <v>8400</v>
      </c>
    </row>
    <row r="37" spans="1:11">
      <c r="A37" s="78"/>
      <c r="B37" s="79" t="s">
        <v>222</v>
      </c>
      <c r="C37" s="50"/>
      <c r="D37" s="499">
        <v>1</v>
      </c>
      <c r="E37" s="499">
        <v>1</v>
      </c>
      <c r="F37" s="499">
        <v>1</v>
      </c>
      <c r="G37" s="499">
        <v>1</v>
      </c>
      <c r="H37" s="499">
        <v>1</v>
      </c>
      <c r="I37" s="499">
        <v>1</v>
      </c>
      <c r="J37" s="499">
        <v>0.7</v>
      </c>
      <c r="K37" s="77"/>
    </row>
    <row r="38" spans="1:11">
      <c r="D38"/>
      <c r="E38"/>
      <c r="F38"/>
      <c r="G38"/>
      <c r="H38"/>
      <c r="I38"/>
      <c r="J38"/>
      <c r="K38"/>
    </row>
  </sheetData>
  <phoneticPr fontId="21" type="noConversion"/>
  <conditionalFormatting sqref="P6:V6">
    <cfRule type="cellIs" dxfId="233" priority="4" stopIfTrue="1" operator="lessThan">
      <formula>0</formula>
    </cfRule>
  </conditionalFormatting>
  <conditionalFormatting sqref="D25:J25">
    <cfRule type="cellIs" dxfId="232" priority="3" stopIfTrue="1" operator="lessThan">
      <formula>0</formula>
    </cfRule>
  </conditionalFormatting>
  <conditionalFormatting sqref="D6:J6">
    <cfRule type="cellIs" dxfId="231" priority="1" stopIfTrue="1" operator="lessThan">
      <formula>0</formula>
    </cfRule>
  </conditionalFormatting>
  <pageMargins left="0.27559055118110237" right="0.47244094488188981" top="0.86614173228346458" bottom="0.19685039370078741" header="0.27559055118110237" footer="0.15748031496062992"/>
  <pageSetup paperSize="9" orientation="portrait" horizontalDpi="0" verticalDpi="0"/>
  <headerFooter>
    <oddHeader>&amp;L&amp;A&amp;C&amp;F&amp;R&amp;D</oddHeader>
    <oddFooter>&amp;A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CFC78-54F6-3F4F-94B6-826A78198BDA}">
  <sheetPr codeName="Hoja34"/>
  <dimension ref="A1:AO255"/>
  <sheetViews>
    <sheetView topLeftCell="A2" zoomScale="146" zoomScaleNormal="146" workbookViewId="0">
      <selection activeCell="Z29" sqref="Z29"/>
    </sheetView>
  </sheetViews>
  <sheetFormatPr baseColWidth="10" defaultColWidth="11.5" defaultRowHeight="14" thickBottom="1"/>
  <cols>
    <col min="1" max="1" width="2.83203125" style="215" customWidth="1"/>
    <col min="2" max="2" width="2.83203125" style="216" customWidth="1"/>
    <col min="3" max="3" width="1.33203125" style="204" customWidth="1"/>
    <col min="4" max="4" width="0.83203125" style="1977" customWidth="1"/>
    <col min="5" max="5" width="3.83203125" style="204" customWidth="1"/>
    <col min="6" max="6" width="3.33203125" style="207" customWidth="1"/>
    <col min="7" max="7" width="5.6640625" style="208" customWidth="1"/>
    <col min="8" max="8" width="7.33203125" style="3342" customWidth="1"/>
    <col min="9" max="10" width="7.33203125" style="208" customWidth="1"/>
    <col min="11" max="11" width="35.5" style="208" customWidth="1"/>
    <col min="12" max="12" width="9" style="208" customWidth="1"/>
    <col min="13" max="13" width="1" style="449" customWidth="1"/>
    <col min="14" max="14" width="9" style="208" customWidth="1"/>
    <col min="15" max="15" width="1" style="208" customWidth="1"/>
    <col min="16" max="16" width="9" style="208" customWidth="1"/>
    <col min="17" max="17" width="4.33203125" style="209" customWidth="1"/>
    <col min="18" max="18" width="7.6640625" style="209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20.25" customHeight="1" thickBot="1">
      <c r="A1" s="203" t="s">
        <v>344</v>
      </c>
      <c r="F1" s="527"/>
      <c r="G1" s="155"/>
      <c r="H1" s="3337"/>
      <c r="I1" s="155"/>
      <c r="J1" s="217"/>
      <c r="K1" s="1047">
        <v>45293</v>
      </c>
      <c r="U1" s="218" t="s">
        <v>345</v>
      </c>
      <c r="AI1" s="213"/>
      <c r="AJ1" s="213"/>
      <c r="AK1" s="213"/>
      <c r="AL1" s="213"/>
      <c r="AM1" s="213"/>
    </row>
    <row r="2" spans="1:40" s="223" customFormat="1" ht="56" customHeight="1" thickTop="1" thickBot="1">
      <c r="A2" s="351" t="s">
        <v>346</v>
      </c>
      <c r="B2" s="352" t="s">
        <v>347</v>
      </c>
      <c r="C2" s="353" t="s">
        <v>348</v>
      </c>
      <c r="D2" s="1977"/>
      <c r="E2" s="674" t="s">
        <v>349</v>
      </c>
      <c r="F2" s="354" t="s">
        <v>350</v>
      </c>
      <c r="G2" s="350" t="s">
        <v>351</v>
      </c>
      <c r="H2" s="3338" t="s">
        <v>624</v>
      </c>
      <c r="I2" s="350" t="s">
        <v>352</v>
      </c>
      <c r="J2" s="354" t="s">
        <v>353</v>
      </c>
      <c r="K2" s="350" t="s">
        <v>354</v>
      </c>
      <c r="L2" s="353"/>
      <c r="M2" s="450" t="s">
        <v>355</v>
      </c>
      <c r="N2" s="353" t="s">
        <v>445</v>
      </c>
      <c r="O2" s="353" t="s">
        <v>446</v>
      </c>
      <c r="P2" s="353" t="s">
        <v>447</v>
      </c>
      <c r="Q2" s="355" t="s">
        <v>448</v>
      </c>
      <c r="R2" s="356" t="s">
        <v>371</v>
      </c>
      <c r="S2" s="219" t="s">
        <v>449</v>
      </c>
      <c r="T2" s="219" t="s">
        <v>450</v>
      </c>
      <c r="U2" s="326" t="s">
        <v>451</v>
      </c>
      <c r="V2" s="329" t="s">
        <v>452</v>
      </c>
      <c r="W2" s="327" t="s">
        <v>453</v>
      </c>
      <c r="X2" s="330" t="s">
        <v>454</v>
      </c>
      <c r="Y2" s="328" t="s">
        <v>455</v>
      </c>
      <c r="Z2" s="332" t="s">
        <v>456</v>
      </c>
      <c r="AA2" s="331" t="s">
        <v>457</v>
      </c>
      <c r="AB2" s="220"/>
      <c r="AC2" s="221"/>
      <c r="AD2" s="222"/>
      <c r="AE2" s="222"/>
      <c r="AF2" s="222"/>
      <c r="AG2" s="222"/>
      <c r="AH2" s="222"/>
      <c r="AI2" s="220"/>
      <c r="AJ2" s="220"/>
      <c r="AK2" s="220"/>
      <c r="AL2" s="220"/>
      <c r="AM2" s="220"/>
      <c r="AN2" s="220"/>
    </row>
    <row r="3" spans="1:40" s="223" customFormat="1" ht="9" customHeight="1" thickBot="1">
      <c r="A3" s="1423"/>
      <c r="B3" s="1424"/>
      <c r="C3" s="1425"/>
      <c r="D3" s="1977"/>
      <c r="E3" s="1426"/>
      <c r="F3" s="1425"/>
      <c r="G3" s="1425"/>
      <c r="H3" s="3339"/>
      <c r="I3" s="1425"/>
      <c r="J3" s="1425"/>
      <c r="K3" s="1425"/>
      <c r="L3" s="1425"/>
      <c r="M3" s="1427"/>
      <c r="N3" s="1425"/>
      <c r="O3" s="1425"/>
      <c r="P3" s="1425"/>
      <c r="Q3" s="1428"/>
      <c r="R3" s="1429"/>
      <c r="S3" s="919"/>
      <c r="T3" s="919"/>
      <c r="U3" s="1579">
        <v>9.3287037037037058E-4</v>
      </c>
      <c r="V3" s="1580">
        <v>8.6111111111111121E-4</v>
      </c>
      <c r="W3" s="1580">
        <v>7.8935185185185206E-4</v>
      </c>
      <c r="X3" s="1580">
        <v>7.175925925925927E-4</v>
      </c>
      <c r="Y3" s="1580">
        <v>7.1400462962962975E-4</v>
      </c>
      <c r="Z3" s="1580">
        <v>7.0324074074074082E-4</v>
      </c>
      <c r="AA3" s="1581">
        <v>6.8888888888888895E-4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8" customFormat="1" ht="6" customHeight="1" thickBot="1">
      <c r="A4" s="621"/>
      <c r="B4" s="622"/>
      <c r="C4" s="623"/>
      <c r="D4" s="1977"/>
      <c r="E4" s="623"/>
      <c r="F4" s="624"/>
      <c r="G4" s="625"/>
      <c r="H4" s="3343"/>
      <c r="I4" s="625"/>
      <c r="J4" s="624"/>
      <c r="K4" s="625"/>
      <c r="L4" s="623"/>
      <c r="M4" s="626"/>
      <c r="N4" s="623"/>
      <c r="O4" s="623"/>
      <c r="P4" s="623"/>
      <c r="Q4" s="623"/>
      <c r="R4" s="627"/>
      <c r="S4" s="224"/>
      <c r="T4" s="224"/>
      <c r="U4" s="111">
        <f>U3/4</f>
        <v>2.3321759259259265E-4</v>
      </c>
      <c r="V4" s="111">
        <f t="shared" ref="V4:AA4" si="0">V3/4</f>
        <v>2.152777777777778E-4</v>
      </c>
      <c r="W4" s="111">
        <f t="shared" si="0"/>
        <v>1.9733796296296302E-4</v>
      </c>
      <c r="X4" s="111">
        <f t="shared" si="0"/>
        <v>1.7939814814814817E-4</v>
      </c>
      <c r="Y4" s="111">
        <f t="shared" si="0"/>
        <v>1.7850115740740744E-4</v>
      </c>
      <c r="Z4" s="111">
        <f t="shared" si="0"/>
        <v>1.7581018518518521E-4</v>
      </c>
      <c r="AA4" s="111">
        <f t="shared" si="0"/>
        <v>1.7222222222222224E-4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0" ht="14" customHeight="1" thickTop="1" thickBot="1">
      <c r="A5" s="851" t="s">
        <v>215</v>
      </c>
      <c r="B5" s="3336" t="s">
        <v>215</v>
      </c>
      <c r="C5" s="274">
        <f t="shared" ref="C5:C33" si="1">IF(D5=1,U$4,IF(D5=2,V$4,IF(D5=3,W$4,IF(D5=4,X$4,IF(D5=5,Y$4,IF(D5=6,Z$4,IF(D5=7,AA$4,0)))))))</f>
        <v>2.3321759259259265E-4</v>
      </c>
      <c r="D5" s="547">
        <v>1</v>
      </c>
      <c r="E5" s="1660">
        <v>1</v>
      </c>
      <c r="F5" s="1660">
        <v>1</v>
      </c>
      <c r="G5" s="1660">
        <v>1000</v>
      </c>
      <c r="H5" s="1008"/>
      <c r="I5" s="7242">
        <v>0</v>
      </c>
      <c r="J5" s="7242">
        <v>1.5046296296296294E-3</v>
      </c>
      <c r="K5" s="7238" t="s">
        <v>2469</v>
      </c>
      <c r="L5" s="7239">
        <v>0.46875</v>
      </c>
      <c r="M5" s="7243">
        <v>1.1000000000000001</v>
      </c>
      <c r="N5" s="7244">
        <f t="shared" ref="N5:N8" si="2">P5*E5*F5+I5*E5*F5+J5*E5</f>
        <v>1.1766203703703708E-2</v>
      </c>
      <c r="O5" s="6826">
        <f t="shared" ref="O5:O8" si="3">C5*(G5/25)</f>
        <v>9.3287037037037054E-3</v>
      </c>
      <c r="P5" s="6826">
        <f t="shared" ref="P5:P8" si="4">O5*M5</f>
        <v>1.0261574074074077E-2</v>
      </c>
      <c r="Q5" s="7240">
        <v>150</v>
      </c>
      <c r="R5" s="7245">
        <f t="shared" ref="R5:R8" si="5">E5*F5*G5</f>
        <v>1000</v>
      </c>
      <c r="S5" s="229">
        <f t="shared" ref="S5:S10" si="6">E5*F5*G5/1000</f>
        <v>1</v>
      </c>
      <c r="T5" s="230">
        <f t="shared" ref="T5:T10" si="7">E5*F5*O5*4</f>
        <v>3.7314814814814821E-2</v>
      </c>
      <c r="U5" s="374">
        <f t="shared" ref="U5:U10" si="8">IF(C5*4&gt;=$U$3,S5,0)</f>
        <v>1</v>
      </c>
      <c r="V5" s="375">
        <f t="shared" ref="V5:V10" si="9">IF(AND(C5*4&gt;=$V$3,C5*4&lt;$U$3),S5,0)</f>
        <v>0</v>
      </c>
      <c r="W5" s="376">
        <f t="shared" ref="W5:W10" si="10">IF(AND(C5*4&gt;=$W$3,C5*4&lt;$V$3),S5,0)</f>
        <v>0</v>
      </c>
      <c r="X5" s="377">
        <f t="shared" ref="X5:X10" si="11">IF(AND(C5*4&gt;=$X$3,C5*4&lt;$W$3),S5,0)</f>
        <v>0</v>
      </c>
      <c r="Y5" s="378">
        <f t="shared" ref="Y5:Y10" si="12">IF(AND(C5*4&gt;=$Y$3,C5*4&lt;$X$3),S5,0)</f>
        <v>0</v>
      </c>
      <c r="Z5" s="379">
        <f t="shared" ref="Z5:Z10" si="13">IF(AND(C5*4&gt;=$Z$3,C5*4&lt;$Y$3),S5,0)</f>
        <v>0</v>
      </c>
      <c r="AA5" s="380">
        <f t="shared" ref="AA5:AA10" si="14">IF(AND(C5*4&gt;=$AA$3,C5*4&lt;$Z$3),S5,0)</f>
        <v>0</v>
      </c>
      <c r="AC5" s="231"/>
      <c r="AD5" s="231"/>
      <c r="AE5" s="231"/>
      <c r="AF5" s="231"/>
      <c r="AG5" s="231"/>
      <c r="AH5" s="231"/>
      <c r="AI5" s="213"/>
      <c r="AJ5" s="213"/>
      <c r="AK5" s="213"/>
      <c r="AL5" s="213"/>
      <c r="AM5" s="213"/>
      <c r="AN5" s="204"/>
    </row>
    <row r="6" spans="1:40" ht="14" customHeight="1" thickBot="1">
      <c r="A6" s="851" t="s">
        <v>138</v>
      </c>
      <c r="B6" s="3336" t="s">
        <v>215</v>
      </c>
      <c r="C6" s="274">
        <f t="shared" si="1"/>
        <v>1.7939814814814817E-4</v>
      </c>
      <c r="D6" s="1977">
        <v>4</v>
      </c>
      <c r="E6" s="7246">
        <v>1</v>
      </c>
      <c r="F6" s="316">
        <v>6</v>
      </c>
      <c r="G6" s="316">
        <v>175</v>
      </c>
      <c r="H6" s="7247"/>
      <c r="I6" s="6122">
        <v>4.6296296296296293E-4</v>
      </c>
      <c r="J6" s="6122">
        <v>1.3888888888888889E-3</v>
      </c>
      <c r="K6" s="6122" t="s">
        <v>2478</v>
      </c>
      <c r="L6" s="1179">
        <f t="shared" ref="L6:L8" si="15">L5+N5</f>
        <v>0.48051620370370368</v>
      </c>
      <c r="M6" s="7241">
        <v>1.1000000000000001</v>
      </c>
      <c r="N6" s="1181">
        <f t="shared" si="2"/>
        <v>1.2454861111111113E-2</v>
      </c>
      <c r="O6" s="6122">
        <f t="shared" si="3"/>
        <v>1.2557870370370372E-3</v>
      </c>
      <c r="P6" s="1181">
        <f t="shared" si="4"/>
        <v>1.3813657407407412E-3</v>
      </c>
      <c r="Q6" s="334">
        <v>160</v>
      </c>
      <c r="R6" s="334">
        <f t="shared" si="5"/>
        <v>1050</v>
      </c>
      <c r="S6" s="229">
        <f t="shared" si="6"/>
        <v>1.05</v>
      </c>
      <c r="T6" s="230">
        <f t="shared" si="7"/>
        <v>3.0138888888888896E-2</v>
      </c>
      <c r="U6" s="374">
        <f t="shared" si="8"/>
        <v>0</v>
      </c>
      <c r="V6" s="375">
        <f t="shared" si="9"/>
        <v>0</v>
      </c>
      <c r="W6" s="376">
        <f t="shared" si="10"/>
        <v>0</v>
      </c>
      <c r="X6" s="377">
        <f t="shared" si="11"/>
        <v>1.05</v>
      </c>
      <c r="Y6" s="378">
        <f t="shared" si="12"/>
        <v>0</v>
      </c>
      <c r="Z6" s="379">
        <f t="shared" si="13"/>
        <v>0</v>
      </c>
      <c r="AA6" s="380">
        <f t="shared" si="14"/>
        <v>0</v>
      </c>
      <c r="AC6" s="231"/>
      <c r="AD6" s="231"/>
      <c r="AE6" s="231"/>
      <c r="AF6" s="231"/>
      <c r="AG6" s="231"/>
      <c r="AH6" s="231"/>
      <c r="AI6" s="213"/>
      <c r="AJ6" s="213"/>
      <c r="AK6" s="213"/>
      <c r="AL6" s="213"/>
      <c r="AM6" s="213"/>
      <c r="AN6" s="204"/>
    </row>
    <row r="7" spans="1:40" ht="14" customHeight="1" thickBot="1">
      <c r="A7" s="851" t="s">
        <v>462</v>
      </c>
      <c r="B7" s="1026" t="s">
        <v>215</v>
      </c>
      <c r="C7" s="274">
        <f t="shared" si="1"/>
        <v>1.7939814814814817E-4</v>
      </c>
      <c r="D7" s="1977">
        <v>4</v>
      </c>
      <c r="E7" s="7246">
        <v>1</v>
      </c>
      <c r="F7" s="316">
        <v>4</v>
      </c>
      <c r="G7" s="316">
        <v>150</v>
      </c>
      <c r="H7" s="7247"/>
      <c r="I7" s="6122">
        <v>8.1018518518518516E-4</v>
      </c>
      <c r="J7" s="6122">
        <v>1.3888888888888889E-3</v>
      </c>
      <c r="K7" s="6122" t="s">
        <v>2479</v>
      </c>
      <c r="L7" s="1179">
        <f t="shared" si="15"/>
        <v>0.49297106481481479</v>
      </c>
      <c r="M7" s="7241">
        <v>1.1000000000000001</v>
      </c>
      <c r="N7" s="1181">
        <f t="shared" si="2"/>
        <v>9.3657407407407422E-3</v>
      </c>
      <c r="O7" s="6122">
        <f t="shared" si="3"/>
        <v>1.0763888888888891E-3</v>
      </c>
      <c r="P7" s="1181">
        <f t="shared" si="4"/>
        <v>1.1840277777777782E-3</v>
      </c>
      <c r="Q7" s="334">
        <v>150</v>
      </c>
      <c r="R7" s="334">
        <f t="shared" si="5"/>
        <v>600</v>
      </c>
      <c r="S7" s="229">
        <f t="shared" si="6"/>
        <v>0.6</v>
      </c>
      <c r="T7" s="230">
        <f t="shared" si="7"/>
        <v>1.7222222222222226E-2</v>
      </c>
      <c r="U7" s="374">
        <f t="shared" si="8"/>
        <v>0</v>
      </c>
      <c r="V7" s="375">
        <f t="shared" si="9"/>
        <v>0</v>
      </c>
      <c r="W7" s="376">
        <f t="shared" si="10"/>
        <v>0</v>
      </c>
      <c r="X7" s="377">
        <f t="shared" si="11"/>
        <v>0.6</v>
      </c>
      <c r="Y7" s="378">
        <f t="shared" si="12"/>
        <v>0</v>
      </c>
      <c r="Z7" s="379">
        <f t="shared" si="13"/>
        <v>0</v>
      </c>
      <c r="AA7" s="380">
        <f t="shared" si="14"/>
        <v>0</v>
      </c>
      <c r="AC7" s="231"/>
      <c r="AD7" s="231"/>
      <c r="AE7" s="231"/>
      <c r="AF7" s="231"/>
      <c r="AG7" s="231"/>
      <c r="AH7" s="231"/>
      <c r="AI7" s="213"/>
      <c r="AJ7" s="213"/>
      <c r="AK7" s="213"/>
      <c r="AL7" s="213"/>
      <c r="AM7" s="213"/>
      <c r="AN7" s="204"/>
    </row>
    <row r="8" spans="1:40" ht="14" customHeight="1">
      <c r="A8" s="851" t="s">
        <v>461</v>
      </c>
      <c r="B8" s="1026" t="s">
        <v>215</v>
      </c>
      <c r="C8" s="274">
        <f t="shared" si="1"/>
        <v>1.7939814814814817E-4</v>
      </c>
      <c r="D8" s="1977">
        <v>4</v>
      </c>
      <c r="E8" s="7246">
        <v>1</v>
      </c>
      <c r="F8" s="316">
        <v>2</v>
      </c>
      <c r="G8" s="316">
        <v>250</v>
      </c>
      <c r="H8" s="7247"/>
      <c r="I8" s="6122">
        <v>1.0416666666666667E-3</v>
      </c>
      <c r="J8" s="6122">
        <v>1.3888888888888889E-3</v>
      </c>
      <c r="K8" s="6122" t="s">
        <v>2480</v>
      </c>
      <c r="L8" s="1179">
        <f t="shared" si="15"/>
        <v>0.50233680555555549</v>
      </c>
      <c r="M8" s="7241">
        <v>1.2</v>
      </c>
      <c r="N8" s="1181">
        <f t="shared" si="2"/>
        <v>7.7777777777777776E-3</v>
      </c>
      <c r="O8" s="6122">
        <f t="shared" si="3"/>
        <v>1.7939814814814817E-3</v>
      </c>
      <c r="P8" s="1181">
        <f t="shared" si="4"/>
        <v>2.1527777777777778E-3</v>
      </c>
      <c r="Q8" s="334">
        <v>150</v>
      </c>
      <c r="R8" s="334">
        <f t="shared" si="5"/>
        <v>500</v>
      </c>
      <c r="S8" s="229">
        <f t="shared" si="6"/>
        <v>0.5</v>
      </c>
      <c r="T8" s="230">
        <f t="shared" si="7"/>
        <v>1.4351851851851853E-2</v>
      </c>
      <c r="U8" s="374">
        <f t="shared" si="8"/>
        <v>0</v>
      </c>
      <c r="V8" s="375">
        <f t="shared" si="9"/>
        <v>0</v>
      </c>
      <c r="W8" s="376">
        <f t="shared" si="10"/>
        <v>0</v>
      </c>
      <c r="X8" s="377">
        <f t="shared" si="11"/>
        <v>0.5</v>
      </c>
      <c r="Y8" s="378">
        <f t="shared" si="12"/>
        <v>0</v>
      </c>
      <c r="Z8" s="379">
        <f t="shared" si="13"/>
        <v>0</v>
      </c>
      <c r="AA8" s="380">
        <f t="shared" si="14"/>
        <v>0</v>
      </c>
      <c r="AC8" s="231"/>
      <c r="AD8" s="231"/>
      <c r="AE8" s="231"/>
      <c r="AF8" s="231"/>
      <c r="AG8" s="231"/>
      <c r="AH8" s="231"/>
      <c r="AI8" s="213"/>
      <c r="AJ8" s="213"/>
      <c r="AK8" s="213"/>
      <c r="AL8" s="213"/>
      <c r="AM8" s="213"/>
      <c r="AN8" s="204"/>
    </row>
    <row r="9" spans="1:40" ht="14" customHeight="1" thickBot="1">
      <c r="A9" s="851" t="s">
        <v>458</v>
      </c>
      <c r="B9" s="1026" t="s">
        <v>215</v>
      </c>
      <c r="C9" s="274">
        <f t="shared" si="1"/>
        <v>1.7222222222222224E-4</v>
      </c>
      <c r="D9" s="1300">
        <v>7</v>
      </c>
      <c r="E9" s="1323">
        <v>1</v>
      </c>
      <c r="F9" s="1323">
        <v>3</v>
      </c>
      <c r="G9" s="1323">
        <v>20</v>
      </c>
      <c r="H9" s="7248"/>
      <c r="I9" s="7248">
        <v>1.0416666666666667E-3</v>
      </c>
      <c r="J9" s="7248">
        <v>0</v>
      </c>
      <c r="K9" s="1323" t="s">
        <v>2470</v>
      </c>
      <c r="L9" s="1189">
        <f t="shared" ref="L9:L10" si="16">L8+N8</f>
        <v>0.51011458333333326</v>
      </c>
      <c r="M9" s="7249">
        <v>1</v>
      </c>
      <c r="N9" s="7248">
        <f t="shared" ref="N9" si="17">P9*E9*F9+I9*E9*F9+J9*E9</f>
        <v>3.5383333333333334E-3</v>
      </c>
      <c r="O9" s="1191">
        <f t="shared" ref="O9" si="18">C9*(G9/25)</f>
        <v>1.3777777777777779E-4</v>
      </c>
      <c r="P9" s="1192">
        <f t="shared" ref="P9" si="19">O9*M9</f>
        <v>1.3777777777777779E-4</v>
      </c>
      <c r="Q9" s="446" t="s">
        <v>316</v>
      </c>
      <c r="R9" s="438">
        <f t="shared" ref="R9" si="20">E9*F9*G9</f>
        <v>60</v>
      </c>
      <c r="S9" s="229">
        <f t="shared" si="6"/>
        <v>0.06</v>
      </c>
      <c r="T9" s="230">
        <f t="shared" si="7"/>
        <v>1.6533333333333335E-3</v>
      </c>
      <c r="U9" s="374">
        <f t="shared" si="8"/>
        <v>0</v>
      </c>
      <c r="V9" s="375">
        <f t="shared" si="9"/>
        <v>0</v>
      </c>
      <c r="W9" s="376">
        <f t="shared" si="10"/>
        <v>0</v>
      </c>
      <c r="X9" s="377">
        <f t="shared" si="11"/>
        <v>0</v>
      </c>
      <c r="Y9" s="378">
        <f t="shared" si="12"/>
        <v>0</v>
      </c>
      <c r="Z9" s="379">
        <f t="shared" si="13"/>
        <v>0</v>
      </c>
      <c r="AA9" s="380">
        <f t="shared" si="14"/>
        <v>0.06</v>
      </c>
      <c r="AC9" s="231"/>
      <c r="AD9" s="231"/>
      <c r="AE9" s="231"/>
      <c r="AF9" s="231"/>
      <c r="AG9" s="231"/>
      <c r="AH9" s="231"/>
      <c r="AI9" s="213"/>
      <c r="AJ9" s="213"/>
      <c r="AK9" s="213"/>
      <c r="AL9" s="213"/>
      <c r="AM9" s="213"/>
      <c r="AN9" s="204"/>
    </row>
    <row r="10" spans="1:40" ht="14" customHeight="1" thickBot="1">
      <c r="A10" s="851"/>
      <c r="B10" s="1326"/>
      <c r="C10" s="274">
        <f t="shared" si="1"/>
        <v>0</v>
      </c>
      <c r="E10" s="134"/>
      <c r="F10" s="60"/>
      <c r="G10" s="7250"/>
      <c r="H10" s="3345"/>
      <c r="I10" s="7250"/>
      <c r="J10" s="7250"/>
      <c r="K10" s="313"/>
      <c r="L10" s="325">
        <f t="shared" si="16"/>
        <v>0.51365291666666657</v>
      </c>
      <c r="M10" s="7251"/>
      <c r="N10" s="7252">
        <f>SUM(N5:N9)</f>
        <v>4.4902916666666674E-2</v>
      </c>
      <c r="O10" s="1096"/>
      <c r="P10" s="1096"/>
      <c r="Q10" s="3336"/>
      <c r="R10" s="1096">
        <f>SUM(R5:R9)</f>
        <v>3210</v>
      </c>
      <c r="S10" s="229">
        <f t="shared" si="6"/>
        <v>0</v>
      </c>
      <c r="T10" s="230">
        <f t="shared" si="7"/>
        <v>0</v>
      </c>
      <c r="U10" s="374">
        <f t="shared" si="8"/>
        <v>0</v>
      </c>
      <c r="V10" s="375">
        <f t="shared" si="9"/>
        <v>0</v>
      </c>
      <c r="W10" s="376">
        <f t="shared" si="10"/>
        <v>0</v>
      </c>
      <c r="X10" s="377">
        <f t="shared" si="11"/>
        <v>0</v>
      </c>
      <c r="Y10" s="378">
        <f t="shared" si="12"/>
        <v>0</v>
      </c>
      <c r="Z10" s="379">
        <f t="shared" si="13"/>
        <v>0</v>
      </c>
      <c r="AA10" s="380">
        <f t="shared" si="14"/>
        <v>0</v>
      </c>
      <c r="AC10" s="231"/>
      <c r="AD10" s="231"/>
      <c r="AE10" s="231"/>
      <c r="AF10" s="231"/>
      <c r="AG10" s="231"/>
      <c r="AH10" s="231"/>
      <c r="AI10" s="213"/>
      <c r="AJ10" s="213"/>
      <c r="AK10" s="213"/>
      <c r="AL10" s="213"/>
      <c r="AM10" s="213"/>
      <c r="AN10" s="204"/>
    </row>
    <row r="11" spans="1:40" ht="14" customHeight="1" thickBot="1">
      <c r="A11" s="398" t="s">
        <v>215</v>
      </c>
      <c r="B11" s="1117" t="s">
        <v>215</v>
      </c>
      <c r="C11" s="274">
        <f t="shared" si="1"/>
        <v>1.9733796296296302E-4</v>
      </c>
      <c r="D11" s="1977">
        <v>3</v>
      </c>
      <c r="E11" s="1123">
        <v>1</v>
      </c>
      <c r="F11" s="1123">
        <v>4</v>
      </c>
      <c r="G11" s="1123">
        <v>115</v>
      </c>
      <c r="H11" s="7253"/>
      <c r="I11" s="2128">
        <v>4.6296296296296293E-4</v>
      </c>
      <c r="J11" s="2128">
        <v>1.3888888888888889E-3</v>
      </c>
      <c r="K11" s="1123" t="s">
        <v>2471</v>
      </c>
      <c r="L11" s="1149">
        <v>0.4826388888888889</v>
      </c>
      <c r="M11" s="2127">
        <v>1.1000000000000001</v>
      </c>
      <c r="N11" s="1175">
        <f t="shared" ref="N11:N16" si="21">P11*E11*F11+I11*E11*F11+J11*E11</f>
        <v>7.234861111111112E-3</v>
      </c>
      <c r="O11" s="1175">
        <f t="shared" ref="O11:O16" si="22">C11*(G11/25)</f>
        <v>9.0775462962962977E-4</v>
      </c>
      <c r="P11" s="1175">
        <f t="shared" ref="P11:P16" si="23">O11*M11</f>
        <v>9.9853009259259274E-4</v>
      </c>
      <c r="Q11" s="550">
        <v>129</v>
      </c>
      <c r="R11" s="2129">
        <f t="shared" ref="R11:R16" si="24">E11*F11*G11</f>
        <v>460</v>
      </c>
      <c r="S11" s="229">
        <f t="shared" ref="S11:S33" si="25">E11*F11*G11/1000</f>
        <v>0.46</v>
      </c>
      <c r="T11" s="230">
        <f t="shared" ref="T11:T33" si="26">E11*F11*O11*4</f>
        <v>1.4524074074074076E-2</v>
      </c>
      <c r="U11" s="374">
        <f t="shared" ref="U11:U33" si="27">IF(C11*4&gt;=$U$3,S11,0)</f>
        <v>0</v>
      </c>
      <c r="V11" s="375">
        <f t="shared" ref="V11:V33" si="28">IF(AND(C11*4&gt;=$V$3,C11*4&lt;$U$3),S11,0)</f>
        <v>0</v>
      </c>
      <c r="W11" s="376">
        <f t="shared" ref="W11:W33" si="29">IF(AND(C11*4&gt;=$W$3,C11*4&lt;$V$3),S11,0)</f>
        <v>0.46</v>
      </c>
      <c r="X11" s="377">
        <f t="shared" ref="X11:X33" si="30">IF(AND(C11*4&gt;=$X$3,C11*4&lt;$W$3),S11,0)</f>
        <v>0</v>
      </c>
      <c r="Y11" s="378">
        <f t="shared" ref="Y11:Y33" si="31">IF(AND(C11*4&gt;=$Y$3,C11*4&lt;$X$3),S11,0)</f>
        <v>0</v>
      </c>
      <c r="Z11" s="379">
        <f t="shared" ref="Z11:Z33" si="32">IF(AND(C11*4&gt;=$Z$3,C11*4&lt;$Y$3),S11,0)</f>
        <v>0</v>
      </c>
      <c r="AA11" s="380">
        <f t="shared" ref="AA11:AA33" si="33">IF(AND(C11*4&gt;=$AA$3,C11*4&lt;$Z$3),S11,0)</f>
        <v>0</v>
      </c>
      <c r="AC11" s="231"/>
      <c r="AD11" s="231"/>
      <c r="AE11" s="231"/>
      <c r="AF11" s="231"/>
      <c r="AG11" s="231"/>
      <c r="AH11" s="231"/>
      <c r="AI11" s="213"/>
      <c r="AJ11" s="213"/>
      <c r="AK11" s="213"/>
      <c r="AL11" s="213"/>
      <c r="AM11" s="213"/>
      <c r="AN11" s="204"/>
    </row>
    <row r="12" spans="1:40" ht="14" customHeight="1" thickBot="1">
      <c r="A12" s="398" t="s">
        <v>139</v>
      </c>
      <c r="B12" s="1117" t="s">
        <v>215</v>
      </c>
      <c r="C12" s="274">
        <f t="shared" si="1"/>
        <v>1.9733796296296302E-4</v>
      </c>
      <c r="D12" s="1977">
        <v>3</v>
      </c>
      <c r="E12" s="7246">
        <v>1</v>
      </c>
      <c r="F12" s="316">
        <v>8</v>
      </c>
      <c r="G12" s="316">
        <v>60</v>
      </c>
      <c r="H12" s="7247"/>
      <c r="I12" s="6122">
        <v>3.4722222222222224E-4</v>
      </c>
      <c r="J12" s="6122">
        <v>1.3888888888888889E-3</v>
      </c>
      <c r="K12" s="6122" t="s">
        <v>2472</v>
      </c>
      <c r="L12" s="1179">
        <f t="shared" ref="L12:L16" si="34">L11+N11</f>
        <v>0.48987375</v>
      </c>
      <c r="M12" s="1179">
        <v>1</v>
      </c>
      <c r="N12" s="1181">
        <f t="shared" si="21"/>
        <v>7.955555555555556E-3</v>
      </c>
      <c r="O12" s="6122">
        <f t="shared" si="22"/>
        <v>4.7361111111111123E-4</v>
      </c>
      <c r="P12" s="1181">
        <f t="shared" si="23"/>
        <v>4.7361111111111123E-4</v>
      </c>
      <c r="Q12" s="334">
        <v>185</v>
      </c>
      <c r="R12" s="334">
        <f t="shared" si="24"/>
        <v>480</v>
      </c>
      <c r="S12" s="229">
        <f t="shared" si="25"/>
        <v>0.48</v>
      </c>
      <c r="T12" s="230">
        <f t="shared" si="26"/>
        <v>1.5155555555555559E-2</v>
      </c>
      <c r="U12" s="374">
        <f t="shared" si="27"/>
        <v>0</v>
      </c>
      <c r="V12" s="375">
        <f t="shared" si="28"/>
        <v>0</v>
      </c>
      <c r="W12" s="376">
        <f t="shared" si="29"/>
        <v>0.48</v>
      </c>
      <c r="X12" s="377">
        <f t="shared" si="30"/>
        <v>0</v>
      </c>
      <c r="Y12" s="378">
        <f t="shared" si="31"/>
        <v>0</v>
      </c>
      <c r="Z12" s="379">
        <f t="shared" si="32"/>
        <v>0</v>
      </c>
      <c r="AA12" s="380">
        <f t="shared" si="33"/>
        <v>0</v>
      </c>
      <c r="AC12" s="231"/>
      <c r="AD12" s="231"/>
      <c r="AE12" s="231"/>
      <c r="AF12" s="231"/>
      <c r="AG12" s="231"/>
      <c r="AH12" s="231"/>
      <c r="AI12" s="213"/>
      <c r="AJ12" s="213"/>
      <c r="AK12" s="213"/>
      <c r="AL12" s="213"/>
      <c r="AM12" s="213"/>
      <c r="AN12" s="204"/>
    </row>
    <row r="13" spans="1:40" ht="14" customHeight="1" thickBot="1">
      <c r="A13" s="398" t="s">
        <v>458</v>
      </c>
      <c r="B13" s="1117" t="s">
        <v>215</v>
      </c>
      <c r="C13" s="274">
        <f t="shared" si="1"/>
        <v>1.9733796296296302E-4</v>
      </c>
      <c r="D13" s="1977">
        <v>3</v>
      </c>
      <c r="E13" s="7246">
        <v>1</v>
      </c>
      <c r="F13" s="316">
        <v>8</v>
      </c>
      <c r="G13" s="316">
        <v>110</v>
      </c>
      <c r="H13" s="7247"/>
      <c r="I13" s="6122">
        <v>3.4722222222222224E-4</v>
      </c>
      <c r="J13" s="6122">
        <v>1.3888888888888889E-3</v>
      </c>
      <c r="K13" s="6122" t="s">
        <v>2481</v>
      </c>
      <c r="L13" s="1179">
        <f t="shared" si="34"/>
        <v>0.49782930555555555</v>
      </c>
      <c r="M13" s="1179">
        <v>1</v>
      </c>
      <c r="N13" s="1181">
        <f t="shared" si="21"/>
        <v>1.1112962962962965E-2</v>
      </c>
      <c r="O13" s="6122">
        <f t="shared" si="22"/>
        <v>8.6828703703703731E-4</v>
      </c>
      <c r="P13" s="1181">
        <f t="shared" si="23"/>
        <v>8.6828703703703731E-4</v>
      </c>
      <c r="Q13" s="334">
        <v>185</v>
      </c>
      <c r="R13" s="334">
        <f t="shared" si="24"/>
        <v>880</v>
      </c>
      <c r="S13" s="229">
        <f t="shared" si="25"/>
        <v>0.88</v>
      </c>
      <c r="T13" s="230">
        <f t="shared" si="26"/>
        <v>2.7785185185185194E-2</v>
      </c>
      <c r="U13" s="374">
        <f t="shared" si="27"/>
        <v>0</v>
      </c>
      <c r="V13" s="375">
        <f t="shared" si="28"/>
        <v>0</v>
      </c>
      <c r="W13" s="376">
        <f t="shared" si="29"/>
        <v>0.88</v>
      </c>
      <c r="X13" s="377">
        <f t="shared" si="30"/>
        <v>0</v>
      </c>
      <c r="Y13" s="378">
        <f t="shared" si="31"/>
        <v>0</v>
      </c>
      <c r="Z13" s="379">
        <f t="shared" si="32"/>
        <v>0</v>
      </c>
      <c r="AA13" s="380">
        <f t="shared" si="33"/>
        <v>0</v>
      </c>
      <c r="AC13" s="231"/>
      <c r="AD13" s="231"/>
      <c r="AE13" s="231"/>
      <c r="AF13" s="231"/>
      <c r="AG13" s="231"/>
      <c r="AH13" s="231"/>
      <c r="AI13" s="213"/>
      <c r="AJ13" s="213"/>
      <c r="AK13" s="213"/>
      <c r="AL13" s="213"/>
      <c r="AM13" s="213"/>
      <c r="AN13" s="204"/>
    </row>
    <row r="14" spans="1:40" ht="14" customHeight="1" thickBot="1">
      <c r="A14" s="398" t="s">
        <v>462</v>
      </c>
      <c r="B14" s="1117" t="s">
        <v>215</v>
      </c>
      <c r="C14" s="274">
        <f t="shared" ref="C14:C15" si="35">IF(D14=1,U$4,IF(D14=2,V$4,IF(D14=3,W$4,IF(D14=4,X$4,IF(D14=5,Y$4,IF(D14=6,Z$4,IF(D14=7,AA$4,0)))))))</f>
        <v>1.7581018518518521E-4</v>
      </c>
      <c r="D14" s="1977">
        <v>6</v>
      </c>
      <c r="E14" s="2116">
        <v>1</v>
      </c>
      <c r="F14" s="2116">
        <v>12</v>
      </c>
      <c r="G14" s="2116">
        <v>100</v>
      </c>
      <c r="H14" s="7254" t="s">
        <v>1414</v>
      </c>
      <c r="I14" s="1053">
        <v>2.3148148148148146E-4</v>
      </c>
      <c r="J14" s="1053">
        <v>1.3888888888888889E-3</v>
      </c>
      <c r="K14" s="1065" t="s">
        <v>2473</v>
      </c>
      <c r="L14" s="1247">
        <f t="shared" si="34"/>
        <v>0.50894226851851854</v>
      </c>
      <c r="M14" s="2116">
        <v>1.1000000000000001</v>
      </c>
      <c r="N14" s="1053">
        <f t="shared" si="21"/>
        <v>1.3449444444444446E-2</v>
      </c>
      <c r="O14" s="2116">
        <f t="shared" si="22"/>
        <v>7.0324074074074082E-4</v>
      </c>
      <c r="P14" s="586">
        <f t="shared" si="23"/>
        <v>7.7356481481481493E-4</v>
      </c>
      <c r="Q14" s="2116">
        <v>180</v>
      </c>
      <c r="R14" s="2116">
        <f t="shared" si="24"/>
        <v>1200</v>
      </c>
      <c r="S14" s="229">
        <f t="shared" si="25"/>
        <v>1.2</v>
      </c>
      <c r="T14" s="230">
        <f t="shared" si="26"/>
        <v>3.3755555555555559E-2</v>
      </c>
      <c r="U14" s="374">
        <f t="shared" si="27"/>
        <v>0</v>
      </c>
      <c r="V14" s="375">
        <f t="shared" si="28"/>
        <v>0</v>
      </c>
      <c r="W14" s="376">
        <f t="shared" si="29"/>
        <v>0</v>
      </c>
      <c r="X14" s="377">
        <f t="shared" si="30"/>
        <v>0</v>
      </c>
      <c r="Y14" s="378">
        <f t="shared" si="31"/>
        <v>0</v>
      </c>
      <c r="Z14" s="379">
        <f t="shared" si="32"/>
        <v>1.2</v>
      </c>
      <c r="AA14" s="380">
        <f t="shared" si="33"/>
        <v>0</v>
      </c>
      <c r="AC14" s="231"/>
      <c r="AD14" s="231"/>
      <c r="AE14" s="231"/>
      <c r="AF14" s="231"/>
      <c r="AG14" s="231"/>
      <c r="AH14" s="231"/>
      <c r="AI14" s="213"/>
      <c r="AJ14" s="213"/>
      <c r="AK14" s="213"/>
      <c r="AL14" s="213"/>
      <c r="AM14" s="213"/>
      <c r="AN14" s="204"/>
    </row>
    <row r="15" spans="1:40" thickBot="1">
      <c r="A15" s="398" t="s">
        <v>140</v>
      </c>
      <c r="B15" s="1117" t="s">
        <v>215</v>
      </c>
      <c r="C15" s="274">
        <f t="shared" si="35"/>
        <v>1.7581018518518521E-4</v>
      </c>
      <c r="D15" s="1977">
        <v>6</v>
      </c>
      <c r="E15" s="2116">
        <v>1</v>
      </c>
      <c r="F15" s="2116">
        <v>5</v>
      </c>
      <c r="G15" s="2116">
        <v>100</v>
      </c>
      <c r="H15" s="7254"/>
      <c r="I15" s="7254">
        <v>1.1574074074074073E-3</v>
      </c>
      <c r="J15" s="1053">
        <v>1.3888888888888889E-3</v>
      </c>
      <c r="K15" s="1065" t="s">
        <v>2303</v>
      </c>
      <c r="L15" s="1247">
        <f t="shared" si="34"/>
        <v>0.52239171296296294</v>
      </c>
      <c r="M15" s="2116">
        <v>1.1000000000000001</v>
      </c>
      <c r="N15" s="1053">
        <f t="shared" si="21"/>
        <v>1.104375E-2</v>
      </c>
      <c r="O15" s="2116">
        <f t="shared" si="22"/>
        <v>7.0324074074074082E-4</v>
      </c>
      <c r="P15" s="586">
        <f t="shared" si="23"/>
        <v>7.7356481481481493E-4</v>
      </c>
      <c r="Q15" s="2116">
        <v>180</v>
      </c>
      <c r="R15" s="2116">
        <f t="shared" si="24"/>
        <v>500</v>
      </c>
      <c r="S15" s="229">
        <f t="shared" si="25"/>
        <v>0.5</v>
      </c>
      <c r="T15" s="230">
        <f t="shared" si="26"/>
        <v>1.4064814814814816E-2</v>
      </c>
      <c r="U15" s="374">
        <f t="shared" si="27"/>
        <v>0</v>
      </c>
      <c r="V15" s="375">
        <f t="shared" si="28"/>
        <v>0</v>
      </c>
      <c r="W15" s="376">
        <f t="shared" si="29"/>
        <v>0</v>
      </c>
      <c r="X15" s="377">
        <f t="shared" si="30"/>
        <v>0</v>
      </c>
      <c r="Y15" s="378">
        <f t="shared" si="31"/>
        <v>0</v>
      </c>
      <c r="Z15" s="379">
        <f t="shared" si="32"/>
        <v>0.5</v>
      </c>
      <c r="AA15" s="380">
        <f t="shared" si="33"/>
        <v>0</v>
      </c>
      <c r="AC15" s="231"/>
      <c r="AD15" s="231"/>
      <c r="AE15" s="231"/>
      <c r="AF15" s="231"/>
      <c r="AG15" s="231"/>
      <c r="AH15" s="231"/>
      <c r="AI15" s="213"/>
      <c r="AJ15" s="213"/>
      <c r="AK15" s="213"/>
      <c r="AL15" s="213"/>
      <c r="AM15" s="213"/>
      <c r="AN15" s="204"/>
    </row>
    <row r="16" spans="1:40" ht="14" customHeight="1" thickBot="1">
      <c r="A16" s="398" t="s">
        <v>674</v>
      </c>
      <c r="B16" s="1117" t="s">
        <v>215</v>
      </c>
      <c r="C16" s="274">
        <f t="shared" ref="C16" si="36">IF(D16=1,U$4,IF(D16=2,V$4,IF(D16=3,W$4,IF(D16=4,X$4,IF(D16=5,Y$4,IF(D16=6,Z$4,IF(D16=7,AA$4,0)))))))</f>
        <v>1.7222222222222224E-4</v>
      </c>
      <c r="D16" s="1977">
        <v>7</v>
      </c>
      <c r="E16" s="1040">
        <v>2</v>
      </c>
      <c r="F16" s="1040">
        <v>5</v>
      </c>
      <c r="G16" s="1040">
        <v>30</v>
      </c>
      <c r="H16" s="7255"/>
      <c r="I16" s="1041">
        <v>4.6296296296296293E-4</v>
      </c>
      <c r="J16" s="1041">
        <v>1.3888888888888889E-3</v>
      </c>
      <c r="K16" s="442" t="s">
        <v>2474</v>
      </c>
      <c r="L16" s="1041">
        <f t="shared" si="34"/>
        <v>0.53343546296296296</v>
      </c>
      <c r="M16" s="442">
        <v>1</v>
      </c>
      <c r="N16" s="1041">
        <f t="shared" si="21"/>
        <v>9.474074074074074E-3</v>
      </c>
      <c r="O16" s="7256">
        <f t="shared" si="22"/>
        <v>2.0666666666666668E-4</v>
      </c>
      <c r="P16" s="1041">
        <f t="shared" si="23"/>
        <v>2.0666666666666668E-4</v>
      </c>
      <c r="Q16" s="789">
        <v>190</v>
      </c>
      <c r="R16" s="1045">
        <f t="shared" si="24"/>
        <v>300</v>
      </c>
      <c r="S16" s="229">
        <f t="shared" si="25"/>
        <v>0.3</v>
      </c>
      <c r="T16" s="230">
        <f t="shared" si="26"/>
        <v>8.266666666666667E-3</v>
      </c>
      <c r="U16" s="374">
        <f t="shared" si="27"/>
        <v>0</v>
      </c>
      <c r="V16" s="375">
        <f t="shared" si="28"/>
        <v>0</v>
      </c>
      <c r="W16" s="376">
        <f t="shared" si="29"/>
        <v>0</v>
      </c>
      <c r="X16" s="377">
        <f t="shared" si="30"/>
        <v>0</v>
      </c>
      <c r="Y16" s="378">
        <f t="shared" si="31"/>
        <v>0</v>
      </c>
      <c r="Z16" s="379">
        <f t="shared" si="32"/>
        <v>0</v>
      </c>
      <c r="AA16" s="380">
        <f t="shared" si="33"/>
        <v>0.3</v>
      </c>
      <c r="AC16" s="231"/>
      <c r="AD16" s="231"/>
      <c r="AE16" s="231"/>
      <c r="AF16" s="231" t="s">
        <v>1581</v>
      </c>
      <c r="AG16" s="231"/>
      <c r="AH16" s="231"/>
      <c r="AI16" s="213"/>
      <c r="AJ16" s="213"/>
      <c r="AK16" s="213"/>
      <c r="AL16" s="213"/>
      <c r="AM16" s="213"/>
      <c r="AN16" s="204"/>
    </row>
    <row r="17" spans="1:40" ht="14" customHeight="1" thickBot="1">
      <c r="A17" s="398"/>
      <c r="B17" s="1117"/>
      <c r="C17" s="274">
        <f t="shared" si="1"/>
        <v>0</v>
      </c>
      <c r="E17" s="845"/>
      <c r="F17" s="839"/>
      <c r="G17" s="839"/>
      <c r="H17" s="3349"/>
      <c r="I17" s="839"/>
      <c r="J17" s="839"/>
      <c r="K17" s="839"/>
      <c r="L17" s="644">
        <f t="shared" ref="L17" si="37">L16+N16</f>
        <v>0.54290953703703704</v>
      </c>
      <c r="M17" s="839">
        <v>1.2</v>
      </c>
      <c r="N17" s="644">
        <f>SUM(N11:N16)</f>
        <v>6.027064814814815E-2</v>
      </c>
      <c r="O17" s="839">
        <f t="shared" ref="O17" si="38">C17*(G17/25)</f>
        <v>0</v>
      </c>
      <c r="P17" s="839"/>
      <c r="Q17" s="839"/>
      <c r="R17" s="1656">
        <f>SUM(R11:R16)</f>
        <v>3820</v>
      </c>
      <c r="S17" s="229">
        <f t="shared" si="25"/>
        <v>0</v>
      </c>
      <c r="T17" s="230">
        <f t="shared" si="26"/>
        <v>0</v>
      </c>
      <c r="U17" s="374">
        <f t="shared" si="27"/>
        <v>0</v>
      </c>
      <c r="V17" s="375">
        <f t="shared" si="28"/>
        <v>0</v>
      </c>
      <c r="W17" s="376">
        <f t="shared" si="29"/>
        <v>0</v>
      </c>
      <c r="X17" s="377">
        <f t="shared" si="30"/>
        <v>0</v>
      </c>
      <c r="Y17" s="378">
        <f t="shared" si="31"/>
        <v>0</v>
      </c>
      <c r="Z17" s="379">
        <f t="shared" si="32"/>
        <v>0</v>
      </c>
      <c r="AA17" s="380">
        <f t="shared" si="33"/>
        <v>0</v>
      </c>
      <c r="AC17" s="231"/>
      <c r="AD17" s="231"/>
      <c r="AE17" s="231"/>
      <c r="AF17" s="231"/>
      <c r="AG17" s="231"/>
      <c r="AH17" s="231"/>
      <c r="AI17" s="213"/>
      <c r="AJ17" s="213"/>
      <c r="AK17" s="213"/>
      <c r="AL17" s="213"/>
      <c r="AM17" s="213"/>
    </row>
    <row r="18" spans="1:40" thickBot="1">
      <c r="A18" s="1025" t="s">
        <v>217</v>
      </c>
      <c r="B18" s="1151" t="s">
        <v>215</v>
      </c>
      <c r="C18" s="274">
        <f t="shared" si="1"/>
        <v>2.152777777777778E-4</v>
      </c>
      <c r="D18" s="1977">
        <v>2</v>
      </c>
      <c r="E18" s="1123">
        <v>1</v>
      </c>
      <c r="F18" s="1123">
        <v>1</v>
      </c>
      <c r="G18" s="1123">
        <v>200</v>
      </c>
      <c r="H18" s="7253"/>
      <c r="I18" s="2128">
        <v>1.3888888888888889E-3</v>
      </c>
      <c r="J18" s="2128">
        <v>1.5046296296296294E-3</v>
      </c>
      <c r="K18" s="1123" t="s">
        <v>717</v>
      </c>
      <c r="L18" s="7239">
        <v>0.46875</v>
      </c>
      <c r="M18" s="2127">
        <v>1</v>
      </c>
      <c r="N18" s="1175">
        <f t="shared" ref="N18:N25" si="39">P18*E18*F18+I18*E18*F18+J18*E18</f>
        <v>4.6157407407407406E-3</v>
      </c>
      <c r="O18" s="1175">
        <f t="shared" ref="O18:O25" si="40">C18*(G18/25)</f>
        <v>1.7222222222222224E-3</v>
      </c>
      <c r="P18" s="1175">
        <f t="shared" ref="P18:P25" si="41">O18*M18</f>
        <v>1.7222222222222224E-3</v>
      </c>
      <c r="Q18" s="550">
        <v>185</v>
      </c>
      <c r="R18" s="2129">
        <f t="shared" ref="R18:R25" si="42">E18*F18*G18</f>
        <v>200</v>
      </c>
      <c r="S18" s="229">
        <f t="shared" si="25"/>
        <v>0.2</v>
      </c>
      <c r="T18" s="230">
        <f t="shared" si="26"/>
        <v>6.8888888888888897E-3</v>
      </c>
      <c r="U18" s="374">
        <f t="shared" si="27"/>
        <v>0</v>
      </c>
      <c r="V18" s="375">
        <f t="shared" si="28"/>
        <v>0.2</v>
      </c>
      <c r="W18" s="376">
        <f t="shared" si="29"/>
        <v>0</v>
      </c>
      <c r="X18" s="377">
        <f t="shared" si="30"/>
        <v>0</v>
      </c>
      <c r="Y18" s="378">
        <f t="shared" si="31"/>
        <v>0</v>
      </c>
      <c r="Z18" s="379">
        <f t="shared" si="32"/>
        <v>0</v>
      </c>
      <c r="AA18" s="380">
        <f t="shared" si="33"/>
        <v>0</v>
      </c>
      <c r="AC18" s="231"/>
      <c r="AD18" s="231"/>
      <c r="AE18" s="231"/>
      <c r="AF18" s="231"/>
      <c r="AG18" s="231"/>
      <c r="AH18" s="231"/>
      <c r="AI18" s="213"/>
      <c r="AJ18" s="213"/>
      <c r="AK18" s="213"/>
      <c r="AL18" s="213"/>
      <c r="AM18" s="213"/>
      <c r="AN18" s="204"/>
    </row>
    <row r="19" spans="1:40" thickBot="1">
      <c r="A19" s="851" t="s">
        <v>459</v>
      </c>
      <c r="B19" s="1124" t="s">
        <v>215</v>
      </c>
      <c r="C19" s="274">
        <f t="shared" si="1"/>
        <v>1.7939814814814817E-4</v>
      </c>
      <c r="D19" s="1977">
        <v>4</v>
      </c>
      <c r="E19" s="7246">
        <v>1</v>
      </c>
      <c r="F19" s="316">
        <v>10</v>
      </c>
      <c r="G19" s="316">
        <v>30</v>
      </c>
      <c r="H19" s="7247" t="s">
        <v>1417</v>
      </c>
      <c r="I19" s="6122">
        <v>4.0509259259259258E-4</v>
      </c>
      <c r="J19" s="6122">
        <v>1.3888888888888889E-3</v>
      </c>
      <c r="K19" s="6122" t="s">
        <v>2475</v>
      </c>
      <c r="L19" s="1179">
        <f t="shared" ref="L19:L25" si="43">L18+N18</f>
        <v>0.47336574074074073</v>
      </c>
      <c r="M19" s="1179">
        <v>1</v>
      </c>
      <c r="N19" s="1181">
        <f t="shared" si="39"/>
        <v>7.5925925925925935E-3</v>
      </c>
      <c r="O19" s="6122">
        <f t="shared" si="40"/>
        <v>2.152777777777778E-4</v>
      </c>
      <c r="P19" s="1181">
        <f t="shared" si="41"/>
        <v>2.152777777777778E-4</v>
      </c>
      <c r="Q19" s="334">
        <v>185</v>
      </c>
      <c r="R19" s="334">
        <f t="shared" si="42"/>
        <v>300</v>
      </c>
      <c r="S19" s="229">
        <f t="shared" si="25"/>
        <v>0.3</v>
      </c>
      <c r="T19" s="230">
        <f t="shared" si="26"/>
        <v>8.6111111111111128E-3</v>
      </c>
      <c r="U19" s="374">
        <f t="shared" si="27"/>
        <v>0</v>
      </c>
      <c r="V19" s="375">
        <f t="shared" si="28"/>
        <v>0</v>
      </c>
      <c r="W19" s="376">
        <f t="shared" si="29"/>
        <v>0</v>
      </c>
      <c r="X19" s="377">
        <f t="shared" si="30"/>
        <v>0.3</v>
      </c>
      <c r="Y19" s="378">
        <f t="shared" si="31"/>
        <v>0</v>
      </c>
      <c r="Z19" s="379">
        <f t="shared" si="32"/>
        <v>0</v>
      </c>
      <c r="AA19" s="380">
        <f t="shared" si="33"/>
        <v>0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  <c r="AN19" s="204"/>
    </row>
    <row r="20" spans="1:40" thickBot="1">
      <c r="A20" s="851" t="s">
        <v>458</v>
      </c>
      <c r="B20" s="1124" t="s">
        <v>215</v>
      </c>
      <c r="C20" s="274">
        <f t="shared" si="1"/>
        <v>1.7939814814814817E-4</v>
      </c>
      <c r="D20" s="1977">
        <v>4</v>
      </c>
      <c r="E20" s="7246">
        <v>1</v>
      </c>
      <c r="F20" s="316">
        <v>14</v>
      </c>
      <c r="G20" s="316">
        <v>30</v>
      </c>
      <c r="H20" s="7247" t="s">
        <v>300</v>
      </c>
      <c r="I20" s="6122">
        <v>4.0509259259259258E-4</v>
      </c>
      <c r="J20" s="6122">
        <v>1.3888888888888889E-3</v>
      </c>
      <c r="K20" s="6122" t="s">
        <v>2475</v>
      </c>
      <c r="L20" s="1179">
        <f t="shared" si="43"/>
        <v>0.48095833333333332</v>
      </c>
      <c r="M20" s="1179">
        <v>1</v>
      </c>
      <c r="N20" s="1181">
        <f t="shared" si="39"/>
        <v>1.0074074074074074E-2</v>
      </c>
      <c r="O20" s="6122">
        <f t="shared" si="40"/>
        <v>2.152777777777778E-4</v>
      </c>
      <c r="P20" s="1181">
        <f t="shared" si="41"/>
        <v>2.152777777777778E-4</v>
      </c>
      <c r="Q20" s="334">
        <v>185</v>
      </c>
      <c r="R20" s="334">
        <f t="shared" si="42"/>
        <v>420</v>
      </c>
      <c r="S20" s="229">
        <f t="shared" si="25"/>
        <v>0.42</v>
      </c>
      <c r="T20" s="230">
        <f t="shared" si="26"/>
        <v>1.2055555555555557E-2</v>
      </c>
      <c r="U20" s="374">
        <f t="shared" si="27"/>
        <v>0</v>
      </c>
      <c r="V20" s="375">
        <f t="shared" si="28"/>
        <v>0</v>
      </c>
      <c r="W20" s="376">
        <f t="shared" si="29"/>
        <v>0</v>
      </c>
      <c r="X20" s="377">
        <f t="shared" si="30"/>
        <v>0.42</v>
      </c>
      <c r="Y20" s="378">
        <f t="shared" si="31"/>
        <v>0</v>
      </c>
      <c r="Z20" s="379">
        <f t="shared" si="32"/>
        <v>0</v>
      </c>
      <c r="AA20" s="380">
        <f t="shared" si="33"/>
        <v>0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  <c r="AN20" s="204"/>
    </row>
    <row r="21" spans="1:40" thickBot="1">
      <c r="A21" s="851" t="s">
        <v>218</v>
      </c>
      <c r="B21" s="1124" t="s">
        <v>215</v>
      </c>
      <c r="C21" s="274">
        <f t="shared" si="1"/>
        <v>1.7222222222222224E-4</v>
      </c>
      <c r="D21" s="1977">
        <v>7</v>
      </c>
      <c r="E21" s="1040">
        <v>1</v>
      </c>
      <c r="F21" s="1040">
        <v>8</v>
      </c>
      <c r="G21" s="1040">
        <v>30</v>
      </c>
      <c r="H21" s="7255" t="s">
        <v>1385</v>
      </c>
      <c r="I21" s="1041">
        <v>4.0509259259259258E-4</v>
      </c>
      <c r="J21" s="1041">
        <v>1.3888888888888889E-3</v>
      </c>
      <c r="K21" s="442" t="s">
        <v>2475</v>
      </c>
      <c r="L21" s="1041">
        <f t="shared" si="43"/>
        <v>0.49103240740740739</v>
      </c>
      <c r="M21" s="442">
        <v>1</v>
      </c>
      <c r="N21" s="1041">
        <f t="shared" si="39"/>
        <v>6.2829629629629633E-3</v>
      </c>
      <c r="O21" s="7256">
        <f t="shared" si="40"/>
        <v>2.0666666666666668E-4</v>
      </c>
      <c r="P21" s="1041">
        <f t="shared" si="41"/>
        <v>2.0666666666666668E-4</v>
      </c>
      <c r="Q21" s="789">
        <v>185</v>
      </c>
      <c r="R21" s="1045">
        <f t="shared" si="42"/>
        <v>240</v>
      </c>
      <c r="S21" s="229">
        <f t="shared" si="25"/>
        <v>0.24</v>
      </c>
      <c r="T21" s="230">
        <f t="shared" si="26"/>
        <v>6.6133333333333339E-3</v>
      </c>
      <c r="U21" s="374">
        <f t="shared" si="27"/>
        <v>0</v>
      </c>
      <c r="V21" s="375">
        <f t="shared" si="28"/>
        <v>0</v>
      </c>
      <c r="W21" s="376">
        <f t="shared" si="29"/>
        <v>0</v>
      </c>
      <c r="X21" s="377">
        <f t="shared" si="30"/>
        <v>0</v>
      </c>
      <c r="Y21" s="378">
        <f t="shared" si="31"/>
        <v>0</v>
      </c>
      <c r="Z21" s="379">
        <f t="shared" si="32"/>
        <v>0</v>
      </c>
      <c r="AA21" s="380">
        <f t="shared" si="33"/>
        <v>0.24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  <c r="AN21" s="204"/>
    </row>
    <row r="22" spans="1:40" thickBot="1">
      <c r="A22" s="851" t="s">
        <v>219</v>
      </c>
      <c r="B22" s="1124" t="s">
        <v>215</v>
      </c>
      <c r="C22" s="274">
        <f t="shared" si="1"/>
        <v>1.7222222222222224E-4</v>
      </c>
      <c r="D22" s="1977">
        <v>7</v>
      </c>
      <c r="E22" s="1040">
        <v>1</v>
      </c>
      <c r="F22" s="1040">
        <v>4</v>
      </c>
      <c r="G22" s="7257">
        <v>20</v>
      </c>
      <c r="H22" s="7255" t="s">
        <v>1385</v>
      </c>
      <c r="I22" s="7258">
        <v>4.0509259259259258E-4</v>
      </c>
      <c r="J22" s="1041">
        <v>1.3888888888888889E-3</v>
      </c>
      <c r="K22" s="442" t="s">
        <v>2476</v>
      </c>
      <c r="L22" s="1041">
        <f t="shared" si="43"/>
        <v>0.49731537037037038</v>
      </c>
      <c r="M22" s="442">
        <v>1</v>
      </c>
      <c r="N22" s="1041">
        <f t="shared" si="39"/>
        <v>3.5603703703703709E-3</v>
      </c>
      <c r="O22" s="7256">
        <f t="shared" si="40"/>
        <v>1.3777777777777779E-4</v>
      </c>
      <c r="P22" s="1041">
        <f t="shared" si="41"/>
        <v>1.3777777777777779E-4</v>
      </c>
      <c r="Q22" s="789">
        <v>185</v>
      </c>
      <c r="R22" s="1045">
        <f t="shared" si="42"/>
        <v>80</v>
      </c>
      <c r="S22" s="229">
        <f t="shared" si="25"/>
        <v>0.08</v>
      </c>
      <c r="T22" s="230">
        <f t="shared" si="26"/>
        <v>2.2044444444444446E-3</v>
      </c>
      <c r="U22" s="374">
        <f t="shared" si="27"/>
        <v>0</v>
      </c>
      <c r="V22" s="375">
        <f t="shared" si="28"/>
        <v>0</v>
      </c>
      <c r="W22" s="376">
        <f t="shared" si="29"/>
        <v>0</v>
      </c>
      <c r="X22" s="377">
        <f t="shared" si="30"/>
        <v>0</v>
      </c>
      <c r="Y22" s="378">
        <f t="shared" si="31"/>
        <v>0</v>
      </c>
      <c r="Z22" s="379">
        <f t="shared" si="32"/>
        <v>0</v>
      </c>
      <c r="AA22" s="380">
        <f t="shared" si="33"/>
        <v>0.08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  <c r="AN22" s="204"/>
    </row>
    <row r="23" spans="1:40" thickBot="1">
      <c r="A23" s="851"/>
      <c r="B23" s="1124" t="s">
        <v>215</v>
      </c>
      <c r="C23" s="274">
        <f t="shared" si="1"/>
        <v>2.152777777777778E-4</v>
      </c>
      <c r="D23" s="1977">
        <v>2</v>
      </c>
      <c r="E23" s="4615">
        <v>1</v>
      </c>
      <c r="F23" s="4615">
        <v>6</v>
      </c>
      <c r="G23" s="7259">
        <v>100</v>
      </c>
      <c r="H23" s="7260"/>
      <c r="I23" s="7261">
        <v>1.7361111111111112E-4</v>
      </c>
      <c r="J23" s="2128">
        <v>1.5046296296296294E-3</v>
      </c>
      <c r="K23" s="1975" t="s">
        <v>2477</v>
      </c>
      <c r="L23" s="4616">
        <f t="shared" si="43"/>
        <v>0.5008757407407407</v>
      </c>
      <c r="M23" s="4617">
        <v>1.3</v>
      </c>
      <c r="N23" s="302">
        <f t="shared" si="39"/>
        <v>9.2629629629629642E-3</v>
      </c>
      <c r="O23" s="4616">
        <f t="shared" si="40"/>
        <v>8.6111111111111121E-4</v>
      </c>
      <c r="P23" s="302">
        <f t="shared" si="41"/>
        <v>1.1194444444444446E-3</v>
      </c>
      <c r="Q23" s="550">
        <v>185</v>
      </c>
      <c r="R23" s="4618">
        <f t="shared" si="42"/>
        <v>600</v>
      </c>
      <c r="S23" s="229">
        <f t="shared" si="25"/>
        <v>0.6</v>
      </c>
      <c r="T23" s="230">
        <f t="shared" si="26"/>
        <v>2.066666666666667E-2</v>
      </c>
      <c r="U23" s="374">
        <f t="shared" si="27"/>
        <v>0</v>
      </c>
      <c r="V23" s="375">
        <f t="shared" si="28"/>
        <v>0.6</v>
      </c>
      <c r="W23" s="376">
        <f t="shared" si="29"/>
        <v>0</v>
      </c>
      <c r="X23" s="377">
        <f t="shared" si="30"/>
        <v>0</v>
      </c>
      <c r="Y23" s="378">
        <f t="shared" si="31"/>
        <v>0</v>
      </c>
      <c r="Z23" s="379">
        <f t="shared" si="32"/>
        <v>0</v>
      </c>
      <c r="AA23" s="380">
        <f t="shared" si="33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  <c r="AN23" s="204"/>
    </row>
    <row r="24" spans="1:40" thickBot="1">
      <c r="A24" s="851"/>
      <c r="B24" s="1124" t="s">
        <v>215</v>
      </c>
      <c r="C24" s="274">
        <f t="shared" si="1"/>
        <v>2.152777777777778E-4</v>
      </c>
      <c r="D24" s="1977">
        <v>2</v>
      </c>
      <c r="E24" s="4615">
        <v>1</v>
      </c>
      <c r="F24" s="4615">
        <v>12</v>
      </c>
      <c r="G24" s="7259">
        <v>50</v>
      </c>
      <c r="H24" s="7260"/>
      <c r="I24" s="7261">
        <v>2.3148148148148146E-4</v>
      </c>
      <c r="J24" s="2128">
        <v>1.5046296296296294E-3</v>
      </c>
      <c r="K24" s="1975" t="s">
        <v>1108</v>
      </c>
      <c r="L24" s="4616">
        <f t="shared" si="43"/>
        <v>0.51013870370370362</v>
      </c>
      <c r="M24" s="4617">
        <v>1</v>
      </c>
      <c r="N24" s="302">
        <f t="shared" si="39"/>
        <v>9.449074074074075E-3</v>
      </c>
      <c r="O24" s="4616">
        <f t="shared" si="40"/>
        <v>4.3055555555555561E-4</v>
      </c>
      <c r="P24" s="302">
        <f t="shared" si="41"/>
        <v>4.3055555555555561E-4</v>
      </c>
      <c r="Q24" s="550">
        <v>185</v>
      </c>
      <c r="R24" s="4618">
        <f t="shared" si="42"/>
        <v>600</v>
      </c>
      <c r="S24" s="229">
        <f t="shared" si="25"/>
        <v>0.6</v>
      </c>
      <c r="T24" s="230">
        <f t="shared" si="26"/>
        <v>2.066666666666667E-2</v>
      </c>
      <c r="U24" s="374">
        <f t="shared" si="27"/>
        <v>0</v>
      </c>
      <c r="V24" s="375">
        <f t="shared" si="28"/>
        <v>0.6</v>
      </c>
      <c r="W24" s="376">
        <f t="shared" si="29"/>
        <v>0</v>
      </c>
      <c r="X24" s="377">
        <f t="shared" si="30"/>
        <v>0</v>
      </c>
      <c r="Y24" s="378">
        <f t="shared" si="31"/>
        <v>0</v>
      </c>
      <c r="Z24" s="379">
        <f t="shared" si="32"/>
        <v>0</v>
      </c>
      <c r="AA24" s="380">
        <f t="shared" si="33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  <c r="AN24" s="204"/>
    </row>
    <row r="25" spans="1:40" thickBot="1">
      <c r="A25" s="851"/>
      <c r="B25" s="1124" t="s">
        <v>215</v>
      </c>
      <c r="C25" s="274">
        <f t="shared" si="1"/>
        <v>2.152777777777778E-4</v>
      </c>
      <c r="D25" s="1977">
        <v>2</v>
      </c>
      <c r="E25" s="7262">
        <v>1</v>
      </c>
      <c r="F25" s="4615">
        <v>12</v>
      </c>
      <c r="G25" s="7259">
        <v>50</v>
      </c>
      <c r="H25" s="7260"/>
      <c r="I25" s="7261">
        <v>1.7361111111111112E-4</v>
      </c>
      <c r="J25" s="2128">
        <v>1.5046296296296294E-3</v>
      </c>
      <c r="K25" s="2653" t="s">
        <v>1407</v>
      </c>
      <c r="L25" s="4616">
        <f t="shared" si="43"/>
        <v>0.51958777777777765</v>
      </c>
      <c r="M25" s="4617">
        <v>1</v>
      </c>
      <c r="N25" s="302">
        <f t="shared" si="39"/>
        <v>8.7546296296296313E-3</v>
      </c>
      <c r="O25" s="4616">
        <f t="shared" si="40"/>
        <v>4.3055555555555561E-4</v>
      </c>
      <c r="P25" s="302">
        <f t="shared" si="41"/>
        <v>4.3055555555555561E-4</v>
      </c>
      <c r="Q25" s="550">
        <v>185</v>
      </c>
      <c r="R25" s="4618">
        <f t="shared" si="42"/>
        <v>600</v>
      </c>
      <c r="S25" s="229">
        <f t="shared" si="25"/>
        <v>0.6</v>
      </c>
      <c r="T25" s="230">
        <f t="shared" si="26"/>
        <v>2.066666666666667E-2</v>
      </c>
      <c r="U25" s="374">
        <f t="shared" si="27"/>
        <v>0</v>
      </c>
      <c r="V25" s="375">
        <f t="shared" si="28"/>
        <v>0.6</v>
      </c>
      <c r="W25" s="376">
        <f t="shared" si="29"/>
        <v>0</v>
      </c>
      <c r="X25" s="377">
        <f t="shared" si="30"/>
        <v>0</v>
      </c>
      <c r="Y25" s="378">
        <f t="shared" si="31"/>
        <v>0</v>
      </c>
      <c r="Z25" s="379">
        <f t="shared" si="32"/>
        <v>0</v>
      </c>
      <c r="AA25" s="380">
        <f t="shared" si="33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  <c r="AN25" s="204"/>
    </row>
    <row r="26" spans="1:40" ht="14" customHeight="1" thickBot="1">
      <c r="A26" s="851"/>
      <c r="B26" s="1124"/>
      <c r="C26" s="274">
        <f t="shared" si="1"/>
        <v>0</v>
      </c>
      <c r="E26" s="7263"/>
      <c r="F26" s="1023"/>
      <c r="G26" s="45"/>
      <c r="H26" s="7264"/>
      <c r="I26" s="1494"/>
      <c r="J26" s="1494"/>
      <c r="K26" s="1494"/>
      <c r="L26" s="325">
        <f t="shared" ref="L26" si="44">L25+N25</f>
        <v>0.52834240740740723</v>
      </c>
      <c r="M26" s="7265"/>
      <c r="N26" s="325">
        <f>SUM(N18:N25)</f>
        <v>5.959240740740742E-2</v>
      </c>
      <c r="O26" s="1494"/>
      <c r="P26" s="1494"/>
      <c r="Q26" s="1494"/>
      <c r="R26" s="363">
        <f>SUM(R18:R25)</f>
        <v>3040</v>
      </c>
      <c r="S26" s="229">
        <f t="shared" si="25"/>
        <v>0</v>
      </c>
      <c r="T26" s="230">
        <f t="shared" si="26"/>
        <v>0</v>
      </c>
      <c r="U26" s="374">
        <f t="shared" si="27"/>
        <v>0</v>
      </c>
      <c r="V26" s="375">
        <f t="shared" si="28"/>
        <v>0</v>
      </c>
      <c r="W26" s="376">
        <f t="shared" si="29"/>
        <v>0</v>
      </c>
      <c r="X26" s="377">
        <f t="shared" si="30"/>
        <v>0</v>
      </c>
      <c r="Y26" s="378">
        <f t="shared" si="31"/>
        <v>0</v>
      </c>
      <c r="Z26" s="379">
        <f t="shared" si="32"/>
        <v>0</v>
      </c>
      <c r="AA26" s="380">
        <f t="shared" si="33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  <c r="AN26" s="204"/>
    </row>
    <row r="27" spans="1:40" s="245" customFormat="1" ht="14" customHeight="1" thickBot="1">
      <c r="A27" s="398" t="s">
        <v>218</v>
      </c>
      <c r="B27" s="1117" t="s">
        <v>215</v>
      </c>
      <c r="C27" s="274">
        <f t="shared" si="1"/>
        <v>1.9733796296296302E-4</v>
      </c>
      <c r="D27" s="1977">
        <v>3</v>
      </c>
      <c r="E27" s="7262">
        <v>1</v>
      </c>
      <c r="F27" s="4615">
        <v>8</v>
      </c>
      <c r="G27" s="7259">
        <v>105</v>
      </c>
      <c r="H27" s="7260"/>
      <c r="I27" s="7261">
        <v>3.4722222222222224E-4</v>
      </c>
      <c r="J27" s="4616">
        <v>1.3888888888888889E-3</v>
      </c>
      <c r="K27" s="2653" t="s">
        <v>1403</v>
      </c>
      <c r="L27" s="4616">
        <v>0.34375</v>
      </c>
      <c r="M27" s="4617">
        <v>1.1000000000000001</v>
      </c>
      <c r="N27" s="4616">
        <f t="shared" ref="N27:N28" si="45">P27*E27*F27+I27*E27*F27+J27*E27</f>
        <v>1.1460277777777781E-2</v>
      </c>
      <c r="O27" s="4616">
        <f t="shared" ref="O27:O28" si="46">C27*(G27/25)</f>
        <v>8.2881944444444474E-4</v>
      </c>
      <c r="P27" s="302">
        <f t="shared" ref="P27:P32" si="47">O27*M27</f>
        <v>9.117013888888893E-4</v>
      </c>
      <c r="Q27" s="550">
        <v>129</v>
      </c>
      <c r="R27" s="4618">
        <f t="shared" ref="R27:R32" si="48">E27*F27*G27</f>
        <v>840</v>
      </c>
      <c r="S27" s="229">
        <f t="shared" si="25"/>
        <v>0.84</v>
      </c>
      <c r="T27" s="230">
        <f t="shared" si="26"/>
        <v>2.6522222222222232E-2</v>
      </c>
      <c r="U27" s="374">
        <f t="shared" si="27"/>
        <v>0</v>
      </c>
      <c r="V27" s="375">
        <f t="shared" si="28"/>
        <v>0</v>
      </c>
      <c r="W27" s="376">
        <f t="shared" si="29"/>
        <v>0.84</v>
      </c>
      <c r="X27" s="377">
        <f t="shared" si="30"/>
        <v>0</v>
      </c>
      <c r="Y27" s="378">
        <f t="shared" si="31"/>
        <v>0</v>
      </c>
      <c r="Z27" s="379">
        <f t="shared" si="32"/>
        <v>0</v>
      </c>
      <c r="AA27" s="380">
        <f t="shared" si="33"/>
        <v>0</v>
      </c>
      <c r="AB27" s="565"/>
      <c r="AC27" s="214"/>
      <c r="AD27" s="214"/>
      <c r="AE27" s="222"/>
      <c r="AF27" s="222"/>
      <c r="AG27" s="222"/>
      <c r="AH27" s="222"/>
      <c r="AI27" s="222"/>
      <c r="AJ27" s="214"/>
      <c r="AK27" s="214"/>
      <c r="AL27" s="214"/>
      <c r="AM27" s="214"/>
      <c r="AN27" s="244"/>
    </row>
    <row r="28" spans="1:40" s="245" customFormat="1" ht="14" customHeight="1" thickBot="1">
      <c r="A28" s="398" t="s">
        <v>139</v>
      </c>
      <c r="B28" s="1117" t="s">
        <v>215</v>
      </c>
      <c r="C28" s="274">
        <f t="shared" si="1"/>
        <v>1.9733796296296302E-4</v>
      </c>
      <c r="D28" s="1977">
        <v>3</v>
      </c>
      <c r="E28" s="7266">
        <v>1</v>
      </c>
      <c r="F28" s="7266">
        <v>10</v>
      </c>
      <c r="G28" s="7267">
        <v>60</v>
      </c>
      <c r="H28" s="7268"/>
      <c r="I28" s="7269">
        <v>3.4722222222222224E-4</v>
      </c>
      <c r="J28" s="7269">
        <v>1.3888888888888889E-3</v>
      </c>
      <c r="K28" s="1976" t="s">
        <v>1404</v>
      </c>
      <c r="L28" s="7270">
        <f t="shared" ref="L28:L33" si="49">L27+N27</f>
        <v>0.35521027777777781</v>
      </c>
      <c r="M28" s="4617">
        <v>1.1000000000000001</v>
      </c>
      <c r="N28" s="4617">
        <f t="shared" si="45"/>
        <v>1.0070833333333334E-2</v>
      </c>
      <c r="O28" s="7270">
        <f t="shared" si="46"/>
        <v>4.7361111111111123E-4</v>
      </c>
      <c r="P28" s="298">
        <f t="shared" si="47"/>
        <v>5.2097222222222237E-4</v>
      </c>
      <c r="Q28" s="333">
        <v>150</v>
      </c>
      <c r="R28" s="7267">
        <f t="shared" si="48"/>
        <v>600</v>
      </c>
      <c r="S28" s="229">
        <f t="shared" si="25"/>
        <v>0.6</v>
      </c>
      <c r="T28" s="230">
        <f t="shared" si="26"/>
        <v>1.8944444444444448E-2</v>
      </c>
      <c r="U28" s="374">
        <f t="shared" si="27"/>
        <v>0</v>
      </c>
      <c r="V28" s="375">
        <f t="shared" si="28"/>
        <v>0</v>
      </c>
      <c r="W28" s="376">
        <f t="shared" si="29"/>
        <v>0.6</v>
      </c>
      <c r="X28" s="377">
        <f t="shared" si="30"/>
        <v>0</v>
      </c>
      <c r="Y28" s="378">
        <f t="shared" si="31"/>
        <v>0</v>
      </c>
      <c r="Z28" s="379">
        <f t="shared" si="32"/>
        <v>0</v>
      </c>
      <c r="AA28" s="380">
        <f t="shared" si="33"/>
        <v>0</v>
      </c>
      <c r="AB28" s="565"/>
      <c r="AC28" s="214"/>
      <c r="AD28" s="214"/>
      <c r="AE28" s="222"/>
      <c r="AF28" s="222"/>
      <c r="AG28" s="222"/>
      <c r="AH28" s="222"/>
      <c r="AI28" s="222"/>
      <c r="AJ28" s="214"/>
      <c r="AK28" s="214"/>
      <c r="AL28" s="214"/>
      <c r="AM28" s="214"/>
      <c r="AN28" s="244"/>
    </row>
    <row r="29" spans="1:40" s="245" customFormat="1" ht="14" customHeight="1" thickBot="1">
      <c r="A29" s="398" t="s">
        <v>458</v>
      </c>
      <c r="B29" s="1117" t="s">
        <v>215</v>
      </c>
      <c r="C29" s="274">
        <f t="shared" si="1"/>
        <v>1.7939814814814817E-4</v>
      </c>
      <c r="D29" s="1977">
        <v>4</v>
      </c>
      <c r="E29" s="7246">
        <v>1</v>
      </c>
      <c r="F29" s="316">
        <v>15</v>
      </c>
      <c r="G29" s="316">
        <v>105</v>
      </c>
      <c r="H29" s="6122"/>
      <c r="I29" s="6122">
        <v>4.0509259259259258E-4</v>
      </c>
      <c r="J29" s="6122">
        <v>1.3888888888888889E-3</v>
      </c>
      <c r="K29" s="6122" t="s">
        <v>1405</v>
      </c>
      <c r="L29" s="1179">
        <f t="shared" ref="L29" si="50">L28+N28</f>
        <v>0.36528111111111117</v>
      </c>
      <c r="M29" s="4617">
        <v>1.1000000000000001</v>
      </c>
      <c r="N29" s="1181">
        <f t="shared" ref="N29" si="51">P29*E29*F29+I29*E29*F29+J29*E29</f>
        <v>1.9897569444444447E-2</v>
      </c>
      <c r="O29" s="6122">
        <f t="shared" ref="O29" si="52">C29*(G29/25)</f>
        <v>7.5347222222222233E-4</v>
      </c>
      <c r="P29" s="1181">
        <f t="shared" ref="P29" si="53">O29*M29</f>
        <v>8.2881944444444463E-4</v>
      </c>
      <c r="Q29" s="334">
        <v>150</v>
      </c>
      <c r="R29" s="334">
        <f t="shared" ref="R29" si="54">E29*F29*G29</f>
        <v>1575</v>
      </c>
      <c r="S29" s="229">
        <f t="shared" si="25"/>
        <v>1.575</v>
      </c>
      <c r="T29" s="230">
        <f t="shared" si="26"/>
        <v>4.5208333333333336E-2</v>
      </c>
      <c r="U29" s="374">
        <f t="shared" si="27"/>
        <v>0</v>
      </c>
      <c r="V29" s="375">
        <f t="shared" si="28"/>
        <v>0</v>
      </c>
      <c r="W29" s="376">
        <f t="shared" si="29"/>
        <v>0</v>
      </c>
      <c r="X29" s="377">
        <f t="shared" si="30"/>
        <v>1.575</v>
      </c>
      <c r="Y29" s="378">
        <f t="shared" si="31"/>
        <v>0</v>
      </c>
      <c r="Z29" s="379">
        <f t="shared" si="32"/>
        <v>0</v>
      </c>
      <c r="AA29" s="380">
        <f t="shared" si="33"/>
        <v>0</v>
      </c>
      <c r="AB29" s="565"/>
      <c r="AC29" s="214"/>
      <c r="AD29" s="214"/>
      <c r="AE29" s="222"/>
      <c r="AF29" s="222"/>
      <c r="AG29" s="222"/>
      <c r="AH29" s="222"/>
      <c r="AI29" s="222"/>
      <c r="AJ29" s="214"/>
      <c r="AK29" s="214"/>
      <c r="AL29" s="214"/>
      <c r="AM29" s="214"/>
      <c r="AN29" s="244"/>
    </row>
    <row r="30" spans="1:40" s="245" customFormat="1" thickBot="1">
      <c r="A30" s="398" t="s">
        <v>462</v>
      </c>
      <c r="B30" s="1117" t="s">
        <v>215</v>
      </c>
      <c r="C30" s="274">
        <f t="shared" si="1"/>
        <v>1.7939814814814817E-4</v>
      </c>
      <c r="D30" s="1977">
        <v>4</v>
      </c>
      <c r="E30" s="7266">
        <v>1</v>
      </c>
      <c r="F30" s="7266">
        <v>8</v>
      </c>
      <c r="G30" s="7267">
        <v>105</v>
      </c>
      <c r="H30" s="7268"/>
      <c r="I30" s="7269">
        <v>2.8935185185185189E-4</v>
      </c>
      <c r="J30" s="7269">
        <v>1.3888888888888889E-3</v>
      </c>
      <c r="K30" s="1976" t="s">
        <v>1390</v>
      </c>
      <c r="L30" s="7270">
        <f t="shared" ref="L30" si="55">L29+N29</f>
        <v>0.3851786805555556</v>
      </c>
      <c r="M30" s="4617">
        <v>1.1000000000000001</v>
      </c>
      <c r="N30" s="7270">
        <f t="shared" ref="N30" si="56">P30*E30*F30+I30*E30*F30+J30*E30</f>
        <v>1.0334259259259262E-2</v>
      </c>
      <c r="O30" s="7270">
        <f t="shared" ref="O30" si="57">C30*(G30/25)</f>
        <v>7.5347222222222233E-4</v>
      </c>
      <c r="P30" s="298">
        <f t="shared" ref="P30" si="58">O30*M30</f>
        <v>8.2881944444444463E-4</v>
      </c>
      <c r="Q30" s="333">
        <v>150</v>
      </c>
      <c r="R30" s="7267">
        <f t="shared" ref="R30" si="59">E30*F30*G30</f>
        <v>840</v>
      </c>
      <c r="S30" s="229">
        <f t="shared" si="25"/>
        <v>0.84</v>
      </c>
      <c r="T30" s="230">
        <f t="shared" si="26"/>
        <v>2.4111111111111114E-2</v>
      </c>
      <c r="U30" s="374">
        <f t="shared" si="27"/>
        <v>0</v>
      </c>
      <c r="V30" s="375">
        <f t="shared" si="28"/>
        <v>0</v>
      </c>
      <c r="W30" s="376">
        <f t="shared" si="29"/>
        <v>0</v>
      </c>
      <c r="X30" s="377">
        <f t="shared" si="30"/>
        <v>0.84</v>
      </c>
      <c r="Y30" s="378">
        <f t="shared" si="31"/>
        <v>0</v>
      </c>
      <c r="Z30" s="379">
        <f t="shared" si="32"/>
        <v>0</v>
      </c>
      <c r="AA30" s="380">
        <f t="shared" si="33"/>
        <v>0</v>
      </c>
      <c r="AB30" s="565"/>
      <c r="AC30" s="214"/>
      <c r="AD30" s="214"/>
      <c r="AE30" s="222"/>
      <c r="AF30" s="222"/>
      <c r="AG30" s="222"/>
      <c r="AH30" s="222"/>
      <c r="AI30" s="222"/>
      <c r="AJ30" s="214"/>
      <c r="AK30" s="214"/>
      <c r="AL30" s="214"/>
      <c r="AM30" s="214"/>
      <c r="AN30" s="244"/>
    </row>
    <row r="31" spans="1:40" s="245" customFormat="1" thickBot="1">
      <c r="A31" s="398" t="s">
        <v>460</v>
      </c>
      <c r="B31" s="1117" t="s">
        <v>215</v>
      </c>
      <c r="C31" s="274">
        <f t="shared" si="1"/>
        <v>1.9733796296296302E-4</v>
      </c>
      <c r="D31" s="1977">
        <v>3</v>
      </c>
      <c r="E31" s="7266">
        <v>1</v>
      </c>
      <c r="F31" s="7266">
        <v>12</v>
      </c>
      <c r="G31" s="7267">
        <v>60</v>
      </c>
      <c r="H31" s="7268"/>
      <c r="I31" s="7269">
        <v>2.8935185185185189E-4</v>
      </c>
      <c r="J31" s="7269">
        <v>1.3888888888888889E-3</v>
      </c>
      <c r="K31" s="1976" t="s">
        <v>1406</v>
      </c>
      <c r="L31" s="7270">
        <f t="shared" si="49"/>
        <v>0.39551293981481483</v>
      </c>
      <c r="M31" s="4617">
        <v>1.1000000000000001</v>
      </c>
      <c r="N31" s="7270">
        <f t="shared" ref="N31:N32" si="60">P31*E31*F31+I31*E31*F31+J31*E31</f>
        <v>1.111277777777778E-2</v>
      </c>
      <c r="O31" s="7270">
        <f t="shared" ref="O31:O32" si="61">C31*(G31/25)</f>
        <v>4.7361111111111123E-4</v>
      </c>
      <c r="P31" s="298">
        <f t="shared" si="47"/>
        <v>5.2097222222222237E-4</v>
      </c>
      <c r="Q31" s="333">
        <v>150</v>
      </c>
      <c r="R31" s="7267">
        <f t="shared" si="48"/>
        <v>720</v>
      </c>
      <c r="S31" s="229">
        <f t="shared" si="25"/>
        <v>0.72</v>
      </c>
      <c r="T31" s="230">
        <f t="shared" si="26"/>
        <v>2.2733333333333338E-2</v>
      </c>
      <c r="U31" s="374">
        <f t="shared" si="27"/>
        <v>0</v>
      </c>
      <c r="V31" s="375">
        <f t="shared" si="28"/>
        <v>0</v>
      </c>
      <c r="W31" s="376">
        <f t="shared" si="29"/>
        <v>0.72</v>
      </c>
      <c r="X31" s="377">
        <f t="shared" si="30"/>
        <v>0</v>
      </c>
      <c r="Y31" s="378">
        <f t="shared" si="31"/>
        <v>0</v>
      </c>
      <c r="Z31" s="379">
        <f t="shared" si="32"/>
        <v>0</v>
      </c>
      <c r="AA31" s="380">
        <f t="shared" si="33"/>
        <v>0</v>
      </c>
      <c r="AB31" s="565"/>
      <c r="AC31" s="214"/>
      <c r="AD31" s="214"/>
      <c r="AE31" s="222"/>
      <c r="AF31" s="222"/>
      <c r="AG31" s="222"/>
      <c r="AH31" s="222"/>
      <c r="AI31" s="222"/>
      <c r="AJ31" s="214"/>
      <c r="AK31" s="214"/>
      <c r="AL31" s="214"/>
      <c r="AM31" s="214"/>
      <c r="AN31" s="244"/>
    </row>
    <row r="32" spans="1:40" s="245" customFormat="1" thickBot="1">
      <c r="A32" s="398" t="s">
        <v>458</v>
      </c>
      <c r="B32" s="1117" t="s">
        <v>215</v>
      </c>
      <c r="C32" s="274">
        <f t="shared" si="1"/>
        <v>1.9733796296296302E-4</v>
      </c>
      <c r="D32" s="1977">
        <v>3</v>
      </c>
      <c r="E32" s="7266">
        <v>1</v>
      </c>
      <c r="F32" s="7266">
        <v>5</v>
      </c>
      <c r="G32" s="7267">
        <v>105</v>
      </c>
      <c r="H32" s="7268"/>
      <c r="I32" s="7269">
        <v>2.3148148148148146E-4</v>
      </c>
      <c r="J32" s="7269">
        <v>1.3888888888888889E-3</v>
      </c>
      <c r="K32" s="1976" t="s">
        <v>1398</v>
      </c>
      <c r="L32" s="7270">
        <f t="shared" si="49"/>
        <v>0.40662571759259264</v>
      </c>
      <c r="M32" s="4617">
        <v>1.1000000000000001</v>
      </c>
      <c r="N32" s="7270">
        <f t="shared" si="60"/>
        <v>7.1048032407407431E-3</v>
      </c>
      <c r="O32" s="7270">
        <f t="shared" si="61"/>
        <v>8.2881944444444474E-4</v>
      </c>
      <c r="P32" s="298">
        <f t="shared" si="47"/>
        <v>9.117013888888893E-4</v>
      </c>
      <c r="Q32" s="333">
        <v>150</v>
      </c>
      <c r="R32" s="7267">
        <f t="shared" si="48"/>
        <v>525</v>
      </c>
      <c r="S32" s="229">
        <f t="shared" si="25"/>
        <v>0.52500000000000002</v>
      </c>
      <c r="T32" s="230">
        <f t="shared" si="26"/>
        <v>1.6576388888888894E-2</v>
      </c>
      <c r="U32" s="374">
        <f t="shared" si="27"/>
        <v>0</v>
      </c>
      <c r="V32" s="375">
        <f t="shared" si="28"/>
        <v>0</v>
      </c>
      <c r="W32" s="376">
        <f t="shared" si="29"/>
        <v>0.52500000000000002</v>
      </c>
      <c r="X32" s="377">
        <f t="shared" si="30"/>
        <v>0</v>
      </c>
      <c r="Y32" s="378">
        <f t="shared" si="31"/>
        <v>0</v>
      </c>
      <c r="Z32" s="379">
        <f t="shared" si="32"/>
        <v>0</v>
      </c>
      <c r="AA32" s="380">
        <f t="shared" si="33"/>
        <v>0</v>
      </c>
      <c r="AB32" s="565"/>
      <c r="AC32" s="214"/>
      <c r="AD32" s="214"/>
      <c r="AE32" s="222"/>
      <c r="AF32" s="222"/>
      <c r="AG32" s="222"/>
      <c r="AH32" s="222"/>
      <c r="AI32" s="222"/>
      <c r="AJ32" s="214"/>
      <c r="AK32" s="214"/>
      <c r="AL32" s="214"/>
      <c r="AM32" s="214"/>
      <c r="AN32" s="244"/>
    </row>
    <row r="33" spans="1:40" s="245" customFormat="1" thickBot="1">
      <c r="A33" s="398" t="s">
        <v>219</v>
      </c>
      <c r="B33" s="401"/>
      <c r="C33" s="274">
        <f t="shared" si="1"/>
        <v>0</v>
      </c>
      <c r="D33" s="1977"/>
      <c r="E33" s="845"/>
      <c r="F33" s="839"/>
      <c r="G33" s="839"/>
      <c r="H33" s="3349"/>
      <c r="I33" s="839"/>
      <c r="J33" s="839"/>
      <c r="K33" s="839"/>
      <c r="L33" s="644">
        <f t="shared" si="49"/>
        <v>0.41373052083333339</v>
      </c>
      <c r="M33" s="4617">
        <v>1.1000000000000001</v>
      </c>
      <c r="N33" s="644">
        <f>SUM(N27:N32)</f>
        <v>6.9980520833333337E-2</v>
      </c>
      <c r="O33" s="839">
        <f>C33*(G33/25)</f>
        <v>0</v>
      </c>
      <c r="P33" s="839"/>
      <c r="Q33" s="839"/>
      <c r="R33" s="1656">
        <f>SUM(R27:R32)</f>
        <v>5100</v>
      </c>
      <c r="S33" s="229">
        <f t="shared" si="25"/>
        <v>0</v>
      </c>
      <c r="T33" s="230">
        <f t="shared" si="26"/>
        <v>0</v>
      </c>
      <c r="U33" s="374">
        <f t="shared" si="27"/>
        <v>0</v>
      </c>
      <c r="V33" s="375">
        <f t="shared" si="28"/>
        <v>0</v>
      </c>
      <c r="W33" s="376">
        <f t="shared" si="29"/>
        <v>0</v>
      </c>
      <c r="X33" s="377">
        <f t="shared" si="30"/>
        <v>0</v>
      </c>
      <c r="Y33" s="378">
        <f t="shared" si="31"/>
        <v>0</v>
      </c>
      <c r="Z33" s="379">
        <f t="shared" si="32"/>
        <v>0</v>
      </c>
      <c r="AA33" s="380">
        <f t="shared" si="33"/>
        <v>0</v>
      </c>
      <c r="AB33" s="565"/>
      <c r="AC33" s="214"/>
      <c r="AD33" s="214"/>
      <c r="AE33" s="222"/>
      <c r="AF33" s="222"/>
      <c r="AG33" s="222"/>
      <c r="AH33" s="222"/>
      <c r="AI33" s="222"/>
      <c r="AJ33" s="214"/>
      <c r="AK33" s="214"/>
      <c r="AL33" s="214"/>
      <c r="AM33" s="214"/>
      <c r="AN33" s="244"/>
    </row>
    <row r="34" spans="1:40" ht="22" thickTop="1" thickBot="1">
      <c r="A34" s="144"/>
      <c r="B34" s="144"/>
      <c r="C34" s="979"/>
      <c r="D34" s="4444"/>
      <c r="E34" s="4594">
        <f>U34*100000/$Q$34</f>
        <v>6.5919578114700075</v>
      </c>
      <c r="F34" s="4594">
        <f t="shared" ref="F34:K34" si="62">V34*100000/$Q$34</f>
        <v>13.183915622940015</v>
      </c>
      <c r="G34" s="4594">
        <f t="shared" si="62"/>
        <v>29.696769940672382</v>
      </c>
      <c r="H34" s="4594">
        <f t="shared" si="62"/>
        <v>34.838497033618978</v>
      </c>
      <c r="I34" s="4594">
        <f t="shared" si="62"/>
        <v>0</v>
      </c>
      <c r="J34" s="4594">
        <f t="shared" si="62"/>
        <v>11.206328279499013</v>
      </c>
      <c r="K34" s="4595">
        <f t="shared" si="62"/>
        <v>4.4825313117996046</v>
      </c>
      <c r="L34" s="4378" t="s">
        <v>1922</v>
      </c>
      <c r="M34" s="4535"/>
      <c r="N34" s="4536"/>
      <c r="O34" s="4536"/>
      <c r="P34" s="4536"/>
      <c r="Q34" s="7881">
        <f>AB34*1000</f>
        <v>15169.999999999998</v>
      </c>
      <c r="R34" s="7882"/>
      <c r="S34" s="238"/>
      <c r="T34" s="239"/>
      <c r="U34" s="240">
        <f t="shared" ref="U34:AA34" si="63">SUM(U5:U33)</f>
        <v>1</v>
      </c>
      <c r="V34" s="240">
        <f t="shared" si="63"/>
        <v>2</v>
      </c>
      <c r="W34" s="240">
        <f t="shared" si="63"/>
        <v>4.5049999999999999</v>
      </c>
      <c r="X34" s="240">
        <f t="shared" si="63"/>
        <v>5.2849999999999993</v>
      </c>
      <c r="Y34" s="240">
        <f t="shared" si="63"/>
        <v>0</v>
      </c>
      <c r="Z34" s="240">
        <f t="shared" si="63"/>
        <v>1.7</v>
      </c>
      <c r="AA34" s="240">
        <f t="shared" si="63"/>
        <v>0.67999999999999994</v>
      </c>
      <c r="AB34" s="565">
        <f>SUM(U34:AA34)</f>
        <v>15.169999999999998</v>
      </c>
      <c r="AE34" s="222"/>
      <c r="AF34" s="222"/>
      <c r="AG34" s="222"/>
      <c r="AH34" s="222"/>
      <c r="AI34" s="222"/>
    </row>
    <row r="35" spans="1:40" thickBot="1">
      <c r="A35" s="144"/>
      <c r="B35" s="144"/>
      <c r="C35" s="144"/>
      <c r="D35" s="4444"/>
      <c r="E35" s="4521">
        <f>E34*15/100</f>
        <v>0.98879367172050114</v>
      </c>
      <c r="F35" s="4522">
        <f t="shared" ref="F35:K35" si="64">F34*15/100</f>
        <v>1.9775873434410023</v>
      </c>
      <c r="G35" s="4523">
        <f t="shared" si="64"/>
        <v>4.4545154911008575</v>
      </c>
      <c r="H35" s="4524">
        <f t="shared" si="64"/>
        <v>5.2257745550428467</v>
      </c>
      <c r="I35" s="4525">
        <f t="shared" si="64"/>
        <v>0</v>
      </c>
      <c r="J35" s="4526">
        <f t="shared" si="64"/>
        <v>1.680949241924852</v>
      </c>
      <c r="K35" s="4527">
        <f t="shared" si="64"/>
        <v>0.67237969676994069</v>
      </c>
      <c r="L35" s="4378" t="s">
        <v>1252</v>
      </c>
      <c r="M35" s="144"/>
      <c r="N35" s="144"/>
      <c r="O35" s="144"/>
      <c r="P35" s="144"/>
      <c r="Q35" s="144"/>
      <c r="R35" s="144"/>
      <c r="S35" s="144"/>
      <c r="T35" s="144"/>
      <c r="U35" s="566" t="e">
        <f>IF(#REF!&gt;0,#REF!,#REF!)</f>
        <v>#REF!</v>
      </c>
      <c r="V35" s="566" t="e">
        <f>IF(#REF!&gt;0,#REF!,#REF!)</f>
        <v>#REF!</v>
      </c>
      <c r="W35" s="566" t="e">
        <f>IF(#REF!&gt;0,#REF!,#REF!)</f>
        <v>#REF!</v>
      </c>
      <c r="X35" s="566" t="e">
        <f>IF(#REF!&gt;0,#REF!,#REF!)</f>
        <v>#REF!</v>
      </c>
      <c r="Y35" s="566" t="e">
        <f>IF(#REF!&gt;0,#REF!,#REF!)</f>
        <v>#REF!</v>
      </c>
      <c r="Z35" s="566" t="e">
        <f>IF(#REF!&gt;0,#REF!,#REF!)</f>
        <v>#REF!</v>
      </c>
      <c r="AA35" s="566" t="e">
        <f>IF(#REF!&gt;0,#REF!,#REF!)</f>
        <v>#REF!</v>
      </c>
      <c r="AB35" s="144"/>
      <c r="AC35" s="231">
        <v>0</v>
      </c>
      <c r="AD35" s="231">
        <v>0</v>
      </c>
      <c r="AE35" s="231">
        <v>0</v>
      </c>
      <c r="AF35" s="231">
        <v>0</v>
      </c>
      <c r="AG35" s="231">
        <v>0</v>
      </c>
      <c r="AH35" s="231">
        <v>0</v>
      </c>
      <c r="AI35" s="213"/>
      <c r="AJ35" s="204"/>
      <c r="AK35" s="204"/>
      <c r="AL35" s="204"/>
      <c r="AM35" s="204"/>
      <c r="AN35" s="204"/>
    </row>
    <row r="36" spans="1:40" thickBot="1">
      <c r="A36" s="144"/>
      <c r="B36" s="144"/>
      <c r="C36" s="144"/>
      <c r="E36" s="144"/>
      <c r="F36" s="144"/>
      <c r="G36" s="144"/>
      <c r="H36" s="3340"/>
      <c r="I36" s="144"/>
      <c r="J36" s="144"/>
      <c r="K36" s="144"/>
      <c r="L36" s="144"/>
      <c r="M36" s="144"/>
      <c r="N36" s="144"/>
      <c r="O36" s="144"/>
      <c r="P36" s="144"/>
      <c r="Q36" s="146"/>
      <c r="R36" s="144"/>
      <c r="S36" s="144"/>
      <c r="T36" s="144"/>
      <c r="U36" s="566" t="e">
        <f>IF(U35&gt;0,U35,#REF!)</f>
        <v>#REF!</v>
      </c>
      <c r="V36" s="566" t="e">
        <f>IF(V35&gt;0,V35,#REF!)</f>
        <v>#REF!</v>
      </c>
      <c r="W36" s="566" t="e">
        <f>IF(W35&gt;0,W35,#REF!)</f>
        <v>#REF!</v>
      </c>
      <c r="X36" s="566" t="e">
        <f>IF(X35&gt;0,X35,#REF!)</f>
        <v>#REF!</v>
      </c>
      <c r="Y36" s="566" t="e">
        <f>IF(Y35&gt;0,Y35,#REF!)</f>
        <v>#REF!</v>
      </c>
      <c r="Z36" s="566" t="e">
        <f>IF(Z35&gt;0,Z35,#REF!)</f>
        <v>#REF!</v>
      </c>
      <c r="AA36" s="566" t="e">
        <f>IF(AA35&gt;0,AA35,#REF!)</f>
        <v>#REF!</v>
      </c>
      <c r="AB36" s="144"/>
      <c r="AC36" s="231">
        <v>0</v>
      </c>
      <c r="AD36" s="231">
        <v>0</v>
      </c>
      <c r="AE36" s="231">
        <v>0</v>
      </c>
      <c r="AF36" s="231">
        <v>0</v>
      </c>
      <c r="AG36" s="231">
        <v>0</v>
      </c>
      <c r="AH36" s="231">
        <v>0</v>
      </c>
      <c r="AI36" s="213"/>
      <c r="AJ36" s="204"/>
      <c r="AK36" s="204"/>
      <c r="AL36" s="204"/>
      <c r="AM36" s="204"/>
      <c r="AN36" s="204"/>
    </row>
    <row r="37" spans="1:40" thickBot="1">
      <c r="A37" s="144"/>
      <c r="B37" s="144"/>
      <c r="C37" s="144"/>
      <c r="E37" s="144"/>
      <c r="F37" s="144"/>
      <c r="G37" s="144"/>
      <c r="H37" s="3340"/>
      <c r="I37" s="144"/>
      <c r="J37" s="144"/>
      <c r="K37" s="144"/>
      <c r="L37" s="144"/>
      <c r="M37" s="144"/>
      <c r="N37" s="144"/>
      <c r="O37" s="144"/>
      <c r="P37" s="144"/>
      <c r="Q37" s="146"/>
      <c r="R37" s="144"/>
      <c r="S37" s="144"/>
      <c r="T37" s="144"/>
      <c r="U37" s="566" t="e">
        <f t="shared" ref="U37:AA52" si="65">IF(U36&gt;0,U36,U35)</f>
        <v>#REF!</v>
      </c>
      <c r="V37" s="566" t="e">
        <f t="shared" si="65"/>
        <v>#REF!</v>
      </c>
      <c r="W37" s="566" t="e">
        <f t="shared" si="65"/>
        <v>#REF!</v>
      </c>
      <c r="X37" s="566" t="e">
        <f t="shared" si="65"/>
        <v>#REF!</v>
      </c>
      <c r="Y37" s="566" t="e">
        <f t="shared" si="65"/>
        <v>#REF!</v>
      </c>
      <c r="Z37" s="566" t="e">
        <f t="shared" si="65"/>
        <v>#REF!</v>
      </c>
      <c r="AA37" s="566" t="e">
        <f t="shared" si="65"/>
        <v>#REF!</v>
      </c>
      <c r="AB37" s="144"/>
      <c r="AC37" s="231">
        <v>0</v>
      </c>
      <c r="AD37" s="231">
        <v>0</v>
      </c>
      <c r="AE37" s="231">
        <v>0</v>
      </c>
      <c r="AF37" s="231">
        <v>0</v>
      </c>
      <c r="AG37" s="231">
        <v>0</v>
      </c>
      <c r="AH37" s="231">
        <v>0</v>
      </c>
      <c r="AI37" s="213"/>
      <c r="AJ37" s="204"/>
      <c r="AK37" s="204"/>
      <c r="AL37" s="204"/>
      <c r="AM37" s="204"/>
      <c r="AN37" s="204"/>
    </row>
    <row r="38" spans="1:40" thickBot="1">
      <c r="A38" s="144"/>
      <c r="B38" s="144"/>
      <c r="C38" s="144"/>
      <c r="E38" s="144"/>
      <c r="F38" s="144"/>
      <c r="G38" s="144"/>
      <c r="H38" s="3340"/>
      <c r="I38" s="144"/>
      <c r="J38" s="144"/>
      <c r="K38" s="144"/>
      <c r="L38" s="144"/>
      <c r="M38" s="144"/>
      <c r="N38" s="144"/>
      <c r="O38" s="144"/>
      <c r="P38" s="144"/>
      <c r="Q38" s="146"/>
      <c r="R38" s="144"/>
      <c r="S38" s="144"/>
      <c r="T38" s="144"/>
      <c r="U38" s="566" t="e">
        <f t="shared" si="65"/>
        <v>#REF!</v>
      </c>
      <c r="V38" s="566" t="e">
        <f t="shared" si="65"/>
        <v>#REF!</v>
      </c>
      <c r="W38" s="566" t="e">
        <f t="shared" si="65"/>
        <v>#REF!</v>
      </c>
      <c r="X38" s="566" t="e">
        <f t="shared" si="65"/>
        <v>#REF!</v>
      </c>
      <c r="Y38" s="566" t="e">
        <f t="shared" si="65"/>
        <v>#REF!</v>
      </c>
      <c r="Z38" s="566" t="e">
        <f t="shared" si="65"/>
        <v>#REF!</v>
      </c>
      <c r="AA38" s="566" t="e">
        <f t="shared" si="65"/>
        <v>#REF!</v>
      </c>
      <c r="AB38" s="144"/>
      <c r="AC38" s="231"/>
      <c r="AD38" s="231"/>
      <c r="AE38" s="231"/>
      <c r="AF38" s="231"/>
      <c r="AG38" s="231"/>
      <c r="AH38" s="231"/>
      <c r="AI38" s="213"/>
      <c r="AJ38" s="204"/>
      <c r="AK38" s="204"/>
      <c r="AL38" s="204"/>
      <c r="AM38" s="204"/>
      <c r="AN38" s="204"/>
    </row>
    <row r="39" spans="1:40" thickBot="1">
      <c r="A39" s="144"/>
      <c r="B39" s="144"/>
      <c r="C39" s="144"/>
      <c r="E39" s="144"/>
      <c r="F39" s="144"/>
      <c r="G39" s="144"/>
      <c r="H39" s="3340"/>
      <c r="I39" s="144"/>
      <c r="J39" s="144"/>
      <c r="K39" s="144"/>
      <c r="L39" s="144"/>
      <c r="M39" s="144"/>
      <c r="N39" s="144"/>
      <c r="O39" s="144"/>
      <c r="P39" s="144"/>
      <c r="Q39" s="146"/>
      <c r="R39" s="144"/>
      <c r="S39" s="144"/>
      <c r="T39" s="144"/>
      <c r="U39" s="566" t="e">
        <f t="shared" si="65"/>
        <v>#REF!</v>
      </c>
      <c r="V39" s="566" t="e">
        <f t="shared" si="65"/>
        <v>#REF!</v>
      </c>
      <c r="W39" s="566" t="e">
        <f t="shared" si="65"/>
        <v>#REF!</v>
      </c>
      <c r="X39" s="566" t="e">
        <f t="shared" si="65"/>
        <v>#REF!</v>
      </c>
      <c r="Y39" s="566" t="e">
        <f t="shared" si="65"/>
        <v>#REF!</v>
      </c>
      <c r="Z39" s="566" t="e">
        <f t="shared" si="65"/>
        <v>#REF!</v>
      </c>
      <c r="AA39" s="566" t="e">
        <f t="shared" si="65"/>
        <v>#REF!</v>
      </c>
      <c r="AB39" s="144"/>
      <c r="AC39" s="231"/>
      <c r="AD39" s="231"/>
      <c r="AE39" s="231"/>
      <c r="AF39" s="231"/>
      <c r="AG39" s="231"/>
      <c r="AH39" s="231"/>
      <c r="AI39" s="213"/>
      <c r="AJ39" s="204"/>
      <c r="AK39" s="204"/>
      <c r="AL39" s="204"/>
      <c r="AM39" s="204"/>
      <c r="AN39" s="204"/>
    </row>
    <row r="40" spans="1:40" thickBot="1">
      <c r="A40" s="144"/>
      <c r="B40" s="144"/>
      <c r="C40" s="144"/>
      <c r="E40" s="144"/>
      <c r="F40" s="144"/>
      <c r="G40" s="144"/>
      <c r="H40" s="3340"/>
      <c r="I40" s="144"/>
      <c r="J40" s="144"/>
      <c r="K40" s="144"/>
      <c r="L40" s="144"/>
      <c r="M40" s="144"/>
      <c r="N40" s="144"/>
      <c r="O40" s="144"/>
      <c r="P40" s="144"/>
      <c r="Q40" s="146"/>
      <c r="R40" s="144"/>
      <c r="S40" s="144"/>
      <c r="T40" s="144"/>
      <c r="U40" s="566" t="e">
        <f t="shared" si="65"/>
        <v>#REF!</v>
      </c>
      <c r="V40" s="566" t="e">
        <f t="shared" si="65"/>
        <v>#REF!</v>
      </c>
      <c r="W40" s="566" t="e">
        <f t="shared" si="65"/>
        <v>#REF!</v>
      </c>
      <c r="X40" s="566" t="e">
        <f t="shared" si="65"/>
        <v>#REF!</v>
      </c>
      <c r="Y40" s="566" t="e">
        <f t="shared" si="65"/>
        <v>#REF!</v>
      </c>
      <c r="Z40" s="566" t="e">
        <f t="shared" si="65"/>
        <v>#REF!</v>
      </c>
      <c r="AA40" s="566" t="e">
        <f t="shared" si="65"/>
        <v>#REF!</v>
      </c>
      <c r="AB40" s="144"/>
      <c r="AC40" s="231">
        <v>0</v>
      </c>
      <c r="AD40" s="231">
        <v>0</v>
      </c>
      <c r="AE40" s="231">
        <v>0</v>
      </c>
      <c r="AF40" s="231">
        <v>0</v>
      </c>
      <c r="AG40" s="231">
        <v>0</v>
      </c>
      <c r="AH40" s="231">
        <v>0</v>
      </c>
      <c r="AI40" s="213"/>
      <c r="AJ40" s="204"/>
      <c r="AK40" s="204"/>
      <c r="AL40" s="204"/>
      <c r="AM40" s="204"/>
      <c r="AN40" s="204"/>
    </row>
    <row r="41" spans="1:40" thickBot="1">
      <c r="A41" s="144"/>
      <c r="B41" s="144"/>
      <c r="C41" s="144"/>
      <c r="E41" s="144"/>
      <c r="F41" s="144"/>
      <c r="G41" s="144"/>
      <c r="H41" s="3340"/>
      <c r="I41" s="144"/>
      <c r="J41" s="144"/>
      <c r="K41" s="144"/>
      <c r="L41" s="144"/>
      <c r="M41" s="144"/>
      <c r="N41" s="144"/>
      <c r="O41" s="144"/>
      <c r="P41" s="144"/>
      <c r="Q41" s="146"/>
      <c r="R41" s="144"/>
      <c r="S41" s="144"/>
      <c r="T41" s="144"/>
      <c r="U41" s="566" t="e">
        <f t="shared" si="65"/>
        <v>#REF!</v>
      </c>
      <c r="V41" s="566" t="e">
        <f t="shared" si="65"/>
        <v>#REF!</v>
      </c>
      <c r="W41" s="566" t="e">
        <f t="shared" si="65"/>
        <v>#REF!</v>
      </c>
      <c r="X41" s="566" t="e">
        <f t="shared" si="65"/>
        <v>#REF!</v>
      </c>
      <c r="Y41" s="566" t="e">
        <f t="shared" si="65"/>
        <v>#REF!</v>
      </c>
      <c r="Z41" s="566" t="e">
        <f t="shared" si="65"/>
        <v>#REF!</v>
      </c>
      <c r="AA41" s="566" t="e">
        <f t="shared" si="65"/>
        <v>#REF!</v>
      </c>
      <c r="AB41" s="144"/>
      <c r="AC41" s="231">
        <v>0</v>
      </c>
      <c r="AD41" s="231">
        <v>0</v>
      </c>
      <c r="AE41" s="231">
        <v>0</v>
      </c>
      <c r="AF41" s="231">
        <v>0</v>
      </c>
      <c r="AG41" s="231">
        <v>0</v>
      </c>
      <c r="AH41" s="231">
        <v>0</v>
      </c>
      <c r="AI41" s="213"/>
      <c r="AJ41" s="204"/>
      <c r="AK41" s="204"/>
      <c r="AL41" s="204"/>
      <c r="AM41" s="204"/>
      <c r="AN41" s="204"/>
    </row>
    <row r="42" spans="1:40" thickBot="1">
      <c r="A42" s="144"/>
      <c r="B42" s="144"/>
      <c r="C42" s="144"/>
      <c r="E42" s="144"/>
      <c r="F42" s="144"/>
      <c r="G42" s="144"/>
      <c r="H42" s="3340"/>
      <c r="I42" s="144"/>
      <c r="J42" s="144"/>
      <c r="K42" s="144"/>
      <c r="L42" s="144"/>
      <c r="M42" s="144"/>
      <c r="N42" s="144"/>
      <c r="O42" s="144"/>
      <c r="P42" s="144"/>
      <c r="Q42" s="146"/>
      <c r="R42" s="144"/>
      <c r="S42" s="144"/>
      <c r="T42" s="144"/>
      <c r="U42" s="566" t="e">
        <f t="shared" si="65"/>
        <v>#REF!</v>
      </c>
      <c r="V42" s="566" t="e">
        <f t="shared" si="65"/>
        <v>#REF!</v>
      </c>
      <c r="W42" s="566" t="e">
        <f t="shared" si="65"/>
        <v>#REF!</v>
      </c>
      <c r="X42" s="566" t="e">
        <f t="shared" si="65"/>
        <v>#REF!</v>
      </c>
      <c r="Y42" s="566" t="e">
        <f t="shared" si="65"/>
        <v>#REF!</v>
      </c>
      <c r="Z42" s="566" t="e">
        <f t="shared" si="65"/>
        <v>#REF!</v>
      </c>
      <c r="AA42" s="566" t="e">
        <f t="shared" si="65"/>
        <v>#REF!</v>
      </c>
      <c r="AB42" s="144"/>
      <c r="AC42" s="231">
        <v>0</v>
      </c>
      <c r="AD42" s="231">
        <v>0</v>
      </c>
      <c r="AE42" s="231">
        <v>0</v>
      </c>
      <c r="AF42" s="231">
        <v>0</v>
      </c>
      <c r="AG42" s="231">
        <v>0</v>
      </c>
      <c r="AH42" s="231">
        <v>0</v>
      </c>
      <c r="AI42" s="213"/>
      <c r="AJ42" s="204"/>
      <c r="AK42" s="204"/>
      <c r="AL42" s="204"/>
      <c r="AM42" s="204"/>
      <c r="AN42" s="204"/>
    </row>
    <row r="43" spans="1:40" thickBot="1">
      <c r="A43" s="144"/>
      <c r="B43" s="144"/>
      <c r="C43" s="144"/>
      <c r="E43" s="144"/>
      <c r="F43" s="144"/>
      <c r="G43" s="144"/>
      <c r="H43" s="3340"/>
      <c r="I43" s="144"/>
      <c r="J43" s="144"/>
      <c r="K43" s="144"/>
      <c r="L43" s="144"/>
      <c r="M43" s="144"/>
      <c r="N43" s="144"/>
      <c r="O43" s="144"/>
      <c r="P43" s="144"/>
      <c r="Q43" s="146"/>
      <c r="R43" s="144"/>
      <c r="S43" s="144"/>
      <c r="T43" s="144"/>
      <c r="U43" s="566" t="e">
        <f t="shared" si="65"/>
        <v>#REF!</v>
      </c>
      <c r="V43" s="566" t="e">
        <f t="shared" si="65"/>
        <v>#REF!</v>
      </c>
      <c r="W43" s="566" t="e">
        <f t="shared" si="65"/>
        <v>#REF!</v>
      </c>
      <c r="X43" s="566" t="e">
        <f t="shared" si="65"/>
        <v>#REF!</v>
      </c>
      <c r="Y43" s="566" t="e">
        <f t="shared" si="65"/>
        <v>#REF!</v>
      </c>
      <c r="Z43" s="566" t="e">
        <f t="shared" si="65"/>
        <v>#REF!</v>
      </c>
      <c r="AA43" s="566" t="e">
        <f t="shared" si="65"/>
        <v>#REF!</v>
      </c>
      <c r="AB43" s="144"/>
      <c r="AC43" s="231"/>
      <c r="AD43" s="231"/>
      <c r="AE43" s="231"/>
      <c r="AF43" s="231"/>
      <c r="AG43" s="231"/>
      <c r="AH43" s="231"/>
      <c r="AI43" s="213"/>
      <c r="AJ43" s="204"/>
      <c r="AK43" s="204"/>
      <c r="AL43" s="204"/>
      <c r="AM43" s="204"/>
      <c r="AN43" s="204"/>
    </row>
    <row r="44" spans="1:40" thickBot="1">
      <c r="A44" s="144"/>
      <c r="B44" s="144"/>
      <c r="C44" s="144"/>
      <c r="E44" s="144"/>
      <c r="F44" s="144"/>
      <c r="G44" s="144"/>
      <c r="H44" s="3340"/>
      <c r="I44" s="144"/>
      <c r="J44" s="144"/>
      <c r="K44" s="144"/>
      <c r="L44" s="144"/>
      <c r="M44" s="144"/>
      <c r="N44" s="144"/>
      <c r="O44" s="144"/>
      <c r="P44" s="144"/>
      <c r="Q44" s="146"/>
      <c r="R44" s="144"/>
      <c r="S44" s="144"/>
      <c r="T44" s="144"/>
      <c r="U44" s="566" t="e">
        <f t="shared" si="65"/>
        <v>#REF!</v>
      </c>
      <c r="V44" s="566" t="e">
        <f t="shared" si="65"/>
        <v>#REF!</v>
      </c>
      <c r="W44" s="566" t="e">
        <f t="shared" si="65"/>
        <v>#REF!</v>
      </c>
      <c r="X44" s="566" t="e">
        <f t="shared" si="65"/>
        <v>#REF!</v>
      </c>
      <c r="Y44" s="566" t="e">
        <f t="shared" si="65"/>
        <v>#REF!</v>
      </c>
      <c r="Z44" s="566" t="e">
        <f t="shared" si="65"/>
        <v>#REF!</v>
      </c>
      <c r="AA44" s="566" t="e">
        <f t="shared" si="65"/>
        <v>#REF!</v>
      </c>
      <c r="AB44" s="144"/>
      <c r="AC44" s="231"/>
      <c r="AD44" s="231"/>
      <c r="AE44" s="231"/>
      <c r="AF44" s="231"/>
      <c r="AG44" s="231"/>
      <c r="AH44" s="231"/>
      <c r="AI44" s="213"/>
      <c r="AJ44" s="204"/>
      <c r="AK44" s="204"/>
      <c r="AL44" s="204"/>
      <c r="AM44" s="204"/>
      <c r="AN44" s="204"/>
    </row>
    <row r="45" spans="1:40" thickBot="1">
      <c r="A45" s="144"/>
      <c r="B45" s="144"/>
      <c r="C45" s="144"/>
      <c r="E45" s="144"/>
      <c r="F45" s="144"/>
      <c r="G45" s="144"/>
      <c r="H45" s="3340"/>
      <c r="I45" s="144"/>
      <c r="J45" s="144"/>
      <c r="K45" s="144"/>
      <c r="L45" s="144"/>
      <c r="M45" s="144"/>
      <c r="N45" s="144"/>
      <c r="O45" s="144"/>
      <c r="P45" s="144"/>
      <c r="Q45" s="146"/>
      <c r="R45" s="144"/>
      <c r="S45" s="144"/>
      <c r="T45" s="144"/>
      <c r="U45" s="566" t="e">
        <f t="shared" si="65"/>
        <v>#REF!</v>
      </c>
      <c r="V45" s="566" t="e">
        <f t="shared" si="65"/>
        <v>#REF!</v>
      </c>
      <c r="W45" s="566" t="e">
        <f t="shared" si="65"/>
        <v>#REF!</v>
      </c>
      <c r="X45" s="566" t="e">
        <f t="shared" si="65"/>
        <v>#REF!</v>
      </c>
      <c r="Y45" s="566" t="e">
        <f t="shared" si="65"/>
        <v>#REF!</v>
      </c>
      <c r="Z45" s="566" t="e">
        <f t="shared" si="65"/>
        <v>#REF!</v>
      </c>
      <c r="AA45" s="566" t="e">
        <f t="shared" si="65"/>
        <v>#REF!</v>
      </c>
      <c r="AB45" s="144"/>
      <c r="AC45" s="231">
        <v>0</v>
      </c>
      <c r="AD45" s="231">
        <v>0</v>
      </c>
      <c r="AE45" s="231">
        <v>0</v>
      </c>
      <c r="AF45" s="231">
        <v>0</v>
      </c>
      <c r="AG45" s="231">
        <v>0</v>
      </c>
      <c r="AH45" s="231">
        <v>0</v>
      </c>
      <c r="AI45" s="213"/>
      <c r="AJ45" s="204"/>
      <c r="AK45" s="204"/>
      <c r="AL45" s="204"/>
      <c r="AM45" s="204"/>
      <c r="AN45" s="204"/>
    </row>
    <row r="46" spans="1:40" thickBot="1">
      <c r="A46" s="144"/>
      <c r="B46" s="144"/>
      <c r="C46" s="144"/>
      <c r="E46" s="144"/>
      <c r="F46" s="144"/>
      <c r="G46" s="144"/>
      <c r="H46" s="3340"/>
      <c r="I46" s="144"/>
      <c r="J46" s="144"/>
      <c r="K46" s="144"/>
      <c r="L46" s="144"/>
      <c r="M46" s="144"/>
      <c r="N46" s="144"/>
      <c r="O46" s="144"/>
      <c r="P46" s="144"/>
      <c r="Q46" s="146"/>
      <c r="R46" s="144"/>
      <c r="S46" s="144"/>
      <c r="T46" s="144"/>
      <c r="U46" s="566" t="e">
        <f t="shared" si="65"/>
        <v>#REF!</v>
      </c>
      <c r="V46" s="566" t="e">
        <f t="shared" si="65"/>
        <v>#REF!</v>
      </c>
      <c r="W46" s="566" t="e">
        <f t="shared" si="65"/>
        <v>#REF!</v>
      </c>
      <c r="X46" s="566" t="e">
        <f t="shared" si="65"/>
        <v>#REF!</v>
      </c>
      <c r="Y46" s="566" t="e">
        <f t="shared" si="65"/>
        <v>#REF!</v>
      </c>
      <c r="Z46" s="566" t="e">
        <f t="shared" si="65"/>
        <v>#REF!</v>
      </c>
      <c r="AA46" s="566" t="e">
        <f t="shared" si="65"/>
        <v>#REF!</v>
      </c>
      <c r="AB46" s="144"/>
      <c r="AC46" s="231">
        <v>0</v>
      </c>
      <c r="AD46" s="231">
        <v>0</v>
      </c>
      <c r="AE46" s="231">
        <v>0</v>
      </c>
      <c r="AF46" s="231">
        <v>0</v>
      </c>
      <c r="AG46" s="231">
        <v>0</v>
      </c>
      <c r="AH46" s="231">
        <v>0</v>
      </c>
      <c r="AI46" s="213"/>
      <c r="AJ46" s="204"/>
      <c r="AK46" s="204"/>
      <c r="AL46" s="204"/>
      <c r="AM46" s="204"/>
      <c r="AN46" s="204"/>
    </row>
    <row r="47" spans="1:40" thickBot="1">
      <c r="A47" s="144"/>
      <c r="B47" s="144"/>
      <c r="C47" s="144"/>
      <c r="E47" s="144"/>
      <c r="F47" s="144"/>
      <c r="G47" s="144"/>
      <c r="H47" s="3340"/>
      <c r="I47" s="144"/>
      <c r="J47" s="144"/>
      <c r="K47" s="144"/>
      <c r="L47" s="144"/>
      <c r="M47" s="144"/>
      <c r="N47" s="144"/>
      <c r="O47" s="144"/>
      <c r="P47" s="144"/>
      <c r="Q47" s="146"/>
      <c r="R47" s="144"/>
      <c r="S47" s="144"/>
      <c r="T47" s="144"/>
      <c r="U47" s="566" t="e">
        <f t="shared" si="65"/>
        <v>#REF!</v>
      </c>
      <c r="V47" s="566" t="e">
        <f t="shared" si="65"/>
        <v>#REF!</v>
      </c>
      <c r="W47" s="566" t="e">
        <f t="shared" si="65"/>
        <v>#REF!</v>
      </c>
      <c r="X47" s="566" t="e">
        <f t="shared" si="65"/>
        <v>#REF!</v>
      </c>
      <c r="Y47" s="566" t="e">
        <f t="shared" si="65"/>
        <v>#REF!</v>
      </c>
      <c r="Z47" s="566" t="e">
        <f t="shared" si="65"/>
        <v>#REF!</v>
      </c>
      <c r="AA47" s="566" t="e">
        <f t="shared" si="65"/>
        <v>#REF!</v>
      </c>
      <c r="AB47" s="144"/>
      <c r="AC47" s="231"/>
      <c r="AD47" s="231"/>
      <c r="AE47" s="231"/>
      <c r="AF47" s="231"/>
      <c r="AG47" s="231"/>
      <c r="AH47" s="231"/>
      <c r="AI47" s="213"/>
      <c r="AJ47" s="204"/>
      <c r="AK47" s="204"/>
      <c r="AL47" s="204"/>
      <c r="AM47" s="204"/>
      <c r="AN47" s="204"/>
    </row>
    <row r="48" spans="1:40" thickBot="1">
      <c r="A48" s="144"/>
      <c r="B48" s="144"/>
      <c r="C48" s="144"/>
      <c r="E48" s="144"/>
      <c r="F48" s="144"/>
      <c r="G48" s="144"/>
      <c r="H48" s="3340"/>
      <c r="I48" s="144"/>
      <c r="J48" s="144"/>
      <c r="K48" s="144"/>
      <c r="L48" s="144"/>
      <c r="M48" s="144"/>
      <c r="N48" s="144"/>
      <c r="O48" s="144"/>
      <c r="P48" s="144"/>
      <c r="Q48" s="146"/>
      <c r="R48" s="144"/>
      <c r="S48" s="144"/>
      <c r="T48" s="144"/>
      <c r="U48" s="566" t="e">
        <f t="shared" si="65"/>
        <v>#REF!</v>
      </c>
      <c r="V48" s="566" t="e">
        <f t="shared" si="65"/>
        <v>#REF!</v>
      </c>
      <c r="W48" s="566" t="e">
        <f t="shared" si="65"/>
        <v>#REF!</v>
      </c>
      <c r="X48" s="566" t="e">
        <f t="shared" si="65"/>
        <v>#REF!</v>
      </c>
      <c r="Y48" s="566" t="e">
        <f t="shared" si="65"/>
        <v>#REF!</v>
      </c>
      <c r="Z48" s="566" t="e">
        <f t="shared" si="65"/>
        <v>#REF!</v>
      </c>
      <c r="AA48" s="566" t="e">
        <f t="shared" si="65"/>
        <v>#REF!</v>
      </c>
      <c r="AB48" s="144"/>
      <c r="AC48" s="231"/>
      <c r="AD48" s="231"/>
      <c r="AE48" s="231"/>
      <c r="AF48" s="231"/>
      <c r="AG48" s="231"/>
      <c r="AH48" s="231"/>
      <c r="AI48" s="213"/>
      <c r="AJ48" s="204"/>
      <c r="AK48" s="204"/>
      <c r="AL48" s="204"/>
      <c r="AM48" s="204"/>
      <c r="AN48" s="204"/>
    </row>
    <row r="49" spans="1:40" thickBot="1">
      <c r="A49" s="144"/>
      <c r="B49" s="144"/>
      <c r="C49" s="144"/>
      <c r="E49" s="144"/>
      <c r="F49" s="144"/>
      <c r="G49" s="144"/>
      <c r="H49" s="3340"/>
      <c r="I49" s="144"/>
      <c r="J49" s="144"/>
      <c r="K49" s="144"/>
      <c r="L49" s="144"/>
      <c r="M49" s="144"/>
      <c r="N49" s="144"/>
      <c r="O49" s="144"/>
      <c r="P49" s="144"/>
      <c r="Q49" s="146"/>
      <c r="R49" s="144"/>
      <c r="S49" s="144"/>
      <c r="T49" s="144"/>
      <c r="U49" s="566" t="e">
        <f t="shared" si="65"/>
        <v>#REF!</v>
      </c>
      <c r="V49" s="566" t="e">
        <f t="shared" si="65"/>
        <v>#REF!</v>
      </c>
      <c r="W49" s="566" t="e">
        <f t="shared" si="65"/>
        <v>#REF!</v>
      </c>
      <c r="X49" s="566" t="e">
        <f t="shared" si="65"/>
        <v>#REF!</v>
      </c>
      <c r="Y49" s="566" t="e">
        <f t="shared" si="65"/>
        <v>#REF!</v>
      </c>
      <c r="Z49" s="566" t="e">
        <f t="shared" si="65"/>
        <v>#REF!</v>
      </c>
      <c r="AA49" s="566" t="e">
        <f t="shared" si="65"/>
        <v>#REF!</v>
      </c>
      <c r="AB49" s="144"/>
      <c r="AC49" s="231">
        <v>0</v>
      </c>
      <c r="AD49" s="231">
        <v>0</v>
      </c>
      <c r="AE49" s="231">
        <v>0</v>
      </c>
      <c r="AF49" s="231">
        <v>0</v>
      </c>
      <c r="AG49" s="231">
        <v>0</v>
      </c>
      <c r="AH49" s="231">
        <v>0</v>
      </c>
      <c r="AI49" s="213"/>
      <c r="AJ49" s="204"/>
      <c r="AK49" s="204"/>
      <c r="AL49" s="204"/>
      <c r="AM49" s="204"/>
      <c r="AN49" s="204"/>
    </row>
    <row r="50" spans="1:40" thickBot="1">
      <c r="A50" s="144"/>
      <c r="B50" s="144"/>
      <c r="C50" s="144"/>
      <c r="E50" s="144"/>
      <c r="F50" s="144"/>
      <c r="G50" s="144"/>
      <c r="H50" s="3340"/>
      <c r="I50" s="144"/>
      <c r="J50" s="144"/>
      <c r="K50" s="144"/>
      <c r="L50" s="144"/>
      <c r="M50" s="144"/>
      <c r="N50" s="144"/>
      <c r="O50" s="144"/>
      <c r="P50" s="144"/>
      <c r="Q50" s="146"/>
      <c r="R50" s="144"/>
      <c r="S50" s="144"/>
      <c r="T50" s="144"/>
      <c r="U50" s="566" t="e">
        <f t="shared" si="65"/>
        <v>#REF!</v>
      </c>
      <c r="V50" s="566" t="e">
        <f t="shared" si="65"/>
        <v>#REF!</v>
      </c>
      <c r="W50" s="566" t="e">
        <f t="shared" si="65"/>
        <v>#REF!</v>
      </c>
      <c r="X50" s="566" t="e">
        <f t="shared" si="65"/>
        <v>#REF!</v>
      </c>
      <c r="Y50" s="566" t="e">
        <f t="shared" si="65"/>
        <v>#REF!</v>
      </c>
      <c r="Z50" s="566" t="e">
        <f t="shared" si="65"/>
        <v>#REF!</v>
      </c>
      <c r="AA50" s="566" t="e">
        <f t="shared" si="65"/>
        <v>#REF!</v>
      </c>
      <c r="AB50" s="144"/>
      <c r="AC50" s="231">
        <v>0</v>
      </c>
      <c r="AD50" s="231">
        <v>0</v>
      </c>
      <c r="AE50" s="231">
        <v>0</v>
      </c>
      <c r="AF50" s="231">
        <v>0</v>
      </c>
      <c r="AG50" s="231">
        <v>0</v>
      </c>
      <c r="AH50" s="231">
        <v>0</v>
      </c>
      <c r="AI50" s="213"/>
      <c r="AJ50" s="204"/>
      <c r="AK50" s="204"/>
      <c r="AL50" s="204"/>
      <c r="AM50" s="204"/>
      <c r="AN50" s="204"/>
    </row>
    <row r="51" spans="1:40" thickBot="1">
      <c r="A51" s="144"/>
      <c r="B51" s="144"/>
      <c r="C51" s="144"/>
      <c r="E51" s="144"/>
      <c r="F51" s="144"/>
      <c r="G51" s="144"/>
      <c r="H51" s="3340"/>
      <c r="I51" s="144"/>
      <c r="J51" s="144"/>
      <c r="K51" s="144"/>
      <c r="L51" s="144"/>
      <c r="M51" s="144"/>
      <c r="N51" s="144"/>
      <c r="O51" s="144"/>
      <c r="P51" s="144"/>
      <c r="Q51" s="146"/>
      <c r="R51" s="144"/>
      <c r="S51" s="144"/>
      <c r="T51" s="144"/>
      <c r="U51" s="566" t="e">
        <f t="shared" si="65"/>
        <v>#REF!</v>
      </c>
      <c r="V51" s="566" t="e">
        <f t="shared" si="65"/>
        <v>#REF!</v>
      </c>
      <c r="W51" s="566" t="e">
        <f t="shared" si="65"/>
        <v>#REF!</v>
      </c>
      <c r="X51" s="566" t="e">
        <f t="shared" si="65"/>
        <v>#REF!</v>
      </c>
      <c r="Y51" s="566" t="e">
        <f t="shared" si="65"/>
        <v>#REF!</v>
      </c>
      <c r="Z51" s="566" t="e">
        <f t="shared" si="65"/>
        <v>#REF!</v>
      </c>
      <c r="AA51" s="566" t="e">
        <f t="shared" si="65"/>
        <v>#REF!</v>
      </c>
      <c r="AB51" s="144"/>
      <c r="AC51" s="231">
        <v>0</v>
      </c>
      <c r="AD51" s="231">
        <v>0</v>
      </c>
      <c r="AE51" s="231">
        <v>0</v>
      </c>
      <c r="AF51" s="231">
        <v>0</v>
      </c>
      <c r="AG51" s="231">
        <v>0</v>
      </c>
      <c r="AH51" s="231">
        <v>0</v>
      </c>
      <c r="AI51" s="213"/>
      <c r="AJ51" s="204"/>
      <c r="AK51" s="204"/>
      <c r="AL51" s="204"/>
      <c r="AM51" s="204"/>
      <c r="AN51" s="204"/>
    </row>
    <row r="52" spans="1:40" thickBot="1">
      <c r="A52" s="144"/>
      <c r="B52" s="144"/>
      <c r="C52" s="144"/>
      <c r="E52" s="144"/>
      <c r="F52" s="144"/>
      <c r="G52" s="144"/>
      <c r="H52" s="3340"/>
      <c r="I52" s="144"/>
      <c r="J52" s="144"/>
      <c r="K52" s="144"/>
      <c r="L52" s="144"/>
      <c r="M52" s="144"/>
      <c r="N52" s="144"/>
      <c r="O52" s="144"/>
      <c r="P52" s="144"/>
      <c r="Q52" s="146"/>
      <c r="R52" s="144"/>
      <c r="S52" s="144"/>
      <c r="T52" s="144"/>
      <c r="U52" s="566" t="e">
        <f t="shared" si="65"/>
        <v>#REF!</v>
      </c>
      <c r="V52" s="566" t="e">
        <f t="shared" si="65"/>
        <v>#REF!</v>
      </c>
      <c r="W52" s="566" t="e">
        <f t="shared" si="65"/>
        <v>#REF!</v>
      </c>
      <c r="X52" s="566" t="e">
        <f t="shared" si="65"/>
        <v>#REF!</v>
      </c>
      <c r="Y52" s="566" t="e">
        <f t="shared" si="65"/>
        <v>#REF!</v>
      </c>
      <c r="Z52" s="566" t="e">
        <f t="shared" si="65"/>
        <v>#REF!</v>
      </c>
      <c r="AA52" s="566" t="e">
        <f t="shared" si="65"/>
        <v>#REF!</v>
      </c>
      <c r="AB52" s="144"/>
      <c r="AC52" s="231">
        <v>0</v>
      </c>
      <c r="AD52" s="231">
        <v>0</v>
      </c>
      <c r="AE52" s="231">
        <v>0</v>
      </c>
      <c r="AF52" s="231">
        <v>0</v>
      </c>
      <c r="AG52" s="231">
        <v>0</v>
      </c>
      <c r="AH52" s="231">
        <v>0</v>
      </c>
      <c r="AI52" s="213"/>
      <c r="AJ52" s="204"/>
      <c r="AK52" s="204"/>
      <c r="AL52" s="204"/>
      <c r="AM52" s="204"/>
      <c r="AN52" s="204"/>
    </row>
    <row r="53" spans="1:40" thickBot="1">
      <c r="A53" s="144"/>
      <c r="B53" s="144"/>
      <c r="C53" s="144"/>
      <c r="E53" s="144"/>
      <c r="F53" s="144"/>
      <c r="G53" s="144"/>
      <c r="H53" s="3340"/>
      <c r="I53" s="144"/>
      <c r="J53" s="144"/>
      <c r="K53" s="144"/>
      <c r="L53" s="144"/>
      <c r="M53" s="144"/>
      <c r="N53" s="144"/>
      <c r="O53" s="144"/>
      <c r="P53" s="144"/>
      <c r="Q53" s="146"/>
      <c r="R53" s="144"/>
      <c r="S53" s="144"/>
      <c r="T53" s="144"/>
      <c r="U53" s="566" t="e">
        <f t="shared" ref="U53:AA68" si="66">IF(U52&gt;0,U52,U51)</f>
        <v>#REF!</v>
      </c>
      <c r="V53" s="566" t="e">
        <f t="shared" si="66"/>
        <v>#REF!</v>
      </c>
      <c r="W53" s="566" t="e">
        <f t="shared" si="66"/>
        <v>#REF!</v>
      </c>
      <c r="X53" s="566" t="e">
        <f t="shared" si="66"/>
        <v>#REF!</v>
      </c>
      <c r="Y53" s="566" t="e">
        <f t="shared" si="66"/>
        <v>#REF!</v>
      </c>
      <c r="Z53" s="566" t="e">
        <f t="shared" si="66"/>
        <v>#REF!</v>
      </c>
      <c r="AA53" s="566" t="e">
        <f t="shared" si="66"/>
        <v>#REF!</v>
      </c>
      <c r="AB53" s="144"/>
      <c r="AC53" s="231"/>
      <c r="AD53" s="231"/>
      <c r="AE53" s="231"/>
      <c r="AF53" s="231"/>
      <c r="AG53" s="231"/>
      <c r="AH53" s="231"/>
      <c r="AI53" s="213"/>
      <c r="AJ53" s="204"/>
      <c r="AK53" s="204"/>
      <c r="AL53" s="204"/>
      <c r="AM53" s="204"/>
      <c r="AN53" s="204"/>
    </row>
    <row r="54" spans="1:40" thickBot="1">
      <c r="A54" s="144"/>
      <c r="B54" s="144"/>
      <c r="C54" s="144"/>
      <c r="E54" s="144"/>
      <c r="F54" s="144"/>
      <c r="G54" s="144"/>
      <c r="H54" s="3340"/>
      <c r="I54" s="144"/>
      <c r="J54" s="144"/>
      <c r="K54" s="144"/>
      <c r="L54" s="144"/>
      <c r="M54" s="144"/>
      <c r="N54" s="144"/>
      <c r="O54" s="144"/>
      <c r="P54" s="144"/>
      <c r="Q54" s="146"/>
      <c r="R54" s="144"/>
      <c r="S54" s="144"/>
      <c r="T54" s="144"/>
      <c r="U54" s="566" t="e">
        <f t="shared" si="66"/>
        <v>#REF!</v>
      </c>
      <c r="V54" s="566" t="e">
        <f t="shared" si="66"/>
        <v>#REF!</v>
      </c>
      <c r="W54" s="566" t="e">
        <f t="shared" si="66"/>
        <v>#REF!</v>
      </c>
      <c r="X54" s="566" t="e">
        <f t="shared" si="66"/>
        <v>#REF!</v>
      </c>
      <c r="Y54" s="566" t="e">
        <f t="shared" si="66"/>
        <v>#REF!</v>
      </c>
      <c r="Z54" s="566" t="e">
        <f t="shared" si="66"/>
        <v>#REF!</v>
      </c>
      <c r="AA54" s="566" t="e">
        <f t="shared" si="66"/>
        <v>#REF!</v>
      </c>
      <c r="AB54" s="144"/>
      <c r="AC54" s="231">
        <v>0</v>
      </c>
      <c r="AD54" s="231">
        <v>0</v>
      </c>
      <c r="AE54" s="231">
        <v>0</v>
      </c>
      <c r="AF54" s="231">
        <v>0</v>
      </c>
      <c r="AG54" s="231">
        <v>0</v>
      </c>
      <c r="AH54" s="231">
        <v>0</v>
      </c>
      <c r="AI54" s="213"/>
      <c r="AJ54" s="204"/>
      <c r="AK54" s="204"/>
      <c r="AL54" s="204"/>
      <c r="AM54" s="204"/>
      <c r="AN54" s="204"/>
    </row>
    <row r="55" spans="1:40" thickBot="1">
      <c r="A55" s="144"/>
      <c r="B55" s="144"/>
      <c r="C55" s="144"/>
      <c r="E55" s="144"/>
      <c r="F55" s="144"/>
      <c r="G55" s="144"/>
      <c r="H55" s="3340"/>
      <c r="I55" s="144"/>
      <c r="J55" s="144"/>
      <c r="K55" s="144"/>
      <c r="L55" s="144"/>
      <c r="M55" s="144"/>
      <c r="N55" s="144"/>
      <c r="O55" s="144"/>
      <c r="P55" s="144"/>
      <c r="Q55" s="146"/>
      <c r="R55" s="144"/>
      <c r="S55" s="144"/>
      <c r="T55" s="144"/>
      <c r="U55" s="566" t="e">
        <f t="shared" si="66"/>
        <v>#REF!</v>
      </c>
      <c r="V55" s="566" t="e">
        <f t="shared" si="66"/>
        <v>#REF!</v>
      </c>
      <c r="W55" s="566" t="e">
        <f t="shared" si="66"/>
        <v>#REF!</v>
      </c>
      <c r="X55" s="566" t="e">
        <f t="shared" si="66"/>
        <v>#REF!</v>
      </c>
      <c r="Y55" s="566" t="e">
        <f t="shared" si="66"/>
        <v>#REF!</v>
      </c>
      <c r="Z55" s="566" t="e">
        <f t="shared" si="66"/>
        <v>#REF!</v>
      </c>
      <c r="AA55" s="566" t="e">
        <f t="shared" si="66"/>
        <v>#REF!</v>
      </c>
      <c r="AB55" s="144"/>
      <c r="AC55" s="231">
        <v>0</v>
      </c>
      <c r="AD55" s="231">
        <v>0</v>
      </c>
      <c r="AE55" s="231">
        <v>0</v>
      </c>
      <c r="AF55" s="231">
        <v>0</v>
      </c>
      <c r="AG55" s="231">
        <v>0</v>
      </c>
      <c r="AH55" s="231">
        <v>0</v>
      </c>
      <c r="AI55" s="213"/>
      <c r="AJ55" s="204"/>
      <c r="AK55" s="204"/>
      <c r="AL55" s="204"/>
      <c r="AM55" s="204"/>
      <c r="AN55" s="204"/>
    </row>
    <row r="56" spans="1:40" thickBot="1">
      <c r="A56" s="144"/>
      <c r="B56" s="144"/>
      <c r="C56" s="144"/>
      <c r="E56" s="144"/>
      <c r="F56" s="144"/>
      <c r="G56" s="144"/>
      <c r="H56" s="3340"/>
      <c r="I56" s="144"/>
      <c r="J56" s="144"/>
      <c r="K56" s="144"/>
      <c r="L56" s="144"/>
      <c r="M56" s="144"/>
      <c r="N56" s="144"/>
      <c r="O56" s="144"/>
      <c r="P56" s="144"/>
      <c r="Q56" s="146"/>
      <c r="R56" s="144"/>
      <c r="S56" s="144"/>
      <c r="T56" s="144"/>
      <c r="U56" s="566" t="e">
        <f t="shared" si="66"/>
        <v>#REF!</v>
      </c>
      <c r="V56" s="566" t="e">
        <f t="shared" si="66"/>
        <v>#REF!</v>
      </c>
      <c r="W56" s="566" t="e">
        <f t="shared" si="66"/>
        <v>#REF!</v>
      </c>
      <c r="X56" s="566" t="e">
        <f t="shared" si="66"/>
        <v>#REF!</v>
      </c>
      <c r="Y56" s="566" t="e">
        <f t="shared" si="66"/>
        <v>#REF!</v>
      </c>
      <c r="Z56" s="566" t="e">
        <f t="shared" si="66"/>
        <v>#REF!</v>
      </c>
      <c r="AA56" s="566" t="e">
        <f t="shared" si="66"/>
        <v>#REF!</v>
      </c>
      <c r="AB56" s="144"/>
      <c r="AC56" s="231"/>
      <c r="AD56" s="231"/>
      <c r="AE56" s="231"/>
      <c r="AF56" s="231"/>
      <c r="AG56" s="231"/>
      <c r="AH56" s="231"/>
      <c r="AI56" s="213"/>
      <c r="AJ56" s="204"/>
      <c r="AK56" s="204"/>
      <c r="AL56" s="204"/>
      <c r="AM56" s="204"/>
      <c r="AN56" s="204"/>
    </row>
    <row r="57" spans="1:40" thickBot="1">
      <c r="A57" s="144"/>
      <c r="B57" s="144"/>
      <c r="C57" s="144"/>
      <c r="E57" s="144"/>
      <c r="F57" s="144"/>
      <c r="G57" s="144"/>
      <c r="H57" s="3340"/>
      <c r="I57" s="144"/>
      <c r="J57" s="144"/>
      <c r="K57" s="144"/>
      <c r="L57" s="144"/>
      <c r="M57" s="144"/>
      <c r="N57" s="144"/>
      <c r="O57" s="144"/>
      <c r="P57" s="144"/>
      <c r="Q57" s="146"/>
      <c r="R57" s="144"/>
      <c r="S57" s="144"/>
      <c r="T57" s="144"/>
      <c r="U57" s="566" t="e">
        <f t="shared" si="66"/>
        <v>#REF!</v>
      </c>
      <c r="V57" s="566" t="e">
        <f t="shared" si="66"/>
        <v>#REF!</v>
      </c>
      <c r="W57" s="566" t="e">
        <f t="shared" si="66"/>
        <v>#REF!</v>
      </c>
      <c r="X57" s="566" t="e">
        <f t="shared" si="66"/>
        <v>#REF!</v>
      </c>
      <c r="Y57" s="566" t="e">
        <f t="shared" si="66"/>
        <v>#REF!</v>
      </c>
      <c r="Z57" s="566" t="e">
        <f t="shared" si="66"/>
        <v>#REF!</v>
      </c>
      <c r="AA57" s="566" t="e">
        <f t="shared" si="66"/>
        <v>#REF!</v>
      </c>
      <c r="AB57" s="144"/>
      <c r="AC57" s="231"/>
      <c r="AD57" s="231"/>
      <c r="AE57" s="231"/>
      <c r="AF57" s="231"/>
      <c r="AG57" s="231"/>
      <c r="AH57" s="231"/>
      <c r="AI57" s="213"/>
      <c r="AJ57" s="204"/>
      <c r="AK57" s="204"/>
      <c r="AL57" s="204"/>
      <c r="AM57" s="204"/>
      <c r="AN57" s="204"/>
    </row>
    <row r="58" spans="1:40" thickBot="1">
      <c r="A58" s="144"/>
      <c r="B58" s="144"/>
      <c r="C58" s="144"/>
      <c r="E58" s="144"/>
      <c r="F58" s="144"/>
      <c r="G58" s="144"/>
      <c r="H58" s="3340"/>
      <c r="I58" s="144"/>
      <c r="J58" s="144"/>
      <c r="K58" s="144"/>
      <c r="L58" s="144"/>
      <c r="M58" s="144"/>
      <c r="N58" s="144"/>
      <c r="O58" s="144"/>
      <c r="P58" s="144"/>
      <c r="Q58" s="146"/>
      <c r="R58" s="144"/>
      <c r="S58" s="144"/>
      <c r="T58" s="144"/>
      <c r="U58" s="566" t="e">
        <f t="shared" si="66"/>
        <v>#REF!</v>
      </c>
      <c r="V58" s="566" t="e">
        <f t="shared" si="66"/>
        <v>#REF!</v>
      </c>
      <c r="W58" s="566" t="e">
        <f t="shared" si="66"/>
        <v>#REF!</v>
      </c>
      <c r="X58" s="566" t="e">
        <f t="shared" si="66"/>
        <v>#REF!</v>
      </c>
      <c r="Y58" s="566" t="e">
        <f t="shared" si="66"/>
        <v>#REF!</v>
      </c>
      <c r="Z58" s="566" t="e">
        <f t="shared" si="66"/>
        <v>#REF!</v>
      </c>
      <c r="AA58" s="566" t="e">
        <f t="shared" si="66"/>
        <v>#REF!</v>
      </c>
      <c r="AB58" s="144"/>
      <c r="AC58" s="231">
        <v>0</v>
      </c>
      <c r="AD58" s="231">
        <v>0</v>
      </c>
      <c r="AE58" s="231">
        <v>0</v>
      </c>
      <c r="AF58" s="231">
        <v>0</v>
      </c>
      <c r="AG58" s="231">
        <v>0</v>
      </c>
      <c r="AH58" s="231">
        <v>0</v>
      </c>
      <c r="AI58" s="213"/>
      <c r="AJ58" s="204"/>
      <c r="AK58" s="204"/>
      <c r="AL58" s="204"/>
      <c r="AM58" s="204"/>
      <c r="AN58" s="204"/>
    </row>
    <row r="59" spans="1:40" thickBot="1">
      <c r="A59" s="144"/>
      <c r="B59" s="144"/>
      <c r="C59" s="144"/>
      <c r="E59" s="144"/>
      <c r="F59" s="144"/>
      <c r="G59" s="144"/>
      <c r="H59" s="3340"/>
      <c r="I59" s="144"/>
      <c r="J59" s="144"/>
      <c r="K59" s="144"/>
      <c r="L59" s="144"/>
      <c r="M59" s="144"/>
      <c r="N59" s="144"/>
      <c r="O59" s="144"/>
      <c r="P59" s="144"/>
      <c r="Q59" s="146"/>
      <c r="R59" s="144"/>
      <c r="S59" s="144"/>
      <c r="T59" s="144"/>
      <c r="U59" s="566" t="e">
        <f t="shared" si="66"/>
        <v>#REF!</v>
      </c>
      <c r="V59" s="566" t="e">
        <f t="shared" si="66"/>
        <v>#REF!</v>
      </c>
      <c r="W59" s="566" t="e">
        <f t="shared" si="66"/>
        <v>#REF!</v>
      </c>
      <c r="X59" s="566" t="e">
        <f t="shared" si="66"/>
        <v>#REF!</v>
      </c>
      <c r="Y59" s="566" t="e">
        <f t="shared" si="66"/>
        <v>#REF!</v>
      </c>
      <c r="Z59" s="566" t="e">
        <f t="shared" si="66"/>
        <v>#REF!</v>
      </c>
      <c r="AA59" s="566" t="e">
        <f t="shared" si="66"/>
        <v>#REF!</v>
      </c>
      <c r="AB59" s="144"/>
      <c r="AC59" s="231">
        <v>0</v>
      </c>
      <c r="AD59" s="231">
        <v>0</v>
      </c>
      <c r="AE59" s="231">
        <v>0</v>
      </c>
      <c r="AF59" s="231">
        <v>0</v>
      </c>
      <c r="AG59" s="231">
        <v>0</v>
      </c>
      <c r="AH59" s="231">
        <v>0</v>
      </c>
      <c r="AI59" s="213"/>
      <c r="AJ59" s="204"/>
      <c r="AK59" s="204"/>
      <c r="AL59" s="204"/>
      <c r="AM59" s="204"/>
      <c r="AN59" s="204"/>
    </row>
    <row r="60" spans="1:40" thickBot="1">
      <c r="A60" s="144"/>
      <c r="B60" s="144"/>
      <c r="C60" s="144"/>
      <c r="E60" s="144"/>
      <c r="F60" s="144"/>
      <c r="G60" s="144"/>
      <c r="H60" s="3340"/>
      <c r="I60" s="144"/>
      <c r="J60" s="144"/>
      <c r="K60" s="144"/>
      <c r="L60" s="144"/>
      <c r="M60" s="144"/>
      <c r="N60" s="144"/>
      <c r="O60" s="144"/>
      <c r="P60" s="144"/>
      <c r="Q60" s="146"/>
      <c r="R60" s="144"/>
      <c r="S60" s="144"/>
      <c r="T60" s="144"/>
      <c r="U60" s="566" t="e">
        <f t="shared" si="66"/>
        <v>#REF!</v>
      </c>
      <c r="V60" s="566" t="e">
        <f t="shared" si="66"/>
        <v>#REF!</v>
      </c>
      <c r="W60" s="566" t="e">
        <f t="shared" si="66"/>
        <v>#REF!</v>
      </c>
      <c r="X60" s="566" t="e">
        <f t="shared" si="66"/>
        <v>#REF!</v>
      </c>
      <c r="Y60" s="566" t="e">
        <f t="shared" si="66"/>
        <v>#REF!</v>
      </c>
      <c r="Z60" s="566" t="e">
        <f t="shared" si="66"/>
        <v>#REF!</v>
      </c>
      <c r="AA60" s="566" t="e">
        <f t="shared" si="66"/>
        <v>#REF!</v>
      </c>
      <c r="AB60" s="144"/>
      <c r="AC60" s="231">
        <v>0</v>
      </c>
      <c r="AD60" s="231">
        <v>0</v>
      </c>
      <c r="AE60" s="231">
        <v>0</v>
      </c>
      <c r="AF60" s="231">
        <v>0</v>
      </c>
      <c r="AG60" s="231">
        <v>0</v>
      </c>
      <c r="AH60" s="231">
        <v>0</v>
      </c>
      <c r="AI60" s="213"/>
      <c r="AJ60" s="204"/>
      <c r="AK60" s="204"/>
      <c r="AL60" s="204"/>
      <c r="AM60" s="204"/>
      <c r="AN60" s="204"/>
    </row>
    <row r="61" spans="1:40" thickBot="1">
      <c r="A61" s="144"/>
      <c r="B61" s="144"/>
      <c r="C61" s="144"/>
      <c r="E61" s="144"/>
      <c r="F61" s="144"/>
      <c r="G61" s="144"/>
      <c r="H61" s="3340"/>
      <c r="I61" s="144"/>
      <c r="J61" s="144"/>
      <c r="K61" s="144"/>
      <c r="L61" s="144"/>
      <c r="M61" s="144"/>
      <c r="N61" s="144"/>
      <c r="O61" s="144"/>
      <c r="P61" s="144"/>
      <c r="Q61" s="146"/>
      <c r="R61" s="144"/>
      <c r="S61" s="144"/>
      <c r="T61" s="144"/>
      <c r="U61" s="566" t="e">
        <f t="shared" si="66"/>
        <v>#REF!</v>
      </c>
      <c r="V61" s="566" t="e">
        <f t="shared" si="66"/>
        <v>#REF!</v>
      </c>
      <c r="W61" s="566" t="e">
        <f t="shared" si="66"/>
        <v>#REF!</v>
      </c>
      <c r="X61" s="566" t="e">
        <f t="shared" si="66"/>
        <v>#REF!</v>
      </c>
      <c r="Y61" s="566" t="e">
        <f t="shared" si="66"/>
        <v>#REF!</v>
      </c>
      <c r="Z61" s="566" t="e">
        <f t="shared" si="66"/>
        <v>#REF!</v>
      </c>
      <c r="AA61" s="566" t="e">
        <f t="shared" si="66"/>
        <v>#REF!</v>
      </c>
      <c r="AB61" s="144"/>
      <c r="AC61" s="231"/>
      <c r="AD61" s="231"/>
      <c r="AE61" s="231"/>
      <c r="AF61" s="231"/>
      <c r="AG61" s="231"/>
      <c r="AH61" s="231"/>
      <c r="AI61" s="213"/>
      <c r="AJ61" s="204"/>
      <c r="AK61" s="204"/>
      <c r="AL61" s="204"/>
      <c r="AM61" s="204"/>
      <c r="AN61" s="204"/>
    </row>
    <row r="62" spans="1:40" thickBot="1">
      <c r="A62" s="144"/>
      <c r="B62" s="144"/>
      <c r="C62" s="144"/>
      <c r="E62" s="144"/>
      <c r="F62" s="144"/>
      <c r="G62" s="144"/>
      <c r="H62" s="3340"/>
      <c r="I62" s="144"/>
      <c r="J62" s="144"/>
      <c r="K62" s="144"/>
      <c r="L62" s="144"/>
      <c r="M62" s="144"/>
      <c r="N62" s="144"/>
      <c r="O62" s="144"/>
      <c r="P62" s="144"/>
      <c r="Q62" s="146"/>
      <c r="R62" s="144"/>
      <c r="S62" s="144"/>
      <c r="T62" s="144"/>
      <c r="U62" s="566" t="e">
        <f t="shared" si="66"/>
        <v>#REF!</v>
      </c>
      <c r="V62" s="566" t="e">
        <f t="shared" si="66"/>
        <v>#REF!</v>
      </c>
      <c r="W62" s="566" t="e">
        <f t="shared" si="66"/>
        <v>#REF!</v>
      </c>
      <c r="X62" s="566" t="e">
        <f t="shared" si="66"/>
        <v>#REF!</v>
      </c>
      <c r="Y62" s="566" t="e">
        <f t="shared" si="66"/>
        <v>#REF!</v>
      </c>
      <c r="Z62" s="566" t="e">
        <f t="shared" si="66"/>
        <v>#REF!</v>
      </c>
      <c r="AA62" s="566" t="e">
        <f t="shared" si="66"/>
        <v>#REF!</v>
      </c>
      <c r="AB62" s="144"/>
      <c r="AC62" s="231"/>
      <c r="AD62" s="231"/>
      <c r="AE62" s="231"/>
      <c r="AF62" s="231"/>
      <c r="AG62" s="231"/>
      <c r="AH62" s="231"/>
      <c r="AI62" s="213"/>
      <c r="AJ62" s="204"/>
      <c r="AK62" s="204"/>
      <c r="AL62" s="204"/>
      <c r="AM62" s="204"/>
      <c r="AN62" s="204"/>
    </row>
    <row r="63" spans="1:40" thickBot="1">
      <c r="A63" s="144"/>
      <c r="B63" s="144"/>
      <c r="C63" s="144"/>
      <c r="E63" s="144"/>
      <c r="F63" s="144"/>
      <c r="G63" s="144"/>
      <c r="H63" s="3340"/>
      <c r="I63" s="144"/>
      <c r="J63" s="144"/>
      <c r="K63" s="144"/>
      <c r="L63" s="144"/>
      <c r="M63" s="144"/>
      <c r="N63" s="144"/>
      <c r="O63" s="144"/>
      <c r="P63" s="144"/>
      <c r="Q63" s="146"/>
      <c r="R63" s="144"/>
      <c r="S63" s="144"/>
      <c r="T63" s="144"/>
      <c r="U63" s="566" t="e">
        <f t="shared" si="66"/>
        <v>#REF!</v>
      </c>
      <c r="V63" s="566" t="e">
        <f t="shared" si="66"/>
        <v>#REF!</v>
      </c>
      <c r="W63" s="566" t="e">
        <f t="shared" si="66"/>
        <v>#REF!</v>
      </c>
      <c r="X63" s="566" t="e">
        <f t="shared" si="66"/>
        <v>#REF!</v>
      </c>
      <c r="Y63" s="566" t="e">
        <f t="shared" si="66"/>
        <v>#REF!</v>
      </c>
      <c r="Z63" s="566" t="e">
        <f t="shared" si="66"/>
        <v>#REF!</v>
      </c>
      <c r="AA63" s="566" t="e">
        <f t="shared" si="66"/>
        <v>#REF!</v>
      </c>
      <c r="AB63" s="144"/>
      <c r="AC63" s="231">
        <v>0</v>
      </c>
      <c r="AD63" s="231">
        <v>0</v>
      </c>
      <c r="AE63" s="231">
        <v>0</v>
      </c>
      <c r="AF63" s="231">
        <v>0</v>
      </c>
      <c r="AG63" s="231">
        <v>0</v>
      </c>
      <c r="AH63" s="231">
        <v>0</v>
      </c>
      <c r="AI63" s="213"/>
      <c r="AJ63" s="204"/>
      <c r="AK63" s="204"/>
      <c r="AL63" s="204"/>
      <c r="AM63" s="204"/>
      <c r="AN63" s="204"/>
    </row>
    <row r="64" spans="1:40" thickBot="1">
      <c r="A64" s="144"/>
      <c r="B64" s="144"/>
      <c r="C64" s="144"/>
      <c r="E64" s="144"/>
      <c r="F64" s="144"/>
      <c r="G64" s="144"/>
      <c r="H64" s="3340"/>
      <c r="I64" s="144"/>
      <c r="J64" s="144"/>
      <c r="K64" s="144"/>
      <c r="L64" s="144"/>
      <c r="M64" s="144"/>
      <c r="N64" s="144"/>
      <c r="O64" s="144"/>
      <c r="P64" s="144"/>
      <c r="Q64" s="146"/>
      <c r="R64" s="144"/>
      <c r="S64" s="144"/>
      <c r="T64" s="144"/>
      <c r="U64" s="566" t="e">
        <f t="shared" si="66"/>
        <v>#REF!</v>
      </c>
      <c r="V64" s="566" t="e">
        <f t="shared" si="66"/>
        <v>#REF!</v>
      </c>
      <c r="W64" s="566" t="e">
        <f t="shared" si="66"/>
        <v>#REF!</v>
      </c>
      <c r="X64" s="566" t="e">
        <f t="shared" si="66"/>
        <v>#REF!</v>
      </c>
      <c r="Y64" s="566" t="e">
        <f t="shared" si="66"/>
        <v>#REF!</v>
      </c>
      <c r="Z64" s="566" t="e">
        <f t="shared" si="66"/>
        <v>#REF!</v>
      </c>
      <c r="AA64" s="566" t="e">
        <f t="shared" si="66"/>
        <v>#REF!</v>
      </c>
      <c r="AB64" s="144"/>
      <c r="AC64" s="231">
        <v>0</v>
      </c>
      <c r="AD64" s="231">
        <v>0</v>
      </c>
      <c r="AE64" s="231">
        <v>0</v>
      </c>
      <c r="AF64" s="231">
        <v>0</v>
      </c>
      <c r="AG64" s="231">
        <v>0</v>
      </c>
      <c r="AH64" s="231">
        <v>0</v>
      </c>
      <c r="AI64" s="213"/>
      <c r="AJ64" s="204"/>
      <c r="AK64" s="204"/>
      <c r="AL64" s="204"/>
      <c r="AM64" s="204"/>
      <c r="AN64" s="204"/>
    </row>
    <row r="65" spans="1:40" thickBot="1">
      <c r="A65" s="144"/>
      <c r="B65" s="144"/>
      <c r="C65" s="144"/>
      <c r="E65" s="144"/>
      <c r="F65" s="144"/>
      <c r="G65" s="144"/>
      <c r="H65" s="3340"/>
      <c r="I65" s="144"/>
      <c r="J65" s="144"/>
      <c r="K65" s="144"/>
      <c r="L65" s="144"/>
      <c r="M65" s="144"/>
      <c r="N65" s="144"/>
      <c r="O65" s="144"/>
      <c r="P65" s="144"/>
      <c r="Q65" s="146"/>
      <c r="R65" s="144"/>
      <c r="S65" s="144"/>
      <c r="T65" s="144"/>
      <c r="U65" s="566" t="e">
        <f t="shared" si="66"/>
        <v>#REF!</v>
      </c>
      <c r="V65" s="566" t="e">
        <f t="shared" si="66"/>
        <v>#REF!</v>
      </c>
      <c r="W65" s="566" t="e">
        <f t="shared" si="66"/>
        <v>#REF!</v>
      </c>
      <c r="X65" s="566" t="e">
        <f t="shared" si="66"/>
        <v>#REF!</v>
      </c>
      <c r="Y65" s="566" t="e">
        <f t="shared" si="66"/>
        <v>#REF!</v>
      </c>
      <c r="Z65" s="566" t="e">
        <f t="shared" si="66"/>
        <v>#REF!</v>
      </c>
      <c r="AA65" s="566" t="e">
        <f t="shared" si="66"/>
        <v>#REF!</v>
      </c>
      <c r="AB65" s="144"/>
      <c r="AC65" s="231">
        <v>0</v>
      </c>
      <c r="AD65" s="231">
        <v>0</v>
      </c>
      <c r="AE65" s="231">
        <v>0</v>
      </c>
      <c r="AF65" s="231">
        <v>0</v>
      </c>
      <c r="AG65" s="231">
        <v>0</v>
      </c>
      <c r="AH65" s="231">
        <v>0</v>
      </c>
      <c r="AI65" s="213"/>
      <c r="AJ65" s="204"/>
      <c r="AK65" s="204"/>
      <c r="AL65" s="204"/>
      <c r="AM65" s="204"/>
      <c r="AN65" s="204"/>
    </row>
    <row r="66" spans="1:40" thickBot="1">
      <c r="A66" s="144"/>
      <c r="B66" s="144"/>
      <c r="C66" s="144"/>
      <c r="E66" s="144"/>
      <c r="F66" s="144"/>
      <c r="G66" s="144"/>
      <c r="H66" s="3340"/>
      <c r="I66" s="144"/>
      <c r="J66" s="144"/>
      <c r="K66" s="144"/>
      <c r="L66" s="144"/>
      <c r="M66" s="144"/>
      <c r="N66" s="144"/>
      <c r="O66" s="144"/>
      <c r="P66" s="144"/>
      <c r="Q66" s="146"/>
      <c r="R66" s="144"/>
      <c r="S66" s="144"/>
      <c r="T66" s="144"/>
      <c r="U66" s="566" t="e">
        <f t="shared" si="66"/>
        <v>#REF!</v>
      </c>
      <c r="V66" s="566" t="e">
        <f t="shared" si="66"/>
        <v>#REF!</v>
      </c>
      <c r="W66" s="566" t="e">
        <f t="shared" si="66"/>
        <v>#REF!</v>
      </c>
      <c r="X66" s="566" t="e">
        <f t="shared" si="66"/>
        <v>#REF!</v>
      </c>
      <c r="Y66" s="566" t="e">
        <f t="shared" si="66"/>
        <v>#REF!</v>
      </c>
      <c r="Z66" s="566" t="e">
        <f t="shared" si="66"/>
        <v>#REF!</v>
      </c>
      <c r="AA66" s="566" t="e">
        <f t="shared" si="66"/>
        <v>#REF!</v>
      </c>
      <c r="AB66" s="144"/>
      <c r="AC66" s="231"/>
      <c r="AD66" s="231"/>
      <c r="AE66" s="231"/>
      <c r="AF66" s="231"/>
      <c r="AG66" s="231"/>
      <c r="AH66" s="231"/>
      <c r="AI66" s="213"/>
      <c r="AJ66" s="204"/>
      <c r="AK66" s="204"/>
      <c r="AL66" s="204"/>
      <c r="AM66" s="204"/>
      <c r="AN66" s="204"/>
    </row>
    <row r="67" spans="1:40" thickBot="1">
      <c r="A67" s="144"/>
      <c r="B67" s="144"/>
      <c r="C67" s="144"/>
      <c r="E67" s="144"/>
      <c r="F67" s="144"/>
      <c r="G67" s="144"/>
      <c r="H67" s="3340"/>
      <c r="I67" s="144"/>
      <c r="J67" s="144"/>
      <c r="K67" s="144"/>
      <c r="L67" s="144"/>
      <c r="M67" s="144"/>
      <c r="N67" s="144"/>
      <c r="O67" s="144"/>
      <c r="P67" s="144"/>
      <c r="Q67" s="146"/>
      <c r="R67" s="144"/>
      <c r="S67" s="144"/>
      <c r="T67" s="144"/>
      <c r="U67" s="566" t="e">
        <f t="shared" si="66"/>
        <v>#REF!</v>
      </c>
      <c r="V67" s="566" t="e">
        <f t="shared" si="66"/>
        <v>#REF!</v>
      </c>
      <c r="W67" s="566" t="e">
        <f t="shared" si="66"/>
        <v>#REF!</v>
      </c>
      <c r="X67" s="566" t="e">
        <f t="shared" si="66"/>
        <v>#REF!</v>
      </c>
      <c r="Y67" s="566" t="e">
        <f t="shared" si="66"/>
        <v>#REF!</v>
      </c>
      <c r="Z67" s="566" t="e">
        <f t="shared" si="66"/>
        <v>#REF!</v>
      </c>
      <c r="AA67" s="566" t="e">
        <f t="shared" si="66"/>
        <v>#REF!</v>
      </c>
      <c r="AB67" s="144"/>
      <c r="AC67" s="231"/>
      <c r="AD67" s="231"/>
      <c r="AE67" s="231"/>
      <c r="AF67" s="231"/>
      <c r="AG67" s="231"/>
      <c r="AH67" s="231"/>
      <c r="AI67" s="213"/>
      <c r="AJ67" s="204"/>
      <c r="AK67" s="204"/>
      <c r="AL67" s="204"/>
      <c r="AM67" s="204"/>
      <c r="AN67" s="204"/>
    </row>
    <row r="68" spans="1:40" thickBot="1">
      <c r="A68" s="144"/>
      <c r="B68" s="144"/>
      <c r="C68" s="144"/>
      <c r="E68" s="144"/>
      <c r="F68" s="144"/>
      <c r="G68" s="144"/>
      <c r="H68" s="3340"/>
      <c r="I68" s="144"/>
      <c r="J68" s="144"/>
      <c r="K68" s="144"/>
      <c r="L68" s="144"/>
      <c r="M68" s="144"/>
      <c r="N68" s="144"/>
      <c r="O68" s="144"/>
      <c r="P68" s="144"/>
      <c r="Q68" s="146"/>
      <c r="R68" s="144"/>
      <c r="S68" s="144"/>
      <c r="T68" s="144"/>
      <c r="U68" s="566" t="e">
        <f t="shared" si="66"/>
        <v>#REF!</v>
      </c>
      <c r="V68" s="566" t="e">
        <f t="shared" si="66"/>
        <v>#REF!</v>
      </c>
      <c r="W68" s="566" t="e">
        <f t="shared" si="66"/>
        <v>#REF!</v>
      </c>
      <c r="X68" s="566" t="e">
        <f t="shared" si="66"/>
        <v>#REF!</v>
      </c>
      <c r="Y68" s="566" t="e">
        <f t="shared" si="66"/>
        <v>#REF!</v>
      </c>
      <c r="Z68" s="566" t="e">
        <f t="shared" si="66"/>
        <v>#REF!</v>
      </c>
      <c r="AA68" s="566" t="e">
        <f t="shared" si="66"/>
        <v>#REF!</v>
      </c>
      <c r="AB68" s="144"/>
      <c r="AC68" s="231">
        <v>0</v>
      </c>
      <c r="AD68" s="231">
        <v>0</v>
      </c>
      <c r="AE68" s="231">
        <v>0</v>
      </c>
      <c r="AF68" s="231">
        <v>0</v>
      </c>
      <c r="AG68" s="231">
        <v>0</v>
      </c>
      <c r="AH68" s="231">
        <v>0</v>
      </c>
      <c r="AI68" s="213"/>
      <c r="AJ68" s="204"/>
      <c r="AK68" s="204"/>
      <c r="AL68" s="204"/>
      <c r="AM68" s="204"/>
      <c r="AN68" s="204"/>
    </row>
    <row r="69" spans="1:40" thickBot="1">
      <c r="A69" s="144"/>
      <c r="B69" s="144"/>
      <c r="C69" s="144"/>
      <c r="E69" s="144"/>
      <c r="F69" s="144"/>
      <c r="G69" s="144"/>
      <c r="H69" s="3340"/>
      <c r="I69" s="144"/>
      <c r="J69" s="144"/>
      <c r="K69" s="144"/>
      <c r="L69" s="144"/>
      <c r="M69" s="144"/>
      <c r="N69" s="144"/>
      <c r="O69" s="144"/>
      <c r="P69" s="144"/>
      <c r="Q69" s="146"/>
      <c r="R69" s="144"/>
      <c r="S69" s="144"/>
      <c r="T69" s="144"/>
      <c r="U69" s="566" t="e">
        <f t="shared" ref="U69:AA71" si="67">IF(U68&gt;0,U68,U67)</f>
        <v>#REF!</v>
      </c>
      <c r="V69" s="566" t="e">
        <f t="shared" si="67"/>
        <v>#REF!</v>
      </c>
      <c r="W69" s="566" t="e">
        <f t="shared" si="67"/>
        <v>#REF!</v>
      </c>
      <c r="X69" s="566" t="e">
        <f t="shared" si="67"/>
        <v>#REF!</v>
      </c>
      <c r="Y69" s="566" t="e">
        <f t="shared" si="67"/>
        <v>#REF!</v>
      </c>
      <c r="Z69" s="566" t="e">
        <f t="shared" si="67"/>
        <v>#REF!</v>
      </c>
      <c r="AA69" s="566" t="e">
        <f t="shared" si="67"/>
        <v>#REF!</v>
      </c>
      <c r="AB69" s="144"/>
      <c r="AC69" s="231">
        <v>0</v>
      </c>
      <c r="AD69" s="231">
        <v>0</v>
      </c>
      <c r="AE69" s="231">
        <v>0</v>
      </c>
      <c r="AF69" s="231">
        <v>0</v>
      </c>
      <c r="AG69" s="231">
        <v>0</v>
      </c>
      <c r="AH69" s="231">
        <v>0</v>
      </c>
      <c r="AI69" s="213"/>
      <c r="AJ69" s="204"/>
      <c r="AK69" s="204"/>
      <c r="AL69" s="204"/>
      <c r="AM69" s="204"/>
      <c r="AN69" s="204"/>
    </row>
    <row r="70" spans="1:40" thickBot="1">
      <c r="A70" s="144"/>
      <c r="B70" s="144"/>
      <c r="C70" s="144"/>
      <c r="E70" s="144"/>
      <c r="F70" s="144"/>
      <c r="G70" s="144"/>
      <c r="H70" s="3340"/>
      <c r="I70" s="144"/>
      <c r="J70" s="144"/>
      <c r="K70" s="144"/>
      <c r="L70" s="144"/>
      <c r="M70" s="144"/>
      <c r="N70" s="144"/>
      <c r="O70" s="144"/>
      <c r="P70" s="144"/>
      <c r="Q70" s="146"/>
      <c r="R70" s="144"/>
      <c r="S70" s="144"/>
      <c r="T70" s="144"/>
      <c r="U70" s="566" t="e">
        <f t="shared" si="67"/>
        <v>#REF!</v>
      </c>
      <c r="V70" s="566" t="e">
        <f t="shared" si="67"/>
        <v>#REF!</v>
      </c>
      <c r="W70" s="566" t="e">
        <f t="shared" si="67"/>
        <v>#REF!</v>
      </c>
      <c r="X70" s="566" t="e">
        <f t="shared" si="67"/>
        <v>#REF!</v>
      </c>
      <c r="Y70" s="566" t="e">
        <f t="shared" si="67"/>
        <v>#REF!</v>
      </c>
      <c r="Z70" s="566" t="e">
        <f t="shared" si="67"/>
        <v>#REF!</v>
      </c>
      <c r="AA70" s="566" t="e">
        <f t="shared" si="67"/>
        <v>#REF!</v>
      </c>
      <c r="AB70" s="144"/>
      <c r="AC70" s="231">
        <v>0</v>
      </c>
      <c r="AD70" s="231">
        <v>0</v>
      </c>
      <c r="AE70" s="231">
        <v>0</v>
      </c>
      <c r="AF70" s="231">
        <v>0</v>
      </c>
      <c r="AG70" s="231">
        <v>0</v>
      </c>
      <c r="AH70" s="231">
        <v>0</v>
      </c>
      <c r="AI70" s="213"/>
      <c r="AJ70" s="204"/>
      <c r="AK70" s="204"/>
      <c r="AL70" s="204"/>
      <c r="AM70" s="204"/>
      <c r="AN70" s="204"/>
    </row>
    <row r="71" spans="1:40" thickBot="1">
      <c r="A71" s="144"/>
      <c r="B71" s="144"/>
      <c r="C71" s="144"/>
      <c r="E71" s="144"/>
      <c r="F71" s="144"/>
      <c r="G71" s="144"/>
      <c r="H71" s="3340"/>
      <c r="I71" s="144"/>
      <c r="J71" s="144"/>
      <c r="K71" s="144"/>
      <c r="L71" s="144"/>
      <c r="M71" s="144"/>
      <c r="N71" s="144"/>
      <c r="O71" s="144"/>
      <c r="P71" s="144"/>
      <c r="Q71" s="146"/>
      <c r="R71" s="144"/>
      <c r="S71" s="144"/>
      <c r="T71" s="144"/>
      <c r="U71" s="567" t="e">
        <f>IF(U70&gt;0,U70,U69)</f>
        <v>#REF!</v>
      </c>
      <c r="V71" s="567" t="e">
        <f t="shared" si="67"/>
        <v>#REF!</v>
      </c>
      <c r="W71" s="567" t="e">
        <f t="shared" si="67"/>
        <v>#REF!</v>
      </c>
      <c r="X71" s="567" t="e">
        <f t="shared" si="67"/>
        <v>#REF!</v>
      </c>
      <c r="Y71" s="567" t="e">
        <f t="shared" si="67"/>
        <v>#REF!</v>
      </c>
      <c r="Z71" s="567" t="e">
        <f t="shared" si="67"/>
        <v>#REF!</v>
      </c>
      <c r="AA71" s="567" t="e">
        <f t="shared" si="67"/>
        <v>#REF!</v>
      </c>
      <c r="AB71" s="144"/>
      <c r="AC71" s="231"/>
      <c r="AD71" s="231"/>
      <c r="AE71" s="231"/>
      <c r="AF71" s="231"/>
      <c r="AG71" s="231"/>
      <c r="AH71" s="231"/>
      <c r="AI71" s="213"/>
      <c r="AJ71" s="204"/>
      <c r="AK71" s="204"/>
      <c r="AL71" s="204"/>
      <c r="AM71" s="204"/>
      <c r="AN71" s="204"/>
    </row>
    <row r="72" spans="1:40" thickBot="1">
      <c r="A72" s="144"/>
      <c r="B72" s="144"/>
      <c r="C72" s="144"/>
      <c r="E72" s="144"/>
      <c r="F72" s="144"/>
      <c r="G72" s="144"/>
      <c r="H72" s="3340"/>
      <c r="I72" s="144"/>
      <c r="J72" s="144"/>
      <c r="K72" s="144"/>
      <c r="L72" s="144"/>
      <c r="M72" s="144"/>
      <c r="N72" s="144"/>
      <c r="O72" s="144"/>
      <c r="P72" s="144"/>
      <c r="Q72" s="146"/>
      <c r="R72" s="144"/>
      <c r="S72" s="144"/>
      <c r="T72" s="144"/>
      <c r="U72" s="222"/>
      <c r="V72" s="222"/>
      <c r="W72" s="222"/>
      <c r="X72" s="222"/>
      <c r="Y72" s="222"/>
      <c r="Z72" s="222"/>
      <c r="AA72" s="222"/>
      <c r="AB72" s="144"/>
      <c r="AC72" s="231"/>
      <c r="AD72" s="231"/>
      <c r="AE72" s="231"/>
      <c r="AF72" s="231"/>
      <c r="AG72" s="231"/>
      <c r="AH72" s="231"/>
      <c r="AI72" s="213"/>
      <c r="AJ72" s="204"/>
      <c r="AK72" s="204"/>
      <c r="AL72" s="204"/>
      <c r="AM72" s="204"/>
      <c r="AN72" s="204"/>
    </row>
    <row r="73" spans="1:40" thickBot="1">
      <c r="A73" s="144"/>
      <c r="B73" s="144"/>
      <c r="C73" s="144"/>
      <c r="E73" s="144"/>
      <c r="F73" s="144"/>
      <c r="G73" s="144"/>
      <c r="H73" s="3340"/>
      <c r="I73" s="144"/>
      <c r="J73" s="144"/>
      <c r="K73" s="144"/>
      <c r="L73" s="144"/>
      <c r="M73" s="144"/>
      <c r="N73" s="144"/>
      <c r="O73" s="144"/>
      <c r="P73" s="144"/>
      <c r="Q73" s="146"/>
      <c r="R73" s="144"/>
      <c r="S73" s="144"/>
      <c r="T73" s="144"/>
      <c r="U73" s="222"/>
      <c r="V73" s="222"/>
      <c r="W73" s="222"/>
      <c r="X73" s="222"/>
      <c r="Y73" s="222"/>
      <c r="Z73" s="222"/>
      <c r="AA73" s="222"/>
      <c r="AB73" s="144"/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13"/>
      <c r="AJ73" s="204"/>
      <c r="AK73" s="204"/>
      <c r="AL73" s="204"/>
      <c r="AM73" s="204"/>
      <c r="AN73" s="204"/>
    </row>
    <row r="74" spans="1:40" thickBot="1">
      <c r="A74" s="144"/>
      <c r="B74" s="144"/>
      <c r="C74" s="144"/>
      <c r="E74" s="144"/>
      <c r="F74" s="144"/>
      <c r="G74" s="144"/>
      <c r="H74" s="3340"/>
      <c r="I74" s="144"/>
      <c r="J74" s="144"/>
      <c r="K74" s="144"/>
      <c r="L74" s="144"/>
      <c r="M74" s="144"/>
      <c r="N74" s="144"/>
      <c r="O74" s="144"/>
      <c r="P74" s="144"/>
      <c r="Q74" s="146"/>
      <c r="R74" s="144"/>
      <c r="S74" s="144"/>
      <c r="T74" s="144"/>
      <c r="U74" s="222"/>
      <c r="V74" s="222"/>
      <c r="W74" s="222"/>
      <c r="X74" s="222"/>
      <c r="Y74" s="222"/>
      <c r="Z74" s="222"/>
      <c r="AA74" s="222"/>
      <c r="AB74" s="144"/>
      <c r="AC74" s="231"/>
      <c r="AD74" s="231"/>
      <c r="AE74" s="231"/>
      <c r="AF74" s="231"/>
      <c r="AG74" s="231"/>
      <c r="AH74" s="231"/>
      <c r="AJ74" s="204"/>
      <c r="AK74" s="204"/>
      <c r="AL74" s="204"/>
      <c r="AM74" s="204"/>
      <c r="AN74" s="204"/>
    </row>
    <row r="75" spans="1:40" thickBot="1">
      <c r="A75" s="144"/>
      <c r="B75" s="144"/>
      <c r="C75" s="144"/>
      <c r="E75" s="144"/>
      <c r="F75" s="144"/>
      <c r="G75" s="144"/>
      <c r="H75" s="3340"/>
      <c r="I75" s="144"/>
      <c r="J75" s="144"/>
      <c r="K75" s="144"/>
      <c r="L75" s="144"/>
      <c r="M75" s="144"/>
      <c r="N75" s="144"/>
      <c r="O75" s="144"/>
      <c r="P75" s="144"/>
      <c r="Q75" s="146"/>
      <c r="R75" s="144"/>
      <c r="S75" s="144"/>
      <c r="T75" s="144"/>
      <c r="U75" s="222"/>
      <c r="V75" s="222"/>
      <c r="W75" s="222"/>
      <c r="X75" s="222"/>
      <c r="Y75" s="222"/>
      <c r="Z75" s="222"/>
      <c r="AA75" s="222"/>
      <c r="AB75" s="144"/>
      <c r="AJ75" s="204"/>
      <c r="AK75" s="204"/>
      <c r="AL75" s="204"/>
      <c r="AM75" s="204"/>
      <c r="AN75" s="204"/>
    </row>
    <row r="76" spans="1:40" thickBot="1">
      <c r="A76" s="144"/>
      <c r="B76" s="144"/>
      <c r="C76" s="144"/>
      <c r="E76" s="144"/>
      <c r="F76" s="144"/>
      <c r="G76" s="144"/>
      <c r="H76" s="3340"/>
      <c r="I76" s="144"/>
      <c r="J76" s="144"/>
      <c r="K76" s="144"/>
      <c r="L76" s="144"/>
      <c r="M76" s="144"/>
      <c r="N76" s="144"/>
      <c r="O76" s="144"/>
      <c r="P76" s="144"/>
      <c r="Q76" s="146"/>
      <c r="R76" s="144"/>
      <c r="S76" s="144"/>
      <c r="T76" s="144"/>
      <c r="U76" s="222"/>
      <c r="V76" s="222"/>
      <c r="W76" s="222"/>
      <c r="X76" s="222"/>
      <c r="Y76" s="222"/>
      <c r="Z76" s="222"/>
      <c r="AA76" s="222"/>
      <c r="AB76" s="144"/>
      <c r="AJ76" s="204"/>
      <c r="AK76" s="204"/>
      <c r="AL76" s="204"/>
      <c r="AM76" s="204"/>
      <c r="AN76" s="204"/>
    </row>
    <row r="77" spans="1:40" thickBot="1">
      <c r="A77" s="144"/>
      <c r="B77" s="144"/>
      <c r="C77" s="144"/>
      <c r="E77" s="144"/>
      <c r="F77" s="144"/>
      <c r="G77" s="144"/>
      <c r="H77" s="3340"/>
      <c r="I77" s="144"/>
      <c r="J77" s="144"/>
      <c r="K77" s="144"/>
      <c r="L77" s="144"/>
      <c r="M77" s="144"/>
      <c r="N77" s="144"/>
      <c r="O77" s="144"/>
      <c r="P77" s="144"/>
      <c r="Q77" s="146"/>
      <c r="R77" s="144"/>
      <c r="S77" s="144"/>
      <c r="T77" s="144"/>
      <c r="U77" s="222"/>
      <c r="V77" s="222"/>
      <c r="W77" s="222"/>
      <c r="X77" s="222"/>
      <c r="Y77" s="222"/>
      <c r="Z77" s="222"/>
      <c r="AA77" s="222"/>
      <c r="AB77" s="144"/>
      <c r="AJ77" s="204"/>
      <c r="AK77" s="204"/>
      <c r="AL77" s="204"/>
      <c r="AM77" s="204"/>
      <c r="AN77" s="204"/>
    </row>
    <row r="78" spans="1:40" thickBot="1">
      <c r="A78" s="144"/>
      <c r="B78" s="144"/>
      <c r="C78" s="144"/>
      <c r="E78" s="144"/>
      <c r="F78" s="144"/>
      <c r="G78" s="144"/>
      <c r="H78" s="3340"/>
      <c r="I78" s="144"/>
      <c r="J78" s="144"/>
      <c r="K78" s="144"/>
      <c r="L78" s="144"/>
      <c r="M78" s="144"/>
      <c r="N78" s="144"/>
      <c r="O78" s="144"/>
      <c r="P78" s="144"/>
      <c r="Q78" s="146"/>
      <c r="R78" s="144"/>
      <c r="S78" s="144"/>
      <c r="T78" s="144"/>
      <c r="U78" s="222"/>
      <c r="V78" s="222"/>
      <c r="W78" s="222"/>
      <c r="X78" s="222"/>
      <c r="Y78" s="222"/>
      <c r="Z78" s="222"/>
      <c r="AA78" s="222"/>
      <c r="AB78" s="144"/>
      <c r="AJ78" s="204"/>
      <c r="AK78" s="204"/>
      <c r="AL78" s="204"/>
      <c r="AM78" s="204"/>
      <c r="AN78" s="204"/>
    </row>
    <row r="79" spans="1:40" thickBot="1">
      <c r="A79" s="144"/>
      <c r="B79" s="144"/>
      <c r="C79" s="144"/>
      <c r="E79" s="144"/>
      <c r="F79" s="144"/>
      <c r="G79" s="144"/>
      <c r="H79" s="3340"/>
      <c r="I79" s="144"/>
      <c r="J79" s="144"/>
      <c r="K79" s="144"/>
      <c r="L79" s="144"/>
      <c r="M79" s="144"/>
      <c r="N79" s="144"/>
      <c r="O79" s="144"/>
      <c r="P79" s="144"/>
      <c r="Q79" s="146"/>
      <c r="R79" s="144"/>
      <c r="S79" s="144"/>
      <c r="T79" s="144"/>
      <c r="U79" s="222"/>
      <c r="V79" s="222"/>
      <c r="W79" s="222"/>
      <c r="X79" s="222"/>
      <c r="Y79" s="222"/>
      <c r="Z79" s="222"/>
      <c r="AA79" s="222"/>
      <c r="AB79" s="144"/>
      <c r="AJ79" s="204"/>
      <c r="AK79" s="204"/>
      <c r="AL79" s="204"/>
      <c r="AM79" s="204"/>
      <c r="AN79" s="204"/>
    </row>
    <row r="80" spans="1:40" thickBot="1">
      <c r="A80" s="144"/>
      <c r="B80" s="144"/>
      <c r="C80" s="144"/>
      <c r="E80" s="144"/>
      <c r="F80" s="144"/>
      <c r="G80" s="144"/>
      <c r="H80" s="3340"/>
      <c r="I80" s="144"/>
      <c r="J80" s="144"/>
      <c r="K80" s="144"/>
      <c r="L80" s="144"/>
      <c r="M80" s="144"/>
      <c r="N80" s="144"/>
      <c r="O80" s="144"/>
      <c r="P80" s="144"/>
      <c r="Q80" s="146"/>
      <c r="R80" s="144"/>
      <c r="S80" s="144"/>
      <c r="T80" s="144"/>
      <c r="U80" s="222"/>
      <c r="V80" s="222"/>
      <c r="W80" s="222"/>
      <c r="X80" s="222"/>
      <c r="Y80" s="222"/>
      <c r="Z80" s="222"/>
      <c r="AA80" s="222"/>
      <c r="AB80" s="144"/>
      <c r="AJ80" s="204"/>
      <c r="AK80" s="204"/>
      <c r="AL80" s="204"/>
      <c r="AM80" s="204"/>
      <c r="AN80" s="204"/>
    </row>
    <row r="81" spans="1:40" thickBot="1">
      <c r="A81" s="144"/>
      <c r="B81" s="144"/>
      <c r="C81" s="144"/>
      <c r="E81" s="144"/>
      <c r="F81" s="144"/>
      <c r="G81" s="144"/>
      <c r="H81" s="3340"/>
      <c r="I81" s="144"/>
      <c r="J81" s="144"/>
      <c r="K81" s="144"/>
      <c r="L81" s="144"/>
      <c r="M81" s="144"/>
      <c r="N81" s="144"/>
      <c r="O81" s="144"/>
      <c r="P81" s="144"/>
      <c r="Q81" s="146"/>
      <c r="R81" s="144"/>
      <c r="S81" s="144"/>
      <c r="T81" s="144"/>
      <c r="U81" s="222"/>
      <c r="V81" s="222"/>
      <c r="W81" s="222"/>
      <c r="X81" s="222"/>
      <c r="Y81" s="222"/>
      <c r="Z81" s="222"/>
      <c r="AA81" s="222"/>
      <c r="AB81" s="144"/>
      <c r="AJ81" s="204"/>
      <c r="AK81" s="204"/>
      <c r="AL81" s="204"/>
      <c r="AM81" s="204"/>
      <c r="AN81" s="204"/>
    </row>
    <row r="82" spans="1:40" thickBot="1">
      <c r="A82" s="144"/>
      <c r="B82" s="144"/>
      <c r="C82" s="144"/>
      <c r="E82" s="144"/>
      <c r="F82" s="144"/>
      <c r="G82" s="144"/>
      <c r="H82" s="3340"/>
      <c r="I82" s="144"/>
      <c r="J82" s="144"/>
      <c r="K82" s="144"/>
      <c r="L82" s="144"/>
      <c r="M82" s="144"/>
      <c r="N82" s="144"/>
      <c r="O82" s="144"/>
      <c r="P82" s="144"/>
      <c r="Q82" s="146"/>
      <c r="R82" s="144"/>
      <c r="S82" s="144"/>
      <c r="T82" s="144"/>
      <c r="U82" s="222"/>
      <c r="V82" s="222"/>
      <c r="W82" s="222"/>
      <c r="X82" s="222"/>
      <c r="Y82" s="222"/>
      <c r="Z82" s="222"/>
      <c r="AA82" s="222"/>
      <c r="AB82" s="144"/>
      <c r="AJ82" s="204"/>
      <c r="AK82" s="204"/>
      <c r="AL82" s="204"/>
      <c r="AM82" s="204"/>
      <c r="AN82" s="204"/>
    </row>
    <row r="83" spans="1:40" thickBot="1">
      <c r="A83" s="144"/>
      <c r="B83" s="144"/>
      <c r="C83" s="144"/>
      <c r="E83" s="144"/>
      <c r="F83" s="144"/>
      <c r="G83" s="144"/>
      <c r="H83" s="3340"/>
      <c r="I83" s="144"/>
      <c r="J83" s="144"/>
      <c r="K83" s="144"/>
      <c r="L83" s="144"/>
      <c r="M83" s="144"/>
      <c r="N83" s="144"/>
      <c r="O83" s="144"/>
      <c r="P83" s="144"/>
      <c r="Q83" s="146"/>
      <c r="R83" s="144"/>
      <c r="S83" s="144"/>
      <c r="T83" s="144"/>
      <c r="U83" s="222"/>
      <c r="V83" s="222"/>
      <c r="W83" s="222"/>
      <c r="X83" s="222"/>
      <c r="Y83" s="222"/>
      <c r="Z83" s="222"/>
      <c r="AA83" s="222"/>
      <c r="AB83" s="144"/>
      <c r="AJ83" s="204"/>
      <c r="AK83" s="204"/>
      <c r="AL83" s="204"/>
      <c r="AM83" s="204"/>
      <c r="AN83" s="204"/>
    </row>
    <row r="84" spans="1:40" thickBot="1">
      <c r="A84" s="144"/>
      <c r="B84" s="144"/>
      <c r="C84" s="144"/>
      <c r="E84" s="144"/>
      <c r="F84" s="144"/>
      <c r="G84" s="144"/>
      <c r="H84" s="3340"/>
      <c r="I84" s="144"/>
      <c r="J84" s="144"/>
      <c r="K84" s="144"/>
      <c r="L84" s="144"/>
      <c r="M84" s="144"/>
      <c r="N84" s="144"/>
      <c r="O84" s="144"/>
      <c r="P84" s="144"/>
      <c r="Q84" s="146"/>
      <c r="R84" s="144"/>
      <c r="S84" s="144"/>
      <c r="T84" s="144"/>
      <c r="U84" s="222"/>
      <c r="V84" s="222"/>
      <c r="W84" s="222"/>
      <c r="X84" s="222"/>
      <c r="Y84" s="222"/>
      <c r="Z84" s="222"/>
      <c r="AA84" s="222"/>
      <c r="AB84" s="144"/>
      <c r="AJ84" s="204"/>
      <c r="AK84" s="204"/>
      <c r="AL84" s="204"/>
      <c r="AM84" s="204"/>
      <c r="AN84" s="204"/>
    </row>
    <row r="85" spans="1:40" thickBot="1">
      <c r="A85" s="144"/>
      <c r="B85" s="144"/>
      <c r="C85" s="144"/>
      <c r="E85" s="144"/>
      <c r="F85" s="144"/>
      <c r="G85" s="144"/>
      <c r="H85" s="3340"/>
      <c r="I85" s="144"/>
      <c r="J85" s="144"/>
      <c r="K85" s="144"/>
      <c r="L85" s="144"/>
      <c r="M85" s="144"/>
      <c r="N85" s="144"/>
      <c r="O85" s="144"/>
      <c r="P85" s="144"/>
      <c r="Q85" s="146"/>
      <c r="R85" s="144"/>
      <c r="S85" s="144"/>
      <c r="T85" s="144"/>
      <c r="U85" s="222"/>
      <c r="V85" s="222"/>
      <c r="W85" s="222"/>
      <c r="X85" s="222"/>
      <c r="Y85" s="222"/>
      <c r="Z85" s="222"/>
      <c r="AA85" s="222"/>
      <c r="AB85" s="144"/>
      <c r="AN85" s="204"/>
    </row>
    <row r="86" spans="1:40" thickBot="1">
      <c r="A86" s="144"/>
      <c r="B86" s="144"/>
      <c r="C86" s="144"/>
      <c r="E86" s="144"/>
      <c r="F86" s="144"/>
      <c r="G86" s="144"/>
      <c r="H86" s="3340"/>
      <c r="I86" s="144"/>
      <c r="J86" s="144"/>
      <c r="K86" s="144"/>
      <c r="L86" s="144"/>
      <c r="M86" s="144"/>
      <c r="N86" s="144"/>
      <c r="O86" s="144"/>
      <c r="P86" s="144"/>
      <c r="Q86" s="146"/>
      <c r="R86" s="144"/>
      <c r="S86" s="144"/>
      <c r="T86" s="144"/>
      <c r="U86" s="222"/>
      <c r="V86" s="222"/>
      <c r="W86" s="222"/>
      <c r="X86" s="222"/>
      <c r="Y86" s="222"/>
      <c r="Z86" s="222"/>
      <c r="AA86" s="222"/>
      <c r="AB86" s="144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  <c r="AN86" s="204"/>
    </row>
    <row r="87" spans="1:40" s="247" customFormat="1" ht="13" thickBot="1">
      <c r="A87" s="144"/>
      <c r="B87" s="144"/>
      <c r="C87" s="144"/>
      <c r="D87" s="1977"/>
      <c r="E87" s="144"/>
      <c r="F87" s="144"/>
      <c r="G87" s="144"/>
      <c r="H87" s="3340"/>
      <c r="I87" s="144"/>
      <c r="J87" s="144"/>
      <c r="K87" s="144"/>
      <c r="L87" s="144"/>
      <c r="M87" s="144"/>
      <c r="N87" s="144"/>
      <c r="O87" s="144"/>
      <c r="P87" s="144"/>
      <c r="Q87" s="146"/>
      <c r="R87" s="144"/>
      <c r="S87" s="144"/>
      <c r="T87" s="144"/>
      <c r="U87" s="222"/>
      <c r="V87" s="222"/>
      <c r="W87" s="222"/>
      <c r="X87" s="222"/>
      <c r="Y87" s="222"/>
      <c r="Z87" s="222"/>
      <c r="AA87" s="222"/>
      <c r="AB87" s="14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</row>
    <row r="88" spans="1:40" s="247" customFormat="1" ht="13" thickBot="1">
      <c r="A88" s="144"/>
      <c r="B88" s="144"/>
      <c r="C88" s="144"/>
      <c r="D88" s="1977"/>
      <c r="E88" s="144"/>
      <c r="F88" s="144"/>
      <c r="G88" s="144"/>
      <c r="H88" s="3340"/>
      <c r="I88" s="144"/>
      <c r="J88" s="144"/>
      <c r="K88" s="144"/>
      <c r="L88" s="144"/>
      <c r="M88" s="144"/>
      <c r="N88" s="144"/>
      <c r="O88" s="144"/>
      <c r="P88" s="144"/>
      <c r="Q88" s="146"/>
      <c r="R88" s="144"/>
      <c r="S88" s="144"/>
      <c r="T88" s="144"/>
      <c r="U88" s="222"/>
      <c r="V88" s="222"/>
      <c r="W88" s="222"/>
      <c r="X88" s="222"/>
      <c r="Y88" s="222"/>
      <c r="Z88" s="222"/>
      <c r="AA88" s="222"/>
      <c r="AB88" s="14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</row>
    <row r="89" spans="1:40" s="247" customFormat="1" ht="13" thickBot="1">
      <c r="A89" s="144"/>
      <c r="B89" s="144"/>
      <c r="C89" s="144"/>
      <c r="D89" s="1977"/>
      <c r="E89" s="144"/>
      <c r="F89" s="144"/>
      <c r="G89" s="144"/>
      <c r="H89" s="3340"/>
      <c r="I89" s="144"/>
      <c r="J89" s="144"/>
      <c r="K89" s="144"/>
      <c r="L89" s="144"/>
      <c r="M89" s="144"/>
      <c r="N89" s="144"/>
      <c r="O89" s="144"/>
      <c r="P89" s="144"/>
      <c r="Q89" s="146"/>
      <c r="R89" s="144"/>
      <c r="S89" s="144"/>
      <c r="T89" s="144"/>
      <c r="U89" s="222"/>
      <c r="V89" s="222"/>
      <c r="W89" s="222"/>
      <c r="X89" s="222"/>
      <c r="Y89" s="222"/>
      <c r="Z89" s="222"/>
      <c r="AA89" s="222"/>
      <c r="AB89" s="14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</row>
    <row r="90" spans="1:40" s="247" customFormat="1" ht="13" thickBot="1">
      <c r="A90" s="144"/>
      <c r="B90" s="144"/>
      <c r="C90" s="144"/>
      <c r="D90" s="1977"/>
      <c r="E90" s="144"/>
      <c r="F90" s="144"/>
      <c r="G90" s="144"/>
      <c r="H90" s="3340"/>
      <c r="I90" s="144"/>
      <c r="J90" s="144"/>
      <c r="K90" s="144"/>
      <c r="L90" s="144"/>
      <c r="M90" s="144"/>
      <c r="N90" s="144"/>
      <c r="O90" s="144"/>
      <c r="P90" s="144"/>
      <c r="Q90" s="146"/>
      <c r="R90" s="144"/>
      <c r="S90" s="144"/>
      <c r="T90" s="144"/>
      <c r="U90" s="222"/>
      <c r="V90" s="222"/>
      <c r="W90" s="222"/>
      <c r="X90" s="222"/>
      <c r="Y90" s="222"/>
      <c r="Z90" s="222"/>
      <c r="AA90" s="222"/>
      <c r="AB90" s="14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</row>
    <row r="91" spans="1:40" s="247" customFormat="1" ht="13" thickBot="1">
      <c r="B91" s="144"/>
      <c r="C91" s="143"/>
      <c r="D91" s="1977"/>
      <c r="E91" s="143"/>
      <c r="F91" s="145"/>
      <c r="G91" s="146"/>
      <c r="H91" s="3340"/>
      <c r="I91" s="146"/>
      <c r="J91" s="146"/>
      <c r="K91" s="146"/>
      <c r="L91" s="146"/>
      <c r="M91" s="458"/>
      <c r="N91" s="146"/>
      <c r="O91" s="146"/>
      <c r="P91" s="146"/>
      <c r="Q91" s="147"/>
      <c r="R91" s="147"/>
      <c r="S91" s="142"/>
      <c r="T91" s="142"/>
      <c r="U91" s="222"/>
      <c r="V91" s="222"/>
      <c r="W91" s="222"/>
      <c r="X91" s="222"/>
      <c r="Y91" s="222"/>
      <c r="Z91" s="222"/>
      <c r="AA91" s="222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</row>
    <row r="92" spans="1:40" s="247" customFormat="1" ht="13" thickBot="1">
      <c r="B92" s="144"/>
      <c r="C92" s="143"/>
      <c r="D92" s="1977"/>
      <c r="E92" s="143"/>
      <c r="F92" s="145"/>
      <c r="G92" s="146"/>
      <c r="H92" s="3340"/>
      <c r="I92" s="146"/>
      <c r="J92" s="146"/>
      <c r="K92" s="146"/>
      <c r="L92" s="146"/>
      <c r="M92" s="458"/>
      <c r="N92" s="146"/>
      <c r="O92" s="146"/>
      <c r="P92" s="146"/>
      <c r="Q92" s="147"/>
      <c r="R92" s="147"/>
      <c r="S92" s="142"/>
      <c r="T92" s="142"/>
      <c r="U92" s="222"/>
      <c r="V92" s="222"/>
      <c r="W92" s="222"/>
      <c r="X92" s="222"/>
      <c r="Y92" s="222"/>
      <c r="Z92" s="222"/>
      <c r="AA92" s="222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</row>
    <row r="93" spans="1:40" s="247" customFormat="1" ht="13" thickBot="1">
      <c r="B93" s="144"/>
      <c r="C93" s="143"/>
      <c r="D93" s="1977"/>
      <c r="E93" s="143"/>
      <c r="F93" s="145"/>
      <c r="G93" s="146"/>
      <c r="H93" s="3340"/>
      <c r="I93" s="146"/>
      <c r="J93" s="146"/>
      <c r="K93" s="146"/>
      <c r="L93" s="146"/>
      <c r="M93" s="458"/>
      <c r="N93" s="146"/>
      <c r="O93" s="146"/>
      <c r="P93" s="146"/>
      <c r="Q93" s="147"/>
      <c r="R93" s="147"/>
      <c r="S93" s="142"/>
      <c r="T93" s="142"/>
      <c r="U93" s="222"/>
      <c r="V93" s="222"/>
      <c r="W93" s="222"/>
      <c r="X93" s="222"/>
      <c r="Y93" s="222"/>
      <c r="Z93" s="222"/>
      <c r="AA93" s="222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</row>
    <row r="94" spans="1:40" s="247" customFormat="1" ht="13" thickBot="1">
      <c r="B94" s="144"/>
      <c r="C94" s="143"/>
      <c r="D94" s="1977"/>
      <c r="E94" s="143"/>
      <c r="F94" s="145"/>
      <c r="G94" s="146"/>
      <c r="H94" s="3340"/>
      <c r="I94" s="146"/>
      <c r="J94" s="146"/>
      <c r="K94" s="146"/>
      <c r="L94" s="146"/>
      <c r="M94" s="458"/>
      <c r="N94" s="146"/>
      <c r="O94" s="146"/>
      <c r="P94" s="146"/>
      <c r="Q94" s="147"/>
      <c r="R94" s="147"/>
      <c r="S94" s="142"/>
      <c r="T94" s="142"/>
      <c r="U94" s="222"/>
      <c r="V94" s="222"/>
      <c r="W94" s="222"/>
      <c r="X94" s="222"/>
      <c r="Y94" s="222"/>
      <c r="Z94" s="222"/>
      <c r="AA94" s="222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</row>
    <row r="95" spans="1:40" s="247" customFormat="1" ht="13" thickBot="1">
      <c r="B95" s="144"/>
      <c r="C95" s="143"/>
      <c r="D95" s="1977"/>
      <c r="E95" s="143"/>
      <c r="F95" s="145"/>
      <c r="G95" s="146"/>
      <c r="H95" s="3340"/>
      <c r="I95" s="146"/>
      <c r="J95" s="146"/>
      <c r="K95" s="146"/>
      <c r="L95" s="146"/>
      <c r="M95" s="458"/>
      <c r="N95" s="146"/>
      <c r="O95" s="146"/>
      <c r="P95" s="146"/>
      <c r="Q95" s="147"/>
      <c r="R95" s="147"/>
      <c r="S95" s="142"/>
      <c r="T95" s="142"/>
      <c r="U95" s="146"/>
      <c r="V95" s="146"/>
      <c r="W95" s="146"/>
      <c r="X95" s="146"/>
      <c r="Y95" s="146"/>
      <c r="Z95" s="146"/>
      <c r="AA95" s="146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</row>
    <row r="96" spans="1:40" s="247" customFormat="1" ht="13" thickBot="1">
      <c r="B96" s="144"/>
      <c r="C96" s="143"/>
      <c r="D96" s="1977"/>
      <c r="E96" s="143"/>
      <c r="F96" s="145"/>
      <c r="G96" s="146"/>
      <c r="H96" s="3340"/>
      <c r="I96" s="146"/>
      <c r="J96" s="146"/>
      <c r="K96" s="146"/>
      <c r="L96" s="146"/>
      <c r="M96" s="458"/>
      <c r="N96" s="146"/>
      <c r="O96" s="146"/>
      <c r="P96" s="146"/>
      <c r="Q96" s="147"/>
      <c r="R96" s="147"/>
      <c r="S96" s="142"/>
      <c r="T96" s="142"/>
      <c r="U96" s="146"/>
      <c r="V96" s="146"/>
      <c r="W96" s="146"/>
      <c r="X96" s="146"/>
      <c r="Y96" s="146"/>
      <c r="Z96" s="146"/>
      <c r="AA96" s="146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</row>
    <row r="97" spans="2:39" s="247" customFormat="1" ht="13" thickBot="1">
      <c r="B97" s="144"/>
      <c r="C97" s="143"/>
      <c r="D97" s="1977"/>
      <c r="E97" s="143"/>
      <c r="F97" s="145"/>
      <c r="G97" s="146"/>
      <c r="H97" s="3340"/>
      <c r="I97" s="146"/>
      <c r="J97" s="146"/>
      <c r="K97" s="146"/>
      <c r="L97" s="146"/>
      <c r="M97" s="458"/>
      <c r="N97" s="146"/>
      <c r="O97" s="146"/>
      <c r="P97" s="146"/>
      <c r="Q97" s="147"/>
      <c r="R97" s="147"/>
      <c r="S97" s="142"/>
      <c r="T97" s="142"/>
      <c r="U97" s="146"/>
      <c r="V97" s="146"/>
      <c r="W97" s="146"/>
      <c r="X97" s="146"/>
      <c r="Y97" s="146"/>
      <c r="Z97" s="146"/>
      <c r="AA97" s="146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</row>
    <row r="98" spans="2:39" s="247" customFormat="1" ht="13" thickBot="1">
      <c r="B98" s="144"/>
      <c r="C98" s="143"/>
      <c r="D98" s="1977"/>
      <c r="E98" s="143"/>
      <c r="F98" s="145"/>
      <c r="G98" s="146"/>
      <c r="H98" s="3340"/>
      <c r="I98" s="146"/>
      <c r="J98" s="146"/>
      <c r="K98" s="146"/>
      <c r="L98" s="146"/>
      <c r="M98" s="458"/>
      <c r="N98" s="146"/>
      <c r="O98" s="146"/>
      <c r="P98" s="146"/>
      <c r="Q98" s="147"/>
      <c r="R98" s="147"/>
      <c r="S98" s="142"/>
      <c r="T98" s="142"/>
      <c r="U98" s="146"/>
      <c r="V98" s="146"/>
      <c r="W98" s="146"/>
      <c r="X98" s="146"/>
      <c r="Y98" s="146"/>
      <c r="Z98" s="146"/>
      <c r="AA98" s="146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</row>
    <row r="99" spans="2:39" s="247" customFormat="1" ht="13" thickBot="1">
      <c r="B99" s="144"/>
      <c r="C99" s="143"/>
      <c r="D99" s="1977"/>
      <c r="E99" s="143"/>
      <c r="F99" s="145"/>
      <c r="G99" s="146"/>
      <c r="H99" s="3340"/>
      <c r="I99" s="146"/>
      <c r="J99" s="146"/>
      <c r="K99" s="146"/>
      <c r="L99" s="146"/>
      <c r="M99" s="458"/>
      <c r="N99" s="146"/>
      <c r="O99" s="146"/>
      <c r="P99" s="146"/>
      <c r="Q99" s="147"/>
      <c r="R99" s="147"/>
      <c r="S99" s="142"/>
      <c r="T99" s="142"/>
      <c r="U99" s="146"/>
      <c r="V99" s="146"/>
      <c r="W99" s="146"/>
      <c r="X99" s="146"/>
      <c r="Y99" s="146"/>
      <c r="Z99" s="146"/>
      <c r="AA99" s="146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</row>
    <row r="100" spans="2:39" s="247" customFormat="1" ht="13" thickBot="1">
      <c r="B100" s="144"/>
      <c r="C100" s="143"/>
      <c r="D100" s="1977"/>
      <c r="E100" s="143"/>
      <c r="F100" s="145"/>
      <c r="G100" s="146"/>
      <c r="H100" s="3340"/>
      <c r="I100" s="146"/>
      <c r="J100" s="146"/>
      <c r="K100" s="146"/>
      <c r="L100" s="146"/>
      <c r="M100" s="458"/>
      <c r="N100" s="146"/>
      <c r="O100" s="146"/>
      <c r="P100" s="146"/>
      <c r="Q100" s="147"/>
      <c r="R100" s="147"/>
      <c r="S100" s="142"/>
      <c r="T100" s="142"/>
      <c r="U100" s="146"/>
      <c r="V100" s="146"/>
      <c r="W100" s="146"/>
      <c r="X100" s="146"/>
      <c r="Y100" s="146"/>
      <c r="Z100" s="146"/>
      <c r="AA100" s="146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</row>
    <row r="101" spans="2:39" s="247" customFormat="1" ht="13" thickBot="1">
      <c r="B101" s="144"/>
      <c r="C101" s="143"/>
      <c r="D101" s="1977"/>
      <c r="E101" s="143"/>
      <c r="F101" s="145"/>
      <c r="G101" s="146"/>
      <c r="H101" s="3340"/>
      <c r="I101" s="146"/>
      <c r="J101" s="146"/>
      <c r="K101" s="146"/>
      <c r="L101" s="146"/>
      <c r="M101" s="458"/>
      <c r="N101" s="146"/>
      <c r="O101" s="146"/>
      <c r="P101" s="146"/>
      <c r="Q101" s="147"/>
      <c r="R101" s="147"/>
      <c r="S101" s="142"/>
      <c r="T101" s="142"/>
      <c r="U101" s="146"/>
      <c r="V101" s="146"/>
      <c r="W101" s="146"/>
      <c r="X101" s="146"/>
      <c r="Y101" s="146"/>
      <c r="Z101" s="146"/>
      <c r="AA101" s="146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</row>
    <row r="102" spans="2:39" s="247" customFormat="1" ht="13" thickBot="1">
      <c r="B102" s="144"/>
      <c r="C102" s="143"/>
      <c r="D102" s="1977"/>
      <c r="E102" s="143"/>
      <c r="F102" s="145"/>
      <c r="G102" s="146"/>
      <c r="H102" s="3340"/>
      <c r="I102" s="146"/>
      <c r="J102" s="146"/>
      <c r="K102" s="146"/>
      <c r="L102" s="146"/>
      <c r="M102" s="458"/>
      <c r="N102" s="146"/>
      <c r="O102" s="146"/>
      <c r="P102" s="146"/>
      <c r="Q102" s="147"/>
      <c r="R102" s="147"/>
      <c r="S102" s="142"/>
      <c r="T102" s="142"/>
      <c r="U102" s="146"/>
      <c r="V102" s="146"/>
      <c r="W102" s="146"/>
      <c r="X102" s="146"/>
      <c r="Y102" s="146"/>
      <c r="Z102" s="146"/>
      <c r="AA102" s="146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2:39" s="247" customFormat="1" ht="13" thickBot="1">
      <c r="B103" s="144"/>
      <c r="C103" s="143"/>
      <c r="D103" s="1977"/>
      <c r="E103" s="143"/>
      <c r="F103" s="145"/>
      <c r="G103" s="146"/>
      <c r="H103" s="3340"/>
      <c r="I103" s="146"/>
      <c r="J103" s="146"/>
      <c r="K103" s="146"/>
      <c r="L103" s="146"/>
      <c r="M103" s="458"/>
      <c r="N103" s="146"/>
      <c r="O103" s="146"/>
      <c r="P103" s="146"/>
      <c r="Q103" s="147"/>
      <c r="R103" s="147"/>
      <c r="S103" s="142"/>
      <c r="T103" s="142"/>
      <c r="U103" s="146"/>
      <c r="V103" s="146"/>
      <c r="W103" s="146"/>
      <c r="X103" s="146"/>
      <c r="Y103" s="146"/>
      <c r="Z103" s="146"/>
      <c r="AA103" s="146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2:39" s="247" customFormat="1" ht="13" thickBot="1">
      <c r="B104" s="144"/>
      <c r="C104" s="143"/>
      <c r="D104" s="1977"/>
      <c r="E104" s="143"/>
      <c r="F104" s="145"/>
      <c r="G104" s="146"/>
      <c r="H104" s="3340"/>
      <c r="I104" s="146"/>
      <c r="J104" s="146"/>
      <c r="K104" s="146"/>
      <c r="L104" s="146"/>
      <c r="M104" s="458"/>
      <c r="N104" s="146"/>
      <c r="O104" s="146"/>
      <c r="P104" s="146"/>
      <c r="Q104" s="147"/>
      <c r="R104" s="147"/>
      <c r="S104" s="142"/>
      <c r="T104" s="142"/>
      <c r="U104" s="146"/>
      <c r="V104" s="146"/>
      <c r="W104" s="146"/>
      <c r="X104" s="146"/>
      <c r="Y104" s="146"/>
      <c r="Z104" s="146"/>
      <c r="AA104" s="146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2:39" s="247" customFormat="1" ht="13" thickBot="1">
      <c r="B105" s="144"/>
      <c r="C105" s="143"/>
      <c r="D105" s="1977"/>
      <c r="E105" s="143"/>
      <c r="F105" s="145"/>
      <c r="G105" s="146"/>
      <c r="H105" s="3340"/>
      <c r="I105" s="146"/>
      <c r="J105" s="146"/>
      <c r="K105" s="146"/>
      <c r="L105" s="146"/>
      <c r="M105" s="458"/>
      <c r="N105" s="146"/>
      <c r="O105" s="146"/>
      <c r="P105" s="146"/>
      <c r="Q105" s="147"/>
      <c r="R105" s="147"/>
      <c r="S105" s="142"/>
      <c r="T105" s="142"/>
      <c r="U105" s="146"/>
      <c r="V105" s="146"/>
      <c r="W105" s="146"/>
      <c r="X105" s="146"/>
      <c r="Y105" s="146"/>
      <c r="Z105" s="146"/>
      <c r="AA105" s="146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2:39" s="247" customFormat="1" ht="13" thickBot="1">
      <c r="B106" s="144"/>
      <c r="C106" s="143"/>
      <c r="D106" s="1977"/>
      <c r="E106" s="143"/>
      <c r="F106" s="145"/>
      <c r="G106" s="146"/>
      <c r="H106" s="3340"/>
      <c r="I106" s="146"/>
      <c r="J106" s="146"/>
      <c r="K106" s="146"/>
      <c r="L106" s="146"/>
      <c r="M106" s="458"/>
      <c r="N106" s="146"/>
      <c r="O106" s="146"/>
      <c r="P106" s="146"/>
      <c r="Q106" s="147"/>
      <c r="R106" s="147"/>
      <c r="S106" s="142"/>
      <c r="T106" s="142"/>
      <c r="U106" s="146"/>
      <c r="V106" s="146"/>
      <c r="W106" s="146"/>
      <c r="X106" s="146"/>
      <c r="Y106" s="146"/>
      <c r="Z106" s="146"/>
      <c r="AA106" s="146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2:39" s="247" customFormat="1" ht="13" thickBot="1">
      <c r="B107" s="144"/>
      <c r="C107" s="143"/>
      <c r="D107" s="1977"/>
      <c r="E107" s="143"/>
      <c r="F107" s="145"/>
      <c r="G107" s="146"/>
      <c r="H107" s="3340"/>
      <c r="I107" s="146"/>
      <c r="J107" s="146"/>
      <c r="K107" s="146"/>
      <c r="L107" s="146"/>
      <c r="M107" s="458"/>
      <c r="N107" s="146"/>
      <c r="O107" s="146"/>
      <c r="P107" s="146"/>
      <c r="Q107" s="147"/>
      <c r="R107" s="147"/>
      <c r="S107" s="142"/>
      <c r="T107" s="142"/>
      <c r="U107" s="146"/>
      <c r="V107" s="146"/>
      <c r="W107" s="146"/>
      <c r="X107" s="146"/>
      <c r="Y107" s="146"/>
      <c r="Z107" s="146"/>
      <c r="AA107" s="146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2:39" s="247" customFormat="1" ht="13" thickBot="1">
      <c r="B108" s="144"/>
      <c r="C108" s="143"/>
      <c r="D108" s="1977"/>
      <c r="E108" s="143"/>
      <c r="F108" s="145"/>
      <c r="G108" s="146"/>
      <c r="H108" s="3340"/>
      <c r="I108" s="146"/>
      <c r="J108" s="146"/>
      <c r="K108" s="146"/>
      <c r="L108" s="146"/>
      <c r="M108" s="458"/>
      <c r="N108" s="146"/>
      <c r="O108" s="146"/>
      <c r="P108" s="146"/>
      <c r="Q108" s="147"/>
      <c r="R108" s="147"/>
      <c r="S108" s="142"/>
      <c r="T108" s="142"/>
      <c r="U108" s="146"/>
      <c r="V108" s="146"/>
      <c r="W108" s="146"/>
      <c r="X108" s="146"/>
      <c r="Y108" s="146"/>
      <c r="Z108" s="146"/>
      <c r="AA108" s="146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2:39" s="247" customFormat="1" ht="13" thickBot="1">
      <c r="B109" s="144"/>
      <c r="C109" s="143"/>
      <c r="D109" s="1977"/>
      <c r="E109" s="143"/>
      <c r="F109" s="145"/>
      <c r="G109" s="146"/>
      <c r="H109" s="3340"/>
      <c r="I109" s="146"/>
      <c r="J109" s="146"/>
      <c r="K109" s="146"/>
      <c r="L109" s="146"/>
      <c r="M109" s="458"/>
      <c r="N109" s="146"/>
      <c r="O109" s="146"/>
      <c r="P109" s="146"/>
      <c r="Q109" s="147"/>
      <c r="R109" s="147"/>
      <c r="S109" s="142"/>
      <c r="T109" s="142"/>
      <c r="U109" s="146"/>
      <c r="V109" s="146"/>
      <c r="W109" s="146"/>
      <c r="X109" s="146"/>
      <c r="Y109" s="146"/>
      <c r="Z109" s="146"/>
      <c r="AA109" s="146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2:39" s="247" customFormat="1" ht="13" thickBot="1">
      <c r="B110" s="144"/>
      <c r="C110" s="143"/>
      <c r="D110" s="1977"/>
      <c r="E110" s="143"/>
      <c r="F110" s="145"/>
      <c r="G110" s="146"/>
      <c r="H110" s="3340"/>
      <c r="I110" s="146"/>
      <c r="J110" s="146"/>
      <c r="K110" s="146"/>
      <c r="L110" s="146"/>
      <c r="M110" s="458"/>
      <c r="N110" s="146"/>
      <c r="O110" s="146"/>
      <c r="P110" s="146"/>
      <c r="Q110" s="147"/>
      <c r="R110" s="147"/>
      <c r="S110" s="142"/>
      <c r="T110" s="142"/>
      <c r="U110" s="146"/>
      <c r="V110" s="146"/>
      <c r="W110" s="146"/>
      <c r="X110" s="146"/>
      <c r="Y110" s="146"/>
      <c r="Z110" s="146"/>
      <c r="AA110" s="146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2:39" s="247" customFormat="1" ht="13" thickBot="1">
      <c r="B111" s="144"/>
      <c r="C111" s="143"/>
      <c r="D111" s="1977"/>
      <c r="E111" s="143"/>
      <c r="F111" s="145"/>
      <c r="G111" s="146"/>
      <c r="H111" s="3340"/>
      <c r="I111" s="146"/>
      <c r="J111" s="146"/>
      <c r="K111" s="146"/>
      <c r="L111" s="146"/>
      <c r="M111" s="458"/>
      <c r="N111" s="146"/>
      <c r="O111" s="146"/>
      <c r="P111" s="146"/>
      <c r="Q111" s="147"/>
      <c r="R111" s="147"/>
      <c r="S111" s="142"/>
      <c r="T111" s="142"/>
      <c r="U111" s="146"/>
      <c r="V111" s="146"/>
      <c r="W111" s="146"/>
      <c r="X111" s="146"/>
      <c r="Y111" s="146"/>
      <c r="Z111" s="146"/>
      <c r="AA111" s="146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2:39" s="247" customFormat="1" ht="13" thickBot="1">
      <c r="B112" s="144"/>
      <c r="C112" s="143"/>
      <c r="D112" s="1977"/>
      <c r="E112" s="143"/>
      <c r="F112" s="145"/>
      <c r="G112" s="146"/>
      <c r="H112" s="3340"/>
      <c r="I112" s="146"/>
      <c r="J112" s="146"/>
      <c r="K112" s="146"/>
      <c r="L112" s="146"/>
      <c r="M112" s="458"/>
      <c r="N112" s="146"/>
      <c r="O112" s="146"/>
      <c r="P112" s="146"/>
      <c r="Q112" s="147"/>
      <c r="R112" s="147"/>
      <c r="S112" s="142"/>
      <c r="T112" s="142"/>
      <c r="U112" s="146"/>
      <c r="V112" s="146"/>
      <c r="W112" s="146"/>
      <c r="X112" s="146"/>
      <c r="Y112" s="146"/>
      <c r="Z112" s="146"/>
      <c r="AA112" s="146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2:39" s="247" customFormat="1" ht="13" thickBot="1">
      <c r="B113" s="144"/>
      <c r="C113" s="143"/>
      <c r="D113" s="1977"/>
      <c r="E113" s="143"/>
      <c r="F113" s="145"/>
      <c r="G113" s="146"/>
      <c r="H113" s="3340"/>
      <c r="I113" s="146"/>
      <c r="J113" s="146"/>
      <c r="K113" s="146"/>
      <c r="L113" s="146"/>
      <c r="M113" s="458"/>
      <c r="N113" s="146"/>
      <c r="O113" s="146"/>
      <c r="P113" s="146"/>
      <c r="Q113" s="147"/>
      <c r="R113" s="147"/>
      <c r="S113" s="142"/>
      <c r="T113" s="142"/>
      <c r="U113" s="146"/>
      <c r="V113" s="146"/>
      <c r="W113" s="146"/>
      <c r="X113" s="146"/>
      <c r="Y113" s="146"/>
      <c r="Z113" s="146"/>
      <c r="AA113" s="146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</row>
    <row r="114" spans="2:39" s="247" customFormat="1" ht="13" thickBot="1">
      <c r="B114" s="144"/>
      <c r="C114" s="143"/>
      <c r="D114" s="1977"/>
      <c r="E114" s="143"/>
      <c r="F114" s="145"/>
      <c r="G114" s="146"/>
      <c r="H114" s="3340"/>
      <c r="I114" s="146"/>
      <c r="J114" s="146"/>
      <c r="K114" s="146"/>
      <c r="L114" s="146"/>
      <c r="M114" s="458"/>
      <c r="N114" s="146"/>
      <c r="O114" s="146"/>
      <c r="P114" s="146"/>
      <c r="Q114" s="147"/>
      <c r="R114" s="147"/>
      <c r="S114" s="142"/>
      <c r="T114" s="142"/>
      <c r="U114" s="146"/>
      <c r="V114" s="146"/>
      <c r="W114" s="146"/>
      <c r="X114" s="146"/>
      <c r="Y114" s="146"/>
      <c r="Z114" s="146"/>
      <c r="AA114" s="146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2:39" s="247" customFormat="1" ht="13" thickBot="1">
      <c r="B115" s="144"/>
      <c r="C115" s="143"/>
      <c r="D115" s="1977"/>
      <c r="E115" s="143"/>
      <c r="F115" s="145"/>
      <c r="G115" s="146"/>
      <c r="H115" s="3340"/>
      <c r="I115" s="146"/>
      <c r="J115" s="146"/>
      <c r="K115" s="146"/>
      <c r="L115" s="146"/>
      <c r="M115" s="458"/>
      <c r="N115" s="146"/>
      <c r="O115" s="146"/>
      <c r="P115" s="146"/>
      <c r="Q115" s="147"/>
      <c r="R115" s="147"/>
      <c r="S115" s="142"/>
      <c r="T115" s="142"/>
      <c r="U115" s="146"/>
      <c r="V115" s="146"/>
      <c r="W115" s="146"/>
      <c r="X115" s="146"/>
      <c r="Y115" s="146"/>
      <c r="Z115" s="146"/>
      <c r="AA115" s="146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2:39" s="247" customFormat="1" ht="13" thickBot="1">
      <c r="B116" s="144"/>
      <c r="C116" s="143"/>
      <c r="D116" s="1977"/>
      <c r="E116" s="143"/>
      <c r="F116" s="145"/>
      <c r="G116" s="146"/>
      <c r="H116" s="3340"/>
      <c r="I116" s="146"/>
      <c r="J116" s="146"/>
      <c r="K116" s="146"/>
      <c r="L116" s="146"/>
      <c r="M116" s="458"/>
      <c r="N116" s="146"/>
      <c r="O116" s="146"/>
      <c r="P116" s="146"/>
      <c r="Q116" s="147"/>
      <c r="R116" s="147"/>
      <c r="S116" s="142"/>
      <c r="T116" s="142"/>
      <c r="U116" s="146"/>
      <c r="V116" s="146"/>
      <c r="W116" s="146"/>
      <c r="X116" s="146"/>
      <c r="Y116" s="146"/>
      <c r="Z116" s="146"/>
      <c r="AA116" s="146"/>
      <c r="AB116" s="247">
        <f>SUBTOTAL(9,AB74:AB115)</f>
        <v>0</v>
      </c>
      <c r="AC116" s="214">
        <f>SUBTOTAL(9,AC74:AC115)</f>
        <v>0</v>
      </c>
      <c r="AD116" s="214">
        <f>SUBTOTAL(9,AD74:AD115)</f>
        <v>0</v>
      </c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2:39" s="247" customFormat="1" ht="13" thickBot="1">
      <c r="B117" s="144"/>
      <c r="C117" s="143"/>
      <c r="D117" s="1977"/>
      <c r="E117" s="143"/>
      <c r="F117" s="145"/>
      <c r="G117" s="146"/>
      <c r="H117" s="3340"/>
      <c r="I117" s="146"/>
      <c r="J117" s="146"/>
      <c r="K117" s="146"/>
      <c r="L117" s="146"/>
      <c r="M117" s="458"/>
      <c r="N117" s="146"/>
      <c r="O117" s="146"/>
      <c r="P117" s="146"/>
      <c r="Q117" s="147"/>
      <c r="R117" s="147"/>
      <c r="S117" s="142"/>
      <c r="T117" s="142"/>
      <c r="U117" s="146"/>
      <c r="V117" s="146"/>
      <c r="W117" s="146"/>
      <c r="X117" s="146"/>
      <c r="Y117" s="146"/>
      <c r="Z117" s="146"/>
      <c r="AA117" s="146"/>
      <c r="AB117" s="247">
        <v>0</v>
      </c>
      <c r="AC117" s="214">
        <v>0</v>
      </c>
      <c r="AD117" s="214">
        <v>0</v>
      </c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2:39" s="247" customFormat="1" ht="13" thickBot="1">
      <c r="B118" s="144"/>
      <c r="C118" s="143"/>
      <c r="D118" s="1977"/>
      <c r="E118" s="143"/>
      <c r="F118" s="145"/>
      <c r="G118" s="146"/>
      <c r="H118" s="3340"/>
      <c r="I118" s="146"/>
      <c r="J118" s="146"/>
      <c r="K118" s="146"/>
      <c r="L118" s="146"/>
      <c r="M118" s="458"/>
      <c r="N118" s="146"/>
      <c r="O118" s="146"/>
      <c r="P118" s="146"/>
      <c r="Q118" s="147"/>
      <c r="R118" s="147"/>
      <c r="S118" s="142"/>
      <c r="T118" s="142"/>
      <c r="U118" s="146"/>
      <c r="V118" s="146"/>
      <c r="W118" s="146"/>
      <c r="X118" s="146"/>
      <c r="Y118" s="146"/>
      <c r="Z118" s="146"/>
      <c r="AA118" s="146"/>
      <c r="AB118" s="247">
        <v>0</v>
      </c>
      <c r="AC118" s="214">
        <v>0</v>
      </c>
      <c r="AD118" s="214">
        <v>0</v>
      </c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2:39" s="247" customFormat="1" ht="13" thickBot="1">
      <c r="B119" s="144"/>
      <c r="C119" s="143"/>
      <c r="D119" s="1977"/>
      <c r="E119" s="143"/>
      <c r="F119" s="145"/>
      <c r="G119" s="146"/>
      <c r="H119" s="3340"/>
      <c r="I119" s="146"/>
      <c r="J119" s="146"/>
      <c r="K119" s="146"/>
      <c r="L119" s="146"/>
      <c r="M119" s="458"/>
      <c r="N119" s="146"/>
      <c r="O119" s="146"/>
      <c r="P119" s="146"/>
      <c r="Q119" s="147"/>
      <c r="R119" s="147"/>
      <c r="S119" s="142"/>
      <c r="T119" s="142"/>
      <c r="U119" s="146"/>
      <c r="V119" s="146"/>
      <c r="W119" s="146"/>
      <c r="X119" s="146"/>
      <c r="Y119" s="146"/>
      <c r="Z119" s="146"/>
      <c r="AA119" s="146"/>
      <c r="AB119" s="247">
        <v>0</v>
      </c>
      <c r="AC119" s="214">
        <v>0</v>
      </c>
      <c r="AD119" s="214">
        <v>0</v>
      </c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2:39" s="247" customFormat="1" ht="13" thickBot="1">
      <c r="B120" s="144"/>
      <c r="C120" s="143"/>
      <c r="D120" s="1977"/>
      <c r="E120" s="143"/>
      <c r="F120" s="145"/>
      <c r="G120" s="146"/>
      <c r="H120" s="3340"/>
      <c r="I120" s="146"/>
      <c r="J120" s="146"/>
      <c r="K120" s="146"/>
      <c r="L120" s="146"/>
      <c r="M120" s="458"/>
      <c r="N120" s="146"/>
      <c r="O120" s="146"/>
      <c r="P120" s="146"/>
      <c r="Q120" s="147"/>
      <c r="R120" s="147"/>
      <c r="S120" s="142"/>
      <c r="T120" s="142"/>
      <c r="U120" s="146"/>
      <c r="V120" s="146"/>
      <c r="W120" s="146"/>
      <c r="X120" s="146"/>
      <c r="Y120" s="146"/>
      <c r="Z120" s="146"/>
      <c r="AA120" s="146"/>
      <c r="AB120" s="247">
        <v>0</v>
      </c>
      <c r="AC120" s="214">
        <v>0</v>
      </c>
      <c r="AD120" s="214">
        <v>0</v>
      </c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2:39" s="247" customFormat="1" ht="13" thickBot="1">
      <c r="B121" s="144"/>
      <c r="C121" s="143"/>
      <c r="D121" s="1977"/>
      <c r="E121" s="143"/>
      <c r="F121" s="145"/>
      <c r="G121" s="146"/>
      <c r="H121" s="3340"/>
      <c r="I121" s="146"/>
      <c r="J121" s="146"/>
      <c r="K121" s="146"/>
      <c r="L121" s="146"/>
      <c r="M121" s="458"/>
      <c r="N121" s="146"/>
      <c r="O121" s="146"/>
      <c r="P121" s="146"/>
      <c r="Q121" s="147"/>
      <c r="R121" s="147"/>
      <c r="S121" s="142"/>
      <c r="T121" s="142"/>
      <c r="U121" s="146"/>
      <c r="V121" s="146"/>
      <c r="W121" s="146"/>
      <c r="X121" s="146"/>
      <c r="Y121" s="146"/>
      <c r="Z121" s="146"/>
      <c r="AA121" s="146"/>
      <c r="AB121" s="247">
        <v>0</v>
      </c>
      <c r="AC121" s="214">
        <v>0</v>
      </c>
      <c r="AD121" s="214">
        <v>0</v>
      </c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2:39" s="247" customFormat="1" ht="13" thickBot="1">
      <c r="B122" s="144"/>
      <c r="C122" s="143"/>
      <c r="D122" s="1977"/>
      <c r="E122" s="143"/>
      <c r="F122" s="145"/>
      <c r="G122" s="146"/>
      <c r="H122" s="3340"/>
      <c r="I122" s="146"/>
      <c r="J122" s="146"/>
      <c r="K122" s="146"/>
      <c r="L122" s="146"/>
      <c r="M122" s="458"/>
      <c r="N122" s="146"/>
      <c r="O122" s="146"/>
      <c r="P122" s="146"/>
      <c r="Q122" s="147"/>
      <c r="R122" s="147"/>
      <c r="S122" s="142"/>
      <c r="T122" s="142"/>
      <c r="U122" s="146"/>
      <c r="V122" s="146"/>
      <c r="W122" s="146"/>
      <c r="X122" s="146"/>
      <c r="Y122" s="146"/>
      <c r="Z122" s="146"/>
      <c r="AA122" s="146"/>
      <c r="AB122" s="247">
        <v>0</v>
      </c>
      <c r="AC122" s="214">
        <v>0</v>
      </c>
      <c r="AD122" s="214">
        <v>0</v>
      </c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2:39" s="247" customFormat="1" ht="13" thickBot="1">
      <c r="B123" s="144"/>
      <c r="C123" s="143"/>
      <c r="D123" s="1977"/>
      <c r="E123" s="143"/>
      <c r="F123" s="145"/>
      <c r="G123" s="146"/>
      <c r="H123" s="3340"/>
      <c r="I123" s="146"/>
      <c r="J123" s="146"/>
      <c r="K123" s="146"/>
      <c r="L123" s="146"/>
      <c r="M123" s="458"/>
      <c r="N123" s="146"/>
      <c r="O123" s="146"/>
      <c r="P123" s="146"/>
      <c r="Q123" s="147"/>
      <c r="R123" s="147"/>
      <c r="S123" s="142"/>
      <c r="T123" s="142"/>
      <c r="U123" s="146"/>
      <c r="V123" s="146"/>
      <c r="W123" s="146"/>
      <c r="X123" s="146"/>
      <c r="Y123" s="146"/>
      <c r="Z123" s="146"/>
      <c r="AA123" s="146"/>
      <c r="AB123" s="247">
        <v>0</v>
      </c>
      <c r="AC123" s="214">
        <v>0</v>
      </c>
      <c r="AD123" s="214">
        <v>0</v>
      </c>
      <c r="AE123" s="214"/>
      <c r="AF123" s="214"/>
      <c r="AG123" s="214"/>
      <c r="AH123" s="214"/>
      <c r="AI123" s="214"/>
      <c r="AJ123" s="214"/>
      <c r="AK123" s="214"/>
      <c r="AL123" s="214"/>
      <c r="AM123" s="214"/>
    </row>
    <row r="124" spans="2:39" s="247" customFormat="1" ht="13" thickBot="1">
      <c r="B124" s="144"/>
      <c r="C124" s="143"/>
      <c r="D124" s="1977"/>
      <c r="E124" s="143"/>
      <c r="F124" s="145"/>
      <c r="G124" s="146"/>
      <c r="H124" s="3340"/>
      <c r="I124" s="146"/>
      <c r="J124" s="146"/>
      <c r="K124" s="146"/>
      <c r="L124" s="146"/>
      <c r="M124" s="458"/>
      <c r="N124" s="146"/>
      <c r="O124" s="146"/>
      <c r="P124" s="146"/>
      <c r="Q124" s="147"/>
      <c r="R124" s="147"/>
      <c r="S124" s="142"/>
      <c r="T124" s="142"/>
      <c r="U124" s="146"/>
      <c r="V124" s="146"/>
      <c r="W124" s="146"/>
      <c r="X124" s="146"/>
      <c r="Y124" s="146"/>
      <c r="Z124" s="146"/>
      <c r="AA124" s="146"/>
      <c r="AB124" s="247">
        <v>0</v>
      </c>
      <c r="AC124" s="214">
        <v>0</v>
      </c>
      <c r="AD124" s="214">
        <v>0</v>
      </c>
      <c r="AE124" s="214"/>
      <c r="AF124" s="214"/>
      <c r="AG124" s="214"/>
      <c r="AH124" s="214"/>
      <c r="AI124" s="214"/>
      <c r="AJ124" s="214"/>
      <c r="AK124" s="214"/>
      <c r="AL124" s="214"/>
      <c r="AM124" s="214"/>
    </row>
    <row r="125" spans="2:39" s="247" customFormat="1" ht="13" thickBot="1">
      <c r="B125" s="144"/>
      <c r="C125" s="143"/>
      <c r="D125" s="1977"/>
      <c r="E125" s="143"/>
      <c r="F125" s="145"/>
      <c r="G125" s="146"/>
      <c r="H125" s="3340"/>
      <c r="I125" s="146"/>
      <c r="J125" s="146"/>
      <c r="K125" s="146"/>
      <c r="L125" s="146"/>
      <c r="M125" s="458"/>
      <c r="N125" s="146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B125" s="247">
        <v>0</v>
      </c>
      <c r="AC125" s="214">
        <v>0</v>
      </c>
      <c r="AD125" s="214">
        <v>0</v>
      </c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2:39" s="247" customFormat="1" ht="13" thickBot="1">
      <c r="B126" s="144"/>
      <c r="C126" s="143"/>
      <c r="D126" s="1977"/>
      <c r="E126" s="143"/>
      <c r="F126" s="145"/>
      <c r="G126" s="146"/>
      <c r="H126" s="3340"/>
      <c r="I126" s="146"/>
      <c r="J126" s="146"/>
      <c r="K126" s="146"/>
      <c r="L126" s="146"/>
      <c r="M126" s="458"/>
      <c r="N126" s="146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B126" s="247">
        <v>0</v>
      </c>
      <c r="AC126" s="214">
        <v>0</v>
      </c>
      <c r="AD126" s="214">
        <v>0</v>
      </c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2:39" s="247" customFormat="1" ht="13" thickBot="1">
      <c r="B127" s="144"/>
      <c r="C127" s="143"/>
      <c r="D127" s="1977"/>
      <c r="E127" s="143"/>
      <c r="F127" s="145"/>
      <c r="G127" s="146"/>
      <c r="H127" s="3340"/>
      <c r="I127" s="146"/>
      <c r="J127" s="146"/>
      <c r="K127" s="146"/>
      <c r="L127" s="146"/>
      <c r="M127" s="458"/>
      <c r="N127" s="146"/>
      <c r="O127" s="146"/>
      <c r="P127" s="146"/>
      <c r="Q127" s="147"/>
      <c r="R127" s="147"/>
      <c r="S127" s="142"/>
      <c r="T127" s="142"/>
      <c r="U127" s="146">
        <f>SUBTOTAL(9,U85:U126)</f>
        <v>0</v>
      </c>
      <c r="V127" s="146">
        <f t="shared" ref="V127:AA127" si="68">SUBTOTAL(9,V85:V126)</f>
        <v>0</v>
      </c>
      <c r="W127" s="146">
        <f t="shared" si="68"/>
        <v>0</v>
      </c>
      <c r="X127" s="146">
        <f t="shared" si="68"/>
        <v>0</v>
      </c>
      <c r="Y127" s="146">
        <f t="shared" si="68"/>
        <v>0</v>
      </c>
      <c r="Z127" s="146">
        <f t="shared" si="68"/>
        <v>0</v>
      </c>
      <c r="AA127" s="146">
        <f t="shared" si="68"/>
        <v>0</v>
      </c>
      <c r="AB127" s="247">
        <v>0</v>
      </c>
      <c r="AC127" s="214">
        <v>0</v>
      </c>
      <c r="AD127" s="214">
        <v>0</v>
      </c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2:39" s="213" customFormat="1" thickBot="1">
      <c r="B128" s="139"/>
      <c r="C128" s="138"/>
      <c r="D128" s="1977"/>
      <c r="E128" s="138"/>
      <c r="F128" s="140"/>
      <c r="G128" s="141"/>
      <c r="H128" s="3340"/>
      <c r="I128" s="141"/>
      <c r="J128" s="141"/>
      <c r="K128" s="141"/>
      <c r="L128" s="141"/>
      <c r="M128" s="458"/>
      <c r="N128" s="141"/>
      <c r="O128" s="141"/>
      <c r="P128" s="141"/>
      <c r="Q128" s="148"/>
      <c r="R128" s="148"/>
      <c r="S128" s="149"/>
      <c r="T128" s="149"/>
      <c r="U128" s="150"/>
      <c r="V128" s="150"/>
      <c r="W128" s="150"/>
      <c r="X128" s="150"/>
      <c r="Y128" s="150"/>
      <c r="Z128" s="150"/>
      <c r="AA128" s="150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41" s="213" customFormat="1" ht="15" thickTop="1" thickBot="1">
      <c r="B129" s="139"/>
      <c r="C129" s="138"/>
      <c r="D129" s="1977"/>
      <c r="E129" s="138"/>
      <c r="F129" s="140"/>
      <c r="G129" s="141"/>
      <c r="H129" s="3340"/>
      <c r="I129" s="141"/>
      <c r="J129" s="141"/>
      <c r="K129" s="141"/>
      <c r="L129" s="141"/>
      <c r="M129" s="458"/>
      <c r="N129" s="141"/>
      <c r="O129" s="141"/>
      <c r="P129" s="141"/>
      <c r="Q129" s="148"/>
      <c r="R129" s="148"/>
      <c r="S129" s="148"/>
      <c r="T129" s="149"/>
      <c r="U129" s="151"/>
      <c r="V129" s="152"/>
      <c r="W129" s="153"/>
      <c r="X129" s="153"/>
      <c r="Y129" s="153"/>
      <c r="Z129" s="153"/>
      <c r="AA129" s="154"/>
      <c r="AB129" s="246"/>
      <c r="AC129" s="246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</row>
    <row r="130" spans="2:41" s="247" customFormat="1" thickTop="1" thickBot="1">
      <c r="B130" s="144"/>
      <c r="C130" s="143"/>
      <c r="D130" s="1977"/>
      <c r="E130" s="143"/>
      <c r="F130" s="145"/>
      <c r="G130" s="146"/>
      <c r="H130" s="3340"/>
      <c r="I130" s="146"/>
      <c r="J130" s="146"/>
      <c r="K130" s="146"/>
      <c r="L130" s="146"/>
      <c r="M130" s="458"/>
      <c r="N130" s="146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41" s="247" customFormat="1" ht="13" thickBot="1">
      <c r="B131" s="144"/>
      <c r="C131" s="143"/>
      <c r="D131" s="1977"/>
      <c r="E131" s="143"/>
      <c r="F131" s="145"/>
      <c r="G131" s="146"/>
      <c r="H131" s="3340"/>
      <c r="I131" s="146"/>
      <c r="J131" s="146"/>
      <c r="K131" s="146"/>
      <c r="L131" s="146"/>
      <c r="M131" s="458"/>
      <c r="N131" s="146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41" s="247" customFormat="1" ht="13" thickBot="1">
      <c r="B132" s="144"/>
      <c r="C132" s="143"/>
      <c r="D132" s="1977"/>
      <c r="E132" s="143"/>
      <c r="F132" s="145"/>
      <c r="G132" s="146"/>
      <c r="H132" s="3340"/>
      <c r="I132" s="146"/>
      <c r="J132" s="146"/>
      <c r="K132" s="146"/>
      <c r="L132" s="146"/>
      <c r="M132" s="458"/>
      <c r="N132" s="146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</row>
    <row r="133" spans="2:41" s="247" customFormat="1" ht="13" thickBot="1">
      <c r="B133" s="144"/>
      <c r="C133" s="143"/>
      <c r="D133" s="1977"/>
      <c r="E133" s="143"/>
      <c r="F133" s="145"/>
      <c r="G133" s="146"/>
      <c r="H133" s="3340"/>
      <c r="I133" s="146"/>
      <c r="J133" s="146"/>
      <c r="K133" s="146"/>
      <c r="L133" s="146"/>
      <c r="M133" s="458"/>
      <c r="N133" s="146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</row>
    <row r="134" spans="2:41" s="247" customFormat="1" ht="13" thickBot="1">
      <c r="B134" s="144"/>
      <c r="C134" s="143"/>
      <c r="D134" s="1977"/>
      <c r="E134" s="143"/>
      <c r="F134" s="145"/>
      <c r="G134" s="146"/>
      <c r="H134" s="3340"/>
      <c r="I134" s="146"/>
      <c r="J134" s="146"/>
      <c r="K134" s="146"/>
      <c r="L134" s="146"/>
      <c r="M134" s="458"/>
      <c r="N134" s="146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</row>
    <row r="135" spans="2:41" s="247" customFormat="1" ht="13" thickBot="1">
      <c r="B135" s="144"/>
      <c r="C135" s="143"/>
      <c r="D135" s="1977"/>
      <c r="E135" s="143"/>
      <c r="F135" s="145"/>
      <c r="G135" s="146"/>
      <c r="H135" s="3340"/>
      <c r="I135" s="146"/>
      <c r="J135" s="146"/>
      <c r="K135" s="146"/>
      <c r="L135" s="146"/>
      <c r="M135" s="458"/>
      <c r="N135" s="146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</row>
    <row r="136" spans="2:41" s="247" customFormat="1" ht="13" thickBot="1">
      <c r="B136" s="144"/>
      <c r="C136" s="143"/>
      <c r="D136" s="1977"/>
      <c r="E136" s="143"/>
      <c r="F136" s="145"/>
      <c r="G136" s="146"/>
      <c r="H136" s="3340"/>
      <c r="I136" s="146"/>
      <c r="J136" s="146"/>
      <c r="K136" s="146"/>
      <c r="L136" s="146"/>
      <c r="M136" s="458"/>
      <c r="N136" s="146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2:41" s="247" customFormat="1" ht="13" thickBot="1">
      <c r="B137" s="144"/>
      <c r="C137" s="143"/>
      <c r="D137" s="1977"/>
      <c r="E137" s="143"/>
      <c r="F137" s="145"/>
      <c r="G137" s="146"/>
      <c r="H137" s="3340"/>
      <c r="I137" s="146"/>
      <c r="J137" s="146"/>
      <c r="K137" s="146"/>
      <c r="L137" s="146"/>
      <c r="M137" s="458"/>
      <c r="N137" s="146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2:41" s="247" customFormat="1" ht="13" thickBot="1">
      <c r="B138" s="144"/>
      <c r="C138" s="143"/>
      <c r="D138" s="1977"/>
      <c r="E138" s="143"/>
      <c r="F138" s="145"/>
      <c r="G138" s="146"/>
      <c r="H138" s="3340"/>
      <c r="I138" s="146"/>
      <c r="J138" s="146"/>
      <c r="K138" s="146"/>
      <c r="L138" s="146"/>
      <c r="M138" s="458"/>
      <c r="N138" s="146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2:41" s="247" customFormat="1" ht="13" thickBot="1">
      <c r="B139" s="144"/>
      <c r="C139" s="143"/>
      <c r="D139" s="1977"/>
      <c r="E139" s="143"/>
      <c r="F139" s="145"/>
      <c r="G139" s="146"/>
      <c r="H139" s="3340"/>
      <c r="I139" s="146"/>
      <c r="J139" s="146"/>
      <c r="K139" s="146"/>
      <c r="L139" s="146"/>
      <c r="M139" s="458"/>
      <c r="N139" s="146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2:41" s="247" customFormat="1" ht="13" thickBot="1">
      <c r="B140" s="144"/>
      <c r="C140" s="143"/>
      <c r="D140" s="1977"/>
      <c r="E140" s="143"/>
      <c r="F140" s="145"/>
      <c r="G140" s="146"/>
      <c r="H140" s="3340"/>
      <c r="I140" s="146"/>
      <c r="J140" s="146"/>
      <c r="K140" s="146"/>
      <c r="L140" s="146"/>
      <c r="M140" s="458"/>
      <c r="N140" s="146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2:41" s="247" customFormat="1" ht="13" thickBot="1">
      <c r="B141" s="144"/>
      <c r="C141" s="143"/>
      <c r="D141" s="1977"/>
      <c r="E141" s="143"/>
      <c r="F141" s="145"/>
      <c r="G141" s="146"/>
      <c r="H141" s="3340"/>
      <c r="I141" s="146"/>
      <c r="J141" s="146"/>
      <c r="K141" s="146"/>
      <c r="L141" s="146"/>
      <c r="M141" s="458"/>
      <c r="N141" s="146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2:41" s="247" customFormat="1" ht="13" thickBot="1">
      <c r="B142" s="144"/>
      <c r="C142" s="143"/>
      <c r="D142" s="1977"/>
      <c r="E142" s="143"/>
      <c r="F142" s="145"/>
      <c r="G142" s="146"/>
      <c r="H142" s="3340"/>
      <c r="I142" s="146"/>
      <c r="J142" s="146"/>
      <c r="K142" s="146"/>
      <c r="L142" s="146"/>
      <c r="M142" s="458"/>
      <c r="N142" s="146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2:41" s="247" customFormat="1" ht="13" thickBot="1">
      <c r="B143" s="144"/>
      <c r="C143" s="143"/>
      <c r="D143" s="1977"/>
      <c r="E143" s="143"/>
      <c r="F143" s="145"/>
      <c r="G143" s="146"/>
      <c r="H143" s="3340"/>
      <c r="I143" s="146"/>
      <c r="J143" s="146"/>
      <c r="K143" s="146"/>
      <c r="L143" s="146"/>
      <c r="M143" s="458"/>
      <c r="N143" s="146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2:41" s="247" customFormat="1" ht="13" thickBot="1">
      <c r="B144" s="144"/>
      <c r="C144" s="143"/>
      <c r="D144" s="1977"/>
      <c r="E144" s="143"/>
      <c r="F144" s="145"/>
      <c r="G144" s="146"/>
      <c r="H144" s="3340"/>
      <c r="I144" s="146"/>
      <c r="J144" s="146"/>
      <c r="K144" s="146"/>
      <c r="L144" s="146"/>
      <c r="M144" s="458"/>
      <c r="N144" s="146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39" s="247" customFormat="1" ht="13" thickBot="1">
      <c r="B145" s="144"/>
      <c r="C145" s="143"/>
      <c r="D145" s="1977"/>
      <c r="E145" s="143"/>
      <c r="F145" s="145"/>
      <c r="G145" s="146"/>
      <c r="H145" s="3340"/>
      <c r="I145" s="146"/>
      <c r="J145" s="146"/>
      <c r="K145" s="146"/>
      <c r="L145" s="146"/>
      <c r="M145" s="458"/>
      <c r="N145" s="146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39" s="247" customFormat="1" ht="13" thickBot="1">
      <c r="B146" s="144"/>
      <c r="C146" s="143"/>
      <c r="D146" s="1977"/>
      <c r="E146" s="143"/>
      <c r="F146" s="145"/>
      <c r="G146" s="146"/>
      <c r="H146" s="3340"/>
      <c r="I146" s="146"/>
      <c r="J146" s="146"/>
      <c r="K146" s="146"/>
      <c r="L146" s="146"/>
      <c r="M146" s="458"/>
      <c r="N146" s="146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39" s="247" customFormat="1" ht="13" thickBot="1">
      <c r="B147" s="144"/>
      <c r="C147" s="143"/>
      <c r="D147" s="1977"/>
      <c r="E147" s="143"/>
      <c r="F147" s="145"/>
      <c r="G147" s="146"/>
      <c r="H147" s="3340"/>
      <c r="I147" s="146"/>
      <c r="J147" s="146"/>
      <c r="K147" s="146"/>
      <c r="L147" s="146"/>
      <c r="M147" s="458"/>
      <c r="N147" s="146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39" s="247" customFormat="1" ht="13" thickBot="1">
      <c r="B148" s="144"/>
      <c r="C148" s="143"/>
      <c r="D148" s="1977"/>
      <c r="E148" s="143"/>
      <c r="F148" s="145"/>
      <c r="G148" s="146"/>
      <c r="H148" s="3340"/>
      <c r="I148" s="146"/>
      <c r="J148" s="146"/>
      <c r="K148" s="146"/>
      <c r="L148" s="146"/>
      <c r="M148" s="458"/>
      <c r="N148" s="146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39" s="247" customFormat="1" ht="13" thickBot="1">
      <c r="B149" s="144"/>
      <c r="C149" s="143"/>
      <c r="D149" s="1977"/>
      <c r="E149" s="143"/>
      <c r="F149" s="145"/>
      <c r="G149" s="146"/>
      <c r="H149" s="3340"/>
      <c r="I149" s="146"/>
      <c r="J149" s="146"/>
      <c r="K149" s="146"/>
      <c r="L149" s="146"/>
      <c r="M149" s="458"/>
      <c r="N149" s="146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39" s="247" customFormat="1" ht="13" thickBot="1">
      <c r="B150" s="144"/>
      <c r="C150" s="143"/>
      <c r="D150" s="1977"/>
      <c r="E150" s="143"/>
      <c r="F150" s="145"/>
      <c r="G150" s="146"/>
      <c r="H150" s="3340"/>
      <c r="I150" s="146"/>
      <c r="J150" s="146"/>
      <c r="K150" s="146"/>
      <c r="L150" s="146"/>
      <c r="M150" s="458"/>
      <c r="N150" s="146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39" s="247" customFormat="1" ht="13" thickBot="1">
      <c r="B151" s="144"/>
      <c r="C151" s="143"/>
      <c r="D151" s="1977"/>
      <c r="E151" s="143"/>
      <c r="F151" s="145"/>
      <c r="G151" s="146"/>
      <c r="H151" s="3340"/>
      <c r="I151" s="146"/>
      <c r="J151" s="146"/>
      <c r="K151" s="146"/>
      <c r="L151" s="146"/>
      <c r="M151" s="458"/>
      <c r="N151" s="146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39" s="247" customFormat="1" ht="13" thickBot="1">
      <c r="B152" s="144"/>
      <c r="C152" s="143"/>
      <c r="D152" s="1977"/>
      <c r="E152" s="143"/>
      <c r="F152" s="145"/>
      <c r="G152" s="146"/>
      <c r="H152" s="3340"/>
      <c r="I152" s="146"/>
      <c r="J152" s="146"/>
      <c r="K152" s="146"/>
      <c r="L152" s="146"/>
      <c r="M152" s="458"/>
      <c r="N152" s="146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39" s="247" customFormat="1" ht="13" thickBot="1">
      <c r="B153" s="144"/>
      <c r="C153" s="143"/>
      <c r="D153" s="1977"/>
      <c r="E153" s="143"/>
      <c r="F153" s="145"/>
      <c r="G153" s="146"/>
      <c r="H153" s="3340"/>
      <c r="I153" s="146"/>
      <c r="J153" s="146"/>
      <c r="K153" s="146"/>
      <c r="L153" s="146"/>
      <c r="M153" s="458"/>
      <c r="N153" s="146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39" s="247" customFormat="1" ht="13" thickBot="1">
      <c r="B154" s="144"/>
      <c r="C154" s="143"/>
      <c r="D154" s="1977"/>
      <c r="E154" s="143"/>
      <c r="F154" s="145"/>
      <c r="G154" s="146"/>
      <c r="H154" s="3340"/>
      <c r="I154" s="146"/>
      <c r="J154" s="146"/>
      <c r="K154" s="146"/>
      <c r="L154" s="146"/>
      <c r="M154" s="458"/>
      <c r="N154" s="146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39" s="247" customFormat="1" ht="13" thickBot="1">
      <c r="B155" s="144"/>
      <c r="C155" s="143"/>
      <c r="D155" s="1977"/>
      <c r="E155" s="143"/>
      <c r="F155" s="145"/>
      <c r="G155" s="146"/>
      <c r="H155" s="3340"/>
      <c r="I155" s="146"/>
      <c r="J155" s="146"/>
      <c r="K155" s="146"/>
      <c r="L155" s="146"/>
      <c r="M155" s="458"/>
      <c r="N155" s="146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39" s="247" customFormat="1" ht="13" thickBot="1">
      <c r="B156" s="144"/>
      <c r="C156" s="143"/>
      <c r="D156" s="1977"/>
      <c r="E156" s="143"/>
      <c r="F156" s="145"/>
      <c r="G156" s="146"/>
      <c r="H156" s="3340"/>
      <c r="I156" s="146"/>
      <c r="J156" s="146"/>
      <c r="K156" s="146"/>
      <c r="L156" s="146"/>
      <c r="M156" s="458"/>
      <c r="N156" s="146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39" s="247" customFormat="1" ht="13" thickBot="1">
      <c r="B157" s="144"/>
      <c r="C157" s="143"/>
      <c r="D157" s="1977"/>
      <c r="E157" s="143"/>
      <c r="F157" s="145"/>
      <c r="G157" s="146"/>
      <c r="H157" s="3340"/>
      <c r="I157" s="146"/>
      <c r="J157" s="146"/>
      <c r="K157" s="146"/>
      <c r="L157" s="146"/>
      <c r="M157" s="458"/>
      <c r="N157" s="146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39" s="247" customFormat="1" ht="13" thickBot="1">
      <c r="B158" s="144"/>
      <c r="C158" s="143"/>
      <c r="D158" s="1977"/>
      <c r="E158" s="143"/>
      <c r="F158" s="145"/>
      <c r="G158" s="146"/>
      <c r="H158" s="3340"/>
      <c r="I158" s="146"/>
      <c r="J158" s="146"/>
      <c r="K158" s="146"/>
      <c r="L158" s="146"/>
      <c r="M158" s="458"/>
      <c r="N158" s="146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39" s="247" customFormat="1" ht="13" thickBot="1">
      <c r="B159" s="144"/>
      <c r="C159" s="143"/>
      <c r="D159" s="1977"/>
      <c r="E159" s="143"/>
      <c r="F159" s="145"/>
      <c r="G159" s="146"/>
      <c r="H159" s="3340"/>
      <c r="I159" s="146"/>
      <c r="J159" s="146"/>
      <c r="K159" s="146"/>
      <c r="L159" s="146"/>
      <c r="M159" s="458"/>
      <c r="N159" s="146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39" s="247" customFormat="1" ht="13" thickBot="1">
      <c r="B160" s="144"/>
      <c r="C160" s="143"/>
      <c r="D160" s="1977"/>
      <c r="E160" s="143"/>
      <c r="F160" s="145"/>
      <c r="G160" s="146"/>
      <c r="H160" s="3340"/>
      <c r="I160" s="146"/>
      <c r="J160" s="146"/>
      <c r="K160" s="146"/>
      <c r="L160" s="146"/>
      <c r="M160" s="458"/>
      <c r="N160" s="146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41" s="247" customFormat="1" ht="13" thickBot="1">
      <c r="B161" s="144"/>
      <c r="C161" s="143"/>
      <c r="D161" s="1977"/>
      <c r="E161" s="143"/>
      <c r="F161" s="145"/>
      <c r="G161" s="146"/>
      <c r="H161" s="3340"/>
      <c r="I161" s="146"/>
      <c r="J161" s="146"/>
      <c r="K161" s="146"/>
      <c r="L161" s="146"/>
      <c r="M161" s="458"/>
      <c r="N161" s="146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41" s="247" customFormat="1" ht="13" thickBot="1">
      <c r="B162" s="144"/>
      <c r="C162" s="143"/>
      <c r="D162" s="1977"/>
      <c r="E162" s="143"/>
      <c r="F162" s="145"/>
      <c r="G162" s="146"/>
      <c r="H162" s="3340"/>
      <c r="I162" s="146"/>
      <c r="J162" s="146"/>
      <c r="K162" s="146"/>
      <c r="L162" s="146"/>
      <c r="M162" s="458"/>
      <c r="N162" s="146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41" s="247" customFormat="1" ht="13" thickBot="1">
      <c r="B163" s="144"/>
      <c r="C163" s="143"/>
      <c r="D163" s="1977"/>
      <c r="E163" s="143"/>
      <c r="F163" s="145"/>
      <c r="G163" s="146"/>
      <c r="H163" s="3340"/>
      <c r="I163" s="146"/>
      <c r="J163" s="146"/>
      <c r="K163" s="146"/>
      <c r="L163" s="146"/>
      <c r="M163" s="458"/>
      <c r="N163" s="146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41" s="247" customFormat="1" ht="13" thickBot="1">
      <c r="B164" s="144"/>
      <c r="C164" s="143"/>
      <c r="D164" s="1977"/>
      <c r="E164" s="143"/>
      <c r="F164" s="145"/>
      <c r="G164" s="146"/>
      <c r="H164" s="3340"/>
      <c r="I164" s="146"/>
      <c r="J164" s="146"/>
      <c r="K164" s="146"/>
      <c r="L164" s="146"/>
      <c r="M164" s="458"/>
      <c r="N164" s="146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41" s="247" customFormat="1" ht="13" thickBot="1">
      <c r="B165" s="144"/>
      <c r="C165" s="143"/>
      <c r="D165" s="1977"/>
      <c r="E165" s="143"/>
      <c r="F165" s="145"/>
      <c r="G165" s="146"/>
      <c r="H165" s="3340"/>
      <c r="I165" s="146"/>
      <c r="J165" s="146"/>
      <c r="K165" s="146"/>
      <c r="L165" s="146"/>
      <c r="M165" s="458"/>
      <c r="N165" s="146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41" s="247" customFormat="1" ht="13" thickBot="1">
      <c r="B166" s="248"/>
      <c r="D166" s="1977"/>
      <c r="F166" s="249"/>
      <c r="G166" s="250"/>
      <c r="H166" s="3341"/>
      <c r="I166" s="250"/>
      <c r="J166" s="250"/>
      <c r="K166" s="250"/>
      <c r="L166" s="146"/>
      <c r="M166" s="459"/>
      <c r="N166" s="146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41" s="247" customFormat="1" ht="13" thickBot="1">
      <c r="B167" s="248"/>
      <c r="D167" s="1977"/>
      <c r="F167" s="249"/>
      <c r="G167" s="250"/>
      <c r="H167" s="3341"/>
      <c r="I167" s="250"/>
      <c r="J167" s="250"/>
      <c r="K167" s="250"/>
      <c r="L167" s="146"/>
      <c r="M167" s="459"/>
      <c r="N167" s="146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41" s="247" customFormat="1" ht="13" thickBot="1">
      <c r="B168" s="248"/>
      <c r="D168" s="1977"/>
      <c r="F168" s="249"/>
      <c r="G168" s="250"/>
      <c r="H168" s="3341"/>
      <c r="I168" s="250"/>
      <c r="J168" s="250"/>
      <c r="K168" s="250"/>
      <c r="L168" s="146"/>
      <c r="M168" s="459"/>
      <c r="N168" s="146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41" s="247" customFormat="1" ht="13" thickBot="1">
      <c r="B169" s="248"/>
      <c r="D169" s="1977"/>
      <c r="F169" s="249"/>
      <c r="G169" s="250"/>
      <c r="H169" s="3341"/>
      <c r="I169" s="250"/>
      <c r="J169" s="250"/>
      <c r="K169" s="250"/>
      <c r="L169" s="146"/>
      <c r="M169" s="459"/>
      <c r="N169" s="146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41" s="247" customFormat="1" ht="13" thickBot="1">
      <c r="B170" s="248"/>
      <c r="D170" s="1977"/>
      <c r="F170" s="249"/>
      <c r="G170" s="250"/>
      <c r="H170" s="3341"/>
      <c r="I170" s="250"/>
      <c r="J170" s="250"/>
      <c r="K170" s="250"/>
      <c r="L170" s="146"/>
      <c r="M170" s="459"/>
      <c r="N170" s="146"/>
      <c r="O170" s="146"/>
      <c r="P170" s="146"/>
      <c r="Q170" s="147"/>
      <c r="R170" s="147"/>
      <c r="S170" s="142"/>
      <c r="T170" s="142"/>
      <c r="U170" s="146">
        <f>SUBTOTAL(9,U128:U169)</f>
        <v>0</v>
      </c>
      <c r="V170" s="146">
        <f t="shared" ref="V170:AA170" si="69">SUBTOTAL(9,V128:V169)</f>
        <v>0</v>
      </c>
      <c r="W170" s="146">
        <f t="shared" si="69"/>
        <v>0</v>
      </c>
      <c r="X170" s="146">
        <f t="shared" si="69"/>
        <v>0</v>
      </c>
      <c r="Y170" s="146">
        <f t="shared" si="69"/>
        <v>0</v>
      </c>
      <c r="Z170" s="146">
        <f t="shared" si="69"/>
        <v>0</v>
      </c>
      <c r="AA170" s="146">
        <f t="shared" si="69"/>
        <v>0</v>
      </c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41" s="213" customFormat="1" thickBot="1">
      <c r="B171" s="225"/>
      <c r="D171" s="1977"/>
      <c r="F171" s="242"/>
      <c r="G171" s="243"/>
      <c r="H171" s="3341"/>
      <c r="I171" s="243"/>
      <c r="J171" s="243"/>
      <c r="K171" s="243"/>
      <c r="L171" s="141"/>
      <c r="M171" s="459"/>
      <c r="N171" s="141"/>
      <c r="O171" s="141"/>
      <c r="P171" s="141"/>
      <c r="Q171" s="148"/>
      <c r="R171" s="148"/>
      <c r="S171" s="149"/>
      <c r="T171" s="149"/>
      <c r="U171" s="150"/>
      <c r="V171" s="150"/>
      <c r="W171" s="150"/>
      <c r="X171" s="150"/>
      <c r="Y171" s="150"/>
      <c r="Z171" s="150"/>
      <c r="AA171" s="150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41" s="213" customFormat="1" thickBot="1">
      <c r="B172" s="225"/>
      <c r="D172" s="1977"/>
      <c r="F172" s="242"/>
      <c r="G172" s="243"/>
      <c r="H172" s="3341"/>
      <c r="I172" s="243"/>
      <c r="J172" s="243"/>
      <c r="K172" s="243"/>
      <c r="L172" s="141"/>
      <c r="M172" s="459"/>
      <c r="N172" s="141"/>
      <c r="O172" s="141"/>
      <c r="P172" s="141"/>
      <c r="Q172" s="148"/>
      <c r="R172" s="148"/>
      <c r="S172" s="148"/>
      <c r="T172" s="148"/>
      <c r="U172" s="151">
        <f>SUBTOTAL(9,U130:U171)</f>
        <v>0</v>
      </c>
      <c r="V172" s="152">
        <f t="shared" ref="V172:AA172" si="70">SUBTOTAL(9,V130:V171)</f>
        <v>0</v>
      </c>
      <c r="W172" s="153">
        <f t="shared" si="70"/>
        <v>0</v>
      </c>
      <c r="X172" s="153">
        <f t="shared" si="70"/>
        <v>0</v>
      </c>
      <c r="Y172" s="153">
        <f t="shared" si="70"/>
        <v>0</v>
      </c>
      <c r="Z172" s="153">
        <f t="shared" si="70"/>
        <v>0</v>
      </c>
      <c r="AA172" s="154">
        <f t="shared" si="70"/>
        <v>0</v>
      </c>
      <c r="AB172" s="246"/>
      <c r="AC172" s="246"/>
      <c r="AE172" s="214"/>
      <c r="AF172" s="214"/>
      <c r="AG172" s="214"/>
      <c r="AH172" s="214"/>
      <c r="AI172" s="214"/>
      <c r="AJ172" s="214"/>
      <c r="AK172" s="214"/>
      <c r="AL172" s="214"/>
      <c r="AM172" s="214"/>
      <c r="AN172" s="214"/>
      <c r="AO172" s="214"/>
    </row>
    <row r="173" spans="2:41" s="213" customFormat="1" thickBot="1">
      <c r="B173" s="225"/>
      <c r="D173" s="1977"/>
      <c r="F173" s="242"/>
      <c r="G173" s="243"/>
      <c r="H173" s="3341"/>
      <c r="I173" s="243"/>
      <c r="J173" s="243"/>
      <c r="K173" s="243"/>
      <c r="L173" s="141"/>
      <c r="M173" s="459"/>
      <c r="N173" s="141"/>
      <c r="O173" s="141"/>
      <c r="P173" s="141"/>
      <c r="Q173" s="148"/>
      <c r="R173" s="148"/>
      <c r="S173" s="149"/>
      <c r="T173" s="149"/>
      <c r="U173" s="150"/>
      <c r="V173" s="150"/>
      <c r="W173" s="150"/>
      <c r="X173" s="150"/>
      <c r="Y173" s="150"/>
      <c r="Z173" s="150"/>
      <c r="AA173" s="150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41" s="213" customFormat="1" thickBot="1">
      <c r="B174" s="225"/>
      <c r="D174" s="1977"/>
      <c r="F174" s="242"/>
      <c r="G174" s="243"/>
      <c r="H174" s="3341"/>
      <c r="I174" s="243"/>
      <c r="J174" s="243"/>
      <c r="K174" s="243"/>
      <c r="L174" s="141"/>
      <c r="M174" s="459"/>
      <c r="N174" s="141"/>
      <c r="O174" s="141"/>
      <c r="P174" s="141"/>
      <c r="Q174" s="148"/>
      <c r="R174" s="148"/>
      <c r="S174" s="149"/>
      <c r="T174" s="149"/>
      <c r="U174" s="150"/>
      <c r="V174" s="150"/>
      <c r="W174" s="150"/>
      <c r="X174" s="150"/>
      <c r="Y174" s="150"/>
      <c r="Z174" s="150"/>
      <c r="AA174" s="150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41" s="213" customFormat="1" thickBot="1">
      <c r="B175" s="225"/>
      <c r="D175" s="1977"/>
      <c r="F175" s="242"/>
      <c r="G175" s="243"/>
      <c r="H175" s="3341"/>
      <c r="I175" s="243"/>
      <c r="J175" s="243"/>
      <c r="K175" s="243"/>
      <c r="L175" s="141"/>
      <c r="M175" s="459"/>
      <c r="N175" s="141"/>
      <c r="O175" s="141"/>
      <c r="P175" s="141"/>
      <c r="Q175" s="148"/>
      <c r="R175" s="148"/>
      <c r="S175" s="149"/>
      <c r="T175" s="149"/>
      <c r="U175" s="150"/>
      <c r="V175" s="150"/>
      <c r="W175" s="150"/>
      <c r="X175" s="150"/>
      <c r="Y175" s="150"/>
      <c r="Z175" s="150"/>
      <c r="AA175" s="150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41" s="213" customFormat="1" thickBot="1">
      <c r="B176" s="225"/>
      <c r="D176" s="1977"/>
      <c r="F176" s="242"/>
      <c r="G176" s="243"/>
      <c r="H176" s="3341"/>
      <c r="I176" s="243"/>
      <c r="J176" s="243"/>
      <c r="K176" s="243"/>
      <c r="L176" s="141"/>
      <c r="M176" s="459"/>
      <c r="N176" s="141"/>
      <c r="O176" s="141"/>
      <c r="P176" s="141"/>
      <c r="Q176" s="148"/>
      <c r="R176" s="148"/>
      <c r="S176" s="149"/>
      <c r="T176" s="149"/>
      <c r="U176" s="150"/>
      <c r="V176" s="150"/>
      <c r="W176" s="150"/>
      <c r="X176" s="150"/>
      <c r="Y176" s="150"/>
      <c r="Z176" s="150"/>
      <c r="AA176" s="150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39" s="213" customFormat="1" thickBot="1">
      <c r="B177" s="225"/>
      <c r="D177" s="1977"/>
      <c r="F177" s="242"/>
      <c r="G177" s="243"/>
      <c r="H177" s="3341"/>
      <c r="I177" s="243"/>
      <c r="J177" s="243"/>
      <c r="K177" s="243"/>
      <c r="L177" s="141"/>
      <c r="M177" s="459"/>
      <c r="N177" s="141"/>
      <c r="O177" s="141"/>
      <c r="P177" s="141"/>
      <c r="Q177" s="148"/>
      <c r="R177" s="148"/>
      <c r="S177" s="149"/>
      <c r="T177" s="149"/>
      <c r="U177" s="150"/>
      <c r="V177" s="150"/>
      <c r="W177" s="150"/>
      <c r="X177" s="150"/>
      <c r="Y177" s="150"/>
      <c r="Z177" s="150"/>
      <c r="AA177" s="150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39" s="213" customFormat="1" thickBot="1">
      <c r="B178" s="225"/>
      <c r="D178" s="1977"/>
      <c r="F178" s="242"/>
      <c r="G178" s="243"/>
      <c r="H178" s="3341"/>
      <c r="I178" s="243"/>
      <c r="J178" s="243"/>
      <c r="K178" s="243"/>
      <c r="L178" s="141"/>
      <c r="M178" s="459"/>
      <c r="N178" s="141"/>
      <c r="O178" s="141"/>
      <c r="P178" s="141"/>
      <c r="Q178" s="148"/>
      <c r="R178" s="148"/>
      <c r="S178" s="149"/>
      <c r="T178" s="149"/>
      <c r="U178" s="150"/>
      <c r="V178" s="150"/>
      <c r="W178" s="150"/>
      <c r="X178" s="150"/>
      <c r="Y178" s="150"/>
      <c r="Z178" s="150"/>
      <c r="AA178" s="150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39" s="213" customFormat="1" thickBot="1">
      <c r="B179" s="225"/>
      <c r="D179" s="1977"/>
      <c r="F179" s="242"/>
      <c r="G179" s="243"/>
      <c r="H179" s="3341"/>
      <c r="I179" s="243"/>
      <c r="J179" s="243"/>
      <c r="K179" s="243"/>
      <c r="L179" s="141"/>
      <c r="M179" s="459"/>
      <c r="N179" s="141"/>
      <c r="O179" s="141"/>
      <c r="P179" s="141"/>
      <c r="Q179" s="148"/>
      <c r="R179" s="148"/>
      <c r="S179" s="149"/>
      <c r="T179" s="149"/>
      <c r="U179" s="150"/>
      <c r="V179" s="150"/>
      <c r="W179" s="150"/>
      <c r="X179" s="150"/>
      <c r="Y179" s="150"/>
      <c r="Z179" s="150"/>
      <c r="AA179" s="150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39" s="213" customFormat="1" thickBot="1">
      <c r="B180" s="225"/>
      <c r="D180" s="1977"/>
      <c r="F180" s="242"/>
      <c r="G180" s="243"/>
      <c r="H180" s="3341"/>
      <c r="I180" s="243"/>
      <c r="J180" s="243"/>
      <c r="K180" s="243"/>
      <c r="L180" s="141"/>
      <c r="M180" s="459"/>
      <c r="N180" s="141"/>
      <c r="O180" s="141"/>
      <c r="P180" s="141"/>
      <c r="Q180" s="148"/>
      <c r="R180" s="148"/>
      <c r="S180" s="149"/>
      <c r="T180" s="149"/>
      <c r="U180" s="150"/>
      <c r="V180" s="150"/>
      <c r="W180" s="150"/>
      <c r="X180" s="150"/>
      <c r="Y180" s="150"/>
      <c r="Z180" s="150"/>
      <c r="AA180" s="150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39" s="213" customFormat="1" thickBot="1">
      <c r="B181" s="225"/>
      <c r="D181" s="1977"/>
      <c r="F181" s="242"/>
      <c r="G181" s="243"/>
      <c r="H181" s="3341"/>
      <c r="I181" s="243"/>
      <c r="J181" s="243"/>
      <c r="K181" s="243"/>
      <c r="L181" s="141"/>
      <c r="M181" s="459"/>
      <c r="N181" s="141"/>
      <c r="O181" s="141"/>
      <c r="P181" s="141"/>
      <c r="Q181" s="148"/>
      <c r="R181" s="148"/>
      <c r="S181" s="149"/>
      <c r="T181" s="149"/>
      <c r="U181" s="150"/>
      <c r="V181" s="150"/>
      <c r="W181" s="150"/>
      <c r="X181" s="150"/>
      <c r="Y181" s="150"/>
      <c r="Z181" s="150"/>
      <c r="AA181" s="150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39" s="213" customFormat="1" thickBot="1">
      <c r="B182" s="225"/>
      <c r="D182" s="1977"/>
      <c r="F182" s="242"/>
      <c r="G182" s="243"/>
      <c r="H182" s="3341"/>
      <c r="I182" s="243"/>
      <c r="J182" s="243"/>
      <c r="K182" s="243"/>
      <c r="L182" s="141"/>
      <c r="M182" s="459"/>
      <c r="N182" s="141"/>
      <c r="O182" s="141"/>
      <c r="P182" s="141"/>
      <c r="Q182" s="148"/>
      <c r="R182" s="148"/>
      <c r="S182" s="149"/>
      <c r="T182" s="149"/>
      <c r="U182" s="150"/>
      <c r="V182" s="150"/>
      <c r="W182" s="150"/>
      <c r="X182" s="150"/>
      <c r="Y182" s="150"/>
      <c r="Z182" s="150"/>
      <c r="AA182" s="150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39" s="213" customFormat="1" thickBot="1">
      <c r="B183" s="225"/>
      <c r="D183" s="1977"/>
      <c r="F183" s="242"/>
      <c r="G183" s="243"/>
      <c r="H183" s="3341"/>
      <c r="I183" s="243"/>
      <c r="J183" s="243"/>
      <c r="K183" s="243"/>
      <c r="L183" s="141"/>
      <c r="M183" s="459"/>
      <c r="N183" s="141"/>
      <c r="O183" s="141"/>
      <c r="P183" s="141"/>
      <c r="Q183" s="148"/>
      <c r="R183" s="148"/>
      <c r="S183" s="149"/>
      <c r="T183" s="149"/>
      <c r="U183" s="150"/>
      <c r="V183" s="150"/>
      <c r="W183" s="150"/>
      <c r="X183" s="150"/>
      <c r="Y183" s="150"/>
      <c r="Z183" s="150"/>
      <c r="AA183" s="150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39" s="213" customFormat="1" thickBot="1">
      <c r="B184" s="225"/>
      <c r="D184" s="1977"/>
      <c r="F184" s="242"/>
      <c r="G184" s="243"/>
      <c r="H184" s="3341"/>
      <c r="I184" s="243"/>
      <c r="J184" s="243"/>
      <c r="K184" s="243"/>
      <c r="L184" s="141"/>
      <c r="M184" s="459"/>
      <c r="N184" s="141"/>
      <c r="O184" s="141"/>
      <c r="P184" s="141"/>
      <c r="Q184" s="148"/>
      <c r="R184" s="148"/>
      <c r="S184" s="149"/>
      <c r="T184" s="149"/>
      <c r="U184" s="150"/>
      <c r="V184" s="150"/>
      <c r="W184" s="150"/>
      <c r="X184" s="150"/>
      <c r="Y184" s="150"/>
      <c r="Z184" s="150"/>
      <c r="AA184" s="150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39" s="213" customFormat="1" thickBot="1">
      <c r="B185" s="225"/>
      <c r="D185" s="1977"/>
      <c r="F185" s="242"/>
      <c r="G185" s="243"/>
      <c r="H185" s="3341"/>
      <c r="I185" s="243"/>
      <c r="J185" s="243"/>
      <c r="K185" s="243"/>
      <c r="L185" s="141"/>
      <c r="M185" s="459"/>
      <c r="N185" s="141"/>
      <c r="O185" s="141"/>
      <c r="P185" s="141"/>
      <c r="Q185" s="148"/>
      <c r="R185" s="148"/>
      <c r="S185" s="149"/>
      <c r="T185" s="149"/>
      <c r="U185" s="150"/>
      <c r="V185" s="150"/>
      <c r="W185" s="150"/>
      <c r="X185" s="150"/>
      <c r="Y185" s="150"/>
      <c r="Z185" s="150"/>
      <c r="AA185" s="150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39" s="213" customFormat="1" thickBot="1">
      <c r="B186" s="225"/>
      <c r="D186" s="1977"/>
      <c r="F186" s="242"/>
      <c r="G186" s="243"/>
      <c r="H186" s="3341"/>
      <c r="I186" s="243"/>
      <c r="J186" s="243"/>
      <c r="K186" s="243"/>
      <c r="L186" s="141"/>
      <c r="M186" s="459"/>
      <c r="N186" s="141"/>
      <c r="O186" s="141"/>
      <c r="P186" s="141"/>
      <c r="Q186" s="148"/>
      <c r="R186" s="148"/>
      <c r="S186" s="149"/>
      <c r="T186" s="149"/>
      <c r="U186" s="150"/>
      <c r="V186" s="150"/>
      <c r="W186" s="150"/>
      <c r="X186" s="150"/>
      <c r="Y186" s="150"/>
      <c r="Z186" s="150"/>
      <c r="AA186" s="150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39" s="213" customFormat="1" thickBot="1">
      <c r="B187" s="225"/>
      <c r="D187" s="1977"/>
      <c r="F187" s="242"/>
      <c r="G187" s="243"/>
      <c r="H187" s="3341"/>
      <c r="I187" s="243"/>
      <c r="J187" s="243"/>
      <c r="K187" s="243"/>
      <c r="L187" s="141"/>
      <c r="M187" s="459"/>
      <c r="N187" s="141"/>
      <c r="O187" s="141"/>
      <c r="P187" s="141"/>
      <c r="Q187" s="148"/>
      <c r="R187" s="148"/>
      <c r="S187" s="149"/>
      <c r="T187" s="149"/>
      <c r="U187" s="150"/>
      <c r="V187" s="150"/>
      <c r="W187" s="150"/>
      <c r="X187" s="150"/>
      <c r="Y187" s="150"/>
      <c r="Z187" s="150"/>
      <c r="AA187" s="150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39" s="213" customFormat="1" thickBot="1">
      <c r="B188" s="225"/>
      <c r="D188" s="1977"/>
      <c r="F188" s="242"/>
      <c r="G188" s="243"/>
      <c r="H188" s="3341"/>
      <c r="I188" s="243"/>
      <c r="J188" s="243"/>
      <c r="K188" s="243"/>
      <c r="L188" s="141"/>
      <c r="M188" s="459"/>
      <c r="N188" s="141"/>
      <c r="O188" s="141"/>
      <c r="P188" s="141"/>
      <c r="Q188" s="148"/>
      <c r="R188" s="148"/>
      <c r="S188" s="149"/>
      <c r="T188" s="149"/>
      <c r="U188" s="150"/>
      <c r="V188" s="150"/>
      <c r="W188" s="150"/>
      <c r="X188" s="150"/>
      <c r="Y188" s="150"/>
      <c r="Z188" s="150"/>
      <c r="AA188" s="150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39" s="213" customFormat="1" thickBot="1">
      <c r="B189" s="225"/>
      <c r="D189" s="1977"/>
      <c r="F189" s="242"/>
      <c r="G189" s="243"/>
      <c r="H189" s="3341"/>
      <c r="I189" s="243"/>
      <c r="J189" s="243"/>
      <c r="K189" s="243"/>
      <c r="L189" s="141"/>
      <c r="M189" s="459"/>
      <c r="N189" s="141"/>
      <c r="O189" s="141"/>
      <c r="P189" s="141"/>
      <c r="Q189" s="148"/>
      <c r="R189" s="148"/>
      <c r="S189" s="149"/>
      <c r="T189" s="149"/>
      <c r="U189" s="150"/>
      <c r="V189" s="150"/>
      <c r="W189" s="150"/>
      <c r="X189" s="150"/>
      <c r="Y189" s="150"/>
      <c r="Z189" s="150"/>
      <c r="AA189" s="150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39" s="213" customFormat="1" thickBot="1">
      <c r="B190" s="225"/>
      <c r="D190" s="1977"/>
      <c r="F190" s="242"/>
      <c r="G190" s="243"/>
      <c r="H190" s="3341"/>
      <c r="I190" s="243"/>
      <c r="J190" s="243"/>
      <c r="K190" s="243"/>
      <c r="L190" s="141"/>
      <c r="M190" s="459"/>
      <c r="N190" s="141"/>
      <c r="O190" s="141"/>
      <c r="P190" s="141"/>
      <c r="Q190" s="148"/>
      <c r="R190" s="148"/>
      <c r="S190" s="149"/>
      <c r="T190" s="149"/>
      <c r="U190" s="150"/>
      <c r="V190" s="150"/>
      <c r="W190" s="150"/>
      <c r="X190" s="150"/>
      <c r="Y190" s="150"/>
      <c r="Z190" s="150"/>
      <c r="AA190" s="150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39" s="213" customFormat="1" thickBot="1">
      <c r="B191" s="225"/>
      <c r="D191" s="1977"/>
      <c r="F191" s="242"/>
      <c r="G191" s="243"/>
      <c r="H191" s="3341"/>
      <c r="I191" s="243"/>
      <c r="J191" s="243"/>
      <c r="K191" s="243"/>
      <c r="L191" s="141"/>
      <c r="M191" s="459"/>
      <c r="N191" s="141"/>
      <c r="O191" s="141"/>
      <c r="P191" s="141"/>
      <c r="Q191" s="148"/>
      <c r="R191" s="148"/>
      <c r="S191" s="149"/>
      <c r="T191" s="149"/>
      <c r="U191" s="150"/>
      <c r="V191" s="150"/>
      <c r="W191" s="150"/>
      <c r="X191" s="150"/>
      <c r="Y191" s="150"/>
      <c r="Z191" s="150"/>
      <c r="AA191" s="150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39" s="213" customFormat="1" thickBot="1">
      <c r="B192" s="225"/>
      <c r="D192" s="1977"/>
      <c r="F192" s="242"/>
      <c r="G192" s="243"/>
      <c r="H192" s="3341"/>
      <c r="I192" s="243"/>
      <c r="J192" s="243"/>
      <c r="K192" s="243"/>
      <c r="L192" s="141"/>
      <c r="M192" s="459"/>
      <c r="N192" s="141"/>
      <c r="O192" s="141"/>
      <c r="P192" s="141"/>
      <c r="Q192" s="148"/>
      <c r="R192" s="148"/>
      <c r="S192" s="149"/>
      <c r="T192" s="149"/>
      <c r="U192" s="150"/>
      <c r="V192" s="150"/>
      <c r="W192" s="150"/>
      <c r="X192" s="150"/>
      <c r="Y192" s="150"/>
      <c r="Z192" s="150"/>
      <c r="AA192" s="150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1:40" s="213" customFormat="1" thickBot="1">
      <c r="B193" s="225"/>
      <c r="D193" s="1977"/>
      <c r="F193" s="242"/>
      <c r="G193" s="243"/>
      <c r="H193" s="3341"/>
      <c r="I193" s="243"/>
      <c r="J193" s="243"/>
      <c r="K193" s="243"/>
      <c r="L193" s="141"/>
      <c r="M193" s="459"/>
      <c r="N193" s="141"/>
      <c r="O193" s="141"/>
      <c r="P193" s="141"/>
      <c r="Q193" s="148"/>
      <c r="R193" s="148"/>
      <c r="S193" s="149"/>
      <c r="T193" s="149"/>
      <c r="U193" s="150"/>
      <c r="V193" s="150"/>
      <c r="W193" s="150"/>
      <c r="X193" s="150"/>
      <c r="Y193" s="150"/>
      <c r="Z193" s="150"/>
      <c r="AA193" s="150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1:40" s="213" customFormat="1" thickBot="1">
      <c r="B194" s="225"/>
      <c r="D194" s="1977"/>
      <c r="F194" s="242"/>
      <c r="G194" s="243"/>
      <c r="H194" s="3341"/>
      <c r="I194" s="243"/>
      <c r="J194" s="243"/>
      <c r="K194" s="243"/>
      <c r="L194" s="141"/>
      <c r="M194" s="459"/>
      <c r="N194" s="141"/>
      <c r="O194" s="141"/>
      <c r="P194" s="141"/>
      <c r="Q194" s="148"/>
      <c r="R194" s="148"/>
      <c r="S194" s="149"/>
      <c r="T194" s="149"/>
      <c r="U194" s="150"/>
      <c r="V194" s="150"/>
      <c r="W194" s="150"/>
      <c r="X194" s="150"/>
      <c r="Y194" s="150"/>
      <c r="Z194" s="150"/>
      <c r="AA194" s="150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1:40" s="213" customFormat="1" thickBot="1">
      <c r="B195" s="225"/>
      <c r="D195" s="1977"/>
      <c r="F195" s="242"/>
      <c r="G195" s="243"/>
      <c r="H195" s="3341"/>
      <c r="I195" s="243"/>
      <c r="J195" s="243"/>
      <c r="K195" s="243"/>
      <c r="L195" s="141"/>
      <c r="M195" s="459"/>
      <c r="N195" s="141"/>
      <c r="O195" s="141"/>
      <c r="P195" s="141"/>
      <c r="Q195" s="148"/>
      <c r="R195" s="148"/>
      <c r="S195" s="149"/>
      <c r="T195" s="149"/>
      <c r="U195" s="150"/>
      <c r="V195" s="150"/>
      <c r="W195" s="150"/>
      <c r="X195" s="150"/>
      <c r="Y195" s="150"/>
      <c r="Z195" s="150"/>
      <c r="AA195" s="150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1:40" s="213" customFormat="1" thickBot="1">
      <c r="B196" s="225"/>
      <c r="D196" s="1977"/>
      <c r="F196" s="242"/>
      <c r="G196" s="243"/>
      <c r="H196" s="3341"/>
      <c r="I196" s="243"/>
      <c r="J196" s="243"/>
      <c r="K196" s="243"/>
      <c r="L196" s="141"/>
      <c r="M196" s="459"/>
      <c r="N196" s="141"/>
      <c r="O196" s="141"/>
      <c r="P196" s="141"/>
      <c r="Q196" s="148"/>
      <c r="R196" s="148"/>
      <c r="S196" s="149"/>
      <c r="T196" s="149"/>
      <c r="U196" s="150"/>
      <c r="V196" s="150"/>
      <c r="W196" s="150"/>
      <c r="X196" s="150"/>
      <c r="Y196" s="150"/>
      <c r="Z196" s="150"/>
      <c r="AA196" s="150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1:40" s="213" customFormat="1" thickBot="1">
      <c r="B197" s="225"/>
      <c r="D197" s="1977"/>
      <c r="F197" s="242"/>
      <c r="G197" s="243"/>
      <c r="H197" s="3341"/>
      <c r="I197" s="243"/>
      <c r="J197" s="243"/>
      <c r="K197" s="243"/>
      <c r="L197" s="141"/>
      <c r="M197" s="459"/>
      <c r="N197" s="141"/>
      <c r="O197" s="141"/>
      <c r="P197" s="141"/>
      <c r="Q197" s="148"/>
      <c r="R197" s="148"/>
      <c r="S197" s="149"/>
      <c r="T197" s="149"/>
      <c r="U197" s="150"/>
      <c r="V197" s="150"/>
      <c r="W197" s="150"/>
      <c r="X197" s="150"/>
      <c r="Y197" s="150"/>
      <c r="Z197" s="150"/>
      <c r="AA197" s="150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1:40" s="213" customFormat="1" thickBot="1">
      <c r="B198" s="225"/>
      <c r="D198" s="1977"/>
      <c r="F198" s="242"/>
      <c r="G198" s="243"/>
      <c r="H198" s="3341"/>
      <c r="I198" s="243"/>
      <c r="J198" s="243"/>
      <c r="K198" s="243"/>
      <c r="L198" s="141"/>
      <c r="M198" s="459"/>
      <c r="N198" s="141"/>
      <c r="O198" s="141"/>
      <c r="P198" s="141"/>
      <c r="Q198" s="148"/>
      <c r="R198" s="148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1:40" s="213" customFormat="1" thickBot="1">
      <c r="B199" s="225"/>
      <c r="D199" s="1977"/>
      <c r="F199" s="242"/>
      <c r="G199" s="243"/>
      <c r="H199" s="3341"/>
      <c r="I199" s="243"/>
      <c r="J199" s="243"/>
      <c r="K199" s="243"/>
      <c r="L199" s="141"/>
      <c r="M199" s="459"/>
      <c r="N199" s="141"/>
      <c r="O199" s="141"/>
      <c r="P199" s="141"/>
      <c r="Q199" s="148"/>
      <c r="R199" s="148"/>
      <c r="S199" s="149"/>
      <c r="T199" s="149"/>
      <c r="U199" s="150"/>
      <c r="V199" s="150"/>
      <c r="W199" s="150"/>
      <c r="X199" s="150"/>
      <c r="Y199" s="150"/>
      <c r="Z199" s="150"/>
      <c r="AA199" s="150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1:40" s="213" customFormat="1" thickBot="1">
      <c r="B200" s="225"/>
      <c r="D200" s="1977"/>
      <c r="F200" s="242"/>
      <c r="G200" s="243"/>
      <c r="H200" s="3341"/>
      <c r="I200" s="243"/>
      <c r="J200" s="243"/>
      <c r="K200" s="243"/>
      <c r="L200" s="141"/>
      <c r="M200" s="459"/>
      <c r="N200" s="141"/>
      <c r="O200" s="141"/>
      <c r="P200" s="141"/>
      <c r="Q200" s="148"/>
      <c r="R200" s="148"/>
      <c r="S200" s="149"/>
      <c r="T200" s="149"/>
      <c r="U200" s="150"/>
      <c r="V200" s="150"/>
      <c r="W200" s="150"/>
      <c r="X200" s="150"/>
      <c r="Y200" s="150"/>
      <c r="Z200" s="150"/>
      <c r="AA200" s="150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1:40" s="213" customFormat="1" thickBot="1">
      <c r="B201" s="225"/>
      <c r="D201" s="1977"/>
      <c r="F201" s="242"/>
      <c r="G201" s="243"/>
      <c r="H201" s="3341"/>
      <c r="I201" s="243"/>
      <c r="J201" s="243"/>
      <c r="K201" s="243"/>
      <c r="L201" s="141"/>
      <c r="M201" s="459"/>
      <c r="N201" s="141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1:40" s="213" customFormat="1" thickBot="1">
      <c r="B202" s="225"/>
      <c r="D202" s="1977"/>
      <c r="F202" s="242"/>
      <c r="G202" s="243"/>
      <c r="H202" s="3341"/>
      <c r="I202" s="243"/>
      <c r="J202" s="243"/>
      <c r="K202" s="243"/>
      <c r="L202" s="141"/>
      <c r="M202" s="459"/>
      <c r="N202" s="141"/>
      <c r="O202" s="141"/>
      <c r="P202" s="141"/>
      <c r="Q202" s="148"/>
      <c r="R202" s="148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1:40" s="213" customFormat="1" thickBot="1">
      <c r="B203" s="225"/>
      <c r="D203" s="1977"/>
      <c r="F203" s="242"/>
      <c r="G203" s="243"/>
      <c r="H203" s="3341"/>
      <c r="I203" s="243"/>
      <c r="J203" s="243"/>
      <c r="K203" s="243"/>
      <c r="L203" s="141"/>
      <c r="M203" s="459"/>
      <c r="N203" s="141"/>
      <c r="O203" s="141"/>
      <c r="P203" s="141"/>
      <c r="Q203" s="148"/>
      <c r="R203" s="148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1:40" thickBot="1">
      <c r="A204" s="204"/>
      <c r="L204" s="155"/>
      <c r="N204" s="155"/>
      <c r="O204" s="155"/>
      <c r="P204" s="155"/>
      <c r="Q204" s="156"/>
      <c r="R204" s="156"/>
      <c r="S204" s="251"/>
      <c r="T204" s="251"/>
      <c r="U204" s="252"/>
      <c r="V204" s="252"/>
      <c r="W204" s="252"/>
      <c r="X204" s="252"/>
      <c r="Y204" s="252"/>
      <c r="Z204" s="252"/>
      <c r="AA204" s="252"/>
      <c r="AN204" s="204"/>
    </row>
    <row r="205" spans="1:40" thickBot="1">
      <c r="A205" s="204"/>
      <c r="L205" s="155"/>
      <c r="N205" s="155"/>
      <c r="O205" s="155"/>
      <c r="P205" s="155"/>
      <c r="Q205" s="156"/>
      <c r="R205" s="156"/>
      <c r="S205" s="251"/>
      <c r="T205" s="251"/>
      <c r="U205" s="252"/>
      <c r="V205" s="252"/>
      <c r="W205" s="252"/>
      <c r="X205" s="252"/>
      <c r="Y205" s="252"/>
      <c r="Z205" s="252"/>
      <c r="AA205" s="252"/>
      <c r="AN205" s="204"/>
    </row>
    <row r="206" spans="1:40" thickBot="1">
      <c r="A206" s="204"/>
      <c r="L206" s="155"/>
      <c r="N206" s="155"/>
      <c r="O206" s="155"/>
      <c r="P206" s="155"/>
      <c r="Q206" s="156"/>
      <c r="R206" s="156"/>
      <c r="S206" s="251"/>
      <c r="T206" s="251"/>
      <c r="U206" s="252"/>
      <c r="V206" s="252"/>
      <c r="W206" s="252"/>
      <c r="X206" s="252"/>
      <c r="Y206" s="252"/>
      <c r="Z206" s="252"/>
      <c r="AA206" s="252"/>
      <c r="AN206" s="204"/>
    </row>
    <row r="207" spans="1:40" thickBot="1">
      <c r="A207" s="204"/>
      <c r="L207" s="155"/>
      <c r="N207" s="155"/>
      <c r="O207" s="155"/>
      <c r="P207" s="155"/>
      <c r="Q207" s="156"/>
      <c r="R207" s="156"/>
      <c r="S207" s="251"/>
      <c r="T207" s="251"/>
      <c r="U207" s="252"/>
      <c r="V207" s="252"/>
      <c r="W207" s="252"/>
      <c r="X207" s="252"/>
      <c r="Y207" s="252"/>
      <c r="Z207" s="252"/>
      <c r="AA207" s="252"/>
      <c r="AN207" s="204"/>
    </row>
    <row r="208" spans="1:40" thickBot="1">
      <c r="A208" s="204"/>
      <c r="L208" s="155"/>
      <c r="N208" s="155"/>
      <c r="O208" s="155"/>
      <c r="P208" s="155"/>
      <c r="Q208" s="156"/>
      <c r="R208" s="156"/>
      <c r="S208" s="251"/>
      <c r="T208" s="251"/>
      <c r="U208" s="252"/>
      <c r="V208" s="252"/>
      <c r="W208" s="252"/>
      <c r="X208" s="252"/>
      <c r="Y208" s="252"/>
      <c r="Z208" s="252"/>
      <c r="AA208" s="252"/>
      <c r="AN208" s="204"/>
    </row>
    <row r="209" spans="1:40" thickBot="1">
      <c r="A209" s="204"/>
      <c r="L209" s="155"/>
      <c r="N209" s="155"/>
      <c r="O209" s="155"/>
      <c r="P209" s="155"/>
      <c r="Q209" s="156"/>
      <c r="R209" s="156"/>
      <c r="S209" s="251"/>
      <c r="T209" s="251"/>
      <c r="U209" s="252"/>
      <c r="V209" s="252"/>
      <c r="W209" s="252"/>
      <c r="X209" s="252"/>
      <c r="Y209" s="252"/>
      <c r="Z209" s="252"/>
      <c r="AA209" s="252"/>
      <c r="AN209" s="204"/>
    </row>
    <row r="210" spans="1:40" thickBot="1">
      <c r="A210" s="204"/>
      <c r="L210" s="155"/>
      <c r="N210" s="155"/>
      <c r="O210" s="155"/>
      <c r="P210" s="155"/>
      <c r="Q210" s="156"/>
      <c r="R210" s="156"/>
      <c r="S210" s="251"/>
      <c r="T210" s="251"/>
      <c r="U210" s="252"/>
      <c r="V210" s="252"/>
      <c r="W210" s="252"/>
      <c r="X210" s="252"/>
      <c r="Y210" s="252"/>
      <c r="Z210" s="252"/>
      <c r="AA210" s="252"/>
      <c r="AN210" s="204"/>
    </row>
    <row r="211" spans="1:40" thickBot="1">
      <c r="A211" s="204"/>
      <c r="L211" s="155"/>
      <c r="N211" s="155"/>
      <c r="O211" s="155"/>
      <c r="P211" s="155"/>
      <c r="Q211" s="156"/>
      <c r="R211" s="156"/>
      <c r="S211" s="251"/>
      <c r="T211" s="251"/>
      <c r="U211" s="252"/>
      <c r="V211" s="252"/>
      <c r="W211" s="252"/>
      <c r="X211" s="252"/>
      <c r="Y211" s="252"/>
      <c r="Z211" s="252"/>
      <c r="AA211" s="252"/>
      <c r="AN211" s="204"/>
    </row>
    <row r="212" spans="1:40" thickBot="1">
      <c r="A212" s="204"/>
      <c r="L212" s="155"/>
      <c r="N212" s="155"/>
      <c r="O212" s="155"/>
      <c r="P212" s="155"/>
      <c r="Q212" s="156"/>
      <c r="R212" s="156"/>
      <c r="S212" s="251"/>
      <c r="T212" s="251"/>
      <c r="U212" s="252"/>
      <c r="V212" s="252"/>
      <c r="W212" s="252"/>
      <c r="X212" s="252"/>
      <c r="Y212" s="252"/>
      <c r="Z212" s="252"/>
      <c r="AA212" s="252"/>
      <c r="AN212" s="204"/>
    </row>
    <row r="213" spans="1:40" thickBot="1">
      <c r="A213" s="204"/>
      <c r="B213" s="204"/>
      <c r="F213" s="204"/>
      <c r="G213" s="204"/>
      <c r="H213" s="3351"/>
      <c r="I213" s="204"/>
      <c r="J213" s="204"/>
      <c r="K213" s="204"/>
      <c r="L213" s="155"/>
      <c r="M213" s="204"/>
      <c r="N213" s="155"/>
      <c r="O213" s="155"/>
      <c r="P213" s="155"/>
      <c r="Q213" s="156"/>
      <c r="R213" s="156"/>
      <c r="S213" s="251"/>
      <c r="T213" s="251"/>
      <c r="U213" s="252"/>
      <c r="V213" s="252"/>
      <c r="W213" s="252"/>
      <c r="X213" s="252"/>
      <c r="Y213" s="252"/>
      <c r="Z213" s="252"/>
      <c r="AA213" s="252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</row>
    <row r="214" spans="1:40" thickBot="1">
      <c r="A214" s="204"/>
      <c r="B214" s="204"/>
      <c r="F214" s="204"/>
      <c r="G214" s="204"/>
      <c r="H214" s="3351"/>
      <c r="I214" s="204"/>
      <c r="J214" s="204"/>
      <c r="K214" s="204"/>
      <c r="L214" s="155"/>
      <c r="M214" s="204"/>
      <c r="N214" s="155"/>
      <c r="O214" s="155"/>
      <c r="P214" s="155"/>
      <c r="Q214" s="156"/>
      <c r="R214" s="156"/>
      <c r="S214" s="251"/>
      <c r="T214" s="251"/>
      <c r="U214" s="252"/>
      <c r="V214" s="252"/>
      <c r="W214" s="252"/>
      <c r="X214" s="252"/>
      <c r="Y214" s="252"/>
      <c r="Z214" s="252"/>
      <c r="AA214" s="252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</row>
    <row r="215" spans="1:40" thickBot="1">
      <c r="A215" s="204"/>
      <c r="B215" s="204"/>
      <c r="F215" s="204"/>
      <c r="G215" s="204"/>
      <c r="H215" s="3351"/>
      <c r="I215" s="204"/>
      <c r="J215" s="204"/>
      <c r="K215" s="204"/>
      <c r="L215" s="155"/>
      <c r="M215" s="204"/>
      <c r="N215" s="155"/>
      <c r="O215" s="155"/>
      <c r="P215" s="155"/>
      <c r="Q215" s="156"/>
      <c r="R215" s="156"/>
      <c r="S215" s="251"/>
      <c r="T215" s="251"/>
      <c r="U215" s="252"/>
      <c r="V215" s="252"/>
      <c r="W215" s="252"/>
      <c r="X215" s="252"/>
      <c r="Y215" s="252"/>
      <c r="Z215" s="252"/>
      <c r="AA215" s="252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</row>
    <row r="216" spans="1:40" thickBot="1">
      <c r="A216" s="204"/>
      <c r="B216" s="204"/>
      <c r="F216" s="204"/>
      <c r="G216" s="204"/>
      <c r="H216" s="3351"/>
      <c r="I216" s="204"/>
      <c r="J216" s="204"/>
      <c r="K216" s="204"/>
      <c r="L216" s="155"/>
      <c r="M216" s="204"/>
      <c r="N216" s="155"/>
      <c r="O216" s="155"/>
      <c r="P216" s="155"/>
      <c r="Q216" s="156"/>
      <c r="R216" s="156"/>
      <c r="S216" s="251"/>
      <c r="T216" s="251"/>
      <c r="U216" s="252"/>
      <c r="V216" s="252"/>
      <c r="W216" s="252"/>
      <c r="X216" s="252"/>
      <c r="Y216" s="252"/>
      <c r="Z216" s="252"/>
      <c r="AA216" s="252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</row>
    <row r="218" spans="1:40" ht="13"/>
    <row r="219" spans="1:40" ht="13"/>
    <row r="220" spans="1:40" ht="13"/>
    <row r="221" spans="1:40" ht="13"/>
    <row r="222" spans="1:40" ht="13"/>
    <row r="223" spans="1:40" ht="13"/>
    <row r="224" spans="1:40" ht="13"/>
    <row r="225" ht="13"/>
    <row r="226" ht="13"/>
    <row r="227" ht="13"/>
    <row r="228" ht="13"/>
    <row r="229" ht="13"/>
    <row r="230" ht="13"/>
    <row r="231" ht="13"/>
    <row r="233" ht="13"/>
    <row r="234" ht="13"/>
    <row r="235" ht="13"/>
    <row r="236" ht="13"/>
    <row r="237" ht="13"/>
    <row r="238" ht="13"/>
    <row r="239" ht="13"/>
    <row r="240" ht="13"/>
    <row r="241" ht="13"/>
    <row r="242" ht="13"/>
    <row r="243" ht="13"/>
    <row r="244" ht="13"/>
    <row r="245" ht="13"/>
    <row r="246" ht="13"/>
    <row r="248" ht="13"/>
    <row r="249" ht="13"/>
    <row r="250" ht="13"/>
    <row r="251" ht="13"/>
    <row r="252" ht="13"/>
    <row r="253" ht="13"/>
    <row r="254" ht="13"/>
    <row r="255" ht="13"/>
  </sheetData>
  <mergeCells count="1">
    <mergeCell ref="Q34:R34"/>
  </mergeCells>
  <printOptions horizontalCentered="1" verticalCentered="1"/>
  <pageMargins left="0" right="0" top="0.39370078740157483" bottom="0" header="0.19685039370078741" footer="0"/>
  <pageSetup paperSize="9" scale="104" orientation="landscape" horizontalDpi="0" verticalDpi="0"/>
  <headerFooter>
    <oddHeader xml:space="preserve">&amp;L&amp;K000000          &amp;D&amp;C&amp;K000000        &amp;F&amp;R&amp;K000000&amp;N              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32D31-4535-824E-B9CE-87CD368A537B}">
  <sheetPr codeName="Hoja36"/>
  <dimension ref="A1:X33"/>
  <sheetViews>
    <sheetView topLeftCell="A3" zoomScale="150" zoomScaleNormal="150" workbookViewId="0">
      <selection activeCell="Z24" sqref="Y24:Z24"/>
    </sheetView>
  </sheetViews>
  <sheetFormatPr baseColWidth="10" defaultRowHeight="13"/>
  <cols>
    <col min="1" max="1" width="2" customWidth="1"/>
    <col min="2" max="2" width="2.5" customWidth="1"/>
    <col min="5" max="5" width="11" customWidth="1"/>
    <col min="6" max="8" width="8.6640625" customWidth="1"/>
    <col min="10" max="10" width="10.1640625" customWidth="1"/>
    <col min="11" max="11" width="11.33203125" bestFit="1" customWidth="1"/>
    <col min="12" max="12" width="3.33203125" customWidth="1"/>
    <col min="13" max="13" width="10.6640625" customWidth="1"/>
    <col min="14" max="14" width="5.1640625" customWidth="1"/>
    <col min="15" max="15" width="5.33203125" customWidth="1"/>
    <col min="16" max="16" width="5.6640625" customWidth="1"/>
    <col min="17" max="18" width="5.1640625" customWidth="1"/>
    <col min="19" max="20" width="5.33203125" customWidth="1"/>
    <col min="21" max="22" width="5.5" customWidth="1"/>
    <col min="23" max="23" width="5.1640625" customWidth="1"/>
    <col min="24" max="24" width="13.83203125" customWidth="1"/>
  </cols>
  <sheetData>
    <row r="1" spans="1:24" ht="12" customHeight="1">
      <c r="B1" s="3290"/>
      <c r="C1" s="3290"/>
      <c r="D1" s="3290"/>
      <c r="E1" s="3290"/>
      <c r="F1" s="3290"/>
      <c r="G1" s="3290"/>
      <c r="H1" s="3290"/>
      <c r="I1" s="3290"/>
      <c r="J1" s="3290"/>
      <c r="K1" s="3290"/>
      <c r="L1" s="3290"/>
      <c r="M1" s="3290"/>
      <c r="N1" s="3290"/>
      <c r="O1" s="3290"/>
      <c r="P1" s="3290"/>
      <c r="Q1" s="3290"/>
      <c r="R1" s="3290"/>
    </row>
    <row r="2" spans="1:24" ht="63" customHeight="1" thickBot="1">
      <c r="B2" s="3290"/>
      <c r="C2" s="3281" t="s">
        <v>1550</v>
      </c>
      <c r="D2" s="3281" t="s">
        <v>1549</v>
      </c>
      <c r="E2" s="3281" t="s">
        <v>447</v>
      </c>
      <c r="F2" s="3286" t="s">
        <v>477</v>
      </c>
      <c r="G2" s="3286" t="s">
        <v>1289</v>
      </c>
      <c r="H2" s="3282" t="s">
        <v>1546</v>
      </c>
      <c r="I2" s="3282" t="s">
        <v>1551</v>
      </c>
      <c r="J2" s="3282" t="s">
        <v>1548</v>
      </c>
      <c r="K2" s="3283" t="s">
        <v>1552</v>
      </c>
      <c r="L2" s="3290"/>
      <c r="M2" s="6818" t="s">
        <v>2350</v>
      </c>
      <c r="N2" s="7974"/>
      <c r="O2" s="7974"/>
      <c r="R2" s="3290"/>
    </row>
    <row r="3" spans="1:24" ht="29" customHeight="1" thickBot="1">
      <c r="B3" s="3290"/>
      <c r="C3" s="7940" t="s">
        <v>215</v>
      </c>
      <c r="D3" s="7940">
        <v>100</v>
      </c>
      <c r="E3" s="3285" t="s">
        <v>1545</v>
      </c>
      <c r="F3" s="3287">
        <v>1</v>
      </c>
      <c r="G3" s="3291">
        <v>0.96</v>
      </c>
      <c r="H3" s="3288">
        <f>F3*60+G3</f>
        <v>60.96</v>
      </c>
      <c r="I3" s="3284">
        <f>$D$3/H3</f>
        <v>1.6404199475065617</v>
      </c>
      <c r="J3" s="7936">
        <f>I4-I3</f>
        <v>3.1820855169023554E-2</v>
      </c>
      <c r="K3" s="7938">
        <f>INT(J3*100)+101</f>
        <v>104</v>
      </c>
      <c r="L3" s="3290"/>
      <c r="M3">
        <f>H3/1.04</f>
        <v>58.615384615384613</v>
      </c>
      <c r="N3" s="7975" t="s">
        <v>1547</v>
      </c>
      <c r="O3" s="7976"/>
      <c r="P3" s="7979">
        <v>59.8</v>
      </c>
      <c r="Q3" s="7980"/>
      <c r="R3" s="3290"/>
    </row>
    <row r="4" spans="1:24" ht="27" customHeight="1" thickBot="1">
      <c r="B4" s="3290"/>
      <c r="C4" s="7941"/>
      <c r="D4" s="7941"/>
      <c r="E4" s="3289" t="s">
        <v>1547</v>
      </c>
      <c r="F4" s="3287">
        <v>0</v>
      </c>
      <c r="G4" s="3291">
        <v>59.8</v>
      </c>
      <c r="H4" s="3288">
        <f>F4*60+G4</f>
        <v>59.8</v>
      </c>
      <c r="I4" s="3284">
        <f>$D$3/H4</f>
        <v>1.6722408026755853</v>
      </c>
      <c r="J4" s="7937"/>
      <c r="K4" s="7939"/>
      <c r="L4" s="3290"/>
      <c r="M4">
        <f>H4/1.04</f>
        <v>57.499999999999993</v>
      </c>
      <c r="N4" s="7977" t="s">
        <v>2352</v>
      </c>
      <c r="O4" s="7978"/>
      <c r="P4" s="7981">
        <f>M4</f>
        <v>57.499999999999993</v>
      </c>
      <c r="Q4" s="7982">
        <f t="shared" ref="Q4" si="0">L4/1.04</f>
        <v>0</v>
      </c>
      <c r="R4" s="3290"/>
    </row>
    <row r="5" spans="1:24" ht="13" customHeight="1" thickBot="1">
      <c r="B5" s="3290"/>
      <c r="C5" s="3290"/>
      <c r="D5" s="3290"/>
      <c r="E5" s="3290"/>
      <c r="F5" s="3290"/>
      <c r="G5" s="3290"/>
      <c r="H5" s="3290"/>
      <c r="I5" s="3290"/>
      <c r="J5" s="3290"/>
      <c r="K5" s="3290"/>
      <c r="L5" s="3290"/>
      <c r="M5" s="3290"/>
      <c r="N5" s="3290"/>
      <c r="O5" s="3290"/>
      <c r="P5" s="3290"/>
      <c r="Q5" s="3290"/>
      <c r="R5" s="3290"/>
    </row>
    <row r="6" spans="1:24" ht="14" thickBot="1">
      <c r="A6" s="4652"/>
      <c r="B6" s="4653"/>
      <c r="C6" s="4653"/>
      <c r="D6" s="4653"/>
      <c r="E6" s="4653"/>
      <c r="F6" s="4653"/>
      <c r="G6" s="4653"/>
      <c r="H6" s="4653"/>
      <c r="I6" s="4653"/>
      <c r="J6" s="4654"/>
    </row>
    <row r="7" spans="1:24" ht="26" thickBot="1">
      <c r="A7" s="4655"/>
      <c r="B7" s="4650"/>
      <c r="C7" s="4651" t="s">
        <v>1991</v>
      </c>
      <c r="D7" s="2460"/>
      <c r="E7" s="2460"/>
      <c r="F7" s="2460"/>
      <c r="G7" s="2460"/>
      <c r="H7" s="2460"/>
      <c r="I7" s="2461"/>
      <c r="J7" s="4656"/>
      <c r="L7" s="3146" t="s">
        <v>2351</v>
      </c>
    </row>
    <row r="8" spans="1:24" ht="14" thickBot="1">
      <c r="A8" s="4655"/>
      <c r="B8" s="4657"/>
      <c r="C8" s="4657"/>
      <c r="D8" s="4657"/>
      <c r="E8" s="4657"/>
      <c r="F8" s="4657"/>
      <c r="G8" s="4657"/>
      <c r="H8" s="4657"/>
      <c r="I8" s="4657"/>
      <c r="J8" s="4656"/>
      <c r="M8" s="6789" t="s">
        <v>2335</v>
      </c>
      <c r="N8" s="6790"/>
      <c r="O8" s="6791"/>
      <c r="P8" s="7959" t="s">
        <v>139</v>
      </c>
      <c r="Q8" s="7960"/>
      <c r="R8" s="7959"/>
      <c r="S8" s="7960"/>
      <c r="T8" s="7946"/>
      <c r="U8" s="7947"/>
      <c r="V8" s="324"/>
      <c r="W8" s="324"/>
    </row>
    <row r="9" spans="1:24" ht="14" thickBot="1">
      <c r="A9" s="4655"/>
      <c r="B9" s="2444">
        <v>1</v>
      </c>
      <c r="C9" s="2459" t="s">
        <v>1992</v>
      </c>
      <c r="D9" s="2460"/>
      <c r="E9" s="2460"/>
      <c r="F9" s="2460"/>
      <c r="G9" s="2461"/>
      <c r="H9" s="4657"/>
      <c r="I9" s="4657"/>
      <c r="J9" s="4656"/>
      <c r="M9" s="6792" t="s">
        <v>2336</v>
      </c>
      <c r="N9" s="6784"/>
      <c r="O9" s="6793"/>
      <c r="P9" s="7961" t="s">
        <v>710</v>
      </c>
      <c r="Q9" s="7962"/>
      <c r="R9" s="7983"/>
      <c r="S9" s="7984"/>
      <c r="T9" s="7948"/>
      <c r="U9" s="7949"/>
      <c r="V9" s="7963" t="s">
        <v>1638</v>
      </c>
      <c r="W9" s="7964"/>
      <c r="X9" s="7967" t="s">
        <v>2347</v>
      </c>
    </row>
    <row r="10" spans="1:24">
      <c r="A10" s="4655"/>
      <c r="B10" s="4658" t="s">
        <v>1995</v>
      </c>
      <c r="C10" s="4659" t="s">
        <v>1993</v>
      </c>
      <c r="D10" s="4660"/>
      <c r="E10" s="4660"/>
      <c r="F10" s="4660"/>
      <c r="G10" s="4660"/>
      <c r="H10" s="4657"/>
      <c r="I10" s="4657"/>
      <c r="J10" s="4656"/>
      <c r="M10" s="6792" t="s">
        <v>2337</v>
      </c>
      <c r="N10" s="6784"/>
      <c r="O10" s="6793"/>
      <c r="P10" s="7961" t="s">
        <v>713</v>
      </c>
      <c r="Q10" s="7962"/>
      <c r="R10" s="7985"/>
      <c r="S10" s="7986"/>
      <c r="T10" s="7950"/>
      <c r="U10" s="7951"/>
      <c r="V10" s="7965"/>
      <c r="W10" s="7966"/>
      <c r="X10" s="7968"/>
    </row>
    <row r="11" spans="1:24">
      <c r="A11" s="4655"/>
      <c r="B11" s="4658" t="s">
        <v>1995</v>
      </c>
      <c r="C11" s="4659" t="s">
        <v>1994</v>
      </c>
      <c r="D11" s="4660"/>
      <c r="E11" s="4660"/>
      <c r="F11" s="4660"/>
      <c r="G11" s="4660"/>
      <c r="H11" s="4657"/>
      <c r="I11" s="4657"/>
      <c r="J11" s="4656"/>
      <c r="M11" s="6794" t="s">
        <v>2338</v>
      </c>
      <c r="N11" s="6788"/>
      <c r="O11" s="6795"/>
      <c r="P11" s="7961" t="s">
        <v>20</v>
      </c>
      <c r="Q11" s="7962"/>
      <c r="R11" s="7954"/>
      <c r="S11" s="7955"/>
      <c r="T11" s="7952"/>
      <c r="U11" s="7953"/>
      <c r="V11" s="7969" t="s">
        <v>2348</v>
      </c>
      <c r="W11" s="7970"/>
      <c r="X11" s="7968"/>
    </row>
    <row r="12" spans="1:24" ht="14" thickBot="1">
      <c r="A12" s="4655"/>
      <c r="B12" s="4658" t="s">
        <v>1995</v>
      </c>
      <c r="C12" s="4659" t="s">
        <v>1996</v>
      </c>
      <c r="D12" s="4659" t="s">
        <v>1997</v>
      </c>
      <c r="E12" s="4660"/>
      <c r="F12" s="4660"/>
      <c r="G12" s="4660"/>
      <c r="H12" s="4657"/>
      <c r="I12" s="4657"/>
      <c r="J12" s="4656"/>
      <c r="M12" s="6794" t="s">
        <v>2339</v>
      </c>
      <c r="N12" s="6788"/>
      <c r="O12" s="6795"/>
      <c r="P12" s="7961" t="s">
        <v>218</v>
      </c>
      <c r="Q12" s="7962"/>
      <c r="R12" s="7952"/>
      <c r="S12" s="7953"/>
      <c r="T12" s="7954"/>
      <c r="U12" s="7955"/>
      <c r="V12" s="7971"/>
      <c r="W12" s="7972"/>
      <c r="X12" s="7973"/>
    </row>
    <row r="13" spans="1:24" ht="14" thickBot="1">
      <c r="A13" s="4655"/>
      <c r="B13" s="2444">
        <v>2</v>
      </c>
      <c r="C13" s="2459" t="s">
        <v>1998</v>
      </c>
      <c r="D13" s="2461"/>
      <c r="E13" s="4657"/>
      <c r="F13" s="4657"/>
      <c r="G13" s="4657"/>
      <c r="H13" s="4657"/>
      <c r="I13" s="4657"/>
      <c r="J13" s="4656"/>
      <c r="M13" s="6796" t="s">
        <v>2340</v>
      </c>
      <c r="N13" s="6797"/>
      <c r="O13" s="6798"/>
      <c r="P13" s="7934" t="s">
        <v>944</v>
      </c>
      <c r="Q13" s="7935"/>
      <c r="R13" s="7932"/>
      <c r="S13" s="7933"/>
      <c r="T13" s="7956"/>
      <c r="U13" s="7957"/>
      <c r="V13" s="324"/>
      <c r="W13" s="324"/>
    </row>
    <row r="14" spans="1:24">
      <c r="A14" s="4655"/>
      <c r="B14" s="4661" t="s">
        <v>1999</v>
      </c>
      <c r="C14" s="4662" t="s">
        <v>2000</v>
      </c>
      <c r="D14" s="4663"/>
      <c r="E14" s="4663"/>
      <c r="F14" s="4663"/>
      <c r="G14" s="4663"/>
      <c r="H14" s="2468" t="s">
        <v>2001</v>
      </c>
      <c r="I14" s="324"/>
      <c r="J14" s="4656"/>
      <c r="M14" s="324"/>
      <c r="N14" s="324"/>
      <c r="O14" s="324"/>
      <c r="P14" s="324"/>
      <c r="Q14" s="324"/>
      <c r="R14" s="324"/>
      <c r="S14" s="324"/>
      <c r="T14" s="324"/>
      <c r="U14" s="324"/>
      <c r="V14" s="324"/>
      <c r="W14" s="324"/>
    </row>
    <row r="15" spans="1:24" ht="14" thickBot="1">
      <c r="A15" s="4655"/>
      <c r="B15" s="4661" t="s">
        <v>1999</v>
      </c>
      <c r="C15" s="4662" t="s">
        <v>2002</v>
      </c>
      <c r="D15" s="4663"/>
      <c r="E15" s="4663"/>
      <c r="F15" s="4663"/>
      <c r="G15" s="4663"/>
      <c r="H15" s="2468" t="s">
        <v>2003</v>
      </c>
      <c r="I15" s="324"/>
      <c r="J15" s="4656"/>
      <c r="M15" s="6810" t="s">
        <v>2341</v>
      </c>
      <c r="N15" s="7943" t="s">
        <v>2342</v>
      </c>
      <c r="O15" s="7944"/>
      <c r="P15" s="7944"/>
      <c r="Q15" s="7944"/>
      <c r="R15" s="7944"/>
      <c r="S15" s="7944"/>
      <c r="T15" s="7944"/>
      <c r="U15" s="7944"/>
      <c r="V15" s="7944"/>
      <c r="W15" s="7945"/>
    </row>
    <row r="16" spans="1:24" ht="14" thickBot="1">
      <c r="A16" s="4655"/>
      <c r="B16" s="4663"/>
      <c r="C16" s="4663"/>
      <c r="D16" s="4662" t="s">
        <v>2004</v>
      </c>
      <c r="E16" s="4663"/>
      <c r="F16" s="4663"/>
      <c r="G16" s="4663"/>
      <c r="H16" s="4657"/>
      <c r="I16" s="4657"/>
      <c r="J16" s="4656"/>
      <c r="M16" s="6812" t="s">
        <v>157</v>
      </c>
      <c r="N16" s="7958" t="s">
        <v>226</v>
      </c>
      <c r="O16" s="7942"/>
      <c r="P16" s="7942" t="s">
        <v>234</v>
      </c>
      <c r="Q16" s="7942"/>
      <c r="R16" s="7942" t="s">
        <v>235</v>
      </c>
      <c r="S16" s="7942"/>
      <c r="T16" s="7942" t="s">
        <v>236</v>
      </c>
      <c r="U16" s="7942"/>
      <c r="V16" s="7942" t="s">
        <v>237</v>
      </c>
      <c r="W16" s="7942"/>
    </row>
    <row r="17" spans="1:23" ht="14" thickBot="1">
      <c r="A17" s="4655"/>
      <c r="B17" s="2444">
        <v>3</v>
      </c>
      <c r="C17" s="2459" t="s">
        <v>2349</v>
      </c>
      <c r="D17" s="2460"/>
      <c r="E17" s="2461"/>
      <c r="F17" s="4657"/>
      <c r="G17" s="4657"/>
      <c r="H17" s="4657"/>
      <c r="I17" s="4657"/>
      <c r="J17" s="4656"/>
      <c r="M17" s="6811" t="s">
        <v>467</v>
      </c>
      <c r="N17" s="6799" t="s">
        <v>139</v>
      </c>
      <c r="O17" s="6799" t="s">
        <v>139</v>
      </c>
      <c r="P17" s="6801" t="s">
        <v>710</v>
      </c>
      <c r="Q17" s="6802" t="s">
        <v>20</v>
      </c>
      <c r="R17" s="6803" t="s">
        <v>713</v>
      </c>
      <c r="S17" s="6800" t="s">
        <v>713</v>
      </c>
      <c r="T17" s="6806" t="s">
        <v>2346</v>
      </c>
      <c r="U17" s="6806" t="s">
        <v>2346</v>
      </c>
      <c r="V17" s="6804">
        <v>1</v>
      </c>
      <c r="W17" s="6799" t="s">
        <v>218</v>
      </c>
    </row>
    <row r="18" spans="1:23">
      <c r="A18" s="4655"/>
      <c r="B18" s="4664" t="s">
        <v>1999</v>
      </c>
      <c r="C18" s="4665" t="s">
        <v>2005</v>
      </c>
      <c r="D18" s="4666"/>
      <c r="E18" s="4666"/>
      <c r="F18" s="4666"/>
      <c r="G18" s="4666"/>
      <c r="H18" s="4657"/>
      <c r="I18" s="4657"/>
      <c r="J18" s="4656"/>
      <c r="M18" s="6786" t="s">
        <v>468</v>
      </c>
      <c r="N18" s="6799" t="s">
        <v>139</v>
      </c>
      <c r="O18" s="6807" t="s">
        <v>944</v>
      </c>
      <c r="P18" s="6799" t="s">
        <v>139</v>
      </c>
      <c r="Q18" s="6805" t="s">
        <v>139</v>
      </c>
      <c r="R18" s="6799" t="s">
        <v>139</v>
      </c>
      <c r="S18" s="6805" t="s">
        <v>139</v>
      </c>
      <c r="T18" s="6799" t="s">
        <v>139</v>
      </c>
      <c r="U18" s="6805" t="s">
        <v>139</v>
      </c>
      <c r="V18" s="6806" t="s">
        <v>2346</v>
      </c>
      <c r="W18" s="6806" t="s">
        <v>2346</v>
      </c>
    </row>
    <row r="19" spans="1:23">
      <c r="A19" s="4655"/>
      <c r="B19" s="4664" t="s">
        <v>1999</v>
      </c>
      <c r="C19" s="4665" t="s">
        <v>2006</v>
      </c>
      <c r="D19" s="4666"/>
      <c r="E19" s="4666"/>
      <c r="F19" s="4666"/>
      <c r="G19" s="4666"/>
      <c r="H19" s="4657"/>
      <c r="I19" s="4657"/>
      <c r="J19" s="4656"/>
    </row>
    <row r="20" spans="1:23" ht="14" thickBot="1">
      <c r="A20" s="4655"/>
      <c r="B20" s="4664" t="s">
        <v>1999</v>
      </c>
      <c r="C20" s="4665" t="s">
        <v>2007</v>
      </c>
      <c r="D20" s="4666"/>
      <c r="E20" s="4666"/>
      <c r="F20" s="4666"/>
      <c r="G20" s="4666"/>
      <c r="H20" s="4657"/>
      <c r="I20" s="4657"/>
      <c r="J20" s="4656"/>
      <c r="M20" s="6787" t="s">
        <v>2341</v>
      </c>
      <c r="N20" s="7943" t="s">
        <v>2342</v>
      </c>
      <c r="O20" s="7944"/>
      <c r="P20" s="7944"/>
      <c r="Q20" s="7944"/>
      <c r="R20" s="7944"/>
      <c r="S20" s="7944"/>
      <c r="T20" s="7944"/>
      <c r="U20" s="7944"/>
      <c r="V20" s="7944"/>
      <c r="W20" s="7945"/>
    </row>
    <row r="21" spans="1:23" ht="14" thickBot="1">
      <c r="A21" s="4655"/>
      <c r="B21" s="2444">
        <v>4</v>
      </c>
      <c r="C21" s="2459" t="s">
        <v>2008</v>
      </c>
      <c r="D21" s="2461"/>
      <c r="E21" s="4657"/>
      <c r="F21" s="4657"/>
      <c r="G21" s="4657"/>
      <c r="H21" s="4657"/>
      <c r="I21" s="4657"/>
      <c r="J21" s="4656"/>
      <c r="M21" s="6814" t="s">
        <v>2343</v>
      </c>
      <c r="N21" s="7942" t="s">
        <v>226</v>
      </c>
      <c r="O21" s="7942"/>
      <c r="P21" s="7942" t="s">
        <v>234</v>
      </c>
      <c r="Q21" s="7942"/>
      <c r="R21" s="7942" t="s">
        <v>235</v>
      </c>
      <c r="S21" s="7942"/>
      <c r="T21" s="7942" t="s">
        <v>236</v>
      </c>
      <c r="U21" s="7942"/>
      <c r="V21" s="7942" t="s">
        <v>237</v>
      </c>
      <c r="W21" s="7942"/>
    </row>
    <row r="22" spans="1:23" ht="14" thickBot="1">
      <c r="A22" s="4655"/>
      <c r="B22" s="4667" t="s">
        <v>2012</v>
      </c>
      <c r="C22" s="4668" t="s">
        <v>2009</v>
      </c>
      <c r="D22" s="4669"/>
      <c r="E22" s="4669"/>
      <c r="F22" s="4669"/>
      <c r="G22" s="4669"/>
      <c r="H22" s="4657"/>
      <c r="I22" s="4657"/>
      <c r="J22" s="4656"/>
      <c r="M22" s="6815" t="s">
        <v>467</v>
      </c>
      <c r="N22" s="6813" t="s">
        <v>139</v>
      </c>
      <c r="O22" s="6808" t="s">
        <v>218</v>
      </c>
      <c r="P22" s="6799" t="s">
        <v>139</v>
      </c>
      <c r="Q22" s="6785" t="s">
        <v>713</v>
      </c>
      <c r="R22" s="6809" t="s">
        <v>710</v>
      </c>
      <c r="S22" s="6802" t="s">
        <v>20</v>
      </c>
      <c r="T22" s="6806" t="s">
        <v>2346</v>
      </c>
      <c r="U22" s="6806" t="s">
        <v>2346</v>
      </c>
      <c r="V22" s="6805" t="s">
        <v>139</v>
      </c>
      <c r="W22" s="6808" t="s">
        <v>218</v>
      </c>
    </row>
    <row r="23" spans="1:23">
      <c r="A23" s="4655"/>
      <c r="B23" s="4667" t="s">
        <v>2012</v>
      </c>
      <c r="C23" s="4668" t="s">
        <v>2010</v>
      </c>
      <c r="D23" s="4669"/>
      <c r="E23" s="4669"/>
      <c r="F23" s="4669"/>
      <c r="G23" s="4669"/>
      <c r="H23" s="4657"/>
      <c r="I23" s="4657"/>
      <c r="J23" s="4656"/>
      <c r="M23" s="6811" t="s">
        <v>468</v>
      </c>
      <c r="N23" s="6809" t="s">
        <v>710</v>
      </c>
      <c r="O23" s="6807" t="s">
        <v>944</v>
      </c>
      <c r="P23" s="6799" t="s">
        <v>139</v>
      </c>
      <c r="Q23" s="6785" t="s">
        <v>713</v>
      </c>
      <c r="R23" s="6799" t="s">
        <v>139</v>
      </c>
      <c r="S23" s="6807" t="s">
        <v>944</v>
      </c>
      <c r="T23" s="6809" t="s">
        <v>710</v>
      </c>
      <c r="U23" s="6808" t="s">
        <v>218</v>
      </c>
      <c r="V23" s="6806" t="s">
        <v>2346</v>
      </c>
      <c r="W23" s="6806" t="s">
        <v>2346</v>
      </c>
    </row>
    <row r="24" spans="1:23" ht="14" thickBot="1">
      <c r="A24" s="4655"/>
      <c r="B24" s="4667" t="s">
        <v>2012</v>
      </c>
      <c r="C24" s="4668" t="s">
        <v>2011</v>
      </c>
      <c r="D24" s="4669"/>
      <c r="E24" s="4669"/>
      <c r="F24" s="4669"/>
      <c r="G24" s="4669"/>
      <c r="H24" s="4657"/>
      <c r="I24" s="4657"/>
      <c r="J24" s="4656"/>
    </row>
    <row r="25" spans="1:23" ht="14" thickBot="1">
      <c r="A25" s="4655"/>
      <c r="B25" s="2444">
        <v>5</v>
      </c>
      <c r="C25" s="2459" t="s">
        <v>2013</v>
      </c>
      <c r="D25" s="2460"/>
      <c r="E25" s="2460"/>
      <c r="F25" s="2461"/>
      <c r="G25" s="4657"/>
      <c r="H25" s="4657"/>
      <c r="I25" s="4657"/>
      <c r="J25" s="4656"/>
      <c r="M25" s="6810" t="s">
        <v>2341</v>
      </c>
      <c r="N25" s="7943" t="s">
        <v>2342</v>
      </c>
      <c r="O25" s="7944"/>
      <c r="P25" s="7944"/>
      <c r="Q25" s="7944"/>
      <c r="R25" s="7944"/>
      <c r="S25" s="7944"/>
      <c r="T25" s="7944"/>
      <c r="U25" s="7944"/>
      <c r="V25" s="7944"/>
      <c r="W25" s="7945"/>
    </row>
    <row r="26" spans="1:23" ht="14" thickBot="1">
      <c r="A26" s="4655"/>
      <c r="B26" s="4670" t="s">
        <v>2012</v>
      </c>
      <c r="C26" s="4671" t="s">
        <v>2014</v>
      </c>
      <c r="D26" s="4672"/>
      <c r="E26" s="4672"/>
      <c r="F26" s="4672"/>
      <c r="G26" s="4672"/>
      <c r="H26" s="4657"/>
      <c r="I26" s="4657"/>
      <c r="J26" s="4656"/>
      <c r="M26" s="6816" t="s">
        <v>2344</v>
      </c>
      <c r="N26" s="7958" t="s">
        <v>226</v>
      </c>
      <c r="O26" s="7942"/>
      <c r="P26" s="7942" t="s">
        <v>234</v>
      </c>
      <c r="Q26" s="7942"/>
      <c r="R26" s="7942" t="s">
        <v>235</v>
      </c>
      <c r="S26" s="7942"/>
      <c r="T26" s="7942" t="s">
        <v>236</v>
      </c>
      <c r="U26" s="7942"/>
      <c r="V26" s="7942" t="s">
        <v>237</v>
      </c>
      <c r="W26" s="7942"/>
    </row>
    <row r="27" spans="1:23">
      <c r="A27" s="4655"/>
      <c r="B27" s="4670" t="s">
        <v>2012</v>
      </c>
      <c r="C27" s="4671" t="s">
        <v>2015</v>
      </c>
      <c r="D27" s="4672"/>
      <c r="E27" s="4672"/>
      <c r="F27" s="4672"/>
      <c r="G27" s="4672"/>
      <c r="H27" s="4657"/>
      <c r="I27" s="4657"/>
      <c r="J27" s="4656"/>
      <c r="M27" s="6811" t="s">
        <v>467</v>
      </c>
      <c r="N27" s="6785" t="s">
        <v>713</v>
      </c>
      <c r="O27" s="6785" t="s">
        <v>713</v>
      </c>
      <c r="P27" s="6785" t="s">
        <v>713</v>
      </c>
      <c r="Q27" s="6802" t="s">
        <v>20</v>
      </c>
      <c r="R27" s="6799" t="s">
        <v>139</v>
      </c>
      <c r="S27" s="6802" t="s">
        <v>20</v>
      </c>
      <c r="T27" s="6806" t="s">
        <v>2346</v>
      </c>
      <c r="U27" s="6806" t="s">
        <v>2346</v>
      </c>
      <c r="V27" s="6805" t="s">
        <v>139</v>
      </c>
      <c r="W27" s="6808" t="s">
        <v>218</v>
      </c>
    </row>
    <row r="28" spans="1:23" ht="14" thickBot="1">
      <c r="A28" s="4655"/>
      <c r="B28" s="4670" t="s">
        <v>2012</v>
      </c>
      <c r="C28" s="4673" t="s">
        <v>2016</v>
      </c>
      <c r="D28" s="4672"/>
      <c r="E28" s="4672"/>
      <c r="F28" s="4672"/>
      <c r="G28" s="4672"/>
      <c r="H28" s="4657"/>
      <c r="I28" s="4657"/>
      <c r="J28" s="4656"/>
      <c r="M28" s="6786" t="s">
        <v>468</v>
      </c>
      <c r="N28" s="6809" t="s">
        <v>710</v>
      </c>
      <c r="O28" s="6807" t="s">
        <v>944</v>
      </c>
      <c r="P28" s="6799" t="s">
        <v>139</v>
      </c>
      <c r="Q28" s="6799" t="s">
        <v>139</v>
      </c>
      <c r="R28" s="6785" t="s">
        <v>713</v>
      </c>
      <c r="S28" s="6807" t="s">
        <v>944</v>
      </c>
      <c r="T28" s="6809" t="s">
        <v>710</v>
      </c>
      <c r="U28" s="6802" t="s">
        <v>20</v>
      </c>
      <c r="V28" s="6806" t="s">
        <v>2346</v>
      </c>
      <c r="W28" s="6806" t="s">
        <v>2346</v>
      </c>
    </row>
    <row r="29" spans="1:23" ht="14" thickBot="1">
      <c r="A29" s="4655"/>
      <c r="B29" s="2444">
        <v>6</v>
      </c>
      <c r="C29" s="2459" t="s">
        <v>2017</v>
      </c>
      <c r="D29" s="2460"/>
      <c r="E29" s="2461"/>
      <c r="F29" s="4657"/>
      <c r="G29" s="4657"/>
      <c r="H29" s="4657"/>
      <c r="I29" s="4657"/>
      <c r="J29" s="4656"/>
    </row>
    <row r="30" spans="1:23" ht="14" thickBot="1">
      <c r="A30" s="4655"/>
      <c r="B30" s="4674" t="s">
        <v>1995</v>
      </c>
      <c r="C30" s="4675" t="s">
        <v>2018</v>
      </c>
      <c r="D30" s="4676"/>
      <c r="E30" s="4676"/>
      <c r="F30" s="4676"/>
      <c r="G30" s="4676"/>
      <c r="H30" s="4657"/>
      <c r="I30" s="4657"/>
      <c r="J30" s="4656"/>
      <c r="M30" s="6810" t="s">
        <v>2341</v>
      </c>
      <c r="N30" s="7943" t="s">
        <v>2342</v>
      </c>
      <c r="O30" s="7944"/>
      <c r="P30" s="7944"/>
      <c r="Q30" s="7944"/>
      <c r="R30" s="7944"/>
      <c r="S30" s="7944"/>
      <c r="T30" s="7944"/>
      <c r="U30" s="7944"/>
      <c r="V30" s="7944"/>
      <c r="W30" s="7945"/>
    </row>
    <row r="31" spans="1:23" ht="14" thickBot="1">
      <c r="A31" s="4655"/>
      <c r="B31" s="4674" t="s">
        <v>1995</v>
      </c>
      <c r="C31" s="4675" t="s">
        <v>2019</v>
      </c>
      <c r="D31" s="4676"/>
      <c r="E31" s="4676"/>
      <c r="F31" s="4676"/>
      <c r="G31" s="4676"/>
      <c r="H31" s="4657"/>
      <c r="I31" s="4657"/>
      <c r="J31" s="4656"/>
      <c r="M31" s="6817" t="s">
        <v>2345</v>
      </c>
      <c r="N31" s="7958" t="s">
        <v>226</v>
      </c>
      <c r="O31" s="7942"/>
      <c r="P31" s="7942" t="s">
        <v>234</v>
      </c>
      <c r="Q31" s="7942"/>
      <c r="R31" s="7942" t="s">
        <v>235</v>
      </c>
      <c r="S31" s="7942"/>
      <c r="T31" s="7942" t="s">
        <v>236</v>
      </c>
      <c r="U31" s="7942"/>
      <c r="V31" s="7942" t="s">
        <v>237</v>
      </c>
      <c r="W31" s="7942"/>
    </row>
    <row r="32" spans="1:23">
      <c r="A32" s="4655"/>
      <c r="B32" s="4674" t="s">
        <v>1995</v>
      </c>
      <c r="C32" s="4675" t="s">
        <v>2020</v>
      </c>
      <c r="D32" s="4676"/>
      <c r="E32" s="4676"/>
      <c r="F32" s="4676"/>
      <c r="G32" s="4676"/>
      <c r="H32" s="4657"/>
      <c r="I32" s="4657"/>
      <c r="J32" s="4656"/>
      <c r="M32" s="6811" t="s">
        <v>467</v>
      </c>
      <c r="N32" s="6799" t="s">
        <v>139</v>
      </c>
      <c r="O32" s="6808" t="s">
        <v>218</v>
      </c>
      <c r="P32" s="6809" t="s">
        <v>710</v>
      </c>
      <c r="Q32" s="6802" t="s">
        <v>20</v>
      </c>
      <c r="R32" s="6785" t="s">
        <v>713</v>
      </c>
      <c r="S32" s="6809" t="s">
        <v>710</v>
      </c>
      <c r="T32" s="6806" t="s">
        <v>2346</v>
      </c>
      <c r="U32" s="6806" t="s">
        <v>2346</v>
      </c>
      <c r="V32" s="6799" t="s">
        <v>139</v>
      </c>
      <c r="W32" s="6808" t="s">
        <v>218</v>
      </c>
    </row>
    <row r="33" spans="1:23" ht="15" customHeight="1" thickBot="1">
      <c r="A33" s="4677"/>
      <c r="B33" s="4678"/>
      <c r="C33" s="4678"/>
      <c r="D33" s="4678"/>
      <c r="E33" s="4678"/>
      <c r="F33" s="4678"/>
      <c r="G33" s="4678"/>
      <c r="H33" s="4678"/>
      <c r="I33" s="4678"/>
      <c r="J33" s="4679"/>
      <c r="M33" s="6786" t="s">
        <v>468</v>
      </c>
      <c r="N33" s="6809" t="s">
        <v>710</v>
      </c>
      <c r="O33" s="6807" t="s">
        <v>944</v>
      </c>
      <c r="P33" s="6799" t="s">
        <v>139</v>
      </c>
      <c r="Q33" s="6808" t="s">
        <v>218</v>
      </c>
      <c r="R33" s="6799" t="s">
        <v>139</v>
      </c>
      <c r="S33" s="6785" t="s">
        <v>713</v>
      </c>
      <c r="T33" s="6809" t="s">
        <v>710</v>
      </c>
      <c r="U33" s="6802" t="s">
        <v>20</v>
      </c>
      <c r="V33" s="6806" t="s">
        <v>2346</v>
      </c>
      <c r="W33" s="6806" t="s">
        <v>2346</v>
      </c>
    </row>
  </sheetData>
  <mergeCells count="54">
    <mergeCell ref="V9:W10"/>
    <mergeCell ref="X9:X10"/>
    <mergeCell ref="V11:X12"/>
    <mergeCell ref="N2:O2"/>
    <mergeCell ref="N3:O3"/>
    <mergeCell ref="N4:O4"/>
    <mergeCell ref="P3:Q3"/>
    <mergeCell ref="P4:Q4"/>
    <mergeCell ref="P12:Q12"/>
    <mergeCell ref="R8:S8"/>
    <mergeCell ref="R9:S9"/>
    <mergeCell ref="R10:S10"/>
    <mergeCell ref="R11:S11"/>
    <mergeCell ref="R12:S12"/>
    <mergeCell ref="N30:W30"/>
    <mergeCell ref="N31:O31"/>
    <mergeCell ref="P31:Q31"/>
    <mergeCell ref="R31:S31"/>
    <mergeCell ref="T31:U31"/>
    <mergeCell ref="V31:W31"/>
    <mergeCell ref="N25:W25"/>
    <mergeCell ref="N26:O26"/>
    <mergeCell ref="P26:Q26"/>
    <mergeCell ref="R26:S26"/>
    <mergeCell ref="T26:U26"/>
    <mergeCell ref="V26:W26"/>
    <mergeCell ref="N20:W20"/>
    <mergeCell ref="N21:O21"/>
    <mergeCell ref="P21:Q21"/>
    <mergeCell ref="R21:S21"/>
    <mergeCell ref="T21:U21"/>
    <mergeCell ref="V21:W21"/>
    <mergeCell ref="V16:W16"/>
    <mergeCell ref="N15:W15"/>
    <mergeCell ref="R16:S16"/>
    <mergeCell ref="T8:U8"/>
    <mergeCell ref="T9:U9"/>
    <mergeCell ref="T10:U10"/>
    <mergeCell ref="T11:U11"/>
    <mergeCell ref="T12:U12"/>
    <mergeCell ref="T13:U13"/>
    <mergeCell ref="T16:U16"/>
    <mergeCell ref="N16:O16"/>
    <mergeCell ref="P16:Q16"/>
    <mergeCell ref="P8:Q8"/>
    <mergeCell ref="P9:Q9"/>
    <mergeCell ref="P10:Q10"/>
    <mergeCell ref="P11:Q11"/>
    <mergeCell ref="R13:S13"/>
    <mergeCell ref="P13:Q13"/>
    <mergeCell ref="J3:J4"/>
    <mergeCell ref="K3:K4"/>
    <mergeCell ref="C3:C4"/>
    <mergeCell ref="D3:D4"/>
  </mergeCells>
  <pageMargins left="0.7" right="0.7" top="0.75" bottom="0.75" header="0.3" footer="0.3"/>
  <pageSetup paperSize="9" orientation="landscape" horizontalDpi="0" verticalDpi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65557-2E5E-FA45-920E-9BEC42DC87F0}">
  <sheetPr codeName="Hoja38">
    <pageSetUpPr fitToPage="1"/>
  </sheetPr>
  <dimension ref="A1:AO269"/>
  <sheetViews>
    <sheetView zoomScale="150" zoomScaleNormal="150" workbookViewId="0">
      <selection activeCell="K101" sqref="K101"/>
    </sheetView>
  </sheetViews>
  <sheetFormatPr baseColWidth="10" defaultColWidth="11.5" defaultRowHeight="14" thickBottom="1"/>
  <cols>
    <col min="1" max="1" width="2.83203125" style="215" customWidth="1"/>
    <col min="2" max="2" width="2.83203125" style="216" customWidth="1"/>
    <col min="3" max="3" width="1.33203125" style="204" customWidth="1"/>
    <col min="4" max="4" width="0.83203125" style="1977" customWidth="1"/>
    <col min="5" max="5" width="3" style="204" customWidth="1"/>
    <col min="6" max="6" width="3.33203125" style="207" customWidth="1"/>
    <col min="7" max="7" width="4.5" style="208" customWidth="1"/>
    <col min="8" max="8" width="7.33203125" style="3342" customWidth="1"/>
    <col min="9" max="9" width="7" style="208" customWidth="1"/>
    <col min="10" max="10" width="6.83203125" style="208" customWidth="1"/>
    <col min="11" max="11" width="36.1640625" style="208" customWidth="1"/>
    <col min="12" max="12" width="7.5" style="208" customWidth="1"/>
    <col min="13" max="13" width="1" style="449" customWidth="1"/>
    <col min="14" max="14" width="7.1640625" style="208" customWidth="1"/>
    <col min="15" max="15" width="1" style="208" customWidth="1"/>
    <col min="16" max="16" width="8" style="208" customWidth="1"/>
    <col min="17" max="17" width="4.33203125" style="209" customWidth="1"/>
    <col min="18" max="18" width="5.1640625" style="209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20.25" customHeight="1" thickBot="1">
      <c r="A1" s="203" t="s">
        <v>344</v>
      </c>
      <c r="F1" s="527"/>
      <c r="G1" s="155"/>
      <c r="H1" s="3337"/>
      <c r="I1" s="155"/>
      <c r="J1" s="217"/>
      <c r="K1" s="1047">
        <v>44935</v>
      </c>
      <c r="U1" s="218" t="s">
        <v>345</v>
      </c>
      <c r="AI1" s="213"/>
      <c r="AJ1" s="213"/>
      <c r="AK1" s="213"/>
      <c r="AL1" s="213"/>
      <c r="AM1" s="213"/>
    </row>
    <row r="2" spans="1:40" s="223" customFormat="1" ht="56" customHeight="1" thickTop="1" thickBot="1">
      <c r="A2" s="351" t="s">
        <v>346</v>
      </c>
      <c r="B2" s="352" t="s">
        <v>347</v>
      </c>
      <c r="C2" s="353" t="s">
        <v>348</v>
      </c>
      <c r="D2" s="1977"/>
      <c r="E2" s="674" t="s">
        <v>349</v>
      </c>
      <c r="F2" s="354" t="s">
        <v>350</v>
      </c>
      <c r="G2" s="350" t="s">
        <v>351</v>
      </c>
      <c r="H2" s="3338" t="s">
        <v>624</v>
      </c>
      <c r="I2" s="350" t="s">
        <v>352</v>
      </c>
      <c r="J2" s="354" t="s">
        <v>353</v>
      </c>
      <c r="K2" s="350" t="s">
        <v>354</v>
      </c>
      <c r="L2" s="353"/>
      <c r="M2" s="450" t="s">
        <v>355</v>
      </c>
      <c r="N2" s="353" t="s">
        <v>445</v>
      </c>
      <c r="O2" s="353" t="s">
        <v>446</v>
      </c>
      <c r="P2" s="353" t="s">
        <v>447</v>
      </c>
      <c r="Q2" s="355" t="s">
        <v>448</v>
      </c>
      <c r="R2" s="356" t="s">
        <v>371</v>
      </c>
      <c r="S2" s="219" t="s">
        <v>449</v>
      </c>
      <c r="T2" s="219" t="s">
        <v>450</v>
      </c>
      <c r="U2" s="326" t="s">
        <v>451</v>
      </c>
      <c r="V2" s="329" t="s">
        <v>452</v>
      </c>
      <c r="W2" s="327" t="s">
        <v>453</v>
      </c>
      <c r="X2" s="330" t="s">
        <v>454</v>
      </c>
      <c r="Y2" s="328" t="s">
        <v>455</v>
      </c>
      <c r="Z2" s="332" t="s">
        <v>456</v>
      </c>
      <c r="AA2" s="331" t="s">
        <v>457</v>
      </c>
      <c r="AB2" s="220"/>
      <c r="AC2" s="221"/>
      <c r="AD2" s="222"/>
      <c r="AE2" s="222"/>
      <c r="AF2" s="222"/>
      <c r="AG2" s="222"/>
      <c r="AH2" s="222"/>
      <c r="AI2" s="220"/>
      <c r="AJ2" s="220"/>
      <c r="AK2" s="220"/>
      <c r="AL2" s="220"/>
      <c r="AM2" s="220"/>
      <c r="AN2" s="220"/>
    </row>
    <row r="3" spans="1:40" s="223" customFormat="1" ht="9" customHeight="1" thickBot="1">
      <c r="A3" s="1423"/>
      <c r="B3" s="1424"/>
      <c r="C3" s="1425"/>
      <c r="D3" s="1977"/>
      <c r="E3" s="1426"/>
      <c r="F3" s="1425"/>
      <c r="G3" s="1425"/>
      <c r="H3" s="3339"/>
      <c r="I3" s="1425"/>
      <c r="J3" s="1425"/>
      <c r="K3" s="1425"/>
      <c r="L3" s="1425"/>
      <c r="M3" s="1427"/>
      <c r="N3" s="1425"/>
      <c r="O3" s="1425"/>
      <c r="P3" s="1425"/>
      <c r="Q3" s="1428"/>
      <c r="R3" s="1429"/>
      <c r="S3" s="919"/>
      <c r="T3" s="919"/>
      <c r="U3" s="1579">
        <v>9.3287037037037058E-4</v>
      </c>
      <c r="V3" s="1580">
        <v>8.6111111111111121E-4</v>
      </c>
      <c r="W3" s="1580">
        <v>7.8935185185185206E-4</v>
      </c>
      <c r="X3" s="1580">
        <v>7.175925925925927E-4</v>
      </c>
      <c r="Y3" s="1580">
        <v>7.1400462962962975E-4</v>
      </c>
      <c r="Z3" s="1580">
        <v>7.0324074074074082E-4</v>
      </c>
      <c r="AA3" s="1581">
        <v>6.8888888888888895E-4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8" customFormat="1" ht="6" customHeight="1" thickBot="1">
      <c r="A4" s="621"/>
      <c r="B4" s="622"/>
      <c r="C4" s="623"/>
      <c r="D4" s="1977"/>
      <c r="E4" s="623"/>
      <c r="F4" s="624"/>
      <c r="G4" s="625"/>
      <c r="H4" s="3343"/>
      <c r="I4" s="625"/>
      <c r="J4" s="624"/>
      <c r="K4" s="625"/>
      <c r="L4" s="623"/>
      <c r="M4" s="626"/>
      <c r="N4" s="623"/>
      <c r="O4" s="623"/>
      <c r="P4" s="623"/>
      <c r="Q4" s="623"/>
      <c r="R4" s="627"/>
      <c r="S4" s="224"/>
      <c r="T4" s="224"/>
      <c r="U4" s="111">
        <f>U3/4</f>
        <v>2.3321759259259265E-4</v>
      </c>
      <c r="V4" s="111">
        <f t="shared" ref="V4:AA4" si="0">V3/4</f>
        <v>2.152777777777778E-4</v>
      </c>
      <c r="W4" s="111">
        <f t="shared" si="0"/>
        <v>1.9733796296296302E-4</v>
      </c>
      <c r="X4" s="111">
        <f t="shared" si="0"/>
        <v>1.7939814814814817E-4</v>
      </c>
      <c r="Y4" s="111">
        <f t="shared" si="0"/>
        <v>1.7850115740740744E-4</v>
      </c>
      <c r="Z4" s="111">
        <f t="shared" si="0"/>
        <v>1.7581018518518521E-4</v>
      </c>
      <c r="AA4" s="111">
        <f t="shared" si="0"/>
        <v>1.7222222222222224E-4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0" ht="18" customHeight="1" thickTop="1" thickBot="1">
      <c r="A5" s="398"/>
      <c r="B5" s="402" t="s">
        <v>215</v>
      </c>
      <c r="C5" s="274">
        <f t="shared" ref="C5:C86" si="1">IF(D5=1,U$4,IF(D5=2,V$4,IF(D5=3,W$4,IF(D5=4,X$4,IF(D5=5,Y$4,IF(D5=6,Z$4,IF(D5=7,AA$4,0)))))))</f>
        <v>2.152777777777778E-4</v>
      </c>
      <c r="D5" s="1977">
        <v>2</v>
      </c>
      <c r="E5" s="1173">
        <v>1</v>
      </c>
      <c r="F5" s="1173">
        <v>1</v>
      </c>
      <c r="G5" s="1173">
        <v>700</v>
      </c>
      <c r="H5" s="2675"/>
      <c r="I5" s="299">
        <v>0</v>
      </c>
      <c r="J5" s="299">
        <v>8.1018518518518516E-4</v>
      </c>
      <c r="K5" s="1123" t="s">
        <v>2304</v>
      </c>
      <c r="L5" s="1149">
        <v>0.34375</v>
      </c>
      <c r="M5" s="1174">
        <v>1</v>
      </c>
      <c r="N5" s="299">
        <f>P5*E5*F5+I5*E5*F5+J5*E5</f>
        <v>6.8379629629629641E-3</v>
      </c>
      <c r="O5" s="1175">
        <f t="shared" ref="O5:O8" si="2">C5*(G5/25)</f>
        <v>6.0277777777777786E-3</v>
      </c>
      <c r="P5" s="1175">
        <f>O5*M5</f>
        <v>6.0277777777777786E-3</v>
      </c>
      <c r="Q5" s="550">
        <v>129</v>
      </c>
      <c r="R5" s="1176">
        <f t="shared" ref="R5:R8" si="3">E5*F5*G5</f>
        <v>700</v>
      </c>
      <c r="S5" s="229">
        <f>E5*F5*G5/1000</f>
        <v>0.7</v>
      </c>
      <c r="T5" s="230">
        <f>E5*F5*O5*4</f>
        <v>2.4111111111111114E-2</v>
      </c>
      <c r="U5" s="374">
        <f>IF(C5*4&gt;=$U$3,S5,0)</f>
        <v>0</v>
      </c>
      <c r="V5" s="375">
        <f>IF(AND(C5*4&gt;=$V$3,C5*4&lt;$U$3),S5,0)</f>
        <v>0.7</v>
      </c>
      <c r="W5" s="376">
        <f>IF(AND(C5*4&gt;=$W$3,C5*4&lt;$V$3),S5,0)</f>
        <v>0</v>
      </c>
      <c r="X5" s="377">
        <f>IF(AND(C5*4&gt;=$X$3,C5*4&lt;$W$3),S5,0)</f>
        <v>0</v>
      </c>
      <c r="Y5" s="378">
        <f>IF(AND(C5*4&gt;=$Y$3,C5*4&lt;$X$3),S5,0)</f>
        <v>0</v>
      </c>
      <c r="Z5" s="379">
        <f>IF(AND(C5*4&gt;=$Z$3,C5*4&lt;$Y$3),S5,0)</f>
        <v>0</v>
      </c>
      <c r="AA5" s="380">
        <f>IF(AND(C5*4&gt;=$AA$3,C5*4&lt;$Z$3),S5,0)</f>
        <v>0</v>
      </c>
      <c r="AB5" s="82" t="s">
        <v>214</v>
      </c>
      <c r="AC5" s="82" t="s">
        <v>215</v>
      </c>
      <c r="AD5" s="82" t="s">
        <v>216</v>
      </c>
      <c r="AE5" s="82" t="s">
        <v>217</v>
      </c>
      <c r="AF5" s="82" t="s">
        <v>218</v>
      </c>
      <c r="AG5" s="82" t="s">
        <v>219</v>
      </c>
      <c r="AH5" s="82" t="s">
        <v>220</v>
      </c>
      <c r="AI5" s="213"/>
      <c r="AJ5" s="213"/>
      <c r="AK5" s="213"/>
      <c r="AL5" s="213"/>
      <c r="AM5" s="213"/>
    </row>
    <row r="6" spans="1:40" ht="15" customHeight="1" thickBot="1">
      <c r="A6" s="398"/>
      <c r="B6" s="402" t="s">
        <v>215</v>
      </c>
      <c r="C6" s="274">
        <f t="shared" si="1"/>
        <v>1.7581018518518521E-4</v>
      </c>
      <c r="D6" s="1977">
        <v>6</v>
      </c>
      <c r="E6" s="365">
        <v>1</v>
      </c>
      <c r="F6" s="365">
        <v>4</v>
      </c>
      <c r="G6" s="365">
        <v>50</v>
      </c>
      <c r="H6" s="2676" t="s">
        <v>1414</v>
      </c>
      <c r="I6" s="366">
        <v>5.7870370370370378E-4</v>
      </c>
      <c r="J6" s="366">
        <v>1.0416666666666667E-3</v>
      </c>
      <c r="K6" s="6700" t="s">
        <v>2306</v>
      </c>
      <c r="L6" s="1006">
        <f>L5+N5</f>
        <v>0.35058796296296296</v>
      </c>
      <c r="M6" s="365">
        <v>1.05</v>
      </c>
      <c r="N6" s="366">
        <f t="shared" ref="N6:N8" si="4">P6*E6*F6+I6*E6*F6+J6*E6</f>
        <v>4.8332870370370378E-3</v>
      </c>
      <c r="O6" s="365">
        <f t="shared" si="2"/>
        <v>3.5162037037037041E-4</v>
      </c>
      <c r="P6" s="586">
        <f>O6*M6</f>
        <v>3.6920138888888896E-4</v>
      </c>
      <c r="Q6" s="365">
        <v>160</v>
      </c>
      <c r="R6" s="365">
        <f t="shared" si="3"/>
        <v>200</v>
      </c>
      <c r="S6" s="229">
        <f t="shared" ref="S6:S86" si="5">E6*F6*G6/1000</f>
        <v>0.2</v>
      </c>
      <c r="T6" s="230">
        <f t="shared" ref="T6:T86" si="6">E6*F6*O6*4</f>
        <v>5.6259259259259266E-3</v>
      </c>
      <c r="U6" s="374">
        <f t="shared" ref="U6:U86" si="7">IF(C6*4&gt;=$U$3,S6,0)</f>
        <v>0</v>
      </c>
      <c r="V6" s="375">
        <f t="shared" ref="V6:V86" si="8">IF(AND(C6*4&gt;=$V$3,C6*4&lt;$U$3),S6,0)</f>
        <v>0</v>
      </c>
      <c r="W6" s="376">
        <f t="shared" ref="W6:W86" si="9">IF(AND(C6*4&gt;=$W$3,C6*4&lt;$V$3),S6,0)</f>
        <v>0</v>
      </c>
      <c r="X6" s="377">
        <f t="shared" ref="X6:X86" si="10">IF(AND(C6*4&gt;=$X$3,C6*4&lt;$W$3),S6,0)</f>
        <v>0</v>
      </c>
      <c r="Y6" s="378">
        <f t="shared" ref="Y6:Y86" si="11">IF(AND(C6*4&gt;=$Y$3,C6*4&lt;$X$3),S6,0)</f>
        <v>0</v>
      </c>
      <c r="Z6" s="379">
        <f t="shared" ref="Z6:Z86" si="12">IF(AND(C6*4&gt;=$Z$3,C6*4&lt;$Y$3),S6,0)</f>
        <v>0.2</v>
      </c>
      <c r="AA6" s="380">
        <f t="shared" ref="AA6:AA86" si="13">IF(AND(C6*4&gt;=$AA$3,C6*4&lt;$Z$3),S6,0)</f>
        <v>0</v>
      </c>
      <c r="AB6" s="484">
        <v>818.34848484848476</v>
      </c>
      <c r="AC6" s="484">
        <v>818.34848484848476</v>
      </c>
      <c r="AD6" s="484">
        <v>818.34848484848476</v>
      </c>
      <c r="AE6" s="484">
        <v>818.34848484848476</v>
      </c>
      <c r="AF6" s="484">
        <v>818.34848484848476</v>
      </c>
      <c r="AG6" s="484">
        <v>818.34848484848476</v>
      </c>
      <c r="AH6" s="484">
        <v>1</v>
      </c>
      <c r="AI6" s="213"/>
      <c r="AJ6" s="213"/>
      <c r="AK6" s="213"/>
      <c r="AL6" s="213"/>
      <c r="AM6" s="213"/>
    </row>
    <row r="7" spans="1:40" ht="14" customHeight="1" thickBot="1">
      <c r="A7" s="398"/>
      <c r="B7" s="402" t="s">
        <v>215</v>
      </c>
      <c r="C7" s="274">
        <f t="shared" si="1"/>
        <v>1.7581018518518521E-4</v>
      </c>
      <c r="D7" s="1977">
        <v>6</v>
      </c>
      <c r="E7" s="365">
        <v>1</v>
      </c>
      <c r="F7" s="365">
        <v>1</v>
      </c>
      <c r="G7" s="365">
        <v>50</v>
      </c>
      <c r="H7" s="2676" t="s">
        <v>1414</v>
      </c>
      <c r="I7" s="366">
        <v>0</v>
      </c>
      <c r="J7" s="366">
        <v>1.1574074074074073E-4</v>
      </c>
      <c r="K7" s="1065" t="s">
        <v>2305</v>
      </c>
      <c r="L7" s="1006">
        <f t="shared" ref="L7:L17" si="14">L6+N6</f>
        <v>0.35542125000000002</v>
      </c>
      <c r="M7" s="365">
        <v>1</v>
      </c>
      <c r="N7" s="366">
        <f t="shared" si="4"/>
        <v>4.6736111111111116E-4</v>
      </c>
      <c r="O7" s="365">
        <f t="shared" si="2"/>
        <v>3.5162037037037041E-4</v>
      </c>
      <c r="P7" s="586">
        <f t="shared" ref="P7:P8" si="15">O7*M7</f>
        <v>3.5162037037037041E-4</v>
      </c>
      <c r="Q7" s="365">
        <v>180</v>
      </c>
      <c r="R7" s="365">
        <f t="shared" si="3"/>
        <v>50</v>
      </c>
      <c r="S7" s="229">
        <f t="shared" si="5"/>
        <v>0.05</v>
      </c>
      <c r="T7" s="230">
        <f t="shared" si="6"/>
        <v>1.4064814814814816E-3</v>
      </c>
      <c r="U7" s="374">
        <f t="shared" si="7"/>
        <v>0</v>
      </c>
      <c r="V7" s="375">
        <f t="shared" si="8"/>
        <v>0</v>
      </c>
      <c r="W7" s="376">
        <f t="shared" si="9"/>
        <v>0</v>
      </c>
      <c r="X7" s="377">
        <f t="shared" si="10"/>
        <v>0</v>
      </c>
      <c r="Y7" s="378">
        <f t="shared" si="11"/>
        <v>0</v>
      </c>
      <c r="Z7" s="379">
        <f t="shared" si="12"/>
        <v>0.05</v>
      </c>
      <c r="AA7" s="380">
        <f t="shared" si="13"/>
        <v>0</v>
      </c>
      <c r="AB7" s="535">
        <v>777.37272727272727</v>
      </c>
      <c r="AC7" s="535">
        <v>981.98484848484861</v>
      </c>
      <c r="AD7" s="535">
        <v>981.98484848484861</v>
      </c>
      <c r="AE7" s="535">
        <v>981.98484848484861</v>
      </c>
      <c r="AF7" s="535">
        <v>981.98484848484861</v>
      </c>
      <c r="AG7" s="535">
        <v>981.98484848484861</v>
      </c>
      <c r="AH7" s="535">
        <v>1</v>
      </c>
      <c r="AI7" s="213"/>
      <c r="AJ7" s="213"/>
      <c r="AK7" s="213"/>
      <c r="AL7" s="213"/>
      <c r="AM7" s="213"/>
    </row>
    <row r="8" spans="1:40" ht="16.25" customHeight="1" thickBot="1">
      <c r="A8" s="398" t="s">
        <v>214</v>
      </c>
      <c r="B8" s="402" t="s">
        <v>215</v>
      </c>
      <c r="C8" s="274">
        <f t="shared" si="1"/>
        <v>2.3321759259259265E-4</v>
      </c>
      <c r="D8" s="1977">
        <v>1</v>
      </c>
      <c r="E8" s="1194">
        <v>1</v>
      </c>
      <c r="F8" s="1194">
        <v>1</v>
      </c>
      <c r="G8" s="1194">
        <v>200</v>
      </c>
      <c r="H8" s="1667" t="s">
        <v>702</v>
      </c>
      <c r="I8" s="274">
        <v>6.9444444444444447E-4</v>
      </c>
      <c r="J8" s="274">
        <v>1.0416666666666667E-3</v>
      </c>
      <c r="K8" s="312" t="s">
        <v>706</v>
      </c>
      <c r="L8" s="993">
        <f t="shared" si="14"/>
        <v>0.35588861111111114</v>
      </c>
      <c r="M8" s="1195">
        <v>1</v>
      </c>
      <c r="N8" s="274">
        <f t="shared" si="4"/>
        <v>3.6018518518518526E-3</v>
      </c>
      <c r="O8" s="1196">
        <f t="shared" si="2"/>
        <v>1.8657407407407412E-3</v>
      </c>
      <c r="P8" s="1196">
        <f t="shared" si="15"/>
        <v>1.8657407407407412E-3</v>
      </c>
      <c r="Q8" s="548">
        <v>190</v>
      </c>
      <c r="R8" s="1194">
        <f t="shared" si="3"/>
        <v>200</v>
      </c>
      <c r="S8" s="229">
        <f t="shared" si="5"/>
        <v>0.2</v>
      </c>
      <c r="T8" s="230">
        <f t="shared" si="6"/>
        <v>7.4629629629629646E-3</v>
      </c>
      <c r="U8" s="374">
        <f t="shared" si="7"/>
        <v>0.2</v>
      </c>
      <c r="V8" s="375">
        <f t="shared" si="8"/>
        <v>0</v>
      </c>
      <c r="W8" s="376">
        <f t="shared" si="9"/>
        <v>0</v>
      </c>
      <c r="X8" s="377">
        <f t="shared" si="10"/>
        <v>0</v>
      </c>
      <c r="Y8" s="378">
        <f t="shared" si="11"/>
        <v>0</v>
      </c>
      <c r="Z8" s="379">
        <f t="shared" si="12"/>
        <v>0</v>
      </c>
      <c r="AA8" s="380">
        <f t="shared" si="13"/>
        <v>0</v>
      </c>
      <c r="AB8" s="500">
        <v>-204.61212121212134</v>
      </c>
      <c r="AC8" s="500">
        <v>1431.9848484848485</v>
      </c>
      <c r="AD8" s="500">
        <v>1431.9848484848485</v>
      </c>
      <c r="AE8" s="500">
        <v>0</v>
      </c>
      <c r="AF8" s="500">
        <v>1431.9848484848485</v>
      </c>
      <c r="AG8" s="500">
        <v>1431.9848484848485</v>
      </c>
      <c r="AH8" s="500">
        <v>1</v>
      </c>
      <c r="AI8" s="213"/>
      <c r="AJ8" s="213"/>
      <c r="AK8" s="213"/>
      <c r="AL8" s="213"/>
      <c r="AM8" s="213"/>
    </row>
    <row r="9" spans="1:40" ht="15" customHeight="1" thickBot="1">
      <c r="A9" s="398" t="s">
        <v>459</v>
      </c>
      <c r="B9" s="402" t="s">
        <v>215</v>
      </c>
      <c r="C9" s="274">
        <f t="shared" si="1"/>
        <v>1.7581018518518521E-4</v>
      </c>
      <c r="D9" s="1977">
        <v>6</v>
      </c>
      <c r="E9" s="365">
        <v>1</v>
      </c>
      <c r="F9" s="365">
        <v>3</v>
      </c>
      <c r="G9" s="365">
        <v>50</v>
      </c>
      <c r="H9" s="2676" t="s">
        <v>1414</v>
      </c>
      <c r="I9" s="366">
        <v>5.7870370370370378E-4</v>
      </c>
      <c r="J9" s="366">
        <v>1.0416666666666667E-3</v>
      </c>
      <c r="K9" s="6700" t="s">
        <v>2306</v>
      </c>
      <c r="L9" s="1006">
        <f t="shared" si="14"/>
        <v>0.359490462962963</v>
      </c>
      <c r="M9" s="365">
        <v>1.05</v>
      </c>
      <c r="N9" s="366">
        <f t="shared" ref="N9:N11" si="16">P9*E9*F9+I9*E9*F9+J9*E9</f>
        <v>3.8853819444444448E-3</v>
      </c>
      <c r="O9" s="365">
        <f t="shared" ref="O9:O11" si="17">C9*(G9/25)</f>
        <v>3.5162037037037041E-4</v>
      </c>
      <c r="P9" s="586">
        <f>O9*M9</f>
        <v>3.6920138888888896E-4</v>
      </c>
      <c r="Q9" s="365">
        <v>160</v>
      </c>
      <c r="R9" s="365">
        <f t="shared" ref="R9:R11" si="18">E9*F9*G9</f>
        <v>150</v>
      </c>
      <c r="S9" s="229">
        <f t="shared" si="5"/>
        <v>0.15</v>
      </c>
      <c r="T9" s="230">
        <f t="shared" si="6"/>
        <v>4.2194444444444449E-3</v>
      </c>
      <c r="U9" s="374">
        <f t="shared" si="7"/>
        <v>0</v>
      </c>
      <c r="V9" s="375">
        <f t="shared" si="8"/>
        <v>0</v>
      </c>
      <c r="W9" s="376">
        <f t="shared" si="9"/>
        <v>0</v>
      </c>
      <c r="X9" s="377">
        <f t="shared" si="10"/>
        <v>0</v>
      </c>
      <c r="Y9" s="378">
        <f t="shared" si="11"/>
        <v>0</v>
      </c>
      <c r="Z9" s="379">
        <f t="shared" si="12"/>
        <v>0.15</v>
      </c>
      <c r="AA9" s="380">
        <f t="shared" si="13"/>
        <v>0</v>
      </c>
      <c r="AB9" s="501">
        <v>0</v>
      </c>
      <c r="AC9" s="501">
        <v>0</v>
      </c>
      <c r="AD9" s="501">
        <v>7</v>
      </c>
      <c r="AE9" s="501">
        <v>0</v>
      </c>
      <c r="AF9" s="501">
        <v>-1</v>
      </c>
      <c r="AG9" s="501">
        <v>1</v>
      </c>
      <c r="AH9" s="501">
        <v>1</v>
      </c>
      <c r="AI9" s="213"/>
      <c r="AJ9" s="213"/>
      <c r="AK9" s="213"/>
      <c r="AL9" s="213"/>
      <c r="AM9" s="213"/>
    </row>
    <row r="10" spans="1:40" ht="15" customHeight="1" thickBot="1">
      <c r="A10" s="398" t="s">
        <v>460</v>
      </c>
      <c r="B10" s="402" t="s">
        <v>215</v>
      </c>
      <c r="C10" s="274">
        <f t="shared" si="1"/>
        <v>1.7581018518518521E-4</v>
      </c>
      <c r="D10" s="1977">
        <v>6</v>
      </c>
      <c r="E10" s="365">
        <v>1</v>
      </c>
      <c r="F10" s="365">
        <v>1</v>
      </c>
      <c r="G10" s="365">
        <v>50</v>
      </c>
      <c r="H10" s="2676" t="s">
        <v>1414</v>
      </c>
      <c r="I10" s="366">
        <v>0</v>
      </c>
      <c r="J10" s="366">
        <v>1.1574074074074073E-4</v>
      </c>
      <c r="K10" s="1065" t="s">
        <v>2305</v>
      </c>
      <c r="L10" s="1006">
        <f t="shared" si="14"/>
        <v>0.36337584490740743</v>
      </c>
      <c r="M10" s="365">
        <v>1</v>
      </c>
      <c r="N10" s="366">
        <f t="shared" si="16"/>
        <v>4.6736111111111116E-4</v>
      </c>
      <c r="O10" s="365">
        <f t="shared" si="17"/>
        <v>3.5162037037037041E-4</v>
      </c>
      <c r="P10" s="586">
        <f t="shared" ref="P10:P11" si="19">O10*M10</f>
        <v>3.5162037037037041E-4</v>
      </c>
      <c r="Q10" s="365">
        <v>180</v>
      </c>
      <c r="R10" s="365">
        <f t="shared" si="18"/>
        <v>50</v>
      </c>
      <c r="S10" s="229">
        <f t="shared" si="5"/>
        <v>0.05</v>
      </c>
      <c r="T10" s="230">
        <f t="shared" si="6"/>
        <v>1.4064814814814816E-3</v>
      </c>
      <c r="U10" s="374">
        <f t="shared" si="7"/>
        <v>0</v>
      </c>
      <c r="V10" s="375">
        <f t="shared" si="8"/>
        <v>0</v>
      </c>
      <c r="W10" s="376">
        <f t="shared" si="9"/>
        <v>0</v>
      </c>
      <c r="X10" s="377">
        <f t="shared" si="10"/>
        <v>0</v>
      </c>
      <c r="Y10" s="378">
        <f t="shared" si="11"/>
        <v>0</v>
      </c>
      <c r="Z10" s="379">
        <f t="shared" si="12"/>
        <v>0.05</v>
      </c>
      <c r="AA10" s="380">
        <f t="shared" si="13"/>
        <v>0</v>
      </c>
      <c r="AB10" s="502">
        <v>0</v>
      </c>
      <c r="AC10" s="502">
        <v>0</v>
      </c>
      <c r="AD10" s="502">
        <v>0</v>
      </c>
      <c r="AE10" s="502">
        <v>7</v>
      </c>
      <c r="AF10" s="502">
        <v>0</v>
      </c>
      <c r="AG10" s="502">
        <v>0</v>
      </c>
      <c r="AH10" s="502">
        <v>0</v>
      </c>
      <c r="AI10" s="213"/>
      <c r="AJ10" s="213"/>
      <c r="AK10" s="213"/>
      <c r="AL10" s="213"/>
      <c r="AM10" s="213"/>
    </row>
    <row r="11" spans="1:40" ht="15" customHeight="1" thickBot="1">
      <c r="A11" s="398" t="s">
        <v>458</v>
      </c>
      <c r="B11" s="402" t="s">
        <v>215</v>
      </c>
      <c r="C11" s="274">
        <f t="shared" si="1"/>
        <v>2.3321759259259265E-4</v>
      </c>
      <c r="D11" s="1977">
        <v>1</v>
      </c>
      <c r="E11" s="1194">
        <v>1</v>
      </c>
      <c r="F11" s="1194">
        <v>1</v>
      </c>
      <c r="G11" s="1194">
        <v>200</v>
      </c>
      <c r="H11" s="1667" t="s">
        <v>702</v>
      </c>
      <c r="I11" s="274">
        <v>6.9444444444444447E-4</v>
      </c>
      <c r="J11" s="274">
        <v>1.0416666666666667E-3</v>
      </c>
      <c r="K11" s="312" t="s">
        <v>706</v>
      </c>
      <c r="L11" s="993">
        <f t="shared" si="14"/>
        <v>0.36384320601851855</v>
      </c>
      <c r="M11" s="1195">
        <v>1</v>
      </c>
      <c r="N11" s="274">
        <f t="shared" si="16"/>
        <v>3.6018518518518526E-3</v>
      </c>
      <c r="O11" s="1196">
        <f t="shared" si="17"/>
        <v>1.8657407407407412E-3</v>
      </c>
      <c r="P11" s="1196">
        <f t="shared" si="19"/>
        <v>1.8657407407407412E-3</v>
      </c>
      <c r="Q11" s="548">
        <v>190</v>
      </c>
      <c r="R11" s="1194">
        <f t="shared" si="18"/>
        <v>200</v>
      </c>
      <c r="S11" s="229">
        <f t="shared" si="5"/>
        <v>0.2</v>
      </c>
      <c r="T11" s="230">
        <f t="shared" si="6"/>
        <v>7.4629629629629646E-3</v>
      </c>
      <c r="U11" s="374">
        <f t="shared" si="7"/>
        <v>0.2</v>
      </c>
      <c r="V11" s="375">
        <f t="shared" si="8"/>
        <v>0</v>
      </c>
      <c r="W11" s="376">
        <f t="shared" si="9"/>
        <v>0</v>
      </c>
      <c r="X11" s="377">
        <f t="shared" si="10"/>
        <v>0</v>
      </c>
      <c r="Y11" s="378">
        <f t="shared" si="11"/>
        <v>0</v>
      </c>
      <c r="Z11" s="379">
        <f t="shared" si="12"/>
        <v>0</v>
      </c>
      <c r="AA11" s="380">
        <f t="shared" si="13"/>
        <v>0</v>
      </c>
      <c r="AB11" s="503">
        <v>1965.6363636363637</v>
      </c>
      <c r="AC11" s="503">
        <v>0</v>
      </c>
      <c r="AD11" s="503">
        <v>0</v>
      </c>
      <c r="AE11" s="503">
        <v>1965.6363636363637</v>
      </c>
      <c r="AF11" s="503">
        <v>0</v>
      </c>
      <c r="AG11" s="503">
        <v>1965.6363636363637</v>
      </c>
      <c r="AH11" s="503">
        <v>0</v>
      </c>
      <c r="AI11" s="213"/>
      <c r="AJ11" s="213"/>
      <c r="AK11" s="213"/>
      <c r="AL11" s="213"/>
      <c r="AM11" s="213"/>
      <c r="AN11" s="204"/>
    </row>
    <row r="12" spans="1:40" ht="19" customHeight="1" thickBot="1">
      <c r="A12" s="398" t="s">
        <v>219</v>
      </c>
      <c r="B12" s="402" t="s">
        <v>215</v>
      </c>
      <c r="C12" s="274">
        <f t="shared" si="1"/>
        <v>1.7581018518518521E-4</v>
      </c>
      <c r="D12" s="1977">
        <v>6</v>
      </c>
      <c r="E12" s="365">
        <v>1</v>
      </c>
      <c r="F12" s="365">
        <v>2</v>
      </c>
      <c r="G12" s="365">
        <v>50</v>
      </c>
      <c r="H12" s="2676" t="s">
        <v>1414</v>
      </c>
      <c r="I12" s="366">
        <v>5.7870370370370378E-4</v>
      </c>
      <c r="J12" s="366">
        <v>1.0416666666666667E-3</v>
      </c>
      <c r="K12" s="6700" t="s">
        <v>2306</v>
      </c>
      <c r="L12" s="1006">
        <f t="shared" si="14"/>
        <v>0.36744505787037041</v>
      </c>
      <c r="M12" s="365">
        <v>1.05</v>
      </c>
      <c r="N12" s="366">
        <f t="shared" ref="N12:N16" si="20">P12*E12*F12+I12*E12*F12+J12*E12</f>
        <v>2.9374768518518521E-3</v>
      </c>
      <c r="O12" s="365">
        <f t="shared" ref="O12:O16" si="21">C12*(G12/25)</f>
        <v>3.5162037037037041E-4</v>
      </c>
      <c r="P12" s="586">
        <f>O12*M12</f>
        <v>3.6920138888888896E-4</v>
      </c>
      <c r="Q12" s="365">
        <v>160</v>
      </c>
      <c r="R12" s="365">
        <f t="shared" ref="R12:R16" si="22">E12*F12*G12</f>
        <v>100</v>
      </c>
      <c r="S12" s="229">
        <f t="shared" si="5"/>
        <v>0.1</v>
      </c>
      <c r="T12" s="230">
        <f t="shared" si="6"/>
        <v>2.8129629629629633E-3</v>
      </c>
      <c r="U12" s="374">
        <f t="shared" si="7"/>
        <v>0</v>
      </c>
      <c r="V12" s="375">
        <f t="shared" si="8"/>
        <v>0</v>
      </c>
      <c r="W12" s="376">
        <f t="shared" si="9"/>
        <v>0</v>
      </c>
      <c r="X12" s="377">
        <f t="shared" si="10"/>
        <v>0</v>
      </c>
      <c r="Y12" s="378">
        <f t="shared" si="11"/>
        <v>0</v>
      </c>
      <c r="Z12" s="379">
        <f t="shared" si="12"/>
        <v>0.1</v>
      </c>
      <c r="AA12" s="380">
        <f t="shared" si="13"/>
        <v>0</v>
      </c>
      <c r="AB12" s="504">
        <v>981.9848484848485</v>
      </c>
      <c r="AC12" s="504">
        <v>981.9848484848485</v>
      </c>
      <c r="AD12" s="504">
        <v>981.9848484848485</v>
      </c>
      <c r="AE12" s="504">
        <v>981.9848484848485</v>
      </c>
      <c r="AF12" s="504">
        <v>981.9848484848485</v>
      </c>
      <c r="AG12" s="504">
        <v>981.9848484848485</v>
      </c>
      <c r="AH12" s="504">
        <v>1</v>
      </c>
      <c r="AI12" s="213"/>
      <c r="AJ12" s="213"/>
      <c r="AK12" s="213"/>
      <c r="AL12" s="213"/>
      <c r="AM12" s="213"/>
      <c r="AN12" s="204"/>
    </row>
    <row r="13" spans="1:40" ht="17" customHeight="1" thickBot="1">
      <c r="A13" s="398" t="s">
        <v>219</v>
      </c>
      <c r="B13" s="402" t="s">
        <v>215</v>
      </c>
      <c r="C13" s="274">
        <f t="shared" si="1"/>
        <v>1.7581018518518521E-4</v>
      </c>
      <c r="D13" s="1977">
        <v>6</v>
      </c>
      <c r="E13" s="365">
        <v>1</v>
      </c>
      <c r="F13" s="365">
        <v>1</v>
      </c>
      <c r="G13" s="365">
        <v>50</v>
      </c>
      <c r="H13" s="2676" t="s">
        <v>1414</v>
      </c>
      <c r="I13" s="366">
        <v>0</v>
      </c>
      <c r="J13" s="366">
        <v>1.1574074074074073E-4</v>
      </c>
      <c r="K13" s="1065" t="s">
        <v>2305</v>
      </c>
      <c r="L13" s="1006">
        <f t="shared" si="14"/>
        <v>0.37038253472222227</v>
      </c>
      <c r="M13" s="365">
        <v>1</v>
      </c>
      <c r="N13" s="366">
        <f t="shared" si="20"/>
        <v>4.6736111111111116E-4</v>
      </c>
      <c r="O13" s="365">
        <f t="shared" si="21"/>
        <v>3.5162037037037041E-4</v>
      </c>
      <c r="P13" s="586">
        <f t="shared" ref="P13:P16" si="23">O13*M13</f>
        <v>3.5162037037037041E-4</v>
      </c>
      <c r="Q13" s="365">
        <v>180</v>
      </c>
      <c r="R13" s="365">
        <f t="shared" si="22"/>
        <v>50</v>
      </c>
      <c r="S13" s="229">
        <f t="shared" si="5"/>
        <v>0.05</v>
      </c>
      <c r="T13" s="230">
        <f t="shared" si="6"/>
        <v>1.4064814814814816E-3</v>
      </c>
      <c r="U13" s="374">
        <f t="shared" si="7"/>
        <v>0</v>
      </c>
      <c r="V13" s="375">
        <f t="shared" si="8"/>
        <v>0</v>
      </c>
      <c r="W13" s="376">
        <f t="shared" si="9"/>
        <v>0</v>
      </c>
      <c r="X13" s="377">
        <f t="shared" si="10"/>
        <v>0</v>
      </c>
      <c r="Y13" s="378">
        <f t="shared" si="11"/>
        <v>0</v>
      </c>
      <c r="Z13" s="379">
        <f t="shared" si="12"/>
        <v>0.05</v>
      </c>
      <c r="AA13" s="380">
        <f t="shared" si="13"/>
        <v>0</v>
      </c>
      <c r="AC13" s="231"/>
      <c r="AD13" s="231"/>
      <c r="AE13" s="231"/>
      <c r="AF13" s="231"/>
      <c r="AG13" s="231"/>
      <c r="AH13" s="231"/>
      <c r="AI13" s="213"/>
      <c r="AJ13" s="213"/>
      <c r="AK13" s="213"/>
      <c r="AL13" s="213"/>
      <c r="AM13" s="213"/>
      <c r="AN13" s="204"/>
    </row>
    <row r="14" spans="1:40" ht="16" customHeight="1" thickBot="1">
      <c r="A14" s="398"/>
      <c r="B14" s="402" t="s">
        <v>215</v>
      </c>
      <c r="C14" s="274">
        <f t="shared" si="1"/>
        <v>2.3321759259259265E-4</v>
      </c>
      <c r="D14" s="1977">
        <v>1</v>
      </c>
      <c r="E14" s="1194">
        <v>1</v>
      </c>
      <c r="F14" s="1194">
        <v>1</v>
      </c>
      <c r="G14" s="1194">
        <v>200</v>
      </c>
      <c r="H14" s="1667" t="s">
        <v>702</v>
      </c>
      <c r="I14" s="274">
        <v>6.9444444444444447E-4</v>
      </c>
      <c r="J14" s="274">
        <v>1.0416666666666667E-3</v>
      </c>
      <c r="K14" s="312" t="s">
        <v>706</v>
      </c>
      <c r="L14" s="993">
        <f t="shared" si="14"/>
        <v>0.37084989583333339</v>
      </c>
      <c r="M14" s="1195">
        <v>1</v>
      </c>
      <c r="N14" s="274">
        <f t="shared" si="20"/>
        <v>3.6018518518518526E-3</v>
      </c>
      <c r="O14" s="1196">
        <f t="shared" si="21"/>
        <v>1.8657407407407412E-3</v>
      </c>
      <c r="P14" s="1196">
        <f t="shared" si="23"/>
        <v>1.8657407407407412E-3</v>
      </c>
      <c r="Q14" s="548">
        <v>190</v>
      </c>
      <c r="R14" s="1194">
        <f t="shared" si="22"/>
        <v>200</v>
      </c>
      <c r="S14" s="229">
        <f t="shared" si="5"/>
        <v>0.2</v>
      </c>
      <c r="T14" s="230">
        <f t="shared" si="6"/>
        <v>7.4629629629629646E-3</v>
      </c>
      <c r="U14" s="374">
        <f t="shared" si="7"/>
        <v>0.2</v>
      </c>
      <c r="V14" s="375">
        <f t="shared" si="8"/>
        <v>0</v>
      </c>
      <c r="W14" s="376">
        <f t="shared" si="9"/>
        <v>0</v>
      </c>
      <c r="X14" s="377">
        <f t="shared" si="10"/>
        <v>0</v>
      </c>
      <c r="Y14" s="378">
        <f t="shared" si="11"/>
        <v>0</v>
      </c>
      <c r="Z14" s="379">
        <f t="shared" si="12"/>
        <v>0</v>
      </c>
      <c r="AA14" s="380">
        <f t="shared" si="13"/>
        <v>0</v>
      </c>
      <c r="AC14" s="231"/>
      <c r="AD14" s="231"/>
      <c r="AE14" s="231"/>
      <c r="AF14" s="231"/>
      <c r="AG14" s="231"/>
      <c r="AH14" s="231"/>
      <c r="AI14" s="213"/>
      <c r="AJ14" s="213"/>
      <c r="AK14" s="213"/>
      <c r="AL14" s="213"/>
      <c r="AM14" s="213"/>
      <c r="AN14" s="204"/>
    </row>
    <row r="15" spans="1:40" ht="16" customHeight="1" thickBot="1">
      <c r="A15" s="398"/>
      <c r="B15" s="402" t="s">
        <v>215</v>
      </c>
      <c r="C15" s="274">
        <f t="shared" ref="C15:C16" si="24">IF(D15=1,U$4,IF(D15=2,V$4,IF(D15=3,W$4,IF(D15=4,X$4,IF(D15=5,Y$4,IF(D15=6,Z$4,IF(D15=7,AA$4,0)))))))</f>
        <v>1.7222222222222224E-4</v>
      </c>
      <c r="D15" s="1977">
        <v>7</v>
      </c>
      <c r="E15" s="441">
        <v>2</v>
      </c>
      <c r="F15" s="441">
        <v>5</v>
      </c>
      <c r="G15" s="441">
        <v>30</v>
      </c>
      <c r="H15" s="3344"/>
      <c r="I15" s="436">
        <v>4.6296296296296293E-4</v>
      </c>
      <c r="J15" s="436">
        <v>1.3888888888888889E-3</v>
      </c>
      <c r="K15" s="442" t="s">
        <v>298</v>
      </c>
      <c r="L15" s="436">
        <f t="shared" si="14"/>
        <v>0.37445174768518524</v>
      </c>
      <c r="M15" s="442">
        <v>1</v>
      </c>
      <c r="N15" s="436">
        <f t="shared" si="20"/>
        <v>9.474074074074074E-3</v>
      </c>
      <c r="O15" s="293">
        <f t="shared" si="21"/>
        <v>2.0666666666666668E-4</v>
      </c>
      <c r="P15" s="436">
        <f t="shared" si="23"/>
        <v>2.0666666666666668E-4</v>
      </c>
      <c r="Q15" s="789">
        <v>190</v>
      </c>
      <c r="R15" s="435">
        <f t="shared" si="22"/>
        <v>300</v>
      </c>
      <c r="S15" s="229">
        <f t="shared" si="5"/>
        <v>0.3</v>
      </c>
      <c r="T15" s="230">
        <f t="shared" si="6"/>
        <v>8.266666666666667E-3</v>
      </c>
      <c r="U15" s="374">
        <f t="shared" si="7"/>
        <v>0</v>
      </c>
      <c r="V15" s="375">
        <f t="shared" si="8"/>
        <v>0</v>
      </c>
      <c r="W15" s="376">
        <f t="shared" si="9"/>
        <v>0</v>
      </c>
      <c r="X15" s="377">
        <f t="shared" si="10"/>
        <v>0</v>
      </c>
      <c r="Y15" s="378">
        <f t="shared" si="11"/>
        <v>0</v>
      </c>
      <c r="Z15" s="379">
        <f t="shared" si="12"/>
        <v>0</v>
      </c>
      <c r="AA15" s="380">
        <f t="shared" si="13"/>
        <v>0.3</v>
      </c>
      <c r="AC15" s="231"/>
      <c r="AD15" s="231"/>
      <c r="AE15" s="231"/>
      <c r="AF15" s="231"/>
      <c r="AG15" s="231"/>
      <c r="AH15" s="231"/>
      <c r="AI15" s="213"/>
      <c r="AJ15" s="213"/>
      <c r="AK15" s="213"/>
      <c r="AL15" s="213"/>
      <c r="AM15" s="213"/>
      <c r="AN15" s="204"/>
    </row>
    <row r="16" spans="1:40" ht="16" customHeight="1" thickBot="1">
      <c r="A16" s="398"/>
      <c r="B16" s="402" t="s">
        <v>215</v>
      </c>
      <c r="C16" s="274">
        <f t="shared" si="24"/>
        <v>1.7222222222222224E-4</v>
      </c>
      <c r="D16" s="1300">
        <v>7</v>
      </c>
      <c r="E16" s="1333">
        <v>1</v>
      </c>
      <c r="F16" s="1333">
        <v>3</v>
      </c>
      <c r="G16" s="1333">
        <v>20</v>
      </c>
      <c r="H16" s="1334"/>
      <c r="I16" s="436">
        <v>3.4722222222222224E-4</v>
      </c>
      <c r="J16" s="1334">
        <v>0</v>
      </c>
      <c r="K16" s="1323" t="s">
        <v>1599</v>
      </c>
      <c r="L16" s="1189">
        <f t="shared" si="14"/>
        <v>0.38392582175925932</v>
      </c>
      <c r="M16" s="1335">
        <v>1</v>
      </c>
      <c r="N16" s="1334">
        <f t="shared" si="20"/>
        <v>1.4550000000000001E-3</v>
      </c>
      <c r="O16" s="1191">
        <f t="shared" si="21"/>
        <v>1.3777777777777779E-4</v>
      </c>
      <c r="P16" s="1192">
        <f t="shared" si="23"/>
        <v>1.3777777777777779E-4</v>
      </c>
      <c r="Q16" s="446" t="s">
        <v>316</v>
      </c>
      <c r="R16" s="1187">
        <f t="shared" si="22"/>
        <v>60</v>
      </c>
      <c r="S16" s="229">
        <f t="shared" si="5"/>
        <v>0.06</v>
      </c>
      <c r="T16" s="230">
        <f t="shared" si="6"/>
        <v>1.6533333333333335E-3</v>
      </c>
      <c r="U16" s="374">
        <f t="shared" si="7"/>
        <v>0</v>
      </c>
      <c r="V16" s="375">
        <f t="shared" si="8"/>
        <v>0</v>
      </c>
      <c r="W16" s="376">
        <f t="shared" si="9"/>
        <v>0</v>
      </c>
      <c r="X16" s="377">
        <f t="shared" si="10"/>
        <v>0</v>
      </c>
      <c r="Y16" s="378">
        <f t="shared" si="11"/>
        <v>0</v>
      </c>
      <c r="Z16" s="379">
        <f t="shared" si="12"/>
        <v>0</v>
      </c>
      <c r="AA16" s="380">
        <f t="shared" si="13"/>
        <v>0.06</v>
      </c>
      <c r="AC16" s="231"/>
      <c r="AD16" s="231"/>
      <c r="AE16" s="231"/>
      <c r="AF16" s="231"/>
      <c r="AG16" s="231"/>
      <c r="AH16" s="231"/>
      <c r="AI16" s="213"/>
      <c r="AJ16" s="213"/>
      <c r="AK16" s="213"/>
      <c r="AL16" s="213"/>
      <c r="AM16" s="213"/>
      <c r="AN16" s="204"/>
    </row>
    <row r="17" spans="1:40" ht="14" customHeight="1" thickBot="1">
      <c r="A17" s="1025"/>
      <c r="B17" s="1326"/>
      <c r="C17" s="274">
        <f t="shared" si="1"/>
        <v>0</v>
      </c>
      <c r="E17" s="134"/>
      <c r="F17" s="60"/>
      <c r="G17" s="135"/>
      <c r="H17" s="3345"/>
      <c r="I17" s="135"/>
      <c r="J17" s="135"/>
      <c r="K17" s="313"/>
      <c r="L17" s="276">
        <f t="shared" si="14"/>
        <v>0.38538082175925931</v>
      </c>
      <c r="M17" s="511"/>
      <c r="N17" s="3335">
        <f>SUM(N12:N16)</f>
        <v>1.793576388888889E-2</v>
      </c>
      <c r="O17" s="73"/>
      <c r="P17" s="73"/>
      <c r="Q17" s="783"/>
      <c r="R17" s="73">
        <f>SUM(R5:R16)</f>
        <v>2260</v>
      </c>
      <c r="S17" s="229">
        <f t="shared" si="5"/>
        <v>0</v>
      </c>
      <c r="T17" s="230">
        <f t="shared" si="6"/>
        <v>0</v>
      </c>
      <c r="U17" s="374">
        <f t="shared" si="7"/>
        <v>0</v>
      </c>
      <c r="V17" s="375">
        <f t="shared" si="8"/>
        <v>0</v>
      </c>
      <c r="W17" s="376">
        <f t="shared" si="9"/>
        <v>0</v>
      </c>
      <c r="X17" s="377">
        <f t="shared" si="10"/>
        <v>0</v>
      </c>
      <c r="Y17" s="378">
        <f t="shared" si="11"/>
        <v>0</v>
      </c>
      <c r="Z17" s="379">
        <f t="shared" si="12"/>
        <v>0</v>
      </c>
      <c r="AA17" s="380">
        <f t="shared" si="13"/>
        <v>0</v>
      </c>
      <c r="AC17" s="231"/>
      <c r="AD17" s="231"/>
      <c r="AE17" s="231"/>
      <c r="AF17" s="231"/>
      <c r="AG17" s="231"/>
      <c r="AH17" s="231"/>
      <c r="AI17" s="213"/>
      <c r="AJ17" s="213"/>
      <c r="AK17" s="213"/>
      <c r="AL17" s="213"/>
      <c r="AM17" s="213"/>
      <c r="AN17" s="204"/>
    </row>
    <row r="18" spans="1:40" ht="14" customHeight="1" thickBot="1">
      <c r="A18" s="398"/>
      <c r="B18" s="1117" t="s">
        <v>461</v>
      </c>
      <c r="C18" s="274">
        <f t="shared" si="1"/>
        <v>2.152777777777778E-4</v>
      </c>
      <c r="D18" s="547">
        <v>2</v>
      </c>
      <c r="E18" s="1173">
        <v>1</v>
      </c>
      <c r="F18" s="1173">
        <v>1</v>
      </c>
      <c r="G18" s="1173">
        <v>700</v>
      </c>
      <c r="H18" s="2675"/>
      <c r="I18" s="299">
        <v>0</v>
      </c>
      <c r="J18" s="299">
        <v>8.1018518518518516E-4</v>
      </c>
      <c r="K18" s="1123" t="s">
        <v>2304</v>
      </c>
      <c r="L18" s="1149">
        <v>0.34375</v>
      </c>
      <c r="M18" s="1174">
        <v>1</v>
      </c>
      <c r="N18" s="299">
        <f>P18*E18*F18+I18*E18*F18+J18*E18</f>
        <v>6.8379629629629641E-3</v>
      </c>
      <c r="O18" s="1175">
        <f t="shared" ref="O18:O29" si="25">C18*(G18/25)</f>
        <v>6.0277777777777786E-3</v>
      </c>
      <c r="P18" s="1175">
        <f>O18*M18</f>
        <v>6.0277777777777786E-3</v>
      </c>
      <c r="Q18" s="550">
        <v>129</v>
      </c>
      <c r="R18" s="1176">
        <f t="shared" ref="R18:R29" si="26">E18*F18*G18</f>
        <v>700</v>
      </c>
      <c r="S18" s="229">
        <f t="shared" si="5"/>
        <v>0.7</v>
      </c>
      <c r="T18" s="230">
        <f t="shared" si="6"/>
        <v>2.4111111111111114E-2</v>
      </c>
      <c r="U18" s="374">
        <f t="shared" si="7"/>
        <v>0</v>
      </c>
      <c r="V18" s="375">
        <f t="shared" si="8"/>
        <v>0.7</v>
      </c>
      <c r="W18" s="376">
        <f t="shared" si="9"/>
        <v>0</v>
      </c>
      <c r="X18" s="377">
        <f t="shared" si="10"/>
        <v>0</v>
      </c>
      <c r="Y18" s="378">
        <f t="shared" si="11"/>
        <v>0</v>
      </c>
      <c r="Z18" s="379">
        <f t="shared" si="12"/>
        <v>0</v>
      </c>
      <c r="AA18" s="380">
        <f t="shared" si="13"/>
        <v>0</v>
      </c>
      <c r="AC18" s="231"/>
      <c r="AD18" s="231"/>
      <c r="AE18" s="231"/>
      <c r="AF18" s="231"/>
      <c r="AG18" s="231"/>
      <c r="AH18" s="231"/>
      <c r="AI18" s="213"/>
      <c r="AJ18" s="213"/>
      <c r="AK18" s="213"/>
      <c r="AL18" s="213"/>
      <c r="AM18" s="213"/>
      <c r="AN18" s="204"/>
    </row>
    <row r="19" spans="1:40" ht="14" customHeight="1" thickBot="1">
      <c r="A19" s="398"/>
      <c r="B19" s="1117" t="s">
        <v>461</v>
      </c>
      <c r="C19" s="274">
        <f t="shared" si="1"/>
        <v>1.7581018518518521E-4</v>
      </c>
      <c r="D19" s="1977">
        <v>6</v>
      </c>
      <c r="E19" s="365">
        <v>1</v>
      </c>
      <c r="F19" s="365">
        <v>4</v>
      </c>
      <c r="G19" s="365">
        <v>40</v>
      </c>
      <c r="H19" s="2676" t="s">
        <v>1414</v>
      </c>
      <c r="I19" s="366">
        <v>4.6296296296296293E-4</v>
      </c>
      <c r="J19" s="366">
        <v>6.9444444444444447E-4</v>
      </c>
      <c r="K19" s="6700" t="s">
        <v>2309</v>
      </c>
      <c r="L19" s="1006">
        <f>L18+N18</f>
        <v>0.35058796296296296</v>
      </c>
      <c r="M19" s="365">
        <v>1.05</v>
      </c>
      <c r="N19" s="366">
        <f t="shared" ref="N19:N29" si="27">P19*E19*F19+I19*E19*F19+J19*E19</f>
        <v>3.7277407407407411E-3</v>
      </c>
      <c r="O19" s="365">
        <f t="shared" si="25"/>
        <v>2.8129629629629636E-4</v>
      </c>
      <c r="P19" s="586">
        <f>O19*M19</f>
        <v>2.953611111111112E-4</v>
      </c>
      <c r="Q19" s="365">
        <v>160</v>
      </c>
      <c r="R19" s="365">
        <f t="shared" si="26"/>
        <v>160</v>
      </c>
      <c r="S19" s="229">
        <f t="shared" si="5"/>
        <v>0.16</v>
      </c>
      <c r="T19" s="230">
        <f t="shared" si="6"/>
        <v>4.5007407407407418E-3</v>
      </c>
      <c r="U19" s="374">
        <f t="shared" si="7"/>
        <v>0</v>
      </c>
      <c r="V19" s="375">
        <f t="shared" si="8"/>
        <v>0</v>
      </c>
      <c r="W19" s="376">
        <f t="shared" si="9"/>
        <v>0</v>
      </c>
      <c r="X19" s="377">
        <f t="shared" si="10"/>
        <v>0</v>
      </c>
      <c r="Y19" s="378">
        <f t="shared" si="11"/>
        <v>0</v>
      </c>
      <c r="Z19" s="379">
        <f t="shared" si="12"/>
        <v>0.16</v>
      </c>
      <c r="AA19" s="380">
        <f t="shared" si="13"/>
        <v>0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  <c r="AN19" s="204"/>
    </row>
    <row r="20" spans="1:40" ht="14" customHeight="1" thickBot="1">
      <c r="A20" s="398"/>
      <c r="B20" s="1117" t="s">
        <v>461</v>
      </c>
      <c r="C20" s="274">
        <f t="shared" si="1"/>
        <v>1.7581018518518521E-4</v>
      </c>
      <c r="D20" s="1977">
        <v>6</v>
      </c>
      <c r="E20" s="365">
        <v>1</v>
      </c>
      <c r="F20" s="365">
        <v>1</v>
      </c>
      <c r="G20" s="365">
        <v>40</v>
      </c>
      <c r="H20" s="2676" t="s">
        <v>1414</v>
      </c>
      <c r="I20" s="366">
        <v>0</v>
      </c>
      <c r="J20" s="366">
        <v>1.1574074074074073E-4</v>
      </c>
      <c r="K20" s="1065" t="s">
        <v>2311</v>
      </c>
      <c r="L20" s="1006">
        <f t="shared" ref="L20:L30" si="28">L19+N19</f>
        <v>0.35431570370370369</v>
      </c>
      <c r="M20" s="365">
        <v>1</v>
      </c>
      <c r="N20" s="366">
        <f t="shared" si="27"/>
        <v>3.9703703703703711E-4</v>
      </c>
      <c r="O20" s="365">
        <f t="shared" si="25"/>
        <v>2.8129629629629636E-4</v>
      </c>
      <c r="P20" s="586">
        <f t="shared" ref="P20:P21" si="29">O20*M20</f>
        <v>2.8129629629629636E-4</v>
      </c>
      <c r="Q20" s="365">
        <v>180</v>
      </c>
      <c r="R20" s="365">
        <f t="shared" si="26"/>
        <v>40</v>
      </c>
      <c r="S20" s="229">
        <f t="shared" si="5"/>
        <v>0.04</v>
      </c>
      <c r="T20" s="230">
        <f t="shared" si="6"/>
        <v>1.1251851851851854E-3</v>
      </c>
      <c r="U20" s="374">
        <f t="shared" si="7"/>
        <v>0</v>
      </c>
      <c r="V20" s="375">
        <f t="shared" si="8"/>
        <v>0</v>
      </c>
      <c r="W20" s="376">
        <f t="shared" si="9"/>
        <v>0</v>
      </c>
      <c r="X20" s="377">
        <f t="shared" si="10"/>
        <v>0</v>
      </c>
      <c r="Y20" s="378">
        <f t="shared" si="11"/>
        <v>0</v>
      </c>
      <c r="Z20" s="379">
        <f t="shared" si="12"/>
        <v>0.04</v>
      </c>
      <c r="AA20" s="380">
        <f t="shared" si="13"/>
        <v>0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  <c r="AN20" s="204"/>
    </row>
    <row r="21" spans="1:40" ht="14" customHeight="1" thickBot="1">
      <c r="A21" s="398" t="s">
        <v>214</v>
      </c>
      <c r="B21" s="1117" t="s">
        <v>461</v>
      </c>
      <c r="C21" s="274">
        <f t="shared" si="1"/>
        <v>2.3321759259259265E-4</v>
      </c>
      <c r="D21" s="1977">
        <v>1</v>
      </c>
      <c r="E21" s="1194">
        <v>1</v>
      </c>
      <c r="F21" s="1194">
        <v>1</v>
      </c>
      <c r="G21" s="1194">
        <v>200</v>
      </c>
      <c r="H21" s="1667" t="s">
        <v>702</v>
      </c>
      <c r="I21" s="274">
        <v>6.9444444444444447E-4</v>
      </c>
      <c r="J21" s="274">
        <v>1.0416666666666667E-3</v>
      </c>
      <c r="K21" s="312" t="s">
        <v>706</v>
      </c>
      <c r="L21" s="993">
        <f t="shared" si="28"/>
        <v>0.35471274074074072</v>
      </c>
      <c r="M21" s="1195">
        <v>1</v>
      </c>
      <c r="N21" s="274">
        <f t="shared" si="27"/>
        <v>3.6018518518518526E-3</v>
      </c>
      <c r="O21" s="1196">
        <f t="shared" si="25"/>
        <v>1.8657407407407412E-3</v>
      </c>
      <c r="P21" s="1196">
        <f t="shared" si="29"/>
        <v>1.8657407407407412E-3</v>
      </c>
      <c r="Q21" s="548">
        <v>190</v>
      </c>
      <c r="R21" s="1194">
        <f t="shared" si="26"/>
        <v>200</v>
      </c>
      <c r="S21" s="229">
        <f t="shared" si="5"/>
        <v>0.2</v>
      </c>
      <c r="T21" s="230">
        <f t="shared" si="6"/>
        <v>7.4629629629629646E-3</v>
      </c>
      <c r="U21" s="374">
        <f t="shared" si="7"/>
        <v>0.2</v>
      </c>
      <c r="V21" s="375">
        <f t="shared" si="8"/>
        <v>0</v>
      </c>
      <c r="W21" s="376">
        <f t="shared" si="9"/>
        <v>0</v>
      </c>
      <c r="X21" s="377">
        <f t="shared" si="10"/>
        <v>0</v>
      </c>
      <c r="Y21" s="378">
        <f t="shared" si="11"/>
        <v>0</v>
      </c>
      <c r="Z21" s="379">
        <f t="shared" si="12"/>
        <v>0</v>
      </c>
      <c r="AA21" s="380">
        <f t="shared" si="13"/>
        <v>0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  <c r="AN21" s="204"/>
    </row>
    <row r="22" spans="1:40" ht="14" customHeight="1" thickBot="1">
      <c r="A22" s="398" t="s">
        <v>459</v>
      </c>
      <c r="B22" s="1117" t="s">
        <v>461</v>
      </c>
      <c r="C22" s="274">
        <f t="shared" si="1"/>
        <v>1.7581018518518521E-4</v>
      </c>
      <c r="D22" s="1300">
        <v>6</v>
      </c>
      <c r="E22" s="365">
        <v>1</v>
      </c>
      <c r="F22" s="365">
        <v>3</v>
      </c>
      <c r="G22" s="365">
        <v>40</v>
      </c>
      <c r="H22" s="2676" t="s">
        <v>1414</v>
      </c>
      <c r="I22" s="366">
        <v>4.6296296296296293E-4</v>
      </c>
      <c r="J22" s="366">
        <v>6.9444444444444447E-4</v>
      </c>
      <c r="K22" s="6700" t="s">
        <v>2310</v>
      </c>
      <c r="L22" s="1006">
        <f t="shared" si="28"/>
        <v>0.35831459259259257</v>
      </c>
      <c r="M22" s="365">
        <v>1.05</v>
      </c>
      <c r="N22" s="366">
        <f t="shared" si="27"/>
        <v>2.9694166666666671E-3</v>
      </c>
      <c r="O22" s="365">
        <f t="shared" si="25"/>
        <v>2.8129629629629636E-4</v>
      </c>
      <c r="P22" s="586">
        <f>O22*M22</f>
        <v>2.953611111111112E-4</v>
      </c>
      <c r="Q22" s="365">
        <v>160</v>
      </c>
      <c r="R22" s="365">
        <f t="shared" si="26"/>
        <v>120</v>
      </c>
      <c r="S22" s="229">
        <f t="shared" si="5"/>
        <v>0.12</v>
      </c>
      <c r="T22" s="230">
        <f t="shared" si="6"/>
        <v>3.3755555555555561E-3</v>
      </c>
      <c r="U22" s="374">
        <f t="shared" si="7"/>
        <v>0</v>
      </c>
      <c r="V22" s="375">
        <f t="shared" si="8"/>
        <v>0</v>
      </c>
      <c r="W22" s="376">
        <f t="shared" si="9"/>
        <v>0</v>
      </c>
      <c r="X22" s="377">
        <f t="shared" si="10"/>
        <v>0</v>
      </c>
      <c r="Y22" s="378">
        <f t="shared" si="11"/>
        <v>0</v>
      </c>
      <c r="Z22" s="379">
        <f t="shared" si="12"/>
        <v>0.12</v>
      </c>
      <c r="AA22" s="380">
        <f t="shared" si="13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  <c r="AN22" s="204"/>
    </row>
    <row r="23" spans="1:40" ht="14" customHeight="1" thickBot="1">
      <c r="A23" s="398" t="s">
        <v>460</v>
      </c>
      <c r="B23" s="1117" t="s">
        <v>461</v>
      </c>
      <c r="C23" s="274">
        <f t="shared" si="1"/>
        <v>1.7581018518518521E-4</v>
      </c>
      <c r="D23" s="1977">
        <v>6</v>
      </c>
      <c r="E23" s="365">
        <v>1</v>
      </c>
      <c r="F23" s="365">
        <v>1</v>
      </c>
      <c r="G23" s="365">
        <v>40</v>
      </c>
      <c r="H23" s="2676" t="s">
        <v>1414</v>
      </c>
      <c r="I23" s="366">
        <v>0</v>
      </c>
      <c r="J23" s="366">
        <v>1.1574074074074073E-4</v>
      </c>
      <c r="K23" s="1065" t="s">
        <v>2311</v>
      </c>
      <c r="L23" s="1006">
        <f t="shared" si="28"/>
        <v>0.36128400925925924</v>
      </c>
      <c r="M23" s="365">
        <v>1</v>
      </c>
      <c r="N23" s="366">
        <f t="shared" si="27"/>
        <v>3.9703703703703711E-4</v>
      </c>
      <c r="O23" s="365">
        <f t="shared" si="25"/>
        <v>2.8129629629629636E-4</v>
      </c>
      <c r="P23" s="586">
        <f t="shared" ref="P23:P24" si="30">O23*M23</f>
        <v>2.8129629629629636E-4</v>
      </c>
      <c r="Q23" s="365">
        <v>180</v>
      </c>
      <c r="R23" s="365">
        <f t="shared" si="26"/>
        <v>40</v>
      </c>
      <c r="S23" s="229">
        <f t="shared" si="5"/>
        <v>0.04</v>
      </c>
      <c r="T23" s="230">
        <f t="shared" si="6"/>
        <v>1.1251851851851854E-3</v>
      </c>
      <c r="U23" s="374">
        <f t="shared" si="7"/>
        <v>0</v>
      </c>
      <c r="V23" s="375">
        <f t="shared" si="8"/>
        <v>0</v>
      </c>
      <c r="W23" s="376">
        <f t="shared" si="9"/>
        <v>0</v>
      </c>
      <c r="X23" s="377">
        <f t="shared" si="10"/>
        <v>0</v>
      </c>
      <c r="Y23" s="378">
        <f t="shared" si="11"/>
        <v>0</v>
      </c>
      <c r="Z23" s="379">
        <f t="shared" si="12"/>
        <v>0.04</v>
      </c>
      <c r="AA23" s="380">
        <f t="shared" si="13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  <c r="AN23" s="204"/>
    </row>
    <row r="24" spans="1:40" ht="15" customHeight="1" thickBot="1">
      <c r="A24" s="398" t="s">
        <v>458</v>
      </c>
      <c r="B24" s="1117" t="s">
        <v>461</v>
      </c>
      <c r="C24" s="274">
        <f t="shared" si="1"/>
        <v>2.3321759259259265E-4</v>
      </c>
      <c r="D24" s="1977">
        <v>1</v>
      </c>
      <c r="E24" s="1194">
        <v>1</v>
      </c>
      <c r="F24" s="1194">
        <v>1</v>
      </c>
      <c r="G24" s="1194">
        <v>200</v>
      </c>
      <c r="H24" s="1667" t="s">
        <v>702</v>
      </c>
      <c r="I24" s="274">
        <v>6.9444444444444447E-4</v>
      </c>
      <c r="J24" s="274">
        <v>1.0416666666666667E-3</v>
      </c>
      <c r="K24" s="312" t="s">
        <v>706</v>
      </c>
      <c r="L24" s="993">
        <f t="shared" si="28"/>
        <v>0.36168104629629627</v>
      </c>
      <c r="M24" s="1195">
        <v>1</v>
      </c>
      <c r="N24" s="274">
        <f t="shared" si="27"/>
        <v>3.6018518518518526E-3</v>
      </c>
      <c r="O24" s="1196">
        <f t="shared" si="25"/>
        <v>1.8657407407407412E-3</v>
      </c>
      <c r="P24" s="1196">
        <f t="shared" si="30"/>
        <v>1.8657407407407412E-3</v>
      </c>
      <c r="Q24" s="548">
        <v>190</v>
      </c>
      <c r="R24" s="1194">
        <f t="shared" si="26"/>
        <v>200</v>
      </c>
      <c r="S24" s="229">
        <f t="shared" si="5"/>
        <v>0.2</v>
      </c>
      <c r="T24" s="230">
        <f t="shared" si="6"/>
        <v>7.4629629629629646E-3</v>
      </c>
      <c r="U24" s="374">
        <f t="shared" si="7"/>
        <v>0.2</v>
      </c>
      <c r="V24" s="375">
        <f t="shared" si="8"/>
        <v>0</v>
      </c>
      <c r="W24" s="376">
        <f t="shared" si="9"/>
        <v>0</v>
      </c>
      <c r="X24" s="377">
        <f t="shared" si="10"/>
        <v>0</v>
      </c>
      <c r="Y24" s="378">
        <f t="shared" si="11"/>
        <v>0</v>
      </c>
      <c r="Z24" s="379">
        <f t="shared" si="12"/>
        <v>0</v>
      </c>
      <c r="AA24" s="380">
        <f t="shared" si="13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  <c r="AN24" s="204"/>
    </row>
    <row r="25" spans="1:40" ht="15" customHeight="1" thickBot="1">
      <c r="A25" s="398" t="s">
        <v>219</v>
      </c>
      <c r="B25" s="402" t="s">
        <v>461</v>
      </c>
      <c r="C25" s="274">
        <f t="shared" si="1"/>
        <v>1.7581018518518521E-4</v>
      </c>
      <c r="D25" s="1977">
        <v>6</v>
      </c>
      <c r="E25" s="365">
        <v>1</v>
      </c>
      <c r="F25" s="365">
        <v>2</v>
      </c>
      <c r="G25" s="365">
        <v>40</v>
      </c>
      <c r="H25" s="2676" t="s">
        <v>1414</v>
      </c>
      <c r="I25" s="366">
        <v>4.6296296296296293E-4</v>
      </c>
      <c r="J25" s="366">
        <v>6.9444444444444447E-4</v>
      </c>
      <c r="K25" s="6700" t="s">
        <v>2310</v>
      </c>
      <c r="L25" s="1006">
        <f t="shared" si="28"/>
        <v>0.36528289814814813</v>
      </c>
      <c r="M25" s="365">
        <v>1.05</v>
      </c>
      <c r="N25" s="366">
        <f t="shared" si="27"/>
        <v>2.2110925925925926E-3</v>
      </c>
      <c r="O25" s="365">
        <f t="shared" si="25"/>
        <v>2.8129629629629636E-4</v>
      </c>
      <c r="P25" s="586">
        <f>O25*M25</f>
        <v>2.953611111111112E-4</v>
      </c>
      <c r="Q25" s="365">
        <v>160</v>
      </c>
      <c r="R25" s="365">
        <f t="shared" si="26"/>
        <v>80</v>
      </c>
      <c r="S25" s="229">
        <f t="shared" si="5"/>
        <v>0.08</v>
      </c>
      <c r="T25" s="230">
        <f t="shared" si="6"/>
        <v>2.2503703703703709E-3</v>
      </c>
      <c r="U25" s="374">
        <f t="shared" si="7"/>
        <v>0</v>
      </c>
      <c r="V25" s="375">
        <f t="shared" si="8"/>
        <v>0</v>
      </c>
      <c r="W25" s="376">
        <f t="shared" si="9"/>
        <v>0</v>
      </c>
      <c r="X25" s="377">
        <f t="shared" si="10"/>
        <v>0</v>
      </c>
      <c r="Y25" s="378">
        <f t="shared" si="11"/>
        <v>0</v>
      </c>
      <c r="Z25" s="379">
        <f t="shared" si="12"/>
        <v>0.08</v>
      </c>
      <c r="AA25" s="380">
        <f t="shared" si="13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  <c r="AN25" s="204"/>
    </row>
    <row r="26" spans="1:40" ht="15" customHeight="1" thickBot="1">
      <c r="A26" s="398" t="s">
        <v>219</v>
      </c>
      <c r="B26" s="402" t="s">
        <v>461</v>
      </c>
      <c r="C26" s="274">
        <f t="shared" si="1"/>
        <v>1.7581018518518521E-4</v>
      </c>
      <c r="D26" s="1977">
        <v>6</v>
      </c>
      <c r="E26" s="365">
        <v>1</v>
      </c>
      <c r="F26" s="365">
        <v>1</v>
      </c>
      <c r="G26" s="365">
        <v>40</v>
      </c>
      <c r="H26" s="2676" t="s">
        <v>1414</v>
      </c>
      <c r="I26" s="366">
        <v>0</v>
      </c>
      <c r="J26" s="366">
        <v>1.1574074074074073E-4</v>
      </c>
      <c r="K26" s="1065" t="s">
        <v>2311</v>
      </c>
      <c r="L26" s="1006">
        <f t="shared" si="28"/>
        <v>0.36749399074074074</v>
      </c>
      <c r="M26" s="365">
        <v>1</v>
      </c>
      <c r="N26" s="366">
        <f t="shared" si="27"/>
        <v>3.9703703703703711E-4</v>
      </c>
      <c r="O26" s="365">
        <f t="shared" si="25"/>
        <v>2.8129629629629636E-4</v>
      </c>
      <c r="P26" s="586">
        <f t="shared" ref="P26:P29" si="31">O26*M26</f>
        <v>2.8129629629629636E-4</v>
      </c>
      <c r="Q26" s="365">
        <v>180</v>
      </c>
      <c r="R26" s="365">
        <f t="shared" si="26"/>
        <v>40</v>
      </c>
      <c r="S26" s="229">
        <f t="shared" si="5"/>
        <v>0.04</v>
      </c>
      <c r="T26" s="230">
        <f t="shared" si="6"/>
        <v>1.1251851851851854E-3</v>
      </c>
      <c r="U26" s="374">
        <f t="shared" si="7"/>
        <v>0</v>
      </c>
      <c r="V26" s="375">
        <f t="shared" si="8"/>
        <v>0</v>
      </c>
      <c r="W26" s="376">
        <f t="shared" si="9"/>
        <v>0</v>
      </c>
      <c r="X26" s="377">
        <f t="shared" si="10"/>
        <v>0</v>
      </c>
      <c r="Y26" s="378">
        <f t="shared" si="11"/>
        <v>0</v>
      </c>
      <c r="Z26" s="379">
        <f t="shared" si="12"/>
        <v>0.04</v>
      </c>
      <c r="AA26" s="380">
        <f t="shared" si="13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  <c r="AN26" s="204"/>
    </row>
    <row r="27" spans="1:40" ht="14" customHeight="1" thickBot="1">
      <c r="A27" s="398"/>
      <c r="B27" s="402" t="s">
        <v>461</v>
      </c>
      <c r="C27" s="274">
        <f t="shared" si="1"/>
        <v>2.3321759259259265E-4</v>
      </c>
      <c r="D27" s="1977">
        <v>1</v>
      </c>
      <c r="E27" s="1194">
        <v>1</v>
      </c>
      <c r="F27" s="1194">
        <v>1</v>
      </c>
      <c r="G27" s="1194">
        <v>200</v>
      </c>
      <c r="H27" s="1667" t="s">
        <v>702</v>
      </c>
      <c r="I27" s="274">
        <v>6.9444444444444447E-4</v>
      </c>
      <c r="J27" s="274">
        <v>1.0416666666666667E-3</v>
      </c>
      <c r="K27" s="312" t="s">
        <v>706</v>
      </c>
      <c r="L27" s="993">
        <f t="shared" si="28"/>
        <v>0.36789102777777777</v>
      </c>
      <c r="M27" s="1195">
        <v>1</v>
      </c>
      <c r="N27" s="274">
        <f t="shared" si="27"/>
        <v>3.6018518518518526E-3</v>
      </c>
      <c r="O27" s="1196">
        <f t="shared" si="25"/>
        <v>1.8657407407407412E-3</v>
      </c>
      <c r="P27" s="1196">
        <f t="shared" si="31"/>
        <v>1.8657407407407412E-3</v>
      </c>
      <c r="Q27" s="548">
        <v>190</v>
      </c>
      <c r="R27" s="1194">
        <f t="shared" si="26"/>
        <v>200</v>
      </c>
      <c r="S27" s="229">
        <f t="shared" si="5"/>
        <v>0.2</v>
      </c>
      <c r="T27" s="230">
        <f t="shared" si="6"/>
        <v>7.4629629629629646E-3</v>
      </c>
      <c r="U27" s="374">
        <f t="shared" si="7"/>
        <v>0.2</v>
      </c>
      <c r="V27" s="375">
        <f t="shared" si="8"/>
        <v>0</v>
      </c>
      <c r="W27" s="376">
        <f t="shared" si="9"/>
        <v>0</v>
      </c>
      <c r="X27" s="377">
        <f t="shared" si="10"/>
        <v>0</v>
      </c>
      <c r="Y27" s="378">
        <f t="shared" si="11"/>
        <v>0</v>
      </c>
      <c r="Z27" s="379">
        <f t="shared" si="12"/>
        <v>0</v>
      </c>
      <c r="AA27" s="380">
        <f t="shared" si="13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  <c r="AN27" s="204"/>
    </row>
    <row r="28" spans="1:40" ht="15" customHeight="1" thickBot="1">
      <c r="A28" s="398"/>
      <c r="B28" s="402" t="s">
        <v>461</v>
      </c>
      <c r="C28" s="274">
        <f t="shared" si="1"/>
        <v>1.7222222222222224E-4</v>
      </c>
      <c r="D28" s="1977">
        <v>7</v>
      </c>
      <c r="E28" s="441">
        <v>2</v>
      </c>
      <c r="F28" s="441">
        <v>5</v>
      </c>
      <c r="G28" s="441">
        <v>20</v>
      </c>
      <c r="H28" s="3344" t="s">
        <v>1414</v>
      </c>
      <c r="I28" s="436">
        <v>4.6296296296296293E-4</v>
      </c>
      <c r="J28" s="436">
        <v>1.3888888888888889E-3</v>
      </c>
      <c r="K28" s="442" t="s">
        <v>2307</v>
      </c>
      <c r="L28" s="436">
        <f t="shared" si="28"/>
        <v>0.37149287962962962</v>
      </c>
      <c r="M28" s="442">
        <v>1</v>
      </c>
      <c r="N28" s="436">
        <f t="shared" si="27"/>
        <v>8.7851851851851858E-3</v>
      </c>
      <c r="O28" s="293">
        <f t="shared" si="25"/>
        <v>1.3777777777777779E-4</v>
      </c>
      <c r="P28" s="436">
        <f t="shared" si="31"/>
        <v>1.3777777777777779E-4</v>
      </c>
      <c r="Q28" s="789">
        <v>190</v>
      </c>
      <c r="R28" s="435">
        <f t="shared" si="26"/>
        <v>200</v>
      </c>
      <c r="S28" s="229">
        <f t="shared" si="5"/>
        <v>0.2</v>
      </c>
      <c r="T28" s="230">
        <f t="shared" si="6"/>
        <v>5.5111111111111116E-3</v>
      </c>
      <c r="U28" s="374">
        <f t="shared" si="7"/>
        <v>0</v>
      </c>
      <c r="V28" s="375">
        <f t="shared" si="8"/>
        <v>0</v>
      </c>
      <c r="W28" s="376">
        <f t="shared" si="9"/>
        <v>0</v>
      </c>
      <c r="X28" s="377">
        <f t="shared" si="10"/>
        <v>0</v>
      </c>
      <c r="Y28" s="378">
        <f t="shared" si="11"/>
        <v>0</v>
      </c>
      <c r="Z28" s="379">
        <f t="shared" si="12"/>
        <v>0</v>
      </c>
      <c r="AA28" s="380">
        <f t="shared" si="13"/>
        <v>0.2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  <c r="AN28" s="204"/>
    </row>
    <row r="29" spans="1:40" ht="14" customHeight="1" thickBot="1">
      <c r="A29" s="398"/>
      <c r="B29" s="402" t="s">
        <v>461</v>
      </c>
      <c r="C29" s="274">
        <f t="shared" si="1"/>
        <v>1.7222222222222224E-4</v>
      </c>
      <c r="D29" s="1977">
        <v>7</v>
      </c>
      <c r="E29" s="1333">
        <v>1</v>
      </c>
      <c r="F29" s="1333">
        <v>3</v>
      </c>
      <c r="G29" s="1333">
        <v>20</v>
      </c>
      <c r="H29" s="3344" t="s">
        <v>1414</v>
      </c>
      <c r="I29" s="436">
        <v>3.4722222222222224E-4</v>
      </c>
      <c r="J29" s="1334">
        <v>0</v>
      </c>
      <c r="K29" s="1323" t="s">
        <v>2308</v>
      </c>
      <c r="L29" s="1189">
        <f t="shared" si="28"/>
        <v>0.3802780648148148</v>
      </c>
      <c r="M29" s="1335">
        <v>1</v>
      </c>
      <c r="N29" s="1334">
        <f t="shared" si="27"/>
        <v>1.4550000000000001E-3</v>
      </c>
      <c r="O29" s="1191">
        <f t="shared" si="25"/>
        <v>1.3777777777777779E-4</v>
      </c>
      <c r="P29" s="1192">
        <f t="shared" si="31"/>
        <v>1.3777777777777779E-4</v>
      </c>
      <c r="Q29" s="446" t="s">
        <v>316</v>
      </c>
      <c r="R29" s="1187">
        <f t="shared" si="26"/>
        <v>60</v>
      </c>
      <c r="S29" s="229">
        <f t="shared" si="5"/>
        <v>0.06</v>
      </c>
      <c r="T29" s="230">
        <f t="shared" si="6"/>
        <v>1.6533333333333335E-3</v>
      </c>
      <c r="U29" s="374">
        <f t="shared" si="7"/>
        <v>0</v>
      </c>
      <c r="V29" s="375">
        <f t="shared" si="8"/>
        <v>0</v>
      </c>
      <c r="W29" s="376">
        <f t="shared" si="9"/>
        <v>0</v>
      </c>
      <c r="X29" s="377">
        <f t="shared" si="10"/>
        <v>0</v>
      </c>
      <c r="Y29" s="378">
        <f t="shared" si="11"/>
        <v>0</v>
      </c>
      <c r="Z29" s="379">
        <f t="shared" si="12"/>
        <v>0</v>
      </c>
      <c r="AA29" s="380">
        <f t="shared" si="13"/>
        <v>0.06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  <c r="AN29" s="204"/>
    </row>
    <row r="30" spans="1:40" ht="15" customHeight="1" thickBot="1">
      <c r="B30" s="1326"/>
      <c r="C30" s="274">
        <f t="shared" si="1"/>
        <v>1.7850115740740744E-4</v>
      </c>
      <c r="D30" s="1977">
        <v>5</v>
      </c>
      <c r="E30" s="134"/>
      <c r="F30" s="60"/>
      <c r="G30" s="135"/>
      <c r="H30" s="3345"/>
      <c r="I30" s="135"/>
      <c r="J30" s="135"/>
      <c r="K30" s="313"/>
      <c r="L30" s="276">
        <f t="shared" si="28"/>
        <v>0.38173306481481478</v>
      </c>
      <c r="M30" s="511"/>
      <c r="N30" s="3335">
        <f>SUM(N25:N29)</f>
        <v>1.6450166666666668E-2</v>
      </c>
      <c r="O30" s="73"/>
      <c r="P30" s="73"/>
      <c r="Q30" s="783"/>
      <c r="R30" s="73">
        <f>SUM(R18:R29)</f>
        <v>2040</v>
      </c>
      <c r="S30" s="229">
        <f t="shared" si="5"/>
        <v>0</v>
      </c>
      <c r="T30" s="230">
        <f t="shared" si="6"/>
        <v>0</v>
      </c>
      <c r="U30" s="374">
        <f t="shared" si="7"/>
        <v>0</v>
      </c>
      <c r="V30" s="375">
        <f t="shared" si="8"/>
        <v>0</v>
      </c>
      <c r="W30" s="376">
        <f t="shared" si="9"/>
        <v>0</v>
      </c>
      <c r="X30" s="377">
        <f t="shared" si="10"/>
        <v>0</v>
      </c>
      <c r="Y30" s="378">
        <f t="shared" si="11"/>
        <v>0</v>
      </c>
      <c r="Z30" s="379">
        <f t="shared" si="12"/>
        <v>0</v>
      </c>
      <c r="AA30" s="380">
        <f t="shared" si="13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  <c r="AN30" s="204"/>
    </row>
    <row r="31" spans="1:40" ht="15" customHeight="1" thickBot="1">
      <c r="A31" s="6703"/>
      <c r="B31" s="6701" t="s">
        <v>215</v>
      </c>
      <c r="C31" s="274">
        <f t="shared" ref="C31:C32" si="32">IF(D31=1,U$4,IF(D31=2,V$4,IF(D31=3,W$4,IF(D31=4,X$4,IF(D31=5,Y$4,IF(D31=6,Z$4,IF(D31=7,AA$4,0)))))))</f>
        <v>2.152777777777778E-4</v>
      </c>
      <c r="D31" s="1977">
        <v>2</v>
      </c>
      <c r="E31" s="1173">
        <v>1</v>
      </c>
      <c r="F31" s="1173">
        <v>1</v>
      </c>
      <c r="G31" s="1173">
        <v>700</v>
      </c>
      <c r="H31" s="2675"/>
      <c r="I31" s="299">
        <v>0</v>
      </c>
      <c r="J31" s="299">
        <v>8.1018518518518516E-4</v>
      </c>
      <c r="K31" s="1123" t="s">
        <v>2312</v>
      </c>
      <c r="L31" s="1149">
        <v>0.34375</v>
      </c>
      <c r="M31" s="1174">
        <v>1</v>
      </c>
      <c r="N31" s="299">
        <f>P31*E31*F31+I31*E31*F31+J31*E31</f>
        <v>6.8379629629629641E-3</v>
      </c>
      <c r="O31" s="1175">
        <f t="shared" ref="O31:O35" si="33">C31*(G31/25)</f>
        <v>6.0277777777777786E-3</v>
      </c>
      <c r="P31" s="1175">
        <f>O31*M31</f>
        <v>6.0277777777777786E-3</v>
      </c>
      <c r="Q31" s="550">
        <v>129</v>
      </c>
      <c r="R31" s="1176">
        <f t="shared" ref="R31:R35" si="34">E31*F31*G31</f>
        <v>700</v>
      </c>
      <c r="S31" s="229">
        <f t="shared" si="5"/>
        <v>0.7</v>
      </c>
      <c r="T31" s="230">
        <f t="shared" si="6"/>
        <v>2.4111111111111114E-2</v>
      </c>
      <c r="U31" s="374">
        <f t="shared" si="7"/>
        <v>0</v>
      </c>
      <c r="V31" s="375">
        <f t="shared" si="8"/>
        <v>0.7</v>
      </c>
      <c r="W31" s="376">
        <f t="shared" si="9"/>
        <v>0</v>
      </c>
      <c r="X31" s="377">
        <f t="shared" si="10"/>
        <v>0</v>
      </c>
      <c r="Y31" s="378">
        <f t="shared" si="11"/>
        <v>0</v>
      </c>
      <c r="Z31" s="379">
        <f t="shared" si="12"/>
        <v>0</v>
      </c>
      <c r="AA31" s="380">
        <f t="shared" si="13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  <c r="AN31" s="204"/>
    </row>
    <row r="32" spans="1:40" ht="15" customHeight="1">
      <c r="A32" s="6704"/>
      <c r="B32" s="6702" t="s">
        <v>215</v>
      </c>
      <c r="C32" s="274">
        <f t="shared" si="32"/>
        <v>2.152777777777778E-4</v>
      </c>
      <c r="D32" s="1977">
        <v>2</v>
      </c>
      <c r="E32" s="300">
        <v>1</v>
      </c>
      <c r="F32" s="300">
        <v>12</v>
      </c>
      <c r="G32" s="2645">
        <v>50</v>
      </c>
      <c r="H32" s="3350"/>
      <c r="I32" s="2649">
        <v>2.3148148148148146E-4</v>
      </c>
      <c r="J32" s="301">
        <v>9.8379629629629642E-4</v>
      </c>
      <c r="K32" s="1975" t="s">
        <v>1108</v>
      </c>
      <c r="L32" s="301">
        <f t="shared" ref="L32:L38" si="35">L31+N31</f>
        <v>0.35058796296296296</v>
      </c>
      <c r="M32" s="455">
        <v>1</v>
      </c>
      <c r="N32" s="302">
        <f t="shared" ref="N32:N35" si="36">P32*E32*F32+I32*E32*F32+J32*E32</f>
        <v>8.9282407407407418E-3</v>
      </c>
      <c r="O32" s="301">
        <f t="shared" si="33"/>
        <v>4.3055555555555561E-4</v>
      </c>
      <c r="P32" s="302">
        <f t="shared" ref="P32:P35" si="37">O32*M32</f>
        <v>4.3055555555555561E-4</v>
      </c>
      <c r="Q32" s="550">
        <v>185</v>
      </c>
      <c r="R32" s="369">
        <f t="shared" si="34"/>
        <v>600</v>
      </c>
      <c r="S32" s="229">
        <f t="shared" ref="S32:S46" si="38">E32*F32*G32/1000</f>
        <v>0.6</v>
      </c>
      <c r="T32" s="230">
        <f t="shared" ref="T32:T46" si="39">E32*F32*O32*4</f>
        <v>2.066666666666667E-2</v>
      </c>
      <c r="U32" s="374">
        <f t="shared" ref="U32:U46" si="40">IF(C32*4&gt;=$U$3,S32,0)</f>
        <v>0</v>
      </c>
      <c r="V32" s="375">
        <f t="shared" ref="V32:V46" si="41">IF(AND(C32*4&gt;=$V$3,C32*4&lt;$U$3),S32,0)</f>
        <v>0.6</v>
      </c>
      <c r="W32" s="376">
        <f t="shared" ref="W32:W46" si="42">IF(AND(C32*4&gt;=$W$3,C32*4&lt;$V$3),S32,0)</f>
        <v>0</v>
      </c>
      <c r="X32" s="377">
        <f t="shared" ref="X32:X46" si="43">IF(AND(C32*4&gt;=$X$3,C32*4&lt;$W$3),S32,0)</f>
        <v>0</v>
      </c>
      <c r="Y32" s="378">
        <f t="shared" ref="Y32:Y46" si="44">IF(AND(C32*4&gt;=$Y$3,C32*4&lt;$X$3),S32,0)</f>
        <v>0</v>
      </c>
      <c r="Z32" s="379">
        <f t="shared" ref="Z32:Z46" si="45">IF(AND(C32*4&gt;=$Z$3,C32*4&lt;$Y$3),S32,0)</f>
        <v>0</v>
      </c>
      <c r="AA32" s="380">
        <f t="shared" ref="AA32:AA46" si="46">IF(AND(C32*4&gt;=$AA$3,C32*4&lt;$Z$3),S32,0)</f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  <c r="AN32" s="204"/>
    </row>
    <row r="33" spans="1:40" ht="15" customHeight="1">
      <c r="A33" s="6704"/>
      <c r="B33" s="6702" t="s">
        <v>215</v>
      </c>
      <c r="C33" s="6458">
        <f t="shared" si="1"/>
        <v>1.7222222222222224E-4</v>
      </c>
      <c r="D33" s="897">
        <v>7</v>
      </c>
      <c r="E33" s="435">
        <v>2</v>
      </c>
      <c r="F33" s="435">
        <v>8</v>
      </c>
      <c r="G33" s="435">
        <v>7.5</v>
      </c>
      <c r="H33" s="3344" t="s">
        <v>1414</v>
      </c>
      <c r="I33" s="436">
        <v>3.4722222222222224E-4</v>
      </c>
      <c r="J33" s="437">
        <v>6.9444444444444447E-4</v>
      </c>
      <c r="K33" s="1187" t="s">
        <v>307</v>
      </c>
      <c r="L33" s="437">
        <f t="shared" si="35"/>
        <v>0.35951620370370369</v>
      </c>
      <c r="M33" s="516">
        <v>1</v>
      </c>
      <c r="N33" s="437">
        <f t="shared" si="36"/>
        <v>7.7711111111111114E-3</v>
      </c>
      <c r="O33" s="439">
        <f t="shared" si="33"/>
        <v>5.1666666666666671E-5</v>
      </c>
      <c r="P33" s="587">
        <f t="shared" si="37"/>
        <v>5.1666666666666671E-5</v>
      </c>
      <c r="Q33" s="788">
        <v>179</v>
      </c>
      <c r="R33" s="435">
        <f t="shared" si="34"/>
        <v>120</v>
      </c>
      <c r="S33" s="229">
        <f t="shared" si="38"/>
        <v>0.12</v>
      </c>
      <c r="T33" s="230">
        <f t="shared" si="39"/>
        <v>3.306666666666667E-3</v>
      </c>
      <c r="U33" s="374">
        <f t="shared" si="40"/>
        <v>0</v>
      </c>
      <c r="V33" s="375">
        <f t="shared" si="41"/>
        <v>0</v>
      </c>
      <c r="W33" s="376">
        <f t="shared" si="42"/>
        <v>0</v>
      </c>
      <c r="X33" s="377">
        <f t="shared" si="43"/>
        <v>0</v>
      </c>
      <c r="Y33" s="378">
        <f t="shared" si="44"/>
        <v>0</v>
      </c>
      <c r="Z33" s="379">
        <f t="shared" si="45"/>
        <v>0</v>
      </c>
      <c r="AA33" s="380">
        <f t="shared" si="46"/>
        <v>0.12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  <c r="AN33" s="204"/>
    </row>
    <row r="34" spans="1:40" ht="15" customHeight="1" thickBot="1">
      <c r="A34" s="1971" t="s">
        <v>215</v>
      </c>
      <c r="B34" s="6702" t="s">
        <v>215</v>
      </c>
      <c r="C34" s="6458">
        <f t="shared" si="1"/>
        <v>1.7222222222222224E-4</v>
      </c>
      <c r="D34" s="897">
        <v>7</v>
      </c>
      <c r="E34" s="435">
        <v>2</v>
      </c>
      <c r="F34" s="435">
        <v>4</v>
      </c>
      <c r="G34" s="435">
        <v>15</v>
      </c>
      <c r="H34" s="436"/>
      <c r="I34" s="436">
        <v>3.4722222222222224E-4</v>
      </c>
      <c r="J34" s="437">
        <v>6.9444444444444447E-4</v>
      </c>
      <c r="K34" s="1187" t="s">
        <v>407</v>
      </c>
      <c r="L34" s="437">
        <f t="shared" si="35"/>
        <v>0.3672873148148148</v>
      </c>
      <c r="M34" s="516">
        <v>1</v>
      </c>
      <c r="N34" s="437">
        <f t="shared" si="36"/>
        <v>4.993333333333334E-3</v>
      </c>
      <c r="O34" s="439">
        <f t="shared" si="33"/>
        <v>1.0333333333333334E-4</v>
      </c>
      <c r="P34" s="587">
        <f t="shared" si="37"/>
        <v>1.0333333333333334E-4</v>
      </c>
      <c r="Q34" s="788">
        <v>179</v>
      </c>
      <c r="R34" s="435">
        <f t="shared" si="34"/>
        <v>120</v>
      </c>
      <c r="S34" s="229">
        <f t="shared" si="38"/>
        <v>0.12</v>
      </c>
      <c r="T34" s="230">
        <f t="shared" si="39"/>
        <v>3.306666666666667E-3</v>
      </c>
      <c r="U34" s="374">
        <f t="shared" si="40"/>
        <v>0</v>
      </c>
      <c r="V34" s="375">
        <f t="shared" si="41"/>
        <v>0</v>
      </c>
      <c r="W34" s="376">
        <f t="shared" si="42"/>
        <v>0</v>
      </c>
      <c r="X34" s="377">
        <f t="shared" si="43"/>
        <v>0</v>
      </c>
      <c r="Y34" s="378">
        <f t="shared" si="44"/>
        <v>0</v>
      </c>
      <c r="Z34" s="379">
        <f t="shared" si="45"/>
        <v>0</v>
      </c>
      <c r="AA34" s="380">
        <f t="shared" si="46"/>
        <v>0.12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  <c r="AN34" s="204"/>
    </row>
    <row r="35" spans="1:40" ht="15" customHeight="1">
      <c r="A35" s="1971" t="s">
        <v>138</v>
      </c>
      <c r="B35" s="6702" t="s">
        <v>215</v>
      </c>
      <c r="C35" s="6458">
        <f t="shared" si="1"/>
        <v>2.3321759259259265E-4</v>
      </c>
      <c r="D35" s="1977">
        <v>1</v>
      </c>
      <c r="E35" s="1194">
        <v>1</v>
      </c>
      <c r="F35" s="1194">
        <v>1</v>
      </c>
      <c r="G35" s="1194">
        <v>200</v>
      </c>
      <c r="H35" s="1667" t="s">
        <v>702</v>
      </c>
      <c r="I35" s="274">
        <v>6.9444444444444447E-4</v>
      </c>
      <c r="J35" s="274">
        <v>1.0416666666666667E-3</v>
      </c>
      <c r="K35" s="312" t="s">
        <v>706</v>
      </c>
      <c r="L35" s="993">
        <f t="shared" si="35"/>
        <v>0.37228064814814815</v>
      </c>
      <c r="M35" s="1195">
        <v>1</v>
      </c>
      <c r="N35" s="274">
        <f t="shared" si="36"/>
        <v>3.6018518518518526E-3</v>
      </c>
      <c r="O35" s="1196">
        <f t="shared" si="33"/>
        <v>1.8657407407407412E-3</v>
      </c>
      <c r="P35" s="1196">
        <f t="shared" si="37"/>
        <v>1.8657407407407412E-3</v>
      </c>
      <c r="Q35" s="548">
        <v>190</v>
      </c>
      <c r="R35" s="1194">
        <f t="shared" si="34"/>
        <v>200</v>
      </c>
      <c r="S35" s="229">
        <f t="shared" si="38"/>
        <v>0.2</v>
      </c>
      <c r="T35" s="230">
        <f t="shared" si="39"/>
        <v>7.4629629629629646E-3</v>
      </c>
      <c r="U35" s="374">
        <f t="shared" si="40"/>
        <v>0.2</v>
      </c>
      <c r="V35" s="375">
        <f t="shared" si="41"/>
        <v>0</v>
      </c>
      <c r="W35" s="376">
        <f t="shared" si="42"/>
        <v>0</v>
      </c>
      <c r="X35" s="377">
        <f t="shared" si="43"/>
        <v>0</v>
      </c>
      <c r="Y35" s="378">
        <f t="shared" si="44"/>
        <v>0</v>
      </c>
      <c r="Z35" s="379">
        <f t="shared" si="45"/>
        <v>0</v>
      </c>
      <c r="AA35" s="380">
        <f t="shared" si="46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  <c r="AN35" s="204"/>
    </row>
    <row r="36" spans="1:40" ht="15" customHeight="1">
      <c r="A36" s="1971" t="s">
        <v>462</v>
      </c>
      <c r="B36" s="6702" t="s">
        <v>215</v>
      </c>
      <c r="C36" s="6458">
        <f t="shared" si="1"/>
        <v>1.7222222222222224E-4</v>
      </c>
      <c r="D36" s="897">
        <v>7</v>
      </c>
      <c r="E36" s="444">
        <v>1</v>
      </c>
      <c r="F36" s="444">
        <v>8</v>
      </c>
      <c r="G36" s="444">
        <v>25</v>
      </c>
      <c r="H36" s="434"/>
      <c r="I36" s="436">
        <v>6.9444444444444447E-4</v>
      </c>
      <c r="J36" s="465">
        <v>0</v>
      </c>
      <c r="K36" s="6708" t="s">
        <v>315</v>
      </c>
      <c r="L36" s="465">
        <f t="shared" si="35"/>
        <v>0.37588250000000001</v>
      </c>
      <c r="M36" s="518">
        <v>1</v>
      </c>
      <c r="N36" s="465">
        <f t="shared" ref="N36:N37" si="47">P36*E36*F36+I36*E36*F36+J36*E36</f>
        <v>6.9333333333333339E-3</v>
      </c>
      <c r="O36" s="439">
        <f t="shared" ref="O36" si="48">C36*(G36/25)</f>
        <v>1.7222222222222224E-4</v>
      </c>
      <c r="P36" s="587">
        <f t="shared" ref="P36:P37" si="49">O36*M36</f>
        <v>1.7222222222222224E-4</v>
      </c>
      <c r="Q36" s="788">
        <v>179</v>
      </c>
      <c r="R36" s="435">
        <f t="shared" ref="R36:R37" si="50">E36*F36*G36</f>
        <v>200</v>
      </c>
      <c r="S36" s="229">
        <f t="shared" si="38"/>
        <v>0.2</v>
      </c>
      <c r="T36" s="230">
        <f t="shared" si="39"/>
        <v>5.5111111111111116E-3</v>
      </c>
      <c r="U36" s="374">
        <f t="shared" si="40"/>
        <v>0</v>
      </c>
      <c r="V36" s="375">
        <f t="shared" si="41"/>
        <v>0</v>
      </c>
      <c r="W36" s="376">
        <f t="shared" si="42"/>
        <v>0</v>
      </c>
      <c r="X36" s="377">
        <f t="shared" si="43"/>
        <v>0</v>
      </c>
      <c r="Y36" s="378">
        <f t="shared" si="44"/>
        <v>0</v>
      </c>
      <c r="Z36" s="379">
        <f t="shared" si="45"/>
        <v>0</v>
      </c>
      <c r="AA36" s="380">
        <f t="shared" si="46"/>
        <v>0.2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  <c r="AN36" s="204"/>
    </row>
    <row r="37" spans="1:40" ht="15" customHeight="1" thickBot="1">
      <c r="A37" s="1971" t="s">
        <v>461</v>
      </c>
      <c r="B37" s="6702" t="s">
        <v>215</v>
      </c>
      <c r="C37" s="6458">
        <f t="shared" si="1"/>
        <v>1.7222222222222224E-4</v>
      </c>
      <c r="D37" s="897">
        <v>7</v>
      </c>
      <c r="E37" s="444">
        <v>1</v>
      </c>
      <c r="F37" s="444">
        <v>4</v>
      </c>
      <c r="G37" s="444">
        <v>50</v>
      </c>
      <c r="H37" s="3344" t="s">
        <v>1414</v>
      </c>
      <c r="I37" s="434">
        <v>3.4722222222222224E-4</v>
      </c>
      <c r="J37" s="465">
        <v>0</v>
      </c>
      <c r="K37" s="6708" t="s">
        <v>315</v>
      </c>
      <c r="L37" s="465">
        <f t="shared" si="35"/>
        <v>0.38281583333333336</v>
      </c>
      <c r="M37" s="518">
        <v>1</v>
      </c>
      <c r="N37" s="465">
        <f t="shared" si="47"/>
        <v>2.7942222222222222E-3</v>
      </c>
      <c r="O37" s="439">
        <f>C37*(G37/25)*1.02</f>
        <v>3.5133333333333338E-4</v>
      </c>
      <c r="P37" s="587">
        <f t="shared" si="49"/>
        <v>3.5133333333333338E-4</v>
      </c>
      <c r="Q37" s="788">
        <v>179</v>
      </c>
      <c r="R37" s="435">
        <f t="shared" si="50"/>
        <v>200</v>
      </c>
      <c r="S37" s="229">
        <f t="shared" si="38"/>
        <v>0.2</v>
      </c>
      <c r="T37" s="230">
        <f t="shared" si="39"/>
        <v>5.6213333333333341E-3</v>
      </c>
      <c r="U37" s="374">
        <f t="shared" si="40"/>
        <v>0</v>
      </c>
      <c r="V37" s="375">
        <f t="shared" si="41"/>
        <v>0</v>
      </c>
      <c r="W37" s="376">
        <f t="shared" si="42"/>
        <v>0</v>
      </c>
      <c r="X37" s="377">
        <f t="shared" si="43"/>
        <v>0</v>
      </c>
      <c r="Y37" s="378">
        <f t="shared" si="44"/>
        <v>0</v>
      </c>
      <c r="Z37" s="379">
        <f t="shared" si="45"/>
        <v>0</v>
      </c>
      <c r="AA37" s="380">
        <f t="shared" si="46"/>
        <v>0.2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  <c r="AN37" s="204"/>
    </row>
    <row r="38" spans="1:40" ht="15" customHeight="1" thickBot="1">
      <c r="A38" s="1971" t="s">
        <v>458</v>
      </c>
      <c r="B38" s="6702"/>
      <c r="C38" s="6458">
        <f t="shared" si="1"/>
        <v>0</v>
      </c>
      <c r="E38" s="134"/>
      <c r="F38" s="60"/>
      <c r="G38" s="135"/>
      <c r="H38" s="3345"/>
      <c r="I38" s="135"/>
      <c r="J38" s="135"/>
      <c r="K38" s="313"/>
      <c r="L38" s="3335">
        <f t="shared" si="35"/>
        <v>0.38561005555555555</v>
      </c>
      <c r="M38" s="511"/>
      <c r="N38" s="3335">
        <f>SUM(N33:N37)</f>
        <v>2.6093851851851854E-2</v>
      </c>
      <c r="O38" s="73"/>
      <c r="P38" s="73"/>
      <c r="Q38" s="783"/>
      <c r="R38" s="73">
        <f>SUM(R31:R37)</f>
        <v>2140</v>
      </c>
      <c r="S38" s="229">
        <f t="shared" si="38"/>
        <v>0</v>
      </c>
      <c r="T38" s="230">
        <f t="shared" si="39"/>
        <v>0</v>
      </c>
      <c r="U38" s="374">
        <f t="shared" si="40"/>
        <v>0</v>
      </c>
      <c r="V38" s="375">
        <f t="shared" si="41"/>
        <v>0</v>
      </c>
      <c r="W38" s="376">
        <f t="shared" si="42"/>
        <v>0</v>
      </c>
      <c r="X38" s="377">
        <f t="shared" si="43"/>
        <v>0</v>
      </c>
      <c r="Y38" s="378">
        <f t="shared" si="44"/>
        <v>0</v>
      </c>
      <c r="Z38" s="379">
        <f t="shared" si="45"/>
        <v>0</v>
      </c>
      <c r="AA38" s="380">
        <f t="shared" si="46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  <c r="AN38" s="204"/>
    </row>
    <row r="39" spans="1:40" ht="15" customHeight="1" thickBot="1">
      <c r="A39" s="1971" t="s">
        <v>219</v>
      </c>
      <c r="B39" s="6702" t="s">
        <v>461</v>
      </c>
      <c r="C39" s="274">
        <f t="shared" ref="C39:C40" si="51">IF(D39=1,U$4,IF(D39=2,V$4,IF(D39=3,W$4,IF(D39=4,X$4,IF(D39=5,Y$4,IF(D39=6,Z$4,IF(D39=7,AA$4,0)))))))</f>
        <v>2.152777777777778E-4</v>
      </c>
      <c r="D39" s="1977">
        <v>2</v>
      </c>
      <c r="E39" s="1173">
        <v>1</v>
      </c>
      <c r="F39" s="1173">
        <v>2</v>
      </c>
      <c r="G39" s="1173">
        <v>200</v>
      </c>
      <c r="H39" s="2675"/>
      <c r="I39" s="299">
        <v>3.4722222222222224E-4</v>
      </c>
      <c r="J39" s="299">
        <v>1.3888888888888889E-3</v>
      </c>
      <c r="K39" s="1123" t="s">
        <v>1395</v>
      </c>
      <c r="L39" s="1175">
        <v>0.80208333333333337</v>
      </c>
      <c r="M39" s="1174">
        <v>1</v>
      </c>
      <c r="N39" s="1175">
        <f t="shared" ref="N39:N43" si="52">P39*E39*F39+I39*E39*F39+J39*E39</f>
        <v>5.5277777777777782E-3</v>
      </c>
      <c r="O39" s="1175">
        <f t="shared" ref="O39:O43" si="53">C39*(G39/25)</f>
        <v>1.7222222222222224E-3</v>
      </c>
      <c r="P39" s="1175">
        <f>O39*M39</f>
        <v>1.7222222222222224E-3</v>
      </c>
      <c r="Q39" s="550">
        <v>129</v>
      </c>
      <c r="R39" s="1176">
        <f>E39*F39*G39</f>
        <v>400</v>
      </c>
      <c r="S39" s="229">
        <f t="shared" si="38"/>
        <v>0.4</v>
      </c>
      <c r="T39" s="230">
        <f t="shared" si="39"/>
        <v>1.3777777777777779E-2</v>
      </c>
      <c r="U39" s="374">
        <f t="shared" si="40"/>
        <v>0</v>
      </c>
      <c r="V39" s="375">
        <f t="shared" si="41"/>
        <v>0.4</v>
      </c>
      <c r="W39" s="376">
        <f t="shared" si="42"/>
        <v>0</v>
      </c>
      <c r="X39" s="377">
        <f t="shared" si="43"/>
        <v>0</v>
      </c>
      <c r="Y39" s="378">
        <f t="shared" si="44"/>
        <v>0</v>
      </c>
      <c r="Z39" s="379">
        <f t="shared" si="45"/>
        <v>0</v>
      </c>
      <c r="AA39" s="380">
        <f t="shared" si="46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  <c r="AN39" s="204"/>
    </row>
    <row r="40" spans="1:40" ht="15" customHeight="1">
      <c r="A40" s="6704"/>
      <c r="B40" s="6706" t="s">
        <v>461</v>
      </c>
      <c r="C40" s="274">
        <f t="shared" si="51"/>
        <v>2.152777777777778E-4</v>
      </c>
      <c r="D40" s="1977">
        <v>2</v>
      </c>
      <c r="E40" s="1980">
        <v>1</v>
      </c>
      <c r="F40" s="300">
        <v>12</v>
      </c>
      <c r="G40" s="2645">
        <v>50</v>
      </c>
      <c r="H40" s="3350"/>
      <c r="I40" s="2649">
        <v>1.7361111111111112E-4</v>
      </c>
      <c r="J40" s="301">
        <v>9.2592592592592585E-4</v>
      </c>
      <c r="K40" s="2653" t="s">
        <v>1407</v>
      </c>
      <c r="L40" s="302">
        <f t="shared" ref="L40:L45" si="54">L39+N39</f>
        <v>0.80761111111111117</v>
      </c>
      <c r="M40" s="455">
        <v>1</v>
      </c>
      <c r="N40" s="302">
        <f t="shared" si="52"/>
        <v>8.1759259259259268E-3</v>
      </c>
      <c r="O40" s="301">
        <f t="shared" si="53"/>
        <v>4.3055555555555561E-4</v>
      </c>
      <c r="P40" s="302">
        <f t="shared" ref="P40:P43" si="55">O40*M40</f>
        <v>4.3055555555555561E-4</v>
      </c>
      <c r="Q40" s="550">
        <v>185</v>
      </c>
      <c r="R40" s="369">
        <f t="shared" ref="R40:R41" si="56">E40*F40*G40</f>
        <v>600</v>
      </c>
      <c r="S40" s="229">
        <f t="shared" si="38"/>
        <v>0.6</v>
      </c>
      <c r="T40" s="230">
        <f t="shared" si="39"/>
        <v>2.066666666666667E-2</v>
      </c>
      <c r="U40" s="374">
        <f t="shared" si="40"/>
        <v>0</v>
      </c>
      <c r="V40" s="375">
        <f t="shared" si="41"/>
        <v>0.6</v>
      </c>
      <c r="W40" s="376">
        <f t="shared" si="42"/>
        <v>0</v>
      </c>
      <c r="X40" s="377">
        <f t="shared" si="43"/>
        <v>0</v>
      </c>
      <c r="Y40" s="378">
        <f t="shared" si="44"/>
        <v>0</v>
      </c>
      <c r="Z40" s="379">
        <f t="shared" si="45"/>
        <v>0</v>
      </c>
      <c r="AA40" s="380">
        <f t="shared" si="46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  <c r="AN40" s="204"/>
    </row>
    <row r="41" spans="1:40" ht="15" customHeight="1">
      <c r="A41" s="6704"/>
      <c r="B41" s="6706" t="s">
        <v>461</v>
      </c>
      <c r="C41" s="6458">
        <f t="shared" si="1"/>
        <v>1.7222222222222224E-4</v>
      </c>
      <c r="D41" s="897">
        <v>7</v>
      </c>
      <c r="E41" s="441">
        <v>4</v>
      </c>
      <c r="F41" s="441">
        <v>5</v>
      </c>
      <c r="G41" s="441">
        <v>7.5</v>
      </c>
      <c r="H41" s="3344" t="s">
        <v>1414</v>
      </c>
      <c r="I41" s="436">
        <v>2.8935185185185189E-4</v>
      </c>
      <c r="J41" s="437">
        <v>6.9444444444444447E-4</v>
      </c>
      <c r="K41" s="1201" t="s">
        <v>308</v>
      </c>
      <c r="L41" s="437">
        <f t="shared" si="54"/>
        <v>0.81578703703703714</v>
      </c>
      <c r="M41" s="517">
        <v>1</v>
      </c>
      <c r="N41" s="437">
        <f t="shared" si="52"/>
        <v>9.5981481481481491E-3</v>
      </c>
      <c r="O41" s="439">
        <f t="shared" si="53"/>
        <v>5.1666666666666671E-5</v>
      </c>
      <c r="P41" s="587">
        <f t="shared" si="55"/>
        <v>5.1666666666666671E-5</v>
      </c>
      <c r="Q41" s="788">
        <v>179</v>
      </c>
      <c r="R41" s="435">
        <f t="shared" si="56"/>
        <v>150</v>
      </c>
      <c r="S41" s="229">
        <f t="shared" si="38"/>
        <v>0.15</v>
      </c>
      <c r="T41" s="230">
        <f t="shared" si="39"/>
        <v>4.1333333333333335E-3</v>
      </c>
      <c r="U41" s="374">
        <f t="shared" si="40"/>
        <v>0</v>
      </c>
      <c r="V41" s="375">
        <f t="shared" si="41"/>
        <v>0</v>
      </c>
      <c r="W41" s="376">
        <f t="shared" si="42"/>
        <v>0</v>
      </c>
      <c r="X41" s="377">
        <f t="shared" si="43"/>
        <v>0</v>
      </c>
      <c r="Y41" s="378">
        <f t="shared" si="44"/>
        <v>0</v>
      </c>
      <c r="Z41" s="379">
        <f t="shared" si="45"/>
        <v>0</v>
      </c>
      <c r="AA41" s="380">
        <f t="shared" si="46"/>
        <v>0.15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  <c r="AN41" s="204"/>
    </row>
    <row r="42" spans="1:40" ht="15" customHeight="1" thickBot="1">
      <c r="A42" s="6704"/>
      <c r="B42" s="6706" t="s">
        <v>461</v>
      </c>
      <c r="C42" s="6458">
        <f t="shared" si="1"/>
        <v>1.7222222222222224E-4</v>
      </c>
      <c r="D42" s="897">
        <v>7</v>
      </c>
      <c r="E42" s="441">
        <v>4</v>
      </c>
      <c r="F42" s="441">
        <v>8</v>
      </c>
      <c r="G42" s="441">
        <v>5</v>
      </c>
      <c r="H42" s="436"/>
      <c r="I42" s="436">
        <v>3.4722222222222224E-4</v>
      </c>
      <c r="J42" s="437">
        <v>6.9444444444444447E-4</v>
      </c>
      <c r="K42" s="1201" t="s">
        <v>305</v>
      </c>
      <c r="L42" s="437">
        <f t="shared" si="54"/>
        <v>0.82538518518518533</v>
      </c>
      <c r="M42" s="517">
        <v>1</v>
      </c>
      <c r="N42" s="437">
        <f t="shared" si="52"/>
        <v>1.4991111111111111E-2</v>
      </c>
      <c r="O42" s="439">
        <f t="shared" si="53"/>
        <v>3.4444444444444447E-5</v>
      </c>
      <c r="P42" s="587">
        <f t="shared" si="55"/>
        <v>3.4444444444444447E-5</v>
      </c>
      <c r="Q42" s="788">
        <v>179</v>
      </c>
      <c r="R42" s="435">
        <f>E42*F42*G42</f>
        <v>160</v>
      </c>
      <c r="S42" s="229">
        <f t="shared" si="38"/>
        <v>0.16</v>
      </c>
      <c r="T42" s="230">
        <f t="shared" si="39"/>
        <v>4.4088888888888893E-3</v>
      </c>
      <c r="U42" s="374">
        <f t="shared" si="40"/>
        <v>0</v>
      </c>
      <c r="V42" s="375">
        <f t="shared" si="41"/>
        <v>0</v>
      </c>
      <c r="W42" s="376">
        <f t="shared" si="42"/>
        <v>0</v>
      </c>
      <c r="X42" s="377">
        <f t="shared" si="43"/>
        <v>0</v>
      </c>
      <c r="Y42" s="378">
        <f t="shared" si="44"/>
        <v>0</v>
      </c>
      <c r="Z42" s="379">
        <f t="shared" si="45"/>
        <v>0</v>
      </c>
      <c r="AA42" s="380">
        <f t="shared" si="46"/>
        <v>0.16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  <c r="AN42" s="204"/>
    </row>
    <row r="43" spans="1:40" ht="15" customHeight="1">
      <c r="A43" s="6704"/>
      <c r="B43" s="6706" t="s">
        <v>461</v>
      </c>
      <c r="C43" s="6458">
        <f t="shared" si="1"/>
        <v>2.3321759259259265E-4</v>
      </c>
      <c r="D43" s="1977">
        <v>1</v>
      </c>
      <c r="E43" s="1194">
        <v>1</v>
      </c>
      <c r="F43" s="1194">
        <v>1</v>
      </c>
      <c r="G43" s="1194">
        <v>200</v>
      </c>
      <c r="H43" s="1667" t="s">
        <v>702</v>
      </c>
      <c r="I43" s="274">
        <v>6.9444444444444447E-4</v>
      </c>
      <c r="J43" s="274">
        <v>1.0416666666666667E-3</v>
      </c>
      <c r="K43" s="312" t="s">
        <v>706</v>
      </c>
      <c r="L43" s="993">
        <f t="shared" si="54"/>
        <v>0.8403762962962964</v>
      </c>
      <c r="M43" s="1195">
        <v>1</v>
      </c>
      <c r="N43" s="274">
        <f t="shared" si="52"/>
        <v>3.6018518518518526E-3</v>
      </c>
      <c r="O43" s="1196">
        <f t="shared" si="53"/>
        <v>1.8657407407407412E-3</v>
      </c>
      <c r="P43" s="1196">
        <f t="shared" si="55"/>
        <v>1.8657407407407412E-3</v>
      </c>
      <c r="Q43" s="548">
        <v>190</v>
      </c>
      <c r="R43" s="1194">
        <f t="shared" ref="R43" si="57">E43*F43*G43</f>
        <v>200</v>
      </c>
      <c r="S43" s="229">
        <f t="shared" si="38"/>
        <v>0.2</v>
      </c>
      <c r="T43" s="230">
        <f t="shared" si="39"/>
        <v>7.4629629629629646E-3</v>
      </c>
      <c r="U43" s="374">
        <f t="shared" si="40"/>
        <v>0.2</v>
      </c>
      <c r="V43" s="375">
        <f t="shared" si="41"/>
        <v>0</v>
      </c>
      <c r="W43" s="376">
        <f t="shared" si="42"/>
        <v>0</v>
      </c>
      <c r="X43" s="377">
        <f t="shared" si="43"/>
        <v>0</v>
      </c>
      <c r="Y43" s="378">
        <f t="shared" si="44"/>
        <v>0</v>
      </c>
      <c r="Z43" s="379">
        <f t="shared" si="45"/>
        <v>0</v>
      </c>
      <c r="AA43" s="380">
        <f t="shared" si="46"/>
        <v>0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  <c r="AN43" s="204"/>
    </row>
    <row r="44" spans="1:40" ht="15" customHeight="1">
      <c r="A44" s="6704"/>
      <c r="B44" s="6706" t="s">
        <v>461</v>
      </c>
      <c r="C44" s="6458">
        <f t="shared" si="1"/>
        <v>1.7222222222222224E-4</v>
      </c>
      <c r="D44" s="897">
        <v>7</v>
      </c>
      <c r="E44" s="435">
        <v>2</v>
      </c>
      <c r="F44" s="435">
        <v>5</v>
      </c>
      <c r="G44" s="435">
        <v>7.5</v>
      </c>
      <c r="H44" s="436"/>
      <c r="I44" s="436">
        <v>2.8935185185185189E-4</v>
      </c>
      <c r="J44" s="437">
        <v>1.3888888888888889E-3</v>
      </c>
      <c r="K44" s="1187" t="s">
        <v>306</v>
      </c>
      <c r="L44" s="437">
        <f t="shared" si="54"/>
        <v>0.8439781481481482</v>
      </c>
      <c r="M44" s="516">
        <v>1</v>
      </c>
      <c r="N44" s="437">
        <f t="shared" ref="N44:N45" si="58">P44*E44*F44+I44*E44*F44+J44*E44</f>
        <v>6.1879629629629628E-3</v>
      </c>
      <c r="O44" s="439">
        <f t="shared" ref="O44:O45" si="59">C44*(G44/25)</f>
        <v>5.1666666666666671E-5</v>
      </c>
      <c r="P44" s="587">
        <f t="shared" ref="P44:P45" si="60">O44*M44</f>
        <v>5.1666666666666671E-5</v>
      </c>
      <c r="Q44" s="788">
        <v>179</v>
      </c>
      <c r="R44" s="435">
        <f t="shared" ref="R44:R45" si="61">E44*F44*G44</f>
        <v>75</v>
      </c>
      <c r="S44" s="229">
        <f t="shared" si="38"/>
        <v>7.4999999999999997E-2</v>
      </c>
      <c r="T44" s="230">
        <f t="shared" si="39"/>
        <v>2.0666666666666667E-3</v>
      </c>
      <c r="U44" s="374">
        <f t="shared" si="40"/>
        <v>0</v>
      </c>
      <c r="V44" s="375">
        <f t="shared" si="41"/>
        <v>0</v>
      </c>
      <c r="W44" s="376">
        <f t="shared" si="42"/>
        <v>0</v>
      </c>
      <c r="X44" s="377">
        <f t="shared" si="43"/>
        <v>0</v>
      </c>
      <c r="Y44" s="378">
        <f t="shared" si="44"/>
        <v>0</v>
      </c>
      <c r="Z44" s="379">
        <f t="shared" si="45"/>
        <v>0</v>
      </c>
      <c r="AA44" s="380">
        <f t="shared" si="46"/>
        <v>7.4999999999999997E-2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  <c r="AN44" s="204"/>
    </row>
    <row r="45" spans="1:40" ht="15" customHeight="1" thickBot="1">
      <c r="A45" s="6705"/>
      <c r="B45" s="6707" t="s">
        <v>461</v>
      </c>
      <c r="C45" s="6458">
        <f t="shared" si="1"/>
        <v>1.7222222222222224E-4</v>
      </c>
      <c r="D45" s="897">
        <v>7</v>
      </c>
      <c r="E45" s="435">
        <v>2</v>
      </c>
      <c r="F45" s="435">
        <v>8</v>
      </c>
      <c r="G45" s="435">
        <v>5</v>
      </c>
      <c r="H45" s="3344" t="s">
        <v>1414</v>
      </c>
      <c r="I45" s="436">
        <v>1.7361111111111112E-4</v>
      </c>
      <c r="J45" s="437">
        <v>1.3888888888888889E-3</v>
      </c>
      <c r="K45" s="1187" t="s">
        <v>303</v>
      </c>
      <c r="L45" s="437">
        <f t="shared" si="54"/>
        <v>0.85016611111111118</v>
      </c>
      <c r="M45" s="516">
        <v>1</v>
      </c>
      <c r="N45" s="437">
        <f t="shared" si="58"/>
        <v>6.1066666666666665E-3</v>
      </c>
      <c r="O45" s="439">
        <f t="shared" si="59"/>
        <v>3.4444444444444447E-5</v>
      </c>
      <c r="P45" s="587">
        <f t="shared" si="60"/>
        <v>3.4444444444444447E-5</v>
      </c>
      <c r="Q45" s="788">
        <v>179</v>
      </c>
      <c r="R45" s="435">
        <f t="shared" si="61"/>
        <v>80</v>
      </c>
      <c r="S45" s="229">
        <f t="shared" si="38"/>
        <v>0.08</v>
      </c>
      <c r="T45" s="230">
        <f t="shared" si="39"/>
        <v>2.2044444444444446E-3</v>
      </c>
      <c r="U45" s="374">
        <f t="shared" si="40"/>
        <v>0</v>
      </c>
      <c r="V45" s="375">
        <f t="shared" si="41"/>
        <v>0</v>
      </c>
      <c r="W45" s="376">
        <f t="shared" si="42"/>
        <v>0</v>
      </c>
      <c r="X45" s="377">
        <f t="shared" si="43"/>
        <v>0</v>
      </c>
      <c r="Y45" s="378">
        <f t="shared" si="44"/>
        <v>0</v>
      </c>
      <c r="Z45" s="379">
        <f t="shared" si="45"/>
        <v>0</v>
      </c>
      <c r="AA45" s="380">
        <f t="shared" si="46"/>
        <v>0.08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  <c r="AN45" s="204"/>
    </row>
    <row r="46" spans="1:40" ht="15" customHeight="1" thickBot="1">
      <c r="B46" s="1326"/>
      <c r="C46" s="274">
        <f t="shared" ref="C46" si="62">IF(D46=1,U$4,IF(D46=2,V$4,IF(D46=3,W$4,IF(D46=4,X$4,IF(D46=5,Y$4,IF(D46=6,Z$4,IF(D46=7,AA$4,0)))))))</f>
        <v>1.7850115740740744E-4</v>
      </c>
      <c r="D46" s="1977">
        <v>5</v>
      </c>
      <c r="E46" s="134"/>
      <c r="F46" s="60"/>
      <c r="G46" s="135"/>
      <c r="H46" s="3345"/>
      <c r="I46" s="135"/>
      <c r="J46" s="135"/>
      <c r="K46" s="313"/>
      <c r="L46" s="276">
        <f t="shared" ref="L46" si="63">L45+N45</f>
        <v>0.85627277777777788</v>
      </c>
      <c r="M46" s="511"/>
      <c r="N46" s="3335">
        <f>SUM(N41:N45)</f>
        <v>4.0485740740740739E-2</v>
      </c>
      <c r="O46" s="73"/>
      <c r="P46" s="73"/>
      <c r="Q46" s="783"/>
      <c r="R46" s="73">
        <f>SUM(R39:R45)</f>
        <v>1665</v>
      </c>
      <c r="S46" s="229">
        <f t="shared" si="38"/>
        <v>0</v>
      </c>
      <c r="T46" s="230">
        <f t="shared" si="39"/>
        <v>0</v>
      </c>
      <c r="U46" s="374">
        <f t="shared" si="40"/>
        <v>0</v>
      </c>
      <c r="V46" s="375">
        <f t="shared" si="41"/>
        <v>0</v>
      </c>
      <c r="W46" s="376">
        <f t="shared" si="42"/>
        <v>0</v>
      </c>
      <c r="X46" s="377">
        <f t="shared" si="43"/>
        <v>0</v>
      </c>
      <c r="Y46" s="378">
        <f t="shared" si="44"/>
        <v>0</v>
      </c>
      <c r="Z46" s="379">
        <f t="shared" si="45"/>
        <v>0</v>
      </c>
      <c r="AA46" s="380">
        <f t="shared" si="46"/>
        <v>0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  <c r="AN46" s="204"/>
    </row>
    <row r="47" spans="1:40" ht="14" customHeight="1" thickBot="1">
      <c r="A47" s="398" t="s">
        <v>215</v>
      </c>
      <c r="B47" s="1142" t="s">
        <v>215</v>
      </c>
      <c r="C47" s="274">
        <f t="shared" si="1"/>
        <v>1.9733796296296302E-4</v>
      </c>
      <c r="D47" s="1977">
        <v>3</v>
      </c>
      <c r="E47" s="1173">
        <v>1</v>
      </c>
      <c r="F47" s="1173">
        <v>4</v>
      </c>
      <c r="G47" s="1173">
        <v>115</v>
      </c>
      <c r="H47" s="2675"/>
      <c r="I47" s="299">
        <v>0</v>
      </c>
      <c r="J47" s="299">
        <v>1.3888888888888889E-3</v>
      </c>
      <c r="K47" s="1123" t="s">
        <v>1578</v>
      </c>
      <c r="L47" s="1149">
        <v>0.34375</v>
      </c>
      <c r="M47" s="1174">
        <v>1</v>
      </c>
      <c r="N47" s="1175">
        <f t="shared" ref="N47:N52" si="64">P47*E47*F47+I47*E47*F47+J47*E47</f>
        <v>5.0199074074074078E-3</v>
      </c>
      <c r="O47" s="1175">
        <f t="shared" ref="O47:O58" si="65">C47*(G47/25)</f>
        <v>9.0775462962962977E-4</v>
      </c>
      <c r="P47" s="1175">
        <f t="shared" ref="P47:P52" si="66">O47*M47</f>
        <v>9.0775462962962977E-4</v>
      </c>
      <c r="Q47" s="550">
        <v>129</v>
      </c>
      <c r="R47" s="1176">
        <f t="shared" ref="R47:R52" si="67">E47*F47*G47</f>
        <v>460</v>
      </c>
      <c r="S47" s="229">
        <f t="shared" si="5"/>
        <v>0.46</v>
      </c>
      <c r="T47" s="230">
        <f t="shared" si="6"/>
        <v>1.4524074074074076E-2</v>
      </c>
      <c r="U47" s="374">
        <f t="shared" si="7"/>
        <v>0</v>
      </c>
      <c r="V47" s="375">
        <f t="shared" si="8"/>
        <v>0</v>
      </c>
      <c r="W47" s="376">
        <f t="shared" si="9"/>
        <v>0.46</v>
      </c>
      <c r="X47" s="377">
        <f t="shared" si="10"/>
        <v>0</v>
      </c>
      <c r="Y47" s="378">
        <f t="shared" si="11"/>
        <v>0</v>
      </c>
      <c r="Z47" s="379">
        <f t="shared" si="12"/>
        <v>0</v>
      </c>
      <c r="AA47" s="380">
        <f t="shared" si="13"/>
        <v>0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  <c r="AN47" s="204"/>
    </row>
    <row r="48" spans="1:40" ht="14" customHeight="1" thickBot="1">
      <c r="A48" s="398" t="s">
        <v>139</v>
      </c>
      <c r="B48" s="1117" t="s">
        <v>215</v>
      </c>
      <c r="C48" s="6458">
        <f t="shared" ref="C48:C53" si="68">IF(D48=1,U$4,IF(D48=2,V$4,IF(D48=3,W$4,IF(D48=4,X$4,IF(D48=5,Y$4,IF(D48=6,Z$4,IF(D48=7,AA$4,0)))))))</f>
        <v>1.7222222222222224E-4</v>
      </c>
      <c r="D48" s="897">
        <v>7</v>
      </c>
      <c r="E48" s="441">
        <v>4</v>
      </c>
      <c r="F48" s="441">
        <v>4</v>
      </c>
      <c r="G48" s="441">
        <v>15</v>
      </c>
      <c r="H48" s="3344" t="s">
        <v>1414</v>
      </c>
      <c r="I48" s="436">
        <v>4.6296296296296293E-4</v>
      </c>
      <c r="J48" s="436">
        <v>6.9444444444444447E-4</v>
      </c>
      <c r="K48" s="1201" t="s">
        <v>408</v>
      </c>
      <c r="L48" s="436">
        <f t="shared" ref="L48:L53" si="69">L47+N47</f>
        <v>0.34876990740740743</v>
      </c>
      <c r="M48" s="517">
        <v>1</v>
      </c>
      <c r="N48" s="436">
        <f t="shared" si="64"/>
        <v>1.1838518518518519E-2</v>
      </c>
      <c r="O48" s="439">
        <f t="shared" si="65"/>
        <v>1.0333333333333334E-4</v>
      </c>
      <c r="P48" s="587">
        <f t="shared" si="66"/>
        <v>1.0333333333333334E-4</v>
      </c>
      <c r="Q48" s="788">
        <v>179</v>
      </c>
      <c r="R48" s="435">
        <f t="shared" si="67"/>
        <v>240</v>
      </c>
      <c r="S48" s="229">
        <f t="shared" si="5"/>
        <v>0.24</v>
      </c>
      <c r="T48" s="230">
        <f t="shared" si="6"/>
        <v>6.6133333333333339E-3</v>
      </c>
      <c r="U48" s="374">
        <f t="shared" si="7"/>
        <v>0</v>
      </c>
      <c r="V48" s="375">
        <f t="shared" si="8"/>
        <v>0</v>
      </c>
      <c r="W48" s="376">
        <f t="shared" si="9"/>
        <v>0</v>
      </c>
      <c r="X48" s="377">
        <f t="shared" si="10"/>
        <v>0</v>
      </c>
      <c r="Y48" s="378">
        <f t="shared" si="11"/>
        <v>0</v>
      </c>
      <c r="Z48" s="379">
        <f t="shared" si="12"/>
        <v>0</v>
      </c>
      <c r="AA48" s="380">
        <f t="shared" si="13"/>
        <v>0.24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  <c r="AN48" s="204"/>
    </row>
    <row r="49" spans="1:40" ht="14" customHeight="1" thickBot="1">
      <c r="A49" s="398" t="s">
        <v>458</v>
      </c>
      <c r="B49" s="1117" t="s">
        <v>215</v>
      </c>
      <c r="C49" s="6458">
        <f t="shared" si="68"/>
        <v>1.7222222222222224E-4</v>
      </c>
      <c r="D49" s="897">
        <v>7</v>
      </c>
      <c r="E49" s="444">
        <v>1</v>
      </c>
      <c r="F49" s="444">
        <v>6</v>
      </c>
      <c r="G49" s="444">
        <v>20</v>
      </c>
      <c r="H49" s="434"/>
      <c r="I49" s="434">
        <v>4.6296296296296293E-4</v>
      </c>
      <c r="J49" s="434">
        <v>2.0833333333333333E-3</v>
      </c>
      <c r="K49" s="1383" t="s">
        <v>409</v>
      </c>
      <c r="L49" s="434">
        <f t="shared" si="69"/>
        <v>0.36060842592592596</v>
      </c>
      <c r="M49" s="519">
        <v>1</v>
      </c>
      <c r="N49" s="434">
        <f t="shared" si="64"/>
        <v>5.6877777777777777E-3</v>
      </c>
      <c r="O49" s="439">
        <f t="shared" si="65"/>
        <v>1.3777777777777779E-4</v>
      </c>
      <c r="P49" s="587">
        <f t="shared" si="66"/>
        <v>1.3777777777777779E-4</v>
      </c>
      <c r="Q49" s="788">
        <v>179</v>
      </c>
      <c r="R49" s="435">
        <f t="shared" si="67"/>
        <v>120</v>
      </c>
      <c r="S49" s="229">
        <f t="shared" si="5"/>
        <v>0.12</v>
      </c>
      <c r="T49" s="230">
        <f t="shared" si="6"/>
        <v>3.306666666666667E-3</v>
      </c>
      <c r="U49" s="374">
        <f t="shared" si="7"/>
        <v>0</v>
      </c>
      <c r="V49" s="375">
        <f t="shared" si="8"/>
        <v>0</v>
      </c>
      <c r="W49" s="376">
        <f t="shared" si="9"/>
        <v>0</v>
      </c>
      <c r="X49" s="377">
        <f t="shared" si="10"/>
        <v>0</v>
      </c>
      <c r="Y49" s="378">
        <f t="shared" si="11"/>
        <v>0</v>
      </c>
      <c r="Z49" s="379">
        <f t="shared" si="12"/>
        <v>0</v>
      </c>
      <c r="AA49" s="380">
        <f t="shared" si="13"/>
        <v>0.12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  <c r="AN49" s="204"/>
    </row>
    <row r="50" spans="1:40" ht="14" customHeight="1" thickBot="1">
      <c r="A50" s="398" t="s">
        <v>462</v>
      </c>
      <c r="B50" s="1117" t="s">
        <v>215</v>
      </c>
      <c r="C50" s="6458">
        <f t="shared" si="68"/>
        <v>2.3321759259259265E-4</v>
      </c>
      <c r="D50" s="1977">
        <v>1</v>
      </c>
      <c r="E50" s="1194">
        <v>1</v>
      </c>
      <c r="F50" s="1194">
        <v>1</v>
      </c>
      <c r="G50" s="1194">
        <v>200</v>
      </c>
      <c r="H50" s="1667" t="s">
        <v>702</v>
      </c>
      <c r="I50" s="274">
        <v>6.9444444444444447E-4</v>
      </c>
      <c r="J50" s="274">
        <v>1.0416666666666667E-3</v>
      </c>
      <c r="K50" s="312" t="s">
        <v>706</v>
      </c>
      <c r="L50" s="274">
        <f t="shared" si="69"/>
        <v>0.36629620370370375</v>
      </c>
      <c r="M50" s="1195">
        <v>1</v>
      </c>
      <c r="N50" s="274">
        <f t="shared" si="64"/>
        <v>3.6018518518518526E-3</v>
      </c>
      <c r="O50" s="1196">
        <f t="shared" si="65"/>
        <v>1.8657407407407412E-3</v>
      </c>
      <c r="P50" s="1196">
        <f t="shared" si="66"/>
        <v>1.8657407407407412E-3</v>
      </c>
      <c r="Q50" s="548">
        <v>190</v>
      </c>
      <c r="R50" s="1194">
        <f t="shared" si="67"/>
        <v>200</v>
      </c>
      <c r="S50" s="229">
        <f t="shared" si="5"/>
        <v>0.2</v>
      </c>
      <c r="T50" s="230">
        <f t="shared" si="6"/>
        <v>7.4629629629629646E-3</v>
      </c>
      <c r="U50" s="374">
        <f t="shared" si="7"/>
        <v>0.2</v>
      </c>
      <c r="V50" s="375">
        <f t="shared" si="8"/>
        <v>0</v>
      </c>
      <c r="W50" s="376">
        <f t="shared" si="9"/>
        <v>0</v>
      </c>
      <c r="X50" s="377">
        <f t="shared" si="10"/>
        <v>0</v>
      </c>
      <c r="Y50" s="378">
        <f t="shared" si="11"/>
        <v>0</v>
      </c>
      <c r="Z50" s="379">
        <f t="shared" si="12"/>
        <v>0</v>
      </c>
      <c r="AA50" s="380">
        <f t="shared" si="13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  <c r="AN50" s="204"/>
    </row>
    <row r="51" spans="1:40" thickBot="1">
      <c r="A51" s="398" t="s">
        <v>140</v>
      </c>
      <c r="B51" s="1117" t="s">
        <v>215</v>
      </c>
      <c r="C51" s="6458">
        <f t="shared" si="68"/>
        <v>1.7222222222222224E-4</v>
      </c>
      <c r="D51" s="897">
        <v>7</v>
      </c>
      <c r="E51" s="444">
        <v>1</v>
      </c>
      <c r="F51" s="444">
        <v>5</v>
      </c>
      <c r="G51" s="444">
        <v>50</v>
      </c>
      <c r="H51" s="434"/>
      <c r="I51" s="434">
        <v>2.0833333333333333E-3</v>
      </c>
      <c r="J51" s="434">
        <v>0</v>
      </c>
      <c r="K51" s="1333" t="s">
        <v>315</v>
      </c>
      <c r="L51" s="434">
        <f t="shared" si="69"/>
        <v>0.3698980555555556</v>
      </c>
      <c r="M51" s="518">
        <v>1</v>
      </c>
      <c r="N51" s="434">
        <f t="shared" si="64"/>
        <v>1.2173333333333333E-2</v>
      </c>
      <c r="O51" s="439">
        <f>C51*(G51/25)*1.02</f>
        <v>3.5133333333333338E-4</v>
      </c>
      <c r="P51" s="587">
        <f t="shared" si="66"/>
        <v>3.5133333333333338E-4</v>
      </c>
      <c r="Q51" s="788">
        <v>179</v>
      </c>
      <c r="R51" s="435">
        <f t="shared" si="67"/>
        <v>250</v>
      </c>
      <c r="S51" s="229">
        <f t="shared" si="5"/>
        <v>0.25</v>
      </c>
      <c r="T51" s="230">
        <f t="shared" si="6"/>
        <v>7.0266666666666672E-3</v>
      </c>
      <c r="U51" s="374">
        <f t="shared" si="7"/>
        <v>0</v>
      </c>
      <c r="V51" s="375">
        <f t="shared" si="8"/>
        <v>0</v>
      </c>
      <c r="W51" s="376">
        <f t="shared" si="9"/>
        <v>0</v>
      </c>
      <c r="X51" s="377">
        <f t="shared" si="10"/>
        <v>0</v>
      </c>
      <c r="Y51" s="378">
        <f t="shared" si="11"/>
        <v>0</v>
      </c>
      <c r="Z51" s="379">
        <f t="shared" si="12"/>
        <v>0</v>
      </c>
      <c r="AA51" s="380">
        <f t="shared" si="13"/>
        <v>0.25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  <c r="AN51" s="204"/>
    </row>
    <row r="52" spans="1:40" ht="14" customHeight="1" thickBot="1">
      <c r="A52" s="398" t="s">
        <v>674</v>
      </c>
      <c r="B52" s="1117" t="s">
        <v>215</v>
      </c>
      <c r="C52" s="6458">
        <f t="shared" si="68"/>
        <v>1.7222222222222224E-4</v>
      </c>
      <c r="D52" s="897">
        <v>7</v>
      </c>
      <c r="E52" s="441">
        <v>2</v>
      </c>
      <c r="F52" s="441">
        <v>5</v>
      </c>
      <c r="G52" s="441">
        <v>30</v>
      </c>
      <c r="H52" s="3344" t="s">
        <v>1414</v>
      </c>
      <c r="I52" s="436">
        <v>4.6296296296296293E-4</v>
      </c>
      <c r="J52" s="436">
        <v>1.3888888888888889E-3</v>
      </c>
      <c r="K52" s="1201" t="s">
        <v>413</v>
      </c>
      <c r="L52" s="436">
        <f t="shared" si="69"/>
        <v>0.38207138888888892</v>
      </c>
      <c r="M52" s="517">
        <v>1</v>
      </c>
      <c r="N52" s="436">
        <f t="shared" si="64"/>
        <v>9.5030074074074072E-3</v>
      </c>
      <c r="O52" s="439">
        <f>C52*(G52/25)*1.014</f>
        <v>2.0956000000000002E-4</v>
      </c>
      <c r="P52" s="587">
        <f t="shared" si="66"/>
        <v>2.0956000000000002E-4</v>
      </c>
      <c r="Q52" s="788">
        <v>179</v>
      </c>
      <c r="R52" s="435">
        <f t="shared" si="67"/>
        <v>300</v>
      </c>
      <c r="S52" s="229">
        <f t="shared" si="5"/>
        <v>0.3</v>
      </c>
      <c r="T52" s="230">
        <f t="shared" si="6"/>
        <v>8.3824000000000017E-3</v>
      </c>
      <c r="U52" s="374">
        <f t="shared" si="7"/>
        <v>0</v>
      </c>
      <c r="V52" s="375">
        <f t="shared" si="8"/>
        <v>0</v>
      </c>
      <c r="W52" s="376">
        <f t="shared" si="9"/>
        <v>0</v>
      </c>
      <c r="X52" s="377">
        <f t="shared" si="10"/>
        <v>0</v>
      </c>
      <c r="Y52" s="378">
        <f t="shared" si="11"/>
        <v>0</v>
      </c>
      <c r="Z52" s="379">
        <f t="shared" si="12"/>
        <v>0</v>
      </c>
      <c r="AA52" s="380">
        <f t="shared" si="13"/>
        <v>0.3</v>
      </c>
      <c r="AC52" s="231"/>
      <c r="AD52" s="231"/>
      <c r="AE52" s="231"/>
      <c r="AF52" s="231" t="s">
        <v>1581</v>
      </c>
      <c r="AG52" s="231"/>
      <c r="AH52" s="231"/>
      <c r="AI52" s="213"/>
      <c r="AJ52" s="213"/>
      <c r="AK52" s="213"/>
      <c r="AL52" s="213"/>
      <c r="AM52" s="213"/>
      <c r="AN52" s="204"/>
    </row>
    <row r="53" spans="1:40" ht="14" customHeight="1" thickBot="1">
      <c r="A53" s="398"/>
      <c r="B53" s="1117"/>
      <c r="C53" s="6458">
        <f t="shared" si="68"/>
        <v>0</v>
      </c>
      <c r="E53" s="134"/>
      <c r="F53" s="60"/>
      <c r="G53" s="135"/>
      <c r="H53" s="3345"/>
      <c r="I53" s="135"/>
      <c r="J53" s="135"/>
      <c r="K53" s="313"/>
      <c r="L53" s="3335">
        <f t="shared" si="69"/>
        <v>0.39157439629629631</v>
      </c>
      <c r="M53" s="511"/>
      <c r="N53" s="3335">
        <f>SUM(N48:N52)</f>
        <v>4.2804488888888888E-2</v>
      </c>
      <c r="O53" s="73"/>
      <c r="P53" s="73"/>
      <c r="Q53" s="783"/>
      <c r="R53" s="73">
        <f>SUM(R47:R52)</f>
        <v>1570</v>
      </c>
      <c r="S53" s="229">
        <f t="shared" si="5"/>
        <v>0</v>
      </c>
      <c r="T53" s="230">
        <f t="shared" si="6"/>
        <v>0</v>
      </c>
      <c r="U53" s="374">
        <f t="shared" si="7"/>
        <v>0</v>
      </c>
      <c r="V53" s="375">
        <f t="shared" si="8"/>
        <v>0</v>
      </c>
      <c r="W53" s="376">
        <f t="shared" si="9"/>
        <v>0</v>
      </c>
      <c r="X53" s="377">
        <f t="shared" si="10"/>
        <v>0</v>
      </c>
      <c r="Y53" s="378">
        <f t="shared" si="11"/>
        <v>0</v>
      </c>
      <c r="Z53" s="379">
        <f t="shared" si="12"/>
        <v>0</v>
      </c>
      <c r="AA53" s="380">
        <f t="shared" si="13"/>
        <v>0</v>
      </c>
      <c r="AC53" s="231"/>
      <c r="AD53" s="231"/>
      <c r="AE53" s="231"/>
      <c r="AF53" s="231"/>
      <c r="AG53" s="231"/>
      <c r="AH53" s="231"/>
      <c r="AI53" s="213"/>
      <c r="AJ53" s="213"/>
      <c r="AK53" s="213"/>
      <c r="AL53" s="213"/>
      <c r="AM53" s="213"/>
    </row>
    <row r="54" spans="1:40" ht="14" customHeight="1">
      <c r="A54" s="398" t="s">
        <v>215</v>
      </c>
      <c r="B54" s="398" t="s">
        <v>461</v>
      </c>
      <c r="C54" s="274">
        <f t="shared" si="1"/>
        <v>2.152777777777778E-4</v>
      </c>
      <c r="D54" s="1977">
        <v>2</v>
      </c>
      <c r="E54" s="1173">
        <v>1</v>
      </c>
      <c r="F54" s="1173">
        <v>2</v>
      </c>
      <c r="G54" s="1173">
        <v>200</v>
      </c>
      <c r="H54" s="2675"/>
      <c r="I54" s="299">
        <v>3.4722222222222224E-4</v>
      </c>
      <c r="J54" s="299">
        <v>1.3888888888888889E-3</v>
      </c>
      <c r="K54" s="1123" t="s">
        <v>1395</v>
      </c>
      <c r="L54" s="1149">
        <v>0.80208333333333337</v>
      </c>
      <c r="M54" s="1174">
        <v>1</v>
      </c>
      <c r="N54" s="1175">
        <f t="shared" ref="N54:N59" si="70">P54*E54*F54+I54*E54*F54+J54*E54</f>
        <v>5.5277777777777782E-3</v>
      </c>
      <c r="O54" s="1175">
        <f t="shared" si="65"/>
        <v>1.7222222222222224E-3</v>
      </c>
      <c r="P54" s="1175">
        <f>O54*M54</f>
        <v>1.7222222222222224E-3</v>
      </c>
      <c r="Q54" s="550">
        <v>129</v>
      </c>
      <c r="R54" s="1176">
        <f>E54*F54*G54</f>
        <v>400</v>
      </c>
      <c r="S54" s="229">
        <f t="shared" si="5"/>
        <v>0.4</v>
      </c>
      <c r="T54" s="230">
        <f t="shared" si="6"/>
        <v>1.3777777777777779E-2</v>
      </c>
      <c r="U54" s="374">
        <f t="shared" si="7"/>
        <v>0</v>
      </c>
      <c r="V54" s="375">
        <f t="shared" si="8"/>
        <v>0.4</v>
      </c>
      <c r="W54" s="376">
        <f t="shared" si="9"/>
        <v>0</v>
      </c>
      <c r="X54" s="377">
        <f t="shared" si="10"/>
        <v>0</v>
      </c>
      <c r="Y54" s="378">
        <f t="shared" si="11"/>
        <v>0</v>
      </c>
      <c r="Z54" s="379">
        <f t="shared" si="12"/>
        <v>0</v>
      </c>
      <c r="AA54" s="380">
        <f t="shared" si="13"/>
        <v>0</v>
      </c>
      <c r="AC54" s="231"/>
      <c r="AD54" s="231"/>
      <c r="AE54" s="231"/>
      <c r="AF54" s="231"/>
      <c r="AG54" s="231"/>
      <c r="AH54" s="231"/>
      <c r="AI54" s="213"/>
      <c r="AJ54" s="213"/>
      <c r="AK54" s="213"/>
      <c r="AL54" s="213"/>
      <c r="AM54" s="213"/>
    </row>
    <row r="55" spans="1:40" ht="14" customHeight="1">
      <c r="A55" s="398" t="s">
        <v>139</v>
      </c>
      <c r="B55" s="398" t="s">
        <v>461</v>
      </c>
      <c r="C55" s="6458">
        <f t="shared" ref="C55:C80" si="71">IF(D55=1,U$4,IF(D55=2,V$4,IF(D55=3,W$4,IF(D55=4,X$4,IF(D55=5,Y$4,IF(D55=6,Z$4,IF(D55=7,AA$4,0)))))))</f>
        <v>1.7222222222222224E-4</v>
      </c>
      <c r="D55" s="897">
        <v>7</v>
      </c>
      <c r="E55" s="435">
        <v>2</v>
      </c>
      <c r="F55" s="435">
        <v>8</v>
      </c>
      <c r="G55" s="435">
        <v>7.5</v>
      </c>
      <c r="H55" s="3344" t="s">
        <v>1414</v>
      </c>
      <c r="I55" s="436">
        <v>3.4722222222222224E-4</v>
      </c>
      <c r="J55" s="437">
        <v>6.9444444444444447E-4</v>
      </c>
      <c r="K55" s="1187" t="s">
        <v>307</v>
      </c>
      <c r="L55" s="437">
        <f t="shared" ref="L55:L60" si="72">L54+N54</f>
        <v>0.80761111111111117</v>
      </c>
      <c r="M55" s="516">
        <v>1</v>
      </c>
      <c r="N55" s="437">
        <f t="shared" si="70"/>
        <v>7.7711111111111114E-3</v>
      </c>
      <c r="O55" s="439">
        <f t="shared" si="65"/>
        <v>5.1666666666666671E-5</v>
      </c>
      <c r="P55" s="587">
        <f t="shared" ref="P55:P59" si="73">O55*M55</f>
        <v>5.1666666666666671E-5</v>
      </c>
      <c r="Q55" s="788">
        <v>179</v>
      </c>
      <c r="R55" s="435">
        <f t="shared" ref="R55:R59" si="74">E55*F55*G55</f>
        <v>120</v>
      </c>
      <c r="S55" s="229">
        <f t="shared" si="5"/>
        <v>0.12</v>
      </c>
      <c r="T55" s="230">
        <f t="shared" si="6"/>
        <v>3.306666666666667E-3</v>
      </c>
      <c r="U55" s="374">
        <f t="shared" si="7"/>
        <v>0</v>
      </c>
      <c r="V55" s="375">
        <f t="shared" si="8"/>
        <v>0</v>
      </c>
      <c r="W55" s="376">
        <f t="shared" si="9"/>
        <v>0</v>
      </c>
      <c r="X55" s="377">
        <f t="shared" si="10"/>
        <v>0</v>
      </c>
      <c r="Y55" s="378">
        <f t="shared" si="11"/>
        <v>0</v>
      </c>
      <c r="Z55" s="379">
        <f t="shared" si="12"/>
        <v>0</v>
      </c>
      <c r="AA55" s="380">
        <f t="shared" si="13"/>
        <v>0.12</v>
      </c>
      <c r="AC55" s="231"/>
      <c r="AD55" s="231"/>
      <c r="AE55" s="231"/>
      <c r="AF55" s="231"/>
      <c r="AG55" s="231"/>
      <c r="AH55" s="231"/>
      <c r="AI55" s="213"/>
      <c r="AJ55" s="213"/>
      <c r="AK55" s="213"/>
      <c r="AL55" s="213"/>
      <c r="AM55" s="213"/>
    </row>
    <row r="56" spans="1:40" thickBot="1">
      <c r="A56" s="398" t="s">
        <v>458</v>
      </c>
      <c r="B56" s="398" t="s">
        <v>461</v>
      </c>
      <c r="C56" s="6458">
        <f t="shared" si="71"/>
        <v>1.7222222222222224E-4</v>
      </c>
      <c r="D56" s="897">
        <v>7</v>
      </c>
      <c r="E56" s="435">
        <v>2</v>
      </c>
      <c r="F56" s="435">
        <v>4</v>
      </c>
      <c r="G56" s="435">
        <v>15</v>
      </c>
      <c r="H56" s="3344" t="s">
        <v>1414</v>
      </c>
      <c r="I56" s="436">
        <v>3.4722222222222224E-4</v>
      </c>
      <c r="J56" s="437">
        <v>6.9444444444444447E-4</v>
      </c>
      <c r="K56" s="1187" t="s">
        <v>407</v>
      </c>
      <c r="L56" s="437">
        <f t="shared" si="72"/>
        <v>0.81538222222222223</v>
      </c>
      <c r="M56" s="516">
        <v>1</v>
      </c>
      <c r="N56" s="437">
        <f t="shared" si="70"/>
        <v>4.993333333333334E-3</v>
      </c>
      <c r="O56" s="439">
        <f t="shared" si="65"/>
        <v>1.0333333333333334E-4</v>
      </c>
      <c r="P56" s="587">
        <f t="shared" si="73"/>
        <v>1.0333333333333334E-4</v>
      </c>
      <c r="Q56" s="788">
        <v>179</v>
      </c>
      <c r="R56" s="435">
        <f t="shared" si="74"/>
        <v>120</v>
      </c>
      <c r="S56" s="229">
        <f t="shared" si="5"/>
        <v>0.12</v>
      </c>
      <c r="T56" s="230">
        <f t="shared" si="6"/>
        <v>3.306666666666667E-3</v>
      </c>
      <c r="U56" s="374">
        <f t="shared" si="7"/>
        <v>0</v>
      </c>
      <c r="V56" s="375">
        <f t="shared" si="8"/>
        <v>0</v>
      </c>
      <c r="W56" s="376">
        <f t="shared" si="9"/>
        <v>0</v>
      </c>
      <c r="X56" s="377">
        <f t="shared" si="10"/>
        <v>0</v>
      </c>
      <c r="Y56" s="378">
        <f t="shared" si="11"/>
        <v>0</v>
      </c>
      <c r="Z56" s="379">
        <f t="shared" si="12"/>
        <v>0</v>
      </c>
      <c r="AA56" s="380">
        <f t="shared" si="13"/>
        <v>0.12</v>
      </c>
      <c r="AC56" s="231"/>
      <c r="AD56" s="231"/>
      <c r="AE56" s="231"/>
      <c r="AF56" s="231"/>
      <c r="AG56" s="231"/>
      <c r="AH56" s="231"/>
      <c r="AI56" s="213"/>
      <c r="AJ56" s="213"/>
      <c r="AK56" s="213"/>
      <c r="AL56" s="213"/>
      <c r="AM56" s="213"/>
    </row>
    <row r="57" spans="1:40" ht="14" customHeight="1">
      <c r="A57" s="398" t="s">
        <v>462</v>
      </c>
      <c r="B57" s="398" t="s">
        <v>461</v>
      </c>
      <c r="C57" s="6458">
        <f t="shared" si="71"/>
        <v>2.3321759259259265E-4</v>
      </c>
      <c r="D57" s="1977">
        <v>1</v>
      </c>
      <c r="E57" s="1194">
        <v>1</v>
      </c>
      <c r="F57" s="1194">
        <v>1</v>
      </c>
      <c r="G57" s="1194">
        <v>200</v>
      </c>
      <c r="H57" s="1667" t="s">
        <v>702</v>
      </c>
      <c r="I57" s="274">
        <v>6.9444444444444447E-4</v>
      </c>
      <c r="J57" s="274">
        <v>1.0416666666666667E-3</v>
      </c>
      <c r="K57" s="312" t="s">
        <v>706</v>
      </c>
      <c r="L57" s="274">
        <f t="shared" si="72"/>
        <v>0.82037555555555552</v>
      </c>
      <c r="M57" s="1195">
        <v>1</v>
      </c>
      <c r="N57" s="274">
        <f t="shared" si="70"/>
        <v>3.6018518518518526E-3</v>
      </c>
      <c r="O57" s="1196">
        <f t="shared" si="65"/>
        <v>1.8657407407407412E-3</v>
      </c>
      <c r="P57" s="1196">
        <f t="shared" si="73"/>
        <v>1.8657407407407412E-3</v>
      </c>
      <c r="Q57" s="548">
        <v>190</v>
      </c>
      <c r="R57" s="1194">
        <f t="shared" si="74"/>
        <v>200</v>
      </c>
      <c r="S57" s="229">
        <f t="shared" si="5"/>
        <v>0.2</v>
      </c>
      <c r="T57" s="230">
        <f t="shared" si="6"/>
        <v>7.4629629629629646E-3</v>
      </c>
      <c r="U57" s="374">
        <f t="shared" si="7"/>
        <v>0.2</v>
      </c>
      <c r="V57" s="375">
        <f t="shared" si="8"/>
        <v>0</v>
      </c>
      <c r="W57" s="376">
        <f t="shared" si="9"/>
        <v>0</v>
      </c>
      <c r="X57" s="377">
        <f t="shared" si="10"/>
        <v>0</v>
      </c>
      <c r="Y57" s="378">
        <f t="shared" si="11"/>
        <v>0</v>
      </c>
      <c r="Z57" s="379">
        <f t="shared" si="12"/>
        <v>0</v>
      </c>
      <c r="AA57" s="380">
        <f t="shared" si="13"/>
        <v>0</v>
      </c>
      <c r="AC57" s="231"/>
      <c r="AD57" s="231"/>
      <c r="AE57" s="231"/>
      <c r="AF57" s="231"/>
      <c r="AG57" s="231"/>
      <c r="AH57" s="231"/>
      <c r="AI57" s="213"/>
      <c r="AJ57" s="213"/>
      <c r="AK57" s="213"/>
      <c r="AL57" s="213"/>
      <c r="AM57" s="213"/>
    </row>
    <row r="58" spans="1:40" ht="14" customHeight="1">
      <c r="A58" s="398" t="s">
        <v>140</v>
      </c>
      <c r="B58" s="398" t="s">
        <v>461</v>
      </c>
      <c r="C58" s="6458">
        <f t="shared" si="71"/>
        <v>1.7222222222222224E-4</v>
      </c>
      <c r="D58" s="897">
        <v>7</v>
      </c>
      <c r="E58" s="444">
        <v>1</v>
      </c>
      <c r="F58" s="444">
        <v>50</v>
      </c>
      <c r="G58" s="444">
        <v>12.5</v>
      </c>
      <c r="H58" s="434"/>
      <c r="I58" s="434">
        <v>3.4722222222222224E-4</v>
      </c>
      <c r="J58" s="434">
        <v>0</v>
      </c>
      <c r="K58" s="1333" t="s">
        <v>315</v>
      </c>
      <c r="L58" s="434">
        <f t="shared" si="72"/>
        <v>0.82397740740740733</v>
      </c>
      <c r="M58" s="518">
        <v>1</v>
      </c>
      <c r="N58" s="434">
        <f t="shared" si="70"/>
        <v>2.1666666666666667E-2</v>
      </c>
      <c r="O58" s="439">
        <f t="shared" si="65"/>
        <v>8.6111111111111119E-5</v>
      </c>
      <c r="P58" s="587">
        <f t="shared" si="73"/>
        <v>8.6111111111111119E-5</v>
      </c>
      <c r="Q58" s="788">
        <v>179</v>
      </c>
      <c r="R58" s="435">
        <f t="shared" si="74"/>
        <v>625</v>
      </c>
      <c r="S58" s="229">
        <f t="shared" si="5"/>
        <v>0.625</v>
      </c>
      <c r="T58" s="230">
        <f t="shared" si="6"/>
        <v>1.7222222222222222E-2</v>
      </c>
      <c r="U58" s="374">
        <f t="shared" si="7"/>
        <v>0</v>
      </c>
      <c r="V58" s="375">
        <f t="shared" si="8"/>
        <v>0</v>
      </c>
      <c r="W58" s="376">
        <f t="shared" si="9"/>
        <v>0</v>
      </c>
      <c r="X58" s="377">
        <f t="shared" si="10"/>
        <v>0</v>
      </c>
      <c r="Y58" s="378">
        <f t="shared" si="11"/>
        <v>0</v>
      </c>
      <c r="Z58" s="379">
        <f t="shared" si="12"/>
        <v>0</v>
      </c>
      <c r="AA58" s="380">
        <f t="shared" si="13"/>
        <v>0.625</v>
      </c>
      <c r="AC58" s="231"/>
      <c r="AD58" s="231"/>
      <c r="AE58" s="231"/>
      <c r="AF58" s="231"/>
      <c r="AG58" s="231"/>
      <c r="AH58" s="231"/>
      <c r="AI58" s="213"/>
      <c r="AJ58" s="213"/>
      <c r="AK58" s="213"/>
      <c r="AL58" s="213"/>
      <c r="AM58" s="213"/>
    </row>
    <row r="59" spans="1:40" ht="16.25" customHeight="1" thickBot="1">
      <c r="A59" s="398" t="s">
        <v>674</v>
      </c>
      <c r="B59" s="398" t="s">
        <v>461</v>
      </c>
      <c r="C59" s="6458">
        <f t="shared" si="71"/>
        <v>1.7222222222222224E-4</v>
      </c>
      <c r="D59" s="897">
        <v>7</v>
      </c>
      <c r="E59" s="441">
        <v>4</v>
      </c>
      <c r="F59" s="441">
        <v>4</v>
      </c>
      <c r="G59" s="441">
        <v>40</v>
      </c>
      <c r="H59" s="436"/>
      <c r="I59" s="436">
        <v>6.9444444444444447E-4</v>
      </c>
      <c r="J59" s="436">
        <v>2.0833333333333333E-3</v>
      </c>
      <c r="K59" s="1201" t="s">
        <v>415</v>
      </c>
      <c r="L59" s="436">
        <f t="shared" si="72"/>
        <v>0.84564407407407405</v>
      </c>
      <c r="M59" s="517">
        <v>1</v>
      </c>
      <c r="N59" s="436">
        <f t="shared" si="70"/>
        <v>2.3923875555555557E-2</v>
      </c>
      <c r="O59" s="439">
        <f>C59*(G59/25)*1.016</f>
        <v>2.7996444444444447E-4</v>
      </c>
      <c r="P59" s="587">
        <f t="shared" si="73"/>
        <v>2.7996444444444447E-4</v>
      </c>
      <c r="Q59" s="788">
        <v>179</v>
      </c>
      <c r="R59" s="435">
        <f t="shared" si="74"/>
        <v>640</v>
      </c>
      <c r="S59" s="229">
        <f t="shared" si="5"/>
        <v>0.64</v>
      </c>
      <c r="T59" s="230">
        <f t="shared" si="6"/>
        <v>1.7917724444444446E-2</v>
      </c>
      <c r="U59" s="374">
        <f t="shared" si="7"/>
        <v>0</v>
      </c>
      <c r="V59" s="375">
        <f t="shared" si="8"/>
        <v>0</v>
      </c>
      <c r="W59" s="376">
        <f t="shared" si="9"/>
        <v>0</v>
      </c>
      <c r="X59" s="377">
        <f t="shared" si="10"/>
        <v>0</v>
      </c>
      <c r="Y59" s="378">
        <f t="shared" si="11"/>
        <v>0</v>
      </c>
      <c r="Z59" s="379">
        <f t="shared" si="12"/>
        <v>0</v>
      </c>
      <c r="AA59" s="380">
        <f t="shared" si="13"/>
        <v>0.64</v>
      </c>
      <c r="AC59" s="231"/>
      <c r="AD59" s="231"/>
      <c r="AE59" s="231"/>
      <c r="AF59" s="231"/>
      <c r="AG59" s="231"/>
      <c r="AH59" s="231"/>
      <c r="AI59" s="213"/>
      <c r="AJ59" s="213"/>
      <c r="AK59" s="213"/>
      <c r="AL59" s="213"/>
      <c r="AM59" s="213"/>
    </row>
    <row r="60" spans="1:40" ht="13" customHeight="1" thickBot="1">
      <c r="A60" s="851"/>
      <c r="B60" s="1026"/>
      <c r="C60" s="6458">
        <f t="shared" si="71"/>
        <v>0</v>
      </c>
      <c r="E60" s="134"/>
      <c r="F60" s="60"/>
      <c r="G60" s="135"/>
      <c r="H60" s="3345"/>
      <c r="I60" s="135"/>
      <c r="J60" s="135"/>
      <c r="K60" s="313"/>
      <c r="L60" s="3335">
        <f t="shared" si="72"/>
        <v>0.86956794962962958</v>
      </c>
      <c r="M60" s="511"/>
      <c r="N60" s="3335">
        <f>SUM(N55:N59)</f>
        <v>6.195683851851852E-2</v>
      </c>
      <c r="O60" s="73"/>
      <c r="P60" s="73"/>
      <c r="Q60" s="783"/>
      <c r="R60" s="73">
        <f>SUM(R54:R59)</f>
        <v>2105</v>
      </c>
      <c r="S60" s="229">
        <f t="shared" si="5"/>
        <v>0</v>
      </c>
      <c r="T60" s="230">
        <f t="shared" si="6"/>
        <v>0</v>
      </c>
      <c r="U60" s="374">
        <f t="shared" si="7"/>
        <v>0</v>
      </c>
      <c r="V60" s="375">
        <f t="shared" si="8"/>
        <v>0</v>
      </c>
      <c r="W60" s="376">
        <f t="shared" si="9"/>
        <v>0</v>
      </c>
      <c r="X60" s="377">
        <f t="shared" si="10"/>
        <v>0</v>
      </c>
      <c r="Y60" s="378">
        <f t="shared" si="11"/>
        <v>0</v>
      </c>
      <c r="Z60" s="379">
        <f t="shared" si="12"/>
        <v>0</v>
      </c>
      <c r="AA60" s="380">
        <f t="shared" si="13"/>
        <v>0</v>
      </c>
      <c r="AC60" s="231"/>
      <c r="AD60" s="231"/>
      <c r="AE60" s="231"/>
      <c r="AF60" s="231"/>
      <c r="AG60" s="231"/>
      <c r="AH60" s="231"/>
      <c r="AI60" s="213"/>
      <c r="AJ60" s="213"/>
      <c r="AK60" s="213"/>
      <c r="AL60" s="213"/>
      <c r="AM60" s="213"/>
      <c r="AN60" s="204"/>
    </row>
    <row r="61" spans="1:40" thickBot="1">
      <c r="A61" s="4897"/>
      <c r="B61" s="6709" t="s">
        <v>461</v>
      </c>
      <c r="C61" s="6458">
        <f t="shared" si="71"/>
        <v>2.152777777777778E-4</v>
      </c>
      <c r="D61" s="1977">
        <v>2</v>
      </c>
      <c r="E61" s="1173">
        <v>1</v>
      </c>
      <c r="F61" s="1173">
        <v>1</v>
      </c>
      <c r="G61" s="1173">
        <v>200</v>
      </c>
      <c r="H61" s="2675"/>
      <c r="I61" s="299">
        <v>0</v>
      </c>
      <c r="J61" s="299">
        <v>1.1574074074074073E-4</v>
      </c>
      <c r="K61" s="1123" t="s">
        <v>717</v>
      </c>
      <c r="L61" s="1149">
        <v>0.80208333333333337</v>
      </c>
      <c r="M61" s="1174">
        <v>1</v>
      </c>
      <c r="N61" s="1175">
        <f t="shared" ref="N61:N75" si="75">P61*E61*F61+I61*E61*F61+J61*E61</f>
        <v>1.8379629629629631E-3</v>
      </c>
      <c r="O61" s="1175">
        <f t="shared" ref="O61:O62" si="76">C61*(G61/25)</f>
        <v>1.7222222222222224E-3</v>
      </c>
      <c r="P61" s="1175">
        <f t="shared" ref="P61:P66" si="77">O61*M61</f>
        <v>1.7222222222222224E-3</v>
      </c>
      <c r="Q61" s="550">
        <v>185</v>
      </c>
      <c r="R61" s="1176">
        <f t="shared" ref="R61:R75" si="78">E61*F61*G61</f>
        <v>200</v>
      </c>
      <c r="S61" s="229">
        <f t="shared" si="5"/>
        <v>0.2</v>
      </c>
      <c r="T61" s="230">
        <f t="shared" si="6"/>
        <v>6.8888888888888897E-3</v>
      </c>
      <c r="U61" s="374">
        <f t="shared" si="7"/>
        <v>0</v>
      </c>
      <c r="V61" s="375">
        <f t="shared" si="8"/>
        <v>0.2</v>
      </c>
      <c r="W61" s="376">
        <f t="shared" si="9"/>
        <v>0</v>
      </c>
      <c r="X61" s="377">
        <f t="shared" si="10"/>
        <v>0</v>
      </c>
      <c r="Y61" s="378">
        <f t="shared" si="11"/>
        <v>0</v>
      </c>
      <c r="Z61" s="379">
        <f t="shared" si="12"/>
        <v>0</v>
      </c>
      <c r="AA61" s="380">
        <f t="shared" si="13"/>
        <v>0</v>
      </c>
      <c r="AC61" s="231"/>
      <c r="AD61" s="231"/>
      <c r="AE61" s="231"/>
      <c r="AF61" s="231"/>
      <c r="AG61" s="231"/>
      <c r="AH61" s="231"/>
      <c r="AI61" s="213"/>
      <c r="AJ61" s="213"/>
      <c r="AK61" s="213"/>
      <c r="AL61" s="213"/>
      <c r="AM61" s="213"/>
      <c r="AN61" s="204"/>
    </row>
    <row r="62" spans="1:40" ht="13">
      <c r="A62" s="6710"/>
      <c r="B62" s="6711" t="s">
        <v>461</v>
      </c>
      <c r="C62" s="6458">
        <f t="shared" si="71"/>
        <v>1.7939814814814817E-4</v>
      </c>
      <c r="D62" s="1977">
        <v>4</v>
      </c>
      <c r="E62" s="1197">
        <v>1</v>
      </c>
      <c r="F62" s="1177">
        <v>8</v>
      </c>
      <c r="G62" s="1177">
        <v>30</v>
      </c>
      <c r="H62" s="3348" t="s">
        <v>1417</v>
      </c>
      <c r="I62" s="1178">
        <v>4.0509259259259258E-4</v>
      </c>
      <c r="J62" s="1178">
        <v>1.3888888888888889E-3</v>
      </c>
      <c r="K62" s="1178" t="s">
        <v>1580</v>
      </c>
      <c r="L62" s="1179">
        <f t="shared" ref="L62:L76" si="79">L61+N61</f>
        <v>0.80392129629629638</v>
      </c>
      <c r="M62" s="1179">
        <v>1</v>
      </c>
      <c r="N62" s="1181">
        <f t="shared" si="75"/>
        <v>6.3518518518518524E-3</v>
      </c>
      <c r="O62" s="1178">
        <f t="shared" si="76"/>
        <v>2.152777777777778E-4</v>
      </c>
      <c r="P62" s="1181">
        <f t="shared" si="77"/>
        <v>2.152777777777778E-4</v>
      </c>
      <c r="Q62" s="334">
        <v>185</v>
      </c>
      <c r="R62" s="334">
        <f t="shared" si="78"/>
        <v>240</v>
      </c>
      <c r="S62" s="229">
        <f t="shared" si="5"/>
        <v>0.24</v>
      </c>
      <c r="T62" s="230">
        <f t="shared" si="6"/>
        <v>6.8888888888888897E-3</v>
      </c>
      <c r="U62" s="374">
        <f t="shared" si="7"/>
        <v>0</v>
      </c>
      <c r="V62" s="375">
        <f t="shared" si="8"/>
        <v>0</v>
      </c>
      <c r="W62" s="376">
        <f t="shared" si="9"/>
        <v>0</v>
      </c>
      <c r="X62" s="377">
        <f t="shared" si="10"/>
        <v>0.24</v>
      </c>
      <c r="Y62" s="378">
        <f t="shared" si="11"/>
        <v>0</v>
      </c>
      <c r="Z62" s="379">
        <f t="shared" si="12"/>
        <v>0</v>
      </c>
      <c r="AA62" s="380">
        <f t="shared" si="13"/>
        <v>0</v>
      </c>
      <c r="AC62" s="231"/>
      <c r="AD62" s="231"/>
      <c r="AE62" s="231"/>
      <c r="AF62" s="231"/>
      <c r="AG62" s="231"/>
      <c r="AH62" s="231"/>
      <c r="AI62" s="213"/>
      <c r="AJ62" s="213"/>
      <c r="AK62" s="213"/>
      <c r="AL62" s="213"/>
      <c r="AM62" s="213"/>
      <c r="AN62" s="204"/>
    </row>
    <row r="63" spans="1:40" ht="13">
      <c r="A63" s="6710"/>
      <c r="B63" s="6711" t="s">
        <v>461</v>
      </c>
      <c r="C63" s="6458">
        <f t="shared" si="71"/>
        <v>1.7581018518518521E-4</v>
      </c>
      <c r="D63" s="4578">
        <v>6</v>
      </c>
      <c r="E63" s="6042">
        <v>5</v>
      </c>
      <c r="F63" s="6043">
        <v>5</v>
      </c>
      <c r="G63" s="4582">
        <v>20</v>
      </c>
      <c r="H63" s="4684" t="s">
        <v>878</v>
      </c>
      <c r="I63" s="4684">
        <v>4.0509259259259258E-4</v>
      </c>
      <c r="J63" s="4585">
        <v>0</v>
      </c>
      <c r="K63" s="4582" t="s">
        <v>1970</v>
      </c>
      <c r="L63" s="6300">
        <f t="shared" si="79"/>
        <v>0.81027314814814821</v>
      </c>
      <c r="M63" s="4584">
        <v>1</v>
      </c>
      <c r="N63" s="6300">
        <f t="shared" si="75"/>
        <v>1.3784166666666667E-2</v>
      </c>
      <c r="O63" s="4586">
        <f>C63*(G63/25)*1.04</f>
        <v>1.4627407407407411E-4</v>
      </c>
      <c r="P63" s="6309">
        <f t="shared" si="77"/>
        <v>1.4627407407407411E-4</v>
      </c>
      <c r="Q63" s="4588">
        <v>177</v>
      </c>
      <c r="R63" s="4561">
        <f t="shared" si="78"/>
        <v>500</v>
      </c>
      <c r="S63" s="229">
        <f t="shared" si="5"/>
        <v>0.5</v>
      </c>
      <c r="T63" s="230">
        <f t="shared" si="6"/>
        <v>1.462740740740741E-2</v>
      </c>
      <c r="U63" s="374">
        <f t="shared" si="7"/>
        <v>0</v>
      </c>
      <c r="V63" s="375">
        <f t="shared" si="8"/>
        <v>0</v>
      </c>
      <c r="W63" s="376">
        <f t="shared" si="9"/>
        <v>0</v>
      </c>
      <c r="X63" s="377">
        <f t="shared" si="10"/>
        <v>0</v>
      </c>
      <c r="Y63" s="378">
        <f t="shared" si="11"/>
        <v>0</v>
      </c>
      <c r="Z63" s="379">
        <f t="shared" si="12"/>
        <v>0.5</v>
      </c>
      <c r="AA63" s="380">
        <f t="shared" si="13"/>
        <v>0</v>
      </c>
      <c r="AC63" s="231"/>
      <c r="AD63" s="231"/>
      <c r="AE63" s="231"/>
      <c r="AF63" s="231"/>
      <c r="AG63" s="231"/>
      <c r="AH63" s="231"/>
      <c r="AI63" s="213"/>
      <c r="AJ63" s="213"/>
      <c r="AK63" s="213"/>
      <c r="AL63" s="213"/>
      <c r="AM63" s="213"/>
      <c r="AN63" s="204"/>
    </row>
    <row r="64" spans="1:40" thickBot="1">
      <c r="A64" s="6710"/>
      <c r="B64" s="6711" t="s">
        <v>461</v>
      </c>
      <c r="C64" s="6458">
        <f t="shared" si="71"/>
        <v>1.7581018518518521E-4</v>
      </c>
      <c r="D64" s="4578">
        <v>6</v>
      </c>
      <c r="E64" s="6045">
        <v>5</v>
      </c>
      <c r="F64" s="6043">
        <v>3</v>
      </c>
      <c r="G64" s="6046">
        <v>17.5</v>
      </c>
      <c r="H64" s="4684" t="s">
        <v>878</v>
      </c>
      <c r="I64" s="4684">
        <v>3.4722222222222224E-4</v>
      </c>
      <c r="J64" s="4585">
        <v>0</v>
      </c>
      <c r="K64" s="4582" t="s">
        <v>1971</v>
      </c>
      <c r="L64" s="6300">
        <f t="shared" si="79"/>
        <v>0.82405731481481492</v>
      </c>
      <c r="M64" s="4584">
        <v>1</v>
      </c>
      <c r="N64" s="6300">
        <f t="shared" si="75"/>
        <v>7.128180555555556E-3</v>
      </c>
      <c r="O64" s="4586">
        <f>C64*(G64/25)*1.04</f>
        <v>1.2798981481481481E-4</v>
      </c>
      <c r="P64" s="6309">
        <f t="shared" si="77"/>
        <v>1.2798981481481481E-4</v>
      </c>
      <c r="Q64" s="4588">
        <v>177</v>
      </c>
      <c r="R64" s="4561">
        <f t="shared" si="78"/>
        <v>262.5</v>
      </c>
      <c r="S64" s="229">
        <f t="shared" si="5"/>
        <v>0.26250000000000001</v>
      </c>
      <c r="T64" s="230">
        <f t="shared" si="6"/>
        <v>7.6793888888888884E-3</v>
      </c>
      <c r="U64" s="374">
        <f t="shared" si="7"/>
        <v>0</v>
      </c>
      <c r="V64" s="375">
        <f t="shared" si="8"/>
        <v>0</v>
      </c>
      <c r="W64" s="376">
        <f t="shared" si="9"/>
        <v>0</v>
      </c>
      <c r="X64" s="377">
        <f t="shared" si="10"/>
        <v>0</v>
      </c>
      <c r="Y64" s="378">
        <f t="shared" si="11"/>
        <v>0</v>
      </c>
      <c r="Z64" s="379">
        <f t="shared" si="12"/>
        <v>0.26250000000000001</v>
      </c>
      <c r="AA64" s="380">
        <f t="shared" si="13"/>
        <v>0</v>
      </c>
      <c r="AC64" s="231"/>
      <c r="AD64" s="231"/>
      <c r="AE64" s="231"/>
      <c r="AF64" s="231"/>
      <c r="AG64" s="231"/>
      <c r="AH64" s="231"/>
      <c r="AI64" s="213"/>
      <c r="AJ64" s="213"/>
      <c r="AK64" s="213"/>
      <c r="AL64" s="213"/>
      <c r="AM64" s="213"/>
      <c r="AN64" s="204"/>
    </row>
    <row r="65" spans="1:40" thickBot="1">
      <c r="A65" s="6712" t="s">
        <v>217</v>
      </c>
      <c r="B65" s="6711" t="s">
        <v>461</v>
      </c>
      <c r="C65" s="6458">
        <f t="shared" si="71"/>
        <v>1.7581018518518521E-4</v>
      </c>
      <c r="D65" s="4578">
        <v>6</v>
      </c>
      <c r="E65" s="6047">
        <v>3</v>
      </c>
      <c r="F65" s="6043">
        <v>1</v>
      </c>
      <c r="G65" s="4582">
        <v>15</v>
      </c>
      <c r="H65" s="4684" t="s">
        <v>878</v>
      </c>
      <c r="I65" s="4684">
        <v>0</v>
      </c>
      <c r="J65" s="4585">
        <v>3.472222222222222E-3</v>
      </c>
      <c r="K65" s="4582" t="s">
        <v>1972</v>
      </c>
      <c r="L65" s="6300">
        <f t="shared" si="79"/>
        <v>0.83118549537037045</v>
      </c>
      <c r="M65" s="4584">
        <v>1</v>
      </c>
      <c r="N65" s="6300">
        <f t="shared" si="75"/>
        <v>1.0745783333333333E-2</v>
      </c>
      <c r="O65" s="4586">
        <f>C65*(G65/25)*1.04</f>
        <v>1.0970555555555556E-4</v>
      </c>
      <c r="P65" s="6309">
        <f t="shared" si="77"/>
        <v>1.0970555555555556E-4</v>
      </c>
      <c r="Q65" s="4588">
        <v>177</v>
      </c>
      <c r="R65" s="4561">
        <f t="shared" si="78"/>
        <v>45</v>
      </c>
      <c r="S65" s="229">
        <f t="shared" si="5"/>
        <v>4.4999999999999998E-2</v>
      </c>
      <c r="T65" s="230">
        <f t="shared" si="6"/>
        <v>1.3164666666666668E-3</v>
      </c>
      <c r="U65" s="374">
        <f t="shared" si="7"/>
        <v>0</v>
      </c>
      <c r="V65" s="375">
        <f t="shared" si="8"/>
        <v>0</v>
      </c>
      <c r="W65" s="376">
        <f t="shared" si="9"/>
        <v>0</v>
      </c>
      <c r="X65" s="377">
        <f t="shared" si="10"/>
        <v>0</v>
      </c>
      <c r="Y65" s="378">
        <f t="shared" si="11"/>
        <v>0</v>
      </c>
      <c r="Z65" s="379">
        <f t="shared" si="12"/>
        <v>4.4999999999999998E-2</v>
      </c>
      <c r="AA65" s="380">
        <f t="shared" si="13"/>
        <v>0</v>
      </c>
      <c r="AC65" s="231"/>
      <c r="AD65" s="231"/>
      <c r="AE65" s="231"/>
      <c r="AF65" s="231"/>
      <c r="AG65" s="231"/>
      <c r="AH65" s="231"/>
      <c r="AI65" s="213"/>
      <c r="AJ65" s="213"/>
      <c r="AK65" s="213"/>
      <c r="AL65" s="213"/>
      <c r="AM65" s="213"/>
      <c r="AN65" s="204"/>
    </row>
    <row r="66" spans="1:40" thickBot="1">
      <c r="A66" s="851" t="s">
        <v>459</v>
      </c>
      <c r="B66" s="6711" t="s">
        <v>461</v>
      </c>
      <c r="C66" s="6458">
        <f t="shared" si="71"/>
        <v>2.3321759259259265E-4</v>
      </c>
      <c r="D66" s="1977">
        <v>1</v>
      </c>
      <c r="E66" s="1194">
        <v>1</v>
      </c>
      <c r="F66" s="1194">
        <v>1</v>
      </c>
      <c r="G66" s="1194">
        <v>200</v>
      </c>
      <c r="H66" s="1667" t="s">
        <v>702</v>
      </c>
      <c r="I66" s="274">
        <v>6.9444444444444447E-4</v>
      </c>
      <c r="J66" s="274">
        <v>1.0416666666666667E-3</v>
      </c>
      <c r="K66" s="312" t="s">
        <v>706</v>
      </c>
      <c r="L66" s="274">
        <f t="shared" si="79"/>
        <v>0.84193127870370377</v>
      </c>
      <c r="M66" s="1195">
        <v>1</v>
      </c>
      <c r="N66" s="274">
        <f t="shared" si="75"/>
        <v>3.6018518518518526E-3</v>
      </c>
      <c r="O66" s="1196">
        <f t="shared" ref="O66" si="80">C66*(G66/25)</f>
        <v>1.8657407407407412E-3</v>
      </c>
      <c r="P66" s="1196">
        <f t="shared" si="77"/>
        <v>1.8657407407407412E-3</v>
      </c>
      <c r="Q66" s="548">
        <v>190</v>
      </c>
      <c r="R66" s="1194">
        <f t="shared" si="78"/>
        <v>200</v>
      </c>
      <c r="S66" s="229">
        <f t="shared" ref="S66:S74" si="81">E66*F66*G66/1000</f>
        <v>0.2</v>
      </c>
      <c r="T66" s="230">
        <f t="shared" ref="T66:T74" si="82">E66*F66*O66*4</f>
        <v>7.4629629629629646E-3</v>
      </c>
      <c r="U66" s="374">
        <f t="shared" ref="U66:U74" si="83">IF(C66*4&gt;=$U$3,S66,0)</f>
        <v>0.2</v>
      </c>
      <c r="V66" s="375">
        <f t="shared" ref="V66:V74" si="84">IF(AND(C66*4&gt;=$V$3,C66*4&lt;$U$3),S66,0)</f>
        <v>0</v>
      </c>
      <c r="W66" s="376">
        <f t="shared" ref="W66:W74" si="85">IF(AND(C66*4&gt;=$W$3,C66*4&lt;$V$3),S66,0)</f>
        <v>0</v>
      </c>
      <c r="X66" s="377">
        <f t="shared" ref="X66:X74" si="86">IF(AND(C66*4&gt;=$X$3,C66*4&lt;$W$3),S66,0)</f>
        <v>0</v>
      </c>
      <c r="Y66" s="378">
        <f t="shared" ref="Y66:Y74" si="87">IF(AND(C66*4&gt;=$Y$3,C66*4&lt;$X$3),S66,0)</f>
        <v>0</v>
      </c>
      <c r="Z66" s="379">
        <f t="shared" ref="Z66:Z74" si="88">IF(AND(C66*4&gt;=$Z$3,C66*4&lt;$Y$3),S66,0)</f>
        <v>0</v>
      </c>
      <c r="AA66" s="380">
        <f t="shared" ref="AA66:AA74" si="89">IF(AND(C66*4&gt;=$AA$3,C66*4&lt;$Z$3),S66,0)</f>
        <v>0</v>
      </c>
      <c r="AC66" s="231"/>
      <c r="AD66" s="231"/>
      <c r="AE66" s="231"/>
      <c r="AF66" s="231"/>
      <c r="AG66" s="231"/>
      <c r="AH66" s="231"/>
      <c r="AI66" s="213"/>
      <c r="AJ66" s="213"/>
      <c r="AK66" s="213"/>
      <c r="AL66" s="213"/>
      <c r="AM66" s="213"/>
      <c r="AN66" s="204"/>
    </row>
    <row r="67" spans="1:40" thickBot="1">
      <c r="A67" s="851" t="s">
        <v>458</v>
      </c>
      <c r="B67" s="6711" t="s">
        <v>461</v>
      </c>
      <c r="C67" s="6458">
        <f t="shared" si="71"/>
        <v>1.7581018518518521E-4</v>
      </c>
      <c r="D67" s="1977">
        <v>6</v>
      </c>
      <c r="E67" s="365">
        <v>1</v>
      </c>
      <c r="F67" s="365">
        <v>4</v>
      </c>
      <c r="G67" s="365">
        <v>50</v>
      </c>
      <c r="H67" s="2676" t="s">
        <v>1414</v>
      </c>
      <c r="I67" s="366">
        <v>5.7870370370370378E-4</v>
      </c>
      <c r="J67" s="366">
        <v>1.0416666666666667E-3</v>
      </c>
      <c r="K67" s="6700" t="s">
        <v>2306</v>
      </c>
      <c r="L67" s="1006">
        <f t="shared" si="79"/>
        <v>0.84553313055555557</v>
      </c>
      <c r="M67" s="365">
        <v>1.05</v>
      </c>
      <c r="N67" s="366">
        <f t="shared" si="75"/>
        <v>4.8332870370370378E-3</v>
      </c>
      <c r="O67" s="365">
        <f t="shared" ref="O67:O75" si="90">C67*(G67/25)</f>
        <v>3.5162037037037041E-4</v>
      </c>
      <c r="P67" s="586">
        <f>O67*M67</f>
        <v>3.6920138888888896E-4</v>
      </c>
      <c r="Q67" s="365">
        <v>160</v>
      </c>
      <c r="R67" s="365">
        <f t="shared" si="78"/>
        <v>200</v>
      </c>
      <c r="S67" s="229">
        <f t="shared" si="81"/>
        <v>0.2</v>
      </c>
      <c r="T67" s="230">
        <f t="shared" si="82"/>
        <v>5.6259259259259266E-3</v>
      </c>
      <c r="U67" s="374">
        <f t="shared" si="83"/>
        <v>0</v>
      </c>
      <c r="V67" s="375">
        <f t="shared" si="84"/>
        <v>0</v>
      </c>
      <c r="W67" s="376">
        <f t="shared" si="85"/>
        <v>0</v>
      </c>
      <c r="X67" s="377">
        <f t="shared" si="86"/>
        <v>0</v>
      </c>
      <c r="Y67" s="378">
        <f t="shared" si="87"/>
        <v>0</v>
      </c>
      <c r="Z67" s="379">
        <f t="shared" si="88"/>
        <v>0.2</v>
      </c>
      <c r="AA67" s="380">
        <f t="shared" si="89"/>
        <v>0</v>
      </c>
      <c r="AC67" s="231"/>
      <c r="AD67" s="231"/>
      <c r="AE67" s="231"/>
      <c r="AF67" s="231"/>
      <c r="AG67" s="231"/>
      <c r="AH67" s="231"/>
      <c r="AI67" s="213"/>
      <c r="AJ67" s="213"/>
      <c r="AK67" s="213"/>
      <c r="AL67" s="213"/>
      <c r="AM67" s="213"/>
      <c r="AN67" s="204"/>
    </row>
    <row r="68" spans="1:40" thickBot="1">
      <c r="A68" s="851" t="s">
        <v>218</v>
      </c>
      <c r="B68" s="6711" t="s">
        <v>461</v>
      </c>
      <c r="C68" s="6458">
        <f t="shared" si="71"/>
        <v>1.7581018518518521E-4</v>
      </c>
      <c r="D68" s="1977">
        <v>6</v>
      </c>
      <c r="E68" s="365">
        <v>1</v>
      </c>
      <c r="F68" s="365">
        <v>1</v>
      </c>
      <c r="G68" s="365">
        <v>50</v>
      </c>
      <c r="H68" s="2676" t="s">
        <v>1414</v>
      </c>
      <c r="I68" s="366">
        <v>0</v>
      </c>
      <c r="J68" s="366">
        <v>1.1574074074074073E-4</v>
      </c>
      <c r="K68" s="1065" t="s">
        <v>2305</v>
      </c>
      <c r="L68" s="1006">
        <f t="shared" si="79"/>
        <v>0.85036641759259257</v>
      </c>
      <c r="M68" s="365">
        <v>1</v>
      </c>
      <c r="N68" s="366">
        <f t="shared" si="75"/>
        <v>4.6736111111111116E-4</v>
      </c>
      <c r="O68" s="365">
        <f t="shared" si="90"/>
        <v>3.5162037037037041E-4</v>
      </c>
      <c r="P68" s="586">
        <f t="shared" ref="P68:P69" si="91">O68*M68</f>
        <v>3.5162037037037041E-4</v>
      </c>
      <c r="Q68" s="365">
        <v>180</v>
      </c>
      <c r="R68" s="365">
        <f t="shared" si="78"/>
        <v>50</v>
      </c>
      <c r="S68" s="229">
        <f t="shared" si="81"/>
        <v>0.05</v>
      </c>
      <c r="T68" s="230">
        <f t="shared" si="82"/>
        <v>1.4064814814814816E-3</v>
      </c>
      <c r="U68" s="374">
        <f t="shared" si="83"/>
        <v>0</v>
      </c>
      <c r="V68" s="375">
        <f t="shared" si="84"/>
        <v>0</v>
      </c>
      <c r="W68" s="376">
        <f t="shared" si="85"/>
        <v>0</v>
      </c>
      <c r="X68" s="377">
        <f t="shared" si="86"/>
        <v>0</v>
      </c>
      <c r="Y68" s="378">
        <f t="shared" si="87"/>
        <v>0</v>
      </c>
      <c r="Z68" s="379">
        <f t="shared" si="88"/>
        <v>0.05</v>
      </c>
      <c r="AA68" s="380">
        <f t="shared" si="89"/>
        <v>0</v>
      </c>
      <c r="AC68" s="231"/>
      <c r="AD68" s="231"/>
      <c r="AE68" s="231"/>
      <c r="AF68" s="231"/>
      <c r="AG68" s="231"/>
      <c r="AH68" s="231"/>
      <c r="AI68" s="213"/>
      <c r="AJ68" s="213"/>
      <c r="AK68" s="213"/>
      <c r="AL68" s="213"/>
      <c r="AM68" s="213"/>
      <c r="AN68" s="204"/>
    </row>
    <row r="69" spans="1:40" thickBot="1">
      <c r="A69" s="851" t="s">
        <v>219</v>
      </c>
      <c r="B69" s="6711" t="s">
        <v>461</v>
      </c>
      <c r="C69" s="6458">
        <f t="shared" si="71"/>
        <v>2.3321759259259265E-4</v>
      </c>
      <c r="D69" s="1977">
        <v>1</v>
      </c>
      <c r="E69" s="1194">
        <v>1</v>
      </c>
      <c r="F69" s="1194">
        <v>1</v>
      </c>
      <c r="G69" s="1194">
        <v>200</v>
      </c>
      <c r="H69" s="1667" t="s">
        <v>702</v>
      </c>
      <c r="I69" s="274">
        <v>6.9444444444444447E-4</v>
      </c>
      <c r="J69" s="274">
        <v>1.0416666666666667E-3</v>
      </c>
      <c r="K69" s="312" t="s">
        <v>706</v>
      </c>
      <c r="L69" s="993">
        <f t="shared" si="79"/>
        <v>0.85083377870370369</v>
      </c>
      <c r="M69" s="1195">
        <v>1</v>
      </c>
      <c r="N69" s="274">
        <f t="shared" si="75"/>
        <v>3.6018518518518526E-3</v>
      </c>
      <c r="O69" s="1196">
        <f t="shared" si="90"/>
        <v>1.8657407407407412E-3</v>
      </c>
      <c r="P69" s="1196">
        <f t="shared" si="91"/>
        <v>1.8657407407407412E-3</v>
      </c>
      <c r="Q69" s="548">
        <v>190</v>
      </c>
      <c r="R69" s="1194">
        <f t="shared" si="78"/>
        <v>200</v>
      </c>
      <c r="S69" s="229">
        <f t="shared" si="81"/>
        <v>0.2</v>
      </c>
      <c r="T69" s="230">
        <f t="shared" si="82"/>
        <v>7.4629629629629646E-3</v>
      </c>
      <c r="U69" s="374">
        <f t="shared" si="83"/>
        <v>0.2</v>
      </c>
      <c r="V69" s="375">
        <f t="shared" si="84"/>
        <v>0</v>
      </c>
      <c r="W69" s="376">
        <f t="shared" si="85"/>
        <v>0</v>
      </c>
      <c r="X69" s="377">
        <f t="shared" si="86"/>
        <v>0</v>
      </c>
      <c r="Y69" s="378">
        <f t="shared" si="87"/>
        <v>0</v>
      </c>
      <c r="Z69" s="379">
        <f t="shared" si="88"/>
        <v>0</v>
      </c>
      <c r="AA69" s="380">
        <f t="shared" si="89"/>
        <v>0</v>
      </c>
      <c r="AC69" s="231"/>
      <c r="AD69" s="231"/>
      <c r="AE69" s="231"/>
      <c r="AF69" s="231"/>
      <c r="AG69" s="231"/>
      <c r="AH69" s="231"/>
      <c r="AI69" s="213"/>
      <c r="AJ69" s="213"/>
      <c r="AK69" s="213"/>
      <c r="AL69" s="213"/>
      <c r="AM69" s="213"/>
      <c r="AN69" s="204"/>
    </row>
    <row r="70" spans="1:40" thickBot="1">
      <c r="A70" s="851"/>
      <c r="B70" s="6711" t="s">
        <v>461</v>
      </c>
      <c r="C70" s="6458">
        <f t="shared" si="71"/>
        <v>1.7581018518518521E-4</v>
      </c>
      <c r="D70" s="1977">
        <v>6</v>
      </c>
      <c r="E70" s="365">
        <v>1</v>
      </c>
      <c r="F70" s="365">
        <v>3</v>
      </c>
      <c r="G70" s="365">
        <v>50</v>
      </c>
      <c r="H70" s="2676" t="s">
        <v>1414</v>
      </c>
      <c r="I70" s="366">
        <v>5.7870370370370378E-4</v>
      </c>
      <c r="J70" s="366">
        <v>1.0416666666666667E-3</v>
      </c>
      <c r="K70" s="6700" t="s">
        <v>2306</v>
      </c>
      <c r="L70" s="1006">
        <f t="shared" si="79"/>
        <v>0.85443563055555549</v>
      </c>
      <c r="M70" s="365">
        <v>1.05</v>
      </c>
      <c r="N70" s="366">
        <f t="shared" si="75"/>
        <v>3.8853819444444448E-3</v>
      </c>
      <c r="O70" s="365">
        <f t="shared" si="90"/>
        <v>3.5162037037037041E-4</v>
      </c>
      <c r="P70" s="586">
        <f>O70*M70</f>
        <v>3.6920138888888896E-4</v>
      </c>
      <c r="Q70" s="365">
        <v>160</v>
      </c>
      <c r="R70" s="365">
        <f t="shared" si="78"/>
        <v>150</v>
      </c>
      <c r="S70" s="229">
        <f t="shared" si="81"/>
        <v>0.15</v>
      </c>
      <c r="T70" s="230">
        <f t="shared" si="82"/>
        <v>4.2194444444444449E-3</v>
      </c>
      <c r="U70" s="374">
        <f t="shared" si="83"/>
        <v>0</v>
      </c>
      <c r="V70" s="375">
        <f t="shared" si="84"/>
        <v>0</v>
      </c>
      <c r="W70" s="376">
        <f t="shared" si="85"/>
        <v>0</v>
      </c>
      <c r="X70" s="377">
        <f t="shared" si="86"/>
        <v>0</v>
      </c>
      <c r="Y70" s="378">
        <f t="shared" si="87"/>
        <v>0</v>
      </c>
      <c r="Z70" s="379">
        <f t="shared" si="88"/>
        <v>0.15</v>
      </c>
      <c r="AA70" s="380">
        <f t="shared" si="89"/>
        <v>0</v>
      </c>
      <c r="AC70" s="231"/>
      <c r="AD70" s="231"/>
      <c r="AE70" s="231"/>
      <c r="AF70" s="231"/>
      <c r="AG70" s="231"/>
      <c r="AH70" s="231"/>
      <c r="AI70" s="213"/>
      <c r="AJ70" s="213"/>
      <c r="AK70" s="213"/>
      <c r="AL70" s="213"/>
      <c r="AM70" s="213"/>
      <c r="AN70" s="204"/>
    </row>
    <row r="71" spans="1:40" thickBot="1">
      <c r="A71" s="851"/>
      <c r="B71" s="6711" t="s">
        <v>461</v>
      </c>
      <c r="C71" s="6458">
        <f t="shared" si="71"/>
        <v>1.7581018518518521E-4</v>
      </c>
      <c r="D71" s="1977">
        <v>6</v>
      </c>
      <c r="E71" s="365">
        <v>1</v>
      </c>
      <c r="F71" s="365">
        <v>1</v>
      </c>
      <c r="G71" s="365">
        <v>50</v>
      </c>
      <c r="H71" s="2676" t="s">
        <v>1414</v>
      </c>
      <c r="I71" s="366">
        <v>0</v>
      </c>
      <c r="J71" s="366">
        <v>1.1574074074074073E-4</v>
      </c>
      <c r="K71" s="1065" t="s">
        <v>2305</v>
      </c>
      <c r="L71" s="1006">
        <f t="shared" si="79"/>
        <v>0.85832101249999992</v>
      </c>
      <c r="M71" s="365">
        <v>1</v>
      </c>
      <c r="N71" s="366">
        <f t="shared" si="75"/>
        <v>4.6736111111111116E-4</v>
      </c>
      <c r="O71" s="365">
        <f t="shared" si="90"/>
        <v>3.5162037037037041E-4</v>
      </c>
      <c r="P71" s="586">
        <f t="shared" ref="P71:P72" si="92">O71*M71</f>
        <v>3.5162037037037041E-4</v>
      </c>
      <c r="Q71" s="365">
        <v>180</v>
      </c>
      <c r="R71" s="365">
        <f t="shared" si="78"/>
        <v>50</v>
      </c>
      <c r="S71" s="229">
        <f t="shared" si="81"/>
        <v>0.05</v>
      </c>
      <c r="T71" s="230">
        <f t="shared" si="82"/>
        <v>1.4064814814814816E-3</v>
      </c>
      <c r="U71" s="374">
        <f t="shared" si="83"/>
        <v>0</v>
      </c>
      <c r="V71" s="375">
        <f t="shared" si="84"/>
        <v>0</v>
      </c>
      <c r="W71" s="376">
        <f t="shared" si="85"/>
        <v>0</v>
      </c>
      <c r="X71" s="377">
        <f t="shared" si="86"/>
        <v>0</v>
      </c>
      <c r="Y71" s="378">
        <f t="shared" si="87"/>
        <v>0</v>
      </c>
      <c r="Z71" s="379">
        <f t="shared" si="88"/>
        <v>0.05</v>
      </c>
      <c r="AA71" s="380">
        <f t="shared" si="89"/>
        <v>0</v>
      </c>
      <c r="AC71" s="231"/>
      <c r="AD71" s="231"/>
      <c r="AE71" s="231"/>
      <c r="AF71" s="231"/>
      <c r="AG71" s="231"/>
      <c r="AH71" s="231"/>
      <c r="AI71" s="213"/>
      <c r="AJ71" s="213"/>
      <c r="AK71" s="213"/>
      <c r="AL71" s="213"/>
      <c r="AM71" s="213"/>
      <c r="AN71" s="204"/>
    </row>
    <row r="72" spans="1:40" thickBot="1">
      <c r="A72" s="851"/>
      <c r="B72" s="6711" t="s">
        <v>461</v>
      </c>
      <c r="C72" s="6458">
        <f t="shared" si="71"/>
        <v>2.3321759259259265E-4</v>
      </c>
      <c r="D72" s="1977">
        <v>1</v>
      </c>
      <c r="E72" s="1194">
        <v>1</v>
      </c>
      <c r="F72" s="1194">
        <v>1</v>
      </c>
      <c r="G72" s="1194">
        <v>200</v>
      </c>
      <c r="H72" s="1667" t="s">
        <v>702</v>
      </c>
      <c r="I72" s="274">
        <v>6.9444444444444447E-4</v>
      </c>
      <c r="J72" s="274">
        <v>1.0416666666666667E-3</v>
      </c>
      <c r="K72" s="312" t="s">
        <v>706</v>
      </c>
      <c r="L72" s="993">
        <f t="shared" si="79"/>
        <v>0.85878837361111104</v>
      </c>
      <c r="M72" s="1195">
        <v>1</v>
      </c>
      <c r="N72" s="274">
        <f t="shared" si="75"/>
        <v>3.6018518518518526E-3</v>
      </c>
      <c r="O72" s="1196">
        <f t="shared" si="90"/>
        <v>1.8657407407407412E-3</v>
      </c>
      <c r="P72" s="1196">
        <f t="shared" si="92"/>
        <v>1.8657407407407412E-3</v>
      </c>
      <c r="Q72" s="548">
        <v>190</v>
      </c>
      <c r="R72" s="1194">
        <f t="shared" si="78"/>
        <v>200</v>
      </c>
      <c r="S72" s="229">
        <f t="shared" si="81"/>
        <v>0.2</v>
      </c>
      <c r="T72" s="230">
        <f t="shared" si="82"/>
        <v>7.4629629629629646E-3</v>
      </c>
      <c r="U72" s="374">
        <f t="shared" si="83"/>
        <v>0.2</v>
      </c>
      <c r="V72" s="375">
        <f t="shared" si="84"/>
        <v>0</v>
      </c>
      <c r="W72" s="376">
        <f t="shared" si="85"/>
        <v>0</v>
      </c>
      <c r="X72" s="377">
        <f t="shared" si="86"/>
        <v>0</v>
      </c>
      <c r="Y72" s="378">
        <f t="shared" si="87"/>
        <v>0</v>
      </c>
      <c r="Z72" s="379">
        <f t="shared" si="88"/>
        <v>0</v>
      </c>
      <c r="AA72" s="380">
        <f t="shared" si="89"/>
        <v>0</v>
      </c>
      <c r="AC72" s="231"/>
      <c r="AD72" s="231"/>
      <c r="AE72" s="231"/>
      <c r="AF72" s="231"/>
      <c r="AG72" s="231"/>
      <c r="AH72" s="231"/>
      <c r="AI72" s="213"/>
      <c r="AJ72" s="213"/>
      <c r="AK72" s="213"/>
      <c r="AL72" s="213"/>
      <c r="AM72" s="213"/>
      <c r="AN72" s="204"/>
    </row>
    <row r="73" spans="1:40" thickBot="1">
      <c r="A73" s="851"/>
      <c r="B73" s="6711" t="s">
        <v>461</v>
      </c>
      <c r="C73" s="6458">
        <f t="shared" si="71"/>
        <v>1.7581018518518521E-4</v>
      </c>
      <c r="D73" s="1977">
        <v>6</v>
      </c>
      <c r="E73" s="365">
        <v>1</v>
      </c>
      <c r="F73" s="365">
        <v>2</v>
      </c>
      <c r="G73" s="365">
        <v>50</v>
      </c>
      <c r="H73" s="2676" t="s">
        <v>1414</v>
      </c>
      <c r="I73" s="366">
        <v>5.7870370370370378E-4</v>
      </c>
      <c r="J73" s="366">
        <v>1.0416666666666667E-3</v>
      </c>
      <c r="K73" s="6700" t="s">
        <v>2306</v>
      </c>
      <c r="L73" s="1006">
        <f t="shared" si="79"/>
        <v>0.86239022546296284</v>
      </c>
      <c r="M73" s="365">
        <v>1.05</v>
      </c>
      <c r="N73" s="366">
        <f t="shared" si="75"/>
        <v>2.9374768518518521E-3</v>
      </c>
      <c r="O73" s="365">
        <f t="shared" si="90"/>
        <v>3.5162037037037041E-4</v>
      </c>
      <c r="P73" s="586">
        <f>O73*M73</f>
        <v>3.6920138888888896E-4</v>
      </c>
      <c r="Q73" s="365">
        <v>160</v>
      </c>
      <c r="R73" s="365">
        <f t="shared" si="78"/>
        <v>100</v>
      </c>
      <c r="S73" s="229">
        <f t="shared" si="81"/>
        <v>0.1</v>
      </c>
      <c r="T73" s="230">
        <f t="shared" si="82"/>
        <v>2.8129629629629633E-3</v>
      </c>
      <c r="U73" s="374">
        <f t="shared" si="83"/>
        <v>0</v>
      </c>
      <c r="V73" s="375">
        <f t="shared" si="84"/>
        <v>0</v>
      </c>
      <c r="W73" s="376">
        <f t="shared" si="85"/>
        <v>0</v>
      </c>
      <c r="X73" s="377">
        <f t="shared" si="86"/>
        <v>0</v>
      </c>
      <c r="Y73" s="378">
        <f t="shared" si="87"/>
        <v>0</v>
      </c>
      <c r="Z73" s="379">
        <f t="shared" si="88"/>
        <v>0.1</v>
      </c>
      <c r="AA73" s="380">
        <f t="shared" si="89"/>
        <v>0</v>
      </c>
      <c r="AC73" s="231"/>
      <c r="AD73" s="231"/>
      <c r="AE73" s="231"/>
      <c r="AF73" s="231"/>
      <c r="AG73" s="231"/>
      <c r="AH73" s="231"/>
      <c r="AI73" s="213"/>
      <c r="AJ73" s="213"/>
      <c r="AK73" s="213"/>
      <c r="AL73" s="213"/>
      <c r="AM73" s="213"/>
      <c r="AN73" s="204"/>
    </row>
    <row r="74" spans="1:40" thickBot="1">
      <c r="A74" s="851"/>
      <c r="B74" s="6711" t="s">
        <v>461</v>
      </c>
      <c r="C74" s="6458">
        <f t="shared" si="71"/>
        <v>1.7581018518518521E-4</v>
      </c>
      <c r="D74" s="1977">
        <v>6</v>
      </c>
      <c r="E74" s="365">
        <v>1</v>
      </c>
      <c r="F74" s="365">
        <v>1</v>
      </c>
      <c r="G74" s="365">
        <v>50</v>
      </c>
      <c r="H74" s="2676" t="s">
        <v>1414</v>
      </c>
      <c r="I74" s="366">
        <v>0</v>
      </c>
      <c r="J74" s="366">
        <v>1.1574074074074073E-4</v>
      </c>
      <c r="K74" s="1065" t="s">
        <v>2305</v>
      </c>
      <c r="L74" s="1006">
        <f t="shared" si="79"/>
        <v>0.86532770231481471</v>
      </c>
      <c r="M74" s="365">
        <v>1</v>
      </c>
      <c r="N74" s="366">
        <f t="shared" si="75"/>
        <v>4.6736111111111116E-4</v>
      </c>
      <c r="O74" s="365">
        <f t="shared" si="90"/>
        <v>3.5162037037037041E-4</v>
      </c>
      <c r="P74" s="586">
        <f t="shared" ref="P74:P75" si="93">O74*M74</f>
        <v>3.5162037037037041E-4</v>
      </c>
      <c r="Q74" s="365">
        <v>180</v>
      </c>
      <c r="R74" s="365">
        <f t="shared" si="78"/>
        <v>50</v>
      </c>
      <c r="S74" s="229">
        <f t="shared" si="81"/>
        <v>0.05</v>
      </c>
      <c r="T74" s="230">
        <f t="shared" si="82"/>
        <v>1.4064814814814816E-3</v>
      </c>
      <c r="U74" s="374">
        <f t="shared" si="83"/>
        <v>0</v>
      </c>
      <c r="V74" s="375">
        <f t="shared" si="84"/>
        <v>0</v>
      </c>
      <c r="W74" s="376">
        <f t="shared" si="85"/>
        <v>0</v>
      </c>
      <c r="X74" s="377">
        <f t="shared" si="86"/>
        <v>0</v>
      </c>
      <c r="Y74" s="378">
        <f t="shared" si="87"/>
        <v>0</v>
      </c>
      <c r="Z74" s="379">
        <f t="shared" si="88"/>
        <v>0.05</v>
      </c>
      <c r="AA74" s="380">
        <f t="shared" si="89"/>
        <v>0</v>
      </c>
      <c r="AC74" s="231"/>
      <c r="AD74" s="231"/>
      <c r="AE74" s="231"/>
      <c r="AF74" s="231"/>
      <c r="AG74" s="231"/>
      <c r="AH74" s="231"/>
      <c r="AI74" s="213"/>
      <c r="AJ74" s="213"/>
      <c r="AK74" s="213"/>
      <c r="AL74" s="213"/>
      <c r="AM74" s="213"/>
      <c r="AN74" s="204"/>
    </row>
    <row r="75" spans="1:40" thickBot="1">
      <c r="A75" s="4899"/>
      <c r="B75" s="6713" t="s">
        <v>461</v>
      </c>
      <c r="C75" s="6458">
        <f t="shared" si="71"/>
        <v>2.3321759259259265E-4</v>
      </c>
      <c r="D75" s="1977">
        <v>1</v>
      </c>
      <c r="E75" s="1194">
        <v>1</v>
      </c>
      <c r="F75" s="1194">
        <v>1</v>
      </c>
      <c r="G75" s="1194">
        <v>200</v>
      </c>
      <c r="H75" s="1667" t="s">
        <v>702</v>
      </c>
      <c r="I75" s="274">
        <v>6.9444444444444447E-4</v>
      </c>
      <c r="J75" s="274">
        <v>1.0416666666666667E-3</v>
      </c>
      <c r="K75" s="312" t="s">
        <v>706</v>
      </c>
      <c r="L75" s="993">
        <f t="shared" si="79"/>
        <v>0.86579506342592583</v>
      </c>
      <c r="M75" s="1195">
        <v>1</v>
      </c>
      <c r="N75" s="274">
        <f t="shared" si="75"/>
        <v>3.6018518518518526E-3</v>
      </c>
      <c r="O75" s="1196">
        <f t="shared" si="90"/>
        <v>1.8657407407407412E-3</v>
      </c>
      <c r="P75" s="1196">
        <f t="shared" si="93"/>
        <v>1.8657407407407412E-3</v>
      </c>
      <c r="Q75" s="548">
        <v>190</v>
      </c>
      <c r="R75" s="1194">
        <f t="shared" si="78"/>
        <v>200</v>
      </c>
      <c r="S75" s="229">
        <f t="shared" si="5"/>
        <v>0.2</v>
      </c>
      <c r="T75" s="230">
        <f t="shared" si="6"/>
        <v>7.4629629629629646E-3</v>
      </c>
      <c r="U75" s="374">
        <f t="shared" si="7"/>
        <v>0.2</v>
      </c>
      <c r="V75" s="375">
        <f t="shared" si="8"/>
        <v>0</v>
      </c>
      <c r="W75" s="376">
        <f t="shared" si="9"/>
        <v>0</v>
      </c>
      <c r="X75" s="377">
        <f t="shared" si="10"/>
        <v>0</v>
      </c>
      <c r="Y75" s="378">
        <f t="shared" si="11"/>
        <v>0</v>
      </c>
      <c r="Z75" s="379">
        <f t="shared" si="12"/>
        <v>0</v>
      </c>
      <c r="AA75" s="380">
        <f t="shared" si="13"/>
        <v>0</v>
      </c>
      <c r="AC75" s="231"/>
      <c r="AD75" s="231"/>
      <c r="AE75" s="231"/>
      <c r="AF75" s="231"/>
      <c r="AG75" s="231"/>
      <c r="AH75" s="231"/>
      <c r="AI75" s="213"/>
      <c r="AJ75" s="213"/>
      <c r="AK75" s="213"/>
      <c r="AL75" s="213"/>
      <c r="AM75" s="213"/>
      <c r="AN75" s="204"/>
    </row>
    <row r="76" spans="1:40" ht="14" customHeight="1" thickBot="1">
      <c r="A76" s="398" t="s">
        <v>218</v>
      </c>
      <c r="B76" s="1117" t="s">
        <v>216</v>
      </c>
      <c r="C76" s="6458">
        <f t="shared" si="71"/>
        <v>0</v>
      </c>
      <c r="E76" s="1022"/>
      <c r="F76" s="1023"/>
      <c r="G76" s="324"/>
      <c r="H76" s="3346"/>
      <c r="I76" s="336"/>
      <c r="J76" s="336"/>
      <c r="K76" s="336"/>
      <c r="L76" s="6718">
        <f t="shared" si="79"/>
        <v>0.86939691527777763</v>
      </c>
      <c r="M76" s="1624"/>
      <c r="N76" s="6718">
        <f>SUM(N61:N75)</f>
        <v>6.7313581944444451E-2</v>
      </c>
      <c r="O76" s="336"/>
      <c r="P76" s="336"/>
      <c r="Q76" s="336"/>
      <c r="R76" s="363">
        <f>SUM(R61:R75)</f>
        <v>2647.5</v>
      </c>
      <c r="S76" s="229">
        <f t="shared" si="5"/>
        <v>0</v>
      </c>
      <c r="T76" s="230">
        <f t="shared" si="6"/>
        <v>0</v>
      </c>
      <c r="U76" s="374">
        <f t="shared" si="7"/>
        <v>0</v>
      </c>
      <c r="V76" s="375">
        <f t="shared" si="8"/>
        <v>0</v>
      </c>
      <c r="W76" s="376">
        <f t="shared" si="9"/>
        <v>0</v>
      </c>
      <c r="X76" s="377">
        <f t="shared" si="10"/>
        <v>0</v>
      </c>
      <c r="Y76" s="378">
        <f t="shared" si="11"/>
        <v>0</v>
      </c>
      <c r="Z76" s="379">
        <f t="shared" si="12"/>
        <v>0</v>
      </c>
      <c r="AA76" s="380">
        <f t="shared" si="13"/>
        <v>0</v>
      </c>
      <c r="AC76" s="231"/>
      <c r="AD76" s="231"/>
      <c r="AE76" s="231"/>
      <c r="AF76" s="231"/>
      <c r="AG76" s="231"/>
      <c r="AH76" s="231"/>
      <c r="AI76" s="213"/>
      <c r="AJ76" s="213"/>
      <c r="AK76" s="213"/>
      <c r="AL76" s="213"/>
      <c r="AM76" s="213"/>
      <c r="AN76" s="204"/>
    </row>
    <row r="77" spans="1:40" ht="14" customHeight="1" thickBot="1">
      <c r="A77" s="398" t="s">
        <v>139</v>
      </c>
      <c r="B77" s="1117" t="s">
        <v>216</v>
      </c>
      <c r="C77" s="6458">
        <f t="shared" si="71"/>
        <v>0</v>
      </c>
      <c r="E77" s="6730"/>
      <c r="F77" s="6731"/>
      <c r="G77" s="6732"/>
      <c r="H77" s="6733"/>
      <c r="I77" s="7987" t="s">
        <v>2313</v>
      </c>
      <c r="J77" s="7987"/>
      <c r="K77" s="7987"/>
      <c r="L77" s="6747"/>
      <c r="M77" s="6735"/>
      <c r="N77" s="6747"/>
      <c r="O77" s="6734"/>
      <c r="P77" s="6734"/>
      <c r="Q77" s="6734"/>
      <c r="R77" s="6736"/>
      <c r="S77" s="229">
        <f t="shared" ref="S77:S80" si="94">E77*F77*G77/1000</f>
        <v>0</v>
      </c>
      <c r="T77" s="230">
        <f t="shared" ref="T77:T80" si="95">E77*F77*O77*4</f>
        <v>0</v>
      </c>
      <c r="U77" s="374">
        <f t="shared" ref="U77:U80" si="96">IF(C77*4&gt;=$U$3,S77,0)</f>
        <v>0</v>
      </c>
      <c r="V77" s="375">
        <f t="shared" ref="V77:V80" si="97">IF(AND(C77*4&gt;=$V$3,C77*4&lt;$U$3),S77,0)</f>
        <v>0</v>
      </c>
      <c r="W77" s="376">
        <f t="shared" ref="W77:W80" si="98">IF(AND(C77*4&gt;=$W$3,C77*4&lt;$V$3),S77,0)</f>
        <v>0</v>
      </c>
      <c r="X77" s="377">
        <f t="shared" ref="X77:X80" si="99">IF(AND(C77*4&gt;=$X$3,C77*4&lt;$W$3),S77,0)</f>
        <v>0</v>
      </c>
      <c r="Y77" s="378">
        <f t="shared" ref="Y77:Y80" si="100">IF(AND(C77*4&gt;=$Y$3,C77*4&lt;$X$3),S77,0)</f>
        <v>0</v>
      </c>
      <c r="Z77" s="379">
        <f t="shared" ref="Z77:Z80" si="101">IF(AND(C77*4&gt;=$Z$3,C77*4&lt;$Y$3),S77,0)</f>
        <v>0</v>
      </c>
      <c r="AA77" s="380">
        <f t="shared" ref="AA77:AA80" si="102">IF(AND(C77*4&gt;=$AA$3,C77*4&lt;$Z$3),S77,0)</f>
        <v>0</v>
      </c>
      <c r="AC77" s="231"/>
      <c r="AD77" s="231"/>
      <c r="AE77" s="231"/>
      <c r="AF77" s="231"/>
      <c r="AG77" s="231"/>
      <c r="AH77" s="231"/>
      <c r="AI77" s="213"/>
      <c r="AJ77" s="213"/>
      <c r="AK77" s="213"/>
      <c r="AL77" s="213"/>
      <c r="AM77" s="213"/>
      <c r="AN77" s="204"/>
    </row>
    <row r="78" spans="1:40" ht="14" customHeight="1" thickBot="1">
      <c r="A78" s="398" t="s">
        <v>458</v>
      </c>
      <c r="B78" s="1117" t="s">
        <v>216</v>
      </c>
      <c r="C78" s="6458">
        <f t="shared" si="71"/>
        <v>0</v>
      </c>
      <c r="E78" s="6737"/>
      <c r="F78" s="6714"/>
      <c r="G78" s="6715"/>
      <c r="H78" s="6716"/>
      <c r="I78" s="7988"/>
      <c r="J78" s="7988"/>
      <c r="K78" s="7988"/>
      <c r="L78" s="6746"/>
      <c r="M78" s="6717"/>
      <c r="N78" s="6746"/>
      <c r="O78" s="4872"/>
      <c r="P78" s="4872"/>
      <c r="Q78" s="4872"/>
      <c r="R78" s="6738"/>
      <c r="S78" s="229">
        <f t="shared" si="94"/>
        <v>0</v>
      </c>
      <c r="T78" s="230">
        <f t="shared" si="95"/>
        <v>0</v>
      </c>
      <c r="U78" s="374">
        <f t="shared" si="96"/>
        <v>0</v>
      </c>
      <c r="V78" s="375">
        <f t="shared" si="97"/>
        <v>0</v>
      </c>
      <c r="W78" s="376">
        <f t="shared" si="98"/>
        <v>0</v>
      </c>
      <c r="X78" s="377">
        <f t="shared" si="99"/>
        <v>0</v>
      </c>
      <c r="Y78" s="378">
        <f t="shared" si="100"/>
        <v>0</v>
      </c>
      <c r="Z78" s="379">
        <f t="shared" si="101"/>
        <v>0</v>
      </c>
      <c r="AA78" s="380">
        <f t="shared" si="102"/>
        <v>0</v>
      </c>
      <c r="AC78" s="231"/>
      <c r="AD78" s="231"/>
      <c r="AE78" s="231"/>
      <c r="AF78" s="231"/>
      <c r="AG78" s="231"/>
      <c r="AH78" s="231"/>
      <c r="AI78" s="213"/>
      <c r="AJ78" s="213"/>
      <c r="AK78" s="213"/>
      <c r="AL78" s="213"/>
      <c r="AM78" s="213"/>
      <c r="AN78" s="204"/>
    </row>
    <row r="79" spans="1:40" ht="14" customHeight="1" thickBot="1">
      <c r="A79" s="398" t="s">
        <v>462</v>
      </c>
      <c r="B79" s="1117" t="s">
        <v>216</v>
      </c>
      <c r="C79" s="6458">
        <f t="shared" si="71"/>
        <v>0</v>
      </c>
      <c r="E79" s="6739"/>
      <c r="F79" s="6740"/>
      <c r="G79" s="6741"/>
      <c r="H79" s="6742"/>
      <c r="I79" s="7989"/>
      <c r="J79" s="7989"/>
      <c r="K79" s="7989"/>
      <c r="L79" s="6748"/>
      <c r="M79" s="6744"/>
      <c r="N79" s="6748"/>
      <c r="O79" s="6743"/>
      <c r="P79" s="6743"/>
      <c r="Q79" s="6743"/>
      <c r="R79" s="6745"/>
      <c r="S79" s="229">
        <f t="shared" si="94"/>
        <v>0</v>
      </c>
      <c r="T79" s="230">
        <f t="shared" si="95"/>
        <v>0</v>
      </c>
      <c r="U79" s="374">
        <f t="shared" si="96"/>
        <v>0</v>
      </c>
      <c r="V79" s="375">
        <f t="shared" si="97"/>
        <v>0</v>
      </c>
      <c r="W79" s="376">
        <f t="shared" si="98"/>
        <v>0</v>
      </c>
      <c r="X79" s="377">
        <f t="shared" si="99"/>
        <v>0</v>
      </c>
      <c r="Y79" s="378">
        <f t="shared" si="100"/>
        <v>0</v>
      </c>
      <c r="Z79" s="379">
        <f t="shared" si="101"/>
        <v>0</v>
      </c>
      <c r="AA79" s="380">
        <f t="shared" si="102"/>
        <v>0</v>
      </c>
      <c r="AC79" s="231"/>
      <c r="AD79" s="231"/>
      <c r="AE79" s="231"/>
      <c r="AF79" s="231"/>
      <c r="AG79" s="231"/>
      <c r="AH79" s="231"/>
      <c r="AI79" s="213"/>
      <c r="AJ79" s="213"/>
      <c r="AK79" s="213"/>
      <c r="AL79" s="213"/>
      <c r="AM79" s="213"/>
      <c r="AN79" s="204"/>
    </row>
    <row r="80" spans="1:40" s="245" customFormat="1" ht="14" customHeight="1" thickBot="1">
      <c r="A80" s="851" t="s">
        <v>219</v>
      </c>
      <c r="B80" s="6711" t="s">
        <v>215</v>
      </c>
      <c r="C80" s="6458">
        <f t="shared" si="71"/>
        <v>1.9733796296296302E-4</v>
      </c>
      <c r="D80" s="1977">
        <v>3</v>
      </c>
      <c r="E80" s="6719">
        <v>1</v>
      </c>
      <c r="F80" s="6720">
        <v>8</v>
      </c>
      <c r="G80" s="6721">
        <v>105</v>
      </c>
      <c r="H80" s="6722"/>
      <c r="I80" s="6723">
        <v>3.4722222222222224E-4</v>
      </c>
      <c r="J80" s="6724">
        <v>1.3888888888888889E-3</v>
      </c>
      <c r="K80" s="6725" t="s">
        <v>1403</v>
      </c>
      <c r="L80" s="6724">
        <v>0.34375</v>
      </c>
      <c r="M80" s="6726">
        <v>1</v>
      </c>
      <c r="N80" s="6724">
        <f t="shared" ref="N80:N81" si="103">P80*E80*F80+I80*E80*F80+J80*E80</f>
        <v>1.0797222222222225E-2</v>
      </c>
      <c r="O80" s="6724">
        <f t="shared" ref="O80:O81" si="104">C80*(G80/25)</f>
        <v>8.2881944444444474E-4</v>
      </c>
      <c r="P80" s="6727">
        <f t="shared" ref="P80:P85" si="105">O80*M80</f>
        <v>8.2881944444444474E-4</v>
      </c>
      <c r="Q80" s="6728">
        <v>129</v>
      </c>
      <c r="R80" s="6729">
        <f t="shared" ref="R80:R85" si="106">E80*F80*G80</f>
        <v>840</v>
      </c>
      <c r="S80" s="229">
        <f t="shared" si="94"/>
        <v>0.84</v>
      </c>
      <c r="T80" s="230">
        <f t="shared" si="95"/>
        <v>2.6522222222222232E-2</v>
      </c>
      <c r="U80" s="374">
        <f t="shared" si="96"/>
        <v>0</v>
      </c>
      <c r="V80" s="375">
        <f t="shared" si="97"/>
        <v>0</v>
      </c>
      <c r="W80" s="376">
        <f t="shared" si="98"/>
        <v>0.84</v>
      </c>
      <c r="X80" s="377">
        <f t="shared" si="99"/>
        <v>0</v>
      </c>
      <c r="Y80" s="378">
        <f t="shared" si="100"/>
        <v>0</v>
      </c>
      <c r="Z80" s="379">
        <f t="shared" si="101"/>
        <v>0</v>
      </c>
      <c r="AA80" s="380">
        <f t="shared" si="102"/>
        <v>0</v>
      </c>
      <c r="AB80" s="565"/>
      <c r="AC80" s="214"/>
      <c r="AD80" s="214"/>
      <c r="AE80" s="222"/>
      <c r="AF80" s="222"/>
      <c r="AG80" s="222"/>
      <c r="AH80" s="222"/>
      <c r="AI80" s="222"/>
      <c r="AJ80" s="214"/>
      <c r="AK80" s="214"/>
      <c r="AL80" s="214"/>
      <c r="AM80" s="214"/>
      <c r="AN80" s="244"/>
    </row>
    <row r="81" spans="1:40" s="245" customFormat="1" ht="14" customHeight="1" thickBot="1">
      <c r="A81" s="851" t="s">
        <v>138</v>
      </c>
      <c r="B81" s="6711" t="s">
        <v>215</v>
      </c>
      <c r="C81" s="274">
        <f t="shared" si="1"/>
        <v>1.9733796296296302E-4</v>
      </c>
      <c r="D81" s="1977">
        <v>3</v>
      </c>
      <c r="E81" s="1311">
        <v>1</v>
      </c>
      <c r="F81" s="1311">
        <v>10</v>
      </c>
      <c r="G81" s="280">
        <v>60</v>
      </c>
      <c r="H81" s="3347"/>
      <c r="I81" s="1403">
        <v>3.4722222222222224E-4</v>
      </c>
      <c r="J81" s="1403">
        <v>1.3888888888888889E-3</v>
      </c>
      <c r="K81" s="1976" t="s">
        <v>1404</v>
      </c>
      <c r="L81" s="281">
        <f t="shared" ref="L81:L86" si="107">L80+N80</f>
        <v>0.35454722222222224</v>
      </c>
      <c r="M81" s="453">
        <v>1</v>
      </c>
      <c r="N81" s="281">
        <f t="shared" si="103"/>
        <v>9.597222222222224E-3</v>
      </c>
      <c r="O81" s="281">
        <f t="shared" si="104"/>
        <v>4.7361111111111123E-4</v>
      </c>
      <c r="P81" s="298">
        <f t="shared" si="105"/>
        <v>4.7361111111111123E-4</v>
      </c>
      <c r="Q81" s="333">
        <v>150</v>
      </c>
      <c r="R81" s="280">
        <f t="shared" si="106"/>
        <v>600</v>
      </c>
      <c r="S81" s="229">
        <f t="shared" si="5"/>
        <v>0.6</v>
      </c>
      <c r="T81" s="230">
        <f t="shared" si="6"/>
        <v>1.8944444444444448E-2</v>
      </c>
      <c r="U81" s="374">
        <f t="shared" si="7"/>
        <v>0</v>
      </c>
      <c r="V81" s="375">
        <f t="shared" si="8"/>
        <v>0</v>
      </c>
      <c r="W81" s="376">
        <f t="shared" si="9"/>
        <v>0.6</v>
      </c>
      <c r="X81" s="377">
        <f t="shared" si="10"/>
        <v>0</v>
      </c>
      <c r="Y81" s="378">
        <f t="shared" si="11"/>
        <v>0</v>
      </c>
      <c r="Z81" s="379">
        <f t="shared" si="12"/>
        <v>0</v>
      </c>
      <c r="AA81" s="380">
        <f t="shared" si="13"/>
        <v>0</v>
      </c>
      <c r="AB81" s="565"/>
      <c r="AC81" s="214"/>
      <c r="AD81" s="214"/>
      <c r="AE81" s="222"/>
      <c r="AF81" s="222"/>
      <c r="AG81" s="222"/>
      <c r="AH81" s="222"/>
      <c r="AI81" s="222"/>
      <c r="AJ81" s="214"/>
      <c r="AK81" s="214"/>
      <c r="AL81" s="214"/>
      <c r="AM81" s="214"/>
      <c r="AN81" s="244"/>
    </row>
    <row r="82" spans="1:40" s="245" customFormat="1" ht="14" customHeight="1" thickBot="1">
      <c r="A82" s="851" t="s">
        <v>779</v>
      </c>
      <c r="B82" s="6711" t="s">
        <v>215</v>
      </c>
      <c r="C82" s="274">
        <f t="shared" si="1"/>
        <v>1.7939814814814817E-4</v>
      </c>
      <c r="D82" s="1977">
        <v>4</v>
      </c>
      <c r="E82" s="1197">
        <v>1</v>
      </c>
      <c r="F82" s="1177">
        <v>15</v>
      </c>
      <c r="G82" s="1177">
        <v>105</v>
      </c>
      <c r="H82" s="1178">
        <v>1.1574074074074073E-3</v>
      </c>
      <c r="I82" s="1178"/>
      <c r="J82" s="1178">
        <v>1.3888888888888889E-3</v>
      </c>
      <c r="K82" s="1178" t="s">
        <v>1405</v>
      </c>
      <c r="L82" s="1179">
        <f t="shared" si="107"/>
        <v>0.36414444444444444</v>
      </c>
      <c r="M82" s="1179">
        <v>1</v>
      </c>
      <c r="N82" s="1180">
        <f>H82*F82*E82</f>
        <v>1.7361111111111112E-2</v>
      </c>
      <c r="O82" s="1178">
        <f>C82*16*1.08</f>
        <v>3.1000000000000008E-3</v>
      </c>
      <c r="P82" s="1181">
        <f t="shared" si="105"/>
        <v>3.1000000000000008E-3</v>
      </c>
      <c r="Q82" s="334">
        <v>150</v>
      </c>
      <c r="R82" s="334">
        <f t="shared" si="106"/>
        <v>1575</v>
      </c>
      <c r="S82" s="229">
        <f t="shared" si="5"/>
        <v>1.575</v>
      </c>
      <c r="T82" s="230">
        <f t="shared" si="6"/>
        <v>0.18600000000000005</v>
      </c>
      <c r="U82" s="374">
        <f t="shared" si="7"/>
        <v>0</v>
      </c>
      <c r="V82" s="375">
        <f t="shared" si="8"/>
        <v>0</v>
      </c>
      <c r="W82" s="376">
        <f t="shared" si="9"/>
        <v>0</v>
      </c>
      <c r="X82" s="377">
        <f t="shared" si="10"/>
        <v>1.575</v>
      </c>
      <c r="Y82" s="378">
        <f t="shared" si="11"/>
        <v>0</v>
      </c>
      <c r="Z82" s="379">
        <f t="shared" si="12"/>
        <v>0</v>
      </c>
      <c r="AA82" s="380">
        <f t="shared" si="13"/>
        <v>0</v>
      </c>
      <c r="AB82" s="565"/>
      <c r="AC82" s="214"/>
      <c r="AD82" s="214"/>
      <c r="AE82" s="222"/>
      <c r="AF82" s="222"/>
      <c r="AG82" s="222"/>
      <c r="AH82" s="222"/>
      <c r="AI82" s="222"/>
      <c r="AJ82" s="214"/>
      <c r="AK82" s="214"/>
      <c r="AL82" s="214"/>
      <c r="AM82" s="214"/>
      <c r="AN82" s="244"/>
    </row>
    <row r="83" spans="1:40" s="245" customFormat="1" thickBot="1">
      <c r="A83" s="851" t="s">
        <v>674</v>
      </c>
      <c r="B83" s="6711" t="s">
        <v>215</v>
      </c>
      <c r="C83" s="274">
        <f t="shared" si="1"/>
        <v>1.7939814814814817E-4</v>
      </c>
      <c r="D83" s="1977">
        <v>4</v>
      </c>
      <c r="E83" s="1311">
        <v>1</v>
      </c>
      <c r="F83" s="1311">
        <v>8</v>
      </c>
      <c r="G83" s="280">
        <v>105</v>
      </c>
      <c r="H83" s="3347"/>
      <c r="I83" s="1403">
        <v>2.8935185185185189E-4</v>
      </c>
      <c r="J83" s="1403">
        <v>1.3888888888888889E-3</v>
      </c>
      <c r="K83" s="1976" t="s">
        <v>1390</v>
      </c>
      <c r="L83" s="281">
        <f t="shared" si="107"/>
        <v>0.38150555555555554</v>
      </c>
      <c r="M83" s="453">
        <v>1</v>
      </c>
      <c r="N83" s="281">
        <f t="shared" ref="N83:N85" si="108">P83*E83*F83+I83*E83*F83+J83*E83</f>
        <v>9.7314814814814833E-3</v>
      </c>
      <c r="O83" s="281">
        <f t="shared" ref="O83:O85" si="109">C83*(G83/25)</f>
        <v>7.5347222222222233E-4</v>
      </c>
      <c r="P83" s="298">
        <f t="shared" si="105"/>
        <v>7.5347222222222233E-4</v>
      </c>
      <c r="Q83" s="333">
        <v>150</v>
      </c>
      <c r="R83" s="280">
        <f t="shared" si="106"/>
        <v>840</v>
      </c>
      <c r="S83" s="229">
        <f t="shared" si="5"/>
        <v>0.84</v>
      </c>
      <c r="T83" s="230">
        <f t="shared" si="6"/>
        <v>2.4111111111111114E-2</v>
      </c>
      <c r="U83" s="374">
        <f t="shared" si="7"/>
        <v>0</v>
      </c>
      <c r="V83" s="375">
        <f t="shared" si="8"/>
        <v>0</v>
      </c>
      <c r="W83" s="376">
        <f t="shared" si="9"/>
        <v>0</v>
      </c>
      <c r="X83" s="377">
        <f t="shared" si="10"/>
        <v>0.84</v>
      </c>
      <c r="Y83" s="378">
        <f t="shared" si="11"/>
        <v>0</v>
      </c>
      <c r="Z83" s="379">
        <f t="shared" si="12"/>
        <v>0</v>
      </c>
      <c r="AA83" s="380">
        <f t="shared" si="13"/>
        <v>0</v>
      </c>
      <c r="AB83" s="565"/>
      <c r="AC83" s="214"/>
      <c r="AD83" s="214"/>
      <c r="AE83" s="222"/>
      <c r="AF83" s="222"/>
      <c r="AG83" s="222"/>
      <c r="AH83" s="222"/>
      <c r="AI83" s="222"/>
      <c r="AJ83" s="214"/>
      <c r="AK83" s="214"/>
      <c r="AL83" s="214"/>
      <c r="AM83" s="214"/>
      <c r="AN83" s="244"/>
    </row>
    <row r="84" spans="1:40" s="245" customFormat="1" thickBot="1">
      <c r="A84" s="851" t="s">
        <v>219</v>
      </c>
      <c r="B84" s="6711" t="s">
        <v>215</v>
      </c>
      <c r="C84" s="274">
        <f t="shared" si="1"/>
        <v>1.9733796296296302E-4</v>
      </c>
      <c r="D84" s="1977">
        <v>3</v>
      </c>
      <c r="E84" s="1311">
        <v>1</v>
      </c>
      <c r="F84" s="1311">
        <v>16</v>
      </c>
      <c r="G84" s="280">
        <v>60</v>
      </c>
      <c r="H84" s="3347"/>
      <c r="I84" s="1403">
        <v>2.8935185185185189E-4</v>
      </c>
      <c r="J84" s="1403">
        <v>1.3888888888888889E-3</v>
      </c>
      <c r="K84" s="1976" t="s">
        <v>1406</v>
      </c>
      <c r="L84" s="281">
        <f t="shared" si="107"/>
        <v>0.39123703703703705</v>
      </c>
      <c r="M84" s="453">
        <v>1</v>
      </c>
      <c r="N84" s="281">
        <f t="shared" si="108"/>
        <v>1.3596296296296299E-2</v>
      </c>
      <c r="O84" s="281">
        <f t="shared" si="109"/>
        <v>4.7361111111111123E-4</v>
      </c>
      <c r="P84" s="298">
        <f t="shared" si="105"/>
        <v>4.7361111111111123E-4</v>
      </c>
      <c r="Q84" s="333">
        <v>150</v>
      </c>
      <c r="R84" s="280">
        <f t="shared" si="106"/>
        <v>960</v>
      </c>
      <c r="S84" s="229">
        <f t="shared" si="5"/>
        <v>0.96</v>
      </c>
      <c r="T84" s="230">
        <f t="shared" si="6"/>
        <v>3.0311111111111119E-2</v>
      </c>
      <c r="U84" s="374">
        <f t="shared" si="7"/>
        <v>0</v>
      </c>
      <c r="V84" s="375">
        <f t="shared" si="8"/>
        <v>0</v>
      </c>
      <c r="W84" s="376">
        <f t="shared" si="9"/>
        <v>0.96</v>
      </c>
      <c r="X84" s="377">
        <f t="shared" si="10"/>
        <v>0</v>
      </c>
      <c r="Y84" s="378">
        <f t="shared" si="11"/>
        <v>0</v>
      </c>
      <c r="Z84" s="379">
        <f t="shared" si="12"/>
        <v>0</v>
      </c>
      <c r="AA84" s="380">
        <f t="shared" si="13"/>
        <v>0</v>
      </c>
      <c r="AB84" s="565"/>
      <c r="AC84" s="214"/>
      <c r="AD84" s="214"/>
      <c r="AE84" s="222"/>
      <c r="AF84" s="222"/>
      <c r="AG84" s="222"/>
      <c r="AH84" s="222"/>
      <c r="AI84" s="222"/>
      <c r="AJ84" s="214"/>
      <c r="AK84" s="214"/>
      <c r="AL84" s="214"/>
      <c r="AM84" s="214"/>
      <c r="AN84" s="244"/>
    </row>
    <row r="85" spans="1:40" s="245" customFormat="1" thickBot="1">
      <c r="A85" s="851" t="s">
        <v>138</v>
      </c>
      <c r="B85" s="6711" t="s">
        <v>215</v>
      </c>
      <c r="C85" s="274">
        <f t="shared" si="1"/>
        <v>1.9733796296296302E-4</v>
      </c>
      <c r="D85" s="1977">
        <v>3</v>
      </c>
      <c r="E85" s="1311">
        <v>1</v>
      </c>
      <c r="F85" s="1311">
        <v>5</v>
      </c>
      <c r="G85" s="280">
        <v>105</v>
      </c>
      <c r="H85" s="3347"/>
      <c r="I85" s="1403">
        <v>2.3148148148148146E-4</v>
      </c>
      <c r="J85" s="1403">
        <v>1.3888888888888889E-3</v>
      </c>
      <c r="K85" s="1976" t="s">
        <v>1398</v>
      </c>
      <c r="L85" s="281">
        <f t="shared" si="107"/>
        <v>0.40483333333333332</v>
      </c>
      <c r="M85" s="453">
        <v>1</v>
      </c>
      <c r="N85" s="281">
        <f t="shared" si="108"/>
        <v>6.69039351851852E-3</v>
      </c>
      <c r="O85" s="281">
        <f t="shared" si="109"/>
        <v>8.2881944444444474E-4</v>
      </c>
      <c r="P85" s="298">
        <f t="shared" si="105"/>
        <v>8.2881944444444474E-4</v>
      </c>
      <c r="Q85" s="333">
        <v>150</v>
      </c>
      <c r="R85" s="280">
        <f t="shared" si="106"/>
        <v>525</v>
      </c>
      <c r="S85" s="229">
        <f t="shared" si="5"/>
        <v>0.52500000000000002</v>
      </c>
      <c r="T85" s="230">
        <f t="shared" si="6"/>
        <v>1.6576388888888894E-2</v>
      </c>
      <c r="U85" s="374">
        <f t="shared" si="7"/>
        <v>0</v>
      </c>
      <c r="V85" s="375">
        <f t="shared" si="8"/>
        <v>0</v>
      </c>
      <c r="W85" s="376">
        <f t="shared" si="9"/>
        <v>0.52500000000000002</v>
      </c>
      <c r="X85" s="377">
        <f t="shared" si="10"/>
        <v>0</v>
      </c>
      <c r="Y85" s="378">
        <f t="shared" si="11"/>
        <v>0</v>
      </c>
      <c r="Z85" s="379">
        <f t="shared" si="12"/>
        <v>0</v>
      </c>
      <c r="AA85" s="380">
        <f t="shared" si="13"/>
        <v>0</v>
      </c>
      <c r="AB85" s="565"/>
      <c r="AC85" s="214"/>
      <c r="AD85" s="214"/>
      <c r="AE85" s="222"/>
      <c r="AF85" s="222"/>
      <c r="AG85" s="222"/>
      <c r="AH85" s="222"/>
      <c r="AI85" s="222"/>
      <c r="AJ85" s="214"/>
      <c r="AK85" s="214"/>
      <c r="AL85" s="214"/>
      <c r="AM85" s="214"/>
      <c r="AN85" s="244"/>
    </row>
    <row r="86" spans="1:40" s="245" customFormat="1" thickBot="1">
      <c r="A86" s="851"/>
      <c r="B86" s="6711"/>
      <c r="C86" s="274">
        <f t="shared" si="1"/>
        <v>0</v>
      </c>
      <c r="D86" s="1977"/>
      <c r="E86" s="845"/>
      <c r="F86" s="839"/>
      <c r="G86" s="839"/>
      <c r="H86" s="3349"/>
      <c r="I86" s="839"/>
      <c r="J86" s="839"/>
      <c r="K86" s="839"/>
      <c r="L86" s="644">
        <f t="shared" si="107"/>
        <v>0.41152372685185185</v>
      </c>
      <c r="M86" s="839">
        <v>1</v>
      </c>
      <c r="N86" s="644">
        <f>SUM(N75:N85)</f>
        <v>0.13868916064814818</v>
      </c>
      <c r="O86" s="839">
        <f>C86*(G86/25)</f>
        <v>0</v>
      </c>
      <c r="P86" s="839"/>
      <c r="Q86" s="839"/>
      <c r="R86" s="1656">
        <f>SUM(R80:R85)</f>
        <v>5340</v>
      </c>
      <c r="S86" s="229">
        <f t="shared" si="5"/>
        <v>0</v>
      </c>
      <c r="T86" s="230">
        <f t="shared" si="6"/>
        <v>0</v>
      </c>
      <c r="U86" s="374">
        <f t="shared" si="7"/>
        <v>0</v>
      </c>
      <c r="V86" s="375">
        <f t="shared" si="8"/>
        <v>0</v>
      </c>
      <c r="W86" s="376">
        <f t="shared" si="9"/>
        <v>0</v>
      </c>
      <c r="X86" s="377">
        <f t="shared" si="10"/>
        <v>0</v>
      </c>
      <c r="Y86" s="378">
        <f t="shared" si="11"/>
        <v>0</v>
      </c>
      <c r="Z86" s="379">
        <f t="shared" si="12"/>
        <v>0</v>
      </c>
      <c r="AA86" s="380">
        <f t="shared" si="13"/>
        <v>0</v>
      </c>
      <c r="AB86" s="565"/>
      <c r="AC86" s="214"/>
      <c r="AD86" s="214"/>
      <c r="AE86" s="222"/>
      <c r="AF86" s="222"/>
      <c r="AG86" s="222"/>
      <c r="AH86" s="222"/>
      <c r="AI86" s="222"/>
      <c r="AJ86" s="214"/>
      <c r="AK86" s="214"/>
      <c r="AL86" s="214"/>
      <c r="AM86" s="214"/>
      <c r="AN86" s="244"/>
    </row>
    <row r="87" spans="1:40" ht="22" thickTop="1" thickBot="1">
      <c r="A87" s="144"/>
      <c r="B87" s="144"/>
      <c r="C87" s="979"/>
      <c r="D87" s="4444"/>
      <c r="E87" s="4594">
        <f>U87*100000/$Q$87</f>
        <v>14.164664221575819</v>
      </c>
      <c r="F87" s="4594">
        <f t="shared" ref="F87:K87" si="110">V87*100000/$Q$87</f>
        <v>21.752877197420009</v>
      </c>
      <c r="G87" s="4594">
        <f t="shared" si="110"/>
        <v>17.124067282155053</v>
      </c>
      <c r="H87" s="4594">
        <f t="shared" si="110"/>
        <v>13.431136967244214</v>
      </c>
      <c r="I87" s="4594">
        <f t="shared" si="110"/>
        <v>0</v>
      </c>
      <c r="J87" s="4594">
        <f t="shared" si="110"/>
        <v>12.583786518274945</v>
      </c>
      <c r="K87" s="4595">
        <f t="shared" si="110"/>
        <v>20.943467813329956</v>
      </c>
      <c r="L87" s="4378" t="s">
        <v>1922</v>
      </c>
      <c r="M87" s="4535"/>
      <c r="N87" s="4536"/>
      <c r="O87" s="4536"/>
      <c r="P87" s="4536"/>
      <c r="Q87" s="7881">
        <f>AB87*1000</f>
        <v>19767.5</v>
      </c>
      <c r="R87" s="7882"/>
      <c r="S87" s="238"/>
      <c r="T87" s="239"/>
      <c r="U87" s="240">
        <f t="shared" ref="U87:AA87" si="111">SUM(U5:U86)</f>
        <v>2.8000000000000003</v>
      </c>
      <c r="V87" s="240">
        <f t="shared" si="111"/>
        <v>4.3</v>
      </c>
      <c r="W87" s="240">
        <f t="shared" si="111"/>
        <v>3.3849999999999998</v>
      </c>
      <c r="X87" s="240">
        <f t="shared" si="111"/>
        <v>2.6549999999999998</v>
      </c>
      <c r="Y87" s="240">
        <f t="shared" si="111"/>
        <v>0</v>
      </c>
      <c r="Z87" s="240">
        <f t="shared" si="111"/>
        <v>2.4874999999999998</v>
      </c>
      <c r="AA87" s="240">
        <f t="shared" si="111"/>
        <v>4.1399999999999997</v>
      </c>
      <c r="AB87" s="565">
        <f>SUM(U87:AA87)</f>
        <v>19.767499999999998</v>
      </c>
      <c r="AE87" s="222"/>
      <c r="AF87" s="222"/>
      <c r="AG87" s="222"/>
      <c r="AH87" s="222"/>
      <c r="AI87" s="222"/>
    </row>
    <row r="88" spans="1:40" thickBot="1">
      <c r="A88" s="144"/>
      <c r="B88" s="144"/>
      <c r="C88" s="144"/>
      <c r="D88" s="4444"/>
      <c r="E88" s="4521">
        <f>E87*15/100</f>
        <v>2.1246996332363728</v>
      </c>
      <c r="F88" s="4522">
        <f t="shared" ref="F88:K88" si="112">F87*15/100</f>
        <v>3.2629315796130016</v>
      </c>
      <c r="G88" s="4523">
        <f t="shared" si="112"/>
        <v>2.568610092323258</v>
      </c>
      <c r="H88" s="4524">
        <f t="shared" si="112"/>
        <v>2.014670545086632</v>
      </c>
      <c r="I88" s="4525">
        <f t="shared" si="112"/>
        <v>0</v>
      </c>
      <c r="J88" s="4526">
        <f t="shared" si="112"/>
        <v>1.8875679777412417</v>
      </c>
      <c r="K88" s="4527">
        <f t="shared" si="112"/>
        <v>3.1415201719994936</v>
      </c>
      <c r="L88" s="4378" t="s">
        <v>1252</v>
      </c>
      <c r="M88" s="144"/>
      <c r="N88" s="144"/>
      <c r="O88" s="144"/>
      <c r="P88" s="144"/>
      <c r="Q88" s="144"/>
      <c r="R88" s="144"/>
      <c r="S88" s="144"/>
      <c r="T88" s="144"/>
      <c r="U88" s="566" t="e">
        <f>IF(#REF!&gt;0,#REF!,#REF!)</f>
        <v>#REF!</v>
      </c>
      <c r="V88" s="566" t="e">
        <f>IF(#REF!&gt;0,#REF!,#REF!)</f>
        <v>#REF!</v>
      </c>
      <c r="W88" s="566" t="e">
        <f>IF(#REF!&gt;0,#REF!,#REF!)</f>
        <v>#REF!</v>
      </c>
      <c r="X88" s="566" t="e">
        <f>IF(#REF!&gt;0,#REF!,#REF!)</f>
        <v>#REF!</v>
      </c>
      <c r="Y88" s="566" t="e">
        <f>IF(#REF!&gt;0,#REF!,#REF!)</f>
        <v>#REF!</v>
      </c>
      <c r="Z88" s="566" t="e">
        <f>IF(#REF!&gt;0,#REF!,#REF!)</f>
        <v>#REF!</v>
      </c>
      <c r="AA88" s="566" t="e">
        <f>IF(#REF!&gt;0,#REF!,#REF!)</f>
        <v>#REF!</v>
      </c>
      <c r="AB88" s="144"/>
      <c r="AC88" s="231">
        <v>0</v>
      </c>
      <c r="AD88" s="231">
        <v>0</v>
      </c>
      <c r="AE88" s="231">
        <v>0</v>
      </c>
      <c r="AF88" s="231">
        <v>0</v>
      </c>
      <c r="AG88" s="231">
        <v>0</v>
      </c>
      <c r="AH88" s="231">
        <v>0</v>
      </c>
      <c r="AI88" s="213"/>
      <c r="AJ88" s="204"/>
      <c r="AK88" s="204"/>
      <c r="AL88" s="204"/>
      <c r="AM88" s="204"/>
      <c r="AN88" s="204"/>
    </row>
    <row r="89" spans="1:40" thickBot="1">
      <c r="A89" s="144"/>
      <c r="B89" s="144"/>
      <c r="C89" s="144"/>
      <c r="E89" s="144"/>
      <c r="F89" s="144"/>
      <c r="G89" s="144"/>
      <c r="H89" s="3340"/>
      <c r="I89" s="144"/>
      <c r="J89" s="144"/>
      <c r="K89" s="144"/>
      <c r="L89" s="144"/>
      <c r="M89" s="144"/>
      <c r="N89" s="144"/>
      <c r="O89" s="144"/>
      <c r="P89" s="144"/>
      <c r="Q89" s="146"/>
      <c r="R89" s="144"/>
      <c r="S89" s="144"/>
      <c r="T89" s="144"/>
      <c r="U89" s="566" t="e">
        <f>IF(U88&gt;0,U88,#REF!)</f>
        <v>#REF!</v>
      </c>
      <c r="V89" s="566" t="e">
        <f>IF(V88&gt;0,V88,#REF!)</f>
        <v>#REF!</v>
      </c>
      <c r="W89" s="566" t="e">
        <f>IF(W88&gt;0,W88,#REF!)</f>
        <v>#REF!</v>
      </c>
      <c r="X89" s="566" t="e">
        <f>IF(X88&gt;0,X88,#REF!)</f>
        <v>#REF!</v>
      </c>
      <c r="Y89" s="566" t="e">
        <f>IF(Y88&gt;0,Y88,#REF!)</f>
        <v>#REF!</v>
      </c>
      <c r="Z89" s="566" t="e">
        <f>IF(Z88&gt;0,Z88,#REF!)</f>
        <v>#REF!</v>
      </c>
      <c r="AA89" s="566" t="e">
        <f>IF(AA88&gt;0,AA88,#REF!)</f>
        <v>#REF!</v>
      </c>
      <c r="AB89" s="144"/>
      <c r="AC89" s="231">
        <v>0</v>
      </c>
      <c r="AD89" s="231">
        <v>0</v>
      </c>
      <c r="AE89" s="231">
        <v>0</v>
      </c>
      <c r="AF89" s="231">
        <v>0</v>
      </c>
      <c r="AG89" s="231">
        <v>0</v>
      </c>
      <c r="AH89" s="231">
        <v>0</v>
      </c>
      <c r="AI89" s="213"/>
      <c r="AJ89" s="204"/>
      <c r="AK89" s="204"/>
      <c r="AL89" s="204"/>
      <c r="AM89" s="204"/>
      <c r="AN89" s="204"/>
    </row>
    <row r="90" spans="1:40" thickBot="1">
      <c r="A90" s="144"/>
      <c r="B90" s="144"/>
      <c r="C90" s="144"/>
      <c r="E90" s="144"/>
      <c r="F90" s="144"/>
      <c r="G90" s="144"/>
      <c r="H90" s="3340"/>
      <c r="I90" s="144"/>
      <c r="J90" s="144"/>
      <c r="K90" s="144"/>
      <c r="L90" s="144"/>
      <c r="M90" s="144"/>
      <c r="N90" s="144"/>
      <c r="O90" s="144"/>
      <c r="P90" s="144"/>
      <c r="Q90" s="146"/>
      <c r="R90" s="144"/>
      <c r="S90" s="144"/>
      <c r="T90" s="144"/>
      <c r="U90" s="566" t="e">
        <f t="shared" ref="U90:AA105" si="113">IF(U89&gt;0,U89,U88)</f>
        <v>#REF!</v>
      </c>
      <c r="V90" s="566" t="e">
        <f t="shared" si="113"/>
        <v>#REF!</v>
      </c>
      <c r="W90" s="566" t="e">
        <f t="shared" si="113"/>
        <v>#REF!</v>
      </c>
      <c r="X90" s="566" t="e">
        <f t="shared" si="113"/>
        <v>#REF!</v>
      </c>
      <c r="Y90" s="566" t="e">
        <f t="shared" si="113"/>
        <v>#REF!</v>
      </c>
      <c r="Z90" s="566" t="e">
        <f t="shared" si="113"/>
        <v>#REF!</v>
      </c>
      <c r="AA90" s="566" t="e">
        <f t="shared" si="113"/>
        <v>#REF!</v>
      </c>
      <c r="AB90" s="144"/>
      <c r="AC90" s="231">
        <v>0</v>
      </c>
      <c r="AD90" s="231">
        <v>0</v>
      </c>
      <c r="AE90" s="231">
        <v>0</v>
      </c>
      <c r="AF90" s="231">
        <v>0</v>
      </c>
      <c r="AG90" s="231">
        <v>0</v>
      </c>
      <c r="AH90" s="231">
        <v>0</v>
      </c>
      <c r="AI90" s="213"/>
      <c r="AJ90" s="204"/>
      <c r="AK90" s="204"/>
      <c r="AL90" s="204"/>
      <c r="AM90" s="204"/>
      <c r="AN90" s="204"/>
    </row>
    <row r="91" spans="1:40" thickBot="1">
      <c r="A91" s="144"/>
      <c r="B91" s="144"/>
      <c r="C91" s="144"/>
      <c r="E91" s="144"/>
      <c r="F91" s="144"/>
      <c r="G91" s="144"/>
      <c r="H91" s="3340"/>
      <c r="I91" s="144"/>
      <c r="J91" s="144"/>
      <c r="K91" s="144"/>
      <c r="L91" s="144"/>
      <c r="M91" s="144"/>
      <c r="N91" s="144"/>
      <c r="O91" s="144"/>
      <c r="P91" s="144"/>
      <c r="Q91" s="146"/>
      <c r="R91" s="144"/>
      <c r="S91" s="144"/>
      <c r="T91" s="144"/>
      <c r="U91" s="566" t="e">
        <f t="shared" si="113"/>
        <v>#REF!</v>
      </c>
      <c r="V91" s="566" t="e">
        <f t="shared" si="113"/>
        <v>#REF!</v>
      </c>
      <c r="W91" s="566" t="e">
        <f t="shared" si="113"/>
        <v>#REF!</v>
      </c>
      <c r="X91" s="566" t="e">
        <f t="shared" si="113"/>
        <v>#REF!</v>
      </c>
      <c r="Y91" s="566" t="e">
        <f t="shared" si="113"/>
        <v>#REF!</v>
      </c>
      <c r="Z91" s="566" t="e">
        <f t="shared" si="113"/>
        <v>#REF!</v>
      </c>
      <c r="AA91" s="566" t="e">
        <f t="shared" si="113"/>
        <v>#REF!</v>
      </c>
      <c r="AB91" s="144"/>
      <c r="AC91" s="231"/>
      <c r="AD91" s="231"/>
      <c r="AE91" s="231"/>
      <c r="AF91" s="231"/>
      <c r="AG91" s="231"/>
      <c r="AH91" s="231"/>
      <c r="AI91" s="213"/>
      <c r="AJ91" s="204"/>
      <c r="AK91" s="204"/>
      <c r="AL91" s="204"/>
      <c r="AM91" s="204"/>
      <c r="AN91" s="204"/>
    </row>
    <row r="92" spans="1:40" thickBot="1">
      <c r="A92" s="144"/>
      <c r="B92" s="144"/>
      <c r="C92" s="144"/>
      <c r="E92" s="144"/>
      <c r="F92" s="144"/>
      <c r="G92" s="144"/>
      <c r="H92" s="3340"/>
      <c r="I92" s="144"/>
      <c r="J92" s="144"/>
      <c r="K92" s="144"/>
      <c r="L92" s="144"/>
      <c r="M92" s="144"/>
      <c r="N92" s="144"/>
      <c r="O92" s="144"/>
      <c r="P92" s="144"/>
      <c r="Q92" s="146"/>
      <c r="R92" s="144"/>
      <c r="S92" s="144"/>
      <c r="T92" s="144"/>
      <c r="U92" s="566" t="e">
        <f t="shared" si="113"/>
        <v>#REF!</v>
      </c>
      <c r="V92" s="566" t="e">
        <f t="shared" si="113"/>
        <v>#REF!</v>
      </c>
      <c r="W92" s="566" t="e">
        <f t="shared" si="113"/>
        <v>#REF!</v>
      </c>
      <c r="X92" s="566" t="e">
        <f t="shared" si="113"/>
        <v>#REF!</v>
      </c>
      <c r="Y92" s="566" t="e">
        <f t="shared" si="113"/>
        <v>#REF!</v>
      </c>
      <c r="Z92" s="566" t="e">
        <f t="shared" si="113"/>
        <v>#REF!</v>
      </c>
      <c r="AA92" s="566" t="e">
        <f t="shared" si="113"/>
        <v>#REF!</v>
      </c>
      <c r="AB92" s="144"/>
      <c r="AC92" s="231"/>
      <c r="AD92" s="231"/>
      <c r="AE92" s="231"/>
      <c r="AF92" s="231"/>
      <c r="AG92" s="231"/>
      <c r="AH92" s="231"/>
      <c r="AI92" s="213"/>
      <c r="AJ92" s="204"/>
      <c r="AK92" s="204"/>
      <c r="AL92" s="204"/>
      <c r="AM92" s="204"/>
      <c r="AN92" s="204"/>
    </row>
    <row r="93" spans="1:40" thickBot="1">
      <c r="A93" s="144"/>
      <c r="B93" s="144"/>
      <c r="C93" s="144"/>
      <c r="E93" s="144"/>
      <c r="F93" s="144"/>
      <c r="G93" s="144"/>
      <c r="H93" s="3340"/>
      <c r="I93" s="144"/>
      <c r="J93" s="144"/>
      <c r="K93" s="144"/>
      <c r="L93" s="144"/>
      <c r="M93" s="144"/>
      <c r="N93" s="144"/>
      <c r="O93" s="144"/>
      <c r="P93" s="144"/>
      <c r="Q93" s="146"/>
      <c r="R93" s="144"/>
      <c r="S93" s="144"/>
      <c r="T93" s="144"/>
      <c r="U93" s="566" t="e">
        <f t="shared" si="113"/>
        <v>#REF!</v>
      </c>
      <c r="V93" s="566" t="e">
        <f t="shared" si="113"/>
        <v>#REF!</v>
      </c>
      <c r="W93" s="566" t="e">
        <f t="shared" si="113"/>
        <v>#REF!</v>
      </c>
      <c r="X93" s="566" t="e">
        <f t="shared" si="113"/>
        <v>#REF!</v>
      </c>
      <c r="Y93" s="566" t="e">
        <f t="shared" si="113"/>
        <v>#REF!</v>
      </c>
      <c r="Z93" s="566" t="e">
        <f t="shared" si="113"/>
        <v>#REF!</v>
      </c>
      <c r="AA93" s="566" t="e">
        <f t="shared" si="113"/>
        <v>#REF!</v>
      </c>
      <c r="AB93" s="144"/>
      <c r="AC93" s="231">
        <v>0</v>
      </c>
      <c r="AD93" s="231">
        <v>0</v>
      </c>
      <c r="AE93" s="231">
        <v>0</v>
      </c>
      <c r="AF93" s="231">
        <v>0</v>
      </c>
      <c r="AG93" s="231">
        <v>0</v>
      </c>
      <c r="AH93" s="231">
        <v>0</v>
      </c>
      <c r="AI93" s="213"/>
      <c r="AJ93" s="204"/>
      <c r="AK93" s="204"/>
      <c r="AL93" s="204"/>
      <c r="AM93" s="204"/>
      <c r="AN93" s="204"/>
    </row>
    <row r="94" spans="1:40" thickBot="1">
      <c r="A94" s="144"/>
      <c r="B94" s="144"/>
      <c r="C94" s="144"/>
      <c r="E94" s="144"/>
      <c r="F94" s="144"/>
      <c r="G94" s="144"/>
      <c r="H94" s="3340"/>
      <c r="I94" s="144"/>
      <c r="J94" s="144"/>
      <c r="K94" s="144"/>
      <c r="L94" s="144"/>
      <c r="M94" s="144"/>
      <c r="N94" s="144"/>
      <c r="O94" s="144"/>
      <c r="P94" s="144"/>
      <c r="Q94" s="146"/>
      <c r="R94" s="144"/>
      <c r="S94" s="144"/>
      <c r="T94" s="144"/>
      <c r="U94" s="566" t="e">
        <f t="shared" si="113"/>
        <v>#REF!</v>
      </c>
      <c r="V94" s="566" t="e">
        <f t="shared" si="113"/>
        <v>#REF!</v>
      </c>
      <c r="W94" s="566" t="e">
        <f t="shared" si="113"/>
        <v>#REF!</v>
      </c>
      <c r="X94" s="566" t="e">
        <f t="shared" si="113"/>
        <v>#REF!</v>
      </c>
      <c r="Y94" s="566" t="e">
        <f t="shared" si="113"/>
        <v>#REF!</v>
      </c>
      <c r="Z94" s="566" t="e">
        <f t="shared" si="113"/>
        <v>#REF!</v>
      </c>
      <c r="AA94" s="566" t="e">
        <f t="shared" si="113"/>
        <v>#REF!</v>
      </c>
      <c r="AB94" s="144"/>
      <c r="AC94" s="231">
        <v>0</v>
      </c>
      <c r="AD94" s="231">
        <v>0</v>
      </c>
      <c r="AE94" s="231">
        <v>0</v>
      </c>
      <c r="AF94" s="231">
        <v>0</v>
      </c>
      <c r="AG94" s="231">
        <v>0</v>
      </c>
      <c r="AH94" s="231">
        <v>0</v>
      </c>
      <c r="AI94" s="213"/>
      <c r="AJ94" s="204"/>
      <c r="AK94" s="204"/>
      <c r="AL94" s="204"/>
      <c r="AM94" s="204"/>
      <c r="AN94" s="204"/>
    </row>
    <row r="95" spans="1:40" thickBot="1">
      <c r="A95" s="144"/>
      <c r="B95" s="144"/>
      <c r="C95" s="144"/>
      <c r="E95" s="144"/>
      <c r="F95" s="144"/>
      <c r="G95" s="144"/>
      <c r="H95" s="3340"/>
      <c r="I95" s="144"/>
      <c r="J95" s="144"/>
      <c r="K95" s="144"/>
      <c r="L95" s="144"/>
      <c r="M95" s="144"/>
      <c r="N95" s="144"/>
      <c r="O95" s="144"/>
      <c r="P95" s="144"/>
      <c r="Q95" s="146"/>
      <c r="R95" s="144"/>
      <c r="S95" s="144"/>
      <c r="T95" s="144"/>
      <c r="U95" s="566" t="e">
        <f t="shared" si="113"/>
        <v>#REF!</v>
      </c>
      <c r="V95" s="566" t="e">
        <f t="shared" si="113"/>
        <v>#REF!</v>
      </c>
      <c r="W95" s="566" t="e">
        <f t="shared" si="113"/>
        <v>#REF!</v>
      </c>
      <c r="X95" s="566" t="e">
        <f t="shared" si="113"/>
        <v>#REF!</v>
      </c>
      <c r="Y95" s="566" t="e">
        <f t="shared" si="113"/>
        <v>#REF!</v>
      </c>
      <c r="Z95" s="566" t="e">
        <f t="shared" si="113"/>
        <v>#REF!</v>
      </c>
      <c r="AA95" s="566" t="e">
        <f t="shared" si="113"/>
        <v>#REF!</v>
      </c>
      <c r="AB95" s="144"/>
      <c r="AC95" s="231">
        <v>0</v>
      </c>
      <c r="AD95" s="231">
        <v>0</v>
      </c>
      <c r="AE95" s="231">
        <v>0</v>
      </c>
      <c r="AF95" s="231">
        <v>0</v>
      </c>
      <c r="AG95" s="231">
        <v>0</v>
      </c>
      <c r="AH95" s="231">
        <v>0</v>
      </c>
      <c r="AI95" s="213"/>
      <c r="AJ95" s="204"/>
      <c r="AK95" s="204"/>
      <c r="AL95" s="204"/>
      <c r="AM95" s="204"/>
      <c r="AN95" s="204"/>
    </row>
    <row r="96" spans="1:40" thickBot="1">
      <c r="A96" s="144"/>
      <c r="B96" s="144"/>
      <c r="C96" s="144"/>
      <c r="E96" s="144"/>
      <c r="F96" s="144"/>
      <c r="G96" s="144"/>
      <c r="H96" s="3340"/>
      <c r="I96" s="144"/>
      <c r="J96" s="144"/>
      <c r="K96" s="144"/>
      <c r="L96" s="144"/>
      <c r="M96" s="144"/>
      <c r="N96" s="144"/>
      <c r="O96" s="144"/>
      <c r="P96" s="144"/>
      <c r="Q96" s="146"/>
      <c r="R96" s="144"/>
      <c r="S96" s="144"/>
      <c r="T96" s="144"/>
      <c r="U96" s="566" t="e">
        <f t="shared" si="113"/>
        <v>#REF!</v>
      </c>
      <c r="V96" s="566" t="e">
        <f t="shared" si="113"/>
        <v>#REF!</v>
      </c>
      <c r="W96" s="566" t="e">
        <f t="shared" si="113"/>
        <v>#REF!</v>
      </c>
      <c r="X96" s="566" t="e">
        <f t="shared" si="113"/>
        <v>#REF!</v>
      </c>
      <c r="Y96" s="566" t="e">
        <f t="shared" si="113"/>
        <v>#REF!</v>
      </c>
      <c r="Z96" s="566" t="e">
        <f t="shared" si="113"/>
        <v>#REF!</v>
      </c>
      <c r="AA96" s="566" t="e">
        <f t="shared" si="113"/>
        <v>#REF!</v>
      </c>
      <c r="AB96" s="144"/>
      <c r="AC96" s="231"/>
      <c r="AD96" s="231"/>
      <c r="AE96" s="231"/>
      <c r="AF96" s="231"/>
      <c r="AG96" s="231"/>
      <c r="AH96" s="231"/>
      <c r="AI96" s="213"/>
      <c r="AJ96" s="204"/>
      <c r="AK96" s="204"/>
      <c r="AL96" s="204"/>
      <c r="AM96" s="204"/>
      <c r="AN96" s="204"/>
    </row>
    <row r="97" spans="1:40" thickBot="1">
      <c r="A97" s="144"/>
      <c r="B97" s="144"/>
      <c r="C97" s="144"/>
      <c r="E97" s="144"/>
      <c r="F97" s="144"/>
      <c r="G97" s="144"/>
      <c r="H97" s="3340"/>
      <c r="I97" s="144"/>
      <c r="J97" s="144"/>
      <c r="K97" s="144"/>
      <c r="L97" s="144"/>
      <c r="M97" s="144"/>
      <c r="N97" s="144"/>
      <c r="O97" s="144"/>
      <c r="P97" s="144"/>
      <c r="Q97" s="146"/>
      <c r="R97" s="144"/>
      <c r="S97" s="144"/>
      <c r="T97" s="144"/>
      <c r="U97" s="566" t="e">
        <f t="shared" si="113"/>
        <v>#REF!</v>
      </c>
      <c r="V97" s="566" t="e">
        <f t="shared" si="113"/>
        <v>#REF!</v>
      </c>
      <c r="W97" s="566" t="e">
        <f t="shared" si="113"/>
        <v>#REF!</v>
      </c>
      <c r="X97" s="566" t="e">
        <f t="shared" si="113"/>
        <v>#REF!</v>
      </c>
      <c r="Y97" s="566" t="e">
        <f t="shared" si="113"/>
        <v>#REF!</v>
      </c>
      <c r="Z97" s="566" t="e">
        <f t="shared" si="113"/>
        <v>#REF!</v>
      </c>
      <c r="AA97" s="566" t="e">
        <f t="shared" si="113"/>
        <v>#REF!</v>
      </c>
      <c r="AB97" s="144"/>
      <c r="AC97" s="231"/>
      <c r="AD97" s="231"/>
      <c r="AE97" s="231"/>
      <c r="AF97" s="231"/>
      <c r="AG97" s="231"/>
      <c r="AH97" s="231"/>
      <c r="AI97" s="213"/>
      <c r="AJ97" s="204"/>
      <c r="AK97" s="204"/>
      <c r="AL97" s="204"/>
      <c r="AM97" s="204"/>
      <c r="AN97" s="204"/>
    </row>
    <row r="98" spans="1:40" thickBot="1">
      <c r="A98" s="144"/>
      <c r="B98" s="144"/>
      <c r="C98" s="144"/>
      <c r="E98" s="144"/>
      <c r="F98" s="144"/>
      <c r="G98" s="144"/>
      <c r="H98" s="3340"/>
      <c r="I98" s="144"/>
      <c r="J98" s="144"/>
      <c r="K98" s="144"/>
      <c r="L98" s="144"/>
      <c r="M98" s="144"/>
      <c r="N98" s="144"/>
      <c r="O98" s="144"/>
      <c r="P98" s="144"/>
      <c r="Q98" s="146"/>
      <c r="R98" s="144"/>
      <c r="S98" s="144"/>
      <c r="T98" s="144"/>
      <c r="U98" s="566" t="e">
        <f t="shared" si="113"/>
        <v>#REF!</v>
      </c>
      <c r="V98" s="566" t="e">
        <f t="shared" si="113"/>
        <v>#REF!</v>
      </c>
      <c r="W98" s="566" t="e">
        <f t="shared" si="113"/>
        <v>#REF!</v>
      </c>
      <c r="X98" s="566" t="e">
        <f t="shared" si="113"/>
        <v>#REF!</v>
      </c>
      <c r="Y98" s="566" t="e">
        <f t="shared" si="113"/>
        <v>#REF!</v>
      </c>
      <c r="Z98" s="566" t="e">
        <f t="shared" si="113"/>
        <v>#REF!</v>
      </c>
      <c r="AA98" s="566" t="e">
        <f t="shared" si="113"/>
        <v>#REF!</v>
      </c>
      <c r="AB98" s="144"/>
      <c r="AC98" s="231">
        <v>0</v>
      </c>
      <c r="AD98" s="231">
        <v>0</v>
      </c>
      <c r="AE98" s="231">
        <v>0</v>
      </c>
      <c r="AF98" s="231">
        <v>0</v>
      </c>
      <c r="AG98" s="231">
        <v>0</v>
      </c>
      <c r="AH98" s="231">
        <v>0</v>
      </c>
      <c r="AI98" s="213"/>
      <c r="AJ98" s="204"/>
      <c r="AK98" s="204"/>
      <c r="AL98" s="204"/>
      <c r="AM98" s="204"/>
      <c r="AN98" s="204"/>
    </row>
    <row r="99" spans="1:40" thickBot="1">
      <c r="A99" s="144"/>
      <c r="B99" s="144"/>
      <c r="C99" s="144"/>
      <c r="E99" s="144"/>
      <c r="F99" s="144"/>
      <c r="G99" s="144"/>
      <c r="H99" s="3340"/>
      <c r="I99" s="144"/>
      <c r="J99" s="144"/>
      <c r="K99" s="144"/>
      <c r="L99" s="144"/>
      <c r="M99" s="144"/>
      <c r="N99" s="144"/>
      <c r="O99" s="144"/>
      <c r="P99" s="144"/>
      <c r="Q99" s="146"/>
      <c r="R99" s="144"/>
      <c r="S99" s="144"/>
      <c r="T99" s="144"/>
      <c r="U99" s="566" t="e">
        <f t="shared" si="113"/>
        <v>#REF!</v>
      </c>
      <c r="V99" s="566" t="e">
        <f t="shared" si="113"/>
        <v>#REF!</v>
      </c>
      <c r="W99" s="566" t="e">
        <f t="shared" si="113"/>
        <v>#REF!</v>
      </c>
      <c r="X99" s="566" t="e">
        <f t="shared" si="113"/>
        <v>#REF!</v>
      </c>
      <c r="Y99" s="566" t="e">
        <f t="shared" si="113"/>
        <v>#REF!</v>
      </c>
      <c r="Z99" s="566" t="e">
        <f t="shared" si="113"/>
        <v>#REF!</v>
      </c>
      <c r="AA99" s="566" t="e">
        <f t="shared" si="113"/>
        <v>#REF!</v>
      </c>
      <c r="AB99" s="144"/>
      <c r="AC99" s="231">
        <v>0</v>
      </c>
      <c r="AD99" s="231">
        <v>0</v>
      </c>
      <c r="AE99" s="231">
        <v>0</v>
      </c>
      <c r="AF99" s="231">
        <v>0</v>
      </c>
      <c r="AG99" s="231">
        <v>0</v>
      </c>
      <c r="AH99" s="231">
        <v>0</v>
      </c>
      <c r="AI99" s="213"/>
      <c r="AJ99" s="204"/>
      <c r="AK99" s="204"/>
      <c r="AL99" s="204"/>
      <c r="AM99" s="204"/>
      <c r="AN99" s="204"/>
    </row>
    <row r="100" spans="1:40" thickBot="1">
      <c r="A100" s="144"/>
      <c r="B100" s="144"/>
      <c r="C100" s="144"/>
      <c r="E100" s="144"/>
      <c r="F100" s="144"/>
      <c r="G100" s="144"/>
      <c r="H100" s="3340"/>
      <c r="I100" s="144"/>
      <c r="J100" s="144"/>
      <c r="K100" s="144"/>
      <c r="L100" s="144"/>
      <c r="M100" s="144"/>
      <c r="N100" s="144"/>
      <c r="O100" s="144"/>
      <c r="P100" s="144"/>
      <c r="Q100" s="146"/>
      <c r="R100" s="144"/>
      <c r="S100" s="144"/>
      <c r="T100" s="144"/>
      <c r="U100" s="566" t="e">
        <f t="shared" si="113"/>
        <v>#REF!</v>
      </c>
      <c r="V100" s="566" t="e">
        <f t="shared" si="113"/>
        <v>#REF!</v>
      </c>
      <c r="W100" s="566" t="e">
        <f t="shared" si="113"/>
        <v>#REF!</v>
      </c>
      <c r="X100" s="566" t="e">
        <f t="shared" si="113"/>
        <v>#REF!</v>
      </c>
      <c r="Y100" s="566" t="e">
        <f t="shared" si="113"/>
        <v>#REF!</v>
      </c>
      <c r="Z100" s="566" t="e">
        <f t="shared" si="113"/>
        <v>#REF!</v>
      </c>
      <c r="AA100" s="566" t="e">
        <f t="shared" si="113"/>
        <v>#REF!</v>
      </c>
      <c r="AB100" s="144"/>
      <c r="AC100" s="231"/>
      <c r="AD100" s="231"/>
      <c r="AE100" s="231"/>
      <c r="AF100" s="231"/>
      <c r="AG100" s="231"/>
      <c r="AH100" s="231"/>
      <c r="AI100" s="213"/>
      <c r="AJ100" s="204"/>
      <c r="AK100" s="204"/>
      <c r="AL100" s="204"/>
      <c r="AM100" s="204"/>
      <c r="AN100" s="204"/>
    </row>
    <row r="101" spans="1:40" thickBot="1">
      <c r="A101" s="144"/>
      <c r="B101" s="144"/>
      <c r="C101" s="144"/>
      <c r="E101" s="144"/>
      <c r="F101" s="144"/>
      <c r="G101" s="144"/>
      <c r="H101" s="3340"/>
      <c r="I101" s="144"/>
      <c r="J101" s="144"/>
      <c r="K101" s="144"/>
      <c r="L101" s="144"/>
      <c r="M101" s="144"/>
      <c r="N101" s="144"/>
      <c r="O101" s="144"/>
      <c r="P101" s="144"/>
      <c r="Q101" s="146"/>
      <c r="R101" s="144"/>
      <c r="S101" s="144"/>
      <c r="T101" s="144"/>
      <c r="U101" s="566" t="e">
        <f t="shared" si="113"/>
        <v>#REF!</v>
      </c>
      <c r="V101" s="566" t="e">
        <f t="shared" si="113"/>
        <v>#REF!</v>
      </c>
      <c r="W101" s="566" t="e">
        <f t="shared" si="113"/>
        <v>#REF!</v>
      </c>
      <c r="X101" s="566" t="e">
        <f t="shared" si="113"/>
        <v>#REF!</v>
      </c>
      <c r="Y101" s="566" t="e">
        <f t="shared" si="113"/>
        <v>#REF!</v>
      </c>
      <c r="Z101" s="566" t="e">
        <f t="shared" si="113"/>
        <v>#REF!</v>
      </c>
      <c r="AA101" s="566" t="e">
        <f t="shared" si="113"/>
        <v>#REF!</v>
      </c>
      <c r="AB101" s="144"/>
      <c r="AC101" s="231"/>
      <c r="AD101" s="231"/>
      <c r="AE101" s="231"/>
      <c r="AF101" s="231"/>
      <c r="AG101" s="231"/>
      <c r="AH101" s="231"/>
      <c r="AI101" s="213"/>
      <c r="AJ101" s="204"/>
      <c r="AK101" s="204"/>
      <c r="AL101" s="204"/>
      <c r="AM101" s="204"/>
      <c r="AN101" s="204"/>
    </row>
    <row r="102" spans="1:40" thickBot="1">
      <c r="A102" s="144"/>
      <c r="B102" s="144"/>
      <c r="C102" s="144"/>
      <c r="E102" s="144"/>
      <c r="F102" s="144"/>
      <c r="G102" s="144"/>
      <c r="H102" s="3340"/>
      <c r="I102" s="144"/>
      <c r="J102" s="144"/>
      <c r="K102" s="144"/>
      <c r="L102" s="144"/>
      <c r="M102" s="144"/>
      <c r="N102" s="144"/>
      <c r="O102" s="144"/>
      <c r="P102" s="144"/>
      <c r="Q102" s="146"/>
      <c r="R102" s="144"/>
      <c r="S102" s="144"/>
      <c r="T102" s="144"/>
      <c r="U102" s="566" t="e">
        <f t="shared" si="113"/>
        <v>#REF!</v>
      </c>
      <c r="V102" s="566" t="e">
        <f t="shared" si="113"/>
        <v>#REF!</v>
      </c>
      <c r="W102" s="566" t="e">
        <f t="shared" si="113"/>
        <v>#REF!</v>
      </c>
      <c r="X102" s="566" t="e">
        <f t="shared" si="113"/>
        <v>#REF!</v>
      </c>
      <c r="Y102" s="566" t="e">
        <f t="shared" si="113"/>
        <v>#REF!</v>
      </c>
      <c r="Z102" s="566" t="e">
        <f t="shared" si="113"/>
        <v>#REF!</v>
      </c>
      <c r="AA102" s="566" t="e">
        <f t="shared" si="113"/>
        <v>#REF!</v>
      </c>
      <c r="AB102" s="144"/>
      <c r="AC102" s="231">
        <v>0</v>
      </c>
      <c r="AD102" s="231">
        <v>0</v>
      </c>
      <c r="AE102" s="231">
        <v>0</v>
      </c>
      <c r="AF102" s="231">
        <v>0</v>
      </c>
      <c r="AG102" s="231">
        <v>0</v>
      </c>
      <c r="AH102" s="231">
        <v>0</v>
      </c>
      <c r="AI102" s="213"/>
      <c r="AJ102" s="204"/>
      <c r="AK102" s="204"/>
      <c r="AL102" s="204"/>
      <c r="AM102" s="204"/>
      <c r="AN102" s="204"/>
    </row>
    <row r="103" spans="1:40" thickBot="1">
      <c r="A103" s="144"/>
      <c r="B103" s="144"/>
      <c r="C103" s="144"/>
      <c r="E103" s="144"/>
      <c r="F103" s="144"/>
      <c r="G103" s="144"/>
      <c r="H103" s="3340"/>
      <c r="I103" s="144"/>
      <c r="J103" s="144"/>
      <c r="K103" s="144"/>
      <c r="L103" s="144"/>
      <c r="M103" s="144"/>
      <c r="N103" s="144"/>
      <c r="O103" s="144"/>
      <c r="P103" s="144"/>
      <c r="Q103" s="146"/>
      <c r="R103" s="144"/>
      <c r="S103" s="144"/>
      <c r="T103" s="144"/>
      <c r="U103" s="566" t="e">
        <f t="shared" si="113"/>
        <v>#REF!</v>
      </c>
      <c r="V103" s="566" t="e">
        <f t="shared" si="113"/>
        <v>#REF!</v>
      </c>
      <c r="W103" s="566" t="e">
        <f t="shared" si="113"/>
        <v>#REF!</v>
      </c>
      <c r="X103" s="566" t="e">
        <f t="shared" si="113"/>
        <v>#REF!</v>
      </c>
      <c r="Y103" s="566" t="e">
        <f t="shared" si="113"/>
        <v>#REF!</v>
      </c>
      <c r="Z103" s="566" t="e">
        <f t="shared" si="113"/>
        <v>#REF!</v>
      </c>
      <c r="AA103" s="566" t="e">
        <f t="shared" si="113"/>
        <v>#REF!</v>
      </c>
      <c r="AB103" s="144"/>
      <c r="AC103" s="231">
        <v>0</v>
      </c>
      <c r="AD103" s="231">
        <v>0</v>
      </c>
      <c r="AE103" s="231">
        <v>0</v>
      </c>
      <c r="AF103" s="231">
        <v>0</v>
      </c>
      <c r="AG103" s="231">
        <v>0</v>
      </c>
      <c r="AH103" s="231">
        <v>0</v>
      </c>
      <c r="AI103" s="213"/>
      <c r="AJ103" s="204"/>
      <c r="AK103" s="204"/>
      <c r="AL103" s="204"/>
      <c r="AM103" s="204"/>
      <c r="AN103" s="204"/>
    </row>
    <row r="104" spans="1:40" thickBot="1">
      <c r="A104" s="144"/>
      <c r="B104" s="144"/>
      <c r="C104" s="144"/>
      <c r="E104" s="144"/>
      <c r="F104" s="144"/>
      <c r="G104" s="144"/>
      <c r="H104" s="3340"/>
      <c r="I104" s="144"/>
      <c r="J104" s="144"/>
      <c r="K104" s="144"/>
      <c r="L104" s="144"/>
      <c r="M104" s="144"/>
      <c r="N104" s="144"/>
      <c r="O104" s="144"/>
      <c r="P104" s="144"/>
      <c r="Q104" s="146"/>
      <c r="R104" s="144"/>
      <c r="S104" s="144"/>
      <c r="T104" s="144"/>
      <c r="U104" s="566" t="e">
        <f t="shared" si="113"/>
        <v>#REF!</v>
      </c>
      <c r="V104" s="566" t="e">
        <f t="shared" si="113"/>
        <v>#REF!</v>
      </c>
      <c r="W104" s="566" t="e">
        <f t="shared" si="113"/>
        <v>#REF!</v>
      </c>
      <c r="X104" s="566" t="e">
        <f t="shared" si="113"/>
        <v>#REF!</v>
      </c>
      <c r="Y104" s="566" t="e">
        <f t="shared" si="113"/>
        <v>#REF!</v>
      </c>
      <c r="Z104" s="566" t="e">
        <f t="shared" si="113"/>
        <v>#REF!</v>
      </c>
      <c r="AA104" s="566" t="e">
        <f t="shared" si="113"/>
        <v>#REF!</v>
      </c>
      <c r="AB104" s="144"/>
      <c r="AC104" s="231">
        <v>0</v>
      </c>
      <c r="AD104" s="231">
        <v>0</v>
      </c>
      <c r="AE104" s="231">
        <v>0</v>
      </c>
      <c r="AF104" s="231">
        <v>0</v>
      </c>
      <c r="AG104" s="231">
        <v>0</v>
      </c>
      <c r="AH104" s="231">
        <v>0</v>
      </c>
      <c r="AI104" s="213"/>
      <c r="AJ104" s="204"/>
      <c r="AK104" s="204"/>
      <c r="AL104" s="204"/>
      <c r="AM104" s="204"/>
      <c r="AN104" s="204"/>
    </row>
    <row r="105" spans="1:40" thickBot="1">
      <c r="A105" s="144"/>
      <c r="B105" s="144"/>
      <c r="C105" s="144"/>
      <c r="E105" s="144"/>
      <c r="F105" s="144"/>
      <c r="G105" s="144"/>
      <c r="H105" s="3340"/>
      <c r="I105" s="144"/>
      <c r="J105" s="144"/>
      <c r="K105" s="144"/>
      <c r="L105" s="144"/>
      <c r="M105" s="144"/>
      <c r="N105" s="144"/>
      <c r="O105" s="144"/>
      <c r="P105" s="144"/>
      <c r="Q105" s="146"/>
      <c r="R105" s="144"/>
      <c r="S105" s="144"/>
      <c r="T105" s="144"/>
      <c r="U105" s="566" t="e">
        <f t="shared" si="113"/>
        <v>#REF!</v>
      </c>
      <c r="V105" s="566" t="e">
        <f t="shared" si="113"/>
        <v>#REF!</v>
      </c>
      <c r="W105" s="566" t="e">
        <f t="shared" si="113"/>
        <v>#REF!</v>
      </c>
      <c r="X105" s="566" t="e">
        <f t="shared" si="113"/>
        <v>#REF!</v>
      </c>
      <c r="Y105" s="566" t="e">
        <f t="shared" si="113"/>
        <v>#REF!</v>
      </c>
      <c r="Z105" s="566" t="e">
        <f t="shared" si="113"/>
        <v>#REF!</v>
      </c>
      <c r="AA105" s="566" t="e">
        <f t="shared" si="113"/>
        <v>#REF!</v>
      </c>
      <c r="AB105" s="144"/>
      <c r="AC105" s="231">
        <v>0</v>
      </c>
      <c r="AD105" s="231">
        <v>0</v>
      </c>
      <c r="AE105" s="231">
        <v>0</v>
      </c>
      <c r="AF105" s="231">
        <v>0</v>
      </c>
      <c r="AG105" s="231">
        <v>0</v>
      </c>
      <c r="AH105" s="231">
        <v>0</v>
      </c>
      <c r="AI105" s="213"/>
      <c r="AJ105" s="204"/>
      <c r="AK105" s="204"/>
      <c r="AL105" s="204"/>
      <c r="AM105" s="204"/>
      <c r="AN105" s="204"/>
    </row>
    <row r="106" spans="1:40" thickBot="1">
      <c r="A106" s="144"/>
      <c r="B106" s="144"/>
      <c r="C106" s="144"/>
      <c r="E106" s="144"/>
      <c r="F106" s="144"/>
      <c r="G106" s="144"/>
      <c r="H106" s="3340"/>
      <c r="I106" s="144"/>
      <c r="J106" s="144"/>
      <c r="K106" s="144"/>
      <c r="L106" s="144"/>
      <c r="M106" s="144"/>
      <c r="N106" s="144"/>
      <c r="O106" s="144"/>
      <c r="P106" s="144"/>
      <c r="Q106" s="146"/>
      <c r="R106" s="144"/>
      <c r="S106" s="144"/>
      <c r="T106" s="144"/>
      <c r="U106" s="566" t="e">
        <f t="shared" ref="U106:AA121" si="114">IF(U105&gt;0,U105,U104)</f>
        <v>#REF!</v>
      </c>
      <c r="V106" s="566" t="e">
        <f t="shared" si="114"/>
        <v>#REF!</v>
      </c>
      <c r="W106" s="566" t="e">
        <f t="shared" si="114"/>
        <v>#REF!</v>
      </c>
      <c r="X106" s="566" t="e">
        <f t="shared" si="114"/>
        <v>#REF!</v>
      </c>
      <c r="Y106" s="566" t="e">
        <f t="shared" si="114"/>
        <v>#REF!</v>
      </c>
      <c r="Z106" s="566" t="e">
        <f t="shared" si="114"/>
        <v>#REF!</v>
      </c>
      <c r="AA106" s="566" t="e">
        <f t="shared" si="114"/>
        <v>#REF!</v>
      </c>
      <c r="AB106" s="144"/>
      <c r="AC106" s="231"/>
      <c r="AD106" s="231"/>
      <c r="AE106" s="231"/>
      <c r="AF106" s="231"/>
      <c r="AG106" s="231"/>
      <c r="AH106" s="231"/>
      <c r="AI106" s="213"/>
      <c r="AJ106" s="204"/>
      <c r="AK106" s="204"/>
      <c r="AL106" s="204"/>
      <c r="AM106" s="204"/>
      <c r="AN106" s="204"/>
    </row>
    <row r="107" spans="1:40" thickBot="1">
      <c r="A107" s="144"/>
      <c r="B107" s="144"/>
      <c r="C107" s="144"/>
      <c r="E107" s="144"/>
      <c r="F107" s="144"/>
      <c r="G107" s="144"/>
      <c r="H107" s="3340"/>
      <c r="I107" s="144"/>
      <c r="J107" s="144"/>
      <c r="K107" s="144"/>
      <c r="L107" s="144"/>
      <c r="M107" s="144"/>
      <c r="N107" s="144"/>
      <c r="O107" s="144"/>
      <c r="P107" s="144"/>
      <c r="Q107" s="146"/>
      <c r="R107" s="144"/>
      <c r="S107" s="144"/>
      <c r="T107" s="144"/>
      <c r="U107" s="566" t="e">
        <f t="shared" si="114"/>
        <v>#REF!</v>
      </c>
      <c r="V107" s="566" t="e">
        <f t="shared" si="114"/>
        <v>#REF!</v>
      </c>
      <c r="W107" s="566" t="e">
        <f t="shared" si="114"/>
        <v>#REF!</v>
      </c>
      <c r="X107" s="566" t="e">
        <f t="shared" si="114"/>
        <v>#REF!</v>
      </c>
      <c r="Y107" s="566" t="e">
        <f t="shared" si="114"/>
        <v>#REF!</v>
      </c>
      <c r="Z107" s="566" t="e">
        <f t="shared" si="114"/>
        <v>#REF!</v>
      </c>
      <c r="AA107" s="566" t="e">
        <f t="shared" si="114"/>
        <v>#REF!</v>
      </c>
      <c r="AB107" s="144"/>
      <c r="AC107" s="231">
        <v>0</v>
      </c>
      <c r="AD107" s="231">
        <v>0</v>
      </c>
      <c r="AE107" s="231">
        <v>0</v>
      </c>
      <c r="AF107" s="231">
        <v>0</v>
      </c>
      <c r="AG107" s="231">
        <v>0</v>
      </c>
      <c r="AH107" s="231">
        <v>0</v>
      </c>
      <c r="AI107" s="213"/>
      <c r="AJ107" s="204"/>
      <c r="AK107" s="204"/>
      <c r="AL107" s="204"/>
      <c r="AM107" s="204"/>
      <c r="AN107" s="204"/>
    </row>
    <row r="108" spans="1:40" thickBot="1">
      <c r="A108" s="144"/>
      <c r="B108" s="144"/>
      <c r="C108" s="144"/>
      <c r="E108" s="144"/>
      <c r="F108" s="144"/>
      <c r="G108" s="144"/>
      <c r="H108" s="3340"/>
      <c r="I108" s="144"/>
      <c r="J108" s="144"/>
      <c r="K108" s="144"/>
      <c r="L108" s="144"/>
      <c r="M108" s="144"/>
      <c r="N108" s="144"/>
      <c r="O108" s="144"/>
      <c r="P108" s="144"/>
      <c r="Q108" s="146"/>
      <c r="R108" s="144"/>
      <c r="S108" s="144"/>
      <c r="T108" s="144"/>
      <c r="U108" s="566" t="e">
        <f t="shared" si="114"/>
        <v>#REF!</v>
      </c>
      <c r="V108" s="566" t="e">
        <f t="shared" si="114"/>
        <v>#REF!</v>
      </c>
      <c r="W108" s="566" t="e">
        <f t="shared" si="114"/>
        <v>#REF!</v>
      </c>
      <c r="X108" s="566" t="e">
        <f t="shared" si="114"/>
        <v>#REF!</v>
      </c>
      <c r="Y108" s="566" t="e">
        <f t="shared" si="114"/>
        <v>#REF!</v>
      </c>
      <c r="Z108" s="566" t="e">
        <f t="shared" si="114"/>
        <v>#REF!</v>
      </c>
      <c r="AA108" s="566" t="e">
        <f t="shared" si="114"/>
        <v>#REF!</v>
      </c>
      <c r="AB108" s="144"/>
      <c r="AC108" s="231">
        <v>0</v>
      </c>
      <c r="AD108" s="231">
        <v>0</v>
      </c>
      <c r="AE108" s="231">
        <v>0</v>
      </c>
      <c r="AF108" s="231">
        <v>0</v>
      </c>
      <c r="AG108" s="231">
        <v>0</v>
      </c>
      <c r="AH108" s="231">
        <v>0</v>
      </c>
      <c r="AI108" s="213"/>
      <c r="AJ108" s="204"/>
      <c r="AK108" s="204"/>
      <c r="AL108" s="204"/>
      <c r="AM108" s="204"/>
      <c r="AN108" s="204"/>
    </row>
    <row r="109" spans="1:40" thickBot="1">
      <c r="A109" s="144"/>
      <c r="B109" s="144"/>
      <c r="C109" s="144"/>
      <c r="E109" s="144"/>
      <c r="F109" s="144"/>
      <c r="G109" s="144"/>
      <c r="H109" s="3340"/>
      <c r="I109" s="144"/>
      <c r="J109" s="144"/>
      <c r="K109" s="144"/>
      <c r="L109" s="144"/>
      <c r="M109" s="144"/>
      <c r="N109" s="144"/>
      <c r="O109" s="144"/>
      <c r="P109" s="144"/>
      <c r="Q109" s="146"/>
      <c r="R109" s="144"/>
      <c r="S109" s="144"/>
      <c r="T109" s="144"/>
      <c r="U109" s="566" t="e">
        <f t="shared" si="114"/>
        <v>#REF!</v>
      </c>
      <c r="V109" s="566" t="e">
        <f t="shared" si="114"/>
        <v>#REF!</v>
      </c>
      <c r="W109" s="566" t="e">
        <f t="shared" si="114"/>
        <v>#REF!</v>
      </c>
      <c r="X109" s="566" t="e">
        <f t="shared" si="114"/>
        <v>#REF!</v>
      </c>
      <c r="Y109" s="566" t="e">
        <f t="shared" si="114"/>
        <v>#REF!</v>
      </c>
      <c r="Z109" s="566" t="e">
        <f t="shared" si="114"/>
        <v>#REF!</v>
      </c>
      <c r="AA109" s="566" t="e">
        <f t="shared" si="114"/>
        <v>#REF!</v>
      </c>
      <c r="AB109" s="144"/>
      <c r="AC109" s="231"/>
      <c r="AD109" s="231"/>
      <c r="AE109" s="231"/>
      <c r="AF109" s="231"/>
      <c r="AG109" s="231"/>
      <c r="AH109" s="231"/>
      <c r="AI109" s="213"/>
      <c r="AJ109" s="204"/>
      <c r="AK109" s="204"/>
      <c r="AL109" s="204"/>
      <c r="AM109" s="204"/>
      <c r="AN109" s="204"/>
    </row>
    <row r="110" spans="1:40" thickBot="1">
      <c r="A110" s="144"/>
      <c r="B110" s="144"/>
      <c r="C110" s="144"/>
      <c r="E110" s="144"/>
      <c r="F110" s="144"/>
      <c r="G110" s="144"/>
      <c r="H110" s="3340"/>
      <c r="I110" s="144"/>
      <c r="J110" s="144"/>
      <c r="K110" s="144"/>
      <c r="L110" s="144"/>
      <c r="M110" s="144"/>
      <c r="N110" s="144"/>
      <c r="O110" s="144"/>
      <c r="P110" s="144"/>
      <c r="Q110" s="146"/>
      <c r="R110" s="144"/>
      <c r="S110" s="144"/>
      <c r="T110" s="144"/>
      <c r="U110" s="566" t="e">
        <f t="shared" si="114"/>
        <v>#REF!</v>
      </c>
      <c r="V110" s="566" t="e">
        <f t="shared" si="114"/>
        <v>#REF!</v>
      </c>
      <c r="W110" s="566" t="e">
        <f t="shared" si="114"/>
        <v>#REF!</v>
      </c>
      <c r="X110" s="566" t="e">
        <f t="shared" si="114"/>
        <v>#REF!</v>
      </c>
      <c r="Y110" s="566" t="e">
        <f t="shared" si="114"/>
        <v>#REF!</v>
      </c>
      <c r="Z110" s="566" t="e">
        <f t="shared" si="114"/>
        <v>#REF!</v>
      </c>
      <c r="AA110" s="566" t="e">
        <f t="shared" si="114"/>
        <v>#REF!</v>
      </c>
      <c r="AB110" s="144"/>
      <c r="AC110" s="231"/>
      <c r="AD110" s="231"/>
      <c r="AE110" s="231"/>
      <c r="AF110" s="231"/>
      <c r="AG110" s="231"/>
      <c r="AH110" s="231"/>
      <c r="AI110" s="213"/>
      <c r="AJ110" s="204"/>
      <c r="AK110" s="204"/>
      <c r="AL110" s="204"/>
      <c r="AM110" s="204"/>
      <c r="AN110" s="204"/>
    </row>
    <row r="111" spans="1:40" thickBot="1">
      <c r="A111" s="144"/>
      <c r="B111" s="144"/>
      <c r="C111" s="144"/>
      <c r="E111" s="144"/>
      <c r="F111" s="144"/>
      <c r="G111" s="144"/>
      <c r="H111" s="3340"/>
      <c r="I111" s="144"/>
      <c r="J111" s="144"/>
      <c r="K111" s="144"/>
      <c r="L111" s="144"/>
      <c r="M111" s="144"/>
      <c r="N111" s="144"/>
      <c r="O111" s="144"/>
      <c r="P111" s="144"/>
      <c r="Q111" s="146"/>
      <c r="R111" s="144"/>
      <c r="S111" s="144"/>
      <c r="T111" s="144"/>
      <c r="U111" s="566" t="e">
        <f t="shared" si="114"/>
        <v>#REF!</v>
      </c>
      <c r="V111" s="566" t="e">
        <f t="shared" si="114"/>
        <v>#REF!</v>
      </c>
      <c r="W111" s="566" t="e">
        <f t="shared" si="114"/>
        <v>#REF!</v>
      </c>
      <c r="X111" s="566" t="e">
        <f t="shared" si="114"/>
        <v>#REF!</v>
      </c>
      <c r="Y111" s="566" t="e">
        <f t="shared" si="114"/>
        <v>#REF!</v>
      </c>
      <c r="Z111" s="566" t="e">
        <f t="shared" si="114"/>
        <v>#REF!</v>
      </c>
      <c r="AA111" s="566" t="e">
        <f t="shared" si="114"/>
        <v>#REF!</v>
      </c>
      <c r="AB111" s="144"/>
      <c r="AC111" s="231">
        <v>0</v>
      </c>
      <c r="AD111" s="231">
        <v>0</v>
      </c>
      <c r="AE111" s="231">
        <v>0</v>
      </c>
      <c r="AF111" s="231">
        <v>0</v>
      </c>
      <c r="AG111" s="231">
        <v>0</v>
      </c>
      <c r="AH111" s="231">
        <v>0</v>
      </c>
      <c r="AI111" s="213"/>
      <c r="AJ111" s="204"/>
      <c r="AK111" s="204"/>
      <c r="AL111" s="204"/>
      <c r="AM111" s="204"/>
      <c r="AN111" s="204"/>
    </row>
    <row r="112" spans="1:40" thickBot="1">
      <c r="A112" s="144"/>
      <c r="B112" s="144"/>
      <c r="C112" s="144"/>
      <c r="E112" s="144"/>
      <c r="F112" s="144"/>
      <c r="G112" s="144"/>
      <c r="H112" s="3340"/>
      <c r="I112" s="144"/>
      <c r="J112" s="144"/>
      <c r="K112" s="144"/>
      <c r="L112" s="144"/>
      <c r="M112" s="144"/>
      <c r="N112" s="144"/>
      <c r="O112" s="144"/>
      <c r="P112" s="144"/>
      <c r="Q112" s="146"/>
      <c r="R112" s="144"/>
      <c r="S112" s="144"/>
      <c r="T112" s="144"/>
      <c r="U112" s="566" t="e">
        <f t="shared" si="114"/>
        <v>#REF!</v>
      </c>
      <c r="V112" s="566" t="e">
        <f t="shared" si="114"/>
        <v>#REF!</v>
      </c>
      <c r="W112" s="566" t="e">
        <f t="shared" si="114"/>
        <v>#REF!</v>
      </c>
      <c r="X112" s="566" t="e">
        <f t="shared" si="114"/>
        <v>#REF!</v>
      </c>
      <c r="Y112" s="566" t="e">
        <f t="shared" si="114"/>
        <v>#REF!</v>
      </c>
      <c r="Z112" s="566" t="e">
        <f t="shared" si="114"/>
        <v>#REF!</v>
      </c>
      <c r="AA112" s="566" t="e">
        <f t="shared" si="114"/>
        <v>#REF!</v>
      </c>
      <c r="AB112" s="144"/>
      <c r="AC112" s="231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13"/>
      <c r="AJ112" s="204"/>
      <c r="AK112" s="204"/>
      <c r="AL112" s="204"/>
      <c r="AM112" s="204"/>
      <c r="AN112" s="204"/>
    </row>
    <row r="113" spans="1:40" thickBot="1">
      <c r="A113" s="144"/>
      <c r="B113" s="144"/>
      <c r="C113" s="144"/>
      <c r="E113" s="144"/>
      <c r="F113" s="144"/>
      <c r="G113" s="144"/>
      <c r="H113" s="3340"/>
      <c r="I113" s="144"/>
      <c r="J113" s="144"/>
      <c r="K113" s="144"/>
      <c r="L113" s="144"/>
      <c r="M113" s="144"/>
      <c r="N113" s="144"/>
      <c r="O113" s="144"/>
      <c r="P113" s="144"/>
      <c r="Q113" s="146"/>
      <c r="R113" s="144"/>
      <c r="S113" s="144"/>
      <c r="T113" s="144"/>
      <c r="U113" s="566" t="e">
        <f t="shared" si="114"/>
        <v>#REF!</v>
      </c>
      <c r="V113" s="566" t="e">
        <f t="shared" si="114"/>
        <v>#REF!</v>
      </c>
      <c r="W113" s="566" t="e">
        <f t="shared" si="114"/>
        <v>#REF!</v>
      </c>
      <c r="X113" s="566" t="e">
        <f t="shared" si="114"/>
        <v>#REF!</v>
      </c>
      <c r="Y113" s="566" t="e">
        <f t="shared" si="114"/>
        <v>#REF!</v>
      </c>
      <c r="Z113" s="566" t="e">
        <f t="shared" si="114"/>
        <v>#REF!</v>
      </c>
      <c r="AA113" s="566" t="e">
        <f t="shared" si="114"/>
        <v>#REF!</v>
      </c>
      <c r="AB113" s="144"/>
      <c r="AC113" s="231">
        <v>0</v>
      </c>
      <c r="AD113" s="231">
        <v>0</v>
      </c>
      <c r="AE113" s="231">
        <v>0</v>
      </c>
      <c r="AF113" s="231">
        <v>0</v>
      </c>
      <c r="AG113" s="231">
        <v>0</v>
      </c>
      <c r="AH113" s="231">
        <v>0</v>
      </c>
      <c r="AI113" s="213"/>
      <c r="AJ113" s="204"/>
      <c r="AK113" s="204"/>
      <c r="AL113" s="204"/>
      <c r="AM113" s="204"/>
      <c r="AN113" s="204"/>
    </row>
    <row r="114" spans="1:40" thickBot="1">
      <c r="A114" s="144"/>
      <c r="B114" s="144"/>
      <c r="C114" s="144"/>
      <c r="E114" s="144"/>
      <c r="F114" s="144"/>
      <c r="G114" s="144"/>
      <c r="H114" s="3340"/>
      <c r="I114" s="144"/>
      <c r="J114" s="144"/>
      <c r="K114" s="144"/>
      <c r="L114" s="144"/>
      <c r="M114" s="144"/>
      <c r="N114" s="144"/>
      <c r="O114" s="144"/>
      <c r="P114" s="144"/>
      <c r="Q114" s="146"/>
      <c r="R114" s="144"/>
      <c r="S114" s="144"/>
      <c r="T114" s="144"/>
      <c r="U114" s="566" t="e">
        <f t="shared" si="114"/>
        <v>#REF!</v>
      </c>
      <c r="V114" s="566" t="e">
        <f t="shared" si="114"/>
        <v>#REF!</v>
      </c>
      <c r="W114" s="566" t="e">
        <f t="shared" si="114"/>
        <v>#REF!</v>
      </c>
      <c r="X114" s="566" t="e">
        <f t="shared" si="114"/>
        <v>#REF!</v>
      </c>
      <c r="Y114" s="566" t="e">
        <f t="shared" si="114"/>
        <v>#REF!</v>
      </c>
      <c r="Z114" s="566" t="e">
        <f t="shared" si="114"/>
        <v>#REF!</v>
      </c>
      <c r="AA114" s="566" t="e">
        <f t="shared" si="114"/>
        <v>#REF!</v>
      </c>
      <c r="AB114" s="144"/>
      <c r="AC114" s="231"/>
      <c r="AD114" s="231"/>
      <c r="AE114" s="231"/>
      <c r="AF114" s="231"/>
      <c r="AG114" s="231"/>
      <c r="AH114" s="231"/>
      <c r="AI114" s="213"/>
      <c r="AJ114" s="204"/>
      <c r="AK114" s="204"/>
      <c r="AL114" s="204"/>
      <c r="AM114" s="204"/>
      <c r="AN114" s="204"/>
    </row>
    <row r="115" spans="1:40" thickBot="1">
      <c r="A115" s="144"/>
      <c r="B115" s="144"/>
      <c r="C115" s="144"/>
      <c r="E115" s="144"/>
      <c r="F115" s="144"/>
      <c r="G115" s="144"/>
      <c r="H115" s="3340"/>
      <c r="I115" s="144"/>
      <c r="J115" s="144"/>
      <c r="K115" s="144"/>
      <c r="L115" s="144"/>
      <c r="M115" s="144"/>
      <c r="N115" s="144"/>
      <c r="O115" s="144"/>
      <c r="P115" s="144"/>
      <c r="Q115" s="146"/>
      <c r="R115" s="144"/>
      <c r="S115" s="144"/>
      <c r="T115" s="144"/>
      <c r="U115" s="566" t="e">
        <f t="shared" si="114"/>
        <v>#REF!</v>
      </c>
      <c r="V115" s="566" t="e">
        <f t="shared" si="114"/>
        <v>#REF!</v>
      </c>
      <c r="W115" s="566" t="e">
        <f t="shared" si="114"/>
        <v>#REF!</v>
      </c>
      <c r="X115" s="566" t="e">
        <f t="shared" si="114"/>
        <v>#REF!</v>
      </c>
      <c r="Y115" s="566" t="e">
        <f t="shared" si="114"/>
        <v>#REF!</v>
      </c>
      <c r="Z115" s="566" t="e">
        <f t="shared" si="114"/>
        <v>#REF!</v>
      </c>
      <c r="AA115" s="566" t="e">
        <f t="shared" si="114"/>
        <v>#REF!</v>
      </c>
      <c r="AB115" s="144"/>
      <c r="AC115" s="231"/>
      <c r="AD115" s="231"/>
      <c r="AE115" s="231"/>
      <c r="AF115" s="231"/>
      <c r="AG115" s="231"/>
      <c r="AH115" s="231"/>
      <c r="AI115" s="213"/>
      <c r="AJ115" s="204"/>
      <c r="AK115" s="204"/>
      <c r="AL115" s="204"/>
      <c r="AM115" s="204"/>
      <c r="AN115" s="204"/>
    </row>
    <row r="116" spans="1:40" thickBot="1">
      <c r="A116" s="144"/>
      <c r="B116" s="144"/>
      <c r="C116" s="144"/>
      <c r="E116" s="144"/>
      <c r="F116" s="144"/>
      <c r="G116" s="144"/>
      <c r="H116" s="3340"/>
      <c r="I116" s="144"/>
      <c r="J116" s="144"/>
      <c r="K116" s="144"/>
      <c r="L116" s="144"/>
      <c r="M116" s="144"/>
      <c r="N116" s="144"/>
      <c r="O116" s="144"/>
      <c r="P116" s="144"/>
      <c r="Q116" s="146"/>
      <c r="R116" s="144"/>
      <c r="S116" s="144"/>
      <c r="T116" s="144"/>
      <c r="U116" s="566" t="e">
        <f t="shared" si="114"/>
        <v>#REF!</v>
      </c>
      <c r="V116" s="566" t="e">
        <f t="shared" si="114"/>
        <v>#REF!</v>
      </c>
      <c r="W116" s="566" t="e">
        <f t="shared" si="114"/>
        <v>#REF!</v>
      </c>
      <c r="X116" s="566" t="e">
        <f t="shared" si="114"/>
        <v>#REF!</v>
      </c>
      <c r="Y116" s="566" t="e">
        <f t="shared" si="114"/>
        <v>#REF!</v>
      </c>
      <c r="Z116" s="566" t="e">
        <f t="shared" si="114"/>
        <v>#REF!</v>
      </c>
      <c r="AA116" s="566" t="e">
        <f t="shared" si="114"/>
        <v>#REF!</v>
      </c>
      <c r="AB116" s="144"/>
      <c r="AC116" s="231">
        <v>0</v>
      </c>
      <c r="AD116" s="231">
        <v>0</v>
      </c>
      <c r="AE116" s="231">
        <v>0</v>
      </c>
      <c r="AF116" s="231">
        <v>0</v>
      </c>
      <c r="AG116" s="231">
        <v>0</v>
      </c>
      <c r="AH116" s="231">
        <v>0</v>
      </c>
      <c r="AI116" s="213"/>
      <c r="AJ116" s="204"/>
      <c r="AK116" s="204"/>
      <c r="AL116" s="204"/>
      <c r="AM116" s="204"/>
      <c r="AN116" s="204"/>
    </row>
    <row r="117" spans="1:40" thickBot="1">
      <c r="A117" s="144"/>
      <c r="B117" s="144"/>
      <c r="C117" s="144"/>
      <c r="E117" s="144"/>
      <c r="F117" s="144"/>
      <c r="G117" s="144"/>
      <c r="H117" s="3340"/>
      <c r="I117" s="144"/>
      <c r="J117" s="144"/>
      <c r="K117" s="144"/>
      <c r="L117" s="144"/>
      <c r="M117" s="144"/>
      <c r="N117" s="144"/>
      <c r="O117" s="144"/>
      <c r="P117" s="144"/>
      <c r="Q117" s="146"/>
      <c r="R117" s="144"/>
      <c r="S117" s="144"/>
      <c r="T117" s="144"/>
      <c r="U117" s="566" t="e">
        <f t="shared" si="114"/>
        <v>#REF!</v>
      </c>
      <c r="V117" s="566" t="e">
        <f t="shared" si="114"/>
        <v>#REF!</v>
      </c>
      <c r="W117" s="566" t="e">
        <f t="shared" si="114"/>
        <v>#REF!</v>
      </c>
      <c r="X117" s="566" t="e">
        <f t="shared" si="114"/>
        <v>#REF!</v>
      </c>
      <c r="Y117" s="566" t="e">
        <f t="shared" si="114"/>
        <v>#REF!</v>
      </c>
      <c r="Z117" s="566" t="e">
        <f t="shared" si="114"/>
        <v>#REF!</v>
      </c>
      <c r="AA117" s="566" t="e">
        <f t="shared" si="114"/>
        <v>#REF!</v>
      </c>
      <c r="AB117" s="144"/>
      <c r="AC117" s="231">
        <v>0</v>
      </c>
      <c r="AD117" s="231">
        <v>0</v>
      </c>
      <c r="AE117" s="231">
        <v>0</v>
      </c>
      <c r="AF117" s="231">
        <v>0</v>
      </c>
      <c r="AG117" s="231">
        <v>0</v>
      </c>
      <c r="AH117" s="231">
        <v>0</v>
      </c>
      <c r="AI117" s="213"/>
      <c r="AJ117" s="204"/>
      <c r="AK117" s="204"/>
      <c r="AL117" s="204"/>
      <c r="AM117" s="204"/>
      <c r="AN117" s="204"/>
    </row>
    <row r="118" spans="1:40" thickBot="1">
      <c r="A118" s="144"/>
      <c r="B118" s="144"/>
      <c r="C118" s="144"/>
      <c r="E118" s="144"/>
      <c r="F118" s="144"/>
      <c r="G118" s="144"/>
      <c r="H118" s="3340"/>
      <c r="I118" s="144"/>
      <c r="J118" s="144"/>
      <c r="K118" s="144"/>
      <c r="L118" s="144"/>
      <c r="M118" s="144"/>
      <c r="N118" s="144"/>
      <c r="O118" s="144"/>
      <c r="P118" s="144"/>
      <c r="Q118" s="146"/>
      <c r="R118" s="144"/>
      <c r="S118" s="144"/>
      <c r="T118" s="144"/>
      <c r="U118" s="566" t="e">
        <f t="shared" si="114"/>
        <v>#REF!</v>
      </c>
      <c r="V118" s="566" t="e">
        <f t="shared" si="114"/>
        <v>#REF!</v>
      </c>
      <c r="W118" s="566" t="e">
        <f t="shared" si="114"/>
        <v>#REF!</v>
      </c>
      <c r="X118" s="566" t="e">
        <f t="shared" si="114"/>
        <v>#REF!</v>
      </c>
      <c r="Y118" s="566" t="e">
        <f t="shared" si="114"/>
        <v>#REF!</v>
      </c>
      <c r="Z118" s="566" t="e">
        <f t="shared" si="114"/>
        <v>#REF!</v>
      </c>
      <c r="AA118" s="566" t="e">
        <f t="shared" si="114"/>
        <v>#REF!</v>
      </c>
      <c r="AB118" s="144"/>
      <c r="AC118" s="231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13"/>
      <c r="AJ118" s="204"/>
      <c r="AK118" s="204"/>
      <c r="AL118" s="204"/>
      <c r="AM118" s="204"/>
      <c r="AN118" s="204"/>
    </row>
    <row r="119" spans="1:40" thickBot="1">
      <c r="A119" s="144"/>
      <c r="B119" s="144"/>
      <c r="C119" s="144"/>
      <c r="E119" s="144"/>
      <c r="F119" s="144"/>
      <c r="G119" s="144"/>
      <c r="H119" s="3340"/>
      <c r="I119" s="144"/>
      <c r="J119" s="144"/>
      <c r="K119" s="144"/>
      <c r="L119" s="144"/>
      <c r="M119" s="144"/>
      <c r="N119" s="144"/>
      <c r="O119" s="144"/>
      <c r="P119" s="144"/>
      <c r="Q119" s="146"/>
      <c r="R119" s="144"/>
      <c r="S119" s="144"/>
      <c r="T119" s="144"/>
      <c r="U119" s="566" t="e">
        <f t="shared" si="114"/>
        <v>#REF!</v>
      </c>
      <c r="V119" s="566" t="e">
        <f t="shared" si="114"/>
        <v>#REF!</v>
      </c>
      <c r="W119" s="566" t="e">
        <f t="shared" si="114"/>
        <v>#REF!</v>
      </c>
      <c r="X119" s="566" t="e">
        <f t="shared" si="114"/>
        <v>#REF!</v>
      </c>
      <c r="Y119" s="566" t="e">
        <f t="shared" si="114"/>
        <v>#REF!</v>
      </c>
      <c r="Z119" s="566" t="e">
        <f t="shared" si="114"/>
        <v>#REF!</v>
      </c>
      <c r="AA119" s="566" t="e">
        <f t="shared" si="114"/>
        <v>#REF!</v>
      </c>
      <c r="AB119" s="144"/>
      <c r="AC119" s="231"/>
      <c r="AD119" s="231"/>
      <c r="AE119" s="231"/>
      <c r="AF119" s="231"/>
      <c r="AG119" s="231"/>
      <c r="AH119" s="231"/>
      <c r="AI119" s="213"/>
      <c r="AJ119" s="204"/>
      <c r="AK119" s="204"/>
      <c r="AL119" s="204"/>
      <c r="AM119" s="204"/>
      <c r="AN119" s="204"/>
    </row>
    <row r="120" spans="1:40" thickBot="1">
      <c r="A120" s="144"/>
      <c r="B120" s="144"/>
      <c r="C120" s="144"/>
      <c r="E120" s="144"/>
      <c r="F120" s="144"/>
      <c r="G120" s="144"/>
      <c r="H120" s="3340"/>
      <c r="I120" s="144"/>
      <c r="J120" s="144"/>
      <c r="K120" s="144"/>
      <c r="L120" s="144"/>
      <c r="M120" s="144"/>
      <c r="N120" s="144"/>
      <c r="O120" s="144"/>
      <c r="P120" s="144"/>
      <c r="Q120" s="146"/>
      <c r="R120" s="144"/>
      <c r="S120" s="144"/>
      <c r="T120" s="144"/>
      <c r="U120" s="566" t="e">
        <f t="shared" si="114"/>
        <v>#REF!</v>
      </c>
      <c r="V120" s="566" t="e">
        <f t="shared" si="114"/>
        <v>#REF!</v>
      </c>
      <c r="W120" s="566" t="e">
        <f t="shared" si="114"/>
        <v>#REF!</v>
      </c>
      <c r="X120" s="566" t="e">
        <f t="shared" si="114"/>
        <v>#REF!</v>
      </c>
      <c r="Y120" s="566" t="e">
        <f t="shared" si="114"/>
        <v>#REF!</v>
      </c>
      <c r="Z120" s="566" t="e">
        <f t="shared" si="114"/>
        <v>#REF!</v>
      </c>
      <c r="AA120" s="566" t="e">
        <f t="shared" si="114"/>
        <v>#REF!</v>
      </c>
      <c r="AB120" s="144"/>
      <c r="AC120" s="231"/>
      <c r="AD120" s="231"/>
      <c r="AE120" s="231"/>
      <c r="AF120" s="231"/>
      <c r="AG120" s="231"/>
      <c r="AH120" s="231"/>
      <c r="AI120" s="213"/>
      <c r="AJ120" s="204"/>
      <c r="AK120" s="204"/>
      <c r="AL120" s="204"/>
      <c r="AM120" s="204"/>
      <c r="AN120" s="204"/>
    </row>
    <row r="121" spans="1:40" thickBot="1">
      <c r="A121" s="144"/>
      <c r="B121" s="144"/>
      <c r="C121" s="144"/>
      <c r="E121" s="144"/>
      <c r="F121" s="144"/>
      <c r="G121" s="144"/>
      <c r="H121" s="3340"/>
      <c r="I121" s="144"/>
      <c r="J121" s="144"/>
      <c r="K121" s="144"/>
      <c r="L121" s="144"/>
      <c r="M121" s="144"/>
      <c r="N121" s="144"/>
      <c r="O121" s="144"/>
      <c r="P121" s="144"/>
      <c r="Q121" s="146"/>
      <c r="R121" s="144"/>
      <c r="S121" s="144"/>
      <c r="T121" s="144"/>
      <c r="U121" s="566" t="e">
        <f t="shared" si="114"/>
        <v>#REF!</v>
      </c>
      <c r="V121" s="566" t="e">
        <f t="shared" si="114"/>
        <v>#REF!</v>
      </c>
      <c r="W121" s="566" t="e">
        <f t="shared" si="114"/>
        <v>#REF!</v>
      </c>
      <c r="X121" s="566" t="e">
        <f t="shared" si="114"/>
        <v>#REF!</v>
      </c>
      <c r="Y121" s="566" t="e">
        <f t="shared" si="114"/>
        <v>#REF!</v>
      </c>
      <c r="Z121" s="566" t="e">
        <f t="shared" si="114"/>
        <v>#REF!</v>
      </c>
      <c r="AA121" s="566" t="e">
        <f t="shared" si="114"/>
        <v>#REF!</v>
      </c>
      <c r="AB121" s="144"/>
      <c r="AC121" s="231">
        <v>0</v>
      </c>
      <c r="AD121" s="231">
        <v>0</v>
      </c>
      <c r="AE121" s="231">
        <v>0</v>
      </c>
      <c r="AF121" s="231">
        <v>0</v>
      </c>
      <c r="AG121" s="231">
        <v>0</v>
      </c>
      <c r="AH121" s="231">
        <v>0</v>
      </c>
      <c r="AI121" s="213"/>
      <c r="AJ121" s="204"/>
      <c r="AK121" s="204"/>
      <c r="AL121" s="204"/>
      <c r="AM121" s="204"/>
      <c r="AN121" s="204"/>
    </row>
    <row r="122" spans="1:40" thickBot="1">
      <c r="A122" s="144"/>
      <c r="B122" s="144"/>
      <c r="C122" s="144"/>
      <c r="E122" s="144"/>
      <c r="F122" s="144"/>
      <c r="G122" s="144"/>
      <c r="H122" s="3340"/>
      <c r="I122" s="144"/>
      <c r="J122" s="144"/>
      <c r="K122" s="144"/>
      <c r="L122" s="144"/>
      <c r="M122" s="144"/>
      <c r="N122" s="144"/>
      <c r="O122" s="144"/>
      <c r="P122" s="144"/>
      <c r="Q122" s="146"/>
      <c r="R122" s="144"/>
      <c r="S122" s="144"/>
      <c r="T122" s="144"/>
      <c r="U122" s="566" t="e">
        <f t="shared" ref="U122:AA124" si="115">IF(U121&gt;0,U121,U120)</f>
        <v>#REF!</v>
      </c>
      <c r="V122" s="566" t="e">
        <f t="shared" si="115"/>
        <v>#REF!</v>
      </c>
      <c r="W122" s="566" t="e">
        <f t="shared" si="115"/>
        <v>#REF!</v>
      </c>
      <c r="X122" s="566" t="e">
        <f t="shared" si="115"/>
        <v>#REF!</v>
      </c>
      <c r="Y122" s="566" t="e">
        <f t="shared" si="115"/>
        <v>#REF!</v>
      </c>
      <c r="Z122" s="566" t="e">
        <f t="shared" si="115"/>
        <v>#REF!</v>
      </c>
      <c r="AA122" s="566" t="e">
        <f t="shared" si="115"/>
        <v>#REF!</v>
      </c>
      <c r="AB122" s="144"/>
      <c r="AC122" s="231">
        <v>0</v>
      </c>
      <c r="AD122" s="231">
        <v>0</v>
      </c>
      <c r="AE122" s="231">
        <v>0</v>
      </c>
      <c r="AF122" s="231">
        <v>0</v>
      </c>
      <c r="AG122" s="231">
        <v>0</v>
      </c>
      <c r="AH122" s="231">
        <v>0</v>
      </c>
      <c r="AI122" s="213"/>
      <c r="AJ122" s="204"/>
      <c r="AK122" s="204"/>
      <c r="AL122" s="204"/>
      <c r="AM122" s="204"/>
      <c r="AN122" s="204"/>
    </row>
    <row r="123" spans="1:40" thickBot="1">
      <c r="A123" s="144"/>
      <c r="B123" s="144"/>
      <c r="C123" s="144"/>
      <c r="E123" s="144"/>
      <c r="F123" s="144"/>
      <c r="G123" s="144"/>
      <c r="H123" s="3340"/>
      <c r="I123" s="144"/>
      <c r="J123" s="144"/>
      <c r="K123" s="144"/>
      <c r="L123" s="144"/>
      <c r="M123" s="144"/>
      <c r="N123" s="144"/>
      <c r="O123" s="144"/>
      <c r="P123" s="144"/>
      <c r="Q123" s="146"/>
      <c r="R123" s="144"/>
      <c r="S123" s="144"/>
      <c r="T123" s="144"/>
      <c r="U123" s="566" t="e">
        <f t="shared" si="115"/>
        <v>#REF!</v>
      </c>
      <c r="V123" s="566" t="e">
        <f t="shared" si="115"/>
        <v>#REF!</v>
      </c>
      <c r="W123" s="566" t="e">
        <f t="shared" si="115"/>
        <v>#REF!</v>
      </c>
      <c r="X123" s="566" t="e">
        <f t="shared" si="115"/>
        <v>#REF!</v>
      </c>
      <c r="Y123" s="566" t="e">
        <f t="shared" si="115"/>
        <v>#REF!</v>
      </c>
      <c r="Z123" s="566" t="e">
        <f t="shared" si="115"/>
        <v>#REF!</v>
      </c>
      <c r="AA123" s="566" t="e">
        <f t="shared" si="115"/>
        <v>#REF!</v>
      </c>
      <c r="AB123" s="144"/>
      <c r="AC123" s="231">
        <v>0</v>
      </c>
      <c r="AD123" s="231">
        <v>0</v>
      </c>
      <c r="AE123" s="231">
        <v>0</v>
      </c>
      <c r="AF123" s="231">
        <v>0</v>
      </c>
      <c r="AG123" s="231">
        <v>0</v>
      </c>
      <c r="AH123" s="231">
        <v>0</v>
      </c>
      <c r="AI123" s="213"/>
      <c r="AJ123" s="204"/>
      <c r="AK123" s="204"/>
      <c r="AL123" s="204"/>
      <c r="AM123" s="204"/>
      <c r="AN123" s="204"/>
    </row>
    <row r="124" spans="1:40" thickBot="1">
      <c r="A124" s="144"/>
      <c r="B124" s="144"/>
      <c r="C124" s="144"/>
      <c r="E124" s="144"/>
      <c r="F124" s="144"/>
      <c r="G124" s="144"/>
      <c r="H124" s="3340"/>
      <c r="I124" s="144"/>
      <c r="J124" s="144"/>
      <c r="K124" s="144"/>
      <c r="L124" s="144"/>
      <c r="M124" s="144"/>
      <c r="N124" s="144"/>
      <c r="O124" s="144"/>
      <c r="P124" s="144"/>
      <c r="Q124" s="146"/>
      <c r="R124" s="144"/>
      <c r="S124" s="144"/>
      <c r="T124" s="144"/>
      <c r="U124" s="567" t="e">
        <f>IF(U123&gt;0,U123,U122)</f>
        <v>#REF!</v>
      </c>
      <c r="V124" s="567" t="e">
        <f t="shared" si="115"/>
        <v>#REF!</v>
      </c>
      <c r="W124" s="567" t="e">
        <f t="shared" si="115"/>
        <v>#REF!</v>
      </c>
      <c r="X124" s="567" t="e">
        <f t="shared" si="115"/>
        <v>#REF!</v>
      </c>
      <c r="Y124" s="567" t="e">
        <f t="shared" si="115"/>
        <v>#REF!</v>
      </c>
      <c r="Z124" s="567" t="e">
        <f t="shared" si="115"/>
        <v>#REF!</v>
      </c>
      <c r="AA124" s="567" t="e">
        <f t="shared" si="115"/>
        <v>#REF!</v>
      </c>
      <c r="AB124" s="144"/>
      <c r="AC124" s="231"/>
      <c r="AD124" s="231"/>
      <c r="AE124" s="231"/>
      <c r="AF124" s="231"/>
      <c r="AG124" s="231"/>
      <c r="AH124" s="231"/>
      <c r="AI124" s="213"/>
      <c r="AJ124" s="204"/>
      <c r="AK124" s="204"/>
      <c r="AL124" s="204"/>
      <c r="AM124" s="204"/>
      <c r="AN124" s="204"/>
    </row>
    <row r="125" spans="1:40" thickBot="1">
      <c r="A125" s="144"/>
      <c r="B125" s="144"/>
      <c r="C125" s="144"/>
      <c r="E125" s="144"/>
      <c r="F125" s="144"/>
      <c r="G125" s="144"/>
      <c r="H125" s="3340"/>
      <c r="I125" s="144"/>
      <c r="J125" s="144"/>
      <c r="K125" s="144"/>
      <c r="L125" s="144"/>
      <c r="M125" s="144"/>
      <c r="N125" s="144"/>
      <c r="O125" s="144"/>
      <c r="P125" s="144"/>
      <c r="Q125" s="146"/>
      <c r="R125" s="144"/>
      <c r="S125" s="144"/>
      <c r="T125" s="144"/>
      <c r="U125" s="222"/>
      <c r="V125" s="222"/>
      <c r="W125" s="222"/>
      <c r="X125" s="222"/>
      <c r="Y125" s="222"/>
      <c r="Z125" s="222"/>
      <c r="AA125" s="222"/>
      <c r="AB125" s="144"/>
      <c r="AC125" s="231"/>
      <c r="AD125" s="231"/>
      <c r="AE125" s="231"/>
      <c r="AF125" s="231"/>
      <c r="AG125" s="231"/>
      <c r="AH125" s="231"/>
      <c r="AI125" s="213"/>
      <c r="AJ125" s="204"/>
      <c r="AK125" s="204"/>
      <c r="AL125" s="204"/>
      <c r="AM125" s="204"/>
      <c r="AN125" s="204"/>
    </row>
    <row r="126" spans="1:40" thickBot="1">
      <c r="A126" s="144"/>
      <c r="B126" s="144"/>
      <c r="C126" s="144"/>
      <c r="E126" s="144"/>
      <c r="F126" s="144"/>
      <c r="G126" s="144"/>
      <c r="H126" s="3340"/>
      <c r="I126" s="144"/>
      <c r="J126" s="144"/>
      <c r="K126" s="144"/>
      <c r="L126" s="144"/>
      <c r="M126" s="144"/>
      <c r="N126" s="144"/>
      <c r="O126" s="144"/>
      <c r="P126" s="144"/>
      <c r="Q126" s="146"/>
      <c r="R126" s="144"/>
      <c r="S126" s="144"/>
      <c r="T126" s="144"/>
      <c r="U126" s="222"/>
      <c r="V126" s="222"/>
      <c r="W126" s="222"/>
      <c r="X126" s="222"/>
      <c r="Y126" s="222"/>
      <c r="Z126" s="222"/>
      <c r="AA126" s="222"/>
      <c r="AB126" s="144"/>
      <c r="AC126" s="231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13"/>
      <c r="AJ126" s="204"/>
      <c r="AK126" s="204"/>
      <c r="AL126" s="204"/>
      <c r="AM126" s="204"/>
      <c r="AN126" s="204"/>
    </row>
    <row r="127" spans="1:40" thickBot="1">
      <c r="A127" s="144"/>
      <c r="B127" s="144"/>
      <c r="C127" s="144"/>
      <c r="E127" s="144"/>
      <c r="F127" s="144"/>
      <c r="G127" s="144"/>
      <c r="H127" s="3340"/>
      <c r="I127" s="144"/>
      <c r="J127" s="144"/>
      <c r="K127" s="144"/>
      <c r="L127" s="144"/>
      <c r="M127" s="144"/>
      <c r="N127" s="144"/>
      <c r="O127" s="144"/>
      <c r="P127" s="144"/>
      <c r="Q127" s="146"/>
      <c r="R127" s="144"/>
      <c r="S127" s="144"/>
      <c r="T127" s="144"/>
      <c r="U127" s="222"/>
      <c r="V127" s="222"/>
      <c r="W127" s="222"/>
      <c r="X127" s="222"/>
      <c r="Y127" s="222"/>
      <c r="Z127" s="222"/>
      <c r="AA127" s="222"/>
      <c r="AB127" s="144"/>
      <c r="AC127" s="231"/>
      <c r="AD127" s="231"/>
      <c r="AE127" s="231"/>
      <c r="AF127" s="231"/>
      <c r="AG127" s="231"/>
      <c r="AH127" s="231"/>
      <c r="AJ127" s="204"/>
      <c r="AK127" s="204"/>
      <c r="AL127" s="204"/>
      <c r="AM127" s="204"/>
      <c r="AN127" s="204"/>
    </row>
    <row r="128" spans="1:40" thickBot="1">
      <c r="A128" s="144"/>
      <c r="B128" s="144"/>
      <c r="C128" s="144"/>
      <c r="E128" s="144"/>
      <c r="F128" s="144"/>
      <c r="G128" s="144"/>
      <c r="H128" s="3340"/>
      <c r="I128" s="144"/>
      <c r="J128" s="144"/>
      <c r="K128" s="144"/>
      <c r="L128" s="144"/>
      <c r="M128" s="144"/>
      <c r="N128" s="144"/>
      <c r="O128" s="144"/>
      <c r="P128" s="144"/>
      <c r="Q128" s="146"/>
      <c r="R128" s="144"/>
      <c r="S128" s="144"/>
      <c r="T128" s="144"/>
      <c r="U128" s="222"/>
      <c r="V128" s="222"/>
      <c r="W128" s="222"/>
      <c r="X128" s="222"/>
      <c r="Y128" s="222"/>
      <c r="Z128" s="222"/>
      <c r="AA128" s="222"/>
      <c r="AB128" s="144"/>
      <c r="AJ128" s="204"/>
      <c r="AK128" s="204"/>
      <c r="AL128" s="204"/>
      <c r="AM128" s="204"/>
      <c r="AN128" s="204"/>
    </row>
    <row r="129" spans="1:40" thickBot="1">
      <c r="A129" s="144"/>
      <c r="B129" s="144"/>
      <c r="C129" s="144"/>
      <c r="E129" s="144"/>
      <c r="F129" s="144"/>
      <c r="G129" s="144"/>
      <c r="H129" s="3340"/>
      <c r="I129" s="144"/>
      <c r="J129" s="144"/>
      <c r="K129" s="144"/>
      <c r="L129" s="144"/>
      <c r="M129" s="144"/>
      <c r="N129" s="144"/>
      <c r="O129" s="144"/>
      <c r="P129" s="144"/>
      <c r="Q129" s="146"/>
      <c r="R129" s="144"/>
      <c r="S129" s="144"/>
      <c r="T129" s="144"/>
      <c r="U129" s="222"/>
      <c r="V129" s="222"/>
      <c r="W129" s="222"/>
      <c r="X129" s="222"/>
      <c r="Y129" s="222"/>
      <c r="Z129" s="222"/>
      <c r="AA129" s="222"/>
      <c r="AB129" s="144"/>
      <c r="AJ129" s="204"/>
      <c r="AK129" s="204"/>
      <c r="AL129" s="204"/>
      <c r="AM129" s="204"/>
      <c r="AN129" s="204"/>
    </row>
    <row r="130" spans="1:40" thickBot="1">
      <c r="A130" s="144"/>
      <c r="B130" s="144"/>
      <c r="C130" s="144"/>
      <c r="E130" s="144"/>
      <c r="F130" s="144"/>
      <c r="G130" s="144"/>
      <c r="H130" s="3340"/>
      <c r="I130" s="144"/>
      <c r="J130" s="144"/>
      <c r="K130" s="144"/>
      <c r="L130" s="144"/>
      <c r="M130" s="144"/>
      <c r="N130" s="144"/>
      <c r="O130" s="144"/>
      <c r="P130" s="144"/>
      <c r="Q130" s="146"/>
      <c r="R130" s="144"/>
      <c r="S130" s="144"/>
      <c r="T130" s="144"/>
      <c r="U130" s="222"/>
      <c r="V130" s="222"/>
      <c r="W130" s="222"/>
      <c r="X130" s="222"/>
      <c r="Y130" s="222"/>
      <c r="Z130" s="222"/>
      <c r="AA130" s="222"/>
      <c r="AB130" s="144"/>
      <c r="AJ130" s="204"/>
      <c r="AK130" s="204"/>
      <c r="AL130" s="204"/>
      <c r="AM130" s="204"/>
      <c r="AN130" s="204"/>
    </row>
    <row r="131" spans="1:40" thickBot="1">
      <c r="A131" s="144"/>
      <c r="B131" s="144"/>
      <c r="C131" s="144"/>
      <c r="E131" s="144"/>
      <c r="F131" s="144"/>
      <c r="G131" s="144"/>
      <c r="H131" s="3340"/>
      <c r="I131" s="144"/>
      <c r="J131" s="144"/>
      <c r="K131" s="144"/>
      <c r="L131" s="144"/>
      <c r="M131" s="144"/>
      <c r="N131" s="144"/>
      <c r="O131" s="144"/>
      <c r="P131" s="144"/>
      <c r="Q131" s="146"/>
      <c r="R131" s="144"/>
      <c r="S131" s="144"/>
      <c r="T131" s="144"/>
      <c r="U131" s="222"/>
      <c r="V131" s="222"/>
      <c r="W131" s="222"/>
      <c r="X131" s="222"/>
      <c r="Y131" s="222"/>
      <c r="Z131" s="222"/>
      <c r="AA131" s="222"/>
      <c r="AB131" s="144"/>
      <c r="AJ131" s="204"/>
      <c r="AK131" s="204"/>
      <c r="AL131" s="204"/>
      <c r="AM131" s="204"/>
      <c r="AN131" s="204"/>
    </row>
    <row r="132" spans="1:40" thickBot="1">
      <c r="A132" s="144"/>
      <c r="B132" s="144"/>
      <c r="C132" s="144"/>
      <c r="E132" s="144"/>
      <c r="F132" s="144"/>
      <c r="G132" s="144"/>
      <c r="H132" s="3340"/>
      <c r="I132" s="144"/>
      <c r="J132" s="144"/>
      <c r="K132" s="144"/>
      <c r="L132" s="144"/>
      <c r="M132" s="144"/>
      <c r="N132" s="144"/>
      <c r="O132" s="144"/>
      <c r="P132" s="144"/>
      <c r="Q132" s="146"/>
      <c r="R132" s="144"/>
      <c r="S132" s="144"/>
      <c r="T132" s="144"/>
      <c r="U132" s="222"/>
      <c r="V132" s="222"/>
      <c r="W132" s="222"/>
      <c r="X132" s="222"/>
      <c r="Y132" s="222"/>
      <c r="Z132" s="222"/>
      <c r="AA132" s="222"/>
      <c r="AB132" s="144"/>
      <c r="AJ132" s="204"/>
      <c r="AK132" s="204"/>
      <c r="AL132" s="204"/>
      <c r="AM132" s="204"/>
      <c r="AN132" s="204"/>
    </row>
    <row r="133" spans="1:40" thickBot="1">
      <c r="A133" s="144"/>
      <c r="B133" s="144"/>
      <c r="C133" s="144"/>
      <c r="E133" s="144"/>
      <c r="F133" s="144"/>
      <c r="G133" s="144"/>
      <c r="H133" s="3340"/>
      <c r="I133" s="144"/>
      <c r="J133" s="144"/>
      <c r="K133" s="144"/>
      <c r="L133" s="144"/>
      <c r="M133" s="144"/>
      <c r="N133" s="144"/>
      <c r="O133" s="144"/>
      <c r="P133" s="144"/>
      <c r="Q133" s="146"/>
      <c r="R133" s="144"/>
      <c r="S133" s="144"/>
      <c r="T133" s="144"/>
      <c r="U133" s="222"/>
      <c r="V133" s="222"/>
      <c r="W133" s="222"/>
      <c r="X133" s="222"/>
      <c r="Y133" s="222"/>
      <c r="Z133" s="222"/>
      <c r="AA133" s="222"/>
      <c r="AB133" s="144"/>
      <c r="AJ133" s="204"/>
      <c r="AK133" s="204"/>
      <c r="AL133" s="204"/>
      <c r="AM133" s="204"/>
      <c r="AN133" s="204"/>
    </row>
    <row r="134" spans="1:40" thickBot="1">
      <c r="A134" s="144"/>
      <c r="B134" s="144"/>
      <c r="C134" s="144"/>
      <c r="E134" s="144"/>
      <c r="F134" s="144"/>
      <c r="G134" s="144"/>
      <c r="H134" s="3340"/>
      <c r="I134" s="144"/>
      <c r="J134" s="144"/>
      <c r="K134" s="144"/>
      <c r="L134" s="144"/>
      <c r="M134" s="144"/>
      <c r="N134" s="144"/>
      <c r="O134" s="144"/>
      <c r="P134" s="144"/>
      <c r="Q134" s="146"/>
      <c r="R134" s="144"/>
      <c r="S134" s="144"/>
      <c r="T134" s="144"/>
      <c r="U134" s="222"/>
      <c r="V134" s="222"/>
      <c r="W134" s="222"/>
      <c r="X134" s="222"/>
      <c r="Y134" s="222"/>
      <c r="Z134" s="222"/>
      <c r="AA134" s="222"/>
      <c r="AB134" s="144"/>
      <c r="AJ134" s="204"/>
      <c r="AK134" s="204"/>
      <c r="AL134" s="204"/>
      <c r="AM134" s="204"/>
      <c r="AN134" s="204"/>
    </row>
    <row r="135" spans="1:40" thickBot="1">
      <c r="A135" s="144"/>
      <c r="B135" s="144"/>
      <c r="C135" s="144"/>
      <c r="E135" s="144"/>
      <c r="F135" s="144"/>
      <c r="G135" s="144"/>
      <c r="H135" s="3340"/>
      <c r="I135" s="144"/>
      <c r="J135" s="144"/>
      <c r="K135" s="144"/>
      <c r="L135" s="144"/>
      <c r="M135" s="144"/>
      <c r="N135" s="144"/>
      <c r="O135" s="144"/>
      <c r="P135" s="144"/>
      <c r="Q135" s="146"/>
      <c r="R135" s="144"/>
      <c r="S135" s="144"/>
      <c r="T135" s="144"/>
      <c r="U135" s="222"/>
      <c r="V135" s="222"/>
      <c r="W135" s="222"/>
      <c r="X135" s="222"/>
      <c r="Y135" s="222"/>
      <c r="Z135" s="222"/>
      <c r="AA135" s="222"/>
      <c r="AB135" s="144"/>
      <c r="AJ135" s="204"/>
      <c r="AK135" s="204"/>
      <c r="AL135" s="204"/>
      <c r="AM135" s="204"/>
      <c r="AN135" s="204"/>
    </row>
    <row r="136" spans="1:40" thickBot="1">
      <c r="A136" s="144"/>
      <c r="B136" s="144"/>
      <c r="C136" s="144"/>
      <c r="E136" s="144"/>
      <c r="F136" s="144"/>
      <c r="G136" s="144"/>
      <c r="H136" s="3340"/>
      <c r="I136" s="144"/>
      <c r="J136" s="144"/>
      <c r="K136" s="144"/>
      <c r="L136" s="144"/>
      <c r="M136" s="144"/>
      <c r="N136" s="144"/>
      <c r="O136" s="144"/>
      <c r="P136" s="144"/>
      <c r="Q136" s="146"/>
      <c r="R136" s="144"/>
      <c r="S136" s="144"/>
      <c r="T136" s="144"/>
      <c r="U136" s="222"/>
      <c r="V136" s="222"/>
      <c r="W136" s="222"/>
      <c r="X136" s="222"/>
      <c r="Y136" s="222"/>
      <c r="Z136" s="222"/>
      <c r="AA136" s="222"/>
      <c r="AB136" s="144"/>
      <c r="AJ136" s="204"/>
      <c r="AK136" s="204"/>
      <c r="AL136" s="204"/>
      <c r="AM136" s="204"/>
      <c r="AN136" s="204"/>
    </row>
    <row r="137" spans="1:40" thickBot="1">
      <c r="A137" s="144"/>
      <c r="B137" s="144"/>
      <c r="C137" s="144"/>
      <c r="E137" s="144"/>
      <c r="F137" s="144"/>
      <c r="G137" s="144"/>
      <c r="H137" s="3340"/>
      <c r="I137" s="144"/>
      <c r="J137" s="144"/>
      <c r="K137" s="144"/>
      <c r="L137" s="144"/>
      <c r="M137" s="144"/>
      <c r="N137" s="144"/>
      <c r="O137" s="144"/>
      <c r="P137" s="144"/>
      <c r="Q137" s="146"/>
      <c r="R137" s="144"/>
      <c r="S137" s="144"/>
      <c r="T137" s="144"/>
      <c r="U137" s="222"/>
      <c r="V137" s="222"/>
      <c r="W137" s="222"/>
      <c r="X137" s="222"/>
      <c r="Y137" s="222"/>
      <c r="Z137" s="222"/>
      <c r="AA137" s="222"/>
      <c r="AB137" s="144"/>
      <c r="AJ137" s="204"/>
      <c r="AK137" s="204"/>
      <c r="AL137" s="204"/>
      <c r="AM137" s="204"/>
      <c r="AN137" s="204"/>
    </row>
    <row r="138" spans="1:40" thickBot="1">
      <c r="A138" s="144"/>
      <c r="B138" s="144"/>
      <c r="C138" s="144"/>
      <c r="E138" s="144"/>
      <c r="F138" s="144"/>
      <c r="G138" s="144"/>
      <c r="H138" s="3340"/>
      <c r="I138" s="144"/>
      <c r="J138" s="144"/>
      <c r="K138" s="144"/>
      <c r="L138" s="144"/>
      <c r="M138" s="144"/>
      <c r="N138" s="144"/>
      <c r="O138" s="144"/>
      <c r="P138" s="144"/>
      <c r="Q138" s="146"/>
      <c r="R138" s="144"/>
      <c r="S138" s="144"/>
      <c r="T138" s="144"/>
      <c r="U138" s="222"/>
      <c r="V138" s="222"/>
      <c r="W138" s="222"/>
      <c r="X138" s="222"/>
      <c r="Y138" s="222"/>
      <c r="Z138" s="222"/>
      <c r="AA138" s="222"/>
      <c r="AB138" s="144"/>
      <c r="AN138" s="204"/>
    </row>
    <row r="139" spans="1:40" thickBot="1">
      <c r="A139" s="144"/>
      <c r="B139" s="144"/>
      <c r="C139" s="144"/>
      <c r="E139" s="144"/>
      <c r="F139" s="144"/>
      <c r="G139" s="144"/>
      <c r="H139" s="3340"/>
      <c r="I139" s="144"/>
      <c r="J139" s="144"/>
      <c r="K139" s="144"/>
      <c r="L139" s="144"/>
      <c r="M139" s="144"/>
      <c r="N139" s="144"/>
      <c r="O139" s="144"/>
      <c r="P139" s="144"/>
      <c r="Q139" s="146"/>
      <c r="R139" s="144"/>
      <c r="S139" s="144"/>
      <c r="T139" s="144"/>
      <c r="U139" s="222"/>
      <c r="V139" s="222"/>
      <c r="W139" s="222"/>
      <c r="X139" s="222"/>
      <c r="Y139" s="222"/>
      <c r="Z139" s="222"/>
      <c r="AA139" s="222"/>
      <c r="AB139" s="144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3"/>
      <c r="AM139" s="213"/>
      <c r="AN139" s="204"/>
    </row>
    <row r="140" spans="1:40" s="247" customFormat="1" ht="13" thickBot="1">
      <c r="A140" s="144"/>
      <c r="B140" s="144"/>
      <c r="C140" s="144"/>
      <c r="D140" s="1977"/>
      <c r="E140" s="144"/>
      <c r="F140" s="144"/>
      <c r="G140" s="144"/>
      <c r="H140" s="3340"/>
      <c r="I140" s="144"/>
      <c r="J140" s="144"/>
      <c r="K140" s="144"/>
      <c r="L140" s="144"/>
      <c r="M140" s="144"/>
      <c r="N140" s="144"/>
      <c r="O140" s="144"/>
      <c r="P140" s="144"/>
      <c r="Q140" s="146"/>
      <c r="R140" s="144"/>
      <c r="S140" s="144"/>
      <c r="T140" s="144"/>
      <c r="U140" s="222"/>
      <c r="V140" s="222"/>
      <c r="W140" s="222"/>
      <c r="X140" s="222"/>
      <c r="Y140" s="222"/>
      <c r="Z140" s="222"/>
      <c r="AA140" s="222"/>
      <c r="AB140" s="144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1:40" s="247" customFormat="1" ht="13" thickBot="1">
      <c r="A141" s="144"/>
      <c r="B141" s="144"/>
      <c r="C141" s="144"/>
      <c r="D141" s="1977"/>
      <c r="E141" s="144"/>
      <c r="F141" s="144"/>
      <c r="G141" s="144"/>
      <c r="H141" s="3340"/>
      <c r="I141" s="144"/>
      <c r="J141" s="144"/>
      <c r="K141" s="144"/>
      <c r="L141" s="144"/>
      <c r="M141" s="144"/>
      <c r="N141" s="144"/>
      <c r="O141" s="144"/>
      <c r="P141" s="144"/>
      <c r="Q141" s="146"/>
      <c r="R141" s="144"/>
      <c r="S141" s="144"/>
      <c r="T141" s="144"/>
      <c r="U141" s="222"/>
      <c r="V141" s="222"/>
      <c r="W141" s="222"/>
      <c r="X141" s="222"/>
      <c r="Y141" s="222"/>
      <c r="Z141" s="222"/>
      <c r="AA141" s="222"/>
      <c r="AB141" s="144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1:40" s="247" customFormat="1" ht="13" thickBot="1">
      <c r="A142" s="144"/>
      <c r="B142" s="144"/>
      <c r="C142" s="144"/>
      <c r="D142" s="1977"/>
      <c r="E142" s="144"/>
      <c r="F142" s="144"/>
      <c r="G142" s="144"/>
      <c r="H142" s="3340"/>
      <c r="I142" s="144"/>
      <c r="J142" s="144"/>
      <c r="K142" s="144"/>
      <c r="L142" s="144"/>
      <c r="M142" s="144"/>
      <c r="N142" s="144"/>
      <c r="O142" s="144"/>
      <c r="P142" s="144"/>
      <c r="Q142" s="146"/>
      <c r="R142" s="144"/>
      <c r="S142" s="144"/>
      <c r="T142" s="144"/>
      <c r="U142" s="222"/>
      <c r="V142" s="222"/>
      <c r="W142" s="222"/>
      <c r="X142" s="222"/>
      <c r="Y142" s="222"/>
      <c r="Z142" s="222"/>
      <c r="AA142" s="222"/>
      <c r="AB142" s="144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1:40" s="247" customFormat="1" ht="13" thickBot="1">
      <c r="A143" s="144"/>
      <c r="B143" s="144"/>
      <c r="C143" s="144"/>
      <c r="D143" s="1977"/>
      <c r="E143" s="144"/>
      <c r="F143" s="144"/>
      <c r="G143" s="144"/>
      <c r="H143" s="3340"/>
      <c r="I143" s="144"/>
      <c r="J143" s="144"/>
      <c r="K143" s="144"/>
      <c r="L143" s="144"/>
      <c r="M143" s="144"/>
      <c r="N143" s="144"/>
      <c r="O143" s="144"/>
      <c r="P143" s="144"/>
      <c r="Q143" s="146"/>
      <c r="R143" s="144"/>
      <c r="S143" s="144"/>
      <c r="T143" s="144"/>
      <c r="U143" s="222"/>
      <c r="V143" s="222"/>
      <c r="W143" s="222"/>
      <c r="X143" s="222"/>
      <c r="Y143" s="222"/>
      <c r="Z143" s="222"/>
      <c r="AA143" s="222"/>
      <c r="AB143" s="144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1:40" s="247" customFormat="1" ht="13" thickBot="1">
      <c r="B144" s="144"/>
      <c r="C144" s="143"/>
      <c r="D144" s="1977"/>
      <c r="E144" s="143"/>
      <c r="F144" s="145"/>
      <c r="G144" s="146"/>
      <c r="H144" s="3340"/>
      <c r="I144" s="146"/>
      <c r="J144" s="146"/>
      <c r="K144" s="146"/>
      <c r="L144" s="146"/>
      <c r="M144" s="458"/>
      <c r="N144" s="146"/>
      <c r="O144" s="146"/>
      <c r="P144" s="146"/>
      <c r="Q144" s="147"/>
      <c r="R144" s="147"/>
      <c r="S144" s="142"/>
      <c r="T144" s="142"/>
      <c r="U144" s="222"/>
      <c r="V144" s="222"/>
      <c r="W144" s="222"/>
      <c r="X144" s="222"/>
      <c r="Y144" s="222"/>
      <c r="Z144" s="222"/>
      <c r="AA144" s="222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39" s="247" customFormat="1" ht="13" thickBot="1">
      <c r="B145" s="144"/>
      <c r="C145" s="143"/>
      <c r="D145" s="1977"/>
      <c r="E145" s="143"/>
      <c r="F145" s="145"/>
      <c r="G145" s="146"/>
      <c r="H145" s="3340"/>
      <c r="I145" s="146"/>
      <c r="J145" s="146"/>
      <c r="K145" s="146"/>
      <c r="L145" s="146"/>
      <c r="M145" s="458"/>
      <c r="N145" s="146"/>
      <c r="O145" s="146"/>
      <c r="P145" s="146"/>
      <c r="Q145" s="147"/>
      <c r="R145" s="147"/>
      <c r="S145" s="142"/>
      <c r="T145" s="142"/>
      <c r="U145" s="222"/>
      <c r="V145" s="222"/>
      <c r="W145" s="222"/>
      <c r="X145" s="222"/>
      <c r="Y145" s="222"/>
      <c r="Z145" s="222"/>
      <c r="AA145" s="222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39" s="247" customFormat="1" ht="13" thickBot="1">
      <c r="B146" s="144"/>
      <c r="C146" s="143"/>
      <c r="D146" s="1977"/>
      <c r="E146" s="143"/>
      <c r="F146" s="145"/>
      <c r="G146" s="146"/>
      <c r="H146" s="3340"/>
      <c r="I146" s="146"/>
      <c r="J146" s="146"/>
      <c r="K146" s="146"/>
      <c r="L146" s="146"/>
      <c r="M146" s="458"/>
      <c r="N146" s="146"/>
      <c r="O146" s="146"/>
      <c r="P146" s="146"/>
      <c r="Q146" s="147"/>
      <c r="R146" s="147"/>
      <c r="S146" s="142"/>
      <c r="T146" s="142"/>
      <c r="U146" s="222"/>
      <c r="V146" s="222"/>
      <c r="W146" s="222"/>
      <c r="X146" s="222"/>
      <c r="Y146" s="222"/>
      <c r="Z146" s="222"/>
      <c r="AA146" s="222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39" s="247" customFormat="1" ht="13" thickBot="1">
      <c r="B147" s="144"/>
      <c r="C147" s="143"/>
      <c r="D147" s="1977"/>
      <c r="E147" s="143"/>
      <c r="F147" s="145"/>
      <c r="G147" s="146"/>
      <c r="H147" s="3340"/>
      <c r="I147" s="146"/>
      <c r="J147" s="146"/>
      <c r="K147" s="146"/>
      <c r="L147" s="146"/>
      <c r="M147" s="458"/>
      <c r="N147" s="146"/>
      <c r="O147" s="146"/>
      <c r="P147" s="146"/>
      <c r="Q147" s="147"/>
      <c r="R147" s="147"/>
      <c r="S147" s="142"/>
      <c r="T147" s="142"/>
      <c r="U147" s="222"/>
      <c r="V147" s="222"/>
      <c r="W147" s="222"/>
      <c r="X147" s="222"/>
      <c r="Y147" s="222"/>
      <c r="Z147" s="222"/>
      <c r="AA147" s="222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39" s="247" customFormat="1" ht="13" thickBot="1">
      <c r="B148" s="144"/>
      <c r="C148" s="143"/>
      <c r="D148" s="1977"/>
      <c r="E148" s="143"/>
      <c r="F148" s="145"/>
      <c r="G148" s="146"/>
      <c r="H148" s="3340"/>
      <c r="I148" s="146"/>
      <c r="J148" s="146"/>
      <c r="K148" s="146"/>
      <c r="L148" s="146"/>
      <c r="M148" s="458"/>
      <c r="N148" s="146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39" s="247" customFormat="1" ht="13" thickBot="1">
      <c r="B149" s="144"/>
      <c r="C149" s="143"/>
      <c r="D149" s="1977"/>
      <c r="E149" s="143"/>
      <c r="F149" s="145"/>
      <c r="G149" s="146"/>
      <c r="H149" s="3340"/>
      <c r="I149" s="146"/>
      <c r="J149" s="146"/>
      <c r="K149" s="146"/>
      <c r="L149" s="146"/>
      <c r="M149" s="458"/>
      <c r="N149" s="146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39" s="247" customFormat="1" ht="13" thickBot="1">
      <c r="B150" s="144"/>
      <c r="C150" s="143"/>
      <c r="D150" s="1977"/>
      <c r="E150" s="143"/>
      <c r="F150" s="145"/>
      <c r="G150" s="146"/>
      <c r="H150" s="3340"/>
      <c r="I150" s="146"/>
      <c r="J150" s="146"/>
      <c r="K150" s="146"/>
      <c r="L150" s="146"/>
      <c r="M150" s="458"/>
      <c r="N150" s="146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39" s="247" customFormat="1" ht="13" thickBot="1">
      <c r="B151" s="144"/>
      <c r="C151" s="143"/>
      <c r="D151" s="1977"/>
      <c r="E151" s="143"/>
      <c r="F151" s="145"/>
      <c r="G151" s="146"/>
      <c r="H151" s="3340"/>
      <c r="I151" s="146"/>
      <c r="J151" s="146"/>
      <c r="K151" s="146"/>
      <c r="L151" s="146"/>
      <c r="M151" s="458"/>
      <c r="N151" s="146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39" s="247" customFormat="1" ht="13" thickBot="1">
      <c r="B152" s="144"/>
      <c r="C152" s="143"/>
      <c r="D152" s="1977"/>
      <c r="E152" s="143"/>
      <c r="F152" s="145"/>
      <c r="G152" s="146"/>
      <c r="H152" s="3340"/>
      <c r="I152" s="146"/>
      <c r="J152" s="146"/>
      <c r="K152" s="146"/>
      <c r="L152" s="146"/>
      <c r="M152" s="458"/>
      <c r="N152" s="146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39" s="247" customFormat="1" ht="13" thickBot="1">
      <c r="B153" s="144"/>
      <c r="C153" s="143"/>
      <c r="D153" s="1977"/>
      <c r="E153" s="143"/>
      <c r="F153" s="145"/>
      <c r="G153" s="146"/>
      <c r="H153" s="3340"/>
      <c r="I153" s="146"/>
      <c r="J153" s="146"/>
      <c r="K153" s="146"/>
      <c r="L153" s="146"/>
      <c r="M153" s="458"/>
      <c r="N153" s="146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39" s="247" customFormat="1" ht="13" thickBot="1">
      <c r="B154" s="144"/>
      <c r="C154" s="143"/>
      <c r="D154" s="1977"/>
      <c r="E154" s="143"/>
      <c r="F154" s="145"/>
      <c r="G154" s="146"/>
      <c r="H154" s="3340"/>
      <c r="I154" s="146"/>
      <c r="J154" s="146"/>
      <c r="K154" s="146"/>
      <c r="L154" s="146"/>
      <c r="M154" s="458"/>
      <c r="N154" s="146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39" s="247" customFormat="1" ht="13" thickBot="1">
      <c r="B155" s="144"/>
      <c r="C155" s="143"/>
      <c r="D155" s="1977"/>
      <c r="E155" s="143"/>
      <c r="F155" s="145"/>
      <c r="G155" s="146"/>
      <c r="H155" s="3340"/>
      <c r="I155" s="146"/>
      <c r="J155" s="146"/>
      <c r="K155" s="146"/>
      <c r="L155" s="146"/>
      <c r="M155" s="458"/>
      <c r="N155" s="146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39" s="247" customFormat="1" ht="13" thickBot="1">
      <c r="B156" s="144"/>
      <c r="C156" s="143"/>
      <c r="D156" s="1977"/>
      <c r="E156" s="143"/>
      <c r="F156" s="145"/>
      <c r="G156" s="146"/>
      <c r="H156" s="3340"/>
      <c r="I156" s="146"/>
      <c r="J156" s="146"/>
      <c r="K156" s="146"/>
      <c r="L156" s="146"/>
      <c r="M156" s="458"/>
      <c r="N156" s="146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39" s="247" customFormat="1" ht="13" thickBot="1">
      <c r="B157" s="144"/>
      <c r="C157" s="143"/>
      <c r="D157" s="1977"/>
      <c r="E157" s="143"/>
      <c r="F157" s="145"/>
      <c r="G157" s="146"/>
      <c r="H157" s="3340"/>
      <c r="I157" s="146"/>
      <c r="J157" s="146"/>
      <c r="K157" s="146"/>
      <c r="L157" s="146"/>
      <c r="M157" s="458"/>
      <c r="N157" s="146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39" s="247" customFormat="1" ht="13" thickBot="1">
      <c r="B158" s="144"/>
      <c r="C158" s="143"/>
      <c r="D158" s="1977"/>
      <c r="E158" s="143"/>
      <c r="F158" s="145"/>
      <c r="G158" s="146"/>
      <c r="H158" s="3340"/>
      <c r="I158" s="146"/>
      <c r="J158" s="146"/>
      <c r="K158" s="146"/>
      <c r="L158" s="146"/>
      <c r="M158" s="458"/>
      <c r="N158" s="146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39" s="247" customFormat="1" ht="13" thickBot="1">
      <c r="B159" s="144"/>
      <c r="C159" s="143"/>
      <c r="D159" s="1977"/>
      <c r="E159" s="143"/>
      <c r="F159" s="145"/>
      <c r="G159" s="146"/>
      <c r="H159" s="3340"/>
      <c r="I159" s="146"/>
      <c r="J159" s="146"/>
      <c r="K159" s="146"/>
      <c r="L159" s="146"/>
      <c r="M159" s="458"/>
      <c r="N159" s="146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39" s="247" customFormat="1" ht="13" thickBot="1">
      <c r="B160" s="144"/>
      <c r="C160" s="143"/>
      <c r="D160" s="1977"/>
      <c r="E160" s="143"/>
      <c r="F160" s="145"/>
      <c r="G160" s="146"/>
      <c r="H160" s="3340"/>
      <c r="I160" s="146"/>
      <c r="J160" s="146"/>
      <c r="K160" s="146"/>
      <c r="L160" s="146"/>
      <c r="M160" s="458"/>
      <c r="N160" s="146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39" s="247" customFormat="1" ht="13" thickBot="1">
      <c r="B161" s="144"/>
      <c r="C161" s="143"/>
      <c r="D161" s="1977"/>
      <c r="E161" s="143"/>
      <c r="F161" s="145"/>
      <c r="G161" s="146"/>
      <c r="H161" s="3340"/>
      <c r="I161" s="146"/>
      <c r="J161" s="146"/>
      <c r="K161" s="146"/>
      <c r="L161" s="146"/>
      <c r="M161" s="458"/>
      <c r="N161" s="146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39" s="247" customFormat="1" ht="13" thickBot="1">
      <c r="B162" s="144"/>
      <c r="C162" s="143"/>
      <c r="D162" s="1977"/>
      <c r="E162" s="143"/>
      <c r="F162" s="145"/>
      <c r="G162" s="146"/>
      <c r="H162" s="3340"/>
      <c r="I162" s="146"/>
      <c r="J162" s="146"/>
      <c r="K162" s="146"/>
      <c r="L162" s="146"/>
      <c r="M162" s="458"/>
      <c r="N162" s="146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39" s="247" customFormat="1" ht="13" thickBot="1">
      <c r="B163" s="144"/>
      <c r="C163" s="143"/>
      <c r="D163" s="1977"/>
      <c r="E163" s="143"/>
      <c r="F163" s="145"/>
      <c r="G163" s="146"/>
      <c r="H163" s="3340"/>
      <c r="I163" s="146"/>
      <c r="J163" s="146"/>
      <c r="K163" s="146"/>
      <c r="L163" s="146"/>
      <c r="M163" s="458"/>
      <c r="N163" s="146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39" s="247" customFormat="1" ht="13" thickBot="1">
      <c r="B164" s="144"/>
      <c r="C164" s="143"/>
      <c r="D164" s="1977"/>
      <c r="E164" s="143"/>
      <c r="F164" s="145"/>
      <c r="G164" s="146"/>
      <c r="H164" s="3340"/>
      <c r="I164" s="146"/>
      <c r="J164" s="146"/>
      <c r="K164" s="146"/>
      <c r="L164" s="146"/>
      <c r="M164" s="458"/>
      <c r="N164" s="146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39" s="247" customFormat="1" ht="13" thickBot="1">
      <c r="B165" s="144"/>
      <c r="C165" s="143"/>
      <c r="D165" s="1977"/>
      <c r="E165" s="143"/>
      <c r="F165" s="145"/>
      <c r="G165" s="146"/>
      <c r="H165" s="3340"/>
      <c r="I165" s="146"/>
      <c r="J165" s="146"/>
      <c r="K165" s="146"/>
      <c r="L165" s="146"/>
      <c r="M165" s="458"/>
      <c r="N165" s="146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39" s="247" customFormat="1" ht="13" thickBot="1">
      <c r="B166" s="144"/>
      <c r="C166" s="143"/>
      <c r="D166" s="1977"/>
      <c r="E166" s="143"/>
      <c r="F166" s="145"/>
      <c r="G166" s="146"/>
      <c r="H166" s="3340"/>
      <c r="I166" s="146"/>
      <c r="J166" s="146"/>
      <c r="K166" s="146"/>
      <c r="L166" s="146"/>
      <c r="M166" s="458"/>
      <c r="N166" s="146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39" s="247" customFormat="1" ht="13" thickBot="1">
      <c r="B167" s="144"/>
      <c r="C167" s="143"/>
      <c r="D167" s="1977"/>
      <c r="E167" s="143"/>
      <c r="F167" s="145"/>
      <c r="G167" s="146"/>
      <c r="H167" s="3340"/>
      <c r="I167" s="146"/>
      <c r="J167" s="146"/>
      <c r="K167" s="146"/>
      <c r="L167" s="146"/>
      <c r="M167" s="458"/>
      <c r="N167" s="146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39" s="247" customFormat="1" ht="13" thickBot="1">
      <c r="B168" s="144"/>
      <c r="C168" s="143"/>
      <c r="D168" s="1977"/>
      <c r="E168" s="143"/>
      <c r="F168" s="145"/>
      <c r="G168" s="146"/>
      <c r="H168" s="3340"/>
      <c r="I168" s="146"/>
      <c r="J168" s="146"/>
      <c r="K168" s="146"/>
      <c r="L168" s="146"/>
      <c r="M168" s="458"/>
      <c r="N168" s="146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39" s="247" customFormat="1" ht="13" thickBot="1">
      <c r="B169" s="144"/>
      <c r="C169" s="143"/>
      <c r="D169" s="1977"/>
      <c r="E169" s="143"/>
      <c r="F169" s="145"/>
      <c r="G169" s="146"/>
      <c r="H169" s="3340"/>
      <c r="I169" s="146"/>
      <c r="J169" s="146"/>
      <c r="K169" s="146"/>
      <c r="L169" s="146"/>
      <c r="M169" s="458"/>
      <c r="N169" s="146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B169" s="247">
        <f>SUBTOTAL(9,AB127:AB168)</f>
        <v>0</v>
      </c>
      <c r="AC169" s="214">
        <f>SUBTOTAL(9,AC127:AC168)</f>
        <v>0</v>
      </c>
      <c r="AD169" s="214">
        <f>SUBTOTAL(9,AD127:AD168)</f>
        <v>0</v>
      </c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39" s="247" customFormat="1" ht="13" thickBot="1">
      <c r="B170" s="144"/>
      <c r="C170" s="143"/>
      <c r="D170" s="1977"/>
      <c r="E170" s="143"/>
      <c r="F170" s="145"/>
      <c r="G170" s="146"/>
      <c r="H170" s="3340"/>
      <c r="I170" s="146"/>
      <c r="J170" s="146"/>
      <c r="K170" s="146"/>
      <c r="L170" s="146"/>
      <c r="M170" s="458"/>
      <c r="N170" s="146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B170" s="247">
        <v>0</v>
      </c>
      <c r="AC170" s="214">
        <v>0</v>
      </c>
      <c r="AD170" s="214">
        <v>0</v>
      </c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39" s="247" customFormat="1" ht="13" thickBot="1">
      <c r="B171" s="144"/>
      <c r="C171" s="143"/>
      <c r="D171" s="1977"/>
      <c r="E171" s="143"/>
      <c r="F171" s="145"/>
      <c r="G171" s="146"/>
      <c r="H171" s="3340"/>
      <c r="I171" s="146"/>
      <c r="J171" s="146"/>
      <c r="K171" s="146"/>
      <c r="L171" s="146"/>
      <c r="M171" s="458"/>
      <c r="N171" s="146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B171" s="247">
        <v>0</v>
      </c>
      <c r="AC171" s="214">
        <v>0</v>
      </c>
      <c r="AD171" s="214">
        <v>0</v>
      </c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39" s="247" customFormat="1" ht="13" thickBot="1">
      <c r="B172" s="144"/>
      <c r="C172" s="143"/>
      <c r="D172" s="1977"/>
      <c r="E172" s="143"/>
      <c r="F172" s="145"/>
      <c r="G172" s="146"/>
      <c r="H172" s="3340"/>
      <c r="I172" s="146"/>
      <c r="J172" s="146"/>
      <c r="K172" s="146"/>
      <c r="L172" s="146"/>
      <c r="M172" s="458"/>
      <c r="N172" s="146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B172" s="247">
        <v>0</v>
      </c>
      <c r="AC172" s="214">
        <v>0</v>
      </c>
      <c r="AD172" s="214">
        <v>0</v>
      </c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39" s="247" customFormat="1" ht="13" thickBot="1">
      <c r="B173" s="144"/>
      <c r="C173" s="143"/>
      <c r="D173" s="1977"/>
      <c r="E173" s="143"/>
      <c r="F173" s="145"/>
      <c r="G173" s="146"/>
      <c r="H173" s="3340"/>
      <c r="I173" s="146"/>
      <c r="J173" s="146"/>
      <c r="K173" s="146"/>
      <c r="L173" s="146"/>
      <c r="M173" s="458"/>
      <c r="N173" s="146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247">
        <v>0</v>
      </c>
      <c r="AC173" s="214">
        <v>0</v>
      </c>
      <c r="AD173" s="214">
        <v>0</v>
      </c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39" s="247" customFormat="1" ht="13" thickBot="1">
      <c r="B174" s="144"/>
      <c r="C174" s="143"/>
      <c r="D174" s="1977"/>
      <c r="E174" s="143"/>
      <c r="F174" s="145"/>
      <c r="G174" s="146"/>
      <c r="H174" s="3340"/>
      <c r="I174" s="146"/>
      <c r="J174" s="146"/>
      <c r="K174" s="146"/>
      <c r="L174" s="146"/>
      <c r="M174" s="458"/>
      <c r="N174" s="146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247">
        <v>0</v>
      </c>
      <c r="AC174" s="214">
        <v>0</v>
      </c>
      <c r="AD174" s="214">
        <v>0</v>
      </c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39" s="247" customFormat="1" ht="13" thickBot="1">
      <c r="B175" s="144"/>
      <c r="C175" s="143"/>
      <c r="D175" s="1977"/>
      <c r="E175" s="143"/>
      <c r="F175" s="145"/>
      <c r="G175" s="146"/>
      <c r="H175" s="3340"/>
      <c r="I175" s="146"/>
      <c r="J175" s="146"/>
      <c r="K175" s="146"/>
      <c r="L175" s="146"/>
      <c r="M175" s="458"/>
      <c r="N175" s="146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247">
        <v>0</v>
      </c>
      <c r="AC175" s="214">
        <v>0</v>
      </c>
      <c r="AD175" s="214">
        <v>0</v>
      </c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39" s="247" customFormat="1" ht="13" thickBot="1">
      <c r="B176" s="144"/>
      <c r="C176" s="143"/>
      <c r="D176" s="1977"/>
      <c r="E176" s="143"/>
      <c r="F176" s="145"/>
      <c r="G176" s="146"/>
      <c r="H176" s="3340"/>
      <c r="I176" s="146"/>
      <c r="J176" s="146"/>
      <c r="K176" s="146"/>
      <c r="L176" s="146"/>
      <c r="M176" s="458"/>
      <c r="N176" s="146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B176" s="247">
        <v>0</v>
      </c>
      <c r="AC176" s="214">
        <v>0</v>
      </c>
      <c r="AD176" s="214">
        <v>0</v>
      </c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41" s="247" customFormat="1" ht="13" thickBot="1">
      <c r="B177" s="144"/>
      <c r="C177" s="143"/>
      <c r="D177" s="1977"/>
      <c r="E177" s="143"/>
      <c r="F177" s="145"/>
      <c r="G177" s="146"/>
      <c r="H177" s="3340"/>
      <c r="I177" s="146"/>
      <c r="J177" s="146"/>
      <c r="K177" s="146"/>
      <c r="L177" s="146"/>
      <c r="M177" s="458"/>
      <c r="N177" s="146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B177" s="247">
        <v>0</v>
      </c>
      <c r="AC177" s="214">
        <v>0</v>
      </c>
      <c r="AD177" s="214">
        <v>0</v>
      </c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41" s="247" customFormat="1" ht="13" thickBot="1">
      <c r="B178" s="144"/>
      <c r="C178" s="143"/>
      <c r="D178" s="1977"/>
      <c r="E178" s="143"/>
      <c r="F178" s="145"/>
      <c r="G178" s="146"/>
      <c r="H178" s="3340"/>
      <c r="I178" s="146"/>
      <c r="J178" s="146"/>
      <c r="K178" s="146"/>
      <c r="L178" s="146"/>
      <c r="M178" s="458"/>
      <c r="N178" s="146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B178" s="247">
        <v>0</v>
      </c>
      <c r="AC178" s="214">
        <v>0</v>
      </c>
      <c r="AD178" s="214">
        <v>0</v>
      </c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41" s="247" customFormat="1" ht="13" thickBot="1">
      <c r="B179" s="144"/>
      <c r="C179" s="143"/>
      <c r="D179" s="1977"/>
      <c r="E179" s="143"/>
      <c r="F179" s="145"/>
      <c r="G179" s="146"/>
      <c r="H179" s="3340"/>
      <c r="I179" s="146"/>
      <c r="J179" s="146"/>
      <c r="K179" s="146"/>
      <c r="L179" s="146"/>
      <c r="M179" s="458"/>
      <c r="N179" s="146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B179" s="247">
        <v>0</v>
      </c>
      <c r="AC179" s="214">
        <v>0</v>
      </c>
      <c r="AD179" s="214">
        <v>0</v>
      </c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41" s="247" customFormat="1" ht="13" thickBot="1">
      <c r="B180" s="144"/>
      <c r="C180" s="143"/>
      <c r="D180" s="1977"/>
      <c r="E180" s="143"/>
      <c r="F180" s="145"/>
      <c r="G180" s="146"/>
      <c r="H180" s="3340"/>
      <c r="I180" s="146"/>
      <c r="J180" s="146"/>
      <c r="K180" s="146"/>
      <c r="L180" s="146"/>
      <c r="M180" s="458"/>
      <c r="N180" s="146"/>
      <c r="O180" s="146"/>
      <c r="P180" s="146"/>
      <c r="Q180" s="147"/>
      <c r="R180" s="147"/>
      <c r="S180" s="142"/>
      <c r="T180" s="142"/>
      <c r="U180" s="146">
        <f>SUBTOTAL(9,U138:U179)</f>
        <v>0</v>
      </c>
      <c r="V180" s="146">
        <f t="shared" ref="V180:AA180" si="116">SUBTOTAL(9,V138:V179)</f>
        <v>0</v>
      </c>
      <c r="W180" s="146">
        <f t="shared" si="116"/>
        <v>0</v>
      </c>
      <c r="X180" s="146">
        <f t="shared" si="116"/>
        <v>0</v>
      </c>
      <c r="Y180" s="146">
        <f t="shared" si="116"/>
        <v>0</v>
      </c>
      <c r="Z180" s="146">
        <f t="shared" si="116"/>
        <v>0</v>
      </c>
      <c r="AA180" s="146">
        <f t="shared" si="116"/>
        <v>0</v>
      </c>
      <c r="AB180" s="247">
        <v>0</v>
      </c>
      <c r="AC180" s="214">
        <v>0</v>
      </c>
      <c r="AD180" s="214">
        <v>0</v>
      </c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41" s="213" customFormat="1" thickBot="1">
      <c r="B181" s="139"/>
      <c r="C181" s="138"/>
      <c r="D181" s="1977"/>
      <c r="E181" s="138"/>
      <c r="F181" s="140"/>
      <c r="G181" s="141"/>
      <c r="H181" s="3340"/>
      <c r="I181" s="141"/>
      <c r="J181" s="141"/>
      <c r="K181" s="141"/>
      <c r="L181" s="141"/>
      <c r="M181" s="458"/>
      <c r="N181" s="141"/>
      <c r="O181" s="141"/>
      <c r="P181" s="141"/>
      <c r="Q181" s="148"/>
      <c r="R181" s="148"/>
      <c r="S181" s="149"/>
      <c r="T181" s="149"/>
      <c r="U181" s="150"/>
      <c r="V181" s="150"/>
      <c r="W181" s="150"/>
      <c r="X181" s="150"/>
      <c r="Y181" s="150"/>
      <c r="Z181" s="150"/>
      <c r="AA181" s="150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41" s="213" customFormat="1" ht="15" thickTop="1" thickBot="1">
      <c r="B182" s="139"/>
      <c r="C182" s="138"/>
      <c r="D182" s="1977"/>
      <c r="E182" s="138"/>
      <c r="F182" s="140"/>
      <c r="G182" s="141"/>
      <c r="H182" s="3340"/>
      <c r="I182" s="141"/>
      <c r="J182" s="141"/>
      <c r="K182" s="141"/>
      <c r="L182" s="141"/>
      <c r="M182" s="458"/>
      <c r="N182" s="141"/>
      <c r="O182" s="141"/>
      <c r="P182" s="141"/>
      <c r="Q182" s="148"/>
      <c r="R182" s="148"/>
      <c r="S182" s="148"/>
      <c r="T182" s="149"/>
      <c r="U182" s="151"/>
      <c r="V182" s="152"/>
      <c r="W182" s="153"/>
      <c r="X182" s="153"/>
      <c r="Y182" s="153"/>
      <c r="Z182" s="153"/>
      <c r="AA182" s="154"/>
      <c r="AB182" s="246"/>
      <c r="AC182" s="246"/>
      <c r="AE182" s="214"/>
      <c r="AF182" s="214"/>
      <c r="AG182" s="214"/>
      <c r="AH182" s="214"/>
      <c r="AI182" s="214"/>
      <c r="AJ182" s="214"/>
      <c r="AK182" s="214"/>
      <c r="AL182" s="214"/>
      <c r="AM182" s="214"/>
      <c r="AN182" s="214"/>
      <c r="AO182" s="214"/>
    </row>
    <row r="183" spans="2:41" s="247" customFormat="1" thickTop="1" thickBot="1">
      <c r="B183" s="144"/>
      <c r="C183" s="143"/>
      <c r="D183" s="1977"/>
      <c r="E183" s="143"/>
      <c r="F183" s="145"/>
      <c r="G183" s="146"/>
      <c r="H183" s="3340"/>
      <c r="I183" s="146"/>
      <c r="J183" s="146"/>
      <c r="K183" s="146"/>
      <c r="L183" s="146"/>
      <c r="M183" s="458"/>
      <c r="N183" s="146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41" s="247" customFormat="1" ht="13" thickBot="1">
      <c r="B184" s="144"/>
      <c r="C184" s="143"/>
      <c r="D184" s="1977"/>
      <c r="E184" s="143"/>
      <c r="F184" s="145"/>
      <c r="G184" s="146"/>
      <c r="H184" s="3340"/>
      <c r="I184" s="146"/>
      <c r="J184" s="146"/>
      <c r="K184" s="146"/>
      <c r="L184" s="146"/>
      <c r="M184" s="458"/>
      <c r="N184" s="146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41" s="247" customFormat="1" ht="13" thickBot="1">
      <c r="B185" s="144"/>
      <c r="C185" s="143"/>
      <c r="D185" s="1977"/>
      <c r="E185" s="143"/>
      <c r="F185" s="145"/>
      <c r="G185" s="146"/>
      <c r="H185" s="3340"/>
      <c r="I185" s="146"/>
      <c r="J185" s="146"/>
      <c r="K185" s="146"/>
      <c r="L185" s="146"/>
      <c r="M185" s="458"/>
      <c r="N185" s="146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41" s="247" customFormat="1" ht="13" thickBot="1">
      <c r="B186" s="144"/>
      <c r="C186" s="143"/>
      <c r="D186" s="1977"/>
      <c r="E186" s="143"/>
      <c r="F186" s="145"/>
      <c r="G186" s="146"/>
      <c r="H186" s="3340"/>
      <c r="I186" s="146"/>
      <c r="J186" s="146"/>
      <c r="K186" s="146"/>
      <c r="L186" s="146"/>
      <c r="M186" s="458"/>
      <c r="N186" s="146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41" s="247" customFormat="1" ht="13" thickBot="1">
      <c r="B187" s="144"/>
      <c r="C187" s="143"/>
      <c r="D187" s="1977"/>
      <c r="E187" s="143"/>
      <c r="F187" s="145"/>
      <c r="G187" s="146"/>
      <c r="H187" s="3340"/>
      <c r="I187" s="146"/>
      <c r="J187" s="146"/>
      <c r="K187" s="146"/>
      <c r="L187" s="146"/>
      <c r="M187" s="458"/>
      <c r="N187" s="146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41" s="247" customFormat="1" ht="13" thickBot="1">
      <c r="B188" s="144"/>
      <c r="C188" s="143"/>
      <c r="D188" s="1977"/>
      <c r="E188" s="143"/>
      <c r="F188" s="145"/>
      <c r="G188" s="146"/>
      <c r="H188" s="3340"/>
      <c r="I188" s="146"/>
      <c r="J188" s="146"/>
      <c r="K188" s="146"/>
      <c r="L188" s="146"/>
      <c r="M188" s="458"/>
      <c r="N188" s="146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41" s="247" customFormat="1" ht="13" thickBot="1">
      <c r="B189" s="144"/>
      <c r="C189" s="143"/>
      <c r="D189" s="1977"/>
      <c r="E189" s="143"/>
      <c r="F189" s="145"/>
      <c r="G189" s="146"/>
      <c r="H189" s="3340"/>
      <c r="I189" s="146"/>
      <c r="J189" s="146"/>
      <c r="K189" s="146"/>
      <c r="L189" s="146"/>
      <c r="M189" s="458"/>
      <c r="N189" s="146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41" s="247" customFormat="1" ht="13" thickBot="1">
      <c r="B190" s="144"/>
      <c r="C190" s="143"/>
      <c r="D190" s="1977"/>
      <c r="E190" s="143"/>
      <c r="F190" s="145"/>
      <c r="G190" s="146"/>
      <c r="H190" s="3340"/>
      <c r="I190" s="146"/>
      <c r="J190" s="146"/>
      <c r="K190" s="146"/>
      <c r="L190" s="146"/>
      <c r="M190" s="458"/>
      <c r="N190" s="146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41" s="247" customFormat="1" ht="13" thickBot="1">
      <c r="B191" s="144"/>
      <c r="C191" s="143"/>
      <c r="D191" s="1977"/>
      <c r="E191" s="143"/>
      <c r="F191" s="145"/>
      <c r="G191" s="146"/>
      <c r="H191" s="3340"/>
      <c r="I191" s="146"/>
      <c r="J191" s="146"/>
      <c r="K191" s="146"/>
      <c r="L191" s="146"/>
      <c r="M191" s="458"/>
      <c r="N191" s="146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41" s="247" customFormat="1" ht="13" thickBot="1">
      <c r="B192" s="144"/>
      <c r="C192" s="143"/>
      <c r="D192" s="1977"/>
      <c r="E192" s="143"/>
      <c r="F192" s="145"/>
      <c r="G192" s="146"/>
      <c r="H192" s="3340"/>
      <c r="I192" s="146"/>
      <c r="J192" s="146"/>
      <c r="K192" s="146"/>
      <c r="L192" s="146"/>
      <c r="M192" s="458"/>
      <c r="N192" s="146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39" s="247" customFormat="1" ht="13" thickBot="1">
      <c r="B193" s="144"/>
      <c r="C193" s="143"/>
      <c r="D193" s="1977"/>
      <c r="E193" s="143"/>
      <c r="F193" s="145"/>
      <c r="G193" s="146"/>
      <c r="H193" s="3340"/>
      <c r="I193" s="146"/>
      <c r="J193" s="146"/>
      <c r="K193" s="146"/>
      <c r="L193" s="146"/>
      <c r="M193" s="458"/>
      <c r="N193" s="146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39" s="247" customFormat="1" ht="13" thickBot="1">
      <c r="B194" s="144"/>
      <c r="C194" s="143"/>
      <c r="D194" s="1977"/>
      <c r="E194" s="143"/>
      <c r="F194" s="145"/>
      <c r="G194" s="146"/>
      <c r="H194" s="3340"/>
      <c r="I194" s="146"/>
      <c r="J194" s="146"/>
      <c r="K194" s="146"/>
      <c r="L194" s="146"/>
      <c r="M194" s="458"/>
      <c r="N194" s="146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39" s="247" customFormat="1" ht="13" thickBot="1">
      <c r="B195" s="144"/>
      <c r="C195" s="143"/>
      <c r="D195" s="1977"/>
      <c r="E195" s="143"/>
      <c r="F195" s="145"/>
      <c r="G195" s="146"/>
      <c r="H195" s="3340"/>
      <c r="I195" s="146"/>
      <c r="J195" s="146"/>
      <c r="K195" s="146"/>
      <c r="L195" s="146"/>
      <c r="M195" s="458"/>
      <c r="N195" s="146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39" s="247" customFormat="1" ht="13" thickBot="1">
      <c r="B196" s="144"/>
      <c r="C196" s="143"/>
      <c r="D196" s="1977"/>
      <c r="E196" s="143"/>
      <c r="F196" s="145"/>
      <c r="G196" s="146"/>
      <c r="H196" s="3340"/>
      <c r="I196" s="146"/>
      <c r="J196" s="146"/>
      <c r="K196" s="146"/>
      <c r="L196" s="146"/>
      <c r="M196" s="458"/>
      <c r="N196" s="146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39" s="247" customFormat="1" ht="13" thickBot="1">
      <c r="B197" s="144"/>
      <c r="C197" s="143"/>
      <c r="D197" s="1977"/>
      <c r="E197" s="143"/>
      <c r="F197" s="145"/>
      <c r="G197" s="146"/>
      <c r="H197" s="3340"/>
      <c r="I197" s="146"/>
      <c r="J197" s="146"/>
      <c r="K197" s="146"/>
      <c r="L197" s="146"/>
      <c r="M197" s="458"/>
      <c r="N197" s="146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39" s="247" customFormat="1" ht="13" thickBot="1">
      <c r="B198" s="144"/>
      <c r="C198" s="143"/>
      <c r="D198" s="1977"/>
      <c r="E198" s="143"/>
      <c r="F198" s="145"/>
      <c r="G198" s="146"/>
      <c r="H198" s="3340"/>
      <c r="I198" s="146"/>
      <c r="J198" s="146"/>
      <c r="K198" s="146"/>
      <c r="L198" s="146"/>
      <c r="M198" s="458"/>
      <c r="N198" s="146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39" s="247" customFormat="1" ht="13" thickBot="1">
      <c r="B199" s="144"/>
      <c r="C199" s="143"/>
      <c r="D199" s="1977"/>
      <c r="E199" s="143"/>
      <c r="F199" s="145"/>
      <c r="G199" s="146"/>
      <c r="H199" s="3340"/>
      <c r="I199" s="146"/>
      <c r="J199" s="146"/>
      <c r="K199" s="146"/>
      <c r="L199" s="146"/>
      <c r="M199" s="458"/>
      <c r="N199" s="146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39" s="247" customFormat="1" ht="13" thickBot="1">
      <c r="B200" s="144"/>
      <c r="C200" s="143"/>
      <c r="D200" s="1977"/>
      <c r="E200" s="143"/>
      <c r="F200" s="145"/>
      <c r="G200" s="146"/>
      <c r="H200" s="3340"/>
      <c r="I200" s="146"/>
      <c r="J200" s="146"/>
      <c r="K200" s="146"/>
      <c r="L200" s="146"/>
      <c r="M200" s="458"/>
      <c r="N200" s="146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39" s="247" customFormat="1" ht="13" thickBot="1">
      <c r="B201" s="144"/>
      <c r="C201" s="143"/>
      <c r="D201" s="1977"/>
      <c r="E201" s="143"/>
      <c r="F201" s="145"/>
      <c r="G201" s="146"/>
      <c r="H201" s="3340"/>
      <c r="I201" s="146"/>
      <c r="J201" s="146"/>
      <c r="K201" s="146"/>
      <c r="L201" s="146"/>
      <c r="M201" s="458"/>
      <c r="N201" s="146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39" s="247" customFormat="1" ht="13" thickBot="1">
      <c r="B202" s="144"/>
      <c r="C202" s="143"/>
      <c r="D202" s="1977"/>
      <c r="E202" s="143"/>
      <c r="F202" s="145"/>
      <c r="G202" s="146"/>
      <c r="H202" s="3340"/>
      <c r="I202" s="146"/>
      <c r="J202" s="146"/>
      <c r="K202" s="146"/>
      <c r="L202" s="146"/>
      <c r="M202" s="458"/>
      <c r="N202" s="146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39" s="247" customFormat="1" ht="13" thickBot="1">
      <c r="B203" s="144"/>
      <c r="C203" s="143"/>
      <c r="D203" s="1977"/>
      <c r="E203" s="143"/>
      <c r="F203" s="145"/>
      <c r="G203" s="146"/>
      <c r="H203" s="3340"/>
      <c r="I203" s="146"/>
      <c r="J203" s="146"/>
      <c r="K203" s="146"/>
      <c r="L203" s="146"/>
      <c r="M203" s="458"/>
      <c r="N203" s="146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39" s="247" customFormat="1" ht="13" thickBot="1">
      <c r="B204" s="144"/>
      <c r="C204" s="143"/>
      <c r="D204" s="1977"/>
      <c r="E204" s="143"/>
      <c r="F204" s="145"/>
      <c r="G204" s="146"/>
      <c r="H204" s="3340"/>
      <c r="I204" s="146"/>
      <c r="J204" s="146"/>
      <c r="K204" s="146"/>
      <c r="L204" s="146"/>
      <c r="M204" s="458"/>
      <c r="N204" s="146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39" s="247" customFormat="1" ht="13" thickBot="1">
      <c r="B205" s="144"/>
      <c r="C205" s="143"/>
      <c r="D205" s="1977"/>
      <c r="E205" s="143"/>
      <c r="F205" s="145"/>
      <c r="G205" s="146"/>
      <c r="H205" s="3340"/>
      <c r="I205" s="146"/>
      <c r="J205" s="146"/>
      <c r="K205" s="146"/>
      <c r="L205" s="146"/>
      <c r="M205" s="458"/>
      <c r="N205" s="146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39" s="247" customFormat="1" ht="13" thickBot="1">
      <c r="B206" s="144"/>
      <c r="C206" s="143"/>
      <c r="D206" s="1977"/>
      <c r="E206" s="143"/>
      <c r="F206" s="145"/>
      <c r="G206" s="146"/>
      <c r="H206" s="3340"/>
      <c r="I206" s="146"/>
      <c r="J206" s="146"/>
      <c r="K206" s="146"/>
      <c r="L206" s="146"/>
      <c r="M206" s="458"/>
      <c r="N206" s="146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39" s="247" customFormat="1" ht="13" thickBot="1">
      <c r="B207" s="144"/>
      <c r="C207" s="143"/>
      <c r="D207" s="1977"/>
      <c r="E207" s="143"/>
      <c r="F207" s="145"/>
      <c r="G207" s="146"/>
      <c r="H207" s="3340"/>
      <c r="I207" s="146"/>
      <c r="J207" s="146"/>
      <c r="K207" s="146"/>
      <c r="L207" s="146"/>
      <c r="M207" s="458"/>
      <c r="N207" s="146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39" s="247" customFormat="1" ht="13" thickBot="1">
      <c r="B208" s="144"/>
      <c r="C208" s="143"/>
      <c r="D208" s="1977"/>
      <c r="E208" s="143"/>
      <c r="F208" s="145"/>
      <c r="G208" s="146"/>
      <c r="H208" s="3340"/>
      <c r="I208" s="146"/>
      <c r="J208" s="146"/>
      <c r="K208" s="146"/>
      <c r="L208" s="146"/>
      <c r="M208" s="458"/>
      <c r="N208" s="146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39" s="247" customFormat="1" ht="13" thickBot="1">
      <c r="B209" s="144"/>
      <c r="C209" s="143"/>
      <c r="D209" s="1977"/>
      <c r="E209" s="143"/>
      <c r="F209" s="145"/>
      <c r="G209" s="146"/>
      <c r="H209" s="3340"/>
      <c r="I209" s="146"/>
      <c r="J209" s="146"/>
      <c r="K209" s="146"/>
      <c r="L209" s="146"/>
      <c r="M209" s="458"/>
      <c r="N209" s="146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39" s="247" customFormat="1" ht="13" thickBot="1">
      <c r="B210" s="144"/>
      <c r="C210" s="143"/>
      <c r="D210" s="1977"/>
      <c r="E210" s="143"/>
      <c r="F210" s="145"/>
      <c r="G210" s="146"/>
      <c r="H210" s="3340"/>
      <c r="I210" s="146"/>
      <c r="J210" s="146"/>
      <c r="K210" s="146"/>
      <c r="L210" s="146"/>
      <c r="M210" s="458"/>
      <c r="N210" s="146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39" s="247" customFormat="1" ht="13" thickBot="1">
      <c r="B211" s="144"/>
      <c r="C211" s="143"/>
      <c r="D211" s="1977"/>
      <c r="E211" s="143"/>
      <c r="F211" s="145"/>
      <c r="G211" s="146"/>
      <c r="H211" s="3340"/>
      <c r="I211" s="146"/>
      <c r="J211" s="146"/>
      <c r="K211" s="146"/>
      <c r="L211" s="146"/>
      <c r="M211" s="458"/>
      <c r="N211" s="146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39" s="247" customFormat="1" ht="13" thickBot="1">
      <c r="B212" s="144"/>
      <c r="C212" s="143"/>
      <c r="D212" s="1977"/>
      <c r="E212" s="143"/>
      <c r="F212" s="145"/>
      <c r="G212" s="146"/>
      <c r="H212" s="3340"/>
      <c r="I212" s="146"/>
      <c r="J212" s="146"/>
      <c r="K212" s="146"/>
      <c r="L212" s="146"/>
      <c r="M212" s="458"/>
      <c r="N212" s="146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39" s="247" customFormat="1" ht="13" thickBot="1">
      <c r="B213" s="144"/>
      <c r="C213" s="143"/>
      <c r="D213" s="1977"/>
      <c r="E213" s="143"/>
      <c r="F213" s="145"/>
      <c r="G213" s="146"/>
      <c r="H213" s="3340"/>
      <c r="I213" s="146"/>
      <c r="J213" s="146"/>
      <c r="K213" s="146"/>
      <c r="L213" s="146"/>
      <c r="M213" s="458"/>
      <c r="N213" s="146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39" s="247" customFormat="1" ht="13" thickBot="1">
      <c r="B214" s="144"/>
      <c r="C214" s="143"/>
      <c r="D214" s="1977"/>
      <c r="E214" s="143"/>
      <c r="F214" s="145"/>
      <c r="G214" s="146"/>
      <c r="H214" s="3340"/>
      <c r="I214" s="146"/>
      <c r="J214" s="146"/>
      <c r="K214" s="146"/>
      <c r="L214" s="146"/>
      <c r="M214" s="458"/>
      <c r="N214" s="146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39" s="247" customFormat="1" ht="13" thickBot="1">
      <c r="B215" s="144"/>
      <c r="C215" s="143"/>
      <c r="D215" s="1977"/>
      <c r="E215" s="143"/>
      <c r="F215" s="145"/>
      <c r="G215" s="146"/>
      <c r="H215" s="3340"/>
      <c r="I215" s="146"/>
      <c r="J215" s="146"/>
      <c r="K215" s="146"/>
      <c r="L215" s="146"/>
      <c r="M215" s="458"/>
      <c r="N215" s="146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39" s="247" customFormat="1" ht="13" thickBot="1">
      <c r="B216" s="144"/>
      <c r="C216" s="143"/>
      <c r="D216" s="1977"/>
      <c r="E216" s="143"/>
      <c r="F216" s="145"/>
      <c r="G216" s="146"/>
      <c r="H216" s="3340"/>
      <c r="I216" s="146"/>
      <c r="J216" s="146"/>
      <c r="K216" s="146"/>
      <c r="L216" s="146"/>
      <c r="M216" s="458"/>
      <c r="N216" s="146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39" s="247" customFormat="1" ht="13" thickBot="1">
      <c r="B217" s="144"/>
      <c r="C217" s="143"/>
      <c r="D217" s="1977"/>
      <c r="E217" s="143"/>
      <c r="F217" s="145"/>
      <c r="G217" s="146"/>
      <c r="H217" s="3340"/>
      <c r="I217" s="146"/>
      <c r="J217" s="146"/>
      <c r="K217" s="146"/>
      <c r="L217" s="146"/>
      <c r="M217" s="458"/>
      <c r="N217" s="146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39" s="247" customFormat="1" ht="13" thickBot="1">
      <c r="B218" s="144"/>
      <c r="C218" s="143"/>
      <c r="D218" s="1977"/>
      <c r="E218" s="143"/>
      <c r="F218" s="145"/>
      <c r="G218" s="146"/>
      <c r="H218" s="3340"/>
      <c r="I218" s="146"/>
      <c r="J218" s="146"/>
      <c r="K218" s="146"/>
      <c r="L218" s="146"/>
      <c r="M218" s="458"/>
      <c r="N218" s="146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39" s="247" customFormat="1" ht="13" thickBot="1">
      <c r="B219" s="248"/>
      <c r="D219" s="1977"/>
      <c r="F219" s="249"/>
      <c r="G219" s="250"/>
      <c r="H219" s="3341"/>
      <c r="I219" s="250"/>
      <c r="J219" s="250"/>
      <c r="K219" s="250"/>
      <c r="L219" s="146"/>
      <c r="M219" s="459"/>
      <c r="N219" s="146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39" s="247" customFormat="1" ht="13" thickBot="1">
      <c r="B220" s="248"/>
      <c r="D220" s="1977"/>
      <c r="F220" s="249"/>
      <c r="G220" s="250"/>
      <c r="H220" s="3341"/>
      <c r="I220" s="250"/>
      <c r="J220" s="250"/>
      <c r="K220" s="250"/>
      <c r="L220" s="146"/>
      <c r="M220" s="459"/>
      <c r="N220" s="146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39" s="247" customFormat="1" ht="13" thickBot="1">
      <c r="B221" s="248"/>
      <c r="D221" s="1977"/>
      <c r="F221" s="249"/>
      <c r="G221" s="250"/>
      <c r="H221" s="3341"/>
      <c r="I221" s="250"/>
      <c r="J221" s="250"/>
      <c r="K221" s="250"/>
      <c r="L221" s="146"/>
      <c r="M221" s="459"/>
      <c r="N221" s="146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</row>
    <row r="222" spans="2:39" s="247" customFormat="1" ht="13" thickBot="1">
      <c r="B222" s="248"/>
      <c r="D222" s="1977"/>
      <c r="F222" s="249"/>
      <c r="G222" s="250"/>
      <c r="H222" s="3341"/>
      <c r="I222" s="250"/>
      <c r="J222" s="250"/>
      <c r="K222" s="250"/>
      <c r="L222" s="146"/>
      <c r="M222" s="459"/>
      <c r="N222" s="146"/>
      <c r="O222" s="146"/>
      <c r="P222" s="146"/>
      <c r="Q222" s="147"/>
      <c r="R222" s="147"/>
      <c r="S222" s="142"/>
      <c r="T222" s="142"/>
      <c r="U222" s="146"/>
      <c r="V222" s="146"/>
      <c r="W222" s="146"/>
      <c r="X222" s="146"/>
      <c r="Y222" s="146"/>
      <c r="Z222" s="146"/>
      <c r="AA222" s="146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39" s="247" customFormat="1" ht="13" thickBot="1">
      <c r="B223" s="248"/>
      <c r="D223" s="1977"/>
      <c r="F223" s="249"/>
      <c r="G223" s="250"/>
      <c r="H223" s="3341"/>
      <c r="I223" s="250"/>
      <c r="J223" s="250"/>
      <c r="K223" s="250"/>
      <c r="L223" s="146"/>
      <c r="M223" s="459"/>
      <c r="N223" s="146"/>
      <c r="O223" s="146"/>
      <c r="P223" s="146"/>
      <c r="Q223" s="147"/>
      <c r="R223" s="147"/>
      <c r="S223" s="142"/>
      <c r="T223" s="142"/>
      <c r="U223" s="146">
        <f>SUBTOTAL(9,U181:U222)</f>
        <v>0</v>
      </c>
      <c r="V223" s="146">
        <f t="shared" ref="V223:AA223" si="117">SUBTOTAL(9,V181:V222)</f>
        <v>0</v>
      </c>
      <c r="W223" s="146">
        <f t="shared" si="117"/>
        <v>0</v>
      </c>
      <c r="X223" s="146">
        <f t="shared" si="117"/>
        <v>0</v>
      </c>
      <c r="Y223" s="146">
        <f t="shared" si="117"/>
        <v>0</v>
      </c>
      <c r="Z223" s="146">
        <f t="shared" si="117"/>
        <v>0</v>
      </c>
      <c r="AA223" s="146">
        <f t="shared" si="117"/>
        <v>0</v>
      </c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</row>
    <row r="224" spans="2:39" s="213" customFormat="1" thickBot="1">
      <c r="B224" s="225"/>
      <c r="D224" s="1977"/>
      <c r="F224" s="242"/>
      <c r="G224" s="243"/>
      <c r="H224" s="3341"/>
      <c r="I224" s="243"/>
      <c r="J224" s="243"/>
      <c r="K224" s="243"/>
      <c r="L224" s="141"/>
      <c r="M224" s="459"/>
      <c r="N224" s="141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2:41" s="213" customFormat="1" ht="15" thickTop="1" thickBot="1">
      <c r="B225" s="225"/>
      <c r="D225" s="1977"/>
      <c r="F225" s="242"/>
      <c r="G225" s="243"/>
      <c r="H225" s="3341"/>
      <c r="I225" s="243"/>
      <c r="J225" s="243"/>
      <c r="K225" s="243"/>
      <c r="L225" s="141"/>
      <c r="M225" s="459"/>
      <c r="N225" s="141"/>
      <c r="O225" s="141"/>
      <c r="P225" s="141"/>
      <c r="Q225" s="148"/>
      <c r="R225" s="148"/>
      <c r="S225" s="148"/>
      <c r="T225" s="148"/>
      <c r="U225" s="151">
        <f>SUBTOTAL(9,U183:U224)</f>
        <v>0</v>
      </c>
      <c r="V225" s="152">
        <f t="shared" ref="V225:AA225" si="118">SUBTOTAL(9,V183:V224)</f>
        <v>0</v>
      </c>
      <c r="W225" s="153">
        <f t="shared" si="118"/>
        <v>0</v>
      </c>
      <c r="X225" s="153">
        <f t="shared" si="118"/>
        <v>0</v>
      </c>
      <c r="Y225" s="153">
        <f t="shared" si="118"/>
        <v>0</v>
      </c>
      <c r="Z225" s="153">
        <f t="shared" si="118"/>
        <v>0</v>
      </c>
      <c r="AA225" s="154">
        <f t="shared" si="118"/>
        <v>0</v>
      </c>
      <c r="AB225" s="246"/>
      <c r="AC225" s="246"/>
      <c r="AE225" s="214"/>
      <c r="AF225" s="214"/>
      <c r="AG225" s="214"/>
      <c r="AH225" s="214"/>
      <c r="AI225" s="214"/>
      <c r="AJ225" s="214"/>
      <c r="AK225" s="214"/>
      <c r="AL225" s="214"/>
      <c r="AM225" s="214"/>
      <c r="AN225" s="214"/>
      <c r="AO225" s="214"/>
    </row>
    <row r="226" spans="2:41" s="213" customFormat="1" ht="15" thickTop="1" thickBot="1">
      <c r="B226" s="225"/>
      <c r="D226" s="1977"/>
      <c r="F226" s="242"/>
      <c r="G226" s="243"/>
      <c r="H226" s="3341"/>
      <c r="I226" s="243"/>
      <c r="J226" s="243"/>
      <c r="K226" s="243"/>
      <c r="L226" s="141"/>
      <c r="M226" s="459"/>
      <c r="N226" s="141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2:41" s="213" customFormat="1" thickBot="1">
      <c r="B227" s="225"/>
      <c r="D227" s="1977"/>
      <c r="F227" s="242"/>
      <c r="G227" s="243"/>
      <c r="H227" s="3341"/>
      <c r="I227" s="243"/>
      <c r="J227" s="243"/>
      <c r="K227" s="243"/>
      <c r="L227" s="141"/>
      <c r="M227" s="459"/>
      <c r="N227" s="141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2:41" s="213" customFormat="1" thickBot="1">
      <c r="B228" s="225"/>
      <c r="D228" s="1977"/>
      <c r="F228" s="242"/>
      <c r="G228" s="243"/>
      <c r="H228" s="3341"/>
      <c r="I228" s="243"/>
      <c r="J228" s="243"/>
      <c r="K228" s="243"/>
      <c r="L228" s="141"/>
      <c r="M228" s="459"/>
      <c r="N228" s="141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2:41" s="213" customFormat="1" thickBot="1">
      <c r="B229" s="225"/>
      <c r="D229" s="1977"/>
      <c r="F229" s="242"/>
      <c r="G229" s="243"/>
      <c r="H229" s="3341"/>
      <c r="I229" s="243"/>
      <c r="J229" s="243"/>
      <c r="K229" s="243"/>
      <c r="L229" s="141"/>
      <c r="M229" s="459"/>
      <c r="N229" s="141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2:41" s="213" customFormat="1" thickBot="1">
      <c r="B230" s="225"/>
      <c r="D230" s="1977"/>
      <c r="F230" s="242"/>
      <c r="G230" s="243"/>
      <c r="H230" s="3341"/>
      <c r="I230" s="243"/>
      <c r="J230" s="243"/>
      <c r="K230" s="243"/>
      <c r="L230" s="141"/>
      <c r="M230" s="459"/>
      <c r="N230" s="141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</row>
    <row r="231" spans="2:41" s="213" customFormat="1" thickBot="1">
      <c r="B231" s="225"/>
      <c r="D231" s="1977"/>
      <c r="F231" s="242"/>
      <c r="G231" s="243"/>
      <c r="H231" s="3341"/>
      <c r="I231" s="243"/>
      <c r="J231" s="243"/>
      <c r="K231" s="243"/>
      <c r="L231" s="141"/>
      <c r="M231" s="459"/>
      <c r="N231" s="141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2:41" s="213" customFormat="1" thickBot="1">
      <c r="B232" s="225"/>
      <c r="D232" s="1977"/>
      <c r="F232" s="242"/>
      <c r="G232" s="243"/>
      <c r="H232" s="3341"/>
      <c r="I232" s="243"/>
      <c r="J232" s="243"/>
      <c r="K232" s="243"/>
      <c r="L232" s="141"/>
      <c r="M232" s="459"/>
      <c r="N232" s="141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2:41" s="213" customFormat="1" thickBot="1">
      <c r="B233" s="225"/>
      <c r="D233" s="1977"/>
      <c r="F233" s="242"/>
      <c r="G233" s="243"/>
      <c r="H233" s="3341"/>
      <c r="I233" s="243"/>
      <c r="J233" s="243"/>
      <c r="K233" s="243"/>
      <c r="L233" s="141"/>
      <c r="M233" s="459"/>
      <c r="N233" s="141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2:41" s="213" customFormat="1" thickBot="1">
      <c r="B234" s="225"/>
      <c r="D234" s="1977"/>
      <c r="F234" s="242"/>
      <c r="G234" s="243"/>
      <c r="H234" s="3341"/>
      <c r="I234" s="243"/>
      <c r="J234" s="243"/>
      <c r="K234" s="243"/>
      <c r="L234" s="141"/>
      <c r="M234" s="459"/>
      <c r="N234" s="141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14"/>
      <c r="AD234" s="214"/>
      <c r="AE234" s="214"/>
      <c r="AF234" s="214"/>
      <c r="AG234" s="214"/>
      <c r="AH234" s="214"/>
      <c r="AI234" s="214"/>
      <c r="AJ234" s="214"/>
      <c r="AK234" s="214"/>
      <c r="AL234" s="214"/>
      <c r="AM234" s="214"/>
    </row>
    <row r="235" spans="2:41" s="213" customFormat="1" thickBot="1">
      <c r="B235" s="225"/>
      <c r="D235" s="1977"/>
      <c r="F235" s="242"/>
      <c r="G235" s="243"/>
      <c r="H235" s="3341"/>
      <c r="I235" s="243"/>
      <c r="J235" s="243"/>
      <c r="K235" s="243"/>
      <c r="L235" s="141"/>
      <c r="M235" s="459"/>
      <c r="N235" s="141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</row>
    <row r="236" spans="2:41" s="213" customFormat="1" thickBot="1">
      <c r="B236" s="225"/>
      <c r="D236" s="1977"/>
      <c r="F236" s="242"/>
      <c r="G236" s="243"/>
      <c r="H236" s="3341"/>
      <c r="I236" s="243"/>
      <c r="J236" s="243"/>
      <c r="K236" s="243"/>
      <c r="L236" s="141"/>
      <c r="M236" s="459"/>
      <c r="N236" s="141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14"/>
      <c r="AD236" s="214"/>
      <c r="AE236" s="214"/>
      <c r="AF236" s="214"/>
      <c r="AG236" s="214"/>
      <c r="AH236" s="214"/>
      <c r="AI236" s="214"/>
      <c r="AJ236" s="214"/>
      <c r="AK236" s="214"/>
      <c r="AL236" s="214"/>
      <c r="AM236" s="214"/>
    </row>
    <row r="237" spans="2:41" s="213" customFormat="1" thickBot="1">
      <c r="B237" s="225"/>
      <c r="D237" s="1977"/>
      <c r="F237" s="242"/>
      <c r="G237" s="243"/>
      <c r="H237" s="3341"/>
      <c r="I237" s="243"/>
      <c r="J237" s="243"/>
      <c r="K237" s="243"/>
      <c r="L237" s="141"/>
      <c r="M237" s="459"/>
      <c r="N237" s="141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14"/>
      <c r="AD237" s="214"/>
      <c r="AE237" s="214"/>
      <c r="AF237" s="214"/>
      <c r="AG237" s="214"/>
      <c r="AH237" s="214"/>
      <c r="AI237" s="214"/>
      <c r="AJ237" s="214"/>
      <c r="AK237" s="214"/>
      <c r="AL237" s="214"/>
      <c r="AM237" s="214"/>
    </row>
    <row r="238" spans="2:41" s="213" customFormat="1" thickBot="1">
      <c r="B238" s="225"/>
      <c r="D238" s="1977"/>
      <c r="F238" s="242"/>
      <c r="G238" s="243"/>
      <c r="H238" s="3341"/>
      <c r="I238" s="243"/>
      <c r="J238" s="243"/>
      <c r="K238" s="243"/>
      <c r="L238" s="141"/>
      <c r="M238" s="459"/>
      <c r="N238" s="141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14"/>
      <c r="AD238" s="214"/>
      <c r="AE238" s="214"/>
      <c r="AF238" s="214"/>
      <c r="AG238" s="214"/>
      <c r="AH238" s="214"/>
      <c r="AI238" s="214"/>
      <c r="AJ238" s="214"/>
      <c r="AK238" s="214"/>
      <c r="AL238" s="214"/>
      <c r="AM238" s="214"/>
    </row>
    <row r="239" spans="2:41" s="213" customFormat="1" thickBot="1">
      <c r="B239" s="225"/>
      <c r="D239" s="1977"/>
      <c r="F239" s="242"/>
      <c r="G239" s="243"/>
      <c r="H239" s="3341"/>
      <c r="I239" s="243"/>
      <c r="J239" s="243"/>
      <c r="K239" s="243"/>
      <c r="L239" s="141"/>
      <c r="M239" s="459"/>
      <c r="N239" s="141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14"/>
      <c r="AD239" s="214"/>
      <c r="AE239" s="214"/>
      <c r="AF239" s="214"/>
      <c r="AG239" s="214"/>
      <c r="AH239" s="214"/>
      <c r="AI239" s="214"/>
      <c r="AJ239" s="214"/>
      <c r="AK239" s="214"/>
      <c r="AL239" s="214"/>
      <c r="AM239" s="214"/>
    </row>
    <row r="240" spans="2:41" s="213" customFormat="1" thickBot="1">
      <c r="B240" s="225"/>
      <c r="D240" s="1977"/>
      <c r="F240" s="242"/>
      <c r="G240" s="243"/>
      <c r="H240" s="3341"/>
      <c r="I240" s="243"/>
      <c r="J240" s="243"/>
      <c r="K240" s="243"/>
      <c r="L240" s="141"/>
      <c r="M240" s="459"/>
      <c r="N240" s="141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14"/>
      <c r="AD240" s="214"/>
      <c r="AE240" s="214"/>
      <c r="AF240" s="214"/>
      <c r="AG240" s="214"/>
      <c r="AH240" s="214"/>
      <c r="AI240" s="214"/>
      <c r="AJ240" s="214"/>
      <c r="AK240" s="214"/>
      <c r="AL240" s="214"/>
      <c r="AM240" s="214"/>
    </row>
    <row r="241" spans="2:39" s="213" customFormat="1" thickBot="1">
      <c r="B241" s="225"/>
      <c r="D241" s="1977"/>
      <c r="F241" s="242"/>
      <c r="G241" s="243"/>
      <c r="H241" s="3341"/>
      <c r="I241" s="243"/>
      <c r="J241" s="243"/>
      <c r="K241" s="243"/>
      <c r="L241" s="141"/>
      <c r="M241" s="459"/>
      <c r="N241" s="141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14"/>
      <c r="AD241" s="214"/>
      <c r="AE241" s="214"/>
      <c r="AF241" s="214"/>
      <c r="AG241" s="214"/>
      <c r="AH241" s="214"/>
      <c r="AI241" s="214"/>
      <c r="AJ241" s="214"/>
      <c r="AK241" s="214"/>
      <c r="AL241" s="214"/>
      <c r="AM241" s="214"/>
    </row>
    <row r="242" spans="2:39" s="213" customFormat="1" thickBot="1">
      <c r="B242" s="225"/>
      <c r="D242" s="1977"/>
      <c r="F242" s="242"/>
      <c r="G242" s="243"/>
      <c r="H242" s="3341"/>
      <c r="I242" s="243"/>
      <c r="J242" s="243"/>
      <c r="K242" s="243"/>
      <c r="L242" s="141"/>
      <c r="M242" s="459"/>
      <c r="N242" s="141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14"/>
      <c r="AD242" s="214"/>
      <c r="AE242" s="214"/>
      <c r="AF242" s="214"/>
      <c r="AG242" s="214"/>
      <c r="AH242" s="214"/>
      <c r="AI242" s="214"/>
      <c r="AJ242" s="214"/>
      <c r="AK242" s="214"/>
      <c r="AL242" s="214"/>
      <c r="AM242" s="214"/>
    </row>
    <row r="243" spans="2:39" s="213" customFormat="1" thickBot="1">
      <c r="B243" s="225"/>
      <c r="D243" s="1977"/>
      <c r="F243" s="242"/>
      <c r="G243" s="243"/>
      <c r="H243" s="3341"/>
      <c r="I243" s="243"/>
      <c r="J243" s="243"/>
      <c r="K243" s="243"/>
      <c r="L243" s="141"/>
      <c r="M243" s="459"/>
      <c r="N243" s="141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14"/>
      <c r="AD243" s="214"/>
      <c r="AE243" s="214"/>
      <c r="AF243" s="214"/>
      <c r="AG243" s="214"/>
      <c r="AH243" s="214"/>
      <c r="AI243" s="214"/>
      <c r="AJ243" s="214"/>
      <c r="AK243" s="214"/>
      <c r="AL243" s="214"/>
      <c r="AM243" s="214"/>
    </row>
    <row r="244" spans="2:39" s="213" customFormat="1" thickBot="1">
      <c r="B244" s="225"/>
      <c r="D244" s="1977"/>
      <c r="F244" s="242"/>
      <c r="G244" s="243"/>
      <c r="H244" s="3341"/>
      <c r="I244" s="243"/>
      <c r="J244" s="243"/>
      <c r="K244" s="243"/>
      <c r="L244" s="141"/>
      <c r="M244" s="459"/>
      <c r="N244" s="141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14"/>
      <c r="AD244" s="214"/>
      <c r="AE244" s="214"/>
      <c r="AF244" s="214"/>
      <c r="AG244" s="214"/>
      <c r="AH244" s="214"/>
      <c r="AI244" s="214"/>
      <c r="AJ244" s="214"/>
      <c r="AK244" s="214"/>
      <c r="AL244" s="214"/>
      <c r="AM244" s="214"/>
    </row>
    <row r="245" spans="2:39" s="213" customFormat="1" thickBot="1">
      <c r="B245" s="225"/>
      <c r="D245" s="1977"/>
      <c r="F245" s="242"/>
      <c r="G245" s="243"/>
      <c r="H245" s="3341"/>
      <c r="I245" s="243"/>
      <c r="J245" s="243"/>
      <c r="K245" s="243"/>
      <c r="L245" s="141"/>
      <c r="M245" s="459"/>
      <c r="N245" s="141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14"/>
      <c r="AD245" s="214"/>
      <c r="AE245" s="214"/>
      <c r="AF245" s="214"/>
      <c r="AG245" s="214"/>
      <c r="AH245" s="214"/>
      <c r="AI245" s="214"/>
      <c r="AJ245" s="214"/>
      <c r="AK245" s="214"/>
      <c r="AL245" s="214"/>
      <c r="AM245" s="214"/>
    </row>
    <row r="246" spans="2:39" s="213" customFormat="1" thickBot="1">
      <c r="B246" s="225"/>
      <c r="D246" s="1977"/>
      <c r="F246" s="242"/>
      <c r="G246" s="243"/>
      <c r="H246" s="3341"/>
      <c r="I246" s="243"/>
      <c r="J246" s="243"/>
      <c r="K246" s="243"/>
      <c r="L246" s="141"/>
      <c r="M246" s="459"/>
      <c r="N246" s="141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14"/>
      <c r="AD246" s="214"/>
      <c r="AE246" s="214"/>
      <c r="AF246" s="214"/>
      <c r="AG246" s="214"/>
      <c r="AH246" s="214"/>
      <c r="AI246" s="214"/>
      <c r="AJ246" s="214"/>
      <c r="AK246" s="214"/>
      <c r="AL246" s="214"/>
      <c r="AM246" s="214"/>
    </row>
    <row r="247" spans="2:39" s="213" customFormat="1" thickBot="1">
      <c r="B247" s="225"/>
      <c r="D247" s="1977"/>
      <c r="F247" s="242"/>
      <c r="G247" s="243"/>
      <c r="H247" s="3341"/>
      <c r="I247" s="243"/>
      <c r="J247" s="243"/>
      <c r="K247" s="243"/>
      <c r="L247" s="141"/>
      <c r="M247" s="459"/>
      <c r="N247" s="141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14"/>
      <c r="AD247" s="214"/>
      <c r="AE247" s="214"/>
      <c r="AF247" s="214"/>
      <c r="AG247" s="214"/>
      <c r="AH247" s="214"/>
      <c r="AI247" s="214"/>
      <c r="AJ247" s="214"/>
      <c r="AK247" s="214"/>
      <c r="AL247" s="214"/>
      <c r="AM247" s="214"/>
    </row>
    <row r="248" spans="2:39" s="213" customFormat="1" thickBot="1">
      <c r="B248" s="225"/>
      <c r="D248" s="1977"/>
      <c r="F248" s="242"/>
      <c r="G248" s="243"/>
      <c r="H248" s="3341"/>
      <c r="I248" s="243"/>
      <c r="J248" s="243"/>
      <c r="K248" s="243"/>
      <c r="L248" s="141"/>
      <c r="M248" s="459"/>
      <c r="N248" s="141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14"/>
      <c r="AD248" s="214"/>
      <c r="AE248" s="214"/>
      <c r="AF248" s="214"/>
      <c r="AG248" s="214"/>
      <c r="AH248" s="214"/>
      <c r="AI248" s="214"/>
      <c r="AJ248" s="214"/>
      <c r="AK248" s="214"/>
      <c r="AL248" s="214"/>
      <c r="AM248" s="214"/>
    </row>
    <row r="249" spans="2:39" s="213" customFormat="1" thickBot="1">
      <c r="B249" s="225"/>
      <c r="D249" s="1977"/>
      <c r="F249" s="242"/>
      <c r="G249" s="243"/>
      <c r="H249" s="3341"/>
      <c r="I249" s="243"/>
      <c r="J249" s="243"/>
      <c r="K249" s="243"/>
      <c r="L249" s="141"/>
      <c r="M249" s="459"/>
      <c r="N249" s="141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14"/>
      <c r="AD249" s="214"/>
      <c r="AE249" s="214"/>
      <c r="AF249" s="214"/>
      <c r="AG249" s="214"/>
      <c r="AH249" s="214"/>
      <c r="AI249" s="214"/>
      <c r="AJ249" s="214"/>
      <c r="AK249" s="214"/>
      <c r="AL249" s="214"/>
      <c r="AM249" s="214"/>
    </row>
    <row r="250" spans="2:39" s="213" customFormat="1" thickBot="1">
      <c r="B250" s="225"/>
      <c r="D250" s="1977"/>
      <c r="F250" s="242"/>
      <c r="G250" s="243"/>
      <c r="H250" s="3341"/>
      <c r="I250" s="243"/>
      <c r="J250" s="243"/>
      <c r="K250" s="243"/>
      <c r="L250" s="141"/>
      <c r="M250" s="459"/>
      <c r="N250" s="141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14"/>
      <c r="AD250" s="214"/>
      <c r="AE250" s="214"/>
      <c r="AF250" s="214"/>
      <c r="AG250" s="214"/>
      <c r="AH250" s="214"/>
      <c r="AI250" s="214"/>
      <c r="AJ250" s="214"/>
      <c r="AK250" s="214"/>
      <c r="AL250" s="214"/>
      <c r="AM250" s="214"/>
    </row>
    <row r="251" spans="2:39" s="213" customFormat="1" thickBot="1">
      <c r="B251" s="225"/>
      <c r="D251" s="1977"/>
      <c r="F251" s="242"/>
      <c r="G251" s="243"/>
      <c r="H251" s="3341"/>
      <c r="I251" s="243"/>
      <c r="J251" s="243"/>
      <c r="K251" s="243"/>
      <c r="L251" s="141"/>
      <c r="M251" s="459"/>
      <c r="N251" s="141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14"/>
      <c r="AD251" s="214"/>
      <c r="AE251" s="214"/>
      <c r="AF251" s="214"/>
      <c r="AG251" s="214"/>
      <c r="AH251" s="214"/>
      <c r="AI251" s="214"/>
      <c r="AJ251" s="214"/>
      <c r="AK251" s="214"/>
      <c r="AL251" s="214"/>
      <c r="AM251" s="214"/>
    </row>
    <row r="252" spans="2:39" s="213" customFormat="1" thickBot="1">
      <c r="B252" s="225"/>
      <c r="D252" s="1977"/>
      <c r="F252" s="242"/>
      <c r="G252" s="243"/>
      <c r="H252" s="3341"/>
      <c r="I252" s="243"/>
      <c r="J252" s="243"/>
      <c r="K252" s="243"/>
      <c r="L252" s="141"/>
      <c r="M252" s="459"/>
      <c r="N252" s="141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14"/>
      <c r="AD252" s="214"/>
      <c r="AE252" s="214"/>
      <c r="AF252" s="214"/>
      <c r="AG252" s="214"/>
      <c r="AH252" s="214"/>
      <c r="AI252" s="214"/>
      <c r="AJ252" s="214"/>
      <c r="AK252" s="214"/>
      <c r="AL252" s="214"/>
      <c r="AM252" s="214"/>
    </row>
    <row r="253" spans="2:39" s="213" customFormat="1" thickBot="1">
      <c r="B253" s="225"/>
      <c r="D253" s="1977"/>
      <c r="F253" s="242"/>
      <c r="G253" s="243"/>
      <c r="H253" s="3341"/>
      <c r="I253" s="243"/>
      <c r="J253" s="243"/>
      <c r="K253" s="243"/>
      <c r="L253" s="141"/>
      <c r="M253" s="459"/>
      <c r="N253" s="141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14"/>
      <c r="AD253" s="214"/>
      <c r="AE253" s="214"/>
      <c r="AF253" s="214"/>
      <c r="AG253" s="214"/>
      <c r="AH253" s="214"/>
      <c r="AI253" s="214"/>
      <c r="AJ253" s="214"/>
      <c r="AK253" s="214"/>
      <c r="AL253" s="214"/>
      <c r="AM253" s="214"/>
    </row>
    <row r="254" spans="2:39" s="213" customFormat="1" thickBot="1">
      <c r="B254" s="225"/>
      <c r="D254" s="1977"/>
      <c r="F254" s="242"/>
      <c r="G254" s="243"/>
      <c r="H254" s="3341"/>
      <c r="I254" s="243"/>
      <c r="J254" s="243"/>
      <c r="K254" s="243"/>
      <c r="L254" s="141"/>
      <c r="M254" s="459"/>
      <c r="N254" s="141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14"/>
      <c r="AD254" s="214"/>
      <c r="AE254" s="214"/>
      <c r="AF254" s="214"/>
      <c r="AG254" s="214"/>
      <c r="AH254" s="214"/>
      <c r="AI254" s="214"/>
      <c r="AJ254" s="214"/>
      <c r="AK254" s="214"/>
      <c r="AL254" s="214"/>
      <c r="AM254" s="214"/>
    </row>
    <row r="255" spans="2:39" s="213" customFormat="1" thickBot="1">
      <c r="B255" s="225"/>
      <c r="D255" s="1977"/>
      <c r="F255" s="242"/>
      <c r="G255" s="243"/>
      <c r="H255" s="3341"/>
      <c r="I255" s="243"/>
      <c r="J255" s="243"/>
      <c r="K255" s="243"/>
      <c r="L255" s="141"/>
      <c r="M255" s="459"/>
      <c r="N255" s="141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14"/>
      <c r="AD255" s="214"/>
      <c r="AE255" s="214"/>
      <c r="AF255" s="214"/>
      <c r="AG255" s="214"/>
      <c r="AH255" s="214"/>
      <c r="AI255" s="214"/>
      <c r="AJ255" s="214"/>
      <c r="AK255" s="214"/>
      <c r="AL255" s="214"/>
      <c r="AM255" s="214"/>
    </row>
    <row r="256" spans="2:39" s="213" customFormat="1" thickBot="1">
      <c r="B256" s="225"/>
      <c r="D256" s="1977"/>
      <c r="F256" s="242"/>
      <c r="G256" s="243"/>
      <c r="H256" s="3341"/>
      <c r="I256" s="243"/>
      <c r="J256" s="243"/>
      <c r="K256" s="243"/>
      <c r="L256" s="141"/>
      <c r="M256" s="459"/>
      <c r="N256" s="141"/>
      <c r="O256" s="141"/>
      <c r="P256" s="141"/>
      <c r="Q256" s="148"/>
      <c r="R256" s="148"/>
      <c r="S256" s="149"/>
      <c r="T256" s="149"/>
      <c r="U256" s="150"/>
      <c r="V256" s="150"/>
      <c r="W256" s="150"/>
      <c r="X256" s="150"/>
      <c r="Y256" s="150"/>
      <c r="Z256" s="150"/>
      <c r="AA256" s="150"/>
      <c r="AC256" s="214"/>
      <c r="AD256" s="214"/>
      <c r="AE256" s="214"/>
      <c r="AF256" s="214"/>
      <c r="AG256" s="214"/>
      <c r="AH256" s="214"/>
      <c r="AI256" s="214"/>
      <c r="AJ256" s="214"/>
      <c r="AK256" s="214"/>
      <c r="AL256" s="214"/>
      <c r="AM256" s="214"/>
    </row>
    <row r="257" spans="1:40" thickBot="1">
      <c r="A257" s="204"/>
      <c r="L257" s="155"/>
      <c r="N257" s="155"/>
      <c r="O257" s="155"/>
      <c r="P257" s="155"/>
      <c r="Q257" s="156"/>
      <c r="R257" s="156"/>
      <c r="S257" s="251"/>
      <c r="T257" s="251"/>
      <c r="U257" s="252"/>
      <c r="V257" s="252"/>
      <c r="W257" s="252"/>
      <c r="X257" s="252"/>
      <c r="Y257" s="252"/>
      <c r="Z257" s="252"/>
      <c r="AA257" s="252"/>
      <c r="AN257" s="204"/>
    </row>
    <row r="258" spans="1:40" thickBot="1">
      <c r="A258" s="204"/>
      <c r="L258" s="155"/>
      <c r="N258" s="155"/>
      <c r="O258" s="155"/>
      <c r="P258" s="155"/>
      <c r="Q258" s="156"/>
      <c r="R258" s="156"/>
      <c r="S258" s="251"/>
      <c r="T258" s="251"/>
      <c r="U258" s="252"/>
      <c r="V258" s="252"/>
      <c r="W258" s="252"/>
      <c r="X258" s="252"/>
      <c r="Y258" s="252"/>
      <c r="Z258" s="252"/>
      <c r="AA258" s="252"/>
      <c r="AN258" s="204"/>
    </row>
    <row r="259" spans="1:40" thickBot="1">
      <c r="A259" s="204"/>
      <c r="L259" s="155"/>
      <c r="N259" s="155"/>
      <c r="O259" s="155"/>
      <c r="P259" s="155"/>
      <c r="Q259" s="156"/>
      <c r="R259" s="156"/>
      <c r="S259" s="251"/>
      <c r="T259" s="251"/>
      <c r="U259" s="252"/>
      <c r="V259" s="252"/>
      <c r="W259" s="252"/>
      <c r="X259" s="252"/>
      <c r="Y259" s="252"/>
      <c r="Z259" s="252"/>
      <c r="AA259" s="252"/>
      <c r="AN259" s="204"/>
    </row>
    <row r="260" spans="1:40" thickBot="1">
      <c r="A260" s="204"/>
      <c r="L260" s="155"/>
      <c r="N260" s="155"/>
      <c r="O260" s="155"/>
      <c r="P260" s="155"/>
      <c r="Q260" s="156"/>
      <c r="R260" s="156"/>
      <c r="S260" s="251"/>
      <c r="T260" s="251"/>
      <c r="U260" s="252"/>
      <c r="V260" s="252"/>
      <c r="W260" s="252"/>
      <c r="X260" s="252"/>
      <c r="Y260" s="252"/>
      <c r="Z260" s="252"/>
      <c r="AA260" s="252"/>
      <c r="AN260" s="204"/>
    </row>
    <row r="261" spans="1:40" thickBot="1">
      <c r="A261" s="204"/>
      <c r="L261" s="155"/>
      <c r="N261" s="155"/>
      <c r="O261" s="155"/>
      <c r="P261" s="155"/>
      <c r="Q261" s="156"/>
      <c r="R261" s="156"/>
      <c r="S261" s="251"/>
      <c r="T261" s="251"/>
      <c r="U261" s="252"/>
      <c r="V261" s="252"/>
      <c r="W261" s="252"/>
      <c r="X261" s="252"/>
      <c r="Y261" s="252"/>
      <c r="Z261" s="252"/>
      <c r="AA261" s="252"/>
      <c r="AN261" s="204"/>
    </row>
    <row r="262" spans="1:40" thickBot="1">
      <c r="A262" s="204"/>
      <c r="L262" s="155"/>
      <c r="N262" s="155"/>
      <c r="O262" s="155"/>
      <c r="P262" s="155"/>
      <c r="Q262" s="156"/>
      <c r="R262" s="156"/>
      <c r="S262" s="251"/>
      <c r="T262" s="251"/>
      <c r="U262" s="252"/>
      <c r="V262" s="252"/>
      <c r="W262" s="252"/>
      <c r="X262" s="252"/>
      <c r="Y262" s="252"/>
      <c r="Z262" s="252"/>
      <c r="AA262" s="252"/>
      <c r="AN262" s="204"/>
    </row>
    <row r="263" spans="1:40" thickBot="1">
      <c r="A263" s="204"/>
      <c r="L263" s="155"/>
      <c r="N263" s="155"/>
      <c r="O263" s="155"/>
      <c r="P263" s="155"/>
      <c r="Q263" s="156"/>
      <c r="R263" s="156"/>
      <c r="S263" s="251"/>
      <c r="T263" s="251"/>
      <c r="U263" s="252"/>
      <c r="V263" s="252"/>
      <c r="W263" s="252"/>
      <c r="X263" s="252"/>
      <c r="Y263" s="252"/>
      <c r="Z263" s="252"/>
      <c r="AA263" s="252"/>
      <c r="AN263" s="204"/>
    </row>
    <row r="264" spans="1:40" thickBot="1">
      <c r="A264" s="204"/>
      <c r="L264" s="155"/>
      <c r="N264" s="155"/>
      <c r="O264" s="155"/>
      <c r="P264" s="155"/>
      <c r="Q264" s="156"/>
      <c r="R264" s="156"/>
      <c r="S264" s="251"/>
      <c r="T264" s="251"/>
      <c r="U264" s="252"/>
      <c r="V264" s="252"/>
      <c r="W264" s="252"/>
      <c r="X264" s="252"/>
      <c r="Y264" s="252"/>
      <c r="Z264" s="252"/>
      <c r="AA264" s="252"/>
      <c r="AN264" s="204"/>
    </row>
    <row r="265" spans="1:40" thickBot="1">
      <c r="A265" s="204"/>
      <c r="L265" s="155"/>
      <c r="N265" s="155"/>
      <c r="O265" s="155"/>
      <c r="P265" s="155"/>
      <c r="Q265" s="156"/>
      <c r="R265" s="156"/>
      <c r="S265" s="251"/>
      <c r="T265" s="251"/>
      <c r="U265" s="252"/>
      <c r="V265" s="252"/>
      <c r="W265" s="252"/>
      <c r="X265" s="252"/>
      <c r="Y265" s="252"/>
      <c r="Z265" s="252"/>
      <c r="AA265" s="252"/>
      <c r="AN265" s="204"/>
    </row>
    <row r="266" spans="1:40" thickBot="1">
      <c r="A266" s="204"/>
      <c r="B266" s="204"/>
      <c r="F266" s="204"/>
      <c r="G266" s="204"/>
      <c r="H266" s="3351"/>
      <c r="I266" s="204"/>
      <c r="J266" s="204"/>
      <c r="K266" s="204"/>
      <c r="L266" s="155"/>
      <c r="M266" s="204"/>
      <c r="N266" s="155"/>
      <c r="O266" s="155"/>
      <c r="P266" s="155"/>
      <c r="Q266" s="156"/>
      <c r="R266" s="156"/>
      <c r="S266" s="251"/>
      <c r="T266" s="251"/>
      <c r="U266" s="252"/>
      <c r="V266" s="252"/>
      <c r="W266" s="252"/>
      <c r="X266" s="252"/>
      <c r="Y266" s="252"/>
      <c r="Z266" s="252"/>
      <c r="AA266" s="252"/>
      <c r="AB266" s="204"/>
      <c r="AC266" s="204"/>
      <c r="AD266" s="204"/>
      <c r="AE266" s="204"/>
      <c r="AF266" s="204"/>
      <c r="AG266" s="204"/>
      <c r="AH266" s="204"/>
      <c r="AI266" s="204"/>
      <c r="AJ266" s="204"/>
      <c r="AK266" s="204"/>
      <c r="AL266" s="204"/>
      <c r="AM266" s="204"/>
      <c r="AN266" s="204"/>
    </row>
    <row r="267" spans="1:40" thickBot="1">
      <c r="A267" s="204"/>
      <c r="B267" s="204"/>
      <c r="F267" s="204"/>
      <c r="G267" s="204"/>
      <c r="H267" s="3351"/>
      <c r="I267" s="204"/>
      <c r="J267" s="204"/>
      <c r="K267" s="204"/>
      <c r="L267" s="155"/>
      <c r="M267" s="204"/>
      <c r="N267" s="155"/>
      <c r="O267" s="155"/>
      <c r="P267" s="155"/>
      <c r="Q267" s="156"/>
      <c r="R267" s="156"/>
      <c r="S267" s="251"/>
      <c r="T267" s="251"/>
      <c r="U267" s="252"/>
      <c r="V267" s="252"/>
      <c r="W267" s="252"/>
      <c r="X267" s="252"/>
      <c r="Y267" s="252"/>
      <c r="Z267" s="252"/>
      <c r="AA267" s="252"/>
      <c r="AB267" s="204"/>
      <c r="AC267" s="204"/>
      <c r="AD267" s="204"/>
      <c r="AE267" s="204"/>
      <c r="AF267" s="204"/>
      <c r="AG267" s="204"/>
      <c r="AH267" s="204"/>
      <c r="AI267" s="204"/>
      <c r="AJ267" s="204"/>
      <c r="AK267" s="204"/>
      <c r="AL267" s="204"/>
      <c r="AM267" s="204"/>
      <c r="AN267" s="204"/>
    </row>
    <row r="268" spans="1:40" thickBot="1">
      <c r="A268" s="204"/>
      <c r="B268" s="204"/>
      <c r="F268" s="204"/>
      <c r="G268" s="204"/>
      <c r="H268" s="3351"/>
      <c r="I268" s="204"/>
      <c r="J268" s="204"/>
      <c r="K268" s="204"/>
      <c r="L268" s="155"/>
      <c r="M268" s="204"/>
      <c r="N268" s="155"/>
      <c r="O268" s="155"/>
      <c r="P268" s="155"/>
      <c r="Q268" s="156"/>
      <c r="R268" s="156"/>
      <c r="S268" s="251"/>
      <c r="T268" s="251"/>
      <c r="U268" s="252"/>
      <c r="V268" s="252"/>
      <c r="W268" s="252"/>
      <c r="X268" s="252"/>
      <c r="Y268" s="252"/>
      <c r="Z268" s="252"/>
      <c r="AA268" s="252"/>
      <c r="AB268" s="204"/>
      <c r="AC268" s="204"/>
      <c r="AD268" s="204"/>
      <c r="AE268" s="204"/>
      <c r="AF268" s="204"/>
      <c r="AG268" s="204"/>
      <c r="AH268" s="204"/>
      <c r="AI268" s="204"/>
      <c r="AJ268" s="204"/>
      <c r="AK268" s="204"/>
      <c r="AL268" s="204"/>
      <c r="AM268" s="204"/>
      <c r="AN268" s="204"/>
    </row>
    <row r="269" spans="1:40" thickBot="1">
      <c r="A269" s="204"/>
      <c r="B269" s="204"/>
      <c r="F269" s="204"/>
      <c r="G269" s="204"/>
      <c r="H269" s="3351"/>
      <c r="I269" s="204"/>
      <c r="J269" s="204"/>
      <c r="K269" s="204"/>
      <c r="L269" s="155"/>
      <c r="M269" s="204"/>
      <c r="N269" s="155"/>
      <c r="O269" s="155"/>
      <c r="P269" s="155"/>
      <c r="Q269" s="156"/>
      <c r="R269" s="156"/>
      <c r="S269" s="251"/>
      <c r="T269" s="251"/>
      <c r="U269" s="252"/>
      <c r="V269" s="252"/>
      <c r="W269" s="252"/>
      <c r="X269" s="252"/>
      <c r="Y269" s="252"/>
      <c r="Z269" s="252"/>
      <c r="AA269" s="252"/>
      <c r="AB269" s="204"/>
      <c r="AC269" s="204"/>
      <c r="AD269" s="204"/>
      <c r="AE269" s="204"/>
      <c r="AF269" s="204"/>
      <c r="AG269" s="204"/>
      <c r="AH269" s="204"/>
      <c r="AI269" s="204"/>
      <c r="AJ269" s="204"/>
      <c r="AK269" s="204"/>
      <c r="AL269" s="204"/>
      <c r="AM269" s="204"/>
      <c r="AN269" s="204"/>
    </row>
  </sheetData>
  <mergeCells count="2">
    <mergeCell ref="Q87:R87"/>
    <mergeCell ref="I77:K79"/>
  </mergeCells>
  <conditionalFormatting sqref="AE8">
    <cfRule type="cellIs" dxfId="230" priority="1" stopIfTrue="1" operator="lessThan">
      <formula>0</formula>
    </cfRule>
  </conditionalFormatting>
  <conditionalFormatting sqref="AB8:AD8 AF8:AH8">
    <cfRule type="cellIs" dxfId="229" priority="2" stopIfTrue="1" operator="lessThan">
      <formula>0</formula>
    </cfRule>
  </conditionalFormatting>
  <printOptions horizontalCentered="1" verticalCentered="1"/>
  <pageMargins left="0" right="0" top="0" bottom="0" header="0" footer="0"/>
  <pageSetup paperSize="9" scale="86" fitToHeight="2" orientation="portrait" horizontalDpi="0" verticalDpi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59B9C-DA88-ED4F-A461-A545F4749FB2}">
  <dimension ref="A1:AO273"/>
  <sheetViews>
    <sheetView topLeftCell="A24" zoomScale="150" zoomScaleNormal="150" workbookViewId="0">
      <selection activeCell="A31" sqref="A31:R72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83203125" style="1" customWidth="1"/>
    <col min="4" max="4" width="0.83203125" style="3082" customWidth="1"/>
    <col min="5" max="5" width="3.83203125" style="1" customWidth="1"/>
    <col min="6" max="6" width="3.33203125" style="2818" customWidth="1"/>
    <col min="7" max="7" width="5.6640625" style="780" customWidth="1"/>
    <col min="8" max="8" width="7.33203125" style="780" customWidth="1"/>
    <col min="9" max="10" width="7.5" style="780" customWidth="1"/>
    <col min="11" max="11" width="26.83203125" style="780" customWidth="1"/>
    <col min="12" max="12" width="7.6640625" style="780" customWidth="1"/>
    <col min="13" max="13" width="0.83203125" style="2820" customWidth="1"/>
    <col min="14" max="14" width="9" style="2818" customWidth="1"/>
    <col min="15" max="15" width="1" style="780" customWidth="1"/>
    <col min="16" max="16" width="9" style="780" customWidth="1"/>
    <col min="17" max="17" width="6.5" style="2821" customWidth="1"/>
    <col min="18" max="18" width="7" style="2821" customWidth="1"/>
    <col min="19" max="19" width="1.33203125" style="2822" customWidth="1"/>
    <col min="20" max="20" width="0.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5" style="2823" customWidth="1"/>
    <col min="25" max="25" width="6" style="2823" customWidth="1"/>
    <col min="26" max="27" width="5.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5" style="2826" customWidth="1"/>
    <col min="40" max="40" width="11.5" style="2825"/>
    <col min="41" max="256" width="11.5" style="1"/>
    <col min="257" max="258" width="2.83203125" style="1" customWidth="1"/>
    <col min="259" max="259" width="1.83203125" style="1" customWidth="1"/>
    <col min="260" max="260" width="1.5" style="1" customWidth="1"/>
    <col min="261" max="261" width="3.83203125" style="1" customWidth="1"/>
    <col min="262" max="262" width="3.33203125" style="1" customWidth="1"/>
    <col min="263" max="263" width="5.6640625" style="1" customWidth="1"/>
    <col min="264" max="264" width="7.33203125" style="1" customWidth="1"/>
    <col min="265" max="266" width="7.5" style="1" customWidth="1"/>
    <col min="267" max="267" width="26.83203125" style="1" customWidth="1"/>
    <col min="268" max="268" width="7.6640625" style="1" customWidth="1"/>
    <col min="269" max="269" width="0.83203125" style="1" customWidth="1"/>
    <col min="270" max="270" width="9" style="1" customWidth="1"/>
    <col min="271" max="271" width="1" style="1" customWidth="1"/>
    <col min="272" max="272" width="9" style="1" customWidth="1"/>
    <col min="273" max="273" width="6.5" style="1" customWidth="1"/>
    <col min="274" max="274" width="7" style="1" customWidth="1"/>
    <col min="275" max="275" width="1.33203125" style="1" customWidth="1"/>
    <col min="276" max="276" width="0.5" style="1" customWidth="1"/>
    <col min="277" max="277" width="6" style="1" customWidth="1"/>
    <col min="278" max="278" width="5.6640625" style="1" customWidth="1"/>
    <col min="279" max="279" width="6.33203125" style="1" customWidth="1"/>
    <col min="280" max="280" width="5.5" style="1" customWidth="1"/>
    <col min="281" max="281" width="6" style="1" customWidth="1"/>
    <col min="282" max="283" width="5.5" style="1" customWidth="1"/>
    <col min="284" max="284" width="7.6640625" style="1" customWidth="1"/>
    <col min="285" max="289" width="4.5" style="1" customWidth="1"/>
    <col min="290" max="290" width="6.5" style="1" customWidth="1"/>
    <col min="291" max="295" width="5.5" style="1" customWidth="1"/>
    <col min="296" max="512" width="11.5" style="1"/>
    <col min="513" max="514" width="2.83203125" style="1" customWidth="1"/>
    <col min="515" max="515" width="1.83203125" style="1" customWidth="1"/>
    <col min="516" max="516" width="1.5" style="1" customWidth="1"/>
    <col min="517" max="517" width="3.83203125" style="1" customWidth="1"/>
    <col min="518" max="518" width="3.33203125" style="1" customWidth="1"/>
    <col min="519" max="519" width="5.6640625" style="1" customWidth="1"/>
    <col min="520" max="520" width="7.33203125" style="1" customWidth="1"/>
    <col min="521" max="522" width="7.5" style="1" customWidth="1"/>
    <col min="523" max="523" width="26.83203125" style="1" customWidth="1"/>
    <col min="524" max="524" width="7.6640625" style="1" customWidth="1"/>
    <col min="525" max="525" width="0.83203125" style="1" customWidth="1"/>
    <col min="526" max="526" width="9" style="1" customWidth="1"/>
    <col min="527" max="527" width="1" style="1" customWidth="1"/>
    <col min="528" max="528" width="9" style="1" customWidth="1"/>
    <col min="529" max="529" width="6.5" style="1" customWidth="1"/>
    <col min="530" max="530" width="7" style="1" customWidth="1"/>
    <col min="531" max="531" width="1.33203125" style="1" customWidth="1"/>
    <col min="532" max="532" width="0.5" style="1" customWidth="1"/>
    <col min="533" max="533" width="6" style="1" customWidth="1"/>
    <col min="534" max="534" width="5.6640625" style="1" customWidth="1"/>
    <col min="535" max="535" width="6.33203125" style="1" customWidth="1"/>
    <col min="536" max="536" width="5.5" style="1" customWidth="1"/>
    <col min="537" max="537" width="6" style="1" customWidth="1"/>
    <col min="538" max="539" width="5.5" style="1" customWidth="1"/>
    <col min="540" max="540" width="7.6640625" style="1" customWidth="1"/>
    <col min="541" max="545" width="4.5" style="1" customWidth="1"/>
    <col min="546" max="546" width="6.5" style="1" customWidth="1"/>
    <col min="547" max="551" width="5.5" style="1" customWidth="1"/>
    <col min="552" max="768" width="11.5" style="1"/>
    <col min="769" max="770" width="2.83203125" style="1" customWidth="1"/>
    <col min="771" max="771" width="1.83203125" style="1" customWidth="1"/>
    <col min="772" max="772" width="1.5" style="1" customWidth="1"/>
    <col min="773" max="773" width="3.83203125" style="1" customWidth="1"/>
    <col min="774" max="774" width="3.33203125" style="1" customWidth="1"/>
    <col min="775" max="775" width="5.6640625" style="1" customWidth="1"/>
    <col min="776" max="776" width="7.33203125" style="1" customWidth="1"/>
    <col min="777" max="778" width="7.5" style="1" customWidth="1"/>
    <col min="779" max="779" width="26.83203125" style="1" customWidth="1"/>
    <col min="780" max="780" width="7.6640625" style="1" customWidth="1"/>
    <col min="781" max="781" width="0.83203125" style="1" customWidth="1"/>
    <col min="782" max="782" width="9" style="1" customWidth="1"/>
    <col min="783" max="783" width="1" style="1" customWidth="1"/>
    <col min="784" max="784" width="9" style="1" customWidth="1"/>
    <col min="785" max="785" width="6.5" style="1" customWidth="1"/>
    <col min="786" max="786" width="7" style="1" customWidth="1"/>
    <col min="787" max="787" width="1.33203125" style="1" customWidth="1"/>
    <col min="788" max="788" width="0.5" style="1" customWidth="1"/>
    <col min="789" max="789" width="6" style="1" customWidth="1"/>
    <col min="790" max="790" width="5.6640625" style="1" customWidth="1"/>
    <col min="791" max="791" width="6.33203125" style="1" customWidth="1"/>
    <col min="792" max="792" width="5.5" style="1" customWidth="1"/>
    <col min="793" max="793" width="6" style="1" customWidth="1"/>
    <col min="794" max="795" width="5.5" style="1" customWidth="1"/>
    <col min="796" max="796" width="7.6640625" style="1" customWidth="1"/>
    <col min="797" max="801" width="4.5" style="1" customWidth="1"/>
    <col min="802" max="802" width="6.5" style="1" customWidth="1"/>
    <col min="803" max="807" width="5.5" style="1" customWidth="1"/>
    <col min="808" max="1024" width="11.5" style="1"/>
    <col min="1025" max="1026" width="2.83203125" style="1" customWidth="1"/>
    <col min="1027" max="1027" width="1.83203125" style="1" customWidth="1"/>
    <col min="1028" max="1028" width="1.5" style="1" customWidth="1"/>
    <col min="1029" max="1029" width="3.83203125" style="1" customWidth="1"/>
    <col min="1030" max="1030" width="3.33203125" style="1" customWidth="1"/>
    <col min="1031" max="1031" width="5.6640625" style="1" customWidth="1"/>
    <col min="1032" max="1032" width="7.33203125" style="1" customWidth="1"/>
    <col min="1033" max="1034" width="7.5" style="1" customWidth="1"/>
    <col min="1035" max="1035" width="26.83203125" style="1" customWidth="1"/>
    <col min="1036" max="1036" width="7.6640625" style="1" customWidth="1"/>
    <col min="1037" max="1037" width="0.83203125" style="1" customWidth="1"/>
    <col min="1038" max="1038" width="9" style="1" customWidth="1"/>
    <col min="1039" max="1039" width="1" style="1" customWidth="1"/>
    <col min="1040" max="1040" width="9" style="1" customWidth="1"/>
    <col min="1041" max="1041" width="6.5" style="1" customWidth="1"/>
    <col min="1042" max="1042" width="7" style="1" customWidth="1"/>
    <col min="1043" max="1043" width="1.33203125" style="1" customWidth="1"/>
    <col min="1044" max="1044" width="0.5" style="1" customWidth="1"/>
    <col min="1045" max="1045" width="6" style="1" customWidth="1"/>
    <col min="1046" max="1046" width="5.6640625" style="1" customWidth="1"/>
    <col min="1047" max="1047" width="6.33203125" style="1" customWidth="1"/>
    <col min="1048" max="1048" width="5.5" style="1" customWidth="1"/>
    <col min="1049" max="1049" width="6" style="1" customWidth="1"/>
    <col min="1050" max="1051" width="5.5" style="1" customWidth="1"/>
    <col min="1052" max="1052" width="7.6640625" style="1" customWidth="1"/>
    <col min="1053" max="1057" width="4.5" style="1" customWidth="1"/>
    <col min="1058" max="1058" width="6.5" style="1" customWidth="1"/>
    <col min="1059" max="1063" width="5.5" style="1" customWidth="1"/>
    <col min="1064" max="1280" width="11.5" style="1"/>
    <col min="1281" max="1282" width="2.83203125" style="1" customWidth="1"/>
    <col min="1283" max="1283" width="1.83203125" style="1" customWidth="1"/>
    <col min="1284" max="1284" width="1.5" style="1" customWidth="1"/>
    <col min="1285" max="1285" width="3.83203125" style="1" customWidth="1"/>
    <col min="1286" max="1286" width="3.33203125" style="1" customWidth="1"/>
    <col min="1287" max="1287" width="5.6640625" style="1" customWidth="1"/>
    <col min="1288" max="1288" width="7.33203125" style="1" customWidth="1"/>
    <col min="1289" max="1290" width="7.5" style="1" customWidth="1"/>
    <col min="1291" max="1291" width="26.83203125" style="1" customWidth="1"/>
    <col min="1292" max="1292" width="7.6640625" style="1" customWidth="1"/>
    <col min="1293" max="1293" width="0.83203125" style="1" customWidth="1"/>
    <col min="1294" max="1294" width="9" style="1" customWidth="1"/>
    <col min="1295" max="1295" width="1" style="1" customWidth="1"/>
    <col min="1296" max="1296" width="9" style="1" customWidth="1"/>
    <col min="1297" max="1297" width="6.5" style="1" customWidth="1"/>
    <col min="1298" max="1298" width="7" style="1" customWidth="1"/>
    <col min="1299" max="1299" width="1.33203125" style="1" customWidth="1"/>
    <col min="1300" max="1300" width="0.5" style="1" customWidth="1"/>
    <col min="1301" max="1301" width="6" style="1" customWidth="1"/>
    <col min="1302" max="1302" width="5.6640625" style="1" customWidth="1"/>
    <col min="1303" max="1303" width="6.33203125" style="1" customWidth="1"/>
    <col min="1304" max="1304" width="5.5" style="1" customWidth="1"/>
    <col min="1305" max="1305" width="6" style="1" customWidth="1"/>
    <col min="1306" max="1307" width="5.5" style="1" customWidth="1"/>
    <col min="1308" max="1308" width="7.6640625" style="1" customWidth="1"/>
    <col min="1309" max="1313" width="4.5" style="1" customWidth="1"/>
    <col min="1314" max="1314" width="6.5" style="1" customWidth="1"/>
    <col min="1315" max="1319" width="5.5" style="1" customWidth="1"/>
    <col min="1320" max="1536" width="11.5" style="1"/>
    <col min="1537" max="1538" width="2.83203125" style="1" customWidth="1"/>
    <col min="1539" max="1539" width="1.83203125" style="1" customWidth="1"/>
    <col min="1540" max="1540" width="1.5" style="1" customWidth="1"/>
    <col min="1541" max="1541" width="3.83203125" style="1" customWidth="1"/>
    <col min="1542" max="1542" width="3.33203125" style="1" customWidth="1"/>
    <col min="1543" max="1543" width="5.6640625" style="1" customWidth="1"/>
    <col min="1544" max="1544" width="7.33203125" style="1" customWidth="1"/>
    <col min="1545" max="1546" width="7.5" style="1" customWidth="1"/>
    <col min="1547" max="1547" width="26.83203125" style="1" customWidth="1"/>
    <col min="1548" max="1548" width="7.6640625" style="1" customWidth="1"/>
    <col min="1549" max="1549" width="0.83203125" style="1" customWidth="1"/>
    <col min="1550" max="1550" width="9" style="1" customWidth="1"/>
    <col min="1551" max="1551" width="1" style="1" customWidth="1"/>
    <col min="1552" max="1552" width="9" style="1" customWidth="1"/>
    <col min="1553" max="1553" width="6.5" style="1" customWidth="1"/>
    <col min="1554" max="1554" width="7" style="1" customWidth="1"/>
    <col min="1555" max="1555" width="1.33203125" style="1" customWidth="1"/>
    <col min="1556" max="1556" width="0.5" style="1" customWidth="1"/>
    <col min="1557" max="1557" width="6" style="1" customWidth="1"/>
    <col min="1558" max="1558" width="5.6640625" style="1" customWidth="1"/>
    <col min="1559" max="1559" width="6.33203125" style="1" customWidth="1"/>
    <col min="1560" max="1560" width="5.5" style="1" customWidth="1"/>
    <col min="1561" max="1561" width="6" style="1" customWidth="1"/>
    <col min="1562" max="1563" width="5.5" style="1" customWidth="1"/>
    <col min="1564" max="1564" width="7.6640625" style="1" customWidth="1"/>
    <col min="1565" max="1569" width="4.5" style="1" customWidth="1"/>
    <col min="1570" max="1570" width="6.5" style="1" customWidth="1"/>
    <col min="1571" max="1575" width="5.5" style="1" customWidth="1"/>
    <col min="1576" max="1792" width="11.5" style="1"/>
    <col min="1793" max="1794" width="2.83203125" style="1" customWidth="1"/>
    <col min="1795" max="1795" width="1.83203125" style="1" customWidth="1"/>
    <col min="1796" max="1796" width="1.5" style="1" customWidth="1"/>
    <col min="1797" max="1797" width="3.83203125" style="1" customWidth="1"/>
    <col min="1798" max="1798" width="3.33203125" style="1" customWidth="1"/>
    <col min="1799" max="1799" width="5.6640625" style="1" customWidth="1"/>
    <col min="1800" max="1800" width="7.33203125" style="1" customWidth="1"/>
    <col min="1801" max="1802" width="7.5" style="1" customWidth="1"/>
    <col min="1803" max="1803" width="26.83203125" style="1" customWidth="1"/>
    <col min="1804" max="1804" width="7.6640625" style="1" customWidth="1"/>
    <col min="1805" max="1805" width="0.83203125" style="1" customWidth="1"/>
    <col min="1806" max="1806" width="9" style="1" customWidth="1"/>
    <col min="1807" max="1807" width="1" style="1" customWidth="1"/>
    <col min="1808" max="1808" width="9" style="1" customWidth="1"/>
    <col min="1809" max="1809" width="6.5" style="1" customWidth="1"/>
    <col min="1810" max="1810" width="7" style="1" customWidth="1"/>
    <col min="1811" max="1811" width="1.33203125" style="1" customWidth="1"/>
    <col min="1812" max="1812" width="0.5" style="1" customWidth="1"/>
    <col min="1813" max="1813" width="6" style="1" customWidth="1"/>
    <col min="1814" max="1814" width="5.6640625" style="1" customWidth="1"/>
    <col min="1815" max="1815" width="6.33203125" style="1" customWidth="1"/>
    <col min="1816" max="1816" width="5.5" style="1" customWidth="1"/>
    <col min="1817" max="1817" width="6" style="1" customWidth="1"/>
    <col min="1818" max="1819" width="5.5" style="1" customWidth="1"/>
    <col min="1820" max="1820" width="7.6640625" style="1" customWidth="1"/>
    <col min="1821" max="1825" width="4.5" style="1" customWidth="1"/>
    <col min="1826" max="1826" width="6.5" style="1" customWidth="1"/>
    <col min="1827" max="1831" width="5.5" style="1" customWidth="1"/>
    <col min="1832" max="2048" width="11.5" style="1"/>
    <col min="2049" max="2050" width="2.83203125" style="1" customWidth="1"/>
    <col min="2051" max="2051" width="1.83203125" style="1" customWidth="1"/>
    <col min="2052" max="2052" width="1.5" style="1" customWidth="1"/>
    <col min="2053" max="2053" width="3.83203125" style="1" customWidth="1"/>
    <col min="2054" max="2054" width="3.33203125" style="1" customWidth="1"/>
    <col min="2055" max="2055" width="5.6640625" style="1" customWidth="1"/>
    <col min="2056" max="2056" width="7.33203125" style="1" customWidth="1"/>
    <col min="2057" max="2058" width="7.5" style="1" customWidth="1"/>
    <col min="2059" max="2059" width="26.83203125" style="1" customWidth="1"/>
    <col min="2060" max="2060" width="7.6640625" style="1" customWidth="1"/>
    <col min="2061" max="2061" width="0.83203125" style="1" customWidth="1"/>
    <col min="2062" max="2062" width="9" style="1" customWidth="1"/>
    <col min="2063" max="2063" width="1" style="1" customWidth="1"/>
    <col min="2064" max="2064" width="9" style="1" customWidth="1"/>
    <col min="2065" max="2065" width="6.5" style="1" customWidth="1"/>
    <col min="2066" max="2066" width="7" style="1" customWidth="1"/>
    <col min="2067" max="2067" width="1.33203125" style="1" customWidth="1"/>
    <col min="2068" max="2068" width="0.5" style="1" customWidth="1"/>
    <col min="2069" max="2069" width="6" style="1" customWidth="1"/>
    <col min="2070" max="2070" width="5.6640625" style="1" customWidth="1"/>
    <col min="2071" max="2071" width="6.33203125" style="1" customWidth="1"/>
    <col min="2072" max="2072" width="5.5" style="1" customWidth="1"/>
    <col min="2073" max="2073" width="6" style="1" customWidth="1"/>
    <col min="2074" max="2075" width="5.5" style="1" customWidth="1"/>
    <col min="2076" max="2076" width="7.6640625" style="1" customWidth="1"/>
    <col min="2077" max="2081" width="4.5" style="1" customWidth="1"/>
    <col min="2082" max="2082" width="6.5" style="1" customWidth="1"/>
    <col min="2083" max="2087" width="5.5" style="1" customWidth="1"/>
    <col min="2088" max="2304" width="11.5" style="1"/>
    <col min="2305" max="2306" width="2.83203125" style="1" customWidth="1"/>
    <col min="2307" max="2307" width="1.83203125" style="1" customWidth="1"/>
    <col min="2308" max="2308" width="1.5" style="1" customWidth="1"/>
    <col min="2309" max="2309" width="3.83203125" style="1" customWidth="1"/>
    <col min="2310" max="2310" width="3.33203125" style="1" customWidth="1"/>
    <col min="2311" max="2311" width="5.6640625" style="1" customWidth="1"/>
    <col min="2312" max="2312" width="7.33203125" style="1" customWidth="1"/>
    <col min="2313" max="2314" width="7.5" style="1" customWidth="1"/>
    <col min="2315" max="2315" width="26.83203125" style="1" customWidth="1"/>
    <col min="2316" max="2316" width="7.6640625" style="1" customWidth="1"/>
    <col min="2317" max="2317" width="0.83203125" style="1" customWidth="1"/>
    <col min="2318" max="2318" width="9" style="1" customWidth="1"/>
    <col min="2319" max="2319" width="1" style="1" customWidth="1"/>
    <col min="2320" max="2320" width="9" style="1" customWidth="1"/>
    <col min="2321" max="2321" width="6.5" style="1" customWidth="1"/>
    <col min="2322" max="2322" width="7" style="1" customWidth="1"/>
    <col min="2323" max="2323" width="1.33203125" style="1" customWidth="1"/>
    <col min="2324" max="2324" width="0.5" style="1" customWidth="1"/>
    <col min="2325" max="2325" width="6" style="1" customWidth="1"/>
    <col min="2326" max="2326" width="5.6640625" style="1" customWidth="1"/>
    <col min="2327" max="2327" width="6.33203125" style="1" customWidth="1"/>
    <col min="2328" max="2328" width="5.5" style="1" customWidth="1"/>
    <col min="2329" max="2329" width="6" style="1" customWidth="1"/>
    <col min="2330" max="2331" width="5.5" style="1" customWidth="1"/>
    <col min="2332" max="2332" width="7.6640625" style="1" customWidth="1"/>
    <col min="2333" max="2337" width="4.5" style="1" customWidth="1"/>
    <col min="2338" max="2338" width="6.5" style="1" customWidth="1"/>
    <col min="2339" max="2343" width="5.5" style="1" customWidth="1"/>
    <col min="2344" max="2560" width="11.5" style="1"/>
    <col min="2561" max="2562" width="2.83203125" style="1" customWidth="1"/>
    <col min="2563" max="2563" width="1.83203125" style="1" customWidth="1"/>
    <col min="2564" max="2564" width="1.5" style="1" customWidth="1"/>
    <col min="2565" max="2565" width="3.83203125" style="1" customWidth="1"/>
    <col min="2566" max="2566" width="3.33203125" style="1" customWidth="1"/>
    <col min="2567" max="2567" width="5.6640625" style="1" customWidth="1"/>
    <col min="2568" max="2568" width="7.33203125" style="1" customWidth="1"/>
    <col min="2569" max="2570" width="7.5" style="1" customWidth="1"/>
    <col min="2571" max="2571" width="26.83203125" style="1" customWidth="1"/>
    <col min="2572" max="2572" width="7.6640625" style="1" customWidth="1"/>
    <col min="2573" max="2573" width="0.83203125" style="1" customWidth="1"/>
    <col min="2574" max="2574" width="9" style="1" customWidth="1"/>
    <col min="2575" max="2575" width="1" style="1" customWidth="1"/>
    <col min="2576" max="2576" width="9" style="1" customWidth="1"/>
    <col min="2577" max="2577" width="6.5" style="1" customWidth="1"/>
    <col min="2578" max="2578" width="7" style="1" customWidth="1"/>
    <col min="2579" max="2579" width="1.33203125" style="1" customWidth="1"/>
    <col min="2580" max="2580" width="0.5" style="1" customWidth="1"/>
    <col min="2581" max="2581" width="6" style="1" customWidth="1"/>
    <col min="2582" max="2582" width="5.6640625" style="1" customWidth="1"/>
    <col min="2583" max="2583" width="6.33203125" style="1" customWidth="1"/>
    <col min="2584" max="2584" width="5.5" style="1" customWidth="1"/>
    <col min="2585" max="2585" width="6" style="1" customWidth="1"/>
    <col min="2586" max="2587" width="5.5" style="1" customWidth="1"/>
    <col min="2588" max="2588" width="7.6640625" style="1" customWidth="1"/>
    <col min="2589" max="2593" width="4.5" style="1" customWidth="1"/>
    <col min="2594" max="2594" width="6.5" style="1" customWidth="1"/>
    <col min="2595" max="2599" width="5.5" style="1" customWidth="1"/>
    <col min="2600" max="2816" width="11.5" style="1"/>
    <col min="2817" max="2818" width="2.83203125" style="1" customWidth="1"/>
    <col min="2819" max="2819" width="1.83203125" style="1" customWidth="1"/>
    <col min="2820" max="2820" width="1.5" style="1" customWidth="1"/>
    <col min="2821" max="2821" width="3.83203125" style="1" customWidth="1"/>
    <col min="2822" max="2822" width="3.33203125" style="1" customWidth="1"/>
    <col min="2823" max="2823" width="5.6640625" style="1" customWidth="1"/>
    <col min="2824" max="2824" width="7.33203125" style="1" customWidth="1"/>
    <col min="2825" max="2826" width="7.5" style="1" customWidth="1"/>
    <col min="2827" max="2827" width="26.83203125" style="1" customWidth="1"/>
    <col min="2828" max="2828" width="7.6640625" style="1" customWidth="1"/>
    <col min="2829" max="2829" width="0.83203125" style="1" customWidth="1"/>
    <col min="2830" max="2830" width="9" style="1" customWidth="1"/>
    <col min="2831" max="2831" width="1" style="1" customWidth="1"/>
    <col min="2832" max="2832" width="9" style="1" customWidth="1"/>
    <col min="2833" max="2833" width="6.5" style="1" customWidth="1"/>
    <col min="2834" max="2834" width="7" style="1" customWidth="1"/>
    <col min="2835" max="2835" width="1.33203125" style="1" customWidth="1"/>
    <col min="2836" max="2836" width="0.5" style="1" customWidth="1"/>
    <col min="2837" max="2837" width="6" style="1" customWidth="1"/>
    <col min="2838" max="2838" width="5.6640625" style="1" customWidth="1"/>
    <col min="2839" max="2839" width="6.33203125" style="1" customWidth="1"/>
    <col min="2840" max="2840" width="5.5" style="1" customWidth="1"/>
    <col min="2841" max="2841" width="6" style="1" customWidth="1"/>
    <col min="2842" max="2843" width="5.5" style="1" customWidth="1"/>
    <col min="2844" max="2844" width="7.6640625" style="1" customWidth="1"/>
    <col min="2845" max="2849" width="4.5" style="1" customWidth="1"/>
    <col min="2850" max="2850" width="6.5" style="1" customWidth="1"/>
    <col min="2851" max="2855" width="5.5" style="1" customWidth="1"/>
    <col min="2856" max="3072" width="11.5" style="1"/>
    <col min="3073" max="3074" width="2.83203125" style="1" customWidth="1"/>
    <col min="3075" max="3075" width="1.83203125" style="1" customWidth="1"/>
    <col min="3076" max="3076" width="1.5" style="1" customWidth="1"/>
    <col min="3077" max="3077" width="3.83203125" style="1" customWidth="1"/>
    <col min="3078" max="3078" width="3.33203125" style="1" customWidth="1"/>
    <col min="3079" max="3079" width="5.6640625" style="1" customWidth="1"/>
    <col min="3080" max="3080" width="7.33203125" style="1" customWidth="1"/>
    <col min="3081" max="3082" width="7.5" style="1" customWidth="1"/>
    <col min="3083" max="3083" width="26.83203125" style="1" customWidth="1"/>
    <col min="3084" max="3084" width="7.6640625" style="1" customWidth="1"/>
    <col min="3085" max="3085" width="0.83203125" style="1" customWidth="1"/>
    <col min="3086" max="3086" width="9" style="1" customWidth="1"/>
    <col min="3087" max="3087" width="1" style="1" customWidth="1"/>
    <col min="3088" max="3088" width="9" style="1" customWidth="1"/>
    <col min="3089" max="3089" width="6.5" style="1" customWidth="1"/>
    <col min="3090" max="3090" width="7" style="1" customWidth="1"/>
    <col min="3091" max="3091" width="1.33203125" style="1" customWidth="1"/>
    <col min="3092" max="3092" width="0.5" style="1" customWidth="1"/>
    <col min="3093" max="3093" width="6" style="1" customWidth="1"/>
    <col min="3094" max="3094" width="5.6640625" style="1" customWidth="1"/>
    <col min="3095" max="3095" width="6.33203125" style="1" customWidth="1"/>
    <col min="3096" max="3096" width="5.5" style="1" customWidth="1"/>
    <col min="3097" max="3097" width="6" style="1" customWidth="1"/>
    <col min="3098" max="3099" width="5.5" style="1" customWidth="1"/>
    <col min="3100" max="3100" width="7.6640625" style="1" customWidth="1"/>
    <col min="3101" max="3105" width="4.5" style="1" customWidth="1"/>
    <col min="3106" max="3106" width="6.5" style="1" customWidth="1"/>
    <col min="3107" max="3111" width="5.5" style="1" customWidth="1"/>
    <col min="3112" max="3328" width="11.5" style="1"/>
    <col min="3329" max="3330" width="2.83203125" style="1" customWidth="1"/>
    <col min="3331" max="3331" width="1.83203125" style="1" customWidth="1"/>
    <col min="3332" max="3332" width="1.5" style="1" customWidth="1"/>
    <col min="3333" max="3333" width="3.83203125" style="1" customWidth="1"/>
    <col min="3334" max="3334" width="3.33203125" style="1" customWidth="1"/>
    <col min="3335" max="3335" width="5.6640625" style="1" customWidth="1"/>
    <col min="3336" max="3336" width="7.33203125" style="1" customWidth="1"/>
    <col min="3337" max="3338" width="7.5" style="1" customWidth="1"/>
    <col min="3339" max="3339" width="26.83203125" style="1" customWidth="1"/>
    <col min="3340" max="3340" width="7.6640625" style="1" customWidth="1"/>
    <col min="3341" max="3341" width="0.83203125" style="1" customWidth="1"/>
    <col min="3342" max="3342" width="9" style="1" customWidth="1"/>
    <col min="3343" max="3343" width="1" style="1" customWidth="1"/>
    <col min="3344" max="3344" width="9" style="1" customWidth="1"/>
    <col min="3345" max="3345" width="6.5" style="1" customWidth="1"/>
    <col min="3346" max="3346" width="7" style="1" customWidth="1"/>
    <col min="3347" max="3347" width="1.33203125" style="1" customWidth="1"/>
    <col min="3348" max="3348" width="0.5" style="1" customWidth="1"/>
    <col min="3349" max="3349" width="6" style="1" customWidth="1"/>
    <col min="3350" max="3350" width="5.6640625" style="1" customWidth="1"/>
    <col min="3351" max="3351" width="6.33203125" style="1" customWidth="1"/>
    <col min="3352" max="3352" width="5.5" style="1" customWidth="1"/>
    <col min="3353" max="3353" width="6" style="1" customWidth="1"/>
    <col min="3354" max="3355" width="5.5" style="1" customWidth="1"/>
    <col min="3356" max="3356" width="7.6640625" style="1" customWidth="1"/>
    <col min="3357" max="3361" width="4.5" style="1" customWidth="1"/>
    <col min="3362" max="3362" width="6.5" style="1" customWidth="1"/>
    <col min="3363" max="3367" width="5.5" style="1" customWidth="1"/>
    <col min="3368" max="3584" width="11.5" style="1"/>
    <col min="3585" max="3586" width="2.83203125" style="1" customWidth="1"/>
    <col min="3587" max="3587" width="1.83203125" style="1" customWidth="1"/>
    <col min="3588" max="3588" width="1.5" style="1" customWidth="1"/>
    <col min="3589" max="3589" width="3.83203125" style="1" customWidth="1"/>
    <col min="3590" max="3590" width="3.33203125" style="1" customWidth="1"/>
    <col min="3591" max="3591" width="5.6640625" style="1" customWidth="1"/>
    <col min="3592" max="3592" width="7.33203125" style="1" customWidth="1"/>
    <col min="3593" max="3594" width="7.5" style="1" customWidth="1"/>
    <col min="3595" max="3595" width="26.83203125" style="1" customWidth="1"/>
    <col min="3596" max="3596" width="7.6640625" style="1" customWidth="1"/>
    <col min="3597" max="3597" width="0.83203125" style="1" customWidth="1"/>
    <col min="3598" max="3598" width="9" style="1" customWidth="1"/>
    <col min="3599" max="3599" width="1" style="1" customWidth="1"/>
    <col min="3600" max="3600" width="9" style="1" customWidth="1"/>
    <col min="3601" max="3601" width="6.5" style="1" customWidth="1"/>
    <col min="3602" max="3602" width="7" style="1" customWidth="1"/>
    <col min="3603" max="3603" width="1.33203125" style="1" customWidth="1"/>
    <col min="3604" max="3604" width="0.5" style="1" customWidth="1"/>
    <col min="3605" max="3605" width="6" style="1" customWidth="1"/>
    <col min="3606" max="3606" width="5.6640625" style="1" customWidth="1"/>
    <col min="3607" max="3607" width="6.33203125" style="1" customWidth="1"/>
    <col min="3608" max="3608" width="5.5" style="1" customWidth="1"/>
    <col min="3609" max="3609" width="6" style="1" customWidth="1"/>
    <col min="3610" max="3611" width="5.5" style="1" customWidth="1"/>
    <col min="3612" max="3612" width="7.6640625" style="1" customWidth="1"/>
    <col min="3613" max="3617" width="4.5" style="1" customWidth="1"/>
    <col min="3618" max="3618" width="6.5" style="1" customWidth="1"/>
    <col min="3619" max="3623" width="5.5" style="1" customWidth="1"/>
    <col min="3624" max="3840" width="11.5" style="1"/>
    <col min="3841" max="3842" width="2.83203125" style="1" customWidth="1"/>
    <col min="3843" max="3843" width="1.83203125" style="1" customWidth="1"/>
    <col min="3844" max="3844" width="1.5" style="1" customWidth="1"/>
    <col min="3845" max="3845" width="3.83203125" style="1" customWidth="1"/>
    <col min="3846" max="3846" width="3.33203125" style="1" customWidth="1"/>
    <col min="3847" max="3847" width="5.6640625" style="1" customWidth="1"/>
    <col min="3848" max="3848" width="7.33203125" style="1" customWidth="1"/>
    <col min="3849" max="3850" width="7.5" style="1" customWidth="1"/>
    <col min="3851" max="3851" width="26.83203125" style="1" customWidth="1"/>
    <col min="3852" max="3852" width="7.6640625" style="1" customWidth="1"/>
    <col min="3853" max="3853" width="0.83203125" style="1" customWidth="1"/>
    <col min="3854" max="3854" width="9" style="1" customWidth="1"/>
    <col min="3855" max="3855" width="1" style="1" customWidth="1"/>
    <col min="3856" max="3856" width="9" style="1" customWidth="1"/>
    <col min="3857" max="3857" width="6.5" style="1" customWidth="1"/>
    <col min="3858" max="3858" width="7" style="1" customWidth="1"/>
    <col min="3859" max="3859" width="1.33203125" style="1" customWidth="1"/>
    <col min="3860" max="3860" width="0.5" style="1" customWidth="1"/>
    <col min="3861" max="3861" width="6" style="1" customWidth="1"/>
    <col min="3862" max="3862" width="5.6640625" style="1" customWidth="1"/>
    <col min="3863" max="3863" width="6.33203125" style="1" customWidth="1"/>
    <col min="3864" max="3864" width="5.5" style="1" customWidth="1"/>
    <col min="3865" max="3865" width="6" style="1" customWidth="1"/>
    <col min="3866" max="3867" width="5.5" style="1" customWidth="1"/>
    <col min="3868" max="3868" width="7.6640625" style="1" customWidth="1"/>
    <col min="3869" max="3873" width="4.5" style="1" customWidth="1"/>
    <col min="3874" max="3874" width="6.5" style="1" customWidth="1"/>
    <col min="3875" max="3879" width="5.5" style="1" customWidth="1"/>
    <col min="3880" max="4096" width="11.5" style="1"/>
    <col min="4097" max="4098" width="2.83203125" style="1" customWidth="1"/>
    <col min="4099" max="4099" width="1.83203125" style="1" customWidth="1"/>
    <col min="4100" max="4100" width="1.5" style="1" customWidth="1"/>
    <col min="4101" max="4101" width="3.83203125" style="1" customWidth="1"/>
    <col min="4102" max="4102" width="3.33203125" style="1" customWidth="1"/>
    <col min="4103" max="4103" width="5.6640625" style="1" customWidth="1"/>
    <col min="4104" max="4104" width="7.33203125" style="1" customWidth="1"/>
    <col min="4105" max="4106" width="7.5" style="1" customWidth="1"/>
    <col min="4107" max="4107" width="26.83203125" style="1" customWidth="1"/>
    <col min="4108" max="4108" width="7.6640625" style="1" customWidth="1"/>
    <col min="4109" max="4109" width="0.83203125" style="1" customWidth="1"/>
    <col min="4110" max="4110" width="9" style="1" customWidth="1"/>
    <col min="4111" max="4111" width="1" style="1" customWidth="1"/>
    <col min="4112" max="4112" width="9" style="1" customWidth="1"/>
    <col min="4113" max="4113" width="6.5" style="1" customWidth="1"/>
    <col min="4114" max="4114" width="7" style="1" customWidth="1"/>
    <col min="4115" max="4115" width="1.33203125" style="1" customWidth="1"/>
    <col min="4116" max="4116" width="0.5" style="1" customWidth="1"/>
    <col min="4117" max="4117" width="6" style="1" customWidth="1"/>
    <col min="4118" max="4118" width="5.6640625" style="1" customWidth="1"/>
    <col min="4119" max="4119" width="6.33203125" style="1" customWidth="1"/>
    <col min="4120" max="4120" width="5.5" style="1" customWidth="1"/>
    <col min="4121" max="4121" width="6" style="1" customWidth="1"/>
    <col min="4122" max="4123" width="5.5" style="1" customWidth="1"/>
    <col min="4124" max="4124" width="7.6640625" style="1" customWidth="1"/>
    <col min="4125" max="4129" width="4.5" style="1" customWidth="1"/>
    <col min="4130" max="4130" width="6.5" style="1" customWidth="1"/>
    <col min="4131" max="4135" width="5.5" style="1" customWidth="1"/>
    <col min="4136" max="4352" width="11.5" style="1"/>
    <col min="4353" max="4354" width="2.83203125" style="1" customWidth="1"/>
    <col min="4355" max="4355" width="1.83203125" style="1" customWidth="1"/>
    <col min="4356" max="4356" width="1.5" style="1" customWidth="1"/>
    <col min="4357" max="4357" width="3.83203125" style="1" customWidth="1"/>
    <col min="4358" max="4358" width="3.33203125" style="1" customWidth="1"/>
    <col min="4359" max="4359" width="5.6640625" style="1" customWidth="1"/>
    <col min="4360" max="4360" width="7.33203125" style="1" customWidth="1"/>
    <col min="4361" max="4362" width="7.5" style="1" customWidth="1"/>
    <col min="4363" max="4363" width="26.83203125" style="1" customWidth="1"/>
    <col min="4364" max="4364" width="7.6640625" style="1" customWidth="1"/>
    <col min="4365" max="4365" width="0.83203125" style="1" customWidth="1"/>
    <col min="4366" max="4366" width="9" style="1" customWidth="1"/>
    <col min="4367" max="4367" width="1" style="1" customWidth="1"/>
    <col min="4368" max="4368" width="9" style="1" customWidth="1"/>
    <col min="4369" max="4369" width="6.5" style="1" customWidth="1"/>
    <col min="4370" max="4370" width="7" style="1" customWidth="1"/>
    <col min="4371" max="4371" width="1.33203125" style="1" customWidth="1"/>
    <col min="4372" max="4372" width="0.5" style="1" customWidth="1"/>
    <col min="4373" max="4373" width="6" style="1" customWidth="1"/>
    <col min="4374" max="4374" width="5.6640625" style="1" customWidth="1"/>
    <col min="4375" max="4375" width="6.33203125" style="1" customWidth="1"/>
    <col min="4376" max="4376" width="5.5" style="1" customWidth="1"/>
    <col min="4377" max="4377" width="6" style="1" customWidth="1"/>
    <col min="4378" max="4379" width="5.5" style="1" customWidth="1"/>
    <col min="4380" max="4380" width="7.6640625" style="1" customWidth="1"/>
    <col min="4381" max="4385" width="4.5" style="1" customWidth="1"/>
    <col min="4386" max="4386" width="6.5" style="1" customWidth="1"/>
    <col min="4387" max="4391" width="5.5" style="1" customWidth="1"/>
    <col min="4392" max="4608" width="11.5" style="1"/>
    <col min="4609" max="4610" width="2.83203125" style="1" customWidth="1"/>
    <col min="4611" max="4611" width="1.83203125" style="1" customWidth="1"/>
    <col min="4612" max="4612" width="1.5" style="1" customWidth="1"/>
    <col min="4613" max="4613" width="3.83203125" style="1" customWidth="1"/>
    <col min="4614" max="4614" width="3.33203125" style="1" customWidth="1"/>
    <col min="4615" max="4615" width="5.6640625" style="1" customWidth="1"/>
    <col min="4616" max="4616" width="7.33203125" style="1" customWidth="1"/>
    <col min="4617" max="4618" width="7.5" style="1" customWidth="1"/>
    <col min="4619" max="4619" width="26.83203125" style="1" customWidth="1"/>
    <col min="4620" max="4620" width="7.6640625" style="1" customWidth="1"/>
    <col min="4621" max="4621" width="0.83203125" style="1" customWidth="1"/>
    <col min="4622" max="4622" width="9" style="1" customWidth="1"/>
    <col min="4623" max="4623" width="1" style="1" customWidth="1"/>
    <col min="4624" max="4624" width="9" style="1" customWidth="1"/>
    <col min="4625" max="4625" width="6.5" style="1" customWidth="1"/>
    <col min="4626" max="4626" width="7" style="1" customWidth="1"/>
    <col min="4627" max="4627" width="1.33203125" style="1" customWidth="1"/>
    <col min="4628" max="4628" width="0.5" style="1" customWidth="1"/>
    <col min="4629" max="4629" width="6" style="1" customWidth="1"/>
    <col min="4630" max="4630" width="5.6640625" style="1" customWidth="1"/>
    <col min="4631" max="4631" width="6.33203125" style="1" customWidth="1"/>
    <col min="4632" max="4632" width="5.5" style="1" customWidth="1"/>
    <col min="4633" max="4633" width="6" style="1" customWidth="1"/>
    <col min="4634" max="4635" width="5.5" style="1" customWidth="1"/>
    <col min="4636" max="4636" width="7.6640625" style="1" customWidth="1"/>
    <col min="4637" max="4641" width="4.5" style="1" customWidth="1"/>
    <col min="4642" max="4642" width="6.5" style="1" customWidth="1"/>
    <col min="4643" max="4647" width="5.5" style="1" customWidth="1"/>
    <col min="4648" max="4864" width="11.5" style="1"/>
    <col min="4865" max="4866" width="2.83203125" style="1" customWidth="1"/>
    <col min="4867" max="4867" width="1.83203125" style="1" customWidth="1"/>
    <col min="4868" max="4868" width="1.5" style="1" customWidth="1"/>
    <col min="4869" max="4869" width="3.83203125" style="1" customWidth="1"/>
    <col min="4870" max="4870" width="3.33203125" style="1" customWidth="1"/>
    <col min="4871" max="4871" width="5.6640625" style="1" customWidth="1"/>
    <col min="4872" max="4872" width="7.33203125" style="1" customWidth="1"/>
    <col min="4873" max="4874" width="7.5" style="1" customWidth="1"/>
    <col min="4875" max="4875" width="26.83203125" style="1" customWidth="1"/>
    <col min="4876" max="4876" width="7.6640625" style="1" customWidth="1"/>
    <col min="4877" max="4877" width="0.83203125" style="1" customWidth="1"/>
    <col min="4878" max="4878" width="9" style="1" customWidth="1"/>
    <col min="4879" max="4879" width="1" style="1" customWidth="1"/>
    <col min="4880" max="4880" width="9" style="1" customWidth="1"/>
    <col min="4881" max="4881" width="6.5" style="1" customWidth="1"/>
    <col min="4882" max="4882" width="7" style="1" customWidth="1"/>
    <col min="4883" max="4883" width="1.33203125" style="1" customWidth="1"/>
    <col min="4884" max="4884" width="0.5" style="1" customWidth="1"/>
    <col min="4885" max="4885" width="6" style="1" customWidth="1"/>
    <col min="4886" max="4886" width="5.6640625" style="1" customWidth="1"/>
    <col min="4887" max="4887" width="6.33203125" style="1" customWidth="1"/>
    <col min="4888" max="4888" width="5.5" style="1" customWidth="1"/>
    <col min="4889" max="4889" width="6" style="1" customWidth="1"/>
    <col min="4890" max="4891" width="5.5" style="1" customWidth="1"/>
    <col min="4892" max="4892" width="7.6640625" style="1" customWidth="1"/>
    <col min="4893" max="4897" width="4.5" style="1" customWidth="1"/>
    <col min="4898" max="4898" width="6.5" style="1" customWidth="1"/>
    <col min="4899" max="4903" width="5.5" style="1" customWidth="1"/>
    <col min="4904" max="5120" width="11.5" style="1"/>
    <col min="5121" max="5122" width="2.83203125" style="1" customWidth="1"/>
    <col min="5123" max="5123" width="1.83203125" style="1" customWidth="1"/>
    <col min="5124" max="5124" width="1.5" style="1" customWidth="1"/>
    <col min="5125" max="5125" width="3.83203125" style="1" customWidth="1"/>
    <col min="5126" max="5126" width="3.33203125" style="1" customWidth="1"/>
    <col min="5127" max="5127" width="5.6640625" style="1" customWidth="1"/>
    <col min="5128" max="5128" width="7.33203125" style="1" customWidth="1"/>
    <col min="5129" max="5130" width="7.5" style="1" customWidth="1"/>
    <col min="5131" max="5131" width="26.83203125" style="1" customWidth="1"/>
    <col min="5132" max="5132" width="7.6640625" style="1" customWidth="1"/>
    <col min="5133" max="5133" width="0.83203125" style="1" customWidth="1"/>
    <col min="5134" max="5134" width="9" style="1" customWidth="1"/>
    <col min="5135" max="5135" width="1" style="1" customWidth="1"/>
    <col min="5136" max="5136" width="9" style="1" customWidth="1"/>
    <col min="5137" max="5137" width="6.5" style="1" customWidth="1"/>
    <col min="5138" max="5138" width="7" style="1" customWidth="1"/>
    <col min="5139" max="5139" width="1.33203125" style="1" customWidth="1"/>
    <col min="5140" max="5140" width="0.5" style="1" customWidth="1"/>
    <col min="5141" max="5141" width="6" style="1" customWidth="1"/>
    <col min="5142" max="5142" width="5.6640625" style="1" customWidth="1"/>
    <col min="5143" max="5143" width="6.33203125" style="1" customWidth="1"/>
    <col min="5144" max="5144" width="5.5" style="1" customWidth="1"/>
    <col min="5145" max="5145" width="6" style="1" customWidth="1"/>
    <col min="5146" max="5147" width="5.5" style="1" customWidth="1"/>
    <col min="5148" max="5148" width="7.6640625" style="1" customWidth="1"/>
    <col min="5149" max="5153" width="4.5" style="1" customWidth="1"/>
    <col min="5154" max="5154" width="6.5" style="1" customWidth="1"/>
    <col min="5155" max="5159" width="5.5" style="1" customWidth="1"/>
    <col min="5160" max="5376" width="11.5" style="1"/>
    <col min="5377" max="5378" width="2.83203125" style="1" customWidth="1"/>
    <col min="5379" max="5379" width="1.83203125" style="1" customWidth="1"/>
    <col min="5380" max="5380" width="1.5" style="1" customWidth="1"/>
    <col min="5381" max="5381" width="3.83203125" style="1" customWidth="1"/>
    <col min="5382" max="5382" width="3.33203125" style="1" customWidth="1"/>
    <col min="5383" max="5383" width="5.6640625" style="1" customWidth="1"/>
    <col min="5384" max="5384" width="7.33203125" style="1" customWidth="1"/>
    <col min="5385" max="5386" width="7.5" style="1" customWidth="1"/>
    <col min="5387" max="5387" width="26.83203125" style="1" customWidth="1"/>
    <col min="5388" max="5388" width="7.6640625" style="1" customWidth="1"/>
    <col min="5389" max="5389" width="0.83203125" style="1" customWidth="1"/>
    <col min="5390" max="5390" width="9" style="1" customWidth="1"/>
    <col min="5391" max="5391" width="1" style="1" customWidth="1"/>
    <col min="5392" max="5392" width="9" style="1" customWidth="1"/>
    <col min="5393" max="5393" width="6.5" style="1" customWidth="1"/>
    <col min="5394" max="5394" width="7" style="1" customWidth="1"/>
    <col min="5395" max="5395" width="1.33203125" style="1" customWidth="1"/>
    <col min="5396" max="5396" width="0.5" style="1" customWidth="1"/>
    <col min="5397" max="5397" width="6" style="1" customWidth="1"/>
    <col min="5398" max="5398" width="5.6640625" style="1" customWidth="1"/>
    <col min="5399" max="5399" width="6.33203125" style="1" customWidth="1"/>
    <col min="5400" max="5400" width="5.5" style="1" customWidth="1"/>
    <col min="5401" max="5401" width="6" style="1" customWidth="1"/>
    <col min="5402" max="5403" width="5.5" style="1" customWidth="1"/>
    <col min="5404" max="5404" width="7.6640625" style="1" customWidth="1"/>
    <col min="5405" max="5409" width="4.5" style="1" customWidth="1"/>
    <col min="5410" max="5410" width="6.5" style="1" customWidth="1"/>
    <col min="5411" max="5415" width="5.5" style="1" customWidth="1"/>
    <col min="5416" max="5632" width="11.5" style="1"/>
    <col min="5633" max="5634" width="2.83203125" style="1" customWidth="1"/>
    <col min="5635" max="5635" width="1.83203125" style="1" customWidth="1"/>
    <col min="5636" max="5636" width="1.5" style="1" customWidth="1"/>
    <col min="5637" max="5637" width="3.83203125" style="1" customWidth="1"/>
    <col min="5638" max="5638" width="3.33203125" style="1" customWidth="1"/>
    <col min="5639" max="5639" width="5.6640625" style="1" customWidth="1"/>
    <col min="5640" max="5640" width="7.33203125" style="1" customWidth="1"/>
    <col min="5641" max="5642" width="7.5" style="1" customWidth="1"/>
    <col min="5643" max="5643" width="26.83203125" style="1" customWidth="1"/>
    <col min="5644" max="5644" width="7.6640625" style="1" customWidth="1"/>
    <col min="5645" max="5645" width="0.83203125" style="1" customWidth="1"/>
    <col min="5646" max="5646" width="9" style="1" customWidth="1"/>
    <col min="5647" max="5647" width="1" style="1" customWidth="1"/>
    <col min="5648" max="5648" width="9" style="1" customWidth="1"/>
    <col min="5649" max="5649" width="6.5" style="1" customWidth="1"/>
    <col min="5650" max="5650" width="7" style="1" customWidth="1"/>
    <col min="5651" max="5651" width="1.33203125" style="1" customWidth="1"/>
    <col min="5652" max="5652" width="0.5" style="1" customWidth="1"/>
    <col min="5653" max="5653" width="6" style="1" customWidth="1"/>
    <col min="5654" max="5654" width="5.6640625" style="1" customWidth="1"/>
    <col min="5655" max="5655" width="6.33203125" style="1" customWidth="1"/>
    <col min="5656" max="5656" width="5.5" style="1" customWidth="1"/>
    <col min="5657" max="5657" width="6" style="1" customWidth="1"/>
    <col min="5658" max="5659" width="5.5" style="1" customWidth="1"/>
    <col min="5660" max="5660" width="7.6640625" style="1" customWidth="1"/>
    <col min="5661" max="5665" width="4.5" style="1" customWidth="1"/>
    <col min="5666" max="5666" width="6.5" style="1" customWidth="1"/>
    <col min="5667" max="5671" width="5.5" style="1" customWidth="1"/>
    <col min="5672" max="5888" width="11.5" style="1"/>
    <col min="5889" max="5890" width="2.83203125" style="1" customWidth="1"/>
    <col min="5891" max="5891" width="1.83203125" style="1" customWidth="1"/>
    <col min="5892" max="5892" width="1.5" style="1" customWidth="1"/>
    <col min="5893" max="5893" width="3.83203125" style="1" customWidth="1"/>
    <col min="5894" max="5894" width="3.33203125" style="1" customWidth="1"/>
    <col min="5895" max="5895" width="5.6640625" style="1" customWidth="1"/>
    <col min="5896" max="5896" width="7.33203125" style="1" customWidth="1"/>
    <col min="5897" max="5898" width="7.5" style="1" customWidth="1"/>
    <col min="5899" max="5899" width="26.83203125" style="1" customWidth="1"/>
    <col min="5900" max="5900" width="7.6640625" style="1" customWidth="1"/>
    <col min="5901" max="5901" width="0.83203125" style="1" customWidth="1"/>
    <col min="5902" max="5902" width="9" style="1" customWidth="1"/>
    <col min="5903" max="5903" width="1" style="1" customWidth="1"/>
    <col min="5904" max="5904" width="9" style="1" customWidth="1"/>
    <col min="5905" max="5905" width="6.5" style="1" customWidth="1"/>
    <col min="5906" max="5906" width="7" style="1" customWidth="1"/>
    <col min="5907" max="5907" width="1.33203125" style="1" customWidth="1"/>
    <col min="5908" max="5908" width="0.5" style="1" customWidth="1"/>
    <col min="5909" max="5909" width="6" style="1" customWidth="1"/>
    <col min="5910" max="5910" width="5.6640625" style="1" customWidth="1"/>
    <col min="5911" max="5911" width="6.33203125" style="1" customWidth="1"/>
    <col min="5912" max="5912" width="5.5" style="1" customWidth="1"/>
    <col min="5913" max="5913" width="6" style="1" customWidth="1"/>
    <col min="5914" max="5915" width="5.5" style="1" customWidth="1"/>
    <col min="5916" max="5916" width="7.6640625" style="1" customWidth="1"/>
    <col min="5917" max="5921" width="4.5" style="1" customWidth="1"/>
    <col min="5922" max="5922" width="6.5" style="1" customWidth="1"/>
    <col min="5923" max="5927" width="5.5" style="1" customWidth="1"/>
    <col min="5928" max="6144" width="11.5" style="1"/>
    <col min="6145" max="6146" width="2.83203125" style="1" customWidth="1"/>
    <col min="6147" max="6147" width="1.83203125" style="1" customWidth="1"/>
    <col min="6148" max="6148" width="1.5" style="1" customWidth="1"/>
    <col min="6149" max="6149" width="3.83203125" style="1" customWidth="1"/>
    <col min="6150" max="6150" width="3.33203125" style="1" customWidth="1"/>
    <col min="6151" max="6151" width="5.6640625" style="1" customWidth="1"/>
    <col min="6152" max="6152" width="7.33203125" style="1" customWidth="1"/>
    <col min="6153" max="6154" width="7.5" style="1" customWidth="1"/>
    <col min="6155" max="6155" width="26.83203125" style="1" customWidth="1"/>
    <col min="6156" max="6156" width="7.6640625" style="1" customWidth="1"/>
    <col min="6157" max="6157" width="0.83203125" style="1" customWidth="1"/>
    <col min="6158" max="6158" width="9" style="1" customWidth="1"/>
    <col min="6159" max="6159" width="1" style="1" customWidth="1"/>
    <col min="6160" max="6160" width="9" style="1" customWidth="1"/>
    <col min="6161" max="6161" width="6.5" style="1" customWidth="1"/>
    <col min="6162" max="6162" width="7" style="1" customWidth="1"/>
    <col min="6163" max="6163" width="1.33203125" style="1" customWidth="1"/>
    <col min="6164" max="6164" width="0.5" style="1" customWidth="1"/>
    <col min="6165" max="6165" width="6" style="1" customWidth="1"/>
    <col min="6166" max="6166" width="5.6640625" style="1" customWidth="1"/>
    <col min="6167" max="6167" width="6.33203125" style="1" customWidth="1"/>
    <col min="6168" max="6168" width="5.5" style="1" customWidth="1"/>
    <col min="6169" max="6169" width="6" style="1" customWidth="1"/>
    <col min="6170" max="6171" width="5.5" style="1" customWidth="1"/>
    <col min="6172" max="6172" width="7.6640625" style="1" customWidth="1"/>
    <col min="6173" max="6177" width="4.5" style="1" customWidth="1"/>
    <col min="6178" max="6178" width="6.5" style="1" customWidth="1"/>
    <col min="6179" max="6183" width="5.5" style="1" customWidth="1"/>
    <col min="6184" max="6400" width="11.5" style="1"/>
    <col min="6401" max="6402" width="2.83203125" style="1" customWidth="1"/>
    <col min="6403" max="6403" width="1.83203125" style="1" customWidth="1"/>
    <col min="6404" max="6404" width="1.5" style="1" customWidth="1"/>
    <col min="6405" max="6405" width="3.83203125" style="1" customWidth="1"/>
    <col min="6406" max="6406" width="3.33203125" style="1" customWidth="1"/>
    <col min="6407" max="6407" width="5.6640625" style="1" customWidth="1"/>
    <col min="6408" max="6408" width="7.33203125" style="1" customWidth="1"/>
    <col min="6409" max="6410" width="7.5" style="1" customWidth="1"/>
    <col min="6411" max="6411" width="26.83203125" style="1" customWidth="1"/>
    <col min="6412" max="6412" width="7.6640625" style="1" customWidth="1"/>
    <col min="6413" max="6413" width="0.83203125" style="1" customWidth="1"/>
    <col min="6414" max="6414" width="9" style="1" customWidth="1"/>
    <col min="6415" max="6415" width="1" style="1" customWidth="1"/>
    <col min="6416" max="6416" width="9" style="1" customWidth="1"/>
    <col min="6417" max="6417" width="6.5" style="1" customWidth="1"/>
    <col min="6418" max="6418" width="7" style="1" customWidth="1"/>
    <col min="6419" max="6419" width="1.33203125" style="1" customWidth="1"/>
    <col min="6420" max="6420" width="0.5" style="1" customWidth="1"/>
    <col min="6421" max="6421" width="6" style="1" customWidth="1"/>
    <col min="6422" max="6422" width="5.6640625" style="1" customWidth="1"/>
    <col min="6423" max="6423" width="6.33203125" style="1" customWidth="1"/>
    <col min="6424" max="6424" width="5.5" style="1" customWidth="1"/>
    <col min="6425" max="6425" width="6" style="1" customWidth="1"/>
    <col min="6426" max="6427" width="5.5" style="1" customWidth="1"/>
    <col min="6428" max="6428" width="7.6640625" style="1" customWidth="1"/>
    <col min="6429" max="6433" width="4.5" style="1" customWidth="1"/>
    <col min="6434" max="6434" width="6.5" style="1" customWidth="1"/>
    <col min="6435" max="6439" width="5.5" style="1" customWidth="1"/>
    <col min="6440" max="6656" width="11.5" style="1"/>
    <col min="6657" max="6658" width="2.83203125" style="1" customWidth="1"/>
    <col min="6659" max="6659" width="1.83203125" style="1" customWidth="1"/>
    <col min="6660" max="6660" width="1.5" style="1" customWidth="1"/>
    <col min="6661" max="6661" width="3.83203125" style="1" customWidth="1"/>
    <col min="6662" max="6662" width="3.33203125" style="1" customWidth="1"/>
    <col min="6663" max="6663" width="5.6640625" style="1" customWidth="1"/>
    <col min="6664" max="6664" width="7.33203125" style="1" customWidth="1"/>
    <col min="6665" max="6666" width="7.5" style="1" customWidth="1"/>
    <col min="6667" max="6667" width="26.83203125" style="1" customWidth="1"/>
    <col min="6668" max="6668" width="7.6640625" style="1" customWidth="1"/>
    <col min="6669" max="6669" width="0.83203125" style="1" customWidth="1"/>
    <col min="6670" max="6670" width="9" style="1" customWidth="1"/>
    <col min="6671" max="6671" width="1" style="1" customWidth="1"/>
    <col min="6672" max="6672" width="9" style="1" customWidth="1"/>
    <col min="6673" max="6673" width="6.5" style="1" customWidth="1"/>
    <col min="6674" max="6674" width="7" style="1" customWidth="1"/>
    <col min="6675" max="6675" width="1.33203125" style="1" customWidth="1"/>
    <col min="6676" max="6676" width="0.5" style="1" customWidth="1"/>
    <col min="6677" max="6677" width="6" style="1" customWidth="1"/>
    <col min="6678" max="6678" width="5.6640625" style="1" customWidth="1"/>
    <col min="6679" max="6679" width="6.33203125" style="1" customWidth="1"/>
    <col min="6680" max="6680" width="5.5" style="1" customWidth="1"/>
    <col min="6681" max="6681" width="6" style="1" customWidth="1"/>
    <col min="6682" max="6683" width="5.5" style="1" customWidth="1"/>
    <col min="6684" max="6684" width="7.6640625" style="1" customWidth="1"/>
    <col min="6685" max="6689" width="4.5" style="1" customWidth="1"/>
    <col min="6690" max="6690" width="6.5" style="1" customWidth="1"/>
    <col min="6691" max="6695" width="5.5" style="1" customWidth="1"/>
    <col min="6696" max="6912" width="11.5" style="1"/>
    <col min="6913" max="6914" width="2.83203125" style="1" customWidth="1"/>
    <col min="6915" max="6915" width="1.83203125" style="1" customWidth="1"/>
    <col min="6916" max="6916" width="1.5" style="1" customWidth="1"/>
    <col min="6917" max="6917" width="3.83203125" style="1" customWidth="1"/>
    <col min="6918" max="6918" width="3.33203125" style="1" customWidth="1"/>
    <col min="6919" max="6919" width="5.6640625" style="1" customWidth="1"/>
    <col min="6920" max="6920" width="7.33203125" style="1" customWidth="1"/>
    <col min="6921" max="6922" width="7.5" style="1" customWidth="1"/>
    <col min="6923" max="6923" width="26.83203125" style="1" customWidth="1"/>
    <col min="6924" max="6924" width="7.6640625" style="1" customWidth="1"/>
    <col min="6925" max="6925" width="0.83203125" style="1" customWidth="1"/>
    <col min="6926" max="6926" width="9" style="1" customWidth="1"/>
    <col min="6927" max="6927" width="1" style="1" customWidth="1"/>
    <col min="6928" max="6928" width="9" style="1" customWidth="1"/>
    <col min="6929" max="6929" width="6.5" style="1" customWidth="1"/>
    <col min="6930" max="6930" width="7" style="1" customWidth="1"/>
    <col min="6931" max="6931" width="1.33203125" style="1" customWidth="1"/>
    <col min="6932" max="6932" width="0.5" style="1" customWidth="1"/>
    <col min="6933" max="6933" width="6" style="1" customWidth="1"/>
    <col min="6934" max="6934" width="5.6640625" style="1" customWidth="1"/>
    <col min="6935" max="6935" width="6.33203125" style="1" customWidth="1"/>
    <col min="6936" max="6936" width="5.5" style="1" customWidth="1"/>
    <col min="6937" max="6937" width="6" style="1" customWidth="1"/>
    <col min="6938" max="6939" width="5.5" style="1" customWidth="1"/>
    <col min="6940" max="6940" width="7.6640625" style="1" customWidth="1"/>
    <col min="6941" max="6945" width="4.5" style="1" customWidth="1"/>
    <col min="6946" max="6946" width="6.5" style="1" customWidth="1"/>
    <col min="6947" max="6951" width="5.5" style="1" customWidth="1"/>
    <col min="6952" max="7168" width="11.5" style="1"/>
    <col min="7169" max="7170" width="2.83203125" style="1" customWidth="1"/>
    <col min="7171" max="7171" width="1.83203125" style="1" customWidth="1"/>
    <col min="7172" max="7172" width="1.5" style="1" customWidth="1"/>
    <col min="7173" max="7173" width="3.83203125" style="1" customWidth="1"/>
    <col min="7174" max="7174" width="3.33203125" style="1" customWidth="1"/>
    <col min="7175" max="7175" width="5.6640625" style="1" customWidth="1"/>
    <col min="7176" max="7176" width="7.33203125" style="1" customWidth="1"/>
    <col min="7177" max="7178" width="7.5" style="1" customWidth="1"/>
    <col min="7179" max="7179" width="26.83203125" style="1" customWidth="1"/>
    <col min="7180" max="7180" width="7.6640625" style="1" customWidth="1"/>
    <col min="7181" max="7181" width="0.83203125" style="1" customWidth="1"/>
    <col min="7182" max="7182" width="9" style="1" customWidth="1"/>
    <col min="7183" max="7183" width="1" style="1" customWidth="1"/>
    <col min="7184" max="7184" width="9" style="1" customWidth="1"/>
    <col min="7185" max="7185" width="6.5" style="1" customWidth="1"/>
    <col min="7186" max="7186" width="7" style="1" customWidth="1"/>
    <col min="7187" max="7187" width="1.33203125" style="1" customWidth="1"/>
    <col min="7188" max="7188" width="0.5" style="1" customWidth="1"/>
    <col min="7189" max="7189" width="6" style="1" customWidth="1"/>
    <col min="7190" max="7190" width="5.6640625" style="1" customWidth="1"/>
    <col min="7191" max="7191" width="6.33203125" style="1" customWidth="1"/>
    <col min="7192" max="7192" width="5.5" style="1" customWidth="1"/>
    <col min="7193" max="7193" width="6" style="1" customWidth="1"/>
    <col min="7194" max="7195" width="5.5" style="1" customWidth="1"/>
    <col min="7196" max="7196" width="7.6640625" style="1" customWidth="1"/>
    <col min="7197" max="7201" width="4.5" style="1" customWidth="1"/>
    <col min="7202" max="7202" width="6.5" style="1" customWidth="1"/>
    <col min="7203" max="7207" width="5.5" style="1" customWidth="1"/>
    <col min="7208" max="7424" width="11.5" style="1"/>
    <col min="7425" max="7426" width="2.83203125" style="1" customWidth="1"/>
    <col min="7427" max="7427" width="1.83203125" style="1" customWidth="1"/>
    <col min="7428" max="7428" width="1.5" style="1" customWidth="1"/>
    <col min="7429" max="7429" width="3.83203125" style="1" customWidth="1"/>
    <col min="7430" max="7430" width="3.33203125" style="1" customWidth="1"/>
    <col min="7431" max="7431" width="5.6640625" style="1" customWidth="1"/>
    <col min="7432" max="7432" width="7.33203125" style="1" customWidth="1"/>
    <col min="7433" max="7434" width="7.5" style="1" customWidth="1"/>
    <col min="7435" max="7435" width="26.83203125" style="1" customWidth="1"/>
    <col min="7436" max="7436" width="7.6640625" style="1" customWidth="1"/>
    <col min="7437" max="7437" width="0.83203125" style="1" customWidth="1"/>
    <col min="7438" max="7438" width="9" style="1" customWidth="1"/>
    <col min="7439" max="7439" width="1" style="1" customWidth="1"/>
    <col min="7440" max="7440" width="9" style="1" customWidth="1"/>
    <col min="7441" max="7441" width="6.5" style="1" customWidth="1"/>
    <col min="7442" max="7442" width="7" style="1" customWidth="1"/>
    <col min="7443" max="7443" width="1.33203125" style="1" customWidth="1"/>
    <col min="7444" max="7444" width="0.5" style="1" customWidth="1"/>
    <col min="7445" max="7445" width="6" style="1" customWidth="1"/>
    <col min="7446" max="7446" width="5.6640625" style="1" customWidth="1"/>
    <col min="7447" max="7447" width="6.33203125" style="1" customWidth="1"/>
    <col min="7448" max="7448" width="5.5" style="1" customWidth="1"/>
    <col min="7449" max="7449" width="6" style="1" customWidth="1"/>
    <col min="7450" max="7451" width="5.5" style="1" customWidth="1"/>
    <col min="7452" max="7452" width="7.6640625" style="1" customWidth="1"/>
    <col min="7453" max="7457" width="4.5" style="1" customWidth="1"/>
    <col min="7458" max="7458" width="6.5" style="1" customWidth="1"/>
    <col min="7459" max="7463" width="5.5" style="1" customWidth="1"/>
    <col min="7464" max="7680" width="11.5" style="1"/>
    <col min="7681" max="7682" width="2.83203125" style="1" customWidth="1"/>
    <col min="7683" max="7683" width="1.83203125" style="1" customWidth="1"/>
    <col min="7684" max="7684" width="1.5" style="1" customWidth="1"/>
    <col min="7685" max="7685" width="3.83203125" style="1" customWidth="1"/>
    <col min="7686" max="7686" width="3.33203125" style="1" customWidth="1"/>
    <col min="7687" max="7687" width="5.6640625" style="1" customWidth="1"/>
    <col min="7688" max="7688" width="7.33203125" style="1" customWidth="1"/>
    <col min="7689" max="7690" width="7.5" style="1" customWidth="1"/>
    <col min="7691" max="7691" width="26.83203125" style="1" customWidth="1"/>
    <col min="7692" max="7692" width="7.6640625" style="1" customWidth="1"/>
    <col min="7693" max="7693" width="0.83203125" style="1" customWidth="1"/>
    <col min="7694" max="7694" width="9" style="1" customWidth="1"/>
    <col min="7695" max="7695" width="1" style="1" customWidth="1"/>
    <col min="7696" max="7696" width="9" style="1" customWidth="1"/>
    <col min="7697" max="7697" width="6.5" style="1" customWidth="1"/>
    <col min="7698" max="7698" width="7" style="1" customWidth="1"/>
    <col min="7699" max="7699" width="1.33203125" style="1" customWidth="1"/>
    <col min="7700" max="7700" width="0.5" style="1" customWidth="1"/>
    <col min="7701" max="7701" width="6" style="1" customWidth="1"/>
    <col min="7702" max="7702" width="5.6640625" style="1" customWidth="1"/>
    <col min="7703" max="7703" width="6.33203125" style="1" customWidth="1"/>
    <col min="7704" max="7704" width="5.5" style="1" customWidth="1"/>
    <col min="7705" max="7705" width="6" style="1" customWidth="1"/>
    <col min="7706" max="7707" width="5.5" style="1" customWidth="1"/>
    <col min="7708" max="7708" width="7.6640625" style="1" customWidth="1"/>
    <col min="7709" max="7713" width="4.5" style="1" customWidth="1"/>
    <col min="7714" max="7714" width="6.5" style="1" customWidth="1"/>
    <col min="7715" max="7719" width="5.5" style="1" customWidth="1"/>
    <col min="7720" max="7936" width="11.5" style="1"/>
    <col min="7937" max="7938" width="2.83203125" style="1" customWidth="1"/>
    <col min="7939" max="7939" width="1.83203125" style="1" customWidth="1"/>
    <col min="7940" max="7940" width="1.5" style="1" customWidth="1"/>
    <col min="7941" max="7941" width="3.83203125" style="1" customWidth="1"/>
    <col min="7942" max="7942" width="3.33203125" style="1" customWidth="1"/>
    <col min="7943" max="7943" width="5.6640625" style="1" customWidth="1"/>
    <col min="7944" max="7944" width="7.33203125" style="1" customWidth="1"/>
    <col min="7945" max="7946" width="7.5" style="1" customWidth="1"/>
    <col min="7947" max="7947" width="26.83203125" style="1" customWidth="1"/>
    <col min="7948" max="7948" width="7.6640625" style="1" customWidth="1"/>
    <col min="7949" max="7949" width="0.83203125" style="1" customWidth="1"/>
    <col min="7950" max="7950" width="9" style="1" customWidth="1"/>
    <col min="7951" max="7951" width="1" style="1" customWidth="1"/>
    <col min="7952" max="7952" width="9" style="1" customWidth="1"/>
    <col min="7953" max="7953" width="6.5" style="1" customWidth="1"/>
    <col min="7954" max="7954" width="7" style="1" customWidth="1"/>
    <col min="7955" max="7955" width="1.33203125" style="1" customWidth="1"/>
    <col min="7956" max="7956" width="0.5" style="1" customWidth="1"/>
    <col min="7957" max="7957" width="6" style="1" customWidth="1"/>
    <col min="7958" max="7958" width="5.6640625" style="1" customWidth="1"/>
    <col min="7959" max="7959" width="6.33203125" style="1" customWidth="1"/>
    <col min="7960" max="7960" width="5.5" style="1" customWidth="1"/>
    <col min="7961" max="7961" width="6" style="1" customWidth="1"/>
    <col min="7962" max="7963" width="5.5" style="1" customWidth="1"/>
    <col min="7964" max="7964" width="7.6640625" style="1" customWidth="1"/>
    <col min="7965" max="7969" width="4.5" style="1" customWidth="1"/>
    <col min="7970" max="7970" width="6.5" style="1" customWidth="1"/>
    <col min="7971" max="7975" width="5.5" style="1" customWidth="1"/>
    <col min="7976" max="8192" width="11.5" style="1"/>
    <col min="8193" max="8194" width="2.83203125" style="1" customWidth="1"/>
    <col min="8195" max="8195" width="1.83203125" style="1" customWidth="1"/>
    <col min="8196" max="8196" width="1.5" style="1" customWidth="1"/>
    <col min="8197" max="8197" width="3.83203125" style="1" customWidth="1"/>
    <col min="8198" max="8198" width="3.33203125" style="1" customWidth="1"/>
    <col min="8199" max="8199" width="5.6640625" style="1" customWidth="1"/>
    <col min="8200" max="8200" width="7.33203125" style="1" customWidth="1"/>
    <col min="8201" max="8202" width="7.5" style="1" customWidth="1"/>
    <col min="8203" max="8203" width="26.83203125" style="1" customWidth="1"/>
    <col min="8204" max="8204" width="7.6640625" style="1" customWidth="1"/>
    <col min="8205" max="8205" width="0.83203125" style="1" customWidth="1"/>
    <col min="8206" max="8206" width="9" style="1" customWidth="1"/>
    <col min="8207" max="8207" width="1" style="1" customWidth="1"/>
    <col min="8208" max="8208" width="9" style="1" customWidth="1"/>
    <col min="8209" max="8209" width="6.5" style="1" customWidth="1"/>
    <col min="8210" max="8210" width="7" style="1" customWidth="1"/>
    <col min="8211" max="8211" width="1.33203125" style="1" customWidth="1"/>
    <col min="8212" max="8212" width="0.5" style="1" customWidth="1"/>
    <col min="8213" max="8213" width="6" style="1" customWidth="1"/>
    <col min="8214" max="8214" width="5.6640625" style="1" customWidth="1"/>
    <col min="8215" max="8215" width="6.33203125" style="1" customWidth="1"/>
    <col min="8216" max="8216" width="5.5" style="1" customWidth="1"/>
    <col min="8217" max="8217" width="6" style="1" customWidth="1"/>
    <col min="8218" max="8219" width="5.5" style="1" customWidth="1"/>
    <col min="8220" max="8220" width="7.6640625" style="1" customWidth="1"/>
    <col min="8221" max="8225" width="4.5" style="1" customWidth="1"/>
    <col min="8226" max="8226" width="6.5" style="1" customWidth="1"/>
    <col min="8227" max="8231" width="5.5" style="1" customWidth="1"/>
    <col min="8232" max="8448" width="11.5" style="1"/>
    <col min="8449" max="8450" width="2.83203125" style="1" customWidth="1"/>
    <col min="8451" max="8451" width="1.83203125" style="1" customWidth="1"/>
    <col min="8452" max="8452" width="1.5" style="1" customWidth="1"/>
    <col min="8453" max="8453" width="3.83203125" style="1" customWidth="1"/>
    <col min="8454" max="8454" width="3.33203125" style="1" customWidth="1"/>
    <col min="8455" max="8455" width="5.6640625" style="1" customWidth="1"/>
    <col min="8456" max="8456" width="7.33203125" style="1" customWidth="1"/>
    <col min="8457" max="8458" width="7.5" style="1" customWidth="1"/>
    <col min="8459" max="8459" width="26.83203125" style="1" customWidth="1"/>
    <col min="8460" max="8460" width="7.6640625" style="1" customWidth="1"/>
    <col min="8461" max="8461" width="0.83203125" style="1" customWidth="1"/>
    <col min="8462" max="8462" width="9" style="1" customWidth="1"/>
    <col min="8463" max="8463" width="1" style="1" customWidth="1"/>
    <col min="8464" max="8464" width="9" style="1" customWidth="1"/>
    <col min="8465" max="8465" width="6.5" style="1" customWidth="1"/>
    <col min="8466" max="8466" width="7" style="1" customWidth="1"/>
    <col min="8467" max="8467" width="1.33203125" style="1" customWidth="1"/>
    <col min="8468" max="8468" width="0.5" style="1" customWidth="1"/>
    <col min="8469" max="8469" width="6" style="1" customWidth="1"/>
    <col min="8470" max="8470" width="5.6640625" style="1" customWidth="1"/>
    <col min="8471" max="8471" width="6.33203125" style="1" customWidth="1"/>
    <col min="8472" max="8472" width="5.5" style="1" customWidth="1"/>
    <col min="8473" max="8473" width="6" style="1" customWidth="1"/>
    <col min="8474" max="8475" width="5.5" style="1" customWidth="1"/>
    <col min="8476" max="8476" width="7.6640625" style="1" customWidth="1"/>
    <col min="8477" max="8481" width="4.5" style="1" customWidth="1"/>
    <col min="8482" max="8482" width="6.5" style="1" customWidth="1"/>
    <col min="8483" max="8487" width="5.5" style="1" customWidth="1"/>
    <col min="8488" max="8704" width="11.5" style="1"/>
    <col min="8705" max="8706" width="2.83203125" style="1" customWidth="1"/>
    <col min="8707" max="8707" width="1.83203125" style="1" customWidth="1"/>
    <col min="8708" max="8708" width="1.5" style="1" customWidth="1"/>
    <col min="8709" max="8709" width="3.83203125" style="1" customWidth="1"/>
    <col min="8710" max="8710" width="3.33203125" style="1" customWidth="1"/>
    <col min="8711" max="8711" width="5.6640625" style="1" customWidth="1"/>
    <col min="8712" max="8712" width="7.33203125" style="1" customWidth="1"/>
    <col min="8713" max="8714" width="7.5" style="1" customWidth="1"/>
    <col min="8715" max="8715" width="26.83203125" style="1" customWidth="1"/>
    <col min="8716" max="8716" width="7.6640625" style="1" customWidth="1"/>
    <col min="8717" max="8717" width="0.83203125" style="1" customWidth="1"/>
    <col min="8718" max="8718" width="9" style="1" customWidth="1"/>
    <col min="8719" max="8719" width="1" style="1" customWidth="1"/>
    <col min="8720" max="8720" width="9" style="1" customWidth="1"/>
    <col min="8721" max="8721" width="6.5" style="1" customWidth="1"/>
    <col min="8722" max="8722" width="7" style="1" customWidth="1"/>
    <col min="8723" max="8723" width="1.33203125" style="1" customWidth="1"/>
    <col min="8724" max="8724" width="0.5" style="1" customWidth="1"/>
    <col min="8725" max="8725" width="6" style="1" customWidth="1"/>
    <col min="8726" max="8726" width="5.6640625" style="1" customWidth="1"/>
    <col min="8727" max="8727" width="6.33203125" style="1" customWidth="1"/>
    <col min="8728" max="8728" width="5.5" style="1" customWidth="1"/>
    <col min="8729" max="8729" width="6" style="1" customWidth="1"/>
    <col min="8730" max="8731" width="5.5" style="1" customWidth="1"/>
    <col min="8732" max="8732" width="7.6640625" style="1" customWidth="1"/>
    <col min="8733" max="8737" width="4.5" style="1" customWidth="1"/>
    <col min="8738" max="8738" width="6.5" style="1" customWidth="1"/>
    <col min="8739" max="8743" width="5.5" style="1" customWidth="1"/>
    <col min="8744" max="8960" width="11.5" style="1"/>
    <col min="8961" max="8962" width="2.83203125" style="1" customWidth="1"/>
    <col min="8963" max="8963" width="1.83203125" style="1" customWidth="1"/>
    <col min="8964" max="8964" width="1.5" style="1" customWidth="1"/>
    <col min="8965" max="8965" width="3.83203125" style="1" customWidth="1"/>
    <col min="8966" max="8966" width="3.33203125" style="1" customWidth="1"/>
    <col min="8967" max="8967" width="5.6640625" style="1" customWidth="1"/>
    <col min="8968" max="8968" width="7.33203125" style="1" customWidth="1"/>
    <col min="8969" max="8970" width="7.5" style="1" customWidth="1"/>
    <col min="8971" max="8971" width="26.83203125" style="1" customWidth="1"/>
    <col min="8972" max="8972" width="7.6640625" style="1" customWidth="1"/>
    <col min="8973" max="8973" width="0.83203125" style="1" customWidth="1"/>
    <col min="8974" max="8974" width="9" style="1" customWidth="1"/>
    <col min="8975" max="8975" width="1" style="1" customWidth="1"/>
    <col min="8976" max="8976" width="9" style="1" customWidth="1"/>
    <col min="8977" max="8977" width="6.5" style="1" customWidth="1"/>
    <col min="8978" max="8978" width="7" style="1" customWidth="1"/>
    <col min="8979" max="8979" width="1.33203125" style="1" customWidth="1"/>
    <col min="8980" max="8980" width="0.5" style="1" customWidth="1"/>
    <col min="8981" max="8981" width="6" style="1" customWidth="1"/>
    <col min="8982" max="8982" width="5.6640625" style="1" customWidth="1"/>
    <col min="8983" max="8983" width="6.33203125" style="1" customWidth="1"/>
    <col min="8984" max="8984" width="5.5" style="1" customWidth="1"/>
    <col min="8985" max="8985" width="6" style="1" customWidth="1"/>
    <col min="8986" max="8987" width="5.5" style="1" customWidth="1"/>
    <col min="8988" max="8988" width="7.6640625" style="1" customWidth="1"/>
    <col min="8989" max="8993" width="4.5" style="1" customWidth="1"/>
    <col min="8994" max="8994" width="6.5" style="1" customWidth="1"/>
    <col min="8995" max="8999" width="5.5" style="1" customWidth="1"/>
    <col min="9000" max="9216" width="11.5" style="1"/>
    <col min="9217" max="9218" width="2.83203125" style="1" customWidth="1"/>
    <col min="9219" max="9219" width="1.83203125" style="1" customWidth="1"/>
    <col min="9220" max="9220" width="1.5" style="1" customWidth="1"/>
    <col min="9221" max="9221" width="3.83203125" style="1" customWidth="1"/>
    <col min="9222" max="9222" width="3.33203125" style="1" customWidth="1"/>
    <col min="9223" max="9223" width="5.6640625" style="1" customWidth="1"/>
    <col min="9224" max="9224" width="7.33203125" style="1" customWidth="1"/>
    <col min="9225" max="9226" width="7.5" style="1" customWidth="1"/>
    <col min="9227" max="9227" width="26.83203125" style="1" customWidth="1"/>
    <col min="9228" max="9228" width="7.6640625" style="1" customWidth="1"/>
    <col min="9229" max="9229" width="0.83203125" style="1" customWidth="1"/>
    <col min="9230" max="9230" width="9" style="1" customWidth="1"/>
    <col min="9231" max="9231" width="1" style="1" customWidth="1"/>
    <col min="9232" max="9232" width="9" style="1" customWidth="1"/>
    <col min="9233" max="9233" width="6.5" style="1" customWidth="1"/>
    <col min="9234" max="9234" width="7" style="1" customWidth="1"/>
    <col min="9235" max="9235" width="1.33203125" style="1" customWidth="1"/>
    <col min="9236" max="9236" width="0.5" style="1" customWidth="1"/>
    <col min="9237" max="9237" width="6" style="1" customWidth="1"/>
    <col min="9238" max="9238" width="5.6640625" style="1" customWidth="1"/>
    <col min="9239" max="9239" width="6.33203125" style="1" customWidth="1"/>
    <col min="9240" max="9240" width="5.5" style="1" customWidth="1"/>
    <col min="9241" max="9241" width="6" style="1" customWidth="1"/>
    <col min="9242" max="9243" width="5.5" style="1" customWidth="1"/>
    <col min="9244" max="9244" width="7.6640625" style="1" customWidth="1"/>
    <col min="9245" max="9249" width="4.5" style="1" customWidth="1"/>
    <col min="9250" max="9250" width="6.5" style="1" customWidth="1"/>
    <col min="9251" max="9255" width="5.5" style="1" customWidth="1"/>
    <col min="9256" max="9472" width="11.5" style="1"/>
    <col min="9473" max="9474" width="2.83203125" style="1" customWidth="1"/>
    <col min="9475" max="9475" width="1.83203125" style="1" customWidth="1"/>
    <col min="9476" max="9476" width="1.5" style="1" customWidth="1"/>
    <col min="9477" max="9477" width="3.83203125" style="1" customWidth="1"/>
    <col min="9478" max="9478" width="3.33203125" style="1" customWidth="1"/>
    <col min="9479" max="9479" width="5.6640625" style="1" customWidth="1"/>
    <col min="9480" max="9480" width="7.33203125" style="1" customWidth="1"/>
    <col min="9481" max="9482" width="7.5" style="1" customWidth="1"/>
    <col min="9483" max="9483" width="26.83203125" style="1" customWidth="1"/>
    <col min="9484" max="9484" width="7.6640625" style="1" customWidth="1"/>
    <col min="9485" max="9485" width="0.83203125" style="1" customWidth="1"/>
    <col min="9486" max="9486" width="9" style="1" customWidth="1"/>
    <col min="9487" max="9487" width="1" style="1" customWidth="1"/>
    <col min="9488" max="9488" width="9" style="1" customWidth="1"/>
    <col min="9489" max="9489" width="6.5" style="1" customWidth="1"/>
    <col min="9490" max="9490" width="7" style="1" customWidth="1"/>
    <col min="9491" max="9491" width="1.33203125" style="1" customWidth="1"/>
    <col min="9492" max="9492" width="0.5" style="1" customWidth="1"/>
    <col min="9493" max="9493" width="6" style="1" customWidth="1"/>
    <col min="9494" max="9494" width="5.6640625" style="1" customWidth="1"/>
    <col min="9495" max="9495" width="6.33203125" style="1" customWidth="1"/>
    <col min="9496" max="9496" width="5.5" style="1" customWidth="1"/>
    <col min="9497" max="9497" width="6" style="1" customWidth="1"/>
    <col min="9498" max="9499" width="5.5" style="1" customWidth="1"/>
    <col min="9500" max="9500" width="7.6640625" style="1" customWidth="1"/>
    <col min="9501" max="9505" width="4.5" style="1" customWidth="1"/>
    <col min="9506" max="9506" width="6.5" style="1" customWidth="1"/>
    <col min="9507" max="9511" width="5.5" style="1" customWidth="1"/>
    <col min="9512" max="9728" width="11.5" style="1"/>
    <col min="9729" max="9730" width="2.83203125" style="1" customWidth="1"/>
    <col min="9731" max="9731" width="1.83203125" style="1" customWidth="1"/>
    <col min="9732" max="9732" width="1.5" style="1" customWidth="1"/>
    <col min="9733" max="9733" width="3.83203125" style="1" customWidth="1"/>
    <col min="9734" max="9734" width="3.33203125" style="1" customWidth="1"/>
    <col min="9735" max="9735" width="5.6640625" style="1" customWidth="1"/>
    <col min="9736" max="9736" width="7.33203125" style="1" customWidth="1"/>
    <col min="9737" max="9738" width="7.5" style="1" customWidth="1"/>
    <col min="9739" max="9739" width="26.83203125" style="1" customWidth="1"/>
    <col min="9740" max="9740" width="7.6640625" style="1" customWidth="1"/>
    <col min="9741" max="9741" width="0.83203125" style="1" customWidth="1"/>
    <col min="9742" max="9742" width="9" style="1" customWidth="1"/>
    <col min="9743" max="9743" width="1" style="1" customWidth="1"/>
    <col min="9744" max="9744" width="9" style="1" customWidth="1"/>
    <col min="9745" max="9745" width="6.5" style="1" customWidth="1"/>
    <col min="9746" max="9746" width="7" style="1" customWidth="1"/>
    <col min="9747" max="9747" width="1.33203125" style="1" customWidth="1"/>
    <col min="9748" max="9748" width="0.5" style="1" customWidth="1"/>
    <col min="9749" max="9749" width="6" style="1" customWidth="1"/>
    <col min="9750" max="9750" width="5.6640625" style="1" customWidth="1"/>
    <col min="9751" max="9751" width="6.33203125" style="1" customWidth="1"/>
    <col min="9752" max="9752" width="5.5" style="1" customWidth="1"/>
    <col min="9753" max="9753" width="6" style="1" customWidth="1"/>
    <col min="9754" max="9755" width="5.5" style="1" customWidth="1"/>
    <col min="9756" max="9756" width="7.6640625" style="1" customWidth="1"/>
    <col min="9757" max="9761" width="4.5" style="1" customWidth="1"/>
    <col min="9762" max="9762" width="6.5" style="1" customWidth="1"/>
    <col min="9763" max="9767" width="5.5" style="1" customWidth="1"/>
    <col min="9768" max="9984" width="11.5" style="1"/>
    <col min="9985" max="9986" width="2.83203125" style="1" customWidth="1"/>
    <col min="9987" max="9987" width="1.83203125" style="1" customWidth="1"/>
    <col min="9988" max="9988" width="1.5" style="1" customWidth="1"/>
    <col min="9989" max="9989" width="3.83203125" style="1" customWidth="1"/>
    <col min="9990" max="9990" width="3.33203125" style="1" customWidth="1"/>
    <col min="9991" max="9991" width="5.6640625" style="1" customWidth="1"/>
    <col min="9992" max="9992" width="7.33203125" style="1" customWidth="1"/>
    <col min="9993" max="9994" width="7.5" style="1" customWidth="1"/>
    <col min="9995" max="9995" width="26.83203125" style="1" customWidth="1"/>
    <col min="9996" max="9996" width="7.6640625" style="1" customWidth="1"/>
    <col min="9997" max="9997" width="0.83203125" style="1" customWidth="1"/>
    <col min="9998" max="9998" width="9" style="1" customWidth="1"/>
    <col min="9999" max="9999" width="1" style="1" customWidth="1"/>
    <col min="10000" max="10000" width="9" style="1" customWidth="1"/>
    <col min="10001" max="10001" width="6.5" style="1" customWidth="1"/>
    <col min="10002" max="10002" width="7" style="1" customWidth="1"/>
    <col min="10003" max="10003" width="1.33203125" style="1" customWidth="1"/>
    <col min="10004" max="10004" width="0.5" style="1" customWidth="1"/>
    <col min="10005" max="10005" width="6" style="1" customWidth="1"/>
    <col min="10006" max="10006" width="5.6640625" style="1" customWidth="1"/>
    <col min="10007" max="10007" width="6.33203125" style="1" customWidth="1"/>
    <col min="10008" max="10008" width="5.5" style="1" customWidth="1"/>
    <col min="10009" max="10009" width="6" style="1" customWidth="1"/>
    <col min="10010" max="10011" width="5.5" style="1" customWidth="1"/>
    <col min="10012" max="10012" width="7.6640625" style="1" customWidth="1"/>
    <col min="10013" max="10017" width="4.5" style="1" customWidth="1"/>
    <col min="10018" max="10018" width="6.5" style="1" customWidth="1"/>
    <col min="10019" max="10023" width="5.5" style="1" customWidth="1"/>
    <col min="10024" max="10240" width="11.5" style="1"/>
    <col min="10241" max="10242" width="2.83203125" style="1" customWidth="1"/>
    <col min="10243" max="10243" width="1.83203125" style="1" customWidth="1"/>
    <col min="10244" max="10244" width="1.5" style="1" customWidth="1"/>
    <col min="10245" max="10245" width="3.83203125" style="1" customWidth="1"/>
    <col min="10246" max="10246" width="3.33203125" style="1" customWidth="1"/>
    <col min="10247" max="10247" width="5.6640625" style="1" customWidth="1"/>
    <col min="10248" max="10248" width="7.33203125" style="1" customWidth="1"/>
    <col min="10249" max="10250" width="7.5" style="1" customWidth="1"/>
    <col min="10251" max="10251" width="26.83203125" style="1" customWidth="1"/>
    <col min="10252" max="10252" width="7.6640625" style="1" customWidth="1"/>
    <col min="10253" max="10253" width="0.83203125" style="1" customWidth="1"/>
    <col min="10254" max="10254" width="9" style="1" customWidth="1"/>
    <col min="10255" max="10255" width="1" style="1" customWidth="1"/>
    <col min="10256" max="10256" width="9" style="1" customWidth="1"/>
    <col min="10257" max="10257" width="6.5" style="1" customWidth="1"/>
    <col min="10258" max="10258" width="7" style="1" customWidth="1"/>
    <col min="10259" max="10259" width="1.33203125" style="1" customWidth="1"/>
    <col min="10260" max="10260" width="0.5" style="1" customWidth="1"/>
    <col min="10261" max="10261" width="6" style="1" customWidth="1"/>
    <col min="10262" max="10262" width="5.6640625" style="1" customWidth="1"/>
    <col min="10263" max="10263" width="6.33203125" style="1" customWidth="1"/>
    <col min="10264" max="10264" width="5.5" style="1" customWidth="1"/>
    <col min="10265" max="10265" width="6" style="1" customWidth="1"/>
    <col min="10266" max="10267" width="5.5" style="1" customWidth="1"/>
    <col min="10268" max="10268" width="7.6640625" style="1" customWidth="1"/>
    <col min="10269" max="10273" width="4.5" style="1" customWidth="1"/>
    <col min="10274" max="10274" width="6.5" style="1" customWidth="1"/>
    <col min="10275" max="10279" width="5.5" style="1" customWidth="1"/>
    <col min="10280" max="10496" width="11.5" style="1"/>
    <col min="10497" max="10498" width="2.83203125" style="1" customWidth="1"/>
    <col min="10499" max="10499" width="1.83203125" style="1" customWidth="1"/>
    <col min="10500" max="10500" width="1.5" style="1" customWidth="1"/>
    <col min="10501" max="10501" width="3.83203125" style="1" customWidth="1"/>
    <col min="10502" max="10502" width="3.33203125" style="1" customWidth="1"/>
    <col min="10503" max="10503" width="5.6640625" style="1" customWidth="1"/>
    <col min="10504" max="10504" width="7.33203125" style="1" customWidth="1"/>
    <col min="10505" max="10506" width="7.5" style="1" customWidth="1"/>
    <col min="10507" max="10507" width="26.83203125" style="1" customWidth="1"/>
    <col min="10508" max="10508" width="7.6640625" style="1" customWidth="1"/>
    <col min="10509" max="10509" width="0.83203125" style="1" customWidth="1"/>
    <col min="10510" max="10510" width="9" style="1" customWidth="1"/>
    <col min="10511" max="10511" width="1" style="1" customWidth="1"/>
    <col min="10512" max="10512" width="9" style="1" customWidth="1"/>
    <col min="10513" max="10513" width="6.5" style="1" customWidth="1"/>
    <col min="10514" max="10514" width="7" style="1" customWidth="1"/>
    <col min="10515" max="10515" width="1.33203125" style="1" customWidth="1"/>
    <col min="10516" max="10516" width="0.5" style="1" customWidth="1"/>
    <col min="10517" max="10517" width="6" style="1" customWidth="1"/>
    <col min="10518" max="10518" width="5.6640625" style="1" customWidth="1"/>
    <col min="10519" max="10519" width="6.33203125" style="1" customWidth="1"/>
    <col min="10520" max="10520" width="5.5" style="1" customWidth="1"/>
    <col min="10521" max="10521" width="6" style="1" customWidth="1"/>
    <col min="10522" max="10523" width="5.5" style="1" customWidth="1"/>
    <col min="10524" max="10524" width="7.6640625" style="1" customWidth="1"/>
    <col min="10525" max="10529" width="4.5" style="1" customWidth="1"/>
    <col min="10530" max="10530" width="6.5" style="1" customWidth="1"/>
    <col min="10531" max="10535" width="5.5" style="1" customWidth="1"/>
    <col min="10536" max="10752" width="11.5" style="1"/>
    <col min="10753" max="10754" width="2.83203125" style="1" customWidth="1"/>
    <col min="10755" max="10755" width="1.83203125" style="1" customWidth="1"/>
    <col min="10756" max="10756" width="1.5" style="1" customWidth="1"/>
    <col min="10757" max="10757" width="3.83203125" style="1" customWidth="1"/>
    <col min="10758" max="10758" width="3.33203125" style="1" customWidth="1"/>
    <col min="10759" max="10759" width="5.6640625" style="1" customWidth="1"/>
    <col min="10760" max="10760" width="7.33203125" style="1" customWidth="1"/>
    <col min="10761" max="10762" width="7.5" style="1" customWidth="1"/>
    <col min="10763" max="10763" width="26.83203125" style="1" customWidth="1"/>
    <col min="10764" max="10764" width="7.6640625" style="1" customWidth="1"/>
    <col min="10765" max="10765" width="0.83203125" style="1" customWidth="1"/>
    <col min="10766" max="10766" width="9" style="1" customWidth="1"/>
    <col min="10767" max="10767" width="1" style="1" customWidth="1"/>
    <col min="10768" max="10768" width="9" style="1" customWidth="1"/>
    <col min="10769" max="10769" width="6.5" style="1" customWidth="1"/>
    <col min="10770" max="10770" width="7" style="1" customWidth="1"/>
    <col min="10771" max="10771" width="1.33203125" style="1" customWidth="1"/>
    <col min="10772" max="10772" width="0.5" style="1" customWidth="1"/>
    <col min="10773" max="10773" width="6" style="1" customWidth="1"/>
    <col min="10774" max="10774" width="5.6640625" style="1" customWidth="1"/>
    <col min="10775" max="10775" width="6.33203125" style="1" customWidth="1"/>
    <col min="10776" max="10776" width="5.5" style="1" customWidth="1"/>
    <col min="10777" max="10777" width="6" style="1" customWidth="1"/>
    <col min="10778" max="10779" width="5.5" style="1" customWidth="1"/>
    <col min="10780" max="10780" width="7.6640625" style="1" customWidth="1"/>
    <col min="10781" max="10785" width="4.5" style="1" customWidth="1"/>
    <col min="10786" max="10786" width="6.5" style="1" customWidth="1"/>
    <col min="10787" max="10791" width="5.5" style="1" customWidth="1"/>
    <col min="10792" max="11008" width="11.5" style="1"/>
    <col min="11009" max="11010" width="2.83203125" style="1" customWidth="1"/>
    <col min="11011" max="11011" width="1.83203125" style="1" customWidth="1"/>
    <col min="11012" max="11012" width="1.5" style="1" customWidth="1"/>
    <col min="11013" max="11013" width="3.83203125" style="1" customWidth="1"/>
    <col min="11014" max="11014" width="3.33203125" style="1" customWidth="1"/>
    <col min="11015" max="11015" width="5.6640625" style="1" customWidth="1"/>
    <col min="11016" max="11016" width="7.33203125" style="1" customWidth="1"/>
    <col min="11017" max="11018" width="7.5" style="1" customWidth="1"/>
    <col min="11019" max="11019" width="26.83203125" style="1" customWidth="1"/>
    <col min="11020" max="11020" width="7.6640625" style="1" customWidth="1"/>
    <col min="11021" max="11021" width="0.83203125" style="1" customWidth="1"/>
    <col min="11022" max="11022" width="9" style="1" customWidth="1"/>
    <col min="11023" max="11023" width="1" style="1" customWidth="1"/>
    <col min="11024" max="11024" width="9" style="1" customWidth="1"/>
    <col min="11025" max="11025" width="6.5" style="1" customWidth="1"/>
    <col min="11026" max="11026" width="7" style="1" customWidth="1"/>
    <col min="11027" max="11027" width="1.33203125" style="1" customWidth="1"/>
    <col min="11028" max="11028" width="0.5" style="1" customWidth="1"/>
    <col min="11029" max="11029" width="6" style="1" customWidth="1"/>
    <col min="11030" max="11030" width="5.6640625" style="1" customWidth="1"/>
    <col min="11031" max="11031" width="6.33203125" style="1" customWidth="1"/>
    <col min="11032" max="11032" width="5.5" style="1" customWidth="1"/>
    <col min="11033" max="11033" width="6" style="1" customWidth="1"/>
    <col min="11034" max="11035" width="5.5" style="1" customWidth="1"/>
    <col min="11036" max="11036" width="7.6640625" style="1" customWidth="1"/>
    <col min="11037" max="11041" width="4.5" style="1" customWidth="1"/>
    <col min="11042" max="11042" width="6.5" style="1" customWidth="1"/>
    <col min="11043" max="11047" width="5.5" style="1" customWidth="1"/>
    <col min="11048" max="11264" width="11.5" style="1"/>
    <col min="11265" max="11266" width="2.83203125" style="1" customWidth="1"/>
    <col min="11267" max="11267" width="1.83203125" style="1" customWidth="1"/>
    <col min="11268" max="11268" width="1.5" style="1" customWidth="1"/>
    <col min="11269" max="11269" width="3.83203125" style="1" customWidth="1"/>
    <col min="11270" max="11270" width="3.33203125" style="1" customWidth="1"/>
    <col min="11271" max="11271" width="5.6640625" style="1" customWidth="1"/>
    <col min="11272" max="11272" width="7.33203125" style="1" customWidth="1"/>
    <col min="11273" max="11274" width="7.5" style="1" customWidth="1"/>
    <col min="11275" max="11275" width="26.83203125" style="1" customWidth="1"/>
    <col min="11276" max="11276" width="7.6640625" style="1" customWidth="1"/>
    <col min="11277" max="11277" width="0.83203125" style="1" customWidth="1"/>
    <col min="11278" max="11278" width="9" style="1" customWidth="1"/>
    <col min="11279" max="11279" width="1" style="1" customWidth="1"/>
    <col min="11280" max="11280" width="9" style="1" customWidth="1"/>
    <col min="11281" max="11281" width="6.5" style="1" customWidth="1"/>
    <col min="11282" max="11282" width="7" style="1" customWidth="1"/>
    <col min="11283" max="11283" width="1.33203125" style="1" customWidth="1"/>
    <col min="11284" max="11284" width="0.5" style="1" customWidth="1"/>
    <col min="11285" max="11285" width="6" style="1" customWidth="1"/>
    <col min="11286" max="11286" width="5.6640625" style="1" customWidth="1"/>
    <col min="11287" max="11287" width="6.33203125" style="1" customWidth="1"/>
    <col min="11288" max="11288" width="5.5" style="1" customWidth="1"/>
    <col min="11289" max="11289" width="6" style="1" customWidth="1"/>
    <col min="11290" max="11291" width="5.5" style="1" customWidth="1"/>
    <col min="11292" max="11292" width="7.6640625" style="1" customWidth="1"/>
    <col min="11293" max="11297" width="4.5" style="1" customWidth="1"/>
    <col min="11298" max="11298" width="6.5" style="1" customWidth="1"/>
    <col min="11299" max="11303" width="5.5" style="1" customWidth="1"/>
    <col min="11304" max="11520" width="11.5" style="1"/>
    <col min="11521" max="11522" width="2.83203125" style="1" customWidth="1"/>
    <col min="11523" max="11523" width="1.83203125" style="1" customWidth="1"/>
    <col min="11524" max="11524" width="1.5" style="1" customWidth="1"/>
    <col min="11525" max="11525" width="3.83203125" style="1" customWidth="1"/>
    <col min="11526" max="11526" width="3.33203125" style="1" customWidth="1"/>
    <col min="11527" max="11527" width="5.6640625" style="1" customWidth="1"/>
    <col min="11528" max="11528" width="7.33203125" style="1" customWidth="1"/>
    <col min="11529" max="11530" width="7.5" style="1" customWidth="1"/>
    <col min="11531" max="11531" width="26.83203125" style="1" customWidth="1"/>
    <col min="11532" max="11532" width="7.6640625" style="1" customWidth="1"/>
    <col min="11533" max="11533" width="0.83203125" style="1" customWidth="1"/>
    <col min="11534" max="11534" width="9" style="1" customWidth="1"/>
    <col min="11535" max="11535" width="1" style="1" customWidth="1"/>
    <col min="11536" max="11536" width="9" style="1" customWidth="1"/>
    <col min="11537" max="11537" width="6.5" style="1" customWidth="1"/>
    <col min="11538" max="11538" width="7" style="1" customWidth="1"/>
    <col min="11539" max="11539" width="1.33203125" style="1" customWidth="1"/>
    <col min="11540" max="11540" width="0.5" style="1" customWidth="1"/>
    <col min="11541" max="11541" width="6" style="1" customWidth="1"/>
    <col min="11542" max="11542" width="5.6640625" style="1" customWidth="1"/>
    <col min="11543" max="11543" width="6.33203125" style="1" customWidth="1"/>
    <col min="11544" max="11544" width="5.5" style="1" customWidth="1"/>
    <col min="11545" max="11545" width="6" style="1" customWidth="1"/>
    <col min="11546" max="11547" width="5.5" style="1" customWidth="1"/>
    <col min="11548" max="11548" width="7.6640625" style="1" customWidth="1"/>
    <col min="11549" max="11553" width="4.5" style="1" customWidth="1"/>
    <col min="11554" max="11554" width="6.5" style="1" customWidth="1"/>
    <col min="11555" max="11559" width="5.5" style="1" customWidth="1"/>
    <col min="11560" max="11776" width="11.5" style="1"/>
    <col min="11777" max="11778" width="2.83203125" style="1" customWidth="1"/>
    <col min="11779" max="11779" width="1.83203125" style="1" customWidth="1"/>
    <col min="11780" max="11780" width="1.5" style="1" customWidth="1"/>
    <col min="11781" max="11781" width="3.83203125" style="1" customWidth="1"/>
    <col min="11782" max="11782" width="3.33203125" style="1" customWidth="1"/>
    <col min="11783" max="11783" width="5.6640625" style="1" customWidth="1"/>
    <col min="11784" max="11784" width="7.33203125" style="1" customWidth="1"/>
    <col min="11785" max="11786" width="7.5" style="1" customWidth="1"/>
    <col min="11787" max="11787" width="26.83203125" style="1" customWidth="1"/>
    <col min="11788" max="11788" width="7.6640625" style="1" customWidth="1"/>
    <col min="11789" max="11789" width="0.83203125" style="1" customWidth="1"/>
    <col min="11790" max="11790" width="9" style="1" customWidth="1"/>
    <col min="11791" max="11791" width="1" style="1" customWidth="1"/>
    <col min="11792" max="11792" width="9" style="1" customWidth="1"/>
    <col min="11793" max="11793" width="6.5" style="1" customWidth="1"/>
    <col min="11794" max="11794" width="7" style="1" customWidth="1"/>
    <col min="11795" max="11795" width="1.33203125" style="1" customWidth="1"/>
    <col min="11796" max="11796" width="0.5" style="1" customWidth="1"/>
    <col min="11797" max="11797" width="6" style="1" customWidth="1"/>
    <col min="11798" max="11798" width="5.6640625" style="1" customWidth="1"/>
    <col min="11799" max="11799" width="6.33203125" style="1" customWidth="1"/>
    <col min="11800" max="11800" width="5.5" style="1" customWidth="1"/>
    <col min="11801" max="11801" width="6" style="1" customWidth="1"/>
    <col min="11802" max="11803" width="5.5" style="1" customWidth="1"/>
    <col min="11804" max="11804" width="7.6640625" style="1" customWidth="1"/>
    <col min="11805" max="11809" width="4.5" style="1" customWidth="1"/>
    <col min="11810" max="11810" width="6.5" style="1" customWidth="1"/>
    <col min="11811" max="11815" width="5.5" style="1" customWidth="1"/>
    <col min="11816" max="12032" width="11.5" style="1"/>
    <col min="12033" max="12034" width="2.83203125" style="1" customWidth="1"/>
    <col min="12035" max="12035" width="1.83203125" style="1" customWidth="1"/>
    <col min="12036" max="12036" width="1.5" style="1" customWidth="1"/>
    <col min="12037" max="12037" width="3.83203125" style="1" customWidth="1"/>
    <col min="12038" max="12038" width="3.33203125" style="1" customWidth="1"/>
    <col min="12039" max="12039" width="5.6640625" style="1" customWidth="1"/>
    <col min="12040" max="12040" width="7.33203125" style="1" customWidth="1"/>
    <col min="12041" max="12042" width="7.5" style="1" customWidth="1"/>
    <col min="12043" max="12043" width="26.83203125" style="1" customWidth="1"/>
    <col min="12044" max="12044" width="7.6640625" style="1" customWidth="1"/>
    <col min="12045" max="12045" width="0.83203125" style="1" customWidth="1"/>
    <col min="12046" max="12046" width="9" style="1" customWidth="1"/>
    <col min="12047" max="12047" width="1" style="1" customWidth="1"/>
    <col min="12048" max="12048" width="9" style="1" customWidth="1"/>
    <col min="12049" max="12049" width="6.5" style="1" customWidth="1"/>
    <col min="12050" max="12050" width="7" style="1" customWidth="1"/>
    <col min="12051" max="12051" width="1.33203125" style="1" customWidth="1"/>
    <col min="12052" max="12052" width="0.5" style="1" customWidth="1"/>
    <col min="12053" max="12053" width="6" style="1" customWidth="1"/>
    <col min="12054" max="12054" width="5.6640625" style="1" customWidth="1"/>
    <col min="12055" max="12055" width="6.33203125" style="1" customWidth="1"/>
    <col min="12056" max="12056" width="5.5" style="1" customWidth="1"/>
    <col min="12057" max="12057" width="6" style="1" customWidth="1"/>
    <col min="12058" max="12059" width="5.5" style="1" customWidth="1"/>
    <col min="12060" max="12060" width="7.6640625" style="1" customWidth="1"/>
    <col min="12061" max="12065" width="4.5" style="1" customWidth="1"/>
    <col min="12066" max="12066" width="6.5" style="1" customWidth="1"/>
    <col min="12067" max="12071" width="5.5" style="1" customWidth="1"/>
    <col min="12072" max="12288" width="11.5" style="1"/>
    <col min="12289" max="12290" width="2.83203125" style="1" customWidth="1"/>
    <col min="12291" max="12291" width="1.83203125" style="1" customWidth="1"/>
    <col min="12292" max="12292" width="1.5" style="1" customWidth="1"/>
    <col min="12293" max="12293" width="3.83203125" style="1" customWidth="1"/>
    <col min="12294" max="12294" width="3.33203125" style="1" customWidth="1"/>
    <col min="12295" max="12295" width="5.6640625" style="1" customWidth="1"/>
    <col min="12296" max="12296" width="7.33203125" style="1" customWidth="1"/>
    <col min="12297" max="12298" width="7.5" style="1" customWidth="1"/>
    <col min="12299" max="12299" width="26.83203125" style="1" customWidth="1"/>
    <col min="12300" max="12300" width="7.6640625" style="1" customWidth="1"/>
    <col min="12301" max="12301" width="0.83203125" style="1" customWidth="1"/>
    <col min="12302" max="12302" width="9" style="1" customWidth="1"/>
    <col min="12303" max="12303" width="1" style="1" customWidth="1"/>
    <col min="12304" max="12304" width="9" style="1" customWidth="1"/>
    <col min="12305" max="12305" width="6.5" style="1" customWidth="1"/>
    <col min="12306" max="12306" width="7" style="1" customWidth="1"/>
    <col min="12307" max="12307" width="1.33203125" style="1" customWidth="1"/>
    <col min="12308" max="12308" width="0.5" style="1" customWidth="1"/>
    <col min="12309" max="12309" width="6" style="1" customWidth="1"/>
    <col min="12310" max="12310" width="5.6640625" style="1" customWidth="1"/>
    <col min="12311" max="12311" width="6.33203125" style="1" customWidth="1"/>
    <col min="12312" max="12312" width="5.5" style="1" customWidth="1"/>
    <col min="12313" max="12313" width="6" style="1" customWidth="1"/>
    <col min="12314" max="12315" width="5.5" style="1" customWidth="1"/>
    <col min="12316" max="12316" width="7.6640625" style="1" customWidth="1"/>
    <col min="12317" max="12321" width="4.5" style="1" customWidth="1"/>
    <col min="12322" max="12322" width="6.5" style="1" customWidth="1"/>
    <col min="12323" max="12327" width="5.5" style="1" customWidth="1"/>
    <col min="12328" max="12544" width="11.5" style="1"/>
    <col min="12545" max="12546" width="2.83203125" style="1" customWidth="1"/>
    <col min="12547" max="12547" width="1.83203125" style="1" customWidth="1"/>
    <col min="12548" max="12548" width="1.5" style="1" customWidth="1"/>
    <col min="12549" max="12549" width="3.83203125" style="1" customWidth="1"/>
    <col min="12550" max="12550" width="3.33203125" style="1" customWidth="1"/>
    <col min="12551" max="12551" width="5.6640625" style="1" customWidth="1"/>
    <col min="12552" max="12552" width="7.33203125" style="1" customWidth="1"/>
    <col min="12553" max="12554" width="7.5" style="1" customWidth="1"/>
    <col min="12555" max="12555" width="26.83203125" style="1" customWidth="1"/>
    <col min="12556" max="12556" width="7.6640625" style="1" customWidth="1"/>
    <col min="12557" max="12557" width="0.83203125" style="1" customWidth="1"/>
    <col min="12558" max="12558" width="9" style="1" customWidth="1"/>
    <col min="12559" max="12559" width="1" style="1" customWidth="1"/>
    <col min="12560" max="12560" width="9" style="1" customWidth="1"/>
    <col min="12561" max="12561" width="6.5" style="1" customWidth="1"/>
    <col min="12562" max="12562" width="7" style="1" customWidth="1"/>
    <col min="12563" max="12563" width="1.33203125" style="1" customWidth="1"/>
    <col min="12564" max="12564" width="0.5" style="1" customWidth="1"/>
    <col min="12565" max="12565" width="6" style="1" customWidth="1"/>
    <col min="12566" max="12566" width="5.6640625" style="1" customWidth="1"/>
    <col min="12567" max="12567" width="6.33203125" style="1" customWidth="1"/>
    <col min="12568" max="12568" width="5.5" style="1" customWidth="1"/>
    <col min="12569" max="12569" width="6" style="1" customWidth="1"/>
    <col min="12570" max="12571" width="5.5" style="1" customWidth="1"/>
    <col min="12572" max="12572" width="7.6640625" style="1" customWidth="1"/>
    <col min="12573" max="12577" width="4.5" style="1" customWidth="1"/>
    <col min="12578" max="12578" width="6.5" style="1" customWidth="1"/>
    <col min="12579" max="12583" width="5.5" style="1" customWidth="1"/>
    <col min="12584" max="12800" width="11.5" style="1"/>
    <col min="12801" max="12802" width="2.83203125" style="1" customWidth="1"/>
    <col min="12803" max="12803" width="1.83203125" style="1" customWidth="1"/>
    <col min="12804" max="12804" width="1.5" style="1" customWidth="1"/>
    <col min="12805" max="12805" width="3.83203125" style="1" customWidth="1"/>
    <col min="12806" max="12806" width="3.33203125" style="1" customWidth="1"/>
    <col min="12807" max="12807" width="5.6640625" style="1" customWidth="1"/>
    <col min="12808" max="12808" width="7.33203125" style="1" customWidth="1"/>
    <col min="12809" max="12810" width="7.5" style="1" customWidth="1"/>
    <col min="12811" max="12811" width="26.83203125" style="1" customWidth="1"/>
    <col min="12812" max="12812" width="7.6640625" style="1" customWidth="1"/>
    <col min="12813" max="12813" width="0.83203125" style="1" customWidth="1"/>
    <col min="12814" max="12814" width="9" style="1" customWidth="1"/>
    <col min="12815" max="12815" width="1" style="1" customWidth="1"/>
    <col min="12816" max="12816" width="9" style="1" customWidth="1"/>
    <col min="12817" max="12817" width="6.5" style="1" customWidth="1"/>
    <col min="12818" max="12818" width="7" style="1" customWidth="1"/>
    <col min="12819" max="12819" width="1.33203125" style="1" customWidth="1"/>
    <col min="12820" max="12820" width="0.5" style="1" customWidth="1"/>
    <col min="12821" max="12821" width="6" style="1" customWidth="1"/>
    <col min="12822" max="12822" width="5.6640625" style="1" customWidth="1"/>
    <col min="12823" max="12823" width="6.33203125" style="1" customWidth="1"/>
    <col min="12824" max="12824" width="5.5" style="1" customWidth="1"/>
    <col min="12825" max="12825" width="6" style="1" customWidth="1"/>
    <col min="12826" max="12827" width="5.5" style="1" customWidth="1"/>
    <col min="12828" max="12828" width="7.6640625" style="1" customWidth="1"/>
    <col min="12829" max="12833" width="4.5" style="1" customWidth="1"/>
    <col min="12834" max="12834" width="6.5" style="1" customWidth="1"/>
    <col min="12835" max="12839" width="5.5" style="1" customWidth="1"/>
    <col min="12840" max="13056" width="11.5" style="1"/>
    <col min="13057" max="13058" width="2.83203125" style="1" customWidth="1"/>
    <col min="13059" max="13059" width="1.83203125" style="1" customWidth="1"/>
    <col min="13060" max="13060" width="1.5" style="1" customWidth="1"/>
    <col min="13061" max="13061" width="3.83203125" style="1" customWidth="1"/>
    <col min="13062" max="13062" width="3.33203125" style="1" customWidth="1"/>
    <col min="13063" max="13063" width="5.6640625" style="1" customWidth="1"/>
    <col min="13064" max="13064" width="7.33203125" style="1" customWidth="1"/>
    <col min="13065" max="13066" width="7.5" style="1" customWidth="1"/>
    <col min="13067" max="13067" width="26.83203125" style="1" customWidth="1"/>
    <col min="13068" max="13068" width="7.6640625" style="1" customWidth="1"/>
    <col min="13069" max="13069" width="0.83203125" style="1" customWidth="1"/>
    <col min="13070" max="13070" width="9" style="1" customWidth="1"/>
    <col min="13071" max="13071" width="1" style="1" customWidth="1"/>
    <col min="13072" max="13072" width="9" style="1" customWidth="1"/>
    <col min="13073" max="13073" width="6.5" style="1" customWidth="1"/>
    <col min="13074" max="13074" width="7" style="1" customWidth="1"/>
    <col min="13075" max="13075" width="1.33203125" style="1" customWidth="1"/>
    <col min="13076" max="13076" width="0.5" style="1" customWidth="1"/>
    <col min="13077" max="13077" width="6" style="1" customWidth="1"/>
    <col min="13078" max="13078" width="5.6640625" style="1" customWidth="1"/>
    <col min="13079" max="13079" width="6.33203125" style="1" customWidth="1"/>
    <col min="13080" max="13080" width="5.5" style="1" customWidth="1"/>
    <col min="13081" max="13081" width="6" style="1" customWidth="1"/>
    <col min="13082" max="13083" width="5.5" style="1" customWidth="1"/>
    <col min="13084" max="13084" width="7.6640625" style="1" customWidth="1"/>
    <col min="13085" max="13089" width="4.5" style="1" customWidth="1"/>
    <col min="13090" max="13090" width="6.5" style="1" customWidth="1"/>
    <col min="13091" max="13095" width="5.5" style="1" customWidth="1"/>
    <col min="13096" max="13312" width="11.5" style="1"/>
    <col min="13313" max="13314" width="2.83203125" style="1" customWidth="1"/>
    <col min="13315" max="13315" width="1.83203125" style="1" customWidth="1"/>
    <col min="13316" max="13316" width="1.5" style="1" customWidth="1"/>
    <col min="13317" max="13317" width="3.83203125" style="1" customWidth="1"/>
    <col min="13318" max="13318" width="3.33203125" style="1" customWidth="1"/>
    <col min="13319" max="13319" width="5.6640625" style="1" customWidth="1"/>
    <col min="13320" max="13320" width="7.33203125" style="1" customWidth="1"/>
    <col min="13321" max="13322" width="7.5" style="1" customWidth="1"/>
    <col min="13323" max="13323" width="26.83203125" style="1" customWidth="1"/>
    <col min="13324" max="13324" width="7.6640625" style="1" customWidth="1"/>
    <col min="13325" max="13325" width="0.83203125" style="1" customWidth="1"/>
    <col min="13326" max="13326" width="9" style="1" customWidth="1"/>
    <col min="13327" max="13327" width="1" style="1" customWidth="1"/>
    <col min="13328" max="13328" width="9" style="1" customWidth="1"/>
    <col min="13329" max="13329" width="6.5" style="1" customWidth="1"/>
    <col min="13330" max="13330" width="7" style="1" customWidth="1"/>
    <col min="13331" max="13331" width="1.33203125" style="1" customWidth="1"/>
    <col min="13332" max="13332" width="0.5" style="1" customWidth="1"/>
    <col min="13333" max="13333" width="6" style="1" customWidth="1"/>
    <col min="13334" max="13334" width="5.6640625" style="1" customWidth="1"/>
    <col min="13335" max="13335" width="6.33203125" style="1" customWidth="1"/>
    <col min="13336" max="13336" width="5.5" style="1" customWidth="1"/>
    <col min="13337" max="13337" width="6" style="1" customWidth="1"/>
    <col min="13338" max="13339" width="5.5" style="1" customWidth="1"/>
    <col min="13340" max="13340" width="7.6640625" style="1" customWidth="1"/>
    <col min="13341" max="13345" width="4.5" style="1" customWidth="1"/>
    <col min="13346" max="13346" width="6.5" style="1" customWidth="1"/>
    <col min="13347" max="13351" width="5.5" style="1" customWidth="1"/>
    <col min="13352" max="13568" width="11.5" style="1"/>
    <col min="13569" max="13570" width="2.83203125" style="1" customWidth="1"/>
    <col min="13571" max="13571" width="1.83203125" style="1" customWidth="1"/>
    <col min="13572" max="13572" width="1.5" style="1" customWidth="1"/>
    <col min="13573" max="13573" width="3.83203125" style="1" customWidth="1"/>
    <col min="13574" max="13574" width="3.33203125" style="1" customWidth="1"/>
    <col min="13575" max="13575" width="5.6640625" style="1" customWidth="1"/>
    <col min="13576" max="13576" width="7.33203125" style="1" customWidth="1"/>
    <col min="13577" max="13578" width="7.5" style="1" customWidth="1"/>
    <col min="13579" max="13579" width="26.83203125" style="1" customWidth="1"/>
    <col min="13580" max="13580" width="7.6640625" style="1" customWidth="1"/>
    <col min="13581" max="13581" width="0.83203125" style="1" customWidth="1"/>
    <col min="13582" max="13582" width="9" style="1" customWidth="1"/>
    <col min="13583" max="13583" width="1" style="1" customWidth="1"/>
    <col min="13584" max="13584" width="9" style="1" customWidth="1"/>
    <col min="13585" max="13585" width="6.5" style="1" customWidth="1"/>
    <col min="13586" max="13586" width="7" style="1" customWidth="1"/>
    <col min="13587" max="13587" width="1.33203125" style="1" customWidth="1"/>
    <col min="13588" max="13588" width="0.5" style="1" customWidth="1"/>
    <col min="13589" max="13589" width="6" style="1" customWidth="1"/>
    <col min="13590" max="13590" width="5.6640625" style="1" customWidth="1"/>
    <col min="13591" max="13591" width="6.33203125" style="1" customWidth="1"/>
    <col min="13592" max="13592" width="5.5" style="1" customWidth="1"/>
    <col min="13593" max="13593" width="6" style="1" customWidth="1"/>
    <col min="13594" max="13595" width="5.5" style="1" customWidth="1"/>
    <col min="13596" max="13596" width="7.6640625" style="1" customWidth="1"/>
    <col min="13597" max="13601" width="4.5" style="1" customWidth="1"/>
    <col min="13602" max="13602" width="6.5" style="1" customWidth="1"/>
    <col min="13603" max="13607" width="5.5" style="1" customWidth="1"/>
    <col min="13608" max="13824" width="11.5" style="1"/>
    <col min="13825" max="13826" width="2.83203125" style="1" customWidth="1"/>
    <col min="13827" max="13827" width="1.83203125" style="1" customWidth="1"/>
    <col min="13828" max="13828" width="1.5" style="1" customWidth="1"/>
    <col min="13829" max="13829" width="3.83203125" style="1" customWidth="1"/>
    <col min="13830" max="13830" width="3.33203125" style="1" customWidth="1"/>
    <col min="13831" max="13831" width="5.6640625" style="1" customWidth="1"/>
    <col min="13832" max="13832" width="7.33203125" style="1" customWidth="1"/>
    <col min="13833" max="13834" width="7.5" style="1" customWidth="1"/>
    <col min="13835" max="13835" width="26.83203125" style="1" customWidth="1"/>
    <col min="13836" max="13836" width="7.6640625" style="1" customWidth="1"/>
    <col min="13837" max="13837" width="0.83203125" style="1" customWidth="1"/>
    <col min="13838" max="13838" width="9" style="1" customWidth="1"/>
    <col min="13839" max="13839" width="1" style="1" customWidth="1"/>
    <col min="13840" max="13840" width="9" style="1" customWidth="1"/>
    <col min="13841" max="13841" width="6.5" style="1" customWidth="1"/>
    <col min="13842" max="13842" width="7" style="1" customWidth="1"/>
    <col min="13843" max="13843" width="1.33203125" style="1" customWidth="1"/>
    <col min="13844" max="13844" width="0.5" style="1" customWidth="1"/>
    <col min="13845" max="13845" width="6" style="1" customWidth="1"/>
    <col min="13846" max="13846" width="5.6640625" style="1" customWidth="1"/>
    <col min="13847" max="13847" width="6.33203125" style="1" customWidth="1"/>
    <col min="13848" max="13848" width="5.5" style="1" customWidth="1"/>
    <col min="13849" max="13849" width="6" style="1" customWidth="1"/>
    <col min="13850" max="13851" width="5.5" style="1" customWidth="1"/>
    <col min="13852" max="13852" width="7.6640625" style="1" customWidth="1"/>
    <col min="13853" max="13857" width="4.5" style="1" customWidth="1"/>
    <col min="13858" max="13858" width="6.5" style="1" customWidth="1"/>
    <col min="13859" max="13863" width="5.5" style="1" customWidth="1"/>
    <col min="13864" max="14080" width="11.5" style="1"/>
    <col min="14081" max="14082" width="2.83203125" style="1" customWidth="1"/>
    <col min="14083" max="14083" width="1.83203125" style="1" customWidth="1"/>
    <col min="14084" max="14084" width="1.5" style="1" customWidth="1"/>
    <col min="14085" max="14085" width="3.83203125" style="1" customWidth="1"/>
    <col min="14086" max="14086" width="3.33203125" style="1" customWidth="1"/>
    <col min="14087" max="14087" width="5.6640625" style="1" customWidth="1"/>
    <col min="14088" max="14088" width="7.33203125" style="1" customWidth="1"/>
    <col min="14089" max="14090" width="7.5" style="1" customWidth="1"/>
    <col min="14091" max="14091" width="26.83203125" style="1" customWidth="1"/>
    <col min="14092" max="14092" width="7.6640625" style="1" customWidth="1"/>
    <col min="14093" max="14093" width="0.83203125" style="1" customWidth="1"/>
    <col min="14094" max="14094" width="9" style="1" customWidth="1"/>
    <col min="14095" max="14095" width="1" style="1" customWidth="1"/>
    <col min="14096" max="14096" width="9" style="1" customWidth="1"/>
    <col min="14097" max="14097" width="6.5" style="1" customWidth="1"/>
    <col min="14098" max="14098" width="7" style="1" customWidth="1"/>
    <col min="14099" max="14099" width="1.33203125" style="1" customWidth="1"/>
    <col min="14100" max="14100" width="0.5" style="1" customWidth="1"/>
    <col min="14101" max="14101" width="6" style="1" customWidth="1"/>
    <col min="14102" max="14102" width="5.6640625" style="1" customWidth="1"/>
    <col min="14103" max="14103" width="6.33203125" style="1" customWidth="1"/>
    <col min="14104" max="14104" width="5.5" style="1" customWidth="1"/>
    <col min="14105" max="14105" width="6" style="1" customWidth="1"/>
    <col min="14106" max="14107" width="5.5" style="1" customWidth="1"/>
    <col min="14108" max="14108" width="7.6640625" style="1" customWidth="1"/>
    <col min="14109" max="14113" width="4.5" style="1" customWidth="1"/>
    <col min="14114" max="14114" width="6.5" style="1" customWidth="1"/>
    <col min="14115" max="14119" width="5.5" style="1" customWidth="1"/>
    <col min="14120" max="14336" width="11.5" style="1"/>
    <col min="14337" max="14338" width="2.83203125" style="1" customWidth="1"/>
    <col min="14339" max="14339" width="1.83203125" style="1" customWidth="1"/>
    <col min="14340" max="14340" width="1.5" style="1" customWidth="1"/>
    <col min="14341" max="14341" width="3.83203125" style="1" customWidth="1"/>
    <col min="14342" max="14342" width="3.33203125" style="1" customWidth="1"/>
    <col min="14343" max="14343" width="5.6640625" style="1" customWidth="1"/>
    <col min="14344" max="14344" width="7.33203125" style="1" customWidth="1"/>
    <col min="14345" max="14346" width="7.5" style="1" customWidth="1"/>
    <col min="14347" max="14347" width="26.83203125" style="1" customWidth="1"/>
    <col min="14348" max="14348" width="7.6640625" style="1" customWidth="1"/>
    <col min="14349" max="14349" width="0.83203125" style="1" customWidth="1"/>
    <col min="14350" max="14350" width="9" style="1" customWidth="1"/>
    <col min="14351" max="14351" width="1" style="1" customWidth="1"/>
    <col min="14352" max="14352" width="9" style="1" customWidth="1"/>
    <col min="14353" max="14353" width="6.5" style="1" customWidth="1"/>
    <col min="14354" max="14354" width="7" style="1" customWidth="1"/>
    <col min="14355" max="14355" width="1.33203125" style="1" customWidth="1"/>
    <col min="14356" max="14356" width="0.5" style="1" customWidth="1"/>
    <col min="14357" max="14357" width="6" style="1" customWidth="1"/>
    <col min="14358" max="14358" width="5.6640625" style="1" customWidth="1"/>
    <col min="14359" max="14359" width="6.33203125" style="1" customWidth="1"/>
    <col min="14360" max="14360" width="5.5" style="1" customWidth="1"/>
    <col min="14361" max="14361" width="6" style="1" customWidth="1"/>
    <col min="14362" max="14363" width="5.5" style="1" customWidth="1"/>
    <col min="14364" max="14364" width="7.6640625" style="1" customWidth="1"/>
    <col min="14365" max="14369" width="4.5" style="1" customWidth="1"/>
    <col min="14370" max="14370" width="6.5" style="1" customWidth="1"/>
    <col min="14371" max="14375" width="5.5" style="1" customWidth="1"/>
    <col min="14376" max="14592" width="11.5" style="1"/>
    <col min="14593" max="14594" width="2.83203125" style="1" customWidth="1"/>
    <col min="14595" max="14595" width="1.83203125" style="1" customWidth="1"/>
    <col min="14596" max="14596" width="1.5" style="1" customWidth="1"/>
    <col min="14597" max="14597" width="3.83203125" style="1" customWidth="1"/>
    <col min="14598" max="14598" width="3.33203125" style="1" customWidth="1"/>
    <col min="14599" max="14599" width="5.6640625" style="1" customWidth="1"/>
    <col min="14600" max="14600" width="7.33203125" style="1" customWidth="1"/>
    <col min="14601" max="14602" width="7.5" style="1" customWidth="1"/>
    <col min="14603" max="14603" width="26.83203125" style="1" customWidth="1"/>
    <col min="14604" max="14604" width="7.6640625" style="1" customWidth="1"/>
    <col min="14605" max="14605" width="0.83203125" style="1" customWidth="1"/>
    <col min="14606" max="14606" width="9" style="1" customWidth="1"/>
    <col min="14607" max="14607" width="1" style="1" customWidth="1"/>
    <col min="14608" max="14608" width="9" style="1" customWidth="1"/>
    <col min="14609" max="14609" width="6.5" style="1" customWidth="1"/>
    <col min="14610" max="14610" width="7" style="1" customWidth="1"/>
    <col min="14611" max="14611" width="1.33203125" style="1" customWidth="1"/>
    <col min="14612" max="14612" width="0.5" style="1" customWidth="1"/>
    <col min="14613" max="14613" width="6" style="1" customWidth="1"/>
    <col min="14614" max="14614" width="5.6640625" style="1" customWidth="1"/>
    <col min="14615" max="14615" width="6.33203125" style="1" customWidth="1"/>
    <col min="14616" max="14616" width="5.5" style="1" customWidth="1"/>
    <col min="14617" max="14617" width="6" style="1" customWidth="1"/>
    <col min="14618" max="14619" width="5.5" style="1" customWidth="1"/>
    <col min="14620" max="14620" width="7.6640625" style="1" customWidth="1"/>
    <col min="14621" max="14625" width="4.5" style="1" customWidth="1"/>
    <col min="14626" max="14626" width="6.5" style="1" customWidth="1"/>
    <col min="14627" max="14631" width="5.5" style="1" customWidth="1"/>
    <col min="14632" max="14848" width="11.5" style="1"/>
    <col min="14849" max="14850" width="2.83203125" style="1" customWidth="1"/>
    <col min="14851" max="14851" width="1.83203125" style="1" customWidth="1"/>
    <col min="14852" max="14852" width="1.5" style="1" customWidth="1"/>
    <col min="14853" max="14853" width="3.83203125" style="1" customWidth="1"/>
    <col min="14854" max="14854" width="3.33203125" style="1" customWidth="1"/>
    <col min="14855" max="14855" width="5.6640625" style="1" customWidth="1"/>
    <col min="14856" max="14856" width="7.33203125" style="1" customWidth="1"/>
    <col min="14857" max="14858" width="7.5" style="1" customWidth="1"/>
    <col min="14859" max="14859" width="26.83203125" style="1" customWidth="1"/>
    <col min="14860" max="14860" width="7.6640625" style="1" customWidth="1"/>
    <col min="14861" max="14861" width="0.83203125" style="1" customWidth="1"/>
    <col min="14862" max="14862" width="9" style="1" customWidth="1"/>
    <col min="14863" max="14863" width="1" style="1" customWidth="1"/>
    <col min="14864" max="14864" width="9" style="1" customWidth="1"/>
    <col min="14865" max="14865" width="6.5" style="1" customWidth="1"/>
    <col min="14866" max="14866" width="7" style="1" customWidth="1"/>
    <col min="14867" max="14867" width="1.33203125" style="1" customWidth="1"/>
    <col min="14868" max="14868" width="0.5" style="1" customWidth="1"/>
    <col min="14869" max="14869" width="6" style="1" customWidth="1"/>
    <col min="14870" max="14870" width="5.6640625" style="1" customWidth="1"/>
    <col min="14871" max="14871" width="6.33203125" style="1" customWidth="1"/>
    <col min="14872" max="14872" width="5.5" style="1" customWidth="1"/>
    <col min="14873" max="14873" width="6" style="1" customWidth="1"/>
    <col min="14874" max="14875" width="5.5" style="1" customWidth="1"/>
    <col min="14876" max="14876" width="7.6640625" style="1" customWidth="1"/>
    <col min="14877" max="14881" width="4.5" style="1" customWidth="1"/>
    <col min="14882" max="14882" width="6.5" style="1" customWidth="1"/>
    <col min="14883" max="14887" width="5.5" style="1" customWidth="1"/>
    <col min="14888" max="15104" width="11.5" style="1"/>
    <col min="15105" max="15106" width="2.83203125" style="1" customWidth="1"/>
    <col min="15107" max="15107" width="1.83203125" style="1" customWidth="1"/>
    <col min="15108" max="15108" width="1.5" style="1" customWidth="1"/>
    <col min="15109" max="15109" width="3.83203125" style="1" customWidth="1"/>
    <col min="15110" max="15110" width="3.33203125" style="1" customWidth="1"/>
    <col min="15111" max="15111" width="5.6640625" style="1" customWidth="1"/>
    <col min="15112" max="15112" width="7.33203125" style="1" customWidth="1"/>
    <col min="15113" max="15114" width="7.5" style="1" customWidth="1"/>
    <col min="15115" max="15115" width="26.83203125" style="1" customWidth="1"/>
    <col min="15116" max="15116" width="7.6640625" style="1" customWidth="1"/>
    <col min="15117" max="15117" width="0.83203125" style="1" customWidth="1"/>
    <col min="15118" max="15118" width="9" style="1" customWidth="1"/>
    <col min="15119" max="15119" width="1" style="1" customWidth="1"/>
    <col min="15120" max="15120" width="9" style="1" customWidth="1"/>
    <col min="15121" max="15121" width="6.5" style="1" customWidth="1"/>
    <col min="15122" max="15122" width="7" style="1" customWidth="1"/>
    <col min="15123" max="15123" width="1.33203125" style="1" customWidth="1"/>
    <col min="15124" max="15124" width="0.5" style="1" customWidth="1"/>
    <col min="15125" max="15125" width="6" style="1" customWidth="1"/>
    <col min="15126" max="15126" width="5.6640625" style="1" customWidth="1"/>
    <col min="15127" max="15127" width="6.33203125" style="1" customWidth="1"/>
    <col min="15128" max="15128" width="5.5" style="1" customWidth="1"/>
    <col min="15129" max="15129" width="6" style="1" customWidth="1"/>
    <col min="15130" max="15131" width="5.5" style="1" customWidth="1"/>
    <col min="15132" max="15132" width="7.6640625" style="1" customWidth="1"/>
    <col min="15133" max="15137" width="4.5" style="1" customWidth="1"/>
    <col min="15138" max="15138" width="6.5" style="1" customWidth="1"/>
    <col min="15139" max="15143" width="5.5" style="1" customWidth="1"/>
    <col min="15144" max="15360" width="11.5" style="1"/>
    <col min="15361" max="15362" width="2.83203125" style="1" customWidth="1"/>
    <col min="15363" max="15363" width="1.83203125" style="1" customWidth="1"/>
    <col min="15364" max="15364" width="1.5" style="1" customWidth="1"/>
    <col min="15365" max="15365" width="3.83203125" style="1" customWidth="1"/>
    <col min="15366" max="15366" width="3.33203125" style="1" customWidth="1"/>
    <col min="15367" max="15367" width="5.6640625" style="1" customWidth="1"/>
    <col min="15368" max="15368" width="7.33203125" style="1" customWidth="1"/>
    <col min="15369" max="15370" width="7.5" style="1" customWidth="1"/>
    <col min="15371" max="15371" width="26.83203125" style="1" customWidth="1"/>
    <col min="15372" max="15372" width="7.6640625" style="1" customWidth="1"/>
    <col min="15373" max="15373" width="0.83203125" style="1" customWidth="1"/>
    <col min="15374" max="15374" width="9" style="1" customWidth="1"/>
    <col min="15375" max="15375" width="1" style="1" customWidth="1"/>
    <col min="15376" max="15376" width="9" style="1" customWidth="1"/>
    <col min="15377" max="15377" width="6.5" style="1" customWidth="1"/>
    <col min="15378" max="15378" width="7" style="1" customWidth="1"/>
    <col min="15379" max="15379" width="1.33203125" style="1" customWidth="1"/>
    <col min="15380" max="15380" width="0.5" style="1" customWidth="1"/>
    <col min="15381" max="15381" width="6" style="1" customWidth="1"/>
    <col min="15382" max="15382" width="5.6640625" style="1" customWidth="1"/>
    <col min="15383" max="15383" width="6.33203125" style="1" customWidth="1"/>
    <col min="15384" max="15384" width="5.5" style="1" customWidth="1"/>
    <col min="15385" max="15385" width="6" style="1" customWidth="1"/>
    <col min="15386" max="15387" width="5.5" style="1" customWidth="1"/>
    <col min="15388" max="15388" width="7.6640625" style="1" customWidth="1"/>
    <col min="15389" max="15393" width="4.5" style="1" customWidth="1"/>
    <col min="15394" max="15394" width="6.5" style="1" customWidth="1"/>
    <col min="15395" max="15399" width="5.5" style="1" customWidth="1"/>
    <col min="15400" max="15616" width="11.5" style="1"/>
    <col min="15617" max="15618" width="2.83203125" style="1" customWidth="1"/>
    <col min="15619" max="15619" width="1.83203125" style="1" customWidth="1"/>
    <col min="15620" max="15620" width="1.5" style="1" customWidth="1"/>
    <col min="15621" max="15621" width="3.83203125" style="1" customWidth="1"/>
    <col min="15622" max="15622" width="3.33203125" style="1" customWidth="1"/>
    <col min="15623" max="15623" width="5.6640625" style="1" customWidth="1"/>
    <col min="15624" max="15624" width="7.33203125" style="1" customWidth="1"/>
    <col min="15625" max="15626" width="7.5" style="1" customWidth="1"/>
    <col min="15627" max="15627" width="26.83203125" style="1" customWidth="1"/>
    <col min="15628" max="15628" width="7.6640625" style="1" customWidth="1"/>
    <col min="15629" max="15629" width="0.83203125" style="1" customWidth="1"/>
    <col min="15630" max="15630" width="9" style="1" customWidth="1"/>
    <col min="15631" max="15631" width="1" style="1" customWidth="1"/>
    <col min="15632" max="15632" width="9" style="1" customWidth="1"/>
    <col min="15633" max="15633" width="6.5" style="1" customWidth="1"/>
    <col min="15634" max="15634" width="7" style="1" customWidth="1"/>
    <col min="15635" max="15635" width="1.33203125" style="1" customWidth="1"/>
    <col min="15636" max="15636" width="0.5" style="1" customWidth="1"/>
    <col min="15637" max="15637" width="6" style="1" customWidth="1"/>
    <col min="15638" max="15638" width="5.6640625" style="1" customWidth="1"/>
    <col min="15639" max="15639" width="6.33203125" style="1" customWidth="1"/>
    <col min="15640" max="15640" width="5.5" style="1" customWidth="1"/>
    <col min="15641" max="15641" width="6" style="1" customWidth="1"/>
    <col min="15642" max="15643" width="5.5" style="1" customWidth="1"/>
    <col min="15644" max="15644" width="7.6640625" style="1" customWidth="1"/>
    <col min="15645" max="15649" width="4.5" style="1" customWidth="1"/>
    <col min="15650" max="15650" width="6.5" style="1" customWidth="1"/>
    <col min="15651" max="15655" width="5.5" style="1" customWidth="1"/>
    <col min="15656" max="15872" width="11.5" style="1"/>
    <col min="15873" max="15874" width="2.83203125" style="1" customWidth="1"/>
    <col min="15875" max="15875" width="1.83203125" style="1" customWidth="1"/>
    <col min="15876" max="15876" width="1.5" style="1" customWidth="1"/>
    <col min="15877" max="15877" width="3.83203125" style="1" customWidth="1"/>
    <col min="15878" max="15878" width="3.33203125" style="1" customWidth="1"/>
    <col min="15879" max="15879" width="5.6640625" style="1" customWidth="1"/>
    <col min="15880" max="15880" width="7.33203125" style="1" customWidth="1"/>
    <col min="15881" max="15882" width="7.5" style="1" customWidth="1"/>
    <col min="15883" max="15883" width="26.83203125" style="1" customWidth="1"/>
    <col min="15884" max="15884" width="7.6640625" style="1" customWidth="1"/>
    <col min="15885" max="15885" width="0.83203125" style="1" customWidth="1"/>
    <col min="15886" max="15886" width="9" style="1" customWidth="1"/>
    <col min="15887" max="15887" width="1" style="1" customWidth="1"/>
    <col min="15888" max="15888" width="9" style="1" customWidth="1"/>
    <col min="15889" max="15889" width="6.5" style="1" customWidth="1"/>
    <col min="15890" max="15890" width="7" style="1" customWidth="1"/>
    <col min="15891" max="15891" width="1.33203125" style="1" customWidth="1"/>
    <col min="15892" max="15892" width="0.5" style="1" customWidth="1"/>
    <col min="15893" max="15893" width="6" style="1" customWidth="1"/>
    <col min="15894" max="15894" width="5.6640625" style="1" customWidth="1"/>
    <col min="15895" max="15895" width="6.33203125" style="1" customWidth="1"/>
    <col min="15896" max="15896" width="5.5" style="1" customWidth="1"/>
    <col min="15897" max="15897" width="6" style="1" customWidth="1"/>
    <col min="15898" max="15899" width="5.5" style="1" customWidth="1"/>
    <col min="15900" max="15900" width="7.6640625" style="1" customWidth="1"/>
    <col min="15901" max="15905" width="4.5" style="1" customWidth="1"/>
    <col min="15906" max="15906" width="6.5" style="1" customWidth="1"/>
    <col min="15907" max="15911" width="5.5" style="1" customWidth="1"/>
    <col min="15912" max="16128" width="11.5" style="1"/>
    <col min="16129" max="16130" width="2.83203125" style="1" customWidth="1"/>
    <col min="16131" max="16131" width="1.83203125" style="1" customWidth="1"/>
    <col min="16132" max="16132" width="1.5" style="1" customWidth="1"/>
    <col min="16133" max="16133" width="3.83203125" style="1" customWidth="1"/>
    <col min="16134" max="16134" width="3.33203125" style="1" customWidth="1"/>
    <col min="16135" max="16135" width="5.6640625" style="1" customWidth="1"/>
    <col min="16136" max="16136" width="7.33203125" style="1" customWidth="1"/>
    <col min="16137" max="16138" width="7.5" style="1" customWidth="1"/>
    <col min="16139" max="16139" width="26.83203125" style="1" customWidth="1"/>
    <col min="16140" max="16140" width="7.6640625" style="1" customWidth="1"/>
    <col min="16141" max="16141" width="0.83203125" style="1" customWidth="1"/>
    <col min="16142" max="16142" width="9" style="1" customWidth="1"/>
    <col min="16143" max="16143" width="1" style="1" customWidth="1"/>
    <col min="16144" max="16144" width="9" style="1" customWidth="1"/>
    <col min="16145" max="16145" width="6.5" style="1" customWidth="1"/>
    <col min="16146" max="16146" width="7" style="1" customWidth="1"/>
    <col min="16147" max="16147" width="1.33203125" style="1" customWidth="1"/>
    <col min="16148" max="16148" width="0.5" style="1" customWidth="1"/>
    <col min="16149" max="16149" width="6" style="1" customWidth="1"/>
    <col min="16150" max="16150" width="5.6640625" style="1" customWidth="1"/>
    <col min="16151" max="16151" width="6.33203125" style="1" customWidth="1"/>
    <col min="16152" max="16152" width="5.5" style="1" customWidth="1"/>
    <col min="16153" max="16153" width="6" style="1" customWidth="1"/>
    <col min="16154" max="16155" width="5.5" style="1" customWidth="1"/>
    <col min="16156" max="16156" width="7.6640625" style="1" customWidth="1"/>
    <col min="16157" max="16161" width="4.5" style="1" customWidth="1"/>
    <col min="16162" max="16162" width="6.5" style="1" customWidth="1"/>
    <col min="16163" max="16167" width="5.5" style="1" customWidth="1"/>
    <col min="16168" max="16384" width="11.5" style="1"/>
  </cols>
  <sheetData>
    <row r="1" spans="1:40" ht="14.25" customHeight="1">
      <c r="B1" s="1"/>
      <c r="C1" s="2816"/>
      <c r="D1" s="3081"/>
      <c r="E1" s="2817"/>
      <c r="F1" s="780"/>
      <c r="V1" s="2824"/>
      <c r="AI1" s="2825"/>
      <c r="AJ1" s="2825"/>
      <c r="AK1" s="2825"/>
      <c r="AL1" s="2825"/>
      <c r="AM1" s="2825"/>
    </row>
    <row r="2" spans="1:40" ht="17.25" customHeight="1" thickBot="1">
      <c r="A2" s="3080" t="s">
        <v>344</v>
      </c>
      <c r="F2" s="527"/>
      <c r="G2" s="155"/>
      <c r="H2" s="155"/>
      <c r="I2" s="155"/>
      <c r="J2" s="3083"/>
      <c r="K2" s="583">
        <v>45306</v>
      </c>
      <c r="L2" s="583"/>
      <c r="U2" s="2827" t="s">
        <v>345</v>
      </c>
      <c r="AI2" s="2825"/>
      <c r="AJ2" s="2825"/>
      <c r="AK2" s="2825"/>
      <c r="AL2" s="2825"/>
      <c r="AM2" s="2825"/>
    </row>
    <row r="3" spans="1:40" s="2839" customFormat="1" ht="71.25" customHeight="1" thickTop="1" thickBot="1">
      <c r="A3" s="7271" t="s">
        <v>346</v>
      </c>
      <c r="B3" s="7272" t="s">
        <v>347</v>
      </c>
      <c r="C3" s="7273" t="s">
        <v>348</v>
      </c>
      <c r="D3" s="7274"/>
      <c r="E3" s="7275" t="s">
        <v>349</v>
      </c>
      <c r="F3" s="7276" t="s">
        <v>350</v>
      </c>
      <c r="G3" s="7277" t="s">
        <v>351</v>
      </c>
      <c r="H3" s="7277" t="s">
        <v>624</v>
      </c>
      <c r="I3" s="7277" t="s">
        <v>352</v>
      </c>
      <c r="J3" s="7276" t="s">
        <v>353</v>
      </c>
      <c r="K3" s="7277" t="s">
        <v>354</v>
      </c>
      <c r="L3" s="7277" t="s">
        <v>1980</v>
      </c>
      <c r="M3" s="7278" t="s">
        <v>355</v>
      </c>
      <c r="N3" s="7277" t="s">
        <v>445</v>
      </c>
      <c r="O3" s="7273" t="s">
        <v>446</v>
      </c>
      <c r="P3" s="7273" t="s">
        <v>447</v>
      </c>
      <c r="Q3" s="7279" t="s">
        <v>448</v>
      </c>
      <c r="R3" s="7280" t="s">
        <v>371</v>
      </c>
      <c r="S3" s="7281" t="s">
        <v>449</v>
      </c>
      <c r="T3" s="7281" t="s">
        <v>450</v>
      </c>
      <c r="U3" s="7282" t="s">
        <v>451</v>
      </c>
      <c r="V3" s="7283" t="s">
        <v>452</v>
      </c>
      <c r="W3" s="7284" t="s">
        <v>453</v>
      </c>
      <c r="X3" s="7285" t="s">
        <v>454</v>
      </c>
      <c r="Y3" s="7286" t="s">
        <v>455</v>
      </c>
      <c r="Z3" s="7287" t="s">
        <v>456</v>
      </c>
      <c r="AA3" s="7288" t="s">
        <v>457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2839" customFormat="1" ht="11.25" customHeight="1" thickBot="1">
      <c r="A4" s="3093"/>
      <c r="B4" s="3912"/>
      <c r="C4" s="3913"/>
      <c r="D4" s="3914"/>
      <c r="E4" s="4693"/>
      <c r="F4" s="3915"/>
      <c r="G4" s="3913"/>
      <c r="H4" s="3913"/>
      <c r="I4" s="3913"/>
      <c r="J4" s="3915"/>
      <c r="K4" s="3913"/>
      <c r="L4" s="3913"/>
      <c r="M4" s="3916"/>
      <c r="N4" s="3913"/>
      <c r="O4" s="3913"/>
      <c r="P4" s="3913"/>
      <c r="Q4" s="3917"/>
      <c r="R4" s="3918"/>
      <c r="S4" s="3919"/>
      <c r="T4" s="3919"/>
      <c r="U4" s="7289">
        <f>[5]Test!$D$29</f>
        <v>1.1476801181942312E-3</v>
      </c>
      <c r="V4" s="7289">
        <f>[5]Test!$D$31</f>
        <v>1.0989154663923184E-3</v>
      </c>
      <c r="W4" s="7289">
        <f>[5]Test!$D$33</f>
        <v>1.0644781416840239E-3</v>
      </c>
      <c r="X4" s="7289">
        <f>[5]Test!$D$35</f>
        <v>1.0155971394365481E-3</v>
      </c>
      <c r="Y4" s="7289">
        <f>[5]Test!$D$37</f>
        <v>9.4970225802010189E-4</v>
      </c>
      <c r="Z4" s="7289">
        <f>[5]Test!$D$39</f>
        <v>9.1435185185185185E-4</v>
      </c>
      <c r="AA4" s="7290">
        <f>[5]Test!$D$41</f>
        <v>8.8692129629629624E-4</v>
      </c>
      <c r="AB4" s="2836"/>
      <c r="AC4" s="2837"/>
      <c r="AD4" s="2838"/>
      <c r="AE4" s="2838"/>
      <c r="AF4" s="2838"/>
      <c r="AG4" s="2838"/>
      <c r="AH4" s="2838"/>
      <c r="AI4" s="2836"/>
      <c r="AJ4" s="2836"/>
      <c r="AK4" s="2836"/>
      <c r="AL4" s="2836"/>
      <c r="AM4" s="2836"/>
      <c r="AN4" s="2836"/>
    </row>
    <row r="5" spans="1:40" s="63" customFormat="1" ht="6.75" customHeight="1" thickBot="1">
      <c r="A5" s="3101"/>
      <c r="B5" s="3923"/>
      <c r="C5" s="4696"/>
      <c r="D5" s="4697"/>
      <c r="E5" s="4696"/>
      <c r="F5" s="4698"/>
      <c r="G5" s="4699"/>
      <c r="H5" s="4699"/>
      <c r="I5" s="4699"/>
      <c r="J5" s="4698"/>
      <c r="K5" s="4699"/>
      <c r="L5" s="4699"/>
      <c r="M5" s="4700"/>
      <c r="N5" s="4701"/>
      <c r="O5" s="4696"/>
      <c r="P5" s="4696"/>
      <c r="Q5" s="4696"/>
      <c r="R5" s="4702"/>
      <c r="S5" s="2842"/>
      <c r="T5" s="2842"/>
      <c r="U5" s="7289">
        <f>U4/4</f>
        <v>2.869200295485578E-4</v>
      </c>
      <c r="V5" s="7289">
        <f t="shared" ref="V5:AA5" si="0">V4/4</f>
        <v>2.7472886659807961E-4</v>
      </c>
      <c r="W5" s="7289">
        <f t="shared" si="0"/>
        <v>2.6611953542100597E-4</v>
      </c>
      <c r="X5" s="7289">
        <f t="shared" si="0"/>
        <v>2.5389928485913701E-4</v>
      </c>
      <c r="Y5" s="7289">
        <f t="shared" si="0"/>
        <v>2.3742556450502547E-4</v>
      </c>
      <c r="Z5" s="7289">
        <f t="shared" si="0"/>
        <v>2.2858796296296296E-4</v>
      </c>
      <c r="AA5" s="7289">
        <f t="shared" si="0"/>
        <v>2.2173032407407406E-4</v>
      </c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ht="14" thickTop="1">
      <c r="A6" s="7291" t="s">
        <v>214</v>
      </c>
      <c r="B6" s="2184" t="s">
        <v>461</v>
      </c>
      <c r="C6" s="5770">
        <f>IF(D6=1,U$5,IF(D6=2,V$5,IF(D6=3,W$5,IF(D6=4,X$5,IF(D6=5,Y$5,IF(D6=6,Z$5,IF(D6=7,AA$5,0)))))))</f>
        <v>2.869200295485578E-4</v>
      </c>
      <c r="D6" s="5786">
        <v>1</v>
      </c>
      <c r="E6" s="5787">
        <v>1</v>
      </c>
      <c r="F6" s="5787">
        <v>1</v>
      </c>
      <c r="G6" s="5787">
        <v>800</v>
      </c>
      <c r="H6" s="5788" t="s">
        <v>2504</v>
      </c>
      <c r="I6" s="5788">
        <v>0</v>
      </c>
      <c r="J6" s="5788">
        <v>1.1574074074074073E-4</v>
      </c>
      <c r="K6" s="5789" t="s">
        <v>374</v>
      </c>
      <c r="L6" s="7293">
        <v>0.79861111111111116</v>
      </c>
      <c r="M6" s="7294">
        <v>1.2</v>
      </c>
      <c r="N6" s="5788">
        <f>P6*E6*F6+I6*E6*F6+J6*E6</f>
        <v>1.1133469875405359E-2</v>
      </c>
      <c r="O6" s="6405">
        <f>C6*32</f>
        <v>9.1814409455538495E-3</v>
      </c>
      <c r="P6" s="6405">
        <f>O6*M6</f>
        <v>1.1017729134664618E-2</v>
      </c>
      <c r="Q6" s="5792">
        <v>129</v>
      </c>
      <c r="R6" s="6406">
        <f>E6*F6*G6</f>
        <v>800</v>
      </c>
      <c r="S6" s="2844">
        <f>E6*F6*G6/1000</f>
        <v>0.8</v>
      </c>
      <c r="T6" s="2845">
        <f>E6*F6*O6*4</f>
        <v>3.6725763782215398E-2</v>
      </c>
      <c r="U6" s="374">
        <f>IF(C6*4&gt;=$U$4,S6,0)</f>
        <v>0.8</v>
      </c>
      <c r="V6" s="2846">
        <f>IF(AND(C6*4&gt;=$V$4,C6*4&lt;$U$4),S6,0)</f>
        <v>0</v>
      </c>
      <c r="W6" s="2847">
        <f>IF(AND(C6*4&gt;=$W$4,C6*4&lt;$V$4),S6,0)</f>
        <v>0</v>
      </c>
      <c r="X6" s="2848">
        <f>IF(AND(C6*4&gt;=$X$4,C6*4&lt;$W$4),S6,0)</f>
        <v>0</v>
      </c>
      <c r="Y6" s="2849">
        <f>IF(AND(C6*4&gt;=$Y$4,C6*4&lt;$X$4),S6,0)</f>
        <v>0</v>
      </c>
      <c r="Z6" s="2850">
        <f>IF(AND(C6*4&gt;=$Z$4,C6*4&lt;$Y$4),S6,0)</f>
        <v>0</v>
      </c>
      <c r="AA6" s="2851">
        <f>IF(AND(C6*4&gt;=$AA$4,C6*4&lt;$Z$4),S6,0)</f>
        <v>0</v>
      </c>
      <c r="AC6" s="2867"/>
      <c r="AD6" s="2867"/>
      <c r="AE6" s="2867"/>
      <c r="AF6" s="2867"/>
      <c r="AG6" s="2867"/>
      <c r="AH6" s="2867"/>
      <c r="AI6" s="2825"/>
      <c r="AJ6" s="2825"/>
      <c r="AK6" s="2825"/>
      <c r="AL6" s="2825"/>
      <c r="AM6" s="2825"/>
    </row>
    <row r="7" spans="1:40">
      <c r="A7" s="2183" t="s">
        <v>459</v>
      </c>
      <c r="B7" s="2184" t="s">
        <v>461</v>
      </c>
      <c r="C7" s="5770">
        <f t="shared" ref="C7:C13" si="1">IF(D7=1,U$5,IF(D7=2,V$5,IF(D7=3,W$5,IF(D7=4,X$5,IF(D7=5,Y$5,IF(D7=6,Z$5,IF(D7=7,AA$5,0)))))))</f>
        <v>2.6611953542100597E-4</v>
      </c>
      <c r="D7" s="5786">
        <v>3</v>
      </c>
      <c r="E7" s="5799">
        <v>1</v>
      </c>
      <c r="F7" s="5799">
        <v>4</v>
      </c>
      <c r="G7" s="5799">
        <v>200</v>
      </c>
      <c r="H7" s="5788" t="s">
        <v>2504</v>
      </c>
      <c r="I7" s="5800">
        <v>3.4722222222222224E-4</v>
      </c>
      <c r="J7" s="5800">
        <v>1.3888888888888889E-3</v>
      </c>
      <c r="K7" s="5880" t="s">
        <v>2482</v>
      </c>
      <c r="L7" s="5801">
        <f>L6+N6</f>
        <v>0.80974458098651647</v>
      </c>
      <c r="M7" s="7295">
        <v>1.2</v>
      </c>
      <c r="N7" s="5800">
        <f>P7*E7*F7+I7*E7*F7+J7*E7</f>
        <v>1.3405527544351072E-2</v>
      </c>
      <c r="O7" s="7296">
        <f>C7*8*1.04</f>
        <v>2.2141145347027696E-3</v>
      </c>
      <c r="P7" s="7296">
        <f>O7*M7</f>
        <v>2.6569374416433233E-3</v>
      </c>
      <c r="Q7" s="5860">
        <v>165</v>
      </c>
      <c r="R7" s="7297">
        <f>E7*F7*G7</f>
        <v>800</v>
      </c>
      <c r="S7" s="2844">
        <f t="shared" ref="S7:S19" si="2">E7*F7*G7/1000</f>
        <v>0.8</v>
      </c>
      <c r="T7" s="2845">
        <f t="shared" ref="T7:T19" si="3">E7*F7*O7*4</f>
        <v>3.5425832555244313E-2</v>
      </c>
      <c r="U7" s="374">
        <f t="shared" ref="U7:U19" si="4">IF(C7*4&gt;=$U$4,S7,0)</f>
        <v>0</v>
      </c>
      <c r="V7" s="2846">
        <f t="shared" ref="V7:V19" si="5">IF(AND(C7*4&gt;=$V$4,C7*4&lt;$U$4),S7,0)</f>
        <v>0</v>
      </c>
      <c r="W7" s="2847">
        <f t="shared" ref="W7:W19" si="6">IF(AND(C7*4&gt;=$W$4,C7*4&lt;$V$4),S7,0)</f>
        <v>0.8</v>
      </c>
      <c r="X7" s="2848">
        <f t="shared" ref="X7:X19" si="7">IF(AND(C7*4&gt;=$X$4,C7*4&lt;$W$4),S7,0)</f>
        <v>0</v>
      </c>
      <c r="Y7" s="2849">
        <f t="shared" ref="Y7:Y19" si="8">IF(AND(C7*4&gt;=$Y$4,C7*4&lt;$X$4),S7,0)</f>
        <v>0</v>
      </c>
      <c r="Z7" s="2850">
        <f t="shared" ref="Z7:Z19" si="9">IF(AND(C7*4&gt;=$Z$4,C7*4&lt;$Y$4),S7,0)</f>
        <v>0</v>
      </c>
      <c r="AA7" s="2851">
        <f t="shared" ref="AA7:AA19" si="10">IF(AND(C7*4&gt;=$AA$4,C7*4&lt;$Z$4),S7,0)</f>
        <v>0</v>
      </c>
      <c r="AC7" s="2867"/>
      <c r="AD7" s="2867"/>
      <c r="AE7" s="2867"/>
      <c r="AF7" s="2867"/>
      <c r="AG7" s="2867"/>
      <c r="AH7" s="2867"/>
      <c r="AI7" s="2825"/>
      <c r="AJ7" s="2825"/>
      <c r="AK7" s="2825"/>
      <c r="AL7" s="2825"/>
      <c r="AM7" s="2825"/>
    </row>
    <row r="8" spans="1:40">
      <c r="A8" s="2183" t="s">
        <v>460</v>
      </c>
      <c r="B8" s="2184" t="s">
        <v>461</v>
      </c>
      <c r="C8" s="7385">
        <f t="shared" si="1"/>
        <v>2.5389928485913701E-4</v>
      </c>
      <c r="D8" s="892">
        <v>4</v>
      </c>
      <c r="E8" s="303">
        <v>1</v>
      </c>
      <c r="F8" s="303">
        <v>1</v>
      </c>
      <c r="G8" s="303">
        <v>400</v>
      </c>
      <c r="H8" s="2432" t="s">
        <v>2497</v>
      </c>
      <c r="I8" s="304">
        <v>0</v>
      </c>
      <c r="J8" s="304">
        <v>1.3888888888888889E-3</v>
      </c>
      <c r="K8" s="316" t="s">
        <v>269</v>
      </c>
      <c r="L8" s="304">
        <v>0.80208333333333337</v>
      </c>
      <c r="M8" s="7386">
        <v>1</v>
      </c>
      <c r="N8" s="304">
        <f t="shared" ref="N8:N9" si="11">P8*E8*F8+I8*E8*F8+J8*E8</f>
        <v>5.4512774466350814E-3</v>
      </c>
      <c r="O8" s="7390">
        <f t="shared" ref="O8" si="12">C8*(G8/25)</f>
        <v>4.0623885577461922E-3</v>
      </c>
      <c r="P8" s="297">
        <f t="shared" ref="P8:P13" si="13">O8*M8</f>
        <v>4.0623885577461922E-3</v>
      </c>
      <c r="Q8" s="334">
        <v>147</v>
      </c>
      <c r="R8" s="303">
        <f t="shared" ref="R8:R11" si="14">E8*F8*G8</f>
        <v>400</v>
      </c>
      <c r="S8" s="2844">
        <f t="shared" si="2"/>
        <v>0.4</v>
      </c>
      <c r="T8" s="2845">
        <f t="shared" si="3"/>
        <v>1.6249554230984769E-2</v>
      </c>
      <c r="U8" s="374">
        <f t="shared" si="4"/>
        <v>0</v>
      </c>
      <c r="V8" s="2846">
        <f t="shared" si="5"/>
        <v>0</v>
      </c>
      <c r="W8" s="2847">
        <f t="shared" si="6"/>
        <v>0</v>
      </c>
      <c r="X8" s="2848">
        <f t="shared" si="7"/>
        <v>0.4</v>
      </c>
      <c r="Y8" s="2849">
        <f t="shared" si="8"/>
        <v>0</v>
      </c>
      <c r="Z8" s="2850">
        <f t="shared" si="9"/>
        <v>0</v>
      </c>
      <c r="AA8" s="2851">
        <f t="shared" si="10"/>
        <v>0</v>
      </c>
      <c r="AC8" s="2867"/>
      <c r="AD8" s="2867"/>
      <c r="AE8" s="2867"/>
      <c r="AF8" s="2867"/>
      <c r="AG8" s="2867"/>
      <c r="AH8" s="2867"/>
      <c r="AI8" s="2825"/>
      <c r="AJ8" s="2825"/>
      <c r="AK8" s="2825"/>
      <c r="AL8" s="2825"/>
      <c r="AM8" s="2825"/>
    </row>
    <row r="9" spans="1:40">
      <c r="A9" s="2183" t="s">
        <v>458</v>
      </c>
      <c r="B9" s="2184" t="s">
        <v>461</v>
      </c>
      <c r="C9" s="7385">
        <f t="shared" si="1"/>
        <v>2.2858796296296296E-4</v>
      </c>
      <c r="D9" s="4558">
        <v>6</v>
      </c>
      <c r="E9" s="4559">
        <v>2</v>
      </c>
      <c r="F9" s="4559">
        <v>5</v>
      </c>
      <c r="G9" s="4559">
        <v>80</v>
      </c>
      <c r="H9" s="7399" t="s">
        <v>2498</v>
      </c>
      <c r="I9" s="4560">
        <v>2.8935185185185189E-4</v>
      </c>
      <c r="J9" s="4560">
        <v>2.0833333333333333E-3</v>
      </c>
      <c r="K9" s="4561" t="s">
        <v>1055</v>
      </c>
      <c r="L9" s="4560">
        <f t="shared" ref="L9:L13" si="15">L8+N8</f>
        <v>0.80753461077996846</v>
      </c>
      <c r="M9" s="7387">
        <v>1.05</v>
      </c>
      <c r="N9" s="4560">
        <f t="shared" si="11"/>
        <v>1.5047962962962964E-2</v>
      </c>
      <c r="O9" s="7391">
        <f>C9*(G9/25)*1.04</f>
        <v>7.6074074074074076E-4</v>
      </c>
      <c r="P9" s="4564">
        <f t="shared" si="13"/>
        <v>7.9877777777777781E-4</v>
      </c>
      <c r="Q9" s="4565">
        <v>177</v>
      </c>
      <c r="R9" s="4559">
        <f t="shared" si="14"/>
        <v>800</v>
      </c>
      <c r="S9" s="2844">
        <f t="shared" si="2"/>
        <v>0.8</v>
      </c>
      <c r="T9" s="2845">
        <f t="shared" si="3"/>
        <v>3.0429629629629629E-2</v>
      </c>
      <c r="U9" s="374">
        <f t="shared" si="4"/>
        <v>0</v>
      </c>
      <c r="V9" s="2846">
        <f t="shared" si="5"/>
        <v>0</v>
      </c>
      <c r="W9" s="2847">
        <f t="shared" si="6"/>
        <v>0</v>
      </c>
      <c r="X9" s="2848">
        <f t="shared" si="7"/>
        <v>0</v>
      </c>
      <c r="Y9" s="2849">
        <f t="shared" si="8"/>
        <v>0</v>
      </c>
      <c r="Z9" s="2850">
        <f t="shared" si="9"/>
        <v>0.8</v>
      </c>
      <c r="AA9" s="2851">
        <f t="shared" si="10"/>
        <v>0</v>
      </c>
      <c r="AC9" s="2867"/>
      <c r="AD9" s="2867"/>
      <c r="AE9" s="2867"/>
      <c r="AF9" s="2867"/>
      <c r="AG9" s="2867"/>
      <c r="AH9" s="2867"/>
      <c r="AI9" s="2825"/>
      <c r="AJ9" s="2825"/>
      <c r="AK9" s="2825"/>
      <c r="AL9" s="2825"/>
      <c r="AM9" s="2825"/>
    </row>
    <row r="10" spans="1:40">
      <c r="A10" s="2183" t="s">
        <v>219</v>
      </c>
      <c r="B10" s="2184" t="s">
        <v>461</v>
      </c>
      <c r="C10" s="7385">
        <f t="shared" si="1"/>
        <v>2.7472886659807961E-4</v>
      </c>
      <c r="D10" s="890">
        <v>2</v>
      </c>
      <c r="E10" s="300">
        <v>1</v>
      </c>
      <c r="F10" s="300">
        <v>8</v>
      </c>
      <c r="G10" s="300">
        <v>20</v>
      </c>
      <c r="H10" s="2431" t="s">
        <v>2496</v>
      </c>
      <c r="I10" s="301">
        <v>1.7361111111111112E-4</v>
      </c>
      <c r="J10" s="301">
        <v>1.3888888888888889E-3</v>
      </c>
      <c r="K10" s="1123" t="s">
        <v>1052</v>
      </c>
      <c r="L10" s="994">
        <f t="shared" si="15"/>
        <v>0.82258257374293142</v>
      </c>
      <c r="M10" s="7388">
        <v>1.2</v>
      </c>
      <c r="N10" s="301">
        <f>P10*E10*F10+I10*E10*F10+J10*E10</f>
        <v>4.8876954732510296E-3</v>
      </c>
      <c r="O10" s="7390">
        <f t="shared" ref="O10" si="16">C10*(G10/25)</f>
        <v>2.1978309327846371E-4</v>
      </c>
      <c r="P10" s="302">
        <f t="shared" si="13"/>
        <v>2.6373971193415646E-4</v>
      </c>
      <c r="Q10" s="550">
        <v>146</v>
      </c>
      <c r="R10" s="369">
        <f t="shared" si="14"/>
        <v>160</v>
      </c>
      <c r="S10" s="2844">
        <f t="shared" si="2"/>
        <v>0.16</v>
      </c>
      <c r="T10" s="2845">
        <f t="shared" si="3"/>
        <v>7.0330589849108387E-3</v>
      </c>
      <c r="U10" s="374">
        <f t="shared" si="4"/>
        <v>0</v>
      </c>
      <c r="V10" s="2846">
        <f t="shared" si="5"/>
        <v>0.16</v>
      </c>
      <c r="W10" s="2847">
        <f t="shared" si="6"/>
        <v>0</v>
      </c>
      <c r="X10" s="2848">
        <f t="shared" si="7"/>
        <v>0</v>
      </c>
      <c r="Y10" s="2849">
        <f t="shared" si="8"/>
        <v>0</v>
      </c>
      <c r="Z10" s="2850">
        <f t="shared" si="9"/>
        <v>0</v>
      </c>
      <c r="AA10" s="2851">
        <f t="shared" si="10"/>
        <v>0</v>
      </c>
      <c r="AC10" s="2867"/>
      <c r="AD10" s="2867"/>
      <c r="AE10" s="2867"/>
      <c r="AF10" s="2867"/>
      <c r="AG10" s="2867"/>
      <c r="AH10" s="2867"/>
      <c r="AI10" s="2825"/>
      <c r="AJ10" s="2825"/>
      <c r="AK10" s="2825"/>
      <c r="AL10" s="2825"/>
      <c r="AM10" s="2825"/>
    </row>
    <row r="11" spans="1:40">
      <c r="A11" s="2183"/>
      <c r="B11" s="2184" t="s">
        <v>461</v>
      </c>
      <c r="C11" s="7385">
        <f t="shared" si="1"/>
        <v>2.2858796296296296E-4</v>
      </c>
      <c r="D11" s="4558">
        <v>6</v>
      </c>
      <c r="E11" s="4559">
        <v>3</v>
      </c>
      <c r="F11" s="4559">
        <v>6</v>
      </c>
      <c r="G11" s="4559">
        <v>20</v>
      </c>
      <c r="H11" s="7399" t="s">
        <v>2499</v>
      </c>
      <c r="I11" s="4560">
        <v>2.3148148148148146E-4</v>
      </c>
      <c r="J11" s="4560">
        <v>2.0833333333333333E-3</v>
      </c>
      <c r="K11" s="4561" t="s">
        <v>2495</v>
      </c>
      <c r="L11" s="4560">
        <f t="shared" si="15"/>
        <v>0.8274702692161825</v>
      </c>
      <c r="M11" s="7387">
        <v>1.05</v>
      </c>
      <c r="N11" s="4560">
        <f t="shared" ref="N11" si="17">P11*E11*F11+I11*E11*F11+J11*E11</f>
        <v>1.3872916666666665E-2</v>
      </c>
      <c r="O11" s="7391">
        <f>C11*(G11/25)</f>
        <v>1.8287037037037038E-4</v>
      </c>
      <c r="P11" s="4564">
        <f t="shared" si="13"/>
        <v>1.9201388888888889E-4</v>
      </c>
      <c r="Q11" s="4565">
        <v>177</v>
      </c>
      <c r="R11" s="4559">
        <f t="shared" si="14"/>
        <v>360</v>
      </c>
      <c r="S11" s="2844">
        <f t="shared" si="2"/>
        <v>0.36</v>
      </c>
      <c r="T11" s="2845">
        <f t="shared" si="3"/>
        <v>1.3166666666666667E-2</v>
      </c>
      <c r="U11" s="374">
        <f t="shared" si="4"/>
        <v>0</v>
      </c>
      <c r="V11" s="2846">
        <f t="shared" si="5"/>
        <v>0</v>
      </c>
      <c r="W11" s="2847">
        <f t="shared" si="6"/>
        <v>0</v>
      </c>
      <c r="X11" s="2848">
        <f t="shared" si="7"/>
        <v>0</v>
      </c>
      <c r="Y11" s="2849">
        <f t="shared" si="8"/>
        <v>0</v>
      </c>
      <c r="Z11" s="2850">
        <f t="shared" si="9"/>
        <v>0.36</v>
      </c>
      <c r="AA11" s="2851">
        <f t="shared" si="10"/>
        <v>0</v>
      </c>
      <c r="AC11" s="2867"/>
      <c r="AD11" s="2867"/>
      <c r="AE11" s="2867"/>
      <c r="AF11" s="2867"/>
      <c r="AG11" s="2867"/>
      <c r="AH11" s="2867"/>
      <c r="AI11" s="2825"/>
      <c r="AJ11" s="2825"/>
      <c r="AK11" s="2825"/>
      <c r="AL11" s="2825"/>
      <c r="AM11" s="2825"/>
    </row>
    <row r="12" spans="1:40">
      <c r="A12" s="2183" t="s">
        <v>214</v>
      </c>
      <c r="B12" s="2184" t="s">
        <v>461</v>
      </c>
      <c r="C12" s="7385">
        <f t="shared" si="1"/>
        <v>2.5389928485913701E-4</v>
      </c>
      <c r="D12" s="892">
        <v>4</v>
      </c>
      <c r="E12" s="303">
        <v>1</v>
      </c>
      <c r="F12" s="303">
        <v>6</v>
      </c>
      <c r="G12" s="303">
        <v>40</v>
      </c>
      <c r="H12" s="2432" t="s">
        <v>2500</v>
      </c>
      <c r="I12" s="304">
        <v>3.4722222222222224E-4</v>
      </c>
      <c r="J12" s="304">
        <v>1.3888888888888889E-3</v>
      </c>
      <c r="K12" s="316" t="s">
        <v>1051</v>
      </c>
      <c r="L12" s="304">
        <f>L11+N11</f>
        <v>0.84134318588284918</v>
      </c>
      <c r="M12" s="7386">
        <v>1.2</v>
      </c>
      <c r="N12" s="304">
        <f>P12*E12*F12+I12*E12*F12+J12*E12</f>
        <v>1.8681804982423965E-2</v>
      </c>
      <c r="O12" s="7390">
        <f>C12*8*1.04</f>
        <v>2.1124420500280199E-3</v>
      </c>
      <c r="P12" s="297">
        <f>O12*M12</f>
        <v>2.534930460033624E-3</v>
      </c>
      <c r="Q12" s="334">
        <v>165</v>
      </c>
      <c r="R12" s="303">
        <f>E12*F12*G12</f>
        <v>240</v>
      </c>
      <c r="S12" s="2844">
        <f t="shared" si="2"/>
        <v>0.24</v>
      </c>
      <c r="T12" s="2845">
        <f t="shared" si="3"/>
        <v>5.0698609200672477E-2</v>
      </c>
      <c r="U12" s="374">
        <f t="shared" si="4"/>
        <v>0</v>
      </c>
      <c r="V12" s="2846">
        <f t="shared" si="5"/>
        <v>0</v>
      </c>
      <c r="W12" s="2847">
        <f t="shared" si="6"/>
        <v>0</v>
      </c>
      <c r="X12" s="2848">
        <f t="shared" si="7"/>
        <v>0.24</v>
      </c>
      <c r="Y12" s="2849">
        <f t="shared" si="8"/>
        <v>0</v>
      </c>
      <c r="Z12" s="2850">
        <f t="shared" si="9"/>
        <v>0</v>
      </c>
      <c r="AA12" s="2851">
        <f t="shared" si="10"/>
        <v>0</v>
      </c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</row>
    <row r="13" spans="1:40" ht="14" thickBot="1">
      <c r="A13" s="2183" t="s">
        <v>459</v>
      </c>
      <c r="B13" s="2184" t="s">
        <v>461</v>
      </c>
      <c r="C13" s="7385">
        <f t="shared" si="1"/>
        <v>2.2173032407407406E-4</v>
      </c>
      <c r="D13" s="1300">
        <v>7</v>
      </c>
      <c r="E13" s="3352">
        <v>1</v>
      </c>
      <c r="F13" s="1333">
        <v>6</v>
      </c>
      <c r="G13" s="1333">
        <v>20</v>
      </c>
      <c r="H13" s="2432"/>
      <c r="I13" s="3363">
        <v>4.6296296296296293E-4</v>
      </c>
      <c r="J13" s="3363">
        <v>1.3888888888888889E-3</v>
      </c>
      <c r="K13" s="1039" t="s">
        <v>2501</v>
      </c>
      <c r="L13" s="3363">
        <f t="shared" si="15"/>
        <v>0.86002499086527318</v>
      </c>
      <c r="M13" s="7389">
        <v>1.17</v>
      </c>
      <c r="N13" s="3363">
        <f>P13*E13*F13+I13*F13*E13+J13*E13</f>
        <v>5.4119041666666669E-3</v>
      </c>
      <c r="O13" s="7392">
        <f t="shared" ref="O13" si="18">C13*(G13/25)</f>
        <v>1.7738425925925926E-4</v>
      </c>
      <c r="P13" s="3363">
        <f t="shared" si="13"/>
        <v>2.0753958333333332E-4</v>
      </c>
      <c r="Q13" s="1493"/>
      <c r="R13" s="3353">
        <f t="shared" ref="R13" si="19">E13*F13*G13</f>
        <v>120</v>
      </c>
      <c r="S13" s="2844">
        <f t="shared" si="2"/>
        <v>0.12</v>
      </c>
      <c r="T13" s="2845">
        <f t="shared" si="3"/>
        <v>4.2572222222222221E-3</v>
      </c>
      <c r="U13" s="374">
        <f t="shared" si="4"/>
        <v>0</v>
      </c>
      <c r="V13" s="2846">
        <f t="shared" si="5"/>
        <v>0</v>
      </c>
      <c r="W13" s="2847">
        <f t="shared" si="6"/>
        <v>0</v>
      </c>
      <c r="X13" s="2848">
        <f t="shared" si="7"/>
        <v>0</v>
      </c>
      <c r="Y13" s="2849">
        <f t="shared" si="8"/>
        <v>0</v>
      </c>
      <c r="Z13" s="2850">
        <f t="shared" si="9"/>
        <v>0</v>
      </c>
      <c r="AA13" s="2851">
        <f t="shared" si="10"/>
        <v>0.12</v>
      </c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</row>
    <row r="14" spans="1:40" ht="13" customHeight="1">
      <c r="A14" s="7291" t="s">
        <v>460</v>
      </c>
      <c r="B14" s="2184" t="s">
        <v>461</v>
      </c>
      <c r="C14" s="5770">
        <f>IF(D14=1,U$5,IF(D14=2,V$5,IF(D14=3,W$5,IF(D14=4,X$5,IF(D14=5,Y$5,IF(D14=6,Z$5,IF(D14=7,AA$5,0)))))))</f>
        <v>2.869200295485578E-4</v>
      </c>
      <c r="D14" s="7304">
        <v>1</v>
      </c>
      <c r="E14" s="7305">
        <v>1</v>
      </c>
      <c r="F14" s="7305">
        <v>7</v>
      </c>
      <c r="G14" s="7305">
        <v>200</v>
      </c>
      <c r="H14" s="7306"/>
      <c r="I14" s="7306">
        <v>0</v>
      </c>
      <c r="J14" s="7306">
        <v>8.1018518518518516E-4</v>
      </c>
      <c r="K14" s="7307" t="s">
        <v>717</v>
      </c>
      <c r="L14" s="6920">
        <f>L8+N8</f>
        <v>0.80753461077996846</v>
      </c>
      <c r="M14" s="7308">
        <v>1.2</v>
      </c>
      <c r="N14" s="7306">
        <f>P14*E14*F14+I14*E14*F14+J14*E14</f>
        <v>2.0091211170848267E-2</v>
      </c>
      <c r="O14" s="7309">
        <f>C14*8</f>
        <v>2.2953602363884624E-3</v>
      </c>
      <c r="P14" s="7309">
        <f>O14*M14</f>
        <v>2.7544322836661546E-3</v>
      </c>
      <c r="Q14" s="7310">
        <v>129</v>
      </c>
      <c r="R14" s="7311">
        <f>E14*F14*G14</f>
        <v>1400</v>
      </c>
      <c r="S14" s="2844">
        <f t="shared" si="2"/>
        <v>1.4</v>
      </c>
      <c r="T14" s="2845">
        <f t="shared" si="3"/>
        <v>6.4270086618876954E-2</v>
      </c>
      <c r="U14" s="374">
        <f t="shared" si="4"/>
        <v>1.4</v>
      </c>
      <c r="V14" s="2846">
        <f t="shared" si="5"/>
        <v>0</v>
      </c>
      <c r="W14" s="2847">
        <f t="shared" si="6"/>
        <v>0</v>
      </c>
      <c r="X14" s="2848">
        <f t="shared" si="7"/>
        <v>0</v>
      </c>
      <c r="Y14" s="2849">
        <f t="shared" si="8"/>
        <v>0</v>
      </c>
      <c r="Z14" s="2850">
        <f t="shared" si="9"/>
        <v>0</v>
      </c>
      <c r="AA14" s="2851">
        <f t="shared" si="10"/>
        <v>0</v>
      </c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</row>
    <row r="15" spans="1:40" ht="13" customHeight="1">
      <c r="A15" s="2183" t="s">
        <v>458</v>
      </c>
      <c r="B15" s="2184" t="s">
        <v>461</v>
      </c>
      <c r="C15" s="5770">
        <f>IF(D15=1,U$5,IF(D15=2,V$5,IF(D15=3,W$5,IF(D15=4,X$5,IF(D15=5,Y$5,IF(D15=6,Z$5,IF(D15=7,AA$5,0)))))))</f>
        <v>2.6611953542100597E-4</v>
      </c>
      <c r="D15" s="5786">
        <v>3</v>
      </c>
      <c r="E15" s="5799">
        <v>1</v>
      </c>
      <c r="F15" s="5799">
        <v>2</v>
      </c>
      <c r="G15" s="5799">
        <v>200</v>
      </c>
      <c r="H15" s="5800"/>
      <c r="I15" s="5800">
        <v>3.4722222222222224E-4</v>
      </c>
      <c r="J15" s="5800">
        <v>1.3888888888888889E-3</v>
      </c>
      <c r="K15" s="5859" t="s">
        <v>2484</v>
      </c>
      <c r="L15" s="5801">
        <f>L14+N14</f>
        <v>0.82762582195081669</v>
      </c>
      <c r="M15" s="7295">
        <v>1.1499999999999999</v>
      </c>
      <c r="N15" s="5800">
        <f>P15*E15*F15+I15*E15*F15+J15*E15</f>
        <v>7.1757967631497031E-3</v>
      </c>
      <c r="O15" s="7296">
        <f>C15*8*1.04</f>
        <v>2.2141145347027696E-3</v>
      </c>
      <c r="P15" s="7296">
        <f>O15*M15</f>
        <v>2.5462317149081847E-3</v>
      </c>
      <c r="Q15" s="5860">
        <v>164</v>
      </c>
      <c r="R15" s="7297">
        <f>E15*F15*G15</f>
        <v>400</v>
      </c>
      <c r="S15" s="2844">
        <f t="shared" si="2"/>
        <v>0.4</v>
      </c>
      <c r="T15" s="2845">
        <f t="shared" si="3"/>
        <v>1.7712916277622157E-2</v>
      </c>
      <c r="U15" s="374">
        <f t="shared" si="4"/>
        <v>0</v>
      </c>
      <c r="V15" s="2846">
        <f t="shared" si="5"/>
        <v>0</v>
      </c>
      <c r="W15" s="2847">
        <f t="shared" si="6"/>
        <v>0.4</v>
      </c>
      <c r="X15" s="2848">
        <f t="shared" si="7"/>
        <v>0</v>
      </c>
      <c r="Y15" s="2849">
        <f t="shared" si="8"/>
        <v>0</v>
      </c>
      <c r="Z15" s="2850">
        <f t="shared" si="9"/>
        <v>0</v>
      </c>
      <c r="AA15" s="2851">
        <f t="shared" si="10"/>
        <v>0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</row>
    <row r="16" spans="1:40" ht="13" customHeight="1">
      <c r="A16" s="2183" t="s">
        <v>219</v>
      </c>
      <c r="B16" s="2184" t="s">
        <v>461</v>
      </c>
      <c r="C16" s="5770">
        <f>IF(D16=1,U$5,IF(D16=2,V$5,IF(D16=3,W$5,IF(D16=4,X$5,IF(D16=5,Y$5,IF(D16=6,Z$5,IF(D16=7,AA$5,0)))))))</f>
        <v>2.5389928485913701E-4</v>
      </c>
      <c r="D16" s="5786">
        <v>4</v>
      </c>
      <c r="E16" s="5867">
        <v>1</v>
      </c>
      <c r="F16" s="5867">
        <v>3</v>
      </c>
      <c r="G16" s="5867">
        <v>200</v>
      </c>
      <c r="H16" s="5868"/>
      <c r="I16" s="5868">
        <v>3.4722222222222224E-4</v>
      </c>
      <c r="J16" s="5868">
        <v>1.3888888888888889E-3</v>
      </c>
      <c r="K16" s="7298" t="s">
        <v>2483</v>
      </c>
      <c r="L16" s="5870">
        <f>L15+N15</f>
        <v>0.83480161871396641</v>
      </c>
      <c r="M16" s="7299">
        <v>1.2</v>
      </c>
      <c r="N16" s="5868">
        <f>P16*E16*F16+I16*E16*F16+J16*E16</f>
        <v>1.0181592923735291E-2</v>
      </c>
      <c r="O16" s="7300">
        <f>C16*8*1.06</f>
        <v>2.153065935605482E-3</v>
      </c>
      <c r="P16" s="7300">
        <f>O16*M16</f>
        <v>2.5836791227265782E-3</v>
      </c>
      <c r="Q16" s="5832">
        <v>196</v>
      </c>
      <c r="R16" s="7301">
        <f>E16*F16*G16</f>
        <v>600</v>
      </c>
      <c r="S16" s="2844">
        <f t="shared" si="2"/>
        <v>0.6</v>
      </c>
      <c r="T16" s="2845">
        <f t="shared" si="3"/>
        <v>2.5836791227265784E-2</v>
      </c>
      <c r="U16" s="374">
        <f t="shared" si="4"/>
        <v>0</v>
      </c>
      <c r="V16" s="2846">
        <f t="shared" si="5"/>
        <v>0</v>
      </c>
      <c r="W16" s="2847">
        <f t="shared" si="6"/>
        <v>0</v>
      </c>
      <c r="X16" s="2848">
        <f t="shared" si="7"/>
        <v>0.6</v>
      </c>
      <c r="Y16" s="2849">
        <f t="shared" si="8"/>
        <v>0</v>
      </c>
      <c r="Z16" s="2850">
        <f t="shared" si="9"/>
        <v>0</v>
      </c>
      <c r="AA16" s="2851">
        <f t="shared" si="10"/>
        <v>0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</row>
    <row r="17" spans="1:39" ht="13" customHeight="1">
      <c r="A17" s="2183"/>
      <c r="B17" s="2184" t="s">
        <v>461</v>
      </c>
      <c r="C17" s="5770">
        <f>IF(D17=1,U$5,IF(D17=2,V$5,IF(D17=3,W$5,IF(D17=4,X$5,IF(D17=5,Y$5,IF(D17=6,Z$5,IF(D17=7,AA$5,0)))))))</f>
        <v>2.2173032407407406E-4</v>
      </c>
      <c r="D17" s="5786">
        <v>7</v>
      </c>
      <c r="E17" s="6165">
        <v>1</v>
      </c>
      <c r="F17" s="6165">
        <v>10</v>
      </c>
      <c r="G17" s="6165">
        <v>30</v>
      </c>
      <c r="H17" s="5809"/>
      <c r="I17" s="5809">
        <v>3.4722222222222224E-4</v>
      </c>
      <c r="J17" s="5809">
        <v>2.3148148148148146E-4</v>
      </c>
      <c r="K17" s="1039" t="s">
        <v>2501</v>
      </c>
      <c r="L17" s="5810">
        <f>L16+N16</f>
        <v>0.84498321163770174</v>
      </c>
      <c r="M17" s="7397">
        <v>1.2</v>
      </c>
      <c r="N17" s="5809">
        <f>P17*E17*F17+I17*E17*F17+J17*E17</f>
        <v>6.8966203703703707E-3</v>
      </c>
      <c r="O17" s="6398">
        <f>C17*30/25</f>
        <v>2.6607638888888888E-4</v>
      </c>
      <c r="P17" s="2517">
        <f>O17*M17</f>
        <v>3.1929166666666667E-4</v>
      </c>
      <c r="Q17" s="5807" t="s">
        <v>316</v>
      </c>
      <c r="R17" s="7398">
        <f>E17*F17*G17</f>
        <v>300</v>
      </c>
      <c r="S17" s="2844">
        <f t="shared" si="2"/>
        <v>0.3</v>
      </c>
      <c r="T17" s="2845">
        <f t="shared" si="3"/>
        <v>1.0643055555555555E-2</v>
      </c>
      <c r="U17" s="374">
        <f t="shared" si="4"/>
        <v>0</v>
      </c>
      <c r="V17" s="2846">
        <f t="shared" si="5"/>
        <v>0</v>
      </c>
      <c r="W17" s="2847">
        <f t="shared" si="6"/>
        <v>0</v>
      </c>
      <c r="X17" s="2848">
        <f t="shared" si="7"/>
        <v>0</v>
      </c>
      <c r="Y17" s="2849">
        <f t="shared" si="8"/>
        <v>0</v>
      </c>
      <c r="Z17" s="2850">
        <f t="shared" si="9"/>
        <v>0</v>
      </c>
      <c r="AA17" s="2851">
        <f t="shared" si="10"/>
        <v>0.3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</row>
    <row r="18" spans="1:39" ht="13" customHeight="1" thickBot="1">
      <c r="A18" s="2183"/>
      <c r="B18" s="144"/>
      <c r="C18" s="144"/>
      <c r="D18" s="906"/>
      <c r="E18" s="144"/>
      <c r="F18" s="144"/>
      <c r="G18" s="144"/>
      <c r="H18" s="144"/>
      <c r="I18" s="144"/>
      <c r="J18" s="144"/>
      <c r="K18" s="144"/>
      <c r="L18" s="2182">
        <f>L17+N17</f>
        <v>0.85187983200807216</v>
      </c>
      <c r="M18" s="144"/>
      <c r="N18" s="7313">
        <f>SUM(N14:N17)</f>
        <v>4.4345221228103637E-2</v>
      </c>
      <c r="O18" s="144"/>
      <c r="P18" s="144"/>
      <c r="Q18" s="7380">
        <f>R6+R7+R8+R9+R10+R11+R12+R13</f>
        <v>3680</v>
      </c>
      <c r="R18" s="7381">
        <f>R6+R7+R14+R15+R16+R17</f>
        <v>4300</v>
      </c>
      <c r="S18" s="2844">
        <f t="shared" si="2"/>
        <v>0</v>
      </c>
      <c r="T18" s="2845">
        <f t="shared" si="3"/>
        <v>0</v>
      </c>
      <c r="U18" s="374">
        <f t="shared" si="4"/>
        <v>0</v>
      </c>
      <c r="V18" s="2846">
        <f t="shared" si="5"/>
        <v>0</v>
      </c>
      <c r="W18" s="2847">
        <f t="shared" si="6"/>
        <v>0</v>
      </c>
      <c r="X18" s="2848">
        <f t="shared" si="7"/>
        <v>0</v>
      </c>
      <c r="Y18" s="2849">
        <f t="shared" si="8"/>
        <v>0</v>
      </c>
      <c r="Z18" s="2850">
        <f t="shared" si="9"/>
        <v>0</v>
      </c>
      <c r="AA18" s="2851">
        <f t="shared" si="10"/>
        <v>0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</row>
    <row r="19" spans="1:39" ht="13" customHeight="1" thickBot="1">
      <c r="A19" s="7315" t="s">
        <v>215</v>
      </c>
      <c r="B19" s="7316" t="s">
        <v>215</v>
      </c>
      <c r="C19" s="274">
        <f t="shared" ref="C19:C23" si="20">IF(D19=1,U$5,IF(D19=2,V$5,IF(D19=3,W$5,IF(D19=4,X$5,IF(D19=5,Y$5,IF(D19=6,Z$5,IF(D19=7,AA$5,0)))))))</f>
        <v>2.7472886659807961E-4</v>
      </c>
      <c r="D19" s="920">
        <v>2</v>
      </c>
      <c r="E19" s="1157">
        <v>1</v>
      </c>
      <c r="F19" s="1157">
        <v>1</v>
      </c>
      <c r="G19" s="7382">
        <v>800</v>
      </c>
      <c r="H19" s="1157"/>
      <c r="I19" s="3362">
        <v>0</v>
      </c>
      <c r="J19" s="3362">
        <v>1.5046296296296294E-3</v>
      </c>
      <c r="K19" s="2099" t="s">
        <v>2502</v>
      </c>
      <c r="L19" s="7383">
        <v>0.80555555555555547</v>
      </c>
      <c r="M19" s="1123">
        <v>1.2</v>
      </c>
      <c r="N19" s="7384">
        <f t="shared" ref="N19:N22" si="21">P19*E19*F19+I19*F19*E19+J19*E19</f>
        <v>1.2054218106995886E-2</v>
      </c>
      <c r="O19" s="1175">
        <f t="shared" ref="O19:O22" si="22">C19*(G19/25)</f>
        <v>8.7913237311385475E-3</v>
      </c>
      <c r="P19" s="4869">
        <f t="shared" ref="P19:P21" si="23">O19*M19</f>
        <v>1.0549588477366256E-2</v>
      </c>
      <c r="Q19" s="798">
        <v>145</v>
      </c>
      <c r="R19" s="1176">
        <v>800</v>
      </c>
      <c r="S19" s="2844">
        <f t="shared" si="2"/>
        <v>0.8</v>
      </c>
      <c r="T19" s="2845">
        <f t="shared" si="3"/>
        <v>3.516529492455419E-2</v>
      </c>
      <c r="U19" s="374">
        <f t="shared" si="4"/>
        <v>0</v>
      </c>
      <c r="V19" s="2846">
        <f t="shared" si="5"/>
        <v>0.8</v>
      </c>
      <c r="W19" s="2847">
        <f t="shared" si="6"/>
        <v>0</v>
      </c>
      <c r="X19" s="2848">
        <f t="shared" si="7"/>
        <v>0</v>
      </c>
      <c r="Y19" s="2849">
        <f t="shared" si="8"/>
        <v>0</v>
      </c>
      <c r="Z19" s="2850">
        <f t="shared" si="9"/>
        <v>0</v>
      </c>
      <c r="AA19" s="2851">
        <f t="shared" si="10"/>
        <v>0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</row>
    <row r="20" spans="1:39" ht="13" customHeight="1" thickBot="1">
      <c r="A20" s="3109" t="s">
        <v>138</v>
      </c>
      <c r="B20" s="7316" t="s">
        <v>215</v>
      </c>
      <c r="C20" s="274">
        <f t="shared" si="20"/>
        <v>2.2173032407407406E-4</v>
      </c>
      <c r="D20" s="3357">
        <v>7</v>
      </c>
      <c r="E20" s="7393">
        <v>1</v>
      </c>
      <c r="F20" s="7394">
        <v>3</v>
      </c>
      <c r="G20" s="7394">
        <v>75</v>
      </c>
      <c r="H20" s="3360" t="s">
        <v>284</v>
      </c>
      <c r="I20" s="7395">
        <v>3.4722222222222224E-4</v>
      </c>
      <c r="J20" s="7395">
        <v>1.6203703703703703E-3</v>
      </c>
      <c r="K20" s="7393" t="s">
        <v>1583</v>
      </c>
      <c r="L20" s="7395">
        <f t="shared" ref="L20:L21" si="24">L19+N19</f>
        <v>0.81760977366255139</v>
      </c>
      <c r="M20" s="3360">
        <v>1.2</v>
      </c>
      <c r="N20" s="7395">
        <f t="shared" si="21"/>
        <v>5.0567245370370367E-3</v>
      </c>
      <c r="O20" s="3358">
        <f t="shared" si="22"/>
        <v>6.6519097222222218E-4</v>
      </c>
      <c r="P20" s="7395">
        <f t="shared" si="23"/>
        <v>7.982291666666666E-4</v>
      </c>
      <c r="Q20" s="3359">
        <v>160</v>
      </c>
      <c r="R20" s="7396">
        <f t="shared" ref="R20:R22" si="25">E20*F20*G20</f>
        <v>225</v>
      </c>
      <c r="S20" s="2844">
        <f t="shared" ref="S20:S71" si="26">E20*F20*G20/1000</f>
        <v>0.22500000000000001</v>
      </c>
      <c r="T20" s="2845">
        <f t="shared" ref="T20:T71" si="27">E20*F20*O20*4</f>
        <v>7.9822916666666653E-3</v>
      </c>
      <c r="U20" s="374">
        <f t="shared" ref="U20:U71" si="28">IF(C20*4&gt;=$U$4,S20,0)</f>
        <v>0</v>
      </c>
      <c r="V20" s="2846">
        <f t="shared" ref="V20:V71" si="29">IF(AND(C20*4&gt;=$V$4,C20*4&lt;$U$4),S20,0)</f>
        <v>0</v>
      </c>
      <c r="W20" s="2847">
        <f t="shared" ref="W20:W71" si="30">IF(AND(C20*4&gt;=$W$4,C20*4&lt;$V$4),S20,0)</f>
        <v>0</v>
      </c>
      <c r="X20" s="2848">
        <f t="shared" ref="X20:X71" si="31">IF(AND(C20*4&gt;=$X$4,C20*4&lt;$W$4),S20,0)</f>
        <v>0</v>
      </c>
      <c r="Y20" s="2849">
        <f t="shared" ref="Y20:Y71" si="32">IF(AND(C20*4&gt;=$Y$4,C20*4&lt;$X$4),S20,0)</f>
        <v>0</v>
      </c>
      <c r="Z20" s="2850">
        <f t="shared" ref="Z20:Z71" si="33">IF(AND(C20*4&gt;=$Z$4,C20*4&lt;$Y$4),S20,0)</f>
        <v>0</v>
      </c>
      <c r="AA20" s="2851">
        <f t="shared" ref="AA20:AA71" si="34">IF(AND(C20*4&gt;=$AA$4,C20*4&lt;$Z$4),S20,0)</f>
        <v>0.22500000000000001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</row>
    <row r="21" spans="1:39" ht="13" customHeight="1" thickBot="1">
      <c r="A21" s="3109" t="s">
        <v>462</v>
      </c>
      <c r="B21" s="7316" t="s">
        <v>215</v>
      </c>
      <c r="C21" s="274">
        <f t="shared" si="20"/>
        <v>2.2173032407407406E-4</v>
      </c>
      <c r="D21" s="3357">
        <v>7</v>
      </c>
      <c r="E21" s="7393">
        <v>1</v>
      </c>
      <c r="F21" s="7394">
        <v>2</v>
      </c>
      <c r="G21" s="7394">
        <v>50</v>
      </c>
      <c r="H21" s="3360" t="s">
        <v>284</v>
      </c>
      <c r="I21" s="7395">
        <v>1.7361111111111112E-4</v>
      </c>
      <c r="J21" s="7395">
        <v>1.5624999999999999E-3</v>
      </c>
      <c r="K21" s="7393" t="s">
        <v>1584</v>
      </c>
      <c r="L21" s="7395">
        <f t="shared" si="24"/>
        <v>0.82266649819958837</v>
      </c>
      <c r="M21" s="3360">
        <v>1.2</v>
      </c>
      <c r="N21" s="7395">
        <f t="shared" si="21"/>
        <v>2.9740277777777777E-3</v>
      </c>
      <c r="O21" s="3358">
        <f t="shared" si="22"/>
        <v>4.4346064814814812E-4</v>
      </c>
      <c r="P21" s="7395">
        <f t="shared" si="23"/>
        <v>5.3215277777777777E-4</v>
      </c>
      <c r="Q21" s="3359">
        <v>145</v>
      </c>
      <c r="R21" s="7396">
        <f t="shared" si="25"/>
        <v>100</v>
      </c>
      <c r="S21" s="2844">
        <f t="shared" si="26"/>
        <v>0.1</v>
      </c>
      <c r="T21" s="2845">
        <f t="shared" si="27"/>
        <v>3.547685185185185E-3</v>
      </c>
      <c r="U21" s="374">
        <f t="shared" si="28"/>
        <v>0</v>
      </c>
      <c r="V21" s="2846">
        <f t="shared" si="29"/>
        <v>0</v>
      </c>
      <c r="W21" s="2847">
        <f t="shared" si="30"/>
        <v>0</v>
      </c>
      <c r="X21" s="2848">
        <f t="shared" si="31"/>
        <v>0</v>
      </c>
      <c r="Y21" s="2849">
        <f t="shared" si="32"/>
        <v>0</v>
      </c>
      <c r="Z21" s="2850">
        <f t="shared" si="33"/>
        <v>0</v>
      </c>
      <c r="AA21" s="2851">
        <f t="shared" si="34"/>
        <v>0.1</v>
      </c>
      <c r="AC21" s="2867"/>
      <c r="AD21" s="2867"/>
      <c r="AE21" s="2867"/>
      <c r="AF21" s="2867"/>
      <c r="AG21" s="2867" t="s">
        <v>2505</v>
      </c>
      <c r="AH21" s="2867"/>
      <c r="AI21" s="2825"/>
      <c r="AJ21" s="2825"/>
      <c r="AK21" s="2825"/>
      <c r="AL21" s="2825"/>
      <c r="AM21" s="2825"/>
    </row>
    <row r="22" spans="1:39" ht="13" customHeight="1" thickBot="1">
      <c r="A22" s="3109" t="s">
        <v>461</v>
      </c>
      <c r="B22" s="7316" t="s">
        <v>215</v>
      </c>
      <c r="C22" s="274">
        <f t="shared" si="20"/>
        <v>2.2173032407407406E-4</v>
      </c>
      <c r="D22" s="3357">
        <v>7</v>
      </c>
      <c r="E22" s="7393">
        <v>1</v>
      </c>
      <c r="F22" s="7394">
        <v>1</v>
      </c>
      <c r="G22" s="7394">
        <v>25</v>
      </c>
      <c r="H22" s="3360" t="s">
        <v>558</v>
      </c>
      <c r="I22" s="7395">
        <v>0</v>
      </c>
      <c r="J22" s="7395">
        <v>6.9444444444444447E-4</v>
      </c>
      <c r="K22" s="7393" t="s">
        <v>1585</v>
      </c>
      <c r="L22" s="7395">
        <f>L21+N21</f>
        <v>0.82564052597736615</v>
      </c>
      <c r="M22" s="3360">
        <v>1.1000000000000001</v>
      </c>
      <c r="N22" s="7395">
        <f t="shared" si="21"/>
        <v>9.3834780092592602E-4</v>
      </c>
      <c r="O22" s="3358">
        <f t="shared" si="22"/>
        <v>2.2173032407407406E-4</v>
      </c>
      <c r="P22" s="7395">
        <f>O22*M22</f>
        <v>2.439033564814815E-4</v>
      </c>
      <c r="Q22" s="3359">
        <v>159</v>
      </c>
      <c r="R22" s="7396">
        <f t="shared" si="25"/>
        <v>25</v>
      </c>
      <c r="S22" s="2844">
        <f t="shared" si="26"/>
        <v>2.5000000000000001E-2</v>
      </c>
      <c r="T22" s="2845">
        <f t="shared" si="27"/>
        <v>8.8692129629629624E-4</v>
      </c>
      <c r="U22" s="374">
        <f t="shared" si="28"/>
        <v>0</v>
      </c>
      <c r="V22" s="2846">
        <f t="shared" si="29"/>
        <v>0</v>
      </c>
      <c r="W22" s="2847">
        <f t="shared" si="30"/>
        <v>0</v>
      </c>
      <c r="X22" s="2848">
        <f t="shared" si="31"/>
        <v>0</v>
      </c>
      <c r="Y22" s="2849">
        <f t="shared" si="32"/>
        <v>0</v>
      </c>
      <c r="Z22" s="2850">
        <f t="shared" si="33"/>
        <v>0</v>
      </c>
      <c r="AA22" s="2851">
        <f t="shared" si="34"/>
        <v>2.5000000000000001E-2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</row>
    <row r="23" spans="1:39" ht="13" customHeight="1">
      <c r="A23" s="3109" t="s">
        <v>458</v>
      </c>
      <c r="B23" s="7316" t="s">
        <v>215</v>
      </c>
      <c r="C23" s="274">
        <f t="shared" si="20"/>
        <v>2.7472886659807961E-4</v>
      </c>
      <c r="D23" s="1173">
        <v>2</v>
      </c>
      <c r="E23" s="1173">
        <v>1</v>
      </c>
      <c r="F23" s="1173">
        <v>2</v>
      </c>
      <c r="G23" s="1176">
        <v>200</v>
      </c>
      <c r="H23" s="3361"/>
      <c r="I23" s="3361">
        <v>1.1574074074074073E-4</v>
      </c>
      <c r="J23" s="1123">
        <v>0</v>
      </c>
      <c r="K23" s="3361" t="s">
        <v>157</v>
      </c>
      <c r="L23" s="1174">
        <f>L22+N22</f>
        <v>0.82657887377829209</v>
      </c>
      <c r="M23" s="3361">
        <v>1.1000000000000001</v>
      </c>
      <c r="N23" s="1196">
        <f>P23*E23*F23+I23*E23*F23+J23*E23</f>
        <v>5.0667095336076832E-3</v>
      </c>
      <c r="O23" s="3361">
        <f>C23*(G23/25)</f>
        <v>2.1978309327846369E-3</v>
      </c>
      <c r="P23" s="550">
        <f>O23*M23</f>
        <v>2.4176140260631007E-3</v>
      </c>
      <c r="Q23" s="1176">
        <v>129</v>
      </c>
      <c r="R23" s="1176">
        <f>E23*F23*G23</f>
        <v>400</v>
      </c>
      <c r="S23" s="2844">
        <f t="shared" si="26"/>
        <v>0.4</v>
      </c>
      <c r="T23" s="2845">
        <f t="shared" si="27"/>
        <v>1.7582647462277095E-2</v>
      </c>
      <c r="U23" s="374">
        <f t="shared" si="28"/>
        <v>0</v>
      </c>
      <c r="V23" s="2846">
        <f t="shared" si="29"/>
        <v>0.4</v>
      </c>
      <c r="W23" s="2847">
        <f t="shared" si="30"/>
        <v>0</v>
      </c>
      <c r="X23" s="2848">
        <f t="shared" si="31"/>
        <v>0</v>
      </c>
      <c r="Y23" s="2849">
        <f t="shared" si="32"/>
        <v>0</v>
      </c>
      <c r="Z23" s="2850">
        <f t="shared" si="33"/>
        <v>0</v>
      </c>
      <c r="AA23" s="2851">
        <f t="shared" si="34"/>
        <v>0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</row>
    <row r="24" spans="1:39" ht="13" customHeight="1" thickBot="1">
      <c r="A24" s="3109" t="s">
        <v>219</v>
      </c>
      <c r="B24" s="3109"/>
      <c r="C24" s="5770"/>
      <c r="D24" s="906"/>
      <c r="E24" s="144"/>
      <c r="F24" s="144"/>
      <c r="G24" s="144"/>
      <c r="H24" s="144"/>
      <c r="I24" s="144"/>
      <c r="J24" s="144"/>
      <c r="K24" s="144"/>
      <c r="L24" s="2182"/>
      <c r="M24" s="144"/>
      <c r="N24" s="7313"/>
      <c r="O24" s="144"/>
      <c r="P24" s="144"/>
      <c r="Q24" s="7380"/>
      <c r="R24" s="7381">
        <f>SUM(R19:R23)</f>
        <v>1550</v>
      </c>
      <c r="S24" s="2844">
        <f t="shared" si="26"/>
        <v>0</v>
      </c>
      <c r="T24" s="2845">
        <f t="shared" si="27"/>
        <v>0</v>
      </c>
      <c r="U24" s="374">
        <f t="shared" si="28"/>
        <v>0</v>
      </c>
      <c r="V24" s="2846">
        <f t="shared" si="29"/>
        <v>0</v>
      </c>
      <c r="W24" s="2847">
        <f t="shared" si="30"/>
        <v>0</v>
      </c>
      <c r="X24" s="2848">
        <f t="shared" si="31"/>
        <v>0</v>
      </c>
      <c r="Y24" s="2849">
        <f t="shared" si="32"/>
        <v>0</v>
      </c>
      <c r="Z24" s="2850">
        <f t="shared" si="33"/>
        <v>0</v>
      </c>
      <c r="AA24" s="2851">
        <f t="shared" si="34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</row>
    <row r="25" spans="1:39" ht="13" customHeight="1" thickBot="1">
      <c r="A25" s="3109"/>
      <c r="B25" s="3109" t="s">
        <v>461</v>
      </c>
      <c r="C25" s="274">
        <f t="shared" ref="C25" si="35">IF(D25=1,U$5,IF(D25=2,V$5,IF(D25=3,W$5,IF(D25=4,X$5,IF(D25=5,Y$5,IF(D25=6,Z$5,IF(D25=7,AA$5,0)))))))</f>
        <v>2.7472886659807961E-4</v>
      </c>
      <c r="D25" s="920">
        <v>2</v>
      </c>
      <c r="E25" s="1157">
        <v>1</v>
      </c>
      <c r="F25" s="1157">
        <v>1</v>
      </c>
      <c r="G25" s="7382">
        <v>800</v>
      </c>
      <c r="H25" s="1157"/>
      <c r="I25" s="3362">
        <v>0</v>
      </c>
      <c r="J25" s="3362">
        <v>1.5046296296296294E-3</v>
      </c>
      <c r="K25" s="2099" t="s">
        <v>2502</v>
      </c>
      <c r="L25" s="7383">
        <v>0.80555555555555547</v>
      </c>
      <c r="M25" s="1123">
        <v>1.2</v>
      </c>
      <c r="N25" s="7384">
        <f t="shared" ref="N25" si="36">P25*E25*F25+I25*F25*E25+J25*E25</f>
        <v>1.2054218106995886E-2</v>
      </c>
      <c r="O25" s="1175">
        <f t="shared" ref="O25" si="37">C25*(G25/25)</f>
        <v>8.7913237311385475E-3</v>
      </c>
      <c r="P25" s="4869">
        <f t="shared" ref="P25" si="38">O25*M25</f>
        <v>1.0549588477366256E-2</v>
      </c>
      <c r="Q25" s="798">
        <v>145</v>
      </c>
      <c r="R25" s="1176">
        <v>800</v>
      </c>
      <c r="S25" s="2844">
        <f t="shared" si="26"/>
        <v>0.8</v>
      </c>
      <c r="T25" s="2845">
        <f t="shared" si="27"/>
        <v>3.516529492455419E-2</v>
      </c>
      <c r="U25" s="374">
        <f t="shared" si="28"/>
        <v>0</v>
      </c>
      <c r="V25" s="2846">
        <f t="shared" si="29"/>
        <v>0.8</v>
      </c>
      <c r="W25" s="2847">
        <f t="shared" si="30"/>
        <v>0</v>
      </c>
      <c r="X25" s="2848">
        <f t="shared" si="31"/>
        <v>0</v>
      </c>
      <c r="Y25" s="2849">
        <f t="shared" si="32"/>
        <v>0</v>
      </c>
      <c r="Z25" s="2850">
        <f t="shared" si="33"/>
        <v>0</v>
      </c>
      <c r="AA25" s="2851">
        <f t="shared" si="34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</row>
    <row r="26" spans="1:39" ht="13" customHeight="1" thickBot="1">
      <c r="A26" s="3109" t="s">
        <v>215</v>
      </c>
      <c r="B26" s="7316" t="s">
        <v>461</v>
      </c>
      <c r="C26" s="7317">
        <f>IF(D26=1,U$5,IF(D26=2,V$5,IF(D26=3,W$5,IF(D26=4,X$5,IF(D26=5,Y$5,IF(D26=6,Z$5,IF(D26=7,AA$5,0)))))))</f>
        <v>2.3742556450502547E-4</v>
      </c>
      <c r="D26" s="4794">
        <v>5</v>
      </c>
      <c r="E26" s="7318">
        <v>4</v>
      </c>
      <c r="F26" s="7318">
        <v>1</v>
      </c>
      <c r="G26" s="7318">
        <f>100+50</f>
        <v>150</v>
      </c>
      <c r="H26" s="7319"/>
      <c r="I26" s="7319">
        <v>5.7870370370370366E-5</v>
      </c>
      <c r="J26" s="7319">
        <v>2.0833333333333333E-3</v>
      </c>
      <c r="K26" s="7348" t="s">
        <v>2486</v>
      </c>
      <c r="L26" s="7320">
        <f>L25+N25</f>
        <v>0.81760977366255139</v>
      </c>
      <c r="M26" s="2509">
        <v>1</v>
      </c>
      <c r="N26" s="7319">
        <f t="shared" ref="N26:N29" si="39">P26*E26*F26+I26*E26*F26+J26*E26</f>
        <v>1.4433974769379045E-2</v>
      </c>
      <c r="O26" s="7321">
        <f>C26*6*1.03</f>
        <v>1.4672899886410574E-3</v>
      </c>
      <c r="P26" s="2185">
        <f t="shared" ref="P26:P29" si="40">O26*M26</f>
        <v>1.4672899886410574E-3</v>
      </c>
      <c r="Q26" s="7322" t="s">
        <v>278</v>
      </c>
      <c r="R26" s="7323">
        <f>E26*F26*G26</f>
        <v>600</v>
      </c>
      <c r="S26" s="2844">
        <f t="shared" si="26"/>
        <v>0.6</v>
      </c>
      <c r="T26" s="2845">
        <f t="shared" si="27"/>
        <v>2.3476639818256918E-2</v>
      </c>
      <c r="U26" s="374">
        <f t="shared" si="28"/>
        <v>0</v>
      </c>
      <c r="V26" s="2846">
        <f t="shared" si="29"/>
        <v>0</v>
      </c>
      <c r="W26" s="2847">
        <f t="shared" si="30"/>
        <v>0</v>
      </c>
      <c r="X26" s="2848">
        <f t="shared" si="31"/>
        <v>0</v>
      </c>
      <c r="Y26" s="2849">
        <f t="shared" si="32"/>
        <v>0.6</v>
      </c>
      <c r="Z26" s="2850">
        <f t="shared" si="33"/>
        <v>0</v>
      </c>
      <c r="AA26" s="2851">
        <f t="shared" si="34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</row>
    <row r="27" spans="1:39" ht="13" customHeight="1" thickBot="1">
      <c r="A27" s="3109" t="s">
        <v>138</v>
      </c>
      <c r="B27" s="7316" t="s">
        <v>461</v>
      </c>
      <c r="C27" s="7317">
        <f>IF(D27=1,U$5,IF(D27=2,V$5,IF(D27=3,W$5,IF(D27=4,X$5,IF(D27=5,Y$5,IF(D27=6,Z$5,IF(D27=7,AA$5,0)))))))</f>
        <v>2.6611953542100597E-4</v>
      </c>
      <c r="D27" s="7324">
        <v>3</v>
      </c>
      <c r="E27" s="7349">
        <v>2</v>
      </c>
      <c r="F27" s="7349">
        <v>20</v>
      </c>
      <c r="G27" s="7349">
        <v>25</v>
      </c>
      <c r="H27" s="7350"/>
      <c r="I27" s="7350">
        <v>5.7870370370370366E-5</v>
      </c>
      <c r="J27" s="7350">
        <v>1.3888888888888889E-3</v>
      </c>
      <c r="K27" s="7351" t="s">
        <v>2503</v>
      </c>
      <c r="L27" s="7352">
        <f>L26+N26</f>
        <v>0.83204374843193041</v>
      </c>
      <c r="M27" s="7353">
        <v>1.1000000000000001</v>
      </c>
      <c r="N27" s="7350">
        <f t="shared" si="39"/>
        <v>1.6801852151116858E-2</v>
      </c>
      <c r="O27" s="7354">
        <f>C27</f>
        <v>2.6611953542100597E-4</v>
      </c>
      <c r="P27" s="7354">
        <f t="shared" si="40"/>
        <v>2.9273148896310662E-4</v>
      </c>
      <c r="Q27" s="7355">
        <v>164</v>
      </c>
      <c r="R27" s="7356">
        <f>E27*F27*G27</f>
        <v>1000</v>
      </c>
      <c r="S27" s="2844">
        <f t="shared" si="26"/>
        <v>1</v>
      </c>
      <c r="T27" s="2845">
        <f t="shared" si="27"/>
        <v>4.2579125667360954E-2</v>
      </c>
      <c r="U27" s="374">
        <f t="shared" si="28"/>
        <v>0</v>
      </c>
      <c r="V27" s="2846">
        <f t="shared" si="29"/>
        <v>0</v>
      </c>
      <c r="W27" s="2847">
        <f t="shared" si="30"/>
        <v>1</v>
      </c>
      <c r="X27" s="2848">
        <f t="shared" si="31"/>
        <v>0</v>
      </c>
      <c r="Y27" s="2849">
        <f t="shared" si="32"/>
        <v>0</v>
      </c>
      <c r="Z27" s="2850">
        <f t="shared" si="33"/>
        <v>0</v>
      </c>
      <c r="AA27" s="2851">
        <f t="shared" si="34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</row>
    <row r="28" spans="1:39" ht="13" customHeight="1" thickBot="1">
      <c r="A28" s="3109" t="s">
        <v>462</v>
      </c>
      <c r="B28" s="7316" t="s">
        <v>461</v>
      </c>
      <c r="C28" s="7317">
        <f>IF(D28=1,U$5,IF(D28=2,V$5,IF(D28=3,W$5,IF(D28=4,X$5,IF(D28=5,Y$5,IF(D28=6,Z$5,IF(D28=7,AA$5,0)))))))</f>
        <v>2.7472886659807961E-4</v>
      </c>
      <c r="D28" s="7324">
        <v>2</v>
      </c>
      <c r="E28" s="7325">
        <v>2</v>
      </c>
      <c r="F28" s="7325">
        <v>12</v>
      </c>
      <c r="G28" s="7325">
        <v>25</v>
      </c>
      <c r="H28" s="7326"/>
      <c r="I28" s="7326">
        <v>5.7870370370370366E-5</v>
      </c>
      <c r="J28" s="7326">
        <v>1.3888888888888889E-3</v>
      </c>
      <c r="K28" s="7327" t="s">
        <v>2487</v>
      </c>
      <c r="L28" s="7328">
        <f>L27+N27</f>
        <v>0.84884560058304726</v>
      </c>
      <c r="M28" s="7329">
        <v>1.25</v>
      </c>
      <c r="N28" s="7326">
        <f t="shared" si="39"/>
        <v>1.2408532664609057E-2</v>
      </c>
      <c r="O28" s="7330">
        <f>C28</f>
        <v>2.7472886659807961E-4</v>
      </c>
      <c r="P28" s="7330">
        <f t="shared" si="40"/>
        <v>3.4341108324759952E-4</v>
      </c>
      <c r="Q28" s="7331">
        <v>146</v>
      </c>
      <c r="R28" s="7332">
        <f t="shared" ref="R28:R29" si="41">E28*F28*G28</f>
        <v>600</v>
      </c>
      <c r="S28" s="2844">
        <f t="shared" si="26"/>
        <v>0.6</v>
      </c>
      <c r="T28" s="2845">
        <f t="shared" si="27"/>
        <v>2.6373971193415641E-2</v>
      </c>
      <c r="U28" s="374">
        <f t="shared" si="28"/>
        <v>0</v>
      </c>
      <c r="V28" s="2846">
        <f t="shared" si="29"/>
        <v>0.6</v>
      </c>
      <c r="W28" s="2847">
        <f t="shared" si="30"/>
        <v>0</v>
      </c>
      <c r="X28" s="2848">
        <f t="shared" si="31"/>
        <v>0</v>
      </c>
      <c r="Y28" s="2849">
        <f t="shared" si="32"/>
        <v>0</v>
      </c>
      <c r="Z28" s="2850">
        <f t="shared" si="33"/>
        <v>0</v>
      </c>
      <c r="AA28" s="2851">
        <f t="shared" si="34"/>
        <v>0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</row>
    <row r="29" spans="1:39" ht="13" customHeight="1">
      <c r="A29" s="3109" t="s">
        <v>461</v>
      </c>
      <c r="B29" s="7316" t="s">
        <v>461</v>
      </c>
      <c r="C29" s="7317">
        <f>IF(D29=1,U$5,IF(D29=2,V$5,IF(D29=3,W$5,IF(D29=4,X$5,IF(D29=5,Y$5,IF(D29=6,Z$5,IF(D29=7,AA$5,0)))))))</f>
        <v>2.2173032407407406E-4</v>
      </c>
      <c r="D29" s="7324">
        <v>7</v>
      </c>
      <c r="E29" s="7333">
        <v>2</v>
      </c>
      <c r="F29" s="7333">
        <v>10</v>
      </c>
      <c r="G29" s="7333">
        <v>30</v>
      </c>
      <c r="H29" s="7334"/>
      <c r="I29" s="7334">
        <v>3.4722222222222224E-4</v>
      </c>
      <c r="J29" s="7334">
        <v>2.3148148148148146E-4</v>
      </c>
      <c r="K29" s="7335" t="s">
        <v>2485</v>
      </c>
      <c r="L29" s="7336">
        <f>L28+N28</f>
        <v>0.86125413324765632</v>
      </c>
      <c r="M29" s="7337">
        <v>1</v>
      </c>
      <c r="N29" s="7334">
        <f t="shared" si="39"/>
        <v>1.2728935185185187E-2</v>
      </c>
      <c r="O29" s="7338">
        <f>C29*30/25</f>
        <v>2.6607638888888888E-4</v>
      </c>
      <c r="P29" s="2517">
        <f t="shared" si="40"/>
        <v>2.6607638888888888E-4</v>
      </c>
      <c r="Q29" s="7339" t="s">
        <v>316</v>
      </c>
      <c r="R29" s="7312">
        <f t="shared" si="41"/>
        <v>600</v>
      </c>
      <c r="S29" s="2844">
        <f t="shared" si="26"/>
        <v>0.6</v>
      </c>
      <c r="T29" s="2845">
        <f t="shared" si="27"/>
        <v>2.128611111111111E-2</v>
      </c>
      <c r="U29" s="374">
        <f t="shared" si="28"/>
        <v>0</v>
      </c>
      <c r="V29" s="2846">
        <f t="shared" si="29"/>
        <v>0</v>
      </c>
      <c r="W29" s="2847">
        <f t="shared" si="30"/>
        <v>0</v>
      </c>
      <c r="X29" s="2848">
        <f t="shared" si="31"/>
        <v>0</v>
      </c>
      <c r="Y29" s="2849">
        <f t="shared" si="32"/>
        <v>0</v>
      </c>
      <c r="Z29" s="2850">
        <f t="shared" si="33"/>
        <v>0</v>
      </c>
      <c r="AA29" s="2851">
        <f t="shared" si="34"/>
        <v>0.6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</row>
    <row r="30" spans="1:39" ht="13" customHeight="1" thickBot="1">
      <c r="A30" s="7302"/>
      <c r="B30" s="839"/>
      <c r="C30" s="839"/>
      <c r="D30" s="7303"/>
      <c r="E30" s="839"/>
      <c r="F30" s="839"/>
      <c r="G30" s="839"/>
      <c r="H30" s="839"/>
      <c r="I30" s="839"/>
      <c r="J30" s="839"/>
      <c r="K30" s="839"/>
      <c r="L30" s="2182">
        <f>L29+N29</f>
        <v>0.87398306843284146</v>
      </c>
      <c r="M30" s="839"/>
      <c r="N30" s="7313">
        <f>SUM(N25:N29)</f>
        <v>6.8427512877286031E-2</v>
      </c>
      <c r="O30" s="839"/>
      <c r="P30" s="839"/>
      <c r="Q30" s="839"/>
      <c r="R30" s="7314">
        <f>SUM(R25:R29)</f>
        <v>3600</v>
      </c>
      <c r="S30" s="2844">
        <f t="shared" si="26"/>
        <v>0</v>
      </c>
      <c r="T30" s="2845">
        <f t="shared" si="27"/>
        <v>0</v>
      </c>
      <c r="U30" s="374">
        <f t="shared" si="28"/>
        <v>0</v>
      </c>
      <c r="V30" s="2846">
        <f t="shared" si="29"/>
        <v>0</v>
      </c>
      <c r="W30" s="2847">
        <f t="shared" si="30"/>
        <v>0</v>
      </c>
      <c r="X30" s="2848">
        <f t="shared" si="31"/>
        <v>0</v>
      </c>
      <c r="Y30" s="2849">
        <f t="shared" si="32"/>
        <v>0</v>
      </c>
      <c r="Z30" s="2850">
        <f t="shared" si="33"/>
        <v>0</v>
      </c>
      <c r="AA30" s="2851">
        <f t="shared" si="34"/>
        <v>0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</row>
    <row r="31" spans="1:39" ht="13" customHeight="1">
      <c r="A31" s="7291" t="s">
        <v>215</v>
      </c>
      <c r="B31" s="7292" t="s">
        <v>215</v>
      </c>
      <c r="C31" s="2256">
        <f t="shared" ref="C31:C36" si="42">IF(D31=1,U$5,IF(D31=2,V$5,IF(D31=3,W$5,IF(D31=4,X$5,IF(D31=5,Y$5,IF(D31=6,Z$5,IF(D31=7,AA$5,0)))))))</f>
        <v>2.6611953542100597E-4</v>
      </c>
      <c r="D31" s="2309">
        <v>3</v>
      </c>
      <c r="E31" s="2257">
        <v>1</v>
      </c>
      <c r="F31" s="2257">
        <v>14</v>
      </c>
      <c r="G31" s="2257">
        <v>25</v>
      </c>
      <c r="H31" s="2258"/>
      <c r="I31" s="2258">
        <v>1.7361111111111112E-4</v>
      </c>
      <c r="J31" s="2258">
        <v>1.3888888888888889E-3</v>
      </c>
      <c r="K31" s="2355" t="s">
        <v>2276</v>
      </c>
      <c r="L31" s="2503">
        <v>0.34722222222222227</v>
      </c>
      <c r="M31" s="2326">
        <v>1.1000000000000001</v>
      </c>
      <c r="N31" s="2258">
        <f t="shared" ref="N31:N33" si="43">P31*E31*F31+I31*E31*F31+J31*E31</f>
        <v>7.9176852899279365E-3</v>
      </c>
      <c r="O31" s="2262">
        <f t="shared" ref="O31:O36" si="44">C31*(G31/25)</f>
        <v>2.6611953542100597E-4</v>
      </c>
      <c r="P31" s="2262">
        <f t="shared" ref="P31:P34" si="45">O31*M31</f>
        <v>2.9273148896310662E-4</v>
      </c>
      <c r="Q31" s="2274">
        <v>164</v>
      </c>
      <c r="R31" s="2257">
        <f t="shared" ref="R31:R34" si="46">E31*F31*G31</f>
        <v>350</v>
      </c>
      <c r="S31" s="2844">
        <f t="shared" si="26"/>
        <v>0.35</v>
      </c>
      <c r="T31" s="2845">
        <f t="shared" si="27"/>
        <v>1.4902693983576335E-2</v>
      </c>
      <c r="U31" s="374">
        <f t="shared" si="28"/>
        <v>0</v>
      </c>
      <c r="V31" s="2846">
        <f t="shared" si="29"/>
        <v>0</v>
      </c>
      <c r="W31" s="2847">
        <f t="shared" si="30"/>
        <v>0.35</v>
      </c>
      <c r="X31" s="2848">
        <f t="shared" si="31"/>
        <v>0</v>
      </c>
      <c r="Y31" s="2849">
        <f t="shared" si="32"/>
        <v>0</v>
      </c>
      <c r="Z31" s="2850">
        <f t="shared" si="33"/>
        <v>0</v>
      </c>
      <c r="AA31" s="2851">
        <f t="shared" si="34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</row>
    <row r="32" spans="1:39" ht="13" customHeight="1">
      <c r="A32" s="2183" t="s">
        <v>139</v>
      </c>
      <c r="B32" s="2184" t="s">
        <v>215</v>
      </c>
      <c r="C32" s="2256">
        <f t="shared" si="42"/>
        <v>2.3742556450502547E-4</v>
      </c>
      <c r="D32" s="3123">
        <v>5</v>
      </c>
      <c r="E32" s="3124">
        <v>1</v>
      </c>
      <c r="F32" s="3124">
        <v>8</v>
      </c>
      <c r="G32" s="3124">
        <v>15</v>
      </c>
      <c r="H32" s="2377"/>
      <c r="I32" s="2377">
        <v>8.6805555555555551E-4</v>
      </c>
      <c r="J32" s="2377">
        <v>1.3888888888888889E-3</v>
      </c>
      <c r="K32" s="3125" t="s">
        <v>2277</v>
      </c>
      <c r="L32" s="2515">
        <f t="shared" ref="L32:L34" si="47">L31+N31</f>
        <v>0.35513990751215019</v>
      </c>
      <c r="M32" s="3126">
        <v>0.8</v>
      </c>
      <c r="N32" s="2377">
        <f t="shared" si="43"/>
        <v>9.2450475010326313E-3</v>
      </c>
      <c r="O32" s="2271">
        <f t="shared" si="44"/>
        <v>1.4245533870301528E-4</v>
      </c>
      <c r="P32" s="2517">
        <f t="shared" si="45"/>
        <v>1.1396427096241223E-4</v>
      </c>
      <c r="Q32" s="2518">
        <v>164</v>
      </c>
      <c r="R32" s="3122">
        <f t="shared" si="46"/>
        <v>120</v>
      </c>
      <c r="S32" s="2844">
        <f t="shared" si="26"/>
        <v>0.12</v>
      </c>
      <c r="T32" s="2845">
        <f t="shared" si="27"/>
        <v>4.5585708384964889E-3</v>
      </c>
      <c r="U32" s="374">
        <f t="shared" si="28"/>
        <v>0</v>
      </c>
      <c r="V32" s="2846">
        <f t="shared" si="29"/>
        <v>0</v>
      </c>
      <c r="W32" s="2847">
        <f t="shared" si="30"/>
        <v>0</v>
      </c>
      <c r="X32" s="2848">
        <f t="shared" si="31"/>
        <v>0</v>
      </c>
      <c r="Y32" s="2849">
        <f t="shared" si="32"/>
        <v>0.12</v>
      </c>
      <c r="Z32" s="2850">
        <f t="shared" si="33"/>
        <v>0</v>
      </c>
      <c r="AA32" s="2851">
        <f t="shared" si="34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</row>
    <row r="33" spans="1:39" ht="13" customHeight="1">
      <c r="A33" s="2183" t="s">
        <v>458</v>
      </c>
      <c r="B33" s="2184" t="s">
        <v>215</v>
      </c>
      <c r="C33" s="2256">
        <f t="shared" si="42"/>
        <v>2.6611953542100597E-4</v>
      </c>
      <c r="D33" s="3123">
        <v>3</v>
      </c>
      <c r="E33" s="3124">
        <v>1</v>
      </c>
      <c r="F33" s="3124">
        <v>2</v>
      </c>
      <c r="G33" s="3124">
        <v>10</v>
      </c>
      <c r="H33" s="2377"/>
      <c r="I33" s="2377">
        <v>8.6805555555555551E-4</v>
      </c>
      <c r="J33" s="2377">
        <v>1.3888888888888889E-3</v>
      </c>
      <c r="K33" s="3125" t="s">
        <v>2278</v>
      </c>
      <c r="L33" s="2515">
        <f t="shared" si="47"/>
        <v>0.3643849550131828</v>
      </c>
      <c r="M33" s="3126">
        <v>0.8</v>
      </c>
      <c r="N33" s="2377">
        <f t="shared" si="43"/>
        <v>3.2953165026694438E-3</v>
      </c>
      <c r="O33" s="2271">
        <f t="shared" si="44"/>
        <v>1.0644781416840239E-4</v>
      </c>
      <c r="P33" s="2517">
        <f t="shared" si="45"/>
        <v>8.5158251334721915E-5</v>
      </c>
      <c r="Q33" s="2518">
        <v>164</v>
      </c>
      <c r="R33" s="3122">
        <f t="shared" si="46"/>
        <v>20</v>
      </c>
      <c r="S33" s="2844">
        <f t="shared" si="26"/>
        <v>0.02</v>
      </c>
      <c r="T33" s="2845">
        <f t="shared" si="27"/>
        <v>8.5158251334721915E-4</v>
      </c>
      <c r="U33" s="374">
        <f t="shared" si="28"/>
        <v>0</v>
      </c>
      <c r="V33" s="2846">
        <f t="shared" si="29"/>
        <v>0</v>
      </c>
      <c r="W33" s="2847">
        <f t="shared" si="30"/>
        <v>0.02</v>
      </c>
      <c r="X33" s="2848">
        <f t="shared" si="31"/>
        <v>0</v>
      </c>
      <c r="Y33" s="2849">
        <f t="shared" si="32"/>
        <v>0</v>
      </c>
      <c r="Z33" s="2850">
        <f t="shared" si="33"/>
        <v>0</v>
      </c>
      <c r="AA33" s="2851">
        <f t="shared" si="34"/>
        <v>0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</row>
    <row r="34" spans="1:39" ht="13" customHeight="1" thickBot="1">
      <c r="A34" s="2183" t="s">
        <v>462</v>
      </c>
      <c r="B34" s="2184" t="s">
        <v>215</v>
      </c>
      <c r="C34" s="2256">
        <f t="shared" si="42"/>
        <v>2.3742556450502547E-4</v>
      </c>
      <c r="D34" s="2505">
        <v>5</v>
      </c>
      <c r="E34" s="2883">
        <v>1</v>
      </c>
      <c r="F34" s="2883">
        <v>8</v>
      </c>
      <c r="G34" s="2883">
        <v>10</v>
      </c>
      <c r="H34" s="2264"/>
      <c r="I34" s="2264">
        <v>3.4722222222222224E-4</v>
      </c>
      <c r="J34" s="2264">
        <v>2.0833333333333333E-3</v>
      </c>
      <c r="K34" s="2884" t="s">
        <v>2279</v>
      </c>
      <c r="L34" s="2508">
        <f t="shared" si="47"/>
        <v>0.36768027151585225</v>
      </c>
      <c r="M34" s="2509">
        <v>1</v>
      </c>
      <c r="N34" s="2264">
        <f>P34*E34*F34+I34*E34*F34+J34*E34</f>
        <v>5.6208729175271921E-3</v>
      </c>
      <c r="O34" s="2265">
        <f t="shared" si="44"/>
        <v>9.4970225802010194E-5</v>
      </c>
      <c r="P34" s="2185">
        <f t="shared" si="45"/>
        <v>9.4970225802010194E-5</v>
      </c>
      <c r="Q34" s="2518" t="s">
        <v>278</v>
      </c>
      <c r="R34" s="3122">
        <f t="shared" si="46"/>
        <v>80</v>
      </c>
      <c r="S34" s="2844">
        <f t="shared" si="26"/>
        <v>0.08</v>
      </c>
      <c r="T34" s="2845">
        <f t="shared" si="27"/>
        <v>3.0390472256643262E-3</v>
      </c>
      <c r="U34" s="374">
        <f t="shared" si="28"/>
        <v>0</v>
      </c>
      <c r="V34" s="2846">
        <f t="shared" si="29"/>
        <v>0</v>
      </c>
      <c r="W34" s="2847">
        <f t="shared" si="30"/>
        <v>0</v>
      </c>
      <c r="X34" s="2848">
        <f t="shared" si="31"/>
        <v>0</v>
      </c>
      <c r="Y34" s="2849">
        <f t="shared" si="32"/>
        <v>0.08</v>
      </c>
      <c r="Z34" s="2850">
        <f t="shared" si="33"/>
        <v>0</v>
      </c>
      <c r="AA34" s="2851">
        <f t="shared" si="34"/>
        <v>0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</row>
    <row r="35" spans="1:39" ht="13" customHeight="1">
      <c r="A35" s="2183" t="s">
        <v>140</v>
      </c>
      <c r="B35" s="2184" t="s">
        <v>215</v>
      </c>
      <c r="C35" s="2256">
        <f t="shared" si="42"/>
        <v>2.7472886659807961E-4</v>
      </c>
      <c r="D35" s="1920">
        <v>2</v>
      </c>
      <c r="E35" s="2887">
        <v>1</v>
      </c>
      <c r="F35" s="2887">
        <v>10</v>
      </c>
      <c r="G35" s="2887">
        <v>40</v>
      </c>
      <c r="H35" s="3141"/>
      <c r="I35" s="2284">
        <v>4.6296296296296293E-4</v>
      </c>
      <c r="J35" s="2284">
        <v>1.3888888888888889E-3</v>
      </c>
      <c r="K35" s="2888" t="s">
        <v>2282</v>
      </c>
      <c r="L35" s="3142">
        <f>L34+N34</f>
        <v>0.37330114443337947</v>
      </c>
      <c r="M35" s="3143">
        <v>0.9</v>
      </c>
      <c r="N35" s="3142">
        <f>P35*E35*F35+I35*E35*F35+J35*E35</f>
        <v>9.9746141975308646E-3</v>
      </c>
      <c r="O35" s="3144">
        <f t="shared" si="44"/>
        <v>4.3956618655692742E-4</v>
      </c>
      <c r="P35" s="3145">
        <f>O35*M35</f>
        <v>3.9560956790123466E-4</v>
      </c>
      <c r="Q35" s="3132">
        <v>147</v>
      </c>
      <c r="R35" s="3133">
        <f>E35*F35*G35</f>
        <v>400</v>
      </c>
      <c r="S35" s="2844">
        <f t="shared" si="26"/>
        <v>0.4</v>
      </c>
      <c r="T35" s="2845">
        <f t="shared" si="27"/>
        <v>1.7582647462277098E-2</v>
      </c>
      <c r="U35" s="374">
        <f t="shared" si="28"/>
        <v>0</v>
      </c>
      <c r="V35" s="2846">
        <f t="shared" si="29"/>
        <v>0.4</v>
      </c>
      <c r="W35" s="2847">
        <f t="shared" si="30"/>
        <v>0</v>
      </c>
      <c r="X35" s="2848">
        <f t="shared" si="31"/>
        <v>0</v>
      </c>
      <c r="Y35" s="2849">
        <f t="shared" si="32"/>
        <v>0</v>
      </c>
      <c r="Z35" s="2850">
        <f t="shared" si="33"/>
        <v>0</v>
      </c>
      <c r="AA35" s="2851">
        <f t="shared" si="34"/>
        <v>0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</row>
    <row r="36" spans="1:39" ht="13" customHeight="1">
      <c r="A36" s="2183" t="s">
        <v>674</v>
      </c>
      <c r="B36" s="2184" t="s">
        <v>215</v>
      </c>
      <c r="C36" s="2256">
        <f t="shared" si="42"/>
        <v>2.2173032407407406E-4</v>
      </c>
      <c r="D36" s="2309">
        <v>7</v>
      </c>
      <c r="E36" s="6355">
        <v>1</v>
      </c>
      <c r="F36" s="6355">
        <v>15</v>
      </c>
      <c r="G36" s="6355">
        <v>7.5</v>
      </c>
      <c r="H36" s="6356" t="s">
        <v>2280</v>
      </c>
      <c r="I36" s="6356">
        <v>4.6296296296296293E-4</v>
      </c>
      <c r="J36" s="6356">
        <v>0</v>
      </c>
      <c r="K36" s="6357" t="s">
        <v>2281</v>
      </c>
      <c r="L36" s="6358">
        <f>L35+N35</f>
        <v>0.38327575863091035</v>
      </c>
      <c r="M36" s="6359">
        <v>0.8</v>
      </c>
      <c r="N36" s="6356">
        <f>P36*E36*F36+I36*E36*F36+J36*E36</f>
        <v>7.7426736111111108E-3</v>
      </c>
      <c r="O36" s="6360">
        <f t="shared" si="44"/>
        <v>6.6519097222222221E-5</v>
      </c>
      <c r="P36" s="6360">
        <f>O36*M36</f>
        <v>5.3215277777777781E-5</v>
      </c>
      <c r="Q36" s="6361" t="s">
        <v>316</v>
      </c>
      <c r="R36" s="6355">
        <f>E36*F36*G36</f>
        <v>112.5</v>
      </c>
      <c r="S36" s="2844">
        <f t="shared" si="26"/>
        <v>0.1125</v>
      </c>
      <c r="T36" s="2845">
        <f t="shared" si="27"/>
        <v>3.9911458333333335E-3</v>
      </c>
      <c r="U36" s="374">
        <f t="shared" si="28"/>
        <v>0</v>
      </c>
      <c r="V36" s="2846">
        <f t="shared" si="29"/>
        <v>0</v>
      </c>
      <c r="W36" s="2847">
        <f t="shared" si="30"/>
        <v>0</v>
      </c>
      <c r="X36" s="2848">
        <f t="shared" si="31"/>
        <v>0</v>
      </c>
      <c r="Y36" s="2849">
        <f t="shared" si="32"/>
        <v>0</v>
      </c>
      <c r="Z36" s="2850">
        <f t="shared" si="33"/>
        <v>0</v>
      </c>
      <c r="AA36" s="2851">
        <f t="shared" si="34"/>
        <v>0.1125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</row>
    <row r="37" spans="1:39" ht="13" customHeight="1">
      <c r="A37" s="2183" t="s">
        <v>214</v>
      </c>
      <c r="B37" s="2184"/>
      <c r="C37" s="2256"/>
      <c r="D37" s="2335"/>
      <c r="E37" s="2336"/>
      <c r="F37" s="2336"/>
      <c r="G37" s="2336"/>
      <c r="H37" s="2337"/>
      <c r="I37" s="2337"/>
      <c r="J37" s="2337"/>
      <c r="K37" s="2338"/>
      <c r="L37" s="2182">
        <f>L36+N36</f>
        <v>0.39101843224202143</v>
      </c>
      <c r="M37" s="2502"/>
      <c r="N37" s="2528">
        <f>SUM(N31:N36)</f>
        <v>4.3796210019799178E-2</v>
      </c>
      <c r="O37" s="2359"/>
      <c r="P37" s="2359"/>
      <c r="Q37" s="2341"/>
      <c r="R37" s="2529">
        <f>SUM(R31:R36)</f>
        <v>1082.5</v>
      </c>
      <c r="S37" s="2844">
        <f t="shared" si="26"/>
        <v>0</v>
      </c>
      <c r="T37" s="2845">
        <f t="shared" si="27"/>
        <v>0</v>
      </c>
      <c r="U37" s="374">
        <f t="shared" si="28"/>
        <v>0</v>
      </c>
      <c r="V37" s="2846">
        <f t="shared" si="29"/>
        <v>0</v>
      </c>
      <c r="W37" s="2847">
        <f t="shared" si="30"/>
        <v>0</v>
      </c>
      <c r="X37" s="2848">
        <f t="shared" si="31"/>
        <v>0</v>
      </c>
      <c r="Y37" s="2849">
        <f t="shared" si="32"/>
        <v>0</v>
      </c>
      <c r="Z37" s="2850">
        <f t="shared" si="33"/>
        <v>0</v>
      </c>
      <c r="AA37" s="2851">
        <f t="shared" si="34"/>
        <v>0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</row>
    <row r="38" spans="1:39" ht="13" customHeight="1">
      <c r="A38" s="2183"/>
      <c r="B38" s="2184" t="s">
        <v>461</v>
      </c>
      <c r="C38" s="7317">
        <f>IF(D38=1,U$5,IF(D38=2,V$5,IF(D38=3,W$5,IF(D38=4,X$5,IF(D38=5,Y$5,IF(D38=6,Z$5,IF(D38=7,AA$5,0)))))))</f>
        <v>2.7472886659807961E-4</v>
      </c>
      <c r="D38" s="7324">
        <v>2</v>
      </c>
      <c r="E38" s="7325">
        <v>1</v>
      </c>
      <c r="F38" s="7325">
        <v>1</v>
      </c>
      <c r="G38" s="7325">
        <v>200</v>
      </c>
      <c r="H38" s="7326"/>
      <c r="I38" s="7326">
        <v>2.3148148148148146E-4</v>
      </c>
      <c r="J38" s="7326">
        <v>1.3888888888888889E-3</v>
      </c>
      <c r="K38" s="7327" t="s">
        <v>670</v>
      </c>
      <c r="L38" s="2423">
        <v>0.79513888888888884</v>
      </c>
      <c r="M38" s="7329">
        <v>1.1000000000000001</v>
      </c>
      <c r="N38" s="7326">
        <f>P38*E38*F38+I38*E38*F38+J38*E38</f>
        <v>4.1105128172153641E-3</v>
      </c>
      <c r="O38" s="7330">
        <f>C38*8*1.03</f>
        <v>2.263765860768176E-3</v>
      </c>
      <c r="P38" s="7330">
        <f>O38*M38</f>
        <v>2.4901424468449936E-3</v>
      </c>
      <c r="Q38" s="7331">
        <v>147</v>
      </c>
      <c r="R38" s="7332">
        <f>E38*F38*G38</f>
        <v>200</v>
      </c>
      <c r="S38" s="2844">
        <f t="shared" si="26"/>
        <v>0.2</v>
      </c>
      <c r="T38" s="2845">
        <f t="shared" si="27"/>
        <v>9.0550634430727039E-3</v>
      </c>
      <c r="U38" s="374">
        <f t="shared" si="28"/>
        <v>0</v>
      </c>
      <c r="V38" s="2846">
        <f t="shared" si="29"/>
        <v>0.2</v>
      </c>
      <c r="W38" s="2847">
        <f t="shared" si="30"/>
        <v>0</v>
      </c>
      <c r="X38" s="2848">
        <f t="shared" si="31"/>
        <v>0</v>
      </c>
      <c r="Y38" s="2849">
        <f t="shared" si="32"/>
        <v>0</v>
      </c>
      <c r="Z38" s="2850">
        <f t="shared" si="33"/>
        <v>0</v>
      </c>
      <c r="AA38" s="2851">
        <f t="shared" si="34"/>
        <v>0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</row>
    <row r="39" spans="1:39" ht="13" customHeight="1">
      <c r="A39" s="2183"/>
      <c r="B39" s="2184" t="s">
        <v>461</v>
      </c>
      <c r="C39" s="7317">
        <f t="shared" ref="C39" si="48">IF(D39=1,U$5,IF(D39=2,V$5,IF(D39=3,W$5,IF(D39=4,X$5,IF(D39=5,Y$5,IF(D39=6,Z$5,IF(D39=7,AA$5,0)))))))</f>
        <v>2.5389928485913701E-4</v>
      </c>
      <c r="D39" s="7324">
        <v>4</v>
      </c>
      <c r="E39" s="7325">
        <v>1</v>
      </c>
      <c r="F39" s="7325">
        <v>5</v>
      </c>
      <c r="G39" s="7325">
        <v>105</v>
      </c>
      <c r="H39" s="2258"/>
      <c r="I39" s="2258">
        <v>3.4722222222222224E-4</v>
      </c>
      <c r="J39" s="7360">
        <v>1.3888888888888889E-3</v>
      </c>
      <c r="K39" s="7361" t="s">
        <v>2506</v>
      </c>
      <c r="L39" s="2508">
        <f t="shared" ref="L39" si="49">L38+N38</f>
        <v>0.79924940170610426</v>
      </c>
      <c r="M39" s="2509">
        <v>1.1000000000000001</v>
      </c>
      <c r="N39" s="2264">
        <f>P39*E39*F39+I39*E39*F39+J39*E39</f>
        <v>1.4966862645830154E-2</v>
      </c>
      <c r="O39" s="7364">
        <f>C39*8*1.06</f>
        <v>2.153065935605482E-3</v>
      </c>
      <c r="P39" s="3145">
        <f>O39*M39</f>
        <v>2.3683725291660305E-3</v>
      </c>
      <c r="Q39" s="2518">
        <v>196</v>
      </c>
      <c r="R39" s="3122">
        <f>E39*F39*G39</f>
        <v>525</v>
      </c>
      <c r="S39" s="2844">
        <f t="shared" si="26"/>
        <v>0.52500000000000002</v>
      </c>
      <c r="T39" s="2845">
        <f t="shared" si="27"/>
        <v>4.3061318712109636E-2</v>
      </c>
      <c r="U39" s="374">
        <f t="shared" si="28"/>
        <v>0</v>
      </c>
      <c r="V39" s="2846">
        <f t="shared" si="29"/>
        <v>0</v>
      </c>
      <c r="W39" s="2847">
        <f t="shared" si="30"/>
        <v>0</v>
      </c>
      <c r="X39" s="2848">
        <f t="shared" si="31"/>
        <v>0.52500000000000002</v>
      </c>
      <c r="Y39" s="2849">
        <f t="shared" si="32"/>
        <v>0</v>
      </c>
      <c r="Z39" s="2850">
        <f t="shared" si="33"/>
        <v>0</v>
      </c>
      <c r="AA39" s="2851">
        <f t="shared" si="34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</row>
    <row r="40" spans="1:39" ht="13" customHeight="1">
      <c r="A40" s="2183"/>
      <c r="B40" s="2184" t="s">
        <v>461</v>
      </c>
      <c r="C40" s="7317">
        <f t="shared" ref="C40:C45" si="50">IF(D40=1,U$5,IF(D40=2,V$5,IF(D40=3,W$5,IF(D40=4,X$5,IF(D40=5,Y$5,IF(D40=6,Z$5,IF(D40=7,AA$5,0)))))))</f>
        <v>2.869200295485578E-4</v>
      </c>
      <c r="D40" s="7324">
        <v>1</v>
      </c>
      <c r="E40" s="7340">
        <v>1</v>
      </c>
      <c r="F40" s="7340">
        <v>4</v>
      </c>
      <c r="G40" s="7340">
        <v>25</v>
      </c>
      <c r="H40" s="7341"/>
      <c r="I40" s="7341">
        <v>5.7870370370370366E-5</v>
      </c>
      <c r="J40" s="7341">
        <v>1.3888888888888889E-3</v>
      </c>
      <c r="K40" s="7357" t="s">
        <v>88</v>
      </c>
      <c r="L40" s="7343">
        <v>0.80555555555555547</v>
      </c>
      <c r="M40" s="7358">
        <v>1.1000000000000001</v>
      </c>
      <c r="N40" s="7341">
        <f t="shared" ref="N40:N45" si="51">P40*E40*F40+I40*E40*F40+J40*E40</f>
        <v>2.8828185003840247E-3</v>
      </c>
      <c r="O40" s="7345">
        <f>C40</f>
        <v>2.869200295485578E-4</v>
      </c>
      <c r="P40" s="7345">
        <f t="shared" ref="P40:P45" si="52">O40*M40</f>
        <v>3.1561203250341359E-4</v>
      </c>
      <c r="Q40" s="7346">
        <v>146</v>
      </c>
      <c r="R40" s="7347">
        <f t="shared" ref="R40:R45" si="53">E40*F40*G40</f>
        <v>100</v>
      </c>
      <c r="S40" s="2844">
        <f t="shared" si="26"/>
        <v>0.1</v>
      </c>
      <c r="T40" s="2845">
        <f t="shared" si="27"/>
        <v>4.5907204727769248E-3</v>
      </c>
      <c r="U40" s="374">
        <f t="shared" si="28"/>
        <v>0.1</v>
      </c>
      <c r="V40" s="2846">
        <f t="shared" si="29"/>
        <v>0</v>
      </c>
      <c r="W40" s="2847">
        <f t="shared" si="30"/>
        <v>0</v>
      </c>
      <c r="X40" s="2848">
        <f t="shared" si="31"/>
        <v>0</v>
      </c>
      <c r="Y40" s="2849">
        <f t="shared" si="32"/>
        <v>0</v>
      </c>
      <c r="Z40" s="2850">
        <f t="shared" si="33"/>
        <v>0</v>
      </c>
      <c r="AA40" s="2851">
        <f t="shared" si="34"/>
        <v>0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</row>
    <row r="41" spans="1:39" ht="13" customHeight="1">
      <c r="A41" s="2183" t="s">
        <v>214</v>
      </c>
      <c r="B41" s="2184" t="s">
        <v>461</v>
      </c>
      <c r="C41" s="7317">
        <f t="shared" si="50"/>
        <v>2.5389928485913701E-4</v>
      </c>
      <c r="D41" s="7324">
        <v>4</v>
      </c>
      <c r="E41" s="7359">
        <v>1</v>
      </c>
      <c r="F41" s="7359">
        <v>5</v>
      </c>
      <c r="G41" s="7359">
        <v>200</v>
      </c>
      <c r="H41" s="7360"/>
      <c r="I41" s="7360">
        <v>3.4722222222222224E-4</v>
      </c>
      <c r="J41" s="7360">
        <v>1.3888888888888889E-3</v>
      </c>
      <c r="K41" s="7361" t="s">
        <v>2507</v>
      </c>
      <c r="L41" s="7362">
        <f t="shared" ref="L41:L46" si="54">L40+N40</f>
        <v>0.80843837405593955</v>
      </c>
      <c r="M41" s="7363">
        <v>1.1000000000000001</v>
      </c>
      <c r="N41" s="7360">
        <f>P41*E41*F41+I41*E41*F41+J41*E41</f>
        <v>1.4966862645830154E-2</v>
      </c>
      <c r="O41" s="7364">
        <f>C41*8*1.06</f>
        <v>2.153065935605482E-3</v>
      </c>
      <c r="P41" s="7364">
        <f>O41*M41</f>
        <v>2.3683725291660305E-3</v>
      </c>
      <c r="Q41" s="7365">
        <v>196</v>
      </c>
      <c r="R41" s="7366">
        <f>E41*F41*G41</f>
        <v>1000</v>
      </c>
      <c r="S41" s="2844">
        <f t="shared" si="26"/>
        <v>1</v>
      </c>
      <c r="T41" s="2845">
        <f t="shared" si="27"/>
        <v>4.3061318712109636E-2</v>
      </c>
      <c r="U41" s="374">
        <f t="shared" si="28"/>
        <v>0</v>
      </c>
      <c r="V41" s="2846">
        <f t="shared" si="29"/>
        <v>0</v>
      </c>
      <c r="W41" s="2847">
        <f t="shared" si="30"/>
        <v>0</v>
      </c>
      <c r="X41" s="2848">
        <f t="shared" si="31"/>
        <v>1</v>
      </c>
      <c r="Y41" s="2849">
        <f t="shared" si="32"/>
        <v>0</v>
      </c>
      <c r="Z41" s="2850">
        <f t="shared" si="33"/>
        <v>0</v>
      </c>
      <c r="AA41" s="2851">
        <f t="shared" si="34"/>
        <v>0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</row>
    <row r="42" spans="1:39" ht="13" customHeight="1">
      <c r="A42" s="2183" t="s">
        <v>458</v>
      </c>
      <c r="B42" s="2184" t="s">
        <v>461</v>
      </c>
      <c r="C42" s="7317">
        <f t="shared" si="50"/>
        <v>2.6611953542100597E-4</v>
      </c>
      <c r="D42" s="7324">
        <v>3</v>
      </c>
      <c r="E42" s="7325">
        <v>1</v>
      </c>
      <c r="F42" s="7405">
        <v>16</v>
      </c>
      <c r="G42" s="7325">
        <v>25</v>
      </c>
      <c r="H42" s="7406"/>
      <c r="I42" s="7400">
        <v>5.7870370370370366E-5</v>
      </c>
      <c r="J42" s="7406">
        <v>1.3888888888888889E-3</v>
      </c>
      <c r="K42" s="7401" t="s">
        <v>284</v>
      </c>
      <c r="L42" s="7407">
        <f t="shared" si="54"/>
        <v>0.82340523670176968</v>
      </c>
      <c r="M42" s="7402">
        <v>1.1000000000000001</v>
      </c>
      <c r="N42" s="7406">
        <f t="shared" si="51"/>
        <v>6.9985186382245206E-3</v>
      </c>
      <c r="O42" s="7403">
        <f>C42</f>
        <v>2.6611953542100597E-4</v>
      </c>
      <c r="P42" s="7408">
        <f t="shared" si="52"/>
        <v>2.9273148896310662E-4</v>
      </c>
      <c r="Q42" s="7404">
        <v>164</v>
      </c>
      <c r="R42" s="7409">
        <f>E42*F42*G42</f>
        <v>400</v>
      </c>
      <c r="S42" s="2844">
        <f t="shared" si="26"/>
        <v>0.4</v>
      </c>
      <c r="T42" s="2845">
        <f t="shared" si="27"/>
        <v>1.7031650266944382E-2</v>
      </c>
      <c r="U42" s="374">
        <f t="shared" si="28"/>
        <v>0</v>
      </c>
      <c r="V42" s="2846">
        <f t="shared" si="29"/>
        <v>0</v>
      </c>
      <c r="W42" s="2847">
        <f t="shared" si="30"/>
        <v>0.4</v>
      </c>
      <c r="X42" s="2848">
        <f t="shared" si="31"/>
        <v>0</v>
      </c>
      <c r="Y42" s="2849">
        <f t="shared" si="32"/>
        <v>0</v>
      </c>
      <c r="Z42" s="2850">
        <f t="shared" si="33"/>
        <v>0</v>
      </c>
      <c r="AA42" s="2851">
        <f t="shared" si="34"/>
        <v>0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</row>
    <row r="43" spans="1:39" ht="13" customHeight="1">
      <c r="A43" s="2183" t="s">
        <v>219</v>
      </c>
      <c r="B43" s="2184" t="s">
        <v>461</v>
      </c>
      <c r="C43" s="7317">
        <f t="shared" si="50"/>
        <v>2.7472886659807961E-4</v>
      </c>
      <c r="D43" s="7324">
        <v>2</v>
      </c>
      <c r="E43" s="7325">
        <v>1</v>
      </c>
      <c r="F43" s="7325">
        <v>4</v>
      </c>
      <c r="G43" s="7325">
        <v>200</v>
      </c>
      <c r="H43" s="7326"/>
      <c r="I43" s="7326">
        <v>2.3148148148148146E-4</v>
      </c>
      <c r="J43" s="7326">
        <v>1.3888888888888889E-3</v>
      </c>
      <c r="K43" s="7327" t="s">
        <v>2513</v>
      </c>
      <c r="L43" s="7328">
        <f t="shared" si="54"/>
        <v>0.83040375533999422</v>
      </c>
      <c r="M43" s="7329">
        <v>1</v>
      </c>
      <c r="N43" s="7326">
        <f t="shared" si="51"/>
        <v>1.1369878257887519E-2</v>
      </c>
      <c r="O43" s="7330">
        <f>C43*8*1.03</f>
        <v>2.263765860768176E-3</v>
      </c>
      <c r="P43" s="7330">
        <f t="shared" si="52"/>
        <v>2.263765860768176E-3</v>
      </c>
      <c r="Q43" s="7331">
        <v>147</v>
      </c>
      <c r="R43" s="7332">
        <f t="shared" si="53"/>
        <v>800</v>
      </c>
      <c r="S43" s="2844">
        <f t="shared" si="26"/>
        <v>0.8</v>
      </c>
      <c r="T43" s="2845">
        <f t="shared" si="27"/>
        <v>3.6220253772290815E-2</v>
      </c>
      <c r="U43" s="374">
        <f t="shared" si="28"/>
        <v>0</v>
      </c>
      <c r="V43" s="2846">
        <f t="shared" si="29"/>
        <v>0.8</v>
      </c>
      <c r="W43" s="2847">
        <f t="shared" si="30"/>
        <v>0</v>
      </c>
      <c r="X43" s="2848">
        <f t="shared" si="31"/>
        <v>0</v>
      </c>
      <c r="Y43" s="2849">
        <f t="shared" si="32"/>
        <v>0</v>
      </c>
      <c r="Z43" s="2850">
        <f t="shared" si="33"/>
        <v>0</v>
      </c>
      <c r="AA43" s="2851">
        <f t="shared" si="34"/>
        <v>0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</row>
    <row r="44" spans="1:39" ht="13" customHeight="1">
      <c r="A44" s="2183" t="s">
        <v>219</v>
      </c>
      <c r="B44" s="2184" t="s">
        <v>461</v>
      </c>
      <c r="C44" s="7317">
        <f t="shared" si="50"/>
        <v>2.3742556450502547E-4</v>
      </c>
      <c r="D44" s="4794">
        <v>5</v>
      </c>
      <c r="E44" s="7367">
        <v>2</v>
      </c>
      <c r="F44" s="7318">
        <v>1</v>
      </c>
      <c r="G44" s="7367">
        <f>100+2*50</f>
        <v>200</v>
      </c>
      <c r="H44" s="7319"/>
      <c r="I44" s="7319">
        <v>5.7870370370370366E-5</v>
      </c>
      <c r="J44" s="7319">
        <v>2.0833333333333333E-3</v>
      </c>
      <c r="K44" s="7368" t="s">
        <v>2488</v>
      </c>
      <c r="L44" s="7320">
        <f t="shared" si="54"/>
        <v>0.84177363359788171</v>
      </c>
      <c r="M44" s="2509">
        <v>1</v>
      </c>
      <c r="N44" s="7319">
        <f t="shared" si="51"/>
        <v>8.2331688007710319E-3</v>
      </c>
      <c r="O44" s="7321">
        <f>C44*8*1.04</f>
        <v>1.9753806966818122E-3</v>
      </c>
      <c r="P44" s="2185">
        <f t="shared" si="52"/>
        <v>1.9753806966818122E-3</v>
      </c>
      <c r="Q44" s="7322" t="s">
        <v>278</v>
      </c>
      <c r="R44" s="7323">
        <f t="shared" si="53"/>
        <v>400</v>
      </c>
      <c r="S44" s="2844">
        <f t="shared" si="26"/>
        <v>0.4</v>
      </c>
      <c r="T44" s="2845">
        <f t="shared" si="27"/>
        <v>1.5803045573454497E-2</v>
      </c>
      <c r="U44" s="374">
        <f t="shared" si="28"/>
        <v>0</v>
      </c>
      <c r="V44" s="2846">
        <f t="shared" si="29"/>
        <v>0</v>
      </c>
      <c r="W44" s="2847">
        <f t="shared" si="30"/>
        <v>0</v>
      </c>
      <c r="X44" s="2848">
        <f t="shared" si="31"/>
        <v>0</v>
      </c>
      <c r="Y44" s="2849">
        <f t="shared" si="32"/>
        <v>0.4</v>
      </c>
      <c r="Z44" s="2850">
        <f t="shared" si="33"/>
        <v>0</v>
      </c>
      <c r="AA44" s="2851">
        <f t="shared" si="34"/>
        <v>0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</row>
    <row r="45" spans="1:39" ht="13" customHeight="1">
      <c r="A45" s="2183"/>
      <c r="B45" s="3336" t="s">
        <v>461</v>
      </c>
      <c r="C45" s="7317">
        <f t="shared" si="50"/>
        <v>2.2173032407407406E-4</v>
      </c>
      <c r="D45" s="7324">
        <v>7</v>
      </c>
      <c r="E45" s="7369">
        <v>2</v>
      </c>
      <c r="F45" s="7369">
        <v>6</v>
      </c>
      <c r="G45" s="7369">
        <v>25</v>
      </c>
      <c r="H45" s="7370"/>
      <c r="I45" s="7370">
        <v>4.6296296296296293E-4</v>
      </c>
      <c r="J45" s="7370">
        <v>1.0416666666666667E-3</v>
      </c>
      <c r="K45" s="4355" t="s">
        <v>2489</v>
      </c>
      <c r="L45" s="7336">
        <f t="shared" si="54"/>
        <v>0.85000680239865278</v>
      </c>
      <c r="M45" s="7371">
        <v>1</v>
      </c>
      <c r="N45" s="7370">
        <f t="shared" si="51"/>
        <v>1.0299652777777776E-2</v>
      </c>
      <c r="O45" s="7338">
        <f>C45</f>
        <v>2.2173032407407406E-4</v>
      </c>
      <c r="P45" s="2517">
        <f t="shared" si="52"/>
        <v>2.2173032407407406E-4</v>
      </c>
      <c r="Q45" s="4360" t="s">
        <v>274</v>
      </c>
      <c r="R45" s="7312">
        <f t="shared" si="53"/>
        <v>300</v>
      </c>
      <c r="S45" s="2844">
        <f t="shared" si="26"/>
        <v>0.3</v>
      </c>
      <c r="T45" s="2845">
        <f t="shared" si="27"/>
        <v>1.0643055555555555E-2</v>
      </c>
      <c r="U45" s="374">
        <f t="shared" si="28"/>
        <v>0</v>
      </c>
      <c r="V45" s="2846">
        <f t="shared" si="29"/>
        <v>0</v>
      </c>
      <c r="W45" s="2847">
        <f t="shared" si="30"/>
        <v>0</v>
      </c>
      <c r="X45" s="2848">
        <f t="shared" si="31"/>
        <v>0</v>
      </c>
      <c r="Y45" s="2849">
        <f t="shared" si="32"/>
        <v>0</v>
      </c>
      <c r="Z45" s="2850">
        <f t="shared" si="33"/>
        <v>0</v>
      </c>
      <c r="AA45" s="2851">
        <f t="shared" si="34"/>
        <v>0.3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</row>
    <row r="46" spans="1:39" ht="13" customHeight="1" thickBot="1">
      <c r="A46" s="7302"/>
      <c r="B46" s="839"/>
      <c r="C46" s="839"/>
      <c r="D46" s="7303"/>
      <c r="E46" s="839"/>
      <c r="F46" s="839"/>
      <c r="G46" s="839"/>
      <c r="H46" s="839"/>
      <c r="I46" s="839"/>
      <c r="J46" s="839"/>
      <c r="K46" s="839"/>
      <c r="L46" s="2182">
        <f t="shared" si="54"/>
        <v>0.86030645517643056</v>
      </c>
      <c r="M46" s="839"/>
      <c r="N46" s="7313">
        <f>SUM(N40:N45)</f>
        <v>5.4750899620875024E-2</v>
      </c>
      <c r="O46" s="839"/>
      <c r="P46" s="839"/>
      <c r="Q46" s="839"/>
      <c r="R46" s="7314">
        <f>SUM(R38:R45)</f>
        <v>3725</v>
      </c>
      <c r="S46" s="2844">
        <f t="shared" si="26"/>
        <v>0</v>
      </c>
      <c r="T46" s="2845">
        <f t="shared" si="27"/>
        <v>0</v>
      </c>
      <c r="U46" s="374">
        <f t="shared" si="28"/>
        <v>0</v>
      </c>
      <c r="V46" s="2846">
        <f t="shared" si="29"/>
        <v>0</v>
      </c>
      <c r="W46" s="2847">
        <f t="shared" si="30"/>
        <v>0</v>
      </c>
      <c r="X46" s="2848">
        <f t="shared" si="31"/>
        <v>0</v>
      </c>
      <c r="Y46" s="2849">
        <f t="shared" si="32"/>
        <v>0</v>
      </c>
      <c r="Z46" s="2850">
        <f t="shared" si="33"/>
        <v>0</v>
      </c>
      <c r="AA46" s="2851">
        <f t="shared" si="34"/>
        <v>0</v>
      </c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</row>
    <row r="47" spans="1:39" ht="13" customHeight="1" thickBot="1">
      <c r="A47" s="7316" t="s">
        <v>217</v>
      </c>
      <c r="B47" s="7316" t="s">
        <v>215</v>
      </c>
      <c r="C47" s="629">
        <f t="shared" ref="C47:C56" si="55">IF(D47=1,U$4,IF(D47=2,V$4,IF(D47=3,W$4,IF(D47=4,X$4,IF(D47=5,Y$4,IF(D47=6,Z$4,IF(D47=7,AA$4,0)))))))</f>
        <v>1.1476801181942312E-3</v>
      </c>
      <c r="D47" s="2335">
        <v>1</v>
      </c>
      <c r="E47" s="2336">
        <v>1</v>
      </c>
      <c r="F47" s="2336">
        <v>1</v>
      </c>
      <c r="G47" s="2336">
        <v>400</v>
      </c>
      <c r="H47" s="2337"/>
      <c r="I47" s="2337">
        <v>0</v>
      </c>
      <c r="J47" s="2337">
        <v>0</v>
      </c>
      <c r="K47" s="2886" t="s">
        <v>269</v>
      </c>
      <c r="L47" s="7343">
        <v>0.2951388888888889</v>
      </c>
      <c r="M47" s="2502">
        <v>1</v>
      </c>
      <c r="N47" s="2337">
        <f t="shared" ref="N47:N55" si="56">P47*E47*F47+I47*E47*F47+J47*E47</f>
        <v>9.4568841739204653E-3</v>
      </c>
      <c r="O47" s="2526">
        <f>C47*8*1.03</f>
        <v>9.4568841739204653E-3</v>
      </c>
      <c r="P47" s="2359">
        <f t="shared" ref="P47:P55" si="57">O47*M47</f>
        <v>9.4568841739204653E-3</v>
      </c>
      <c r="Q47" s="2341">
        <v>147</v>
      </c>
      <c r="R47" s="2336">
        <f t="shared" ref="R47:R55" si="58">E47*F47*G47</f>
        <v>400</v>
      </c>
      <c r="S47" s="2844">
        <f t="shared" si="26"/>
        <v>0.4</v>
      </c>
      <c r="T47" s="2845">
        <f t="shared" si="27"/>
        <v>3.7827536695681861E-2</v>
      </c>
      <c r="U47" s="374">
        <f t="shared" si="28"/>
        <v>0.4</v>
      </c>
      <c r="V47" s="2846">
        <f t="shared" si="29"/>
        <v>0</v>
      </c>
      <c r="W47" s="2847">
        <f t="shared" si="30"/>
        <v>0</v>
      </c>
      <c r="X47" s="2848">
        <f t="shared" si="31"/>
        <v>0</v>
      </c>
      <c r="Y47" s="2849">
        <f t="shared" si="32"/>
        <v>0</v>
      </c>
      <c r="Z47" s="2850">
        <f t="shared" si="33"/>
        <v>0</v>
      </c>
      <c r="AA47" s="2851">
        <f t="shared" si="34"/>
        <v>0</v>
      </c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</row>
    <row r="48" spans="1:39" ht="13" customHeight="1" thickBot="1">
      <c r="A48" s="3109" t="s">
        <v>459</v>
      </c>
      <c r="B48" s="7316" t="s">
        <v>215</v>
      </c>
      <c r="C48" s="629">
        <f t="shared" si="55"/>
        <v>9.1435185185185185E-4</v>
      </c>
      <c r="D48" s="3436">
        <v>6</v>
      </c>
      <c r="E48" s="3765">
        <v>1</v>
      </c>
      <c r="F48" s="3765">
        <v>2</v>
      </c>
      <c r="G48" s="3765">
        <v>100</v>
      </c>
      <c r="H48" s="2284"/>
      <c r="I48" s="2284">
        <v>1.3888888888888889E-3</v>
      </c>
      <c r="J48" s="2284">
        <v>6.9444444444444447E-4</v>
      </c>
      <c r="K48" s="3766" t="s">
        <v>2510</v>
      </c>
      <c r="L48" s="2284">
        <f t="shared" ref="L48:L55" si="59">L47+N47</f>
        <v>0.30459577306280938</v>
      </c>
      <c r="M48" s="3738">
        <v>0.9</v>
      </c>
      <c r="N48" s="2284">
        <f t="shared" si="56"/>
        <v>1.0055555555555555E-2</v>
      </c>
      <c r="O48" s="2285">
        <f t="shared" ref="O48:O55" si="60">C48*(G48/25)</f>
        <v>3.6574074074074074E-3</v>
      </c>
      <c r="P48" s="3739">
        <f t="shared" si="57"/>
        <v>3.2916666666666667E-3</v>
      </c>
      <c r="Q48" s="3767">
        <v>147</v>
      </c>
      <c r="R48" s="3765">
        <f t="shared" si="58"/>
        <v>200</v>
      </c>
      <c r="S48" s="2844">
        <f t="shared" si="26"/>
        <v>0.2</v>
      </c>
      <c r="T48" s="2845">
        <f t="shared" si="27"/>
        <v>2.9259259259259259E-2</v>
      </c>
      <c r="U48" s="374">
        <f t="shared" si="28"/>
        <v>0.2</v>
      </c>
      <c r="V48" s="2846">
        <f t="shared" si="29"/>
        <v>0</v>
      </c>
      <c r="W48" s="2847">
        <f t="shared" si="30"/>
        <v>0</v>
      </c>
      <c r="X48" s="2848">
        <f t="shared" si="31"/>
        <v>0</v>
      </c>
      <c r="Y48" s="2849">
        <f t="shared" si="32"/>
        <v>0</v>
      </c>
      <c r="Z48" s="2850">
        <f t="shared" si="33"/>
        <v>0</v>
      </c>
      <c r="AA48" s="2851">
        <f t="shared" si="34"/>
        <v>0</v>
      </c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</row>
    <row r="49" spans="1:39" ht="13" customHeight="1" thickBot="1">
      <c r="A49" s="7316" t="s">
        <v>458</v>
      </c>
      <c r="B49" s="7316" t="s">
        <v>215</v>
      </c>
      <c r="C49" s="629">
        <f t="shared" si="55"/>
        <v>1.0155971394365481E-3</v>
      </c>
      <c r="D49" s="2520">
        <v>4</v>
      </c>
      <c r="E49" s="2521">
        <v>1</v>
      </c>
      <c r="F49" s="2521">
        <v>1</v>
      </c>
      <c r="G49" s="2521">
        <v>100</v>
      </c>
      <c r="H49" s="2522">
        <v>1.2731481481481483E-3</v>
      </c>
      <c r="I49" s="2522">
        <v>0</v>
      </c>
      <c r="J49" s="2522">
        <v>6.9444444444444447E-4</v>
      </c>
      <c r="K49" s="2523" t="s">
        <v>673</v>
      </c>
      <c r="L49" s="2522">
        <f t="shared" si="59"/>
        <v>0.31465132861836492</v>
      </c>
      <c r="M49" s="2525">
        <v>0.9</v>
      </c>
      <c r="N49" s="2522">
        <f t="shared" si="56"/>
        <v>4.3505941464160175E-3</v>
      </c>
      <c r="O49" s="2526">
        <f t="shared" si="60"/>
        <v>4.0623885577461922E-3</v>
      </c>
      <c r="P49" s="2526">
        <f t="shared" si="57"/>
        <v>3.6561497019715729E-3</v>
      </c>
      <c r="Q49" s="2527">
        <v>147</v>
      </c>
      <c r="R49" s="2521">
        <f t="shared" si="58"/>
        <v>100</v>
      </c>
      <c r="S49" s="2844">
        <f t="shared" si="26"/>
        <v>0.1</v>
      </c>
      <c r="T49" s="2845">
        <f t="shared" si="27"/>
        <v>1.6249554230984769E-2</v>
      </c>
      <c r="U49" s="374">
        <f t="shared" si="28"/>
        <v>0.1</v>
      </c>
      <c r="V49" s="2846">
        <f t="shared" si="29"/>
        <v>0</v>
      </c>
      <c r="W49" s="2847">
        <f t="shared" si="30"/>
        <v>0</v>
      </c>
      <c r="X49" s="2848">
        <f t="shared" si="31"/>
        <v>0</v>
      </c>
      <c r="Y49" s="2849">
        <f t="shared" si="32"/>
        <v>0</v>
      </c>
      <c r="Z49" s="2850">
        <f t="shared" si="33"/>
        <v>0</v>
      </c>
      <c r="AA49" s="2851">
        <f t="shared" si="34"/>
        <v>0</v>
      </c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</row>
    <row r="50" spans="1:39" ht="13" customHeight="1" thickBot="1">
      <c r="A50" s="3109" t="s">
        <v>218</v>
      </c>
      <c r="B50" s="7316" t="s">
        <v>215</v>
      </c>
      <c r="C50" s="629">
        <f t="shared" si="55"/>
        <v>8.8692129629629624E-4</v>
      </c>
      <c r="D50" s="2318">
        <v>7</v>
      </c>
      <c r="E50" s="2512">
        <v>1</v>
      </c>
      <c r="F50" s="2512">
        <v>2</v>
      </c>
      <c r="G50" s="2512">
        <v>25</v>
      </c>
      <c r="H50" s="2270"/>
      <c r="I50" s="2267">
        <v>4.6296296296296293E-4</v>
      </c>
      <c r="J50" s="3768">
        <v>6.9444444444444447E-4</v>
      </c>
      <c r="K50" s="3125" t="s">
        <v>2511</v>
      </c>
      <c r="L50" s="3768">
        <f t="shared" si="59"/>
        <v>0.31900192276478095</v>
      </c>
      <c r="M50" s="3469">
        <v>0.9</v>
      </c>
      <c r="N50" s="3768">
        <f t="shared" si="56"/>
        <v>3.2168287037037035E-3</v>
      </c>
      <c r="O50" s="2526">
        <f t="shared" si="60"/>
        <v>8.8692129629629624E-4</v>
      </c>
      <c r="P50" s="2517">
        <f t="shared" si="57"/>
        <v>7.982291666666666E-4</v>
      </c>
      <c r="Q50" s="2518">
        <v>147</v>
      </c>
      <c r="R50" s="3764">
        <f t="shared" si="58"/>
        <v>50</v>
      </c>
      <c r="S50" s="2844">
        <f t="shared" si="26"/>
        <v>0.05</v>
      </c>
      <c r="T50" s="2845">
        <f t="shared" si="27"/>
        <v>7.0953703703703699E-3</v>
      </c>
      <c r="U50" s="374">
        <f t="shared" si="28"/>
        <v>0.05</v>
      </c>
      <c r="V50" s="2846">
        <f t="shared" si="29"/>
        <v>0</v>
      </c>
      <c r="W50" s="2847">
        <f t="shared" si="30"/>
        <v>0</v>
      </c>
      <c r="X50" s="2848">
        <f t="shared" si="31"/>
        <v>0</v>
      </c>
      <c r="Y50" s="2849">
        <f t="shared" si="32"/>
        <v>0</v>
      </c>
      <c r="Z50" s="2850">
        <f t="shared" si="33"/>
        <v>0</v>
      </c>
      <c r="AA50" s="2851">
        <f t="shared" si="34"/>
        <v>0</v>
      </c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</row>
    <row r="51" spans="1:39" ht="13" customHeight="1" thickBot="1">
      <c r="A51" s="7316" t="s">
        <v>458</v>
      </c>
      <c r="B51" s="7316" t="s">
        <v>215</v>
      </c>
      <c r="C51" s="629">
        <f t="shared" si="55"/>
        <v>9.1435185185185185E-4</v>
      </c>
      <c r="D51" s="3436">
        <v>6</v>
      </c>
      <c r="E51" s="3765">
        <v>1</v>
      </c>
      <c r="F51" s="3765">
        <v>4</v>
      </c>
      <c r="G51" s="3765">
        <v>50</v>
      </c>
      <c r="H51" s="2284"/>
      <c r="I51" s="2284">
        <v>6.9444444444444447E-4</v>
      </c>
      <c r="J51" s="2284">
        <v>6.9444444444444447E-4</v>
      </c>
      <c r="K51" s="3766" t="s">
        <v>2510</v>
      </c>
      <c r="L51" s="2284">
        <f t="shared" si="59"/>
        <v>0.32221875146848467</v>
      </c>
      <c r="M51" s="3738">
        <v>0.9</v>
      </c>
      <c r="N51" s="2284">
        <f t="shared" si="56"/>
        <v>1.0055555555555555E-2</v>
      </c>
      <c r="O51" s="2285">
        <f t="shared" si="60"/>
        <v>1.8287037037037037E-3</v>
      </c>
      <c r="P51" s="3739">
        <f t="shared" si="57"/>
        <v>1.6458333333333333E-3</v>
      </c>
      <c r="Q51" s="3767">
        <v>147</v>
      </c>
      <c r="R51" s="3765">
        <f t="shared" si="58"/>
        <v>200</v>
      </c>
      <c r="S51" s="2844">
        <f t="shared" si="26"/>
        <v>0.2</v>
      </c>
      <c r="T51" s="2845">
        <f t="shared" si="27"/>
        <v>2.9259259259259259E-2</v>
      </c>
      <c r="U51" s="374">
        <f t="shared" si="28"/>
        <v>0.2</v>
      </c>
      <c r="V51" s="2846">
        <f t="shared" si="29"/>
        <v>0</v>
      </c>
      <c r="W51" s="2847">
        <f t="shared" si="30"/>
        <v>0</v>
      </c>
      <c r="X51" s="2848">
        <f t="shared" si="31"/>
        <v>0</v>
      </c>
      <c r="Y51" s="2849">
        <f t="shared" si="32"/>
        <v>0</v>
      </c>
      <c r="Z51" s="2850">
        <f t="shared" si="33"/>
        <v>0</v>
      </c>
      <c r="AA51" s="2851">
        <f t="shared" si="34"/>
        <v>0</v>
      </c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</row>
    <row r="52" spans="1:39" ht="13" customHeight="1" thickBot="1">
      <c r="A52" s="3109" t="s">
        <v>219</v>
      </c>
      <c r="B52" s="7316" t="s">
        <v>215</v>
      </c>
      <c r="C52" s="629">
        <f t="shared" si="55"/>
        <v>1.0155971394365481E-3</v>
      </c>
      <c r="D52" s="2520">
        <v>4</v>
      </c>
      <c r="E52" s="2521">
        <v>1</v>
      </c>
      <c r="F52" s="2521">
        <v>1</v>
      </c>
      <c r="G52" s="2521">
        <v>100</v>
      </c>
      <c r="H52" s="2522">
        <v>1.2731481481481483E-3</v>
      </c>
      <c r="I52" s="2522">
        <v>0</v>
      </c>
      <c r="J52" s="2522">
        <v>6.9444444444444447E-4</v>
      </c>
      <c r="K52" s="2523" t="s">
        <v>673</v>
      </c>
      <c r="L52" s="2522">
        <f t="shared" si="59"/>
        <v>0.33227430702404021</v>
      </c>
      <c r="M52" s="2525">
        <v>0.9</v>
      </c>
      <c r="N52" s="2522">
        <f t="shared" si="56"/>
        <v>4.3505941464160175E-3</v>
      </c>
      <c r="O52" s="2526">
        <f t="shared" si="60"/>
        <v>4.0623885577461922E-3</v>
      </c>
      <c r="P52" s="2526">
        <f t="shared" si="57"/>
        <v>3.6561497019715729E-3</v>
      </c>
      <c r="Q52" s="2527">
        <v>147</v>
      </c>
      <c r="R52" s="2521">
        <f t="shared" si="58"/>
        <v>100</v>
      </c>
      <c r="S52" s="2844">
        <f t="shared" si="26"/>
        <v>0.1</v>
      </c>
      <c r="T52" s="2845">
        <f t="shared" si="27"/>
        <v>1.6249554230984769E-2</v>
      </c>
      <c r="U52" s="374">
        <f t="shared" si="28"/>
        <v>0.1</v>
      </c>
      <c r="V52" s="2846">
        <f t="shared" si="29"/>
        <v>0</v>
      </c>
      <c r="W52" s="2847">
        <f t="shared" si="30"/>
        <v>0</v>
      </c>
      <c r="X52" s="2848">
        <f t="shared" si="31"/>
        <v>0</v>
      </c>
      <c r="Y52" s="2849">
        <f t="shared" si="32"/>
        <v>0</v>
      </c>
      <c r="Z52" s="2850">
        <f t="shared" si="33"/>
        <v>0</v>
      </c>
      <c r="AA52" s="2851">
        <f t="shared" si="34"/>
        <v>0</v>
      </c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</row>
    <row r="53" spans="1:39" ht="13" customHeight="1" thickBot="1">
      <c r="A53" s="7316"/>
      <c r="B53" s="7316" t="s">
        <v>215</v>
      </c>
      <c r="C53" s="629">
        <f t="shared" si="55"/>
        <v>8.8692129629629624E-4</v>
      </c>
      <c r="D53" s="2318">
        <v>7</v>
      </c>
      <c r="E53" s="2512">
        <v>1</v>
      </c>
      <c r="F53" s="2512">
        <v>3</v>
      </c>
      <c r="G53" s="2512">
        <v>25</v>
      </c>
      <c r="H53" s="2270"/>
      <c r="I53" s="2267">
        <v>4.6296296296296293E-4</v>
      </c>
      <c r="J53" s="3768">
        <v>6.9444444444444447E-4</v>
      </c>
      <c r="K53" s="3125" t="s">
        <v>2512</v>
      </c>
      <c r="L53" s="3768">
        <f t="shared" si="59"/>
        <v>0.33662490117045624</v>
      </c>
      <c r="M53" s="3469">
        <v>0.9</v>
      </c>
      <c r="N53" s="3768">
        <f t="shared" si="56"/>
        <v>4.478020833333333E-3</v>
      </c>
      <c r="O53" s="2526">
        <f t="shared" si="60"/>
        <v>8.8692129629629624E-4</v>
      </c>
      <c r="P53" s="2517">
        <f t="shared" si="57"/>
        <v>7.982291666666666E-4</v>
      </c>
      <c r="Q53" s="2518">
        <v>147</v>
      </c>
      <c r="R53" s="3764">
        <f t="shared" si="58"/>
        <v>75</v>
      </c>
      <c r="S53" s="2844">
        <f t="shared" si="26"/>
        <v>7.4999999999999997E-2</v>
      </c>
      <c r="T53" s="2845">
        <f t="shared" si="27"/>
        <v>1.0643055555555555E-2</v>
      </c>
      <c r="U53" s="374">
        <f t="shared" si="28"/>
        <v>7.4999999999999997E-2</v>
      </c>
      <c r="V53" s="2846">
        <f t="shared" si="29"/>
        <v>0</v>
      </c>
      <c r="W53" s="2847">
        <f t="shared" si="30"/>
        <v>0</v>
      </c>
      <c r="X53" s="2848">
        <f t="shared" si="31"/>
        <v>0</v>
      </c>
      <c r="Y53" s="2849">
        <f t="shared" si="32"/>
        <v>0</v>
      </c>
      <c r="Z53" s="2850">
        <f t="shared" si="33"/>
        <v>0</v>
      </c>
      <c r="AA53" s="2851">
        <f t="shared" si="34"/>
        <v>0</v>
      </c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</row>
    <row r="54" spans="1:39" ht="13" customHeight="1" thickBot="1">
      <c r="A54" s="3109"/>
      <c r="B54" s="7316" t="s">
        <v>215</v>
      </c>
      <c r="C54" s="629">
        <f t="shared" si="55"/>
        <v>9.1435185185185185E-4</v>
      </c>
      <c r="D54" s="3436">
        <v>6</v>
      </c>
      <c r="E54" s="3765">
        <v>1</v>
      </c>
      <c r="F54" s="3765">
        <v>4</v>
      </c>
      <c r="G54" s="3765">
        <v>25</v>
      </c>
      <c r="H54" s="2284"/>
      <c r="I54" s="2284">
        <v>3.4722222222222224E-4</v>
      </c>
      <c r="J54" s="2284">
        <v>6.9444444444444447E-4</v>
      </c>
      <c r="K54" s="3766" t="s">
        <v>2510</v>
      </c>
      <c r="L54" s="2284">
        <f t="shared" si="59"/>
        <v>0.34110292200378955</v>
      </c>
      <c r="M54" s="3738">
        <v>0.9</v>
      </c>
      <c r="N54" s="2284">
        <f t="shared" si="56"/>
        <v>5.3750000000000004E-3</v>
      </c>
      <c r="O54" s="2285">
        <f t="shared" si="60"/>
        <v>9.1435185185185185E-4</v>
      </c>
      <c r="P54" s="3739">
        <f t="shared" si="57"/>
        <v>8.2291666666666667E-4</v>
      </c>
      <c r="Q54" s="3767">
        <v>147</v>
      </c>
      <c r="R54" s="3765">
        <f t="shared" si="58"/>
        <v>100</v>
      </c>
      <c r="S54" s="2844">
        <f t="shared" si="26"/>
        <v>0.1</v>
      </c>
      <c r="T54" s="2845">
        <f t="shared" si="27"/>
        <v>1.462962962962963E-2</v>
      </c>
      <c r="U54" s="374">
        <f t="shared" si="28"/>
        <v>0.1</v>
      </c>
      <c r="V54" s="2846">
        <f t="shared" si="29"/>
        <v>0</v>
      </c>
      <c r="W54" s="2847">
        <f t="shared" si="30"/>
        <v>0</v>
      </c>
      <c r="X54" s="2848">
        <f t="shared" si="31"/>
        <v>0</v>
      </c>
      <c r="Y54" s="2849">
        <f t="shared" si="32"/>
        <v>0</v>
      </c>
      <c r="Z54" s="2850">
        <f t="shared" si="33"/>
        <v>0</v>
      </c>
      <c r="AA54" s="2851">
        <f t="shared" si="34"/>
        <v>0</v>
      </c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</row>
    <row r="55" spans="1:39" ht="13" customHeight="1" thickBot="1">
      <c r="A55" s="7316"/>
      <c r="B55" s="7316" t="s">
        <v>215</v>
      </c>
      <c r="C55" s="629">
        <f t="shared" si="55"/>
        <v>8.8692129629629624E-4</v>
      </c>
      <c r="D55" s="2318">
        <v>7</v>
      </c>
      <c r="E55" s="2512">
        <v>1</v>
      </c>
      <c r="F55" s="2512">
        <v>6</v>
      </c>
      <c r="G55" s="2512">
        <v>25</v>
      </c>
      <c r="H55" s="2270"/>
      <c r="I55" s="2267">
        <v>4.6296296296296293E-4</v>
      </c>
      <c r="J55" s="3768">
        <v>6.9444444444444447E-4</v>
      </c>
      <c r="K55" s="3766" t="s">
        <v>2510</v>
      </c>
      <c r="L55" s="3768">
        <f t="shared" si="59"/>
        <v>0.34647792200378957</v>
      </c>
      <c r="M55" s="3469">
        <v>0.9</v>
      </c>
      <c r="N55" s="3768">
        <f t="shared" si="56"/>
        <v>8.2615972222222205E-3</v>
      </c>
      <c r="O55" s="2526">
        <f t="shared" si="60"/>
        <v>8.8692129629629624E-4</v>
      </c>
      <c r="P55" s="2517">
        <f t="shared" si="57"/>
        <v>7.982291666666666E-4</v>
      </c>
      <c r="Q55" s="2518">
        <v>147</v>
      </c>
      <c r="R55" s="3764">
        <f t="shared" si="58"/>
        <v>150</v>
      </c>
      <c r="S55" s="2844">
        <f t="shared" si="26"/>
        <v>0.15</v>
      </c>
      <c r="T55" s="2845">
        <f t="shared" si="27"/>
        <v>2.128611111111111E-2</v>
      </c>
      <c r="U55" s="374">
        <f t="shared" si="28"/>
        <v>0.15</v>
      </c>
      <c r="V55" s="2846">
        <f t="shared" si="29"/>
        <v>0</v>
      </c>
      <c r="W55" s="2847">
        <f t="shared" si="30"/>
        <v>0</v>
      </c>
      <c r="X55" s="2848">
        <f t="shared" si="31"/>
        <v>0</v>
      </c>
      <c r="Y55" s="2849">
        <f t="shared" si="32"/>
        <v>0</v>
      </c>
      <c r="Z55" s="2850">
        <f t="shared" si="33"/>
        <v>0</v>
      </c>
      <c r="AA55" s="2851">
        <f t="shared" si="34"/>
        <v>0</v>
      </c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</row>
    <row r="56" spans="1:39" ht="13" customHeight="1" thickBot="1">
      <c r="A56" s="3109"/>
      <c r="B56" s="7316"/>
      <c r="C56" s="629">
        <f t="shared" si="55"/>
        <v>0</v>
      </c>
      <c r="D56" s="2335"/>
      <c r="E56" s="2855"/>
      <c r="F56" s="2855"/>
      <c r="G56" s="2855"/>
      <c r="H56" s="2855"/>
      <c r="I56" s="2855"/>
      <c r="J56" s="2855"/>
      <c r="K56" s="2855"/>
      <c r="L56" s="2528">
        <f t="shared" ref="L56" si="61">L55+N55</f>
        <v>0.35473951922601177</v>
      </c>
      <c r="M56" s="3620"/>
      <c r="N56" s="2528">
        <f>SUM(N47:N55)</f>
        <v>5.9600630337122866E-2</v>
      </c>
      <c r="O56" s="2526">
        <f t="shared" ref="O56" si="62">C56*G56/25</f>
        <v>0</v>
      </c>
      <c r="P56" s="2855"/>
      <c r="Q56" s="2855"/>
      <c r="R56" s="3621">
        <f>SUM(R47:R55)</f>
        <v>1375</v>
      </c>
      <c r="S56" s="2844">
        <f t="shared" si="26"/>
        <v>0</v>
      </c>
      <c r="T56" s="2845">
        <f t="shared" si="27"/>
        <v>0</v>
      </c>
      <c r="U56" s="374">
        <f t="shared" si="28"/>
        <v>0</v>
      </c>
      <c r="V56" s="2846">
        <f t="shared" si="29"/>
        <v>0</v>
      </c>
      <c r="W56" s="2847">
        <f t="shared" si="30"/>
        <v>0</v>
      </c>
      <c r="X56" s="2848">
        <f t="shared" si="31"/>
        <v>0</v>
      </c>
      <c r="Y56" s="2849">
        <f t="shared" si="32"/>
        <v>0</v>
      </c>
      <c r="Z56" s="2850">
        <f t="shared" si="33"/>
        <v>0</v>
      </c>
      <c r="AA56" s="2851">
        <f t="shared" si="34"/>
        <v>0</v>
      </c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</row>
    <row r="57" spans="1:39" ht="13" customHeight="1" thickBot="1">
      <c r="A57" s="7316" t="s">
        <v>217</v>
      </c>
      <c r="B57" s="7316" t="s">
        <v>461</v>
      </c>
      <c r="C57" s="7317">
        <f t="shared" ref="C57:C63" si="63">IF(D57=1,U$5,IF(D57=2,V$5,IF(D57=3,W$5,IF(D57=4,X$5,IF(D57=5,Y$5,IF(D57=6,Z$5,IF(D57=7,AA$5,0)))))))</f>
        <v>2.869200295485578E-4</v>
      </c>
      <c r="D57" s="7324">
        <v>1</v>
      </c>
      <c r="E57" s="7340">
        <v>1</v>
      </c>
      <c r="F57" s="7340">
        <v>7</v>
      </c>
      <c r="G57" s="7340">
        <v>200</v>
      </c>
      <c r="H57" s="7341"/>
      <c r="I57" s="7341">
        <v>1.1574074074074073E-4</v>
      </c>
      <c r="J57" s="7341">
        <v>1.1574074074074073E-4</v>
      </c>
      <c r="K57" s="7342" t="s">
        <v>535</v>
      </c>
      <c r="L57" s="7343">
        <v>0.79166666666666663</v>
      </c>
      <c r="M57" s="7344">
        <v>1.1000000000000001</v>
      </c>
      <c r="N57" s="7341">
        <f>P57*E57*F57+I57*E57*F57+J57*E57</f>
        <v>1.8600199746117086E-2</v>
      </c>
      <c r="O57" s="7345">
        <f>C57*8</f>
        <v>2.2953602363884624E-3</v>
      </c>
      <c r="P57" s="7345">
        <f>O57*M57</f>
        <v>2.5248962600273087E-3</v>
      </c>
      <c r="Q57" s="7346">
        <v>129</v>
      </c>
      <c r="R57" s="7347">
        <f>E57*F57*G57</f>
        <v>1400</v>
      </c>
      <c r="S57" s="2844">
        <f t="shared" si="26"/>
        <v>1.4</v>
      </c>
      <c r="T57" s="2845">
        <f t="shared" si="27"/>
        <v>6.4270086618876954E-2</v>
      </c>
      <c r="U57" s="374">
        <f t="shared" si="28"/>
        <v>1.4</v>
      </c>
      <c r="V57" s="2846">
        <f t="shared" si="29"/>
        <v>0</v>
      </c>
      <c r="W57" s="2847">
        <f t="shared" si="30"/>
        <v>0</v>
      </c>
      <c r="X57" s="2848">
        <f t="shared" si="31"/>
        <v>0</v>
      </c>
      <c r="Y57" s="2849">
        <f t="shared" si="32"/>
        <v>0</v>
      </c>
      <c r="Z57" s="2850">
        <f t="shared" si="33"/>
        <v>0</v>
      </c>
      <c r="AA57" s="2851">
        <f t="shared" si="34"/>
        <v>0</v>
      </c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</row>
    <row r="58" spans="1:39" ht="13" customHeight="1" thickBot="1">
      <c r="A58" s="3109" t="s">
        <v>459</v>
      </c>
      <c r="B58" s="7316" t="s">
        <v>461</v>
      </c>
      <c r="C58" s="7317">
        <f t="shared" si="63"/>
        <v>2.6611953542100597E-4</v>
      </c>
      <c r="D58" s="7324">
        <v>3</v>
      </c>
      <c r="E58" s="7349">
        <v>1</v>
      </c>
      <c r="F58" s="7349">
        <v>4</v>
      </c>
      <c r="G58" s="7349">
        <v>200</v>
      </c>
      <c r="H58" s="7350"/>
      <c r="I58" s="7350">
        <v>3.4722222222222224E-4</v>
      </c>
      <c r="J58" s="7350">
        <v>1.3888888888888889E-3</v>
      </c>
      <c r="K58" s="7351" t="s">
        <v>2490</v>
      </c>
      <c r="L58" s="7352">
        <f t="shared" ref="L58:L64" si="64">L57+N57</f>
        <v>0.81026686641278367</v>
      </c>
      <c r="M58" s="7353">
        <v>1.1000000000000001</v>
      </c>
      <c r="N58" s="7350">
        <f t="shared" ref="N58:N63" si="65">P58*E58*F58+I58*E58*F58+J58*E58</f>
        <v>1.2519881730469966E-2</v>
      </c>
      <c r="O58" s="7354">
        <f>C58*8*1.04</f>
        <v>2.2141145347027696E-3</v>
      </c>
      <c r="P58" s="7354">
        <f t="shared" ref="P58:P63" si="66">O58*M58</f>
        <v>2.4355259881730469E-3</v>
      </c>
      <c r="Q58" s="7355">
        <v>165</v>
      </c>
      <c r="R58" s="7356">
        <f t="shared" ref="R58:R63" si="67">E58*F58*G58</f>
        <v>800</v>
      </c>
      <c r="S58" s="2844">
        <f t="shared" si="26"/>
        <v>0.8</v>
      </c>
      <c r="T58" s="2845">
        <f t="shared" si="27"/>
        <v>3.5425832555244313E-2</v>
      </c>
      <c r="U58" s="374">
        <f t="shared" si="28"/>
        <v>0</v>
      </c>
      <c r="V58" s="2846">
        <f t="shared" si="29"/>
        <v>0</v>
      </c>
      <c r="W58" s="2847">
        <f t="shared" si="30"/>
        <v>0.8</v>
      </c>
      <c r="X58" s="2848">
        <f t="shared" si="31"/>
        <v>0</v>
      </c>
      <c r="Y58" s="2849">
        <f t="shared" si="32"/>
        <v>0</v>
      </c>
      <c r="Z58" s="2850">
        <f t="shared" si="33"/>
        <v>0</v>
      </c>
      <c r="AA58" s="2851">
        <f t="shared" si="34"/>
        <v>0</v>
      </c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</row>
    <row r="59" spans="1:39" ht="13" customHeight="1" thickBot="1">
      <c r="A59" s="3109" t="s">
        <v>458</v>
      </c>
      <c r="B59" s="7316" t="s">
        <v>461</v>
      </c>
      <c r="C59" s="7317">
        <f t="shared" si="63"/>
        <v>2.7472886659807961E-4</v>
      </c>
      <c r="D59" s="7324">
        <v>2</v>
      </c>
      <c r="E59" s="7325">
        <v>1</v>
      </c>
      <c r="F59" s="7325">
        <v>1</v>
      </c>
      <c r="G59" s="7325">
        <v>200</v>
      </c>
      <c r="H59" s="7326"/>
      <c r="I59" s="7326">
        <v>2.3148148148148146E-4</v>
      </c>
      <c r="J59" s="7326">
        <v>1.3888888888888889E-3</v>
      </c>
      <c r="K59" s="7372" t="s">
        <v>2491</v>
      </c>
      <c r="L59" s="7328">
        <f t="shared" si="64"/>
        <v>0.82278674814325359</v>
      </c>
      <c r="M59" s="7329">
        <v>1.25</v>
      </c>
      <c r="N59" s="7326">
        <f t="shared" si="65"/>
        <v>4.4500776963305906E-3</v>
      </c>
      <c r="O59" s="7330">
        <f>C59*8*1.03</f>
        <v>2.263765860768176E-3</v>
      </c>
      <c r="P59" s="7330">
        <f t="shared" si="66"/>
        <v>2.8297073259602201E-3</v>
      </c>
      <c r="Q59" s="7331">
        <v>147</v>
      </c>
      <c r="R59" s="7332">
        <f t="shared" si="67"/>
        <v>200</v>
      </c>
      <c r="S59" s="2844">
        <f t="shared" si="26"/>
        <v>0.2</v>
      </c>
      <c r="T59" s="2845">
        <f t="shared" si="27"/>
        <v>9.0550634430727039E-3</v>
      </c>
      <c r="U59" s="374">
        <f t="shared" si="28"/>
        <v>0</v>
      </c>
      <c r="V59" s="2846">
        <f t="shared" si="29"/>
        <v>0.2</v>
      </c>
      <c r="W59" s="2847">
        <f t="shared" si="30"/>
        <v>0</v>
      </c>
      <c r="X59" s="2848">
        <f t="shared" si="31"/>
        <v>0</v>
      </c>
      <c r="Y59" s="2849">
        <f t="shared" si="32"/>
        <v>0</v>
      </c>
      <c r="Z59" s="2850">
        <f t="shared" si="33"/>
        <v>0</v>
      </c>
      <c r="AA59" s="2851">
        <f t="shared" si="34"/>
        <v>0</v>
      </c>
      <c r="AC59" s="2867"/>
      <c r="AD59" s="2867"/>
      <c r="AE59" s="2867"/>
      <c r="AF59" s="2867"/>
      <c r="AG59" s="2867"/>
      <c r="AH59" s="2867"/>
      <c r="AI59" s="2825"/>
      <c r="AJ59" s="2825"/>
      <c r="AK59" s="2825"/>
      <c r="AL59" s="2825"/>
      <c r="AM59" s="2825"/>
    </row>
    <row r="60" spans="1:39" ht="13" customHeight="1" thickBot="1">
      <c r="A60" s="3109" t="s">
        <v>218</v>
      </c>
      <c r="B60" s="7316" t="s">
        <v>461</v>
      </c>
      <c r="C60" s="7317">
        <f t="shared" si="63"/>
        <v>2.6611953542100597E-4</v>
      </c>
      <c r="D60" s="7324">
        <v>3</v>
      </c>
      <c r="E60" s="7349">
        <v>1</v>
      </c>
      <c r="F60" s="7349">
        <v>10</v>
      </c>
      <c r="G60" s="7349">
        <v>100</v>
      </c>
      <c r="H60" s="7350">
        <v>1.2152777777777778E-3</v>
      </c>
      <c r="I60" s="7350"/>
      <c r="J60" s="7350">
        <v>0</v>
      </c>
      <c r="K60" s="7351" t="s">
        <v>2492</v>
      </c>
      <c r="L60" s="7352">
        <f t="shared" si="64"/>
        <v>0.82723682583958413</v>
      </c>
      <c r="M60" s="7353">
        <v>0.9</v>
      </c>
      <c r="N60" s="7350">
        <f>H60*F60*E60</f>
        <v>1.2152777777777778E-2</v>
      </c>
      <c r="O60" s="7354">
        <f>C60*4*1.1</f>
        <v>1.1709259558524265E-3</v>
      </c>
      <c r="P60" s="7354">
        <f t="shared" si="66"/>
        <v>1.0538333602671838E-3</v>
      </c>
      <c r="Q60" s="7355">
        <v>164</v>
      </c>
      <c r="R60" s="7356">
        <f>E60*F60*G60</f>
        <v>1000</v>
      </c>
      <c r="S60" s="2844">
        <f t="shared" si="26"/>
        <v>1</v>
      </c>
      <c r="T60" s="2845">
        <f t="shared" si="27"/>
        <v>4.6837038234097059E-2</v>
      </c>
      <c r="U60" s="374">
        <f t="shared" si="28"/>
        <v>0</v>
      </c>
      <c r="V60" s="2846">
        <f t="shared" si="29"/>
        <v>0</v>
      </c>
      <c r="W60" s="2847">
        <f t="shared" si="30"/>
        <v>1</v>
      </c>
      <c r="X60" s="2848">
        <f t="shared" si="31"/>
        <v>0</v>
      </c>
      <c r="Y60" s="2849">
        <f t="shared" si="32"/>
        <v>0</v>
      </c>
      <c r="Z60" s="2850">
        <f t="shared" si="33"/>
        <v>0</v>
      </c>
      <c r="AA60" s="2851">
        <f t="shared" si="34"/>
        <v>0</v>
      </c>
      <c r="AC60" s="2867"/>
      <c r="AD60" s="2867"/>
      <c r="AE60" s="2867"/>
      <c r="AF60" s="2867"/>
      <c r="AG60" s="2867"/>
      <c r="AH60" s="2867"/>
      <c r="AI60" s="2825"/>
      <c r="AJ60" s="2825"/>
      <c r="AK60" s="2825"/>
      <c r="AL60" s="2825"/>
      <c r="AM60" s="2825"/>
    </row>
    <row r="61" spans="1:39" ht="13" customHeight="1" thickBot="1">
      <c r="A61" s="3109" t="s">
        <v>458</v>
      </c>
      <c r="B61" s="7316" t="s">
        <v>461</v>
      </c>
      <c r="C61" s="7317">
        <f t="shared" si="63"/>
        <v>2.2173032407407406E-4</v>
      </c>
      <c r="D61" s="7324">
        <v>7</v>
      </c>
      <c r="E61" s="7369">
        <v>2</v>
      </c>
      <c r="F61" s="7369">
        <v>6</v>
      </c>
      <c r="G61" s="7369">
        <v>25</v>
      </c>
      <c r="H61" s="7370"/>
      <c r="I61" s="7370">
        <v>4.6296296296296293E-4</v>
      </c>
      <c r="J61" s="7370">
        <v>1.3888888888888889E-3</v>
      </c>
      <c r="K61" s="4355" t="s">
        <v>411</v>
      </c>
      <c r="L61" s="7336">
        <f t="shared" si="64"/>
        <v>0.83938960361736192</v>
      </c>
      <c r="M61" s="7371">
        <v>0.9</v>
      </c>
      <c r="N61" s="7370">
        <f>P61*E61*F61+I61*E61*F61+J61*E61</f>
        <v>1.0728020833333332E-2</v>
      </c>
      <c r="O61" s="7338">
        <f>C61</f>
        <v>2.2173032407407406E-4</v>
      </c>
      <c r="P61" s="2517">
        <f t="shared" si="66"/>
        <v>1.9955729166666665E-4</v>
      </c>
      <c r="Q61" s="4360" t="s">
        <v>274</v>
      </c>
      <c r="R61" s="7312">
        <f>E61*F61*G61</f>
        <v>300</v>
      </c>
      <c r="S61" s="2844">
        <f t="shared" si="26"/>
        <v>0.3</v>
      </c>
      <c r="T61" s="2845">
        <f t="shared" si="27"/>
        <v>1.0643055555555555E-2</v>
      </c>
      <c r="U61" s="374">
        <f t="shared" si="28"/>
        <v>0</v>
      </c>
      <c r="V61" s="2846">
        <f t="shared" si="29"/>
        <v>0</v>
      </c>
      <c r="W61" s="2847">
        <f t="shared" si="30"/>
        <v>0</v>
      </c>
      <c r="X61" s="2848">
        <f t="shared" si="31"/>
        <v>0</v>
      </c>
      <c r="Y61" s="2849">
        <f t="shared" si="32"/>
        <v>0</v>
      </c>
      <c r="Z61" s="2850">
        <f t="shared" si="33"/>
        <v>0</v>
      </c>
      <c r="AA61" s="2851">
        <f t="shared" si="34"/>
        <v>0.3</v>
      </c>
      <c r="AC61" s="2867"/>
      <c r="AD61" s="2867"/>
      <c r="AE61" s="2867"/>
      <c r="AF61" s="2867"/>
      <c r="AG61" s="2867"/>
      <c r="AH61" s="2867"/>
      <c r="AI61" s="2825"/>
      <c r="AJ61" s="2825"/>
      <c r="AK61" s="2825"/>
      <c r="AL61" s="2825"/>
      <c r="AM61" s="2825"/>
    </row>
    <row r="62" spans="1:39" ht="13" customHeight="1" thickBot="1">
      <c r="A62" s="3109" t="s">
        <v>219</v>
      </c>
      <c r="B62" s="7316" t="s">
        <v>461</v>
      </c>
      <c r="C62" s="7317">
        <f t="shared" si="63"/>
        <v>2.7472886659807961E-4</v>
      </c>
      <c r="D62" s="7324">
        <v>2</v>
      </c>
      <c r="E62" s="7325">
        <v>1</v>
      </c>
      <c r="F62" s="7325">
        <v>3</v>
      </c>
      <c r="G62" s="7325">
        <v>200</v>
      </c>
      <c r="H62" s="7326"/>
      <c r="I62" s="7326">
        <v>2.3148148148148146E-4</v>
      </c>
      <c r="J62" s="7326">
        <v>1.3888888888888889E-3</v>
      </c>
      <c r="K62" s="7372" t="s">
        <v>724</v>
      </c>
      <c r="L62" s="7328">
        <f t="shared" si="64"/>
        <v>0.85011762445069528</v>
      </c>
      <c r="M62" s="7329">
        <v>1.25</v>
      </c>
      <c r="N62" s="7326">
        <f t="shared" si="65"/>
        <v>1.0572455311213994E-2</v>
      </c>
      <c r="O62" s="7330">
        <f>C62*8*1.03</f>
        <v>2.263765860768176E-3</v>
      </c>
      <c r="P62" s="7330">
        <f t="shared" si="66"/>
        <v>2.8297073259602201E-3</v>
      </c>
      <c r="Q62" s="7331">
        <v>147</v>
      </c>
      <c r="R62" s="7332">
        <f t="shared" si="67"/>
        <v>600</v>
      </c>
      <c r="S62" s="2844">
        <f t="shared" si="26"/>
        <v>0.6</v>
      </c>
      <c r="T62" s="2845">
        <f t="shared" si="27"/>
        <v>2.716519032921811E-2</v>
      </c>
      <c r="U62" s="374">
        <f t="shared" si="28"/>
        <v>0</v>
      </c>
      <c r="V62" s="2846">
        <f t="shared" si="29"/>
        <v>0.6</v>
      </c>
      <c r="W62" s="2847">
        <f t="shared" si="30"/>
        <v>0</v>
      </c>
      <c r="X62" s="2848">
        <f t="shared" si="31"/>
        <v>0</v>
      </c>
      <c r="Y62" s="2849">
        <f t="shared" si="32"/>
        <v>0</v>
      </c>
      <c r="Z62" s="2850">
        <f t="shared" si="33"/>
        <v>0</v>
      </c>
      <c r="AA62" s="2851">
        <f t="shared" si="34"/>
        <v>0</v>
      </c>
      <c r="AC62" s="2867"/>
      <c r="AD62" s="2867"/>
      <c r="AE62" s="2867"/>
      <c r="AF62" s="2867"/>
      <c r="AG62" s="2867"/>
      <c r="AH62" s="2867"/>
      <c r="AI62" s="2825"/>
      <c r="AJ62" s="2825"/>
      <c r="AK62" s="2825"/>
      <c r="AL62" s="2825"/>
      <c r="AM62" s="2825"/>
    </row>
    <row r="63" spans="1:39" ht="13" customHeight="1">
      <c r="A63" s="3109"/>
      <c r="B63" s="7316" t="s">
        <v>461</v>
      </c>
      <c r="C63" s="7317">
        <f t="shared" si="63"/>
        <v>2.2173032407407406E-4</v>
      </c>
      <c r="D63" s="7324">
        <v>7</v>
      </c>
      <c r="E63" s="7333">
        <v>3</v>
      </c>
      <c r="F63" s="7333">
        <v>10</v>
      </c>
      <c r="G63" s="7333">
        <v>30</v>
      </c>
      <c r="H63" s="7334"/>
      <c r="I63" s="7334">
        <v>1.1574074074074073E-4</v>
      </c>
      <c r="J63" s="7334">
        <v>2.3148148148148146E-4</v>
      </c>
      <c r="K63" s="7335" t="s">
        <v>2485</v>
      </c>
      <c r="L63" s="7336">
        <f t="shared" si="64"/>
        <v>0.86069007976190925</v>
      </c>
      <c r="M63" s="7337">
        <v>1</v>
      </c>
      <c r="N63" s="7334">
        <f t="shared" si="65"/>
        <v>1.2148958333333333E-2</v>
      </c>
      <c r="O63" s="7338">
        <f>C63*30/25</f>
        <v>2.6607638888888888E-4</v>
      </c>
      <c r="P63" s="2517">
        <f t="shared" si="66"/>
        <v>2.6607638888888888E-4</v>
      </c>
      <c r="Q63" s="7339" t="s">
        <v>316</v>
      </c>
      <c r="R63" s="7312">
        <f t="shared" si="67"/>
        <v>900</v>
      </c>
      <c r="S63" s="2844">
        <f t="shared" si="26"/>
        <v>0.9</v>
      </c>
      <c r="T63" s="2845">
        <f t="shared" si="27"/>
        <v>3.1929166666666668E-2</v>
      </c>
      <c r="U63" s="374">
        <f t="shared" si="28"/>
        <v>0</v>
      </c>
      <c r="V63" s="2846">
        <f t="shared" si="29"/>
        <v>0</v>
      </c>
      <c r="W63" s="2847">
        <f t="shared" si="30"/>
        <v>0</v>
      </c>
      <c r="X63" s="2848">
        <f t="shared" si="31"/>
        <v>0</v>
      </c>
      <c r="Y63" s="2849">
        <f t="shared" si="32"/>
        <v>0</v>
      </c>
      <c r="Z63" s="2850">
        <f t="shared" si="33"/>
        <v>0</v>
      </c>
      <c r="AA63" s="2851">
        <f t="shared" si="34"/>
        <v>0.9</v>
      </c>
      <c r="AC63" s="2867"/>
      <c r="AD63" s="2867"/>
      <c r="AE63" s="2867"/>
      <c r="AF63" s="2867"/>
      <c r="AG63" s="2867"/>
      <c r="AH63" s="2867"/>
      <c r="AI63" s="2825"/>
      <c r="AJ63" s="2825"/>
      <c r="AK63" s="2825"/>
      <c r="AL63" s="2825"/>
      <c r="AM63" s="2825"/>
    </row>
    <row r="64" spans="1:39" ht="13" customHeight="1" thickBot="1">
      <c r="A64" s="7302"/>
      <c r="B64" s="839"/>
      <c r="C64" s="839"/>
      <c r="D64" s="7303"/>
      <c r="E64" s="839"/>
      <c r="F64" s="839"/>
      <c r="G64" s="839"/>
      <c r="H64" s="839"/>
      <c r="I64" s="839"/>
      <c r="J64" s="839"/>
      <c r="K64" s="839"/>
      <c r="L64" s="2182">
        <f t="shared" si="64"/>
        <v>0.87283903809524255</v>
      </c>
      <c r="M64" s="839"/>
      <c r="N64" s="7313">
        <f>SUM(N57:N63)</f>
        <v>8.1172371428576071E-2</v>
      </c>
      <c r="O64" s="839"/>
      <c r="P64" s="839"/>
      <c r="Q64" s="839"/>
      <c r="R64" s="7314">
        <f>SUM(R57:R63)</f>
        <v>5200</v>
      </c>
      <c r="S64" s="2844">
        <f t="shared" si="26"/>
        <v>0</v>
      </c>
      <c r="T64" s="2845">
        <f t="shared" si="27"/>
        <v>0</v>
      </c>
      <c r="U64" s="374">
        <f t="shared" si="28"/>
        <v>0</v>
      </c>
      <c r="V64" s="2846">
        <f t="shared" si="29"/>
        <v>0</v>
      </c>
      <c r="W64" s="2847">
        <f t="shared" si="30"/>
        <v>0</v>
      </c>
      <c r="X64" s="2848">
        <f t="shared" si="31"/>
        <v>0</v>
      </c>
      <c r="Y64" s="2849">
        <f t="shared" si="32"/>
        <v>0</v>
      </c>
      <c r="Z64" s="2850">
        <f t="shared" si="33"/>
        <v>0</v>
      </c>
      <c r="AA64" s="2851">
        <f t="shared" si="34"/>
        <v>0</v>
      </c>
      <c r="AC64" s="2867"/>
      <c r="AD64" s="2867"/>
      <c r="AE64" s="2867"/>
      <c r="AF64" s="2867"/>
      <c r="AG64" s="2867"/>
      <c r="AH64" s="2867"/>
      <c r="AI64" s="2825"/>
      <c r="AJ64" s="2825"/>
      <c r="AK64" s="2825"/>
      <c r="AL64" s="2825"/>
      <c r="AM64" s="2825"/>
    </row>
    <row r="65" spans="1:40" ht="13" customHeight="1">
      <c r="A65" s="7291" t="s">
        <v>218</v>
      </c>
      <c r="B65" s="7292" t="s">
        <v>215</v>
      </c>
      <c r="C65" s="7317">
        <f t="shared" ref="C65:C70" si="68">IF(D65=1,U$5,IF(D65=2,V$5,IF(D65=3,W$5,IF(D65=4,X$5,IF(D65=5,Y$5,IF(D65=6,Z$5,IF(D65=7,AA$5,0)))))))</f>
        <v>2.869200295485578E-4</v>
      </c>
      <c r="D65" s="7304">
        <v>1</v>
      </c>
      <c r="E65" s="7305">
        <v>1</v>
      </c>
      <c r="F65" s="7305">
        <v>1</v>
      </c>
      <c r="G65" s="7305">
        <v>800</v>
      </c>
      <c r="H65" s="7306"/>
      <c r="I65" s="7306">
        <v>0</v>
      </c>
      <c r="J65" s="7306">
        <v>1.1574074074074073E-4</v>
      </c>
      <c r="K65" s="7307" t="s">
        <v>374</v>
      </c>
      <c r="L65" s="7343">
        <v>0.75</v>
      </c>
      <c r="M65" s="7308">
        <v>1.2</v>
      </c>
      <c r="N65" s="7306">
        <f>P65*E65*F65+I65*E65*F65+J65*E65</f>
        <v>1.1133469875405359E-2</v>
      </c>
      <c r="O65" s="7309">
        <f>C65*32</f>
        <v>9.1814409455538495E-3</v>
      </c>
      <c r="P65" s="7309">
        <f t="shared" ref="P65:P70" si="69">O65*M65</f>
        <v>1.1017729134664618E-2</v>
      </c>
      <c r="Q65" s="7310">
        <v>129</v>
      </c>
      <c r="R65" s="7311">
        <f t="shared" ref="R65:R70" si="70">E65*F65*G65</f>
        <v>800</v>
      </c>
      <c r="S65" s="2844">
        <f t="shared" si="26"/>
        <v>0.8</v>
      </c>
      <c r="T65" s="2845">
        <f t="shared" si="27"/>
        <v>3.6725763782215398E-2</v>
      </c>
      <c r="U65" s="374">
        <f t="shared" si="28"/>
        <v>0.8</v>
      </c>
      <c r="V65" s="2846">
        <f t="shared" si="29"/>
        <v>0</v>
      </c>
      <c r="W65" s="2847">
        <f t="shared" si="30"/>
        <v>0</v>
      </c>
      <c r="X65" s="2848">
        <f t="shared" si="31"/>
        <v>0</v>
      </c>
      <c r="Y65" s="2849">
        <f t="shared" si="32"/>
        <v>0</v>
      </c>
      <c r="Z65" s="2850">
        <f t="shared" si="33"/>
        <v>0</v>
      </c>
      <c r="AA65" s="2851">
        <f t="shared" si="34"/>
        <v>0</v>
      </c>
      <c r="AC65" s="2867">
        <v>0</v>
      </c>
      <c r="AD65" s="2867">
        <v>0</v>
      </c>
      <c r="AE65" s="2867">
        <v>0</v>
      </c>
      <c r="AF65" s="2867">
        <v>0</v>
      </c>
      <c r="AG65" s="2867">
        <v>0</v>
      </c>
      <c r="AH65" s="2867">
        <v>0</v>
      </c>
      <c r="AI65" s="2825"/>
      <c r="AJ65" s="2825"/>
      <c r="AK65" s="2825"/>
      <c r="AL65" s="2825"/>
      <c r="AM65" s="2825"/>
    </row>
    <row r="66" spans="1:40" ht="13" customHeight="1">
      <c r="A66" s="2183" t="s">
        <v>139</v>
      </c>
      <c r="B66" s="2184" t="s">
        <v>215</v>
      </c>
      <c r="C66" s="7317">
        <f t="shared" si="68"/>
        <v>2.7472886659807961E-4</v>
      </c>
      <c r="D66" s="7324">
        <v>2</v>
      </c>
      <c r="E66" s="7325">
        <v>1</v>
      </c>
      <c r="F66" s="7325">
        <v>2</v>
      </c>
      <c r="G66" s="7325">
        <v>200</v>
      </c>
      <c r="H66" s="7326"/>
      <c r="I66" s="7326">
        <v>2.3148148148148146E-4</v>
      </c>
      <c r="J66" s="7326">
        <v>1.3888888888888889E-3</v>
      </c>
      <c r="K66" s="7327" t="s">
        <v>724</v>
      </c>
      <c r="L66" s="7328">
        <f t="shared" ref="L66:L71" si="71">L65+N65</f>
        <v>0.76113346987540531</v>
      </c>
      <c r="M66" s="7329">
        <v>1.25</v>
      </c>
      <c r="N66" s="7326">
        <f>P66*E66*F66+I66*E66*F66+J66*E66</f>
        <v>7.5112665037722921E-3</v>
      </c>
      <c r="O66" s="7330">
        <f>C66*8*1.03</f>
        <v>2.263765860768176E-3</v>
      </c>
      <c r="P66" s="7330">
        <f t="shared" si="69"/>
        <v>2.8297073259602201E-3</v>
      </c>
      <c r="Q66" s="7331">
        <v>147</v>
      </c>
      <c r="R66" s="7332">
        <f t="shared" si="70"/>
        <v>400</v>
      </c>
      <c r="S66" s="2844">
        <f t="shared" si="26"/>
        <v>0.4</v>
      </c>
      <c r="T66" s="2845">
        <f t="shared" si="27"/>
        <v>1.8110126886145408E-2</v>
      </c>
      <c r="U66" s="374">
        <f t="shared" si="28"/>
        <v>0</v>
      </c>
      <c r="V66" s="2846">
        <f t="shared" si="29"/>
        <v>0.4</v>
      </c>
      <c r="W66" s="2847">
        <f t="shared" si="30"/>
        <v>0</v>
      </c>
      <c r="X66" s="2848">
        <f t="shared" si="31"/>
        <v>0</v>
      </c>
      <c r="Y66" s="2849">
        <f t="shared" si="32"/>
        <v>0</v>
      </c>
      <c r="Z66" s="2850">
        <f t="shared" si="33"/>
        <v>0</v>
      </c>
      <c r="AA66" s="2851">
        <f t="shared" si="34"/>
        <v>0</v>
      </c>
      <c r="AC66" s="2867"/>
      <c r="AD66" s="2867"/>
      <c r="AE66" s="2867"/>
      <c r="AF66" s="2867"/>
      <c r="AG66" s="2867"/>
      <c r="AH66" s="2867"/>
      <c r="AI66" s="2825"/>
      <c r="AJ66" s="2825"/>
      <c r="AK66" s="2825"/>
      <c r="AL66" s="2825"/>
      <c r="AM66" s="2825"/>
    </row>
    <row r="67" spans="1:40" ht="13" customHeight="1">
      <c r="A67" s="2183" t="s">
        <v>458</v>
      </c>
      <c r="B67" s="2184" t="s">
        <v>215</v>
      </c>
      <c r="C67" s="7317">
        <f t="shared" si="68"/>
        <v>2.7472886659807961E-4</v>
      </c>
      <c r="D67" s="7324">
        <v>2</v>
      </c>
      <c r="E67" s="7325">
        <v>1</v>
      </c>
      <c r="F67" s="7325">
        <v>16</v>
      </c>
      <c r="G67" s="7325">
        <v>100</v>
      </c>
      <c r="H67" s="7326">
        <v>1.2152777777777778E-3</v>
      </c>
      <c r="I67" s="7326"/>
      <c r="J67" s="7350">
        <v>0</v>
      </c>
      <c r="K67" s="7373" t="s">
        <v>2493</v>
      </c>
      <c r="L67" s="7352">
        <f t="shared" si="71"/>
        <v>0.76864473637917763</v>
      </c>
      <c r="M67" s="7353">
        <v>1</v>
      </c>
      <c r="N67" s="7350">
        <f>H67*F67*E67</f>
        <v>1.9444444444444445E-2</v>
      </c>
      <c r="O67" s="7354">
        <f>C67*4*1.1</f>
        <v>1.2088070130315503E-3</v>
      </c>
      <c r="P67" s="7354">
        <f t="shared" si="69"/>
        <v>1.2088070130315503E-3</v>
      </c>
      <c r="Q67" s="7355">
        <v>164</v>
      </c>
      <c r="R67" s="7356">
        <f t="shared" si="70"/>
        <v>1600</v>
      </c>
      <c r="S67" s="2844">
        <f t="shared" si="26"/>
        <v>1.6</v>
      </c>
      <c r="T67" s="2845">
        <f t="shared" si="27"/>
        <v>7.7363648834019222E-2</v>
      </c>
      <c r="U67" s="374">
        <f t="shared" si="28"/>
        <v>0</v>
      </c>
      <c r="V67" s="2846">
        <f t="shared" si="29"/>
        <v>1.6</v>
      </c>
      <c r="W67" s="2847">
        <f t="shared" si="30"/>
        <v>0</v>
      </c>
      <c r="X67" s="2848">
        <f t="shared" si="31"/>
        <v>0</v>
      </c>
      <c r="Y67" s="2849">
        <f t="shared" si="32"/>
        <v>0</v>
      </c>
      <c r="Z67" s="2850">
        <f t="shared" si="33"/>
        <v>0</v>
      </c>
      <c r="AA67" s="2851">
        <f t="shared" si="34"/>
        <v>0</v>
      </c>
      <c r="AC67" s="2867"/>
      <c r="AD67" s="2867"/>
      <c r="AE67" s="2867"/>
      <c r="AF67" s="2867"/>
      <c r="AG67" s="2867"/>
      <c r="AH67" s="2867"/>
      <c r="AI67" s="2825"/>
      <c r="AJ67" s="2825"/>
      <c r="AK67" s="2825"/>
      <c r="AL67" s="2825"/>
      <c r="AM67" s="2825"/>
    </row>
    <row r="68" spans="1:40" ht="13" customHeight="1">
      <c r="A68" s="2183" t="s">
        <v>462</v>
      </c>
      <c r="B68" s="2184" t="s">
        <v>215</v>
      </c>
      <c r="C68" s="7317">
        <f t="shared" si="68"/>
        <v>2.2173032407407406E-4</v>
      </c>
      <c r="D68" s="7324">
        <v>7</v>
      </c>
      <c r="E68" s="7333">
        <v>3</v>
      </c>
      <c r="F68" s="7333">
        <v>10</v>
      </c>
      <c r="G68" s="7333">
        <v>30</v>
      </c>
      <c r="H68" s="7334"/>
      <c r="I68" s="7334">
        <v>2.3148148148148146E-4</v>
      </c>
      <c r="J68" s="7334">
        <v>2.3148148148148146E-4</v>
      </c>
      <c r="K68" s="7335" t="s">
        <v>2494</v>
      </c>
      <c r="L68" s="7336">
        <f t="shared" si="71"/>
        <v>0.78808918082362212</v>
      </c>
      <c r="M68" s="7337">
        <v>1</v>
      </c>
      <c r="N68" s="7334">
        <f>P68*E68*F68+I68*E68*F68+J68*E68</f>
        <v>1.5621180555555555E-2</v>
      </c>
      <c r="O68" s="7338">
        <f>C68*30/25</f>
        <v>2.6607638888888888E-4</v>
      </c>
      <c r="P68" s="7334">
        <f t="shared" si="69"/>
        <v>2.6607638888888888E-4</v>
      </c>
      <c r="Q68" s="7339" t="s">
        <v>316</v>
      </c>
      <c r="R68" s="7312">
        <f t="shared" si="70"/>
        <v>900</v>
      </c>
      <c r="S68" s="2844">
        <f t="shared" si="26"/>
        <v>0.9</v>
      </c>
      <c r="T68" s="2845">
        <f t="shared" si="27"/>
        <v>3.1929166666666668E-2</v>
      </c>
      <c r="U68" s="374">
        <f t="shared" si="28"/>
        <v>0</v>
      </c>
      <c r="V68" s="2846">
        <f t="shared" si="29"/>
        <v>0</v>
      </c>
      <c r="W68" s="2847">
        <f t="shared" si="30"/>
        <v>0</v>
      </c>
      <c r="X68" s="2848">
        <f t="shared" si="31"/>
        <v>0</v>
      </c>
      <c r="Y68" s="2849">
        <f t="shared" si="32"/>
        <v>0</v>
      </c>
      <c r="Z68" s="2850">
        <f t="shared" si="33"/>
        <v>0</v>
      </c>
      <c r="AA68" s="2851">
        <f t="shared" si="34"/>
        <v>0.9</v>
      </c>
      <c r="AC68" s="2867"/>
      <c r="AD68" s="2867"/>
      <c r="AE68" s="2867"/>
      <c r="AF68" s="2867"/>
      <c r="AG68" s="2867"/>
      <c r="AH68" s="2867"/>
      <c r="AI68" s="2825"/>
      <c r="AJ68" s="2825"/>
      <c r="AK68" s="2825"/>
      <c r="AL68" s="2825"/>
      <c r="AM68" s="2825"/>
    </row>
    <row r="69" spans="1:40" ht="13" customHeight="1">
      <c r="A69" s="2183" t="s">
        <v>460</v>
      </c>
      <c r="B69" s="2184" t="s">
        <v>215</v>
      </c>
      <c r="C69" s="7317">
        <f t="shared" si="68"/>
        <v>2.7472886659807961E-4</v>
      </c>
      <c r="D69" s="7324">
        <v>2</v>
      </c>
      <c r="E69" s="7325">
        <v>1</v>
      </c>
      <c r="F69" s="7325">
        <v>3</v>
      </c>
      <c r="G69" s="7325">
        <v>200</v>
      </c>
      <c r="H69" s="7326"/>
      <c r="I69" s="7326">
        <v>2.3148148148148146E-4</v>
      </c>
      <c r="J69" s="7326">
        <v>1.3888888888888889E-3</v>
      </c>
      <c r="K69" s="7372" t="s">
        <v>724</v>
      </c>
      <c r="L69" s="7328">
        <f t="shared" si="71"/>
        <v>0.80371036137917762</v>
      </c>
      <c r="M69" s="7329">
        <v>1.25</v>
      </c>
      <c r="N69" s="7326">
        <f>P69*E69*F69+I69*E69*F69+J69*E69</f>
        <v>1.0572455311213994E-2</v>
      </c>
      <c r="O69" s="7330">
        <f>C69*8*1.03</f>
        <v>2.263765860768176E-3</v>
      </c>
      <c r="P69" s="7330">
        <f t="shared" si="69"/>
        <v>2.8297073259602201E-3</v>
      </c>
      <c r="Q69" s="7331">
        <v>147</v>
      </c>
      <c r="R69" s="7332">
        <f t="shared" si="70"/>
        <v>600</v>
      </c>
      <c r="S69" s="2844">
        <f t="shared" si="26"/>
        <v>0.6</v>
      </c>
      <c r="T69" s="2845">
        <f t="shared" si="27"/>
        <v>2.716519032921811E-2</v>
      </c>
      <c r="U69" s="374">
        <f t="shared" si="28"/>
        <v>0</v>
      </c>
      <c r="V69" s="2846">
        <f t="shared" si="29"/>
        <v>0.6</v>
      </c>
      <c r="W69" s="2847">
        <f t="shared" si="30"/>
        <v>0</v>
      </c>
      <c r="X69" s="2848">
        <f t="shared" si="31"/>
        <v>0</v>
      </c>
      <c r="Y69" s="2849">
        <f t="shared" si="32"/>
        <v>0</v>
      </c>
      <c r="Z69" s="2850">
        <f t="shared" si="33"/>
        <v>0</v>
      </c>
      <c r="AA69" s="2851">
        <f t="shared" si="34"/>
        <v>0</v>
      </c>
      <c r="AC69" s="2867"/>
      <c r="AD69" s="2867"/>
      <c r="AE69" s="2867"/>
      <c r="AF69" s="2867"/>
      <c r="AG69" s="2867"/>
      <c r="AH69" s="2867"/>
      <c r="AI69" s="2825"/>
      <c r="AJ69" s="2825"/>
      <c r="AK69" s="2825"/>
      <c r="AL69" s="2825"/>
      <c r="AM69" s="2825"/>
    </row>
    <row r="70" spans="1:40" ht="13" customHeight="1">
      <c r="A70" s="2183" t="s">
        <v>458</v>
      </c>
      <c r="B70" s="2184" t="s">
        <v>215</v>
      </c>
      <c r="C70" s="7317">
        <f t="shared" si="68"/>
        <v>2.2173032407407406E-4</v>
      </c>
      <c r="D70" s="7324">
        <v>7</v>
      </c>
      <c r="E70" s="7369">
        <v>2</v>
      </c>
      <c r="F70" s="7369">
        <v>6</v>
      </c>
      <c r="G70" s="7369">
        <v>25</v>
      </c>
      <c r="H70" s="7370"/>
      <c r="I70" s="7370">
        <v>4.6296296296296293E-4</v>
      </c>
      <c r="J70" s="7370">
        <v>1.3888888888888889E-3</v>
      </c>
      <c r="K70" s="4355" t="s">
        <v>411</v>
      </c>
      <c r="L70" s="7336">
        <f t="shared" si="71"/>
        <v>0.8142828166903916</v>
      </c>
      <c r="M70" s="7371">
        <v>0.9</v>
      </c>
      <c r="N70" s="7370">
        <f>P70*E70*F70+I70*E70*F70+J70*E70</f>
        <v>1.0728020833333332E-2</v>
      </c>
      <c r="O70" s="7338">
        <f>C70</f>
        <v>2.2173032407407406E-4</v>
      </c>
      <c r="P70" s="2517">
        <f t="shared" si="69"/>
        <v>1.9955729166666665E-4</v>
      </c>
      <c r="Q70" s="4360" t="s">
        <v>274</v>
      </c>
      <c r="R70" s="7312">
        <f t="shared" si="70"/>
        <v>300</v>
      </c>
      <c r="S70" s="2844">
        <f t="shared" si="26"/>
        <v>0.3</v>
      </c>
      <c r="T70" s="2845">
        <f t="shared" si="27"/>
        <v>1.0643055555555555E-2</v>
      </c>
      <c r="U70" s="374">
        <f t="shared" si="28"/>
        <v>0</v>
      </c>
      <c r="V70" s="2846">
        <f t="shared" si="29"/>
        <v>0</v>
      </c>
      <c r="W70" s="2847">
        <f t="shared" si="30"/>
        <v>0</v>
      </c>
      <c r="X70" s="2848">
        <f t="shared" si="31"/>
        <v>0</v>
      </c>
      <c r="Y70" s="2849">
        <f t="shared" si="32"/>
        <v>0</v>
      </c>
      <c r="Z70" s="2850">
        <f t="shared" si="33"/>
        <v>0</v>
      </c>
      <c r="AA70" s="2851">
        <f t="shared" si="34"/>
        <v>0.3</v>
      </c>
      <c r="AC70" s="2867"/>
      <c r="AD70" s="2867"/>
      <c r="AE70" s="2867"/>
      <c r="AF70" s="2867"/>
      <c r="AG70" s="2867"/>
      <c r="AH70" s="2867"/>
      <c r="AI70" s="2825"/>
      <c r="AJ70" s="2825"/>
      <c r="AK70" s="2825"/>
      <c r="AL70" s="2825"/>
      <c r="AM70" s="2825"/>
    </row>
    <row r="71" spans="1:40" ht="13" customHeight="1" thickBot="1">
      <c r="A71" s="7990" t="s">
        <v>2508</v>
      </c>
      <c r="B71" s="7990"/>
      <c r="C71" s="4347"/>
      <c r="D71" s="7410"/>
      <c r="E71" s="7991" t="s">
        <v>2509</v>
      </c>
      <c r="F71" s="7991"/>
      <c r="G71" s="7991"/>
      <c r="H71" s="7991"/>
      <c r="I71" s="7991"/>
      <c r="J71" s="7991"/>
      <c r="K71" s="7991"/>
      <c r="L71" s="2182">
        <f t="shared" si="71"/>
        <v>0.82501083752372495</v>
      </c>
      <c r="M71" s="144"/>
      <c r="N71" s="7313">
        <f>SUM(N65:N70)</f>
        <v>7.5010837523724977E-2</v>
      </c>
      <c r="O71" s="144"/>
      <c r="P71" s="144"/>
      <c r="Q71" s="144"/>
      <c r="R71" s="7314">
        <f>SUM(R65:R70)</f>
        <v>4600</v>
      </c>
      <c r="S71" s="2844" t="e">
        <f t="shared" si="26"/>
        <v>#VALUE!</v>
      </c>
      <c r="T71" s="2845" t="e">
        <f t="shared" si="27"/>
        <v>#VALUE!</v>
      </c>
      <c r="U71" s="374">
        <f t="shared" si="28"/>
        <v>0</v>
      </c>
      <c r="V71" s="2846">
        <f t="shared" si="29"/>
        <v>0</v>
      </c>
      <c r="W71" s="2847">
        <f t="shared" si="30"/>
        <v>0</v>
      </c>
      <c r="X71" s="2848">
        <f t="shared" si="31"/>
        <v>0</v>
      </c>
      <c r="Y71" s="2849">
        <f t="shared" si="32"/>
        <v>0</v>
      </c>
      <c r="Z71" s="2850">
        <f t="shared" si="33"/>
        <v>0</v>
      </c>
      <c r="AA71" s="2851">
        <f t="shared" si="34"/>
        <v>0</v>
      </c>
      <c r="AC71" s="2867"/>
      <c r="AD71" s="2867"/>
      <c r="AE71" s="2867"/>
      <c r="AF71" s="2867"/>
      <c r="AG71" s="2867"/>
      <c r="AH71" s="2867"/>
      <c r="AI71" s="2825"/>
      <c r="AJ71" s="2825"/>
      <c r="AK71" s="2825"/>
      <c r="AL71" s="2825"/>
      <c r="AM71" s="2825"/>
    </row>
    <row r="72" spans="1:40" ht="24.75" customHeight="1" thickTop="1" thickBot="1">
      <c r="A72" s="7990"/>
      <c r="B72" s="7990"/>
      <c r="C72" s="7411"/>
      <c r="D72" s="7412"/>
      <c r="E72" s="7992"/>
      <c r="F72" s="7992"/>
      <c r="G72" s="7992"/>
      <c r="H72" s="7992"/>
      <c r="I72" s="7992"/>
      <c r="J72" s="7992"/>
      <c r="K72" s="7992"/>
      <c r="L72" s="3149"/>
      <c r="M72" s="3150"/>
      <c r="N72" s="3147"/>
      <c r="O72" s="3147"/>
      <c r="P72" s="3147"/>
      <c r="Q72" s="3151"/>
      <c r="R72" s="7374"/>
      <c r="S72" s="3153"/>
      <c r="T72" s="3154"/>
      <c r="U72" s="7375">
        <f t="shared" ref="U72:AA72" si="72">SUM(U6:U71)</f>
        <v>5.8750000000000009</v>
      </c>
      <c r="V72" s="7375">
        <f t="shared" si="72"/>
        <v>7.5600000000000005</v>
      </c>
      <c r="W72" s="7375">
        <f t="shared" si="72"/>
        <v>4.7700000000000005</v>
      </c>
      <c r="X72" s="7375">
        <f t="shared" si="72"/>
        <v>2.7650000000000001</v>
      </c>
      <c r="Y72" s="7375">
        <f t="shared" si="72"/>
        <v>1.2</v>
      </c>
      <c r="Z72" s="7375">
        <f t="shared" si="72"/>
        <v>1.1600000000000001</v>
      </c>
      <c r="AA72" s="7375">
        <f t="shared" si="72"/>
        <v>4.1825000000000001</v>
      </c>
      <c r="AB72" s="3156">
        <f>SUM(U72:AA72)</f>
        <v>27.512500000000003</v>
      </c>
      <c r="AC72" s="2867">
        <v>0</v>
      </c>
      <c r="AD72" s="2867">
        <v>0</v>
      </c>
      <c r="AE72" s="2838"/>
      <c r="AF72" s="2838"/>
      <c r="AG72" s="2838"/>
      <c r="AH72" s="2838"/>
      <c r="AI72" s="2838"/>
    </row>
    <row r="73" spans="1:40" ht="20.25" customHeight="1" thickTop="1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3157">
        <f>IF(U72&gt;0,U72,#REF!)</f>
        <v>5.8750000000000009</v>
      </c>
      <c r="V73" s="3157">
        <f>IF(V72&gt;0,V72,#REF!)</f>
        <v>7.5600000000000005</v>
      </c>
      <c r="W73" s="3157">
        <f>IF(W72&gt;0,W72,#REF!)</f>
        <v>4.7700000000000005</v>
      </c>
      <c r="X73" s="3157">
        <f>IF(X72&gt;0,X72,#REF!)</f>
        <v>2.7650000000000001</v>
      </c>
      <c r="Y73" s="3157">
        <f>IF(Y72&gt;0,Y72,#REF!)</f>
        <v>1.2</v>
      </c>
      <c r="Z73" s="3157">
        <f>IF(Z72&gt;0,Z72,#REF!)</f>
        <v>1.1600000000000001</v>
      </c>
      <c r="AA73" s="3157">
        <f>IF(AA72&gt;0,AA72,#REF!)</f>
        <v>4.1825000000000001</v>
      </c>
      <c r="AB73" s="144"/>
      <c r="AC73" s="2825"/>
      <c r="AD73" s="2825"/>
      <c r="AE73" s="2838"/>
      <c r="AF73" s="2838"/>
      <c r="AG73" s="2838"/>
      <c r="AH73" s="2838"/>
      <c r="AI73" s="2838"/>
      <c r="AJ73" s="2825"/>
      <c r="AK73" s="2825"/>
      <c r="AL73" s="2825"/>
      <c r="AM73" s="2825"/>
    </row>
    <row r="74" spans="1:40" s="2914" customFormat="1" ht="19.5" customHeight="1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3157">
        <f t="shared" ref="U74:AA89" si="73">IF(U73&gt;0,U73,U72)</f>
        <v>5.8750000000000009</v>
      </c>
      <c r="V74" s="3157">
        <f t="shared" si="73"/>
        <v>7.5600000000000005</v>
      </c>
      <c r="W74" s="3157">
        <f t="shared" si="73"/>
        <v>4.7700000000000005</v>
      </c>
      <c r="X74" s="3157">
        <f t="shared" si="73"/>
        <v>2.7650000000000001</v>
      </c>
      <c r="Y74" s="3157">
        <f t="shared" si="73"/>
        <v>1.2</v>
      </c>
      <c r="Z74" s="3157">
        <f t="shared" si="73"/>
        <v>1.1600000000000001</v>
      </c>
      <c r="AA74" s="3157">
        <f t="shared" si="73"/>
        <v>4.1825000000000001</v>
      </c>
      <c r="AB74" s="144"/>
      <c r="AC74" s="2826"/>
      <c r="AD74" s="2826"/>
      <c r="AE74" s="2838"/>
      <c r="AF74" s="2838"/>
      <c r="AG74" s="2838"/>
      <c r="AH74" s="2838"/>
      <c r="AI74" s="2838"/>
      <c r="AJ74" s="2826"/>
      <c r="AK74" s="2826"/>
      <c r="AL74" s="2826"/>
      <c r="AM74" s="2826"/>
      <c r="AN74" s="2913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3157">
        <f t="shared" si="73"/>
        <v>5.8750000000000009</v>
      </c>
      <c r="V75" s="3157">
        <f t="shared" si="73"/>
        <v>7.5600000000000005</v>
      </c>
      <c r="W75" s="3157">
        <f t="shared" si="73"/>
        <v>4.7700000000000005</v>
      </c>
      <c r="X75" s="3157">
        <f t="shared" si="73"/>
        <v>2.7650000000000001</v>
      </c>
      <c r="Y75" s="3157">
        <f t="shared" si="73"/>
        <v>1.2</v>
      </c>
      <c r="Z75" s="3157">
        <f t="shared" si="73"/>
        <v>1.1600000000000001</v>
      </c>
      <c r="AA75" s="3157">
        <f t="shared" si="73"/>
        <v>4.1825000000000001</v>
      </c>
      <c r="AB75" s="144"/>
      <c r="AE75" s="2838"/>
      <c r="AF75" s="2838"/>
      <c r="AG75" s="2838"/>
      <c r="AH75" s="2838"/>
      <c r="AI75" s="2838"/>
    </row>
    <row r="76" spans="1:40" ht="15.75" customHeight="1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3157">
        <f t="shared" si="73"/>
        <v>5.8750000000000009</v>
      </c>
      <c r="V76" s="3157">
        <f t="shared" si="73"/>
        <v>7.5600000000000005</v>
      </c>
      <c r="W76" s="3157">
        <f t="shared" si="73"/>
        <v>4.7700000000000005</v>
      </c>
      <c r="X76" s="3157">
        <f t="shared" si="73"/>
        <v>2.7650000000000001</v>
      </c>
      <c r="Y76" s="3157">
        <f t="shared" si="73"/>
        <v>1.2</v>
      </c>
      <c r="Z76" s="3157">
        <f t="shared" si="73"/>
        <v>1.1600000000000001</v>
      </c>
      <c r="AA76" s="3157">
        <f t="shared" si="73"/>
        <v>4.1825000000000001</v>
      </c>
      <c r="AB76" s="144"/>
    </row>
    <row r="77" spans="1:40" ht="72" customHeight="1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3157">
        <f t="shared" si="73"/>
        <v>5.8750000000000009</v>
      </c>
      <c r="V77" s="3157">
        <f t="shared" si="73"/>
        <v>7.5600000000000005</v>
      </c>
      <c r="W77" s="3157">
        <f t="shared" si="73"/>
        <v>4.7700000000000005</v>
      </c>
      <c r="X77" s="3157">
        <f t="shared" si="73"/>
        <v>2.7650000000000001</v>
      </c>
      <c r="Y77" s="3157">
        <f t="shared" si="73"/>
        <v>1.2</v>
      </c>
      <c r="Z77" s="3157">
        <f t="shared" si="73"/>
        <v>1.1600000000000001</v>
      </c>
      <c r="AA77" s="3157">
        <f t="shared" si="73"/>
        <v>4.1825000000000001</v>
      </c>
      <c r="AB77" s="144"/>
      <c r="AC77" s="2837"/>
      <c r="AD77" s="2838"/>
      <c r="AE77" s="2838"/>
      <c r="AF77" s="2838"/>
      <c r="AG77" s="2838"/>
      <c r="AH77" s="2838"/>
      <c r="AI77" s="2836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3157">
        <f t="shared" si="73"/>
        <v>5.8750000000000009</v>
      </c>
      <c r="V78" s="3157">
        <f t="shared" si="73"/>
        <v>7.5600000000000005</v>
      </c>
      <c r="W78" s="3157">
        <f t="shared" si="73"/>
        <v>4.7700000000000005</v>
      </c>
      <c r="X78" s="3157">
        <f t="shared" si="73"/>
        <v>2.7650000000000001</v>
      </c>
      <c r="Y78" s="3157">
        <f t="shared" si="73"/>
        <v>1.2</v>
      </c>
      <c r="Z78" s="3157">
        <f t="shared" si="73"/>
        <v>1.1600000000000001</v>
      </c>
      <c r="AA78" s="3157">
        <f t="shared" si="73"/>
        <v>4.1825000000000001</v>
      </c>
      <c r="AB78" s="144"/>
      <c r="AC78" s="2867" t="s">
        <v>193</v>
      </c>
      <c r="AD78" s="2937"/>
      <c r="AE78" s="2937"/>
      <c r="AF78" s="2937"/>
      <c r="AG78" s="2937"/>
      <c r="AH78" s="2937"/>
      <c r="AI78" s="2935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3157">
        <f t="shared" si="73"/>
        <v>5.8750000000000009</v>
      </c>
      <c r="V79" s="3157">
        <f t="shared" si="73"/>
        <v>7.5600000000000005</v>
      </c>
      <c r="W79" s="3157">
        <f t="shared" si="73"/>
        <v>4.7700000000000005</v>
      </c>
      <c r="X79" s="3157">
        <f t="shared" si="73"/>
        <v>2.7650000000000001</v>
      </c>
      <c r="Y79" s="3157">
        <f t="shared" si="73"/>
        <v>1.2</v>
      </c>
      <c r="Z79" s="3157">
        <f t="shared" si="73"/>
        <v>1.1600000000000001</v>
      </c>
      <c r="AA79" s="3157">
        <f t="shared" si="73"/>
        <v>4.1825000000000001</v>
      </c>
      <c r="AB79" s="144"/>
      <c r="AC79" s="2867">
        <v>0</v>
      </c>
      <c r="AD79" s="2867">
        <v>0</v>
      </c>
      <c r="AE79" s="2867">
        <v>0</v>
      </c>
      <c r="AF79" s="2867">
        <v>0</v>
      </c>
      <c r="AG79" s="2867">
        <v>0</v>
      </c>
      <c r="AH79" s="2867">
        <v>0</v>
      </c>
      <c r="AI79" s="2935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3157">
        <f t="shared" si="73"/>
        <v>5.8750000000000009</v>
      </c>
      <c r="V80" s="3157">
        <f t="shared" si="73"/>
        <v>7.5600000000000005</v>
      </c>
      <c r="W80" s="3157">
        <f t="shared" si="73"/>
        <v>4.7700000000000005</v>
      </c>
      <c r="X80" s="3157">
        <f t="shared" si="73"/>
        <v>2.7650000000000001</v>
      </c>
      <c r="Y80" s="3157">
        <f t="shared" si="73"/>
        <v>1.2</v>
      </c>
      <c r="Z80" s="3157">
        <f t="shared" si="73"/>
        <v>1.1600000000000001</v>
      </c>
      <c r="AA80" s="3157">
        <f t="shared" si="73"/>
        <v>4.1825000000000001</v>
      </c>
      <c r="AB80" s="144"/>
      <c r="AC80" s="2867"/>
      <c r="AD80" s="2867"/>
      <c r="AE80" s="2867"/>
      <c r="AF80" s="2867"/>
      <c r="AG80" s="2867"/>
      <c r="AH80" s="2867"/>
      <c r="AI80" s="2935"/>
    </row>
    <row r="81" spans="1:35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3157">
        <f t="shared" si="73"/>
        <v>5.8750000000000009</v>
      </c>
      <c r="V81" s="3157">
        <f t="shared" si="73"/>
        <v>7.5600000000000005</v>
      </c>
      <c r="W81" s="3157">
        <f t="shared" si="73"/>
        <v>4.7700000000000005</v>
      </c>
      <c r="X81" s="3157">
        <f t="shared" si="73"/>
        <v>2.7650000000000001</v>
      </c>
      <c r="Y81" s="3157">
        <f t="shared" si="73"/>
        <v>1.2</v>
      </c>
      <c r="Z81" s="3157">
        <f t="shared" si="73"/>
        <v>1.1600000000000001</v>
      </c>
      <c r="AA81" s="3157">
        <f t="shared" si="73"/>
        <v>4.1825000000000001</v>
      </c>
      <c r="AB81" s="144"/>
      <c r="AC81" s="2867"/>
      <c r="AD81" s="2867"/>
      <c r="AE81" s="2867"/>
      <c r="AF81" s="2867"/>
      <c r="AG81" s="2867"/>
      <c r="AH81" s="2867"/>
      <c r="AI81" s="2935"/>
    </row>
    <row r="82" spans="1:35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3157">
        <f t="shared" si="73"/>
        <v>5.8750000000000009</v>
      </c>
      <c r="V82" s="3157">
        <f t="shared" si="73"/>
        <v>7.5600000000000005</v>
      </c>
      <c r="W82" s="3157">
        <f t="shared" si="73"/>
        <v>4.7700000000000005</v>
      </c>
      <c r="X82" s="3157">
        <f t="shared" si="73"/>
        <v>2.7650000000000001</v>
      </c>
      <c r="Y82" s="3157">
        <f t="shared" si="73"/>
        <v>1.2</v>
      </c>
      <c r="Z82" s="3157">
        <f t="shared" si="73"/>
        <v>1.1600000000000001</v>
      </c>
      <c r="AA82" s="3157">
        <f t="shared" si="73"/>
        <v>4.1825000000000001</v>
      </c>
      <c r="AB82" s="144"/>
      <c r="AC82" s="2867">
        <v>0</v>
      </c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935"/>
    </row>
    <row r="83" spans="1:35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3157">
        <f t="shared" si="73"/>
        <v>5.8750000000000009</v>
      </c>
      <c r="V83" s="3157">
        <f t="shared" si="73"/>
        <v>7.5600000000000005</v>
      </c>
      <c r="W83" s="3157">
        <f t="shared" si="73"/>
        <v>4.7700000000000005</v>
      </c>
      <c r="X83" s="3157">
        <f t="shared" si="73"/>
        <v>2.7650000000000001</v>
      </c>
      <c r="Y83" s="3157">
        <f t="shared" si="73"/>
        <v>1.2</v>
      </c>
      <c r="Z83" s="3157">
        <f t="shared" si="73"/>
        <v>1.1600000000000001</v>
      </c>
      <c r="AA83" s="3157">
        <f t="shared" si="73"/>
        <v>4.1825000000000001</v>
      </c>
      <c r="AB83" s="144"/>
      <c r="AC83" s="2867">
        <v>0</v>
      </c>
      <c r="AD83" s="2867">
        <v>0</v>
      </c>
      <c r="AE83" s="2867">
        <v>0</v>
      </c>
      <c r="AF83" s="2867">
        <v>0</v>
      </c>
      <c r="AG83" s="2867">
        <v>0</v>
      </c>
      <c r="AH83" s="2867">
        <v>0</v>
      </c>
      <c r="AI83" s="2825"/>
    </row>
    <row r="84" spans="1:35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3157">
        <f t="shared" si="73"/>
        <v>5.8750000000000009</v>
      </c>
      <c r="V84" s="3157">
        <f t="shared" si="73"/>
        <v>7.5600000000000005</v>
      </c>
      <c r="W84" s="3157">
        <f t="shared" si="73"/>
        <v>4.7700000000000005</v>
      </c>
      <c r="X84" s="3157">
        <f t="shared" si="73"/>
        <v>2.7650000000000001</v>
      </c>
      <c r="Y84" s="3157">
        <f t="shared" si="73"/>
        <v>1.2</v>
      </c>
      <c r="Z84" s="3157">
        <f t="shared" si="73"/>
        <v>1.1600000000000001</v>
      </c>
      <c r="AA84" s="3157">
        <f t="shared" si="73"/>
        <v>4.1825000000000001</v>
      </c>
      <c r="AB84" s="144"/>
      <c r="AC84" s="2867"/>
      <c r="AD84" s="2867"/>
      <c r="AE84" s="2867"/>
      <c r="AF84" s="2867"/>
      <c r="AG84" s="2867"/>
      <c r="AH84" s="2867"/>
      <c r="AI84" s="2825"/>
    </row>
    <row r="85" spans="1:35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3157">
        <f t="shared" si="73"/>
        <v>5.8750000000000009</v>
      </c>
      <c r="V85" s="3157">
        <f t="shared" si="73"/>
        <v>7.5600000000000005</v>
      </c>
      <c r="W85" s="3157">
        <f t="shared" si="73"/>
        <v>4.7700000000000005</v>
      </c>
      <c r="X85" s="3157">
        <f t="shared" si="73"/>
        <v>2.7650000000000001</v>
      </c>
      <c r="Y85" s="3157">
        <f t="shared" si="73"/>
        <v>1.2</v>
      </c>
      <c r="Z85" s="3157">
        <f t="shared" si="73"/>
        <v>1.1600000000000001</v>
      </c>
      <c r="AA85" s="3157">
        <f t="shared" si="73"/>
        <v>4.1825000000000001</v>
      </c>
      <c r="AB85" s="144"/>
      <c r="AC85" s="2867"/>
      <c r="AD85" s="2867"/>
      <c r="AE85" s="2867"/>
      <c r="AF85" s="2867"/>
      <c r="AG85" s="2867"/>
      <c r="AH85" s="2867"/>
      <c r="AI85" s="2825"/>
    </row>
    <row r="86" spans="1:35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3157">
        <f t="shared" si="73"/>
        <v>5.8750000000000009</v>
      </c>
      <c r="V86" s="3157">
        <f t="shared" si="73"/>
        <v>7.5600000000000005</v>
      </c>
      <c r="W86" s="3157">
        <f t="shared" si="73"/>
        <v>4.7700000000000005</v>
      </c>
      <c r="X86" s="3157">
        <f t="shared" si="73"/>
        <v>2.7650000000000001</v>
      </c>
      <c r="Y86" s="3157">
        <f t="shared" si="73"/>
        <v>1.2</v>
      </c>
      <c r="Z86" s="3157">
        <f t="shared" si="73"/>
        <v>1.1600000000000001</v>
      </c>
      <c r="AA86" s="3157">
        <f t="shared" si="73"/>
        <v>4.1825000000000001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</row>
    <row r="87" spans="1:35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3157">
        <f t="shared" si="73"/>
        <v>5.8750000000000009</v>
      </c>
      <c r="V87" s="3157">
        <f t="shared" si="73"/>
        <v>7.5600000000000005</v>
      </c>
      <c r="W87" s="3157">
        <f t="shared" si="73"/>
        <v>4.7700000000000005</v>
      </c>
      <c r="X87" s="3157">
        <f t="shared" si="73"/>
        <v>2.7650000000000001</v>
      </c>
      <c r="Y87" s="3157">
        <f t="shared" si="73"/>
        <v>1.2</v>
      </c>
      <c r="Z87" s="3157">
        <f t="shared" si="73"/>
        <v>1.1600000000000001</v>
      </c>
      <c r="AA87" s="3157">
        <f t="shared" si="73"/>
        <v>4.1825000000000001</v>
      </c>
      <c r="AB87" s="144"/>
      <c r="AC87" s="2867">
        <v>0</v>
      </c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25"/>
    </row>
    <row r="88" spans="1:35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3157">
        <f t="shared" si="73"/>
        <v>5.8750000000000009</v>
      </c>
      <c r="V88" s="3157">
        <f t="shared" si="73"/>
        <v>7.5600000000000005</v>
      </c>
      <c r="W88" s="3157">
        <f t="shared" si="73"/>
        <v>4.7700000000000005</v>
      </c>
      <c r="X88" s="3157">
        <f t="shared" si="73"/>
        <v>2.7650000000000001</v>
      </c>
      <c r="Y88" s="3157">
        <f t="shared" si="73"/>
        <v>1.2</v>
      </c>
      <c r="Z88" s="3157">
        <f t="shared" si="73"/>
        <v>1.1600000000000001</v>
      </c>
      <c r="AA88" s="3157">
        <f t="shared" si="73"/>
        <v>4.1825000000000001</v>
      </c>
      <c r="AB88" s="144"/>
      <c r="AC88" s="2867">
        <v>0</v>
      </c>
      <c r="AD88" s="2867">
        <v>0</v>
      </c>
      <c r="AE88" s="2867">
        <v>0</v>
      </c>
      <c r="AF88" s="2867">
        <v>0</v>
      </c>
      <c r="AG88" s="2867">
        <v>0</v>
      </c>
      <c r="AH88" s="2867">
        <v>0</v>
      </c>
      <c r="AI88" s="2825"/>
    </row>
    <row r="89" spans="1:35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3157">
        <f t="shared" si="73"/>
        <v>5.8750000000000009</v>
      </c>
      <c r="V89" s="3157">
        <f t="shared" si="73"/>
        <v>7.5600000000000005</v>
      </c>
      <c r="W89" s="3157">
        <f t="shared" si="73"/>
        <v>4.7700000000000005</v>
      </c>
      <c r="X89" s="3157">
        <f t="shared" si="73"/>
        <v>2.7650000000000001</v>
      </c>
      <c r="Y89" s="3157">
        <f t="shared" si="73"/>
        <v>1.2</v>
      </c>
      <c r="Z89" s="3157">
        <f t="shared" si="73"/>
        <v>1.1600000000000001</v>
      </c>
      <c r="AA89" s="3157">
        <f t="shared" si="73"/>
        <v>4.1825000000000001</v>
      </c>
      <c r="AB89" s="144"/>
      <c r="AC89" s="2867">
        <v>0</v>
      </c>
      <c r="AD89" s="2867">
        <v>0</v>
      </c>
      <c r="AE89" s="2867">
        <v>0</v>
      </c>
      <c r="AF89" s="2867">
        <v>0</v>
      </c>
      <c r="AG89" s="2867">
        <v>0</v>
      </c>
      <c r="AH89" s="2867">
        <v>0</v>
      </c>
      <c r="AI89" s="2825"/>
    </row>
    <row r="90" spans="1:35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3157">
        <f t="shared" ref="U90:AA105" si="74">IF(U89&gt;0,U89,U88)</f>
        <v>5.8750000000000009</v>
      </c>
      <c r="V90" s="3157">
        <f t="shared" si="74"/>
        <v>7.5600000000000005</v>
      </c>
      <c r="W90" s="3157">
        <f t="shared" si="74"/>
        <v>4.7700000000000005</v>
      </c>
      <c r="X90" s="3157">
        <f t="shared" si="74"/>
        <v>2.7650000000000001</v>
      </c>
      <c r="Y90" s="3157">
        <f t="shared" si="74"/>
        <v>1.2</v>
      </c>
      <c r="Z90" s="3157">
        <f t="shared" si="74"/>
        <v>1.1600000000000001</v>
      </c>
      <c r="AA90" s="3157">
        <f t="shared" si="74"/>
        <v>4.1825000000000001</v>
      </c>
      <c r="AB90" s="144"/>
      <c r="AC90" s="2867"/>
      <c r="AD90" s="2867"/>
      <c r="AE90" s="2867"/>
      <c r="AF90" s="2867"/>
      <c r="AG90" s="2867"/>
      <c r="AH90" s="2867"/>
      <c r="AI90" s="2825"/>
    </row>
    <row r="91" spans="1:35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3157">
        <f t="shared" si="74"/>
        <v>5.8750000000000009</v>
      </c>
      <c r="V91" s="3157">
        <f t="shared" si="74"/>
        <v>7.5600000000000005</v>
      </c>
      <c r="W91" s="3157">
        <f t="shared" si="74"/>
        <v>4.7700000000000005</v>
      </c>
      <c r="X91" s="3157">
        <f t="shared" si="74"/>
        <v>2.7650000000000001</v>
      </c>
      <c r="Y91" s="3157">
        <f t="shared" si="74"/>
        <v>1.2</v>
      </c>
      <c r="Z91" s="3157">
        <f t="shared" si="74"/>
        <v>1.1600000000000001</v>
      </c>
      <c r="AA91" s="3157">
        <f t="shared" si="74"/>
        <v>4.1825000000000001</v>
      </c>
      <c r="AB91" s="144"/>
      <c r="AC91" s="2867"/>
      <c r="AD91" s="2867"/>
      <c r="AE91" s="2867"/>
      <c r="AF91" s="2867"/>
      <c r="AG91" s="2867"/>
      <c r="AH91" s="2867"/>
      <c r="AI91" s="2825"/>
    </row>
    <row r="92" spans="1:35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3157">
        <f t="shared" si="74"/>
        <v>5.8750000000000009</v>
      </c>
      <c r="V92" s="3157">
        <f t="shared" si="74"/>
        <v>7.5600000000000005</v>
      </c>
      <c r="W92" s="3157">
        <f t="shared" si="74"/>
        <v>4.7700000000000005</v>
      </c>
      <c r="X92" s="3157">
        <f t="shared" si="74"/>
        <v>2.7650000000000001</v>
      </c>
      <c r="Y92" s="3157">
        <f t="shared" si="74"/>
        <v>1.2</v>
      </c>
      <c r="Z92" s="3157">
        <f t="shared" si="74"/>
        <v>1.1600000000000001</v>
      </c>
      <c r="AA92" s="3157">
        <f t="shared" si="74"/>
        <v>4.1825000000000001</v>
      </c>
      <c r="AB92" s="144"/>
      <c r="AC92" s="2867">
        <v>0</v>
      </c>
      <c r="AD92" s="2867">
        <v>0</v>
      </c>
      <c r="AE92" s="2867">
        <v>0</v>
      </c>
      <c r="AF92" s="2867">
        <v>0</v>
      </c>
      <c r="AG92" s="2867">
        <v>0</v>
      </c>
      <c r="AH92" s="2867">
        <v>0</v>
      </c>
      <c r="AI92" s="2825"/>
    </row>
    <row r="93" spans="1:35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3157">
        <f t="shared" si="74"/>
        <v>5.8750000000000009</v>
      </c>
      <c r="V93" s="3157">
        <f t="shared" si="74"/>
        <v>7.5600000000000005</v>
      </c>
      <c r="W93" s="3157">
        <f t="shared" si="74"/>
        <v>4.7700000000000005</v>
      </c>
      <c r="X93" s="3157">
        <f t="shared" si="74"/>
        <v>2.7650000000000001</v>
      </c>
      <c r="Y93" s="3157">
        <f t="shared" si="74"/>
        <v>1.2</v>
      </c>
      <c r="Z93" s="3157">
        <f t="shared" si="74"/>
        <v>1.1600000000000001</v>
      </c>
      <c r="AA93" s="3157">
        <f t="shared" si="74"/>
        <v>4.1825000000000001</v>
      </c>
      <c r="AB93" s="144"/>
      <c r="AC93" s="2867">
        <v>0</v>
      </c>
      <c r="AD93" s="2867">
        <v>0</v>
      </c>
      <c r="AE93" s="2867">
        <v>0</v>
      </c>
      <c r="AF93" s="2867">
        <v>0</v>
      </c>
      <c r="AG93" s="2867">
        <v>0</v>
      </c>
      <c r="AH93" s="2867">
        <v>0</v>
      </c>
      <c r="AI93" s="2825"/>
    </row>
    <row r="94" spans="1:35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3157">
        <f t="shared" si="74"/>
        <v>5.8750000000000009</v>
      </c>
      <c r="V94" s="3157">
        <f t="shared" si="74"/>
        <v>7.5600000000000005</v>
      </c>
      <c r="W94" s="3157">
        <f t="shared" si="74"/>
        <v>4.7700000000000005</v>
      </c>
      <c r="X94" s="3157">
        <f t="shared" si="74"/>
        <v>2.7650000000000001</v>
      </c>
      <c r="Y94" s="3157">
        <f t="shared" si="74"/>
        <v>1.2</v>
      </c>
      <c r="Z94" s="3157">
        <f t="shared" si="74"/>
        <v>1.1600000000000001</v>
      </c>
      <c r="AA94" s="3157">
        <f t="shared" si="74"/>
        <v>4.1825000000000001</v>
      </c>
      <c r="AB94" s="144"/>
      <c r="AC94" s="2867">
        <v>0</v>
      </c>
      <c r="AD94" s="2867">
        <v>0</v>
      </c>
      <c r="AE94" s="2867">
        <v>0</v>
      </c>
      <c r="AF94" s="2867">
        <v>0</v>
      </c>
      <c r="AG94" s="2867">
        <v>0</v>
      </c>
      <c r="AH94" s="2867">
        <v>0</v>
      </c>
      <c r="AI94" s="2825"/>
    </row>
    <row r="95" spans="1:35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3157">
        <f t="shared" si="74"/>
        <v>5.8750000000000009</v>
      </c>
      <c r="V95" s="3157">
        <f t="shared" si="74"/>
        <v>7.5600000000000005</v>
      </c>
      <c r="W95" s="3157">
        <f t="shared" si="74"/>
        <v>4.7700000000000005</v>
      </c>
      <c r="X95" s="3157">
        <f t="shared" si="74"/>
        <v>2.7650000000000001</v>
      </c>
      <c r="Y95" s="3157">
        <f t="shared" si="74"/>
        <v>1.2</v>
      </c>
      <c r="Z95" s="3157">
        <f t="shared" si="74"/>
        <v>1.1600000000000001</v>
      </c>
      <c r="AA95" s="3157">
        <f t="shared" si="74"/>
        <v>4.1825000000000001</v>
      </c>
      <c r="AB95" s="144"/>
      <c r="AC95" s="2867"/>
      <c r="AD95" s="2867"/>
      <c r="AE95" s="2867"/>
      <c r="AF95" s="2867"/>
      <c r="AG95" s="2867"/>
      <c r="AH95" s="2867"/>
      <c r="AI95" s="2825"/>
    </row>
    <row r="96" spans="1:35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3157">
        <f t="shared" si="74"/>
        <v>5.8750000000000009</v>
      </c>
      <c r="V96" s="3157">
        <f t="shared" si="74"/>
        <v>7.5600000000000005</v>
      </c>
      <c r="W96" s="3157">
        <f t="shared" si="74"/>
        <v>4.7700000000000005</v>
      </c>
      <c r="X96" s="3157">
        <f t="shared" si="74"/>
        <v>2.7650000000000001</v>
      </c>
      <c r="Y96" s="3157">
        <f t="shared" si="74"/>
        <v>1.2</v>
      </c>
      <c r="Z96" s="3157">
        <f t="shared" si="74"/>
        <v>1.1600000000000001</v>
      </c>
      <c r="AA96" s="3157">
        <f t="shared" si="74"/>
        <v>4.1825000000000001</v>
      </c>
      <c r="AB96" s="144"/>
      <c r="AC96" s="2867"/>
      <c r="AD96" s="2867"/>
      <c r="AE96" s="2867"/>
      <c r="AF96" s="2867"/>
      <c r="AG96" s="2867"/>
      <c r="AH96" s="2867"/>
      <c r="AI96" s="2825"/>
    </row>
    <row r="97" spans="1:35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3157">
        <f t="shared" si="74"/>
        <v>5.8750000000000009</v>
      </c>
      <c r="V97" s="3157">
        <f t="shared" si="74"/>
        <v>7.5600000000000005</v>
      </c>
      <c r="W97" s="3157">
        <f t="shared" si="74"/>
        <v>4.7700000000000005</v>
      </c>
      <c r="X97" s="3157">
        <f t="shared" si="74"/>
        <v>2.7650000000000001</v>
      </c>
      <c r="Y97" s="3157">
        <f t="shared" si="74"/>
        <v>1.2</v>
      </c>
      <c r="Z97" s="3157">
        <f t="shared" si="74"/>
        <v>1.1600000000000001</v>
      </c>
      <c r="AA97" s="3157">
        <f t="shared" si="74"/>
        <v>4.1825000000000001</v>
      </c>
      <c r="AB97" s="144"/>
      <c r="AC97" s="2867">
        <v>0</v>
      </c>
      <c r="AD97" s="2867">
        <v>0</v>
      </c>
      <c r="AE97" s="2867">
        <v>0</v>
      </c>
      <c r="AF97" s="2867">
        <v>0</v>
      </c>
      <c r="AG97" s="2867">
        <v>0</v>
      </c>
      <c r="AH97" s="2867">
        <v>0</v>
      </c>
      <c r="AI97" s="2825"/>
    </row>
    <row r="98" spans="1:35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3157">
        <f t="shared" si="74"/>
        <v>5.8750000000000009</v>
      </c>
      <c r="V98" s="3157">
        <f t="shared" si="74"/>
        <v>7.5600000000000005</v>
      </c>
      <c r="W98" s="3157">
        <f t="shared" si="74"/>
        <v>4.7700000000000005</v>
      </c>
      <c r="X98" s="3157">
        <f t="shared" si="74"/>
        <v>2.7650000000000001</v>
      </c>
      <c r="Y98" s="3157">
        <f t="shared" si="74"/>
        <v>1.2</v>
      </c>
      <c r="Z98" s="3157">
        <f t="shared" si="74"/>
        <v>1.1600000000000001</v>
      </c>
      <c r="AA98" s="3157">
        <f t="shared" si="74"/>
        <v>4.1825000000000001</v>
      </c>
      <c r="AB98" s="144"/>
      <c r="AC98" s="2867">
        <v>0</v>
      </c>
      <c r="AD98" s="2867">
        <v>0</v>
      </c>
      <c r="AE98" s="2867">
        <v>0</v>
      </c>
      <c r="AF98" s="2867">
        <v>0</v>
      </c>
      <c r="AG98" s="2867">
        <v>0</v>
      </c>
      <c r="AH98" s="2867">
        <v>0</v>
      </c>
      <c r="AI98" s="2825"/>
    </row>
    <row r="99" spans="1:35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3157">
        <f t="shared" si="74"/>
        <v>5.8750000000000009</v>
      </c>
      <c r="V99" s="3157">
        <f t="shared" si="74"/>
        <v>7.5600000000000005</v>
      </c>
      <c r="W99" s="3157">
        <f t="shared" si="74"/>
        <v>4.7700000000000005</v>
      </c>
      <c r="X99" s="3157">
        <f t="shared" si="74"/>
        <v>2.7650000000000001</v>
      </c>
      <c r="Y99" s="3157">
        <f t="shared" si="74"/>
        <v>1.2</v>
      </c>
      <c r="Z99" s="3157">
        <f t="shared" si="74"/>
        <v>1.1600000000000001</v>
      </c>
      <c r="AA99" s="3157">
        <f t="shared" si="74"/>
        <v>4.1825000000000001</v>
      </c>
      <c r="AB99" s="144"/>
      <c r="AC99" s="2867">
        <v>0</v>
      </c>
      <c r="AD99" s="2867">
        <v>0</v>
      </c>
      <c r="AE99" s="2867">
        <v>0</v>
      </c>
      <c r="AF99" s="2867">
        <v>0</v>
      </c>
      <c r="AG99" s="2867">
        <v>0</v>
      </c>
      <c r="AH99" s="2867">
        <v>0</v>
      </c>
      <c r="AI99" s="2825"/>
    </row>
    <row r="100" spans="1:35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3157">
        <f t="shared" si="74"/>
        <v>5.8750000000000009</v>
      </c>
      <c r="V100" s="3157">
        <f t="shared" si="74"/>
        <v>7.5600000000000005</v>
      </c>
      <c r="W100" s="3157">
        <f t="shared" si="74"/>
        <v>4.7700000000000005</v>
      </c>
      <c r="X100" s="3157">
        <f t="shared" si="74"/>
        <v>2.7650000000000001</v>
      </c>
      <c r="Y100" s="3157">
        <f t="shared" si="74"/>
        <v>1.2</v>
      </c>
      <c r="Z100" s="3157">
        <f t="shared" si="74"/>
        <v>1.1600000000000001</v>
      </c>
      <c r="AA100" s="3157">
        <f t="shared" si="74"/>
        <v>4.1825000000000001</v>
      </c>
      <c r="AB100" s="144"/>
      <c r="AC100" s="2867"/>
      <c r="AD100" s="2867"/>
      <c r="AE100" s="2867"/>
      <c r="AF100" s="2867"/>
      <c r="AG100" s="2867"/>
      <c r="AH100" s="2867"/>
      <c r="AI100" s="2825"/>
    </row>
    <row r="101" spans="1:35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3157">
        <f t="shared" si="74"/>
        <v>5.8750000000000009</v>
      </c>
      <c r="V101" s="3157">
        <f t="shared" si="74"/>
        <v>7.5600000000000005</v>
      </c>
      <c r="W101" s="3157">
        <f t="shared" si="74"/>
        <v>4.7700000000000005</v>
      </c>
      <c r="X101" s="3157">
        <f t="shared" si="74"/>
        <v>2.7650000000000001</v>
      </c>
      <c r="Y101" s="3157">
        <f t="shared" si="74"/>
        <v>1.2</v>
      </c>
      <c r="Z101" s="3157">
        <f t="shared" si="74"/>
        <v>1.1600000000000001</v>
      </c>
      <c r="AA101" s="3157">
        <f t="shared" si="74"/>
        <v>4.1825000000000001</v>
      </c>
      <c r="AB101" s="144"/>
      <c r="AC101" s="2867"/>
      <c r="AD101" s="2867"/>
      <c r="AE101" s="2867"/>
      <c r="AF101" s="2867"/>
      <c r="AG101" s="2867"/>
      <c r="AH101" s="2867"/>
      <c r="AI101" s="2825"/>
    </row>
    <row r="102" spans="1:35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3157">
        <f t="shared" si="74"/>
        <v>5.8750000000000009</v>
      </c>
      <c r="V102" s="3157">
        <f t="shared" si="74"/>
        <v>7.5600000000000005</v>
      </c>
      <c r="W102" s="3157">
        <f t="shared" si="74"/>
        <v>4.7700000000000005</v>
      </c>
      <c r="X102" s="3157">
        <f t="shared" si="74"/>
        <v>2.7650000000000001</v>
      </c>
      <c r="Y102" s="3157">
        <f t="shared" si="74"/>
        <v>1.2</v>
      </c>
      <c r="Z102" s="3157">
        <f t="shared" si="74"/>
        <v>1.1600000000000001</v>
      </c>
      <c r="AA102" s="3157">
        <f t="shared" si="74"/>
        <v>4.1825000000000001</v>
      </c>
      <c r="AB102" s="144"/>
      <c r="AC102" s="2867">
        <v>0</v>
      </c>
      <c r="AD102" s="2867">
        <v>0</v>
      </c>
      <c r="AE102" s="2867">
        <v>0</v>
      </c>
      <c r="AF102" s="2867">
        <v>0</v>
      </c>
      <c r="AG102" s="2867">
        <v>0</v>
      </c>
      <c r="AH102" s="2867">
        <v>0</v>
      </c>
      <c r="AI102" s="2825"/>
    </row>
    <row r="103" spans="1:35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3157">
        <f t="shared" si="74"/>
        <v>5.8750000000000009</v>
      </c>
      <c r="V103" s="3157">
        <f t="shared" si="74"/>
        <v>7.5600000000000005</v>
      </c>
      <c r="W103" s="3157">
        <f t="shared" si="74"/>
        <v>4.7700000000000005</v>
      </c>
      <c r="X103" s="3157">
        <f t="shared" si="74"/>
        <v>2.7650000000000001</v>
      </c>
      <c r="Y103" s="3157">
        <f t="shared" si="74"/>
        <v>1.2</v>
      </c>
      <c r="Z103" s="3157">
        <f t="shared" si="74"/>
        <v>1.1600000000000001</v>
      </c>
      <c r="AA103" s="3157">
        <f t="shared" si="74"/>
        <v>4.1825000000000001</v>
      </c>
      <c r="AB103" s="144"/>
      <c r="AC103" s="2867">
        <v>0</v>
      </c>
      <c r="AD103" s="2867">
        <v>0</v>
      </c>
      <c r="AE103" s="2867">
        <v>0</v>
      </c>
      <c r="AF103" s="2867">
        <v>0</v>
      </c>
      <c r="AG103" s="2867">
        <v>0</v>
      </c>
      <c r="AH103" s="2867">
        <v>0</v>
      </c>
      <c r="AI103" s="2825"/>
    </row>
    <row r="104" spans="1:35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3157">
        <f t="shared" si="74"/>
        <v>5.8750000000000009</v>
      </c>
      <c r="V104" s="3157">
        <f t="shared" si="74"/>
        <v>7.5600000000000005</v>
      </c>
      <c r="W104" s="3157">
        <f t="shared" si="74"/>
        <v>4.7700000000000005</v>
      </c>
      <c r="X104" s="3157">
        <f t="shared" si="74"/>
        <v>2.7650000000000001</v>
      </c>
      <c r="Y104" s="3157">
        <f t="shared" si="74"/>
        <v>1.2</v>
      </c>
      <c r="Z104" s="3157">
        <f t="shared" si="74"/>
        <v>1.1600000000000001</v>
      </c>
      <c r="AA104" s="3157">
        <f t="shared" si="74"/>
        <v>4.1825000000000001</v>
      </c>
      <c r="AB104" s="144"/>
      <c r="AC104" s="2867"/>
      <c r="AD104" s="2867"/>
      <c r="AE104" s="2867"/>
      <c r="AF104" s="2867"/>
      <c r="AG104" s="2867"/>
      <c r="AH104" s="2867"/>
      <c r="AI104" s="2825"/>
    </row>
    <row r="105" spans="1:35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3157">
        <f t="shared" si="74"/>
        <v>5.8750000000000009</v>
      </c>
      <c r="V105" s="3157">
        <f t="shared" si="74"/>
        <v>7.5600000000000005</v>
      </c>
      <c r="W105" s="3157">
        <f t="shared" si="74"/>
        <v>4.7700000000000005</v>
      </c>
      <c r="X105" s="3157">
        <f t="shared" si="74"/>
        <v>2.7650000000000001</v>
      </c>
      <c r="Y105" s="3157">
        <f t="shared" si="74"/>
        <v>1.2</v>
      </c>
      <c r="Z105" s="3157">
        <f t="shared" si="74"/>
        <v>1.1600000000000001</v>
      </c>
      <c r="AA105" s="3157">
        <f t="shared" si="74"/>
        <v>4.1825000000000001</v>
      </c>
      <c r="AB105" s="144"/>
      <c r="AC105" s="2867"/>
      <c r="AD105" s="2867"/>
      <c r="AE105" s="2867"/>
      <c r="AF105" s="2867"/>
      <c r="AG105" s="2867"/>
      <c r="AH105" s="2867"/>
      <c r="AI105" s="2825"/>
    </row>
    <row r="106" spans="1:35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3157">
        <f t="shared" ref="U106:AA121" si="75">IF(U105&gt;0,U105,U104)</f>
        <v>5.8750000000000009</v>
      </c>
      <c r="V106" s="3157">
        <f t="shared" si="75"/>
        <v>7.5600000000000005</v>
      </c>
      <c r="W106" s="3157">
        <f t="shared" si="75"/>
        <v>4.7700000000000005</v>
      </c>
      <c r="X106" s="3157">
        <f t="shared" si="75"/>
        <v>2.7650000000000001</v>
      </c>
      <c r="Y106" s="3157">
        <f t="shared" si="75"/>
        <v>1.2</v>
      </c>
      <c r="Z106" s="3157">
        <f t="shared" si="75"/>
        <v>1.1600000000000001</v>
      </c>
      <c r="AA106" s="3157">
        <f t="shared" si="75"/>
        <v>4.1825000000000001</v>
      </c>
      <c r="AB106" s="144"/>
      <c r="AC106" s="2867">
        <v>0</v>
      </c>
      <c r="AD106" s="2867">
        <v>0</v>
      </c>
      <c r="AE106" s="2867">
        <v>0</v>
      </c>
      <c r="AF106" s="2867">
        <v>0</v>
      </c>
      <c r="AG106" s="2867">
        <v>0</v>
      </c>
      <c r="AH106" s="2867">
        <v>0</v>
      </c>
      <c r="AI106" s="2825"/>
    </row>
    <row r="107" spans="1:35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3157">
        <f t="shared" si="75"/>
        <v>5.8750000000000009</v>
      </c>
      <c r="V107" s="3157">
        <f t="shared" si="75"/>
        <v>7.5600000000000005</v>
      </c>
      <c r="W107" s="3157">
        <f t="shared" si="75"/>
        <v>4.7700000000000005</v>
      </c>
      <c r="X107" s="3157">
        <f t="shared" si="75"/>
        <v>2.7650000000000001</v>
      </c>
      <c r="Y107" s="3157">
        <f t="shared" si="75"/>
        <v>1.2</v>
      </c>
      <c r="Z107" s="3157">
        <f t="shared" si="75"/>
        <v>1.1600000000000001</v>
      </c>
      <c r="AA107" s="3157">
        <f t="shared" si="75"/>
        <v>4.1825000000000001</v>
      </c>
      <c r="AB107" s="144"/>
      <c r="AC107" s="2867">
        <v>0</v>
      </c>
      <c r="AD107" s="2867">
        <v>0</v>
      </c>
      <c r="AE107" s="2867">
        <v>0</v>
      </c>
      <c r="AF107" s="2867">
        <v>0</v>
      </c>
      <c r="AG107" s="2867">
        <v>0</v>
      </c>
      <c r="AH107" s="2867">
        <v>0</v>
      </c>
      <c r="AI107" s="2825"/>
    </row>
    <row r="108" spans="1:35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3157">
        <f t="shared" si="75"/>
        <v>5.8750000000000009</v>
      </c>
      <c r="V108" s="3157">
        <f t="shared" si="75"/>
        <v>7.5600000000000005</v>
      </c>
      <c r="W108" s="3157">
        <f t="shared" si="75"/>
        <v>4.7700000000000005</v>
      </c>
      <c r="X108" s="3157">
        <f t="shared" si="75"/>
        <v>2.7650000000000001</v>
      </c>
      <c r="Y108" s="3157">
        <f t="shared" si="75"/>
        <v>1.2</v>
      </c>
      <c r="Z108" s="3157">
        <f t="shared" si="75"/>
        <v>1.1600000000000001</v>
      </c>
      <c r="AA108" s="3157">
        <f t="shared" si="75"/>
        <v>4.1825000000000001</v>
      </c>
      <c r="AB108" s="144"/>
      <c r="AC108" s="2867">
        <v>0</v>
      </c>
      <c r="AD108" s="2867">
        <v>0</v>
      </c>
      <c r="AE108" s="2867">
        <v>0</v>
      </c>
      <c r="AF108" s="2867">
        <v>0</v>
      </c>
      <c r="AG108" s="2867">
        <v>0</v>
      </c>
      <c r="AH108" s="2867">
        <v>0</v>
      </c>
      <c r="AI108" s="2825"/>
    </row>
    <row r="109" spans="1:35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3157">
        <f t="shared" si="75"/>
        <v>5.8750000000000009</v>
      </c>
      <c r="V109" s="3157">
        <f t="shared" si="75"/>
        <v>7.5600000000000005</v>
      </c>
      <c r="W109" s="3157">
        <f t="shared" si="75"/>
        <v>4.7700000000000005</v>
      </c>
      <c r="X109" s="3157">
        <f t="shared" si="75"/>
        <v>2.7650000000000001</v>
      </c>
      <c r="Y109" s="3157">
        <f t="shared" si="75"/>
        <v>1.2</v>
      </c>
      <c r="Z109" s="3157">
        <f t="shared" si="75"/>
        <v>1.1600000000000001</v>
      </c>
      <c r="AA109" s="3157">
        <f t="shared" si="75"/>
        <v>4.1825000000000001</v>
      </c>
      <c r="AB109" s="144"/>
      <c r="AC109" s="2867">
        <v>0</v>
      </c>
      <c r="AD109" s="2867">
        <v>0</v>
      </c>
      <c r="AE109" s="2867">
        <v>0</v>
      </c>
      <c r="AF109" s="2867">
        <v>0</v>
      </c>
      <c r="AG109" s="2867">
        <v>0</v>
      </c>
      <c r="AH109" s="2867">
        <v>0</v>
      </c>
      <c r="AI109" s="2825"/>
    </row>
    <row r="110" spans="1:35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3157">
        <f t="shared" si="75"/>
        <v>5.8750000000000009</v>
      </c>
      <c r="V110" s="3157">
        <f t="shared" si="75"/>
        <v>7.5600000000000005</v>
      </c>
      <c r="W110" s="3157">
        <f t="shared" si="75"/>
        <v>4.7700000000000005</v>
      </c>
      <c r="X110" s="3157">
        <f t="shared" si="75"/>
        <v>2.7650000000000001</v>
      </c>
      <c r="Y110" s="3157">
        <f t="shared" si="75"/>
        <v>1.2</v>
      </c>
      <c r="Z110" s="3157">
        <f t="shared" si="75"/>
        <v>1.1600000000000001</v>
      </c>
      <c r="AA110" s="3157">
        <f t="shared" si="75"/>
        <v>4.1825000000000001</v>
      </c>
      <c r="AB110" s="144"/>
      <c r="AC110" s="2867"/>
      <c r="AD110" s="2867"/>
      <c r="AE110" s="2867"/>
      <c r="AF110" s="2867"/>
      <c r="AG110" s="2867"/>
      <c r="AH110" s="2867"/>
      <c r="AI110" s="2825"/>
    </row>
    <row r="111" spans="1:35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3157">
        <f t="shared" si="75"/>
        <v>5.8750000000000009</v>
      </c>
      <c r="V111" s="3157">
        <f t="shared" si="75"/>
        <v>7.5600000000000005</v>
      </c>
      <c r="W111" s="3157">
        <f t="shared" si="75"/>
        <v>4.7700000000000005</v>
      </c>
      <c r="X111" s="3157">
        <f t="shared" si="75"/>
        <v>2.7650000000000001</v>
      </c>
      <c r="Y111" s="3157">
        <f t="shared" si="75"/>
        <v>1.2</v>
      </c>
      <c r="Z111" s="3157">
        <f t="shared" si="75"/>
        <v>1.1600000000000001</v>
      </c>
      <c r="AA111" s="3157">
        <f t="shared" si="75"/>
        <v>4.1825000000000001</v>
      </c>
      <c r="AB111" s="144"/>
      <c r="AC111" s="2867">
        <v>0</v>
      </c>
      <c r="AD111" s="2867">
        <v>0</v>
      </c>
      <c r="AE111" s="2867">
        <v>0</v>
      </c>
      <c r="AF111" s="2867">
        <v>0</v>
      </c>
      <c r="AG111" s="2867">
        <v>0</v>
      </c>
      <c r="AH111" s="2867">
        <v>0</v>
      </c>
      <c r="AI111" s="2825"/>
    </row>
    <row r="112" spans="1:35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3157">
        <f t="shared" si="75"/>
        <v>5.8750000000000009</v>
      </c>
      <c r="V112" s="3157">
        <f t="shared" si="75"/>
        <v>7.5600000000000005</v>
      </c>
      <c r="W112" s="3157">
        <f t="shared" si="75"/>
        <v>4.7700000000000005</v>
      </c>
      <c r="X112" s="3157">
        <f t="shared" si="75"/>
        <v>2.7650000000000001</v>
      </c>
      <c r="Y112" s="3157">
        <f t="shared" si="75"/>
        <v>1.2</v>
      </c>
      <c r="Z112" s="3157">
        <f t="shared" si="75"/>
        <v>1.1600000000000001</v>
      </c>
      <c r="AA112" s="3157">
        <f t="shared" si="75"/>
        <v>4.1825000000000001</v>
      </c>
      <c r="AB112" s="144"/>
      <c r="AC112" s="2867">
        <v>0</v>
      </c>
      <c r="AD112" s="2867">
        <v>0</v>
      </c>
      <c r="AE112" s="2867">
        <v>0</v>
      </c>
      <c r="AF112" s="2867">
        <v>0</v>
      </c>
      <c r="AG112" s="2867">
        <v>0</v>
      </c>
      <c r="AH112" s="2867">
        <v>0</v>
      </c>
      <c r="AI112" s="2825"/>
    </row>
    <row r="113" spans="1:35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3157">
        <f t="shared" si="75"/>
        <v>5.8750000000000009</v>
      </c>
      <c r="V113" s="3157">
        <f t="shared" si="75"/>
        <v>7.5600000000000005</v>
      </c>
      <c r="W113" s="3157">
        <f t="shared" si="75"/>
        <v>4.7700000000000005</v>
      </c>
      <c r="X113" s="3157">
        <f t="shared" si="75"/>
        <v>2.7650000000000001</v>
      </c>
      <c r="Y113" s="3157">
        <f t="shared" si="75"/>
        <v>1.2</v>
      </c>
      <c r="Z113" s="3157">
        <f t="shared" si="75"/>
        <v>1.1600000000000001</v>
      </c>
      <c r="AA113" s="3157">
        <f t="shared" si="75"/>
        <v>4.1825000000000001</v>
      </c>
      <c r="AB113" s="144"/>
      <c r="AC113" s="2867"/>
      <c r="AD113" s="2867"/>
      <c r="AE113" s="2867"/>
      <c r="AF113" s="2867"/>
      <c r="AG113" s="2867"/>
      <c r="AH113" s="2867"/>
      <c r="AI113" s="2825"/>
    </row>
    <row r="114" spans="1:35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3157">
        <f t="shared" si="75"/>
        <v>5.8750000000000009</v>
      </c>
      <c r="V114" s="3157">
        <f t="shared" si="75"/>
        <v>7.5600000000000005</v>
      </c>
      <c r="W114" s="3157">
        <f t="shared" si="75"/>
        <v>4.7700000000000005</v>
      </c>
      <c r="X114" s="3157">
        <f t="shared" si="75"/>
        <v>2.7650000000000001</v>
      </c>
      <c r="Y114" s="3157">
        <f t="shared" si="75"/>
        <v>1.2</v>
      </c>
      <c r="Z114" s="3157">
        <f t="shared" si="75"/>
        <v>1.1600000000000001</v>
      </c>
      <c r="AA114" s="3157">
        <f t="shared" si="75"/>
        <v>4.1825000000000001</v>
      </c>
      <c r="AB114" s="144"/>
      <c r="AC114" s="2867"/>
      <c r="AD114" s="2867"/>
      <c r="AE114" s="2867"/>
      <c r="AF114" s="2867"/>
      <c r="AG114" s="2867"/>
      <c r="AH114" s="2867"/>
      <c r="AI114" s="2825"/>
    </row>
    <row r="115" spans="1:35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3157">
        <f t="shared" si="75"/>
        <v>5.8750000000000009</v>
      </c>
      <c r="V115" s="3157">
        <f t="shared" si="75"/>
        <v>7.5600000000000005</v>
      </c>
      <c r="W115" s="3157">
        <f t="shared" si="75"/>
        <v>4.7700000000000005</v>
      </c>
      <c r="X115" s="3157">
        <f t="shared" si="75"/>
        <v>2.7650000000000001</v>
      </c>
      <c r="Y115" s="3157">
        <f t="shared" si="75"/>
        <v>1.2</v>
      </c>
      <c r="Z115" s="3157">
        <f t="shared" si="75"/>
        <v>1.1600000000000001</v>
      </c>
      <c r="AA115" s="3157">
        <f t="shared" si="75"/>
        <v>4.1825000000000001</v>
      </c>
      <c r="AB115" s="144"/>
      <c r="AC115" s="2867">
        <v>0</v>
      </c>
      <c r="AD115" s="2867">
        <v>0</v>
      </c>
      <c r="AE115" s="2867">
        <v>0</v>
      </c>
      <c r="AF115" s="2867">
        <v>0</v>
      </c>
      <c r="AG115" s="2867">
        <v>0</v>
      </c>
      <c r="AH115" s="2867">
        <v>0</v>
      </c>
      <c r="AI115" s="2825"/>
    </row>
    <row r="116" spans="1:35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3157">
        <f t="shared" si="75"/>
        <v>5.8750000000000009</v>
      </c>
      <c r="V116" s="3157">
        <f t="shared" si="75"/>
        <v>7.5600000000000005</v>
      </c>
      <c r="W116" s="3157">
        <f t="shared" si="75"/>
        <v>4.7700000000000005</v>
      </c>
      <c r="X116" s="3157">
        <f t="shared" si="75"/>
        <v>2.7650000000000001</v>
      </c>
      <c r="Y116" s="3157">
        <f t="shared" si="75"/>
        <v>1.2</v>
      </c>
      <c r="Z116" s="3157">
        <f t="shared" si="75"/>
        <v>1.1600000000000001</v>
      </c>
      <c r="AA116" s="3157">
        <f t="shared" si="75"/>
        <v>4.1825000000000001</v>
      </c>
      <c r="AB116" s="144"/>
      <c r="AC116" s="2867">
        <v>0</v>
      </c>
      <c r="AD116" s="2867">
        <v>0</v>
      </c>
      <c r="AE116" s="2867">
        <v>0</v>
      </c>
      <c r="AF116" s="2867">
        <v>0</v>
      </c>
      <c r="AG116" s="2867">
        <v>0</v>
      </c>
      <c r="AH116" s="2867">
        <v>0</v>
      </c>
      <c r="AI116" s="2825"/>
    </row>
    <row r="117" spans="1:35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3157">
        <f t="shared" si="75"/>
        <v>5.8750000000000009</v>
      </c>
      <c r="V117" s="3157">
        <f t="shared" si="75"/>
        <v>7.5600000000000005</v>
      </c>
      <c r="W117" s="3157">
        <f t="shared" si="75"/>
        <v>4.7700000000000005</v>
      </c>
      <c r="X117" s="3157">
        <f t="shared" si="75"/>
        <v>2.7650000000000001</v>
      </c>
      <c r="Y117" s="3157">
        <f t="shared" si="75"/>
        <v>1.2</v>
      </c>
      <c r="Z117" s="3157">
        <f t="shared" si="75"/>
        <v>1.1600000000000001</v>
      </c>
      <c r="AA117" s="3157">
        <f t="shared" si="75"/>
        <v>4.1825000000000001</v>
      </c>
      <c r="AB117" s="144"/>
      <c r="AC117" s="2867">
        <v>0</v>
      </c>
      <c r="AD117" s="2867">
        <v>0</v>
      </c>
      <c r="AE117" s="2867">
        <v>0</v>
      </c>
      <c r="AF117" s="2867">
        <v>0</v>
      </c>
      <c r="AG117" s="2867">
        <v>0</v>
      </c>
      <c r="AH117" s="2867">
        <v>0</v>
      </c>
      <c r="AI117" s="2825"/>
    </row>
    <row r="118" spans="1:35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3157">
        <f t="shared" si="75"/>
        <v>5.8750000000000009</v>
      </c>
      <c r="V118" s="3157">
        <f t="shared" si="75"/>
        <v>7.5600000000000005</v>
      </c>
      <c r="W118" s="3157">
        <f t="shared" si="75"/>
        <v>4.7700000000000005</v>
      </c>
      <c r="X118" s="3157">
        <f t="shared" si="75"/>
        <v>2.7650000000000001</v>
      </c>
      <c r="Y118" s="3157">
        <f t="shared" si="75"/>
        <v>1.2</v>
      </c>
      <c r="Z118" s="3157">
        <f t="shared" si="75"/>
        <v>1.1600000000000001</v>
      </c>
      <c r="AA118" s="3157">
        <f t="shared" si="75"/>
        <v>4.1825000000000001</v>
      </c>
      <c r="AB118" s="144"/>
      <c r="AC118" s="2867"/>
      <c r="AD118" s="2867"/>
      <c r="AE118" s="2867"/>
      <c r="AF118" s="2867"/>
      <c r="AG118" s="2867"/>
      <c r="AH118" s="2867"/>
      <c r="AI118" s="2825"/>
    </row>
    <row r="119" spans="1:35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3157">
        <f t="shared" si="75"/>
        <v>5.8750000000000009</v>
      </c>
      <c r="V119" s="3157">
        <f t="shared" si="75"/>
        <v>7.5600000000000005</v>
      </c>
      <c r="W119" s="3157">
        <f t="shared" si="75"/>
        <v>4.7700000000000005</v>
      </c>
      <c r="X119" s="3157">
        <f t="shared" si="75"/>
        <v>2.7650000000000001</v>
      </c>
      <c r="Y119" s="3157">
        <f t="shared" si="75"/>
        <v>1.2</v>
      </c>
      <c r="Z119" s="3157">
        <f t="shared" si="75"/>
        <v>1.1600000000000001</v>
      </c>
      <c r="AA119" s="3157">
        <f t="shared" si="75"/>
        <v>4.1825000000000001</v>
      </c>
      <c r="AB119" s="144"/>
      <c r="AC119" s="2867"/>
      <c r="AD119" s="2867"/>
      <c r="AE119" s="2867"/>
      <c r="AF119" s="2867"/>
      <c r="AG119" s="2867"/>
      <c r="AH119" s="2867"/>
      <c r="AI119" s="2825"/>
    </row>
    <row r="120" spans="1:35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3157">
        <f t="shared" si="75"/>
        <v>5.8750000000000009</v>
      </c>
      <c r="V120" s="3157">
        <f t="shared" si="75"/>
        <v>7.5600000000000005</v>
      </c>
      <c r="W120" s="3157">
        <f t="shared" si="75"/>
        <v>4.7700000000000005</v>
      </c>
      <c r="X120" s="3157">
        <f t="shared" si="75"/>
        <v>2.7650000000000001</v>
      </c>
      <c r="Y120" s="3157">
        <f t="shared" si="75"/>
        <v>1.2</v>
      </c>
      <c r="Z120" s="3157">
        <f t="shared" si="75"/>
        <v>1.1600000000000001</v>
      </c>
      <c r="AA120" s="3157">
        <f t="shared" si="75"/>
        <v>4.1825000000000001</v>
      </c>
      <c r="AB120" s="144"/>
      <c r="AC120" s="2867">
        <v>0</v>
      </c>
      <c r="AD120" s="2867">
        <v>0</v>
      </c>
      <c r="AE120" s="2867">
        <v>0</v>
      </c>
      <c r="AF120" s="2867">
        <v>0</v>
      </c>
      <c r="AG120" s="2867">
        <v>0</v>
      </c>
      <c r="AH120" s="2867">
        <v>0</v>
      </c>
      <c r="AI120" s="2825"/>
    </row>
    <row r="121" spans="1:35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3157">
        <f t="shared" si="75"/>
        <v>5.8750000000000009</v>
      </c>
      <c r="V121" s="3157">
        <f t="shared" si="75"/>
        <v>7.5600000000000005</v>
      </c>
      <c r="W121" s="3157">
        <f t="shared" si="75"/>
        <v>4.7700000000000005</v>
      </c>
      <c r="X121" s="3157">
        <f t="shared" si="75"/>
        <v>2.7650000000000001</v>
      </c>
      <c r="Y121" s="3157">
        <f t="shared" si="75"/>
        <v>1.2</v>
      </c>
      <c r="Z121" s="3157">
        <f t="shared" si="75"/>
        <v>1.1600000000000001</v>
      </c>
      <c r="AA121" s="3157">
        <f t="shared" si="75"/>
        <v>4.1825000000000001</v>
      </c>
      <c r="AB121" s="144"/>
      <c r="AC121" s="2867">
        <v>0</v>
      </c>
      <c r="AD121" s="2867">
        <v>0</v>
      </c>
      <c r="AE121" s="2867">
        <v>0</v>
      </c>
      <c r="AF121" s="2867">
        <v>0</v>
      </c>
      <c r="AG121" s="2867">
        <v>0</v>
      </c>
      <c r="AH121" s="2867">
        <v>0</v>
      </c>
      <c r="AI121" s="2825"/>
    </row>
    <row r="122" spans="1:35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3157">
        <f t="shared" ref="U122:AA128" si="76">IF(U121&gt;0,U121,U120)</f>
        <v>5.8750000000000009</v>
      </c>
      <c r="V122" s="3157">
        <f t="shared" si="76"/>
        <v>7.5600000000000005</v>
      </c>
      <c r="W122" s="3157">
        <f t="shared" si="76"/>
        <v>4.7700000000000005</v>
      </c>
      <c r="X122" s="3157">
        <f t="shared" si="76"/>
        <v>2.7650000000000001</v>
      </c>
      <c r="Y122" s="3157">
        <f t="shared" si="76"/>
        <v>1.2</v>
      </c>
      <c r="Z122" s="3157">
        <f t="shared" si="76"/>
        <v>1.1600000000000001</v>
      </c>
      <c r="AA122" s="3157">
        <f t="shared" si="76"/>
        <v>4.1825000000000001</v>
      </c>
      <c r="AB122" s="144"/>
      <c r="AC122" s="2867">
        <v>0</v>
      </c>
      <c r="AD122" s="2867">
        <v>0</v>
      </c>
      <c r="AE122" s="2867">
        <v>0</v>
      </c>
      <c r="AF122" s="2867">
        <v>0</v>
      </c>
      <c r="AG122" s="2867">
        <v>0</v>
      </c>
      <c r="AH122" s="2867">
        <v>0</v>
      </c>
      <c r="AI122" s="2825"/>
    </row>
    <row r="123" spans="1:35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3157">
        <f t="shared" si="76"/>
        <v>5.8750000000000009</v>
      </c>
      <c r="V123" s="3157">
        <f t="shared" si="76"/>
        <v>7.5600000000000005</v>
      </c>
      <c r="W123" s="3157">
        <f t="shared" si="76"/>
        <v>4.7700000000000005</v>
      </c>
      <c r="X123" s="3157">
        <f t="shared" si="76"/>
        <v>2.7650000000000001</v>
      </c>
      <c r="Y123" s="3157">
        <f t="shared" si="76"/>
        <v>1.2</v>
      </c>
      <c r="Z123" s="3157">
        <f t="shared" si="76"/>
        <v>1.1600000000000001</v>
      </c>
      <c r="AA123" s="3157">
        <f t="shared" si="76"/>
        <v>4.1825000000000001</v>
      </c>
      <c r="AB123" s="144"/>
      <c r="AC123" s="2867"/>
      <c r="AD123" s="2867"/>
      <c r="AE123" s="2867"/>
      <c r="AF123" s="2867"/>
      <c r="AG123" s="2867"/>
      <c r="AH123" s="2867"/>
      <c r="AI123" s="2825"/>
    </row>
    <row r="124" spans="1:35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3157">
        <f t="shared" si="76"/>
        <v>5.8750000000000009</v>
      </c>
      <c r="V124" s="3157">
        <f t="shared" si="76"/>
        <v>7.5600000000000005</v>
      </c>
      <c r="W124" s="3157">
        <f t="shared" si="76"/>
        <v>4.7700000000000005</v>
      </c>
      <c r="X124" s="3157">
        <f t="shared" si="76"/>
        <v>2.7650000000000001</v>
      </c>
      <c r="Y124" s="3157">
        <f t="shared" si="76"/>
        <v>1.2</v>
      </c>
      <c r="Z124" s="3157">
        <f t="shared" si="76"/>
        <v>1.1600000000000001</v>
      </c>
      <c r="AA124" s="3157">
        <f t="shared" si="76"/>
        <v>4.1825000000000001</v>
      </c>
      <c r="AB124" s="144"/>
      <c r="AC124" s="2867"/>
      <c r="AD124" s="2867"/>
      <c r="AE124" s="2867"/>
      <c r="AF124" s="2867"/>
      <c r="AG124" s="2867"/>
      <c r="AH124" s="2867"/>
      <c r="AI124" s="2825"/>
    </row>
    <row r="125" spans="1:35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3157">
        <f t="shared" si="76"/>
        <v>5.8750000000000009</v>
      </c>
      <c r="V125" s="3157">
        <f t="shared" si="76"/>
        <v>7.5600000000000005</v>
      </c>
      <c r="W125" s="3157">
        <f t="shared" si="76"/>
        <v>4.7700000000000005</v>
      </c>
      <c r="X125" s="3157">
        <f t="shared" si="76"/>
        <v>2.7650000000000001</v>
      </c>
      <c r="Y125" s="3157">
        <f t="shared" si="76"/>
        <v>1.2</v>
      </c>
      <c r="Z125" s="3157">
        <f t="shared" si="76"/>
        <v>1.1600000000000001</v>
      </c>
      <c r="AA125" s="3157">
        <f t="shared" si="76"/>
        <v>4.1825000000000001</v>
      </c>
      <c r="AB125" s="144"/>
      <c r="AC125" s="2867">
        <v>0</v>
      </c>
      <c r="AD125" s="2867">
        <v>0</v>
      </c>
      <c r="AE125" s="2867">
        <v>0</v>
      </c>
      <c r="AF125" s="2867">
        <v>0</v>
      </c>
      <c r="AG125" s="2867">
        <v>0</v>
      </c>
      <c r="AH125" s="2867">
        <v>0</v>
      </c>
      <c r="AI125" s="2825"/>
    </row>
    <row r="126" spans="1:35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3157">
        <f t="shared" si="76"/>
        <v>5.8750000000000009</v>
      </c>
      <c r="V126" s="3157">
        <f t="shared" si="76"/>
        <v>7.5600000000000005</v>
      </c>
      <c r="W126" s="3157">
        <f t="shared" si="76"/>
        <v>4.7700000000000005</v>
      </c>
      <c r="X126" s="3157">
        <f t="shared" si="76"/>
        <v>2.7650000000000001</v>
      </c>
      <c r="Y126" s="3157">
        <f t="shared" si="76"/>
        <v>1.2</v>
      </c>
      <c r="Z126" s="3157">
        <f t="shared" si="76"/>
        <v>1.1600000000000001</v>
      </c>
      <c r="AA126" s="3157">
        <f t="shared" si="76"/>
        <v>4.1825000000000001</v>
      </c>
      <c r="AB126" s="144"/>
      <c r="AC126" s="2867">
        <v>0</v>
      </c>
      <c r="AD126" s="2867">
        <v>0</v>
      </c>
      <c r="AE126" s="2867">
        <v>0</v>
      </c>
      <c r="AF126" s="2867">
        <v>0</v>
      </c>
      <c r="AG126" s="2867">
        <v>0</v>
      </c>
      <c r="AH126" s="2867">
        <v>0</v>
      </c>
      <c r="AI126" s="2825"/>
    </row>
    <row r="127" spans="1:35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3157">
        <f t="shared" si="76"/>
        <v>5.8750000000000009</v>
      </c>
      <c r="V127" s="3157">
        <f t="shared" si="76"/>
        <v>7.5600000000000005</v>
      </c>
      <c r="W127" s="3157">
        <f t="shared" si="76"/>
        <v>4.7700000000000005</v>
      </c>
      <c r="X127" s="3157">
        <f t="shared" si="76"/>
        <v>2.7650000000000001</v>
      </c>
      <c r="Y127" s="3157">
        <f t="shared" si="76"/>
        <v>1.2</v>
      </c>
      <c r="Z127" s="3157">
        <f t="shared" si="76"/>
        <v>1.1600000000000001</v>
      </c>
      <c r="AA127" s="3157">
        <f t="shared" si="76"/>
        <v>4.1825000000000001</v>
      </c>
      <c r="AB127" s="144"/>
      <c r="AC127" s="2867">
        <v>0</v>
      </c>
      <c r="AD127" s="2867">
        <v>0</v>
      </c>
      <c r="AE127" s="2867">
        <v>0</v>
      </c>
      <c r="AF127" s="2867">
        <v>0</v>
      </c>
      <c r="AG127" s="2867">
        <v>0</v>
      </c>
      <c r="AH127" s="2867">
        <v>0</v>
      </c>
      <c r="AI127" s="2825"/>
    </row>
    <row r="128" spans="1:35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3158">
        <f>IF(U127&gt;0,U127,U126)</f>
        <v>5.8750000000000009</v>
      </c>
      <c r="V128" s="3158">
        <f t="shared" si="76"/>
        <v>7.5600000000000005</v>
      </c>
      <c r="W128" s="3158">
        <f t="shared" si="76"/>
        <v>4.7700000000000005</v>
      </c>
      <c r="X128" s="3158">
        <f t="shared" si="76"/>
        <v>2.7650000000000001</v>
      </c>
      <c r="Y128" s="3158">
        <f t="shared" si="76"/>
        <v>1.2</v>
      </c>
      <c r="Z128" s="3158">
        <f t="shared" si="76"/>
        <v>1.1600000000000001</v>
      </c>
      <c r="AA128" s="3158">
        <f t="shared" si="76"/>
        <v>4.1825000000000001</v>
      </c>
      <c r="AB128" s="144"/>
      <c r="AC128" s="2867"/>
      <c r="AD128" s="2867"/>
      <c r="AE128" s="2867"/>
      <c r="AF128" s="2867"/>
      <c r="AG128" s="2867"/>
      <c r="AH128" s="2867"/>
      <c r="AI128" s="2825"/>
    </row>
    <row r="129" spans="1:39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2838"/>
      <c r="V129" s="2838"/>
      <c r="W129" s="2838"/>
      <c r="X129" s="2838"/>
      <c r="Y129" s="2838"/>
      <c r="Z129" s="2838"/>
      <c r="AA129" s="2838"/>
      <c r="AB129" s="144"/>
      <c r="AC129" s="2867"/>
      <c r="AD129" s="2867"/>
      <c r="AE129" s="2867"/>
      <c r="AF129" s="2867"/>
      <c r="AG129" s="2867"/>
      <c r="AH129" s="2867"/>
      <c r="AI129" s="2825"/>
    </row>
    <row r="130" spans="1:39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2838"/>
      <c r="V130" s="2838"/>
      <c r="W130" s="2838"/>
      <c r="X130" s="2838"/>
      <c r="Y130" s="2838"/>
      <c r="Z130" s="2838"/>
      <c r="AA130" s="2838"/>
      <c r="AB130" s="144"/>
      <c r="AC130" s="2867">
        <v>0</v>
      </c>
      <c r="AD130" s="2867">
        <v>0</v>
      </c>
      <c r="AE130" s="2867">
        <v>0</v>
      </c>
      <c r="AF130" s="2867">
        <v>0</v>
      </c>
      <c r="AG130" s="2867">
        <v>0</v>
      </c>
      <c r="AH130" s="2867">
        <v>0</v>
      </c>
      <c r="AI130" s="2825"/>
    </row>
    <row r="131" spans="1:39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2838"/>
      <c r="V131" s="2838"/>
      <c r="W131" s="2838"/>
      <c r="X131" s="2838"/>
      <c r="Y131" s="2838"/>
      <c r="Z131" s="2838"/>
      <c r="AA131" s="2838"/>
      <c r="AB131" s="144"/>
      <c r="AC131" s="2867"/>
      <c r="AD131" s="2867"/>
      <c r="AE131" s="2867"/>
      <c r="AF131" s="2867"/>
      <c r="AG131" s="2867"/>
      <c r="AH131" s="2867"/>
    </row>
    <row r="132" spans="1:39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2838"/>
      <c r="V132" s="2838"/>
      <c r="W132" s="2838"/>
      <c r="X132" s="2838"/>
      <c r="Y132" s="2838"/>
      <c r="Z132" s="2838"/>
      <c r="AA132" s="2838"/>
      <c r="AB132" s="144"/>
    </row>
    <row r="133" spans="1:39" ht="15" customHeight="1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2838"/>
      <c r="V133" s="2838"/>
      <c r="W133" s="2838"/>
      <c r="X133" s="2838"/>
      <c r="Y133" s="2838"/>
      <c r="Z133" s="2838"/>
      <c r="AA133" s="2838"/>
      <c r="AB133" s="144"/>
    </row>
    <row r="134" spans="1:39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2838"/>
      <c r="V134" s="2838"/>
      <c r="W134" s="2838"/>
      <c r="X134" s="2838"/>
      <c r="Y134" s="2838"/>
      <c r="Z134" s="2838"/>
      <c r="AA134" s="2838"/>
      <c r="AB134" s="144"/>
    </row>
    <row r="135" spans="1:39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2838"/>
      <c r="V135" s="2838"/>
      <c r="W135" s="2838"/>
      <c r="X135" s="2838"/>
      <c r="Y135" s="2838"/>
      <c r="Z135" s="2838"/>
      <c r="AA135" s="2838"/>
      <c r="AB135" s="144"/>
    </row>
    <row r="136" spans="1:39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2838"/>
      <c r="V136" s="2838"/>
      <c r="W136" s="2838"/>
      <c r="X136" s="2838"/>
      <c r="Y136" s="2838"/>
      <c r="Z136" s="2838"/>
      <c r="AA136" s="2838"/>
      <c r="AB136" s="144"/>
    </row>
    <row r="137" spans="1:39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2838"/>
      <c r="V137" s="2838"/>
      <c r="W137" s="2838"/>
      <c r="X137" s="2838"/>
      <c r="Y137" s="2838"/>
      <c r="Z137" s="2838"/>
      <c r="AA137" s="2838"/>
      <c r="AB137" s="144"/>
    </row>
    <row r="138" spans="1:39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2838"/>
      <c r="V138" s="2838"/>
      <c r="W138" s="2838"/>
      <c r="X138" s="2838"/>
      <c r="Y138" s="2838"/>
      <c r="Z138" s="2838"/>
      <c r="AA138" s="2838"/>
      <c r="AB138" s="144"/>
    </row>
    <row r="139" spans="1:39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2838"/>
      <c r="V139" s="2838"/>
      <c r="W139" s="2838"/>
      <c r="X139" s="2838"/>
      <c r="Y139" s="2838"/>
      <c r="Z139" s="2838"/>
      <c r="AA139" s="2838"/>
      <c r="AB139" s="144"/>
    </row>
    <row r="140" spans="1:39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2838"/>
      <c r="V140" s="2838"/>
      <c r="W140" s="2838"/>
      <c r="X140" s="2838"/>
      <c r="Y140" s="2838"/>
      <c r="Z140" s="2838"/>
      <c r="AA140" s="2838"/>
      <c r="AB140" s="144"/>
    </row>
    <row r="141" spans="1:39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2838"/>
      <c r="V141" s="2838"/>
      <c r="W141" s="2838"/>
      <c r="X141" s="2838"/>
      <c r="Y141" s="2838"/>
      <c r="Z141" s="2838"/>
      <c r="AA141" s="2838"/>
      <c r="AB141" s="144"/>
    </row>
    <row r="142" spans="1:39">
      <c r="A142" s="144"/>
      <c r="B142" s="144"/>
      <c r="C142" s="144"/>
      <c r="D142" s="906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2838"/>
      <c r="V142" s="2838"/>
      <c r="W142" s="2838"/>
      <c r="X142" s="2838"/>
      <c r="Y142" s="2838"/>
      <c r="Z142" s="2838"/>
      <c r="AA142" s="2838"/>
      <c r="AB142" s="144"/>
    </row>
    <row r="143" spans="1:39">
      <c r="A143" s="144"/>
      <c r="B143" s="144"/>
      <c r="C143" s="144"/>
      <c r="D143" s="906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2838"/>
      <c r="V143" s="2838"/>
      <c r="W143" s="2838"/>
      <c r="X143" s="2838"/>
      <c r="Y143" s="2838"/>
      <c r="Z143" s="2838"/>
      <c r="AA143" s="2838"/>
      <c r="AB143" s="144"/>
      <c r="AC143" s="2825"/>
      <c r="AD143" s="2825"/>
      <c r="AE143" s="2825"/>
      <c r="AF143" s="2825"/>
      <c r="AG143" s="2825"/>
      <c r="AH143" s="2825"/>
      <c r="AI143" s="2825"/>
      <c r="AJ143" s="2825"/>
      <c r="AK143" s="2825"/>
      <c r="AL143" s="2825"/>
      <c r="AM143" s="2825"/>
    </row>
    <row r="144" spans="1:39" s="3021" customFormat="1" ht="11">
      <c r="A144" s="144"/>
      <c r="B144" s="144"/>
      <c r="C144" s="144"/>
      <c r="D144" s="906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2838"/>
      <c r="V144" s="2838"/>
      <c r="W144" s="2838"/>
      <c r="X144" s="2838"/>
      <c r="Y144" s="2838"/>
      <c r="Z144" s="2838"/>
      <c r="AA144" s="2838"/>
      <c r="AB144" s="144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1:39" s="3021" customFormat="1" ht="11">
      <c r="A145" s="144"/>
      <c r="B145" s="144"/>
      <c r="C145" s="144"/>
      <c r="D145" s="906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2838"/>
      <c r="V145" s="2838"/>
      <c r="W145" s="2838"/>
      <c r="X145" s="2838"/>
      <c r="Y145" s="2838"/>
      <c r="Z145" s="2838"/>
      <c r="AA145" s="2838"/>
      <c r="AB145" s="144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1:39" s="3021" customFormat="1" ht="11">
      <c r="A146" s="144"/>
      <c r="B146" s="144"/>
      <c r="C146" s="144"/>
      <c r="D146" s="906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2838"/>
      <c r="V146" s="2838"/>
      <c r="W146" s="2838"/>
      <c r="X146" s="2838"/>
      <c r="Y146" s="2838"/>
      <c r="Z146" s="2838"/>
      <c r="AA146" s="2838"/>
      <c r="AB146" s="144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1:39" s="3021" customFormat="1" ht="11">
      <c r="A147" s="144"/>
      <c r="B147" s="144"/>
      <c r="C147" s="144"/>
      <c r="D147" s="906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2838"/>
      <c r="V147" s="2838"/>
      <c r="W147" s="2838"/>
      <c r="X147" s="2838"/>
      <c r="Y147" s="2838"/>
      <c r="Z147" s="2838"/>
      <c r="AA147" s="2838"/>
      <c r="AB147" s="144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1:39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2838"/>
      <c r="V148" s="2838"/>
      <c r="W148" s="2838"/>
      <c r="X148" s="2838"/>
      <c r="Y148" s="2838"/>
      <c r="Z148" s="2838"/>
      <c r="AA148" s="2838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1:39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2838"/>
      <c r="V149" s="2838"/>
      <c r="W149" s="2838"/>
      <c r="X149" s="2838"/>
      <c r="Y149" s="2838"/>
      <c r="Z149" s="2838"/>
      <c r="AA149" s="2838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1:39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2838"/>
      <c r="V150" s="2838"/>
      <c r="W150" s="2838"/>
      <c r="X150" s="2838"/>
      <c r="Y150" s="2838"/>
      <c r="Z150" s="2838"/>
      <c r="AA150" s="2838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1:39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2838"/>
      <c r="V151" s="2838"/>
      <c r="W151" s="2838"/>
      <c r="X151" s="2838"/>
      <c r="Y151" s="2838"/>
      <c r="Z151" s="2838"/>
      <c r="AA151" s="2838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1:39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1:39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1:39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1:39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1:39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1:39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1:39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1:39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1:39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3021">
        <f>SUBTOTAL(9,AB131:AB172)</f>
        <v>0</v>
      </c>
      <c r="AC173" s="2826">
        <f>SUBTOTAL(9,AC131:AC172)</f>
        <v>0</v>
      </c>
      <c r="AD173" s="2826">
        <f>SUBTOTAL(9,AD131:AD172)</f>
        <v>0</v>
      </c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3021">
        <v>0</v>
      </c>
      <c r="AC174" s="2826">
        <v>0</v>
      </c>
      <c r="AD174" s="2826">
        <v>0</v>
      </c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3021">
        <v>0</v>
      </c>
      <c r="AC175" s="2826">
        <v>0</v>
      </c>
      <c r="AD175" s="2826">
        <v>0</v>
      </c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B176" s="3021">
        <v>0</v>
      </c>
      <c r="AC176" s="2826">
        <v>0</v>
      </c>
      <c r="AD176" s="2826">
        <v>0</v>
      </c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B177" s="3021">
        <v>0</v>
      </c>
      <c r="AC177" s="2826">
        <v>0</v>
      </c>
      <c r="AD177" s="2826">
        <v>0</v>
      </c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B178" s="3021">
        <v>0</v>
      </c>
      <c r="AC178" s="2826">
        <v>0</v>
      </c>
      <c r="AD178" s="2826">
        <v>0</v>
      </c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41" s="3021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B179" s="3021">
        <v>0</v>
      </c>
      <c r="AC179" s="2826">
        <v>0</v>
      </c>
      <c r="AD179" s="2826">
        <v>0</v>
      </c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41" s="3021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B180" s="3021">
        <v>0</v>
      </c>
      <c r="AC180" s="2826">
        <v>0</v>
      </c>
      <c r="AD180" s="2826">
        <v>0</v>
      </c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41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B181" s="3021">
        <v>0</v>
      </c>
      <c r="AC181" s="2826">
        <v>0</v>
      </c>
      <c r="AD181" s="2826">
        <v>0</v>
      </c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41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B182" s="3021">
        <v>0</v>
      </c>
      <c r="AC182" s="2826">
        <v>0</v>
      </c>
      <c r="AD182" s="2826">
        <v>0</v>
      </c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3021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B183" s="3021">
        <v>0</v>
      </c>
      <c r="AC183" s="2826">
        <v>0</v>
      </c>
      <c r="AD183" s="2826">
        <v>0</v>
      </c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41" s="3021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>
        <f>SUBTOTAL(9,U142:U183)</f>
        <v>0</v>
      </c>
      <c r="V184" s="146">
        <f t="shared" ref="V184:AA184" si="77">SUBTOTAL(9,V142:V183)</f>
        <v>0</v>
      </c>
      <c r="W184" s="146">
        <f t="shared" si="77"/>
        <v>0</v>
      </c>
      <c r="X184" s="146">
        <f t="shared" si="77"/>
        <v>0</v>
      </c>
      <c r="Y184" s="146">
        <f t="shared" si="77"/>
        <v>0</v>
      </c>
      <c r="Z184" s="146">
        <f t="shared" si="77"/>
        <v>0</v>
      </c>
      <c r="AA184" s="146">
        <f t="shared" si="77"/>
        <v>0</v>
      </c>
      <c r="AB184" s="3021">
        <v>0</v>
      </c>
      <c r="AC184" s="2826">
        <v>0</v>
      </c>
      <c r="AD184" s="2826">
        <v>0</v>
      </c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41" s="2825" customFormat="1" ht="14" thickBot="1">
      <c r="B185" s="139"/>
      <c r="C185" s="138"/>
      <c r="D185" s="908"/>
      <c r="E185" s="138"/>
      <c r="F185" s="140"/>
      <c r="G185" s="141"/>
      <c r="H185" s="141"/>
      <c r="I185" s="141"/>
      <c r="J185" s="141"/>
      <c r="K185" s="141"/>
      <c r="L185" s="141"/>
      <c r="M185" s="458"/>
      <c r="N185" s="140"/>
      <c r="O185" s="141"/>
      <c r="P185" s="141"/>
      <c r="Q185" s="148"/>
      <c r="R185" s="148"/>
      <c r="S185" s="149"/>
      <c r="T185" s="149"/>
      <c r="U185" s="150"/>
      <c r="V185" s="150"/>
      <c r="W185" s="150"/>
      <c r="X185" s="150"/>
      <c r="Y185" s="150"/>
      <c r="Z185" s="150"/>
      <c r="AA185" s="150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2825" customFormat="1" ht="15" thickTop="1" thickBot="1">
      <c r="B186" s="139"/>
      <c r="C186" s="138"/>
      <c r="D186" s="908"/>
      <c r="E186" s="138"/>
      <c r="F186" s="140"/>
      <c r="G186" s="141"/>
      <c r="H186" s="141"/>
      <c r="I186" s="141"/>
      <c r="J186" s="141"/>
      <c r="K186" s="141"/>
      <c r="L186" s="141"/>
      <c r="M186" s="458"/>
      <c r="N186" s="140"/>
      <c r="O186" s="141"/>
      <c r="P186" s="141"/>
      <c r="Q186" s="148"/>
      <c r="R186" s="148"/>
      <c r="S186" s="148"/>
      <c r="T186" s="149"/>
      <c r="U186" s="7376"/>
      <c r="V186" s="7377"/>
      <c r="W186" s="7378"/>
      <c r="X186" s="7378"/>
      <c r="Y186" s="7378"/>
      <c r="Z186" s="7378"/>
      <c r="AA186" s="7379"/>
      <c r="AB186" s="3022"/>
      <c r="AC186" s="3022"/>
      <c r="AE186" s="2826"/>
      <c r="AF186" s="2826"/>
      <c r="AG186" s="2826"/>
      <c r="AH186" s="2826"/>
      <c r="AI186" s="2826"/>
      <c r="AJ186" s="2826"/>
      <c r="AK186" s="2826"/>
      <c r="AL186" s="2826"/>
      <c r="AM186" s="2826"/>
      <c r="AN186" s="2826"/>
      <c r="AO186" s="2826"/>
    </row>
    <row r="187" spans="2:41" s="3021" customFormat="1" ht="12" thickTop="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41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41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3021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3021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3021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3021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3021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3021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3021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3021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3021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39" s="3021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39" s="3021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39" s="3021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39" s="3021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39" s="3021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39" s="3021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39" s="3021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39" s="3021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39" s="3021" customFormat="1" ht="11">
      <c r="B217" s="144"/>
      <c r="C217" s="143"/>
      <c r="D217" s="907"/>
      <c r="E217" s="143"/>
      <c r="F217" s="145"/>
      <c r="G217" s="146"/>
      <c r="H217" s="146"/>
      <c r="I217" s="146"/>
      <c r="J217" s="146"/>
      <c r="K217" s="146"/>
      <c r="L217" s="146"/>
      <c r="M217" s="458"/>
      <c r="N217" s="145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39" s="3021" customFormat="1" ht="11">
      <c r="B218" s="144"/>
      <c r="C218" s="143"/>
      <c r="D218" s="907"/>
      <c r="E218" s="143"/>
      <c r="F218" s="145"/>
      <c r="G218" s="146"/>
      <c r="H218" s="146"/>
      <c r="I218" s="146"/>
      <c r="J218" s="146"/>
      <c r="K218" s="146"/>
      <c r="L218" s="146"/>
      <c r="M218" s="458"/>
      <c r="N218" s="145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39" s="3021" customFormat="1" ht="11">
      <c r="B219" s="144"/>
      <c r="C219" s="143"/>
      <c r="D219" s="907"/>
      <c r="E219" s="143"/>
      <c r="F219" s="145"/>
      <c r="G219" s="146"/>
      <c r="H219" s="146"/>
      <c r="I219" s="146"/>
      <c r="J219" s="146"/>
      <c r="K219" s="146"/>
      <c r="L219" s="146"/>
      <c r="M219" s="458"/>
      <c r="N219" s="145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39" s="3021" customFormat="1" ht="11">
      <c r="B220" s="144"/>
      <c r="C220" s="143"/>
      <c r="D220" s="907"/>
      <c r="E220" s="143"/>
      <c r="F220" s="145"/>
      <c r="G220" s="146"/>
      <c r="H220" s="146"/>
      <c r="I220" s="146"/>
      <c r="J220" s="146"/>
      <c r="K220" s="146"/>
      <c r="L220" s="146"/>
      <c r="M220" s="458"/>
      <c r="N220" s="145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39" s="3021" customFormat="1" ht="11">
      <c r="B221" s="144"/>
      <c r="C221" s="143"/>
      <c r="D221" s="907"/>
      <c r="E221" s="143"/>
      <c r="F221" s="145"/>
      <c r="G221" s="146"/>
      <c r="H221" s="146"/>
      <c r="I221" s="146"/>
      <c r="J221" s="146"/>
      <c r="K221" s="146"/>
      <c r="L221" s="146"/>
      <c r="M221" s="458"/>
      <c r="N221" s="145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39" s="3021" customFormat="1" ht="11">
      <c r="B222" s="144"/>
      <c r="C222" s="143"/>
      <c r="D222" s="907"/>
      <c r="E222" s="143"/>
      <c r="F222" s="145"/>
      <c r="G222" s="146"/>
      <c r="H222" s="146"/>
      <c r="I222" s="146"/>
      <c r="J222" s="146"/>
      <c r="K222" s="146"/>
      <c r="L222" s="146"/>
      <c r="M222" s="458"/>
      <c r="N222" s="145"/>
      <c r="O222" s="146"/>
      <c r="P222" s="146"/>
      <c r="Q222" s="147"/>
      <c r="R222" s="147"/>
      <c r="S222" s="142"/>
      <c r="T222" s="142"/>
      <c r="U222" s="146"/>
      <c r="V222" s="146"/>
      <c r="W222" s="146"/>
      <c r="X222" s="146"/>
      <c r="Y222" s="146"/>
      <c r="Z222" s="146"/>
      <c r="AA222" s="146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39" s="3021" customFormat="1" ht="11">
      <c r="B223" s="3159"/>
      <c r="D223" s="3160"/>
      <c r="F223" s="3023"/>
      <c r="G223" s="3024"/>
      <c r="H223" s="3024"/>
      <c r="I223" s="3024"/>
      <c r="J223" s="3024"/>
      <c r="K223" s="3024"/>
      <c r="L223" s="3024"/>
      <c r="M223" s="3025"/>
      <c r="N223" s="3023"/>
      <c r="O223" s="146"/>
      <c r="P223" s="146"/>
      <c r="Q223" s="147"/>
      <c r="R223" s="147"/>
      <c r="S223" s="142"/>
      <c r="T223" s="142"/>
      <c r="U223" s="146"/>
      <c r="V223" s="146"/>
      <c r="W223" s="146"/>
      <c r="X223" s="146"/>
      <c r="Y223" s="146"/>
      <c r="Z223" s="146"/>
      <c r="AA223" s="146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39" s="3021" customFormat="1" ht="11">
      <c r="B224" s="3159"/>
      <c r="D224" s="3160"/>
      <c r="F224" s="3023"/>
      <c r="G224" s="3024"/>
      <c r="H224" s="3024"/>
      <c r="I224" s="3024"/>
      <c r="J224" s="3024"/>
      <c r="K224" s="3024"/>
      <c r="L224" s="3024"/>
      <c r="M224" s="3025"/>
      <c r="N224" s="3023"/>
      <c r="O224" s="146"/>
      <c r="P224" s="146"/>
      <c r="Q224" s="147"/>
      <c r="R224" s="147"/>
      <c r="S224" s="142"/>
      <c r="T224" s="142"/>
      <c r="U224" s="146"/>
      <c r="V224" s="146"/>
      <c r="W224" s="146"/>
      <c r="X224" s="146"/>
      <c r="Y224" s="146"/>
      <c r="Z224" s="146"/>
      <c r="AA224" s="146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2:41" s="3021" customFormat="1" ht="11">
      <c r="B225" s="3159"/>
      <c r="D225" s="3160"/>
      <c r="F225" s="3023"/>
      <c r="G225" s="3024"/>
      <c r="H225" s="3024"/>
      <c r="I225" s="3024"/>
      <c r="J225" s="3024"/>
      <c r="K225" s="3024"/>
      <c r="L225" s="3024"/>
      <c r="M225" s="3025"/>
      <c r="N225" s="3023"/>
      <c r="O225" s="146"/>
      <c r="P225" s="146"/>
      <c r="Q225" s="147"/>
      <c r="R225" s="147"/>
      <c r="S225" s="142"/>
      <c r="T225" s="142"/>
      <c r="U225" s="146"/>
      <c r="V225" s="146"/>
      <c r="W225" s="146"/>
      <c r="X225" s="146"/>
      <c r="Y225" s="146"/>
      <c r="Z225" s="146"/>
      <c r="AA225" s="146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41" s="3021" customFormat="1" ht="11">
      <c r="B226" s="3159"/>
      <c r="D226" s="3160"/>
      <c r="F226" s="3023"/>
      <c r="G226" s="3024"/>
      <c r="H226" s="3024"/>
      <c r="I226" s="3024"/>
      <c r="J226" s="3024"/>
      <c r="K226" s="3024"/>
      <c r="L226" s="3024"/>
      <c r="M226" s="3025"/>
      <c r="N226" s="3023"/>
      <c r="O226" s="146"/>
      <c r="P226" s="146"/>
      <c r="Q226" s="147"/>
      <c r="R226" s="147"/>
      <c r="S226" s="142"/>
      <c r="T226" s="142"/>
      <c r="U226" s="146"/>
      <c r="V226" s="146"/>
      <c r="W226" s="146"/>
      <c r="X226" s="146"/>
      <c r="Y226" s="146"/>
      <c r="Z226" s="146"/>
      <c r="AA226" s="146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2:41" s="3021" customFormat="1" ht="11">
      <c r="B227" s="3159"/>
      <c r="D227" s="3160"/>
      <c r="F227" s="3023"/>
      <c r="G227" s="3024"/>
      <c r="H227" s="3024"/>
      <c r="I227" s="3024"/>
      <c r="J227" s="3024"/>
      <c r="K227" s="3024"/>
      <c r="L227" s="3024"/>
      <c r="M227" s="3025"/>
      <c r="N227" s="3023"/>
      <c r="O227" s="146"/>
      <c r="P227" s="146"/>
      <c r="Q227" s="147"/>
      <c r="R227" s="147"/>
      <c r="S227" s="142"/>
      <c r="T227" s="142"/>
      <c r="U227" s="146">
        <f>SUBTOTAL(9,U185:U226)</f>
        <v>0</v>
      </c>
      <c r="V227" s="146">
        <f t="shared" ref="V227:AA227" si="78">SUBTOTAL(9,V185:V226)</f>
        <v>0</v>
      </c>
      <c r="W227" s="146">
        <f t="shared" si="78"/>
        <v>0</v>
      </c>
      <c r="X227" s="146">
        <f t="shared" si="78"/>
        <v>0</v>
      </c>
      <c r="Y227" s="146">
        <f t="shared" si="78"/>
        <v>0</v>
      </c>
      <c r="Z227" s="146">
        <f t="shared" si="78"/>
        <v>0</v>
      </c>
      <c r="AA227" s="146">
        <f t="shared" si="78"/>
        <v>0</v>
      </c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2:41" s="2825" customFormat="1" ht="14" thickBot="1">
      <c r="B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41" s="2825" customFormat="1" ht="15" thickTop="1" thickBot="1">
      <c r="B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026"/>
      <c r="O229" s="141"/>
      <c r="P229" s="141"/>
      <c r="Q229" s="148"/>
      <c r="R229" s="148"/>
      <c r="S229" s="148"/>
      <c r="T229" s="148"/>
      <c r="U229" s="7376">
        <f>SUBTOTAL(9,U187:U228)</f>
        <v>0</v>
      </c>
      <c r="V229" s="7377">
        <f t="shared" ref="V229:AA229" si="79">SUBTOTAL(9,V187:V228)</f>
        <v>0</v>
      </c>
      <c r="W229" s="7378">
        <f t="shared" si="79"/>
        <v>0</v>
      </c>
      <c r="X229" s="7378">
        <f t="shared" si="79"/>
        <v>0</v>
      </c>
      <c r="Y229" s="7378">
        <f t="shared" si="79"/>
        <v>0</v>
      </c>
      <c r="Z229" s="7378">
        <f t="shared" si="79"/>
        <v>0</v>
      </c>
      <c r="AA229" s="7379">
        <f t="shared" si="79"/>
        <v>0</v>
      </c>
      <c r="AB229" s="3022"/>
      <c r="AC229" s="3022"/>
      <c r="AE229" s="2826"/>
      <c r="AF229" s="2826"/>
      <c r="AG229" s="2826"/>
      <c r="AH229" s="2826"/>
      <c r="AI229" s="2826"/>
      <c r="AJ229" s="2826"/>
      <c r="AK229" s="2826"/>
      <c r="AL229" s="2826"/>
      <c r="AM229" s="2826"/>
      <c r="AN229" s="2826"/>
      <c r="AO229" s="2826"/>
    </row>
    <row r="230" spans="2:41" s="2825" customFormat="1" ht="14" thickTop="1">
      <c r="B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41" s="2825" customFormat="1">
      <c r="B231" s="2935"/>
      <c r="D231" s="3161"/>
      <c r="F231" s="3026"/>
      <c r="G231" s="3027"/>
      <c r="H231" s="3027"/>
      <c r="I231" s="3027"/>
      <c r="J231" s="3027"/>
      <c r="K231" s="3027"/>
      <c r="L231" s="3027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41" s="2825" customFormat="1">
      <c r="B232" s="2935"/>
      <c r="D232" s="3161"/>
      <c r="F232" s="3026"/>
      <c r="G232" s="3027"/>
      <c r="H232" s="3027"/>
      <c r="I232" s="3027"/>
      <c r="J232" s="3027"/>
      <c r="K232" s="3027"/>
      <c r="L232" s="3027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41" s="2825" customFormat="1">
      <c r="B233" s="2935"/>
      <c r="D233" s="3161"/>
      <c r="F233" s="3026"/>
      <c r="G233" s="3027"/>
      <c r="H233" s="3027"/>
      <c r="I233" s="3027"/>
      <c r="J233" s="3027"/>
      <c r="K233" s="3027"/>
      <c r="L233" s="3027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41" s="2825" customFormat="1">
      <c r="B234" s="2935"/>
      <c r="D234" s="3161"/>
      <c r="F234" s="3026"/>
      <c r="G234" s="3027"/>
      <c r="H234" s="3027"/>
      <c r="I234" s="3027"/>
      <c r="J234" s="3027"/>
      <c r="K234" s="3027"/>
      <c r="L234" s="3027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41" s="2825" customFormat="1">
      <c r="B235" s="2935"/>
      <c r="D235" s="3161"/>
      <c r="F235" s="3026"/>
      <c r="G235" s="3027"/>
      <c r="H235" s="3027"/>
      <c r="I235" s="3027"/>
      <c r="J235" s="3027"/>
      <c r="K235" s="3027"/>
      <c r="L235" s="3027"/>
      <c r="M235" s="3025"/>
      <c r="N235" s="3026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41" s="2825" customFormat="1">
      <c r="B236" s="2935"/>
      <c r="D236" s="3161"/>
      <c r="F236" s="3026"/>
      <c r="G236" s="3027"/>
      <c r="H236" s="3027"/>
      <c r="I236" s="3027"/>
      <c r="J236" s="3027"/>
      <c r="K236" s="3027"/>
      <c r="L236" s="3027"/>
      <c r="M236" s="3025"/>
      <c r="N236" s="3026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41" s="2825" customFormat="1">
      <c r="B237" s="2935"/>
      <c r="D237" s="3161"/>
      <c r="F237" s="3026"/>
      <c r="G237" s="3027"/>
      <c r="H237" s="3027"/>
      <c r="I237" s="3027"/>
      <c r="J237" s="3027"/>
      <c r="K237" s="3027"/>
      <c r="L237" s="3027"/>
      <c r="M237" s="3025"/>
      <c r="N237" s="3026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41" s="2825" customFormat="1">
      <c r="B238" s="2935"/>
      <c r="D238" s="3161"/>
      <c r="F238" s="3026"/>
      <c r="G238" s="3027"/>
      <c r="H238" s="3027"/>
      <c r="I238" s="3027"/>
      <c r="J238" s="3027"/>
      <c r="K238" s="3027"/>
      <c r="L238" s="3027"/>
      <c r="M238" s="3025"/>
      <c r="N238" s="3026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41" s="2825" customFormat="1">
      <c r="B239" s="2935"/>
      <c r="D239" s="3161"/>
      <c r="F239" s="3026"/>
      <c r="G239" s="3027"/>
      <c r="H239" s="3027"/>
      <c r="I239" s="3027"/>
      <c r="J239" s="3027"/>
      <c r="K239" s="3027"/>
      <c r="L239" s="3027"/>
      <c r="M239" s="3025"/>
      <c r="N239" s="3026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41" s="2825" customFormat="1">
      <c r="B240" s="2935"/>
      <c r="D240" s="3161"/>
      <c r="F240" s="3026"/>
      <c r="G240" s="3027"/>
      <c r="H240" s="3027"/>
      <c r="I240" s="3027"/>
      <c r="J240" s="3027"/>
      <c r="K240" s="3027"/>
      <c r="L240" s="3027"/>
      <c r="M240" s="3025"/>
      <c r="N240" s="3026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2:39" s="2825" customFormat="1">
      <c r="B241" s="2935"/>
      <c r="D241" s="3161"/>
      <c r="F241" s="3026"/>
      <c r="G241" s="3027"/>
      <c r="H241" s="3027"/>
      <c r="I241" s="3027"/>
      <c r="J241" s="3027"/>
      <c r="K241" s="3027"/>
      <c r="L241" s="3027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2:39" s="2825" customFormat="1">
      <c r="B242" s="2935"/>
      <c r="D242" s="3161"/>
      <c r="F242" s="3026"/>
      <c r="G242" s="3027"/>
      <c r="H242" s="3027"/>
      <c r="I242" s="3027"/>
      <c r="J242" s="3027"/>
      <c r="K242" s="3027"/>
      <c r="L242" s="3027"/>
      <c r="M242" s="3025"/>
      <c r="N242" s="3026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826"/>
      <c r="AD242" s="2826"/>
      <c r="AE242" s="2826"/>
      <c r="AF242" s="2826"/>
      <c r="AG242" s="2826"/>
      <c r="AH242" s="2826"/>
      <c r="AI242" s="2826"/>
      <c r="AJ242" s="2826"/>
      <c r="AK242" s="2826"/>
      <c r="AL242" s="2826"/>
      <c r="AM242" s="2826"/>
    </row>
    <row r="243" spans="2:39" s="2825" customFormat="1">
      <c r="B243" s="2935"/>
      <c r="D243" s="3161"/>
      <c r="F243" s="3026"/>
      <c r="G243" s="3027"/>
      <c r="H243" s="3027"/>
      <c r="I243" s="3027"/>
      <c r="J243" s="3027"/>
      <c r="K243" s="3027"/>
      <c r="L243" s="3027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2:39" s="2825" customFormat="1">
      <c r="B244" s="2935"/>
      <c r="D244" s="3161"/>
      <c r="F244" s="3026"/>
      <c r="G244" s="3027"/>
      <c r="H244" s="3027"/>
      <c r="I244" s="3027"/>
      <c r="J244" s="3027"/>
      <c r="K244" s="3027"/>
      <c r="L244" s="3027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2:39" s="2825" customFormat="1">
      <c r="B245" s="2935"/>
      <c r="D245" s="3161"/>
      <c r="F245" s="3026"/>
      <c r="G245" s="3027"/>
      <c r="H245" s="3027"/>
      <c r="I245" s="3027"/>
      <c r="J245" s="3027"/>
      <c r="K245" s="3027"/>
      <c r="L245" s="3027"/>
      <c r="M245" s="3025"/>
      <c r="N245" s="3026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826"/>
      <c r="AD245" s="2826"/>
      <c r="AE245" s="2826"/>
      <c r="AF245" s="2826"/>
      <c r="AG245" s="2826"/>
      <c r="AH245" s="2826"/>
      <c r="AI245" s="2826"/>
      <c r="AJ245" s="2826"/>
      <c r="AK245" s="2826"/>
      <c r="AL245" s="2826"/>
      <c r="AM245" s="2826"/>
    </row>
    <row r="246" spans="2:39" s="2825" customFormat="1">
      <c r="B246" s="2935"/>
      <c r="D246" s="3161"/>
      <c r="F246" s="3026"/>
      <c r="G246" s="3027"/>
      <c r="H246" s="3027"/>
      <c r="I246" s="3027"/>
      <c r="J246" s="3027"/>
      <c r="K246" s="3027"/>
      <c r="L246" s="3027"/>
      <c r="M246" s="3025"/>
      <c r="N246" s="3026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826"/>
      <c r="AD246" s="2826"/>
      <c r="AE246" s="2826"/>
      <c r="AF246" s="2826"/>
      <c r="AG246" s="2826"/>
      <c r="AH246" s="2826"/>
      <c r="AI246" s="2826"/>
      <c r="AJ246" s="2826"/>
      <c r="AK246" s="2826"/>
      <c r="AL246" s="2826"/>
      <c r="AM246" s="2826"/>
    </row>
    <row r="247" spans="2:39" s="2825" customFormat="1">
      <c r="B247" s="2935"/>
      <c r="D247" s="3161"/>
      <c r="F247" s="3026"/>
      <c r="G247" s="3027"/>
      <c r="H247" s="3027"/>
      <c r="I247" s="3027"/>
      <c r="J247" s="3027"/>
      <c r="K247" s="3027"/>
      <c r="L247" s="3027"/>
      <c r="M247" s="3025"/>
      <c r="N247" s="3026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826"/>
      <c r="AD247" s="2826"/>
      <c r="AE247" s="2826"/>
      <c r="AF247" s="2826"/>
      <c r="AG247" s="2826"/>
      <c r="AH247" s="2826"/>
      <c r="AI247" s="2826"/>
      <c r="AJ247" s="2826"/>
      <c r="AK247" s="2826"/>
      <c r="AL247" s="2826"/>
      <c r="AM247" s="2826"/>
    </row>
    <row r="248" spans="2:39" s="2825" customFormat="1">
      <c r="B248" s="2935"/>
      <c r="D248" s="3161"/>
      <c r="F248" s="3026"/>
      <c r="G248" s="3027"/>
      <c r="H248" s="3027"/>
      <c r="I248" s="3027"/>
      <c r="J248" s="3027"/>
      <c r="K248" s="3027"/>
      <c r="L248" s="3027"/>
      <c r="M248" s="3025"/>
      <c r="N248" s="3026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826"/>
      <c r="AD248" s="2826"/>
      <c r="AE248" s="2826"/>
      <c r="AF248" s="2826"/>
      <c r="AG248" s="2826"/>
      <c r="AH248" s="2826"/>
      <c r="AI248" s="2826"/>
      <c r="AJ248" s="2826"/>
      <c r="AK248" s="2826"/>
      <c r="AL248" s="2826"/>
      <c r="AM248" s="2826"/>
    </row>
    <row r="249" spans="2:39" s="2825" customFormat="1">
      <c r="B249" s="2935"/>
      <c r="D249" s="3161"/>
      <c r="F249" s="3026"/>
      <c r="G249" s="3027"/>
      <c r="H249" s="3027"/>
      <c r="I249" s="3027"/>
      <c r="J249" s="3027"/>
      <c r="K249" s="3027"/>
      <c r="L249" s="3027"/>
      <c r="M249" s="3025"/>
      <c r="N249" s="3026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826"/>
      <c r="AD249" s="2826"/>
      <c r="AE249" s="2826"/>
      <c r="AF249" s="2826"/>
      <c r="AG249" s="2826"/>
      <c r="AH249" s="2826"/>
      <c r="AI249" s="2826"/>
      <c r="AJ249" s="2826"/>
      <c r="AK249" s="2826"/>
      <c r="AL249" s="2826"/>
      <c r="AM249" s="2826"/>
    </row>
    <row r="250" spans="2:39" s="2825" customFormat="1">
      <c r="B250" s="2935"/>
      <c r="D250" s="3161"/>
      <c r="F250" s="3026"/>
      <c r="G250" s="3027"/>
      <c r="H250" s="3027"/>
      <c r="I250" s="3027"/>
      <c r="J250" s="3027"/>
      <c r="K250" s="3027"/>
      <c r="L250" s="3027"/>
      <c r="M250" s="3025"/>
      <c r="N250" s="3026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826"/>
      <c r="AD250" s="2826"/>
      <c r="AE250" s="2826"/>
      <c r="AF250" s="2826"/>
      <c r="AG250" s="2826"/>
      <c r="AH250" s="2826"/>
      <c r="AI250" s="2826"/>
      <c r="AJ250" s="2826"/>
      <c r="AK250" s="2826"/>
      <c r="AL250" s="2826"/>
      <c r="AM250" s="2826"/>
    </row>
    <row r="251" spans="2:39" s="2825" customFormat="1">
      <c r="B251" s="2935"/>
      <c r="D251" s="3161"/>
      <c r="F251" s="3026"/>
      <c r="G251" s="3027"/>
      <c r="H251" s="3027"/>
      <c r="I251" s="3027"/>
      <c r="J251" s="3027"/>
      <c r="K251" s="3027"/>
      <c r="L251" s="3027"/>
      <c r="M251" s="3025"/>
      <c r="N251" s="3026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826"/>
      <c r="AD251" s="2826"/>
      <c r="AE251" s="2826"/>
      <c r="AF251" s="2826"/>
      <c r="AG251" s="2826"/>
      <c r="AH251" s="2826"/>
      <c r="AI251" s="2826"/>
      <c r="AJ251" s="2826"/>
      <c r="AK251" s="2826"/>
      <c r="AL251" s="2826"/>
      <c r="AM251" s="2826"/>
    </row>
    <row r="252" spans="2:39" s="2825" customFormat="1">
      <c r="B252" s="2935"/>
      <c r="D252" s="3161"/>
      <c r="F252" s="3026"/>
      <c r="G252" s="3027"/>
      <c r="H252" s="3027"/>
      <c r="I252" s="3027"/>
      <c r="J252" s="3027"/>
      <c r="K252" s="3027"/>
      <c r="L252" s="3027"/>
      <c r="M252" s="3025"/>
      <c r="N252" s="3026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826"/>
      <c r="AD252" s="2826"/>
      <c r="AE252" s="2826"/>
      <c r="AF252" s="2826"/>
      <c r="AG252" s="2826"/>
      <c r="AH252" s="2826"/>
      <c r="AI252" s="2826"/>
      <c r="AJ252" s="2826"/>
      <c r="AK252" s="2826"/>
      <c r="AL252" s="2826"/>
      <c r="AM252" s="2826"/>
    </row>
    <row r="253" spans="2:39" s="2825" customFormat="1">
      <c r="B253" s="2935"/>
      <c r="D253" s="3161"/>
      <c r="F253" s="3026"/>
      <c r="G253" s="3027"/>
      <c r="H253" s="3027"/>
      <c r="I253" s="3027"/>
      <c r="J253" s="3027"/>
      <c r="K253" s="3027"/>
      <c r="L253" s="3027"/>
      <c r="M253" s="3025"/>
      <c r="N253" s="3026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826"/>
      <c r="AD253" s="2826"/>
      <c r="AE253" s="2826"/>
      <c r="AF253" s="2826"/>
      <c r="AG253" s="2826"/>
      <c r="AH253" s="2826"/>
      <c r="AI253" s="2826"/>
      <c r="AJ253" s="2826"/>
      <c r="AK253" s="2826"/>
      <c r="AL253" s="2826"/>
      <c r="AM253" s="2826"/>
    </row>
    <row r="254" spans="2:39" s="2825" customFormat="1">
      <c r="B254" s="2935"/>
      <c r="D254" s="3161"/>
      <c r="F254" s="3026"/>
      <c r="G254" s="3027"/>
      <c r="H254" s="3027"/>
      <c r="I254" s="3027"/>
      <c r="J254" s="3027"/>
      <c r="K254" s="3027"/>
      <c r="L254" s="3027"/>
      <c r="M254" s="3025"/>
      <c r="N254" s="3026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826"/>
      <c r="AD254" s="2826"/>
      <c r="AE254" s="2826"/>
      <c r="AF254" s="2826"/>
      <c r="AG254" s="2826"/>
      <c r="AH254" s="2826"/>
      <c r="AI254" s="2826"/>
      <c r="AJ254" s="2826"/>
      <c r="AK254" s="2826"/>
      <c r="AL254" s="2826"/>
      <c r="AM254" s="2826"/>
    </row>
    <row r="255" spans="2:39" s="2825" customFormat="1">
      <c r="B255" s="2935"/>
      <c r="D255" s="3161"/>
      <c r="F255" s="3026"/>
      <c r="G255" s="3027"/>
      <c r="H255" s="3027"/>
      <c r="I255" s="3027"/>
      <c r="J255" s="3027"/>
      <c r="K255" s="3027"/>
      <c r="L255" s="3027"/>
      <c r="M255" s="3025"/>
      <c r="N255" s="3026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826"/>
      <c r="AD255" s="2826"/>
      <c r="AE255" s="2826"/>
      <c r="AF255" s="2826"/>
      <c r="AG255" s="2826"/>
      <c r="AH255" s="2826"/>
      <c r="AI255" s="2826"/>
      <c r="AJ255" s="2826"/>
      <c r="AK255" s="2826"/>
      <c r="AL255" s="2826"/>
      <c r="AM255" s="2826"/>
    </row>
    <row r="256" spans="2:39" s="2825" customFormat="1">
      <c r="B256" s="2935"/>
      <c r="D256" s="3161"/>
      <c r="F256" s="3026"/>
      <c r="G256" s="3027"/>
      <c r="H256" s="3027"/>
      <c r="I256" s="3027"/>
      <c r="J256" s="3027"/>
      <c r="K256" s="3027"/>
      <c r="L256" s="3027"/>
      <c r="M256" s="3025"/>
      <c r="N256" s="3026"/>
      <c r="O256" s="141"/>
      <c r="P256" s="141"/>
      <c r="Q256" s="148"/>
      <c r="R256" s="148"/>
      <c r="S256" s="149"/>
      <c r="T256" s="149"/>
      <c r="U256" s="150"/>
      <c r="V256" s="150"/>
      <c r="W256" s="150"/>
      <c r="X256" s="150"/>
      <c r="Y256" s="150"/>
      <c r="Z256" s="150"/>
      <c r="AA256" s="150"/>
      <c r="AC256" s="2826"/>
      <c r="AD256" s="2826"/>
      <c r="AE256" s="2826"/>
      <c r="AF256" s="2826"/>
      <c r="AG256" s="2826"/>
      <c r="AH256" s="2826"/>
      <c r="AI256" s="2826"/>
      <c r="AJ256" s="2826"/>
      <c r="AK256" s="2826"/>
      <c r="AL256" s="2826"/>
      <c r="AM256" s="2826"/>
    </row>
    <row r="257" spans="2:39" s="2825" customFormat="1">
      <c r="B257" s="2935"/>
      <c r="D257" s="3161"/>
      <c r="F257" s="3026"/>
      <c r="G257" s="3027"/>
      <c r="H257" s="3027"/>
      <c r="I257" s="3027"/>
      <c r="J257" s="3027"/>
      <c r="K257" s="3027"/>
      <c r="L257" s="3027"/>
      <c r="M257" s="3025"/>
      <c r="N257" s="3026"/>
      <c r="O257" s="141"/>
      <c r="P257" s="141"/>
      <c r="Q257" s="148"/>
      <c r="R257" s="148"/>
      <c r="S257" s="149"/>
      <c r="T257" s="149"/>
      <c r="U257" s="150"/>
      <c r="V257" s="150"/>
      <c r="W257" s="150"/>
      <c r="X257" s="150"/>
      <c r="Y257" s="150"/>
      <c r="Z257" s="150"/>
      <c r="AA257" s="150"/>
      <c r="AC257" s="2826"/>
      <c r="AD257" s="2826"/>
      <c r="AE257" s="2826"/>
      <c r="AF257" s="2826"/>
      <c r="AG257" s="2826"/>
      <c r="AH257" s="2826"/>
      <c r="AI257" s="2826"/>
      <c r="AJ257" s="2826"/>
      <c r="AK257" s="2826"/>
      <c r="AL257" s="2826"/>
      <c r="AM257" s="2826"/>
    </row>
    <row r="258" spans="2:39" s="2825" customFormat="1">
      <c r="B258" s="2935"/>
      <c r="D258" s="3161"/>
      <c r="F258" s="3026"/>
      <c r="G258" s="3027"/>
      <c r="H258" s="3027"/>
      <c r="I258" s="3027"/>
      <c r="J258" s="3027"/>
      <c r="K258" s="3027"/>
      <c r="L258" s="3027"/>
      <c r="M258" s="3025"/>
      <c r="N258" s="3026"/>
      <c r="O258" s="141"/>
      <c r="P258" s="141"/>
      <c r="Q258" s="148"/>
      <c r="R258" s="148"/>
      <c r="S258" s="149"/>
      <c r="T258" s="149"/>
      <c r="U258" s="150"/>
      <c r="V258" s="150"/>
      <c r="W258" s="150"/>
      <c r="X258" s="150"/>
      <c r="Y258" s="150"/>
      <c r="Z258" s="150"/>
      <c r="AA258" s="150"/>
      <c r="AC258" s="2826"/>
      <c r="AD258" s="2826"/>
      <c r="AE258" s="2826"/>
      <c r="AF258" s="2826"/>
      <c r="AG258" s="2826"/>
      <c r="AH258" s="2826"/>
      <c r="AI258" s="2826"/>
      <c r="AJ258" s="2826"/>
      <c r="AK258" s="2826"/>
      <c r="AL258" s="2826"/>
      <c r="AM258" s="2826"/>
    </row>
    <row r="259" spans="2:39" s="2825" customFormat="1">
      <c r="B259" s="2935"/>
      <c r="D259" s="3161"/>
      <c r="F259" s="3026"/>
      <c r="G259" s="3027"/>
      <c r="H259" s="3027"/>
      <c r="I259" s="3027"/>
      <c r="J259" s="3027"/>
      <c r="K259" s="3027"/>
      <c r="L259" s="3027"/>
      <c r="M259" s="3025"/>
      <c r="N259" s="3026"/>
      <c r="O259" s="141"/>
      <c r="P259" s="141"/>
      <c r="Q259" s="148"/>
      <c r="R259" s="148"/>
      <c r="S259" s="149"/>
      <c r="T259" s="149"/>
      <c r="U259" s="150"/>
      <c r="V259" s="150"/>
      <c r="W259" s="150"/>
      <c r="X259" s="150"/>
      <c r="Y259" s="150"/>
      <c r="Z259" s="150"/>
      <c r="AA259" s="150"/>
      <c r="AC259" s="2826"/>
      <c r="AD259" s="2826"/>
      <c r="AE259" s="2826"/>
      <c r="AF259" s="2826"/>
      <c r="AG259" s="2826"/>
      <c r="AH259" s="2826"/>
      <c r="AI259" s="2826"/>
      <c r="AJ259" s="2826"/>
      <c r="AK259" s="2826"/>
      <c r="AL259" s="2826"/>
      <c r="AM259" s="2826"/>
    </row>
    <row r="260" spans="2:39" s="2825" customFormat="1">
      <c r="B260" s="2935"/>
      <c r="D260" s="3161"/>
      <c r="F260" s="3026"/>
      <c r="G260" s="3027"/>
      <c r="H260" s="3027"/>
      <c r="I260" s="3027"/>
      <c r="J260" s="3027"/>
      <c r="K260" s="3027"/>
      <c r="L260" s="3027"/>
      <c r="M260" s="3025"/>
      <c r="N260" s="3026"/>
      <c r="O260" s="141"/>
      <c r="P260" s="141"/>
      <c r="Q260" s="148"/>
      <c r="R260" s="148"/>
      <c r="S260" s="149"/>
      <c r="T260" s="149"/>
      <c r="U260" s="150"/>
      <c r="V260" s="150"/>
      <c r="W260" s="150"/>
      <c r="X260" s="150"/>
      <c r="Y260" s="150"/>
      <c r="Z260" s="150"/>
      <c r="AA260" s="150"/>
      <c r="AC260" s="2826"/>
      <c r="AD260" s="2826"/>
      <c r="AE260" s="2826"/>
      <c r="AF260" s="2826"/>
      <c r="AG260" s="2826"/>
      <c r="AH260" s="2826"/>
      <c r="AI260" s="2826"/>
      <c r="AJ260" s="2826"/>
      <c r="AK260" s="2826"/>
      <c r="AL260" s="2826"/>
      <c r="AM260" s="2826"/>
    </row>
    <row r="261" spans="2:39">
      <c r="O261" s="155"/>
      <c r="P261" s="155"/>
      <c r="Q261" s="1131"/>
      <c r="R261" s="1131"/>
      <c r="S261" s="251"/>
      <c r="T261" s="251"/>
      <c r="U261" s="1132"/>
      <c r="V261" s="1132"/>
      <c r="W261" s="1132"/>
      <c r="X261" s="1132"/>
      <c r="Y261" s="1132"/>
      <c r="Z261" s="1132"/>
      <c r="AA261" s="1132"/>
    </row>
    <row r="262" spans="2:39">
      <c r="O262" s="155"/>
      <c r="P262" s="155"/>
      <c r="Q262" s="1131"/>
      <c r="R262" s="1131"/>
      <c r="S262" s="251"/>
      <c r="T262" s="251"/>
      <c r="U262" s="1132"/>
      <c r="V262" s="1132"/>
      <c r="W262" s="1132"/>
      <c r="X262" s="1132"/>
      <c r="Y262" s="1132"/>
      <c r="Z262" s="1132"/>
      <c r="AA262" s="1132"/>
    </row>
    <row r="263" spans="2:39">
      <c r="O263" s="155"/>
      <c r="P263" s="155"/>
      <c r="Q263" s="1131"/>
      <c r="R263" s="1131"/>
      <c r="S263" s="251"/>
      <c r="T263" s="251"/>
      <c r="U263" s="1132"/>
      <c r="V263" s="1132"/>
      <c r="W263" s="1132"/>
      <c r="X263" s="1132"/>
      <c r="Y263" s="1132"/>
      <c r="Z263" s="1132"/>
      <c r="AA263" s="1132"/>
    </row>
    <row r="264" spans="2:39">
      <c r="O264" s="155"/>
      <c r="P264" s="155"/>
      <c r="Q264" s="1131"/>
      <c r="R264" s="1131"/>
      <c r="S264" s="251"/>
      <c r="T264" s="251"/>
      <c r="U264" s="1132"/>
      <c r="V264" s="1132"/>
      <c r="W264" s="1132"/>
      <c r="X264" s="1132"/>
      <c r="Y264" s="1132"/>
      <c r="Z264" s="1132"/>
      <c r="AA264" s="1132"/>
    </row>
    <row r="265" spans="2:39">
      <c r="O265" s="155"/>
      <c r="P265" s="155"/>
      <c r="Q265" s="1131"/>
      <c r="R265" s="1131"/>
      <c r="S265" s="251"/>
      <c r="T265" s="251"/>
      <c r="U265" s="1132"/>
      <c r="V265" s="1132"/>
      <c r="W265" s="1132"/>
      <c r="X265" s="1132"/>
      <c r="Y265" s="1132"/>
      <c r="Z265" s="1132"/>
      <c r="AA265" s="1132"/>
    </row>
    <row r="266" spans="2:39">
      <c r="O266" s="155"/>
      <c r="P266" s="155"/>
      <c r="Q266" s="1131"/>
      <c r="R266" s="1131"/>
      <c r="S266" s="251"/>
      <c r="T266" s="251"/>
      <c r="U266" s="1132"/>
      <c r="V266" s="1132"/>
      <c r="W266" s="1132"/>
      <c r="X266" s="1132"/>
      <c r="Y266" s="1132"/>
      <c r="Z266" s="1132"/>
      <c r="AA266" s="1132"/>
    </row>
    <row r="267" spans="2:39">
      <c r="O267" s="155"/>
      <c r="P267" s="155"/>
      <c r="Q267" s="1131"/>
      <c r="R267" s="1131"/>
      <c r="S267" s="251"/>
      <c r="T267" s="251"/>
      <c r="U267" s="1132"/>
      <c r="V267" s="1132"/>
      <c r="W267" s="1132"/>
      <c r="X267" s="1132"/>
      <c r="Y267" s="1132"/>
      <c r="Z267" s="1132"/>
      <c r="AA267" s="1132"/>
    </row>
    <row r="268" spans="2:39">
      <c r="O268" s="155"/>
      <c r="P268" s="155"/>
      <c r="Q268" s="1131"/>
      <c r="R268" s="1131"/>
      <c r="S268" s="251"/>
      <c r="T268" s="251"/>
      <c r="U268" s="1132"/>
      <c r="V268" s="1132"/>
      <c r="W268" s="1132"/>
      <c r="X268" s="1132"/>
      <c r="Y268" s="1132"/>
      <c r="Z268" s="1132"/>
      <c r="AA268" s="1132"/>
    </row>
    <row r="269" spans="2:39">
      <c r="O269" s="155"/>
      <c r="P269" s="155"/>
      <c r="Q269" s="1131"/>
      <c r="R269" s="1131"/>
      <c r="S269" s="251"/>
      <c r="T269" s="251"/>
      <c r="U269" s="1132"/>
      <c r="V269" s="1132"/>
      <c r="W269" s="1132"/>
      <c r="X269" s="1132"/>
      <c r="Y269" s="1132"/>
      <c r="Z269" s="1132"/>
      <c r="AA269" s="1132"/>
    </row>
    <row r="270" spans="2:39">
      <c r="O270" s="155"/>
      <c r="P270" s="155"/>
      <c r="Q270" s="1131"/>
      <c r="R270" s="1131"/>
      <c r="S270" s="251"/>
      <c r="T270" s="251"/>
      <c r="U270" s="1132"/>
      <c r="V270" s="1132"/>
      <c r="W270" s="1132"/>
      <c r="X270" s="1132"/>
      <c r="Y270" s="1132"/>
      <c r="Z270" s="1132"/>
      <c r="AA270" s="1132"/>
    </row>
    <row r="271" spans="2:39">
      <c r="O271" s="155"/>
      <c r="P271" s="155"/>
      <c r="Q271" s="1131"/>
      <c r="R271" s="1131"/>
      <c r="S271" s="251"/>
      <c r="T271" s="251"/>
      <c r="U271" s="1132"/>
      <c r="V271" s="1132"/>
      <c r="W271" s="1132"/>
      <c r="X271" s="1132"/>
      <c r="Y271" s="1132"/>
      <c r="Z271" s="1132"/>
      <c r="AA271" s="1132"/>
    </row>
    <row r="272" spans="2:39">
      <c r="O272" s="155"/>
      <c r="P272" s="155"/>
      <c r="Q272" s="1131"/>
      <c r="R272" s="1131"/>
      <c r="S272" s="251"/>
      <c r="T272" s="251"/>
      <c r="U272" s="1132"/>
      <c r="V272" s="1132"/>
      <c r="W272" s="1132"/>
      <c r="X272" s="1132"/>
      <c r="Y272" s="1132"/>
      <c r="Z272" s="1132"/>
      <c r="AA272" s="1132"/>
    </row>
    <row r="273" spans="15:27">
      <c r="O273" s="155"/>
      <c r="P273" s="155"/>
      <c r="Q273" s="1131"/>
      <c r="R273" s="1131"/>
      <c r="S273" s="251"/>
      <c r="T273" s="251"/>
      <c r="U273" s="1132"/>
      <c r="V273" s="1132"/>
      <c r="W273" s="1132"/>
      <c r="X273" s="1132"/>
      <c r="Y273" s="1132"/>
      <c r="Z273" s="1132"/>
      <c r="AA273" s="1132"/>
    </row>
  </sheetData>
  <mergeCells count="2">
    <mergeCell ref="A71:B72"/>
    <mergeCell ref="E71:K72"/>
  </mergeCells>
  <conditionalFormatting sqref="D12 F12:G12 I12:K12">
    <cfRule type="cellIs" dxfId="228" priority="6" stopIfTrue="1" operator="equal">
      <formula>1</formula>
    </cfRule>
  </conditionalFormatting>
  <conditionalFormatting sqref="I11:K11">
    <cfRule type="cellIs" dxfId="227" priority="2" stopIfTrue="1" operator="equal">
      <formula>1</formula>
    </cfRule>
  </conditionalFormatting>
  <conditionalFormatting sqref="D9 F9:G9">
    <cfRule type="cellIs" dxfId="226" priority="5" stopIfTrue="1" operator="equal">
      <formula>1</formula>
    </cfRule>
  </conditionalFormatting>
  <conditionalFormatting sqref="D11 F11:G11">
    <cfRule type="cellIs" dxfId="225" priority="4" stopIfTrue="1" operator="equal">
      <formula>1</formula>
    </cfRule>
  </conditionalFormatting>
  <conditionalFormatting sqref="I9:K9">
    <cfRule type="cellIs" dxfId="224" priority="3" stopIfTrue="1" operator="equal">
      <formula>1</formula>
    </cfRule>
  </conditionalFormatting>
  <conditionalFormatting sqref="D8 F8:G8 I8:K8">
    <cfRule type="cellIs" dxfId="223" priority="1" stopIfTrue="1" operator="equal">
      <formula>1</formula>
    </cfRule>
  </conditionalFormatting>
  <printOptions horizontalCentered="1" verticalCentered="1"/>
  <pageMargins left="0" right="0" top="0" bottom="0" header="0" footer="0"/>
  <pageSetup paperSize="9" scale="120" orientation="landscape" horizontalDpi="0" verticalDpi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6A394-E75D-D745-BF2E-10FE2256466F}">
  <sheetPr codeName="Hoja39"/>
  <dimension ref="A1:AO141"/>
  <sheetViews>
    <sheetView topLeftCell="A45" zoomScale="140" zoomScaleNormal="140" workbookViewId="0">
      <selection sqref="A1:R72"/>
    </sheetView>
  </sheetViews>
  <sheetFormatPr baseColWidth="10" defaultColWidth="11.5" defaultRowHeight="13"/>
  <cols>
    <col min="1" max="1" width="3" style="215" customWidth="1"/>
    <col min="2" max="2" width="2.83203125" style="216" customWidth="1"/>
    <col min="3" max="3" width="1.6640625" style="204" customWidth="1"/>
    <col min="4" max="4" width="0.6640625" style="902" customWidth="1"/>
    <col min="5" max="5" width="4.1640625" style="204" customWidth="1"/>
    <col min="6" max="6" width="3.33203125" style="207" customWidth="1"/>
    <col min="7" max="7" width="5.6640625" style="208" customWidth="1"/>
    <col min="8" max="8" width="7" style="208" customWidth="1"/>
    <col min="9" max="9" width="8.33203125" style="208" customWidth="1"/>
    <col min="10" max="10" width="7.6640625" style="208" customWidth="1"/>
    <col min="11" max="11" width="26.1640625" style="208" customWidth="1"/>
    <col min="12" max="12" width="10" style="208" customWidth="1"/>
    <col min="13" max="13" width="1" style="449" customWidth="1"/>
    <col min="14" max="14" width="10.1640625" style="207" customWidth="1"/>
    <col min="15" max="15" width="1" style="208" customWidth="1"/>
    <col min="16" max="16" width="9" style="208" customWidth="1"/>
    <col min="17" max="17" width="7.1640625" style="209" customWidth="1"/>
    <col min="18" max="18" width="7.6640625" style="209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18" customHeight="1" thickBot="1">
      <c r="A1" s="203" t="s">
        <v>344</v>
      </c>
      <c r="B1" s="204"/>
      <c r="C1" s="205"/>
      <c r="D1" s="901"/>
      <c r="E1" s="206"/>
      <c r="K1" s="583">
        <v>45313</v>
      </c>
      <c r="L1" s="583"/>
      <c r="U1" s="218" t="s">
        <v>345</v>
      </c>
      <c r="AI1" s="213"/>
      <c r="AJ1" s="213"/>
      <c r="AK1" s="213"/>
      <c r="AL1" s="213"/>
      <c r="AM1" s="213"/>
    </row>
    <row r="2" spans="1:40" s="223" customFormat="1" ht="66" customHeight="1" thickTop="1" thickBot="1">
      <c r="A2" s="351" t="s">
        <v>346</v>
      </c>
      <c r="B2" s="352" t="s">
        <v>347</v>
      </c>
      <c r="C2" s="353" t="s">
        <v>348</v>
      </c>
      <c r="D2" s="903"/>
      <c r="E2" s="353" t="s">
        <v>349</v>
      </c>
      <c r="F2" s="354" t="s">
        <v>350</v>
      </c>
      <c r="G2" s="350" t="s">
        <v>351</v>
      </c>
      <c r="H2" s="350" t="s">
        <v>624</v>
      </c>
      <c r="I2" s="350" t="s">
        <v>352</v>
      </c>
      <c r="J2" s="354" t="s">
        <v>353</v>
      </c>
      <c r="K2" s="350" t="s">
        <v>354</v>
      </c>
      <c r="L2" s="350"/>
      <c r="M2" s="450" t="s">
        <v>355</v>
      </c>
      <c r="N2" s="350" t="s">
        <v>445</v>
      </c>
      <c r="O2" s="353" t="s">
        <v>446</v>
      </c>
      <c r="P2" s="2110" t="s">
        <v>1166</v>
      </c>
      <c r="Q2" s="355" t="s">
        <v>448</v>
      </c>
      <c r="R2" s="356" t="s">
        <v>371</v>
      </c>
      <c r="S2" s="219" t="s">
        <v>449</v>
      </c>
      <c r="T2" s="219" t="s">
        <v>450</v>
      </c>
      <c r="U2" s="326" t="s">
        <v>451</v>
      </c>
      <c r="V2" s="329" t="s">
        <v>452</v>
      </c>
      <c r="W2" s="327" t="s">
        <v>453</v>
      </c>
      <c r="X2" s="330" t="s">
        <v>454</v>
      </c>
      <c r="Y2" s="328" t="s">
        <v>455</v>
      </c>
      <c r="Z2" s="332" t="s">
        <v>456</v>
      </c>
      <c r="AA2" s="331" t="s">
        <v>457</v>
      </c>
      <c r="AB2" s="220"/>
      <c r="AC2" s="221"/>
      <c r="AD2" s="222"/>
      <c r="AE2" s="222"/>
      <c r="AF2" s="222"/>
      <c r="AG2" s="222"/>
      <c r="AH2" s="222"/>
      <c r="AI2" s="220"/>
      <c r="AJ2" s="220"/>
      <c r="AK2" s="220"/>
      <c r="AL2" s="220"/>
      <c r="AM2" s="220"/>
      <c r="AN2" s="220"/>
    </row>
    <row r="3" spans="1:40" s="228" customFormat="1" ht="12" customHeight="1" thickBot="1">
      <c r="A3" s="911"/>
      <c r="B3" s="912"/>
      <c r="C3" s="913"/>
      <c r="D3" s="914"/>
      <c r="E3" s="913"/>
      <c r="F3" s="915"/>
      <c r="G3" s="913"/>
      <c r="H3" s="913"/>
      <c r="I3" s="913"/>
      <c r="J3" s="915"/>
      <c r="K3" s="913"/>
      <c r="L3" s="913"/>
      <c r="M3" s="916"/>
      <c r="N3" s="913"/>
      <c r="O3" s="913"/>
      <c r="P3" s="913"/>
      <c r="Q3" s="917"/>
      <c r="R3" s="918"/>
      <c r="S3" s="224"/>
      <c r="T3" s="224"/>
      <c r="U3" s="111">
        <f>Test!$D$29</f>
        <v>9.1523857526881758E-4</v>
      </c>
      <c r="V3" s="111">
        <f>Test!$D$31</f>
        <v>8.7635030864197572E-4</v>
      </c>
      <c r="W3" s="111">
        <f>Test!$D$33</f>
        <v>8.4888763197586746E-4</v>
      </c>
      <c r="X3" s="111">
        <f>Test!$D$35</f>
        <v>8.0990657955066516E-4</v>
      </c>
      <c r="Y3" s="111">
        <f>Test!$D$37</f>
        <v>7.5735749690210676E-4</v>
      </c>
      <c r="Z3" s="111">
        <f>Test!$D$39</f>
        <v>7.2916666666666692E-4</v>
      </c>
      <c r="AA3" s="112">
        <f>Test!$D$41</f>
        <v>7.0729166666666694E-4</v>
      </c>
      <c r="AB3" s="225"/>
      <c r="AC3" s="226"/>
      <c r="AD3" s="227"/>
      <c r="AE3" s="227"/>
      <c r="AF3" s="227"/>
      <c r="AG3" s="227"/>
      <c r="AH3" s="227"/>
      <c r="AI3" s="225"/>
      <c r="AJ3" s="225"/>
      <c r="AK3" s="225"/>
      <c r="AL3" s="225"/>
      <c r="AM3" s="225"/>
      <c r="AN3" s="225"/>
    </row>
    <row r="4" spans="1:40" s="228" customFormat="1" ht="12" customHeight="1" thickTop="1" thickBot="1">
      <c r="A4" s="621"/>
      <c r="B4" s="622"/>
      <c r="C4" s="623"/>
      <c r="D4" s="938"/>
      <c r="E4" s="623"/>
      <c r="F4" s="624"/>
      <c r="G4" s="625"/>
      <c r="H4" s="625"/>
      <c r="I4" s="625"/>
      <c r="J4" s="624"/>
      <c r="K4" s="625"/>
      <c r="L4" s="625"/>
      <c r="M4" s="626"/>
      <c r="N4" s="625"/>
      <c r="O4" s="623"/>
      <c r="P4" s="623"/>
      <c r="Q4" s="623"/>
      <c r="R4" s="627"/>
      <c r="S4" s="802"/>
      <c r="T4" s="802"/>
      <c r="U4" s="111">
        <f>U3/4</f>
        <v>2.2880964381720439E-4</v>
      </c>
      <c r="V4" s="111">
        <f t="shared" ref="V4:AA4" si="0">V3/4</f>
        <v>2.1908757716049393E-4</v>
      </c>
      <c r="W4" s="111">
        <f t="shared" si="0"/>
        <v>2.1222190799396687E-4</v>
      </c>
      <c r="X4" s="111">
        <f t="shared" si="0"/>
        <v>2.0247664488766629E-4</v>
      </c>
      <c r="Y4" s="111">
        <f t="shared" si="0"/>
        <v>1.8933937422552669E-4</v>
      </c>
      <c r="Z4" s="111">
        <f t="shared" si="0"/>
        <v>1.8229166666666673E-4</v>
      </c>
      <c r="AA4" s="111">
        <f t="shared" si="0"/>
        <v>1.7682291666666674E-4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0" s="228" customFormat="1" ht="18" customHeight="1" thickBot="1">
      <c r="A5" s="628" t="s">
        <v>214</v>
      </c>
      <c r="B5" s="1117" t="s">
        <v>215</v>
      </c>
      <c r="C5" s="274">
        <f t="shared" ref="C5:C14" si="1">IF(D5=1,U$4,IF(D5=2,V$4,IF(D5=3,W$4,IF(D5=4,X$4,IF(D5=5,Y$4,IF(D5=6,Z$4,IF(D5=7,AA$4,0)))))))</f>
        <v>2.2880964381720439E-4</v>
      </c>
      <c r="D5" s="920">
        <v>1</v>
      </c>
      <c r="E5" s="1979">
        <v>1</v>
      </c>
      <c r="F5" s="1979">
        <v>1</v>
      </c>
      <c r="G5" s="1979">
        <v>800</v>
      </c>
      <c r="H5" s="1979"/>
      <c r="I5" s="2056">
        <v>0</v>
      </c>
      <c r="J5" s="2056">
        <v>8.1018518518518516E-4</v>
      </c>
      <c r="K5" s="2099" t="s">
        <v>1163</v>
      </c>
      <c r="L5" s="1332">
        <v>0.29166666666666669</v>
      </c>
      <c r="M5" s="1123">
        <v>1.2</v>
      </c>
      <c r="N5" s="301">
        <f t="shared" ref="N5" si="2">P5*E5*F5+I5*F5*E5+J5*E5</f>
        <v>9.596475507765833E-3</v>
      </c>
      <c r="O5" s="302">
        <f t="shared" ref="O5" si="3">C5*(G5/25)</f>
        <v>7.3219086021505406E-3</v>
      </c>
      <c r="P5" s="301">
        <f t="shared" ref="P5:P7" si="4">O5*M5</f>
        <v>8.7862903225806484E-3</v>
      </c>
      <c r="Q5" s="798">
        <v>145</v>
      </c>
      <c r="R5" s="369">
        <f t="shared" ref="R5:R7" si="5">E5*F5*G5</f>
        <v>800</v>
      </c>
      <c r="S5" s="229">
        <f>E5*F5*G5/1000</f>
        <v>0.8</v>
      </c>
      <c r="T5" s="230">
        <f>E5*F5*O5*4</f>
        <v>2.9287634408602162E-2</v>
      </c>
      <c r="U5" s="374">
        <f>IF(C5*4&gt;=$U$3,S5,0)</f>
        <v>0.8</v>
      </c>
      <c r="V5" s="375">
        <f>IF(AND(C5*4&gt;=$V$3,C5*4&lt;$U$3),S5,0)</f>
        <v>0</v>
      </c>
      <c r="W5" s="376">
        <f>IF(AND(C5*4&gt;=$W$3,C5*4&lt;$V$3),S5,0)</f>
        <v>0</v>
      </c>
      <c r="X5" s="377">
        <f>IF(AND(C5*4&gt;=$X$3,C5*4&lt;$W$3),S5,0)</f>
        <v>0</v>
      </c>
      <c r="Y5" s="378">
        <f>IF(AND(C5*4&gt;=$Y$3,C5*4&lt;$X$3),S5,0)</f>
        <v>0</v>
      </c>
      <c r="Z5" s="379">
        <f>IF(AND(C5*4&gt;=$Z$3,C5*4&lt;$Y$3),S5,0)</f>
        <v>0</v>
      </c>
      <c r="AA5" s="380">
        <f>IF(AND(C5*4&gt;=$AA$3,C5*4&lt;$Z$3),S5,0)</f>
        <v>0</v>
      </c>
      <c r="AB5" s="262">
        <v>4910.090909090909</v>
      </c>
      <c r="AC5" s="484">
        <v>1090.0410629202536</v>
      </c>
      <c r="AD5" s="484">
        <v>1498.8064615153487</v>
      </c>
      <c r="AE5" s="484">
        <v>1498.8064615153487</v>
      </c>
      <c r="AF5" s="484">
        <v>1635.0615943803805</v>
      </c>
      <c r="AG5" s="484">
        <v>1021.9134964877378</v>
      </c>
      <c r="AH5" s="484">
        <v>817.53079719019024</v>
      </c>
      <c r="AI5" s="484">
        <v>1</v>
      </c>
      <c r="AJ5" s="485">
        <v>7563.1598740092595</v>
      </c>
      <c r="AK5" s="225"/>
      <c r="AL5" s="225"/>
      <c r="AM5" s="225"/>
      <c r="AN5" s="225"/>
    </row>
    <row r="6" spans="1:40" s="228" customFormat="1" ht="13" customHeight="1" thickBot="1">
      <c r="A6" s="398" t="s">
        <v>459</v>
      </c>
      <c r="B6" s="1117" t="s">
        <v>215</v>
      </c>
      <c r="C6" s="274">
        <f t="shared" si="1"/>
        <v>1.7682291666666674E-4</v>
      </c>
      <c r="D6" s="1539">
        <v>7</v>
      </c>
      <c r="E6" s="1040">
        <v>5</v>
      </c>
      <c r="F6" s="1040">
        <v>2</v>
      </c>
      <c r="G6" s="1040">
        <v>25</v>
      </c>
      <c r="H6" s="1720"/>
      <c r="I6" s="1041">
        <v>2.3148148148148146E-4</v>
      </c>
      <c r="J6" s="1041">
        <v>2.0833333333333333E-3</v>
      </c>
      <c r="K6" s="443" t="s">
        <v>2355</v>
      </c>
      <c r="L6" s="1041">
        <f t="shared" ref="L6:L9" si="6">L5+N5</f>
        <v>0.30126314217443251</v>
      </c>
      <c r="M6" s="2115">
        <v>1.05</v>
      </c>
      <c r="N6" s="1041">
        <f>P6*E6*F6+I6*F6+J6*E6</f>
        <v>1.2736270254629631E-2</v>
      </c>
      <c r="O6" s="1731">
        <f>C6*(G6/25)</f>
        <v>1.7682291666666674E-4</v>
      </c>
      <c r="P6" s="439">
        <f>O6*M6</f>
        <v>1.8566406250000009E-4</v>
      </c>
      <c r="Q6" s="443" t="s">
        <v>274</v>
      </c>
      <c r="R6" s="2044">
        <f>E6*F6*G6</f>
        <v>250</v>
      </c>
      <c r="S6" s="229">
        <f t="shared" ref="S6:S70" si="7">E6*F6*G6/1000</f>
        <v>0.25</v>
      </c>
      <c r="T6" s="230">
        <f t="shared" ref="T6:T70" si="8">E6*F6*O6*4</f>
        <v>7.0729166666666692E-3</v>
      </c>
      <c r="U6" s="374">
        <f t="shared" ref="U6:U70" si="9">IF(C6*4&gt;=$U$3,S6,0)</f>
        <v>0</v>
      </c>
      <c r="V6" s="375">
        <f t="shared" ref="V6:V70" si="10">IF(AND(C6*4&gt;=$V$3,C6*4&lt;$U$3),S6,0)</f>
        <v>0</v>
      </c>
      <c r="W6" s="376">
        <f t="shared" ref="W6:W70" si="11">IF(AND(C6*4&gt;=$W$3,C6*4&lt;$V$3),S6,0)</f>
        <v>0</v>
      </c>
      <c r="X6" s="377">
        <f t="shared" ref="X6:X70" si="12">IF(AND(C6*4&gt;=$X$3,C6*4&lt;$W$3),S6,0)</f>
        <v>0</v>
      </c>
      <c r="Y6" s="378">
        <f t="shared" ref="Y6:Y70" si="13">IF(AND(C6*4&gt;=$Y$3,C6*4&lt;$X$3),S6,0)</f>
        <v>0</v>
      </c>
      <c r="Z6" s="379">
        <f t="shared" ref="Z6:Z70" si="14">IF(AND(C6*4&gt;=$Z$3,C6*4&lt;$Y$3),S6,0)</f>
        <v>0</v>
      </c>
      <c r="AA6" s="380">
        <f t="shared" ref="AA6:AA70" si="15">IF(AND(C6*4&gt;=$AA$3,C6*4&lt;$Z$3),S6,0)</f>
        <v>0.25</v>
      </c>
      <c r="AB6" s="262">
        <v>5891.9090909090919</v>
      </c>
      <c r="AC6" s="535">
        <v>1308.03024470272</v>
      </c>
      <c r="AD6" s="535">
        <v>1798.54158646624</v>
      </c>
      <c r="AE6" s="535">
        <v>1798.54158646624</v>
      </c>
      <c r="AF6" s="535">
        <v>1962.0453670540801</v>
      </c>
      <c r="AG6" s="535">
        <v>1226.2783544088002</v>
      </c>
      <c r="AH6" s="535">
        <v>981.02268352704004</v>
      </c>
      <c r="AI6" s="535">
        <v>1</v>
      </c>
      <c r="AJ6" s="485">
        <v>9075.4598226251201</v>
      </c>
      <c r="AK6" s="225"/>
      <c r="AL6" s="225"/>
      <c r="AM6" s="225"/>
      <c r="AN6" s="225"/>
    </row>
    <row r="7" spans="1:40" s="228" customFormat="1" ht="15" customHeight="1" thickBot="1">
      <c r="A7" s="398" t="s">
        <v>460</v>
      </c>
      <c r="B7" s="1117" t="s">
        <v>215</v>
      </c>
      <c r="C7" s="274">
        <f t="shared" si="1"/>
        <v>2.1908757716049393E-4</v>
      </c>
      <c r="D7" s="889">
        <v>2</v>
      </c>
      <c r="E7" s="2107">
        <v>1</v>
      </c>
      <c r="F7" s="1173">
        <v>8</v>
      </c>
      <c r="G7" s="1173">
        <v>100</v>
      </c>
      <c r="H7" s="299">
        <v>1.3888888888888889E-3</v>
      </c>
      <c r="I7" s="299">
        <v>1.1574074074074073E-4</v>
      </c>
      <c r="J7" s="299">
        <v>6.9444444444444447E-4</v>
      </c>
      <c r="K7" s="1123" t="s">
        <v>2356</v>
      </c>
      <c r="L7" s="299">
        <f t="shared" si="6"/>
        <v>0.31399941242906215</v>
      </c>
      <c r="M7" s="1174">
        <v>1</v>
      </c>
      <c r="N7" s="299">
        <f>H7*F7*E7</f>
        <v>1.1111111111111112E-2</v>
      </c>
      <c r="O7" s="1196">
        <f>C7*16*1.08</f>
        <v>3.7858333333333355E-3</v>
      </c>
      <c r="P7" s="1175">
        <f t="shared" si="4"/>
        <v>3.7858333333333355E-3</v>
      </c>
      <c r="Q7" s="550">
        <v>160</v>
      </c>
      <c r="R7" s="1176">
        <f t="shared" si="5"/>
        <v>800</v>
      </c>
      <c r="S7" s="229">
        <f t="shared" si="7"/>
        <v>0.8</v>
      </c>
      <c r="T7" s="230">
        <f t="shared" si="8"/>
        <v>0.12114666666666674</v>
      </c>
      <c r="U7" s="374">
        <f t="shared" si="9"/>
        <v>0</v>
      </c>
      <c r="V7" s="375">
        <f t="shared" si="10"/>
        <v>0.8</v>
      </c>
      <c r="W7" s="376">
        <f t="shared" si="11"/>
        <v>0</v>
      </c>
      <c r="X7" s="377">
        <f t="shared" si="12"/>
        <v>0</v>
      </c>
      <c r="Y7" s="378">
        <f t="shared" si="13"/>
        <v>0</v>
      </c>
      <c r="Z7" s="379">
        <f t="shared" si="14"/>
        <v>0</v>
      </c>
      <c r="AA7" s="380">
        <f t="shared" si="15"/>
        <v>0</v>
      </c>
      <c r="AB7" s="262">
        <v>8591.9090909090919</v>
      </c>
      <c r="AC7" s="500">
        <v>763.05729024655375</v>
      </c>
      <c r="AD7" s="500">
        <v>1049.2037740890114</v>
      </c>
      <c r="AE7" s="500">
        <v>1049.2037740890114</v>
      </c>
      <c r="AF7" s="500">
        <v>0</v>
      </c>
      <c r="AG7" s="500">
        <v>715.36620960614425</v>
      </c>
      <c r="AH7" s="500">
        <v>572.29296768491531</v>
      </c>
      <c r="AI7" s="500">
        <v>1</v>
      </c>
      <c r="AJ7" s="485">
        <v>4150.1240157156362</v>
      </c>
      <c r="AK7" s="225"/>
      <c r="AL7" s="225"/>
      <c r="AM7" s="225"/>
      <c r="AN7" s="225"/>
    </row>
    <row r="8" spans="1:40" s="228" customFormat="1" ht="13.5" customHeight="1" thickBot="1">
      <c r="A8" s="398" t="s">
        <v>458</v>
      </c>
      <c r="B8" s="1117" t="s">
        <v>215</v>
      </c>
      <c r="C8" s="274">
        <f t="shared" si="1"/>
        <v>1.7682291666666674E-4</v>
      </c>
      <c r="D8" s="1539">
        <v>7</v>
      </c>
      <c r="E8" s="1040">
        <v>1</v>
      </c>
      <c r="F8" s="1040">
        <v>8</v>
      </c>
      <c r="G8" s="1040">
        <v>15</v>
      </c>
      <c r="H8" s="1720" t="s">
        <v>2354</v>
      </c>
      <c r="I8" s="1041">
        <v>4.6296296296296293E-4</v>
      </c>
      <c r="J8" s="1041">
        <v>4.1666666666666666E-3</v>
      </c>
      <c r="K8" s="443" t="s">
        <v>2353</v>
      </c>
      <c r="L8" s="1041">
        <f t="shared" si="6"/>
        <v>0.32511052354017328</v>
      </c>
      <c r="M8" s="2115">
        <v>0.9</v>
      </c>
      <c r="N8" s="1041">
        <f>P8*E8*F8+I8*F8+J8*E8</f>
        <v>8.6342453703703703E-3</v>
      </c>
      <c r="O8" s="1731">
        <f>C8*(G8/25)</f>
        <v>1.0609375000000004E-4</v>
      </c>
      <c r="P8" s="439">
        <f>O8*M8</f>
        <v>9.5484375000000042E-5</v>
      </c>
      <c r="Q8" s="443" t="s">
        <v>274</v>
      </c>
      <c r="R8" s="2044">
        <f>E8*F8*G8</f>
        <v>120</v>
      </c>
      <c r="S8" s="229">
        <f t="shared" si="7"/>
        <v>0.12</v>
      </c>
      <c r="T8" s="230">
        <f t="shared" si="8"/>
        <v>3.3950000000000013E-3</v>
      </c>
      <c r="U8" s="374">
        <f t="shared" si="9"/>
        <v>0</v>
      </c>
      <c r="V8" s="375">
        <f t="shared" si="10"/>
        <v>0</v>
      </c>
      <c r="W8" s="376">
        <f t="shared" si="11"/>
        <v>0</v>
      </c>
      <c r="X8" s="377">
        <f t="shared" si="12"/>
        <v>0</v>
      </c>
      <c r="Y8" s="378">
        <f t="shared" si="13"/>
        <v>0</v>
      </c>
      <c r="Z8" s="379">
        <f t="shared" si="14"/>
        <v>0</v>
      </c>
      <c r="AA8" s="380">
        <f t="shared" si="15"/>
        <v>0.12</v>
      </c>
      <c r="AB8" s="262">
        <v>1</v>
      </c>
      <c r="AC8" s="502">
        <v>0</v>
      </c>
      <c r="AD8" s="502">
        <v>0</v>
      </c>
      <c r="AE8" s="502">
        <v>0</v>
      </c>
      <c r="AF8" s="502">
        <v>7</v>
      </c>
      <c r="AG8" s="502">
        <v>0</v>
      </c>
      <c r="AH8" s="502">
        <v>0</v>
      </c>
      <c r="AI8" s="502">
        <v>0</v>
      </c>
      <c r="AJ8" s="485">
        <v>7</v>
      </c>
      <c r="AK8" s="225"/>
      <c r="AL8" s="225"/>
      <c r="AM8" s="225"/>
      <c r="AN8" s="225"/>
    </row>
    <row r="9" spans="1:40" s="228" customFormat="1" ht="11" customHeight="1" thickBot="1">
      <c r="A9" s="398" t="s">
        <v>219</v>
      </c>
      <c r="B9" s="1117"/>
      <c r="C9" s="641"/>
      <c r="D9" s="1259"/>
      <c r="E9" s="336"/>
      <c r="F9" s="336"/>
      <c r="G9" s="336"/>
      <c r="H9" s="336"/>
      <c r="I9" s="336"/>
      <c r="J9" s="336"/>
      <c r="K9" s="336"/>
      <c r="L9" s="1008">
        <f t="shared" si="6"/>
        <v>0.33374476891054367</v>
      </c>
      <c r="M9" s="1198"/>
      <c r="N9" s="1008"/>
      <c r="O9" s="336">
        <f>C9*20/25</f>
        <v>0</v>
      </c>
      <c r="P9" s="336"/>
      <c r="Q9" s="336"/>
      <c r="R9" s="1238">
        <f>SUM(R5:R7)</f>
        <v>1850</v>
      </c>
      <c r="S9" s="229">
        <f t="shared" si="7"/>
        <v>0</v>
      </c>
      <c r="T9" s="230">
        <f t="shared" si="8"/>
        <v>0</v>
      </c>
      <c r="U9" s="374">
        <f t="shared" si="9"/>
        <v>0</v>
      </c>
      <c r="V9" s="375">
        <f t="shared" si="10"/>
        <v>0</v>
      </c>
      <c r="W9" s="376">
        <f t="shared" si="11"/>
        <v>0</v>
      </c>
      <c r="X9" s="377">
        <f t="shared" si="12"/>
        <v>0</v>
      </c>
      <c r="Y9" s="378">
        <f t="shared" si="13"/>
        <v>0</v>
      </c>
      <c r="Z9" s="379">
        <f t="shared" si="14"/>
        <v>0</v>
      </c>
      <c r="AA9" s="380">
        <f t="shared" si="15"/>
        <v>0</v>
      </c>
      <c r="AB9" s="262">
        <v>1964.6363636363637</v>
      </c>
      <c r="AC9" s="503">
        <v>907.71199535550716</v>
      </c>
      <c r="AD9" s="503">
        <v>453.85599767775363</v>
      </c>
      <c r="AE9" s="503">
        <v>0</v>
      </c>
      <c r="AF9" s="503">
        <v>2269.2799883887678</v>
      </c>
      <c r="AG9" s="503">
        <v>0</v>
      </c>
      <c r="AH9" s="503">
        <v>907.71199535550716</v>
      </c>
      <c r="AI9" s="503">
        <v>0</v>
      </c>
      <c r="AJ9" s="485">
        <v>4538.5599767775357</v>
      </c>
      <c r="AK9" s="225"/>
      <c r="AL9" s="225"/>
      <c r="AM9" s="225"/>
      <c r="AN9" s="225"/>
    </row>
    <row r="10" spans="1:40" s="228" customFormat="1" ht="11" customHeight="1" thickBot="1">
      <c r="A10" s="396"/>
      <c r="B10" s="1117" t="s">
        <v>461</v>
      </c>
      <c r="C10" s="274">
        <f t="shared" si="1"/>
        <v>2.2880964381720439E-4</v>
      </c>
      <c r="D10" s="547">
        <v>1</v>
      </c>
      <c r="E10" s="275">
        <v>1</v>
      </c>
      <c r="F10" s="275">
        <v>1</v>
      </c>
      <c r="G10" s="275">
        <v>500</v>
      </c>
      <c r="H10" s="276">
        <v>0</v>
      </c>
      <c r="I10" s="276">
        <v>0</v>
      </c>
      <c r="J10" s="276">
        <v>0</v>
      </c>
      <c r="K10" s="277" t="s">
        <v>269</v>
      </c>
      <c r="L10" s="993">
        <v>0.80208333333333337</v>
      </c>
      <c r="M10" s="451">
        <v>1</v>
      </c>
      <c r="N10" s="276">
        <f t="shared" ref="N10:N11" si="16">P10*E10*F10+I10*E10*F10+J10*E10</f>
        <v>4.5761928763440882E-3</v>
      </c>
      <c r="O10" s="296">
        <f t="shared" ref="O10" si="17">C10*(G10/25)</f>
        <v>4.5761928763440882E-3</v>
      </c>
      <c r="P10" s="296">
        <f t="shared" ref="P10:P14" si="18">O10*M10</f>
        <v>4.5761928763440882E-3</v>
      </c>
      <c r="Q10" s="548">
        <v>147</v>
      </c>
      <c r="R10" s="275">
        <f t="shared" ref="R10:R14" si="19">E10*F10*G10</f>
        <v>500</v>
      </c>
      <c r="S10" s="229">
        <f t="shared" si="7"/>
        <v>0.5</v>
      </c>
      <c r="T10" s="230">
        <f t="shared" si="8"/>
        <v>1.8304771505376353E-2</v>
      </c>
      <c r="U10" s="374">
        <f t="shared" si="9"/>
        <v>0.5</v>
      </c>
      <c r="V10" s="375">
        <f t="shared" si="10"/>
        <v>0</v>
      </c>
      <c r="W10" s="376">
        <f t="shared" si="11"/>
        <v>0</v>
      </c>
      <c r="X10" s="377">
        <f t="shared" si="12"/>
        <v>0</v>
      </c>
      <c r="Y10" s="378">
        <f t="shared" si="13"/>
        <v>0</v>
      </c>
      <c r="Z10" s="379">
        <f t="shared" si="14"/>
        <v>0</v>
      </c>
      <c r="AA10" s="380">
        <f t="shared" si="15"/>
        <v>0</v>
      </c>
      <c r="AB10" s="262">
        <v>5891.909090909091</v>
      </c>
      <c r="AC10" s="504">
        <v>373.79089420643498</v>
      </c>
      <c r="AD10" s="504">
        <v>513.96247953384818</v>
      </c>
      <c r="AE10" s="504">
        <v>513.96247953384818</v>
      </c>
      <c r="AF10" s="504">
        <v>560.68634130965256</v>
      </c>
      <c r="AG10" s="504">
        <v>350.42896331853285</v>
      </c>
      <c r="AH10" s="504">
        <v>280.34317065482628</v>
      </c>
      <c r="AI10" s="504">
        <v>1</v>
      </c>
      <c r="AJ10" s="485">
        <v>2594.1743285571429</v>
      </c>
      <c r="AK10" s="225"/>
      <c r="AL10" s="225"/>
      <c r="AM10" s="225"/>
      <c r="AN10" s="225"/>
    </row>
    <row r="11" spans="1:40" s="228" customFormat="1" ht="12" customHeight="1" thickBot="1">
      <c r="A11" s="398" t="s">
        <v>214</v>
      </c>
      <c r="B11" s="1117" t="s">
        <v>461</v>
      </c>
      <c r="C11" s="274">
        <f t="shared" si="1"/>
        <v>1.8229166666666673E-4</v>
      </c>
      <c r="D11" s="4558">
        <v>6</v>
      </c>
      <c r="E11" s="4559">
        <v>2</v>
      </c>
      <c r="F11" s="4559">
        <v>4</v>
      </c>
      <c r="G11" s="4559">
        <v>80</v>
      </c>
      <c r="H11" s="4560">
        <v>2.8935185185185189E-4</v>
      </c>
      <c r="I11" s="4560">
        <v>2.8935185185185189E-4</v>
      </c>
      <c r="J11" s="4560">
        <v>3.472222222222222E-3</v>
      </c>
      <c r="K11" s="4561" t="s">
        <v>1055</v>
      </c>
      <c r="L11" s="4560">
        <f t="shared" ref="L11:L15" si="20">L10+N10</f>
        <v>0.80665952620967751</v>
      </c>
      <c r="M11" s="4562">
        <v>1.05</v>
      </c>
      <c r="N11" s="4560">
        <f t="shared" si="16"/>
        <v>1.4355259259259262E-2</v>
      </c>
      <c r="O11" s="4563">
        <f>C11*(G11/25)*1.04</f>
        <v>6.0666666666666692E-4</v>
      </c>
      <c r="P11" s="4564">
        <f t="shared" si="18"/>
        <v>6.370000000000003E-4</v>
      </c>
      <c r="Q11" s="4565">
        <v>177</v>
      </c>
      <c r="R11" s="4559">
        <f t="shared" si="19"/>
        <v>640</v>
      </c>
      <c r="S11" s="229">
        <f t="shared" si="7"/>
        <v>0.64</v>
      </c>
      <c r="T11" s="230">
        <f t="shared" si="8"/>
        <v>1.9413333333333341E-2</v>
      </c>
      <c r="U11" s="374">
        <f t="shared" si="9"/>
        <v>0</v>
      </c>
      <c r="V11" s="375">
        <f t="shared" si="10"/>
        <v>0</v>
      </c>
      <c r="W11" s="376">
        <f t="shared" si="11"/>
        <v>0</v>
      </c>
      <c r="X11" s="377">
        <f t="shared" si="12"/>
        <v>0</v>
      </c>
      <c r="Y11" s="378">
        <f t="shared" si="13"/>
        <v>0</v>
      </c>
      <c r="Z11" s="379">
        <f t="shared" si="14"/>
        <v>0.64</v>
      </c>
      <c r="AA11" s="380">
        <f t="shared" si="15"/>
        <v>0</v>
      </c>
      <c r="AB11" s="225"/>
      <c r="AC11" s="226"/>
      <c r="AD11" s="227"/>
      <c r="AE11" s="227"/>
      <c r="AF11" s="227"/>
      <c r="AG11" s="227"/>
      <c r="AH11" s="227"/>
      <c r="AI11" s="225"/>
      <c r="AJ11" s="225"/>
      <c r="AK11" s="225"/>
      <c r="AL11" s="225"/>
      <c r="AM11" s="225"/>
      <c r="AN11" s="225"/>
    </row>
    <row r="12" spans="1:40" s="228" customFormat="1" ht="12.75" customHeight="1" thickBot="1">
      <c r="A12" s="398" t="s">
        <v>459</v>
      </c>
      <c r="B12" s="402" t="s">
        <v>461</v>
      </c>
      <c r="C12" s="274">
        <f t="shared" si="1"/>
        <v>2.1908757716049393E-4</v>
      </c>
      <c r="D12" s="890">
        <v>2</v>
      </c>
      <c r="E12" s="300">
        <v>2</v>
      </c>
      <c r="F12" s="300">
        <v>8</v>
      </c>
      <c r="G12" s="300">
        <v>25</v>
      </c>
      <c r="H12" s="301">
        <v>1.3888888888888889E-4</v>
      </c>
      <c r="I12" s="301">
        <v>1.3888888888888889E-4</v>
      </c>
      <c r="J12" s="301">
        <v>1.3888888888888889E-3</v>
      </c>
      <c r="K12" s="1123" t="s">
        <v>2514</v>
      </c>
      <c r="L12" s="994">
        <f t="shared" si="20"/>
        <v>0.8210147854689368</v>
      </c>
      <c r="M12" s="455">
        <v>1.2</v>
      </c>
      <c r="N12" s="301">
        <f>P12*E12*F12+I12*E12*F12+J12*E12</f>
        <v>9.2064814814814839E-3</v>
      </c>
      <c r="O12" s="302">
        <f t="shared" ref="O12" si="21">C12*(G12/25)</f>
        <v>2.1908757716049393E-4</v>
      </c>
      <c r="P12" s="302">
        <f t="shared" si="18"/>
        <v>2.6290509259259268E-4</v>
      </c>
      <c r="Q12" s="550">
        <v>146</v>
      </c>
      <c r="R12" s="369">
        <f t="shared" si="19"/>
        <v>400</v>
      </c>
      <c r="S12" s="229">
        <f t="shared" si="7"/>
        <v>0.4</v>
      </c>
      <c r="T12" s="230">
        <f t="shared" si="8"/>
        <v>1.4021604938271611E-2</v>
      </c>
      <c r="U12" s="374">
        <f t="shared" si="9"/>
        <v>0</v>
      </c>
      <c r="V12" s="375">
        <f t="shared" si="10"/>
        <v>0.4</v>
      </c>
      <c r="W12" s="376">
        <f t="shared" si="11"/>
        <v>0</v>
      </c>
      <c r="X12" s="377">
        <f t="shared" si="12"/>
        <v>0</v>
      </c>
      <c r="Y12" s="378">
        <f t="shared" si="13"/>
        <v>0</v>
      </c>
      <c r="Z12" s="379">
        <f t="shared" si="14"/>
        <v>0</v>
      </c>
      <c r="AA12" s="380">
        <f t="shared" si="15"/>
        <v>0</v>
      </c>
      <c r="AB12" s="225"/>
      <c r="AC12" s="231"/>
      <c r="AD12" s="231"/>
      <c r="AE12" s="231"/>
      <c r="AF12" s="231"/>
      <c r="AG12" s="231"/>
      <c r="AH12" s="231"/>
      <c r="AI12" s="225"/>
      <c r="AJ12" s="225"/>
      <c r="AK12" s="225"/>
      <c r="AL12" s="225"/>
      <c r="AM12" s="225"/>
      <c r="AN12" s="225"/>
    </row>
    <row r="13" spans="1:40" s="228" customFormat="1" ht="12.75" customHeight="1" thickBot="1">
      <c r="A13" s="398" t="s">
        <v>460</v>
      </c>
      <c r="B13" s="402" t="s">
        <v>461</v>
      </c>
      <c r="C13" s="274">
        <f t="shared" si="1"/>
        <v>1.8229166666666673E-4</v>
      </c>
      <c r="D13" s="4558">
        <v>6</v>
      </c>
      <c r="E13" s="4559">
        <v>3</v>
      </c>
      <c r="F13" s="4559">
        <v>4</v>
      </c>
      <c r="G13" s="4559">
        <v>20</v>
      </c>
      <c r="H13" s="4560">
        <v>2.3148148148148146E-4</v>
      </c>
      <c r="I13" s="4560">
        <v>2.3148148148148146E-4</v>
      </c>
      <c r="J13" s="4560">
        <v>3.472222222222222E-3</v>
      </c>
      <c r="K13" s="4561" t="s">
        <v>284</v>
      </c>
      <c r="L13" s="4560">
        <f t="shared" si="20"/>
        <v>0.83022126695041831</v>
      </c>
      <c r="M13" s="4562">
        <v>1.05</v>
      </c>
      <c r="N13" s="4560">
        <f t="shared" ref="N13" si="22">P13*E13*F13+I13*E13*F13+J13*E13</f>
        <v>1.5031944444444445E-2</v>
      </c>
      <c r="O13" s="4563">
        <f>C13*(G13/25)</f>
        <v>1.458333333333334E-4</v>
      </c>
      <c r="P13" s="4564">
        <f t="shared" si="18"/>
        <v>1.5312500000000008E-4</v>
      </c>
      <c r="Q13" s="4565">
        <v>177</v>
      </c>
      <c r="R13" s="4559">
        <f t="shared" si="19"/>
        <v>240</v>
      </c>
      <c r="S13" s="229">
        <f t="shared" si="7"/>
        <v>0.24</v>
      </c>
      <c r="T13" s="230">
        <f t="shared" si="8"/>
        <v>7.0000000000000027E-3</v>
      </c>
      <c r="U13" s="374">
        <f t="shared" si="9"/>
        <v>0</v>
      </c>
      <c r="V13" s="375">
        <f t="shared" si="10"/>
        <v>0</v>
      </c>
      <c r="W13" s="376">
        <f t="shared" si="11"/>
        <v>0</v>
      </c>
      <c r="X13" s="377">
        <f t="shared" si="12"/>
        <v>0</v>
      </c>
      <c r="Y13" s="378">
        <f t="shared" si="13"/>
        <v>0</v>
      </c>
      <c r="Z13" s="379">
        <f t="shared" si="14"/>
        <v>0.24</v>
      </c>
      <c r="AA13" s="380">
        <f t="shared" si="15"/>
        <v>0</v>
      </c>
      <c r="AB13" s="225"/>
      <c r="AC13" s="231"/>
      <c r="AD13" s="231"/>
      <c r="AE13" s="231"/>
      <c r="AF13" s="231"/>
      <c r="AG13" s="231"/>
      <c r="AH13" s="231"/>
      <c r="AI13" s="225"/>
      <c r="AJ13" s="225"/>
      <c r="AK13" s="225"/>
      <c r="AL13" s="225"/>
      <c r="AM13" s="225"/>
      <c r="AN13" s="225"/>
    </row>
    <row r="14" spans="1:40" s="228" customFormat="1" ht="13.25" customHeight="1" thickBot="1">
      <c r="A14" s="398" t="s">
        <v>458</v>
      </c>
      <c r="B14" s="1117" t="s">
        <v>461</v>
      </c>
      <c r="C14" s="274">
        <f t="shared" si="1"/>
        <v>2.1222190799396687E-4</v>
      </c>
      <c r="D14" s="1236">
        <v>3</v>
      </c>
      <c r="E14" s="1161">
        <v>1</v>
      </c>
      <c r="F14" s="1161">
        <v>5</v>
      </c>
      <c r="G14" s="1161">
        <v>150</v>
      </c>
      <c r="H14" s="1163"/>
      <c r="I14" s="1163">
        <v>3.4722222222222224E-4</v>
      </c>
      <c r="J14" s="1163">
        <v>1.3888888888888889E-3</v>
      </c>
      <c r="K14" s="1074" t="s">
        <v>1587</v>
      </c>
      <c r="L14" s="1148">
        <f t="shared" si="20"/>
        <v>0.84525321139486276</v>
      </c>
      <c r="M14" s="1164">
        <v>1</v>
      </c>
      <c r="N14" s="1163">
        <f>P14*E14*F14+I14*E14*F14+J14*E14</f>
        <v>9.4916572398190072E-3</v>
      </c>
      <c r="O14" s="1165">
        <f t="shared" ref="O14" si="23">C14*(G14/25)</f>
        <v>1.2733314479638012E-3</v>
      </c>
      <c r="P14" s="1165">
        <f t="shared" si="18"/>
        <v>1.2733314479638012E-3</v>
      </c>
      <c r="Q14" s="333">
        <v>164</v>
      </c>
      <c r="R14" s="1161">
        <f t="shared" si="19"/>
        <v>750</v>
      </c>
      <c r="S14" s="229">
        <f t="shared" si="7"/>
        <v>0.75</v>
      </c>
      <c r="T14" s="230">
        <f t="shared" si="8"/>
        <v>2.5466628959276025E-2</v>
      </c>
      <c r="U14" s="374">
        <f t="shared" si="9"/>
        <v>0</v>
      </c>
      <c r="V14" s="375">
        <f t="shared" si="10"/>
        <v>0</v>
      </c>
      <c r="W14" s="376">
        <f t="shared" si="11"/>
        <v>0.75</v>
      </c>
      <c r="X14" s="377">
        <f t="shared" si="12"/>
        <v>0</v>
      </c>
      <c r="Y14" s="378">
        <f t="shared" si="13"/>
        <v>0</v>
      </c>
      <c r="Z14" s="379">
        <f t="shared" si="14"/>
        <v>0</v>
      </c>
      <c r="AA14" s="380">
        <f t="shared" si="15"/>
        <v>0</v>
      </c>
      <c r="AB14" s="225"/>
      <c r="AC14" s="231"/>
      <c r="AD14" s="231"/>
      <c r="AE14" s="231"/>
      <c r="AF14" s="231"/>
      <c r="AG14" s="231"/>
      <c r="AH14" s="231"/>
      <c r="AI14" s="225"/>
      <c r="AJ14" s="225"/>
      <c r="AK14" s="225"/>
      <c r="AL14" s="225"/>
      <c r="AM14" s="225"/>
      <c r="AN14" s="225"/>
    </row>
    <row r="15" spans="1:40" s="228" customFormat="1" ht="12.75" customHeight="1" thickBot="1">
      <c r="A15" s="1037" t="s">
        <v>219</v>
      </c>
      <c r="B15" s="1183"/>
      <c r="C15" s="641"/>
      <c r="D15" s="1259"/>
      <c r="E15" s="336"/>
      <c r="F15" s="336"/>
      <c r="G15" s="336"/>
      <c r="H15" s="336"/>
      <c r="I15" s="336"/>
      <c r="J15" s="336"/>
      <c r="K15" s="336"/>
      <c r="L15" s="1008">
        <f t="shared" si="20"/>
        <v>0.8547448686346818</v>
      </c>
      <c r="M15" s="1198"/>
      <c r="N15" s="1008"/>
      <c r="O15" s="336">
        <f>C15*20/25</f>
        <v>0</v>
      </c>
      <c r="P15" s="336"/>
      <c r="Q15" s="336"/>
      <c r="R15" s="1238">
        <f>SUM(R10:R14)</f>
        <v>2530</v>
      </c>
      <c r="S15" s="229">
        <f t="shared" si="7"/>
        <v>0</v>
      </c>
      <c r="T15" s="230">
        <f t="shared" si="8"/>
        <v>0</v>
      </c>
      <c r="U15" s="374">
        <f t="shared" si="9"/>
        <v>0</v>
      </c>
      <c r="V15" s="375">
        <f t="shared" si="10"/>
        <v>0</v>
      </c>
      <c r="W15" s="376">
        <f t="shared" si="11"/>
        <v>0</v>
      </c>
      <c r="X15" s="377">
        <f t="shared" si="12"/>
        <v>0</v>
      </c>
      <c r="Y15" s="378">
        <f t="shared" si="13"/>
        <v>0</v>
      </c>
      <c r="Z15" s="379">
        <f t="shared" si="14"/>
        <v>0</v>
      </c>
      <c r="AA15" s="380">
        <f t="shared" si="15"/>
        <v>0</v>
      </c>
      <c r="AB15" s="225"/>
      <c r="AC15" s="231"/>
      <c r="AD15" s="231"/>
      <c r="AE15" s="231"/>
      <c r="AF15" s="231"/>
      <c r="AG15" s="231"/>
      <c r="AH15" s="231"/>
      <c r="AI15" s="225"/>
      <c r="AJ15" s="225"/>
      <c r="AK15" s="225"/>
      <c r="AL15" s="225"/>
      <c r="AM15" s="225"/>
      <c r="AN15" s="225"/>
    </row>
    <row r="16" spans="1:40" s="228" customFormat="1" ht="12.75" customHeight="1" thickBot="1">
      <c r="A16" s="1582" t="s">
        <v>215</v>
      </c>
      <c r="B16" s="1502" t="s">
        <v>215</v>
      </c>
      <c r="C16" s="274">
        <f t="shared" ref="C16:C38" si="24">IF(D16=1,U$4,IF(D16=2,V$4,IF(D16=3,W$4,IF(D16=4,X$4,IF(D16=5,Y$4,IF(D16=6,Z$4,IF(D16=7,AA$4,0)))))))</f>
        <v>2.2880964381720439E-4</v>
      </c>
      <c r="D16" s="920">
        <v>1</v>
      </c>
      <c r="E16" s="1979">
        <v>1</v>
      </c>
      <c r="F16" s="1979">
        <v>2</v>
      </c>
      <c r="G16" s="1979">
        <v>200</v>
      </c>
      <c r="H16" s="1979"/>
      <c r="I16" s="2056">
        <v>0</v>
      </c>
      <c r="J16" s="2056">
        <v>8.1018518518518516E-4</v>
      </c>
      <c r="K16" s="2113" t="s">
        <v>1171</v>
      </c>
      <c r="L16" s="1332">
        <v>0.34027777777777773</v>
      </c>
      <c r="M16" s="1123">
        <v>1.2</v>
      </c>
      <c r="N16" s="301">
        <f t="shared" ref="N16" si="25">P16*E16*F16+I16*F16*E16+J16*E16</f>
        <v>5.2033303464755097E-3</v>
      </c>
      <c r="O16" s="302">
        <f t="shared" ref="O16:O19" si="26">C16*(G16/25)</f>
        <v>1.8304771505376352E-3</v>
      </c>
      <c r="P16" s="301">
        <f t="shared" ref="P16:P19" si="27">O16*M16</f>
        <v>2.1965725806451621E-3</v>
      </c>
      <c r="Q16" s="798">
        <v>145</v>
      </c>
      <c r="R16" s="369">
        <f t="shared" ref="R16:R19" si="28">E16*F16*G16</f>
        <v>400</v>
      </c>
      <c r="S16" s="229">
        <f t="shared" si="7"/>
        <v>0.4</v>
      </c>
      <c r="T16" s="230">
        <f t="shared" si="8"/>
        <v>1.4643817204301081E-2</v>
      </c>
      <c r="U16" s="374">
        <f t="shared" si="9"/>
        <v>0.4</v>
      </c>
      <c r="V16" s="375">
        <f t="shared" si="10"/>
        <v>0</v>
      </c>
      <c r="W16" s="376">
        <f t="shared" si="11"/>
        <v>0</v>
      </c>
      <c r="X16" s="377">
        <f t="shared" si="12"/>
        <v>0</v>
      </c>
      <c r="Y16" s="378">
        <f t="shared" si="13"/>
        <v>0</v>
      </c>
      <c r="Z16" s="379">
        <f t="shared" si="14"/>
        <v>0</v>
      </c>
      <c r="AA16" s="380">
        <f t="shared" si="15"/>
        <v>0</v>
      </c>
      <c r="AB16" s="225"/>
      <c r="AC16" s="231"/>
      <c r="AD16" s="231"/>
      <c r="AE16" s="231"/>
      <c r="AF16" s="231"/>
      <c r="AG16" s="231"/>
      <c r="AH16" s="231"/>
      <c r="AI16" s="225"/>
      <c r="AJ16" s="225"/>
      <c r="AK16" s="225"/>
      <c r="AL16" s="225"/>
      <c r="AM16" s="225"/>
      <c r="AN16" s="225"/>
    </row>
    <row r="17" spans="1:40" s="228" customFormat="1" ht="12.75" customHeight="1" thickBot="1">
      <c r="A17" s="1582" t="s">
        <v>138</v>
      </c>
      <c r="B17" s="1502" t="s">
        <v>215</v>
      </c>
      <c r="C17" s="274">
        <f t="shared" si="24"/>
        <v>2.1222190799396687E-4</v>
      </c>
      <c r="D17" s="6819">
        <v>3</v>
      </c>
      <c r="E17" s="6820">
        <v>1</v>
      </c>
      <c r="F17" s="6820">
        <v>5</v>
      </c>
      <c r="G17" s="6820">
        <v>50</v>
      </c>
      <c r="H17" s="6821" t="s">
        <v>710</v>
      </c>
      <c r="I17" s="6822">
        <v>5.2083333333333333E-4</v>
      </c>
      <c r="J17" s="6822">
        <v>1.3888888888888889E-3</v>
      </c>
      <c r="K17" s="6823" t="s">
        <v>1180</v>
      </c>
      <c r="L17" s="6822">
        <f t="shared" ref="L17" si="29">L16+N16</f>
        <v>0.34548110812425326</v>
      </c>
      <c r="M17" s="6824">
        <v>1.28</v>
      </c>
      <c r="N17" s="6825">
        <f>P17*E17*F17+I17*E17*F17+J17*E17</f>
        <v>6.7094959778783315E-3</v>
      </c>
      <c r="O17" s="6826">
        <f t="shared" si="26"/>
        <v>4.2444381598793373E-4</v>
      </c>
      <c r="P17" s="6826">
        <f t="shared" si="27"/>
        <v>5.432880844645552E-4</v>
      </c>
      <c r="Q17" s="6827" t="s">
        <v>316</v>
      </c>
      <c r="R17" s="6828">
        <f t="shared" si="28"/>
        <v>250</v>
      </c>
      <c r="S17" s="229">
        <f t="shared" si="7"/>
        <v>0.25</v>
      </c>
      <c r="T17" s="230">
        <f t="shared" si="8"/>
        <v>8.4888763197586738E-3</v>
      </c>
      <c r="U17" s="374">
        <f t="shared" si="9"/>
        <v>0</v>
      </c>
      <c r="V17" s="375">
        <f t="shared" si="10"/>
        <v>0</v>
      </c>
      <c r="W17" s="376">
        <f t="shared" si="11"/>
        <v>0.25</v>
      </c>
      <c r="X17" s="377">
        <f t="shared" si="12"/>
        <v>0</v>
      </c>
      <c r="Y17" s="378">
        <f t="shared" si="13"/>
        <v>0</v>
      </c>
      <c r="Z17" s="379">
        <f t="shared" si="14"/>
        <v>0</v>
      </c>
      <c r="AA17" s="380">
        <f t="shared" si="15"/>
        <v>0</v>
      </c>
      <c r="AB17" s="225"/>
      <c r="AC17" s="231"/>
      <c r="AD17" s="231"/>
      <c r="AE17" s="231"/>
      <c r="AF17" s="231"/>
      <c r="AG17" s="231"/>
      <c r="AH17" s="231"/>
      <c r="AI17" s="225"/>
      <c r="AJ17" s="225"/>
      <c r="AK17" s="225"/>
      <c r="AL17" s="225"/>
      <c r="AM17" s="225"/>
      <c r="AN17" s="225"/>
    </row>
    <row r="18" spans="1:40" s="228" customFormat="1" ht="14" customHeight="1" thickBot="1">
      <c r="A18" s="1582" t="s">
        <v>461</v>
      </c>
      <c r="B18" s="1502" t="s">
        <v>215</v>
      </c>
      <c r="C18" s="274">
        <f t="shared" si="24"/>
        <v>1.8933937422552669E-4</v>
      </c>
      <c r="D18" s="1248">
        <v>5</v>
      </c>
      <c r="E18" s="1249">
        <v>5</v>
      </c>
      <c r="F18" s="1249">
        <v>2</v>
      </c>
      <c r="G18" s="1249">
        <v>50</v>
      </c>
      <c r="H18" s="1456" t="s">
        <v>944</v>
      </c>
      <c r="I18" s="1250">
        <v>5.7870370370370366E-5</v>
      </c>
      <c r="J18" s="1250">
        <v>1.3888888888888889E-3</v>
      </c>
      <c r="K18" s="534" t="s">
        <v>1588</v>
      </c>
      <c r="L18" s="1150">
        <f>L17+N17</f>
        <v>0.3521906041021316</v>
      </c>
      <c r="M18" s="1256">
        <v>1</v>
      </c>
      <c r="N18" s="1250">
        <f t="shared" ref="N18" si="30">P18*E18*F18+I18*E18*F18+J18*E18</f>
        <v>1.1309935632658683E-2</v>
      </c>
      <c r="O18" s="1253">
        <f t="shared" si="26"/>
        <v>3.7867874845105338E-4</v>
      </c>
      <c r="P18" s="1254">
        <f t="shared" si="27"/>
        <v>3.7867874845105338E-4</v>
      </c>
      <c r="Q18" s="1255" t="s">
        <v>278</v>
      </c>
      <c r="R18" s="1249">
        <f t="shared" si="28"/>
        <v>500</v>
      </c>
      <c r="S18" s="229">
        <f t="shared" si="7"/>
        <v>0.5</v>
      </c>
      <c r="T18" s="230">
        <f t="shared" si="8"/>
        <v>1.5147149938042136E-2</v>
      </c>
      <c r="U18" s="374">
        <f t="shared" si="9"/>
        <v>0</v>
      </c>
      <c r="V18" s="375">
        <f t="shared" si="10"/>
        <v>0</v>
      </c>
      <c r="W18" s="376">
        <f t="shared" si="11"/>
        <v>0</v>
      </c>
      <c r="X18" s="377">
        <f t="shared" si="12"/>
        <v>0</v>
      </c>
      <c r="Y18" s="378">
        <f t="shared" si="13"/>
        <v>0.5</v>
      </c>
      <c r="Z18" s="379">
        <f t="shared" si="14"/>
        <v>0</v>
      </c>
      <c r="AA18" s="380">
        <f t="shared" si="15"/>
        <v>0</v>
      </c>
      <c r="AB18" s="225"/>
      <c r="AC18" s="231"/>
      <c r="AD18" s="231"/>
      <c r="AE18" s="231"/>
      <c r="AF18" s="231"/>
      <c r="AG18" s="231"/>
      <c r="AH18" s="231"/>
      <c r="AI18" s="225"/>
      <c r="AJ18" s="225"/>
      <c r="AK18" s="225"/>
      <c r="AL18" s="225"/>
      <c r="AM18" s="225"/>
      <c r="AN18" s="225"/>
    </row>
    <row r="19" spans="1:40" s="228" customFormat="1" ht="14" customHeight="1" thickBot="1">
      <c r="A19" s="1582" t="s">
        <v>458</v>
      </c>
      <c r="B19" s="1502" t="s">
        <v>215</v>
      </c>
      <c r="C19" s="3040">
        <f t="shared" si="24"/>
        <v>2.0247664488766629E-4</v>
      </c>
      <c r="D19" s="7413">
        <v>4</v>
      </c>
      <c r="E19" s="7414">
        <v>1</v>
      </c>
      <c r="F19" s="7414">
        <v>5</v>
      </c>
      <c r="G19" s="7414">
        <v>100</v>
      </c>
      <c r="H19" s="7415" t="s">
        <v>710</v>
      </c>
      <c r="I19" s="7416">
        <v>5.2083333333333333E-4</v>
      </c>
      <c r="J19" s="7416">
        <v>1.3888888888888889E-3</v>
      </c>
      <c r="K19" s="7417" t="s">
        <v>1180</v>
      </c>
      <c r="L19" s="7416">
        <f t="shared" ref="L19:L21" si="31">L18+N18</f>
        <v>0.3635005397347903</v>
      </c>
      <c r="M19" s="7418">
        <v>1.28</v>
      </c>
      <c r="N19" s="4689">
        <f>P19*E19*F19+I19*E19*F19+J19*E19</f>
        <v>9.1764576646798119E-3</v>
      </c>
      <c r="O19" s="2429">
        <f t="shared" si="26"/>
        <v>8.0990657955066516E-4</v>
      </c>
      <c r="P19" s="2429">
        <f t="shared" si="27"/>
        <v>1.0366804218248514E-3</v>
      </c>
      <c r="Q19" s="7419" t="s">
        <v>316</v>
      </c>
      <c r="R19" s="7420">
        <f t="shared" si="28"/>
        <v>500</v>
      </c>
      <c r="S19" s="229">
        <f t="shared" si="7"/>
        <v>0.5</v>
      </c>
      <c r="T19" s="230">
        <f t="shared" si="8"/>
        <v>1.6198131591013302E-2</v>
      </c>
      <c r="U19" s="374">
        <f t="shared" si="9"/>
        <v>0</v>
      </c>
      <c r="V19" s="375">
        <f t="shared" si="10"/>
        <v>0</v>
      </c>
      <c r="W19" s="376">
        <f t="shared" si="11"/>
        <v>0</v>
      </c>
      <c r="X19" s="377">
        <f t="shared" si="12"/>
        <v>0.5</v>
      </c>
      <c r="Y19" s="378">
        <f t="shared" si="13"/>
        <v>0</v>
      </c>
      <c r="Z19" s="379">
        <f t="shared" si="14"/>
        <v>0</v>
      </c>
      <c r="AA19" s="380">
        <f t="shared" si="15"/>
        <v>0</v>
      </c>
      <c r="AB19" s="225"/>
      <c r="AC19" s="231"/>
      <c r="AD19" s="231"/>
      <c r="AE19" s="231"/>
      <c r="AF19" s="231"/>
      <c r="AG19" s="231"/>
      <c r="AH19" s="231"/>
      <c r="AI19" s="225"/>
      <c r="AJ19" s="225"/>
      <c r="AK19" s="225"/>
      <c r="AL19" s="225"/>
      <c r="AM19" s="225"/>
      <c r="AN19" s="225"/>
    </row>
    <row r="20" spans="1:40" s="228" customFormat="1" ht="15" customHeight="1" thickBot="1">
      <c r="A20" s="1582" t="s">
        <v>219</v>
      </c>
      <c r="B20" s="1502" t="s">
        <v>215</v>
      </c>
      <c r="C20" s="274">
        <f t="shared" si="24"/>
        <v>2.1222190799396687E-4</v>
      </c>
      <c r="D20" s="6819">
        <v>3</v>
      </c>
      <c r="E20" s="6820">
        <v>1</v>
      </c>
      <c r="F20" s="6820">
        <v>12</v>
      </c>
      <c r="G20" s="6820">
        <v>20</v>
      </c>
      <c r="H20" s="6821"/>
      <c r="I20" s="6822">
        <v>3.4722222222222224E-4</v>
      </c>
      <c r="J20" s="6822">
        <v>0</v>
      </c>
      <c r="K20" s="6823" t="s">
        <v>1179</v>
      </c>
      <c r="L20" s="6822">
        <f t="shared" si="31"/>
        <v>0.37267699739947013</v>
      </c>
      <c r="M20" s="6824">
        <v>1</v>
      </c>
      <c r="N20" s="6825">
        <v>3.0671296296296297E-3</v>
      </c>
      <c r="O20" s="6826">
        <v>1.6203703703703703E-4</v>
      </c>
      <c r="P20" s="6826">
        <v>1.6203703703703703E-4</v>
      </c>
      <c r="Q20" s="6827" t="s">
        <v>316</v>
      </c>
      <c r="R20" s="6828">
        <v>120</v>
      </c>
      <c r="S20" s="229">
        <f t="shared" si="7"/>
        <v>0.24</v>
      </c>
      <c r="T20" s="230">
        <f t="shared" si="8"/>
        <v>7.7777777777777776E-3</v>
      </c>
      <c r="U20" s="374">
        <f t="shared" si="9"/>
        <v>0</v>
      </c>
      <c r="V20" s="375">
        <f t="shared" si="10"/>
        <v>0</v>
      </c>
      <c r="W20" s="376">
        <f t="shared" si="11"/>
        <v>0.24</v>
      </c>
      <c r="X20" s="377">
        <f t="shared" si="12"/>
        <v>0</v>
      </c>
      <c r="Y20" s="378">
        <f t="shared" si="13"/>
        <v>0</v>
      </c>
      <c r="Z20" s="379">
        <f t="shared" si="14"/>
        <v>0</v>
      </c>
      <c r="AA20" s="380">
        <f t="shared" si="15"/>
        <v>0</v>
      </c>
      <c r="AB20" s="225"/>
      <c r="AC20" s="231"/>
      <c r="AD20" s="231"/>
      <c r="AE20" s="231"/>
      <c r="AF20" s="231"/>
      <c r="AG20" s="231"/>
      <c r="AH20" s="231"/>
      <c r="AI20" s="225"/>
      <c r="AJ20" s="225"/>
      <c r="AK20" s="225"/>
      <c r="AL20" s="225"/>
      <c r="AM20" s="225"/>
      <c r="AN20" s="225"/>
    </row>
    <row r="21" spans="1:40" s="228" customFormat="1" ht="13.25" customHeight="1" thickBot="1">
      <c r="A21" s="1582"/>
      <c r="B21" s="1502"/>
      <c r="C21" s="274">
        <f t="shared" si="24"/>
        <v>0</v>
      </c>
      <c r="D21" s="1461"/>
      <c r="E21" s="1462"/>
      <c r="F21" s="1462"/>
      <c r="G21" s="1462"/>
      <c r="H21" s="1462"/>
      <c r="I21" s="1462"/>
      <c r="J21" s="1462"/>
      <c r="K21" s="1462"/>
      <c r="L21" s="1327">
        <f t="shared" si="31"/>
        <v>0.37574412702909976</v>
      </c>
      <c r="M21" s="1463"/>
      <c r="N21" s="1464"/>
      <c r="O21" s="1462"/>
      <c r="P21" s="1462"/>
      <c r="Q21" s="1462"/>
      <c r="R21" s="1465">
        <f>SUM(R16:R20)</f>
        <v>1770</v>
      </c>
      <c r="S21" s="229">
        <f t="shared" si="7"/>
        <v>0</v>
      </c>
      <c r="T21" s="230">
        <f t="shared" si="8"/>
        <v>0</v>
      </c>
      <c r="U21" s="374">
        <f t="shared" si="9"/>
        <v>0</v>
      </c>
      <c r="V21" s="375">
        <f t="shared" si="10"/>
        <v>0</v>
      </c>
      <c r="W21" s="376">
        <f t="shared" si="11"/>
        <v>0</v>
      </c>
      <c r="X21" s="377">
        <f t="shared" si="12"/>
        <v>0</v>
      </c>
      <c r="Y21" s="378">
        <f t="shared" si="13"/>
        <v>0</v>
      </c>
      <c r="Z21" s="379">
        <f t="shared" si="14"/>
        <v>0</v>
      </c>
      <c r="AA21" s="380">
        <f t="shared" si="15"/>
        <v>0</v>
      </c>
      <c r="AB21" s="225"/>
      <c r="AC21" s="231"/>
      <c r="AD21" s="231"/>
      <c r="AE21" s="231"/>
      <c r="AF21" s="231"/>
      <c r="AG21" s="231"/>
      <c r="AH21" s="231"/>
      <c r="AI21" s="225"/>
      <c r="AJ21" s="225"/>
      <c r="AK21" s="225"/>
      <c r="AL21" s="225"/>
      <c r="AM21" s="225"/>
      <c r="AN21" s="225"/>
    </row>
    <row r="22" spans="1:40" s="228" customFormat="1" ht="12.75" customHeight="1" thickBot="1">
      <c r="A22" s="1582" t="s">
        <v>215</v>
      </c>
      <c r="B22" s="1502" t="s">
        <v>461</v>
      </c>
      <c r="C22" s="274">
        <f t="shared" si="24"/>
        <v>2.2880964381720439E-4</v>
      </c>
      <c r="D22" s="920">
        <v>1</v>
      </c>
      <c r="E22" s="1979">
        <v>1</v>
      </c>
      <c r="F22" s="1979">
        <v>1</v>
      </c>
      <c r="G22" s="1979">
        <v>800</v>
      </c>
      <c r="H22" s="1979"/>
      <c r="I22" s="2056">
        <v>0</v>
      </c>
      <c r="J22" s="2056">
        <v>8.1018518518518516E-4</v>
      </c>
      <c r="K22" s="2099" t="s">
        <v>1429</v>
      </c>
      <c r="L22" s="1332">
        <v>0.79861111111111116</v>
      </c>
      <c r="M22" s="1123">
        <v>1.2</v>
      </c>
      <c r="N22" s="301">
        <f t="shared" ref="N22" si="32">P22*E22*F22+I22*F22*E22+J22*E22</f>
        <v>9.596475507765833E-3</v>
      </c>
      <c r="O22" s="302">
        <f t="shared" ref="O22:O26" si="33">C22*(G22/25)</f>
        <v>7.3219086021505406E-3</v>
      </c>
      <c r="P22" s="301">
        <f t="shared" ref="P22:P26" si="34">O22*M22</f>
        <v>8.7862903225806484E-3</v>
      </c>
      <c r="Q22" s="798">
        <v>145</v>
      </c>
      <c r="R22" s="369">
        <f t="shared" ref="R22:R26" si="35">E22*F22*G22</f>
        <v>800</v>
      </c>
      <c r="S22" s="229">
        <f t="shared" si="7"/>
        <v>0.8</v>
      </c>
      <c r="T22" s="230">
        <f t="shared" si="8"/>
        <v>2.9287634408602162E-2</v>
      </c>
      <c r="U22" s="374">
        <f t="shared" si="9"/>
        <v>0.8</v>
      </c>
      <c r="V22" s="375">
        <f t="shared" si="10"/>
        <v>0</v>
      </c>
      <c r="W22" s="376">
        <f t="shared" si="11"/>
        <v>0</v>
      </c>
      <c r="X22" s="377">
        <f t="shared" si="12"/>
        <v>0</v>
      </c>
      <c r="Y22" s="378">
        <f t="shared" si="13"/>
        <v>0</v>
      </c>
      <c r="Z22" s="379">
        <f t="shared" si="14"/>
        <v>0</v>
      </c>
      <c r="AA22" s="380">
        <f t="shared" si="15"/>
        <v>0</v>
      </c>
      <c r="AB22" s="225"/>
      <c r="AC22" s="231"/>
      <c r="AD22" s="231"/>
      <c r="AE22" s="231"/>
      <c r="AF22" s="231"/>
      <c r="AG22" s="231"/>
      <c r="AH22" s="231"/>
      <c r="AI22" s="225"/>
      <c r="AJ22" s="225"/>
      <c r="AK22" s="225"/>
      <c r="AL22" s="225"/>
      <c r="AM22" s="225"/>
      <c r="AN22" s="225"/>
    </row>
    <row r="23" spans="1:40" s="228" customFormat="1" ht="12.75" customHeight="1" thickBot="1">
      <c r="A23" s="1582" t="s">
        <v>138</v>
      </c>
      <c r="B23" s="1502" t="s">
        <v>461</v>
      </c>
      <c r="C23" s="274">
        <f t="shared" si="24"/>
        <v>1.8933937422552669E-4</v>
      </c>
      <c r="D23" s="1433">
        <v>5</v>
      </c>
      <c r="E23" s="1434">
        <v>2</v>
      </c>
      <c r="F23" s="1435">
        <v>2</v>
      </c>
      <c r="G23" s="1435">
        <v>75</v>
      </c>
      <c r="H23" s="3367" t="s">
        <v>899</v>
      </c>
      <c r="I23" s="1436">
        <v>5.7870370370370366E-5</v>
      </c>
      <c r="J23" s="1436">
        <v>1.3888888888888889E-3</v>
      </c>
      <c r="K23" s="1330" t="s">
        <v>2515</v>
      </c>
      <c r="L23" s="1476">
        <f t="shared" ref="L23:L28" si="36">L22+N22</f>
        <v>0.80820758661887704</v>
      </c>
      <c r="M23" s="1256">
        <v>1.28</v>
      </c>
      <c r="N23" s="1250">
        <f t="shared" ref="N23:N26" si="37">P23*E23*F23+I23*E23*F23+J23*E23</f>
        <v>5.9175120473633491E-3</v>
      </c>
      <c r="O23" s="1253">
        <f t="shared" si="33"/>
        <v>5.6801812267658004E-4</v>
      </c>
      <c r="P23" s="1254">
        <f t="shared" si="34"/>
        <v>7.2706319702602247E-4</v>
      </c>
      <c r="Q23" s="1255" t="s">
        <v>278</v>
      </c>
      <c r="R23" s="1249">
        <f t="shared" si="35"/>
        <v>300</v>
      </c>
      <c r="S23" s="229">
        <f t="shared" si="7"/>
        <v>0.3</v>
      </c>
      <c r="T23" s="230">
        <f t="shared" si="8"/>
        <v>9.0882899628252807E-3</v>
      </c>
      <c r="U23" s="374">
        <f t="shared" si="9"/>
        <v>0</v>
      </c>
      <c r="V23" s="375">
        <f t="shared" si="10"/>
        <v>0</v>
      </c>
      <c r="W23" s="376">
        <f t="shared" si="11"/>
        <v>0</v>
      </c>
      <c r="X23" s="377">
        <f t="shared" si="12"/>
        <v>0</v>
      </c>
      <c r="Y23" s="378">
        <f t="shared" si="13"/>
        <v>0.3</v>
      </c>
      <c r="Z23" s="379">
        <f t="shared" si="14"/>
        <v>0</v>
      </c>
      <c r="AA23" s="380">
        <f t="shared" si="15"/>
        <v>0</v>
      </c>
      <c r="AB23" s="225"/>
      <c r="AC23" s="231"/>
      <c r="AD23" s="231"/>
      <c r="AE23" s="231"/>
      <c r="AF23" s="231"/>
      <c r="AG23" s="231"/>
      <c r="AH23" s="231"/>
      <c r="AI23" s="225"/>
      <c r="AJ23" s="225"/>
      <c r="AK23" s="225"/>
      <c r="AL23" s="225"/>
      <c r="AM23" s="225"/>
      <c r="AN23" s="225"/>
    </row>
    <row r="24" spans="1:40" s="228" customFormat="1" ht="12.75" customHeight="1" thickBot="1">
      <c r="A24" s="1582" t="s">
        <v>462</v>
      </c>
      <c r="B24" s="1502" t="s">
        <v>461</v>
      </c>
      <c r="C24" s="274">
        <f t="shared" si="24"/>
        <v>2.1908757716049393E-4</v>
      </c>
      <c r="D24" s="1471">
        <v>2</v>
      </c>
      <c r="E24" s="1472">
        <v>1</v>
      </c>
      <c r="F24" s="1472">
        <v>1</v>
      </c>
      <c r="G24" s="1472">
        <v>200</v>
      </c>
      <c r="H24" s="1473"/>
      <c r="I24" s="1437">
        <v>1.1574074074074073E-4</v>
      </c>
      <c r="J24" s="1437">
        <v>6.9444444444444447E-4</v>
      </c>
      <c r="K24" s="1474" t="s">
        <v>1169</v>
      </c>
      <c r="L24" s="1437">
        <f t="shared" si="36"/>
        <v>0.81412509866624039</v>
      </c>
      <c r="M24" s="1174">
        <v>1.28</v>
      </c>
      <c r="N24" s="299">
        <f t="shared" si="37"/>
        <v>3.0536419753086435E-3</v>
      </c>
      <c r="O24" s="1196">
        <f t="shared" si="33"/>
        <v>1.7527006172839514E-3</v>
      </c>
      <c r="P24" s="1175">
        <f t="shared" si="34"/>
        <v>2.243456790123458E-3</v>
      </c>
      <c r="Q24" s="550">
        <v>146</v>
      </c>
      <c r="R24" s="1176">
        <f t="shared" si="35"/>
        <v>200</v>
      </c>
      <c r="S24" s="229">
        <f t="shared" si="7"/>
        <v>0.2</v>
      </c>
      <c r="T24" s="230">
        <f t="shared" si="8"/>
        <v>7.0108024691358057E-3</v>
      </c>
      <c r="U24" s="374">
        <f t="shared" si="9"/>
        <v>0</v>
      </c>
      <c r="V24" s="375">
        <f t="shared" si="10"/>
        <v>0.2</v>
      </c>
      <c r="W24" s="376">
        <f t="shared" si="11"/>
        <v>0</v>
      </c>
      <c r="X24" s="377">
        <f t="shared" si="12"/>
        <v>0</v>
      </c>
      <c r="Y24" s="378">
        <f t="shared" si="13"/>
        <v>0</v>
      </c>
      <c r="Z24" s="379">
        <f t="shared" si="14"/>
        <v>0</v>
      </c>
      <c r="AA24" s="380">
        <f t="shared" si="15"/>
        <v>0</v>
      </c>
      <c r="AB24" s="225"/>
      <c r="AC24" s="231"/>
      <c r="AD24" s="231"/>
      <c r="AE24" s="231"/>
      <c r="AF24" s="231"/>
      <c r="AG24" s="231"/>
      <c r="AH24" s="231"/>
      <c r="AI24" s="225"/>
      <c r="AJ24" s="225"/>
      <c r="AK24" s="225"/>
      <c r="AL24" s="225"/>
      <c r="AM24" s="225"/>
      <c r="AN24" s="225"/>
    </row>
    <row r="25" spans="1:40" ht="12.75" customHeight="1">
      <c r="A25" s="1582" t="s">
        <v>461</v>
      </c>
      <c r="B25" s="1502" t="s">
        <v>461</v>
      </c>
      <c r="C25" s="274">
        <f t="shared" si="24"/>
        <v>1.8933937422552669E-4</v>
      </c>
      <c r="D25" s="1433">
        <v>5</v>
      </c>
      <c r="E25" s="1434">
        <v>2</v>
      </c>
      <c r="F25" s="1435">
        <v>2</v>
      </c>
      <c r="G25" s="1435">
        <v>75</v>
      </c>
      <c r="H25" s="3367" t="s">
        <v>899</v>
      </c>
      <c r="I25" s="1436">
        <v>5.7870370370370366E-5</v>
      </c>
      <c r="J25" s="1436">
        <v>1.3888888888888889E-3</v>
      </c>
      <c r="K25" s="1330" t="s">
        <v>2516</v>
      </c>
      <c r="L25" s="1476">
        <f t="shared" si="36"/>
        <v>0.81717874064154905</v>
      </c>
      <c r="M25" s="1256">
        <v>1.28</v>
      </c>
      <c r="N25" s="1250">
        <f t="shared" si="37"/>
        <v>5.9175120473633491E-3</v>
      </c>
      <c r="O25" s="1253">
        <f t="shared" si="33"/>
        <v>5.6801812267658004E-4</v>
      </c>
      <c r="P25" s="1254">
        <f t="shared" si="34"/>
        <v>7.2706319702602247E-4</v>
      </c>
      <c r="Q25" s="1255" t="s">
        <v>278</v>
      </c>
      <c r="R25" s="1249">
        <f t="shared" si="35"/>
        <v>300</v>
      </c>
      <c r="S25" s="229">
        <f t="shared" si="7"/>
        <v>0.3</v>
      </c>
      <c r="T25" s="230">
        <f t="shared" si="8"/>
        <v>9.0882899628252807E-3</v>
      </c>
      <c r="U25" s="374">
        <f t="shared" si="9"/>
        <v>0</v>
      </c>
      <c r="V25" s="375">
        <f t="shared" si="10"/>
        <v>0</v>
      </c>
      <c r="W25" s="376">
        <f t="shared" si="11"/>
        <v>0</v>
      </c>
      <c r="X25" s="377">
        <f t="shared" si="12"/>
        <v>0</v>
      </c>
      <c r="Y25" s="378">
        <f t="shared" si="13"/>
        <v>0.3</v>
      </c>
      <c r="Z25" s="379">
        <f t="shared" si="14"/>
        <v>0</v>
      </c>
      <c r="AA25" s="380">
        <f t="shared" si="15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</row>
    <row r="26" spans="1:40" ht="12.75" customHeight="1">
      <c r="A26" s="1585" t="s">
        <v>458</v>
      </c>
      <c r="B26" s="1503" t="s">
        <v>461</v>
      </c>
      <c r="C26" s="274">
        <v>2.5462962962962961E-4</v>
      </c>
      <c r="D26" s="890">
        <v>2</v>
      </c>
      <c r="E26" s="1296">
        <v>1</v>
      </c>
      <c r="F26" s="1296">
        <v>1</v>
      </c>
      <c r="G26" s="1296">
        <v>400</v>
      </c>
      <c r="H26" s="675"/>
      <c r="I26" s="675"/>
      <c r="J26" s="675">
        <v>1.3888888888888889E-3</v>
      </c>
      <c r="K26" s="1324" t="s">
        <v>703</v>
      </c>
      <c r="L26" s="1437">
        <f t="shared" si="36"/>
        <v>0.8230962526889124</v>
      </c>
      <c r="M26" s="1174">
        <v>1.28</v>
      </c>
      <c r="N26" s="299">
        <f t="shared" si="37"/>
        <v>6.6037037037037036E-3</v>
      </c>
      <c r="O26" s="1196">
        <f t="shared" si="33"/>
        <v>4.0740740740740737E-3</v>
      </c>
      <c r="P26" s="1175">
        <f t="shared" si="34"/>
        <v>5.2148148148148145E-3</v>
      </c>
      <c r="Q26" s="550">
        <v>146</v>
      </c>
      <c r="R26" s="1176">
        <f t="shared" si="35"/>
        <v>400</v>
      </c>
      <c r="S26" s="229">
        <f t="shared" si="7"/>
        <v>0.4</v>
      </c>
      <c r="T26" s="230">
        <f t="shared" si="8"/>
        <v>1.6296296296296295E-2</v>
      </c>
      <c r="U26" s="374">
        <f t="shared" si="9"/>
        <v>0.4</v>
      </c>
      <c r="V26" s="375">
        <f t="shared" si="10"/>
        <v>0</v>
      </c>
      <c r="W26" s="376">
        <f t="shared" si="11"/>
        <v>0</v>
      </c>
      <c r="X26" s="377">
        <f t="shared" si="12"/>
        <v>0</v>
      </c>
      <c r="Y26" s="378">
        <f t="shared" si="13"/>
        <v>0</v>
      </c>
      <c r="Z26" s="379">
        <f t="shared" si="14"/>
        <v>0</v>
      </c>
      <c r="AA26" s="380">
        <f t="shared" si="15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</row>
    <row r="27" spans="1:40" ht="12.75" customHeight="1">
      <c r="A27" s="1585" t="s">
        <v>219</v>
      </c>
      <c r="B27" s="1503" t="s">
        <v>461</v>
      </c>
      <c r="C27" s="274">
        <f t="shared" si="24"/>
        <v>1.7682291666666674E-4</v>
      </c>
      <c r="D27" s="1539">
        <v>7</v>
      </c>
      <c r="E27" s="1040">
        <v>5</v>
      </c>
      <c r="F27" s="1040">
        <v>2</v>
      </c>
      <c r="G27" s="1040">
        <v>50</v>
      </c>
      <c r="H27" s="1720" t="s">
        <v>2517</v>
      </c>
      <c r="I27" s="1041">
        <v>4.6296296296296293E-4</v>
      </c>
      <c r="J27" s="1041">
        <v>2.0833333333333333E-3</v>
      </c>
      <c r="K27" s="443" t="s">
        <v>1436</v>
      </c>
      <c r="L27" s="1041">
        <f t="shared" si="36"/>
        <v>0.82969995639261607</v>
      </c>
      <c r="M27" s="2115">
        <v>1.05</v>
      </c>
      <c r="N27" s="1041">
        <f>P27*E27*F27+I27*F27+J27*E27</f>
        <v>1.5055873842592594E-2</v>
      </c>
      <c r="O27" s="1731">
        <f>C27*(G27/25)</f>
        <v>3.5364583333333347E-4</v>
      </c>
      <c r="P27" s="439">
        <f>O27*M27</f>
        <v>3.7132812500000018E-4</v>
      </c>
      <c r="Q27" s="443" t="s">
        <v>274</v>
      </c>
      <c r="R27" s="2044">
        <f>E27*F27*G27</f>
        <v>500</v>
      </c>
      <c r="S27" s="229">
        <f t="shared" si="7"/>
        <v>0.5</v>
      </c>
      <c r="T27" s="230">
        <f t="shared" si="8"/>
        <v>1.4145833333333338E-2</v>
      </c>
      <c r="U27" s="374">
        <f t="shared" si="9"/>
        <v>0</v>
      </c>
      <c r="V27" s="375">
        <f t="shared" si="10"/>
        <v>0</v>
      </c>
      <c r="W27" s="376">
        <f t="shared" si="11"/>
        <v>0</v>
      </c>
      <c r="X27" s="377">
        <f t="shared" si="12"/>
        <v>0</v>
      </c>
      <c r="Y27" s="378">
        <f t="shared" si="13"/>
        <v>0</v>
      </c>
      <c r="Z27" s="379">
        <f t="shared" si="14"/>
        <v>0</v>
      </c>
      <c r="AA27" s="380">
        <f t="shared" si="15"/>
        <v>0.5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40" ht="12.75" customHeight="1" thickBot="1">
      <c r="A28" s="1586"/>
      <c r="B28" s="1587"/>
      <c r="C28" s="274">
        <f t="shared" si="24"/>
        <v>0</v>
      </c>
      <c r="D28" s="1553"/>
      <c r="E28" s="642"/>
      <c r="F28" s="642"/>
      <c r="G28" s="642"/>
      <c r="H28" s="1554"/>
      <c r="I28" s="642"/>
      <c r="J28" s="642"/>
      <c r="K28" s="642"/>
      <c r="L28" s="2111">
        <f t="shared" si="36"/>
        <v>0.84475583023520862</v>
      </c>
      <c r="M28" s="1555"/>
      <c r="N28" s="850"/>
      <c r="O28" s="1538"/>
      <c r="P28" s="683"/>
      <c r="Q28" s="849"/>
      <c r="R28" s="684">
        <f>SUM(R22:R27)</f>
        <v>2500</v>
      </c>
      <c r="S28" s="229">
        <f t="shared" si="7"/>
        <v>0</v>
      </c>
      <c r="T28" s="230">
        <f t="shared" si="8"/>
        <v>0</v>
      </c>
      <c r="U28" s="374">
        <f t="shared" si="9"/>
        <v>0</v>
      </c>
      <c r="V28" s="375">
        <f t="shared" si="10"/>
        <v>0</v>
      </c>
      <c r="W28" s="376">
        <f t="shared" si="11"/>
        <v>0</v>
      </c>
      <c r="X28" s="377">
        <f t="shared" si="12"/>
        <v>0</v>
      </c>
      <c r="Y28" s="378">
        <f t="shared" si="13"/>
        <v>0</v>
      </c>
      <c r="Z28" s="379">
        <f t="shared" si="14"/>
        <v>0</v>
      </c>
      <c r="AA28" s="380">
        <f t="shared" si="15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40" ht="11" customHeight="1" thickBot="1">
      <c r="A29" s="398" t="s">
        <v>214</v>
      </c>
      <c r="B29" s="1117"/>
      <c r="C29" s="274">
        <f t="shared" si="24"/>
        <v>2.1908757716049393E-4</v>
      </c>
      <c r="D29" s="890">
        <v>2</v>
      </c>
      <c r="E29" s="1296">
        <v>1</v>
      </c>
      <c r="F29" s="1296">
        <v>1</v>
      </c>
      <c r="G29" s="1296">
        <v>400</v>
      </c>
      <c r="H29" s="675"/>
      <c r="I29" s="675"/>
      <c r="J29" s="675">
        <v>1.3888888888888889E-3</v>
      </c>
      <c r="K29" s="1324" t="s">
        <v>703</v>
      </c>
      <c r="L29" s="1437">
        <v>0.79861111111111116</v>
      </c>
      <c r="M29" s="1430">
        <v>1.1000000000000001</v>
      </c>
      <c r="N29" s="1437">
        <v>9.5138888888888894E-3</v>
      </c>
      <c r="O29" s="1470">
        <v>4.0624999999999993E-3</v>
      </c>
      <c r="P29" s="1431">
        <v>4.0624999999999993E-3</v>
      </c>
      <c r="Q29" s="1432">
        <v>146</v>
      </c>
      <c r="R29" s="1176">
        <f t="shared" ref="R29:R39" si="38">E29*F29*G29</f>
        <v>400</v>
      </c>
      <c r="S29" s="229">
        <f t="shared" si="7"/>
        <v>0.4</v>
      </c>
      <c r="T29" s="230">
        <f t="shared" si="8"/>
        <v>1.6249999999999997E-2</v>
      </c>
      <c r="U29" s="374">
        <f t="shared" si="9"/>
        <v>0</v>
      </c>
      <c r="V29" s="375">
        <f t="shared" si="10"/>
        <v>0.4</v>
      </c>
      <c r="W29" s="376">
        <f t="shared" si="11"/>
        <v>0</v>
      </c>
      <c r="X29" s="377">
        <f t="shared" si="12"/>
        <v>0</v>
      </c>
      <c r="Y29" s="378">
        <f t="shared" si="13"/>
        <v>0</v>
      </c>
      <c r="Z29" s="379">
        <f t="shared" si="14"/>
        <v>0</v>
      </c>
      <c r="AA29" s="380">
        <f t="shared" si="15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</row>
    <row r="30" spans="1:40" ht="15" customHeight="1" thickBot="1">
      <c r="A30" s="647" t="s">
        <v>458</v>
      </c>
      <c r="B30" s="1117" t="s">
        <v>461</v>
      </c>
      <c r="C30" s="274">
        <f t="shared" si="24"/>
        <v>2.0247664488766629E-4</v>
      </c>
      <c r="D30" s="1466">
        <v>4</v>
      </c>
      <c r="E30" s="1467">
        <v>1</v>
      </c>
      <c r="F30" s="1467">
        <v>5</v>
      </c>
      <c r="G30" s="1467">
        <v>50</v>
      </c>
      <c r="H30" s="1468" t="s">
        <v>710</v>
      </c>
      <c r="I30" s="1469">
        <v>5.2083333333333333E-4</v>
      </c>
      <c r="J30" s="1469">
        <v>1.3888888888888889E-3</v>
      </c>
      <c r="K30" s="2112" t="s">
        <v>1180</v>
      </c>
      <c r="L30" s="1469">
        <f t="shared" ref="L30:L40" si="39">L29+N29</f>
        <v>0.80812500000000009</v>
      </c>
      <c r="M30" s="1180">
        <v>1.28</v>
      </c>
      <c r="N30" s="1178">
        <f>P30*E30*F30+I30*E30*F30+J30*E30</f>
        <v>6.5847566101176844E-3</v>
      </c>
      <c r="O30" s="1196">
        <f t="shared" ref="O30:O39" si="40">C30*(G30/25)</f>
        <v>4.0495328977533258E-4</v>
      </c>
      <c r="P30" s="1181">
        <f t="shared" ref="P30:P39" si="41">O30*M30</f>
        <v>5.1834021091242571E-4</v>
      </c>
      <c r="Q30" s="334" t="s">
        <v>316</v>
      </c>
      <c r="R30" s="1177">
        <f t="shared" si="38"/>
        <v>250</v>
      </c>
      <c r="S30" s="229">
        <f t="shared" si="7"/>
        <v>0.25</v>
      </c>
      <c r="T30" s="230">
        <f t="shared" si="8"/>
        <v>8.0990657955066509E-3</v>
      </c>
      <c r="U30" s="374">
        <f t="shared" si="9"/>
        <v>0</v>
      </c>
      <c r="V30" s="375">
        <f t="shared" si="10"/>
        <v>0</v>
      </c>
      <c r="W30" s="376">
        <f t="shared" si="11"/>
        <v>0</v>
      </c>
      <c r="X30" s="377">
        <f t="shared" si="12"/>
        <v>0.25</v>
      </c>
      <c r="Y30" s="378">
        <f t="shared" si="13"/>
        <v>0</v>
      </c>
      <c r="Z30" s="379">
        <f t="shared" si="14"/>
        <v>0</v>
      </c>
      <c r="AA30" s="380">
        <f t="shared" si="15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</row>
    <row r="31" spans="1:40" ht="13" customHeight="1" thickBot="1">
      <c r="A31" s="398" t="s">
        <v>219</v>
      </c>
      <c r="B31" s="1117" t="s">
        <v>461</v>
      </c>
      <c r="C31" s="274">
        <f t="shared" si="24"/>
        <v>2.1908757716049393E-4</v>
      </c>
      <c r="D31" s="1471">
        <v>2</v>
      </c>
      <c r="E31" s="1472">
        <v>1</v>
      </c>
      <c r="F31" s="1472">
        <v>1</v>
      </c>
      <c r="G31" s="1472">
        <v>200</v>
      </c>
      <c r="H31" s="1473" t="s">
        <v>713</v>
      </c>
      <c r="I31" s="1437">
        <v>1.1574074074074073E-4</v>
      </c>
      <c r="J31" s="1437">
        <v>6.9444444444444447E-4</v>
      </c>
      <c r="K31" s="1474" t="s">
        <v>1181</v>
      </c>
      <c r="L31" s="1437">
        <f t="shared" si="39"/>
        <v>0.8147097566101178</v>
      </c>
      <c r="M31" s="1174">
        <v>1.28</v>
      </c>
      <c r="N31" s="299">
        <f t="shared" ref="N31:N39" si="42">P31*E31*F31+I31*E31*F31+J31*E31</f>
        <v>3.0536419753086435E-3</v>
      </c>
      <c r="O31" s="1196">
        <f t="shared" si="40"/>
        <v>1.7527006172839514E-3</v>
      </c>
      <c r="P31" s="1175">
        <f t="shared" si="41"/>
        <v>2.243456790123458E-3</v>
      </c>
      <c r="Q31" s="550">
        <v>146</v>
      </c>
      <c r="R31" s="1176">
        <f t="shared" si="38"/>
        <v>200</v>
      </c>
      <c r="S31" s="229">
        <f t="shared" si="7"/>
        <v>0.2</v>
      </c>
      <c r="T31" s="230">
        <f t="shared" si="8"/>
        <v>7.0108024691358057E-3</v>
      </c>
      <c r="U31" s="374">
        <f t="shared" si="9"/>
        <v>0</v>
      </c>
      <c r="V31" s="375">
        <f t="shared" si="10"/>
        <v>0.2</v>
      </c>
      <c r="W31" s="376">
        <f t="shared" si="11"/>
        <v>0</v>
      </c>
      <c r="X31" s="377">
        <f t="shared" si="12"/>
        <v>0</v>
      </c>
      <c r="Y31" s="378">
        <f t="shared" si="13"/>
        <v>0</v>
      </c>
      <c r="Z31" s="379">
        <f t="shared" si="14"/>
        <v>0</v>
      </c>
      <c r="AA31" s="380">
        <f t="shared" si="15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</row>
    <row r="32" spans="1:40" ht="13.25" customHeight="1" thickBot="1">
      <c r="A32" s="398" t="s">
        <v>214</v>
      </c>
      <c r="B32" s="1117" t="s">
        <v>461</v>
      </c>
      <c r="C32" s="274">
        <f t="shared" si="24"/>
        <v>1.8229166666666673E-4</v>
      </c>
      <c r="D32" s="895">
        <v>6</v>
      </c>
      <c r="E32" s="2116">
        <v>1</v>
      </c>
      <c r="F32" s="2116">
        <v>4</v>
      </c>
      <c r="G32" s="2116">
        <v>100</v>
      </c>
      <c r="H32" s="2117" t="s">
        <v>20</v>
      </c>
      <c r="I32" s="1053">
        <v>9.2592592592592585E-4</v>
      </c>
      <c r="J32" s="1053">
        <v>1.736111111111111E-3</v>
      </c>
      <c r="K32" s="1065" t="s">
        <v>1172</v>
      </c>
      <c r="L32" s="2118">
        <f t="shared" si="39"/>
        <v>0.81776339858542646</v>
      </c>
      <c r="M32" s="2119">
        <v>1.28</v>
      </c>
      <c r="N32" s="1053">
        <f t="shared" si="42"/>
        <v>9.173148148148149E-3</v>
      </c>
      <c r="O32" s="368">
        <f t="shared" si="40"/>
        <v>7.2916666666666692E-4</v>
      </c>
      <c r="P32" s="586">
        <f t="shared" si="41"/>
        <v>9.3333333333333365E-4</v>
      </c>
      <c r="Q32" s="2120">
        <v>164</v>
      </c>
      <c r="R32" s="2116">
        <f t="shared" si="38"/>
        <v>400</v>
      </c>
      <c r="S32" s="229">
        <f t="shared" si="7"/>
        <v>0.4</v>
      </c>
      <c r="T32" s="230">
        <f t="shared" si="8"/>
        <v>1.1666666666666671E-2</v>
      </c>
      <c r="U32" s="374">
        <f t="shared" si="9"/>
        <v>0</v>
      </c>
      <c r="V32" s="375">
        <f t="shared" si="10"/>
        <v>0</v>
      </c>
      <c r="W32" s="376">
        <f t="shared" si="11"/>
        <v>0</v>
      </c>
      <c r="X32" s="377">
        <f t="shared" si="12"/>
        <v>0</v>
      </c>
      <c r="Y32" s="378">
        <f t="shared" si="13"/>
        <v>0</v>
      </c>
      <c r="Z32" s="379">
        <f t="shared" si="14"/>
        <v>0.4</v>
      </c>
      <c r="AA32" s="380">
        <f t="shared" si="15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</row>
    <row r="33" spans="1:39" ht="14" customHeight="1" thickBot="1">
      <c r="A33" s="398"/>
      <c r="B33" s="1117" t="s">
        <v>461</v>
      </c>
      <c r="C33" s="274">
        <f t="shared" si="24"/>
        <v>2.1908757716049393E-4</v>
      </c>
      <c r="D33" s="1471">
        <v>2</v>
      </c>
      <c r="E33" s="1474">
        <v>1</v>
      </c>
      <c r="F33" s="1474">
        <v>1</v>
      </c>
      <c r="G33" s="1474">
        <v>200</v>
      </c>
      <c r="H33" s="1438" t="s">
        <v>218</v>
      </c>
      <c r="I33" s="2126">
        <v>1.1574074074074073E-4</v>
      </c>
      <c r="J33" s="2126">
        <v>6.9444444444444447E-4</v>
      </c>
      <c r="K33" s="1474" t="s">
        <v>1170</v>
      </c>
      <c r="L33" s="2126">
        <f t="shared" si="39"/>
        <v>0.82693654673357464</v>
      </c>
      <c r="M33" s="2127">
        <v>1.28</v>
      </c>
      <c r="N33" s="2128">
        <f t="shared" si="42"/>
        <v>3.0536419753086435E-3</v>
      </c>
      <c r="O33" s="1196">
        <f t="shared" si="40"/>
        <v>1.7527006172839514E-3</v>
      </c>
      <c r="P33" s="1175">
        <f t="shared" si="41"/>
        <v>2.243456790123458E-3</v>
      </c>
      <c r="Q33" s="550">
        <v>146</v>
      </c>
      <c r="R33" s="2129">
        <f t="shared" si="38"/>
        <v>200</v>
      </c>
      <c r="S33" s="229">
        <f t="shared" si="7"/>
        <v>0.2</v>
      </c>
      <c r="T33" s="230">
        <f t="shared" si="8"/>
        <v>7.0108024691358057E-3</v>
      </c>
      <c r="U33" s="374">
        <f t="shared" si="9"/>
        <v>0</v>
      </c>
      <c r="V33" s="375">
        <f t="shared" si="10"/>
        <v>0.2</v>
      </c>
      <c r="W33" s="376">
        <f t="shared" si="11"/>
        <v>0</v>
      </c>
      <c r="X33" s="377">
        <f t="shared" si="12"/>
        <v>0</v>
      </c>
      <c r="Y33" s="378">
        <f t="shared" si="13"/>
        <v>0</v>
      </c>
      <c r="Z33" s="379">
        <f t="shared" si="14"/>
        <v>0</v>
      </c>
      <c r="AA33" s="380">
        <f t="shared" si="15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</row>
    <row r="34" spans="1:39" ht="12" customHeight="1" thickBot="1">
      <c r="A34" s="398" t="s">
        <v>215</v>
      </c>
      <c r="B34" s="1117" t="s">
        <v>461</v>
      </c>
      <c r="C34" s="274">
        <f t="shared" si="24"/>
        <v>1.8229166666666673E-4</v>
      </c>
      <c r="D34" s="895">
        <v>6</v>
      </c>
      <c r="E34" s="2116">
        <v>1</v>
      </c>
      <c r="F34" s="2116">
        <v>4</v>
      </c>
      <c r="G34" s="2116">
        <v>100</v>
      </c>
      <c r="H34" s="2117" t="s">
        <v>20</v>
      </c>
      <c r="I34" s="1053">
        <v>9.2592592592592585E-4</v>
      </c>
      <c r="J34" s="1053">
        <v>1.736111111111111E-3</v>
      </c>
      <c r="K34" s="1065" t="s">
        <v>1182</v>
      </c>
      <c r="L34" s="2118">
        <f t="shared" si="39"/>
        <v>0.8299901887088833</v>
      </c>
      <c r="M34" s="2119">
        <v>1.28</v>
      </c>
      <c r="N34" s="1053">
        <f t="shared" si="42"/>
        <v>9.173148148148149E-3</v>
      </c>
      <c r="O34" s="368">
        <f t="shared" si="40"/>
        <v>7.2916666666666692E-4</v>
      </c>
      <c r="P34" s="586">
        <f t="shared" si="41"/>
        <v>9.3333333333333365E-4</v>
      </c>
      <c r="Q34" s="2120">
        <v>165</v>
      </c>
      <c r="R34" s="2116">
        <f t="shared" si="38"/>
        <v>400</v>
      </c>
      <c r="S34" s="229">
        <f t="shared" si="7"/>
        <v>0.4</v>
      </c>
      <c r="T34" s="230">
        <f t="shared" si="8"/>
        <v>1.1666666666666671E-2</v>
      </c>
      <c r="U34" s="374">
        <f t="shared" si="9"/>
        <v>0</v>
      </c>
      <c r="V34" s="375">
        <f t="shared" si="10"/>
        <v>0</v>
      </c>
      <c r="W34" s="376">
        <f t="shared" si="11"/>
        <v>0</v>
      </c>
      <c r="X34" s="377">
        <f t="shared" si="12"/>
        <v>0</v>
      </c>
      <c r="Y34" s="378">
        <f t="shared" si="13"/>
        <v>0</v>
      </c>
      <c r="Z34" s="379">
        <f t="shared" si="14"/>
        <v>0.4</v>
      </c>
      <c r="AA34" s="380">
        <f t="shared" si="15"/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</row>
    <row r="35" spans="1:39" ht="12.75" customHeight="1" thickBot="1">
      <c r="A35" s="398" t="s">
        <v>139</v>
      </c>
      <c r="B35" s="1117" t="s">
        <v>461</v>
      </c>
      <c r="C35" s="274">
        <f t="shared" si="24"/>
        <v>2.1908757716049393E-4</v>
      </c>
      <c r="D35" s="1471">
        <v>2</v>
      </c>
      <c r="E35" s="1472">
        <v>1</v>
      </c>
      <c r="F35" s="1472">
        <v>1</v>
      </c>
      <c r="G35" s="1472">
        <v>400</v>
      </c>
      <c r="H35" s="1473" t="s">
        <v>218</v>
      </c>
      <c r="I35" s="1437">
        <v>1.1574074074074073E-4</v>
      </c>
      <c r="J35" s="1437">
        <v>6.9444444444444447E-4</v>
      </c>
      <c r="K35" s="1474" t="s">
        <v>1173</v>
      </c>
      <c r="L35" s="1437">
        <f t="shared" si="39"/>
        <v>0.83916333685703148</v>
      </c>
      <c r="M35" s="1174">
        <v>1.28</v>
      </c>
      <c r="N35" s="299">
        <f t="shared" si="42"/>
        <v>5.2970987654321015E-3</v>
      </c>
      <c r="O35" s="1196">
        <f t="shared" si="40"/>
        <v>3.5054012345679029E-3</v>
      </c>
      <c r="P35" s="1175">
        <f t="shared" si="41"/>
        <v>4.486913580246916E-3</v>
      </c>
      <c r="Q35" s="550">
        <v>146</v>
      </c>
      <c r="R35" s="1176">
        <f t="shared" si="38"/>
        <v>400</v>
      </c>
      <c r="S35" s="229">
        <f t="shared" si="7"/>
        <v>0.4</v>
      </c>
      <c r="T35" s="230">
        <f t="shared" si="8"/>
        <v>1.4021604938271611E-2</v>
      </c>
      <c r="U35" s="374">
        <f t="shared" si="9"/>
        <v>0</v>
      </c>
      <c r="V35" s="375">
        <f t="shared" si="10"/>
        <v>0.4</v>
      </c>
      <c r="W35" s="376">
        <f t="shared" si="11"/>
        <v>0</v>
      </c>
      <c r="X35" s="377">
        <f t="shared" si="12"/>
        <v>0</v>
      </c>
      <c r="Y35" s="378">
        <f t="shared" si="13"/>
        <v>0</v>
      </c>
      <c r="Z35" s="379">
        <f t="shared" si="14"/>
        <v>0</v>
      </c>
      <c r="AA35" s="380">
        <f t="shared" si="15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</row>
    <row r="36" spans="1:39" ht="12.75" customHeight="1" thickBot="1">
      <c r="A36" s="398" t="s">
        <v>458</v>
      </c>
      <c r="B36" s="1117" t="s">
        <v>461</v>
      </c>
      <c r="C36" s="274">
        <f t="shared" si="24"/>
        <v>1.8933937422552669E-4</v>
      </c>
      <c r="D36" s="1433">
        <v>5</v>
      </c>
      <c r="E36" s="1434">
        <v>2</v>
      </c>
      <c r="F36" s="1435">
        <v>1</v>
      </c>
      <c r="G36" s="1435">
        <v>75</v>
      </c>
      <c r="H36" s="3367" t="s">
        <v>215</v>
      </c>
      <c r="I36" s="1436">
        <v>5.7870370370370366E-5</v>
      </c>
      <c r="J36" s="1436">
        <v>1.3888888888888889E-3</v>
      </c>
      <c r="K36" s="1330" t="s">
        <v>1183</v>
      </c>
      <c r="L36" s="1476">
        <f t="shared" si="39"/>
        <v>0.84446043562246353</v>
      </c>
      <c r="M36" s="1256">
        <v>1.28</v>
      </c>
      <c r="N36" s="1250">
        <f t="shared" si="42"/>
        <v>4.3476449125705637E-3</v>
      </c>
      <c r="O36" s="1253">
        <f t="shared" si="40"/>
        <v>5.6801812267658004E-4</v>
      </c>
      <c r="P36" s="1254">
        <f t="shared" si="41"/>
        <v>7.2706319702602247E-4</v>
      </c>
      <c r="Q36" s="1255" t="s">
        <v>278</v>
      </c>
      <c r="R36" s="1249">
        <f t="shared" si="38"/>
        <v>150</v>
      </c>
      <c r="S36" s="229">
        <f t="shared" si="7"/>
        <v>0.15</v>
      </c>
      <c r="T36" s="230">
        <f t="shared" si="8"/>
        <v>4.5441449814126404E-3</v>
      </c>
      <c r="U36" s="374">
        <f t="shared" si="9"/>
        <v>0</v>
      </c>
      <c r="V36" s="375">
        <f t="shared" si="10"/>
        <v>0</v>
      </c>
      <c r="W36" s="376">
        <f t="shared" si="11"/>
        <v>0</v>
      </c>
      <c r="X36" s="377">
        <f t="shared" si="12"/>
        <v>0</v>
      </c>
      <c r="Y36" s="378">
        <f t="shared" si="13"/>
        <v>0.15</v>
      </c>
      <c r="Z36" s="379">
        <f t="shared" si="14"/>
        <v>0</v>
      </c>
      <c r="AA36" s="380">
        <f t="shared" si="15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</row>
    <row r="37" spans="1:39" ht="12.75" customHeight="1" thickBot="1">
      <c r="A37" s="398" t="s">
        <v>462</v>
      </c>
      <c r="B37" s="1117" t="s">
        <v>461</v>
      </c>
      <c r="C37" s="274">
        <f t="shared" si="24"/>
        <v>2.1908757716049393E-4</v>
      </c>
      <c r="D37" s="1471">
        <v>2</v>
      </c>
      <c r="E37" s="1472">
        <v>1</v>
      </c>
      <c r="F37" s="1472">
        <v>1</v>
      </c>
      <c r="G37" s="1472">
        <v>200</v>
      </c>
      <c r="H37" s="1473" t="s">
        <v>215</v>
      </c>
      <c r="I37" s="1437">
        <v>1.1574074074074073E-4</v>
      </c>
      <c r="J37" s="1437">
        <v>6.9444444444444447E-4</v>
      </c>
      <c r="K37" s="1474" t="s">
        <v>1169</v>
      </c>
      <c r="L37" s="1437">
        <f t="shared" si="39"/>
        <v>0.84880808053503409</v>
      </c>
      <c r="M37" s="1174">
        <v>1.28</v>
      </c>
      <c r="N37" s="299">
        <f t="shared" si="42"/>
        <v>3.0536419753086435E-3</v>
      </c>
      <c r="O37" s="1196">
        <f t="shared" si="40"/>
        <v>1.7527006172839514E-3</v>
      </c>
      <c r="P37" s="1175">
        <f t="shared" si="41"/>
        <v>2.243456790123458E-3</v>
      </c>
      <c r="Q37" s="550">
        <v>146</v>
      </c>
      <c r="R37" s="1176">
        <f t="shared" si="38"/>
        <v>200</v>
      </c>
      <c r="S37" s="229">
        <f t="shared" si="7"/>
        <v>0.2</v>
      </c>
      <c r="T37" s="230">
        <f t="shared" si="8"/>
        <v>7.0108024691358057E-3</v>
      </c>
      <c r="U37" s="374">
        <f t="shared" si="9"/>
        <v>0</v>
      </c>
      <c r="V37" s="375">
        <f t="shared" si="10"/>
        <v>0.2</v>
      </c>
      <c r="W37" s="376">
        <f t="shared" si="11"/>
        <v>0</v>
      </c>
      <c r="X37" s="377">
        <f t="shared" si="12"/>
        <v>0</v>
      </c>
      <c r="Y37" s="378">
        <f t="shared" si="13"/>
        <v>0</v>
      </c>
      <c r="Z37" s="379">
        <f t="shared" si="14"/>
        <v>0</v>
      </c>
      <c r="AA37" s="380">
        <f t="shared" si="15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</row>
    <row r="38" spans="1:39" ht="14" customHeight="1" thickBot="1">
      <c r="A38" s="398" t="s">
        <v>140</v>
      </c>
      <c r="B38" s="1117" t="s">
        <v>461</v>
      </c>
      <c r="C38" s="274">
        <f t="shared" si="24"/>
        <v>1.8933937422552669E-4</v>
      </c>
      <c r="D38" s="1433">
        <v>5</v>
      </c>
      <c r="E38" s="1434">
        <v>2</v>
      </c>
      <c r="F38" s="1435">
        <v>1</v>
      </c>
      <c r="G38" s="1435">
        <v>75</v>
      </c>
      <c r="H38" s="3367" t="s">
        <v>215</v>
      </c>
      <c r="I38" s="1436">
        <v>5.7870370370370366E-5</v>
      </c>
      <c r="J38" s="1436">
        <v>1.3888888888888889E-3</v>
      </c>
      <c r="K38" s="1330" t="s">
        <v>1184</v>
      </c>
      <c r="L38" s="1476">
        <f t="shared" si="39"/>
        <v>0.85186172251034276</v>
      </c>
      <c r="M38" s="1256">
        <v>1.28</v>
      </c>
      <c r="N38" s="1250">
        <f t="shared" si="42"/>
        <v>4.3476449125705637E-3</v>
      </c>
      <c r="O38" s="1253">
        <f t="shared" si="40"/>
        <v>5.6801812267658004E-4</v>
      </c>
      <c r="P38" s="1254">
        <f t="shared" si="41"/>
        <v>7.2706319702602247E-4</v>
      </c>
      <c r="Q38" s="1255" t="s">
        <v>278</v>
      </c>
      <c r="R38" s="1249">
        <f t="shared" si="38"/>
        <v>150</v>
      </c>
      <c r="S38" s="229">
        <f t="shared" ref="S38:S54" si="43">E38*F38*G38/1000</f>
        <v>0.15</v>
      </c>
      <c r="T38" s="230">
        <f t="shared" ref="T38:T54" si="44">E38*F38*O38*4</f>
        <v>4.5441449814126404E-3</v>
      </c>
      <c r="U38" s="374">
        <f t="shared" ref="U38:U54" si="45">IF(C38*4&gt;=$U$3,S38,0)</f>
        <v>0</v>
      </c>
      <c r="V38" s="375">
        <f t="shared" ref="V38:V54" si="46">IF(AND(C38*4&gt;=$V$3,C38*4&lt;$U$3),S38,0)</f>
        <v>0</v>
      </c>
      <c r="W38" s="376">
        <f t="shared" ref="W38:W54" si="47">IF(AND(C38*4&gt;=$W$3,C38*4&lt;$V$3),S38,0)</f>
        <v>0</v>
      </c>
      <c r="X38" s="377">
        <f t="shared" ref="X38:X54" si="48">IF(AND(C38*4&gt;=$X$3,C38*4&lt;$W$3),S38,0)</f>
        <v>0</v>
      </c>
      <c r="Y38" s="378">
        <f t="shared" ref="Y38:Y54" si="49">IF(AND(C38*4&gt;=$Y$3,C38*4&lt;$X$3),S38,0)</f>
        <v>0.15</v>
      </c>
      <c r="Z38" s="379">
        <f t="shared" ref="Z38:Z54" si="50">IF(AND(C38*4&gt;=$Z$3,C38*4&lt;$Y$3),S38,0)</f>
        <v>0</v>
      </c>
      <c r="AA38" s="380">
        <f t="shared" ref="AA38:AA54" si="51">IF(AND(C38*4&gt;=$AA$3,C38*4&lt;$Z$3),S38,0)</f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</row>
    <row r="39" spans="1:39" ht="12.75" customHeight="1" thickBot="1">
      <c r="A39" s="398" t="s">
        <v>214</v>
      </c>
      <c r="B39" s="402" t="s">
        <v>461</v>
      </c>
      <c r="C39" s="274">
        <v>2.5462962962962961E-4</v>
      </c>
      <c r="D39" s="890">
        <v>2</v>
      </c>
      <c r="E39" s="1296">
        <v>1</v>
      </c>
      <c r="F39" s="1296">
        <v>1</v>
      </c>
      <c r="G39" s="1296">
        <v>400</v>
      </c>
      <c r="H39" s="675"/>
      <c r="I39" s="675"/>
      <c r="J39" s="675">
        <v>1.3888888888888889E-3</v>
      </c>
      <c r="K39" s="1324" t="s">
        <v>703</v>
      </c>
      <c r="L39" s="1437">
        <f t="shared" si="39"/>
        <v>0.85620936742291331</v>
      </c>
      <c r="M39" s="1174">
        <v>1.28</v>
      </c>
      <c r="N39" s="299">
        <f t="shared" si="42"/>
        <v>6.6037037037037036E-3</v>
      </c>
      <c r="O39" s="1196">
        <f t="shared" si="40"/>
        <v>4.0740740740740737E-3</v>
      </c>
      <c r="P39" s="1175">
        <f t="shared" si="41"/>
        <v>5.2148148148148145E-3</v>
      </c>
      <c r="Q39" s="550">
        <v>146</v>
      </c>
      <c r="R39" s="1176">
        <f t="shared" si="38"/>
        <v>400</v>
      </c>
      <c r="S39" s="229">
        <f t="shared" si="43"/>
        <v>0.4</v>
      </c>
      <c r="T39" s="230">
        <f t="shared" si="44"/>
        <v>1.6296296296296295E-2</v>
      </c>
      <c r="U39" s="374">
        <f t="shared" si="45"/>
        <v>0.4</v>
      </c>
      <c r="V39" s="375">
        <f t="shared" si="46"/>
        <v>0</v>
      </c>
      <c r="W39" s="376">
        <f t="shared" si="47"/>
        <v>0</v>
      </c>
      <c r="X39" s="377">
        <f t="shared" si="48"/>
        <v>0</v>
      </c>
      <c r="Y39" s="378">
        <f t="shared" si="49"/>
        <v>0</v>
      </c>
      <c r="Z39" s="379">
        <f t="shared" si="50"/>
        <v>0</v>
      </c>
      <c r="AA39" s="380">
        <f t="shared" si="51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</row>
    <row r="40" spans="1:39" ht="12" customHeight="1" thickBot="1">
      <c r="A40" s="398"/>
      <c r="B40" s="402"/>
      <c r="C40" s="1480"/>
      <c r="D40" s="1481"/>
      <c r="E40" s="1482"/>
      <c r="F40" s="1482"/>
      <c r="G40" s="1482"/>
      <c r="H40" s="1483"/>
      <c r="I40" s="1483"/>
      <c r="J40" s="1483"/>
      <c r="K40" s="1484"/>
      <c r="L40" s="1485">
        <f t="shared" si="39"/>
        <v>0.86281307112661698</v>
      </c>
      <c r="M40" s="1478">
        <v>1.28</v>
      </c>
      <c r="N40" s="1477"/>
      <c r="O40" s="1325">
        <v>0</v>
      </c>
      <c r="P40" s="1325"/>
      <c r="Q40" s="1325"/>
      <c r="R40" s="1479">
        <f>SUM(R29:R39)</f>
        <v>3150</v>
      </c>
      <c r="S40" s="229">
        <f t="shared" si="43"/>
        <v>0</v>
      </c>
      <c r="T40" s="230">
        <f t="shared" si="44"/>
        <v>0</v>
      </c>
      <c r="U40" s="374">
        <f t="shared" si="45"/>
        <v>0</v>
      </c>
      <c r="V40" s="375">
        <f t="shared" si="46"/>
        <v>0</v>
      </c>
      <c r="W40" s="376">
        <f t="shared" si="47"/>
        <v>0</v>
      </c>
      <c r="X40" s="377">
        <f t="shared" si="48"/>
        <v>0</v>
      </c>
      <c r="Y40" s="378">
        <f t="shared" si="49"/>
        <v>0</v>
      </c>
      <c r="Z40" s="379">
        <f t="shared" si="50"/>
        <v>0</v>
      </c>
      <c r="AA40" s="380">
        <f t="shared" si="51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</row>
    <row r="41" spans="1:39" ht="12" customHeight="1">
      <c r="A41" s="204"/>
      <c r="B41" s="1124" t="s">
        <v>215</v>
      </c>
      <c r="C41" s="274">
        <f t="shared" ref="C41:C45" si="52">IF(D41=1,U$4,IF(D41=2,V$4,IF(D41=3,W$4,IF(D41=4,X$4,IF(D41=5,Y$4,IF(D41=6,Z$4,IF(D41=7,AA$4,0)))))))</f>
        <v>2.2880964381720439E-4</v>
      </c>
      <c r="D41" s="920">
        <v>1</v>
      </c>
      <c r="E41" s="1979">
        <v>1</v>
      </c>
      <c r="F41" s="1979">
        <v>1</v>
      </c>
      <c r="G41" s="1979">
        <v>800</v>
      </c>
      <c r="H41" s="1979"/>
      <c r="I41" s="2056">
        <v>0</v>
      </c>
      <c r="J41" s="2056">
        <v>8.1018518518518516E-4</v>
      </c>
      <c r="K41" s="2099" t="s">
        <v>1163</v>
      </c>
      <c r="L41" s="1332">
        <v>0.29166666666666669</v>
      </c>
      <c r="M41" s="1123">
        <v>1.2</v>
      </c>
      <c r="N41" s="301">
        <f t="shared" ref="N41" si="53">P41*E41*F41+I41*F41*E41+J41*E41</f>
        <v>9.596475507765833E-3</v>
      </c>
      <c r="O41" s="302">
        <f t="shared" ref="O41" si="54">C41*(G41/25)</f>
        <v>7.3219086021505406E-3</v>
      </c>
      <c r="P41" s="301">
        <f t="shared" ref="P41" si="55">O41*M41</f>
        <v>8.7862903225806484E-3</v>
      </c>
      <c r="Q41" s="798">
        <v>145</v>
      </c>
      <c r="R41" s="369">
        <f t="shared" ref="R41" si="56">E41*F41*G41</f>
        <v>800</v>
      </c>
      <c r="S41" s="229">
        <f t="shared" si="43"/>
        <v>0.8</v>
      </c>
      <c r="T41" s="230">
        <f t="shared" si="44"/>
        <v>2.9287634408602162E-2</v>
      </c>
      <c r="U41" s="374">
        <f t="shared" si="45"/>
        <v>0.8</v>
      </c>
      <c r="V41" s="375">
        <f t="shared" si="46"/>
        <v>0</v>
      </c>
      <c r="W41" s="376">
        <f t="shared" si="47"/>
        <v>0</v>
      </c>
      <c r="X41" s="377">
        <f t="shared" si="48"/>
        <v>0</v>
      </c>
      <c r="Y41" s="378">
        <f t="shared" si="49"/>
        <v>0</v>
      </c>
      <c r="Z41" s="379">
        <f t="shared" si="50"/>
        <v>0</v>
      </c>
      <c r="AA41" s="380">
        <f t="shared" si="51"/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</row>
    <row r="42" spans="1:39" ht="12" customHeight="1">
      <c r="A42" s="4534" t="s">
        <v>217</v>
      </c>
      <c r="B42" s="1124" t="s">
        <v>215</v>
      </c>
      <c r="C42" s="274">
        <f t="shared" si="52"/>
        <v>1.7682291666666674E-4</v>
      </c>
      <c r="D42" s="1539">
        <v>7</v>
      </c>
      <c r="E42" s="1040">
        <v>5</v>
      </c>
      <c r="F42" s="1040">
        <v>2</v>
      </c>
      <c r="G42" s="1040">
        <v>25</v>
      </c>
      <c r="H42" s="1720"/>
      <c r="I42" s="1041">
        <v>2.3148148148148146E-4</v>
      </c>
      <c r="J42" s="1041">
        <v>2.0833333333333333E-3</v>
      </c>
      <c r="K42" s="443" t="s">
        <v>2355</v>
      </c>
      <c r="L42" s="1041">
        <f t="shared" ref="L42:L44" si="57">L41+N41</f>
        <v>0.30126314217443251</v>
      </c>
      <c r="M42" s="2115">
        <v>1.05</v>
      </c>
      <c r="N42" s="1041">
        <f>P42*E42*F42+I42*F42+J42*E42</f>
        <v>1.2736270254629631E-2</v>
      </c>
      <c r="O42" s="1731">
        <f>C42*(G42/25)</f>
        <v>1.7682291666666674E-4</v>
      </c>
      <c r="P42" s="439">
        <f>O42*M42</f>
        <v>1.8566406250000009E-4</v>
      </c>
      <c r="Q42" s="443" t="s">
        <v>274</v>
      </c>
      <c r="R42" s="2044">
        <f>E42*F42*G42</f>
        <v>250</v>
      </c>
      <c r="S42" s="229">
        <f t="shared" si="43"/>
        <v>0.25</v>
      </c>
      <c r="T42" s="230">
        <f t="shared" si="44"/>
        <v>7.0729166666666692E-3</v>
      </c>
      <c r="U42" s="374">
        <f t="shared" si="45"/>
        <v>0</v>
      </c>
      <c r="V42" s="375">
        <f t="shared" si="46"/>
        <v>0</v>
      </c>
      <c r="W42" s="376">
        <f t="shared" si="47"/>
        <v>0</v>
      </c>
      <c r="X42" s="377">
        <f t="shared" si="48"/>
        <v>0</v>
      </c>
      <c r="Y42" s="378">
        <f t="shared" si="49"/>
        <v>0</v>
      </c>
      <c r="Z42" s="379">
        <f t="shared" si="50"/>
        <v>0</v>
      </c>
      <c r="AA42" s="380">
        <f t="shared" si="51"/>
        <v>0.25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</row>
    <row r="43" spans="1:39" ht="12" customHeight="1">
      <c r="A43" s="851" t="s">
        <v>459</v>
      </c>
      <c r="B43" s="1124" t="s">
        <v>215</v>
      </c>
      <c r="C43" s="274">
        <f t="shared" si="52"/>
        <v>2.1908757716049393E-4</v>
      </c>
      <c r="D43" s="889">
        <v>2</v>
      </c>
      <c r="E43" s="2107">
        <v>1</v>
      </c>
      <c r="F43" s="1173">
        <v>4</v>
      </c>
      <c r="G43" s="1173">
        <v>100</v>
      </c>
      <c r="H43" s="299">
        <v>1.3888888888888889E-3</v>
      </c>
      <c r="I43" s="299">
        <v>1.1574074074074073E-4</v>
      </c>
      <c r="J43" s="299">
        <v>6.9444444444444447E-4</v>
      </c>
      <c r="K43" s="1123" t="s">
        <v>2356</v>
      </c>
      <c r="L43" s="299">
        <f t="shared" si="57"/>
        <v>0.31399941242906215</v>
      </c>
      <c r="M43" s="1174">
        <v>1</v>
      </c>
      <c r="N43" s="299">
        <f>H43*F43*E43</f>
        <v>5.5555555555555558E-3</v>
      </c>
      <c r="O43" s="1196">
        <f>C43*16*1.08</f>
        <v>3.7858333333333355E-3</v>
      </c>
      <c r="P43" s="1175">
        <f t="shared" ref="P43" si="58">O43*M43</f>
        <v>3.7858333333333355E-3</v>
      </c>
      <c r="Q43" s="550">
        <v>160</v>
      </c>
      <c r="R43" s="1176">
        <f t="shared" ref="R43" si="59">E43*F43*G43</f>
        <v>400</v>
      </c>
      <c r="S43" s="229">
        <f t="shared" si="43"/>
        <v>0.4</v>
      </c>
      <c r="T43" s="230">
        <f t="shared" si="44"/>
        <v>6.0573333333333368E-2</v>
      </c>
      <c r="U43" s="374">
        <f t="shared" si="45"/>
        <v>0</v>
      </c>
      <c r="V43" s="375">
        <f t="shared" si="46"/>
        <v>0.4</v>
      </c>
      <c r="W43" s="376">
        <f t="shared" si="47"/>
        <v>0</v>
      </c>
      <c r="X43" s="377">
        <f t="shared" si="48"/>
        <v>0</v>
      </c>
      <c r="Y43" s="378">
        <f t="shared" si="49"/>
        <v>0</v>
      </c>
      <c r="Z43" s="379">
        <f t="shared" si="50"/>
        <v>0</v>
      </c>
      <c r="AA43" s="380">
        <f t="shared" si="51"/>
        <v>0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</row>
    <row r="44" spans="1:39" ht="12" customHeight="1">
      <c r="A44" s="851" t="s">
        <v>458</v>
      </c>
      <c r="B44" s="1124" t="s">
        <v>215</v>
      </c>
      <c r="C44" s="274">
        <f t="shared" si="52"/>
        <v>1.7682291666666674E-4</v>
      </c>
      <c r="D44" s="1539">
        <v>7</v>
      </c>
      <c r="E44" s="1040">
        <v>1</v>
      </c>
      <c r="F44" s="1040">
        <v>8</v>
      </c>
      <c r="G44" s="1040">
        <v>15</v>
      </c>
      <c r="H44" s="1720" t="s">
        <v>899</v>
      </c>
      <c r="I44" s="1041">
        <v>4.6296296296296293E-4</v>
      </c>
      <c r="J44" s="1041">
        <v>4.1666666666666666E-3</v>
      </c>
      <c r="K44" s="443" t="s">
        <v>2353</v>
      </c>
      <c r="L44" s="1041">
        <f t="shared" si="57"/>
        <v>0.31955496798461769</v>
      </c>
      <c r="M44" s="2115">
        <v>0.9</v>
      </c>
      <c r="N44" s="1041">
        <f>P44*E44*F44+I44*F44+J44*E44</f>
        <v>8.6342453703703703E-3</v>
      </c>
      <c r="O44" s="1731">
        <f>C44*(G44/25)</f>
        <v>1.0609375000000004E-4</v>
      </c>
      <c r="P44" s="439">
        <f>O44*M44</f>
        <v>9.5484375000000042E-5</v>
      </c>
      <c r="Q44" s="443" t="s">
        <v>274</v>
      </c>
      <c r="R44" s="2044">
        <f>E44*F44*G44</f>
        <v>120</v>
      </c>
      <c r="S44" s="229">
        <f t="shared" si="43"/>
        <v>0.12</v>
      </c>
      <c r="T44" s="230">
        <f t="shared" si="44"/>
        <v>3.3950000000000013E-3</v>
      </c>
      <c r="U44" s="374">
        <f t="shared" si="45"/>
        <v>0</v>
      </c>
      <c r="V44" s="375">
        <f t="shared" si="46"/>
        <v>0</v>
      </c>
      <c r="W44" s="376">
        <f t="shared" si="47"/>
        <v>0</v>
      </c>
      <c r="X44" s="377">
        <f t="shared" si="48"/>
        <v>0</v>
      </c>
      <c r="Y44" s="378">
        <f t="shared" si="49"/>
        <v>0</v>
      </c>
      <c r="Z44" s="379">
        <f t="shared" si="50"/>
        <v>0</v>
      </c>
      <c r="AA44" s="380">
        <f t="shared" si="51"/>
        <v>0.12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</row>
    <row r="45" spans="1:39" ht="12" customHeight="1">
      <c r="A45" s="851" t="s">
        <v>2358</v>
      </c>
      <c r="B45" s="1124" t="s">
        <v>215</v>
      </c>
      <c r="C45" s="274">
        <f t="shared" si="52"/>
        <v>2.1908757716049393E-4</v>
      </c>
      <c r="D45" s="889">
        <v>2</v>
      </c>
      <c r="E45" s="2107">
        <v>1</v>
      </c>
      <c r="F45" s="1173">
        <v>4</v>
      </c>
      <c r="G45" s="1173">
        <v>100</v>
      </c>
      <c r="H45" s="299">
        <v>1.3888888888888889E-3</v>
      </c>
      <c r="I45" s="299">
        <v>1.1574074074074073E-4</v>
      </c>
      <c r="J45" s="299">
        <v>6.9444444444444447E-4</v>
      </c>
      <c r="K45" s="1123" t="s">
        <v>2518</v>
      </c>
      <c r="L45" s="299">
        <f t="shared" ref="L45" si="60">L44+N44</f>
        <v>0.32818921335498807</v>
      </c>
      <c r="M45" s="1174">
        <v>1</v>
      </c>
      <c r="N45" s="299">
        <f>H45*F45*E45</f>
        <v>5.5555555555555558E-3</v>
      </c>
      <c r="O45" s="1196">
        <f>C45*16*1.08</f>
        <v>3.7858333333333355E-3</v>
      </c>
      <c r="P45" s="1175">
        <f t="shared" ref="P45" si="61">O45*M45</f>
        <v>3.7858333333333355E-3</v>
      </c>
      <c r="Q45" s="550">
        <v>160</v>
      </c>
      <c r="R45" s="1176">
        <f t="shared" ref="R45" si="62">E45*F45*G45</f>
        <v>400</v>
      </c>
      <c r="S45" s="229">
        <f t="shared" si="43"/>
        <v>0.4</v>
      </c>
      <c r="T45" s="230">
        <f t="shared" si="44"/>
        <v>6.0573333333333368E-2</v>
      </c>
      <c r="U45" s="374">
        <f t="shared" si="45"/>
        <v>0</v>
      </c>
      <c r="V45" s="375">
        <f t="shared" si="46"/>
        <v>0.4</v>
      </c>
      <c r="W45" s="376">
        <f t="shared" si="47"/>
        <v>0</v>
      </c>
      <c r="X45" s="377">
        <f t="shared" si="48"/>
        <v>0</v>
      </c>
      <c r="Y45" s="378">
        <f t="shared" si="49"/>
        <v>0</v>
      </c>
      <c r="Z45" s="379">
        <f t="shared" si="50"/>
        <v>0</v>
      </c>
      <c r="AA45" s="380">
        <f t="shared" si="51"/>
        <v>0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</row>
    <row r="46" spans="1:39" ht="12" customHeight="1">
      <c r="A46" s="851"/>
      <c r="B46" s="1124" t="s">
        <v>215</v>
      </c>
      <c r="C46" s="274">
        <f t="shared" ref="C46" si="63">IF(D46=1,U$4,IF(D46=2,V$4,IF(D46=3,W$4,IF(D46=4,X$4,IF(D46=5,Y$4,IF(D46=6,Z$4,IF(D46=7,AA$4,0)))))))</f>
        <v>1.7682291666666674E-4</v>
      </c>
      <c r="D46" s="1539">
        <v>7</v>
      </c>
      <c r="E46" s="1040">
        <v>1</v>
      </c>
      <c r="F46" s="1040">
        <v>8</v>
      </c>
      <c r="G46" s="1040">
        <v>15</v>
      </c>
      <c r="H46" s="1720" t="s">
        <v>1219</v>
      </c>
      <c r="I46" s="1041">
        <v>4.6296296296296293E-4</v>
      </c>
      <c r="J46" s="1041">
        <v>4.1666666666666666E-3</v>
      </c>
      <c r="K46" s="443" t="s">
        <v>2353</v>
      </c>
      <c r="L46" s="1041">
        <f t="shared" ref="L46:L47" si="64">L45+N45</f>
        <v>0.33374476891054361</v>
      </c>
      <c r="M46" s="2115">
        <v>0.9</v>
      </c>
      <c r="N46" s="1041">
        <f>P46*E46*F46+I46*F46+J46*E46</f>
        <v>8.6342453703703703E-3</v>
      </c>
      <c r="O46" s="1731">
        <f>C46*(G46/25)</f>
        <v>1.0609375000000004E-4</v>
      </c>
      <c r="P46" s="439">
        <f>O46*M46</f>
        <v>9.5484375000000042E-5</v>
      </c>
      <c r="Q46" s="443" t="s">
        <v>274</v>
      </c>
      <c r="R46" s="2044">
        <f>E46*F46*G46</f>
        <v>120</v>
      </c>
      <c r="S46" s="229">
        <f t="shared" si="43"/>
        <v>0.12</v>
      </c>
      <c r="T46" s="230">
        <f t="shared" si="44"/>
        <v>3.3950000000000013E-3</v>
      </c>
      <c r="U46" s="374">
        <f t="shared" si="45"/>
        <v>0</v>
      </c>
      <c r="V46" s="375">
        <f t="shared" si="46"/>
        <v>0</v>
      </c>
      <c r="W46" s="376">
        <f t="shared" si="47"/>
        <v>0</v>
      </c>
      <c r="X46" s="377">
        <f t="shared" si="48"/>
        <v>0</v>
      </c>
      <c r="Y46" s="378">
        <f t="shared" si="49"/>
        <v>0</v>
      </c>
      <c r="Z46" s="379">
        <f t="shared" si="50"/>
        <v>0</v>
      </c>
      <c r="AA46" s="380">
        <f t="shared" si="51"/>
        <v>0.12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</row>
    <row r="47" spans="1:39" ht="12" customHeight="1" thickBot="1">
      <c r="A47" s="851"/>
      <c r="B47" s="336"/>
      <c r="C47" s="641"/>
      <c r="D47" s="1259"/>
      <c r="E47" s="336"/>
      <c r="F47" s="336"/>
      <c r="G47" s="336"/>
      <c r="H47" s="336"/>
      <c r="I47" s="336"/>
      <c r="J47" s="336"/>
      <c r="K47" s="336"/>
      <c r="L47" s="1008">
        <f t="shared" si="64"/>
        <v>0.342379014280914</v>
      </c>
      <c r="M47" s="1198"/>
      <c r="N47" s="1008"/>
      <c r="O47" s="336">
        <f>C47*20/25</f>
        <v>0</v>
      </c>
      <c r="P47" s="336"/>
      <c r="Q47" s="336"/>
      <c r="R47" s="1238">
        <f>SUM(R43:R45)</f>
        <v>920</v>
      </c>
      <c r="S47" s="229">
        <f t="shared" si="43"/>
        <v>0</v>
      </c>
      <c r="T47" s="230">
        <f t="shared" si="44"/>
        <v>0</v>
      </c>
      <c r="U47" s="374">
        <f t="shared" si="45"/>
        <v>0</v>
      </c>
      <c r="V47" s="375">
        <f t="shared" si="46"/>
        <v>0</v>
      </c>
      <c r="W47" s="376">
        <f t="shared" si="47"/>
        <v>0</v>
      </c>
      <c r="X47" s="377">
        <f t="shared" si="48"/>
        <v>0</v>
      </c>
      <c r="Y47" s="378">
        <f t="shared" si="49"/>
        <v>0</v>
      </c>
      <c r="Z47" s="379">
        <f t="shared" si="50"/>
        <v>0</v>
      </c>
      <c r="AA47" s="380">
        <f t="shared" si="51"/>
        <v>0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</row>
    <row r="48" spans="1:39" ht="12" customHeight="1">
      <c r="A48" s="204"/>
      <c r="B48" s="1124" t="s">
        <v>461</v>
      </c>
      <c r="C48" s="274">
        <f t="shared" ref="C48:C60" si="65">IF(D48=1,U$4,IF(D48=2,V$4,IF(D48=3,W$4,IF(D48=4,X$4,IF(D48=5,Y$4,IF(D48=6,Z$4,IF(D48=7,AA$4,0)))))))</f>
        <v>2.1908757716049393E-4</v>
      </c>
      <c r="D48" s="890">
        <v>2</v>
      </c>
      <c r="E48" s="1173">
        <v>1</v>
      </c>
      <c r="F48" s="1173">
        <v>8</v>
      </c>
      <c r="G48" s="1173">
        <v>100</v>
      </c>
      <c r="H48" s="299" t="s">
        <v>139</v>
      </c>
      <c r="I48" s="299">
        <v>1.3888888888888889E-4</v>
      </c>
      <c r="J48" s="299">
        <v>1.3888888888888889E-3</v>
      </c>
      <c r="K48" s="1123" t="s">
        <v>1438</v>
      </c>
      <c r="L48" s="1332">
        <v>0.79861111111111116</v>
      </c>
      <c r="M48" s="1174">
        <v>1</v>
      </c>
      <c r="N48" s="299">
        <f>P48*E48*F48+I48*E48*F48+J48*E48</f>
        <v>9.5108024691358053E-3</v>
      </c>
      <c r="O48" s="1175">
        <f t="shared" ref="O48:O52" si="66">C48*(G48/25)</f>
        <v>8.7635030864197572E-4</v>
      </c>
      <c r="P48" s="1175">
        <f t="shared" ref="P48:P52" si="67">O48*M48</f>
        <v>8.7635030864197572E-4</v>
      </c>
      <c r="Q48" s="550">
        <v>146</v>
      </c>
      <c r="R48" s="1176">
        <f t="shared" ref="R48:R52" si="68">E48*F48*G48</f>
        <v>800</v>
      </c>
      <c r="S48" s="229">
        <f t="shared" si="43"/>
        <v>0.8</v>
      </c>
      <c r="T48" s="230">
        <f t="shared" si="44"/>
        <v>2.8043209876543223E-2</v>
      </c>
      <c r="U48" s="374">
        <f t="shared" si="45"/>
        <v>0</v>
      </c>
      <c r="V48" s="375">
        <f t="shared" si="46"/>
        <v>0.8</v>
      </c>
      <c r="W48" s="376">
        <f t="shared" si="47"/>
        <v>0</v>
      </c>
      <c r="X48" s="377">
        <f t="shared" si="48"/>
        <v>0</v>
      </c>
      <c r="Y48" s="378">
        <f t="shared" si="49"/>
        <v>0</v>
      </c>
      <c r="Z48" s="379">
        <f t="shared" si="50"/>
        <v>0</v>
      </c>
      <c r="AA48" s="380">
        <f t="shared" si="51"/>
        <v>0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</row>
    <row r="49" spans="1:39" ht="12" customHeight="1">
      <c r="A49" s="4534" t="s">
        <v>217</v>
      </c>
      <c r="B49" s="1124" t="s">
        <v>461</v>
      </c>
      <c r="C49" s="274">
        <f t="shared" si="65"/>
        <v>2.1222190799396687E-4</v>
      </c>
      <c r="D49" s="1236">
        <v>3</v>
      </c>
      <c r="E49" s="1161">
        <v>1</v>
      </c>
      <c r="F49" s="1161">
        <v>8</v>
      </c>
      <c r="G49" s="1161">
        <v>75</v>
      </c>
      <c r="H49" s="1163"/>
      <c r="I49" s="1163">
        <v>1.1574074074074073E-4</v>
      </c>
      <c r="J49" s="1163">
        <v>1.3888888888888889E-3</v>
      </c>
      <c r="K49" s="1074" t="s">
        <v>59</v>
      </c>
      <c r="L49" s="1148">
        <f>L48+N48</f>
        <v>0.80812191358024699</v>
      </c>
      <c r="M49" s="1164">
        <v>1</v>
      </c>
      <c r="N49" s="1163">
        <f>P49*E49*F49+I49*E49*F49+J49*E49</f>
        <v>7.4081406066700195E-3</v>
      </c>
      <c r="O49" s="1165">
        <f t="shared" si="66"/>
        <v>6.366657239819006E-4</v>
      </c>
      <c r="P49" s="1165">
        <f t="shared" si="67"/>
        <v>6.366657239819006E-4</v>
      </c>
      <c r="Q49" s="333">
        <v>164</v>
      </c>
      <c r="R49" s="1161">
        <f t="shared" si="68"/>
        <v>600</v>
      </c>
      <c r="S49" s="229">
        <f t="shared" si="43"/>
        <v>0.6</v>
      </c>
      <c r="T49" s="230">
        <f t="shared" si="44"/>
        <v>2.0373303167420819E-2</v>
      </c>
      <c r="U49" s="374">
        <f t="shared" si="45"/>
        <v>0</v>
      </c>
      <c r="V49" s="375">
        <f t="shared" si="46"/>
        <v>0</v>
      </c>
      <c r="W49" s="376">
        <f t="shared" si="47"/>
        <v>0.6</v>
      </c>
      <c r="X49" s="377">
        <f t="shared" si="48"/>
        <v>0</v>
      </c>
      <c r="Y49" s="378">
        <f t="shared" si="49"/>
        <v>0</v>
      </c>
      <c r="Z49" s="379">
        <f t="shared" si="50"/>
        <v>0</v>
      </c>
      <c r="AA49" s="380">
        <f t="shared" si="51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</row>
    <row r="50" spans="1:39" ht="12" customHeight="1">
      <c r="A50" s="851" t="s">
        <v>459</v>
      </c>
      <c r="B50" s="1124" t="s">
        <v>461</v>
      </c>
      <c r="C50" s="274">
        <f t="shared" si="65"/>
        <v>1.8933937422552669E-4</v>
      </c>
      <c r="D50" s="894">
        <v>5</v>
      </c>
      <c r="E50" s="308">
        <v>3</v>
      </c>
      <c r="F50" s="308">
        <v>3</v>
      </c>
      <c r="G50" s="309">
        <v>75</v>
      </c>
      <c r="H50" s="306"/>
      <c r="I50" s="306">
        <v>5.7870370370370366E-5</v>
      </c>
      <c r="J50" s="306">
        <v>2.0833333333333333E-3</v>
      </c>
      <c r="K50" s="291" t="s">
        <v>287</v>
      </c>
      <c r="L50" s="6829">
        <f>L49+N49</f>
        <v>0.81553005418691704</v>
      </c>
      <c r="M50" s="452">
        <v>1</v>
      </c>
      <c r="N50" s="306">
        <f t="shared" ref="N50:N52" si="69">P50*E50*F50+I50*E50*F50+J50*E50</f>
        <v>1.2036361330545231E-2</v>
      </c>
      <c r="O50" s="305">
        <f>C50*(G50/25)*1.03</f>
        <v>5.8505866635687751E-4</v>
      </c>
      <c r="P50" s="585">
        <f t="shared" si="67"/>
        <v>5.8505866635687751E-4</v>
      </c>
      <c r="Q50" s="786">
        <v>173</v>
      </c>
      <c r="R50" s="290">
        <f>E50*F50*G50</f>
        <v>675</v>
      </c>
      <c r="S50" s="229">
        <f t="shared" si="43"/>
        <v>0.67500000000000004</v>
      </c>
      <c r="T50" s="230">
        <f t="shared" si="44"/>
        <v>2.1062111988847589E-2</v>
      </c>
      <c r="U50" s="374">
        <f t="shared" si="45"/>
        <v>0</v>
      </c>
      <c r="V50" s="375">
        <f t="shared" si="46"/>
        <v>0</v>
      </c>
      <c r="W50" s="376">
        <f t="shared" si="47"/>
        <v>0</v>
      </c>
      <c r="X50" s="377">
        <f t="shared" si="48"/>
        <v>0</v>
      </c>
      <c r="Y50" s="378">
        <f t="shared" si="49"/>
        <v>0.67500000000000004</v>
      </c>
      <c r="Z50" s="379">
        <f t="shared" si="50"/>
        <v>0</v>
      </c>
      <c r="AA50" s="380">
        <f t="shared" si="51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</row>
    <row r="51" spans="1:39" ht="13" customHeight="1">
      <c r="A51" s="851" t="s">
        <v>458</v>
      </c>
      <c r="B51" s="1124" t="s">
        <v>461</v>
      </c>
      <c r="C51" s="274">
        <f t="shared" si="65"/>
        <v>2.1222190799396687E-4</v>
      </c>
      <c r="D51" s="1236">
        <v>3</v>
      </c>
      <c r="E51" s="1161">
        <v>1</v>
      </c>
      <c r="F51" s="1161">
        <v>10</v>
      </c>
      <c r="G51" s="1161">
        <v>50</v>
      </c>
      <c r="H51" s="1454" t="s">
        <v>20</v>
      </c>
      <c r="I51" s="1163">
        <v>6.9444444444444447E-4</v>
      </c>
      <c r="J51" s="1163">
        <v>1.3888888888888889E-3</v>
      </c>
      <c r="K51" s="1074" t="s">
        <v>946</v>
      </c>
      <c r="L51" s="1163">
        <f>L50+N50</f>
        <v>0.82756641551746224</v>
      </c>
      <c r="M51" s="1164">
        <v>1</v>
      </c>
      <c r="N51" s="1163">
        <f t="shared" si="69"/>
        <v>1.2577771493212672E-2</v>
      </c>
      <c r="O51" s="1196">
        <f t="shared" si="66"/>
        <v>4.2444381598793373E-4</v>
      </c>
      <c r="P51" s="1165">
        <f t="shared" si="67"/>
        <v>4.2444381598793373E-4</v>
      </c>
      <c r="Q51" s="333">
        <v>164</v>
      </c>
      <c r="R51" s="1161">
        <f t="shared" si="68"/>
        <v>500</v>
      </c>
      <c r="S51" s="229">
        <f t="shared" si="43"/>
        <v>0.5</v>
      </c>
      <c r="T51" s="230">
        <f t="shared" si="44"/>
        <v>1.6977752639517348E-2</v>
      </c>
      <c r="U51" s="374">
        <f t="shared" si="45"/>
        <v>0</v>
      </c>
      <c r="V51" s="375">
        <f t="shared" si="46"/>
        <v>0</v>
      </c>
      <c r="W51" s="376">
        <f t="shared" si="47"/>
        <v>0.5</v>
      </c>
      <c r="X51" s="377">
        <f t="shared" si="48"/>
        <v>0</v>
      </c>
      <c r="Y51" s="378">
        <f t="shared" si="49"/>
        <v>0</v>
      </c>
      <c r="Z51" s="379">
        <f t="shared" si="50"/>
        <v>0</v>
      </c>
      <c r="AA51" s="380">
        <f t="shared" si="51"/>
        <v>0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</row>
    <row r="52" spans="1:39" ht="12" customHeight="1">
      <c r="A52" s="851" t="s">
        <v>2358</v>
      </c>
      <c r="B52" s="1124" t="s">
        <v>461</v>
      </c>
      <c r="C52" s="274">
        <f t="shared" si="65"/>
        <v>1.8933937422552669E-4</v>
      </c>
      <c r="D52" s="1248">
        <v>5</v>
      </c>
      <c r="E52" s="1249">
        <v>5</v>
      </c>
      <c r="F52" s="1249">
        <v>1</v>
      </c>
      <c r="G52" s="1249">
        <v>50</v>
      </c>
      <c r="H52" s="1456" t="s">
        <v>944</v>
      </c>
      <c r="I52" s="1250">
        <v>5.7870370370370366E-5</v>
      </c>
      <c r="J52" s="1250">
        <v>1.3888888888888889E-3</v>
      </c>
      <c r="K52" s="534" t="s">
        <v>1185</v>
      </c>
      <c r="L52" s="1150">
        <f t="shared" ref="L52:L53" si="70">L51+N51</f>
        <v>0.84014418701067495</v>
      </c>
      <c r="M52" s="1256">
        <v>1</v>
      </c>
      <c r="N52" s="1250">
        <f t="shared" si="69"/>
        <v>9.1271900385515633E-3</v>
      </c>
      <c r="O52" s="1253">
        <f t="shared" si="66"/>
        <v>3.7867874845105338E-4</v>
      </c>
      <c r="P52" s="1254">
        <f t="shared" si="67"/>
        <v>3.7867874845105338E-4</v>
      </c>
      <c r="Q52" s="1255" t="s">
        <v>278</v>
      </c>
      <c r="R52" s="1249">
        <f t="shared" si="68"/>
        <v>250</v>
      </c>
      <c r="S52" s="229">
        <f t="shared" si="43"/>
        <v>0.25</v>
      </c>
      <c r="T52" s="230">
        <f t="shared" si="44"/>
        <v>7.5735749690210678E-3</v>
      </c>
      <c r="U52" s="374">
        <f t="shared" si="45"/>
        <v>0</v>
      </c>
      <c r="V52" s="375">
        <f t="shared" si="46"/>
        <v>0</v>
      </c>
      <c r="W52" s="376">
        <f t="shared" si="47"/>
        <v>0</v>
      </c>
      <c r="X52" s="377">
        <f t="shared" si="48"/>
        <v>0</v>
      </c>
      <c r="Y52" s="378">
        <f t="shared" si="49"/>
        <v>0.25</v>
      </c>
      <c r="Z52" s="379">
        <f t="shared" si="50"/>
        <v>0</v>
      </c>
      <c r="AA52" s="380">
        <f t="shared" si="51"/>
        <v>0</v>
      </c>
      <c r="AC52" s="231"/>
      <c r="AD52" s="231"/>
      <c r="AE52" s="231"/>
      <c r="AF52" s="231"/>
      <c r="AG52" s="231"/>
      <c r="AH52" s="231"/>
      <c r="AI52" s="213"/>
      <c r="AJ52" s="213"/>
      <c r="AK52" s="213"/>
      <c r="AL52" s="213"/>
      <c r="AM52" s="213"/>
    </row>
    <row r="53" spans="1:39" ht="12" customHeight="1">
      <c r="A53" s="851"/>
      <c r="B53" s="1124" t="s">
        <v>461</v>
      </c>
      <c r="C53" s="274">
        <f t="shared" si="65"/>
        <v>1.7682291666666674E-4</v>
      </c>
      <c r="D53" s="1459">
        <v>7</v>
      </c>
      <c r="E53" s="2114">
        <v>1</v>
      </c>
      <c r="F53" s="2114">
        <v>12</v>
      </c>
      <c r="G53" s="2114">
        <v>20</v>
      </c>
      <c r="H53" s="2121"/>
      <c r="I53" s="2121">
        <v>3.4722222222222224E-4</v>
      </c>
      <c r="J53" s="2121" t="s">
        <v>2357</v>
      </c>
      <c r="K53" s="2114" t="s">
        <v>1179</v>
      </c>
      <c r="L53" s="2047">
        <f t="shared" si="70"/>
        <v>0.84927137704922651</v>
      </c>
      <c r="M53" s="2122">
        <v>1</v>
      </c>
      <c r="N53" s="2121">
        <v>3.0671296296296297E-3</v>
      </c>
      <c r="O53" s="2123">
        <v>1.6203703703703703E-4</v>
      </c>
      <c r="P53" s="2124">
        <v>1.6203703703703703E-4</v>
      </c>
      <c r="Q53" s="2125" t="s">
        <v>316</v>
      </c>
      <c r="R53" s="438">
        <v>120</v>
      </c>
      <c r="S53" s="229">
        <f t="shared" si="43"/>
        <v>0.24</v>
      </c>
      <c r="T53" s="230">
        <f t="shared" si="44"/>
        <v>7.7777777777777776E-3</v>
      </c>
      <c r="U53" s="374">
        <f t="shared" si="45"/>
        <v>0</v>
      </c>
      <c r="V53" s="375">
        <f t="shared" si="46"/>
        <v>0</v>
      </c>
      <c r="W53" s="376">
        <f t="shared" si="47"/>
        <v>0</v>
      </c>
      <c r="X53" s="377">
        <f t="shared" si="48"/>
        <v>0</v>
      </c>
      <c r="Y53" s="378">
        <f t="shared" si="49"/>
        <v>0</v>
      </c>
      <c r="Z53" s="379">
        <f t="shared" si="50"/>
        <v>0</v>
      </c>
      <c r="AA53" s="380">
        <f t="shared" si="51"/>
        <v>0.24</v>
      </c>
      <c r="AC53" s="231"/>
      <c r="AD53" s="231"/>
      <c r="AE53" s="231"/>
      <c r="AF53" s="231"/>
      <c r="AG53" s="231"/>
      <c r="AH53" s="231"/>
      <c r="AI53" s="213"/>
      <c r="AJ53" s="213"/>
      <c r="AK53" s="213"/>
      <c r="AL53" s="213"/>
      <c r="AM53" s="213"/>
    </row>
    <row r="54" spans="1:39" ht="12" customHeight="1" thickBot="1">
      <c r="A54" s="851"/>
      <c r="B54" s="1124"/>
      <c r="C54" s="274">
        <f t="shared" si="65"/>
        <v>0</v>
      </c>
      <c r="D54" s="1259"/>
      <c r="E54" s="336"/>
      <c r="F54" s="336"/>
      <c r="G54" s="336"/>
      <c r="H54" s="336"/>
      <c r="I54" s="336"/>
      <c r="J54" s="336"/>
      <c r="K54" s="336"/>
      <c r="L54" s="1008">
        <f>L53+N53</f>
        <v>0.85233850667885613</v>
      </c>
      <c r="M54" s="1198"/>
      <c r="N54" s="1008"/>
      <c r="O54" s="336">
        <f>C54*20/25</f>
        <v>0</v>
      </c>
      <c r="P54" s="336"/>
      <c r="Q54" s="336"/>
      <c r="R54" s="1238">
        <f>SUM(R50:R53)</f>
        <v>1545</v>
      </c>
      <c r="S54" s="229">
        <f t="shared" si="43"/>
        <v>0</v>
      </c>
      <c r="T54" s="230">
        <f t="shared" si="44"/>
        <v>0</v>
      </c>
      <c r="U54" s="374">
        <f t="shared" si="45"/>
        <v>0</v>
      </c>
      <c r="V54" s="375">
        <f t="shared" si="46"/>
        <v>0</v>
      </c>
      <c r="W54" s="376">
        <f t="shared" si="47"/>
        <v>0</v>
      </c>
      <c r="X54" s="377">
        <f t="shared" si="48"/>
        <v>0</v>
      </c>
      <c r="Y54" s="378">
        <f t="shared" si="49"/>
        <v>0</v>
      </c>
      <c r="Z54" s="379">
        <f t="shared" si="50"/>
        <v>0</v>
      </c>
      <c r="AA54" s="380">
        <f t="shared" si="51"/>
        <v>0</v>
      </c>
      <c r="AC54" s="231"/>
      <c r="AD54" s="231"/>
      <c r="AE54" s="231"/>
      <c r="AF54" s="231"/>
      <c r="AG54" s="231"/>
      <c r="AH54" s="231"/>
      <c r="AI54" s="213"/>
      <c r="AJ54" s="213"/>
      <c r="AK54" s="213"/>
      <c r="AL54" s="213"/>
      <c r="AM54" s="213"/>
    </row>
    <row r="55" spans="1:39" ht="13" customHeight="1" thickBot="1">
      <c r="A55" s="398" t="s">
        <v>218</v>
      </c>
      <c r="B55" s="1117" t="s">
        <v>459</v>
      </c>
      <c r="C55" s="274">
        <f t="shared" si="65"/>
        <v>2.2880964381720439E-4</v>
      </c>
      <c r="D55" s="547">
        <v>1</v>
      </c>
      <c r="E55" s="1660">
        <v>1</v>
      </c>
      <c r="F55" s="1660">
        <v>1</v>
      </c>
      <c r="G55" s="1660">
        <v>1000</v>
      </c>
      <c r="H55" s="2130" t="s">
        <v>139</v>
      </c>
      <c r="I55" s="1008">
        <v>0</v>
      </c>
      <c r="J55" s="1008">
        <v>1.1574074074074073E-4</v>
      </c>
      <c r="K55" s="312" t="s">
        <v>152</v>
      </c>
      <c r="L55" s="993">
        <v>0.34027777777777773</v>
      </c>
      <c r="M55" s="2131">
        <v>1</v>
      </c>
      <c r="N55" s="1008">
        <f t="shared" ref="N55:N60" si="71">P55*E55*F55+I55*E55*F55+J55*E55</f>
        <v>9.2681264934289173E-3</v>
      </c>
      <c r="O55" s="1196">
        <f t="shared" ref="O55" si="72">C55*(G55/25)</f>
        <v>9.1523857526881764E-3</v>
      </c>
      <c r="P55" s="1196">
        <f t="shared" ref="P55:P60" si="73">O55*M55</f>
        <v>9.1523857526881764E-3</v>
      </c>
      <c r="Q55" s="548">
        <v>129</v>
      </c>
      <c r="R55" s="1660">
        <f t="shared" ref="R55:R60" si="74">E55*F55*G55</f>
        <v>1000</v>
      </c>
      <c r="S55" s="229">
        <f t="shared" si="7"/>
        <v>1</v>
      </c>
      <c r="T55" s="230">
        <f t="shared" si="8"/>
        <v>3.6609543010752706E-2</v>
      </c>
      <c r="U55" s="374">
        <f t="shared" si="9"/>
        <v>1</v>
      </c>
      <c r="V55" s="375">
        <f t="shared" si="10"/>
        <v>0</v>
      </c>
      <c r="W55" s="376">
        <f t="shared" si="11"/>
        <v>0</v>
      </c>
      <c r="X55" s="377">
        <f t="shared" si="12"/>
        <v>0</v>
      </c>
      <c r="Y55" s="378">
        <f t="shared" si="13"/>
        <v>0</v>
      </c>
      <c r="Z55" s="379">
        <f t="shared" si="14"/>
        <v>0</v>
      </c>
      <c r="AA55" s="380">
        <f t="shared" si="15"/>
        <v>0</v>
      </c>
      <c r="AC55" s="231"/>
      <c r="AD55" s="231"/>
      <c r="AE55" s="222"/>
      <c r="AF55" s="222"/>
      <c r="AG55" s="222"/>
      <c r="AH55" s="222"/>
      <c r="AI55" s="222"/>
      <c r="AJ55" s="213"/>
      <c r="AK55" s="213"/>
      <c r="AL55" s="213"/>
      <c r="AM55" s="213"/>
    </row>
    <row r="56" spans="1:39" ht="13" customHeight="1" thickBot="1">
      <c r="A56" s="398"/>
      <c r="B56" s="2771" t="s">
        <v>459</v>
      </c>
      <c r="C56" s="274">
        <f t="shared" si="65"/>
        <v>1.7682291666666674E-4</v>
      </c>
      <c r="D56" s="1459">
        <v>7</v>
      </c>
      <c r="E56" s="2114">
        <v>1</v>
      </c>
      <c r="F56" s="2114">
        <v>3</v>
      </c>
      <c r="G56" s="2114">
        <v>25</v>
      </c>
      <c r="H56" s="2121"/>
      <c r="I56" s="2121">
        <v>3.4722222222222224E-4</v>
      </c>
      <c r="J56" s="2121">
        <v>1.3888888888888889E-3</v>
      </c>
      <c r="K56" s="2114" t="s">
        <v>1179</v>
      </c>
      <c r="L56" s="2047">
        <f t="shared" ref="L56:L61" si="75">L55+N55</f>
        <v>0.34954590427120663</v>
      </c>
      <c r="M56" s="2122">
        <v>1</v>
      </c>
      <c r="N56" s="2121">
        <f t="shared" si="71"/>
        <v>2.9769383680555558E-3</v>
      </c>
      <c r="O56" s="2123">
        <f t="shared" ref="O56:O60" si="76">C56*(G56/25)*1.03</f>
        <v>1.8212760416666675E-4</v>
      </c>
      <c r="P56" s="2124">
        <f t="shared" si="73"/>
        <v>1.8212760416666675E-4</v>
      </c>
      <c r="Q56" s="2125">
        <v>173</v>
      </c>
      <c r="R56" s="438">
        <f t="shared" si="74"/>
        <v>75</v>
      </c>
      <c r="S56" s="229">
        <f t="shared" si="7"/>
        <v>7.4999999999999997E-2</v>
      </c>
      <c r="T56" s="230">
        <f t="shared" si="8"/>
        <v>2.1855312500000008E-3</v>
      </c>
      <c r="U56" s="374">
        <f t="shared" si="9"/>
        <v>0</v>
      </c>
      <c r="V56" s="375">
        <f t="shared" si="10"/>
        <v>0</v>
      </c>
      <c r="W56" s="376">
        <f t="shared" si="11"/>
        <v>0</v>
      </c>
      <c r="X56" s="377">
        <f t="shared" si="12"/>
        <v>0</v>
      </c>
      <c r="Y56" s="378">
        <f t="shared" si="13"/>
        <v>0</v>
      </c>
      <c r="Z56" s="379">
        <f t="shared" si="14"/>
        <v>0</v>
      </c>
      <c r="AA56" s="380">
        <f t="shared" si="15"/>
        <v>7.4999999999999997E-2</v>
      </c>
      <c r="AC56" s="231"/>
      <c r="AD56" s="231"/>
      <c r="AE56" s="222"/>
      <c r="AF56" s="222"/>
      <c r="AG56" s="222"/>
      <c r="AH56" s="222"/>
      <c r="AI56" s="222"/>
      <c r="AJ56" s="213"/>
      <c r="AK56" s="213"/>
      <c r="AL56" s="213"/>
      <c r="AM56" s="213"/>
    </row>
    <row r="57" spans="1:39" ht="13" customHeight="1" thickBot="1">
      <c r="A57" s="398" t="s">
        <v>139</v>
      </c>
      <c r="B57" s="2771" t="s">
        <v>459</v>
      </c>
      <c r="C57" s="274">
        <f t="shared" si="65"/>
        <v>2.1222190799396687E-4</v>
      </c>
      <c r="D57" s="1236">
        <v>3</v>
      </c>
      <c r="E57" s="1161">
        <v>1</v>
      </c>
      <c r="F57" s="1161">
        <v>3</v>
      </c>
      <c r="G57" s="1161">
        <v>100</v>
      </c>
      <c r="H57" s="1163"/>
      <c r="I57" s="1163">
        <v>6.9444444444444447E-4</v>
      </c>
      <c r="J57" s="1163">
        <v>1.3888888888888889E-3</v>
      </c>
      <c r="K57" s="1074" t="s">
        <v>1589</v>
      </c>
      <c r="L57" s="1148">
        <f t="shared" si="75"/>
        <v>0.3525228426392622</v>
      </c>
      <c r="M57" s="1164">
        <v>1</v>
      </c>
      <c r="N57" s="1163">
        <f t="shared" si="71"/>
        <v>6.0952850050276525E-3</v>
      </c>
      <c r="O57" s="1165">
        <f t="shared" si="76"/>
        <v>8.7435426093514354E-4</v>
      </c>
      <c r="P57" s="1165">
        <f t="shared" si="73"/>
        <v>8.7435426093514354E-4</v>
      </c>
      <c r="Q57" s="333">
        <v>173</v>
      </c>
      <c r="R57" s="1161">
        <f t="shared" si="74"/>
        <v>300</v>
      </c>
      <c r="S57" s="229">
        <f t="shared" si="7"/>
        <v>0.3</v>
      </c>
      <c r="T57" s="230">
        <f t="shared" si="8"/>
        <v>1.0492251131221722E-2</v>
      </c>
      <c r="U57" s="374">
        <f t="shared" si="9"/>
        <v>0</v>
      </c>
      <c r="V57" s="375">
        <f t="shared" si="10"/>
        <v>0</v>
      </c>
      <c r="W57" s="376">
        <f t="shared" si="11"/>
        <v>0.3</v>
      </c>
      <c r="X57" s="377">
        <f t="shared" si="12"/>
        <v>0</v>
      </c>
      <c r="Y57" s="378">
        <f t="shared" si="13"/>
        <v>0</v>
      </c>
      <c r="Z57" s="379">
        <f t="shared" si="14"/>
        <v>0</v>
      </c>
      <c r="AA57" s="380">
        <f t="shared" si="15"/>
        <v>0</v>
      </c>
      <c r="AC57" s="231"/>
      <c r="AD57" s="231"/>
      <c r="AE57" s="222"/>
      <c r="AF57" s="222"/>
      <c r="AG57" s="222"/>
      <c r="AH57" s="222"/>
      <c r="AI57" s="222"/>
      <c r="AJ57" s="213"/>
      <c r="AK57" s="213"/>
      <c r="AL57" s="213"/>
      <c r="AM57" s="213"/>
    </row>
    <row r="58" spans="1:39" ht="13" customHeight="1" thickBot="1">
      <c r="A58" s="398" t="s">
        <v>458</v>
      </c>
      <c r="B58" s="2771" t="s">
        <v>459</v>
      </c>
      <c r="C58" s="274">
        <f t="shared" si="65"/>
        <v>0</v>
      </c>
      <c r="D58" s="6830"/>
      <c r="E58" s="6831">
        <v>1</v>
      </c>
      <c r="F58" s="6831">
        <v>6</v>
      </c>
      <c r="G58" s="6831">
        <v>20</v>
      </c>
      <c r="H58" s="6030"/>
      <c r="I58" s="6030">
        <v>3.4722222222222224E-4</v>
      </c>
      <c r="J58" s="6030">
        <v>1.3888888888888889E-3</v>
      </c>
      <c r="K58" s="6831" t="s">
        <v>1179</v>
      </c>
      <c r="L58" s="2789">
        <f t="shared" si="75"/>
        <v>0.35861812764428985</v>
      </c>
      <c r="M58" s="6832">
        <v>1</v>
      </c>
      <c r="N58" s="6030">
        <f t="shared" si="71"/>
        <v>3.472222222222222E-3</v>
      </c>
      <c r="O58" s="6032">
        <f t="shared" si="76"/>
        <v>0</v>
      </c>
      <c r="P58" s="6033">
        <f t="shared" si="73"/>
        <v>0</v>
      </c>
      <c r="Q58" s="6833">
        <v>173</v>
      </c>
      <c r="R58" s="4271">
        <f t="shared" si="74"/>
        <v>120</v>
      </c>
      <c r="S58" s="229">
        <f t="shared" si="7"/>
        <v>0.12</v>
      </c>
      <c r="T58" s="230">
        <f t="shared" si="8"/>
        <v>0</v>
      </c>
      <c r="U58" s="374">
        <f t="shared" si="9"/>
        <v>0</v>
      </c>
      <c r="V58" s="375">
        <f t="shared" si="10"/>
        <v>0</v>
      </c>
      <c r="W58" s="376">
        <f t="shared" si="11"/>
        <v>0</v>
      </c>
      <c r="X58" s="377">
        <f t="shared" si="12"/>
        <v>0</v>
      </c>
      <c r="Y58" s="378">
        <f t="shared" si="13"/>
        <v>0</v>
      </c>
      <c r="Z58" s="379">
        <f t="shared" si="14"/>
        <v>0</v>
      </c>
      <c r="AA58" s="380">
        <f t="shared" si="15"/>
        <v>0</v>
      </c>
      <c r="AC58" s="231"/>
      <c r="AD58" s="231"/>
      <c r="AE58" s="222"/>
      <c r="AF58" s="222"/>
      <c r="AG58" s="222"/>
      <c r="AH58" s="222"/>
      <c r="AI58" s="222"/>
      <c r="AJ58" s="213"/>
      <c r="AK58" s="213"/>
      <c r="AL58" s="213"/>
      <c r="AM58" s="213"/>
    </row>
    <row r="59" spans="1:39" ht="14" customHeight="1" thickBot="1">
      <c r="A59" s="398"/>
      <c r="B59" s="2771" t="s">
        <v>459</v>
      </c>
      <c r="C59" s="274">
        <f t="shared" si="65"/>
        <v>2.1222190799396687E-4</v>
      </c>
      <c r="D59" s="1236">
        <v>3</v>
      </c>
      <c r="E59" s="1161">
        <v>1</v>
      </c>
      <c r="F59" s="1161">
        <v>3</v>
      </c>
      <c r="G59" s="1161">
        <v>100</v>
      </c>
      <c r="H59" s="1163"/>
      <c r="I59" s="1163">
        <v>6.9444444444444447E-4</v>
      </c>
      <c r="J59" s="1163">
        <v>1.3888888888888889E-3</v>
      </c>
      <c r="K59" s="1074" t="s">
        <v>1589</v>
      </c>
      <c r="L59" s="1148">
        <f t="shared" si="75"/>
        <v>0.36209034986651206</v>
      </c>
      <c r="M59" s="1164">
        <v>1</v>
      </c>
      <c r="N59" s="1163">
        <f t="shared" si="71"/>
        <v>6.0952850050276525E-3</v>
      </c>
      <c r="O59" s="1165">
        <f t="shared" si="76"/>
        <v>8.7435426093514354E-4</v>
      </c>
      <c r="P59" s="1165">
        <f t="shared" si="73"/>
        <v>8.7435426093514354E-4</v>
      </c>
      <c r="Q59" s="333">
        <v>173</v>
      </c>
      <c r="R59" s="1161">
        <f t="shared" si="74"/>
        <v>300</v>
      </c>
      <c r="S59" s="229">
        <f t="shared" si="7"/>
        <v>0.3</v>
      </c>
      <c r="T59" s="230">
        <f t="shared" si="8"/>
        <v>1.0492251131221722E-2</v>
      </c>
      <c r="U59" s="374">
        <f t="shared" si="9"/>
        <v>0</v>
      </c>
      <c r="V59" s="375">
        <f t="shared" si="10"/>
        <v>0</v>
      </c>
      <c r="W59" s="376">
        <f t="shared" si="11"/>
        <v>0.3</v>
      </c>
      <c r="X59" s="377">
        <f t="shared" si="12"/>
        <v>0</v>
      </c>
      <c r="Y59" s="378">
        <f t="shared" si="13"/>
        <v>0</v>
      </c>
      <c r="Z59" s="379">
        <f t="shared" si="14"/>
        <v>0</v>
      </c>
      <c r="AA59" s="380">
        <f t="shared" si="15"/>
        <v>0</v>
      </c>
      <c r="AC59" s="231"/>
      <c r="AD59" s="231"/>
      <c r="AE59" s="222"/>
      <c r="AF59" s="222"/>
      <c r="AG59" s="222"/>
      <c r="AH59" s="222"/>
      <c r="AI59" s="222"/>
      <c r="AJ59" s="213"/>
      <c r="AK59" s="213"/>
      <c r="AL59" s="213"/>
      <c r="AM59" s="213"/>
    </row>
    <row r="60" spans="1:39" ht="16" customHeight="1" thickBot="1">
      <c r="A60" s="398" t="s">
        <v>462</v>
      </c>
      <c r="B60" s="2771" t="s">
        <v>459</v>
      </c>
      <c r="C60" s="274">
        <f t="shared" si="65"/>
        <v>1.7682291666666674E-4</v>
      </c>
      <c r="D60" s="1459">
        <v>7</v>
      </c>
      <c r="E60" s="2114">
        <v>1</v>
      </c>
      <c r="F60" s="2114">
        <v>12</v>
      </c>
      <c r="G60" s="2114">
        <v>15</v>
      </c>
      <c r="H60" s="2121"/>
      <c r="I60" s="2121">
        <v>3.4722222222222224E-4</v>
      </c>
      <c r="J60" s="2121">
        <v>0</v>
      </c>
      <c r="K60" s="2114" t="s">
        <v>1179</v>
      </c>
      <c r="L60" s="2047">
        <f t="shared" si="75"/>
        <v>0.36818563487153971</v>
      </c>
      <c r="M60" s="2122">
        <v>1</v>
      </c>
      <c r="N60" s="2121">
        <f t="shared" si="71"/>
        <v>5.4779854166666676E-3</v>
      </c>
      <c r="O60" s="2123">
        <f t="shared" si="76"/>
        <v>1.0927656250000004E-4</v>
      </c>
      <c r="P60" s="2124">
        <f t="shared" si="73"/>
        <v>1.0927656250000004E-4</v>
      </c>
      <c r="Q60" s="2125">
        <v>173</v>
      </c>
      <c r="R60" s="438">
        <f t="shared" si="74"/>
        <v>180</v>
      </c>
      <c r="S60" s="229">
        <f t="shared" si="7"/>
        <v>0.18</v>
      </c>
      <c r="T60" s="230">
        <f t="shared" si="8"/>
        <v>5.2452750000000024E-3</v>
      </c>
      <c r="U60" s="374">
        <f t="shared" si="9"/>
        <v>0</v>
      </c>
      <c r="V60" s="375">
        <f t="shared" si="10"/>
        <v>0</v>
      </c>
      <c r="W60" s="376">
        <f t="shared" si="11"/>
        <v>0</v>
      </c>
      <c r="X60" s="377">
        <f t="shared" si="12"/>
        <v>0</v>
      </c>
      <c r="Y60" s="378">
        <f t="shared" si="13"/>
        <v>0</v>
      </c>
      <c r="Z60" s="379">
        <f t="shared" si="14"/>
        <v>0</v>
      </c>
      <c r="AA60" s="380">
        <f t="shared" si="15"/>
        <v>0.18</v>
      </c>
      <c r="AC60" s="231"/>
      <c r="AD60" s="231"/>
      <c r="AE60" s="222"/>
      <c r="AF60" s="222"/>
      <c r="AG60" s="222"/>
      <c r="AH60" s="222"/>
      <c r="AI60" s="222"/>
      <c r="AJ60" s="213"/>
      <c r="AK60" s="213"/>
      <c r="AL60" s="213"/>
      <c r="AM60" s="213"/>
    </row>
    <row r="61" spans="1:39" ht="10.25" customHeight="1">
      <c r="A61" s="398" t="s">
        <v>219</v>
      </c>
      <c r="B61" s="402"/>
      <c r="C61" s="1486"/>
      <c r="D61" s="1487"/>
      <c r="E61" s="1452"/>
      <c r="F61" s="1452"/>
      <c r="G61" s="1452"/>
      <c r="H61" s="1452"/>
      <c r="I61" s="1452"/>
      <c r="J61" s="1452"/>
      <c r="K61" s="1452"/>
      <c r="L61" s="1008">
        <f t="shared" si="75"/>
        <v>0.37366362028820638</v>
      </c>
      <c r="M61" s="1489">
        <v>1.1000000000000001</v>
      </c>
      <c r="N61" s="1008"/>
      <c r="O61" s="1488"/>
      <c r="P61" s="1488"/>
      <c r="Q61" s="1488"/>
      <c r="R61" s="1666">
        <f>SUM(R55:R60)</f>
        <v>1975</v>
      </c>
      <c r="S61" s="229">
        <f t="shared" si="7"/>
        <v>0</v>
      </c>
      <c r="T61" s="230">
        <f t="shared" si="8"/>
        <v>0</v>
      </c>
      <c r="U61" s="374">
        <f t="shared" si="9"/>
        <v>0</v>
      </c>
      <c r="V61" s="375">
        <f t="shared" si="10"/>
        <v>0</v>
      </c>
      <c r="W61" s="376">
        <f t="shared" si="11"/>
        <v>0</v>
      </c>
      <c r="X61" s="377">
        <f t="shared" si="12"/>
        <v>0</v>
      </c>
      <c r="Y61" s="378">
        <f t="shared" si="13"/>
        <v>0</v>
      </c>
      <c r="Z61" s="379">
        <f t="shared" si="14"/>
        <v>0</v>
      </c>
      <c r="AA61" s="380">
        <f t="shared" si="15"/>
        <v>0</v>
      </c>
      <c r="AC61" s="231"/>
      <c r="AD61" s="231"/>
      <c r="AE61" s="222"/>
      <c r="AF61" s="222"/>
      <c r="AG61" s="222"/>
      <c r="AH61" s="222"/>
      <c r="AI61" s="222"/>
      <c r="AJ61" s="213"/>
      <c r="AK61" s="213"/>
      <c r="AL61" s="213"/>
      <c r="AM61" s="213"/>
    </row>
    <row r="62" spans="1:39" ht="10.25" customHeight="1">
      <c r="A62" s="851"/>
      <c r="B62" s="1124"/>
      <c r="C62" s="335"/>
      <c r="D62" s="4873">
        <v>3</v>
      </c>
      <c r="E62" s="4874"/>
      <c r="F62" s="4874"/>
      <c r="G62" s="4874"/>
      <c r="H62" s="4875"/>
      <c r="I62" s="4876"/>
      <c r="J62" s="4876"/>
      <c r="K62" s="4877" t="s">
        <v>2037</v>
      </c>
      <c r="L62" s="1148">
        <f>L61+N61</f>
        <v>0.37366362028820638</v>
      </c>
      <c r="M62" s="4878">
        <v>1.5</v>
      </c>
      <c r="N62" s="4876">
        <f>P62*E62*F62+I62*E62*F62+J62*E62</f>
        <v>0</v>
      </c>
      <c r="O62" s="4879">
        <f t="shared" ref="O62:O71" si="77">C62*(G62/25)</f>
        <v>0</v>
      </c>
      <c r="P62" s="4879">
        <f t="shared" ref="P62" si="78">O62*M62</f>
        <v>0</v>
      </c>
      <c r="Q62" s="4880">
        <v>164</v>
      </c>
      <c r="R62" s="4874">
        <f t="shared" ref="R62:R71" si="79">E62*F62*G62</f>
        <v>0</v>
      </c>
      <c r="S62" s="229">
        <f t="shared" si="7"/>
        <v>0</v>
      </c>
      <c r="T62" s="230">
        <f t="shared" si="8"/>
        <v>0</v>
      </c>
      <c r="U62" s="374">
        <f t="shared" si="9"/>
        <v>0</v>
      </c>
      <c r="V62" s="375">
        <f t="shared" si="10"/>
        <v>0</v>
      </c>
      <c r="W62" s="376">
        <f t="shared" si="11"/>
        <v>0</v>
      </c>
      <c r="X62" s="377">
        <f t="shared" si="12"/>
        <v>0</v>
      </c>
      <c r="Y62" s="378">
        <f t="shared" si="13"/>
        <v>0</v>
      </c>
      <c r="Z62" s="379">
        <f t="shared" si="14"/>
        <v>0</v>
      </c>
      <c r="AA62" s="380">
        <f t="shared" si="15"/>
        <v>0</v>
      </c>
      <c r="AC62" s="231"/>
      <c r="AD62" s="231"/>
      <c r="AE62" s="222"/>
      <c r="AF62" s="222"/>
      <c r="AG62" s="222"/>
      <c r="AH62" s="222"/>
      <c r="AI62" s="222"/>
      <c r="AJ62" s="213"/>
      <c r="AK62" s="213"/>
      <c r="AL62" s="213"/>
      <c r="AM62" s="213"/>
    </row>
    <row r="63" spans="1:39" ht="13.25" customHeight="1">
      <c r="A63" s="851" t="s">
        <v>219</v>
      </c>
      <c r="B63" s="1124"/>
      <c r="C63" s="4681">
        <f t="shared" ref="C63:C71" si="80">IF(D63=1,U$4,IF(D63=2,V$4,IF(D63=3,W$4,IF(D63=4,X$4,IF(D63=5,Y$4,IF(D63=6,Z$4,IF(D63=7,AA$4,0)))))))</f>
        <v>2.0247664488766629E-4</v>
      </c>
      <c r="D63" s="3378">
        <v>4</v>
      </c>
      <c r="E63" s="3379">
        <v>1</v>
      </c>
      <c r="F63" s="3379">
        <v>1</v>
      </c>
      <c r="G63" s="3379">
        <v>100</v>
      </c>
      <c r="H63" s="3372" t="s">
        <v>284</v>
      </c>
      <c r="I63" s="3373">
        <v>8</v>
      </c>
      <c r="J63" s="3374">
        <v>0</v>
      </c>
      <c r="K63" s="6844"/>
      <c r="L63" s="6845">
        <v>7.1087962962962977E-4</v>
      </c>
      <c r="M63" s="3375">
        <v>1</v>
      </c>
      <c r="N63" s="3376"/>
      <c r="O63" s="3376">
        <f t="shared" si="77"/>
        <v>8.0990657955066516E-4</v>
      </c>
      <c r="P63" s="3376"/>
      <c r="Q63" s="3376"/>
      <c r="R63" s="3377">
        <f t="shared" si="79"/>
        <v>100</v>
      </c>
      <c r="S63" s="229">
        <f t="shared" si="7"/>
        <v>0.1</v>
      </c>
      <c r="T63" s="230">
        <f t="shared" si="8"/>
        <v>3.2396263182026606E-3</v>
      </c>
      <c r="U63" s="374">
        <f t="shared" si="9"/>
        <v>0</v>
      </c>
      <c r="V63" s="375">
        <f t="shared" si="10"/>
        <v>0</v>
      </c>
      <c r="W63" s="376">
        <f t="shared" si="11"/>
        <v>0</v>
      </c>
      <c r="X63" s="377">
        <f t="shared" si="12"/>
        <v>0.1</v>
      </c>
      <c r="Y63" s="378">
        <f t="shared" si="13"/>
        <v>0</v>
      </c>
      <c r="Z63" s="379">
        <f t="shared" si="14"/>
        <v>0</v>
      </c>
      <c r="AA63" s="380">
        <f t="shared" si="15"/>
        <v>0</v>
      </c>
      <c r="AC63" s="231"/>
      <c r="AD63" s="231"/>
      <c r="AE63" s="222"/>
      <c r="AF63" s="222"/>
      <c r="AG63" s="222"/>
      <c r="AH63" s="222"/>
      <c r="AI63" s="222"/>
      <c r="AJ63" s="213"/>
      <c r="AK63" s="213"/>
      <c r="AL63" s="213"/>
      <c r="AM63" s="213"/>
    </row>
    <row r="64" spans="1:39" ht="13.25" customHeight="1">
      <c r="A64" s="851" t="s">
        <v>138</v>
      </c>
      <c r="B64" s="1124"/>
      <c r="C64" s="274">
        <f t="shared" si="80"/>
        <v>2.0247664488766629E-4</v>
      </c>
      <c r="D64" s="3370">
        <v>4</v>
      </c>
      <c r="E64" s="3371">
        <v>1</v>
      </c>
      <c r="F64" s="3371">
        <v>1</v>
      </c>
      <c r="G64" s="3371">
        <v>50</v>
      </c>
      <c r="H64" s="3372" t="s">
        <v>2359</v>
      </c>
      <c r="I64" s="3373">
        <v>8</v>
      </c>
      <c r="J64" s="3374">
        <v>0</v>
      </c>
      <c r="K64" s="6844"/>
      <c r="L64" s="6845">
        <v>3.2731481481481479E-4</v>
      </c>
      <c r="M64" s="3375">
        <v>1</v>
      </c>
      <c r="N64" s="3376"/>
      <c r="O64" s="3376">
        <f t="shared" si="77"/>
        <v>4.0495328977533258E-4</v>
      </c>
      <c r="P64" s="3376"/>
      <c r="Q64" s="3376"/>
      <c r="R64" s="3377">
        <f t="shared" si="79"/>
        <v>50</v>
      </c>
      <c r="S64" s="229">
        <f t="shared" si="7"/>
        <v>0.05</v>
      </c>
      <c r="T64" s="230">
        <f t="shared" si="8"/>
        <v>1.6198131591013303E-3</v>
      </c>
      <c r="U64" s="374">
        <f t="shared" si="9"/>
        <v>0</v>
      </c>
      <c r="V64" s="375">
        <f t="shared" si="10"/>
        <v>0</v>
      </c>
      <c r="W64" s="376">
        <f t="shared" si="11"/>
        <v>0</v>
      </c>
      <c r="X64" s="377">
        <f t="shared" si="12"/>
        <v>0.05</v>
      </c>
      <c r="Y64" s="378">
        <f t="shared" si="13"/>
        <v>0</v>
      </c>
      <c r="Z64" s="379">
        <f t="shared" si="14"/>
        <v>0</v>
      </c>
      <c r="AA64" s="380">
        <f t="shared" si="15"/>
        <v>0</v>
      </c>
      <c r="AC64" s="231"/>
      <c r="AD64" s="231"/>
      <c r="AE64" s="222"/>
      <c r="AF64" s="222"/>
      <c r="AG64" s="222"/>
      <c r="AH64" s="222"/>
      <c r="AI64" s="222"/>
      <c r="AJ64" s="213"/>
      <c r="AK64" s="213"/>
      <c r="AL64" s="213"/>
      <c r="AM64" s="213"/>
    </row>
    <row r="65" spans="1:39" ht="13.25" customHeight="1">
      <c r="A65" s="851" t="s">
        <v>220</v>
      </c>
      <c r="B65" s="1124"/>
      <c r="C65" s="274">
        <f t="shared" si="80"/>
        <v>2.0247664488766629E-4</v>
      </c>
      <c r="D65" s="3378">
        <v>4</v>
      </c>
      <c r="E65" s="3379">
        <v>1</v>
      </c>
      <c r="F65" s="3379">
        <v>1</v>
      </c>
      <c r="G65" s="3379">
        <v>100</v>
      </c>
      <c r="H65" s="3372" t="s">
        <v>298</v>
      </c>
      <c r="I65" s="3373">
        <v>8</v>
      </c>
      <c r="J65" s="3374">
        <v>0</v>
      </c>
      <c r="K65" s="4906"/>
      <c r="L65" s="6845">
        <v>7.3807870370370357E-4</v>
      </c>
      <c r="M65" s="3375">
        <v>1</v>
      </c>
      <c r="N65" s="3376"/>
      <c r="O65" s="3376">
        <f t="shared" si="77"/>
        <v>8.0990657955066516E-4</v>
      </c>
      <c r="P65" s="3376"/>
      <c r="Q65" s="3376"/>
      <c r="R65" s="3377">
        <f t="shared" si="79"/>
        <v>100</v>
      </c>
      <c r="S65" s="229">
        <f t="shared" si="7"/>
        <v>0.1</v>
      </c>
      <c r="T65" s="230">
        <f t="shared" si="8"/>
        <v>3.2396263182026606E-3</v>
      </c>
      <c r="U65" s="374">
        <f t="shared" si="9"/>
        <v>0</v>
      </c>
      <c r="V65" s="375">
        <f t="shared" si="10"/>
        <v>0</v>
      </c>
      <c r="W65" s="376">
        <f t="shared" si="11"/>
        <v>0</v>
      </c>
      <c r="X65" s="377">
        <f t="shared" si="12"/>
        <v>0.1</v>
      </c>
      <c r="Y65" s="378">
        <f t="shared" si="13"/>
        <v>0</v>
      </c>
      <c r="Z65" s="379">
        <f t="shared" si="14"/>
        <v>0</v>
      </c>
      <c r="AA65" s="380">
        <f t="shared" si="15"/>
        <v>0</v>
      </c>
      <c r="AC65" s="231"/>
      <c r="AD65" s="231"/>
      <c r="AE65" s="222"/>
      <c r="AF65" s="222"/>
      <c r="AG65" s="222"/>
      <c r="AH65" s="222"/>
      <c r="AI65" s="222"/>
      <c r="AJ65" s="213"/>
      <c r="AK65" s="213"/>
      <c r="AL65" s="213"/>
      <c r="AM65" s="213"/>
    </row>
    <row r="66" spans="1:39" ht="13.25" customHeight="1">
      <c r="A66" s="851"/>
      <c r="B66" s="1124"/>
      <c r="C66" s="5770"/>
      <c r="D66" s="6834"/>
      <c r="E66" s="6835"/>
      <c r="F66" s="6835"/>
      <c r="G66" s="6835">
        <v>50</v>
      </c>
      <c r="H66" s="6836" t="s">
        <v>298</v>
      </c>
      <c r="I66" s="6837"/>
      <c r="J66" s="6838"/>
      <c r="K66" s="6839"/>
      <c r="L66" s="6845">
        <v>3.4166666666666671E-4</v>
      </c>
      <c r="M66" s="6840"/>
      <c r="N66" s="6842"/>
      <c r="O66" s="6842"/>
      <c r="P66" s="6842"/>
      <c r="Q66" s="6842"/>
      <c r="R66" s="6843"/>
      <c r="S66" s="229">
        <f t="shared" si="7"/>
        <v>0</v>
      </c>
      <c r="T66" s="230">
        <f t="shared" si="8"/>
        <v>0</v>
      </c>
      <c r="U66" s="374">
        <f t="shared" si="9"/>
        <v>0</v>
      </c>
      <c r="V66" s="375">
        <f t="shared" si="10"/>
        <v>0</v>
      </c>
      <c r="W66" s="376">
        <f t="shared" si="11"/>
        <v>0</v>
      </c>
      <c r="X66" s="377">
        <f t="shared" si="12"/>
        <v>0</v>
      </c>
      <c r="Y66" s="378">
        <f t="shared" si="13"/>
        <v>0</v>
      </c>
      <c r="Z66" s="379">
        <f t="shared" si="14"/>
        <v>0</v>
      </c>
      <c r="AA66" s="380">
        <f t="shared" si="15"/>
        <v>0</v>
      </c>
      <c r="AC66" s="231"/>
      <c r="AD66" s="231"/>
      <c r="AE66" s="222"/>
      <c r="AF66" s="222"/>
      <c r="AG66" s="222"/>
      <c r="AH66" s="222"/>
      <c r="AI66" s="222"/>
      <c r="AJ66" s="213"/>
      <c r="AK66" s="213"/>
      <c r="AL66" s="213"/>
      <c r="AM66" s="213"/>
    </row>
    <row r="67" spans="1:39" ht="13.25" customHeight="1">
      <c r="A67" s="851"/>
      <c r="B67" s="1124"/>
      <c r="C67" s="274">
        <f t="shared" ref="C67" si="81">IF(D67=1,U$4,IF(D67=2,V$4,IF(D67=3,W$4,IF(D67=4,X$4,IF(D67=5,Y$4,IF(D67=6,Z$4,IF(D67=7,AA$4,0)))))))</f>
        <v>2.0247664488766629E-4</v>
      </c>
      <c r="D67" s="3378">
        <v>4</v>
      </c>
      <c r="E67" s="3379">
        <v>1</v>
      </c>
      <c r="F67" s="3379">
        <v>1</v>
      </c>
      <c r="G67" s="3379">
        <v>100</v>
      </c>
      <c r="H67" s="3372" t="s">
        <v>284</v>
      </c>
      <c r="I67" s="3373">
        <v>8</v>
      </c>
      <c r="J67" s="3374">
        <v>0</v>
      </c>
      <c r="K67" s="4906" t="s">
        <v>2200</v>
      </c>
      <c r="L67" s="6845">
        <v>7.0532407407407403E-4</v>
      </c>
      <c r="M67" s="3375">
        <v>2</v>
      </c>
      <c r="N67" s="6841"/>
      <c r="O67" s="3376">
        <f t="shared" ref="O67" si="82">C67*(G67/25)</f>
        <v>8.0990657955066516E-4</v>
      </c>
      <c r="P67" s="3376"/>
      <c r="Q67" s="3376"/>
      <c r="R67" s="3377">
        <f t="shared" ref="R67:R69" si="83">E67*F67*G67</f>
        <v>100</v>
      </c>
      <c r="S67" s="229">
        <f t="shared" si="7"/>
        <v>0.1</v>
      </c>
      <c r="T67" s="230">
        <f t="shared" si="8"/>
        <v>3.2396263182026606E-3</v>
      </c>
      <c r="U67" s="374">
        <f t="shared" si="9"/>
        <v>0</v>
      </c>
      <c r="V67" s="375">
        <f t="shared" si="10"/>
        <v>0</v>
      </c>
      <c r="W67" s="376">
        <f t="shared" si="11"/>
        <v>0</v>
      </c>
      <c r="X67" s="377">
        <f t="shared" si="12"/>
        <v>0.1</v>
      </c>
      <c r="Y67" s="378">
        <f t="shared" si="13"/>
        <v>0</v>
      </c>
      <c r="Z67" s="379">
        <f t="shared" si="14"/>
        <v>0</v>
      </c>
      <c r="AA67" s="380">
        <f t="shared" si="15"/>
        <v>0</v>
      </c>
      <c r="AC67" s="231"/>
      <c r="AD67" s="231"/>
      <c r="AE67" s="222"/>
      <c r="AF67" s="222"/>
      <c r="AG67" s="222"/>
      <c r="AH67" s="222"/>
      <c r="AI67" s="222"/>
      <c r="AJ67" s="213"/>
      <c r="AK67" s="213"/>
      <c r="AL67" s="213"/>
      <c r="AM67" s="213"/>
    </row>
    <row r="68" spans="1:39" ht="13.25" customHeight="1">
      <c r="A68" s="851" t="s">
        <v>220</v>
      </c>
      <c r="B68" s="1124"/>
      <c r="C68" s="5770"/>
      <c r="D68" s="6834"/>
      <c r="E68" s="6835">
        <v>1</v>
      </c>
      <c r="F68" s="6835">
        <v>1</v>
      </c>
      <c r="G68" s="6835">
        <v>50</v>
      </c>
      <c r="H68" s="6836" t="s">
        <v>1169</v>
      </c>
      <c r="I68" s="6837"/>
      <c r="J68" s="6838"/>
      <c r="K68" s="6846" t="s">
        <v>2200</v>
      </c>
      <c r="L68" s="6845">
        <v>3.0439814814814815E-4</v>
      </c>
      <c r="M68" s="6840"/>
      <c r="N68" s="6841"/>
      <c r="O68" s="6842"/>
      <c r="P68" s="6842"/>
      <c r="Q68" s="6842"/>
      <c r="R68" s="3377">
        <f t="shared" si="83"/>
        <v>50</v>
      </c>
      <c r="S68" s="229">
        <f t="shared" si="7"/>
        <v>0.05</v>
      </c>
      <c r="T68" s="230">
        <f t="shared" si="8"/>
        <v>0</v>
      </c>
      <c r="U68" s="374">
        <f t="shared" si="9"/>
        <v>0</v>
      </c>
      <c r="V68" s="375">
        <f t="shared" si="10"/>
        <v>0</v>
      </c>
      <c r="W68" s="376">
        <f t="shared" si="11"/>
        <v>0</v>
      </c>
      <c r="X68" s="377">
        <f t="shared" si="12"/>
        <v>0</v>
      </c>
      <c r="Y68" s="378">
        <f t="shared" si="13"/>
        <v>0</v>
      </c>
      <c r="Z68" s="379">
        <f t="shared" si="14"/>
        <v>0</v>
      </c>
      <c r="AA68" s="380">
        <f t="shared" si="15"/>
        <v>0</v>
      </c>
      <c r="AC68" s="231"/>
      <c r="AD68" s="231"/>
      <c r="AE68" s="222"/>
      <c r="AF68" s="222"/>
      <c r="AG68" s="222"/>
      <c r="AH68" s="222"/>
      <c r="AI68" s="222"/>
      <c r="AJ68" s="213"/>
      <c r="AK68" s="213"/>
      <c r="AL68" s="213"/>
      <c r="AM68" s="213"/>
    </row>
    <row r="69" spans="1:39" ht="13.25" customHeight="1">
      <c r="A69" s="851" t="s">
        <v>674</v>
      </c>
      <c r="B69" s="1124"/>
      <c r="C69" s="274">
        <f t="shared" si="80"/>
        <v>2.0247664488766629E-4</v>
      </c>
      <c r="D69" s="3378">
        <v>4</v>
      </c>
      <c r="E69" s="3379">
        <v>1</v>
      </c>
      <c r="F69" s="3379">
        <v>1</v>
      </c>
      <c r="G69" s="3379">
        <v>50</v>
      </c>
      <c r="H69" s="3372" t="s">
        <v>284</v>
      </c>
      <c r="I69" s="3373">
        <v>8</v>
      </c>
      <c r="J69" s="3374">
        <v>0</v>
      </c>
      <c r="K69" s="4906" t="s">
        <v>2200</v>
      </c>
      <c r="L69" s="6845">
        <v>3.1701388888888887E-4</v>
      </c>
      <c r="M69" s="3375">
        <v>1</v>
      </c>
      <c r="N69" s="6841"/>
      <c r="O69" s="3376">
        <f t="shared" ref="O69" si="84">C69*(G69/25)</f>
        <v>4.0495328977533258E-4</v>
      </c>
      <c r="P69" s="3376"/>
      <c r="Q69" s="3376"/>
      <c r="R69" s="3377">
        <f t="shared" si="83"/>
        <v>50</v>
      </c>
      <c r="S69" s="229">
        <f t="shared" si="7"/>
        <v>0.05</v>
      </c>
      <c r="T69" s="230">
        <f t="shared" si="8"/>
        <v>1.6198131591013303E-3</v>
      </c>
      <c r="U69" s="374">
        <f t="shared" si="9"/>
        <v>0</v>
      </c>
      <c r="V69" s="375">
        <f t="shared" si="10"/>
        <v>0</v>
      </c>
      <c r="W69" s="376">
        <f t="shared" si="11"/>
        <v>0</v>
      </c>
      <c r="X69" s="377">
        <f t="shared" si="12"/>
        <v>0.05</v>
      </c>
      <c r="Y69" s="378">
        <f t="shared" si="13"/>
        <v>0</v>
      </c>
      <c r="Z69" s="379">
        <f t="shared" si="14"/>
        <v>0</v>
      </c>
      <c r="AA69" s="380">
        <f t="shared" si="15"/>
        <v>0</v>
      </c>
      <c r="AC69" s="231"/>
      <c r="AD69" s="231"/>
      <c r="AE69" s="222"/>
      <c r="AF69" s="222"/>
      <c r="AG69" s="222"/>
      <c r="AH69" s="222"/>
      <c r="AI69" s="222"/>
      <c r="AJ69" s="213"/>
      <c r="AK69" s="213"/>
      <c r="AL69" s="213"/>
      <c r="AM69" s="213"/>
    </row>
    <row r="70" spans="1:39" ht="13.25" customHeight="1">
      <c r="A70" s="851"/>
      <c r="B70" s="1124"/>
      <c r="C70" s="274">
        <f t="shared" si="80"/>
        <v>2.0247664488766629E-4</v>
      </c>
      <c r="D70" s="3378">
        <v>4</v>
      </c>
      <c r="E70" s="3379">
        <v>1</v>
      </c>
      <c r="F70" s="3379">
        <v>1</v>
      </c>
      <c r="G70" s="3379">
        <v>50</v>
      </c>
      <c r="H70" s="3372" t="s">
        <v>284</v>
      </c>
      <c r="I70" s="3373">
        <v>8</v>
      </c>
      <c r="J70" s="3374">
        <v>0</v>
      </c>
      <c r="K70" s="4906" t="s">
        <v>2360</v>
      </c>
      <c r="L70" s="6845">
        <v>3.1597222222222221E-4</v>
      </c>
      <c r="M70" s="3375">
        <v>1</v>
      </c>
      <c r="N70" s="6841"/>
      <c r="O70" s="3376">
        <f t="shared" si="77"/>
        <v>4.0495328977533258E-4</v>
      </c>
      <c r="P70" s="3376"/>
      <c r="Q70" s="3376"/>
      <c r="R70" s="3377">
        <f t="shared" si="79"/>
        <v>50</v>
      </c>
      <c r="S70" s="229">
        <f t="shared" si="7"/>
        <v>0.05</v>
      </c>
      <c r="T70" s="230">
        <f t="shared" si="8"/>
        <v>1.6198131591013303E-3</v>
      </c>
      <c r="U70" s="374">
        <f t="shared" si="9"/>
        <v>0</v>
      </c>
      <c r="V70" s="375">
        <f t="shared" si="10"/>
        <v>0</v>
      </c>
      <c r="W70" s="376">
        <f t="shared" si="11"/>
        <v>0</v>
      </c>
      <c r="X70" s="377">
        <f t="shared" si="12"/>
        <v>0.05</v>
      </c>
      <c r="Y70" s="378">
        <f t="shared" si="13"/>
        <v>0</v>
      </c>
      <c r="Z70" s="379">
        <f t="shared" si="14"/>
        <v>0</v>
      </c>
      <c r="AA70" s="380">
        <f t="shared" si="15"/>
        <v>0</v>
      </c>
      <c r="AC70" s="231"/>
      <c r="AD70" s="231"/>
      <c r="AE70" s="222"/>
      <c r="AF70" s="222"/>
      <c r="AG70" s="222"/>
      <c r="AH70" s="222"/>
      <c r="AI70" s="222"/>
      <c r="AJ70" s="213"/>
      <c r="AK70" s="213"/>
      <c r="AL70" s="213"/>
      <c r="AM70" s="213"/>
    </row>
    <row r="71" spans="1:39" ht="11" customHeight="1" thickBot="1">
      <c r="A71" s="4870"/>
      <c r="B71" s="4871"/>
      <c r="C71" s="274">
        <f t="shared" si="80"/>
        <v>2.0247664488766629E-4</v>
      </c>
      <c r="D71" s="3378">
        <v>4</v>
      </c>
      <c r="E71" s="3379">
        <v>1</v>
      </c>
      <c r="F71" s="3379">
        <v>1</v>
      </c>
      <c r="G71" s="3379">
        <v>100</v>
      </c>
      <c r="H71" s="3372" t="s">
        <v>284</v>
      </c>
      <c r="I71" s="3373">
        <v>8</v>
      </c>
      <c r="J71" s="3374">
        <v>0</v>
      </c>
      <c r="K71" s="4906" t="s">
        <v>2200</v>
      </c>
      <c r="L71" s="6845">
        <v>7.1099537037037041E-4</v>
      </c>
      <c r="M71" s="3375">
        <v>2</v>
      </c>
      <c r="N71" s="6841"/>
      <c r="O71" s="3376">
        <f t="shared" si="77"/>
        <v>8.0990657955066516E-4</v>
      </c>
      <c r="P71" s="3376"/>
      <c r="Q71" s="3376"/>
      <c r="R71" s="3377">
        <f t="shared" si="79"/>
        <v>100</v>
      </c>
      <c r="S71" s="1337"/>
      <c r="T71" s="1338"/>
      <c r="U71" s="1024">
        <f t="shared" ref="U71:AA71" si="85">SUM(U5:U70)</f>
        <v>5.0999999999999996</v>
      </c>
      <c r="V71" s="1024">
        <f t="shared" si="85"/>
        <v>4.4000000000000004</v>
      </c>
      <c r="W71" s="1024">
        <f t="shared" si="85"/>
        <v>2.9399999999999995</v>
      </c>
      <c r="X71" s="1024">
        <f t="shared" si="85"/>
        <v>1.2000000000000002</v>
      </c>
      <c r="Y71" s="1024">
        <f t="shared" si="85"/>
        <v>2.3250000000000002</v>
      </c>
      <c r="Z71" s="1024">
        <f t="shared" si="85"/>
        <v>1.6800000000000002</v>
      </c>
      <c r="AA71" s="1024">
        <f t="shared" si="85"/>
        <v>1.8550000000000002</v>
      </c>
      <c r="AB71" s="565">
        <f>SUM(U71:AA71)</f>
        <v>19.5</v>
      </c>
      <c r="AC71" s="231"/>
      <c r="AD71" s="231"/>
      <c r="AE71" s="222"/>
      <c r="AF71" s="222"/>
      <c r="AG71" s="222"/>
      <c r="AH71" s="222"/>
      <c r="AI71" s="222"/>
    </row>
    <row r="72" spans="1:39" ht="13" customHeight="1" thickBot="1">
      <c r="A72" s="398"/>
      <c r="B72" s="402"/>
      <c r="C72" s="629">
        <f>IF(D72=1,U$4,IF(D72=2,V$4,IF(D72=3,W$4,IF(D72=4,X$4,IF(D72=5,Y$4,IF(D72=6,Z$4,IF(D72=7,AA$4,0)))))))</f>
        <v>0</v>
      </c>
      <c r="D72" s="4444"/>
      <c r="E72" s="4594">
        <f>U71*100000/$Q$72</f>
        <v>26.15384615384615</v>
      </c>
      <c r="F72" s="4594">
        <f t="shared" ref="F72:K72" si="86">V71*100000/$Q$72</f>
        <v>22.564102564102566</v>
      </c>
      <c r="G72" s="4594">
        <f t="shared" si="86"/>
        <v>15.076923076923073</v>
      </c>
      <c r="H72" s="4594">
        <f t="shared" si="86"/>
        <v>6.1538461538461542</v>
      </c>
      <c r="I72" s="4594">
        <f t="shared" si="86"/>
        <v>11.923076923076925</v>
      </c>
      <c r="J72" s="4594">
        <f t="shared" si="86"/>
        <v>8.6153846153846168</v>
      </c>
      <c r="K72" s="4595">
        <f t="shared" si="86"/>
        <v>9.5128205128205146</v>
      </c>
      <c r="L72" s="4378" t="s">
        <v>1922</v>
      </c>
      <c r="M72" s="1278"/>
      <c r="N72" s="1278"/>
      <c r="O72" s="1278"/>
      <c r="P72" s="1278"/>
      <c r="Q72" s="7881">
        <f>AB71*1000</f>
        <v>19500</v>
      </c>
      <c r="R72" s="7882"/>
      <c r="S72" s="1337"/>
      <c r="T72" s="1338"/>
      <c r="U72" s="1024"/>
      <c r="V72" s="1024"/>
      <c r="W72" s="1024"/>
      <c r="X72" s="1024"/>
      <c r="Y72" s="1024"/>
      <c r="Z72" s="1024"/>
      <c r="AA72" s="1024"/>
      <c r="AB72" s="565"/>
      <c r="AC72" s="231"/>
      <c r="AD72" s="231"/>
      <c r="AE72" s="222"/>
      <c r="AF72" s="222"/>
      <c r="AG72" s="222"/>
      <c r="AH72" s="222"/>
      <c r="AI72" s="222"/>
    </row>
    <row r="73" spans="1:39" ht="13" customHeight="1" thickBot="1">
      <c r="A73" s="851" t="s">
        <v>219</v>
      </c>
      <c r="B73" s="1151" t="s">
        <v>461</v>
      </c>
      <c r="C73" s="274">
        <f>IF(D73=1,U$4,IF(D73=2,V$4,IF(D73=3,W$4,IF(D73=4,X$4,IF(D73=5,Y$4,IF(D73=6,Z$4,IF(D73=7,AA$4,0)))))))</f>
        <v>0</v>
      </c>
      <c r="D73" s="4444"/>
      <c r="E73" s="4521">
        <f>E72*15/100</f>
        <v>3.9230769230769225</v>
      </c>
      <c r="F73" s="4522">
        <f t="shared" ref="F73:K73" si="87">F72*15/100</f>
        <v>3.384615384615385</v>
      </c>
      <c r="G73" s="4523">
        <f t="shared" si="87"/>
        <v>2.2615384615384611</v>
      </c>
      <c r="H73" s="4524">
        <f t="shared" si="87"/>
        <v>0.92307692307692302</v>
      </c>
      <c r="I73" s="4525">
        <f t="shared" si="87"/>
        <v>1.7884615384615388</v>
      </c>
      <c r="J73" s="4526">
        <f t="shared" si="87"/>
        <v>1.2923076923076926</v>
      </c>
      <c r="K73" s="4527">
        <f t="shared" si="87"/>
        <v>1.4269230769230772</v>
      </c>
      <c r="L73" s="4378" t="s">
        <v>1252</v>
      </c>
      <c r="M73" s="144"/>
      <c r="N73" s="144"/>
      <c r="O73" s="144"/>
      <c r="P73" s="144"/>
      <c r="Q73" s="144"/>
      <c r="R73" s="144"/>
      <c r="S73" s="144"/>
      <c r="T73" s="144"/>
      <c r="U73" s="566" t="e">
        <f>IF(#REF!&gt;0,#REF!,#REF!)</f>
        <v>#REF!</v>
      </c>
      <c r="V73" s="566" t="e">
        <f>IF(#REF!&gt;0,#REF!,#REF!)</f>
        <v>#REF!</v>
      </c>
      <c r="W73" s="566" t="e">
        <f>IF(#REF!&gt;0,#REF!,#REF!)</f>
        <v>#REF!</v>
      </c>
      <c r="X73" s="566" t="e">
        <f>IF(#REF!&gt;0,#REF!,#REF!)</f>
        <v>#REF!</v>
      </c>
      <c r="Y73" s="566" t="e">
        <f>IF(#REF!&gt;0,#REF!,#REF!)</f>
        <v>#REF!</v>
      </c>
      <c r="Z73" s="566" t="e">
        <f>IF(#REF!&gt;0,#REF!,#REF!)</f>
        <v>#REF!</v>
      </c>
      <c r="AA73" s="566" t="e">
        <f>IF(#REF!&gt;0,#REF!,#REF!)</f>
        <v>#REF!</v>
      </c>
      <c r="AB73" s="144"/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25"/>
    </row>
    <row r="74" spans="1:39" s="247" customFormat="1">
      <c r="A74" s="851" t="s">
        <v>138</v>
      </c>
      <c r="B74" s="1151" t="s">
        <v>461</v>
      </c>
      <c r="S74" s="142"/>
      <c r="T74" s="142"/>
      <c r="U74" s="146"/>
      <c r="V74" s="146"/>
      <c r="W74" s="146"/>
      <c r="X74" s="146"/>
      <c r="Y74" s="146"/>
      <c r="Z74" s="146"/>
      <c r="AA74" s="146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</row>
    <row r="75" spans="1:39" s="247" customFormat="1" ht="11">
      <c r="B75" s="144"/>
      <c r="C75" s="143"/>
      <c r="D75" s="907"/>
      <c r="E75" s="143"/>
      <c r="F75" s="145"/>
      <c r="G75" s="146"/>
      <c r="H75" s="146"/>
      <c r="I75" s="146"/>
      <c r="J75" s="146"/>
      <c r="K75" s="146"/>
      <c r="L75" s="146"/>
      <c r="M75" s="458"/>
      <c r="N75" s="145"/>
      <c r="O75" s="146"/>
      <c r="P75" s="146"/>
      <c r="Q75" s="147"/>
      <c r="R75" s="147"/>
      <c r="S75" s="142"/>
      <c r="T75" s="142"/>
      <c r="U75" s="146"/>
      <c r="V75" s="146"/>
      <c r="W75" s="146"/>
      <c r="X75" s="146"/>
      <c r="Y75" s="146"/>
      <c r="Z75" s="146"/>
      <c r="AA75" s="146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</row>
    <row r="76" spans="1:39" s="247" customFormat="1" ht="11">
      <c r="B76" s="144"/>
      <c r="C76" s="143"/>
      <c r="D76" s="907"/>
      <c r="E76" s="143"/>
      <c r="F76" s="145"/>
      <c r="G76" s="146"/>
      <c r="H76" s="146"/>
      <c r="I76" s="146"/>
      <c r="J76" s="146"/>
      <c r="K76" s="146"/>
      <c r="L76" s="146"/>
      <c r="M76" s="458"/>
      <c r="N76" s="145"/>
      <c r="O76" s="146"/>
      <c r="P76" s="146"/>
      <c r="Q76" s="147"/>
      <c r="R76" s="147"/>
      <c r="S76" s="142"/>
      <c r="T76" s="142"/>
      <c r="U76" s="146"/>
      <c r="V76" s="146"/>
      <c r="W76" s="146"/>
      <c r="X76" s="146"/>
      <c r="Y76" s="146"/>
      <c r="Z76" s="146"/>
      <c r="AA76" s="146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</row>
    <row r="77" spans="1:39" s="247" customFormat="1" ht="11">
      <c r="B77" s="144"/>
      <c r="C77" s="143"/>
      <c r="D77" s="907"/>
      <c r="E77" s="143"/>
      <c r="F77" s="145"/>
      <c r="G77" s="146"/>
      <c r="H77" s="146"/>
      <c r="I77" s="146"/>
      <c r="J77" s="146"/>
      <c r="K77" s="146"/>
      <c r="L77" s="146"/>
      <c r="M77" s="458"/>
      <c r="N77" s="145"/>
      <c r="O77" s="146"/>
      <c r="P77" s="146"/>
      <c r="Q77" s="147"/>
      <c r="R77" s="147"/>
      <c r="S77" s="142"/>
      <c r="T77" s="142"/>
      <c r="U77" s="146"/>
      <c r="V77" s="146"/>
      <c r="W77" s="146"/>
      <c r="X77" s="146"/>
      <c r="Y77" s="146"/>
      <c r="Z77" s="146"/>
      <c r="AA77" s="146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</row>
    <row r="78" spans="1:39" s="247" customFormat="1" ht="11">
      <c r="B78" s="144"/>
      <c r="C78" s="143"/>
      <c r="D78" s="907"/>
      <c r="E78" s="143"/>
      <c r="F78" s="145"/>
      <c r="G78" s="146"/>
      <c r="H78" s="146"/>
      <c r="I78" s="146"/>
      <c r="J78" s="146"/>
      <c r="K78" s="146"/>
      <c r="L78" s="146"/>
      <c r="M78" s="458"/>
      <c r="N78" s="145"/>
      <c r="O78" s="146"/>
      <c r="P78" s="146"/>
      <c r="Q78" s="147"/>
      <c r="R78" s="147"/>
      <c r="S78" s="142"/>
      <c r="T78" s="142"/>
      <c r="U78" s="146"/>
      <c r="V78" s="146"/>
      <c r="W78" s="146"/>
      <c r="X78" s="146"/>
      <c r="Y78" s="146"/>
      <c r="Z78" s="146"/>
      <c r="AA78" s="146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</row>
    <row r="79" spans="1:39" s="247" customFormat="1" ht="11">
      <c r="B79" s="144"/>
      <c r="C79" s="143"/>
      <c r="D79" s="907"/>
      <c r="E79" s="143"/>
      <c r="F79" s="145"/>
      <c r="G79" s="146"/>
      <c r="H79" s="146"/>
      <c r="I79" s="146"/>
      <c r="J79" s="146"/>
      <c r="K79" s="146"/>
      <c r="L79" s="146"/>
      <c r="M79" s="458"/>
      <c r="N79" s="145"/>
      <c r="O79" s="146"/>
      <c r="P79" s="146"/>
      <c r="Q79" s="147"/>
      <c r="R79" s="147"/>
      <c r="S79" s="142"/>
      <c r="T79" s="142"/>
      <c r="U79" s="146"/>
      <c r="V79" s="146"/>
      <c r="W79" s="146"/>
      <c r="X79" s="146"/>
      <c r="Y79" s="146"/>
      <c r="Z79" s="146"/>
      <c r="AA79" s="146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</row>
    <row r="80" spans="1:39" s="247" customFormat="1" ht="11">
      <c r="B80" s="144"/>
      <c r="C80" s="143"/>
      <c r="D80" s="907"/>
      <c r="E80" s="143"/>
      <c r="F80" s="145"/>
      <c r="G80" s="146"/>
      <c r="H80" s="146"/>
      <c r="I80" s="146"/>
      <c r="J80" s="146"/>
      <c r="K80" s="146"/>
      <c r="L80" s="146"/>
      <c r="M80" s="458"/>
      <c r="N80" s="145"/>
      <c r="O80" s="146"/>
      <c r="P80" s="146"/>
      <c r="Q80" s="147"/>
      <c r="R80" s="147"/>
      <c r="S80" s="142"/>
      <c r="T80" s="142"/>
      <c r="U80" s="146"/>
      <c r="V80" s="146"/>
      <c r="W80" s="146"/>
      <c r="X80" s="146"/>
      <c r="Y80" s="146"/>
      <c r="Z80" s="146"/>
      <c r="AA80" s="146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</row>
    <row r="81" spans="2:39" s="247" customFormat="1" ht="11">
      <c r="B81" s="144"/>
      <c r="C81" s="143"/>
      <c r="D81" s="907"/>
      <c r="E81" s="143"/>
      <c r="F81" s="145"/>
      <c r="G81" s="146"/>
      <c r="H81" s="146"/>
      <c r="I81" s="146"/>
      <c r="J81" s="146"/>
      <c r="K81" s="146"/>
      <c r="L81" s="146"/>
      <c r="M81" s="458"/>
      <c r="N81" s="145"/>
      <c r="O81" s="146"/>
      <c r="P81" s="146"/>
      <c r="Q81" s="147"/>
      <c r="R81" s="147"/>
      <c r="S81" s="142"/>
      <c r="T81" s="142"/>
      <c r="U81" s="146"/>
      <c r="V81" s="146"/>
      <c r="W81" s="146"/>
      <c r="X81" s="146"/>
      <c r="Y81" s="146"/>
      <c r="Z81" s="146"/>
      <c r="AA81" s="146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</row>
    <row r="82" spans="2:39" s="247" customFormat="1" ht="11">
      <c r="B82" s="144"/>
      <c r="C82" s="143"/>
      <c r="D82" s="907"/>
      <c r="E82" s="143"/>
      <c r="F82" s="145"/>
      <c r="G82" s="146"/>
      <c r="H82" s="146"/>
      <c r="I82" s="146"/>
      <c r="J82" s="146"/>
      <c r="K82" s="146"/>
      <c r="L82" s="146"/>
      <c r="M82" s="458"/>
      <c r="N82" s="145"/>
      <c r="O82" s="146"/>
      <c r="P82" s="146"/>
      <c r="Q82" s="147"/>
      <c r="R82" s="147"/>
      <c r="S82" s="142"/>
      <c r="T82" s="142"/>
      <c r="U82" s="146"/>
      <c r="V82" s="146"/>
      <c r="W82" s="146"/>
      <c r="X82" s="146"/>
      <c r="Y82" s="146"/>
      <c r="Z82" s="146"/>
      <c r="AA82" s="146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</row>
    <row r="83" spans="2:39" s="247" customFormat="1" ht="11">
      <c r="B83" s="144"/>
      <c r="C83" s="143"/>
      <c r="D83" s="907"/>
      <c r="E83" s="143"/>
      <c r="F83" s="145"/>
      <c r="G83" s="146"/>
      <c r="H83" s="146"/>
      <c r="I83" s="146"/>
      <c r="J83" s="146"/>
      <c r="K83" s="146"/>
      <c r="L83" s="146"/>
      <c r="M83" s="458"/>
      <c r="N83" s="145"/>
      <c r="O83" s="146"/>
      <c r="P83" s="146"/>
      <c r="Q83" s="147"/>
      <c r="R83" s="147"/>
      <c r="S83" s="142"/>
      <c r="T83" s="142"/>
      <c r="U83" s="146"/>
      <c r="V83" s="146"/>
      <c r="W83" s="146"/>
      <c r="X83" s="146"/>
      <c r="Y83" s="146"/>
      <c r="Z83" s="146"/>
      <c r="AA83" s="146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</row>
    <row r="84" spans="2:39" s="247" customFormat="1" ht="11">
      <c r="B84" s="144"/>
      <c r="C84" s="143"/>
      <c r="D84" s="907"/>
      <c r="E84" s="143"/>
      <c r="F84" s="145"/>
      <c r="G84" s="146"/>
      <c r="H84" s="146"/>
      <c r="I84" s="146"/>
      <c r="J84" s="146"/>
      <c r="K84" s="146"/>
      <c r="L84" s="146"/>
      <c r="M84" s="458"/>
      <c r="N84" s="145"/>
      <c r="O84" s="146"/>
      <c r="P84" s="146"/>
      <c r="Q84" s="147"/>
      <c r="R84" s="147"/>
      <c r="S84" s="142"/>
      <c r="T84" s="142"/>
      <c r="U84" s="146"/>
      <c r="V84" s="146"/>
      <c r="W84" s="146"/>
      <c r="X84" s="146"/>
      <c r="Y84" s="146"/>
      <c r="Z84" s="146"/>
      <c r="AA84" s="146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</row>
    <row r="85" spans="2:39" s="247" customFormat="1" ht="11">
      <c r="B85" s="144"/>
      <c r="C85" s="143"/>
      <c r="D85" s="907"/>
      <c r="E85" s="143"/>
      <c r="F85" s="145"/>
      <c r="G85" s="146"/>
      <c r="H85" s="146"/>
      <c r="I85" s="146"/>
      <c r="J85" s="146"/>
      <c r="K85" s="146"/>
      <c r="L85" s="146"/>
      <c r="M85" s="458"/>
      <c r="N85" s="145"/>
      <c r="O85" s="146"/>
      <c r="P85" s="146"/>
      <c r="Q85" s="147"/>
      <c r="R85" s="147"/>
      <c r="S85" s="142"/>
      <c r="T85" s="142"/>
      <c r="U85" s="146"/>
      <c r="V85" s="146"/>
      <c r="W85" s="146"/>
      <c r="X85" s="146"/>
      <c r="Y85" s="146"/>
      <c r="Z85" s="146"/>
      <c r="AA85" s="146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</row>
    <row r="86" spans="2:39" s="247" customFormat="1" ht="11">
      <c r="B86" s="144"/>
      <c r="C86" s="143"/>
      <c r="D86" s="907"/>
      <c r="E86" s="143"/>
      <c r="F86" s="145"/>
      <c r="G86" s="146"/>
      <c r="H86" s="146"/>
      <c r="I86" s="146"/>
      <c r="J86" s="146"/>
      <c r="K86" s="146"/>
      <c r="L86" s="146"/>
      <c r="M86" s="458"/>
      <c r="N86" s="145"/>
      <c r="O86" s="146"/>
      <c r="P86" s="146"/>
      <c r="Q86" s="147"/>
      <c r="R86" s="147"/>
      <c r="S86" s="142"/>
      <c r="T86" s="142"/>
      <c r="U86" s="146"/>
      <c r="V86" s="146"/>
      <c r="W86" s="146"/>
      <c r="X86" s="146"/>
      <c r="Y86" s="146"/>
      <c r="Z86" s="146"/>
      <c r="AA86" s="146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</row>
    <row r="87" spans="2:39" s="247" customFormat="1" ht="11">
      <c r="B87" s="144"/>
      <c r="C87" s="143"/>
      <c r="D87" s="907"/>
      <c r="E87" s="143"/>
      <c r="F87" s="145"/>
      <c r="G87" s="146"/>
      <c r="H87" s="146"/>
      <c r="I87" s="146"/>
      <c r="J87" s="146"/>
      <c r="K87" s="146"/>
      <c r="L87" s="146"/>
      <c r="M87" s="458"/>
      <c r="N87" s="145"/>
      <c r="O87" s="146"/>
      <c r="P87" s="146"/>
      <c r="Q87" s="147"/>
      <c r="R87" s="147"/>
      <c r="S87" s="142"/>
      <c r="T87" s="142"/>
      <c r="U87" s="146"/>
      <c r="V87" s="146"/>
      <c r="W87" s="146"/>
      <c r="X87" s="146"/>
      <c r="Y87" s="146"/>
      <c r="Z87" s="146"/>
      <c r="AA87" s="146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</row>
    <row r="88" spans="2:39" s="247" customFormat="1" ht="11">
      <c r="B88" s="144"/>
      <c r="C88" s="143"/>
      <c r="D88" s="907"/>
      <c r="E88" s="143"/>
      <c r="F88" s="145"/>
      <c r="G88" s="146"/>
      <c r="H88" s="146"/>
      <c r="I88" s="146"/>
      <c r="J88" s="146"/>
      <c r="K88" s="146"/>
      <c r="L88" s="146"/>
      <c r="M88" s="458"/>
      <c r="N88" s="145"/>
      <c r="O88" s="146"/>
      <c r="P88" s="146"/>
      <c r="Q88" s="147"/>
      <c r="R88" s="147"/>
      <c r="S88" s="142"/>
      <c r="T88" s="142"/>
      <c r="U88" s="146"/>
      <c r="V88" s="146"/>
      <c r="W88" s="146"/>
      <c r="X88" s="146"/>
      <c r="Y88" s="146"/>
      <c r="Z88" s="146"/>
      <c r="AA88" s="146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</row>
    <row r="89" spans="2:39" s="247" customFormat="1" ht="11">
      <c r="B89" s="144"/>
      <c r="C89" s="143"/>
      <c r="D89" s="907"/>
      <c r="E89" s="143"/>
      <c r="F89" s="145"/>
      <c r="G89" s="146"/>
      <c r="H89" s="146"/>
      <c r="I89" s="146"/>
      <c r="J89" s="146"/>
      <c r="K89" s="146"/>
      <c r="L89" s="146"/>
      <c r="M89" s="458"/>
      <c r="N89" s="145"/>
      <c r="O89" s="146"/>
      <c r="P89" s="146"/>
      <c r="Q89" s="147"/>
      <c r="R89" s="147"/>
      <c r="S89" s="142"/>
      <c r="T89" s="142"/>
      <c r="U89" s="146"/>
      <c r="V89" s="146"/>
      <c r="W89" s="146"/>
      <c r="X89" s="146"/>
      <c r="Y89" s="146"/>
      <c r="Z89" s="146"/>
      <c r="AA89" s="146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</row>
    <row r="90" spans="2:39" s="247" customFormat="1" ht="11">
      <c r="B90" s="144"/>
      <c r="C90" s="143"/>
      <c r="D90" s="907"/>
      <c r="E90" s="143"/>
      <c r="F90" s="145"/>
      <c r="G90" s="146"/>
      <c r="H90" s="146"/>
      <c r="I90" s="146"/>
      <c r="J90" s="146"/>
      <c r="K90" s="146"/>
      <c r="L90" s="146"/>
      <c r="M90" s="458"/>
      <c r="N90" s="145"/>
      <c r="O90" s="146"/>
      <c r="P90" s="146"/>
      <c r="Q90" s="147"/>
      <c r="R90" s="147"/>
      <c r="S90" s="142"/>
      <c r="T90" s="142"/>
      <c r="U90" s="146"/>
      <c r="V90" s="146"/>
      <c r="W90" s="146"/>
      <c r="X90" s="146"/>
      <c r="Y90" s="146"/>
      <c r="Z90" s="146"/>
      <c r="AA90" s="146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</row>
    <row r="91" spans="2:39" s="247" customFormat="1" ht="11">
      <c r="B91" s="248"/>
      <c r="D91" s="909"/>
      <c r="F91" s="249"/>
      <c r="G91" s="250"/>
      <c r="H91" s="250"/>
      <c r="I91" s="250"/>
      <c r="J91" s="250"/>
      <c r="K91" s="250"/>
      <c r="L91" s="250"/>
      <c r="M91" s="459"/>
      <c r="N91" s="249"/>
      <c r="O91" s="146"/>
      <c r="P91" s="146"/>
      <c r="Q91" s="147"/>
      <c r="R91" s="147"/>
      <c r="S91" s="142"/>
      <c r="T91" s="142"/>
      <c r="U91" s="146"/>
      <c r="V91" s="146"/>
      <c r="W91" s="146"/>
      <c r="X91" s="146"/>
      <c r="Y91" s="146"/>
      <c r="Z91" s="146"/>
      <c r="AA91" s="146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</row>
    <row r="92" spans="2:39" s="247" customFormat="1" ht="11">
      <c r="B92" s="248"/>
      <c r="D92" s="909"/>
      <c r="F92" s="249"/>
      <c r="G92" s="250"/>
      <c r="H92" s="250"/>
      <c r="I92" s="250"/>
      <c r="J92" s="250"/>
      <c r="K92" s="250"/>
      <c r="L92" s="250"/>
      <c r="M92" s="459"/>
      <c r="N92" s="249"/>
      <c r="O92" s="146"/>
      <c r="P92" s="146"/>
      <c r="Q92" s="147"/>
      <c r="R92" s="147"/>
      <c r="S92" s="142"/>
      <c r="T92" s="142"/>
      <c r="U92" s="146"/>
      <c r="V92" s="146"/>
      <c r="W92" s="146"/>
      <c r="X92" s="146"/>
      <c r="Y92" s="146"/>
      <c r="Z92" s="146"/>
      <c r="AA92" s="146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</row>
    <row r="93" spans="2:39" s="247" customFormat="1" ht="11">
      <c r="B93" s="248"/>
      <c r="D93" s="909"/>
      <c r="F93" s="249"/>
      <c r="G93" s="250"/>
      <c r="H93" s="250"/>
      <c r="I93" s="250"/>
      <c r="J93" s="250"/>
      <c r="K93" s="250"/>
      <c r="L93" s="250"/>
      <c r="M93" s="459"/>
      <c r="N93" s="249"/>
      <c r="O93" s="146"/>
      <c r="P93" s="146"/>
      <c r="Q93" s="147"/>
      <c r="R93" s="147"/>
      <c r="S93" s="142"/>
      <c r="T93" s="142"/>
      <c r="U93" s="146"/>
      <c r="V93" s="146"/>
      <c r="W93" s="146"/>
      <c r="X93" s="146"/>
      <c r="Y93" s="146"/>
      <c r="Z93" s="146"/>
      <c r="AA93" s="146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</row>
    <row r="94" spans="2:39" s="247" customFormat="1" ht="11">
      <c r="B94" s="248"/>
      <c r="D94" s="909"/>
      <c r="F94" s="249"/>
      <c r="G94" s="250"/>
      <c r="H94" s="250"/>
      <c r="I94" s="250"/>
      <c r="J94" s="250"/>
      <c r="K94" s="250"/>
      <c r="L94" s="250"/>
      <c r="M94" s="459"/>
      <c r="N94" s="249"/>
      <c r="O94" s="146"/>
      <c r="P94" s="146"/>
      <c r="Q94" s="147"/>
      <c r="R94" s="147"/>
      <c r="S94" s="142"/>
      <c r="T94" s="142"/>
      <c r="U94" s="146"/>
      <c r="V94" s="146"/>
      <c r="W94" s="146"/>
      <c r="X94" s="146"/>
      <c r="Y94" s="146"/>
      <c r="Z94" s="146"/>
      <c r="AA94" s="146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</row>
    <row r="95" spans="2:39" s="247" customFormat="1" ht="11">
      <c r="B95" s="248"/>
      <c r="D95" s="909"/>
      <c r="F95" s="249"/>
      <c r="G95" s="250"/>
      <c r="H95" s="250"/>
      <c r="I95" s="250"/>
      <c r="J95" s="250"/>
      <c r="K95" s="250"/>
      <c r="L95" s="250"/>
      <c r="M95" s="459"/>
      <c r="N95" s="249"/>
      <c r="O95" s="146"/>
      <c r="P95" s="146"/>
      <c r="Q95" s="147"/>
      <c r="R95" s="147"/>
      <c r="S95" s="142"/>
      <c r="T95" s="142"/>
      <c r="U95" s="146"/>
      <c r="V95" s="146"/>
      <c r="W95" s="146"/>
      <c r="X95" s="146"/>
      <c r="Y95" s="146"/>
      <c r="Z95" s="146"/>
      <c r="AA95" s="146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</row>
    <row r="96" spans="2:39" s="213" customFormat="1" ht="14" thickBot="1">
      <c r="B96" s="225"/>
      <c r="D96" s="910"/>
      <c r="F96" s="242"/>
      <c r="G96" s="243"/>
      <c r="H96" s="243"/>
      <c r="I96" s="243"/>
      <c r="J96" s="243"/>
      <c r="K96" s="243"/>
      <c r="L96" s="243"/>
      <c r="M96" s="459"/>
      <c r="N96" s="242"/>
      <c r="O96" s="141"/>
      <c r="P96" s="141"/>
      <c r="Q96" s="148"/>
      <c r="R96" s="148"/>
      <c r="S96" s="149"/>
      <c r="T96" s="149"/>
      <c r="U96" s="150"/>
      <c r="V96" s="150"/>
      <c r="W96" s="150"/>
      <c r="X96" s="150"/>
      <c r="Y96" s="150"/>
      <c r="Z96" s="150"/>
      <c r="AA96" s="150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</row>
    <row r="97" spans="2:41" s="213" customFormat="1" ht="15" thickTop="1" thickBot="1">
      <c r="B97" s="225"/>
      <c r="D97" s="910"/>
      <c r="F97" s="242"/>
      <c r="G97" s="243"/>
      <c r="H97" s="243"/>
      <c r="I97" s="243"/>
      <c r="J97" s="243"/>
      <c r="K97" s="243"/>
      <c r="L97" s="243"/>
      <c r="M97" s="459"/>
      <c r="N97" s="242"/>
      <c r="O97" s="141"/>
      <c r="P97" s="141"/>
      <c r="Q97" s="148"/>
      <c r="R97" s="148"/>
      <c r="S97" s="148"/>
      <c r="T97" s="148"/>
      <c r="U97" s="151"/>
      <c r="V97" s="152"/>
      <c r="W97" s="153"/>
      <c r="X97" s="153"/>
      <c r="Y97" s="153"/>
      <c r="Z97" s="153"/>
      <c r="AA97" s="154"/>
      <c r="AB97" s="246"/>
      <c r="AC97" s="246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</row>
    <row r="98" spans="2:41" s="213" customFormat="1" ht="14" thickTop="1">
      <c r="B98" s="225"/>
      <c r="D98" s="910"/>
      <c r="F98" s="242"/>
      <c r="G98" s="243"/>
      <c r="H98" s="243"/>
      <c r="I98" s="243"/>
      <c r="J98" s="243"/>
      <c r="K98" s="243"/>
      <c r="L98" s="243"/>
      <c r="M98" s="459"/>
      <c r="N98" s="242"/>
      <c r="O98" s="141"/>
      <c r="P98" s="141"/>
      <c r="Q98" s="148"/>
      <c r="R98" s="148"/>
      <c r="S98" s="149"/>
      <c r="T98" s="149"/>
      <c r="U98" s="150"/>
      <c r="V98" s="150"/>
      <c r="W98" s="150"/>
      <c r="X98" s="150"/>
      <c r="Y98" s="150"/>
      <c r="Z98" s="150"/>
      <c r="AA98" s="150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</row>
    <row r="99" spans="2:41" s="213" customFormat="1">
      <c r="B99" s="225"/>
      <c r="D99" s="910"/>
      <c r="F99" s="242"/>
      <c r="G99" s="243"/>
      <c r="H99" s="243"/>
      <c r="I99" s="243"/>
      <c r="J99" s="243"/>
      <c r="K99" s="243"/>
      <c r="L99" s="243"/>
      <c r="M99" s="459"/>
      <c r="N99" s="242"/>
      <c r="O99" s="141"/>
      <c r="P99" s="141"/>
      <c r="Q99" s="148"/>
      <c r="R99" s="148"/>
      <c r="S99" s="149"/>
      <c r="T99" s="149"/>
      <c r="U99" s="150"/>
      <c r="V99" s="150"/>
      <c r="W99" s="150"/>
      <c r="X99" s="150"/>
      <c r="Y99" s="150"/>
      <c r="Z99" s="150"/>
      <c r="AA99" s="150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</row>
    <row r="100" spans="2:41" s="213" customFormat="1">
      <c r="B100" s="225"/>
      <c r="D100" s="910"/>
      <c r="F100" s="242"/>
      <c r="G100" s="243"/>
      <c r="H100" s="243"/>
      <c r="I100" s="243"/>
      <c r="J100" s="243"/>
      <c r="K100" s="243"/>
      <c r="L100" s="243"/>
      <c r="M100" s="459"/>
      <c r="N100" s="242"/>
      <c r="O100" s="141"/>
      <c r="P100" s="141"/>
      <c r="Q100" s="148"/>
      <c r="R100" s="148"/>
      <c r="S100" s="149"/>
      <c r="T100" s="149"/>
      <c r="U100" s="150"/>
      <c r="V100" s="150"/>
      <c r="W100" s="150"/>
      <c r="X100" s="150"/>
      <c r="Y100" s="150"/>
      <c r="Z100" s="150"/>
      <c r="AA100" s="150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</row>
    <row r="101" spans="2:41" s="213" customFormat="1">
      <c r="B101" s="225"/>
      <c r="D101" s="910"/>
      <c r="F101" s="242"/>
      <c r="G101" s="243"/>
      <c r="H101" s="243"/>
      <c r="I101" s="243"/>
      <c r="J101" s="243"/>
      <c r="K101" s="243"/>
      <c r="L101" s="243"/>
      <c r="M101" s="459"/>
      <c r="N101" s="242"/>
      <c r="O101" s="141"/>
      <c r="P101" s="141"/>
      <c r="Q101" s="148"/>
      <c r="R101" s="148"/>
      <c r="S101" s="149"/>
      <c r="T101" s="149"/>
      <c r="U101" s="150"/>
      <c r="V101" s="150"/>
      <c r="W101" s="150"/>
      <c r="X101" s="150"/>
      <c r="Y101" s="150"/>
      <c r="Z101" s="150"/>
      <c r="AA101" s="150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</row>
    <row r="102" spans="2:41" s="213" customFormat="1">
      <c r="B102" s="225"/>
      <c r="D102" s="910"/>
      <c r="F102" s="242"/>
      <c r="G102" s="243"/>
      <c r="H102" s="243"/>
      <c r="I102" s="243"/>
      <c r="J102" s="243"/>
      <c r="K102" s="243"/>
      <c r="L102" s="243"/>
      <c r="M102" s="459"/>
      <c r="N102" s="242"/>
      <c r="O102" s="141"/>
      <c r="P102" s="141"/>
      <c r="Q102" s="148"/>
      <c r="R102" s="148"/>
      <c r="S102" s="149"/>
      <c r="T102" s="149"/>
      <c r="U102" s="150"/>
      <c r="V102" s="150"/>
      <c r="W102" s="150"/>
      <c r="X102" s="150"/>
      <c r="Y102" s="150"/>
      <c r="Z102" s="150"/>
      <c r="AA102" s="150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2:41" s="213" customFormat="1">
      <c r="B103" s="225"/>
      <c r="D103" s="910"/>
      <c r="F103" s="242"/>
      <c r="G103" s="243"/>
      <c r="H103" s="243"/>
      <c r="I103" s="243"/>
      <c r="J103" s="243"/>
      <c r="K103" s="243"/>
      <c r="L103" s="243"/>
      <c r="M103" s="459"/>
      <c r="N103" s="242"/>
      <c r="O103" s="141"/>
      <c r="P103" s="141"/>
      <c r="Q103" s="148"/>
      <c r="R103" s="148"/>
      <c r="S103" s="149"/>
      <c r="T103" s="149"/>
      <c r="U103" s="150"/>
      <c r="V103" s="150"/>
      <c r="W103" s="150"/>
      <c r="X103" s="150"/>
      <c r="Y103" s="150"/>
      <c r="Z103" s="150"/>
      <c r="AA103" s="150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2:41" s="213" customFormat="1">
      <c r="B104" s="225"/>
      <c r="D104" s="910"/>
      <c r="F104" s="242"/>
      <c r="G104" s="243"/>
      <c r="H104" s="243"/>
      <c r="I104" s="243"/>
      <c r="J104" s="243"/>
      <c r="K104" s="243"/>
      <c r="L104" s="243"/>
      <c r="M104" s="459"/>
      <c r="N104" s="242"/>
      <c r="O104" s="141"/>
      <c r="P104" s="141"/>
      <c r="Q104" s="148"/>
      <c r="R104" s="148"/>
      <c r="S104" s="149"/>
      <c r="T104" s="149"/>
      <c r="U104" s="150"/>
      <c r="V104" s="150"/>
      <c r="W104" s="150"/>
      <c r="X104" s="150"/>
      <c r="Y104" s="150"/>
      <c r="Z104" s="150"/>
      <c r="AA104" s="150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2:41" s="213" customFormat="1">
      <c r="B105" s="225"/>
      <c r="D105" s="910"/>
      <c r="F105" s="242"/>
      <c r="G105" s="243"/>
      <c r="H105" s="243"/>
      <c r="I105" s="243"/>
      <c r="J105" s="243"/>
      <c r="K105" s="243"/>
      <c r="L105" s="243"/>
      <c r="M105" s="459"/>
      <c r="N105" s="242"/>
      <c r="O105" s="141"/>
      <c r="P105" s="141"/>
      <c r="Q105" s="148"/>
      <c r="R105" s="148"/>
      <c r="S105" s="149"/>
      <c r="T105" s="149"/>
      <c r="U105" s="150"/>
      <c r="V105" s="150"/>
      <c r="W105" s="150"/>
      <c r="X105" s="150"/>
      <c r="Y105" s="150"/>
      <c r="Z105" s="150"/>
      <c r="AA105" s="150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2:41" s="213" customFormat="1">
      <c r="B106" s="225"/>
      <c r="D106" s="910"/>
      <c r="F106" s="242"/>
      <c r="G106" s="243"/>
      <c r="H106" s="243"/>
      <c r="I106" s="243"/>
      <c r="J106" s="243"/>
      <c r="K106" s="243"/>
      <c r="L106" s="243"/>
      <c r="M106" s="459"/>
      <c r="N106" s="242"/>
      <c r="O106" s="141"/>
      <c r="P106" s="141"/>
      <c r="Q106" s="148"/>
      <c r="R106" s="148"/>
      <c r="S106" s="149"/>
      <c r="T106" s="149"/>
      <c r="U106" s="150"/>
      <c r="V106" s="150"/>
      <c r="W106" s="150"/>
      <c r="X106" s="150"/>
      <c r="Y106" s="150"/>
      <c r="Z106" s="150"/>
      <c r="AA106" s="150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2:41" s="213" customFormat="1">
      <c r="B107" s="225"/>
      <c r="D107" s="910"/>
      <c r="F107" s="242"/>
      <c r="G107" s="243"/>
      <c r="H107" s="243"/>
      <c r="I107" s="243"/>
      <c r="J107" s="243"/>
      <c r="K107" s="243"/>
      <c r="L107" s="243"/>
      <c r="M107" s="459"/>
      <c r="N107" s="242"/>
      <c r="O107" s="141"/>
      <c r="P107" s="141"/>
      <c r="Q107" s="148"/>
      <c r="R107" s="148"/>
      <c r="S107" s="149"/>
      <c r="T107" s="149"/>
      <c r="U107" s="150"/>
      <c r="V107" s="150"/>
      <c r="W107" s="150"/>
      <c r="X107" s="150"/>
      <c r="Y107" s="150"/>
      <c r="Z107" s="150"/>
      <c r="AA107" s="150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2:41" s="213" customFormat="1">
      <c r="B108" s="225"/>
      <c r="D108" s="910"/>
      <c r="F108" s="242"/>
      <c r="G108" s="243"/>
      <c r="H108" s="243"/>
      <c r="I108" s="243"/>
      <c r="J108" s="243"/>
      <c r="K108" s="243"/>
      <c r="L108" s="243"/>
      <c r="M108" s="459"/>
      <c r="N108" s="242"/>
      <c r="O108" s="141"/>
      <c r="P108" s="141"/>
      <c r="Q108" s="148"/>
      <c r="R108" s="148"/>
      <c r="S108" s="149"/>
      <c r="T108" s="149"/>
      <c r="U108" s="150"/>
      <c r="V108" s="150"/>
      <c r="W108" s="150"/>
      <c r="X108" s="150"/>
      <c r="Y108" s="150"/>
      <c r="Z108" s="150"/>
      <c r="AA108" s="150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2:41" s="213" customFormat="1">
      <c r="B109" s="225"/>
      <c r="D109" s="910"/>
      <c r="F109" s="242"/>
      <c r="G109" s="243"/>
      <c r="H109" s="243"/>
      <c r="I109" s="243"/>
      <c r="J109" s="243"/>
      <c r="K109" s="243"/>
      <c r="L109" s="243"/>
      <c r="M109" s="459"/>
      <c r="N109" s="242"/>
      <c r="O109" s="141"/>
      <c r="P109" s="141"/>
      <c r="Q109" s="148"/>
      <c r="R109" s="148"/>
      <c r="S109" s="149"/>
      <c r="T109" s="149"/>
      <c r="U109" s="150"/>
      <c r="V109" s="150"/>
      <c r="W109" s="150"/>
      <c r="X109" s="150"/>
      <c r="Y109" s="150"/>
      <c r="Z109" s="150"/>
      <c r="AA109" s="150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2:41" s="213" customFormat="1">
      <c r="B110" s="225"/>
      <c r="D110" s="910"/>
      <c r="F110" s="242"/>
      <c r="G110" s="243"/>
      <c r="H110" s="243"/>
      <c r="I110" s="243"/>
      <c r="J110" s="243"/>
      <c r="K110" s="243"/>
      <c r="L110" s="243"/>
      <c r="M110" s="459"/>
      <c r="N110" s="242"/>
      <c r="O110" s="141"/>
      <c r="P110" s="141"/>
      <c r="Q110" s="148"/>
      <c r="R110" s="148"/>
      <c r="S110" s="149"/>
      <c r="T110" s="149"/>
      <c r="U110" s="150"/>
      <c r="V110" s="150"/>
      <c r="W110" s="150"/>
      <c r="X110" s="150"/>
      <c r="Y110" s="150"/>
      <c r="Z110" s="150"/>
      <c r="AA110" s="150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2:41" s="213" customFormat="1">
      <c r="B111" s="225"/>
      <c r="D111" s="910"/>
      <c r="F111" s="242"/>
      <c r="G111" s="243"/>
      <c r="H111" s="243"/>
      <c r="I111" s="243"/>
      <c r="J111" s="243"/>
      <c r="K111" s="243"/>
      <c r="L111" s="243"/>
      <c r="M111" s="459"/>
      <c r="N111" s="242"/>
      <c r="O111" s="141"/>
      <c r="P111" s="141"/>
      <c r="Q111" s="148"/>
      <c r="R111" s="148"/>
      <c r="S111" s="149"/>
      <c r="T111" s="149"/>
      <c r="U111" s="150"/>
      <c r="V111" s="150"/>
      <c r="W111" s="150"/>
      <c r="X111" s="150"/>
      <c r="Y111" s="150"/>
      <c r="Z111" s="150"/>
      <c r="AA111" s="150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2:41" s="213" customFormat="1">
      <c r="B112" s="225"/>
      <c r="D112" s="910"/>
      <c r="F112" s="242"/>
      <c r="G112" s="243"/>
      <c r="H112" s="243"/>
      <c r="I112" s="243"/>
      <c r="J112" s="243"/>
      <c r="K112" s="243"/>
      <c r="L112" s="243"/>
      <c r="M112" s="459"/>
      <c r="N112" s="242"/>
      <c r="O112" s="141"/>
      <c r="P112" s="141"/>
      <c r="Q112" s="148"/>
      <c r="R112" s="148"/>
      <c r="S112" s="149"/>
      <c r="T112" s="149"/>
      <c r="U112" s="150"/>
      <c r="V112" s="150"/>
      <c r="W112" s="150"/>
      <c r="X112" s="150"/>
      <c r="Y112" s="150"/>
      <c r="Z112" s="150"/>
      <c r="AA112" s="150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2:39" s="213" customFormat="1">
      <c r="B113" s="225"/>
      <c r="D113" s="910"/>
      <c r="F113" s="242"/>
      <c r="G113" s="243"/>
      <c r="H113" s="243"/>
      <c r="I113" s="243"/>
      <c r="J113" s="243"/>
      <c r="K113" s="243"/>
      <c r="L113" s="243"/>
      <c r="M113" s="459"/>
      <c r="N113" s="242"/>
      <c r="O113" s="141"/>
      <c r="P113" s="141"/>
      <c r="Q113" s="148"/>
      <c r="R113" s="148"/>
      <c r="S113" s="149"/>
      <c r="T113" s="149"/>
      <c r="U113" s="150"/>
      <c r="V113" s="150"/>
      <c r="W113" s="150"/>
      <c r="X113" s="150"/>
      <c r="Y113" s="150"/>
      <c r="Z113" s="150"/>
      <c r="AA113" s="150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</row>
    <row r="114" spans="2:39" s="213" customFormat="1">
      <c r="B114" s="225"/>
      <c r="D114" s="910"/>
      <c r="F114" s="242"/>
      <c r="G114" s="243"/>
      <c r="H114" s="243"/>
      <c r="I114" s="243"/>
      <c r="J114" s="243"/>
      <c r="K114" s="243"/>
      <c r="L114" s="243"/>
      <c r="M114" s="459"/>
      <c r="N114" s="242"/>
      <c r="O114" s="141"/>
      <c r="P114" s="141"/>
      <c r="Q114" s="148"/>
      <c r="R114" s="148"/>
      <c r="S114" s="149"/>
      <c r="T114" s="149"/>
      <c r="U114" s="150"/>
      <c r="V114" s="150"/>
      <c r="W114" s="150"/>
      <c r="X114" s="150"/>
      <c r="Y114" s="150"/>
      <c r="Z114" s="150"/>
      <c r="AA114" s="150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2:39" s="213" customFormat="1">
      <c r="B115" s="225"/>
      <c r="D115" s="910"/>
      <c r="F115" s="242"/>
      <c r="G115" s="243"/>
      <c r="H115" s="243"/>
      <c r="I115" s="243"/>
      <c r="J115" s="243"/>
      <c r="K115" s="243"/>
      <c r="L115" s="243"/>
      <c r="M115" s="459"/>
      <c r="N115" s="242"/>
      <c r="O115" s="141"/>
      <c r="P115" s="141"/>
      <c r="Q115" s="148"/>
      <c r="R115" s="148"/>
      <c r="S115" s="149"/>
      <c r="T115" s="149"/>
      <c r="U115" s="150"/>
      <c r="V115" s="150"/>
      <c r="W115" s="150"/>
      <c r="X115" s="150"/>
      <c r="Y115" s="150"/>
      <c r="Z115" s="150"/>
      <c r="AA115" s="150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2:39" s="213" customFormat="1">
      <c r="B116" s="225"/>
      <c r="D116" s="910"/>
      <c r="F116" s="242"/>
      <c r="G116" s="243"/>
      <c r="H116" s="243"/>
      <c r="I116" s="243"/>
      <c r="J116" s="243"/>
      <c r="K116" s="243"/>
      <c r="L116" s="243"/>
      <c r="M116" s="459"/>
      <c r="N116" s="242"/>
      <c r="O116" s="141"/>
      <c r="P116" s="141"/>
      <c r="Q116" s="148"/>
      <c r="R116" s="148"/>
      <c r="S116" s="149"/>
      <c r="T116" s="149"/>
      <c r="U116" s="150"/>
      <c r="V116" s="150"/>
      <c r="W116" s="150"/>
      <c r="X116" s="150"/>
      <c r="Y116" s="150"/>
      <c r="Z116" s="150"/>
      <c r="AA116" s="150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2:39" s="213" customFormat="1">
      <c r="B117" s="225"/>
      <c r="D117" s="910"/>
      <c r="F117" s="242"/>
      <c r="G117" s="243"/>
      <c r="H117" s="243"/>
      <c r="I117" s="243"/>
      <c r="J117" s="243"/>
      <c r="K117" s="243"/>
      <c r="L117" s="243"/>
      <c r="M117" s="459"/>
      <c r="N117" s="242"/>
      <c r="O117" s="141"/>
      <c r="P117" s="141"/>
      <c r="Q117" s="148"/>
      <c r="R117" s="148"/>
      <c r="S117" s="149"/>
      <c r="T117" s="149"/>
      <c r="U117" s="150"/>
      <c r="V117" s="150"/>
      <c r="W117" s="150"/>
      <c r="X117" s="150"/>
      <c r="Y117" s="150"/>
      <c r="Z117" s="150"/>
      <c r="AA117" s="150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2:39" s="213" customFormat="1">
      <c r="B118" s="225"/>
      <c r="D118" s="910"/>
      <c r="F118" s="242"/>
      <c r="G118" s="243"/>
      <c r="H118" s="243"/>
      <c r="I118" s="243"/>
      <c r="J118" s="243"/>
      <c r="K118" s="243"/>
      <c r="L118" s="243"/>
      <c r="M118" s="459"/>
      <c r="N118" s="242"/>
      <c r="O118" s="141"/>
      <c r="P118" s="141"/>
      <c r="Q118" s="148"/>
      <c r="R118" s="148"/>
      <c r="S118" s="149"/>
      <c r="T118" s="149"/>
      <c r="U118" s="150"/>
      <c r="V118" s="150"/>
      <c r="W118" s="150"/>
      <c r="X118" s="150"/>
      <c r="Y118" s="150"/>
      <c r="Z118" s="150"/>
      <c r="AA118" s="150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2:39" s="213" customFormat="1">
      <c r="B119" s="225"/>
      <c r="D119" s="910"/>
      <c r="F119" s="242"/>
      <c r="G119" s="243"/>
      <c r="H119" s="243"/>
      <c r="I119" s="243"/>
      <c r="J119" s="243"/>
      <c r="K119" s="243"/>
      <c r="L119" s="243"/>
      <c r="M119" s="459"/>
      <c r="N119" s="242"/>
      <c r="O119" s="141"/>
      <c r="P119" s="141"/>
      <c r="Q119" s="148"/>
      <c r="R119" s="148"/>
      <c r="S119" s="149"/>
      <c r="T119" s="149"/>
      <c r="U119" s="150"/>
      <c r="V119" s="150"/>
      <c r="W119" s="150"/>
      <c r="X119" s="150"/>
      <c r="Y119" s="150"/>
      <c r="Z119" s="150"/>
      <c r="AA119" s="150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2:39" s="213" customFormat="1">
      <c r="B120" s="225"/>
      <c r="D120" s="910"/>
      <c r="F120" s="242"/>
      <c r="G120" s="243"/>
      <c r="H120" s="243"/>
      <c r="I120" s="243"/>
      <c r="J120" s="243"/>
      <c r="K120" s="243"/>
      <c r="L120" s="243"/>
      <c r="M120" s="459"/>
      <c r="N120" s="242"/>
      <c r="O120" s="141"/>
      <c r="P120" s="141"/>
      <c r="Q120" s="148"/>
      <c r="R120" s="148"/>
      <c r="S120" s="149"/>
      <c r="T120" s="149"/>
      <c r="U120" s="150"/>
      <c r="V120" s="150"/>
      <c r="W120" s="150"/>
      <c r="X120" s="150"/>
      <c r="Y120" s="150"/>
      <c r="Z120" s="150"/>
      <c r="AA120" s="150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2:39" s="213" customFormat="1">
      <c r="B121" s="225"/>
      <c r="D121" s="910"/>
      <c r="F121" s="242"/>
      <c r="G121" s="243"/>
      <c r="H121" s="243"/>
      <c r="I121" s="243"/>
      <c r="J121" s="243"/>
      <c r="K121" s="243"/>
      <c r="L121" s="243"/>
      <c r="M121" s="459"/>
      <c r="N121" s="242"/>
      <c r="O121" s="141"/>
      <c r="P121" s="141"/>
      <c r="Q121" s="148"/>
      <c r="R121" s="148"/>
      <c r="S121" s="149"/>
      <c r="T121" s="149"/>
      <c r="U121" s="150"/>
      <c r="V121" s="150"/>
      <c r="W121" s="150"/>
      <c r="X121" s="150"/>
      <c r="Y121" s="150"/>
      <c r="Z121" s="150"/>
      <c r="AA121" s="150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2:39" s="213" customFormat="1">
      <c r="B122" s="225"/>
      <c r="D122" s="910"/>
      <c r="F122" s="242"/>
      <c r="G122" s="243"/>
      <c r="H122" s="243"/>
      <c r="I122" s="243"/>
      <c r="J122" s="243"/>
      <c r="K122" s="243"/>
      <c r="L122" s="243"/>
      <c r="M122" s="459"/>
      <c r="N122" s="242"/>
      <c r="O122" s="141"/>
      <c r="P122" s="141"/>
      <c r="Q122" s="148"/>
      <c r="R122" s="148"/>
      <c r="S122" s="149"/>
      <c r="T122" s="149"/>
      <c r="U122" s="150"/>
      <c r="V122" s="150"/>
      <c r="W122" s="150"/>
      <c r="X122" s="150"/>
      <c r="Y122" s="150"/>
      <c r="Z122" s="150"/>
      <c r="AA122" s="150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2:39" s="213" customFormat="1">
      <c r="B123" s="225"/>
      <c r="D123" s="910"/>
      <c r="F123" s="242"/>
      <c r="G123" s="243"/>
      <c r="H123" s="243"/>
      <c r="I123" s="243"/>
      <c r="J123" s="243"/>
      <c r="K123" s="243"/>
      <c r="L123" s="243"/>
      <c r="M123" s="459"/>
      <c r="N123" s="242"/>
      <c r="O123" s="141"/>
      <c r="P123" s="141"/>
      <c r="Q123" s="148"/>
      <c r="R123" s="148"/>
      <c r="S123" s="149"/>
      <c r="T123" s="149"/>
      <c r="U123" s="150"/>
      <c r="V123" s="150"/>
      <c r="W123" s="150"/>
      <c r="X123" s="150"/>
      <c r="Y123" s="150"/>
      <c r="Z123" s="150"/>
      <c r="AA123" s="150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</row>
    <row r="124" spans="2:39" s="213" customFormat="1">
      <c r="B124" s="225"/>
      <c r="D124" s="910"/>
      <c r="F124" s="242"/>
      <c r="G124" s="243"/>
      <c r="H124" s="243"/>
      <c r="I124" s="243"/>
      <c r="J124" s="243"/>
      <c r="K124" s="243"/>
      <c r="L124" s="243"/>
      <c r="M124" s="459"/>
      <c r="N124" s="242"/>
      <c r="O124" s="141"/>
      <c r="P124" s="141"/>
      <c r="Q124" s="148"/>
      <c r="R124" s="148"/>
      <c r="S124" s="149"/>
      <c r="T124" s="149"/>
      <c r="U124" s="150"/>
      <c r="V124" s="150"/>
      <c r="W124" s="150"/>
      <c r="X124" s="150"/>
      <c r="Y124" s="150"/>
      <c r="Z124" s="150"/>
      <c r="AA124" s="150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</row>
    <row r="125" spans="2:39" s="213" customFormat="1">
      <c r="B125" s="225"/>
      <c r="D125" s="910"/>
      <c r="F125" s="242"/>
      <c r="G125" s="243"/>
      <c r="H125" s="243"/>
      <c r="I125" s="243"/>
      <c r="J125" s="243"/>
      <c r="K125" s="243"/>
      <c r="L125" s="243"/>
      <c r="M125" s="459"/>
      <c r="N125" s="242"/>
      <c r="O125" s="141"/>
      <c r="P125" s="141"/>
      <c r="Q125" s="148"/>
      <c r="R125" s="148"/>
      <c r="S125" s="149"/>
      <c r="T125" s="149"/>
      <c r="U125" s="150"/>
      <c r="V125" s="150"/>
      <c r="W125" s="150"/>
      <c r="X125" s="150"/>
      <c r="Y125" s="150"/>
      <c r="Z125" s="150"/>
      <c r="AA125" s="150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2:39" s="213" customFormat="1">
      <c r="B126" s="225"/>
      <c r="D126" s="910"/>
      <c r="F126" s="242"/>
      <c r="G126" s="243"/>
      <c r="H126" s="243"/>
      <c r="I126" s="243"/>
      <c r="J126" s="243"/>
      <c r="K126" s="243"/>
      <c r="L126" s="243"/>
      <c r="M126" s="459"/>
      <c r="N126" s="242"/>
      <c r="O126" s="141"/>
      <c r="P126" s="141"/>
      <c r="Q126" s="148"/>
      <c r="R126" s="148"/>
      <c r="S126" s="149"/>
      <c r="T126" s="149"/>
      <c r="U126" s="150"/>
      <c r="V126" s="150"/>
      <c r="W126" s="150"/>
      <c r="X126" s="150"/>
      <c r="Y126" s="150"/>
      <c r="Z126" s="150"/>
      <c r="AA126" s="150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2:39" s="213" customFormat="1">
      <c r="B127" s="225"/>
      <c r="D127" s="910"/>
      <c r="F127" s="242"/>
      <c r="G127" s="243"/>
      <c r="H127" s="243"/>
      <c r="I127" s="243"/>
      <c r="J127" s="243"/>
      <c r="K127" s="243"/>
      <c r="L127" s="243"/>
      <c r="M127" s="459"/>
      <c r="N127" s="242"/>
      <c r="O127" s="141"/>
      <c r="P127" s="141"/>
      <c r="Q127" s="148"/>
      <c r="R127" s="148"/>
      <c r="S127" s="149"/>
      <c r="T127" s="149"/>
      <c r="U127" s="150"/>
      <c r="V127" s="150"/>
      <c r="W127" s="150"/>
      <c r="X127" s="150"/>
      <c r="Y127" s="150"/>
      <c r="Z127" s="150"/>
      <c r="AA127" s="150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2:39" s="213" customFormat="1">
      <c r="B128" s="225"/>
      <c r="D128" s="910"/>
      <c r="F128" s="242"/>
      <c r="G128" s="243"/>
      <c r="H128" s="243"/>
      <c r="I128" s="243"/>
      <c r="J128" s="243"/>
      <c r="K128" s="243"/>
      <c r="L128" s="243"/>
      <c r="M128" s="459"/>
      <c r="N128" s="242"/>
      <c r="O128" s="141"/>
      <c r="P128" s="141"/>
      <c r="Q128" s="148"/>
      <c r="R128" s="148"/>
      <c r="S128" s="149"/>
      <c r="T128" s="149"/>
      <c r="U128" s="150"/>
      <c r="V128" s="150"/>
      <c r="W128" s="150"/>
      <c r="X128" s="150"/>
      <c r="Y128" s="150"/>
      <c r="Z128" s="150"/>
      <c r="AA128" s="150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15:27">
      <c r="O129" s="155"/>
      <c r="P129" s="155"/>
      <c r="Q129" s="156"/>
      <c r="R129" s="156"/>
      <c r="S129" s="251"/>
      <c r="T129" s="251"/>
      <c r="U129" s="252"/>
      <c r="V129" s="252"/>
      <c r="W129" s="252"/>
      <c r="X129" s="252"/>
      <c r="Y129" s="252"/>
      <c r="Z129" s="252"/>
      <c r="AA129" s="252"/>
    </row>
    <row r="130" spans="15:27">
      <c r="O130" s="155"/>
      <c r="P130" s="155"/>
      <c r="Q130" s="156"/>
      <c r="R130" s="156"/>
      <c r="S130" s="251"/>
      <c r="T130" s="251"/>
      <c r="U130" s="252"/>
      <c r="V130" s="252"/>
      <c r="W130" s="252"/>
      <c r="X130" s="252"/>
      <c r="Y130" s="252"/>
      <c r="Z130" s="252"/>
      <c r="AA130" s="252"/>
    </row>
    <row r="131" spans="15:27">
      <c r="O131" s="155"/>
      <c r="P131" s="155"/>
      <c r="Q131" s="156"/>
      <c r="R131" s="156"/>
      <c r="S131" s="251"/>
      <c r="T131" s="251"/>
      <c r="U131" s="252"/>
      <c r="V131" s="252"/>
      <c r="W131" s="252"/>
      <c r="X131" s="252"/>
      <c r="Y131" s="252"/>
      <c r="Z131" s="252"/>
      <c r="AA131" s="252"/>
    </row>
    <row r="132" spans="15:27">
      <c r="O132" s="155"/>
      <c r="P132" s="155"/>
      <c r="Q132" s="156"/>
      <c r="R132" s="156"/>
      <c r="S132" s="251"/>
      <c r="T132" s="251"/>
      <c r="U132" s="252"/>
      <c r="V132" s="252"/>
      <c r="W132" s="252"/>
      <c r="X132" s="252"/>
      <c r="Y132" s="252"/>
      <c r="Z132" s="252"/>
      <c r="AA132" s="252"/>
    </row>
    <row r="133" spans="15:27">
      <c r="O133" s="155"/>
      <c r="P133" s="155"/>
      <c r="Q133" s="156"/>
      <c r="R133" s="156"/>
      <c r="S133" s="251"/>
      <c r="T133" s="251"/>
      <c r="U133" s="252"/>
      <c r="V133" s="252"/>
      <c r="W133" s="252"/>
      <c r="X133" s="252"/>
      <c r="Y133" s="252"/>
      <c r="Z133" s="252"/>
      <c r="AA133" s="252"/>
    </row>
    <row r="134" spans="15:27">
      <c r="O134" s="155"/>
      <c r="P134" s="155"/>
      <c r="Q134" s="156"/>
      <c r="R134" s="156"/>
      <c r="S134" s="251"/>
      <c r="T134" s="251"/>
      <c r="U134" s="252"/>
      <c r="V134" s="252"/>
      <c r="W134" s="252"/>
      <c r="X134" s="252"/>
      <c r="Y134" s="252"/>
      <c r="Z134" s="252"/>
      <c r="AA134" s="252"/>
    </row>
    <row r="135" spans="15:27">
      <c r="O135" s="155"/>
      <c r="P135" s="155"/>
      <c r="Q135" s="156"/>
      <c r="R135" s="156"/>
      <c r="S135" s="251"/>
      <c r="T135" s="251"/>
      <c r="U135" s="252"/>
      <c r="V135" s="252"/>
      <c r="W135" s="252"/>
      <c r="X135" s="252"/>
      <c r="Y135" s="252"/>
      <c r="Z135" s="252"/>
      <c r="AA135" s="252"/>
    </row>
    <row r="136" spans="15:27">
      <c r="O136" s="155"/>
      <c r="P136" s="155"/>
      <c r="Q136" s="156"/>
      <c r="R136" s="156"/>
      <c r="S136" s="251"/>
      <c r="T136" s="251"/>
      <c r="U136" s="252"/>
      <c r="V136" s="252"/>
      <c r="W136" s="252"/>
      <c r="X136" s="252"/>
      <c r="Y136" s="252"/>
      <c r="Z136" s="252"/>
      <c r="AA136" s="252"/>
    </row>
    <row r="137" spans="15:27">
      <c r="O137" s="155"/>
      <c r="P137" s="155"/>
      <c r="Q137" s="156"/>
      <c r="R137" s="156"/>
      <c r="S137" s="251"/>
      <c r="T137" s="251"/>
      <c r="U137" s="252"/>
      <c r="V137" s="252"/>
      <c r="W137" s="252"/>
      <c r="X137" s="252"/>
      <c r="Y137" s="252"/>
      <c r="Z137" s="252"/>
      <c r="AA137" s="252"/>
    </row>
    <row r="138" spans="15:27">
      <c r="O138" s="155"/>
      <c r="P138" s="155"/>
      <c r="Q138" s="156"/>
      <c r="R138" s="156"/>
      <c r="S138" s="251"/>
      <c r="T138" s="251"/>
      <c r="U138" s="252"/>
      <c r="V138" s="252"/>
      <c r="W138" s="252"/>
      <c r="X138" s="252"/>
      <c r="Y138" s="252"/>
      <c r="Z138" s="252"/>
      <c r="AA138" s="252"/>
    </row>
    <row r="139" spans="15:27">
      <c r="O139" s="155"/>
      <c r="P139" s="155"/>
      <c r="Q139" s="156"/>
      <c r="R139" s="156"/>
      <c r="S139" s="251"/>
      <c r="T139" s="251"/>
      <c r="U139" s="252"/>
      <c r="V139" s="252"/>
      <c r="W139" s="252"/>
      <c r="X139" s="252"/>
      <c r="Y139" s="252"/>
      <c r="Z139" s="252"/>
      <c r="AA139" s="252"/>
    </row>
    <row r="140" spans="15:27">
      <c r="O140" s="155"/>
      <c r="P140" s="155"/>
      <c r="Q140" s="156"/>
      <c r="R140" s="156"/>
      <c r="S140" s="251"/>
      <c r="T140" s="251"/>
      <c r="U140" s="252"/>
      <c r="V140" s="252"/>
      <c r="W140" s="252"/>
      <c r="X140" s="252"/>
      <c r="Y140" s="252"/>
      <c r="Z140" s="252"/>
      <c r="AA140" s="252"/>
    </row>
    <row r="141" spans="15:27">
      <c r="O141" s="155"/>
      <c r="P141" s="155"/>
      <c r="Q141" s="156"/>
      <c r="R141" s="156"/>
      <c r="S141" s="251"/>
      <c r="T141" s="251"/>
      <c r="U141" s="252"/>
      <c r="V141" s="252"/>
      <c r="W141" s="252"/>
      <c r="X141" s="252"/>
      <c r="Y141" s="252"/>
      <c r="Z141" s="252"/>
      <c r="AA141" s="252"/>
    </row>
  </sheetData>
  <mergeCells count="1">
    <mergeCell ref="Q72:R72"/>
  </mergeCells>
  <phoneticPr fontId="19" type="noConversion"/>
  <conditionalFormatting sqref="I11:K11">
    <cfRule type="cellIs" dxfId="222" priority="5" stopIfTrue="1" operator="equal">
      <formula>1</formula>
    </cfRule>
  </conditionalFormatting>
  <conditionalFormatting sqref="H13">
    <cfRule type="cellIs" dxfId="221" priority="1" stopIfTrue="1" operator="equal">
      <formula>1</formula>
    </cfRule>
  </conditionalFormatting>
  <conditionalFormatting sqref="I13:K13">
    <cfRule type="cellIs" dxfId="220" priority="4" stopIfTrue="1" operator="equal">
      <formula>1</formula>
    </cfRule>
  </conditionalFormatting>
  <conditionalFormatting sqref="H10">
    <cfRule type="cellIs" dxfId="219" priority="3" stopIfTrue="1" operator="equal">
      <formula>1</formula>
    </cfRule>
  </conditionalFormatting>
  <conditionalFormatting sqref="H11">
    <cfRule type="cellIs" dxfId="218" priority="2" stopIfTrue="1" operator="equal">
      <formula>1</formula>
    </cfRule>
  </conditionalFormatting>
  <conditionalFormatting sqref="AC7:AI7">
    <cfRule type="cellIs" dxfId="217" priority="9" stopIfTrue="1" operator="lessThan">
      <formula>0</formula>
    </cfRule>
  </conditionalFormatting>
  <conditionalFormatting sqref="F10:G10 D10 I10:K10">
    <cfRule type="cellIs" dxfId="216" priority="8" stopIfTrue="1" operator="equal">
      <formula>1</formula>
    </cfRule>
  </conditionalFormatting>
  <conditionalFormatting sqref="D11 F11:G11">
    <cfRule type="cellIs" dxfId="215" priority="7" stopIfTrue="1" operator="equal">
      <formula>1</formula>
    </cfRule>
  </conditionalFormatting>
  <conditionalFormatting sqref="D13 F13:G13">
    <cfRule type="cellIs" dxfId="214" priority="6" stopIfTrue="1" operator="equal">
      <formula>1</formula>
    </cfRule>
  </conditionalFormatting>
  <printOptions horizontalCentered="1" verticalCentered="1"/>
  <pageMargins left="0" right="0" top="0.59055118110236227" bottom="0.59055118110236227" header="0.51181102362204722" footer="0"/>
  <pageSetup paperSize="9" fitToHeight="2" orientation="landscape" horizontalDpi="0" verticalDpi="0"/>
  <headerFooter>
    <oddHeader>&amp;Z&amp;F&amp;RPágina &amp;P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CA0B3-20E5-4C42-ACDF-D46EA22E3C8C}">
  <sheetPr codeName="Hoja41"/>
  <dimension ref="A1:AO144"/>
  <sheetViews>
    <sheetView topLeftCell="A48" zoomScale="150" zoomScaleNormal="150" workbookViewId="0">
      <selection activeCell="A46" sqref="A46:R72"/>
    </sheetView>
  </sheetViews>
  <sheetFormatPr baseColWidth="10" defaultColWidth="11.5" defaultRowHeight="13"/>
  <cols>
    <col min="1" max="1" width="3" style="215" customWidth="1"/>
    <col min="2" max="2" width="2.83203125" style="216" customWidth="1"/>
    <col min="3" max="3" width="1.6640625" style="204" customWidth="1"/>
    <col min="4" max="4" width="0.6640625" style="902" customWidth="1"/>
    <col min="5" max="5" width="2.83203125" style="204" customWidth="1"/>
    <col min="6" max="6" width="3.33203125" style="207" customWidth="1"/>
    <col min="7" max="7" width="5.6640625" style="208" customWidth="1"/>
    <col min="8" max="8" width="6.33203125" style="208" customWidth="1"/>
    <col min="9" max="10" width="7.6640625" style="208" customWidth="1"/>
    <col min="11" max="11" width="24.6640625" style="208" customWidth="1"/>
    <col min="12" max="12" width="10.33203125" style="208" customWidth="1"/>
    <col min="13" max="13" width="1" style="449" customWidth="1"/>
    <col min="14" max="14" width="10.1640625" style="207" customWidth="1"/>
    <col min="15" max="15" width="1" style="208" customWidth="1"/>
    <col min="16" max="16" width="9" style="208" customWidth="1"/>
    <col min="17" max="17" width="7.1640625" style="209" customWidth="1"/>
    <col min="18" max="18" width="7.6640625" style="209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16.5" customHeight="1">
      <c r="A1" s="203" t="s">
        <v>344</v>
      </c>
      <c r="B1" s="204"/>
      <c r="C1" s="205"/>
      <c r="D1" s="901"/>
      <c r="E1" s="206"/>
      <c r="K1" s="203" t="s">
        <v>2521</v>
      </c>
      <c r="V1" s="212"/>
      <c r="AI1" s="213"/>
      <c r="AJ1" s="213"/>
      <c r="AK1" s="213"/>
      <c r="AL1" s="213"/>
      <c r="AM1" s="213"/>
    </row>
    <row r="2" spans="1:40" ht="12" customHeight="1" thickBot="1">
      <c r="F2" s="527"/>
      <c r="G2" s="155"/>
      <c r="H2" s="155"/>
      <c r="I2" s="155"/>
      <c r="J2" s="217"/>
      <c r="K2" s="583">
        <v>45320</v>
      </c>
      <c r="L2" s="583"/>
      <c r="U2" s="218" t="s">
        <v>345</v>
      </c>
      <c r="AI2" s="213"/>
      <c r="AJ2" s="213"/>
      <c r="AK2" s="213"/>
      <c r="AL2" s="213"/>
      <c r="AM2" s="213"/>
    </row>
    <row r="3" spans="1:40" s="223" customFormat="1" ht="69" customHeight="1" thickTop="1" thickBot="1">
      <c r="A3" s="351" t="s">
        <v>346</v>
      </c>
      <c r="B3" s="352" t="s">
        <v>347</v>
      </c>
      <c r="C3" s="353" t="s">
        <v>348</v>
      </c>
      <c r="D3" s="903"/>
      <c r="E3" s="353" t="s">
        <v>349</v>
      </c>
      <c r="F3" s="35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350"/>
      <c r="M3" s="450" t="s">
        <v>355</v>
      </c>
      <c r="N3" s="350" t="s">
        <v>445</v>
      </c>
      <c r="O3" s="353" t="s">
        <v>446</v>
      </c>
      <c r="P3" s="2110" t="s">
        <v>1592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8" customFormat="1" ht="2" customHeight="1" thickBot="1">
      <c r="A4" s="911"/>
      <c r="B4" s="912"/>
      <c r="C4" s="913"/>
      <c r="D4" s="914"/>
      <c r="E4" s="913"/>
      <c r="F4" s="915"/>
      <c r="G4" s="913"/>
      <c r="H4" s="913"/>
      <c r="I4" s="913"/>
      <c r="J4" s="915"/>
      <c r="K4" s="913"/>
      <c r="L4" s="913"/>
      <c r="M4" s="916"/>
      <c r="N4" s="913"/>
      <c r="O4" s="913"/>
      <c r="P4" s="913"/>
      <c r="Q4" s="917"/>
      <c r="R4" s="918"/>
      <c r="S4" s="224"/>
      <c r="T4" s="224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0" s="228" customFormat="1" ht="5.25" customHeight="1" thickTop="1" thickBot="1">
      <c r="A5" s="621"/>
      <c r="B5" s="622"/>
      <c r="C5" s="623"/>
      <c r="D5" s="938"/>
      <c r="E5" s="623"/>
      <c r="F5" s="624"/>
      <c r="G5" s="625"/>
      <c r="H5" s="625"/>
      <c r="I5" s="625"/>
      <c r="J5" s="624"/>
      <c r="K5" s="625"/>
      <c r="L5" s="625"/>
      <c r="M5" s="626"/>
      <c r="N5" s="625"/>
      <c r="O5" s="623"/>
      <c r="P5" s="623"/>
      <c r="Q5" s="623"/>
      <c r="R5" s="627"/>
      <c r="S5" s="802"/>
      <c r="T5" s="802"/>
      <c r="U5" s="111">
        <f>U4/4</f>
        <v>2.2880964381720439E-4</v>
      </c>
      <c r="V5" s="111">
        <f t="shared" ref="V5:AA5" si="0">V4/4</f>
        <v>2.1908757716049393E-4</v>
      </c>
      <c r="W5" s="111">
        <f t="shared" si="0"/>
        <v>2.1222190799396687E-4</v>
      </c>
      <c r="X5" s="111">
        <f t="shared" si="0"/>
        <v>2.0247664488766629E-4</v>
      </c>
      <c r="Y5" s="111">
        <f t="shared" si="0"/>
        <v>1.8933937422552669E-4</v>
      </c>
      <c r="Z5" s="111">
        <f t="shared" si="0"/>
        <v>1.8229166666666673E-4</v>
      </c>
      <c r="AA5" s="111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s="228" customFormat="1" ht="16.25" customHeight="1" thickBot="1">
      <c r="A6" s="396"/>
      <c r="B6" s="402"/>
      <c r="C6" s="274">
        <f t="shared" ref="C6:C43" si="1">IF(D6=1,U$5,IF(D6=2,V$5,IF(D6=3,W$5,IF(D6=4,X$5,IF(D6=5,Y$5,IF(D6=6,Z$5,IF(D6=7,AA$5,0)))))))</f>
        <v>2.2880964381720439E-4</v>
      </c>
      <c r="D6" s="920">
        <v>1</v>
      </c>
      <c r="E6" s="1979">
        <v>1</v>
      </c>
      <c r="F6" s="1979">
        <v>1</v>
      </c>
      <c r="G6" s="1979">
        <v>800</v>
      </c>
      <c r="H6" s="2056"/>
      <c r="I6" s="2056">
        <v>0</v>
      </c>
      <c r="J6" s="2056">
        <v>8.1018518518518516E-4</v>
      </c>
      <c r="K6" s="2099" t="s">
        <v>1163</v>
      </c>
      <c r="L6" s="1332">
        <v>0.80208333333333337</v>
      </c>
      <c r="M6" s="1123">
        <v>1.2</v>
      </c>
      <c r="N6" s="301">
        <f>P6*E6*F6+I6*F6*E6+J6*E6</f>
        <v>9.596475507765833E-3</v>
      </c>
      <c r="O6" s="302">
        <f t="shared" ref="O6:O12" si="2">C6*(G6/25)</f>
        <v>7.3219086021505406E-3</v>
      </c>
      <c r="P6" s="301">
        <f t="shared" ref="P6:P12" si="3">O6*M6</f>
        <v>8.7862903225806484E-3</v>
      </c>
      <c r="Q6" s="798">
        <v>145</v>
      </c>
      <c r="R6" s="369">
        <f t="shared" ref="R6:R12" si="4">E6*F6*G6</f>
        <v>800</v>
      </c>
      <c r="S6" s="229">
        <f t="shared" ref="S6" si="5">E6*F6*G6/1000</f>
        <v>0.8</v>
      </c>
      <c r="T6" s="230">
        <f t="shared" ref="T6" si="6">E6*F6*O6*4</f>
        <v>2.9287634408602162E-2</v>
      </c>
      <c r="U6" s="374">
        <f t="shared" ref="U6" si="7">IF(C6*4&gt;=$U$4,S6,0)</f>
        <v>0.8</v>
      </c>
      <c r="V6" s="375">
        <f t="shared" ref="V6" si="8">IF(AND(C6*4&gt;=$V$4,C6*4&lt;$U$4),S6,0)</f>
        <v>0</v>
      </c>
      <c r="W6" s="376">
        <f t="shared" ref="W6" si="9">IF(AND(C6*4&gt;=$W$4,C6*4&lt;$V$4),S6,0)</f>
        <v>0</v>
      </c>
      <c r="X6" s="377">
        <f t="shared" ref="X6" si="10">IF(AND(C6*4&gt;=$X$4,C6*4&lt;$W$4),S6,0)</f>
        <v>0</v>
      </c>
      <c r="Y6" s="378">
        <f t="shared" ref="Y6" si="11">IF(AND(C6*4&gt;=$Y$4,C6*4&lt;$X$4),S6,0)</f>
        <v>0</v>
      </c>
      <c r="Z6" s="379">
        <f t="shared" ref="Z6" si="12">IF(AND(C6*4&gt;=$Z$4,C6*4&lt;$Y$4),S6,0)</f>
        <v>0</v>
      </c>
      <c r="AA6" s="380">
        <f t="shared" ref="AA6" si="13">IF(AND(C6*4&gt;=$AA$4,C6*4&lt;$Z$4),S6,0)</f>
        <v>0</v>
      </c>
      <c r="AB6" s="225"/>
      <c r="AC6" s="226"/>
      <c r="AD6" s="227"/>
      <c r="AE6" s="227"/>
      <c r="AF6" s="227"/>
      <c r="AG6" s="227"/>
      <c r="AH6" s="227"/>
      <c r="AI6" s="225"/>
      <c r="AJ6" s="225"/>
      <c r="AK6" s="225"/>
      <c r="AL6" s="225"/>
      <c r="AM6" s="225"/>
      <c r="AN6" s="225"/>
    </row>
    <row r="7" spans="1:40" s="228" customFormat="1" ht="17" customHeight="1" thickBot="1">
      <c r="A7" s="398" t="s">
        <v>214</v>
      </c>
      <c r="B7" s="402" t="s">
        <v>461</v>
      </c>
      <c r="C7" s="274">
        <f t="shared" si="1"/>
        <v>1.7682291666666674E-4</v>
      </c>
      <c r="D7" s="2688">
        <v>7</v>
      </c>
      <c r="E7" s="441">
        <v>4</v>
      </c>
      <c r="F7" s="441">
        <v>5</v>
      </c>
      <c r="G7" s="441">
        <v>10</v>
      </c>
      <c r="H7" s="436"/>
      <c r="I7" s="436">
        <v>2.8935185185185189E-4</v>
      </c>
      <c r="J7" s="436">
        <v>1.3888888888888889E-3</v>
      </c>
      <c r="K7" s="443" t="s">
        <v>1594</v>
      </c>
      <c r="L7" s="436">
        <f>L6+N6</f>
        <v>0.81167980884109925</v>
      </c>
      <c r="M7" s="1542">
        <v>0.9</v>
      </c>
      <c r="N7" s="436">
        <f>P7*E7*F7+I7*F7+J7*E7</f>
        <v>8.2754398148148153E-3</v>
      </c>
      <c r="O7" s="1528">
        <f t="shared" si="2"/>
        <v>7.0729166666666694E-5</v>
      </c>
      <c r="P7" s="439">
        <f t="shared" si="3"/>
        <v>6.3656250000000033E-5</v>
      </c>
      <c r="Q7" s="1320" t="s">
        <v>274</v>
      </c>
      <c r="R7" s="638">
        <f t="shared" si="4"/>
        <v>200</v>
      </c>
      <c r="S7" s="229">
        <f t="shared" ref="S7:S72" si="14">E7*F7*G7/1000</f>
        <v>0.2</v>
      </c>
      <c r="T7" s="230">
        <f t="shared" ref="T7:T72" si="15">E7*F7*O7*4</f>
        <v>5.6583333333333355E-3</v>
      </c>
      <c r="U7" s="374">
        <f t="shared" ref="U7:U72" si="16">IF(C7*4&gt;=$U$4,S7,0)</f>
        <v>0</v>
      </c>
      <c r="V7" s="375">
        <f t="shared" ref="V7:V72" si="17">IF(AND(C7*4&gt;=$V$4,C7*4&lt;$U$4),S7,0)</f>
        <v>0</v>
      </c>
      <c r="W7" s="376">
        <f t="shared" ref="W7:W72" si="18">IF(AND(C7*4&gt;=$W$4,C7*4&lt;$V$4),S7,0)</f>
        <v>0</v>
      </c>
      <c r="X7" s="377">
        <f t="shared" ref="X7:X72" si="19">IF(AND(C7*4&gt;=$X$4,C7*4&lt;$W$4),S7,0)</f>
        <v>0</v>
      </c>
      <c r="Y7" s="378">
        <f t="shared" ref="Y7:Y72" si="20">IF(AND(C7*4&gt;=$Y$4,C7*4&lt;$X$4),S7,0)</f>
        <v>0</v>
      </c>
      <c r="Z7" s="379">
        <f t="shared" ref="Z7:Z72" si="21">IF(AND(C7*4&gt;=$Z$4,C7*4&lt;$Y$4),S7,0)</f>
        <v>0</v>
      </c>
      <c r="AA7" s="380">
        <f t="shared" ref="AA7:AA68" si="22">IF(AND(C7*4&gt;=$AA$4,C7*4&lt;$Z$4),S7,0)</f>
        <v>0.2</v>
      </c>
      <c r="AB7" s="225"/>
      <c r="AC7" s="231"/>
      <c r="AD7" s="231"/>
      <c r="AE7" s="231"/>
      <c r="AF7" s="231"/>
      <c r="AG7" s="231"/>
      <c r="AH7" s="231"/>
      <c r="AI7" s="225"/>
      <c r="AJ7" s="225"/>
      <c r="AK7" s="225"/>
      <c r="AL7" s="225"/>
      <c r="AM7" s="225"/>
      <c r="AN7" s="225"/>
    </row>
    <row r="8" spans="1:40" s="228" customFormat="1" ht="18" customHeight="1" thickBot="1">
      <c r="A8" s="398" t="s">
        <v>459</v>
      </c>
      <c r="B8" s="402" t="s">
        <v>461</v>
      </c>
      <c r="C8" s="274">
        <f t="shared" si="1"/>
        <v>1.8229166666666673E-4</v>
      </c>
      <c r="D8" s="2101">
        <v>6</v>
      </c>
      <c r="E8" s="2104">
        <v>2</v>
      </c>
      <c r="F8" s="365">
        <v>5</v>
      </c>
      <c r="G8" s="365">
        <v>50</v>
      </c>
      <c r="H8" s="366"/>
      <c r="I8" s="366">
        <v>9.2592592592592585E-4</v>
      </c>
      <c r="J8" s="366">
        <v>1.3888888888888889E-3</v>
      </c>
      <c r="K8" s="1065" t="s">
        <v>1595</v>
      </c>
      <c r="L8" s="1052">
        <f>L6+N6</f>
        <v>0.81167980884109925</v>
      </c>
      <c r="M8" s="456">
        <v>1.07</v>
      </c>
      <c r="N8" s="366">
        <f>P8*E8*F8+I8*E8*F8+J8*E8</f>
        <v>1.5938078703703704E-2</v>
      </c>
      <c r="O8" s="368">
        <f t="shared" si="2"/>
        <v>3.6458333333333346E-4</v>
      </c>
      <c r="P8" s="586">
        <f t="shared" si="3"/>
        <v>3.901041666666668E-4</v>
      </c>
      <c r="Q8" s="787">
        <v>146</v>
      </c>
      <c r="R8" s="365">
        <f t="shared" si="4"/>
        <v>500</v>
      </c>
      <c r="S8" s="229">
        <f t="shared" si="14"/>
        <v>0.5</v>
      </c>
      <c r="T8" s="230">
        <f t="shared" si="15"/>
        <v>1.4583333333333339E-2</v>
      </c>
      <c r="U8" s="374">
        <f t="shared" si="16"/>
        <v>0</v>
      </c>
      <c r="V8" s="375">
        <f t="shared" si="17"/>
        <v>0</v>
      </c>
      <c r="W8" s="376">
        <f t="shared" si="18"/>
        <v>0</v>
      </c>
      <c r="X8" s="377">
        <f t="shared" si="19"/>
        <v>0</v>
      </c>
      <c r="Y8" s="378">
        <f t="shared" si="20"/>
        <v>0</v>
      </c>
      <c r="Z8" s="379">
        <f t="shared" si="21"/>
        <v>0.5</v>
      </c>
      <c r="AA8" s="380">
        <f t="shared" si="22"/>
        <v>0</v>
      </c>
      <c r="AB8" s="225"/>
      <c r="AC8" s="231"/>
      <c r="AD8" s="231"/>
      <c r="AE8" s="231"/>
      <c r="AF8" s="231"/>
      <c r="AG8" s="231"/>
      <c r="AH8" s="231"/>
      <c r="AI8" s="225"/>
      <c r="AJ8" s="225"/>
      <c r="AK8" s="225"/>
      <c r="AL8" s="225"/>
      <c r="AM8" s="225"/>
      <c r="AN8" s="225"/>
    </row>
    <row r="9" spans="1:40" s="228" customFormat="1" ht="14" customHeight="1" thickBot="1">
      <c r="A9" s="398" t="s">
        <v>460</v>
      </c>
      <c r="B9" s="402" t="s">
        <v>461</v>
      </c>
      <c r="C9" s="274">
        <f t="shared" si="1"/>
        <v>1.8229166666666673E-4</v>
      </c>
      <c r="D9" s="2102">
        <v>6</v>
      </c>
      <c r="E9" s="2105">
        <v>2</v>
      </c>
      <c r="F9" s="365">
        <v>5</v>
      </c>
      <c r="G9" s="365">
        <v>50</v>
      </c>
      <c r="H9" s="366"/>
      <c r="I9" s="366">
        <v>9.2592592592592585E-4</v>
      </c>
      <c r="J9" s="366">
        <v>1.3888888888888889E-3</v>
      </c>
      <c r="K9" s="1065" t="s">
        <v>1165</v>
      </c>
      <c r="L9" s="1052">
        <f t="shared" ref="L9:L10" si="23">L8+N8</f>
        <v>0.82761788754480292</v>
      </c>
      <c r="M9" s="456">
        <v>1.05</v>
      </c>
      <c r="N9" s="366">
        <f>P9*E9*F9+I9*E9*F9+J9*E9</f>
        <v>1.5865162037037039E-2</v>
      </c>
      <c r="O9" s="368">
        <f t="shared" si="2"/>
        <v>3.6458333333333346E-4</v>
      </c>
      <c r="P9" s="586">
        <f t="shared" si="3"/>
        <v>3.8281250000000012E-4</v>
      </c>
      <c r="Q9" s="787">
        <v>164</v>
      </c>
      <c r="R9" s="365">
        <f t="shared" si="4"/>
        <v>500</v>
      </c>
      <c r="S9" s="229">
        <f t="shared" si="14"/>
        <v>0.5</v>
      </c>
      <c r="T9" s="230">
        <f t="shared" si="15"/>
        <v>1.4583333333333339E-2</v>
      </c>
      <c r="U9" s="374">
        <f t="shared" si="16"/>
        <v>0</v>
      </c>
      <c r="V9" s="375">
        <f t="shared" si="17"/>
        <v>0</v>
      </c>
      <c r="W9" s="376">
        <f t="shared" si="18"/>
        <v>0</v>
      </c>
      <c r="X9" s="377">
        <f t="shared" si="19"/>
        <v>0</v>
      </c>
      <c r="Y9" s="378">
        <f t="shared" si="20"/>
        <v>0</v>
      </c>
      <c r="Z9" s="379">
        <f t="shared" si="21"/>
        <v>0.5</v>
      </c>
      <c r="AA9" s="380">
        <f t="shared" si="22"/>
        <v>0</v>
      </c>
      <c r="AB9" s="225"/>
      <c r="AC9" s="231"/>
      <c r="AD9" s="231"/>
      <c r="AE9" s="231"/>
      <c r="AF9" s="231"/>
      <c r="AG9" s="231"/>
      <c r="AH9" s="231"/>
      <c r="AI9" s="225"/>
      <c r="AJ9" s="225"/>
      <c r="AK9" s="225"/>
      <c r="AL9" s="225"/>
      <c r="AM9" s="225"/>
      <c r="AN9" s="225"/>
    </row>
    <row r="10" spans="1:40" s="228" customFormat="1" ht="12" customHeight="1" thickBot="1">
      <c r="A10" s="398" t="s">
        <v>458</v>
      </c>
      <c r="B10" s="1117" t="s">
        <v>461</v>
      </c>
      <c r="C10" s="274">
        <f t="shared" si="1"/>
        <v>2.1908757716049393E-4</v>
      </c>
      <c r="D10" s="889">
        <v>2</v>
      </c>
      <c r="E10" s="2107">
        <v>1</v>
      </c>
      <c r="F10" s="1173">
        <v>1</v>
      </c>
      <c r="G10" s="1173">
        <v>400</v>
      </c>
      <c r="H10" s="299"/>
      <c r="I10" s="299">
        <v>1.1574074074074073E-4</v>
      </c>
      <c r="J10" s="299">
        <v>6.9444444444444447E-4</v>
      </c>
      <c r="K10" s="1123" t="s">
        <v>942</v>
      </c>
      <c r="L10" s="299">
        <f t="shared" si="23"/>
        <v>0.84348304958183995</v>
      </c>
      <c r="M10" s="1174">
        <v>1</v>
      </c>
      <c r="N10" s="299">
        <f>P10*E10*F10+I10*E10*F10+J10*E10</f>
        <v>4.3155864197530879E-3</v>
      </c>
      <c r="O10" s="1196">
        <f t="shared" si="2"/>
        <v>3.5054012345679029E-3</v>
      </c>
      <c r="P10" s="1175">
        <f t="shared" si="3"/>
        <v>3.5054012345679029E-3</v>
      </c>
      <c r="Q10" s="550">
        <v>146</v>
      </c>
      <c r="R10" s="1176">
        <f t="shared" si="4"/>
        <v>400</v>
      </c>
      <c r="S10" s="229">
        <f t="shared" si="14"/>
        <v>0.4</v>
      </c>
      <c r="T10" s="230">
        <f t="shared" si="15"/>
        <v>1.4021604938271611E-2</v>
      </c>
      <c r="U10" s="374">
        <f t="shared" si="16"/>
        <v>0</v>
      </c>
      <c r="V10" s="375">
        <f t="shared" si="17"/>
        <v>0.4</v>
      </c>
      <c r="W10" s="376">
        <f t="shared" si="18"/>
        <v>0</v>
      </c>
      <c r="X10" s="377">
        <f t="shared" si="19"/>
        <v>0</v>
      </c>
      <c r="Y10" s="378">
        <f t="shared" si="20"/>
        <v>0</v>
      </c>
      <c r="Z10" s="379">
        <f t="shared" si="21"/>
        <v>0</v>
      </c>
      <c r="AA10" s="380">
        <f t="shared" si="22"/>
        <v>0</v>
      </c>
      <c r="AB10" s="225"/>
      <c r="AC10" s="231"/>
      <c r="AD10" s="231"/>
      <c r="AE10" s="231"/>
      <c r="AF10" s="231"/>
      <c r="AG10" s="231"/>
      <c r="AH10" s="231"/>
      <c r="AI10" s="225"/>
      <c r="AJ10" s="225"/>
      <c r="AK10" s="225"/>
      <c r="AL10" s="225"/>
      <c r="AM10" s="225"/>
      <c r="AN10" s="225"/>
    </row>
    <row r="11" spans="1:40" s="228" customFormat="1" ht="17" customHeight="1" thickBot="1">
      <c r="A11" s="398" t="s">
        <v>219</v>
      </c>
      <c r="B11" s="1117" t="s">
        <v>461</v>
      </c>
      <c r="C11" s="274">
        <f t="shared" si="1"/>
        <v>1.8933937422552669E-4</v>
      </c>
      <c r="D11" s="1248">
        <v>5</v>
      </c>
      <c r="E11" s="2108">
        <v>1</v>
      </c>
      <c r="F11" s="2106">
        <v>4</v>
      </c>
      <c r="G11" s="1249">
        <v>75</v>
      </c>
      <c r="H11" s="1250"/>
      <c r="I11" s="1250">
        <v>5.7870370370370366E-5</v>
      </c>
      <c r="J11" s="1250">
        <v>1.3888888888888889E-3</v>
      </c>
      <c r="K11" s="534" t="s">
        <v>1439</v>
      </c>
      <c r="L11" s="1150">
        <f>L9+N9</f>
        <v>0.84348304958183995</v>
      </c>
      <c r="M11" s="1256">
        <v>1</v>
      </c>
      <c r="N11" s="1250">
        <f>P11*E11*F11+I11*E11*F11+J11*E11</f>
        <v>3.8924428610766903E-3</v>
      </c>
      <c r="O11" s="1253">
        <f t="shared" si="2"/>
        <v>5.6801812267658004E-4</v>
      </c>
      <c r="P11" s="1254">
        <f t="shared" si="3"/>
        <v>5.6801812267658004E-4</v>
      </c>
      <c r="Q11" s="1255" t="s">
        <v>278</v>
      </c>
      <c r="R11" s="1249">
        <f t="shared" si="4"/>
        <v>300</v>
      </c>
      <c r="S11" s="229">
        <f t="shared" si="14"/>
        <v>0.3</v>
      </c>
      <c r="T11" s="230">
        <f t="shared" si="15"/>
        <v>9.0882899628252807E-3</v>
      </c>
      <c r="U11" s="374">
        <f t="shared" si="16"/>
        <v>0</v>
      </c>
      <c r="V11" s="375">
        <f t="shared" si="17"/>
        <v>0</v>
      </c>
      <c r="W11" s="376">
        <f t="shared" si="18"/>
        <v>0</v>
      </c>
      <c r="X11" s="377">
        <f t="shared" si="19"/>
        <v>0</v>
      </c>
      <c r="Y11" s="378">
        <f t="shared" si="20"/>
        <v>0.3</v>
      </c>
      <c r="Z11" s="379">
        <f t="shared" si="21"/>
        <v>0</v>
      </c>
      <c r="AA11" s="380">
        <f t="shared" si="22"/>
        <v>0</v>
      </c>
      <c r="AB11" s="225"/>
      <c r="AC11" s="231"/>
      <c r="AD11" s="231"/>
      <c r="AE11" s="231"/>
      <c r="AF11" s="231"/>
      <c r="AG11" s="231"/>
      <c r="AH11" s="231"/>
      <c r="AI11" s="225"/>
      <c r="AJ11" s="225"/>
      <c r="AK11" s="225"/>
      <c r="AL11" s="225"/>
      <c r="AM11" s="225"/>
      <c r="AN11" s="225"/>
    </row>
    <row r="12" spans="1:40" s="228" customFormat="1" ht="15" customHeight="1" thickBot="1">
      <c r="A12" s="398"/>
      <c r="B12" s="1117"/>
      <c r="C12" s="274">
        <f t="shared" si="1"/>
        <v>2.1908757716049393E-4</v>
      </c>
      <c r="D12" s="1248">
        <v>2</v>
      </c>
      <c r="E12" s="2109">
        <v>1</v>
      </c>
      <c r="F12" s="1173">
        <v>1</v>
      </c>
      <c r="G12" s="1173">
        <v>200</v>
      </c>
      <c r="H12" s="299"/>
      <c r="I12" s="299">
        <v>8.6805555555555551E-4</v>
      </c>
      <c r="J12" s="299">
        <v>1.3888888888888889E-3</v>
      </c>
      <c r="K12" s="1123" t="s">
        <v>983</v>
      </c>
      <c r="L12" s="1332">
        <f>L10+N10</f>
        <v>0.847798636001593</v>
      </c>
      <c r="M12" s="1174">
        <v>1.1000000000000001</v>
      </c>
      <c r="N12" s="299">
        <f>P12*E12*F12+I12*E12*F12+J12*E12</f>
        <v>4.1849151234567917E-3</v>
      </c>
      <c r="O12" s="1175">
        <f t="shared" si="2"/>
        <v>1.7527006172839514E-3</v>
      </c>
      <c r="P12" s="1175">
        <f t="shared" si="3"/>
        <v>1.9279706790123468E-3</v>
      </c>
      <c r="Q12" s="550" t="s">
        <v>278</v>
      </c>
      <c r="R12" s="1176">
        <f t="shared" si="4"/>
        <v>200</v>
      </c>
      <c r="S12" s="229">
        <f t="shared" si="14"/>
        <v>0.2</v>
      </c>
      <c r="T12" s="230">
        <f t="shared" si="15"/>
        <v>7.0108024691358057E-3</v>
      </c>
      <c r="U12" s="374">
        <f t="shared" si="16"/>
        <v>0</v>
      </c>
      <c r="V12" s="375">
        <f t="shared" si="17"/>
        <v>0.2</v>
      </c>
      <c r="W12" s="376">
        <f t="shared" si="18"/>
        <v>0</v>
      </c>
      <c r="X12" s="377">
        <f t="shared" si="19"/>
        <v>0</v>
      </c>
      <c r="Y12" s="378">
        <f t="shared" si="20"/>
        <v>0</v>
      </c>
      <c r="Z12" s="379">
        <f t="shared" si="21"/>
        <v>0</v>
      </c>
      <c r="AA12" s="380">
        <f t="shared" si="22"/>
        <v>0</v>
      </c>
      <c r="AB12" s="225"/>
      <c r="AC12" s="231"/>
      <c r="AD12" s="231"/>
      <c r="AE12" s="231"/>
      <c r="AF12" s="231"/>
      <c r="AG12" s="231"/>
      <c r="AH12" s="231"/>
      <c r="AI12" s="225"/>
      <c r="AJ12" s="225"/>
      <c r="AK12" s="225"/>
      <c r="AL12" s="225"/>
      <c r="AM12" s="225"/>
      <c r="AN12" s="225"/>
    </row>
    <row r="13" spans="1:40" s="228" customFormat="1" ht="14" customHeight="1" thickBot="1">
      <c r="A13" s="1037"/>
      <c r="B13" s="1183"/>
      <c r="C13" s="274">
        <f t="shared" si="1"/>
        <v>0</v>
      </c>
      <c r="D13" s="1259"/>
      <c r="E13" s="336"/>
      <c r="F13" s="336"/>
      <c r="G13" s="336"/>
      <c r="H13" s="336"/>
      <c r="I13" s="336"/>
      <c r="J13" s="336"/>
      <c r="K13" s="336"/>
      <c r="L13" s="1008">
        <f>L12+N12</f>
        <v>0.85198355112504975</v>
      </c>
      <c r="M13" s="1198"/>
      <c r="N13" s="1008"/>
      <c r="O13" s="336">
        <f>C13*20/25</f>
        <v>0</v>
      </c>
      <c r="P13" s="336"/>
      <c r="Q13" s="336"/>
      <c r="R13" s="1238">
        <f>SUM(R6:R12)</f>
        <v>2900</v>
      </c>
      <c r="S13" s="229">
        <f t="shared" si="14"/>
        <v>0</v>
      </c>
      <c r="T13" s="230">
        <f t="shared" si="15"/>
        <v>0</v>
      </c>
      <c r="U13" s="374">
        <f t="shared" si="16"/>
        <v>0</v>
      </c>
      <c r="V13" s="375">
        <f t="shared" si="17"/>
        <v>0</v>
      </c>
      <c r="W13" s="376">
        <f t="shared" si="18"/>
        <v>0</v>
      </c>
      <c r="X13" s="377">
        <f t="shared" si="19"/>
        <v>0</v>
      </c>
      <c r="Y13" s="378">
        <f t="shared" si="20"/>
        <v>0</v>
      </c>
      <c r="Z13" s="379">
        <f t="shared" si="21"/>
        <v>0</v>
      </c>
      <c r="AA13" s="380">
        <f t="shared" si="22"/>
        <v>0</v>
      </c>
      <c r="AB13" s="225"/>
      <c r="AC13" s="231"/>
      <c r="AD13" s="231"/>
      <c r="AE13" s="231"/>
      <c r="AF13" s="231"/>
      <c r="AG13" s="231"/>
      <c r="AH13" s="231"/>
      <c r="AI13" s="225"/>
      <c r="AJ13" s="225"/>
      <c r="AK13" s="225"/>
      <c r="AL13" s="225"/>
      <c r="AM13" s="225"/>
      <c r="AN13" s="225"/>
    </row>
    <row r="14" spans="1:40" s="228" customFormat="1" ht="13.25" customHeight="1" thickBot="1">
      <c r="A14" s="1582" t="s">
        <v>215</v>
      </c>
      <c r="B14" s="1502" t="s">
        <v>215</v>
      </c>
      <c r="C14" s="274">
        <f t="shared" si="1"/>
        <v>2.2880964381720439E-4</v>
      </c>
      <c r="D14" s="1527">
        <v>1</v>
      </c>
      <c r="E14" s="1387">
        <v>1</v>
      </c>
      <c r="F14" s="1387">
        <v>1</v>
      </c>
      <c r="G14" s="1387">
        <v>600</v>
      </c>
      <c r="H14" s="2690"/>
      <c r="I14" s="2690">
        <v>0</v>
      </c>
      <c r="J14" s="276">
        <v>1.1574074074074073E-4</v>
      </c>
      <c r="K14" s="312" t="s">
        <v>372</v>
      </c>
      <c r="L14" s="276">
        <v>0.51041666666666663</v>
      </c>
      <c r="M14" s="1530">
        <v>1.2</v>
      </c>
      <c r="N14" s="276">
        <f>P14*E14*F14+I14*F14*E14+J14*E14</f>
        <v>6.7054584826762272E-3</v>
      </c>
      <c r="O14" s="1528">
        <f t="shared" ref="O14:O21" si="24">C14*(G14/25)</f>
        <v>5.4914314516129057E-3</v>
      </c>
      <c r="P14" s="296">
        <f t="shared" ref="P14:P21" si="25">O14*M14</f>
        <v>6.5897177419354863E-3</v>
      </c>
      <c r="Q14" s="548">
        <v>145</v>
      </c>
      <c r="R14" s="1395">
        <f t="shared" ref="R14:R21" si="26">E14*F14*G14</f>
        <v>600</v>
      </c>
      <c r="S14" s="229">
        <f t="shared" si="14"/>
        <v>0.6</v>
      </c>
      <c r="T14" s="230">
        <f t="shared" si="15"/>
        <v>2.1965725806451623E-2</v>
      </c>
      <c r="U14" s="374">
        <f t="shared" si="16"/>
        <v>0.6</v>
      </c>
      <c r="V14" s="375">
        <f t="shared" si="17"/>
        <v>0</v>
      </c>
      <c r="W14" s="376">
        <f t="shared" si="18"/>
        <v>0</v>
      </c>
      <c r="X14" s="377">
        <f t="shared" si="19"/>
        <v>0</v>
      </c>
      <c r="Y14" s="378">
        <f t="shared" si="20"/>
        <v>0</v>
      </c>
      <c r="Z14" s="379">
        <f t="shared" si="21"/>
        <v>0</v>
      </c>
      <c r="AA14" s="380">
        <f t="shared" si="22"/>
        <v>0</v>
      </c>
      <c r="AB14" s="225"/>
      <c r="AC14" s="231"/>
      <c r="AD14" s="231"/>
      <c r="AE14" s="231"/>
      <c r="AF14" s="231"/>
      <c r="AG14" s="231"/>
      <c r="AH14" s="231"/>
      <c r="AI14" s="225"/>
      <c r="AJ14" s="225"/>
      <c r="AK14" s="225"/>
      <c r="AL14" s="225"/>
      <c r="AM14" s="225"/>
      <c r="AN14" s="225"/>
    </row>
    <row r="15" spans="1:40" s="228" customFormat="1" ht="18" customHeight="1" thickBot="1">
      <c r="A15" s="1582" t="s">
        <v>138</v>
      </c>
      <c r="B15" s="1502" t="s">
        <v>215</v>
      </c>
      <c r="C15" s="274">
        <f t="shared" si="1"/>
        <v>1.7682291666666674E-4</v>
      </c>
      <c r="D15" s="2688">
        <v>7</v>
      </c>
      <c r="E15" s="441">
        <v>4</v>
      </c>
      <c r="F15" s="441">
        <v>10</v>
      </c>
      <c r="G15" s="441">
        <v>10</v>
      </c>
      <c r="H15" s="436"/>
      <c r="I15" s="436">
        <v>2.8935185185185189E-4</v>
      </c>
      <c r="J15" s="436">
        <v>1.3888888888888889E-3</v>
      </c>
      <c r="K15" s="1320" t="s">
        <v>1593</v>
      </c>
      <c r="L15" s="436">
        <f>L14+N14</f>
        <v>0.51712212514934286</v>
      </c>
      <c r="M15" s="1542">
        <v>0.9</v>
      </c>
      <c r="N15" s="436">
        <f>P15*E15*F15+I15*F15+J15*E15</f>
        <v>1.0995324074074076E-2</v>
      </c>
      <c r="O15" s="1528">
        <f t="shared" si="24"/>
        <v>7.0729166666666694E-5</v>
      </c>
      <c r="P15" s="439">
        <f t="shared" si="25"/>
        <v>6.3656250000000033E-5</v>
      </c>
      <c r="Q15" s="1320" t="s">
        <v>274</v>
      </c>
      <c r="R15" s="638">
        <f t="shared" si="26"/>
        <v>400</v>
      </c>
      <c r="S15" s="229">
        <f t="shared" si="14"/>
        <v>0.4</v>
      </c>
      <c r="T15" s="230">
        <f t="shared" si="15"/>
        <v>1.1316666666666671E-2</v>
      </c>
      <c r="U15" s="374">
        <f t="shared" si="16"/>
        <v>0</v>
      </c>
      <c r="V15" s="375">
        <f t="shared" si="17"/>
        <v>0</v>
      </c>
      <c r="W15" s="376">
        <f t="shared" si="18"/>
        <v>0</v>
      </c>
      <c r="X15" s="377">
        <f t="shared" si="19"/>
        <v>0</v>
      </c>
      <c r="Y15" s="378">
        <f t="shared" si="20"/>
        <v>0</v>
      </c>
      <c r="Z15" s="379">
        <f t="shared" si="21"/>
        <v>0</v>
      </c>
      <c r="AA15" s="380">
        <f t="shared" si="22"/>
        <v>0.4</v>
      </c>
      <c r="AB15" s="225"/>
      <c r="AC15" s="231"/>
      <c r="AD15" s="231"/>
      <c r="AE15" s="231"/>
      <c r="AF15" s="231"/>
      <c r="AG15" s="231"/>
      <c r="AH15" s="231"/>
      <c r="AI15" s="225"/>
      <c r="AJ15" s="225"/>
      <c r="AK15" s="225"/>
      <c r="AL15" s="225"/>
      <c r="AM15" s="225"/>
      <c r="AN15" s="225"/>
    </row>
    <row r="16" spans="1:40" s="228" customFormat="1" ht="18" customHeight="1" thickBot="1">
      <c r="A16" s="1582" t="s">
        <v>462</v>
      </c>
      <c r="B16" s="1502" t="s">
        <v>215</v>
      </c>
      <c r="C16" s="274">
        <f t="shared" si="1"/>
        <v>2.1908757716049393E-4</v>
      </c>
      <c r="D16" s="1534">
        <v>2</v>
      </c>
      <c r="E16" s="1393">
        <v>1</v>
      </c>
      <c r="F16" s="1393">
        <v>1</v>
      </c>
      <c r="G16" s="1393">
        <v>600</v>
      </c>
      <c r="H16" s="301"/>
      <c r="I16" s="301">
        <v>2.3148148148148146E-4</v>
      </c>
      <c r="J16" s="301">
        <v>1.3888888888888889E-3</v>
      </c>
      <c r="K16" s="1123" t="s">
        <v>952</v>
      </c>
      <c r="L16" s="301">
        <f>L14+N14</f>
        <v>0.51712212514934286</v>
      </c>
      <c r="M16" s="1537">
        <v>1.5</v>
      </c>
      <c r="N16" s="301">
        <f>P16*E16*F16+I16*F16+J16*E16</f>
        <v>9.5075231481481521E-3</v>
      </c>
      <c r="O16" s="1528">
        <f t="shared" si="24"/>
        <v>5.2581018518518541E-3</v>
      </c>
      <c r="P16" s="302">
        <f t="shared" si="25"/>
        <v>7.8871527777777811E-3</v>
      </c>
      <c r="Q16" s="550">
        <v>141</v>
      </c>
      <c r="R16" s="1388">
        <f t="shared" si="26"/>
        <v>600</v>
      </c>
      <c r="S16" s="229">
        <f t="shared" si="14"/>
        <v>0.6</v>
      </c>
      <c r="T16" s="230">
        <f t="shared" si="15"/>
        <v>2.1032407407407416E-2</v>
      </c>
      <c r="U16" s="374">
        <f t="shared" si="16"/>
        <v>0</v>
      </c>
      <c r="V16" s="375">
        <f t="shared" si="17"/>
        <v>0.6</v>
      </c>
      <c r="W16" s="376">
        <f t="shared" si="18"/>
        <v>0</v>
      </c>
      <c r="X16" s="377">
        <f t="shared" si="19"/>
        <v>0</v>
      </c>
      <c r="Y16" s="378">
        <f t="shared" si="20"/>
        <v>0</v>
      </c>
      <c r="Z16" s="379">
        <f t="shared" si="21"/>
        <v>0</v>
      </c>
      <c r="AA16" s="380">
        <f t="shared" si="22"/>
        <v>0</v>
      </c>
      <c r="AB16" s="225"/>
      <c r="AC16" s="231"/>
      <c r="AD16" s="231"/>
      <c r="AE16" s="231"/>
      <c r="AF16" s="231"/>
      <c r="AG16" s="231"/>
      <c r="AH16" s="231"/>
      <c r="AI16" s="225"/>
      <c r="AJ16" s="225"/>
      <c r="AK16" s="225"/>
      <c r="AL16" s="225"/>
      <c r="AM16" s="225"/>
      <c r="AN16" s="225"/>
    </row>
    <row r="17" spans="1:40" s="228" customFormat="1" ht="16" customHeight="1" thickBot="1">
      <c r="A17" s="1582" t="s">
        <v>461</v>
      </c>
      <c r="B17" s="1502" t="s">
        <v>215</v>
      </c>
      <c r="C17" s="274">
        <f t="shared" si="1"/>
        <v>1.8933937422552669E-4</v>
      </c>
      <c r="D17" s="1556">
        <v>5</v>
      </c>
      <c r="E17" s="307">
        <v>2</v>
      </c>
      <c r="F17" s="307">
        <v>1</v>
      </c>
      <c r="G17" s="307">
        <v>50</v>
      </c>
      <c r="H17" s="306"/>
      <c r="I17" s="306">
        <v>0</v>
      </c>
      <c r="J17" s="306">
        <v>1.3888888888888889E-3</v>
      </c>
      <c r="K17" s="534" t="s">
        <v>1440</v>
      </c>
      <c r="L17" s="306">
        <f t="shared" ref="L17:L29" si="27">L16+N16</f>
        <v>0.52662964829749104</v>
      </c>
      <c r="M17" s="452">
        <v>1.1000000000000001</v>
      </c>
      <c r="N17" s="306">
        <f>P17*E17*F17+I17*E17*F17+J17*E17</f>
        <v>3.6108710243700952E-3</v>
      </c>
      <c r="O17" s="1528">
        <f t="shared" si="24"/>
        <v>3.7867874845105338E-4</v>
      </c>
      <c r="P17" s="305">
        <f t="shared" si="25"/>
        <v>4.1654662329615878E-4</v>
      </c>
      <c r="Q17" s="290">
        <v>168</v>
      </c>
      <c r="R17" s="290">
        <f t="shared" si="26"/>
        <v>100</v>
      </c>
      <c r="S17" s="229">
        <f t="shared" si="14"/>
        <v>0.1</v>
      </c>
      <c r="T17" s="230">
        <f t="shared" si="15"/>
        <v>3.029429987608427E-3</v>
      </c>
      <c r="U17" s="374">
        <f t="shared" si="16"/>
        <v>0</v>
      </c>
      <c r="V17" s="375">
        <f t="shared" si="17"/>
        <v>0</v>
      </c>
      <c r="W17" s="376">
        <f t="shared" si="18"/>
        <v>0</v>
      </c>
      <c r="X17" s="377">
        <f t="shared" si="19"/>
        <v>0</v>
      </c>
      <c r="Y17" s="378">
        <f t="shared" si="20"/>
        <v>0.1</v>
      </c>
      <c r="Z17" s="379">
        <f t="shared" si="21"/>
        <v>0</v>
      </c>
      <c r="AA17" s="380">
        <f t="shared" si="22"/>
        <v>0</v>
      </c>
      <c r="AB17" s="225"/>
      <c r="AC17" s="231"/>
      <c r="AD17" s="231"/>
      <c r="AE17" s="231"/>
      <c r="AF17" s="231"/>
      <c r="AG17" s="231"/>
      <c r="AH17" s="231"/>
      <c r="AI17" s="225"/>
      <c r="AJ17" s="225"/>
      <c r="AK17" s="225"/>
      <c r="AL17" s="225"/>
      <c r="AM17" s="225"/>
      <c r="AN17" s="225"/>
    </row>
    <row r="18" spans="1:40" s="228" customFormat="1" ht="15" customHeight="1" thickBot="1">
      <c r="A18" s="1582" t="s">
        <v>458</v>
      </c>
      <c r="B18" s="1502" t="s">
        <v>215</v>
      </c>
      <c r="C18" s="274">
        <f t="shared" si="1"/>
        <v>2.1908757716049393E-4</v>
      </c>
      <c r="D18" s="1534">
        <v>2</v>
      </c>
      <c r="E18" s="1393">
        <v>1</v>
      </c>
      <c r="F18" s="1393">
        <v>1</v>
      </c>
      <c r="G18" s="1393">
        <v>200</v>
      </c>
      <c r="H18" s="301"/>
      <c r="I18" s="301">
        <v>2.3148148148148146E-4</v>
      </c>
      <c r="J18" s="301">
        <v>1.3888888888888889E-3</v>
      </c>
      <c r="K18" s="1123" t="s">
        <v>1441</v>
      </c>
      <c r="L18" s="301">
        <f t="shared" si="27"/>
        <v>0.53024051932186111</v>
      </c>
      <c r="M18" s="1537">
        <v>1.3</v>
      </c>
      <c r="N18" s="301">
        <f>P18*E18*F18+I18*F18+J18*E18</f>
        <v>3.8988811728395073E-3</v>
      </c>
      <c r="O18" s="1528">
        <f t="shared" si="24"/>
        <v>1.7527006172839514E-3</v>
      </c>
      <c r="P18" s="302">
        <f t="shared" si="25"/>
        <v>2.2785108024691368E-3</v>
      </c>
      <c r="Q18" s="550">
        <v>141</v>
      </c>
      <c r="R18" s="1388">
        <f t="shared" si="26"/>
        <v>200</v>
      </c>
      <c r="S18" s="229">
        <f t="shared" si="14"/>
        <v>0.2</v>
      </c>
      <c r="T18" s="230">
        <f t="shared" si="15"/>
        <v>7.0108024691358057E-3</v>
      </c>
      <c r="U18" s="374">
        <f t="shared" si="16"/>
        <v>0</v>
      </c>
      <c r="V18" s="375">
        <f t="shared" si="17"/>
        <v>0.2</v>
      </c>
      <c r="W18" s="376">
        <f t="shared" si="18"/>
        <v>0</v>
      </c>
      <c r="X18" s="377">
        <f t="shared" si="19"/>
        <v>0</v>
      </c>
      <c r="Y18" s="378">
        <f t="shared" si="20"/>
        <v>0</v>
      </c>
      <c r="Z18" s="379">
        <f t="shared" si="21"/>
        <v>0</v>
      </c>
      <c r="AA18" s="380">
        <f t="shared" si="22"/>
        <v>0</v>
      </c>
      <c r="AB18" s="225"/>
      <c r="AC18" s="231"/>
      <c r="AD18" s="231"/>
      <c r="AE18" s="231"/>
      <c r="AF18" s="231"/>
      <c r="AG18" s="231"/>
      <c r="AH18" s="231"/>
      <c r="AI18" s="225"/>
      <c r="AJ18" s="225"/>
      <c r="AK18" s="225"/>
      <c r="AL18" s="225"/>
      <c r="AM18" s="225"/>
      <c r="AN18" s="225"/>
    </row>
    <row r="19" spans="1:40" s="228" customFormat="1" ht="14" customHeight="1" thickBot="1">
      <c r="A19" s="1582" t="s">
        <v>219</v>
      </c>
      <c r="B19" s="1502" t="s">
        <v>215</v>
      </c>
      <c r="C19" s="274">
        <f t="shared" si="1"/>
        <v>1.8933937422552669E-4</v>
      </c>
      <c r="D19" s="1556">
        <v>5</v>
      </c>
      <c r="E19" s="307">
        <v>2</v>
      </c>
      <c r="F19" s="307">
        <v>1</v>
      </c>
      <c r="G19" s="307">
        <v>50</v>
      </c>
      <c r="H19" s="306"/>
      <c r="I19" s="306">
        <v>0</v>
      </c>
      <c r="J19" s="306">
        <v>1.3888888888888889E-3</v>
      </c>
      <c r="K19" s="534" t="s">
        <v>1167</v>
      </c>
      <c r="L19" s="306">
        <f t="shared" si="27"/>
        <v>0.53413940049470066</v>
      </c>
      <c r="M19" s="452">
        <v>1.1000000000000001</v>
      </c>
      <c r="N19" s="306">
        <f>P19*E19*F19+I19*E19*F19+J19*E19</f>
        <v>3.6108710243700952E-3</v>
      </c>
      <c r="O19" s="1528">
        <f t="shared" si="24"/>
        <v>3.7867874845105338E-4</v>
      </c>
      <c r="P19" s="305">
        <f>O19*M19</f>
        <v>4.1654662329615878E-4</v>
      </c>
      <c r="Q19" s="290">
        <v>168</v>
      </c>
      <c r="R19" s="290">
        <f t="shared" si="26"/>
        <v>100</v>
      </c>
      <c r="S19" s="229">
        <f t="shared" si="14"/>
        <v>0.1</v>
      </c>
      <c r="T19" s="230">
        <f t="shared" si="15"/>
        <v>3.029429987608427E-3</v>
      </c>
      <c r="U19" s="374">
        <f t="shared" si="16"/>
        <v>0</v>
      </c>
      <c r="V19" s="375">
        <f t="shared" si="17"/>
        <v>0</v>
      </c>
      <c r="W19" s="376">
        <f t="shared" si="18"/>
        <v>0</v>
      </c>
      <c r="X19" s="377">
        <f t="shared" si="19"/>
        <v>0</v>
      </c>
      <c r="Y19" s="378">
        <f t="shared" si="20"/>
        <v>0.1</v>
      </c>
      <c r="Z19" s="379">
        <f t="shared" si="21"/>
        <v>0</v>
      </c>
      <c r="AA19" s="380">
        <f t="shared" si="22"/>
        <v>0</v>
      </c>
      <c r="AB19" s="225"/>
      <c r="AC19" s="231"/>
      <c r="AD19" s="231"/>
      <c r="AE19" s="231"/>
      <c r="AF19" s="231"/>
      <c r="AG19" s="231"/>
      <c r="AH19" s="231"/>
      <c r="AI19" s="225"/>
      <c r="AJ19" s="225"/>
      <c r="AK19" s="225"/>
      <c r="AL19" s="225"/>
      <c r="AM19" s="225"/>
      <c r="AN19" s="225"/>
    </row>
    <row r="20" spans="1:40" s="228" customFormat="1" ht="15" customHeight="1" thickBot="1">
      <c r="A20" s="1582"/>
      <c r="B20" s="1502" t="s">
        <v>215</v>
      </c>
      <c r="C20" s="274">
        <f t="shared" si="1"/>
        <v>2.1908757716049393E-4</v>
      </c>
      <c r="D20" s="1534">
        <v>2</v>
      </c>
      <c r="E20" s="1393">
        <v>1</v>
      </c>
      <c r="F20" s="1393">
        <v>1</v>
      </c>
      <c r="G20" s="1393">
        <v>200</v>
      </c>
      <c r="H20" s="301"/>
      <c r="I20" s="301">
        <v>2.3148148148148146E-4</v>
      </c>
      <c r="J20" s="301">
        <v>1.3888888888888889E-3</v>
      </c>
      <c r="K20" s="1123" t="s">
        <v>1442</v>
      </c>
      <c r="L20" s="301">
        <f t="shared" si="27"/>
        <v>0.53775027151907073</v>
      </c>
      <c r="M20" s="1537">
        <v>1.25</v>
      </c>
      <c r="N20" s="301">
        <f>P20*E20*F20+I20*F20+J20*E20</f>
        <v>3.8112461419753099E-3</v>
      </c>
      <c r="O20" s="1528">
        <f t="shared" si="24"/>
        <v>1.7527006172839514E-3</v>
      </c>
      <c r="P20" s="302">
        <f t="shared" si="25"/>
        <v>2.1908757716049393E-3</v>
      </c>
      <c r="Q20" s="550">
        <v>141</v>
      </c>
      <c r="R20" s="1388">
        <f t="shared" si="26"/>
        <v>200</v>
      </c>
      <c r="S20" s="229">
        <f t="shared" si="14"/>
        <v>0.2</v>
      </c>
      <c r="T20" s="230">
        <f t="shared" si="15"/>
        <v>7.0108024691358057E-3</v>
      </c>
      <c r="U20" s="374">
        <f t="shared" si="16"/>
        <v>0</v>
      </c>
      <c r="V20" s="375">
        <f t="shared" si="17"/>
        <v>0.2</v>
      </c>
      <c r="W20" s="376">
        <f t="shared" si="18"/>
        <v>0</v>
      </c>
      <c r="X20" s="377">
        <f t="shared" si="19"/>
        <v>0</v>
      </c>
      <c r="Y20" s="378">
        <f t="shared" si="20"/>
        <v>0</v>
      </c>
      <c r="Z20" s="379">
        <f t="shared" si="21"/>
        <v>0</v>
      </c>
      <c r="AA20" s="380">
        <f t="shared" si="22"/>
        <v>0</v>
      </c>
      <c r="AB20" s="225"/>
      <c r="AC20" s="231"/>
      <c r="AD20" s="231"/>
      <c r="AE20" s="231"/>
      <c r="AF20" s="231"/>
      <c r="AG20" s="231"/>
      <c r="AH20" s="231"/>
      <c r="AI20" s="225"/>
      <c r="AJ20" s="225"/>
      <c r="AK20" s="225"/>
      <c r="AL20" s="225"/>
      <c r="AM20" s="225"/>
      <c r="AN20" s="225"/>
    </row>
    <row r="21" spans="1:40" s="228" customFormat="1" ht="12" customHeight="1" thickBot="1">
      <c r="B21" s="1502" t="s">
        <v>215</v>
      </c>
      <c r="C21" s="274">
        <f t="shared" si="1"/>
        <v>2.2880964381720439E-4</v>
      </c>
      <c r="D21" s="1543">
        <v>1</v>
      </c>
      <c r="E21" s="1576">
        <v>1</v>
      </c>
      <c r="F21" s="1576">
        <v>1</v>
      </c>
      <c r="G21" s="1576">
        <v>200</v>
      </c>
      <c r="H21" s="1015"/>
      <c r="I21" s="1015">
        <v>0</v>
      </c>
      <c r="J21" s="1015">
        <v>1.1574074074074073E-4</v>
      </c>
      <c r="K21" s="1016" t="s">
        <v>763</v>
      </c>
      <c r="L21" s="1015">
        <f t="shared" si="27"/>
        <v>0.54156151766104599</v>
      </c>
      <c r="M21" s="1545">
        <v>1</v>
      </c>
      <c r="N21" s="1015">
        <f>P21*E21*F21+I21*F21+J21*E21</f>
        <v>1.9462178912783758E-3</v>
      </c>
      <c r="O21" s="1528">
        <f t="shared" si="24"/>
        <v>1.8304771505376352E-3</v>
      </c>
      <c r="P21" s="1017">
        <f t="shared" si="25"/>
        <v>1.8304771505376352E-3</v>
      </c>
      <c r="Q21" s="1018">
        <v>121</v>
      </c>
      <c r="R21" s="1573">
        <f t="shared" si="26"/>
        <v>200</v>
      </c>
      <c r="S21" s="229">
        <f t="shared" si="14"/>
        <v>0.2</v>
      </c>
      <c r="T21" s="230">
        <f t="shared" si="15"/>
        <v>7.3219086021505406E-3</v>
      </c>
      <c r="U21" s="374">
        <f t="shared" si="16"/>
        <v>0.2</v>
      </c>
      <c r="V21" s="375">
        <f t="shared" si="17"/>
        <v>0</v>
      </c>
      <c r="W21" s="376">
        <f t="shared" si="18"/>
        <v>0</v>
      </c>
      <c r="X21" s="377">
        <f t="shared" si="19"/>
        <v>0</v>
      </c>
      <c r="Y21" s="378">
        <f t="shared" si="20"/>
        <v>0</v>
      </c>
      <c r="Z21" s="379">
        <f t="shared" si="21"/>
        <v>0</v>
      </c>
      <c r="AA21" s="380">
        <f t="shared" si="22"/>
        <v>0</v>
      </c>
      <c r="AB21" s="225"/>
      <c r="AC21" s="231"/>
      <c r="AD21" s="231"/>
      <c r="AE21" s="231"/>
      <c r="AF21" s="231"/>
      <c r="AG21" s="231"/>
      <c r="AH21" s="231"/>
      <c r="AI21" s="225"/>
      <c r="AJ21" s="225"/>
      <c r="AK21" s="225"/>
      <c r="AL21" s="225"/>
      <c r="AM21" s="225"/>
      <c r="AN21" s="225"/>
    </row>
    <row r="22" spans="1:40" s="228" customFormat="1" ht="14" customHeight="1" thickBot="1">
      <c r="B22" s="1502"/>
      <c r="C22" s="274">
        <f t="shared" si="1"/>
        <v>0</v>
      </c>
      <c r="D22" s="1546"/>
      <c r="E22" s="849"/>
      <c r="F22" s="849"/>
      <c r="G22" s="849"/>
      <c r="H22" s="1538"/>
      <c r="I22" s="849"/>
      <c r="J22" s="849"/>
      <c r="K22" s="849"/>
      <c r="L22" s="2111">
        <f t="shared" si="27"/>
        <v>0.54350773555232434</v>
      </c>
      <c r="M22" s="1547"/>
      <c r="N22" s="1019"/>
      <c r="O22" s="1538"/>
      <c r="P22" s="849"/>
      <c r="Q22" s="849"/>
      <c r="R22" s="684">
        <f>SUM(R14:R21)</f>
        <v>2400</v>
      </c>
      <c r="S22" s="229">
        <f t="shared" si="14"/>
        <v>0</v>
      </c>
      <c r="T22" s="230">
        <f t="shared" si="15"/>
        <v>0</v>
      </c>
      <c r="U22" s="374">
        <f t="shared" si="16"/>
        <v>0</v>
      </c>
      <c r="V22" s="375">
        <f t="shared" si="17"/>
        <v>0</v>
      </c>
      <c r="W22" s="376">
        <f t="shared" si="18"/>
        <v>0</v>
      </c>
      <c r="X22" s="377">
        <f t="shared" si="19"/>
        <v>0</v>
      </c>
      <c r="Y22" s="378">
        <f t="shared" si="20"/>
        <v>0</v>
      </c>
      <c r="Z22" s="379">
        <f t="shared" si="21"/>
        <v>0</v>
      </c>
      <c r="AA22" s="380">
        <f t="shared" si="22"/>
        <v>0</v>
      </c>
      <c r="AB22" s="225"/>
      <c r="AC22" s="231"/>
      <c r="AD22" s="231"/>
      <c r="AE22" s="231"/>
      <c r="AF22" s="231"/>
      <c r="AG22" s="231"/>
      <c r="AH22" s="231"/>
      <c r="AI22" s="225"/>
      <c r="AJ22" s="225"/>
      <c r="AK22" s="225"/>
      <c r="AL22" s="225"/>
      <c r="AM22" s="225"/>
      <c r="AN22" s="225"/>
    </row>
    <row r="23" spans="1:40" s="228" customFormat="1" ht="12.75" customHeight="1" thickBot="1">
      <c r="A23" s="1582" t="s">
        <v>215</v>
      </c>
      <c r="B23" s="1502" t="s">
        <v>461</v>
      </c>
      <c r="C23" s="274">
        <f t="shared" si="1"/>
        <v>2.2880964381720439E-4</v>
      </c>
      <c r="D23" s="547">
        <v>1</v>
      </c>
      <c r="E23" s="275">
        <v>1</v>
      </c>
      <c r="F23" s="275">
        <v>4</v>
      </c>
      <c r="G23" s="275">
        <v>200</v>
      </c>
      <c r="H23" s="275"/>
      <c r="I23" s="276">
        <v>1.1574074074074073E-4</v>
      </c>
      <c r="J23" s="276">
        <v>1.1574074074074073E-4</v>
      </c>
      <c r="K23" s="312" t="s">
        <v>535</v>
      </c>
      <c r="L23" s="1004">
        <v>0.79861111111111116</v>
      </c>
      <c r="M23" s="451">
        <v>1</v>
      </c>
      <c r="N23" s="276">
        <f>P23*E23*F23+I23*E23*F23+J23*E23</f>
        <v>7.9006123058542443E-3</v>
      </c>
      <c r="O23" s="296">
        <f>C23*(G23/25)</f>
        <v>1.8304771505376352E-3</v>
      </c>
      <c r="P23" s="296">
        <f>O23*M23</f>
        <v>1.8304771505376352E-3</v>
      </c>
      <c r="Q23" s="548">
        <v>129</v>
      </c>
      <c r="R23" s="646">
        <f>E23*F23*G23</f>
        <v>800</v>
      </c>
      <c r="S23" s="229">
        <f t="shared" si="14"/>
        <v>0.8</v>
      </c>
      <c r="T23" s="230">
        <f t="shared" si="15"/>
        <v>2.9287634408602162E-2</v>
      </c>
      <c r="U23" s="374">
        <f t="shared" si="16"/>
        <v>0.8</v>
      </c>
      <c r="V23" s="375">
        <f t="shared" si="17"/>
        <v>0</v>
      </c>
      <c r="W23" s="376">
        <f t="shared" si="18"/>
        <v>0</v>
      </c>
      <c r="X23" s="377">
        <f t="shared" si="19"/>
        <v>0</v>
      </c>
      <c r="Y23" s="378">
        <f t="shared" si="20"/>
        <v>0</v>
      </c>
      <c r="Z23" s="379">
        <f t="shared" si="21"/>
        <v>0</v>
      </c>
      <c r="AA23" s="380">
        <f t="shared" si="22"/>
        <v>0</v>
      </c>
      <c r="AB23" s="225"/>
      <c r="AC23" s="231"/>
      <c r="AD23" s="231"/>
      <c r="AE23" s="231"/>
      <c r="AF23" s="231"/>
      <c r="AG23" s="231"/>
      <c r="AH23" s="231"/>
      <c r="AI23" s="225"/>
      <c r="AJ23" s="225"/>
      <c r="AK23" s="225"/>
      <c r="AL23" s="225"/>
      <c r="AM23" s="225"/>
      <c r="AN23" s="225"/>
    </row>
    <row r="24" spans="1:40" s="228" customFormat="1" ht="15" customHeight="1" thickBot="1">
      <c r="A24" s="1582" t="s">
        <v>138</v>
      </c>
      <c r="B24" s="1502" t="s">
        <v>461</v>
      </c>
      <c r="C24" s="274">
        <f t="shared" si="1"/>
        <v>1.8229166666666673E-4</v>
      </c>
      <c r="D24" s="920">
        <v>6</v>
      </c>
      <c r="E24" s="1145">
        <v>1</v>
      </c>
      <c r="F24" s="1145">
        <v>1</v>
      </c>
      <c r="G24" s="1145">
        <v>900</v>
      </c>
      <c r="H24" s="1145"/>
      <c r="I24" s="366">
        <v>5.208333333333333E-3</v>
      </c>
      <c r="J24" s="366">
        <v>1.736111111111111E-3</v>
      </c>
      <c r="K24" s="2678" t="s">
        <v>1421</v>
      </c>
      <c r="L24" s="1657">
        <f t="shared" ref="L24" si="28">L23+N23</f>
        <v>0.80651172341696542</v>
      </c>
      <c r="M24" s="1625">
        <v>1.17</v>
      </c>
      <c r="N24" s="1657">
        <f>P24*E24*F24+I24*F24*E24+J24*E24</f>
        <v>1.4622569444444448E-2</v>
      </c>
      <c r="O24" s="1658">
        <f>C24*(G24/25)</f>
        <v>6.5625000000000024E-3</v>
      </c>
      <c r="P24" s="1657">
        <f t="shared" ref="P24" si="29">O24*M24</f>
        <v>7.6781250000000027E-3</v>
      </c>
      <c r="Q24" s="1146">
        <v>164</v>
      </c>
      <c r="R24" s="1145">
        <f>E24*F24*G24</f>
        <v>900</v>
      </c>
      <c r="S24" s="229">
        <f t="shared" si="14"/>
        <v>0.9</v>
      </c>
      <c r="T24" s="230">
        <f t="shared" si="15"/>
        <v>2.6250000000000009E-2</v>
      </c>
      <c r="U24" s="374">
        <f t="shared" si="16"/>
        <v>0</v>
      </c>
      <c r="V24" s="375">
        <f t="shared" si="17"/>
        <v>0</v>
      </c>
      <c r="W24" s="376">
        <f t="shared" si="18"/>
        <v>0</v>
      </c>
      <c r="X24" s="377">
        <f t="shared" si="19"/>
        <v>0</v>
      </c>
      <c r="Y24" s="378">
        <f t="shared" si="20"/>
        <v>0</v>
      </c>
      <c r="Z24" s="379">
        <f t="shared" si="21"/>
        <v>0.9</v>
      </c>
      <c r="AA24" s="380">
        <f t="shared" si="22"/>
        <v>0</v>
      </c>
      <c r="AB24" s="225"/>
      <c r="AC24" s="231"/>
      <c r="AD24" s="231"/>
      <c r="AE24" s="231"/>
      <c r="AF24" s="231"/>
      <c r="AG24" s="231"/>
      <c r="AH24" s="231"/>
      <c r="AI24" s="225"/>
      <c r="AJ24" s="225"/>
      <c r="AK24" s="225"/>
      <c r="AL24" s="225"/>
      <c r="AM24" s="225"/>
      <c r="AN24" s="225"/>
    </row>
    <row r="25" spans="1:40" s="228" customFormat="1" ht="16.25" customHeight="1" thickBot="1">
      <c r="A25" s="1582" t="s">
        <v>462</v>
      </c>
      <c r="B25" s="1502" t="s">
        <v>461</v>
      </c>
      <c r="C25" s="274">
        <f t="shared" si="1"/>
        <v>1.8229166666666673E-4</v>
      </c>
      <c r="D25" s="895">
        <v>6</v>
      </c>
      <c r="E25" s="1449">
        <v>4</v>
      </c>
      <c r="F25" s="1445">
        <v>4</v>
      </c>
      <c r="G25" s="365">
        <v>50</v>
      </c>
      <c r="H25" s="365"/>
      <c r="I25" s="366">
        <v>2.8935185185185189E-4</v>
      </c>
      <c r="J25" s="366">
        <v>2.3148148148148146E-4</v>
      </c>
      <c r="K25" s="1065" t="s">
        <v>1443</v>
      </c>
      <c r="L25" s="1006">
        <f>L24+N24</f>
        <v>0.82113429286140982</v>
      </c>
      <c r="M25" s="365">
        <v>1.1000000000000001</v>
      </c>
      <c r="N25" s="366">
        <f>P25*E25*F25+I25*F25*E25+J25*E25</f>
        <v>1.1972222222222226E-2</v>
      </c>
      <c r="O25" s="365">
        <f>C25*(G25/25)</f>
        <v>3.6458333333333346E-4</v>
      </c>
      <c r="P25" s="586">
        <f>O25*M25</f>
        <v>4.0104166666666684E-4</v>
      </c>
      <c r="Q25" s="365" t="s">
        <v>278</v>
      </c>
      <c r="R25" s="365">
        <f>E25*F25*G25</f>
        <v>800</v>
      </c>
      <c r="S25" s="229">
        <f t="shared" si="14"/>
        <v>0.8</v>
      </c>
      <c r="T25" s="230">
        <f t="shared" si="15"/>
        <v>2.3333333333333341E-2</v>
      </c>
      <c r="U25" s="374">
        <f t="shared" si="16"/>
        <v>0</v>
      </c>
      <c r="V25" s="375">
        <f t="shared" si="17"/>
        <v>0</v>
      </c>
      <c r="W25" s="376">
        <f t="shared" si="18"/>
        <v>0</v>
      </c>
      <c r="X25" s="377">
        <f t="shared" si="19"/>
        <v>0</v>
      </c>
      <c r="Y25" s="378">
        <f t="shared" si="20"/>
        <v>0</v>
      </c>
      <c r="Z25" s="379">
        <f t="shared" si="21"/>
        <v>0.8</v>
      </c>
      <c r="AA25" s="380">
        <f t="shared" si="22"/>
        <v>0</v>
      </c>
      <c r="AB25" s="225"/>
      <c r="AC25" s="231"/>
      <c r="AD25" s="231"/>
      <c r="AE25" s="231"/>
      <c r="AF25" s="231"/>
      <c r="AG25" s="231"/>
      <c r="AH25" s="231"/>
      <c r="AI25" s="225"/>
      <c r="AJ25" s="225"/>
      <c r="AK25" s="225"/>
      <c r="AL25" s="225"/>
      <c r="AM25" s="225"/>
      <c r="AN25" s="225"/>
    </row>
    <row r="26" spans="1:40" s="228" customFormat="1" ht="15" customHeight="1" thickBot="1">
      <c r="A26" s="1582" t="s">
        <v>461</v>
      </c>
      <c r="B26" s="1502" t="s">
        <v>461</v>
      </c>
      <c r="C26" s="274">
        <f t="shared" si="1"/>
        <v>0</v>
      </c>
      <c r="D26" s="920"/>
      <c r="E26" s="1448"/>
      <c r="F26" s="1405"/>
      <c r="G26" s="1405"/>
      <c r="H26" s="1405"/>
      <c r="I26" s="2685"/>
      <c r="J26" s="2496"/>
      <c r="K26" s="2686" t="s">
        <v>1116</v>
      </c>
      <c r="L26" s="1443">
        <f t="shared" ref="L26" si="30">L25+N25</f>
        <v>0.83310651508363209</v>
      </c>
      <c r="M26" s="1409">
        <v>2</v>
      </c>
      <c r="N26" s="1407">
        <v>3.472222222222222E-3</v>
      </c>
      <c r="O26" s="1407"/>
      <c r="P26" s="1410"/>
      <c r="Q26" s="1411"/>
      <c r="R26" s="1412"/>
      <c r="S26" s="229">
        <f t="shared" si="14"/>
        <v>0</v>
      </c>
      <c r="T26" s="230">
        <f t="shared" si="15"/>
        <v>0</v>
      </c>
      <c r="U26" s="374">
        <f t="shared" si="16"/>
        <v>0</v>
      </c>
      <c r="V26" s="375">
        <f t="shared" si="17"/>
        <v>0</v>
      </c>
      <c r="W26" s="376">
        <f t="shared" si="18"/>
        <v>0</v>
      </c>
      <c r="X26" s="377">
        <f t="shared" si="19"/>
        <v>0</v>
      </c>
      <c r="Y26" s="378">
        <f t="shared" si="20"/>
        <v>0</v>
      </c>
      <c r="Z26" s="379">
        <f t="shared" si="21"/>
        <v>0</v>
      </c>
      <c r="AA26" s="380">
        <f t="shared" si="22"/>
        <v>0</v>
      </c>
      <c r="AB26" s="225"/>
      <c r="AC26" s="231"/>
      <c r="AD26" s="231"/>
      <c r="AE26" s="231"/>
      <c r="AF26" s="231"/>
      <c r="AG26" s="231"/>
      <c r="AH26" s="231"/>
      <c r="AI26" s="225"/>
      <c r="AJ26" s="225"/>
      <c r="AK26" s="225"/>
      <c r="AL26" s="225"/>
      <c r="AM26" s="225"/>
      <c r="AN26" s="225"/>
    </row>
    <row r="27" spans="1:40" s="228" customFormat="1" ht="18" customHeight="1" thickBot="1">
      <c r="A27" s="1582" t="s">
        <v>458</v>
      </c>
      <c r="B27" s="1503" t="s">
        <v>461</v>
      </c>
      <c r="C27" s="274">
        <f t="shared" si="1"/>
        <v>1.7682291666666674E-4</v>
      </c>
      <c r="D27" s="898">
        <v>7</v>
      </c>
      <c r="E27" s="1040">
        <v>1</v>
      </c>
      <c r="F27" s="1040">
        <v>20</v>
      </c>
      <c r="G27" s="2052">
        <v>25</v>
      </c>
      <c r="H27" s="2052"/>
      <c r="I27" s="2054">
        <v>4.6296296296296293E-4</v>
      </c>
      <c r="J27" s="1041">
        <v>1.3888888888888889E-3</v>
      </c>
      <c r="K27" s="442" t="s">
        <v>1444</v>
      </c>
      <c r="L27" s="1189">
        <f>L26+N26</f>
        <v>0.8365787373058543</v>
      </c>
      <c r="M27" s="1042">
        <v>0.9</v>
      </c>
      <c r="N27" s="1041">
        <f>P27*E27*F27+I27*E27*F27+J27*E27</f>
        <v>1.383096064814815E-2</v>
      </c>
      <c r="O27" s="439">
        <f t="shared" ref="O27:O33" si="31">C27*(G27/25)</f>
        <v>1.7682291666666674E-4</v>
      </c>
      <c r="P27" s="587">
        <f>O27*M27</f>
        <v>1.5914062500000008E-4</v>
      </c>
      <c r="Q27" s="789" t="s">
        <v>274</v>
      </c>
      <c r="R27" s="2044">
        <f>E27*F27*G27</f>
        <v>500</v>
      </c>
      <c r="S27" s="229">
        <f t="shared" si="14"/>
        <v>0.5</v>
      </c>
      <c r="T27" s="230">
        <f t="shared" si="15"/>
        <v>1.4145833333333338E-2</v>
      </c>
      <c r="U27" s="374">
        <f t="shared" si="16"/>
        <v>0</v>
      </c>
      <c r="V27" s="375">
        <f t="shared" si="17"/>
        <v>0</v>
      </c>
      <c r="W27" s="376">
        <f t="shared" si="18"/>
        <v>0</v>
      </c>
      <c r="X27" s="377">
        <f t="shared" si="19"/>
        <v>0</v>
      </c>
      <c r="Y27" s="378">
        <f t="shared" si="20"/>
        <v>0</v>
      </c>
      <c r="Z27" s="379">
        <f t="shared" si="21"/>
        <v>0</v>
      </c>
      <c r="AA27" s="380">
        <f t="shared" si="22"/>
        <v>0.5</v>
      </c>
      <c r="AB27" s="225"/>
      <c r="AC27" s="231"/>
      <c r="AD27" s="231"/>
      <c r="AE27" s="231"/>
      <c r="AF27" s="231"/>
      <c r="AG27" s="231"/>
      <c r="AH27" s="231"/>
      <c r="AI27" s="225"/>
      <c r="AJ27" s="225"/>
      <c r="AK27" s="225"/>
      <c r="AL27" s="225"/>
      <c r="AM27" s="225"/>
      <c r="AN27" s="225"/>
    </row>
    <row r="28" spans="1:40" ht="15" customHeight="1">
      <c r="A28" s="1582" t="s">
        <v>219</v>
      </c>
      <c r="B28" s="1503" t="s">
        <v>461</v>
      </c>
      <c r="C28" s="274">
        <f t="shared" si="1"/>
        <v>1.7682291666666674E-4</v>
      </c>
      <c r="D28" s="1539">
        <v>7</v>
      </c>
      <c r="E28" s="441">
        <v>1</v>
      </c>
      <c r="F28" s="441">
        <v>4</v>
      </c>
      <c r="G28" s="441">
        <v>25</v>
      </c>
      <c r="H28" s="1541"/>
      <c r="I28" s="436">
        <v>4.6296296296296293E-4</v>
      </c>
      <c r="J28" s="436">
        <v>2.0833333333333333E-3</v>
      </c>
      <c r="K28" s="1320" t="s">
        <v>953</v>
      </c>
      <c r="L28" s="436">
        <f>L27+N28</f>
        <v>0.8411504849910395</v>
      </c>
      <c r="M28" s="1542">
        <v>0.9</v>
      </c>
      <c r="N28" s="436">
        <f>P28*E28*F28+I28*F28+J28*E28</f>
        <v>4.5717476851851856E-3</v>
      </c>
      <c r="O28" s="1528">
        <f t="shared" si="31"/>
        <v>1.7682291666666674E-4</v>
      </c>
      <c r="P28" s="439">
        <f>O28*M28</f>
        <v>1.5914062500000008E-4</v>
      </c>
      <c r="Q28" s="443" t="s">
        <v>274</v>
      </c>
      <c r="R28" s="638">
        <f>E28*F28*G28</f>
        <v>100</v>
      </c>
      <c r="S28" s="229">
        <f t="shared" si="14"/>
        <v>0.1</v>
      </c>
      <c r="T28" s="230">
        <f t="shared" si="15"/>
        <v>2.8291666666666678E-3</v>
      </c>
      <c r="U28" s="374">
        <f t="shared" si="16"/>
        <v>0</v>
      </c>
      <c r="V28" s="375">
        <f t="shared" si="17"/>
        <v>0</v>
      </c>
      <c r="W28" s="376">
        <f t="shared" si="18"/>
        <v>0</v>
      </c>
      <c r="X28" s="377">
        <f t="shared" si="19"/>
        <v>0</v>
      </c>
      <c r="Y28" s="378">
        <f t="shared" si="20"/>
        <v>0</v>
      </c>
      <c r="Z28" s="379">
        <f t="shared" si="21"/>
        <v>0</v>
      </c>
      <c r="AA28" s="380">
        <f t="shared" si="22"/>
        <v>0.1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40" ht="15" customHeight="1" thickBot="1">
      <c r="A29" s="1585"/>
      <c r="B29" s="204"/>
      <c r="C29" s="274">
        <f t="shared" si="1"/>
        <v>1.7682291666666674E-4</v>
      </c>
      <c r="D29" s="1539">
        <v>7</v>
      </c>
      <c r="E29" s="441">
        <v>1</v>
      </c>
      <c r="F29" s="441">
        <v>2</v>
      </c>
      <c r="G29" s="441">
        <v>50</v>
      </c>
      <c r="H29" s="1541"/>
      <c r="I29" s="436">
        <v>4.6296296296296293E-4</v>
      </c>
      <c r="J29" s="436">
        <v>2.0833333333333333E-3</v>
      </c>
      <c r="K29" s="1320" t="s">
        <v>1168</v>
      </c>
      <c r="L29" s="436">
        <f t="shared" si="27"/>
        <v>0.84572223267622471</v>
      </c>
      <c r="M29" s="1542">
        <v>1.05</v>
      </c>
      <c r="N29" s="436">
        <f>P29*E29*F29+I29*F29+J29*E29</f>
        <v>3.7519155092592595E-3</v>
      </c>
      <c r="O29" s="1528">
        <f t="shared" si="31"/>
        <v>3.5364583333333347E-4</v>
      </c>
      <c r="P29" s="439">
        <f>O29*M29</f>
        <v>3.7132812500000018E-4</v>
      </c>
      <c r="Q29" s="443" t="s">
        <v>274</v>
      </c>
      <c r="R29" s="638">
        <f>E29*F29*G29</f>
        <v>100</v>
      </c>
      <c r="S29" s="229">
        <f t="shared" si="14"/>
        <v>0.1</v>
      </c>
      <c r="T29" s="230">
        <f t="shared" si="15"/>
        <v>2.8291666666666678E-3</v>
      </c>
      <c r="U29" s="374">
        <f t="shared" si="16"/>
        <v>0</v>
      </c>
      <c r="V29" s="375">
        <f t="shared" si="17"/>
        <v>0</v>
      </c>
      <c r="W29" s="376">
        <f t="shared" si="18"/>
        <v>0</v>
      </c>
      <c r="X29" s="377">
        <f t="shared" si="19"/>
        <v>0</v>
      </c>
      <c r="Y29" s="378">
        <f t="shared" si="20"/>
        <v>0</v>
      </c>
      <c r="Z29" s="379">
        <f t="shared" si="21"/>
        <v>0</v>
      </c>
      <c r="AA29" s="380">
        <f t="shared" si="22"/>
        <v>0.1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</row>
    <row r="30" spans="1:40" ht="13" customHeight="1" thickBot="1">
      <c r="A30" s="1585"/>
      <c r="B30" s="1503"/>
      <c r="C30" s="274">
        <f t="shared" si="1"/>
        <v>2.2880964381720439E-4</v>
      </c>
      <c r="D30" s="1527">
        <v>1</v>
      </c>
      <c r="E30" s="1387"/>
      <c r="F30" s="1387"/>
      <c r="G30" s="1387"/>
      <c r="H30" s="1528"/>
      <c r="I30" s="276"/>
      <c r="J30" s="276"/>
      <c r="K30" s="1340"/>
      <c r="L30" s="276"/>
      <c r="M30" s="1530"/>
      <c r="N30" s="276"/>
      <c r="O30" s="1528">
        <f t="shared" si="31"/>
        <v>0</v>
      </c>
      <c r="P30" s="296"/>
      <c r="Q30" s="548"/>
      <c r="R30" s="1395">
        <f>SUM(R23:R29)</f>
        <v>3200</v>
      </c>
      <c r="S30" s="229">
        <f t="shared" si="14"/>
        <v>0</v>
      </c>
      <c r="T30" s="230">
        <f t="shared" si="15"/>
        <v>0</v>
      </c>
      <c r="U30" s="374">
        <f t="shared" si="16"/>
        <v>0</v>
      </c>
      <c r="V30" s="375">
        <f t="shared" si="17"/>
        <v>0</v>
      </c>
      <c r="W30" s="376">
        <f t="shared" si="18"/>
        <v>0</v>
      </c>
      <c r="X30" s="377">
        <f t="shared" si="19"/>
        <v>0</v>
      </c>
      <c r="Y30" s="378">
        <f t="shared" si="20"/>
        <v>0</v>
      </c>
      <c r="Z30" s="379">
        <f t="shared" si="21"/>
        <v>0</v>
      </c>
      <c r="AA30" s="380">
        <f t="shared" si="22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</row>
    <row r="31" spans="1:40" ht="11" customHeight="1" thickBot="1">
      <c r="A31" s="4908" t="s">
        <v>215</v>
      </c>
      <c r="B31" s="4908" t="s">
        <v>215</v>
      </c>
      <c r="C31" s="274">
        <f t="shared" si="1"/>
        <v>2.1908757716049393E-4</v>
      </c>
      <c r="D31" s="4614">
        <v>2</v>
      </c>
      <c r="E31" s="4615">
        <v>1</v>
      </c>
      <c r="F31" s="4615">
        <v>4</v>
      </c>
      <c r="G31" s="4615">
        <v>200</v>
      </c>
      <c r="H31" s="4615"/>
      <c r="I31" s="4616">
        <v>1.1574074074074073E-4</v>
      </c>
      <c r="J31" s="4616">
        <v>1.3888888888888889E-3</v>
      </c>
      <c r="K31" s="1123" t="s">
        <v>762</v>
      </c>
      <c r="L31" s="1149">
        <v>0.80208333333333337</v>
      </c>
      <c r="M31" s="4617">
        <v>0.9</v>
      </c>
      <c r="N31" s="4616">
        <f>P31*E31*F31+I31*E31*F31+J31*E31</f>
        <v>8.1615740740740763E-3</v>
      </c>
      <c r="O31" s="302">
        <f t="shared" si="31"/>
        <v>1.7527006172839514E-3</v>
      </c>
      <c r="P31" s="302">
        <f>O31*M31</f>
        <v>1.5774305555555563E-3</v>
      </c>
      <c r="Q31" s="550">
        <v>129</v>
      </c>
      <c r="R31" s="4618">
        <f>E31*F31*G31</f>
        <v>800</v>
      </c>
      <c r="S31" s="229">
        <f t="shared" si="14"/>
        <v>0.8</v>
      </c>
      <c r="T31" s="230">
        <f t="shared" si="15"/>
        <v>2.8043209876543223E-2</v>
      </c>
      <c r="U31" s="374">
        <f t="shared" si="16"/>
        <v>0</v>
      </c>
      <c r="V31" s="375">
        <f t="shared" si="17"/>
        <v>0.8</v>
      </c>
      <c r="W31" s="376">
        <f t="shared" si="18"/>
        <v>0</v>
      </c>
      <c r="X31" s="377">
        <f t="shared" si="19"/>
        <v>0</v>
      </c>
      <c r="Y31" s="378">
        <f t="shared" si="20"/>
        <v>0</v>
      </c>
      <c r="Z31" s="379">
        <f t="shared" si="21"/>
        <v>0</v>
      </c>
      <c r="AA31" s="380">
        <f t="shared" si="22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</row>
    <row r="32" spans="1:40" ht="14" customHeight="1" thickBot="1">
      <c r="A32" s="4910" t="s">
        <v>139</v>
      </c>
      <c r="B32" s="4908" t="s">
        <v>215</v>
      </c>
      <c r="C32" s="274">
        <f t="shared" si="1"/>
        <v>1.8229166666666673E-4</v>
      </c>
      <c r="D32" s="4619">
        <v>6</v>
      </c>
      <c r="E32" s="4620">
        <v>1</v>
      </c>
      <c r="F32" s="4620">
        <v>6</v>
      </c>
      <c r="G32" s="4620">
        <v>75</v>
      </c>
      <c r="H32" s="4620"/>
      <c r="I32" s="4621">
        <v>3.4722222222222224E-4</v>
      </c>
      <c r="J32" s="4621">
        <v>6.9444444444444441E-3</v>
      </c>
      <c r="K32" s="4561" t="s">
        <v>974</v>
      </c>
      <c r="L32" s="4621">
        <f t="shared" ref="L32:L33" si="32">L31+N31</f>
        <v>0.8102449074074074</v>
      </c>
      <c r="M32" s="4622">
        <v>1.07</v>
      </c>
      <c r="N32" s="4621">
        <f>P32*E32*F32+I32*E32*F32+J32*E32</f>
        <v>1.2538715277777779E-2</v>
      </c>
      <c r="O32" s="4563">
        <f t="shared" si="31"/>
        <v>5.4687500000000016E-4</v>
      </c>
      <c r="P32" s="4564">
        <f t="shared" ref="P32:P34" si="33">O32*M32</f>
        <v>5.8515625000000017E-4</v>
      </c>
      <c r="Q32" s="4623">
        <v>177</v>
      </c>
      <c r="R32" s="4620">
        <f>E32*F32*G32</f>
        <v>450</v>
      </c>
      <c r="S32" s="229">
        <f t="shared" si="14"/>
        <v>0.45</v>
      </c>
      <c r="T32" s="230">
        <f t="shared" si="15"/>
        <v>1.3125000000000005E-2</v>
      </c>
      <c r="U32" s="374">
        <f t="shared" si="16"/>
        <v>0</v>
      </c>
      <c r="V32" s="375">
        <f t="shared" si="17"/>
        <v>0</v>
      </c>
      <c r="W32" s="376">
        <f t="shared" si="18"/>
        <v>0</v>
      </c>
      <c r="X32" s="377">
        <f t="shared" si="19"/>
        <v>0</v>
      </c>
      <c r="Y32" s="378">
        <f t="shared" si="20"/>
        <v>0</v>
      </c>
      <c r="Z32" s="379">
        <f t="shared" si="21"/>
        <v>0.45</v>
      </c>
      <c r="AA32" s="380">
        <f t="shared" si="22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</row>
    <row r="33" spans="1:39" ht="12" customHeight="1" thickBot="1">
      <c r="A33" s="4910" t="s">
        <v>458</v>
      </c>
      <c r="B33" s="4908" t="s">
        <v>215</v>
      </c>
      <c r="C33" s="274">
        <f t="shared" si="1"/>
        <v>2.1908757716049393E-4</v>
      </c>
      <c r="D33" s="4614">
        <v>2</v>
      </c>
      <c r="E33" s="4615">
        <v>1</v>
      </c>
      <c r="F33" s="4615">
        <v>2</v>
      </c>
      <c r="G33" s="4615">
        <v>20</v>
      </c>
      <c r="H33" s="4615"/>
      <c r="I33" s="4616">
        <v>1.3888888888888889E-4</v>
      </c>
      <c r="J33" s="4616">
        <v>1.3888888888888889E-3</v>
      </c>
      <c r="K33" s="1123" t="s">
        <v>894</v>
      </c>
      <c r="L33" s="1149">
        <f t="shared" si="32"/>
        <v>0.82278362268518523</v>
      </c>
      <c r="M33" s="4617">
        <v>1.2</v>
      </c>
      <c r="N33" s="4616">
        <f>P33*E33*F33+I33*E33*F33+J33*E33</f>
        <v>2.0873148148148153E-3</v>
      </c>
      <c r="O33" s="302">
        <f t="shared" si="31"/>
        <v>1.7527006172839515E-4</v>
      </c>
      <c r="P33" s="302">
        <f t="shared" si="33"/>
        <v>2.1032407407407417E-4</v>
      </c>
      <c r="Q33" s="550">
        <v>146</v>
      </c>
      <c r="R33" s="4618">
        <f>E33*F33*G33</f>
        <v>40</v>
      </c>
      <c r="S33" s="229">
        <f t="shared" si="14"/>
        <v>0.04</v>
      </c>
      <c r="T33" s="230">
        <f t="shared" si="15"/>
        <v>1.4021604938271612E-3</v>
      </c>
      <c r="U33" s="374">
        <f t="shared" si="16"/>
        <v>0</v>
      </c>
      <c r="V33" s="375">
        <f t="shared" si="17"/>
        <v>0.04</v>
      </c>
      <c r="W33" s="376">
        <f t="shared" si="18"/>
        <v>0</v>
      </c>
      <c r="X33" s="377">
        <f t="shared" si="19"/>
        <v>0</v>
      </c>
      <c r="Y33" s="378">
        <f t="shared" si="20"/>
        <v>0</v>
      </c>
      <c r="Z33" s="379">
        <f t="shared" si="21"/>
        <v>0</v>
      </c>
      <c r="AA33" s="380">
        <f t="shared" si="22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</row>
    <row r="34" spans="1:39" ht="13" customHeight="1" thickBot="1">
      <c r="A34" s="4910" t="s">
        <v>462</v>
      </c>
      <c r="B34" s="4908" t="s">
        <v>215</v>
      </c>
      <c r="C34" s="274">
        <f t="shared" si="1"/>
        <v>1.8229166666666673E-4</v>
      </c>
      <c r="D34" s="4619">
        <v>6</v>
      </c>
      <c r="E34" s="4620">
        <v>1</v>
      </c>
      <c r="F34" s="4620">
        <v>8</v>
      </c>
      <c r="G34" s="4620">
        <v>50</v>
      </c>
      <c r="H34" s="4620"/>
      <c r="I34" s="4621">
        <v>6.9444444444444447E-4</v>
      </c>
      <c r="J34" s="4621">
        <v>3.472222222222222E-3</v>
      </c>
      <c r="K34" s="4561" t="s">
        <v>974</v>
      </c>
      <c r="L34" s="4621">
        <f>L32+N32</f>
        <v>0.82278362268518523</v>
      </c>
      <c r="M34" s="4622">
        <v>1.05</v>
      </c>
      <c r="N34" s="4621">
        <f>P34*E34*F34+I34*E34*F34+J34*E34</f>
        <v>1.2151527777777778E-2</v>
      </c>
      <c r="O34" s="4563">
        <f>C34*(G34/25)*1.02</f>
        <v>3.7187500000000014E-4</v>
      </c>
      <c r="P34" s="4564">
        <f t="shared" si="33"/>
        <v>3.9046875000000014E-4</v>
      </c>
      <c r="Q34" s="4623">
        <v>177</v>
      </c>
      <c r="R34" s="4620">
        <f>E34*F34*G34</f>
        <v>400</v>
      </c>
      <c r="S34" s="229">
        <f t="shared" si="14"/>
        <v>0.4</v>
      </c>
      <c r="T34" s="230">
        <f t="shared" si="15"/>
        <v>1.1900000000000004E-2</v>
      </c>
      <c r="U34" s="374">
        <f t="shared" si="16"/>
        <v>0</v>
      </c>
      <c r="V34" s="375">
        <f t="shared" si="17"/>
        <v>0</v>
      </c>
      <c r="W34" s="376">
        <f t="shared" si="18"/>
        <v>0</v>
      </c>
      <c r="X34" s="377">
        <f t="shared" si="19"/>
        <v>0</v>
      </c>
      <c r="Y34" s="378">
        <f t="shared" si="20"/>
        <v>0</v>
      </c>
      <c r="Z34" s="379">
        <f t="shared" si="21"/>
        <v>0.4</v>
      </c>
      <c r="AA34" s="380">
        <f t="shared" si="22"/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</row>
    <row r="35" spans="1:39" ht="13" customHeight="1" thickBot="1">
      <c r="A35" s="4910" t="s">
        <v>140</v>
      </c>
      <c r="B35" s="4908" t="s">
        <v>215</v>
      </c>
      <c r="C35" s="274">
        <f t="shared" si="1"/>
        <v>1.7682291666666674E-4</v>
      </c>
      <c r="D35" s="3123">
        <v>7</v>
      </c>
      <c r="E35" s="3124">
        <v>5</v>
      </c>
      <c r="F35" s="3124">
        <v>4</v>
      </c>
      <c r="G35" s="3124">
        <v>25</v>
      </c>
      <c r="H35" s="3793" t="s">
        <v>1508</v>
      </c>
      <c r="I35" s="2377">
        <v>3.4722222222222224E-4</v>
      </c>
      <c r="J35" s="2377">
        <v>6.9444444444444447E-4</v>
      </c>
      <c r="K35" s="3125" t="s">
        <v>1512</v>
      </c>
      <c r="L35" s="2515">
        <f>L34+N34</f>
        <v>0.83493515046296296</v>
      </c>
      <c r="M35" s="3126">
        <v>1</v>
      </c>
      <c r="N35" s="2377">
        <f>P35*E35*F35+I35*E35*F35+J35*E35</f>
        <v>1.3953125000000002E-2</v>
      </c>
      <c r="O35" s="2271">
        <f>C35*(G35/25)</f>
        <v>1.7682291666666674E-4</v>
      </c>
      <c r="P35" s="2517">
        <f>O35*M35</f>
        <v>1.7682291666666674E-4</v>
      </c>
      <c r="Q35" s="3130" t="s">
        <v>316</v>
      </c>
      <c r="R35" s="3122">
        <f>E35*F35*G35</f>
        <v>500</v>
      </c>
      <c r="S35" s="229">
        <f t="shared" si="14"/>
        <v>0.5</v>
      </c>
      <c r="T35" s="230">
        <f t="shared" si="15"/>
        <v>1.4145833333333338E-2</v>
      </c>
      <c r="U35" s="374">
        <f t="shared" si="16"/>
        <v>0</v>
      </c>
      <c r="V35" s="375">
        <f t="shared" si="17"/>
        <v>0</v>
      </c>
      <c r="W35" s="376">
        <f t="shared" si="18"/>
        <v>0</v>
      </c>
      <c r="X35" s="377">
        <f t="shared" si="19"/>
        <v>0</v>
      </c>
      <c r="Y35" s="378">
        <f t="shared" si="20"/>
        <v>0</v>
      </c>
      <c r="Z35" s="379">
        <f t="shared" si="21"/>
        <v>0</v>
      </c>
      <c r="AA35" s="380">
        <f t="shared" si="22"/>
        <v>0.5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</row>
    <row r="36" spans="1:39" ht="13" customHeight="1" thickBot="1">
      <c r="A36" s="4910" t="s">
        <v>674</v>
      </c>
      <c r="B36" s="4908"/>
      <c r="C36" s="274">
        <f t="shared" si="1"/>
        <v>0</v>
      </c>
      <c r="D36" s="1546"/>
      <c r="E36" s="849"/>
      <c r="F36" s="849"/>
      <c r="G36" s="849"/>
      <c r="H36" s="1538"/>
      <c r="I36" s="849"/>
      <c r="J36" s="849"/>
      <c r="K36" s="849"/>
      <c r="L36" s="2111">
        <f t="shared" ref="L36" si="34">L35+N35</f>
        <v>0.84888827546296297</v>
      </c>
      <c r="M36" s="1547"/>
      <c r="N36" s="1019"/>
      <c r="O36" s="1538"/>
      <c r="P36" s="849"/>
      <c r="Q36" s="849"/>
      <c r="R36" s="684">
        <f>SUM(R31:R35)</f>
        <v>2190</v>
      </c>
      <c r="S36" s="229">
        <f t="shared" si="14"/>
        <v>0</v>
      </c>
      <c r="T36" s="230">
        <f t="shared" si="15"/>
        <v>0</v>
      </c>
      <c r="U36" s="374">
        <f t="shared" si="16"/>
        <v>0</v>
      </c>
      <c r="V36" s="375">
        <f t="shared" si="17"/>
        <v>0</v>
      </c>
      <c r="W36" s="376">
        <f t="shared" si="18"/>
        <v>0</v>
      </c>
      <c r="X36" s="377">
        <f t="shared" si="19"/>
        <v>0</v>
      </c>
      <c r="Y36" s="378">
        <f t="shared" si="20"/>
        <v>0</v>
      </c>
      <c r="Z36" s="379">
        <f t="shared" si="21"/>
        <v>0</v>
      </c>
      <c r="AA36" s="380">
        <f t="shared" si="22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</row>
    <row r="37" spans="1:39" ht="15" customHeight="1" thickBot="1">
      <c r="A37" s="4910" t="s">
        <v>214</v>
      </c>
      <c r="B37" s="4908" t="s">
        <v>461</v>
      </c>
      <c r="C37" s="274">
        <f t="shared" si="1"/>
        <v>2.1908757716049393E-4</v>
      </c>
      <c r="D37" s="890">
        <v>2</v>
      </c>
      <c r="E37" s="1296">
        <v>1</v>
      </c>
      <c r="F37" s="1296">
        <v>1</v>
      </c>
      <c r="G37" s="1296">
        <v>400</v>
      </c>
      <c r="H37" s="675"/>
      <c r="I37" s="675"/>
      <c r="J37" s="675">
        <v>1.3888888888888889E-3</v>
      </c>
      <c r="K37" s="1324" t="s">
        <v>703</v>
      </c>
      <c r="L37" s="1437">
        <v>0.79861111111111116</v>
      </c>
      <c r="M37" s="1430">
        <v>1.1000000000000001</v>
      </c>
      <c r="N37" s="1437">
        <v>9.5138888888888894E-3</v>
      </c>
      <c r="O37" s="1470">
        <v>4.0624999999999993E-3</v>
      </c>
      <c r="P37" s="1431">
        <v>4.0624999999999993E-3</v>
      </c>
      <c r="Q37" s="1432">
        <v>146</v>
      </c>
      <c r="R37" s="1176">
        <f t="shared" ref="R37:R44" si="35">E37*F37*G37</f>
        <v>400</v>
      </c>
      <c r="S37" s="229">
        <f t="shared" si="14"/>
        <v>0.4</v>
      </c>
      <c r="T37" s="230">
        <f t="shared" si="15"/>
        <v>1.6249999999999997E-2</v>
      </c>
      <c r="U37" s="374">
        <f t="shared" si="16"/>
        <v>0</v>
      </c>
      <c r="V37" s="375">
        <f t="shared" si="17"/>
        <v>0.4</v>
      </c>
      <c r="W37" s="376">
        <f t="shared" si="18"/>
        <v>0</v>
      </c>
      <c r="X37" s="377">
        <f t="shared" si="19"/>
        <v>0</v>
      </c>
      <c r="Y37" s="378">
        <f t="shared" si="20"/>
        <v>0</v>
      </c>
      <c r="Z37" s="379">
        <f t="shared" si="21"/>
        <v>0</v>
      </c>
      <c r="AA37" s="380">
        <f t="shared" si="22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</row>
    <row r="38" spans="1:39" ht="16" customHeight="1" thickBot="1">
      <c r="A38" s="4910" t="s">
        <v>458</v>
      </c>
      <c r="B38" s="4908" t="s">
        <v>461</v>
      </c>
      <c r="C38" s="274">
        <f t="shared" si="1"/>
        <v>2.0247664488766629E-4</v>
      </c>
      <c r="D38" s="1466">
        <v>4</v>
      </c>
      <c r="E38" s="1467">
        <v>1</v>
      </c>
      <c r="F38" s="1467">
        <v>5</v>
      </c>
      <c r="G38" s="1467">
        <v>50</v>
      </c>
      <c r="H38" s="1468" t="s">
        <v>710</v>
      </c>
      <c r="I38" s="1469">
        <v>5.2083333333333333E-4</v>
      </c>
      <c r="J38" s="1469">
        <v>1.3888888888888889E-3</v>
      </c>
      <c r="K38" s="2112" t="s">
        <v>1186</v>
      </c>
      <c r="L38" s="1469">
        <f t="shared" ref="L38:L45" si="36">L37+N37</f>
        <v>0.80812500000000009</v>
      </c>
      <c r="M38" s="1180">
        <v>1.28</v>
      </c>
      <c r="N38" s="1178">
        <f t="shared" ref="N38:N44" si="37">P38*E38*F38+I38*E38*F38+J38*E38</f>
        <v>6.5847566101176844E-3</v>
      </c>
      <c r="O38" s="1196">
        <f t="shared" ref="O38:O44" si="38">C38*(G38/25)</f>
        <v>4.0495328977533258E-4</v>
      </c>
      <c r="P38" s="1181">
        <f t="shared" ref="P38:P44" si="39">O38*M38</f>
        <v>5.1834021091242571E-4</v>
      </c>
      <c r="Q38" s="334" t="s">
        <v>316</v>
      </c>
      <c r="R38" s="1177">
        <f t="shared" si="35"/>
        <v>250</v>
      </c>
      <c r="S38" s="229">
        <f t="shared" si="14"/>
        <v>0.25</v>
      </c>
      <c r="T38" s="230">
        <f t="shared" si="15"/>
        <v>8.0990657955066509E-3</v>
      </c>
      <c r="U38" s="374">
        <f t="shared" si="16"/>
        <v>0</v>
      </c>
      <c r="V38" s="375">
        <f t="shared" si="17"/>
        <v>0</v>
      </c>
      <c r="W38" s="376">
        <f t="shared" si="18"/>
        <v>0</v>
      </c>
      <c r="X38" s="377">
        <f t="shared" si="19"/>
        <v>0.25</v>
      </c>
      <c r="Y38" s="378">
        <f t="shared" si="20"/>
        <v>0</v>
      </c>
      <c r="Z38" s="379">
        <f t="shared" si="21"/>
        <v>0</v>
      </c>
      <c r="AA38" s="380">
        <f t="shared" si="22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</row>
    <row r="39" spans="1:39" ht="15" customHeight="1" thickBot="1">
      <c r="A39" s="4910" t="s">
        <v>219</v>
      </c>
      <c r="B39" s="4908" t="s">
        <v>461</v>
      </c>
      <c r="C39" s="274">
        <f t="shared" si="1"/>
        <v>2.1908757716049393E-4</v>
      </c>
      <c r="D39" s="1471">
        <v>2</v>
      </c>
      <c r="E39" s="1472">
        <v>1</v>
      </c>
      <c r="F39" s="1472">
        <v>1</v>
      </c>
      <c r="G39" s="1472">
        <v>200</v>
      </c>
      <c r="H39" s="1473" t="s">
        <v>713</v>
      </c>
      <c r="I39" s="1437">
        <v>1.1574074074074073E-4</v>
      </c>
      <c r="J39" s="1437">
        <v>6.9444444444444447E-4</v>
      </c>
      <c r="K39" s="1474" t="s">
        <v>1446</v>
      </c>
      <c r="L39" s="1437">
        <f t="shared" si="36"/>
        <v>0.8147097566101178</v>
      </c>
      <c r="M39" s="1174">
        <v>1.1000000000000001</v>
      </c>
      <c r="N39" s="299">
        <f t="shared" si="37"/>
        <v>2.738155864197532E-3</v>
      </c>
      <c r="O39" s="1196">
        <f t="shared" si="38"/>
        <v>1.7527006172839514E-3</v>
      </c>
      <c r="P39" s="1175">
        <f t="shared" si="39"/>
        <v>1.9279706790123468E-3</v>
      </c>
      <c r="Q39" s="550">
        <v>146</v>
      </c>
      <c r="R39" s="1176">
        <f t="shared" si="35"/>
        <v>200</v>
      </c>
      <c r="S39" s="229">
        <f t="shared" si="14"/>
        <v>0.2</v>
      </c>
      <c r="T39" s="230">
        <f t="shared" si="15"/>
        <v>7.0108024691358057E-3</v>
      </c>
      <c r="U39" s="374">
        <f t="shared" si="16"/>
        <v>0</v>
      </c>
      <c r="V39" s="375">
        <f t="shared" si="17"/>
        <v>0.2</v>
      </c>
      <c r="W39" s="376">
        <f t="shared" si="18"/>
        <v>0</v>
      </c>
      <c r="X39" s="377">
        <f t="shared" si="19"/>
        <v>0</v>
      </c>
      <c r="Y39" s="378">
        <f t="shared" si="20"/>
        <v>0</v>
      </c>
      <c r="Z39" s="379">
        <f t="shared" si="21"/>
        <v>0</v>
      </c>
      <c r="AA39" s="380">
        <f t="shared" si="22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</row>
    <row r="40" spans="1:39" ht="14" customHeight="1" thickBot="1">
      <c r="A40" s="4910"/>
      <c r="B40" s="4908" t="s">
        <v>461</v>
      </c>
      <c r="C40" s="274">
        <f t="shared" si="1"/>
        <v>2.1908757716049393E-4</v>
      </c>
      <c r="D40" s="1471">
        <v>2</v>
      </c>
      <c r="E40" s="1472">
        <v>1</v>
      </c>
      <c r="F40" s="1472">
        <v>1</v>
      </c>
      <c r="G40" s="1472">
        <v>400</v>
      </c>
      <c r="H40" s="1473" t="s">
        <v>218</v>
      </c>
      <c r="I40" s="1437">
        <v>1.1574074074074073E-4</v>
      </c>
      <c r="J40" s="1437">
        <v>6.9444444444444447E-4</v>
      </c>
      <c r="K40" s="1474" t="s">
        <v>1173</v>
      </c>
      <c r="L40" s="1437">
        <f t="shared" si="36"/>
        <v>0.81744791247431536</v>
      </c>
      <c r="M40" s="1174">
        <v>1.28</v>
      </c>
      <c r="N40" s="299">
        <f t="shared" si="37"/>
        <v>5.2970987654321015E-3</v>
      </c>
      <c r="O40" s="1196">
        <f t="shared" si="38"/>
        <v>3.5054012345679029E-3</v>
      </c>
      <c r="P40" s="1175">
        <f t="shared" si="39"/>
        <v>4.486913580246916E-3</v>
      </c>
      <c r="Q40" s="550">
        <v>146</v>
      </c>
      <c r="R40" s="1176">
        <f t="shared" si="35"/>
        <v>400</v>
      </c>
      <c r="S40" s="229">
        <f t="shared" si="14"/>
        <v>0.4</v>
      </c>
      <c r="T40" s="230">
        <f t="shared" si="15"/>
        <v>1.4021604938271611E-2</v>
      </c>
      <c r="U40" s="374">
        <f t="shared" si="16"/>
        <v>0</v>
      </c>
      <c r="V40" s="375">
        <f t="shared" si="17"/>
        <v>0.4</v>
      </c>
      <c r="W40" s="376">
        <f t="shared" si="18"/>
        <v>0</v>
      </c>
      <c r="X40" s="377">
        <f t="shared" si="19"/>
        <v>0</v>
      </c>
      <c r="Y40" s="378">
        <f t="shared" si="20"/>
        <v>0</v>
      </c>
      <c r="Z40" s="379">
        <f t="shared" si="21"/>
        <v>0</v>
      </c>
      <c r="AA40" s="380">
        <f t="shared" si="22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</row>
    <row r="41" spans="1:39" ht="16" customHeight="1" thickBot="1">
      <c r="A41" s="4910" t="s">
        <v>215</v>
      </c>
      <c r="B41" s="4908" t="s">
        <v>461</v>
      </c>
      <c r="C41" s="274">
        <f t="shared" si="1"/>
        <v>1.8933937422552669E-4</v>
      </c>
      <c r="D41" s="1433">
        <v>5</v>
      </c>
      <c r="E41" s="1434">
        <v>2</v>
      </c>
      <c r="F41" s="1435">
        <v>1</v>
      </c>
      <c r="G41" s="1435">
        <v>75</v>
      </c>
      <c r="H41" s="1475" t="s">
        <v>944</v>
      </c>
      <c r="I41" s="1436">
        <v>5.7870370370370366E-5</v>
      </c>
      <c r="J41" s="1436">
        <v>1.3888888888888889E-3</v>
      </c>
      <c r="K41" s="1330" t="s">
        <v>1183</v>
      </c>
      <c r="L41" s="1476">
        <f t="shared" si="36"/>
        <v>0.82274501123974741</v>
      </c>
      <c r="M41" s="1256">
        <v>1.28</v>
      </c>
      <c r="N41" s="1250">
        <f t="shared" si="37"/>
        <v>4.3476449125705637E-3</v>
      </c>
      <c r="O41" s="1253">
        <f t="shared" si="38"/>
        <v>5.6801812267658004E-4</v>
      </c>
      <c r="P41" s="1254">
        <f t="shared" si="39"/>
        <v>7.2706319702602247E-4</v>
      </c>
      <c r="Q41" s="1255" t="s">
        <v>278</v>
      </c>
      <c r="R41" s="1249">
        <f t="shared" si="35"/>
        <v>150</v>
      </c>
      <c r="S41" s="229">
        <f t="shared" si="14"/>
        <v>0.15</v>
      </c>
      <c r="T41" s="230">
        <f t="shared" si="15"/>
        <v>4.5441449814126404E-3</v>
      </c>
      <c r="U41" s="374">
        <f t="shared" si="16"/>
        <v>0</v>
      </c>
      <c r="V41" s="375">
        <f t="shared" si="17"/>
        <v>0</v>
      </c>
      <c r="W41" s="376">
        <f t="shared" si="18"/>
        <v>0</v>
      </c>
      <c r="X41" s="377">
        <f t="shared" si="19"/>
        <v>0</v>
      </c>
      <c r="Y41" s="378">
        <f t="shared" si="20"/>
        <v>0.15</v>
      </c>
      <c r="Z41" s="379">
        <f t="shared" si="21"/>
        <v>0</v>
      </c>
      <c r="AA41" s="380">
        <f t="shared" si="22"/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</row>
    <row r="42" spans="1:39" ht="16" customHeight="1" thickBot="1">
      <c r="A42" s="4910" t="s">
        <v>139</v>
      </c>
      <c r="B42" s="4908" t="s">
        <v>461</v>
      </c>
      <c r="C42" s="274">
        <f t="shared" si="1"/>
        <v>2.1908757716049393E-4</v>
      </c>
      <c r="D42" s="1471">
        <v>2</v>
      </c>
      <c r="E42" s="1472">
        <v>1</v>
      </c>
      <c r="F42" s="1472">
        <v>1</v>
      </c>
      <c r="G42" s="1472">
        <v>200</v>
      </c>
      <c r="H42" s="1473" t="s">
        <v>218</v>
      </c>
      <c r="I42" s="1437">
        <v>1.1574074074074073E-4</v>
      </c>
      <c r="J42" s="1437">
        <v>6.9444444444444447E-4</v>
      </c>
      <c r="K42" s="1474" t="s">
        <v>1169</v>
      </c>
      <c r="L42" s="1437">
        <f t="shared" si="36"/>
        <v>0.82709265615231797</v>
      </c>
      <c r="M42" s="1174">
        <v>1.28</v>
      </c>
      <c r="N42" s="299">
        <f t="shared" si="37"/>
        <v>3.0536419753086435E-3</v>
      </c>
      <c r="O42" s="1196">
        <f t="shared" si="38"/>
        <v>1.7527006172839514E-3</v>
      </c>
      <c r="P42" s="1175">
        <f t="shared" si="39"/>
        <v>2.243456790123458E-3</v>
      </c>
      <c r="Q42" s="550">
        <v>146</v>
      </c>
      <c r="R42" s="1176">
        <f t="shared" si="35"/>
        <v>200</v>
      </c>
      <c r="S42" s="229">
        <f t="shared" si="14"/>
        <v>0.2</v>
      </c>
      <c r="T42" s="230">
        <f t="shared" si="15"/>
        <v>7.0108024691358057E-3</v>
      </c>
      <c r="U42" s="374">
        <f t="shared" si="16"/>
        <v>0</v>
      </c>
      <c r="V42" s="375">
        <f t="shared" si="17"/>
        <v>0.2</v>
      </c>
      <c r="W42" s="376">
        <f t="shared" si="18"/>
        <v>0</v>
      </c>
      <c r="X42" s="377">
        <f t="shared" si="19"/>
        <v>0</v>
      </c>
      <c r="Y42" s="378">
        <f t="shared" si="20"/>
        <v>0</v>
      </c>
      <c r="Z42" s="379">
        <f t="shared" si="21"/>
        <v>0</v>
      </c>
      <c r="AA42" s="380">
        <f t="shared" si="22"/>
        <v>0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</row>
    <row r="43" spans="1:39" ht="16" customHeight="1" thickBot="1">
      <c r="A43" s="4910" t="s">
        <v>458</v>
      </c>
      <c r="B43" s="4908" t="s">
        <v>461</v>
      </c>
      <c r="C43" s="274">
        <f t="shared" si="1"/>
        <v>1.8933937422552669E-4</v>
      </c>
      <c r="D43" s="1433">
        <v>5</v>
      </c>
      <c r="E43" s="1434">
        <v>2</v>
      </c>
      <c r="F43" s="1435">
        <v>1</v>
      </c>
      <c r="G43" s="1435">
        <v>75</v>
      </c>
      <c r="H43" s="1475" t="s">
        <v>944</v>
      </c>
      <c r="I43" s="1436">
        <v>5.7870370370370366E-5</v>
      </c>
      <c r="J43" s="1436">
        <v>1.3888888888888889E-3</v>
      </c>
      <c r="K43" s="1330" t="s">
        <v>1445</v>
      </c>
      <c r="L43" s="1476">
        <f t="shared" si="36"/>
        <v>0.83014629812762664</v>
      </c>
      <c r="M43" s="1256">
        <v>1.28</v>
      </c>
      <c r="N43" s="1250">
        <f t="shared" si="37"/>
        <v>4.3476449125705637E-3</v>
      </c>
      <c r="O43" s="1253">
        <f t="shared" si="38"/>
        <v>5.6801812267658004E-4</v>
      </c>
      <c r="P43" s="1254">
        <f t="shared" si="39"/>
        <v>7.2706319702602247E-4</v>
      </c>
      <c r="Q43" s="1255" t="s">
        <v>278</v>
      </c>
      <c r="R43" s="1249">
        <f t="shared" si="35"/>
        <v>150</v>
      </c>
      <c r="S43" s="229">
        <f t="shared" si="14"/>
        <v>0.15</v>
      </c>
      <c r="T43" s="230">
        <f t="shared" si="15"/>
        <v>4.5441449814126404E-3</v>
      </c>
      <c r="U43" s="374">
        <f t="shared" si="16"/>
        <v>0</v>
      </c>
      <c r="V43" s="375">
        <f t="shared" si="17"/>
        <v>0</v>
      </c>
      <c r="W43" s="376">
        <f t="shared" si="18"/>
        <v>0</v>
      </c>
      <c r="X43" s="377">
        <f t="shared" si="19"/>
        <v>0</v>
      </c>
      <c r="Y43" s="378">
        <f t="shared" si="20"/>
        <v>0.15</v>
      </c>
      <c r="Z43" s="379">
        <f t="shared" si="21"/>
        <v>0</v>
      </c>
      <c r="AA43" s="380">
        <f t="shared" si="22"/>
        <v>0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</row>
    <row r="44" spans="1:39" ht="16" customHeight="1" thickBot="1">
      <c r="A44" s="4910" t="s">
        <v>462</v>
      </c>
      <c r="B44" s="4908" t="s">
        <v>461</v>
      </c>
      <c r="C44" s="4531">
        <v>2.5462962962962961E-4</v>
      </c>
      <c r="D44" s="890">
        <v>2</v>
      </c>
      <c r="E44" s="1296">
        <v>1</v>
      </c>
      <c r="F44" s="1296">
        <v>1</v>
      </c>
      <c r="G44" s="1296">
        <v>400</v>
      </c>
      <c r="H44" s="675"/>
      <c r="I44" s="675"/>
      <c r="J44" s="675">
        <v>1.3888888888888889E-3</v>
      </c>
      <c r="K44" s="1324" t="s">
        <v>703</v>
      </c>
      <c r="L44" s="1437">
        <f t="shared" si="36"/>
        <v>0.83449394304019719</v>
      </c>
      <c r="M44" s="1174">
        <v>1.28</v>
      </c>
      <c r="N44" s="299">
        <f t="shared" si="37"/>
        <v>6.6037037037037036E-3</v>
      </c>
      <c r="O44" s="1196">
        <f t="shared" si="38"/>
        <v>4.0740740740740737E-3</v>
      </c>
      <c r="P44" s="1175">
        <f t="shared" si="39"/>
        <v>5.2148148148148145E-3</v>
      </c>
      <c r="Q44" s="550">
        <v>146</v>
      </c>
      <c r="R44" s="1176">
        <f t="shared" si="35"/>
        <v>400</v>
      </c>
      <c r="S44" s="229">
        <f t="shared" si="14"/>
        <v>0.4</v>
      </c>
      <c r="T44" s="230">
        <f t="shared" si="15"/>
        <v>1.6296296296296295E-2</v>
      </c>
      <c r="U44" s="374">
        <f t="shared" si="16"/>
        <v>0.4</v>
      </c>
      <c r="V44" s="375">
        <f t="shared" si="17"/>
        <v>0</v>
      </c>
      <c r="W44" s="376">
        <f t="shared" si="18"/>
        <v>0</v>
      </c>
      <c r="X44" s="377">
        <f t="shared" si="19"/>
        <v>0</v>
      </c>
      <c r="Y44" s="378">
        <f t="shared" si="20"/>
        <v>0</v>
      </c>
      <c r="Z44" s="379">
        <f t="shared" si="21"/>
        <v>0</v>
      </c>
      <c r="AA44" s="380">
        <f t="shared" si="22"/>
        <v>0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</row>
    <row r="45" spans="1:39" ht="14" customHeight="1" thickBot="1">
      <c r="A45" s="4911" t="s">
        <v>140</v>
      </c>
      <c r="B45" s="4909" t="s">
        <v>461</v>
      </c>
      <c r="C45" s="4907"/>
      <c r="D45" s="1481"/>
      <c r="E45" s="849"/>
      <c r="F45" s="849"/>
      <c r="G45" s="849"/>
      <c r="H45" s="1538"/>
      <c r="I45" s="849"/>
      <c r="J45" s="849"/>
      <c r="K45" s="849"/>
      <c r="L45" s="1485">
        <f t="shared" si="36"/>
        <v>0.84109764674390086</v>
      </c>
      <c r="M45" s="1478">
        <v>1.28</v>
      </c>
      <c r="N45" s="1477"/>
      <c r="O45" s="1325">
        <v>0</v>
      </c>
      <c r="P45" s="1325"/>
      <c r="Q45" s="1325"/>
      <c r="R45" s="1479">
        <f>SUM(R37:R44)</f>
        <v>2150</v>
      </c>
      <c r="S45" s="229">
        <f t="shared" si="14"/>
        <v>0</v>
      </c>
      <c r="T45" s="230">
        <f t="shared" si="15"/>
        <v>0</v>
      </c>
      <c r="U45" s="374">
        <f t="shared" si="16"/>
        <v>0</v>
      </c>
      <c r="V45" s="375">
        <f t="shared" si="17"/>
        <v>0</v>
      </c>
      <c r="W45" s="376">
        <f t="shared" si="18"/>
        <v>0</v>
      </c>
      <c r="X45" s="377">
        <f t="shared" si="19"/>
        <v>0</v>
      </c>
      <c r="Y45" s="378">
        <f t="shared" si="20"/>
        <v>0</v>
      </c>
      <c r="Z45" s="379">
        <f t="shared" si="21"/>
        <v>0</v>
      </c>
      <c r="AA45" s="380">
        <f t="shared" si="22"/>
        <v>0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</row>
    <row r="46" spans="1:39" ht="14" customHeight="1" thickBot="1">
      <c r="A46" s="3134"/>
      <c r="B46" s="3135" t="s">
        <v>215</v>
      </c>
      <c r="C46" s="2256">
        <f t="shared" ref="C46:C52" si="40">IF(D46=1,U$5,IF(D46=2,V$5,IF(D46=3,W$5,IF(D46=4,X$5,IF(D46=5,Y$5,IF(D46=6,Z$5,IF(D46=7,AA$5,0)))))))</f>
        <v>2.1908757716049393E-4</v>
      </c>
      <c r="D46" s="2286">
        <v>2</v>
      </c>
      <c r="E46" s="2276">
        <v>1</v>
      </c>
      <c r="F46" s="2276">
        <v>2</v>
      </c>
      <c r="G46" s="2276">
        <v>350</v>
      </c>
      <c r="H46" s="2277"/>
      <c r="I46" s="2277">
        <v>1.7361111111111112E-4</v>
      </c>
      <c r="J46" s="2277">
        <v>1.3888888888888889E-3</v>
      </c>
      <c r="K46" s="2278" t="s">
        <v>1333</v>
      </c>
      <c r="L46" s="2503">
        <v>0.33680555555555558</v>
      </c>
      <c r="M46" s="2280">
        <v>1.1000000000000001</v>
      </c>
      <c r="N46" s="2277">
        <f>P46*E46*F46+I46*E46*F46+J46*E46</f>
        <v>8.4840084876543244E-3</v>
      </c>
      <c r="O46" s="2281">
        <f t="shared" ref="O46:O51" si="41">C46*(G46/25)</f>
        <v>3.0672260802469152E-3</v>
      </c>
      <c r="P46" s="2281">
        <f>O46*M46</f>
        <v>3.3739486882716071E-3</v>
      </c>
      <c r="Q46" s="2282">
        <v>164</v>
      </c>
      <c r="R46" s="2283">
        <f>E46*F46*G46</f>
        <v>700</v>
      </c>
      <c r="S46" s="229">
        <f t="shared" ref="S46:S56" si="42">E46*F46*G46/1000</f>
        <v>0.7</v>
      </c>
      <c r="T46" s="230">
        <f t="shared" ref="T46:T56" si="43">E46*F46*O46*4</f>
        <v>2.4537808641975321E-2</v>
      </c>
      <c r="U46" s="374">
        <f t="shared" ref="U46:U56" si="44">IF(C46*4&gt;=$U$4,S46,0)</f>
        <v>0</v>
      </c>
      <c r="V46" s="375">
        <f t="shared" ref="V46:V56" si="45">IF(AND(C46*4&gt;=$V$4,C46*4&lt;$U$4),S46,0)</f>
        <v>0.7</v>
      </c>
      <c r="W46" s="376">
        <f t="shared" ref="W46:W56" si="46">IF(AND(C46*4&gt;=$W$4,C46*4&lt;$V$4),S46,0)</f>
        <v>0</v>
      </c>
      <c r="X46" s="377">
        <f t="shared" ref="X46:X56" si="47">IF(AND(C46*4&gt;=$X$4,C46*4&lt;$W$4),S46,0)</f>
        <v>0</v>
      </c>
      <c r="Y46" s="378">
        <f t="shared" ref="Y46:Y56" si="48">IF(AND(C46*4&gt;=$Y$4,C46*4&lt;$X$4),S46,0)</f>
        <v>0</v>
      </c>
      <c r="Z46" s="379">
        <f t="shared" ref="Z46:Z56" si="49">IF(AND(C46*4&gt;=$Z$4,C46*4&lt;$Y$4),S46,0)</f>
        <v>0</v>
      </c>
      <c r="AA46" s="380">
        <f t="shared" ref="AA46:AA56" si="50">IF(AND(C46*4&gt;=$AA$4,C46*4&lt;$Z$4),S46,0)</f>
        <v>0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</row>
    <row r="47" spans="1:39" ht="14" customHeight="1" thickBot="1">
      <c r="A47" s="3134" t="s">
        <v>217</v>
      </c>
      <c r="B47" s="3135" t="s">
        <v>215</v>
      </c>
      <c r="C47" s="2256">
        <f t="shared" si="40"/>
        <v>2.1222190799396687E-4</v>
      </c>
      <c r="D47" s="2309">
        <v>3</v>
      </c>
      <c r="E47" s="2257">
        <v>1</v>
      </c>
      <c r="F47" s="2257">
        <v>7</v>
      </c>
      <c r="G47" s="2257">
        <v>50</v>
      </c>
      <c r="H47" s="2258"/>
      <c r="I47" s="2258">
        <v>1.7361111111111112E-4</v>
      </c>
      <c r="J47" s="2258">
        <v>1.3888888888888889E-3</v>
      </c>
      <c r="K47" s="2355" t="s">
        <v>1334</v>
      </c>
      <c r="L47" s="2504">
        <f t="shared" ref="L47" si="51">L46+N46</f>
        <v>0.34528956404320993</v>
      </c>
      <c r="M47" s="2326">
        <v>1.1000000000000001</v>
      </c>
      <c r="N47" s="2258">
        <f t="shared" ref="N47:N48" si="52">P47*E47*F47+I47*E47*F47+J47*E47</f>
        <v>5.8723840497737568E-3</v>
      </c>
      <c r="O47" s="2262">
        <f t="shared" si="41"/>
        <v>4.2444381598793373E-4</v>
      </c>
      <c r="P47" s="2262">
        <f t="shared" ref="P47:P48" si="53">O47*M47</f>
        <v>4.6688819758672714E-4</v>
      </c>
      <c r="Q47" s="2274">
        <v>164</v>
      </c>
      <c r="R47" s="2257">
        <f t="shared" ref="R47:R48" si="54">E47*F47*G47</f>
        <v>350</v>
      </c>
      <c r="S47" s="229">
        <f t="shared" si="42"/>
        <v>0.35</v>
      </c>
      <c r="T47" s="230">
        <f t="shared" si="43"/>
        <v>1.1884426847662145E-2</v>
      </c>
      <c r="U47" s="374">
        <f t="shared" si="44"/>
        <v>0</v>
      </c>
      <c r="V47" s="375">
        <f t="shared" si="45"/>
        <v>0</v>
      </c>
      <c r="W47" s="376">
        <f t="shared" si="46"/>
        <v>0.35</v>
      </c>
      <c r="X47" s="377">
        <f t="shared" si="47"/>
        <v>0</v>
      </c>
      <c r="Y47" s="378">
        <f t="shared" si="48"/>
        <v>0</v>
      </c>
      <c r="Z47" s="379">
        <f t="shared" si="49"/>
        <v>0</v>
      </c>
      <c r="AA47" s="380">
        <f t="shared" si="50"/>
        <v>0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</row>
    <row r="48" spans="1:39" ht="14" customHeight="1" thickBot="1">
      <c r="A48" s="3134" t="s">
        <v>459</v>
      </c>
      <c r="B48" s="3135" t="s">
        <v>215</v>
      </c>
      <c r="C48" s="2256">
        <f t="shared" si="40"/>
        <v>1.8229166666666673E-4</v>
      </c>
      <c r="D48" s="4924">
        <v>6</v>
      </c>
      <c r="E48" s="4683">
        <v>1</v>
      </c>
      <c r="F48" s="4683">
        <v>6</v>
      </c>
      <c r="G48" s="4683">
        <v>75</v>
      </c>
      <c r="H48" s="4683" t="s">
        <v>2045</v>
      </c>
      <c r="I48" s="4684">
        <v>1.3888888888888889E-3</v>
      </c>
      <c r="J48" s="4684">
        <v>2.0833333333333333E-3</v>
      </c>
      <c r="K48" s="4561" t="s">
        <v>2048</v>
      </c>
      <c r="L48" s="4684">
        <f>L47+N47</f>
        <v>0.35116194809298368</v>
      </c>
      <c r="M48" s="4685">
        <v>1.1000000000000001</v>
      </c>
      <c r="N48" s="4684">
        <f t="shared" si="52"/>
        <v>1.4098229166666667E-2</v>
      </c>
      <c r="O48" s="4586">
        <f t="shared" ref="O48" si="55">C48*(G48/25)*1.02</f>
        <v>5.5781250000000015E-4</v>
      </c>
      <c r="P48" s="4686">
        <f t="shared" si="53"/>
        <v>6.1359375000000021E-4</v>
      </c>
      <c r="Q48" s="4687">
        <v>177</v>
      </c>
      <c r="R48" s="4683">
        <f t="shared" si="54"/>
        <v>450</v>
      </c>
      <c r="S48" s="229">
        <f t="shared" si="42"/>
        <v>0.45</v>
      </c>
      <c r="T48" s="230">
        <f t="shared" si="43"/>
        <v>1.3387500000000004E-2</v>
      </c>
      <c r="U48" s="374">
        <f t="shared" si="44"/>
        <v>0</v>
      </c>
      <c r="V48" s="375">
        <f t="shared" si="45"/>
        <v>0</v>
      </c>
      <c r="W48" s="376">
        <f t="shared" si="46"/>
        <v>0</v>
      </c>
      <c r="X48" s="377">
        <f t="shared" si="47"/>
        <v>0</v>
      </c>
      <c r="Y48" s="378">
        <f t="shared" si="48"/>
        <v>0</v>
      </c>
      <c r="Z48" s="379">
        <f t="shared" si="49"/>
        <v>0.45</v>
      </c>
      <c r="AA48" s="380">
        <f t="shared" si="50"/>
        <v>0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</row>
    <row r="49" spans="1:39" ht="14" customHeight="1" thickBot="1">
      <c r="A49" s="3134" t="s">
        <v>218</v>
      </c>
      <c r="B49" s="3135" t="s">
        <v>215</v>
      </c>
      <c r="C49" s="2256">
        <f t="shared" si="40"/>
        <v>2.0247664488766629E-4</v>
      </c>
      <c r="D49" s="2520">
        <v>4</v>
      </c>
      <c r="E49" s="2521">
        <v>1</v>
      </c>
      <c r="F49" s="2521">
        <v>8</v>
      </c>
      <c r="G49" s="2521">
        <v>50</v>
      </c>
      <c r="H49" s="2522">
        <v>8.6805555555555551E-4</v>
      </c>
      <c r="I49" s="2522"/>
      <c r="J49" s="2522">
        <v>1.3888888888888889E-3</v>
      </c>
      <c r="K49" s="2523" t="s">
        <v>1336</v>
      </c>
      <c r="L49" s="2524">
        <f>L48+N48</f>
        <v>0.36526017725965032</v>
      </c>
      <c r="M49" s="2525">
        <v>1</v>
      </c>
      <c r="N49" s="2522">
        <f>H49*F49*E49</f>
        <v>6.9444444444444441E-3</v>
      </c>
      <c r="O49" s="2526">
        <f t="shared" si="41"/>
        <v>4.0495328977533258E-4</v>
      </c>
      <c r="P49" s="2517">
        <f>O49*M49</f>
        <v>4.0495328977533258E-4</v>
      </c>
      <c r="Q49" s="2518">
        <v>166</v>
      </c>
      <c r="R49" s="2885">
        <f>E49*F49*G49</f>
        <v>400</v>
      </c>
      <c r="S49" s="229">
        <f t="shared" si="42"/>
        <v>0.4</v>
      </c>
      <c r="T49" s="230">
        <f t="shared" si="43"/>
        <v>1.2958505272810643E-2</v>
      </c>
      <c r="U49" s="374">
        <f t="shared" si="44"/>
        <v>0</v>
      </c>
      <c r="V49" s="375">
        <f t="shared" si="45"/>
        <v>0</v>
      </c>
      <c r="W49" s="376">
        <f t="shared" si="46"/>
        <v>0</v>
      </c>
      <c r="X49" s="377">
        <f t="shared" si="47"/>
        <v>0.4</v>
      </c>
      <c r="Y49" s="378">
        <f t="shared" si="48"/>
        <v>0</v>
      </c>
      <c r="Z49" s="379">
        <f t="shared" si="49"/>
        <v>0</v>
      </c>
      <c r="AA49" s="380">
        <f t="shared" si="50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</row>
    <row r="50" spans="1:39" ht="14" customHeight="1" thickBot="1">
      <c r="A50" s="3134" t="s">
        <v>458</v>
      </c>
      <c r="B50" s="3135" t="s">
        <v>215</v>
      </c>
      <c r="C50" s="2256">
        <f t="shared" si="40"/>
        <v>2.1908757716049393E-4</v>
      </c>
      <c r="D50" s="2286">
        <v>2</v>
      </c>
      <c r="E50" s="2276">
        <v>1</v>
      </c>
      <c r="F50" s="2276">
        <v>1</v>
      </c>
      <c r="G50" s="2276">
        <v>400</v>
      </c>
      <c r="H50" s="2277"/>
      <c r="I50" s="2277">
        <v>5.7870370370370366E-5</v>
      </c>
      <c r="J50" s="2277">
        <v>2.3148148148148146E-4</v>
      </c>
      <c r="K50" s="2278" t="s">
        <v>882</v>
      </c>
      <c r="L50" s="2503">
        <f>L49+N49</f>
        <v>0.37220462170409474</v>
      </c>
      <c r="M50" s="2280">
        <v>1.25</v>
      </c>
      <c r="N50" s="2277">
        <f>P50*E50*F50+I50*E50*F50+J50*E50</f>
        <v>4.671103395061731E-3</v>
      </c>
      <c r="O50" s="2281">
        <f t="shared" si="41"/>
        <v>3.5054012345679029E-3</v>
      </c>
      <c r="P50" s="2281">
        <f>O50*M50</f>
        <v>4.3817515432098787E-3</v>
      </c>
      <c r="Q50" s="2282">
        <v>147</v>
      </c>
      <c r="R50" s="2283">
        <f>E50*F50*G50</f>
        <v>400</v>
      </c>
      <c r="S50" s="229">
        <f t="shared" si="42"/>
        <v>0.4</v>
      </c>
      <c r="T50" s="230">
        <f t="shared" si="43"/>
        <v>1.4021604938271611E-2</v>
      </c>
      <c r="U50" s="374">
        <f t="shared" si="44"/>
        <v>0</v>
      </c>
      <c r="V50" s="375">
        <f t="shared" si="45"/>
        <v>0.4</v>
      </c>
      <c r="W50" s="376">
        <f t="shared" si="46"/>
        <v>0</v>
      </c>
      <c r="X50" s="377">
        <f t="shared" si="47"/>
        <v>0</v>
      </c>
      <c r="Y50" s="378">
        <f t="shared" si="48"/>
        <v>0</v>
      </c>
      <c r="Z50" s="379">
        <f t="shared" si="49"/>
        <v>0</v>
      </c>
      <c r="AA50" s="380">
        <f t="shared" si="50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</row>
    <row r="51" spans="1:39" ht="14" customHeight="1">
      <c r="A51" s="3134" t="s">
        <v>219</v>
      </c>
      <c r="B51" s="3135" t="s">
        <v>215</v>
      </c>
      <c r="C51" s="2256">
        <f t="shared" si="40"/>
        <v>1.7682291666666674E-4</v>
      </c>
      <c r="D51" s="2318">
        <v>7</v>
      </c>
      <c r="E51" s="2512">
        <v>1</v>
      </c>
      <c r="F51" s="2512">
        <v>6</v>
      </c>
      <c r="G51" s="2512">
        <v>15</v>
      </c>
      <c r="H51" s="2270"/>
      <c r="I51" s="2270">
        <v>1.1574074074074073E-4</v>
      </c>
      <c r="J51" s="2270">
        <v>2.3148148148148146E-4</v>
      </c>
      <c r="K51" s="2514" t="s">
        <v>413</v>
      </c>
      <c r="L51" s="2515">
        <f>L50+N50</f>
        <v>0.37687572509915646</v>
      </c>
      <c r="M51" s="2516">
        <v>1</v>
      </c>
      <c r="N51" s="2270">
        <f>P51*E51*F51+I51*E51*F51+J51*E51</f>
        <v>1.5624884259259259E-3</v>
      </c>
      <c r="O51" s="2271">
        <f t="shared" si="41"/>
        <v>1.0609375000000004E-4</v>
      </c>
      <c r="P51" s="2517">
        <f>O51*M51</f>
        <v>1.0609375000000004E-4</v>
      </c>
      <c r="Q51" s="2518" t="s">
        <v>316</v>
      </c>
      <c r="R51" s="2885">
        <f>E51*F51*G51</f>
        <v>90</v>
      </c>
      <c r="S51" s="229">
        <f t="shared" si="42"/>
        <v>0.09</v>
      </c>
      <c r="T51" s="230">
        <f t="shared" si="43"/>
        <v>2.5462500000000008E-3</v>
      </c>
      <c r="U51" s="374">
        <f t="shared" si="44"/>
        <v>0</v>
      </c>
      <c r="V51" s="375">
        <f t="shared" si="45"/>
        <v>0</v>
      </c>
      <c r="W51" s="376">
        <f t="shared" si="46"/>
        <v>0</v>
      </c>
      <c r="X51" s="377">
        <f t="shared" si="47"/>
        <v>0</v>
      </c>
      <c r="Y51" s="378">
        <f t="shared" si="48"/>
        <v>0</v>
      </c>
      <c r="Z51" s="379">
        <f t="shared" si="49"/>
        <v>0</v>
      </c>
      <c r="AA51" s="380">
        <f t="shared" si="50"/>
        <v>0.09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</row>
    <row r="52" spans="1:39" ht="14" customHeight="1">
      <c r="A52" s="3134"/>
      <c r="B52" s="3138"/>
      <c r="C52" s="2256">
        <f t="shared" si="40"/>
        <v>0</v>
      </c>
      <c r="D52" s="2335"/>
      <c r="E52" s="2336"/>
      <c r="F52" s="2336"/>
      <c r="G52" s="2336"/>
      <c r="H52" s="2337"/>
      <c r="I52" s="2337"/>
      <c r="J52" s="2337"/>
      <c r="K52" s="2338"/>
      <c r="L52" s="2182">
        <f>L51+N51</f>
        <v>0.37843821352508239</v>
      </c>
      <c r="M52" s="2502"/>
      <c r="N52" s="2528">
        <f>SUM(N46:N51)</f>
        <v>4.1632657969526844E-2</v>
      </c>
      <c r="O52" s="2359"/>
      <c r="P52" s="2359"/>
      <c r="Q52" s="2341"/>
      <c r="R52" s="2529">
        <f>SUM(R46:R51)</f>
        <v>2390</v>
      </c>
      <c r="S52" s="229">
        <f t="shared" si="42"/>
        <v>0</v>
      </c>
      <c r="T52" s="230">
        <f t="shared" si="43"/>
        <v>0</v>
      </c>
      <c r="U52" s="374">
        <f t="shared" si="44"/>
        <v>0</v>
      </c>
      <c r="V52" s="375">
        <f t="shared" si="45"/>
        <v>0</v>
      </c>
      <c r="W52" s="376">
        <f t="shared" si="46"/>
        <v>0</v>
      </c>
      <c r="X52" s="377">
        <f t="shared" si="47"/>
        <v>0</v>
      </c>
      <c r="Y52" s="378">
        <f t="shared" si="48"/>
        <v>0</v>
      </c>
      <c r="Z52" s="379">
        <f t="shared" si="49"/>
        <v>0</v>
      </c>
      <c r="AA52" s="380">
        <f t="shared" si="50"/>
        <v>0</v>
      </c>
      <c r="AC52" s="231"/>
      <c r="AD52" s="231"/>
      <c r="AE52" s="231"/>
      <c r="AF52" s="231"/>
      <c r="AG52" s="231"/>
      <c r="AH52" s="231"/>
      <c r="AI52" s="213"/>
      <c r="AJ52" s="213"/>
      <c r="AK52" s="213"/>
      <c r="AL52" s="213"/>
      <c r="AM52" s="213"/>
    </row>
    <row r="53" spans="1:39" ht="13" customHeight="1">
      <c r="A53" s="208" t="s">
        <v>217</v>
      </c>
      <c r="B53" s="1124" t="s">
        <v>461</v>
      </c>
      <c r="C53" s="274">
        <f t="shared" ref="C53:C64" si="56">IF(D53=1,U$5,IF(D53=2,V$5,IF(D53=3,W$5,IF(D53=4,X$5,IF(D53=5,Y$5,IF(D53=6,Z$5,IF(D53=7,AA$5,0)))))))</f>
        <v>2.1222190799396687E-4</v>
      </c>
      <c r="D53" s="1236">
        <v>3</v>
      </c>
      <c r="E53" s="1161">
        <v>1</v>
      </c>
      <c r="F53" s="1161">
        <v>8</v>
      </c>
      <c r="G53" s="1161">
        <v>75</v>
      </c>
      <c r="H53" s="1163"/>
      <c r="I53" s="1163">
        <v>1.1574074074074073E-4</v>
      </c>
      <c r="J53" s="1163">
        <v>1.3888888888888889E-3</v>
      </c>
      <c r="K53" s="1074" t="s">
        <v>1596</v>
      </c>
      <c r="L53" s="1163">
        <v>0.79861111111111116</v>
      </c>
      <c r="M53" s="1164">
        <v>1</v>
      </c>
      <c r="N53" s="1163">
        <f t="shared" ref="N53:N58" si="57">P53*E53*F53+I53*E53*F53+J53*E53</f>
        <v>7.4081406066700195E-3</v>
      </c>
      <c r="O53" s="1196">
        <f t="shared" ref="O53:O58" si="58">C53*(G53/25)</f>
        <v>6.366657239819006E-4</v>
      </c>
      <c r="P53" s="1165">
        <f t="shared" ref="P53:P58" si="59">O53*M53</f>
        <v>6.366657239819006E-4</v>
      </c>
      <c r="Q53" s="333">
        <v>164</v>
      </c>
      <c r="R53" s="1161">
        <f t="shared" ref="R53:R58" si="60">E53*F53*G53</f>
        <v>600</v>
      </c>
      <c r="S53" s="229">
        <f t="shared" si="42"/>
        <v>0.6</v>
      </c>
      <c r="T53" s="230">
        <f t="shared" si="43"/>
        <v>2.0373303167420819E-2</v>
      </c>
      <c r="U53" s="374">
        <f t="shared" si="44"/>
        <v>0</v>
      </c>
      <c r="V53" s="375">
        <f t="shared" si="45"/>
        <v>0</v>
      </c>
      <c r="W53" s="376">
        <f t="shared" si="46"/>
        <v>0.6</v>
      </c>
      <c r="X53" s="377">
        <f t="shared" si="47"/>
        <v>0</v>
      </c>
      <c r="Y53" s="378">
        <f t="shared" si="48"/>
        <v>0</v>
      </c>
      <c r="Z53" s="379">
        <f t="shared" si="49"/>
        <v>0</v>
      </c>
      <c r="AA53" s="380">
        <f t="shared" si="50"/>
        <v>0</v>
      </c>
      <c r="AC53" s="231"/>
      <c r="AD53" s="231"/>
      <c r="AE53" s="222"/>
      <c r="AF53" s="222"/>
      <c r="AG53" s="222"/>
      <c r="AH53" s="222"/>
      <c r="AI53" s="222"/>
      <c r="AJ53" s="213"/>
      <c r="AK53" s="213"/>
      <c r="AL53" s="213"/>
      <c r="AM53" s="213"/>
    </row>
    <row r="54" spans="1:39" ht="16" customHeight="1">
      <c r="A54" s="851" t="s">
        <v>459</v>
      </c>
      <c r="B54" s="1124" t="s">
        <v>461</v>
      </c>
      <c r="C54" s="274">
        <f t="shared" si="56"/>
        <v>1.8933937422552669E-4</v>
      </c>
      <c r="D54" s="2505">
        <v>5</v>
      </c>
      <c r="E54" s="2506">
        <v>2</v>
      </c>
      <c r="F54" s="2506">
        <v>1</v>
      </c>
      <c r="G54" s="2506">
        <v>80</v>
      </c>
      <c r="H54" s="2264" t="s">
        <v>2523</v>
      </c>
      <c r="I54" s="2264">
        <v>5.7870370370370366E-5</v>
      </c>
      <c r="J54" s="2264">
        <v>5.5555555555555558E-3</v>
      </c>
      <c r="K54" s="2507" t="s">
        <v>1363</v>
      </c>
      <c r="L54" s="2508">
        <f>L53+N53</f>
        <v>0.80601925171778122</v>
      </c>
      <c r="M54" s="2509">
        <v>4</v>
      </c>
      <c r="N54" s="2264">
        <f t="shared" si="57"/>
        <v>1.6073939832025336E-2</v>
      </c>
      <c r="O54" s="2265">
        <f t="shared" si="58"/>
        <v>6.058859975216855E-4</v>
      </c>
      <c r="P54" s="2185">
        <f t="shared" si="59"/>
        <v>2.423543990086742E-3</v>
      </c>
      <c r="Q54" s="2510" t="s">
        <v>278</v>
      </c>
      <c r="R54" s="2511">
        <f t="shared" si="60"/>
        <v>160</v>
      </c>
      <c r="S54" s="229">
        <f t="shared" si="42"/>
        <v>0.16</v>
      </c>
      <c r="T54" s="230">
        <f t="shared" si="43"/>
        <v>4.847087980173484E-3</v>
      </c>
      <c r="U54" s="374">
        <f t="shared" si="44"/>
        <v>0</v>
      </c>
      <c r="V54" s="375">
        <f t="shared" si="45"/>
        <v>0</v>
      </c>
      <c r="W54" s="376">
        <f t="shared" si="46"/>
        <v>0</v>
      </c>
      <c r="X54" s="377">
        <f t="shared" si="47"/>
        <v>0</v>
      </c>
      <c r="Y54" s="378">
        <f t="shared" si="48"/>
        <v>0.16</v>
      </c>
      <c r="Z54" s="379">
        <f t="shared" si="49"/>
        <v>0</v>
      </c>
      <c r="AA54" s="380">
        <f t="shared" si="50"/>
        <v>0</v>
      </c>
      <c r="AC54" s="231"/>
      <c r="AD54" s="231"/>
      <c r="AE54" s="222"/>
      <c r="AF54" s="222"/>
      <c r="AG54" s="222"/>
      <c r="AH54" s="222"/>
      <c r="AI54" s="222"/>
      <c r="AJ54" s="213"/>
      <c r="AK54" s="213"/>
      <c r="AL54" s="213"/>
      <c r="AM54" s="213"/>
    </row>
    <row r="55" spans="1:39" ht="16" customHeight="1">
      <c r="A55" s="851" t="s">
        <v>458</v>
      </c>
      <c r="B55" s="1124" t="s">
        <v>461</v>
      </c>
      <c r="C55" s="274">
        <f t="shared" si="56"/>
        <v>1.8933937422552669E-4</v>
      </c>
      <c r="D55" s="2505">
        <v>5</v>
      </c>
      <c r="E55" s="2506">
        <v>2</v>
      </c>
      <c r="F55" s="2506">
        <v>1</v>
      </c>
      <c r="G55" s="2506">
        <v>80</v>
      </c>
      <c r="H55" s="2264" t="s">
        <v>2523</v>
      </c>
      <c r="I55" s="2264">
        <v>5.7870370370370366E-5</v>
      </c>
      <c r="J55" s="2264">
        <v>5.5555555555555558E-3</v>
      </c>
      <c r="K55" s="2507" t="s">
        <v>1364</v>
      </c>
      <c r="L55" s="2508">
        <f t="shared" ref="L55" si="61">L54+N54</f>
        <v>0.82209319154980653</v>
      </c>
      <c r="M55" s="2509">
        <v>5</v>
      </c>
      <c r="N55" s="2264">
        <f t="shared" si="57"/>
        <v>1.7285711827068707E-2</v>
      </c>
      <c r="O55" s="2265">
        <f t="shared" si="58"/>
        <v>6.058859975216855E-4</v>
      </c>
      <c r="P55" s="2185">
        <f t="shared" si="59"/>
        <v>3.0294299876084275E-3</v>
      </c>
      <c r="Q55" s="2510" t="s">
        <v>278</v>
      </c>
      <c r="R55" s="2511">
        <f t="shared" si="60"/>
        <v>160</v>
      </c>
      <c r="S55" s="229">
        <f t="shared" si="42"/>
        <v>0.16</v>
      </c>
      <c r="T55" s="230">
        <f t="shared" si="43"/>
        <v>4.847087980173484E-3</v>
      </c>
      <c r="U55" s="374">
        <f t="shared" si="44"/>
        <v>0</v>
      </c>
      <c r="V55" s="375">
        <f t="shared" si="45"/>
        <v>0</v>
      </c>
      <c r="W55" s="376">
        <f t="shared" si="46"/>
        <v>0</v>
      </c>
      <c r="X55" s="377">
        <f t="shared" si="47"/>
        <v>0</v>
      </c>
      <c r="Y55" s="378">
        <f t="shared" si="48"/>
        <v>0.16</v>
      </c>
      <c r="Z55" s="379">
        <f t="shared" si="49"/>
        <v>0</v>
      </c>
      <c r="AA55" s="380">
        <f t="shared" si="50"/>
        <v>0</v>
      </c>
      <c r="AC55" s="231"/>
      <c r="AD55" s="231"/>
      <c r="AE55" s="222"/>
      <c r="AF55" s="222"/>
      <c r="AG55" s="222"/>
      <c r="AH55" s="222"/>
      <c r="AI55" s="222"/>
      <c r="AJ55" s="213"/>
      <c r="AK55" s="213"/>
      <c r="AL55" s="213"/>
      <c r="AM55" s="213"/>
    </row>
    <row r="56" spans="1:39" ht="14" customHeight="1">
      <c r="A56" s="851" t="s">
        <v>218</v>
      </c>
      <c r="B56" s="1124" t="s">
        <v>461</v>
      </c>
      <c r="C56" s="274">
        <f t="shared" si="56"/>
        <v>2.1222190799396687E-4</v>
      </c>
      <c r="D56" s="1236">
        <v>3</v>
      </c>
      <c r="E56" s="1161">
        <v>1</v>
      </c>
      <c r="F56" s="1161">
        <v>10</v>
      </c>
      <c r="G56" s="1161">
        <v>50</v>
      </c>
      <c r="H56" s="1163"/>
      <c r="I56" s="1163">
        <v>6.9444444444444447E-4</v>
      </c>
      <c r="J56" s="1163">
        <v>1.3888888888888889E-3</v>
      </c>
      <c r="K56" s="1074" t="s">
        <v>946</v>
      </c>
      <c r="L56" s="1163">
        <f t="shared" ref="L56:L58" si="62">L55+N55</f>
        <v>0.83937890337687526</v>
      </c>
      <c r="M56" s="1164">
        <v>1</v>
      </c>
      <c r="N56" s="1163">
        <f t="shared" si="57"/>
        <v>1.2577771493212672E-2</v>
      </c>
      <c r="O56" s="1196">
        <f t="shared" si="58"/>
        <v>4.2444381598793373E-4</v>
      </c>
      <c r="P56" s="1165">
        <f t="shared" si="59"/>
        <v>4.2444381598793373E-4</v>
      </c>
      <c r="Q56" s="333">
        <v>164</v>
      </c>
      <c r="R56" s="1161">
        <f t="shared" si="60"/>
        <v>500</v>
      </c>
      <c r="S56" s="229">
        <f t="shared" si="42"/>
        <v>0.5</v>
      </c>
      <c r="T56" s="230">
        <f t="shared" si="43"/>
        <v>1.6977752639517348E-2</v>
      </c>
      <c r="U56" s="374">
        <f t="shared" si="44"/>
        <v>0</v>
      </c>
      <c r="V56" s="375">
        <f t="shared" si="45"/>
        <v>0</v>
      </c>
      <c r="W56" s="376">
        <f t="shared" si="46"/>
        <v>0.5</v>
      </c>
      <c r="X56" s="377">
        <f t="shared" si="47"/>
        <v>0</v>
      </c>
      <c r="Y56" s="378">
        <f t="shared" si="48"/>
        <v>0</v>
      </c>
      <c r="Z56" s="379">
        <f t="shared" si="49"/>
        <v>0</v>
      </c>
      <c r="AA56" s="380">
        <f t="shared" si="50"/>
        <v>0</v>
      </c>
      <c r="AC56" s="231"/>
      <c r="AD56" s="231"/>
      <c r="AE56" s="222"/>
      <c r="AF56" s="222"/>
      <c r="AG56" s="222"/>
      <c r="AH56" s="222"/>
      <c r="AI56" s="222"/>
      <c r="AJ56" s="213"/>
      <c r="AK56" s="213"/>
      <c r="AL56" s="213"/>
      <c r="AM56" s="213"/>
    </row>
    <row r="57" spans="1:39" ht="14" customHeight="1">
      <c r="A57" s="851" t="s">
        <v>458</v>
      </c>
      <c r="B57" s="1124" t="s">
        <v>461</v>
      </c>
      <c r="C57" s="274">
        <f t="shared" si="56"/>
        <v>1.8933937422552669E-4</v>
      </c>
      <c r="D57" s="1248">
        <v>5</v>
      </c>
      <c r="E57" s="1249">
        <v>5</v>
      </c>
      <c r="F57" s="1249">
        <v>1</v>
      </c>
      <c r="G57" s="1249">
        <v>50</v>
      </c>
      <c r="H57" s="2264" t="s">
        <v>2523</v>
      </c>
      <c r="I57" s="1250">
        <v>5.7870370370370366E-5</v>
      </c>
      <c r="J57" s="1250">
        <v>1.3888888888888889E-3</v>
      </c>
      <c r="K57" s="534" t="s">
        <v>1447</v>
      </c>
      <c r="L57" s="1150">
        <f t="shared" si="62"/>
        <v>0.85195667487008797</v>
      </c>
      <c r="M57" s="1256">
        <v>1</v>
      </c>
      <c r="N57" s="1250">
        <f t="shared" si="57"/>
        <v>9.1271900385515633E-3</v>
      </c>
      <c r="O57" s="1253">
        <f t="shared" si="58"/>
        <v>3.7867874845105338E-4</v>
      </c>
      <c r="P57" s="1254">
        <f t="shared" si="59"/>
        <v>3.7867874845105338E-4</v>
      </c>
      <c r="Q57" s="1255" t="s">
        <v>278</v>
      </c>
      <c r="R57" s="1249">
        <f t="shared" si="60"/>
        <v>250</v>
      </c>
      <c r="S57" s="229">
        <f t="shared" si="14"/>
        <v>0.25</v>
      </c>
      <c r="T57" s="230">
        <f t="shared" si="15"/>
        <v>7.5735749690210678E-3</v>
      </c>
      <c r="U57" s="374">
        <f t="shared" si="16"/>
        <v>0</v>
      </c>
      <c r="V57" s="375">
        <f t="shared" si="17"/>
        <v>0</v>
      </c>
      <c r="W57" s="376">
        <f t="shared" si="18"/>
        <v>0</v>
      </c>
      <c r="X57" s="377">
        <f t="shared" si="19"/>
        <v>0</v>
      </c>
      <c r="Y57" s="378">
        <f t="shared" si="20"/>
        <v>0.25</v>
      </c>
      <c r="Z57" s="379">
        <f t="shared" si="21"/>
        <v>0</v>
      </c>
      <c r="AA57" s="380">
        <f t="shared" si="22"/>
        <v>0</v>
      </c>
      <c r="AC57" s="231"/>
      <c r="AD57" s="231"/>
      <c r="AE57" s="222"/>
      <c r="AF57" s="222"/>
      <c r="AG57" s="222"/>
      <c r="AH57" s="222"/>
      <c r="AI57" s="222"/>
      <c r="AJ57" s="213"/>
      <c r="AK57" s="213"/>
      <c r="AL57" s="213"/>
      <c r="AM57" s="213"/>
    </row>
    <row r="58" spans="1:39" ht="16" customHeight="1">
      <c r="A58" s="851" t="s">
        <v>219</v>
      </c>
      <c r="B58" s="1124" t="s">
        <v>461</v>
      </c>
      <c r="C58" s="274">
        <f t="shared" si="56"/>
        <v>1.7682291666666674E-4</v>
      </c>
      <c r="D58" s="1300">
        <v>7</v>
      </c>
      <c r="E58" s="1333">
        <v>1</v>
      </c>
      <c r="F58" s="1333">
        <v>6</v>
      </c>
      <c r="G58" s="1333">
        <v>20</v>
      </c>
      <c r="H58" s="1334"/>
      <c r="I58" s="1334">
        <v>3.4722222222222224E-4</v>
      </c>
      <c r="J58" s="1334">
        <v>0</v>
      </c>
      <c r="K58" s="1323" t="s">
        <v>2522</v>
      </c>
      <c r="L58" s="1189">
        <f t="shared" si="62"/>
        <v>0.86108386490863953</v>
      </c>
      <c r="M58" s="1335">
        <v>1</v>
      </c>
      <c r="N58" s="1334">
        <f t="shared" si="57"/>
        <v>2.9320833333333334E-3</v>
      </c>
      <c r="O58" s="1191">
        <f t="shared" si="58"/>
        <v>1.4145833333333339E-4</v>
      </c>
      <c r="P58" s="1192">
        <f t="shared" si="59"/>
        <v>1.4145833333333339E-4</v>
      </c>
      <c r="Q58" s="446" t="s">
        <v>316</v>
      </c>
      <c r="R58" s="1187">
        <f t="shared" si="60"/>
        <v>120</v>
      </c>
      <c r="S58" s="229">
        <f t="shared" si="14"/>
        <v>0.12</v>
      </c>
      <c r="T58" s="230">
        <f t="shared" si="15"/>
        <v>3.3950000000000013E-3</v>
      </c>
      <c r="U58" s="374">
        <f t="shared" si="16"/>
        <v>0</v>
      </c>
      <c r="V58" s="375">
        <f t="shared" si="17"/>
        <v>0</v>
      </c>
      <c r="W58" s="376">
        <f t="shared" si="18"/>
        <v>0</v>
      </c>
      <c r="X58" s="377">
        <f t="shared" si="19"/>
        <v>0</v>
      </c>
      <c r="Y58" s="378">
        <f t="shared" si="20"/>
        <v>0</v>
      </c>
      <c r="Z58" s="379">
        <f t="shared" si="21"/>
        <v>0</v>
      </c>
      <c r="AA58" s="380">
        <f t="shared" si="22"/>
        <v>0.12</v>
      </c>
      <c r="AC58" s="231"/>
      <c r="AD58" s="231"/>
      <c r="AE58" s="222"/>
      <c r="AF58" s="222"/>
      <c r="AG58" s="222"/>
      <c r="AH58" s="222"/>
      <c r="AI58" s="222"/>
      <c r="AJ58" s="213"/>
      <c r="AK58" s="213"/>
      <c r="AL58" s="213"/>
      <c r="AM58" s="213"/>
    </row>
    <row r="59" spans="1:39" ht="13" customHeight="1" thickBot="1">
      <c r="A59" s="851"/>
      <c r="B59" s="1124" t="s">
        <v>461</v>
      </c>
      <c r="C59" s="274">
        <f t="shared" si="56"/>
        <v>0</v>
      </c>
      <c r="D59" s="1259"/>
      <c r="E59" s="336"/>
      <c r="F59" s="336"/>
      <c r="G59" s="336"/>
      <c r="H59" s="336"/>
      <c r="I59" s="336"/>
      <c r="J59" s="336"/>
      <c r="K59" s="336"/>
      <c r="L59" s="1008">
        <f>L58+N58</f>
        <v>0.86401594824197281</v>
      </c>
      <c r="M59" s="1198"/>
      <c r="N59" s="1008"/>
      <c r="O59" s="336">
        <f>C59*20/25</f>
        <v>0</v>
      </c>
      <c r="P59" s="336"/>
      <c r="Q59" s="336"/>
      <c r="R59" s="1238">
        <f>SUM(R53:R58)</f>
        <v>1790</v>
      </c>
      <c r="S59" s="229">
        <f t="shared" si="14"/>
        <v>0</v>
      </c>
      <c r="T59" s="230">
        <f t="shared" si="15"/>
        <v>0</v>
      </c>
      <c r="U59" s="374">
        <f t="shared" si="16"/>
        <v>0</v>
      </c>
      <c r="V59" s="375">
        <f t="shared" si="17"/>
        <v>0</v>
      </c>
      <c r="W59" s="376">
        <f t="shared" si="18"/>
        <v>0</v>
      </c>
      <c r="X59" s="377">
        <f t="shared" si="19"/>
        <v>0</v>
      </c>
      <c r="Y59" s="378">
        <f t="shared" si="20"/>
        <v>0</v>
      </c>
      <c r="Z59" s="379">
        <f t="shared" si="21"/>
        <v>0</v>
      </c>
      <c r="AA59" s="380">
        <f t="shared" si="22"/>
        <v>0</v>
      </c>
      <c r="AC59" s="231"/>
      <c r="AD59" s="231"/>
      <c r="AE59" s="222"/>
      <c r="AF59" s="222"/>
      <c r="AG59" s="222"/>
      <c r="AH59" s="222"/>
      <c r="AI59" s="222"/>
      <c r="AJ59" s="213"/>
      <c r="AK59" s="213"/>
      <c r="AL59" s="213"/>
      <c r="AM59" s="213"/>
    </row>
    <row r="60" spans="1:39" ht="15" customHeight="1" thickBot="1">
      <c r="A60" s="398" t="s">
        <v>218</v>
      </c>
      <c r="B60" s="1117" t="s">
        <v>215</v>
      </c>
      <c r="C60" s="274">
        <f t="shared" si="56"/>
        <v>2.2880964381720439E-4</v>
      </c>
      <c r="D60" s="547">
        <v>1</v>
      </c>
      <c r="E60" s="1194">
        <v>1</v>
      </c>
      <c r="F60" s="1194">
        <v>1</v>
      </c>
      <c r="G60" s="1194">
        <v>1000</v>
      </c>
      <c r="H60" s="274"/>
      <c r="I60" s="274">
        <v>0</v>
      </c>
      <c r="J60" s="274">
        <v>1.1574074074074073E-4</v>
      </c>
      <c r="K60" s="312" t="s">
        <v>976</v>
      </c>
      <c r="L60" s="993">
        <v>0.79861111111111116</v>
      </c>
      <c r="M60" s="1195">
        <v>1</v>
      </c>
      <c r="N60" s="274">
        <f>P60*E60*F60+I60*E60*F60+J60*E60</f>
        <v>9.2681264934289173E-3</v>
      </c>
      <c r="O60" s="1196">
        <f>C60*(G60/25)</f>
        <v>9.1523857526881764E-3</v>
      </c>
      <c r="P60" s="1196">
        <f t="shared" ref="P60:P64" si="63">O60*M60</f>
        <v>9.1523857526881764E-3</v>
      </c>
      <c r="Q60" s="548">
        <v>129</v>
      </c>
      <c r="R60" s="1194">
        <f>E60*F60*G60</f>
        <v>1000</v>
      </c>
      <c r="S60" s="229">
        <f t="shared" si="14"/>
        <v>1</v>
      </c>
      <c r="T60" s="230">
        <f t="shared" si="15"/>
        <v>3.6609543010752706E-2</v>
      </c>
      <c r="U60" s="374">
        <f t="shared" si="16"/>
        <v>1</v>
      </c>
      <c r="V60" s="375">
        <f t="shared" si="17"/>
        <v>0</v>
      </c>
      <c r="W60" s="376">
        <f t="shared" si="18"/>
        <v>0</v>
      </c>
      <c r="X60" s="377">
        <f t="shared" si="19"/>
        <v>0</v>
      </c>
      <c r="Y60" s="378">
        <f t="shared" si="20"/>
        <v>0</v>
      </c>
      <c r="Z60" s="379">
        <f t="shared" si="21"/>
        <v>0</v>
      </c>
      <c r="AA60" s="380">
        <f t="shared" si="22"/>
        <v>0</v>
      </c>
      <c r="AC60" s="231"/>
      <c r="AD60" s="231"/>
      <c r="AE60" s="222"/>
      <c r="AF60" s="222"/>
      <c r="AG60" s="222"/>
      <c r="AH60" s="222"/>
      <c r="AI60" s="222"/>
      <c r="AJ60" s="213"/>
      <c r="AK60" s="213"/>
      <c r="AL60" s="213"/>
      <c r="AM60" s="213"/>
    </row>
    <row r="61" spans="1:39" ht="13" customHeight="1" thickBot="1">
      <c r="A61" s="398" t="s">
        <v>139</v>
      </c>
      <c r="B61" s="1117" t="s">
        <v>215</v>
      </c>
      <c r="C61" s="274">
        <f t="shared" si="56"/>
        <v>1.8229166666666673E-4</v>
      </c>
      <c r="D61" s="2100">
        <v>6</v>
      </c>
      <c r="E61" s="365">
        <v>1</v>
      </c>
      <c r="F61" s="365">
        <v>6</v>
      </c>
      <c r="G61" s="365">
        <v>75</v>
      </c>
      <c r="H61" s="366"/>
      <c r="I61" s="366">
        <v>3.472222222222222E-3</v>
      </c>
      <c r="J61" s="366">
        <v>1.3888888888888889E-3</v>
      </c>
      <c r="K61" s="1065" t="s">
        <v>1174</v>
      </c>
      <c r="L61" s="1052">
        <f>L60+N60</f>
        <v>0.80787923760454006</v>
      </c>
      <c r="M61" s="456">
        <v>1.05</v>
      </c>
      <c r="N61" s="366">
        <f>P61*E61*F61+I61*E61*F61+J61*E61</f>
        <v>2.5667534722222222E-2</v>
      </c>
      <c r="O61" s="368">
        <f>C61*(G61/25)</f>
        <v>5.4687500000000016E-4</v>
      </c>
      <c r="P61" s="586">
        <f t="shared" si="63"/>
        <v>5.7421875000000018E-4</v>
      </c>
      <c r="Q61" s="787"/>
      <c r="R61" s="365">
        <f>E61*F61*G61</f>
        <v>450</v>
      </c>
      <c r="S61" s="229">
        <f t="shared" si="14"/>
        <v>0.45</v>
      </c>
      <c r="T61" s="230">
        <f t="shared" si="15"/>
        <v>1.3125000000000005E-2</v>
      </c>
      <c r="U61" s="374">
        <f t="shared" si="16"/>
        <v>0</v>
      </c>
      <c r="V61" s="375">
        <f t="shared" si="17"/>
        <v>0</v>
      </c>
      <c r="W61" s="376">
        <f t="shared" si="18"/>
        <v>0</v>
      </c>
      <c r="X61" s="377">
        <f t="shared" si="19"/>
        <v>0</v>
      </c>
      <c r="Y61" s="378">
        <f t="shared" si="20"/>
        <v>0</v>
      </c>
      <c r="Z61" s="379">
        <f t="shared" si="21"/>
        <v>0.45</v>
      </c>
      <c r="AA61" s="380">
        <f t="shared" si="22"/>
        <v>0</v>
      </c>
      <c r="AC61" s="231"/>
      <c r="AD61" s="231"/>
      <c r="AE61" s="222"/>
      <c r="AF61" s="222"/>
      <c r="AG61" s="222"/>
      <c r="AH61" s="222"/>
      <c r="AI61" s="222"/>
      <c r="AJ61" s="213"/>
      <c r="AK61" s="213"/>
      <c r="AL61" s="213"/>
      <c r="AM61" s="213"/>
    </row>
    <row r="62" spans="1:39" ht="13.25" customHeight="1" thickBot="1">
      <c r="A62" s="398" t="s">
        <v>458</v>
      </c>
      <c r="B62" s="1117" t="s">
        <v>215</v>
      </c>
      <c r="C62" s="274">
        <f t="shared" si="56"/>
        <v>1.8229166666666673E-4</v>
      </c>
      <c r="D62" s="2101">
        <v>6</v>
      </c>
      <c r="E62" s="365">
        <v>1</v>
      </c>
      <c r="F62" s="365">
        <v>4</v>
      </c>
      <c r="G62" s="365">
        <v>50</v>
      </c>
      <c r="H62" s="366"/>
      <c r="I62" s="366">
        <v>2.7777777777777779E-3</v>
      </c>
      <c r="J62" s="366">
        <v>1.3888888888888889E-3</v>
      </c>
      <c r="K62" s="1065" t="s">
        <v>1598</v>
      </c>
      <c r="L62" s="1052">
        <f t="shared" ref="L62:L64" si="64">L61+N61</f>
        <v>0.83354677232676233</v>
      </c>
      <c r="M62" s="456">
        <v>1.1000000000000001</v>
      </c>
      <c r="N62" s="366">
        <f>P62*E62*F62+I62*E62*F62+J62*E62</f>
        <v>1.4104166666666668E-2</v>
      </c>
      <c r="O62" s="368">
        <f>C62*(G62/25)</f>
        <v>3.6458333333333346E-4</v>
      </c>
      <c r="P62" s="586">
        <f t="shared" si="63"/>
        <v>4.0104166666666684E-4</v>
      </c>
      <c r="Q62" s="787">
        <v>146</v>
      </c>
      <c r="R62" s="365">
        <f>E62*F62*G62</f>
        <v>200</v>
      </c>
      <c r="S62" s="229">
        <f t="shared" si="14"/>
        <v>0.2</v>
      </c>
      <c r="T62" s="230">
        <f t="shared" si="15"/>
        <v>5.8333333333333353E-3</v>
      </c>
      <c r="U62" s="374">
        <f t="shared" si="16"/>
        <v>0</v>
      </c>
      <c r="V62" s="375">
        <f t="shared" si="17"/>
        <v>0</v>
      </c>
      <c r="W62" s="376">
        <f t="shared" si="18"/>
        <v>0</v>
      </c>
      <c r="X62" s="377">
        <f t="shared" si="19"/>
        <v>0</v>
      </c>
      <c r="Y62" s="378">
        <f t="shared" si="20"/>
        <v>0</v>
      </c>
      <c r="Z62" s="379">
        <f t="shared" si="21"/>
        <v>0.2</v>
      </c>
      <c r="AA62" s="380">
        <f t="shared" si="22"/>
        <v>0</v>
      </c>
      <c r="AC62" s="231"/>
      <c r="AD62" s="231"/>
      <c r="AE62" s="222"/>
      <c r="AF62" s="222"/>
      <c r="AG62" s="222"/>
      <c r="AH62" s="222"/>
      <c r="AI62" s="222"/>
      <c r="AJ62" s="213"/>
      <c r="AK62" s="213"/>
      <c r="AL62" s="213"/>
      <c r="AM62" s="213"/>
    </row>
    <row r="63" spans="1:39" ht="13.25" customHeight="1" thickBot="1">
      <c r="A63" s="398" t="s">
        <v>462</v>
      </c>
      <c r="B63" s="1117" t="s">
        <v>215</v>
      </c>
      <c r="C63" s="274">
        <f t="shared" si="56"/>
        <v>1.8229166666666673E-4</v>
      </c>
      <c r="D63" s="2102">
        <v>6</v>
      </c>
      <c r="E63" s="365">
        <v>1</v>
      </c>
      <c r="F63" s="365">
        <v>2</v>
      </c>
      <c r="G63" s="365">
        <v>25</v>
      </c>
      <c r="H63" s="366"/>
      <c r="I63" s="366">
        <v>1.0416666666666667E-3</v>
      </c>
      <c r="J63" s="366">
        <v>1.3888888888888889E-3</v>
      </c>
      <c r="K63" s="1065" t="s">
        <v>878</v>
      </c>
      <c r="L63" s="1052">
        <f t="shared" si="64"/>
        <v>0.84765093899342903</v>
      </c>
      <c r="M63" s="456">
        <v>1</v>
      </c>
      <c r="N63" s="366">
        <f>P63*E63*F63+I63*E63*F63+J63*E63</f>
        <v>3.836805555555556E-3</v>
      </c>
      <c r="O63" s="368">
        <f>C63*(G63/25)</f>
        <v>1.8229166666666673E-4</v>
      </c>
      <c r="P63" s="586">
        <f t="shared" si="63"/>
        <v>1.8229166666666673E-4</v>
      </c>
      <c r="Q63" s="787">
        <v>164</v>
      </c>
      <c r="R63" s="365">
        <f>E63*F63*G63</f>
        <v>50</v>
      </c>
      <c r="S63" s="229">
        <f t="shared" si="14"/>
        <v>0.05</v>
      </c>
      <c r="T63" s="230">
        <f t="shared" si="15"/>
        <v>1.4583333333333338E-3</v>
      </c>
      <c r="U63" s="374">
        <f t="shared" si="16"/>
        <v>0</v>
      </c>
      <c r="V63" s="375">
        <f t="shared" si="17"/>
        <v>0</v>
      </c>
      <c r="W63" s="376">
        <f t="shared" si="18"/>
        <v>0</v>
      </c>
      <c r="X63" s="377">
        <f t="shared" si="19"/>
        <v>0</v>
      </c>
      <c r="Y63" s="378">
        <f t="shared" si="20"/>
        <v>0</v>
      </c>
      <c r="Z63" s="379">
        <f t="shared" si="21"/>
        <v>0.05</v>
      </c>
      <c r="AA63" s="380">
        <f t="shared" si="22"/>
        <v>0</v>
      </c>
      <c r="AC63" s="231"/>
      <c r="AD63" s="231"/>
      <c r="AE63" s="222"/>
      <c r="AF63" s="222"/>
      <c r="AG63" s="222"/>
      <c r="AH63" s="222"/>
      <c r="AI63" s="222"/>
      <c r="AJ63" s="213"/>
      <c r="AK63" s="213"/>
      <c r="AL63" s="213"/>
      <c r="AM63" s="213"/>
    </row>
    <row r="64" spans="1:39" ht="13.25" customHeight="1" thickBot="1">
      <c r="A64" s="398" t="s">
        <v>460</v>
      </c>
      <c r="B64" s="1117" t="s">
        <v>215</v>
      </c>
      <c r="C64" s="274">
        <f t="shared" si="56"/>
        <v>1.7682291666666674E-4</v>
      </c>
      <c r="D64" s="1300">
        <v>7</v>
      </c>
      <c r="E64" s="1333">
        <v>1</v>
      </c>
      <c r="F64" s="1333">
        <v>3</v>
      </c>
      <c r="G64" s="1333">
        <v>20</v>
      </c>
      <c r="H64" s="1334"/>
      <c r="I64" s="1334">
        <v>3.4722222222222224E-4</v>
      </c>
      <c r="J64" s="1334">
        <v>0</v>
      </c>
      <c r="K64" s="1323" t="s">
        <v>1599</v>
      </c>
      <c r="L64" s="1189">
        <f t="shared" si="64"/>
        <v>0.85148774454898457</v>
      </c>
      <c r="M64" s="1335">
        <v>1</v>
      </c>
      <c r="N64" s="1334">
        <f>P64*E64*F64+I64*E64*F64+J64*E64</f>
        <v>1.4660416666666667E-3</v>
      </c>
      <c r="O64" s="1191">
        <f>C64*(G64/25)</f>
        <v>1.4145833333333339E-4</v>
      </c>
      <c r="P64" s="1192">
        <f t="shared" si="63"/>
        <v>1.4145833333333339E-4</v>
      </c>
      <c r="Q64" s="446" t="s">
        <v>316</v>
      </c>
      <c r="R64" s="1187">
        <f>E64*F64*G64</f>
        <v>60</v>
      </c>
      <c r="S64" s="229">
        <f t="shared" si="14"/>
        <v>0.06</v>
      </c>
      <c r="T64" s="230">
        <f t="shared" si="15"/>
        <v>1.6975000000000007E-3</v>
      </c>
      <c r="U64" s="374">
        <f t="shared" si="16"/>
        <v>0</v>
      </c>
      <c r="V64" s="375">
        <f t="shared" si="17"/>
        <v>0</v>
      </c>
      <c r="W64" s="376">
        <f t="shared" si="18"/>
        <v>0</v>
      </c>
      <c r="X64" s="377">
        <f t="shared" si="19"/>
        <v>0</v>
      </c>
      <c r="Y64" s="378">
        <f t="shared" si="20"/>
        <v>0</v>
      </c>
      <c r="Z64" s="379">
        <f t="shared" si="21"/>
        <v>0</v>
      </c>
      <c r="AA64" s="380">
        <f t="shared" si="22"/>
        <v>0.06</v>
      </c>
      <c r="AC64" s="231"/>
      <c r="AD64" s="231"/>
      <c r="AE64" s="222"/>
      <c r="AF64" s="222"/>
      <c r="AG64" s="222"/>
      <c r="AH64" s="222"/>
      <c r="AI64" s="222"/>
      <c r="AJ64" s="213"/>
      <c r="AK64" s="213"/>
      <c r="AL64" s="213"/>
      <c r="AM64" s="213"/>
    </row>
    <row r="65" spans="1:39" ht="16.25" customHeight="1" thickBot="1">
      <c r="A65" s="398" t="s">
        <v>458</v>
      </c>
      <c r="B65" s="1117" t="s">
        <v>215</v>
      </c>
      <c r="C65" s="1486"/>
      <c r="D65" s="1259"/>
      <c r="E65" s="336"/>
      <c r="F65" s="336"/>
      <c r="G65" s="336"/>
      <c r="H65" s="336"/>
      <c r="I65" s="336"/>
      <c r="J65" s="336"/>
      <c r="K65" s="336"/>
      <c r="L65" s="1008">
        <f>L64+N64</f>
        <v>0.85295378621565121</v>
      </c>
      <c r="M65" s="1198"/>
      <c r="N65" s="1008"/>
      <c r="O65" s="336">
        <f>C65*20/25</f>
        <v>0</v>
      </c>
      <c r="P65" s="336"/>
      <c r="Q65" s="336"/>
      <c r="R65" s="1238">
        <f>SUM(R60:R64)</f>
        <v>1760</v>
      </c>
      <c r="S65" s="229">
        <f t="shared" si="14"/>
        <v>0</v>
      </c>
      <c r="T65" s="230">
        <f t="shared" si="15"/>
        <v>0</v>
      </c>
      <c r="U65" s="374">
        <f t="shared" si="16"/>
        <v>0</v>
      </c>
      <c r="V65" s="375">
        <f t="shared" si="17"/>
        <v>0</v>
      </c>
      <c r="W65" s="376">
        <f t="shared" si="18"/>
        <v>0</v>
      </c>
      <c r="X65" s="377">
        <f t="shared" si="19"/>
        <v>0</v>
      </c>
      <c r="Y65" s="378">
        <f t="shared" si="20"/>
        <v>0</v>
      </c>
      <c r="Z65" s="379">
        <f t="shared" si="21"/>
        <v>0</v>
      </c>
      <c r="AA65" s="380">
        <f t="shared" si="22"/>
        <v>0</v>
      </c>
      <c r="AC65" s="231"/>
      <c r="AD65" s="231"/>
      <c r="AE65" s="222"/>
      <c r="AF65" s="222"/>
      <c r="AG65" s="222"/>
      <c r="AH65" s="222"/>
      <c r="AI65" s="222"/>
      <c r="AJ65" s="213"/>
      <c r="AK65" s="213"/>
      <c r="AL65" s="213"/>
      <c r="AM65" s="213"/>
    </row>
    <row r="66" spans="1:39" ht="16.25" customHeight="1" thickBot="1">
      <c r="A66" s="398" t="s">
        <v>219</v>
      </c>
      <c r="B66" s="1117" t="s">
        <v>461</v>
      </c>
      <c r="C66" s="1486"/>
      <c r="D66" s="1487"/>
      <c r="E66" s="1452"/>
      <c r="F66" s="1452"/>
      <c r="G66" s="1452"/>
      <c r="H66" s="1452"/>
      <c r="I66" s="1452"/>
      <c r="J66" s="1452"/>
      <c r="K66" s="2691" t="s">
        <v>2519</v>
      </c>
      <c r="L66" s="1487">
        <f>L60+N60</f>
        <v>0.80787923760454006</v>
      </c>
      <c r="M66" s="1452">
        <v>1.1000000000000001</v>
      </c>
      <c r="N66" s="1452">
        <f>P66*E66*F66+I66*E66*F66+J66*E66</f>
        <v>0</v>
      </c>
      <c r="O66" s="1487"/>
      <c r="P66" s="1452"/>
      <c r="Q66" s="1452"/>
      <c r="R66" s="1666">
        <f>SUM(R61:R65)</f>
        <v>2520</v>
      </c>
      <c r="S66" s="229">
        <f t="shared" si="14"/>
        <v>0</v>
      </c>
      <c r="T66" s="230">
        <f t="shared" si="15"/>
        <v>0</v>
      </c>
      <c r="U66" s="374">
        <f t="shared" si="16"/>
        <v>0</v>
      </c>
      <c r="V66" s="375">
        <f t="shared" si="17"/>
        <v>0</v>
      </c>
      <c r="W66" s="376">
        <f t="shared" si="18"/>
        <v>0</v>
      </c>
      <c r="X66" s="377">
        <v>2.5</v>
      </c>
      <c r="Y66" s="378">
        <f t="shared" si="20"/>
        <v>0</v>
      </c>
      <c r="Z66" s="379">
        <f t="shared" si="21"/>
        <v>0</v>
      </c>
      <c r="AA66" s="380">
        <f t="shared" si="22"/>
        <v>0</v>
      </c>
      <c r="AC66" s="231"/>
      <c r="AD66" s="231"/>
      <c r="AE66" s="222"/>
      <c r="AF66" s="222"/>
      <c r="AG66" s="222"/>
      <c r="AH66" s="222"/>
      <c r="AI66" s="222"/>
      <c r="AJ66" s="213"/>
      <c r="AK66" s="213"/>
      <c r="AL66" s="213"/>
      <c r="AM66" s="213"/>
    </row>
    <row r="67" spans="1:39" ht="15" customHeight="1" thickBot="1">
      <c r="A67" s="398"/>
      <c r="B67" s="1117"/>
      <c r="C67" s="1486"/>
      <c r="D67" s="1487"/>
      <c r="E67" s="1452"/>
      <c r="F67" s="1452"/>
      <c r="G67" s="1452"/>
      <c r="H67" s="1452"/>
      <c r="I67" s="1452"/>
      <c r="J67" s="2691"/>
      <c r="K67" s="2691" t="s">
        <v>2520</v>
      </c>
      <c r="L67" s="2691"/>
      <c r="M67" s="1486"/>
      <c r="N67" s="7993"/>
      <c r="O67" s="7994"/>
      <c r="P67" s="7994"/>
      <c r="Q67" s="7994"/>
      <c r="R67" s="1452"/>
      <c r="S67" s="229">
        <f t="shared" si="14"/>
        <v>0</v>
      </c>
      <c r="T67" s="230">
        <f t="shared" si="15"/>
        <v>0</v>
      </c>
      <c r="U67" s="374">
        <f t="shared" si="16"/>
        <v>0</v>
      </c>
      <c r="V67" s="375">
        <f t="shared" si="17"/>
        <v>0</v>
      </c>
      <c r="W67" s="376">
        <f t="shared" si="18"/>
        <v>0</v>
      </c>
      <c r="X67" s="377">
        <f t="shared" si="19"/>
        <v>0</v>
      </c>
      <c r="Y67" s="378">
        <f t="shared" si="20"/>
        <v>0</v>
      </c>
      <c r="Z67" s="379">
        <f t="shared" si="21"/>
        <v>0</v>
      </c>
      <c r="AA67" s="380">
        <f t="shared" si="22"/>
        <v>0</v>
      </c>
      <c r="AC67" s="231"/>
      <c r="AD67" s="231"/>
      <c r="AE67" s="222"/>
      <c r="AF67" s="222"/>
      <c r="AG67" s="222"/>
      <c r="AH67" s="222"/>
      <c r="AI67" s="222"/>
      <c r="AJ67" s="213"/>
      <c r="AK67" s="213"/>
      <c r="AL67" s="213"/>
      <c r="AM67" s="213"/>
    </row>
    <row r="68" spans="1:39" ht="16.25" customHeight="1" thickBot="1">
      <c r="A68" s="4913"/>
      <c r="B68" s="4914"/>
      <c r="C68" s="274">
        <f>IF(D68=1,U$4,IF(D68=2,V$4,IF(D68=3,W$4,IF(D68=4,X$4,IF(D68=5,Y$4,IF(D68=6,Z$4,IF(D68=7,AA$4,0)))))))</f>
        <v>8.4888763197586746E-4</v>
      </c>
      <c r="D68" s="2687">
        <v>3</v>
      </c>
      <c r="E68" s="1161">
        <v>1</v>
      </c>
      <c r="F68" s="1161">
        <v>1</v>
      </c>
      <c r="G68" s="1161">
        <v>800</v>
      </c>
      <c r="H68" s="2171"/>
      <c r="I68" s="1163">
        <v>1.7361111111111112E-4</v>
      </c>
      <c r="J68" s="1163">
        <v>1.3888888888888889E-3</v>
      </c>
      <c r="K68" s="1074"/>
      <c r="L68" s="1148"/>
      <c r="M68" s="1164">
        <v>1.5</v>
      </c>
      <c r="N68" s="1163">
        <f>P68*E68*F68+I68*E68*F68+J68*E68</f>
        <v>4.230910633484164E-2</v>
      </c>
      <c r="O68" s="1165">
        <f>C68*(G68/25)</f>
        <v>2.7164404223227759E-2</v>
      </c>
      <c r="P68" s="1165">
        <f t="shared" ref="P68" si="65">O68*M68</f>
        <v>4.0746606334841638E-2</v>
      </c>
      <c r="Q68" s="333">
        <v>164</v>
      </c>
      <c r="R68" s="1161">
        <v>2400</v>
      </c>
      <c r="S68" s="229">
        <f t="shared" si="14"/>
        <v>0.8</v>
      </c>
      <c r="T68" s="230">
        <f t="shared" si="15"/>
        <v>0.10865761689291104</v>
      </c>
      <c r="U68" s="374">
        <f t="shared" si="16"/>
        <v>0.8</v>
      </c>
      <c r="V68" s="375">
        <f t="shared" si="17"/>
        <v>0</v>
      </c>
      <c r="W68" s="376">
        <v>2.4</v>
      </c>
      <c r="X68" s="377">
        <f t="shared" si="19"/>
        <v>0</v>
      </c>
      <c r="Y68" s="378">
        <f t="shared" si="20"/>
        <v>0</v>
      </c>
      <c r="Z68" s="379">
        <f t="shared" si="21"/>
        <v>0</v>
      </c>
      <c r="AA68" s="380">
        <f t="shared" si="22"/>
        <v>0</v>
      </c>
      <c r="AC68" s="231"/>
      <c r="AD68" s="231"/>
      <c r="AE68" s="222"/>
      <c r="AF68" s="222"/>
      <c r="AG68" s="222"/>
      <c r="AH68" s="222"/>
      <c r="AI68" s="222"/>
      <c r="AJ68" s="213"/>
      <c r="AK68" s="213"/>
      <c r="AL68" s="213"/>
      <c r="AM68" s="213"/>
    </row>
    <row r="69" spans="1:39" ht="16.25" customHeight="1" thickBot="1">
      <c r="A69" s="4913"/>
      <c r="B69" s="4914"/>
      <c r="C69" s="274">
        <f>IF(D69=1,U$4,IF(D69=2,V$4,IF(D69=3,W$4,IF(D69=4,X$4,IF(D69=5,Y$4,IF(D69=6,Z$4,IF(D69=7,AA$4,0)))))))</f>
        <v>7.0729166666666694E-4</v>
      </c>
      <c r="D69" s="4882">
        <v>7</v>
      </c>
      <c r="E69" s="441"/>
      <c r="F69" s="441"/>
      <c r="G69" s="441"/>
      <c r="H69" s="3369"/>
      <c r="I69" s="436"/>
      <c r="J69" s="436"/>
      <c r="K69" s="443"/>
      <c r="L69" s="4917"/>
      <c r="M69" s="1542"/>
      <c r="N69" s="4912"/>
      <c r="O69" s="1528"/>
      <c r="P69" s="4917"/>
      <c r="Q69" s="3380"/>
      <c r="R69" s="4923">
        <v>200</v>
      </c>
      <c r="S69" s="229">
        <f t="shared" si="14"/>
        <v>0</v>
      </c>
      <c r="T69" s="230">
        <f t="shared" si="15"/>
        <v>0</v>
      </c>
      <c r="U69" s="374">
        <f t="shared" si="16"/>
        <v>0</v>
      </c>
      <c r="V69" s="375">
        <f t="shared" si="17"/>
        <v>0</v>
      </c>
      <c r="W69" s="376">
        <f t="shared" si="18"/>
        <v>0</v>
      </c>
      <c r="X69" s="377">
        <f t="shared" si="19"/>
        <v>0</v>
      </c>
      <c r="Y69" s="378">
        <f t="shared" si="20"/>
        <v>0</v>
      </c>
      <c r="Z69" s="379">
        <f t="shared" si="21"/>
        <v>0</v>
      </c>
      <c r="AA69" s="380">
        <v>2</v>
      </c>
      <c r="AC69" s="231"/>
      <c r="AD69" s="231"/>
      <c r="AE69" s="222"/>
      <c r="AF69" s="222"/>
      <c r="AG69" s="222"/>
      <c r="AH69" s="222"/>
      <c r="AI69" s="222"/>
      <c r="AJ69" s="213"/>
      <c r="AK69" s="213"/>
      <c r="AL69" s="213"/>
      <c r="AM69" s="213"/>
    </row>
    <row r="70" spans="1:39" ht="16.25" customHeight="1" thickBot="1">
      <c r="A70" s="4913"/>
      <c r="B70" s="4914"/>
      <c r="C70" s="274">
        <f>IF(D70=1,U$4,IF(D70=2,V$4,IF(D70=3,W$4,IF(D70=4,X$4,IF(D70=5,Y$4,IF(D70=6,Z$4,IF(D70=7,AA$4,0)))))))</f>
        <v>7.0729166666666694E-4</v>
      </c>
      <c r="D70" s="4882">
        <v>7</v>
      </c>
      <c r="E70" s="441"/>
      <c r="F70" s="441"/>
      <c r="G70" s="441"/>
      <c r="H70" s="3369"/>
      <c r="I70" s="436"/>
      <c r="J70" s="436"/>
      <c r="K70" s="443"/>
      <c r="L70" s="4917"/>
      <c r="M70" s="1542"/>
      <c r="N70" s="4912"/>
      <c r="O70" s="1528"/>
      <c r="P70" s="4917"/>
      <c r="Q70" s="3380"/>
      <c r="R70" s="4923">
        <v>200</v>
      </c>
      <c r="S70" s="229">
        <f t="shared" si="14"/>
        <v>0</v>
      </c>
      <c r="T70" s="230">
        <f t="shared" si="15"/>
        <v>0</v>
      </c>
      <c r="U70" s="374">
        <f t="shared" si="16"/>
        <v>0</v>
      </c>
      <c r="V70" s="375">
        <f t="shared" si="17"/>
        <v>0</v>
      </c>
      <c r="W70" s="376">
        <f t="shared" si="18"/>
        <v>0</v>
      </c>
      <c r="X70" s="377">
        <f t="shared" si="19"/>
        <v>0</v>
      </c>
      <c r="Y70" s="378">
        <f t="shared" si="20"/>
        <v>0</v>
      </c>
      <c r="Z70" s="379">
        <f t="shared" si="21"/>
        <v>0</v>
      </c>
      <c r="AA70" s="380">
        <v>2</v>
      </c>
      <c r="AC70" s="231"/>
      <c r="AD70" s="231"/>
      <c r="AE70" s="222"/>
      <c r="AF70" s="222"/>
      <c r="AG70" s="222"/>
      <c r="AH70" s="222"/>
      <c r="AI70" s="222"/>
      <c r="AJ70" s="213"/>
      <c r="AK70" s="213"/>
      <c r="AL70" s="213"/>
      <c r="AM70" s="213"/>
    </row>
    <row r="71" spans="1:39" ht="16.25" customHeight="1" thickBot="1">
      <c r="A71" s="4913"/>
      <c r="B71" s="4914"/>
      <c r="C71" s="274">
        <f>IF(D71=1,U$4,IF(D71=2,V$4,IF(D71=3,W$4,IF(D71=4,X$4,IF(D71=5,Y$4,IF(D71=6,Z$4,IF(D71=7,AA$4,0)))))))</f>
        <v>7.0729166666666694E-4</v>
      </c>
      <c r="D71" s="1539">
        <v>7</v>
      </c>
      <c r="E71" s="441"/>
      <c r="F71" s="441"/>
      <c r="G71" s="441"/>
      <c r="H71" s="3369"/>
      <c r="I71" s="436"/>
      <c r="J71" s="436"/>
      <c r="K71" s="443"/>
      <c r="L71" s="4917"/>
      <c r="M71" s="1542"/>
      <c r="N71" s="4912"/>
      <c r="O71" s="1528"/>
      <c r="P71" s="4917"/>
      <c r="Q71" s="3380"/>
      <c r="R71" s="4923">
        <v>200</v>
      </c>
      <c r="S71" s="229">
        <f t="shared" si="14"/>
        <v>0</v>
      </c>
      <c r="T71" s="230">
        <f t="shared" si="15"/>
        <v>0</v>
      </c>
      <c r="U71" s="374">
        <f t="shared" si="16"/>
        <v>0</v>
      </c>
      <c r="V71" s="375">
        <f t="shared" si="17"/>
        <v>0</v>
      </c>
      <c r="W71" s="376">
        <f t="shared" si="18"/>
        <v>0</v>
      </c>
      <c r="X71" s="377">
        <f t="shared" si="19"/>
        <v>0</v>
      </c>
      <c r="Y71" s="378">
        <f t="shared" si="20"/>
        <v>0</v>
      </c>
      <c r="Z71" s="379">
        <f t="shared" si="21"/>
        <v>0</v>
      </c>
      <c r="AA71" s="380">
        <v>2</v>
      </c>
      <c r="AC71" s="231"/>
      <c r="AD71" s="231"/>
      <c r="AE71" s="222"/>
      <c r="AF71" s="222"/>
      <c r="AG71" s="222"/>
      <c r="AH71" s="222"/>
      <c r="AI71" s="222"/>
      <c r="AJ71" s="213"/>
      <c r="AK71" s="213"/>
      <c r="AL71" s="213"/>
      <c r="AM71" s="213"/>
    </row>
    <row r="72" spans="1:39" ht="16.25" customHeight="1" thickBot="1">
      <c r="A72" s="4913"/>
      <c r="B72" s="4914"/>
      <c r="C72" s="274">
        <f>IF(D72=1,U$4,IF(D72=2,V$4,IF(D72=3,W$4,IF(D72=4,X$4,IF(D72=5,Y$4,IF(D72=6,Z$4,IF(D72=7,AA$4,0)))))))</f>
        <v>7.0729166666666694E-4</v>
      </c>
      <c r="D72" s="1539">
        <v>7</v>
      </c>
      <c r="E72" s="441"/>
      <c r="F72" s="441"/>
      <c r="G72" s="441"/>
      <c r="H72" s="3369"/>
      <c r="I72" s="436"/>
      <c r="J72" s="436"/>
      <c r="K72" s="443"/>
      <c r="L72" s="4917"/>
      <c r="M72" s="1542"/>
      <c r="N72" s="4912"/>
      <c r="O72" s="1528"/>
      <c r="P72" s="4917"/>
      <c r="Q72" s="3380"/>
      <c r="R72" s="4923">
        <v>200</v>
      </c>
      <c r="S72" s="229">
        <f t="shared" si="14"/>
        <v>0</v>
      </c>
      <c r="T72" s="230">
        <f t="shared" si="15"/>
        <v>0</v>
      </c>
      <c r="U72" s="374">
        <f t="shared" si="16"/>
        <v>0</v>
      </c>
      <c r="V72" s="375">
        <f t="shared" si="17"/>
        <v>0</v>
      </c>
      <c r="W72" s="376">
        <f t="shared" si="18"/>
        <v>0</v>
      </c>
      <c r="X72" s="377">
        <f t="shared" si="19"/>
        <v>0</v>
      </c>
      <c r="Y72" s="378">
        <f t="shared" si="20"/>
        <v>0</v>
      </c>
      <c r="Z72" s="379">
        <f t="shared" si="21"/>
        <v>0</v>
      </c>
      <c r="AA72" s="380">
        <v>2</v>
      </c>
      <c r="AC72" s="231"/>
      <c r="AD72" s="231"/>
      <c r="AE72" s="222"/>
      <c r="AF72" s="222"/>
      <c r="AG72" s="222"/>
      <c r="AH72" s="222"/>
      <c r="AI72" s="222"/>
      <c r="AJ72" s="213"/>
      <c r="AK72" s="213"/>
      <c r="AL72" s="213"/>
      <c r="AM72" s="213"/>
    </row>
    <row r="73" spans="1:39" ht="13.5" customHeight="1" thickBot="1">
      <c r="A73" s="4913"/>
      <c r="B73" s="4915"/>
      <c r="C73" s="1486"/>
      <c r="D73" s="1487"/>
      <c r="E73" s="1452"/>
      <c r="F73" s="1452"/>
      <c r="G73" s="1452"/>
      <c r="H73" s="1452"/>
      <c r="I73" s="1452"/>
      <c r="J73" s="1452"/>
      <c r="K73" s="1452"/>
      <c r="L73" s="1008">
        <f>L65+N65</f>
        <v>0.85295378621565121</v>
      </c>
      <c r="M73" s="1489">
        <v>1.1000000000000001</v>
      </c>
      <c r="N73" s="1008">
        <f>P73*E73*F73+I73*E73*F73+J73*E73</f>
        <v>0</v>
      </c>
      <c r="O73" s="1488"/>
      <c r="P73" s="1488"/>
      <c r="Q73" s="1488"/>
      <c r="R73" s="1666"/>
      <c r="S73" s="1337"/>
      <c r="T73" s="1338"/>
      <c r="U73" s="1024">
        <f t="shared" ref="U73:AA73" si="66">SUM(U6:U72)</f>
        <v>4.5999999999999996</v>
      </c>
      <c r="V73" s="1024">
        <f t="shared" si="66"/>
        <v>4.7400000000000011</v>
      </c>
      <c r="W73" s="1024">
        <f t="shared" si="66"/>
        <v>3.8499999999999996</v>
      </c>
      <c r="X73" s="1024">
        <f t="shared" si="66"/>
        <v>3.15</v>
      </c>
      <c r="Y73" s="1024">
        <f t="shared" si="66"/>
        <v>1.37</v>
      </c>
      <c r="Z73" s="1024">
        <f t="shared" si="66"/>
        <v>4.7</v>
      </c>
      <c r="AA73" s="1024">
        <f t="shared" si="66"/>
        <v>10.07</v>
      </c>
      <c r="AB73" s="565">
        <f>SUM(U73:AA73)</f>
        <v>32.480000000000004</v>
      </c>
      <c r="AC73" s="231"/>
      <c r="AD73" s="231"/>
      <c r="AE73" s="222"/>
      <c r="AF73" s="222"/>
      <c r="AG73" s="222"/>
      <c r="AH73" s="222"/>
      <c r="AI73" s="222"/>
    </row>
    <row r="74" spans="1:39" s="247" customFormat="1" ht="14" thickBot="1">
      <c r="B74" s="144"/>
      <c r="C74" s="143"/>
      <c r="D74" s="4444"/>
      <c r="E74" s="4594">
        <f>U73*100000/$Q$74</f>
        <v>14.162561576354676</v>
      </c>
      <c r="F74" s="4594">
        <f t="shared" ref="F74:K74" si="67">V73*100000/$Q$74</f>
        <v>14.593596059113302</v>
      </c>
      <c r="G74" s="4594">
        <f t="shared" si="67"/>
        <v>11.853448275862066</v>
      </c>
      <c r="H74" s="4594">
        <f t="shared" si="67"/>
        <v>9.6982758620689644</v>
      </c>
      <c r="I74" s="4594">
        <f t="shared" si="67"/>
        <v>4.2179802955665018</v>
      </c>
      <c r="J74" s="4594">
        <f t="shared" si="67"/>
        <v>14.470443349753692</v>
      </c>
      <c r="K74" s="4595">
        <f t="shared" si="67"/>
        <v>31.003694581280786</v>
      </c>
      <c r="L74" s="4378" t="s">
        <v>1922</v>
      </c>
      <c r="M74" s="1278"/>
      <c r="N74" s="1278"/>
      <c r="O74" s="1278"/>
      <c r="P74" s="1278"/>
      <c r="Q74" s="7881">
        <f>AB73*1000</f>
        <v>32480.000000000004</v>
      </c>
      <c r="R74" s="7882"/>
      <c r="S74" s="142"/>
      <c r="T74" s="142"/>
      <c r="U74" s="146"/>
      <c r="V74" s="146"/>
      <c r="W74" s="146"/>
      <c r="X74" s="146"/>
      <c r="Y74" s="146"/>
      <c r="Z74" s="146"/>
      <c r="AA74" s="146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</row>
    <row r="75" spans="1:39" s="247" customFormat="1" ht="14" thickBot="1">
      <c r="B75" s="144"/>
      <c r="C75" s="143"/>
      <c r="D75" s="4444"/>
      <c r="E75" s="4521">
        <f>E74*15/100</f>
        <v>2.1243842364532015</v>
      </c>
      <c r="F75" s="4522">
        <f t="shared" ref="F75:K75" si="68">F74*15/100</f>
        <v>2.1890394088669951</v>
      </c>
      <c r="G75" s="4523">
        <f t="shared" si="68"/>
        <v>1.7780172413793098</v>
      </c>
      <c r="H75" s="4524">
        <f t="shared" si="68"/>
        <v>1.4547413793103448</v>
      </c>
      <c r="I75" s="4525">
        <f t="shared" si="68"/>
        <v>0.6326970443349752</v>
      </c>
      <c r="J75" s="4526">
        <f t="shared" si="68"/>
        <v>2.1705665024630538</v>
      </c>
      <c r="K75" s="4527">
        <f t="shared" si="68"/>
        <v>4.6505541871921174</v>
      </c>
      <c r="L75" s="4378" t="s">
        <v>1252</v>
      </c>
      <c r="M75" s="144"/>
      <c r="N75" s="144"/>
      <c r="O75" s="144"/>
      <c r="P75" s="144"/>
      <c r="Q75" s="144"/>
      <c r="R75" s="144"/>
      <c r="S75" s="142"/>
      <c r="T75" s="142"/>
      <c r="U75" s="146"/>
      <c r="V75" s="146"/>
      <c r="W75" s="146"/>
      <c r="X75" s="146"/>
      <c r="Y75" s="146"/>
      <c r="Z75" s="146"/>
      <c r="AA75" s="146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</row>
    <row r="76" spans="1:39" s="247" customFormat="1" ht="11">
      <c r="B76" s="144"/>
      <c r="C76" s="143"/>
      <c r="D76" s="907"/>
      <c r="E76" s="143"/>
      <c r="F76" s="145"/>
      <c r="G76" s="146"/>
      <c r="H76" s="146"/>
      <c r="I76" s="146"/>
      <c r="J76" s="146"/>
      <c r="K76" s="146"/>
      <c r="L76" s="146"/>
      <c r="M76" s="458"/>
      <c r="N76" s="145"/>
      <c r="O76" s="146"/>
      <c r="P76" s="146"/>
      <c r="Q76" s="147"/>
      <c r="R76" s="147"/>
      <c r="S76" s="142"/>
      <c r="T76" s="142"/>
      <c r="U76" s="146"/>
      <c r="V76" s="146"/>
      <c r="W76" s="146"/>
      <c r="X76" s="146"/>
      <c r="Y76" s="146"/>
      <c r="Z76" s="146"/>
      <c r="AA76" s="146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</row>
    <row r="77" spans="1:39" s="247" customFormat="1" ht="11">
      <c r="B77" s="144"/>
      <c r="C77" s="143"/>
      <c r="D77" s="907"/>
      <c r="E77" s="143"/>
      <c r="F77" s="145"/>
      <c r="G77" s="146"/>
      <c r="H77" s="146"/>
      <c r="I77" s="146"/>
      <c r="J77" s="146"/>
      <c r="K77" s="146"/>
      <c r="L77" s="146"/>
      <c r="M77" s="458"/>
      <c r="N77" s="145"/>
      <c r="O77" s="146"/>
      <c r="P77" s="146"/>
      <c r="Q77" s="147"/>
      <c r="R77" s="147"/>
      <c r="S77" s="142"/>
      <c r="T77" s="142"/>
      <c r="U77" s="146"/>
      <c r="V77" s="146"/>
      <c r="W77" s="146"/>
      <c r="X77" s="146"/>
      <c r="Y77" s="146"/>
      <c r="Z77" s="146"/>
      <c r="AA77" s="146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</row>
    <row r="78" spans="1:39" s="247" customFormat="1" ht="11">
      <c r="B78" s="144"/>
      <c r="C78" s="143"/>
      <c r="D78" s="907"/>
      <c r="E78" s="143"/>
      <c r="F78" s="145"/>
      <c r="G78" s="146"/>
      <c r="H78" s="146"/>
      <c r="I78" s="146"/>
      <c r="J78" s="146"/>
      <c r="K78" s="146"/>
      <c r="L78" s="146"/>
      <c r="M78" s="458"/>
      <c r="N78" s="145"/>
      <c r="O78" s="146"/>
      <c r="P78" s="146"/>
      <c r="Q78" s="147"/>
      <c r="R78" s="147"/>
      <c r="S78" s="142"/>
      <c r="T78" s="142"/>
      <c r="U78" s="146"/>
      <c r="V78" s="146"/>
      <c r="W78" s="146"/>
      <c r="X78" s="146"/>
      <c r="Y78" s="146"/>
      <c r="Z78" s="146"/>
      <c r="AA78" s="146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</row>
    <row r="79" spans="1:39" s="247" customFormat="1" ht="11">
      <c r="B79" s="144"/>
      <c r="C79" s="143"/>
      <c r="D79" s="907"/>
      <c r="E79" s="143"/>
      <c r="F79" s="145"/>
      <c r="G79" s="146"/>
      <c r="H79" s="146"/>
      <c r="I79" s="146"/>
      <c r="J79" s="146"/>
      <c r="K79" s="146"/>
      <c r="L79" s="146"/>
      <c r="M79" s="458"/>
      <c r="N79" s="145"/>
      <c r="O79" s="146"/>
      <c r="P79" s="146"/>
      <c r="Q79" s="147"/>
      <c r="R79" s="147"/>
      <c r="S79" s="142"/>
      <c r="T79" s="142"/>
      <c r="U79" s="146"/>
      <c r="V79" s="146"/>
      <c r="W79" s="146"/>
      <c r="X79" s="146"/>
      <c r="Y79" s="146"/>
      <c r="Z79" s="146"/>
      <c r="AA79" s="146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</row>
    <row r="80" spans="1:39" s="247" customFormat="1" ht="11">
      <c r="B80" s="144"/>
      <c r="C80" s="143"/>
      <c r="D80" s="907"/>
      <c r="E80" s="143"/>
      <c r="F80" s="145"/>
      <c r="G80" s="146"/>
      <c r="H80" s="146"/>
      <c r="I80" s="146"/>
      <c r="J80" s="146"/>
      <c r="K80" s="146"/>
      <c r="L80" s="146"/>
      <c r="M80" s="458"/>
      <c r="N80" s="145"/>
      <c r="O80" s="146"/>
      <c r="P80" s="146"/>
      <c r="Q80" s="147"/>
      <c r="R80" s="147"/>
      <c r="S80" s="142"/>
      <c r="T80" s="142"/>
      <c r="U80" s="146"/>
      <c r="V80" s="146"/>
      <c r="W80" s="146"/>
      <c r="X80" s="146"/>
      <c r="Y80" s="146"/>
      <c r="Z80" s="146"/>
      <c r="AA80" s="146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</row>
    <row r="81" spans="2:39" s="247" customFormat="1" ht="11">
      <c r="B81" s="144"/>
      <c r="C81" s="143"/>
      <c r="D81" s="907"/>
      <c r="E81" s="143"/>
      <c r="F81" s="145"/>
      <c r="G81" s="146"/>
      <c r="H81" s="146"/>
      <c r="I81" s="146"/>
      <c r="J81" s="146"/>
      <c r="K81" s="146"/>
      <c r="L81" s="146"/>
      <c r="M81" s="458"/>
      <c r="N81" s="145"/>
      <c r="O81" s="146"/>
      <c r="P81" s="146"/>
      <c r="Q81" s="147"/>
      <c r="R81" s="147"/>
      <c r="S81" s="142"/>
      <c r="T81" s="142"/>
      <c r="U81" s="146"/>
      <c r="V81" s="146"/>
      <c r="W81" s="146"/>
      <c r="X81" s="146"/>
      <c r="Y81" s="146"/>
      <c r="Z81" s="146"/>
      <c r="AA81" s="146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</row>
    <row r="82" spans="2:39" s="247" customFormat="1" ht="11">
      <c r="B82" s="144"/>
      <c r="C82" s="143"/>
      <c r="D82" s="907"/>
      <c r="E82" s="143"/>
      <c r="F82" s="145"/>
      <c r="G82" s="146"/>
      <c r="H82" s="146"/>
      <c r="I82" s="146"/>
      <c r="J82" s="146"/>
      <c r="K82" s="4922">
        <v>3.283564814814815E-4</v>
      </c>
      <c r="L82" s="146"/>
      <c r="M82" s="458"/>
      <c r="N82" s="145"/>
      <c r="O82" s="146"/>
      <c r="P82" s="146"/>
      <c r="Q82" s="147"/>
      <c r="R82" s="147"/>
      <c r="S82" s="142"/>
      <c r="T82" s="142"/>
      <c r="U82" s="146"/>
      <c r="V82" s="146"/>
      <c r="W82" s="146"/>
      <c r="X82" s="146"/>
      <c r="Y82" s="146"/>
      <c r="Z82" s="146"/>
      <c r="AA82" s="146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</row>
    <row r="83" spans="2:39" s="247" customFormat="1" ht="11">
      <c r="B83" s="144"/>
      <c r="C83" s="143"/>
      <c r="D83" s="907"/>
      <c r="E83" s="143"/>
      <c r="F83" s="145"/>
      <c r="G83" s="146"/>
      <c r="H83" s="146"/>
      <c r="I83" s="146"/>
      <c r="J83" s="146"/>
      <c r="K83" s="146"/>
      <c r="L83" s="146"/>
      <c r="M83" s="458"/>
      <c r="N83" s="145"/>
      <c r="O83" s="146"/>
      <c r="P83" s="146"/>
      <c r="Q83" s="147"/>
      <c r="R83" s="147"/>
      <c r="S83" s="142"/>
      <c r="T83" s="142"/>
      <c r="U83" s="146"/>
      <c r="V83" s="146"/>
      <c r="W83" s="146"/>
      <c r="X83" s="146"/>
      <c r="Y83" s="146"/>
      <c r="Z83" s="146"/>
      <c r="AA83" s="146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</row>
    <row r="84" spans="2:39" s="247" customFormat="1" ht="11">
      <c r="B84" s="144"/>
      <c r="C84" s="143"/>
      <c r="D84" s="907"/>
      <c r="E84" s="143"/>
      <c r="F84" s="145"/>
      <c r="G84" s="146"/>
      <c r="H84" s="146"/>
      <c r="I84" s="146"/>
      <c r="J84" s="146"/>
      <c r="K84" s="146"/>
      <c r="L84" s="146"/>
      <c r="M84" s="458"/>
      <c r="N84" s="145"/>
      <c r="O84" s="146"/>
      <c r="P84" s="146"/>
      <c r="Q84" s="147"/>
      <c r="R84" s="147"/>
      <c r="S84" s="142"/>
      <c r="T84" s="142"/>
      <c r="U84" s="146"/>
      <c r="V84" s="146"/>
      <c r="W84" s="146"/>
      <c r="X84" s="146"/>
      <c r="Y84" s="146"/>
      <c r="Z84" s="146"/>
      <c r="AA84" s="146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</row>
    <row r="85" spans="2:39" s="247" customFormat="1" ht="11">
      <c r="B85" s="144"/>
      <c r="C85" s="143"/>
      <c r="D85" s="907"/>
      <c r="E85" s="143"/>
      <c r="F85" s="145"/>
      <c r="G85" s="146"/>
      <c r="H85" s="146"/>
      <c r="I85" s="146"/>
      <c r="J85" s="146"/>
      <c r="K85" s="146"/>
      <c r="L85" s="146"/>
      <c r="M85" s="458"/>
      <c r="N85" s="145"/>
      <c r="O85" s="146"/>
      <c r="P85" s="146"/>
      <c r="Q85" s="147"/>
      <c r="R85" s="147"/>
      <c r="S85" s="142"/>
      <c r="T85" s="142"/>
      <c r="U85" s="146"/>
      <c r="V85" s="146"/>
      <c r="W85" s="146"/>
      <c r="X85" s="146"/>
      <c r="Y85" s="146"/>
      <c r="Z85" s="146"/>
      <c r="AA85" s="146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</row>
    <row r="86" spans="2:39" s="247" customFormat="1" ht="11">
      <c r="B86" s="144"/>
      <c r="C86" s="143"/>
      <c r="D86" s="907"/>
      <c r="E86" s="143"/>
      <c r="F86" s="145"/>
      <c r="G86" s="146"/>
      <c r="H86" s="146"/>
      <c r="I86" s="146"/>
      <c r="J86" s="146"/>
      <c r="K86" s="146"/>
      <c r="L86" s="146"/>
      <c r="M86" s="458"/>
      <c r="N86" s="145"/>
      <c r="O86" s="146"/>
      <c r="P86" s="146"/>
      <c r="Q86" s="147"/>
      <c r="R86" s="147"/>
      <c r="S86" s="142"/>
      <c r="T86" s="142"/>
      <c r="U86" s="146"/>
      <c r="V86" s="146"/>
      <c r="W86" s="146"/>
      <c r="X86" s="146"/>
      <c r="Y86" s="146"/>
      <c r="Z86" s="146"/>
      <c r="AA86" s="146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</row>
    <row r="87" spans="2:39" s="247" customFormat="1" ht="11">
      <c r="B87" s="144"/>
      <c r="C87" s="143"/>
      <c r="D87" s="907"/>
      <c r="E87" s="143"/>
      <c r="F87" s="145"/>
      <c r="G87" s="146"/>
      <c r="H87" s="146"/>
      <c r="I87" s="146"/>
      <c r="J87" s="146"/>
      <c r="K87" s="146"/>
      <c r="L87" s="146"/>
      <c r="M87" s="458"/>
      <c r="N87" s="145"/>
      <c r="O87" s="146"/>
      <c r="P87" s="146"/>
      <c r="Q87" s="147"/>
      <c r="R87" s="147"/>
      <c r="S87" s="142"/>
      <c r="T87" s="142"/>
      <c r="U87" s="146"/>
      <c r="V87" s="146"/>
      <c r="W87" s="146"/>
      <c r="X87" s="146"/>
      <c r="Y87" s="146"/>
      <c r="Z87" s="146"/>
      <c r="AA87" s="146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</row>
    <row r="88" spans="2:39" s="247" customFormat="1" ht="11">
      <c r="B88" s="144"/>
      <c r="C88" s="143"/>
      <c r="D88" s="907"/>
      <c r="E88" s="143"/>
      <c r="F88" s="145"/>
      <c r="G88" s="146"/>
      <c r="H88" s="146"/>
      <c r="I88" s="146"/>
      <c r="J88" s="146"/>
      <c r="K88" s="146"/>
      <c r="L88" s="146"/>
      <c r="M88" s="458"/>
      <c r="N88" s="145"/>
      <c r="O88" s="146"/>
      <c r="P88" s="146"/>
      <c r="Q88" s="147"/>
      <c r="R88" s="147"/>
      <c r="S88" s="142"/>
      <c r="T88" s="142"/>
      <c r="U88" s="146"/>
      <c r="V88" s="146"/>
      <c r="W88" s="146"/>
      <c r="X88" s="146"/>
      <c r="Y88" s="146"/>
      <c r="Z88" s="146"/>
      <c r="AA88" s="146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</row>
    <row r="89" spans="2:39" s="247" customFormat="1" ht="11">
      <c r="B89" s="144"/>
      <c r="C89" s="143"/>
      <c r="D89" s="907"/>
      <c r="E89" s="143"/>
      <c r="F89" s="145"/>
      <c r="G89" s="146"/>
      <c r="H89" s="146"/>
      <c r="I89" s="146"/>
      <c r="J89" s="146"/>
      <c r="K89" s="146"/>
      <c r="L89" s="146"/>
      <c r="M89" s="458"/>
      <c r="N89" s="145"/>
      <c r="O89" s="146"/>
      <c r="P89" s="146"/>
      <c r="Q89" s="147"/>
      <c r="R89" s="147"/>
      <c r="S89" s="142"/>
      <c r="T89" s="142"/>
      <c r="U89" s="146"/>
      <c r="V89" s="146"/>
      <c r="W89" s="146"/>
      <c r="X89" s="146"/>
      <c r="Y89" s="146"/>
      <c r="Z89" s="146"/>
      <c r="AA89" s="146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</row>
    <row r="90" spans="2:39" s="247" customFormat="1" ht="11">
      <c r="B90" s="144"/>
      <c r="C90" s="143"/>
      <c r="D90" s="907"/>
      <c r="E90" s="143"/>
      <c r="F90" s="145"/>
      <c r="G90" s="146"/>
      <c r="H90" s="146"/>
      <c r="I90" s="146"/>
      <c r="J90" s="146"/>
      <c r="K90" s="146"/>
      <c r="L90" s="146"/>
      <c r="M90" s="458"/>
      <c r="N90" s="145"/>
      <c r="O90" s="146"/>
      <c r="P90" s="146"/>
      <c r="Q90" s="147"/>
      <c r="R90" s="147"/>
      <c r="S90" s="142"/>
      <c r="T90" s="142"/>
      <c r="U90" s="146"/>
      <c r="V90" s="146"/>
      <c r="W90" s="146"/>
      <c r="X90" s="146"/>
      <c r="Y90" s="146"/>
      <c r="Z90" s="146"/>
      <c r="AA90" s="146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</row>
    <row r="91" spans="2:39" s="247" customFormat="1" ht="11">
      <c r="B91" s="144"/>
      <c r="C91" s="143"/>
      <c r="D91" s="907"/>
      <c r="E91" s="143"/>
      <c r="F91" s="145"/>
      <c r="G91" s="146"/>
      <c r="H91" s="146"/>
      <c r="I91" s="146"/>
      <c r="J91" s="146"/>
      <c r="K91" s="146"/>
      <c r="L91" s="146"/>
      <c r="M91" s="458"/>
      <c r="N91" s="145"/>
      <c r="O91" s="146"/>
      <c r="P91" s="146"/>
      <c r="Q91" s="147"/>
      <c r="R91" s="147"/>
      <c r="S91" s="142"/>
      <c r="T91" s="142"/>
      <c r="U91" s="146"/>
      <c r="V91" s="146"/>
      <c r="W91" s="146"/>
      <c r="X91" s="146"/>
      <c r="Y91" s="146"/>
      <c r="Z91" s="146"/>
      <c r="AA91" s="146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</row>
    <row r="92" spans="2:39" s="247" customFormat="1" ht="11">
      <c r="B92" s="144"/>
      <c r="C92" s="143"/>
      <c r="D92" s="907"/>
      <c r="E92" s="143"/>
      <c r="F92" s="145"/>
      <c r="G92" s="146"/>
      <c r="H92" s="146"/>
      <c r="I92" s="146"/>
      <c r="J92" s="146"/>
      <c r="K92" s="146"/>
      <c r="L92" s="146"/>
      <c r="M92" s="458"/>
      <c r="N92" s="145"/>
      <c r="O92" s="146"/>
      <c r="P92" s="146"/>
      <c r="Q92" s="147"/>
      <c r="R92" s="147"/>
      <c r="S92" s="142"/>
      <c r="T92" s="142"/>
      <c r="U92" s="146"/>
      <c r="V92" s="146"/>
      <c r="W92" s="146"/>
      <c r="X92" s="146"/>
      <c r="Y92" s="146"/>
      <c r="Z92" s="146"/>
      <c r="AA92" s="146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</row>
    <row r="93" spans="2:39" s="247" customFormat="1" ht="11">
      <c r="B93" s="144"/>
      <c r="C93" s="143"/>
      <c r="D93" s="907"/>
      <c r="E93" s="143"/>
      <c r="F93" s="145"/>
      <c r="G93" s="146"/>
      <c r="H93" s="146"/>
      <c r="I93" s="146"/>
      <c r="J93" s="146"/>
      <c r="K93" s="146"/>
      <c r="L93" s="146"/>
      <c r="M93" s="458"/>
      <c r="N93" s="145"/>
      <c r="O93" s="146"/>
      <c r="P93" s="146"/>
      <c r="Q93" s="147"/>
      <c r="R93" s="147"/>
      <c r="S93" s="142"/>
      <c r="T93" s="142"/>
      <c r="U93" s="146"/>
      <c r="V93" s="146"/>
      <c r="W93" s="146"/>
      <c r="X93" s="146"/>
      <c r="Y93" s="146"/>
      <c r="Z93" s="146"/>
      <c r="AA93" s="146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</row>
    <row r="94" spans="2:39" s="247" customFormat="1" ht="11">
      <c r="B94" s="248"/>
      <c r="D94" s="909"/>
      <c r="F94" s="249"/>
      <c r="G94" s="250"/>
      <c r="H94" s="250"/>
      <c r="I94" s="250"/>
      <c r="J94" s="250"/>
      <c r="K94" s="250"/>
      <c r="L94" s="250"/>
      <c r="M94" s="459"/>
      <c r="N94" s="249"/>
      <c r="O94" s="146"/>
      <c r="P94" s="146"/>
      <c r="Q94" s="147"/>
      <c r="R94" s="147"/>
      <c r="S94" s="142"/>
      <c r="T94" s="142"/>
      <c r="U94" s="146"/>
      <c r="V94" s="146"/>
      <c r="W94" s="146"/>
      <c r="X94" s="146"/>
      <c r="Y94" s="146"/>
      <c r="Z94" s="146"/>
      <c r="AA94" s="146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</row>
    <row r="95" spans="2:39" s="247" customFormat="1" ht="11">
      <c r="B95" s="248"/>
      <c r="D95" s="909"/>
      <c r="F95" s="249"/>
      <c r="G95" s="250"/>
      <c r="H95" s="250"/>
      <c r="I95" s="250"/>
      <c r="J95" s="250"/>
      <c r="K95" s="250"/>
      <c r="L95" s="250"/>
      <c r="M95" s="459"/>
      <c r="N95" s="249"/>
      <c r="O95" s="146"/>
      <c r="P95" s="146"/>
      <c r="Q95" s="147"/>
      <c r="R95" s="147"/>
      <c r="S95" s="142"/>
      <c r="T95" s="142"/>
      <c r="U95" s="146"/>
      <c r="V95" s="146"/>
      <c r="W95" s="146"/>
      <c r="X95" s="146"/>
      <c r="Y95" s="146"/>
      <c r="Z95" s="146"/>
      <c r="AA95" s="146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</row>
    <row r="96" spans="2:39" s="247" customFormat="1" ht="11">
      <c r="B96" s="248"/>
      <c r="D96" s="909"/>
      <c r="F96" s="249"/>
      <c r="G96" s="250"/>
      <c r="H96" s="250"/>
      <c r="I96" s="250"/>
      <c r="J96" s="250"/>
      <c r="K96" s="250"/>
      <c r="L96" s="250"/>
      <c r="M96" s="459"/>
      <c r="N96" s="249"/>
      <c r="O96" s="146"/>
      <c r="P96" s="146"/>
      <c r="Q96" s="147"/>
      <c r="R96" s="147"/>
      <c r="S96" s="142"/>
      <c r="T96" s="142"/>
      <c r="U96" s="146"/>
      <c r="V96" s="146"/>
      <c r="W96" s="146"/>
      <c r="X96" s="146"/>
      <c r="Y96" s="146"/>
      <c r="Z96" s="146"/>
      <c r="AA96" s="146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</row>
    <row r="97" spans="2:41" s="247" customFormat="1" ht="11">
      <c r="B97" s="248"/>
      <c r="D97" s="909"/>
      <c r="F97" s="249"/>
      <c r="G97" s="250"/>
      <c r="H97" s="250"/>
      <c r="I97" s="250"/>
      <c r="J97" s="250"/>
      <c r="K97" s="250"/>
      <c r="L97" s="250"/>
      <c r="M97" s="459"/>
      <c r="N97" s="249"/>
      <c r="O97" s="146"/>
      <c r="P97" s="146"/>
      <c r="Q97" s="147"/>
      <c r="R97" s="147"/>
      <c r="S97" s="142"/>
      <c r="T97" s="142"/>
      <c r="U97" s="146"/>
      <c r="V97" s="146"/>
      <c r="W97" s="146"/>
      <c r="X97" s="146"/>
      <c r="Y97" s="146"/>
      <c r="Z97" s="146"/>
      <c r="AA97" s="146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</row>
    <row r="98" spans="2:41" s="247" customFormat="1" ht="11">
      <c r="B98" s="248"/>
      <c r="D98" s="909"/>
      <c r="F98" s="249"/>
      <c r="G98" s="250"/>
      <c r="H98" s="250"/>
      <c r="I98" s="250"/>
      <c r="J98" s="250"/>
      <c r="K98" s="250"/>
      <c r="L98" s="250"/>
      <c r="M98" s="459"/>
      <c r="N98" s="249"/>
      <c r="O98" s="146"/>
      <c r="P98" s="146"/>
      <c r="Q98" s="147"/>
      <c r="R98" s="147"/>
      <c r="S98" s="142"/>
      <c r="T98" s="142"/>
      <c r="U98" s="146">
        <f t="shared" ref="U98:AA98" si="69">SUBTOTAL(9,U74:U97)</f>
        <v>0</v>
      </c>
      <c r="V98" s="146">
        <f t="shared" si="69"/>
        <v>0</v>
      </c>
      <c r="W98" s="146">
        <f t="shared" si="69"/>
        <v>0</v>
      </c>
      <c r="X98" s="146">
        <f t="shared" si="69"/>
        <v>0</v>
      </c>
      <c r="Y98" s="146">
        <f t="shared" si="69"/>
        <v>0</v>
      </c>
      <c r="Z98" s="146">
        <f t="shared" si="69"/>
        <v>0</v>
      </c>
      <c r="AA98" s="146">
        <f t="shared" si="69"/>
        <v>0</v>
      </c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</row>
    <row r="99" spans="2:41" s="213" customFormat="1" ht="14" thickBot="1">
      <c r="B99" s="225"/>
      <c r="D99" s="910"/>
      <c r="F99" s="242"/>
      <c r="G99" s="243"/>
      <c r="H99" s="243"/>
      <c r="I99" s="243"/>
      <c r="J99" s="243"/>
      <c r="K99" s="243"/>
      <c r="L99" s="243"/>
      <c r="M99" s="459"/>
      <c r="N99" s="242"/>
      <c r="O99" s="141"/>
      <c r="P99" s="141"/>
      <c r="Q99" s="148"/>
      <c r="R99" s="148"/>
      <c r="S99" s="149"/>
      <c r="T99" s="149"/>
      <c r="U99" s="150"/>
      <c r="V99" s="150"/>
      <c r="W99" s="150"/>
      <c r="X99" s="150"/>
      <c r="Y99" s="150"/>
      <c r="Z99" s="150"/>
      <c r="AA99" s="150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</row>
    <row r="100" spans="2:41" s="213" customFormat="1" ht="15" thickTop="1" thickBot="1">
      <c r="B100" s="225"/>
      <c r="D100" s="910"/>
      <c r="F100" s="242"/>
      <c r="G100" s="243"/>
      <c r="H100" s="243"/>
      <c r="I100" s="243"/>
      <c r="J100" s="243"/>
      <c r="K100" s="243"/>
      <c r="L100" s="243"/>
      <c r="M100" s="459"/>
      <c r="N100" s="242"/>
      <c r="O100" s="141"/>
      <c r="P100" s="141"/>
      <c r="Q100" s="148"/>
      <c r="R100" s="148"/>
      <c r="S100" s="148"/>
      <c r="T100" s="148"/>
      <c r="U100" s="151">
        <f t="shared" ref="U100:AA100" si="70">SUBTOTAL(9,U74:U99)</f>
        <v>0</v>
      </c>
      <c r="V100" s="152">
        <f t="shared" si="70"/>
        <v>0</v>
      </c>
      <c r="W100" s="153">
        <f t="shared" si="70"/>
        <v>0</v>
      </c>
      <c r="X100" s="153">
        <f t="shared" si="70"/>
        <v>0</v>
      </c>
      <c r="Y100" s="153">
        <f t="shared" si="70"/>
        <v>0</v>
      </c>
      <c r="Z100" s="153">
        <f t="shared" si="70"/>
        <v>0</v>
      </c>
      <c r="AA100" s="154">
        <f t="shared" si="70"/>
        <v>0</v>
      </c>
      <c r="AB100" s="246"/>
      <c r="AC100" s="246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</row>
    <row r="101" spans="2:41" s="213" customFormat="1" ht="14" thickTop="1">
      <c r="B101" s="225"/>
      <c r="D101" s="910"/>
      <c r="F101" s="242"/>
      <c r="G101" s="243"/>
      <c r="H101" s="243"/>
      <c r="I101" s="243"/>
      <c r="J101" s="243"/>
      <c r="K101" s="243"/>
      <c r="L101" s="243"/>
      <c r="M101" s="459"/>
      <c r="N101" s="242"/>
      <c r="O101" s="141"/>
      <c r="P101" s="141"/>
      <c r="Q101" s="148"/>
      <c r="R101" s="148"/>
      <c r="S101" s="149"/>
      <c r="T101" s="149"/>
      <c r="U101" s="150"/>
      <c r="V101" s="150"/>
      <c r="W101" s="150"/>
      <c r="X101" s="150"/>
      <c r="Y101" s="150"/>
      <c r="Z101" s="150"/>
      <c r="AA101" s="150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</row>
    <row r="102" spans="2:41" s="213" customFormat="1">
      <c r="B102" s="225"/>
      <c r="D102" s="910"/>
      <c r="F102" s="242"/>
      <c r="G102" s="243"/>
      <c r="H102" s="243"/>
      <c r="I102" s="243"/>
      <c r="J102" s="243"/>
      <c r="K102" s="243"/>
      <c r="L102" s="243"/>
      <c r="M102" s="459"/>
      <c r="N102" s="242"/>
      <c r="O102" s="141"/>
      <c r="P102" s="141"/>
      <c r="Q102" s="148"/>
      <c r="R102" s="148"/>
      <c r="S102" s="149"/>
      <c r="T102" s="149"/>
      <c r="U102" s="150"/>
      <c r="V102" s="150"/>
      <c r="W102" s="150"/>
      <c r="X102" s="150"/>
      <c r="Y102" s="150"/>
      <c r="Z102" s="150"/>
      <c r="AA102" s="150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2:41" s="213" customFormat="1">
      <c r="B103" s="225"/>
      <c r="D103" s="910"/>
      <c r="F103" s="242"/>
      <c r="G103" s="243"/>
      <c r="H103" s="243"/>
      <c r="I103" s="243"/>
      <c r="J103" s="243"/>
      <c r="K103" s="243"/>
      <c r="L103" s="243"/>
      <c r="M103" s="459"/>
      <c r="N103" s="242"/>
      <c r="O103" s="141"/>
      <c r="P103" s="141"/>
      <c r="Q103" s="148"/>
      <c r="R103" s="148"/>
      <c r="S103" s="149"/>
      <c r="T103" s="149"/>
      <c r="U103" s="150"/>
      <c r="V103" s="150"/>
      <c r="W103" s="150"/>
      <c r="X103" s="150"/>
      <c r="Y103" s="150"/>
      <c r="Z103" s="150"/>
      <c r="AA103" s="150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2:41" s="213" customFormat="1">
      <c r="B104" s="225"/>
      <c r="D104" s="910"/>
      <c r="F104" s="242"/>
      <c r="G104" s="243"/>
      <c r="H104" s="243"/>
      <c r="I104" s="243"/>
      <c r="J104" s="243"/>
      <c r="K104" s="243"/>
      <c r="L104" s="243"/>
      <c r="M104" s="459"/>
      <c r="N104" s="242"/>
      <c r="O104" s="141"/>
      <c r="P104" s="141"/>
      <c r="Q104" s="148"/>
      <c r="R104" s="148"/>
      <c r="S104" s="149"/>
      <c r="T104" s="149"/>
      <c r="U104" s="150"/>
      <c r="V104" s="150"/>
      <c r="W104" s="150"/>
      <c r="X104" s="150"/>
      <c r="Y104" s="150"/>
      <c r="Z104" s="150"/>
      <c r="AA104" s="150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2:41" s="213" customFormat="1">
      <c r="B105" s="225"/>
      <c r="D105" s="910"/>
      <c r="F105" s="242"/>
      <c r="G105" s="243"/>
      <c r="H105" s="243"/>
      <c r="I105" s="243"/>
      <c r="J105" s="243"/>
      <c r="K105" s="243"/>
      <c r="L105" s="243"/>
      <c r="M105" s="459"/>
      <c r="N105" s="242"/>
      <c r="O105" s="141"/>
      <c r="P105" s="141"/>
      <c r="Q105" s="148"/>
      <c r="R105" s="148"/>
      <c r="S105" s="149"/>
      <c r="T105" s="149"/>
      <c r="U105" s="150"/>
      <c r="V105" s="150"/>
      <c r="W105" s="150"/>
      <c r="X105" s="150"/>
      <c r="Y105" s="150"/>
      <c r="Z105" s="150"/>
      <c r="AA105" s="150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2:41" s="213" customFormat="1">
      <c r="B106" s="225"/>
      <c r="D106" s="910"/>
      <c r="F106" s="242"/>
      <c r="G106" s="243"/>
      <c r="H106" s="243"/>
      <c r="I106" s="243"/>
      <c r="J106" s="243"/>
      <c r="K106" s="243"/>
      <c r="L106" s="243"/>
      <c r="M106" s="459"/>
      <c r="N106" s="242"/>
      <c r="O106" s="141"/>
      <c r="P106" s="141"/>
      <c r="Q106" s="148"/>
      <c r="R106" s="148"/>
      <c r="S106" s="149"/>
      <c r="T106" s="149"/>
      <c r="U106" s="150"/>
      <c r="V106" s="150"/>
      <c r="W106" s="150"/>
      <c r="X106" s="150"/>
      <c r="Y106" s="150"/>
      <c r="Z106" s="150"/>
      <c r="AA106" s="150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2:41" s="213" customFormat="1">
      <c r="B107" s="225"/>
      <c r="D107" s="910"/>
      <c r="F107" s="242"/>
      <c r="G107" s="243"/>
      <c r="H107" s="243"/>
      <c r="I107" s="243"/>
      <c r="J107" s="243"/>
      <c r="K107" s="243"/>
      <c r="L107" s="243"/>
      <c r="M107" s="459"/>
      <c r="N107" s="242"/>
      <c r="O107" s="141"/>
      <c r="P107" s="141"/>
      <c r="Q107" s="148"/>
      <c r="R107" s="148"/>
      <c r="S107" s="149"/>
      <c r="T107" s="149"/>
      <c r="U107" s="150"/>
      <c r="V107" s="150"/>
      <c r="W107" s="150"/>
      <c r="X107" s="150"/>
      <c r="Y107" s="150"/>
      <c r="Z107" s="150"/>
      <c r="AA107" s="150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2:41" s="213" customFormat="1">
      <c r="B108" s="225"/>
      <c r="D108" s="910"/>
      <c r="F108" s="242"/>
      <c r="G108" s="243"/>
      <c r="H108" s="243"/>
      <c r="I108" s="243"/>
      <c r="J108" s="243"/>
      <c r="K108" s="243"/>
      <c r="L108" s="243"/>
      <c r="M108" s="459"/>
      <c r="N108" s="242"/>
      <c r="O108" s="141"/>
      <c r="P108" s="141"/>
      <c r="Q108" s="148"/>
      <c r="R108" s="148"/>
      <c r="S108" s="149"/>
      <c r="T108" s="149"/>
      <c r="U108" s="150"/>
      <c r="V108" s="150"/>
      <c r="W108" s="150"/>
      <c r="X108" s="150"/>
      <c r="Y108" s="150"/>
      <c r="Z108" s="150"/>
      <c r="AA108" s="150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2:41" s="213" customFormat="1">
      <c r="B109" s="225"/>
      <c r="D109" s="910"/>
      <c r="F109" s="242"/>
      <c r="G109" s="243"/>
      <c r="H109" s="243"/>
      <c r="I109" s="243"/>
      <c r="J109" s="243"/>
      <c r="K109" s="243"/>
      <c r="L109" s="243"/>
      <c r="M109" s="459"/>
      <c r="N109" s="242"/>
      <c r="O109" s="141"/>
      <c r="P109" s="141"/>
      <c r="Q109" s="148"/>
      <c r="R109" s="148"/>
      <c r="S109" s="149"/>
      <c r="T109" s="149"/>
      <c r="U109" s="150"/>
      <c r="V109" s="150"/>
      <c r="W109" s="150"/>
      <c r="X109" s="150"/>
      <c r="Y109" s="150"/>
      <c r="Z109" s="150"/>
      <c r="AA109" s="150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2:41" s="213" customFormat="1">
      <c r="B110" s="225"/>
      <c r="D110" s="910"/>
      <c r="F110" s="242"/>
      <c r="G110" s="243"/>
      <c r="H110" s="243"/>
      <c r="I110" s="243"/>
      <c r="J110" s="243"/>
      <c r="K110" s="243"/>
      <c r="L110" s="243"/>
      <c r="M110" s="459"/>
      <c r="N110" s="242"/>
      <c r="O110" s="141"/>
      <c r="P110" s="141"/>
      <c r="Q110" s="148"/>
      <c r="R110" s="148"/>
      <c r="S110" s="149"/>
      <c r="T110" s="149"/>
      <c r="U110" s="150"/>
      <c r="V110" s="150"/>
      <c r="W110" s="150"/>
      <c r="X110" s="150"/>
      <c r="Y110" s="150"/>
      <c r="Z110" s="150"/>
      <c r="AA110" s="150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2:41" s="213" customFormat="1">
      <c r="B111" s="225"/>
      <c r="D111" s="910"/>
      <c r="F111" s="242"/>
      <c r="G111" s="243"/>
      <c r="H111" s="243"/>
      <c r="I111" s="243"/>
      <c r="J111" s="243"/>
      <c r="K111" s="243"/>
      <c r="L111" s="243"/>
      <c r="M111" s="459"/>
      <c r="N111" s="242"/>
      <c r="O111" s="141"/>
      <c r="P111" s="141"/>
      <c r="Q111" s="148"/>
      <c r="R111" s="148"/>
      <c r="S111" s="149"/>
      <c r="T111" s="149"/>
      <c r="U111" s="150"/>
      <c r="V111" s="150"/>
      <c r="W111" s="150"/>
      <c r="X111" s="150"/>
      <c r="Y111" s="150"/>
      <c r="Z111" s="150"/>
      <c r="AA111" s="150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2:41" s="213" customFormat="1">
      <c r="B112" s="225"/>
      <c r="D112" s="910"/>
      <c r="F112" s="242"/>
      <c r="G112" s="243"/>
      <c r="H112" s="243"/>
      <c r="I112" s="243"/>
      <c r="J112" s="243"/>
      <c r="K112" s="243"/>
      <c r="L112" s="243"/>
      <c r="M112" s="459"/>
      <c r="N112" s="242"/>
      <c r="O112" s="141"/>
      <c r="P112" s="141"/>
      <c r="Q112" s="148"/>
      <c r="R112" s="148"/>
      <c r="S112" s="149"/>
      <c r="T112" s="149"/>
      <c r="U112" s="150"/>
      <c r="V112" s="150"/>
      <c r="W112" s="150"/>
      <c r="X112" s="150"/>
      <c r="Y112" s="150"/>
      <c r="Z112" s="150"/>
      <c r="AA112" s="150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2:39" s="213" customFormat="1">
      <c r="B113" s="225"/>
      <c r="D113" s="910"/>
      <c r="F113" s="242"/>
      <c r="G113" s="243"/>
      <c r="H113" s="243"/>
      <c r="I113" s="243"/>
      <c r="J113" s="243"/>
      <c r="K113" s="243"/>
      <c r="L113" s="243"/>
      <c r="M113" s="459"/>
      <c r="N113" s="242"/>
      <c r="O113" s="141"/>
      <c r="P113" s="141"/>
      <c r="Q113" s="148"/>
      <c r="R113" s="148"/>
      <c r="S113" s="149"/>
      <c r="T113" s="149"/>
      <c r="U113" s="150"/>
      <c r="V113" s="150"/>
      <c r="W113" s="150"/>
      <c r="X113" s="150"/>
      <c r="Y113" s="150"/>
      <c r="Z113" s="150"/>
      <c r="AA113" s="150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</row>
    <row r="114" spans="2:39" s="213" customFormat="1">
      <c r="B114" s="225"/>
      <c r="D114" s="910"/>
      <c r="F114" s="242"/>
      <c r="G114" s="243"/>
      <c r="H114" s="243"/>
      <c r="I114" s="243"/>
      <c r="J114" s="243"/>
      <c r="K114" s="243"/>
      <c r="L114" s="243"/>
      <c r="M114" s="459"/>
      <c r="N114" s="242"/>
      <c r="O114" s="141"/>
      <c r="P114" s="141"/>
      <c r="Q114" s="148"/>
      <c r="R114" s="148"/>
      <c r="S114" s="149"/>
      <c r="T114" s="149"/>
      <c r="U114" s="150"/>
      <c r="V114" s="150"/>
      <c r="W114" s="150"/>
      <c r="X114" s="150"/>
      <c r="Y114" s="150"/>
      <c r="Z114" s="150"/>
      <c r="AA114" s="150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2:39" s="213" customFormat="1">
      <c r="B115" s="225"/>
      <c r="D115" s="910"/>
      <c r="F115" s="242"/>
      <c r="G115" s="243"/>
      <c r="H115" s="243"/>
      <c r="I115" s="243"/>
      <c r="J115" s="243"/>
      <c r="K115" s="243"/>
      <c r="L115" s="243"/>
      <c r="M115" s="459"/>
      <c r="N115" s="242"/>
      <c r="O115" s="141"/>
      <c r="P115" s="141"/>
      <c r="Q115" s="148"/>
      <c r="R115" s="148"/>
      <c r="S115" s="149"/>
      <c r="T115" s="149"/>
      <c r="U115" s="150"/>
      <c r="V115" s="150"/>
      <c r="W115" s="150"/>
      <c r="X115" s="150"/>
      <c r="Y115" s="150"/>
      <c r="Z115" s="150"/>
      <c r="AA115" s="150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2:39" s="213" customFormat="1">
      <c r="B116" s="225"/>
      <c r="D116" s="910"/>
      <c r="F116" s="242"/>
      <c r="G116" s="243"/>
      <c r="H116" s="243"/>
      <c r="I116" s="243"/>
      <c r="J116" s="243"/>
      <c r="K116" s="243"/>
      <c r="L116" s="243"/>
      <c r="M116" s="459"/>
      <c r="N116" s="242"/>
      <c r="O116" s="141"/>
      <c r="P116" s="141"/>
      <c r="Q116" s="148"/>
      <c r="R116" s="148"/>
      <c r="S116" s="149"/>
      <c r="T116" s="149"/>
      <c r="U116" s="150"/>
      <c r="V116" s="150"/>
      <c r="W116" s="150"/>
      <c r="X116" s="150"/>
      <c r="Y116" s="150"/>
      <c r="Z116" s="150"/>
      <c r="AA116" s="150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2:39" s="213" customFormat="1">
      <c r="B117" s="225"/>
      <c r="D117" s="910"/>
      <c r="F117" s="242"/>
      <c r="G117" s="243"/>
      <c r="H117" s="243"/>
      <c r="I117" s="243"/>
      <c r="J117" s="243"/>
      <c r="K117" s="243"/>
      <c r="L117" s="243"/>
      <c r="M117" s="459"/>
      <c r="N117" s="242"/>
      <c r="O117" s="141"/>
      <c r="P117" s="141"/>
      <c r="Q117" s="148"/>
      <c r="R117" s="148"/>
      <c r="S117" s="149"/>
      <c r="T117" s="149"/>
      <c r="U117" s="150"/>
      <c r="V117" s="150"/>
      <c r="W117" s="150"/>
      <c r="X117" s="150"/>
      <c r="Y117" s="150"/>
      <c r="Z117" s="150"/>
      <c r="AA117" s="150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2:39" s="213" customFormat="1">
      <c r="B118" s="225"/>
      <c r="D118" s="910"/>
      <c r="F118" s="242"/>
      <c r="G118" s="243"/>
      <c r="H118" s="243"/>
      <c r="I118" s="243"/>
      <c r="J118" s="243"/>
      <c r="K118" s="243"/>
      <c r="L118" s="243"/>
      <c r="M118" s="459"/>
      <c r="N118" s="242"/>
      <c r="O118" s="141"/>
      <c r="P118" s="141"/>
      <c r="Q118" s="148"/>
      <c r="R118" s="148"/>
      <c r="S118" s="149"/>
      <c r="T118" s="149"/>
      <c r="U118" s="150"/>
      <c r="V118" s="150"/>
      <c r="W118" s="150"/>
      <c r="X118" s="150"/>
      <c r="Y118" s="150"/>
      <c r="Z118" s="150"/>
      <c r="AA118" s="150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2:39" s="213" customFormat="1">
      <c r="B119" s="225"/>
      <c r="D119" s="910"/>
      <c r="F119" s="242"/>
      <c r="G119" s="243"/>
      <c r="H119" s="243"/>
      <c r="I119" s="243"/>
      <c r="J119" s="243"/>
      <c r="K119" s="243"/>
      <c r="L119" s="243"/>
      <c r="M119" s="459"/>
      <c r="N119" s="242"/>
      <c r="O119" s="141"/>
      <c r="P119" s="141"/>
      <c r="Q119" s="148"/>
      <c r="R119" s="148"/>
      <c r="S119" s="149"/>
      <c r="T119" s="149"/>
      <c r="U119" s="150"/>
      <c r="V119" s="150"/>
      <c r="W119" s="150"/>
      <c r="X119" s="150"/>
      <c r="Y119" s="150"/>
      <c r="Z119" s="150"/>
      <c r="AA119" s="150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2:39" s="213" customFormat="1">
      <c r="B120" s="225"/>
      <c r="D120" s="910"/>
      <c r="F120" s="242"/>
      <c r="G120" s="243"/>
      <c r="H120" s="243"/>
      <c r="I120" s="243"/>
      <c r="J120" s="243"/>
      <c r="K120" s="243"/>
      <c r="L120" s="243"/>
      <c r="M120" s="459"/>
      <c r="N120" s="242"/>
      <c r="O120" s="141"/>
      <c r="P120" s="141"/>
      <c r="Q120" s="148"/>
      <c r="R120" s="148"/>
      <c r="S120" s="149"/>
      <c r="T120" s="149"/>
      <c r="U120" s="150"/>
      <c r="V120" s="150"/>
      <c r="W120" s="150"/>
      <c r="X120" s="150"/>
      <c r="Y120" s="150"/>
      <c r="Z120" s="150"/>
      <c r="AA120" s="150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2:39" s="213" customFormat="1">
      <c r="B121" s="225"/>
      <c r="D121" s="910"/>
      <c r="F121" s="242"/>
      <c r="G121" s="243"/>
      <c r="H121" s="243"/>
      <c r="I121" s="243"/>
      <c r="J121" s="243"/>
      <c r="K121" s="243"/>
      <c r="L121" s="243"/>
      <c r="M121" s="459"/>
      <c r="N121" s="242"/>
      <c r="O121" s="141"/>
      <c r="P121" s="141"/>
      <c r="Q121" s="148"/>
      <c r="R121" s="148"/>
      <c r="S121" s="149"/>
      <c r="T121" s="149"/>
      <c r="U121" s="150"/>
      <c r="V121" s="150"/>
      <c r="W121" s="150"/>
      <c r="X121" s="150"/>
      <c r="Y121" s="150"/>
      <c r="Z121" s="150"/>
      <c r="AA121" s="150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2:39" s="213" customFormat="1">
      <c r="B122" s="225"/>
      <c r="D122" s="910"/>
      <c r="F122" s="242"/>
      <c r="G122" s="243"/>
      <c r="H122" s="243"/>
      <c r="I122" s="243"/>
      <c r="J122" s="243"/>
      <c r="K122" s="243"/>
      <c r="L122" s="243"/>
      <c r="M122" s="459"/>
      <c r="N122" s="242"/>
      <c r="O122" s="141"/>
      <c r="P122" s="141"/>
      <c r="Q122" s="148"/>
      <c r="R122" s="148"/>
      <c r="S122" s="149"/>
      <c r="T122" s="149"/>
      <c r="U122" s="150"/>
      <c r="V122" s="150"/>
      <c r="W122" s="150"/>
      <c r="X122" s="150"/>
      <c r="Y122" s="150"/>
      <c r="Z122" s="150"/>
      <c r="AA122" s="150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2:39" s="213" customFormat="1">
      <c r="B123" s="225"/>
      <c r="D123" s="910"/>
      <c r="F123" s="242"/>
      <c r="G123" s="243"/>
      <c r="H123" s="243"/>
      <c r="I123" s="243"/>
      <c r="J123" s="243"/>
      <c r="K123" s="243"/>
      <c r="L123" s="243"/>
      <c r="M123" s="459"/>
      <c r="N123" s="242"/>
      <c r="O123" s="141"/>
      <c r="P123" s="141"/>
      <c r="Q123" s="148"/>
      <c r="R123" s="148"/>
      <c r="S123" s="149"/>
      <c r="T123" s="149"/>
      <c r="U123" s="150"/>
      <c r="V123" s="150"/>
      <c r="W123" s="150"/>
      <c r="X123" s="150"/>
      <c r="Y123" s="150"/>
      <c r="Z123" s="150"/>
      <c r="AA123" s="150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</row>
    <row r="124" spans="2:39" s="213" customFormat="1">
      <c r="B124" s="225"/>
      <c r="D124" s="910"/>
      <c r="F124" s="242"/>
      <c r="G124" s="243"/>
      <c r="H124" s="243"/>
      <c r="I124" s="243"/>
      <c r="J124" s="243"/>
      <c r="K124" s="243"/>
      <c r="L124" s="243"/>
      <c r="M124" s="459"/>
      <c r="N124" s="242"/>
      <c r="O124" s="141"/>
      <c r="P124" s="141"/>
      <c r="Q124" s="148"/>
      <c r="R124" s="148"/>
      <c r="S124" s="149"/>
      <c r="T124" s="149"/>
      <c r="U124" s="150"/>
      <c r="V124" s="150"/>
      <c r="W124" s="150"/>
      <c r="X124" s="150"/>
      <c r="Y124" s="150"/>
      <c r="Z124" s="150"/>
      <c r="AA124" s="150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</row>
    <row r="125" spans="2:39" s="213" customFormat="1">
      <c r="B125" s="225"/>
      <c r="D125" s="910"/>
      <c r="F125" s="242"/>
      <c r="G125" s="243"/>
      <c r="H125" s="243"/>
      <c r="I125" s="243"/>
      <c r="J125" s="243"/>
      <c r="K125" s="243"/>
      <c r="L125" s="243"/>
      <c r="M125" s="459"/>
      <c r="N125" s="242"/>
      <c r="O125" s="141"/>
      <c r="P125" s="141"/>
      <c r="Q125" s="148"/>
      <c r="R125" s="148"/>
      <c r="S125" s="149"/>
      <c r="T125" s="149"/>
      <c r="U125" s="150"/>
      <c r="V125" s="150"/>
      <c r="W125" s="150"/>
      <c r="X125" s="150"/>
      <c r="Y125" s="150"/>
      <c r="Z125" s="150"/>
      <c r="AA125" s="150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2:39" s="213" customFormat="1">
      <c r="B126" s="225"/>
      <c r="D126" s="910"/>
      <c r="F126" s="242"/>
      <c r="G126" s="243"/>
      <c r="H126" s="243"/>
      <c r="I126" s="243"/>
      <c r="J126" s="243"/>
      <c r="K126" s="243"/>
      <c r="L126" s="243"/>
      <c r="M126" s="459"/>
      <c r="N126" s="242"/>
      <c r="O126" s="141"/>
      <c r="P126" s="141"/>
      <c r="Q126" s="148"/>
      <c r="R126" s="148"/>
      <c r="S126" s="149"/>
      <c r="T126" s="149"/>
      <c r="U126" s="150"/>
      <c r="V126" s="150"/>
      <c r="W126" s="150"/>
      <c r="X126" s="150"/>
      <c r="Y126" s="150"/>
      <c r="Z126" s="150"/>
      <c r="AA126" s="150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2:39" s="213" customFormat="1">
      <c r="B127" s="225"/>
      <c r="D127" s="910"/>
      <c r="F127" s="242"/>
      <c r="G127" s="243"/>
      <c r="H127" s="243"/>
      <c r="I127" s="243"/>
      <c r="J127" s="243"/>
      <c r="K127" s="243"/>
      <c r="L127" s="243"/>
      <c r="M127" s="459"/>
      <c r="N127" s="242"/>
      <c r="O127" s="141"/>
      <c r="P127" s="141"/>
      <c r="Q127" s="148"/>
      <c r="R127" s="148"/>
      <c r="S127" s="149"/>
      <c r="T127" s="149"/>
      <c r="U127" s="150"/>
      <c r="V127" s="150"/>
      <c r="W127" s="150"/>
      <c r="X127" s="150"/>
      <c r="Y127" s="150"/>
      <c r="Z127" s="150"/>
      <c r="AA127" s="150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2:39" s="213" customFormat="1">
      <c r="B128" s="225"/>
      <c r="D128" s="910"/>
      <c r="F128" s="242"/>
      <c r="G128" s="243"/>
      <c r="H128" s="243"/>
      <c r="I128" s="243"/>
      <c r="J128" s="243"/>
      <c r="K128" s="243"/>
      <c r="L128" s="243"/>
      <c r="M128" s="459"/>
      <c r="N128" s="242"/>
      <c r="O128" s="141"/>
      <c r="P128" s="141"/>
      <c r="Q128" s="148"/>
      <c r="R128" s="148"/>
      <c r="S128" s="149"/>
      <c r="T128" s="149"/>
      <c r="U128" s="150"/>
      <c r="V128" s="150"/>
      <c r="W128" s="150"/>
      <c r="X128" s="150"/>
      <c r="Y128" s="150"/>
      <c r="Z128" s="150"/>
      <c r="AA128" s="150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39" s="213" customFormat="1">
      <c r="B129" s="225"/>
      <c r="D129" s="910"/>
      <c r="F129" s="242"/>
      <c r="G129" s="243"/>
      <c r="H129" s="243"/>
      <c r="I129" s="243"/>
      <c r="J129" s="243"/>
      <c r="K129" s="243"/>
      <c r="L129" s="243"/>
      <c r="M129" s="459"/>
      <c r="N129" s="242"/>
      <c r="O129" s="141"/>
      <c r="P129" s="141"/>
      <c r="Q129" s="148"/>
      <c r="R129" s="148"/>
      <c r="S129" s="149"/>
      <c r="T129" s="149"/>
      <c r="U129" s="150"/>
      <c r="V129" s="150"/>
      <c r="W129" s="150"/>
      <c r="X129" s="150"/>
      <c r="Y129" s="150"/>
      <c r="Z129" s="150"/>
      <c r="AA129" s="150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</row>
    <row r="130" spans="2:39" s="213" customFormat="1">
      <c r="B130" s="225"/>
      <c r="D130" s="910"/>
      <c r="F130" s="242"/>
      <c r="G130" s="243"/>
      <c r="H130" s="243"/>
      <c r="I130" s="243"/>
      <c r="J130" s="243"/>
      <c r="K130" s="243"/>
      <c r="L130" s="243"/>
      <c r="M130" s="459"/>
      <c r="N130" s="242"/>
      <c r="O130" s="141"/>
      <c r="P130" s="141"/>
      <c r="Q130" s="148"/>
      <c r="R130" s="148"/>
      <c r="S130" s="149"/>
      <c r="T130" s="149"/>
      <c r="U130" s="150"/>
      <c r="V130" s="150"/>
      <c r="W130" s="150"/>
      <c r="X130" s="150"/>
      <c r="Y130" s="150"/>
      <c r="Z130" s="150"/>
      <c r="AA130" s="150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39" s="213" customFormat="1">
      <c r="B131" s="225"/>
      <c r="D131" s="910"/>
      <c r="F131" s="242"/>
      <c r="G131" s="243"/>
      <c r="H131" s="243"/>
      <c r="I131" s="243"/>
      <c r="J131" s="243"/>
      <c r="K131" s="243"/>
      <c r="L131" s="243"/>
      <c r="M131" s="459"/>
      <c r="N131" s="242"/>
      <c r="O131" s="141"/>
      <c r="P131" s="141"/>
      <c r="Q131" s="148"/>
      <c r="R131" s="148"/>
      <c r="S131" s="149"/>
      <c r="T131" s="149"/>
      <c r="U131" s="150"/>
      <c r="V131" s="150"/>
      <c r="W131" s="150"/>
      <c r="X131" s="150"/>
      <c r="Y131" s="150"/>
      <c r="Z131" s="150"/>
      <c r="AA131" s="150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39">
      <c r="O132" s="155"/>
      <c r="P132" s="155"/>
      <c r="Q132" s="156"/>
      <c r="R132" s="156"/>
      <c r="S132" s="251"/>
      <c r="T132" s="251"/>
      <c r="U132" s="252"/>
      <c r="V132" s="252"/>
      <c r="W132" s="252"/>
      <c r="X132" s="252"/>
      <c r="Y132" s="252"/>
      <c r="Z132" s="252"/>
      <c r="AA132" s="252"/>
    </row>
    <row r="133" spans="2:39">
      <c r="O133" s="155"/>
      <c r="P133" s="155"/>
      <c r="Q133" s="156"/>
      <c r="R133" s="156"/>
      <c r="S133" s="251"/>
      <c r="T133" s="251"/>
      <c r="U133" s="252"/>
      <c r="V133" s="252"/>
      <c r="W133" s="252"/>
      <c r="X133" s="252"/>
      <c r="Y133" s="252"/>
      <c r="Z133" s="252"/>
      <c r="AA133" s="252"/>
    </row>
    <row r="134" spans="2:39">
      <c r="O134" s="155"/>
      <c r="P134" s="155"/>
      <c r="Q134" s="156"/>
      <c r="R134" s="156"/>
      <c r="S134" s="251"/>
      <c r="T134" s="251"/>
      <c r="U134" s="252"/>
      <c r="V134" s="252"/>
      <c r="W134" s="252"/>
      <c r="X134" s="252"/>
      <c r="Y134" s="252"/>
      <c r="Z134" s="252"/>
      <c r="AA134" s="252"/>
    </row>
    <row r="135" spans="2:39">
      <c r="O135" s="155"/>
      <c r="P135" s="155"/>
      <c r="Q135" s="156"/>
      <c r="R135" s="156"/>
      <c r="S135" s="251"/>
      <c r="T135" s="251"/>
      <c r="U135" s="252"/>
      <c r="V135" s="252"/>
      <c r="W135" s="252"/>
      <c r="X135" s="252"/>
      <c r="Y135" s="252"/>
      <c r="Z135" s="252"/>
      <c r="AA135" s="252"/>
    </row>
    <row r="136" spans="2:39">
      <c r="O136" s="155"/>
      <c r="P136" s="155"/>
      <c r="Q136" s="156"/>
      <c r="R136" s="156"/>
      <c r="S136" s="251"/>
      <c r="T136" s="251"/>
      <c r="U136" s="252"/>
      <c r="V136" s="252"/>
      <c r="W136" s="252"/>
      <c r="X136" s="252"/>
      <c r="Y136" s="252"/>
      <c r="Z136" s="252"/>
      <c r="AA136" s="252"/>
    </row>
    <row r="137" spans="2:39">
      <c r="O137" s="155"/>
      <c r="P137" s="155"/>
      <c r="Q137" s="156"/>
      <c r="R137" s="156"/>
      <c r="S137" s="251"/>
      <c r="T137" s="251"/>
      <c r="U137" s="252"/>
      <c r="V137" s="252"/>
      <c r="W137" s="252"/>
      <c r="X137" s="252"/>
      <c r="Y137" s="252"/>
      <c r="Z137" s="252"/>
      <c r="AA137" s="252"/>
    </row>
    <row r="138" spans="2:39">
      <c r="O138" s="155"/>
      <c r="P138" s="155"/>
      <c r="Q138" s="156"/>
      <c r="R138" s="156"/>
      <c r="S138" s="251"/>
      <c r="T138" s="251"/>
      <c r="U138" s="252"/>
      <c r="V138" s="252"/>
      <c r="W138" s="252"/>
      <c r="X138" s="252"/>
      <c r="Y138" s="252"/>
      <c r="Z138" s="252"/>
      <c r="AA138" s="252"/>
    </row>
    <row r="139" spans="2:39">
      <c r="O139" s="155"/>
      <c r="P139" s="155"/>
      <c r="Q139" s="156"/>
      <c r="R139" s="156"/>
      <c r="S139" s="251"/>
      <c r="T139" s="251"/>
      <c r="U139" s="252"/>
      <c r="V139" s="252"/>
      <c r="W139" s="252"/>
      <c r="X139" s="252"/>
      <c r="Y139" s="252"/>
      <c r="Z139" s="252"/>
      <c r="AA139" s="252"/>
    </row>
    <row r="140" spans="2:39">
      <c r="O140" s="155"/>
      <c r="P140" s="155"/>
      <c r="Q140" s="156"/>
      <c r="R140" s="156"/>
      <c r="S140" s="251"/>
      <c r="T140" s="251"/>
      <c r="U140" s="252"/>
      <c r="V140" s="252"/>
      <c r="W140" s="252"/>
      <c r="X140" s="252"/>
      <c r="Y140" s="252"/>
      <c r="Z140" s="252"/>
      <c r="AA140" s="252"/>
    </row>
    <row r="141" spans="2:39">
      <c r="O141" s="155"/>
      <c r="P141" s="155"/>
      <c r="Q141" s="156"/>
      <c r="R141" s="156"/>
      <c r="S141" s="251"/>
      <c r="T141" s="251"/>
      <c r="U141" s="252"/>
      <c r="V141" s="252"/>
      <c r="W141" s="252"/>
      <c r="X141" s="252"/>
      <c r="Y141" s="252"/>
      <c r="Z141" s="252"/>
      <c r="AA141" s="252"/>
    </row>
    <row r="142" spans="2:39">
      <c r="O142" s="155"/>
      <c r="P142" s="155"/>
      <c r="Q142" s="156"/>
      <c r="R142" s="156"/>
      <c r="S142" s="251"/>
      <c r="T142" s="251"/>
      <c r="U142" s="252"/>
      <c r="V142" s="252"/>
      <c r="W142" s="252"/>
      <c r="X142" s="252"/>
      <c r="Y142" s="252"/>
      <c r="Z142" s="252"/>
      <c r="AA142" s="252"/>
    </row>
    <row r="143" spans="2:39">
      <c r="O143" s="155"/>
      <c r="P143" s="155"/>
      <c r="Q143" s="156"/>
      <c r="R143" s="156"/>
      <c r="S143" s="251"/>
      <c r="T143" s="251"/>
      <c r="U143" s="252"/>
      <c r="V143" s="252"/>
      <c r="W143" s="252"/>
      <c r="X143" s="252"/>
      <c r="Y143" s="252"/>
      <c r="Z143" s="252"/>
      <c r="AA143" s="252"/>
    </row>
    <row r="144" spans="2:39">
      <c r="O144" s="155"/>
      <c r="P144" s="155"/>
      <c r="Q144" s="156"/>
      <c r="R144" s="156"/>
      <c r="S144" s="251"/>
      <c r="T144" s="251"/>
      <c r="U144" s="252"/>
      <c r="V144" s="252"/>
      <c r="W144" s="252"/>
      <c r="X144" s="252"/>
      <c r="Y144" s="252"/>
      <c r="Z144" s="252"/>
      <c r="AA144" s="252"/>
    </row>
  </sheetData>
  <mergeCells count="2">
    <mergeCell ref="N67:Q67"/>
    <mergeCell ref="Q74:R74"/>
  </mergeCells>
  <phoneticPr fontId="19" type="noConversion"/>
  <conditionalFormatting sqref="H32 H34">
    <cfRule type="cellIs" dxfId="213" priority="3" stopIfTrue="1" operator="equal">
      <formula>1</formula>
    </cfRule>
  </conditionalFormatting>
  <conditionalFormatting sqref="F32:G32 D32 D34 F34:G34 I32:K32 I34:K34">
    <cfRule type="cellIs" dxfId="212" priority="4" stopIfTrue="1" operator="equal">
      <formula>1</formula>
    </cfRule>
  </conditionalFormatting>
  <conditionalFormatting sqref="D48 F48:G48 I48:K48">
    <cfRule type="cellIs" dxfId="211" priority="2" stopIfTrue="1" operator="equal">
      <formula>1</formula>
    </cfRule>
  </conditionalFormatting>
  <conditionalFormatting sqref="H48">
    <cfRule type="cellIs" dxfId="210" priority="1" stopIfTrue="1" operator="equal">
      <formula>1</formula>
    </cfRule>
  </conditionalFormatting>
  <printOptions horizontalCentered="1" verticalCentered="1"/>
  <pageMargins left="0" right="0" top="0" bottom="0" header="0.39370078740157483" footer="0"/>
  <pageSetup paperSize="9" scale="105" fitToHeight="2" orientation="landscape" horizontalDpi="0" verticalDpi="0"/>
  <headerFooter>
    <oddHeader>&amp;L&amp;K0000FD&amp;P&amp;C&amp;K000000&amp;Z&amp;D</oddHeader>
  </headerFooter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0"/>
  <dimension ref="A1:AO266"/>
  <sheetViews>
    <sheetView zoomScale="200" zoomScaleNormal="200" zoomScalePageLayoutView="177" workbookViewId="0">
      <selection activeCell="L1" sqref="L1:R1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33203125" style="1" customWidth="1"/>
    <col min="4" max="4" width="0.83203125" style="3082" customWidth="1"/>
    <col min="5" max="5" width="2.6640625" style="1" customWidth="1"/>
    <col min="6" max="6" width="3.33203125" style="2818" customWidth="1"/>
    <col min="7" max="7" width="4.6640625" style="780" customWidth="1"/>
    <col min="8" max="8" width="6.33203125" style="780" customWidth="1"/>
    <col min="9" max="10" width="7.33203125" style="780" customWidth="1"/>
    <col min="11" max="11" width="35.5" style="780" customWidth="1"/>
    <col min="12" max="12" width="9.1640625" style="780" customWidth="1"/>
    <col min="13" max="13" width="1" style="2820" customWidth="1"/>
    <col min="14" max="14" width="7.83203125" style="2818" customWidth="1"/>
    <col min="15" max="15" width="0.83203125" style="780" customWidth="1"/>
    <col min="16" max="16" width="8.33203125" style="780" customWidth="1"/>
    <col min="17" max="17" width="5.6640625" style="2821" customWidth="1"/>
    <col min="18" max="18" width="6" style="2821" customWidth="1"/>
    <col min="19" max="19" width="1.33203125" style="2822" customWidth="1"/>
    <col min="20" max="20" width="0.3320312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33203125" style="2823" customWidth="1"/>
    <col min="25" max="25" width="6" style="2823" customWidth="1"/>
    <col min="26" max="27" width="5.3320312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33203125" style="2826" customWidth="1"/>
    <col min="40" max="40" width="11.5" style="2825"/>
    <col min="41" max="16384" width="11.5" style="1"/>
  </cols>
  <sheetData>
    <row r="1" spans="1:40" ht="20" customHeight="1" thickBot="1">
      <c r="A1" s="3080" t="s">
        <v>344</v>
      </c>
      <c r="F1" s="527"/>
      <c r="G1" s="155"/>
      <c r="H1" s="155"/>
      <c r="I1" s="155"/>
      <c r="J1" s="2561"/>
      <c r="K1" s="3779">
        <v>45327</v>
      </c>
      <c r="L1" s="2561" t="s">
        <v>2535</v>
      </c>
      <c r="M1" s="5233"/>
      <c r="N1" s="5234"/>
      <c r="O1" s="5235"/>
      <c r="P1" s="5235"/>
      <c r="Q1" s="5236"/>
      <c r="R1" s="5236"/>
      <c r="U1" s="2827" t="s">
        <v>345</v>
      </c>
      <c r="AI1" s="2825"/>
      <c r="AJ1" s="2825"/>
      <c r="AK1" s="2825"/>
      <c r="AL1" s="2825"/>
      <c r="AM1" s="2825"/>
    </row>
    <row r="2" spans="1:40" s="2839" customFormat="1" ht="59" customHeight="1" thickTop="1" thickBot="1">
      <c r="A2" s="3084" t="s">
        <v>346</v>
      </c>
      <c r="B2" s="3085" t="s">
        <v>347</v>
      </c>
      <c r="C2" s="3086" t="s">
        <v>348</v>
      </c>
      <c r="D2" s="3087"/>
      <c r="E2" s="4692" t="s">
        <v>349</v>
      </c>
      <c r="F2" s="3088" t="s">
        <v>350</v>
      </c>
      <c r="G2" s="3089" t="s">
        <v>351</v>
      </c>
      <c r="H2" s="3089" t="s">
        <v>624</v>
      </c>
      <c r="I2" s="3089" t="s">
        <v>352</v>
      </c>
      <c r="J2" s="3088" t="s">
        <v>353</v>
      </c>
      <c r="K2" s="3089" t="s">
        <v>354</v>
      </c>
      <c r="L2" s="3089"/>
      <c r="M2" s="3090" t="s">
        <v>355</v>
      </c>
      <c r="N2" s="3089" t="s">
        <v>445</v>
      </c>
      <c r="O2" s="3086" t="s">
        <v>446</v>
      </c>
      <c r="P2" s="3086" t="s">
        <v>447</v>
      </c>
      <c r="Q2" s="3091" t="s">
        <v>448</v>
      </c>
      <c r="R2" s="3092" t="s">
        <v>371</v>
      </c>
      <c r="S2" s="2828" t="s">
        <v>449</v>
      </c>
      <c r="T2" s="2828" t="s">
        <v>450</v>
      </c>
      <c r="U2" s="2829" t="s">
        <v>451</v>
      </c>
      <c r="V2" s="2830" t="s">
        <v>452</v>
      </c>
      <c r="W2" s="2831" t="s">
        <v>453</v>
      </c>
      <c r="X2" s="2832" t="s">
        <v>454</v>
      </c>
      <c r="Y2" s="2833" t="s">
        <v>455</v>
      </c>
      <c r="Z2" s="2834" t="s">
        <v>456</v>
      </c>
      <c r="AA2" s="2835" t="s">
        <v>457</v>
      </c>
      <c r="AB2" s="2836"/>
      <c r="AC2" s="2837"/>
      <c r="AD2" s="2838"/>
      <c r="AE2" s="2838"/>
      <c r="AF2" s="2838"/>
      <c r="AG2" s="2838"/>
      <c r="AH2" s="2838"/>
      <c r="AI2" s="2836"/>
      <c r="AJ2" s="2836"/>
      <c r="AK2" s="2836"/>
      <c r="AL2" s="2836"/>
      <c r="AM2" s="2836"/>
      <c r="AN2" s="2836"/>
    </row>
    <row r="3" spans="1:40" s="2839" customFormat="1" ht="5" customHeight="1" thickBot="1">
      <c r="A3" s="3093"/>
      <c r="B3" s="3912"/>
      <c r="C3" s="3913"/>
      <c r="D3" s="3913"/>
      <c r="E3" s="5237"/>
      <c r="F3" s="3913"/>
      <c r="G3" s="3913"/>
      <c r="H3" s="3913"/>
      <c r="I3" s="3913"/>
      <c r="J3" s="3913"/>
      <c r="K3" s="3913"/>
      <c r="L3" s="3913"/>
      <c r="M3" s="5238"/>
      <c r="N3" s="3913"/>
      <c r="O3" s="3913"/>
      <c r="P3" s="3913"/>
      <c r="Q3" s="3917"/>
      <c r="R3" s="5239"/>
      <c r="S3" s="3919"/>
      <c r="T3" s="3919"/>
      <c r="U3" s="111">
        <f>Test!$D$29</f>
        <v>9.1523857526881758E-4</v>
      </c>
      <c r="V3" s="111">
        <f>Test!$D$31</f>
        <v>8.7635030864197572E-4</v>
      </c>
      <c r="W3" s="111">
        <f>Test!$D$33</f>
        <v>8.4888763197586746E-4</v>
      </c>
      <c r="X3" s="111">
        <f>Test!$D$35</f>
        <v>8.0990657955066516E-4</v>
      </c>
      <c r="Y3" s="111">
        <f>Test!$D$37</f>
        <v>7.5735749690210676E-4</v>
      </c>
      <c r="Z3" s="111">
        <f>Test!$D$39</f>
        <v>7.2916666666666692E-4</v>
      </c>
      <c r="AA3" s="112">
        <f>Test!$D$41</f>
        <v>7.0729166666666694E-4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63" customFormat="1" ht="3.75" customHeight="1" thickBot="1">
      <c r="A4" s="3101"/>
      <c r="B4" s="3923"/>
      <c r="C4" s="4696"/>
      <c r="D4" s="4697"/>
      <c r="E4" s="4696"/>
      <c r="F4" s="4698"/>
      <c r="G4" s="4699"/>
      <c r="H4" s="4699"/>
      <c r="I4" s="4699"/>
      <c r="J4" s="4698"/>
      <c r="K4" s="4699"/>
      <c r="L4" s="4699"/>
      <c r="M4" s="4700"/>
      <c r="N4" s="4701"/>
      <c r="O4" s="4696"/>
      <c r="P4" s="4696"/>
      <c r="Q4" s="4696"/>
      <c r="R4" s="4702"/>
      <c r="S4" s="2842"/>
      <c r="T4" s="2842"/>
      <c r="U4" s="111">
        <f>U3/4</f>
        <v>2.2880964381720439E-4</v>
      </c>
      <c r="V4" s="111">
        <f t="shared" ref="V4:AA4" si="0">V3/4</f>
        <v>2.1908757716049393E-4</v>
      </c>
      <c r="W4" s="111">
        <f t="shared" si="0"/>
        <v>2.1222190799396687E-4</v>
      </c>
      <c r="X4" s="111">
        <f t="shared" si="0"/>
        <v>2.0247664488766629E-4</v>
      </c>
      <c r="Y4" s="111">
        <f t="shared" si="0"/>
        <v>1.8933937422552669E-4</v>
      </c>
      <c r="Z4" s="111">
        <f t="shared" si="0"/>
        <v>1.8229166666666673E-4</v>
      </c>
      <c r="AA4" s="111">
        <f t="shared" si="0"/>
        <v>1.7682291666666674E-4</v>
      </c>
      <c r="AB4" s="2935"/>
      <c r="AC4" s="2936"/>
      <c r="AD4" s="2937"/>
      <c r="AE4" s="2937"/>
      <c r="AF4" s="2937"/>
      <c r="AG4" s="2937"/>
      <c r="AH4" s="2937"/>
      <c r="AI4" s="2935"/>
      <c r="AJ4" s="2935"/>
      <c r="AK4" s="2935"/>
      <c r="AL4" s="2935"/>
      <c r="AM4" s="2935"/>
      <c r="AN4" s="2935"/>
    </row>
    <row r="5" spans="1:40" ht="12.75" customHeight="1" thickTop="1" thickBot="1">
      <c r="A5" s="5363" t="s">
        <v>214</v>
      </c>
      <c r="B5" s="5363" t="s">
        <v>461</v>
      </c>
      <c r="C5" s="629">
        <f t="shared" ref="C5:C67" si="1">IF(D5=1,U$4,IF(D5=2,V$4,IF(D5=3,W$4,IF(D5=4,X$4,IF(D5=5,Y$4,IF(D5=6,Z$4,IF(D5=7,AA$4,0)))))))</f>
        <v>2.2880964381720439E-4</v>
      </c>
      <c r="D5" s="920">
        <v>1</v>
      </c>
      <c r="E5" s="1979">
        <v>1</v>
      </c>
      <c r="F5" s="1979">
        <v>1</v>
      </c>
      <c r="G5" s="1979">
        <v>400</v>
      </c>
      <c r="H5" s="631"/>
      <c r="I5" s="631">
        <v>0</v>
      </c>
      <c r="J5" s="631">
        <v>1.1574074074074073E-4</v>
      </c>
      <c r="K5" s="632" t="s">
        <v>1531</v>
      </c>
      <c r="L5" s="4765">
        <v>0.80555555555555547</v>
      </c>
      <c r="M5" s="633">
        <v>1.2</v>
      </c>
      <c r="N5" s="631">
        <f>P5*E5*F5+I5*E5*F5+J5*E5</f>
        <v>4.5088859020310651E-3</v>
      </c>
      <c r="O5" s="634">
        <f t="shared" ref="O5:O10" si="2">C5*(G5/25)</f>
        <v>3.6609543010752703E-3</v>
      </c>
      <c r="P5" s="634">
        <f t="shared" ref="P5:P9" si="3">O5*M5</f>
        <v>4.3931451612903242E-3</v>
      </c>
      <c r="Q5" s="635">
        <v>129</v>
      </c>
      <c r="R5" s="4766">
        <f t="shared" ref="R5:R9" si="4">E5*F5*G5</f>
        <v>400</v>
      </c>
      <c r="S5" s="2844">
        <f t="shared" ref="S5" si="5">E5*F5*G5/1000</f>
        <v>0.4</v>
      </c>
      <c r="T5" s="2845">
        <f t="shared" ref="T5" si="6">E5*F5*O5*4</f>
        <v>1.4643817204301081E-2</v>
      </c>
      <c r="U5" s="374">
        <f t="shared" ref="U5" si="7">IF(C5*4&gt;=$U$3,S5,0)</f>
        <v>0.4</v>
      </c>
      <c r="V5" s="2846">
        <f t="shared" ref="V5" si="8">IF(AND(C5*4&gt;=$V$3,C5*4&lt;$U$3),S5,0)</f>
        <v>0</v>
      </c>
      <c r="W5" s="2847">
        <f t="shared" ref="W5" si="9">IF(AND(C5*4&gt;=$W$3,C5*4&lt;$V$3),S5,0)</f>
        <v>0</v>
      </c>
      <c r="X5" s="2848">
        <f t="shared" ref="X5" si="10">IF(AND(C5*4&gt;=$X$3,C5*4&lt;$W$3),S5,0)</f>
        <v>0</v>
      </c>
      <c r="Y5" s="2849">
        <f t="shared" ref="Y5" si="11">IF(AND(C5*4&gt;=$Y$3,C5*4&lt;$X$3),S5,0)</f>
        <v>0</v>
      </c>
      <c r="Z5" s="2850">
        <f t="shared" ref="Z5" si="12">IF(AND(C5*4&gt;=$Z$3,C5*4&lt;$Y$3),S5,0)</f>
        <v>0</v>
      </c>
      <c r="AA5" s="2851">
        <f t="shared" ref="AA5" si="13">IF(AND(C5*4&gt;=$AA$3,C5*4&lt;$Z$3),S5,0)</f>
        <v>0</v>
      </c>
      <c r="AC5" s="2867"/>
      <c r="AD5" s="2867"/>
      <c r="AE5" s="2867"/>
      <c r="AF5" s="2867"/>
      <c r="AG5" s="2867"/>
      <c r="AH5" s="2867"/>
      <c r="AI5" s="2825"/>
      <c r="AJ5" s="2825"/>
      <c r="AK5" s="2825"/>
      <c r="AL5" s="2825"/>
      <c r="AM5" s="2825"/>
    </row>
    <row r="6" spans="1:40" ht="13.25" customHeight="1" thickBot="1">
      <c r="A6" s="5363" t="s">
        <v>459</v>
      </c>
      <c r="B6" s="5363" t="s">
        <v>461</v>
      </c>
      <c r="C6" s="629">
        <f t="shared" si="1"/>
        <v>1.8229166666666673E-4</v>
      </c>
      <c r="D6" s="920">
        <v>6</v>
      </c>
      <c r="E6" s="5240">
        <v>1</v>
      </c>
      <c r="F6" s="5240">
        <v>8</v>
      </c>
      <c r="G6" s="5241">
        <v>50</v>
      </c>
      <c r="H6" s="5242"/>
      <c r="I6" s="5243">
        <v>3.4722222222222224E-4</v>
      </c>
      <c r="J6" s="5243">
        <v>6.9444444444444447E-4</v>
      </c>
      <c r="K6" s="4976" t="s">
        <v>1895</v>
      </c>
      <c r="L6" s="5244">
        <f t="shared" ref="L6:L11" si="14">L5+N5</f>
        <v>0.81006444145758649</v>
      </c>
      <c r="M6" s="5240">
        <v>1.05</v>
      </c>
      <c r="N6" s="5243">
        <f t="shared" ref="N6:N8" si="15">P6*E6*F6+I6*E6*F6+J6*E6</f>
        <v>6.5347222222222239E-3</v>
      </c>
      <c r="O6" s="634">
        <f t="shared" si="2"/>
        <v>3.6458333333333346E-4</v>
      </c>
      <c r="P6" s="3739">
        <f t="shared" si="3"/>
        <v>3.8281250000000012E-4</v>
      </c>
      <c r="Q6" s="5245" t="s">
        <v>267</v>
      </c>
      <c r="R6" s="5246">
        <f t="shared" si="4"/>
        <v>400</v>
      </c>
      <c r="S6" s="2844">
        <f t="shared" ref="S6:S67" si="16">E6*F6*G6/1000</f>
        <v>0.4</v>
      </c>
      <c r="T6" s="2845">
        <f t="shared" ref="T6:T67" si="17">E6*F6*O6*4</f>
        <v>1.1666666666666671E-2</v>
      </c>
      <c r="U6" s="374">
        <f t="shared" ref="U6:U67" si="18">IF(C6*4&gt;=$U$3,S6,0)</f>
        <v>0</v>
      </c>
      <c r="V6" s="2846">
        <f t="shared" ref="V6:V67" si="19">IF(AND(C6*4&gt;=$V$3,C6*4&lt;$U$3),S6,0)</f>
        <v>0</v>
      </c>
      <c r="W6" s="2847">
        <f t="shared" ref="W6:W67" si="20">IF(AND(C6*4&gt;=$W$3,C6*4&lt;$V$3),S6,0)</f>
        <v>0</v>
      </c>
      <c r="X6" s="2848">
        <f t="shared" ref="X6:X67" si="21">IF(AND(C6*4&gt;=$X$3,C6*4&lt;$W$3),S6,0)</f>
        <v>0</v>
      </c>
      <c r="Y6" s="2849">
        <f t="shared" ref="Y6:Y67" si="22">IF(AND(C6*4&gt;=$Y$3,C6*4&lt;$X$3),S6,0)</f>
        <v>0</v>
      </c>
      <c r="Z6" s="2850">
        <f t="shared" ref="Z6:Z67" si="23">IF(AND(C6*4&gt;=$Z$3,C6*4&lt;$Y$3),S6,0)</f>
        <v>0.4</v>
      </c>
      <c r="AA6" s="2851">
        <f t="shared" ref="AA6:AA67" si="24">IF(AND(C6*4&gt;=$AA$3,C6*4&lt;$Z$3),S6,0)</f>
        <v>0</v>
      </c>
      <c r="AC6" s="2867"/>
      <c r="AD6" s="2867"/>
      <c r="AE6" s="2867"/>
      <c r="AF6" s="2867"/>
      <c r="AG6" s="2867"/>
      <c r="AH6" s="2867"/>
      <c r="AI6" s="2825"/>
      <c r="AJ6" s="2825"/>
      <c r="AK6" s="2825"/>
      <c r="AL6" s="2825"/>
      <c r="AM6" s="2825"/>
    </row>
    <row r="7" spans="1:40" ht="14" customHeight="1" thickBot="1">
      <c r="A7" s="5363" t="s">
        <v>460</v>
      </c>
      <c r="B7" s="5484">
        <v>13</v>
      </c>
      <c r="C7" s="629">
        <f t="shared" si="1"/>
        <v>1.7682291666666674E-4</v>
      </c>
      <c r="D7" s="920">
        <v>7</v>
      </c>
      <c r="E7" s="5247">
        <v>3</v>
      </c>
      <c r="F7" s="5248">
        <v>1</v>
      </c>
      <c r="G7" s="5249">
        <v>40</v>
      </c>
      <c r="H7" s="5481" t="s">
        <v>1368</v>
      </c>
      <c r="I7" s="5250">
        <v>6.9444444444444447E-4</v>
      </c>
      <c r="J7" s="5251">
        <v>1.3888888888888889E-3</v>
      </c>
      <c r="K7" s="5252" t="s">
        <v>2105</v>
      </c>
      <c r="L7" s="5253">
        <f t="shared" si="14"/>
        <v>0.81659916367980867</v>
      </c>
      <c r="M7" s="5254">
        <v>1</v>
      </c>
      <c r="N7" s="5251">
        <f t="shared" si="15"/>
        <v>7.09875E-3</v>
      </c>
      <c r="O7" s="634">
        <f t="shared" si="2"/>
        <v>2.8291666666666678E-4</v>
      </c>
      <c r="P7" s="2517">
        <f t="shared" si="3"/>
        <v>2.8291666666666678E-4</v>
      </c>
      <c r="Q7" s="5255" t="s">
        <v>316</v>
      </c>
      <c r="R7" s="4316">
        <f t="shared" si="4"/>
        <v>120</v>
      </c>
      <c r="S7" s="2844">
        <f t="shared" si="16"/>
        <v>0.12</v>
      </c>
      <c r="T7" s="2845">
        <f t="shared" si="17"/>
        <v>3.3950000000000013E-3</v>
      </c>
      <c r="U7" s="374">
        <f t="shared" si="18"/>
        <v>0</v>
      </c>
      <c r="V7" s="2846">
        <f t="shared" si="19"/>
        <v>0</v>
      </c>
      <c r="W7" s="2847">
        <f t="shared" si="20"/>
        <v>0</v>
      </c>
      <c r="X7" s="2848">
        <f t="shared" si="21"/>
        <v>0</v>
      </c>
      <c r="Y7" s="2849">
        <f t="shared" si="22"/>
        <v>0</v>
      </c>
      <c r="Z7" s="2850">
        <f t="shared" si="23"/>
        <v>0</v>
      </c>
      <c r="AA7" s="2851">
        <f t="shared" si="24"/>
        <v>0.12</v>
      </c>
      <c r="AC7" s="2867"/>
      <c r="AD7" s="2867"/>
      <c r="AE7" s="2867"/>
      <c r="AF7" s="2867"/>
      <c r="AG7" s="2867"/>
      <c r="AH7" s="2867"/>
      <c r="AI7" s="2825"/>
      <c r="AJ7" s="2825"/>
      <c r="AK7" s="2825"/>
      <c r="AL7" s="2825"/>
      <c r="AM7" s="2825"/>
    </row>
    <row r="8" spans="1:40" ht="14" customHeight="1" thickBot="1">
      <c r="A8" s="5363" t="s">
        <v>458</v>
      </c>
      <c r="B8" s="5363" t="s">
        <v>461</v>
      </c>
      <c r="C8" s="629">
        <f t="shared" si="1"/>
        <v>1.7682291666666674E-4</v>
      </c>
      <c r="D8" s="920">
        <v>7</v>
      </c>
      <c r="E8" s="5247">
        <v>1</v>
      </c>
      <c r="F8" s="5248">
        <v>5</v>
      </c>
      <c r="G8" s="5249">
        <v>60</v>
      </c>
      <c r="H8" s="5482" t="s">
        <v>1370</v>
      </c>
      <c r="I8" s="5250">
        <v>4.6296296296296293E-4</v>
      </c>
      <c r="J8" s="5251">
        <v>1.3888888888888889E-3</v>
      </c>
      <c r="K8" s="5252" t="s">
        <v>2106</v>
      </c>
      <c r="L8" s="5253">
        <f t="shared" si="14"/>
        <v>0.82369791367980871</v>
      </c>
      <c r="M8" s="5254">
        <v>1</v>
      </c>
      <c r="N8" s="5251">
        <f t="shared" si="15"/>
        <v>5.8255787037037043E-3</v>
      </c>
      <c r="O8" s="634">
        <f t="shared" si="2"/>
        <v>4.2437500000000016E-4</v>
      </c>
      <c r="P8" s="2517">
        <f t="shared" si="3"/>
        <v>4.2437500000000016E-4</v>
      </c>
      <c r="Q8" s="5255" t="s">
        <v>316</v>
      </c>
      <c r="R8" s="4316">
        <f t="shared" si="4"/>
        <v>300</v>
      </c>
      <c r="S8" s="2844">
        <f t="shared" si="16"/>
        <v>0.3</v>
      </c>
      <c r="T8" s="2845">
        <f t="shared" si="17"/>
        <v>8.4875000000000037E-3</v>
      </c>
      <c r="U8" s="374">
        <f t="shared" si="18"/>
        <v>0</v>
      </c>
      <c r="V8" s="2846">
        <f t="shared" si="19"/>
        <v>0</v>
      </c>
      <c r="W8" s="2847">
        <f t="shared" si="20"/>
        <v>0</v>
      </c>
      <c r="X8" s="2848">
        <f t="shared" si="21"/>
        <v>0</v>
      </c>
      <c r="Y8" s="2849">
        <f t="shared" si="22"/>
        <v>0</v>
      </c>
      <c r="Z8" s="2850">
        <f t="shared" si="23"/>
        <v>0</v>
      </c>
      <c r="AA8" s="2851">
        <f t="shared" si="24"/>
        <v>0.3</v>
      </c>
      <c r="AC8" s="2867"/>
      <c r="AD8" s="2867"/>
      <c r="AE8" s="2867"/>
      <c r="AF8" s="2867"/>
      <c r="AG8" s="2867"/>
      <c r="AH8" s="2867"/>
      <c r="AI8" s="2825"/>
      <c r="AJ8" s="2825"/>
      <c r="AK8" s="2825"/>
      <c r="AL8" s="2825"/>
      <c r="AM8" s="2825"/>
      <c r="AN8" s="1"/>
    </row>
    <row r="9" spans="1:40" ht="13" customHeight="1" thickBot="1">
      <c r="A9" s="5363" t="s">
        <v>219</v>
      </c>
      <c r="B9" s="5363" t="s">
        <v>461</v>
      </c>
      <c r="C9" s="629">
        <f t="shared" si="1"/>
        <v>2.1222190799396687E-4</v>
      </c>
      <c r="D9" s="5256">
        <v>3</v>
      </c>
      <c r="E9" s="5257">
        <v>1</v>
      </c>
      <c r="F9" s="5257">
        <v>1</v>
      </c>
      <c r="G9" s="5258">
        <v>400</v>
      </c>
      <c r="H9" s="5259"/>
      <c r="I9" s="5260">
        <v>1.7361111111111112E-4</v>
      </c>
      <c r="J9" s="5260">
        <v>1.3888888888888889E-3</v>
      </c>
      <c r="K9" s="5257" t="s">
        <v>1372</v>
      </c>
      <c r="L9" s="5261">
        <f t="shared" si="14"/>
        <v>0.82952349238351242</v>
      </c>
      <c r="M9" s="5262">
        <v>1.1000000000000001</v>
      </c>
      <c r="N9" s="5260">
        <f t="shared" ref="N9:N10" si="25">P9*E9*F9+I9*F9*E9+J9*E9</f>
        <v>5.2976055806938172E-3</v>
      </c>
      <c r="O9" s="634">
        <f t="shared" si="2"/>
        <v>3.3955505279034699E-3</v>
      </c>
      <c r="P9" s="5263">
        <f t="shared" si="3"/>
        <v>3.7351055806938171E-3</v>
      </c>
      <c r="Q9" s="5264">
        <v>160</v>
      </c>
      <c r="R9" s="5257">
        <f t="shared" si="4"/>
        <v>400</v>
      </c>
      <c r="S9" s="2844">
        <f t="shared" si="16"/>
        <v>0.4</v>
      </c>
      <c r="T9" s="2845">
        <f t="shared" si="17"/>
        <v>1.3582202111613879E-2</v>
      </c>
      <c r="U9" s="374">
        <f t="shared" si="18"/>
        <v>0</v>
      </c>
      <c r="V9" s="2846">
        <f t="shared" si="19"/>
        <v>0</v>
      </c>
      <c r="W9" s="2847">
        <f t="shared" si="20"/>
        <v>0.4</v>
      </c>
      <c r="X9" s="2848">
        <f t="shared" si="21"/>
        <v>0</v>
      </c>
      <c r="Y9" s="2849">
        <f t="shared" si="22"/>
        <v>0</v>
      </c>
      <c r="Z9" s="2850">
        <f t="shared" si="23"/>
        <v>0</v>
      </c>
      <c r="AA9" s="2851">
        <f t="shared" si="24"/>
        <v>0</v>
      </c>
      <c r="AC9" s="2867"/>
      <c r="AD9" s="2867"/>
      <c r="AE9" s="2867"/>
      <c r="AF9" s="2867"/>
      <c r="AG9" s="2867"/>
      <c r="AH9" s="2867"/>
      <c r="AI9" s="2825"/>
      <c r="AJ9" s="2825"/>
      <c r="AK9" s="2825"/>
      <c r="AL9" s="2825"/>
      <c r="AM9" s="2825"/>
      <c r="AN9" s="1"/>
    </row>
    <row r="10" spans="1:40" ht="13" customHeight="1" thickBot="1">
      <c r="A10" s="5363"/>
      <c r="B10" s="5363" t="s">
        <v>461</v>
      </c>
      <c r="C10" s="629">
        <f t="shared" si="1"/>
        <v>1.7682291666666674E-4</v>
      </c>
      <c r="D10" s="920">
        <v>7</v>
      </c>
      <c r="E10" s="5247">
        <v>3</v>
      </c>
      <c r="F10" s="5247">
        <v>6</v>
      </c>
      <c r="G10" s="5247">
        <v>15</v>
      </c>
      <c r="H10" s="5265"/>
      <c r="I10" s="5251">
        <v>1.0416666666666667E-3</v>
      </c>
      <c r="J10" s="5251">
        <v>6.9444444444444447E-4</v>
      </c>
      <c r="K10" s="5252" t="s">
        <v>2107</v>
      </c>
      <c r="L10" s="5253">
        <f t="shared" si="14"/>
        <v>0.83482109796420623</v>
      </c>
      <c r="M10" s="5254">
        <v>1</v>
      </c>
      <c r="N10" s="5251">
        <f t="shared" si="25"/>
        <v>2.2743020833333336E-2</v>
      </c>
      <c r="O10" s="634">
        <f t="shared" si="2"/>
        <v>1.0609375000000004E-4</v>
      </c>
      <c r="P10" s="2517">
        <f>O10*M10</f>
        <v>1.0609375000000004E-4</v>
      </c>
      <c r="Q10" s="5255"/>
      <c r="R10" s="4316">
        <f>E10*F10*G10</f>
        <v>270</v>
      </c>
      <c r="S10" s="2844">
        <f t="shared" si="16"/>
        <v>0.27</v>
      </c>
      <c r="T10" s="2845">
        <f t="shared" si="17"/>
        <v>7.6387500000000032E-3</v>
      </c>
      <c r="U10" s="374">
        <f t="shared" si="18"/>
        <v>0</v>
      </c>
      <c r="V10" s="2846">
        <f t="shared" si="19"/>
        <v>0</v>
      </c>
      <c r="W10" s="2847">
        <f t="shared" si="20"/>
        <v>0</v>
      </c>
      <c r="X10" s="2848">
        <f t="shared" si="21"/>
        <v>0</v>
      </c>
      <c r="Y10" s="2849">
        <f t="shared" si="22"/>
        <v>0</v>
      </c>
      <c r="Z10" s="2850">
        <f t="shared" si="23"/>
        <v>0</v>
      </c>
      <c r="AA10" s="2851">
        <f t="shared" si="24"/>
        <v>0.27</v>
      </c>
      <c r="AC10" s="2867"/>
      <c r="AD10" s="2867"/>
      <c r="AE10" s="2867"/>
      <c r="AF10" s="2867"/>
      <c r="AG10" s="2867"/>
      <c r="AH10" s="2867"/>
      <c r="AI10" s="2825"/>
      <c r="AJ10" s="2825"/>
      <c r="AK10" s="2825"/>
      <c r="AL10" s="2825"/>
      <c r="AM10" s="2825"/>
      <c r="AN10" s="1"/>
    </row>
    <row r="11" spans="1:40" ht="14" customHeight="1" thickBot="1">
      <c r="A11" s="4786"/>
      <c r="B11" s="4787"/>
      <c r="C11" s="629">
        <f t="shared" si="1"/>
        <v>0</v>
      </c>
      <c r="D11" s="920"/>
      <c r="E11" s="5266"/>
      <c r="F11" s="5266"/>
      <c r="G11" s="5266"/>
      <c r="H11" s="5267"/>
      <c r="I11" s="5267"/>
      <c r="J11" s="5267"/>
      <c r="K11" s="5268"/>
      <c r="L11" s="5269">
        <f t="shared" si="14"/>
        <v>0.85756411879753958</v>
      </c>
      <c r="M11" s="5270"/>
      <c r="N11" s="5271"/>
      <c r="O11" s="5267"/>
      <c r="P11" s="5271"/>
      <c r="Q11" s="5272"/>
      <c r="R11" s="5273">
        <f>SUM(R5:R10)</f>
        <v>1890</v>
      </c>
      <c r="S11" s="2844">
        <f t="shared" si="16"/>
        <v>0</v>
      </c>
      <c r="T11" s="2845">
        <f t="shared" si="17"/>
        <v>0</v>
      </c>
      <c r="U11" s="374">
        <f t="shared" si="18"/>
        <v>0</v>
      </c>
      <c r="V11" s="2846">
        <f t="shared" si="19"/>
        <v>0</v>
      </c>
      <c r="W11" s="2847">
        <f t="shared" si="20"/>
        <v>0</v>
      </c>
      <c r="X11" s="2848">
        <f t="shared" si="21"/>
        <v>0</v>
      </c>
      <c r="Y11" s="2849">
        <f t="shared" si="22"/>
        <v>0</v>
      </c>
      <c r="Z11" s="2850">
        <f t="shared" si="23"/>
        <v>0</v>
      </c>
      <c r="AA11" s="2851">
        <f t="shared" si="24"/>
        <v>0</v>
      </c>
      <c r="AC11" s="2867"/>
      <c r="AD11" s="2867"/>
      <c r="AE11" s="2867"/>
      <c r="AF11" s="2867"/>
      <c r="AG11" s="2867"/>
      <c r="AH11" s="2867"/>
      <c r="AI11" s="2825"/>
      <c r="AJ11" s="2825"/>
      <c r="AK11" s="2825"/>
      <c r="AL11" s="2825"/>
      <c r="AM11" s="2825"/>
      <c r="AN11" s="1"/>
    </row>
    <row r="12" spans="1:40" ht="12.75" customHeight="1" thickBot="1">
      <c r="A12" s="5274" t="s">
        <v>215</v>
      </c>
      <c r="B12" s="5275" t="s">
        <v>215</v>
      </c>
      <c r="C12" s="629">
        <f t="shared" si="1"/>
        <v>2.2880964381720439E-4</v>
      </c>
      <c r="D12" s="5276">
        <v>1</v>
      </c>
      <c r="E12" s="5277">
        <v>1</v>
      </c>
      <c r="F12" s="5277">
        <v>1</v>
      </c>
      <c r="G12" s="5277">
        <v>300</v>
      </c>
      <c r="H12" s="5278"/>
      <c r="I12" s="5278">
        <v>1.1574074074074073E-4</v>
      </c>
      <c r="J12" s="5278">
        <v>6.9444444444444447E-4</v>
      </c>
      <c r="K12" s="5279" t="s">
        <v>925</v>
      </c>
      <c r="L12" s="5280">
        <v>0.2986111111111111</v>
      </c>
      <c r="M12" s="5281">
        <v>1</v>
      </c>
      <c r="N12" s="5282">
        <f t="shared" ref="N12:N21" si="26">P12*E12*F12+I12*E12*F12+J12*E12</f>
        <v>3.5559009109916383E-3</v>
      </c>
      <c r="O12" s="5283">
        <f t="shared" ref="O12" si="27">C12*(G12/25)</f>
        <v>2.7457157258064528E-3</v>
      </c>
      <c r="P12" s="5283">
        <f t="shared" ref="P12:P21" si="28">O12*M12</f>
        <v>2.7457157258064528E-3</v>
      </c>
      <c r="Q12" s="5284">
        <v>129</v>
      </c>
      <c r="R12" s="5285">
        <f t="shared" ref="R12:R22" si="29">E12*F12*G12</f>
        <v>300</v>
      </c>
      <c r="S12" s="2844">
        <f t="shared" si="16"/>
        <v>0.3</v>
      </c>
      <c r="T12" s="2845">
        <f t="shared" si="17"/>
        <v>1.0982862903225811E-2</v>
      </c>
      <c r="U12" s="374">
        <f t="shared" si="18"/>
        <v>0.3</v>
      </c>
      <c r="V12" s="2846">
        <f t="shared" si="19"/>
        <v>0</v>
      </c>
      <c r="W12" s="2847">
        <f t="shared" si="20"/>
        <v>0</v>
      </c>
      <c r="X12" s="2848">
        <f t="shared" si="21"/>
        <v>0</v>
      </c>
      <c r="Y12" s="2849">
        <f t="shared" si="22"/>
        <v>0</v>
      </c>
      <c r="Z12" s="2850">
        <f t="shared" si="23"/>
        <v>0</v>
      </c>
      <c r="AA12" s="2851">
        <f t="shared" si="24"/>
        <v>0</v>
      </c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  <c r="AN12" s="1"/>
    </row>
    <row r="13" spans="1:40" ht="12.75" customHeight="1" thickBot="1">
      <c r="A13" s="5274" t="s">
        <v>138</v>
      </c>
      <c r="B13" s="5275" t="s">
        <v>215</v>
      </c>
      <c r="C13" s="629">
        <f t="shared" si="1"/>
        <v>2.1908757716049393E-4</v>
      </c>
      <c r="D13" s="2302">
        <v>2</v>
      </c>
      <c r="E13" s="2923">
        <v>1</v>
      </c>
      <c r="F13" s="2923">
        <v>12</v>
      </c>
      <c r="G13" s="2923">
        <v>50</v>
      </c>
      <c r="H13" s="2256" t="s">
        <v>1628</v>
      </c>
      <c r="I13" s="2324">
        <v>1.3888888888888889E-4</v>
      </c>
      <c r="J13" s="2324">
        <v>1.3888888888888889E-3</v>
      </c>
      <c r="K13" s="2278" t="s">
        <v>670</v>
      </c>
      <c r="L13" s="3645">
        <f t="shared" ref="L13:L15" si="30">L12+N12</f>
        <v>0.30216701202210272</v>
      </c>
      <c r="M13" s="2305">
        <v>1.2</v>
      </c>
      <c r="N13" s="5215">
        <f t="shared" si="26"/>
        <v>9.6176666666666702E-3</v>
      </c>
      <c r="O13" s="2307">
        <f>C13*(G13/25)*1.04</f>
        <v>4.5570216049382737E-4</v>
      </c>
      <c r="P13" s="2307">
        <f t="shared" si="28"/>
        <v>5.468425925925928E-4</v>
      </c>
      <c r="Q13" s="2282"/>
      <c r="R13" s="3658">
        <f t="shared" si="29"/>
        <v>600</v>
      </c>
      <c r="S13" s="2844">
        <f t="shared" si="16"/>
        <v>0.6</v>
      </c>
      <c r="T13" s="2845">
        <f t="shared" si="17"/>
        <v>2.1873703703703715E-2</v>
      </c>
      <c r="U13" s="374">
        <f t="shared" si="18"/>
        <v>0</v>
      </c>
      <c r="V13" s="2846">
        <f t="shared" si="19"/>
        <v>0.6</v>
      </c>
      <c r="W13" s="2847">
        <f t="shared" si="20"/>
        <v>0</v>
      </c>
      <c r="X13" s="2848">
        <f t="shared" si="21"/>
        <v>0</v>
      </c>
      <c r="Y13" s="2849">
        <f t="shared" si="22"/>
        <v>0</v>
      </c>
      <c r="Z13" s="2850">
        <f t="shared" si="23"/>
        <v>0</v>
      </c>
      <c r="AA13" s="2851">
        <f t="shared" si="24"/>
        <v>0</v>
      </c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  <c r="AN13" s="1"/>
    </row>
    <row r="14" spans="1:40" ht="12.75" customHeight="1" thickBot="1">
      <c r="A14" s="5274" t="s">
        <v>462</v>
      </c>
      <c r="B14" s="5275" t="s">
        <v>215</v>
      </c>
      <c r="C14" s="629">
        <f t="shared" si="1"/>
        <v>2.1222190799396687E-4</v>
      </c>
      <c r="D14" s="3559">
        <v>3</v>
      </c>
      <c r="E14" s="3499">
        <v>1</v>
      </c>
      <c r="F14" s="3499">
        <v>4</v>
      </c>
      <c r="G14" s="3499">
        <v>50</v>
      </c>
      <c r="H14" s="2256" t="s">
        <v>1628</v>
      </c>
      <c r="I14" s="2314">
        <v>4.6296296296296293E-4</v>
      </c>
      <c r="J14" s="2314">
        <v>2.0833333333333333E-3</v>
      </c>
      <c r="K14" s="2310" t="s">
        <v>703</v>
      </c>
      <c r="L14" s="3646">
        <f t="shared" si="30"/>
        <v>0.31178467868876941</v>
      </c>
      <c r="M14" s="2312">
        <v>1</v>
      </c>
      <c r="N14" s="5216">
        <f t="shared" si="26"/>
        <v>5.7008714596949901E-3</v>
      </c>
      <c r="O14" s="2314">
        <f>C14*(G14/25)*1.04</f>
        <v>4.4142156862745112E-4</v>
      </c>
      <c r="P14" s="2315">
        <f t="shared" si="28"/>
        <v>4.4142156862745112E-4</v>
      </c>
      <c r="Q14" s="2274"/>
      <c r="R14" s="3659">
        <f t="shared" si="29"/>
        <v>200</v>
      </c>
      <c r="S14" s="2844">
        <f t="shared" si="16"/>
        <v>0.2</v>
      </c>
      <c r="T14" s="2845">
        <f t="shared" si="17"/>
        <v>7.0627450980392179E-3</v>
      </c>
      <c r="U14" s="374">
        <f t="shared" si="18"/>
        <v>0</v>
      </c>
      <c r="V14" s="2846">
        <f t="shared" si="19"/>
        <v>0</v>
      </c>
      <c r="W14" s="2847">
        <f t="shared" si="20"/>
        <v>0.2</v>
      </c>
      <c r="X14" s="2848">
        <f t="shared" si="21"/>
        <v>0</v>
      </c>
      <c r="Y14" s="2849">
        <f t="shared" si="22"/>
        <v>0</v>
      </c>
      <c r="Z14" s="2850">
        <f t="shared" si="23"/>
        <v>0</v>
      </c>
      <c r="AA14" s="2851">
        <f t="shared" si="24"/>
        <v>0</v>
      </c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  <c r="AN14" s="1"/>
    </row>
    <row r="15" spans="1:40" ht="12.75" customHeight="1" thickBot="1">
      <c r="A15" s="5274" t="s">
        <v>461</v>
      </c>
      <c r="B15" s="5275" t="s">
        <v>215</v>
      </c>
      <c r="C15" s="629">
        <f t="shared" si="1"/>
        <v>2.1222190799396687E-4</v>
      </c>
      <c r="D15" s="3559">
        <v>3</v>
      </c>
      <c r="E15" s="3499">
        <v>1</v>
      </c>
      <c r="F15" s="3499">
        <v>2</v>
      </c>
      <c r="G15" s="3499">
        <v>50</v>
      </c>
      <c r="H15" s="3625" t="s">
        <v>1652</v>
      </c>
      <c r="I15" s="2314">
        <v>4.6296296296296293E-4</v>
      </c>
      <c r="J15" s="2314">
        <v>3.4722222222222224E-4</v>
      </c>
      <c r="K15" s="2310" t="s">
        <v>1653</v>
      </c>
      <c r="L15" s="3646">
        <f t="shared" si="30"/>
        <v>0.31748555014846441</v>
      </c>
      <c r="M15" s="2312">
        <v>1.05</v>
      </c>
      <c r="N15" s="5216">
        <f t="shared" si="26"/>
        <v>2.1644801617228091E-3</v>
      </c>
      <c r="O15" s="2314">
        <f>C15*(G15/25)</f>
        <v>4.2444381598793373E-4</v>
      </c>
      <c r="P15" s="2315">
        <f t="shared" si="28"/>
        <v>4.4566600678733046E-4</v>
      </c>
      <c r="Q15" s="2274"/>
      <c r="R15" s="3659">
        <f t="shared" si="29"/>
        <v>100</v>
      </c>
      <c r="S15" s="2844">
        <f t="shared" si="16"/>
        <v>0.1</v>
      </c>
      <c r="T15" s="2845">
        <f t="shared" si="17"/>
        <v>3.3955505279034699E-3</v>
      </c>
      <c r="U15" s="374">
        <f t="shared" si="18"/>
        <v>0</v>
      </c>
      <c r="V15" s="2846">
        <f t="shared" si="19"/>
        <v>0</v>
      </c>
      <c r="W15" s="2847">
        <f t="shared" si="20"/>
        <v>0.1</v>
      </c>
      <c r="X15" s="2848">
        <f t="shared" si="21"/>
        <v>0</v>
      </c>
      <c r="Y15" s="2849">
        <f t="shared" si="22"/>
        <v>0</v>
      </c>
      <c r="Z15" s="2850">
        <f t="shared" si="23"/>
        <v>0</v>
      </c>
      <c r="AA15" s="2851">
        <f t="shared" si="24"/>
        <v>0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  <c r="AN15" s="1"/>
    </row>
    <row r="16" spans="1:40" ht="12.75" customHeight="1" thickBot="1">
      <c r="A16" s="5274" t="s">
        <v>458</v>
      </c>
      <c r="B16" s="5275" t="s">
        <v>215</v>
      </c>
      <c r="C16" s="629">
        <f t="shared" si="1"/>
        <v>1.8229166666666673E-4</v>
      </c>
      <c r="D16" s="2309">
        <v>6</v>
      </c>
      <c r="E16" s="4559">
        <v>1</v>
      </c>
      <c r="F16" s="4559">
        <v>1</v>
      </c>
      <c r="G16" s="4559">
        <v>100</v>
      </c>
      <c r="H16" s="7433">
        <v>0.9</v>
      </c>
      <c r="I16" s="4560">
        <v>3.4722222222222224E-4</v>
      </c>
      <c r="J16" s="4560">
        <v>6.9444444444444441E-3</v>
      </c>
      <c r="K16" s="4561" t="s">
        <v>974</v>
      </c>
      <c r="L16" s="4560">
        <f>L15+N16</f>
        <v>0.32557200848179774</v>
      </c>
      <c r="M16" s="4562">
        <v>1.0900000000000001</v>
      </c>
      <c r="N16" s="4560">
        <f t="shared" si="26"/>
        <v>8.0864583333333327E-3</v>
      </c>
      <c r="O16" s="4563">
        <f>C16*(G16/25)</f>
        <v>7.2916666666666692E-4</v>
      </c>
      <c r="P16" s="4686">
        <f t="shared" si="28"/>
        <v>7.9479166666666695E-4</v>
      </c>
      <c r="Q16" s="4565">
        <v>177</v>
      </c>
      <c r="R16" s="4559">
        <f t="shared" si="29"/>
        <v>100</v>
      </c>
      <c r="S16" s="2844">
        <f t="shared" si="16"/>
        <v>0.1</v>
      </c>
      <c r="T16" s="2845">
        <f t="shared" si="17"/>
        <v>2.9166666666666677E-3</v>
      </c>
      <c r="U16" s="374">
        <f t="shared" si="18"/>
        <v>0</v>
      </c>
      <c r="V16" s="2846">
        <f t="shared" si="19"/>
        <v>0</v>
      </c>
      <c r="W16" s="2847">
        <f t="shared" si="20"/>
        <v>0</v>
      </c>
      <c r="X16" s="2848">
        <f t="shared" si="21"/>
        <v>0</v>
      </c>
      <c r="Y16" s="2849">
        <f t="shared" si="22"/>
        <v>0</v>
      </c>
      <c r="Z16" s="2850">
        <f t="shared" si="23"/>
        <v>0.1</v>
      </c>
      <c r="AA16" s="2851">
        <f t="shared" si="24"/>
        <v>0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  <c r="AN16" s="1"/>
    </row>
    <row r="17" spans="1:40" ht="12.75" customHeight="1" thickBot="1">
      <c r="A17" s="5274" t="s">
        <v>219</v>
      </c>
      <c r="B17" s="5275" t="s">
        <v>215</v>
      </c>
      <c r="C17" s="629">
        <f t="shared" si="1"/>
        <v>1.8229166666666673E-4</v>
      </c>
      <c r="D17" s="2309">
        <v>6</v>
      </c>
      <c r="E17" s="4559">
        <v>1</v>
      </c>
      <c r="F17" s="4559">
        <v>1</v>
      </c>
      <c r="G17" s="4559">
        <v>75</v>
      </c>
      <c r="H17" s="7433">
        <v>0.92</v>
      </c>
      <c r="I17" s="4560">
        <v>6.9444444444444447E-4</v>
      </c>
      <c r="J17" s="4560">
        <v>3.472222222222222E-3</v>
      </c>
      <c r="K17" s="4561" t="s">
        <v>974</v>
      </c>
      <c r="L17" s="4560">
        <f>L12+N12</f>
        <v>0.30216701202210272</v>
      </c>
      <c r="M17" s="4562">
        <v>1.08</v>
      </c>
      <c r="N17" s="4560">
        <f t="shared" si="26"/>
        <v>4.7691041666666663E-3</v>
      </c>
      <c r="O17" s="4563">
        <f>C17*(G17/25)*1.02</f>
        <v>5.5781250000000015E-4</v>
      </c>
      <c r="P17" s="4686">
        <f t="shared" si="28"/>
        <v>6.0243750000000022E-4</v>
      </c>
      <c r="Q17" s="4565">
        <v>177</v>
      </c>
      <c r="R17" s="4559">
        <f t="shared" si="29"/>
        <v>75</v>
      </c>
      <c r="S17" s="2844">
        <f t="shared" si="16"/>
        <v>7.4999999999999997E-2</v>
      </c>
      <c r="T17" s="2845">
        <f t="shared" si="17"/>
        <v>2.2312500000000006E-3</v>
      </c>
      <c r="U17" s="374">
        <f t="shared" si="18"/>
        <v>0</v>
      </c>
      <c r="V17" s="2846">
        <f t="shared" si="19"/>
        <v>0</v>
      </c>
      <c r="W17" s="2847">
        <f t="shared" si="20"/>
        <v>0</v>
      </c>
      <c r="X17" s="2848">
        <f t="shared" si="21"/>
        <v>0</v>
      </c>
      <c r="Y17" s="2849">
        <f t="shared" si="22"/>
        <v>0</v>
      </c>
      <c r="Z17" s="2850">
        <f t="shared" si="23"/>
        <v>7.4999999999999997E-2</v>
      </c>
      <c r="AA17" s="2851">
        <f t="shared" si="24"/>
        <v>0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  <c r="AN17" s="1"/>
    </row>
    <row r="18" spans="1:40" ht="12.75" customHeight="1" thickBot="1">
      <c r="A18" s="5274"/>
      <c r="B18" s="5483">
        <v>12</v>
      </c>
      <c r="C18" s="629">
        <f t="shared" si="1"/>
        <v>1.8229166666666673E-4</v>
      </c>
      <c r="D18" s="2309">
        <v>6</v>
      </c>
      <c r="E18" s="4559">
        <v>1</v>
      </c>
      <c r="F18" s="4559">
        <v>1</v>
      </c>
      <c r="G18" s="4559">
        <v>50</v>
      </c>
      <c r="H18" s="7433">
        <v>0.95</v>
      </c>
      <c r="I18" s="4560">
        <v>6.9444444444444447E-4</v>
      </c>
      <c r="J18" s="4560">
        <v>3.472222222222222E-3</v>
      </c>
      <c r="K18" s="4561" t="s">
        <v>974</v>
      </c>
      <c r="L18" s="5186">
        <f>L16+N16</f>
        <v>0.33365846681513106</v>
      </c>
      <c r="M18" s="4562">
        <v>1.07</v>
      </c>
      <c r="N18" s="4560">
        <f t="shared" si="26"/>
        <v>4.5645729166666664E-3</v>
      </c>
      <c r="O18" s="4563">
        <f>C18*(G18/25)*1.02</f>
        <v>3.7187500000000014E-4</v>
      </c>
      <c r="P18" s="5184">
        <f t="shared" si="28"/>
        <v>3.9790625000000015E-4</v>
      </c>
      <c r="Q18" s="4565">
        <v>177</v>
      </c>
      <c r="R18" s="4559">
        <f t="shared" si="29"/>
        <v>50</v>
      </c>
      <c r="S18" s="2844">
        <f t="shared" si="16"/>
        <v>0.05</v>
      </c>
      <c r="T18" s="2845">
        <f t="shared" si="17"/>
        <v>1.4875000000000005E-3</v>
      </c>
      <c r="U18" s="374">
        <f t="shared" si="18"/>
        <v>0</v>
      </c>
      <c r="V18" s="2846">
        <f t="shared" si="19"/>
        <v>0</v>
      </c>
      <c r="W18" s="2847">
        <f t="shared" si="20"/>
        <v>0</v>
      </c>
      <c r="X18" s="2848">
        <f t="shared" si="21"/>
        <v>0</v>
      </c>
      <c r="Y18" s="2849">
        <f t="shared" si="22"/>
        <v>0</v>
      </c>
      <c r="Z18" s="2850">
        <f t="shared" si="23"/>
        <v>0.05</v>
      </c>
      <c r="AA18" s="2851">
        <f t="shared" si="24"/>
        <v>0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1"/>
    </row>
    <row r="19" spans="1:40" ht="12.75" customHeight="1" thickBot="1">
      <c r="A19" s="1"/>
      <c r="B19" s="5275" t="s">
        <v>215</v>
      </c>
      <c r="C19" s="629">
        <f t="shared" si="1"/>
        <v>1.8229166666666673E-4</v>
      </c>
      <c r="D19" s="5223">
        <v>6</v>
      </c>
      <c r="E19" s="5225">
        <v>1</v>
      </c>
      <c r="F19" s="5223">
        <v>1</v>
      </c>
      <c r="G19" s="4559">
        <v>35</v>
      </c>
      <c r="H19" s="7434">
        <v>1</v>
      </c>
      <c r="I19" s="4560">
        <v>0</v>
      </c>
      <c r="J19" s="4560">
        <v>4.6296296296296293E-4</v>
      </c>
      <c r="K19" s="4561" t="s">
        <v>2096</v>
      </c>
      <c r="L19" s="5186">
        <f t="shared" ref="L19:L21" si="31">L18+N18</f>
        <v>0.33822303973179774</v>
      </c>
      <c r="M19" s="4562">
        <v>0.9</v>
      </c>
      <c r="N19" s="5186">
        <f t="shared" si="26"/>
        <v>6.9724421296296299E-4</v>
      </c>
      <c r="O19" s="4563">
        <f>C19*(G19/25)*1.02</f>
        <v>2.6031250000000007E-4</v>
      </c>
      <c r="P19" s="5184">
        <f t="shared" si="28"/>
        <v>2.3428125000000006E-4</v>
      </c>
      <c r="Q19" s="4565">
        <v>177</v>
      </c>
      <c r="R19" s="4559">
        <f t="shared" si="29"/>
        <v>35</v>
      </c>
      <c r="S19" s="2844">
        <f t="shared" si="16"/>
        <v>3.5000000000000003E-2</v>
      </c>
      <c r="T19" s="2845">
        <f t="shared" si="17"/>
        <v>1.0412500000000003E-3</v>
      </c>
      <c r="U19" s="374">
        <f t="shared" si="18"/>
        <v>0</v>
      </c>
      <c r="V19" s="2846">
        <f t="shared" si="19"/>
        <v>0</v>
      </c>
      <c r="W19" s="2847">
        <f t="shared" si="20"/>
        <v>0</v>
      </c>
      <c r="X19" s="2848">
        <f t="shared" si="21"/>
        <v>0</v>
      </c>
      <c r="Y19" s="2849">
        <f t="shared" si="22"/>
        <v>0</v>
      </c>
      <c r="Z19" s="2850">
        <f t="shared" si="23"/>
        <v>3.5000000000000003E-2</v>
      </c>
      <c r="AA19" s="2851">
        <f t="shared" si="24"/>
        <v>0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1"/>
    </row>
    <row r="20" spans="1:40" ht="12.75" customHeight="1" thickBot="1">
      <c r="A20" s="5274"/>
      <c r="B20" s="5275" t="s">
        <v>215</v>
      </c>
      <c r="C20" s="629">
        <f t="shared" si="1"/>
        <v>1.8229166666666673E-4</v>
      </c>
      <c r="D20" s="5223">
        <v>6</v>
      </c>
      <c r="E20" s="5226">
        <v>1</v>
      </c>
      <c r="F20" s="5223">
        <v>1</v>
      </c>
      <c r="G20" s="4559">
        <v>25</v>
      </c>
      <c r="H20" s="7433">
        <v>1</v>
      </c>
      <c r="I20" s="4560">
        <v>3.4722222222222224E-4</v>
      </c>
      <c r="J20" s="4560">
        <v>3.4722222222222224E-4</v>
      </c>
      <c r="K20" s="4561" t="s">
        <v>2097</v>
      </c>
      <c r="L20" s="5186">
        <f t="shared" si="31"/>
        <v>0.3389202839447607</v>
      </c>
      <c r="M20" s="4562">
        <v>0.9</v>
      </c>
      <c r="N20" s="5186">
        <f t="shared" si="26"/>
        <v>8.6178819444444454E-4</v>
      </c>
      <c r="O20" s="4563">
        <f>C20*(G20/25)*1.02</f>
        <v>1.8593750000000007E-4</v>
      </c>
      <c r="P20" s="5184">
        <f t="shared" si="28"/>
        <v>1.6734375000000007E-4</v>
      </c>
      <c r="Q20" s="4565">
        <v>177</v>
      </c>
      <c r="R20" s="4559">
        <f t="shared" si="29"/>
        <v>25</v>
      </c>
      <c r="S20" s="2844">
        <f t="shared" si="16"/>
        <v>2.5000000000000001E-2</v>
      </c>
      <c r="T20" s="2845">
        <f t="shared" si="17"/>
        <v>7.4375000000000027E-4</v>
      </c>
      <c r="U20" s="374">
        <f t="shared" si="18"/>
        <v>0</v>
      </c>
      <c r="V20" s="2846">
        <f t="shared" si="19"/>
        <v>0</v>
      </c>
      <c r="W20" s="2847">
        <f t="shared" si="20"/>
        <v>0</v>
      </c>
      <c r="X20" s="2848">
        <f t="shared" si="21"/>
        <v>0</v>
      </c>
      <c r="Y20" s="2849">
        <f t="shared" si="22"/>
        <v>0</v>
      </c>
      <c r="Z20" s="2850">
        <f t="shared" si="23"/>
        <v>2.5000000000000001E-2</v>
      </c>
      <c r="AA20" s="2851">
        <f t="shared" si="24"/>
        <v>0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1"/>
    </row>
    <row r="21" spans="1:40" ht="12.75" customHeight="1" thickBot="1">
      <c r="A21" s="5274"/>
      <c r="B21" s="5275" t="s">
        <v>215</v>
      </c>
      <c r="C21" s="629">
        <f t="shared" si="1"/>
        <v>1.8229166666666673E-4</v>
      </c>
      <c r="D21" s="5223">
        <v>6</v>
      </c>
      <c r="E21" s="5227">
        <v>1</v>
      </c>
      <c r="F21" s="5223">
        <v>2</v>
      </c>
      <c r="G21" s="4559">
        <v>20</v>
      </c>
      <c r="H21" s="7433">
        <v>1</v>
      </c>
      <c r="I21" s="4560">
        <v>2.3148148148148146E-4</v>
      </c>
      <c r="J21" s="4560">
        <v>1.3888888888888889E-3</v>
      </c>
      <c r="K21" s="4561" t="s">
        <v>2098</v>
      </c>
      <c r="L21" s="5186">
        <f t="shared" si="31"/>
        <v>0.33978207213920514</v>
      </c>
      <c r="M21" s="4562">
        <v>0.9</v>
      </c>
      <c r="N21" s="5186">
        <f t="shared" si="26"/>
        <v>2.1196018518518521E-3</v>
      </c>
      <c r="O21" s="4563">
        <f>C21*(G21/25)*1.02</f>
        <v>1.4875000000000006E-4</v>
      </c>
      <c r="P21" s="5184">
        <f t="shared" si="28"/>
        <v>1.3387500000000007E-4</v>
      </c>
      <c r="Q21" s="4565">
        <v>177</v>
      </c>
      <c r="R21" s="4559">
        <f t="shared" si="29"/>
        <v>40</v>
      </c>
      <c r="S21" s="2844">
        <f t="shared" si="16"/>
        <v>0.04</v>
      </c>
      <c r="T21" s="2845">
        <f t="shared" si="17"/>
        <v>1.1900000000000005E-3</v>
      </c>
      <c r="U21" s="374">
        <f t="shared" si="18"/>
        <v>0</v>
      </c>
      <c r="V21" s="2846">
        <f t="shared" si="19"/>
        <v>0</v>
      </c>
      <c r="W21" s="2847">
        <f t="shared" si="20"/>
        <v>0</v>
      </c>
      <c r="X21" s="2848">
        <f t="shared" si="21"/>
        <v>0</v>
      </c>
      <c r="Y21" s="2849">
        <f t="shared" si="22"/>
        <v>0</v>
      </c>
      <c r="Z21" s="2850">
        <f t="shared" si="23"/>
        <v>0.04</v>
      </c>
      <c r="AA21" s="2851">
        <f t="shared" si="24"/>
        <v>0</v>
      </c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1"/>
    </row>
    <row r="22" spans="1:40" ht="12.75" customHeight="1" thickBot="1">
      <c r="A22" s="5274" t="s">
        <v>215</v>
      </c>
      <c r="B22" s="5275" t="s">
        <v>215</v>
      </c>
      <c r="C22" s="629">
        <f t="shared" si="1"/>
        <v>1.7682291666666674E-4</v>
      </c>
      <c r="D22" s="3569">
        <v>7</v>
      </c>
      <c r="E22" s="3570">
        <v>1</v>
      </c>
      <c r="F22" s="3570">
        <v>6</v>
      </c>
      <c r="G22" s="3570">
        <v>15</v>
      </c>
      <c r="H22" s="3571"/>
      <c r="I22" s="3571">
        <v>1.1574074074074073E-4</v>
      </c>
      <c r="J22" s="3571">
        <v>2.3148148148148146E-4</v>
      </c>
      <c r="K22" s="5231" t="s">
        <v>2103</v>
      </c>
      <c r="L22" s="3637">
        <f>L21+N21</f>
        <v>0.34190167399105698</v>
      </c>
      <c r="M22" s="3573">
        <v>1</v>
      </c>
      <c r="N22" s="5221"/>
      <c r="O22" s="3574">
        <v>2.4305555555555552E-4</v>
      </c>
      <c r="P22" s="2124">
        <v>2.4305555555555552E-4</v>
      </c>
      <c r="Q22" s="3575" t="s">
        <v>316</v>
      </c>
      <c r="R22" s="3661">
        <f t="shared" si="29"/>
        <v>90</v>
      </c>
      <c r="S22" s="2844">
        <f t="shared" si="16"/>
        <v>0.09</v>
      </c>
      <c r="T22" s="2845">
        <f t="shared" si="17"/>
        <v>5.8333333333333327E-3</v>
      </c>
      <c r="U22" s="374">
        <f t="shared" si="18"/>
        <v>0</v>
      </c>
      <c r="V22" s="2846">
        <f t="shared" si="19"/>
        <v>0</v>
      </c>
      <c r="W22" s="2847">
        <f t="shared" si="20"/>
        <v>0</v>
      </c>
      <c r="X22" s="2848">
        <f t="shared" si="21"/>
        <v>0</v>
      </c>
      <c r="Y22" s="2849">
        <f t="shared" si="22"/>
        <v>0</v>
      </c>
      <c r="Z22" s="2850">
        <f t="shared" si="23"/>
        <v>0</v>
      </c>
      <c r="AA22" s="2851">
        <f t="shared" si="24"/>
        <v>0.09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1"/>
    </row>
    <row r="23" spans="1:40" ht="12.75" customHeight="1" thickBot="1">
      <c r="A23" s="5274" t="s">
        <v>138</v>
      </c>
      <c r="B23" s="5275"/>
      <c r="C23" s="629">
        <f t="shared" si="1"/>
        <v>0</v>
      </c>
      <c r="D23" s="5312"/>
      <c r="E23" s="5313"/>
      <c r="F23" s="5313"/>
      <c r="G23" s="5313"/>
      <c r="H23" s="5312"/>
      <c r="I23" s="5312"/>
      <c r="J23" s="5312"/>
      <c r="K23" s="5314"/>
      <c r="L23" s="5315"/>
      <c r="M23" s="5316"/>
      <c r="N23" s="5317">
        <f>SUM(N12:N22)</f>
        <v>4.2137688875002036E-2</v>
      </c>
      <c r="O23" s="5318"/>
      <c r="P23" s="5317"/>
      <c r="Q23" s="5319"/>
      <c r="R23" s="5320">
        <f>SUM(R12:R22)</f>
        <v>1615</v>
      </c>
      <c r="S23" s="2844">
        <f t="shared" si="16"/>
        <v>0</v>
      </c>
      <c r="T23" s="2845">
        <f t="shared" si="17"/>
        <v>0</v>
      </c>
      <c r="U23" s="374">
        <f t="shared" si="18"/>
        <v>0</v>
      </c>
      <c r="V23" s="2846">
        <f t="shared" si="19"/>
        <v>0</v>
      </c>
      <c r="W23" s="2847">
        <f t="shared" si="20"/>
        <v>0</v>
      </c>
      <c r="X23" s="2848">
        <f t="shared" si="21"/>
        <v>0</v>
      </c>
      <c r="Y23" s="2849">
        <f t="shared" si="22"/>
        <v>0</v>
      </c>
      <c r="Z23" s="2850">
        <f t="shared" si="23"/>
        <v>0</v>
      </c>
      <c r="AA23" s="2851">
        <f t="shared" si="24"/>
        <v>0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1"/>
    </row>
    <row r="24" spans="1:40" ht="12.75" customHeight="1" thickBot="1">
      <c r="A24" s="5274" t="s">
        <v>462</v>
      </c>
      <c r="B24" s="5275" t="s">
        <v>461</v>
      </c>
      <c r="C24" s="629">
        <f t="shared" si="1"/>
        <v>2.1908757716049393E-4</v>
      </c>
      <c r="D24" s="920">
        <v>2</v>
      </c>
      <c r="E24" s="5286">
        <v>1</v>
      </c>
      <c r="F24" s="5286">
        <v>4</v>
      </c>
      <c r="G24" s="5286">
        <v>100</v>
      </c>
      <c r="H24" s="5286"/>
      <c r="I24" s="5287">
        <v>1.7361111111111112E-4</v>
      </c>
      <c r="J24" s="5287">
        <v>1.3888888888888889E-3</v>
      </c>
      <c r="K24" s="5288" t="s">
        <v>2524</v>
      </c>
      <c r="L24" s="5321">
        <v>0.79861111111111116</v>
      </c>
      <c r="M24" s="5290">
        <v>1.1000000000000001</v>
      </c>
      <c r="N24" s="5289">
        <f t="shared" ref="N24:N29" si="32">P24*E24*F24+I24*E24*F24+J24*E24</f>
        <v>5.9392746913580268E-3</v>
      </c>
      <c r="O24" s="5291">
        <f t="shared" ref="O24:O29" si="33">C24*(G24/25)</f>
        <v>8.7635030864197572E-4</v>
      </c>
      <c r="P24" s="5291">
        <f>O24*M24</f>
        <v>9.6398533950617339E-4</v>
      </c>
      <c r="Q24" s="5292">
        <v>129</v>
      </c>
      <c r="R24" s="5293">
        <f>E24*F24*G24</f>
        <v>400</v>
      </c>
      <c r="S24" s="2844">
        <f t="shared" si="16"/>
        <v>0.4</v>
      </c>
      <c r="T24" s="2845">
        <f t="shared" si="17"/>
        <v>1.4021604938271611E-2</v>
      </c>
      <c r="U24" s="374">
        <f t="shared" si="18"/>
        <v>0</v>
      </c>
      <c r="V24" s="2846">
        <f t="shared" si="19"/>
        <v>0.4</v>
      </c>
      <c r="W24" s="2847">
        <f t="shared" si="20"/>
        <v>0</v>
      </c>
      <c r="X24" s="2848">
        <f t="shared" si="21"/>
        <v>0</v>
      </c>
      <c r="Y24" s="2849">
        <f t="shared" si="22"/>
        <v>0</v>
      </c>
      <c r="Z24" s="2850">
        <f t="shared" si="23"/>
        <v>0</v>
      </c>
      <c r="AA24" s="2851">
        <f t="shared" si="24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2.75" customHeight="1" thickBot="1">
      <c r="A25" s="5274" t="s">
        <v>461</v>
      </c>
      <c r="B25" s="5275" t="s">
        <v>461</v>
      </c>
      <c r="C25" s="629">
        <f t="shared" si="1"/>
        <v>2.1222190799396687E-4</v>
      </c>
      <c r="D25" s="5322">
        <v>3</v>
      </c>
      <c r="E25" s="5301">
        <v>3</v>
      </c>
      <c r="F25" s="5301">
        <v>2</v>
      </c>
      <c r="G25" s="5301">
        <v>50</v>
      </c>
      <c r="H25" s="5301"/>
      <c r="I25" s="5323">
        <v>8.1018518518518516E-5</v>
      </c>
      <c r="J25" s="5323">
        <v>1.3888888888888889E-3</v>
      </c>
      <c r="K25" s="5257" t="s">
        <v>969</v>
      </c>
      <c r="L25" s="5324">
        <f t="shared" ref="L25:L26" si="34">L24+N24</f>
        <v>0.80455038580246918</v>
      </c>
      <c r="M25" s="5325">
        <v>1.1000000000000001</v>
      </c>
      <c r="N25" s="5326">
        <f t="shared" si="32"/>
        <v>7.4541069632981412E-3</v>
      </c>
      <c r="O25" s="5327">
        <f t="shared" si="33"/>
        <v>4.2444381598793373E-4</v>
      </c>
      <c r="P25" s="5327">
        <f>O25*M25</f>
        <v>4.6688819758672714E-4</v>
      </c>
      <c r="Q25" s="5328">
        <v>165</v>
      </c>
      <c r="R25" s="5329">
        <f>E25*F25*G25</f>
        <v>300</v>
      </c>
      <c r="S25" s="2844">
        <f t="shared" si="16"/>
        <v>0.3</v>
      </c>
      <c r="T25" s="2845">
        <f t="shared" si="17"/>
        <v>1.018665158371041E-2</v>
      </c>
      <c r="U25" s="374">
        <f t="shared" si="18"/>
        <v>0</v>
      </c>
      <c r="V25" s="2846">
        <f t="shared" si="19"/>
        <v>0</v>
      </c>
      <c r="W25" s="2847">
        <f t="shared" si="20"/>
        <v>0.3</v>
      </c>
      <c r="X25" s="2848">
        <f t="shared" si="21"/>
        <v>0</v>
      </c>
      <c r="Y25" s="2849">
        <f t="shared" si="22"/>
        <v>0</v>
      </c>
      <c r="Z25" s="2850">
        <f t="shared" si="23"/>
        <v>0</v>
      </c>
      <c r="AA25" s="2851">
        <f t="shared" si="24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2.75" customHeight="1" thickBot="1">
      <c r="A26" s="3579" t="s">
        <v>458</v>
      </c>
      <c r="B26" s="5483">
        <v>12</v>
      </c>
      <c r="C26" s="629">
        <f t="shared" si="1"/>
        <v>2.2880964381720439E-4</v>
      </c>
      <c r="D26" s="5330">
        <v>1</v>
      </c>
      <c r="E26" s="5277">
        <v>1</v>
      </c>
      <c r="F26" s="5277">
        <v>1</v>
      </c>
      <c r="G26" s="5277">
        <v>500</v>
      </c>
      <c r="H26" s="5277"/>
      <c r="I26" s="5278">
        <v>1.1574074074074073E-4</v>
      </c>
      <c r="J26" s="5278">
        <v>0</v>
      </c>
      <c r="K26" s="5279" t="s">
        <v>2525</v>
      </c>
      <c r="L26" s="5321">
        <f t="shared" si="34"/>
        <v>0.81200449276576736</v>
      </c>
      <c r="M26" s="5290">
        <v>1.25</v>
      </c>
      <c r="N26" s="5289">
        <f t="shared" si="32"/>
        <v>5.8359818361708509E-3</v>
      </c>
      <c r="O26" s="5291">
        <f t="shared" si="33"/>
        <v>4.5761928763440882E-3</v>
      </c>
      <c r="P26" s="5291">
        <f>O26*M26</f>
        <v>5.72024109543011E-3</v>
      </c>
      <c r="Q26" s="5292">
        <v>147</v>
      </c>
      <c r="R26" s="5293">
        <f>E26*F26*G26</f>
        <v>500</v>
      </c>
      <c r="S26" s="2844">
        <f t="shared" si="16"/>
        <v>0.5</v>
      </c>
      <c r="T26" s="2845">
        <f t="shared" si="17"/>
        <v>1.8304771505376353E-2</v>
      </c>
      <c r="U26" s="374">
        <f t="shared" si="18"/>
        <v>0.5</v>
      </c>
      <c r="V26" s="2846">
        <f t="shared" si="19"/>
        <v>0</v>
      </c>
      <c r="W26" s="2847">
        <f t="shared" si="20"/>
        <v>0</v>
      </c>
      <c r="X26" s="2848">
        <f t="shared" si="21"/>
        <v>0</v>
      </c>
      <c r="Y26" s="2849">
        <f t="shared" si="22"/>
        <v>0</v>
      </c>
      <c r="Z26" s="2850">
        <f t="shared" si="23"/>
        <v>0</v>
      </c>
      <c r="AA26" s="2851">
        <f t="shared" si="24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2.75" customHeight="1" thickBot="1">
      <c r="A27" s="5274" t="s">
        <v>219</v>
      </c>
      <c r="B27" s="5275" t="s">
        <v>461</v>
      </c>
      <c r="C27" s="629">
        <f t="shared" si="1"/>
        <v>1.8933937422552669E-4</v>
      </c>
      <c r="D27" s="3555">
        <v>5</v>
      </c>
      <c r="E27" s="1433">
        <v>5</v>
      </c>
      <c r="F27" s="5331">
        <v>1</v>
      </c>
      <c r="G27" s="5332">
        <v>100</v>
      </c>
      <c r="H27" s="5333" t="s">
        <v>1456</v>
      </c>
      <c r="I27" s="5334">
        <v>3.4722222222222224E-4</v>
      </c>
      <c r="J27" s="5334">
        <v>2.0833333333333333E-3</v>
      </c>
      <c r="K27" s="5335" t="s">
        <v>2526</v>
      </c>
      <c r="L27" s="5336">
        <f>L26+N26</f>
        <v>0.81784047460193821</v>
      </c>
      <c r="M27" s="5337">
        <v>1.05</v>
      </c>
      <c r="N27" s="5336">
        <f t="shared" si="32"/>
        <v>1.6128904636513838E-2</v>
      </c>
      <c r="O27" s="5338">
        <f t="shared" si="33"/>
        <v>7.5735749690210676E-4</v>
      </c>
      <c r="P27" s="4148">
        <f t="shared" ref="P27:P29" si="35">O27*M27</f>
        <v>7.9522537174721211E-4</v>
      </c>
      <c r="Q27" s="5339" t="s">
        <v>267</v>
      </c>
      <c r="R27" s="5339">
        <f t="shared" ref="R27:R29" si="36">E27*F27*G27</f>
        <v>500</v>
      </c>
      <c r="S27" s="2844">
        <f t="shared" si="16"/>
        <v>0.5</v>
      </c>
      <c r="T27" s="2845">
        <f t="shared" si="17"/>
        <v>1.5147149938042136E-2</v>
      </c>
      <c r="U27" s="374">
        <f t="shared" si="18"/>
        <v>0</v>
      </c>
      <c r="V27" s="2846">
        <f t="shared" si="19"/>
        <v>0</v>
      </c>
      <c r="W27" s="2847">
        <f t="shared" si="20"/>
        <v>0</v>
      </c>
      <c r="X27" s="2848">
        <f t="shared" si="21"/>
        <v>0</v>
      </c>
      <c r="Y27" s="2849">
        <f t="shared" si="22"/>
        <v>0.5</v>
      </c>
      <c r="Z27" s="2850">
        <f t="shared" si="23"/>
        <v>0</v>
      </c>
      <c r="AA27" s="2851">
        <f t="shared" si="24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2.75" customHeight="1" thickBot="1">
      <c r="A28" s="5274"/>
      <c r="B28" s="5275" t="s">
        <v>461</v>
      </c>
      <c r="C28" s="629">
        <f t="shared" si="1"/>
        <v>1.7682291666666674E-4</v>
      </c>
      <c r="D28" s="3214">
        <v>7</v>
      </c>
      <c r="E28" s="5294">
        <v>3</v>
      </c>
      <c r="F28" s="5294">
        <v>5</v>
      </c>
      <c r="G28" s="5294">
        <v>20</v>
      </c>
      <c r="H28" s="5294"/>
      <c r="I28" s="5295">
        <v>2.3148148148148146E-4</v>
      </c>
      <c r="J28" s="5295">
        <v>1.3888888888888889E-3</v>
      </c>
      <c r="K28" s="5340" t="s">
        <v>314</v>
      </c>
      <c r="L28" s="5296">
        <f>L27+N27</f>
        <v>0.83396937923845205</v>
      </c>
      <c r="M28" s="5297">
        <v>1.05</v>
      </c>
      <c r="N28" s="5296">
        <f t="shared" si="32"/>
        <v>9.8668576388888894E-3</v>
      </c>
      <c r="O28" s="5296">
        <f t="shared" si="33"/>
        <v>1.4145833333333339E-4</v>
      </c>
      <c r="P28" s="5298">
        <f t="shared" si="35"/>
        <v>1.4853125000000006E-4</v>
      </c>
      <c r="Q28" s="5299" t="s">
        <v>267</v>
      </c>
      <c r="R28" s="5300">
        <f t="shared" si="36"/>
        <v>300</v>
      </c>
      <c r="S28" s="2844">
        <f t="shared" si="16"/>
        <v>0.3</v>
      </c>
      <c r="T28" s="2845">
        <f t="shared" si="17"/>
        <v>8.4875000000000037E-3</v>
      </c>
      <c r="U28" s="374">
        <f t="shared" si="18"/>
        <v>0</v>
      </c>
      <c r="V28" s="2846">
        <f t="shared" si="19"/>
        <v>0</v>
      </c>
      <c r="W28" s="2847">
        <f t="shared" si="20"/>
        <v>0</v>
      </c>
      <c r="X28" s="2848">
        <f t="shared" si="21"/>
        <v>0</v>
      </c>
      <c r="Y28" s="2849">
        <f t="shared" si="22"/>
        <v>0</v>
      </c>
      <c r="Z28" s="2850">
        <f t="shared" si="23"/>
        <v>0</v>
      </c>
      <c r="AA28" s="2851">
        <f t="shared" si="24"/>
        <v>0.3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2.75" customHeight="1" thickBot="1">
      <c r="A29" s="5274"/>
      <c r="B29" s="5275" t="s">
        <v>461</v>
      </c>
      <c r="C29" s="629">
        <f t="shared" si="1"/>
        <v>2.2880964381720439E-4</v>
      </c>
      <c r="D29" s="5276">
        <v>1</v>
      </c>
      <c r="E29" s="5277">
        <v>1</v>
      </c>
      <c r="F29" s="5277">
        <v>1</v>
      </c>
      <c r="G29" s="5277">
        <v>300</v>
      </c>
      <c r="H29" s="5278"/>
      <c r="I29" s="5278">
        <v>1.1574074074074073E-4</v>
      </c>
      <c r="J29" s="5278">
        <v>6.9444444444444447E-4</v>
      </c>
      <c r="K29" s="5279" t="s">
        <v>925</v>
      </c>
      <c r="L29" s="5280">
        <f t="shared" ref="L29" si="37">L28+N28</f>
        <v>0.84383623687734088</v>
      </c>
      <c r="M29" s="5281">
        <v>1</v>
      </c>
      <c r="N29" s="5282">
        <f t="shared" si="32"/>
        <v>3.5559009109916383E-3</v>
      </c>
      <c r="O29" s="5283">
        <f t="shared" si="33"/>
        <v>2.7457157258064528E-3</v>
      </c>
      <c r="P29" s="5283">
        <f t="shared" si="35"/>
        <v>2.7457157258064528E-3</v>
      </c>
      <c r="Q29" s="5284">
        <v>129</v>
      </c>
      <c r="R29" s="5285">
        <f t="shared" si="36"/>
        <v>300</v>
      </c>
      <c r="S29" s="2844">
        <f t="shared" si="16"/>
        <v>0.3</v>
      </c>
      <c r="T29" s="2845">
        <f t="shared" si="17"/>
        <v>1.0982862903225811E-2</v>
      </c>
      <c r="U29" s="374">
        <f t="shared" si="18"/>
        <v>0.3</v>
      </c>
      <c r="V29" s="2846">
        <f t="shared" si="19"/>
        <v>0</v>
      </c>
      <c r="W29" s="2847">
        <f t="shared" si="20"/>
        <v>0</v>
      </c>
      <c r="X29" s="2848">
        <f t="shared" si="21"/>
        <v>0</v>
      </c>
      <c r="Y29" s="2849">
        <f t="shared" si="22"/>
        <v>0</v>
      </c>
      <c r="Z29" s="2850">
        <f t="shared" si="23"/>
        <v>0</v>
      </c>
      <c r="AA29" s="2851">
        <f t="shared" si="24"/>
        <v>0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3" customHeight="1" thickBot="1">
      <c r="A30" s="5341"/>
      <c r="B30" s="5342"/>
      <c r="C30" s="629">
        <f t="shared" si="1"/>
        <v>0</v>
      </c>
      <c r="D30" s="5343"/>
      <c r="E30" s="5344"/>
      <c r="F30" s="5344"/>
      <c r="G30" s="5344"/>
      <c r="H30" s="5343"/>
      <c r="I30" s="5343"/>
      <c r="J30" s="5343"/>
      <c r="K30" s="5268"/>
      <c r="L30" s="5345"/>
      <c r="M30" s="5346"/>
      <c r="N30" s="5347"/>
      <c r="O30" s="5348"/>
      <c r="P30" s="5347"/>
      <c r="Q30" s="5272"/>
      <c r="R30" s="5349">
        <f>SUM(R25:R29)</f>
        <v>1900</v>
      </c>
      <c r="S30" s="2844">
        <f t="shared" si="16"/>
        <v>0</v>
      </c>
      <c r="T30" s="2845">
        <f t="shared" si="17"/>
        <v>0</v>
      </c>
      <c r="U30" s="374">
        <f t="shared" si="18"/>
        <v>0</v>
      </c>
      <c r="V30" s="2846">
        <f t="shared" si="19"/>
        <v>0</v>
      </c>
      <c r="W30" s="2847">
        <f t="shared" si="20"/>
        <v>0</v>
      </c>
      <c r="X30" s="2848">
        <f t="shared" si="21"/>
        <v>0</v>
      </c>
      <c r="Y30" s="2849">
        <f t="shared" si="22"/>
        <v>0</v>
      </c>
      <c r="Z30" s="2850">
        <f t="shared" si="23"/>
        <v>0</v>
      </c>
      <c r="AA30" s="2851">
        <f t="shared" si="24"/>
        <v>0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7" customHeight="1" thickBot="1">
      <c r="A31" s="5363" t="s">
        <v>215</v>
      </c>
      <c r="B31" s="5363" t="s">
        <v>461</v>
      </c>
      <c r="C31" s="629">
        <f t="shared" si="1"/>
        <v>2.2880964381720439E-4</v>
      </c>
      <c r="D31" s="5276">
        <v>1</v>
      </c>
      <c r="E31" s="5277">
        <v>1</v>
      </c>
      <c r="F31" s="5277">
        <v>1</v>
      </c>
      <c r="G31" s="5277">
        <v>700</v>
      </c>
      <c r="H31" s="5364" t="s">
        <v>139</v>
      </c>
      <c r="I31" s="5278">
        <v>0</v>
      </c>
      <c r="J31" s="5278">
        <v>1.1574074074074073E-4</v>
      </c>
      <c r="K31" s="5279" t="s">
        <v>171</v>
      </c>
      <c r="L31" s="5280">
        <v>0.79861111111111116</v>
      </c>
      <c r="M31" s="5281">
        <v>1.2</v>
      </c>
      <c r="N31" s="5282">
        <f>P31*E31*F31+I31*E31*F31+J31*E31</f>
        <v>7.8037447729988087E-3</v>
      </c>
      <c r="O31" s="5283">
        <f>C31*(G31/25)</f>
        <v>6.4066700268817231E-3</v>
      </c>
      <c r="P31" s="5283">
        <f t="shared" ref="P31:P37" si="38">O31*M31</f>
        <v>7.6880040322580678E-3</v>
      </c>
      <c r="Q31" s="5284">
        <v>129</v>
      </c>
      <c r="R31" s="5285">
        <f t="shared" ref="R31:R37" si="39">E31*F31*G31</f>
        <v>700</v>
      </c>
      <c r="S31" s="2844">
        <f t="shared" si="16"/>
        <v>0.7</v>
      </c>
      <c r="T31" s="2845">
        <f t="shared" si="17"/>
        <v>2.5626680107526893E-2</v>
      </c>
      <c r="U31" s="374">
        <f t="shared" si="18"/>
        <v>0.7</v>
      </c>
      <c r="V31" s="2846">
        <f t="shared" si="19"/>
        <v>0</v>
      </c>
      <c r="W31" s="2847">
        <f t="shared" si="20"/>
        <v>0</v>
      </c>
      <c r="X31" s="2848">
        <f t="shared" si="21"/>
        <v>0</v>
      </c>
      <c r="Y31" s="2849">
        <f t="shared" si="22"/>
        <v>0</v>
      </c>
      <c r="Z31" s="2850">
        <f t="shared" si="23"/>
        <v>0</v>
      </c>
      <c r="AA31" s="2851">
        <f t="shared" si="24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5" customHeight="1" thickBot="1">
      <c r="A32" s="5363" t="s">
        <v>139</v>
      </c>
      <c r="B32" s="5363" t="s">
        <v>461</v>
      </c>
      <c r="C32" s="629">
        <f t="shared" si="1"/>
        <v>2.1222190799396687E-4</v>
      </c>
      <c r="D32" s="5256">
        <v>3</v>
      </c>
      <c r="E32" s="5301">
        <v>1</v>
      </c>
      <c r="F32" s="5301">
        <v>20</v>
      </c>
      <c r="G32" s="5301">
        <v>25</v>
      </c>
      <c r="H32" s="5365"/>
      <c r="I32" s="5323">
        <v>5.7870370370370366E-5</v>
      </c>
      <c r="J32" s="5323">
        <v>1.3888888888888889E-3</v>
      </c>
      <c r="K32" s="5257" t="s">
        <v>1064</v>
      </c>
      <c r="L32" s="5324">
        <f>L31+N31</f>
        <v>0.80641485588410999</v>
      </c>
      <c r="M32" s="5305">
        <v>1</v>
      </c>
      <c r="N32" s="5304">
        <f>P32*E32*F32+I32*E32*F32+J32*E32</f>
        <v>6.7907344561756334E-3</v>
      </c>
      <c r="O32" s="5263">
        <f>C32*(G32/25)</f>
        <v>2.1222190799396687E-4</v>
      </c>
      <c r="P32" s="5263">
        <f t="shared" si="38"/>
        <v>2.1222190799396687E-4</v>
      </c>
      <c r="Q32" s="5264">
        <v>160</v>
      </c>
      <c r="R32" s="5306">
        <f t="shared" si="39"/>
        <v>500</v>
      </c>
      <c r="S32" s="2844">
        <f t="shared" si="16"/>
        <v>0.5</v>
      </c>
      <c r="T32" s="2845">
        <f t="shared" si="17"/>
        <v>1.6977752639517348E-2</v>
      </c>
      <c r="U32" s="374">
        <f t="shared" si="18"/>
        <v>0</v>
      </c>
      <c r="V32" s="2846">
        <f t="shared" si="19"/>
        <v>0</v>
      </c>
      <c r="W32" s="2847">
        <f t="shared" si="20"/>
        <v>0.5</v>
      </c>
      <c r="X32" s="2848">
        <f t="shared" si="21"/>
        <v>0</v>
      </c>
      <c r="Y32" s="2849">
        <f t="shared" si="22"/>
        <v>0</v>
      </c>
      <c r="Z32" s="2850">
        <f t="shared" si="23"/>
        <v>0</v>
      </c>
      <c r="AA32" s="2851">
        <f t="shared" si="24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7" customHeight="1" thickBot="1">
      <c r="A33" s="5363" t="s">
        <v>458</v>
      </c>
      <c r="B33" s="5484">
        <v>11</v>
      </c>
      <c r="C33" s="629">
        <f t="shared" si="1"/>
        <v>1.8933937422552669E-4</v>
      </c>
      <c r="D33" s="1433">
        <v>5</v>
      </c>
      <c r="E33" s="5331">
        <v>2</v>
      </c>
      <c r="F33" s="5332">
        <v>1</v>
      </c>
      <c r="G33" s="5331">
        <f>100+2*50</f>
        <v>200</v>
      </c>
      <c r="H33" s="5365"/>
      <c r="I33" s="5334">
        <v>5.7870370370370366E-5</v>
      </c>
      <c r="J33" s="5334">
        <v>2.0833333333333333E-3</v>
      </c>
      <c r="K33" s="5366" t="s">
        <v>1541</v>
      </c>
      <c r="L33" s="5367">
        <f t="shared" ref="L33:L37" si="40">L32+N32</f>
        <v>0.81320559034028561</v>
      </c>
      <c r="M33" s="5337">
        <v>1</v>
      </c>
      <c r="N33" s="5336">
        <f>P33*E33*F33+I33*E33*F33+J33*E33</f>
        <v>7.493603194272341E-3</v>
      </c>
      <c r="O33" s="5338">
        <f>C33*(G33/25)*1.06</f>
        <v>1.6055978934324665E-3</v>
      </c>
      <c r="P33" s="4148">
        <f t="shared" si="38"/>
        <v>1.6055978934324665E-3</v>
      </c>
      <c r="Q33" s="5339">
        <v>173</v>
      </c>
      <c r="R33" s="5339">
        <f t="shared" si="39"/>
        <v>400</v>
      </c>
      <c r="S33" s="2844">
        <f t="shared" si="16"/>
        <v>0.4</v>
      </c>
      <c r="T33" s="2845">
        <f t="shared" si="17"/>
        <v>1.2844783147459732E-2</v>
      </c>
      <c r="U33" s="374">
        <f t="shared" si="18"/>
        <v>0</v>
      </c>
      <c r="V33" s="2846">
        <f t="shared" si="19"/>
        <v>0</v>
      </c>
      <c r="W33" s="2847">
        <f t="shared" si="20"/>
        <v>0</v>
      </c>
      <c r="X33" s="2848">
        <f t="shared" si="21"/>
        <v>0</v>
      </c>
      <c r="Y33" s="2849">
        <f t="shared" si="22"/>
        <v>0.4</v>
      </c>
      <c r="Z33" s="2850">
        <f t="shared" si="23"/>
        <v>0</v>
      </c>
      <c r="AA33" s="2851">
        <f t="shared" si="24"/>
        <v>0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4" customHeight="1" thickBot="1">
      <c r="A34" s="5363" t="s">
        <v>462</v>
      </c>
      <c r="B34" s="5368" t="s">
        <v>461</v>
      </c>
      <c r="C34" s="629">
        <f t="shared" si="1"/>
        <v>2.0247664488766629E-4</v>
      </c>
      <c r="D34" s="5369">
        <v>4</v>
      </c>
      <c r="E34" s="5370">
        <v>1</v>
      </c>
      <c r="F34" s="5370">
        <v>4</v>
      </c>
      <c r="G34" s="5370">
        <v>50</v>
      </c>
      <c r="H34" s="5365"/>
      <c r="I34" s="5371">
        <v>5.7870370370370366E-5</v>
      </c>
      <c r="J34" s="5371">
        <v>1.3888888888888889E-3</v>
      </c>
      <c r="K34" s="5372" t="s">
        <v>1898</v>
      </c>
      <c r="L34" s="5373">
        <f t="shared" si="40"/>
        <v>0.820699193534558</v>
      </c>
      <c r="M34" s="5374">
        <v>1</v>
      </c>
      <c r="N34" s="5375">
        <f>P34*E34*F34+I34*E34*F34+J34*E34</f>
        <v>3.2401835294717006E-3</v>
      </c>
      <c r="O34" s="5376">
        <f>C34*(G34/25)</f>
        <v>4.0495328977533258E-4</v>
      </c>
      <c r="P34" s="5376">
        <f t="shared" si="38"/>
        <v>4.0495328977533258E-4</v>
      </c>
      <c r="Q34" s="5377">
        <v>166</v>
      </c>
      <c r="R34" s="5378">
        <f t="shared" si="39"/>
        <v>200</v>
      </c>
      <c r="S34" s="2844">
        <f t="shared" si="16"/>
        <v>0.2</v>
      </c>
      <c r="T34" s="2845">
        <f t="shared" si="17"/>
        <v>6.4792526364053213E-3</v>
      </c>
      <c r="U34" s="374">
        <f t="shared" si="18"/>
        <v>0</v>
      </c>
      <c r="V34" s="2846">
        <f t="shared" si="19"/>
        <v>0</v>
      </c>
      <c r="W34" s="2847">
        <f t="shared" si="20"/>
        <v>0</v>
      </c>
      <c r="X34" s="2848">
        <f t="shared" si="21"/>
        <v>0.2</v>
      </c>
      <c r="Y34" s="2849">
        <f t="shared" si="22"/>
        <v>0</v>
      </c>
      <c r="Z34" s="2850">
        <f t="shared" si="23"/>
        <v>0</v>
      </c>
      <c r="AA34" s="2851">
        <f t="shared" si="24"/>
        <v>0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4" thickBot="1">
      <c r="A35" s="5363" t="s">
        <v>140</v>
      </c>
      <c r="B35" s="5368" t="s">
        <v>461</v>
      </c>
      <c r="C35" s="629">
        <f t="shared" si="1"/>
        <v>2.1222190799396687E-4</v>
      </c>
      <c r="D35" s="5301">
        <v>3</v>
      </c>
      <c r="E35" s="5301">
        <v>1</v>
      </c>
      <c r="F35" s="5301">
        <v>15</v>
      </c>
      <c r="G35" s="5301">
        <v>100</v>
      </c>
      <c r="H35" s="5379"/>
      <c r="I35" s="5302">
        <v>2.3148148148148146E-4</v>
      </c>
      <c r="J35" s="5302">
        <v>2.3148148148148146E-4</v>
      </c>
      <c r="K35" s="5303" t="s">
        <v>2527</v>
      </c>
      <c r="L35" s="5304">
        <f t="shared" si="40"/>
        <v>0.82393937706402975</v>
      </c>
      <c r="M35" s="5305">
        <v>1.4</v>
      </c>
      <c r="N35" s="5304">
        <f>P35*E35*F35+I35*F35*E35+J35*E35</f>
        <v>2.153034397519692E-2</v>
      </c>
      <c r="O35" s="5304">
        <f>C35*(G35/25)</f>
        <v>8.4888763197586746E-4</v>
      </c>
      <c r="P35" s="5263">
        <f t="shared" si="38"/>
        <v>1.1884426847662143E-3</v>
      </c>
      <c r="Q35" s="5264">
        <v>144</v>
      </c>
      <c r="R35" s="5306">
        <f t="shared" si="39"/>
        <v>1500</v>
      </c>
      <c r="S35" s="2844">
        <f t="shared" si="16"/>
        <v>1.5</v>
      </c>
      <c r="T35" s="2845">
        <f t="shared" si="17"/>
        <v>5.093325791855205E-2</v>
      </c>
      <c r="U35" s="374">
        <f t="shared" si="18"/>
        <v>0</v>
      </c>
      <c r="V35" s="2846">
        <f t="shared" si="19"/>
        <v>0</v>
      </c>
      <c r="W35" s="2847">
        <f t="shared" si="20"/>
        <v>1.5</v>
      </c>
      <c r="X35" s="2848">
        <f t="shared" si="21"/>
        <v>0</v>
      </c>
      <c r="Y35" s="2849">
        <f t="shared" si="22"/>
        <v>0</v>
      </c>
      <c r="Z35" s="2850">
        <f t="shared" si="23"/>
        <v>0</v>
      </c>
      <c r="AA35" s="2851">
        <f t="shared" si="24"/>
        <v>0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4" customHeight="1" thickBot="1">
      <c r="A36" s="5363" t="s">
        <v>674</v>
      </c>
      <c r="B36" s="5363" t="s">
        <v>461</v>
      </c>
      <c r="C36" s="629">
        <f t="shared" si="1"/>
        <v>1.7682291666666674E-4</v>
      </c>
      <c r="D36" s="5307">
        <v>7</v>
      </c>
      <c r="E36" s="5308">
        <v>1</v>
      </c>
      <c r="F36" s="5308">
        <v>3</v>
      </c>
      <c r="G36" s="5308">
        <v>15</v>
      </c>
      <c r="H36" s="5309" t="s">
        <v>713</v>
      </c>
      <c r="I36" s="5295">
        <v>3.4722222222222224E-4</v>
      </c>
      <c r="J36" s="5310">
        <v>1.3888888888888889E-3</v>
      </c>
      <c r="K36" s="5308" t="s">
        <v>526</v>
      </c>
      <c r="L36" s="5296">
        <f t="shared" si="40"/>
        <v>0.84546972103922668</v>
      </c>
      <c r="M36" s="5297">
        <v>1</v>
      </c>
      <c r="N36" s="5296">
        <f>P36*E36*F36+I36*F36*E36+J36*E36</f>
        <v>2.7488368055555556E-3</v>
      </c>
      <c r="O36" s="5296">
        <f>C36*(G36/25)</f>
        <v>1.0609375000000004E-4</v>
      </c>
      <c r="P36" s="5298">
        <f t="shared" si="38"/>
        <v>1.0609375000000004E-4</v>
      </c>
      <c r="Q36" s="5299"/>
      <c r="R36" s="5300">
        <f t="shared" si="39"/>
        <v>45</v>
      </c>
      <c r="S36" s="2844">
        <f t="shared" si="16"/>
        <v>4.4999999999999998E-2</v>
      </c>
      <c r="T36" s="2845">
        <f t="shared" si="17"/>
        <v>1.2731250000000004E-3</v>
      </c>
      <c r="U36" s="374">
        <f t="shared" si="18"/>
        <v>0</v>
      </c>
      <c r="V36" s="2846">
        <f t="shared" si="19"/>
        <v>0</v>
      </c>
      <c r="W36" s="2847">
        <f t="shared" si="20"/>
        <v>0</v>
      </c>
      <c r="X36" s="2848">
        <f t="shared" si="21"/>
        <v>0</v>
      </c>
      <c r="Y36" s="2849">
        <f t="shared" si="22"/>
        <v>0</v>
      </c>
      <c r="Z36" s="2850">
        <f t="shared" si="23"/>
        <v>0</v>
      </c>
      <c r="AA36" s="2851">
        <f t="shared" si="24"/>
        <v>4.4999999999999998E-2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5" customHeight="1" thickBot="1">
      <c r="A37" s="5363" t="s">
        <v>219</v>
      </c>
      <c r="B37" s="5368" t="s">
        <v>461</v>
      </c>
      <c r="C37" s="629">
        <f t="shared" si="1"/>
        <v>1.7682291666666674E-4</v>
      </c>
      <c r="D37" s="5307">
        <v>7</v>
      </c>
      <c r="E37" s="5308">
        <v>1</v>
      </c>
      <c r="F37" s="5308">
        <v>4</v>
      </c>
      <c r="G37" s="5308">
        <v>15</v>
      </c>
      <c r="H37" s="5311"/>
      <c r="I37" s="5295">
        <v>3.4722222222222224E-4</v>
      </c>
      <c r="J37" s="5310">
        <v>1.3888888888888889E-3</v>
      </c>
      <c r="K37" s="5308" t="s">
        <v>527</v>
      </c>
      <c r="L37" s="5296">
        <f t="shared" si="40"/>
        <v>0.84821855784478228</v>
      </c>
      <c r="M37" s="5297">
        <v>1</v>
      </c>
      <c r="N37" s="5296">
        <f>P37*E37*F37+I37*F37*E37+J37*E37</f>
        <v>3.2021527777777777E-3</v>
      </c>
      <c r="O37" s="5296">
        <f>C37*(G37/25)</f>
        <v>1.0609375000000004E-4</v>
      </c>
      <c r="P37" s="5298">
        <f t="shared" si="38"/>
        <v>1.0609375000000004E-4</v>
      </c>
      <c r="Q37" s="5299"/>
      <c r="R37" s="5300">
        <f t="shared" si="39"/>
        <v>60</v>
      </c>
      <c r="S37" s="2844">
        <f t="shared" si="16"/>
        <v>0.06</v>
      </c>
      <c r="T37" s="2845">
        <f t="shared" si="17"/>
        <v>1.6975000000000007E-3</v>
      </c>
      <c r="U37" s="374">
        <f t="shared" si="18"/>
        <v>0</v>
      </c>
      <c r="V37" s="2846">
        <f t="shared" si="19"/>
        <v>0</v>
      </c>
      <c r="W37" s="2847">
        <f t="shared" si="20"/>
        <v>0</v>
      </c>
      <c r="X37" s="2848">
        <f t="shared" si="21"/>
        <v>0</v>
      </c>
      <c r="Y37" s="2849">
        <f t="shared" si="22"/>
        <v>0</v>
      </c>
      <c r="Z37" s="2850">
        <f t="shared" si="23"/>
        <v>0</v>
      </c>
      <c r="AA37" s="2851">
        <f t="shared" si="24"/>
        <v>0.06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1"/>
    </row>
    <row r="38" spans="1:40" ht="14" thickBot="1">
      <c r="A38" s="5380" t="s">
        <v>215</v>
      </c>
      <c r="B38" s="5380" t="s">
        <v>215</v>
      </c>
      <c r="C38" s="629">
        <f t="shared" si="1"/>
        <v>0</v>
      </c>
      <c r="D38" s="5343"/>
      <c r="E38" s="5344"/>
      <c r="F38" s="5344"/>
      <c r="G38" s="5344"/>
      <c r="H38" s="5343"/>
      <c r="I38" s="5343"/>
      <c r="J38" s="5343"/>
      <c r="K38" s="5381"/>
      <c r="L38" s="5345"/>
      <c r="M38" s="5346"/>
      <c r="N38" s="5382"/>
      <c r="O38" s="5383"/>
      <c r="P38" s="5384"/>
      <c r="Q38" s="5385"/>
      <c r="R38" s="7421">
        <f>SUM(R31:R37)</f>
        <v>3405</v>
      </c>
      <c r="S38" s="2844">
        <f t="shared" si="16"/>
        <v>0</v>
      </c>
      <c r="T38" s="2845">
        <f t="shared" si="17"/>
        <v>0</v>
      </c>
      <c r="U38" s="374">
        <f t="shared" si="18"/>
        <v>0</v>
      </c>
      <c r="V38" s="2846">
        <f t="shared" si="19"/>
        <v>0</v>
      </c>
      <c r="W38" s="2847">
        <f t="shared" si="20"/>
        <v>0</v>
      </c>
      <c r="X38" s="2848">
        <f t="shared" si="21"/>
        <v>0</v>
      </c>
      <c r="Y38" s="2849">
        <f t="shared" si="22"/>
        <v>0</v>
      </c>
      <c r="Z38" s="2850">
        <f t="shared" si="23"/>
        <v>0</v>
      </c>
      <c r="AA38" s="2851">
        <f t="shared" si="24"/>
        <v>0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1"/>
    </row>
    <row r="39" spans="1:40" ht="14" thickBot="1">
      <c r="A39" s="5274" t="s">
        <v>217</v>
      </c>
      <c r="B39" s="5275" t="s">
        <v>215</v>
      </c>
      <c r="C39" s="629">
        <f t="shared" si="1"/>
        <v>2.1908757716049393E-4</v>
      </c>
      <c r="D39" s="1441">
        <v>2</v>
      </c>
      <c r="E39" s="5387">
        <v>1</v>
      </c>
      <c r="F39" s="5387">
        <v>6</v>
      </c>
      <c r="G39" s="5387">
        <v>25</v>
      </c>
      <c r="H39" s="5388"/>
      <c r="I39" s="5388">
        <v>5.7870370370370366E-5</v>
      </c>
      <c r="J39" s="5388">
        <v>6.9444444444444447E-4</v>
      </c>
      <c r="K39" s="7422" t="s">
        <v>2528</v>
      </c>
      <c r="L39" s="5389">
        <v>0.34027777777777773</v>
      </c>
      <c r="M39" s="5390">
        <v>1.17</v>
      </c>
      <c r="N39" s="5388">
        <f t="shared" ref="N39:N45" si="41">P39*E39*F39+I39*F39*E39+J39*E39</f>
        <v>2.5796614583333344E-3</v>
      </c>
      <c r="O39" s="5391">
        <f t="shared" ref="O39:O45" si="42">C39*(G39/25)</f>
        <v>2.1908757716049393E-4</v>
      </c>
      <c r="P39" s="5391">
        <f t="shared" ref="P39:P45" si="43">O39*M39</f>
        <v>2.5633246527777791E-4</v>
      </c>
      <c r="Q39" s="5392">
        <v>160</v>
      </c>
      <c r="R39" s="5393">
        <f t="shared" ref="R39:R45" si="44">E39*F39*G39</f>
        <v>150</v>
      </c>
      <c r="S39" s="2844">
        <f t="shared" si="16"/>
        <v>0.15</v>
      </c>
      <c r="T39" s="2845">
        <f t="shared" si="17"/>
        <v>5.2581018518518541E-3</v>
      </c>
      <c r="U39" s="374">
        <f t="shared" si="18"/>
        <v>0</v>
      </c>
      <c r="V39" s="2846">
        <f t="shared" si="19"/>
        <v>0.15</v>
      </c>
      <c r="W39" s="2847">
        <f t="shared" si="20"/>
        <v>0</v>
      </c>
      <c r="X39" s="2848">
        <f t="shared" si="21"/>
        <v>0</v>
      </c>
      <c r="Y39" s="2849">
        <f t="shared" si="22"/>
        <v>0</v>
      </c>
      <c r="Z39" s="2850">
        <f t="shared" si="23"/>
        <v>0</v>
      </c>
      <c r="AA39" s="2851">
        <f t="shared" si="24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</row>
    <row r="40" spans="1:40" ht="14" thickBot="1">
      <c r="A40" s="5274" t="s">
        <v>459</v>
      </c>
      <c r="B40" s="5275" t="s">
        <v>215</v>
      </c>
      <c r="C40" s="629">
        <f t="shared" si="1"/>
        <v>1.7682291666666674E-4</v>
      </c>
      <c r="D40" s="1441">
        <v>7</v>
      </c>
      <c r="E40" s="5394">
        <v>1</v>
      </c>
      <c r="F40" s="5394">
        <v>4</v>
      </c>
      <c r="G40" s="5394">
        <v>25</v>
      </c>
      <c r="H40" s="5395"/>
      <c r="I40" s="5395">
        <v>4.6296296296296293E-4</v>
      </c>
      <c r="J40" s="5395">
        <v>1.3888888888888889E-3</v>
      </c>
      <c r="K40" s="7431" t="s">
        <v>2529</v>
      </c>
      <c r="L40" s="4807">
        <f t="shared" ref="L40:L45" si="45">L39+N39</f>
        <v>0.34285743923611106</v>
      </c>
      <c r="M40" s="5396">
        <v>1.17</v>
      </c>
      <c r="N40" s="5395">
        <f t="shared" si="41"/>
        <v>4.0682719907407412E-3</v>
      </c>
      <c r="O40" s="3574">
        <f t="shared" si="42"/>
        <v>1.7682291666666674E-4</v>
      </c>
      <c r="P40" s="2124">
        <f t="shared" si="43"/>
        <v>2.0688281250000006E-4</v>
      </c>
      <c r="Q40" s="4810">
        <v>160</v>
      </c>
      <c r="R40" s="5397">
        <f t="shared" si="44"/>
        <v>100</v>
      </c>
      <c r="S40" s="2844">
        <f t="shared" si="16"/>
        <v>0.1</v>
      </c>
      <c r="T40" s="2845">
        <f t="shared" si="17"/>
        <v>2.8291666666666678E-3</v>
      </c>
      <c r="U40" s="374">
        <f t="shared" si="18"/>
        <v>0</v>
      </c>
      <c r="V40" s="2846">
        <f t="shared" si="19"/>
        <v>0</v>
      </c>
      <c r="W40" s="2847">
        <f t="shared" si="20"/>
        <v>0</v>
      </c>
      <c r="X40" s="2848">
        <f t="shared" si="21"/>
        <v>0</v>
      </c>
      <c r="Y40" s="2849">
        <f t="shared" si="22"/>
        <v>0</v>
      </c>
      <c r="Z40" s="2850">
        <f t="shared" si="23"/>
        <v>0</v>
      </c>
      <c r="AA40" s="2851">
        <f t="shared" si="24"/>
        <v>0.1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</row>
    <row r="41" spans="1:40" ht="14" thickBot="1">
      <c r="A41" s="5274" t="s">
        <v>458</v>
      </c>
      <c r="B41" s="5275" t="s">
        <v>215</v>
      </c>
      <c r="C41" s="629">
        <f t="shared" si="1"/>
        <v>2.1222190799396687E-4</v>
      </c>
      <c r="D41" s="1441">
        <v>3</v>
      </c>
      <c r="E41" s="7424">
        <v>1</v>
      </c>
      <c r="F41" s="7424">
        <v>6</v>
      </c>
      <c r="G41" s="7424">
        <v>25</v>
      </c>
      <c r="H41" s="7425"/>
      <c r="I41" s="7425">
        <v>2.8935185185185189E-4</v>
      </c>
      <c r="J41" s="7425">
        <v>1.3888888888888889E-3</v>
      </c>
      <c r="K41" s="7423" t="s">
        <v>2530</v>
      </c>
      <c r="L41" s="4814">
        <f t="shared" si="45"/>
        <v>0.34692571122685179</v>
      </c>
      <c r="M41" s="5399">
        <v>1.17</v>
      </c>
      <c r="N41" s="5398">
        <f t="shared" si="41"/>
        <v>4.6147977941176479E-3</v>
      </c>
      <c r="O41" s="5400">
        <f t="shared" si="42"/>
        <v>2.1222190799396687E-4</v>
      </c>
      <c r="P41" s="5401">
        <f t="shared" si="43"/>
        <v>2.4829963235294123E-4</v>
      </c>
      <c r="Q41" s="4818">
        <v>160</v>
      </c>
      <c r="R41" s="5402">
        <f t="shared" si="44"/>
        <v>150</v>
      </c>
      <c r="S41" s="2844">
        <f t="shared" si="16"/>
        <v>0.15</v>
      </c>
      <c r="T41" s="2845">
        <f t="shared" si="17"/>
        <v>5.0933257918552048E-3</v>
      </c>
      <c r="U41" s="374">
        <f t="shared" si="18"/>
        <v>0</v>
      </c>
      <c r="V41" s="2846">
        <f t="shared" si="19"/>
        <v>0</v>
      </c>
      <c r="W41" s="2847">
        <f t="shared" si="20"/>
        <v>0.15</v>
      </c>
      <c r="X41" s="2848">
        <f t="shared" si="21"/>
        <v>0</v>
      </c>
      <c r="Y41" s="2849">
        <f t="shared" si="22"/>
        <v>0</v>
      </c>
      <c r="Z41" s="2850">
        <f t="shared" si="23"/>
        <v>0</v>
      </c>
      <c r="AA41" s="2851">
        <f t="shared" si="24"/>
        <v>0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</row>
    <row r="42" spans="1:40" ht="14" thickBot="1">
      <c r="A42" s="5274" t="s">
        <v>218</v>
      </c>
      <c r="B42" s="5483">
        <v>10</v>
      </c>
      <c r="C42" s="629">
        <f t="shared" si="1"/>
        <v>1.7682291666666674E-4</v>
      </c>
      <c r="D42" s="1441">
        <v>7</v>
      </c>
      <c r="E42" s="5394">
        <v>1</v>
      </c>
      <c r="F42" s="5394">
        <v>1</v>
      </c>
      <c r="G42" s="5394">
        <v>100</v>
      </c>
      <c r="H42" s="5395"/>
      <c r="I42" s="5395">
        <v>2.3148148148148146E-4</v>
      </c>
      <c r="J42" s="5395">
        <v>1.3888888888888889E-3</v>
      </c>
      <c r="K42" s="7431" t="s">
        <v>2529</v>
      </c>
      <c r="L42" s="4807">
        <f t="shared" si="45"/>
        <v>0.35154050902096945</v>
      </c>
      <c r="M42" s="5396">
        <v>1.17</v>
      </c>
      <c r="N42" s="5395">
        <f t="shared" si="41"/>
        <v>2.4479016203703707E-3</v>
      </c>
      <c r="O42" s="3574">
        <f t="shared" si="42"/>
        <v>7.0729166666666694E-4</v>
      </c>
      <c r="P42" s="2124">
        <f t="shared" si="43"/>
        <v>8.2753125000000025E-4</v>
      </c>
      <c r="Q42" s="4810">
        <v>160</v>
      </c>
      <c r="R42" s="5397">
        <f t="shared" si="44"/>
        <v>100</v>
      </c>
      <c r="S42" s="2844">
        <f t="shared" si="16"/>
        <v>0.1</v>
      </c>
      <c r="T42" s="2845">
        <f t="shared" si="17"/>
        <v>2.8291666666666678E-3</v>
      </c>
      <c r="U42" s="374">
        <f t="shared" si="18"/>
        <v>0</v>
      </c>
      <c r="V42" s="2846">
        <f t="shared" si="19"/>
        <v>0</v>
      </c>
      <c r="W42" s="2847">
        <f t="shared" si="20"/>
        <v>0</v>
      </c>
      <c r="X42" s="2848">
        <f t="shared" si="21"/>
        <v>0</v>
      </c>
      <c r="Y42" s="2849">
        <f t="shared" si="22"/>
        <v>0</v>
      </c>
      <c r="Z42" s="2850">
        <f t="shared" si="23"/>
        <v>0</v>
      </c>
      <c r="AA42" s="2851">
        <f t="shared" si="24"/>
        <v>0.1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</row>
    <row r="43" spans="1:40" ht="14" thickBot="1">
      <c r="A43" s="5274" t="s">
        <v>458</v>
      </c>
      <c r="B43" s="5275" t="s">
        <v>215</v>
      </c>
      <c r="C43" s="629">
        <f t="shared" si="1"/>
        <v>2.1222190799396687E-4</v>
      </c>
      <c r="D43" s="1441">
        <v>3</v>
      </c>
      <c r="E43" s="7424">
        <v>1</v>
      </c>
      <c r="F43" s="7424">
        <v>6</v>
      </c>
      <c r="G43" s="7424">
        <v>25</v>
      </c>
      <c r="H43" s="7425"/>
      <c r="I43" s="7425">
        <v>2.8935185185185189E-4</v>
      </c>
      <c r="J43" s="7425">
        <v>1.3888888888888889E-3</v>
      </c>
      <c r="K43" s="7423" t="s">
        <v>2531</v>
      </c>
      <c r="L43" s="4814">
        <f t="shared" si="45"/>
        <v>0.35398841064133985</v>
      </c>
      <c r="M43" s="7426">
        <v>1.17</v>
      </c>
      <c r="N43" s="7425">
        <f t="shared" si="41"/>
        <v>4.6147977941176479E-3</v>
      </c>
      <c r="O43" s="7427">
        <f t="shared" si="42"/>
        <v>2.1222190799396687E-4</v>
      </c>
      <c r="P43" s="7428">
        <f t="shared" si="43"/>
        <v>2.4829963235294123E-4</v>
      </c>
      <c r="Q43" s="7429">
        <v>160</v>
      </c>
      <c r="R43" s="7430">
        <f t="shared" si="44"/>
        <v>150</v>
      </c>
      <c r="S43" s="2844">
        <f t="shared" si="16"/>
        <v>0.15</v>
      </c>
      <c r="T43" s="2845">
        <f t="shared" si="17"/>
        <v>5.0933257918552048E-3</v>
      </c>
      <c r="U43" s="374">
        <f t="shared" si="18"/>
        <v>0</v>
      </c>
      <c r="V43" s="2846">
        <f t="shared" si="19"/>
        <v>0</v>
      </c>
      <c r="W43" s="2847">
        <f t="shared" si="20"/>
        <v>0.15</v>
      </c>
      <c r="X43" s="2848">
        <f t="shared" si="21"/>
        <v>0</v>
      </c>
      <c r="Y43" s="2849">
        <f t="shared" si="22"/>
        <v>0</v>
      </c>
      <c r="Z43" s="2850">
        <f t="shared" si="23"/>
        <v>0</v>
      </c>
      <c r="AA43" s="2851">
        <f t="shared" si="24"/>
        <v>0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</row>
    <row r="44" spans="1:40" ht="14" thickBot="1">
      <c r="A44" s="5274"/>
      <c r="B44" s="5275" t="s">
        <v>215</v>
      </c>
      <c r="C44" s="629">
        <f t="shared" si="1"/>
        <v>1.8229166666666673E-4</v>
      </c>
      <c r="D44" s="1441">
        <v>6</v>
      </c>
      <c r="E44" s="5403">
        <v>2</v>
      </c>
      <c r="F44" s="5403">
        <v>4</v>
      </c>
      <c r="G44" s="5403">
        <v>50</v>
      </c>
      <c r="H44" s="5404" t="s">
        <v>710</v>
      </c>
      <c r="I44" s="5405">
        <v>6.9444444444444447E-4</v>
      </c>
      <c r="J44" s="5405">
        <v>1.1574074074074073E-3</v>
      </c>
      <c r="K44" s="4820" t="s">
        <v>1542</v>
      </c>
      <c r="L44" s="5405">
        <f t="shared" si="45"/>
        <v>0.35860320843545751</v>
      </c>
      <c r="M44" s="5406">
        <v>1.17</v>
      </c>
      <c r="N44" s="5405">
        <f t="shared" si="41"/>
        <v>1.1282870370370372E-2</v>
      </c>
      <c r="O44" s="5405">
        <f t="shared" si="42"/>
        <v>3.6458333333333346E-4</v>
      </c>
      <c r="P44" s="5407">
        <f t="shared" si="43"/>
        <v>4.2656250000000013E-4</v>
      </c>
      <c r="Q44" s="4821">
        <v>160</v>
      </c>
      <c r="R44" s="5408">
        <f t="shared" si="44"/>
        <v>400</v>
      </c>
      <c r="S44" s="2844">
        <f t="shared" si="16"/>
        <v>0.4</v>
      </c>
      <c r="T44" s="2845">
        <f t="shared" si="17"/>
        <v>1.1666666666666671E-2</v>
      </c>
      <c r="U44" s="374">
        <f t="shared" si="18"/>
        <v>0</v>
      </c>
      <c r="V44" s="2846">
        <f t="shared" si="19"/>
        <v>0</v>
      </c>
      <c r="W44" s="2847">
        <f t="shared" si="20"/>
        <v>0</v>
      </c>
      <c r="X44" s="2848">
        <f t="shared" si="21"/>
        <v>0</v>
      </c>
      <c r="Y44" s="2849">
        <f t="shared" si="22"/>
        <v>0</v>
      </c>
      <c r="Z44" s="2850">
        <f t="shared" si="23"/>
        <v>0.4</v>
      </c>
      <c r="AA44" s="2851">
        <f t="shared" si="24"/>
        <v>0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</row>
    <row r="45" spans="1:40" ht="14" thickBot="1">
      <c r="A45" s="5274"/>
      <c r="B45" s="5275" t="s">
        <v>215</v>
      </c>
      <c r="C45" s="629">
        <f t="shared" si="1"/>
        <v>1.8229166666666673E-4</v>
      </c>
      <c r="D45" s="1441">
        <v>6</v>
      </c>
      <c r="E45" s="5403">
        <v>2</v>
      </c>
      <c r="F45" s="5403">
        <v>4</v>
      </c>
      <c r="G45" s="5403">
        <v>50</v>
      </c>
      <c r="H45" s="5379" t="s">
        <v>713</v>
      </c>
      <c r="I45" s="5405">
        <v>8.6805555555555551E-4</v>
      </c>
      <c r="J45" s="5405">
        <v>2.8935185185185189E-4</v>
      </c>
      <c r="K45" s="4820" t="s">
        <v>882</v>
      </c>
      <c r="L45" s="5405">
        <f t="shared" si="45"/>
        <v>0.36988607880582786</v>
      </c>
      <c r="M45" s="5406">
        <v>1.17</v>
      </c>
      <c r="N45" s="5405">
        <f t="shared" si="41"/>
        <v>1.0935648148148149E-2</v>
      </c>
      <c r="O45" s="5405">
        <f t="shared" si="42"/>
        <v>3.6458333333333346E-4</v>
      </c>
      <c r="P45" s="5407">
        <f t="shared" si="43"/>
        <v>4.2656250000000013E-4</v>
      </c>
      <c r="Q45" s="4821">
        <v>160</v>
      </c>
      <c r="R45" s="5409">
        <f t="shared" si="44"/>
        <v>400</v>
      </c>
      <c r="S45" s="2844">
        <f t="shared" si="16"/>
        <v>0.4</v>
      </c>
      <c r="T45" s="2845">
        <f t="shared" si="17"/>
        <v>1.1666666666666671E-2</v>
      </c>
      <c r="U45" s="374">
        <f t="shared" si="18"/>
        <v>0</v>
      </c>
      <c r="V45" s="2846">
        <f t="shared" si="19"/>
        <v>0</v>
      </c>
      <c r="W45" s="2847">
        <f t="shared" si="20"/>
        <v>0</v>
      </c>
      <c r="X45" s="2848">
        <f t="shared" si="21"/>
        <v>0</v>
      </c>
      <c r="Y45" s="2849">
        <f t="shared" si="22"/>
        <v>0</v>
      </c>
      <c r="Z45" s="2850">
        <f t="shared" si="23"/>
        <v>0.4</v>
      </c>
      <c r="AA45" s="2851">
        <f t="shared" si="24"/>
        <v>0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</row>
    <row r="46" spans="1:40" ht="14" customHeight="1">
      <c r="A46" s="5380" t="s">
        <v>215</v>
      </c>
      <c r="B46" s="5380" t="s">
        <v>215</v>
      </c>
      <c r="C46" s="629">
        <f t="shared" si="1"/>
        <v>0</v>
      </c>
      <c r="D46" s="5410"/>
      <c r="E46" s="5411"/>
      <c r="F46" s="5411"/>
      <c r="G46" s="5411"/>
      <c r="H46" s="5410"/>
      <c r="I46" s="5410"/>
      <c r="J46" s="5410"/>
      <c r="K46" s="5412"/>
      <c r="L46" s="5345">
        <f>L45+N45</f>
        <v>0.38082172695397598</v>
      </c>
      <c r="M46" s="5413"/>
      <c r="N46" s="5414"/>
      <c r="O46" s="5415"/>
      <c r="P46" s="5416"/>
      <c r="Q46" s="5417"/>
      <c r="R46" s="7421">
        <f>SUM(R39:R45)</f>
        <v>1450</v>
      </c>
      <c r="S46" s="2844">
        <f t="shared" si="16"/>
        <v>0</v>
      </c>
      <c r="T46" s="2845">
        <f t="shared" si="17"/>
        <v>0</v>
      </c>
      <c r="U46" s="374">
        <f t="shared" si="18"/>
        <v>0</v>
      </c>
      <c r="V46" s="2846">
        <f t="shared" si="19"/>
        <v>0</v>
      </c>
      <c r="W46" s="2847">
        <f t="shared" si="20"/>
        <v>0</v>
      </c>
      <c r="X46" s="2848">
        <f t="shared" si="21"/>
        <v>0</v>
      </c>
      <c r="Y46" s="2849">
        <f t="shared" si="22"/>
        <v>0</v>
      </c>
      <c r="Z46" s="2850">
        <f t="shared" si="23"/>
        <v>0</v>
      </c>
      <c r="AA46" s="2851">
        <f t="shared" si="24"/>
        <v>0</v>
      </c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</row>
    <row r="47" spans="1:40" ht="14" customHeight="1">
      <c r="A47" s="5274"/>
      <c r="B47" s="5275" t="s">
        <v>461</v>
      </c>
      <c r="C47" s="2256">
        <f t="shared" ref="C47:C55" si="46">IF(D47=1,U$5,IF(D47=2,V$5,IF(D47=3,W$5,IF(D47=4,X$5,IF(D47=5,Y$5,IF(D47=6,Z$5,IF(D47=7,AA$5,0)))))))</f>
        <v>0</v>
      </c>
      <c r="D47" s="2302">
        <v>2</v>
      </c>
      <c r="E47" s="2276">
        <v>1</v>
      </c>
      <c r="F47" s="2276">
        <v>4</v>
      </c>
      <c r="G47" s="2276">
        <v>25</v>
      </c>
      <c r="H47" s="2277"/>
      <c r="I47" s="2277">
        <v>5.7870370370370366E-5</v>
      </c>
      <c r="J47" s="2277">
        <v>6.9444444444444447E-4</v>
      </c>
      <c r="K47" s="2278" t="s">
        <v>300</v>
      </c>
      <c r="L47" s="5189">
        <v>0.79861111111111116</v>
      </c>
      <c r="M47" s="2280">
        <v>1</v>
      </c>
      <c r="N47" s="2277">
        <f t="shared" ref="N47:N52" si="47">P47*E47*F47+I47*E47*F47+J47*E47</f>
        <v>9.2592592592592596E-4</v>
      </c>
      <c r="O47" s="2281">
        <f t="shared" ref="O47:O52" si="48">C47*(G47/25)</f>
        <v>0</v>
      </c>
      <c r="P47" s="2281">
        <f t="shared" ref="P47:P52" si="49">O47*M47</f>
        <v>0</v>
      </c>
      <c r="Q47" s="2282">
        <v>164</v>
      </c>
      <c r="R47" s="2283">
        <f t="shared" ref="R47:R52" si="50">E47*F47*G47</f>
        <v>100</v>
      </c>
      <c r="S47" s="2844">
        <f t="shared" si="16"/>
        <v>0.1</v>
      </c>
      <c r="T47" s="2845">
        <f t="shared" si="17"/>
        <v>0</v>
      </c>
      <c r="U47" s="374">
        <f t="shared" si="18"/>
        <v>0</v>
      </c>
      <c r="V47" s="2846">
        <f t="shared" si="19"/>
        <v>0</v>
      </c>
      <c r="W47" s="2847">
        <f t="shared" si="20"/>
        <v>0</v>
      </c>
      <c r="X47" s="2848">
        <f t="shared" si="21"/>
        <v>0</v>
      </c>
      <c r="Y47" s="2849">
        <f t="shared" si="22"/>
        <v>0</v>
      </c>
      <c r="Z47" s="2850">
        <f t="shared" si="23"/>
        <v>0</v>
      </c>
      <c r="AA47" s="2851">
        <f t="shared" si="24"/>
        <v>0</v>
      </c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</row>
    <row r="48" spans="1:40" ht="14" customHeight="1">
      <c r="A48" s="5274" t="s">
        <v>217</v>
      </c>
      <c r="B48" s="5275" t="s">
        <v>461</v>
      </c>
      <c r="C48" s="2256">
        <f t="shared" si="46"/>
        <v>0</v>
      </c>
      <c r="D48" s="2309">
        <v>3</v>
      </c>
      <c r="E48" s="2257">
        <v>1</v>
      </c>
      <c r="F48" s="2257">
        <v>4</v>
      </c>
      <c r="G48" s="2257">
        <v>25</v>
      </c>
      <c r="H48" s="2258"/>
      <c r="I48" s="2258">
        <v>2.3148148148148146E-4</v>
      </c>
      <c r="J48" s="2258">
        <v>5.7870370370370378E-4</v>
      </c>
      <c r="K48" s="2259" t="s">
        <v>1192</v>
      </c>
      <c r="L48" s="5190">
        <f t="shared" ref="L48:L56" si="51">L47+N47</f>
        <v>0.79953703703703705</v>
      </c>
      <c r="M48" s="2326">
        <v>1.2</v>
      </c>
      <c r="N48" s="2258">
        <f t="shared" si="47"/>
        <v>1.5046296296296296E-3</v>
      </c>
      <c r="O48" s="2262">
        <f t="shared" si="48"/>
        <v>0</v>
      </c>
      <c r="P48" s="2262">
        <f t="shared" si="49"/>
        <v>0</v>
      </c>
      <c r="Q48" s="2274">
        <v>173</v>
      </c>
      <c r="R48" s="2257">
        <f t="shared" si="50"/>
        <v>100</v>
      </c>
      <c r="S48" s="2844">
        <f t="shared" si="16"/>
        <v>0.1</v>
      </c>
      <c r="T48" s="2845">
        <f t="shared" si="17"/>
        <v>0</v>
      </c>
      <c r="U48" s="374">
        <f t="shared" si="18"/>
        <v>0</v>
      </c>
      <c r="V48" s="2846">
        <f t="shared" si="19"/>
        <v>0</v>
      </c>
      <c r="W48" s="2847">
        <f t="shared" si="20"/>
        <v>0</v>
      </c>
      <c r="X48" s="2848">
        <f t="shared" si="21"/>
        <v>0</v>
      </c>
      <c r="Y48" s="2849">
        <f t="shared" si="22"/>
        <v>0</v>
      </c>
      <c r="Z48" s="2850">
        <f t="shared" si="23"/>
        <v>0</v>
      </c>
      <c r="AA48" s="2851">
        <f t="shared" si="24"/>
        <v>0</v>
      </c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</row>
    <row r="49" spans="1:40" ht="14" customHeight="1">
      <c r="A49" s="5274" t="s">
        <v>459</v>
      </c>
      <c r="B49" s="5275" t="s">
        <v>461</v>
      </c>
      <c r="C49" s="2256">
        <f t="shared" si="46"/>
        <v>0</v>
      </c>
      <c r="D49" s="2309">
        <v>3</v>
      </c>
      <c r="E49" s="2257">
        <v>1</v>
      </c>
      <c r="F49" s="2257">
        <v>4</v>
      </c>
      <c r="G49" s="2257">
        <v>25</v>
      </c>
      <c r="H49" s="2258"/>
      <c r="I49" s="2258">
        <v>2.3148148148148146E-4</v>
      </c>
      <c r="J49" s="2258">
        <v>4.6296296296296293E-4</v>
      </c>
      <c r="K49" s="2259" t="s">
        <v>1193</v>
      </c>
      <c r="L49" s="5190">
        <f t="shared" si="51"/>
        <v>0.80104166666666665</v>
      </c>
      <c r="M49" s="2326">
        <v>1.2</v>
      </c>
      <c r="N49" s="2258">
        <f t="shared" si="47"/>
        <v>1.3888888888888887E-3</v>
      </c>
      <c r="O49" s="2262">
        <f t="shared" si="48"/>
        <v>0</v>
      </c>
      <c r="P49" s="2262">
        <f t="shared" si="49"/>
        <v>0</v>
      </c>
      <c r="Q49" s="2274" t="s">
        <v>316</v>
      </c>
      <c r="R49" s="2257">
        <f t="shared" si="50"/>
        <v>100</v>
      </c>
      <c r="S49" s="2844">
        <f t="shared" si="16"/>
        <v>0.1</v>
      </c>
      <c r="T49" s="2845">
        <f t="shared" si="17"/>
        <v>0</v>
      </c>
      <c r="U49" s="374">
        <f t="shared" si="18"/>
        <v>0</v>
      </c>
      <c r="V49" s="2846">
        <f t="shared" si="19"/>
        <v>0</v>
      </c>
      <c r="W49" s="2847">
        <f t="shared" si="20"/>
        <v>0</v>
      </c>
      <c r="X49" s="2848">
        <f t="shared" si="21"/>
        <v>0</v>
      </c>
      <c r="Y49" s="2849">
        <f t="shared" si="22"/>
        <v>0</v>
      </c>
      <c r="Z49" s="2850">
        <f t="shared" si="23"/>
        <v>0</v>
      </c>
      <c r="AA49" s="2851">
        <f t="shared" si="24"/>
        <v>0</v>
      </c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</row>
    <row r="50" spans="1:40" ht="14" customHeight="1">
      <c r="A50" s="5274" t="s">
        <v>458</v>
      </c>
      <c r="B50" s="5483">
        <v>10</v>
      </c>
      <c r="C50" s="2256">
        <f t="shared" si="46"/>
        <v>0</v>
      </c>
      <c r="D50" s="2309">
        <v>3</v>
      </c>
      <c r="E50" s="2257">
        <v>1</v>
      </c>
      <c r="F50" s="2257">
        <v>4</v>
      </c>
      <c r="G50" s="2257">
        <v>25</v>
      </c>
      <c r="H50" s="2258"/>
      <c r="I50" s="2258">
        <v>2.3148148148148146E-4</v>
      </c>
      <c r="J50" s="2258">
        <v>3.4722222222222224E-4</v>
      </c>
      <c r="K50" s="2259" t="s">
        <v>1668</v>
      </c>
      <c r="L50" s="5190">
        <f t="shared" si="51"/>
        <v>0.80243055555555554</v>
      </c>
      <c r="M50" s="2326">
        <v>1</v>
      </c>
      <c r="N50" s="2258">
        <f t="shared" si="47"/>
        <v>1.273148148148148E-3</v>
      </c>
      <c r="O50" s="2262">
        <f t="shared" si="48"/>
        <v>0</v>
      </c>
      <c r="P50" s="2262">
        <f t="shared" si="49"/>
        <v>0</v>
      </c>
      <c r="Q50" s="2274">
        <v>146</v>
      </c>
      <c r="R50" s="2257">
        <f t="shared" si="50"/>
        <v>100</v>
      </c>
      <c r="S50" s="2844">
        <f t="shared" si="16"/>
        <v>0.1</v>
      </c>
      <c r="T50" s="2845">
        <f t="shared" si="17"/>
        <v>0</v>
      </c>
      <c r="U50" s="374">
        <f t="shared" si="18"/>
        <v>0</v>
      </c>
      <c r="V50" s="2846">
        <f t="shared" si="19"/>
        <v>0</v>
      </c>
      <c r="W50" s="2847">
        <f t="shared" si="20"/>
        <v>0</v>
      </c>
      <c r="X50" s="2848">
        <f t="shared" si="21"/>
        <v>0</v>
      </c>
      <c r="Y50" s="2849">
        <f t="shared" si="22"/>
        <v>0</v>
      </c>
      <c r="Z50" s="2850">
        <f t="shared" si="23"/>
        <v>0</v>
      </c>
      <c r="AA50" s="2851">
        <f t="shared" si="24"/>
        <v>0</v>
      </c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</row>
    <row r="51" spans="1:40" ht="14" customHeight="1">
      <c r="A51" s="5274" t="s">
        <v>218</v>
      </c>
      <c r="B51" s="5275" t="s">
        <v>461</v>
      </c>
      <c r="C51" s="2256">
        <f t="shared" si="46"/>
        <v>0</v>
      </c>
      <c r="D51" s="2309">
        <v>3</v>
      </c>
      <c r="E51" s="2257">
        <v>1</v>
      </c>
      <c r="F51" s="2257">
        <v>4</v>
      </c>
      <c r="G51" s="2257">
        <v>25</v>
      </c>
      <c r="H51" s="2258"/>
      <c r="I51" s="2258">
        <v>2.3148148148148146E-4</v>
      </c>
      <c r="J51" s="2258">
        <v>2.3148148148148146E-4</v>
      </c>
      <c r="K51" s="2259" t="s">
        <v>1669</v>
      </c>
      <c r="L51" s="5190">
        <f t="shared" si="51"/>
        <v>0.8037037037037037</v>
      </c>
      <c r="M51" s="2326">
        <v>0.95</v>
      </c>
      <c r="N51" s="2258">
        <f t="shared" si="47"/>
        <v>1.1574074074074073E-3</v>
      </c>
      <c r="O51" s="2262">
        <f t="shared" si="48"/>
        <v>0</v>
      </c>
      <c r="P51" s="2262">
        <f t="shared" si="49"/>
        <v>0</v>
      </c>
      <c r="Q51" s="2274">
        <v>164</v>
      </c>
      <c r="R51" s="2257">
        <f t="shared" si="50"/>
        <v>100</v>
      </c>
      <c r="S51" s="2844">
        <f t="shared" si="16"/>
        <v>0.1</v>
      </c>
      <c r="T51" s="2845">
        <f t="shared" si="17"/>
        <v>0</v>
      </c>
      <c r="U51" s="374">
        <f t="shared" si="18"/>
        <v>0</v>
      </c>
      <c r="V51" s="2846">
        <f t="shared" si="19"/>
        <v>0</v>
      </c>
      <c r="W51" s="2847">
        <f t="shared" si="20"/>
        <v>0</v>
      </c>
      <c r="X51" s="2848">
        <f t="shared" si="21"/>
        <v>0</v>
      </c>
      <c r="Y51" s="2849">
        <f t="shared" si="22"/>
        <v>0</v>
      </c>
      <c r="Z51" s="2850">
        <f t="shared" si="23"/>
        <v>0</v>
      </c>
      <c r="AA51" s="2851">
        <f t="shared" si="24"/>
        <v>0</v>
      </c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</row>
    <row r="52" spans="1:40" ht="14" customHeight="1">
      <c r="A52" s="5274" t="s">
        <v>458</v>
      </c>
      <c r="B52" s="5275" t="s">
        <v>461</v>
      </c>
      <c r="C52" s="2256">
        <f t="shared" si="46"/>
        <v>0</v>
      </c>
      <c r="D52" s="2505">
        <v>5</v>
      </c>
      <c r="E52" s="3613">
        <v>7</v>
      </c>
      <c r="F52" s="3468">
        <v>1</v>
      </c>
      <c r="G52" s="3445">
        <v>50</v>
      </c>
      <c r="H52" s="2264"/>
      <c r="I52" s="2264">
        <v>5.7870370370370366E-5</v>
      </c>
      <c r="J52" s="2264">
        <v>2.0833333333333333E-3</v>
      </c>
      <c r="K52" s="3466" t="s">
        <v>1670</v>
      </c>
      <c r="L52" s="5187">
        <f t="shared" si="51"/>
        <v>0.80486111111111114</v>
      </c>
      <c r="M52" s="2509">
        <v>0.9</v>
      </c>
      <c r="N52" s="2264">
        <f t="shared" si="47"/>
        <v>1.4988425925925926E-2</v>
      </c>
      <c r="O52" s="2265">
        <f t="shared" si="48"/>
        <v>0</v>
      </c>
      <c r="P52" s="2185">
        <f t="shared" si="49"/>
        <v>0</v>
      </c>
      <c r="Q52" s="3467">
        <v>173</v>
      </c>
      <c r="R52" s="3468">
        <f t="shared" si="50"/>
        <v>350</v>
      </c>
      <c r="S52" s="2844">
        <f t="shared" si="16"/>
        <v>0.35</v>
      </c>
      <c r="T52" s="2845">
        <f t="shared" si="17"/>
        <v>0</v>
      </c>
      <c r="U52" s="374">
        <f t="shared" si="18"/>
        <v>0</v>
      </c>
      <c r="V52" s="2846">
        <f t="shared" si="19"/>
        <v>0</v>
      </c>
      <c r="W52" s="2847">
        <f t="shared" si="20"/>
        <v>0</v>
      </c>
      <c r="X52" s="2848">
        <f t="shared" si="21"/>
        <v>0</v>
      </c>
      <c r="Y52" s="2849">
        <f t="shared" si="22"/>
        <v>0</v>
      </c>
      <c r="Z52" s="2850">
        <f t="shared" si="23"/>
        <v>0</v>
      </c>
      <c r="AA52" s="2851">
        <f t="shared" si="24"/>
        <v>0</v>
      </c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</row>
    <row r="53" spans="1:40" ht="14" customHeight="1">
      <c r="A53" s="5274"/>
      <c r="B53" s="5275"/>
      <c r="C53" s="2256">
        <f t="shared" si="46"/>
        <v>0</v>
      </c>
      <c r="D53" s="3614">
        <v>3</v>
      </c>
      <c r="E53" s="3615">
        <v>1</v>
      </c>
      <c r="F53" s="3615">
        <v>3</v>
      </c>
      <c r="G53" s="2257">
        <v>100</v>
      </c>
      <c r="H53" s="2258"/>
      <c r="I53" s="2258">
        <v>3.5879629629629635E-4</v>
      </c>
      <c r="J53" s="2258">
        <v>1.3888888888888889E-3</v>
      </c>
      <c r="K53" s="2259" t="s">
        <v>1671</v>
      </c>
      <c r="L53" s="5190">
        <f t="shared" si="51"/>
        <v>0.81984953703703711</v>
      </c>
      <c r="M53" s="2326">
        <v>1</v>
      </c>
      <c r="N53" s="2258">
        <f>P53*E53*F53+I53*E53*F53+J53*E53</f>
        <v>2.465277777777778E-3</v>
      </c>
      <c r="O53" s="2262">
        <f>C53*(G53/25)</f>
        <v>0</v>
      </c>
      <c r="P53" s="2262">
        <f>O53*M53</f>
        <v>0</v>
      </c>
      <c r="Q53" s="2274">
        <v>173</v>
      </c>
      <c r="R53" s="2257">
        <f>E53*F53*G53</f>
        <v>300</v>
      </c>
      <c r="S53" s="2844">
        <f t="shared" si="16"/>
        <v>0.3</v>
      </c>
      <c r="T53" s="2845">
        <f t="shared" si="17"/>
        <v>0</v>
      </c>
      <c r="U53" s="374">
        <f t="shared" si="18"/>
        <v>0</v>
      </c>
      <c r="V53" s="2846">
        <f t="shared" si="19"/>
        <v>0</v>
      </c>
      <c r="W53" s="2847">
        <f t="shared" si="20"/>
        <v>0</v>
      </c>
      <c r="X53" s="2848">
        <f t="shared" si="21"/>
        <v>0</v>
      </c>
      <c r="Y53" s="2849">
        <f t="shared" si="22"/>
        <v>0</v>
      </c>
      <c r="Z53" s="2850">
        <f t="shared" si="23"/>
        <v>0</v>
      </c>
      <c r="AA53" s="2851">
        <f t="shared" si="24"/>
        <v>0</v>
      </c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</row>
    <row r="54" spans="1:40" ht="14" customHeight="1">
      <c r="A54" s="5274"/>
      <c r="B54" s="5275"/>
      <c r="C54" s="2256">
        <f t="shared" si="46"/>
        <v>0</v>
      </c>
      <c r="D54" s="3616">
        <v>2</v>
      </c>
      <c r="E54" s="3617">
        <v>1</v>
      </c>
      <c r="F54" s="3617">
        <v>2</v>
      </c>
      <c r="G54" s="2276">
        <v>250</v>
      </c>
      <c r="H54" s="2277"/>
      <c r="I54" s="2258">
        <v>2.8935185185185189E-4</v>
      </c>
      <c r="J54" s="2258">
        <v>1.3888888888888889E-3</v>
      </c>
      <c r="K54" s="2278" t="s">
        <v>1672</v>
      </c>
      <c r="L54" s="5189">
        <f t="shared" si="51"/>
        <v>0.82231481481481494</v>
      </c>
      <c r="M54" s="2280">
        <v>0.85</v>
      </c>
      <c r="N54" s="2277">
        <f>P54*E54*F54+I54*E54*F54+J54*E54</f>
        <v>1.9675925925925928E-3</v>
      </c>
      <c r="O54" s="2281">
        <f>C54*(G54/25)</f>
        <v>0</v>
      </c>
      <c r="P54" s="2281">
        <f>O54*M54</f>
        <v>0</v>
      </c>
      <c r="Q54" s="2282">
        <v>173</v>
      </c>
      <c r="R54" s="2283">
        <f>E54*F54*G54</f>
        <v>500</v>
      </c>
      <c r="S54" s="2844">
        <f t="shared" si="16"/>
        <v>0.5</v>
      </c>
      <c r="T54" s="2845">
        <f t="shared" si="17"/>
        <v>0</v>
      </c>
      <c r="U54" s="374">
        <f t="shared" si="18"/>
        <v>0</v>
      </c>
      <c r="V54" s="2846">
        <f t="shared" si="19"/>
        <v>0</v>
      </c>
      <c r="W54" s="2847">
        <f t="shared" si="20"/>
        <v>0</v>
      </c>
      <c r="X54" s="2848">
        <f t="shared" si="21"/>
        <v>0</v>
      </c>
      <c r="Y54" s="2849">
        <f t="shared" si="22"/>
        <v>0</v>
      </c>
      <c r="Z54" s="2850">
        <f t="shared" si="23"/>
        <v>0</v>
      </c>
      <c r="AA54" s="2851">
        <f t="shared" si="24"/>
        <v>0</v>
      </c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</row>
    <row r="55" spans="1:40" ht="14" customHeight="1">
      <c r="A55" s="5274"/>
      <c r="B55" s="5275" t="s">
        <v>461</v>
      </c>
      <c r="C55" s="2256">
        <f t="shared" si="46"/>
        <v>0</v>
      </c>
      <c r="D55" s="2318">
        <v>7</v>
      </c>
      <c r="E55" s="3618">
        <v>2</v>
      </c>
      <c r="F55" s="2512">
        <v>6</v>
      </c>
      <c r="G55" s="2512">
        <v>25</v>
      </c>
      <c r="H55" s="2270"/>
      <c r="I55" s="2270">
        <v>3.4722222222222224E-4</v>
      </c>
      <c r="J55" s="2270">
        <v>0</v>
      </c>
      <c r="K55" s="3125" t="s">
        <v>413</v>
      </c>
      <c r="L55" s="5188">
        <f t="shared" si="51"/>
        <v>0.82428240740740755</v>
      </c>
      <c r="M55" s="3469">
        <v>0.85</v>
      </c>
      <c r="N55" s="2270">
        <f>P55*E55*F55+I55*E55*F55+J55*E55</f>
        <v>4.1666666666666666E-3</v>
      </c>
      <c r="O55" s="2271">
        <f>C55*(G55/25)</f>
        <v>0</v>
      </c>
      <c r="P55" s="2517">
        <f>O55*M55</f>
        <v>0</v>
      </c>
      <c r="Q55" s="3130">
        <v>173</v>
      </c>
      <c r="R55" s="3470">
        <f>E55*F55*G55</f>
        <v>300</v>
      </c>
      <c r="S55" s="2844">
        <f t="shared" si="16"/>
        <v>0.3</v>
      </c>
      <c r="T55" s="2845">
        <f t="shared" si="17"/>
        <v>0</v>
      </c>
      <c r="U55" s="374">
        <f t="shared" si="18"/>
        <v>0</v>
      </c>
      <c r="V55" s="2846">
        <f t="shared" si="19"/>
        <v>0</v>
      </c>
      <c r="W55" s="2847">
        <f t="shared" si="20"/>
        <v>0</v>
      </c>
      <c r="X55" s="2848">
        <f t="shared" si="21"/>
        <v>0</v>
      </c>
      <c r="Y55" s="2849">
        <f t="shared" si="22"/>
        <v>0</v>
      </c>
      <c r="Z55" s="2850">
        <f t="shared" si="23"/>
        <v>0</v>
      </c>
      <c r="AA55" s="2851">
        <f t="shared" si="24"/>
        <v>0</v>
      </c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</row>
    <row r="56" spans="1:40" ht="14" customHeight="1" thickBot="1">
      <c r="A56" s="5274"/>
      <c r="B56" s="5275"/>
      <c r="C56" s="3619"/>
      <c r="D56" s="3365"/>
      <c r="E56" s="2855"/>
      <c r="F56" s="2855"/>
      <c r="G56" s="2855"/>
      <c r="H56" s="2855"/>
      <c r="I56" s="2855"/>
      <c r="J56" s="2855"/>
      <c r="K56" s="2855"/>
      <c r="L56" s="2182">
        <f t="shared" si="51"/>
        <v>0.8284490740740742</v>
      </c>
      <c r="M56" s="3620"/>
      <c r="N56" s="2528">
        <f>SUM(N47:N55)</f>
        <v>2.9837962962962962E-2</v>
      </c>
      <c r="O56" s="2855"/>
      <c r="P56" s="2855"/>
      <c r="Q56" s="2855"/>
      <c r="R56" s="3621">
        <f>SUM(R47:R55)</f>
        <v>1950</v>
      </c>
      <c r="S56" s="2844">
        <f t="shared" si="16"/>
        <v>0</v>
      </c>
      <c r="T56" s="2845">
        <f t="shared" si="17"/>
        <v>0</v>
      </c>
      <c r="U56" s="374">
        <f t="shared" si="18"/>
        <v>0</v>
      </c>
      <c r="V56" s="2846">
        <f t="shared" si="19"/>
        <v>0</v>
      </c>
      <c r="W56" s="2847">
        <f t="shared" si="20"/>
        <v>0</v>
      </c>
      <c r="X56" s="2848">
        <f t="shared" si="21"/>
        <v>0</v>
      </c>
      <c r="Y56" s="2849">
        <f t="shared" si="22"/>
        <v>0</v>
      </c>
      <c r="Z56" s="2850">
        <f t="shared" si="23"/>
        <v>0</v>
      </c>
      <c r="AA56" s="2851">
        <f t="shared" si="24"/>
        <v>0</v>
      </c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</row>
    <row r="57" spans="1:40" ht="14" customHeight="1" thickBot="1">
      <c r="A57" s="5363" t="s">
        <v>218</v>
      </c>
      <c r="B57" s="5363" t="s">
        <v>461</v>
      </c>
      <c r="C57" s="629">
        <f t="shared" si="1"/>
        <v>2.2880964381720439E-4</v>
      </c>
      <c r="D57" s="4429">
        <v>1</v>
      </c>
      <c r="E57" s="5420">
        <v>1</v>
      </c>
      <c r="F57" s="5420">
        <v>3</v>
      </c>
      <c r="G57" s="5420">
        <v>500</v>
      </c>
      <c r="H57" s="5420"/>
      <c r="I57" s="5421">
        <v>1.9675925925925926E-4</v>
      </c>
      <c r="J57" s="5421">
        <v>2.3148148148148146E-4</v>
      </c>
      <c r="K57" s="5422" t="s">
        <v>1125</v>
      </c>
      <c r="L57" s="5421">
        <v>0.34027777777777773</v>
      </c>
      <c r="M57" s="5423">
        <v>1.2</v>
      </c>
      <c r="N57" s="5424">
        <f t="shared" ref="N57:N63" si="52">P57*E57*F57+I57*F57*E57+J57*E57</f>
        <v>1.7296053614097976E-2</v>
      </c>
      <c r="O57" s="5425">
        <f t="shared" ref="O57:O63" si="53">C57*(G57/25)</f>
        <v>4.5761928763440882E-3</v>
      </c>
      <c r="P57" s="5424">
        <f t="shared" ref="P57:P63" si="54">O57*M57</f>
        <v>5.4914314516129057E-3</v>
      </c>
      <c r="Q57" s="5426">
        <v>144</v>
      </c>
      <c r="R57" s="5427">
        <f t="shared" ref="R57:R63" si="55">E57*F57*G57</f>
        <v>1500</v>
      </c>
      <c r="S57" s="2844">
        <f t="shared" si="16"/>
        <v>1.5</v>
      </c>
      <c r="T57" s="2845">
        <f t="shared" si="17"/>
        <v>5.4914314516129062E-2</v>
      </c>
      <c r="U57" s="374">
        <f t="shared" si="18"/>
        <v>1.5</v>
      </c>
      <c r="V57" s="2846">
        <f t="shared" si="19"/>
        <v>0</v>
      </c>
      <c r="W57" s="2847">
        <f t="shared" si="20"/>
        <v>0</v>
      </c>
      <c r="X57" s="2848">
        <f t="shared" si="21"/>
        <v>0</v>
      </c>
      <c r="Y57" s="2849">
        <f t="shared" si="22"/>
        <v>0</v>
      </c>
      <c r="Z57" s="2850">
        <f t="shared" si="23"/>
        <v>0</v>
      </c>
      <c r="AA57" s="2851">
        <f t="shared" si="24"/>
        <v>0</v>
      </c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</row>
    <row r="58" spans="1:40" ht="14" customHeight="1" thickBot="1">
      <c r="A58" s="5363" t="s">
        <v>139</v>
      </c>
      <c r="B58" s="5363" t="s">
        <v>461</v>
      </c>
      <c r="C58" s="629">
        <f t="shared" si="1"/>
        <v>2.1908757716049393E-4</v>
      </c>
      <c r="D58" s="920">
        <v>2</v>
      </c>
      <c r="E58" s="5427">
        <v>1</v>
      </c>
      <c r="F58" s="5427">
        <v>1</v>
      </c>
      <c r="G58" s="5427">
        <v>200</v>
      </c>
      <c r="H58" s="5427"/>
      <c r="I58" s="5424">
        <v>0</v>
      </c>
      <c r="J58" s="5424">
        <v>3.4722222222222224E-4</v>
      </c>
      <c r="K58" s="5423" t="s">
        <v>2533</v>
      </c>
      <c r="L58" s="5424">
        <f t="shared" ref="L58:L64" si="56">L57+N57</f>
        <v>0.35757383139187571</v>
      </c>
      <c r="M58" s="5423">
        <v>1.1499999999999999</v>
      </c>
      <c r="N58" s="5424">
        <f t="shared" si="52"/>
        <v>2.3628279320987663E-3</v>
      </c>
      <c r="O58" s="5425">
        <f t="shared" si="53"/>
        <v>1.7527006172839514E-3</v>
      </c>
      <c r="P58" s="5424">
        <f t="shared" si="54"/>
        <v>2.015605709876544E-3</v>
      </c>
      <c r="Q58" s="5426">
        <v>160</v>
      </c>
      <c r="R58" s="5427">
        <f t="shared" si="55"/>
        <v>200</v>
      </c>
      <c r="S58" s="2844">
        <f t="shared" si="16"/>
        <v>0.2</v>
      </c>
      <c r="T58" s="2845">
        <f t="shared" si="17"/>
        <v>7.0108024691358057E-3</v>
      </c>
      <c r="U58" s="374">
        <f t="shared" si="18"/>
        <v>0</v>
      </c>
      <c r="V58" s="2846">
        <f t="shared" si="19"/>
        <v>0.2</v>
      </c>
      <c r="W58" s="2847">
        <f t="shared" si="20"/>
        <v>0</v>
      </c>
      <c r="X58" s="2848">
        <f t="shared" si="21"/>
        <v>0</v>
      </c>
      <c r="Y58" s="2849">
        <f t="shared" si="22"/>
        <v>0</v>
      </c>
      <c r="Z58" s="2850">
        <f t="shared" si="23"/>
        <v>0</v>
      </c>
      <c r="AA58" s="2851">
        <f t="shared" si="24"/>
        <v>0</v>
      </c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</row>
    <row r="59" spans="1:40" ht="14" customHeight="1" thickBot="1">
      <c r="A59" s="5363" t="s">
        <v>458</v>
      </c>
      <c r="B59" s="5363" t="s">
        <v>461</v>
      </c>
      <c r="C59" s="629">
        <f t="shared" si="1"/>
        <v>2.1222190799396687E-4</v>
      </c>
      <c r="D59" s="4794">
        <v>3</v>
      </c>
      <c r="E59" s="5428">
        <v>1</v>
      </c>
      <c r="F59" s="5428">
        <v>4</v>
      </c>
      <c r="G59" s="5428">
        <v>50</v>
      </c>
      <c r="H59" s="5428"/>
      <c r="I59" s="5429">
        <v>1.7361111111111112E-4</v>
      </c>
      <c r="J59" s="5429">
        <v>1.3888888888888889E-3</v>
      </c>
      <c r="K59" s="7432" t="s">
        <v>2532</v>
      </c>
      <c r="L59" s="5429">
        <f t="shared" si="56"/>
        <v>0.35993665932397445</v>
      </c>
      <c r="M59" s="5430">
        <v>1.1499999999999999</v>
      </c>
      <c r="N59" s="5429">
        <f t="shared" si="52"/>
        <v>4.0357748868778288E-3</v>
      </c>
      <c r="O59" s="5431">
        <f t="shared" si="53"/>
        <v>4.2444381598793373E-4</v>
      </c>
      <c r="P59" s="5429">
        <f t="shared" si="54"/>
        <v>4.8811038838612376E-4</v>
      </c>
      <c r="Q59" s="5432">
        <v>160</v>
      </c>
      <c r="R59" s="5428">
        <f t="shared" si="55"/>
        <v>200</v>
      </c>
      <c r="S59" s="2844">
        <f t="shared" si="16"/>
        <v>0.2</v>
      </c>
      <c r="T59" s="2845">
        <f t="shared" si="17"/>
        <v>6.7911010558069397E-3</v>
      </c>
      <c r="U59" s="374">
        <f t="shared" si="18"/>
        <v>0</v>
      </c>
      <c r="V59" s="2846">
        <f t="shared" si="19"/>
        <v>0</v>
      </c>
      <c r="W59" s="2847">
        <f t="shared" si="20"/>
        <v>0.2</v>
      </c>
      <c r="X59" s="2848">
        <f t="shared" si="21"/>
        <v>0</v>
      </c>
      <c r="Y59" s="2849">
        <f t="shared" si="22"/>
        <v>0</v>
      </c>
      <c r="Z59" s="2850">
        <f t="shared" si="23"/>
        <v>0</v>
      </c>
      <c r="AA59" s="2851">
        <f t="shared" si="24"/>
        <v>0</v>
      </c>
      <c r="AC59" s="2867"/>
      <c r="AD59" s="2867"/>
      <c r="AE59" s="2867"/>
      <c r="AF59" s="2867"/>
      <c r="AG59" s="2867"/>
      <c r="AH59" s="2867"/>
      <c r="AI59" s="2825"/>
      <c r="AJ59" s="2825"/>
      <c r="AK59" s="2825"/>
      <c r="AL59" s="2825"/>
      <c r="AM59" s="2825"/>
    </row>
    <row r="60" spans="1:40" ht="16.25" customHeight="1" thickBot="1">
      <c r="A60" s="5363" t="s">
        <v>462</v>
      </c>
      <c r="B60" s="5483">
        <v>9</v>
      </c>
      <c r="C60" s="629">
        <f t="shared" si="1"/>
        <v>2.1908757716049393E-4</v>
      </c>
      <c r="D60" s="4794">
        <v>2</v>
      </c>
      <c r="E60" s="5433">
        <v>1</v>
      </c>
      <c r="F60" s="5427">
        <v>1</v>
      </c>
      <c r="G60" s="5427">
        <v>250</v>
      </c>
      <c r="H60" s="5427"/>
      <c r="I60" s="5424">
        <v>2.8935185185185189E-4</v>
      </c>
      <c r="J60" s="5424">
        <v>1.3888888888888889E-3</v>
      </c>
      <c r="K60" s="5423" t="s">
        <v>2534</v>
      </c>
      <c r="L60" s="5424">
        <f t="shared" si="56"/>
        <v>0.36397243421085229</v>
      </c>
      <c r="M60" s="5423">
        <v>1.1499999999999999</v>
      </c>
      <c r="N60" s="5424">
        <f t="shared" si="52"/>
        <v>4.1977478780864212E-3</v>
      </c>
      <c r="O60" s="5425">
        <f t="shared" si="53"/>
        <v>2.1908757716049393E-3</v>
      </c>
      <c r="P60" s="5424">
        <f t="shared" si="54"/>
        <v>2.5195071373456802E-3</v>
      </c>
      <c r="Q60" s="5426">
        <v>160</v>
      </c>
      <c r="R60" s="5427">
        <f t="shared" si="55"/>
        <v>250</v>
      </c>
      <c r="S60" s="2844">
        <f t="shared" si="16"/>
        <v>0.25</v>
      </c>
      <c r="T60" s="2845">
        <f t="shared" si="17"/>
        <v>8.7635030864197574E-3</v>
      </c>
      <c r="U60" s="374">
        <f t="shared" si="18"/>
        <v>0</v>
      </c>
      <c r="V60" s="2846">
        <f t="shared" si="19"/>
        <v>0.25</v>
      </c>
      <c r="W60" s="2847">
        <f t="shared" si="20"/>
        <v>0</v>
      </c>
      <c r="X60" s="2848">
        <f t="shared" si="21"/>
        <v>0</v>
      </c>
      <c r="Y60" s="2849">
        <f t="shared" si="22"/>
        <v>0</v>
      </c>
      <c r="Z60" s="2850">
        <f t="shared" si="23"/>
        <v>0</v>
      </c>
      <c r="AA60" s="2851">
        <f t="shared" si="24"/>
        <v>0</v>
      </c>
      <c r="AC60" s="2867"/>
      <c r="AD60" s="2867"/>
      <c r="AE60" s="2867"/>
      <c r="AF60" s="2867"/>
      <c r="AG60" s="2867"/>
      <c r="AH60" s="2867"/>
      <c r="AI60" s="2825"/>
      <c r="AJ60" s="2825"/>
      <c r="AK60" s="2825"/>
      <c r="AL60" s="2825"/>
      <c r="AM60" s="2825"/>
    </row>
    <row r="61" spans="1:40" ht="15" customHeight="1" thickBot="1">
      <c r="A61" s="5363" t="s">
        <v>460</v>
      </c>
      <c r="B61" s="5363" t="s">
        <v>461</v>
      </c>
      <c r="C61" s="629">
        <f t="shared" si="1"/>
        <v>2.1222190799396687E-4</v>
      </c>
      <c r="D61" s="4794">
        <v>3</v>
      </c>
      <c r="E61" s="5434">
        <v>1</v>
      </c>
      <c r="F61" s="5434">
        <v>4</v>
      </c>
      <c r="G61" s="5428">
        <v>50</v>
      </c>
      <c r="H61" s="5428"/>
      <c r="I61" s="5429">
        <v>1.7361111111111112E-4</v>
      </c>
      <c r="J61" s="5429">
        <v>2.8935185185185189E-4</v>
      </c>
      <c r="K61" s="7432" t="s">
        <v>2532</v>
      </c>
      <c r="L61" s="5429">
        <f t="shared" si="56"/>
        <v>0.3681701820889387</v>
      </c>
      <c r="M61" s="5430">
        <v>1.1499999999999999</v>
      </c>
      <c r="N61" s="5429">
        <f t="shared" si="52"/>
        <v>2.9362378498407915E-3</v>
      </c>
      <c r="O61" s="5431">
        <f t="shared" si="53"/>
        <v>4.2444381598793373E-4</v>
      </c>
      <c r="P61" s="5429">
        <f t="shared" si="54"/>
        <v>4.8811038838612376E-4</v>
      </c>
      <c r="Q61" s="5432">
        <v>160</v>
      </c>
      <c r="R61" s="5428">
        <f t="shared" si="55"/>
        <v>200</v>
      </c>
      <c r="S61" s="2844">
        <f t="shared" si="16"/>
        <v>0.2</v>
      </c>
      <c r="T61" s="2845">
        <f t="shared" si="17"/>
        <v>6.7911010558069397E-3</v>
      </c>
      <c r="U61" s="374">
        <f t="shared" si="18"/>
        <v>0</v>
      </c>
      <c r="V61" s="2846">
        <f t="shared" si="19"/>
        <v>0</v>
      </c>
      <c r="W61" s="2847">
        <f t="shared" si="20"/>
        <v>0.2</v>
      </c>
      <c r="X61" s="2848">
        <f t="shared" si="21"/>
        <v>0</v>
      </c>
      <c r="Y61" s="2849">
        <f t="shared" si="22"/>
        <v>0</v>
      </c>
      <c r="Z61" s="2850">
        <f t="shared" si="23"/>
        <v>0</v>
      </c>
      <c r="AA61" s="2851">
        <f t="shared" si="24"/>
        <v>0</v>
      </c>
      <c r="AC61" s="2867"/>
      <c r="AD61" s="2867"/>
      <c r="AE61" s="2867"/>
      <c r="AF61" s="2867"/>
      <c r="AG61" s="2867"/>
      <c r="AH61" s="2867"/>
      <c r="AI61" s="2825"/>
      <c r="AJ61" s="2825"/>
      <c r="AK61" s="2825"/>
      <c r="AL61" s="2825"/>
      <c r="AM61" s="2825"/>
      <c r="AN61" s="1"/>
    </row>
    <row r="62" spans="1:40" ht="14" thickBot="1">
      <c r="A62" s="5363" t="s">
        <v>458</v>
      </c>
      <c r="B62" s="5363" t="s">
        <v>461</v>
      </c>
      <c r="C62" s="629">
        <f t="shared" si="1"/>
        <v>2.1222190799396687E-4</v>
      </c>
      <c r="D62" s="4794">
        <v>3</v>
      </c>
      <c r="E62" s="5433">
        <v>1</v>
      </c>
      <c r="F62" s="5427">
        <v>1</v>
      </c>
      <c r="G62" s="5427">
        <v>1000</v>
      </c>
      <c r="H62" s="5427"/>
      <c r="I62" s="5424">
        <v>2.8935185185185189E-4</v>
      </c>
      <c r="J62" s="5424">
        <v>1.3888888888888889E-3</v>
      </c>
      <c r="K62" s="5423" t="s">
        <v>1162</v>
      </c>
      <c r="L62" s="5424">
        <f t="shared" si="56"/>
        <v>0.37110641993877952</v>
      </c>
      <c r="M62" s="5423">
        <v>1.1499999999999999</v>
      </c>
      <c r="N62" s="5424">
        <f t="shared" si="52"/>
        <v>1.1440448508463215E-2</v>
      </c>
      <c r="O62" s="5425">
        <f t="shared" si="53"/>
        <v>8.4888763197586738E-3</v>
      </c>
      <c r="P62" s="5424">
        <f t="shared" si="54"/>
        <v>9.7622077677224743E-3</v>
      </c>
      <c r="Q62" s="5426">
        <v>160</v>
      </c>
      <c r="R62" s="5427">
        <f t="shared" si="55"/>
        <v>1000</v>
      </c>
      <c r="S62" s="2844">
        <f t="shared" si="16"/>
        <v>1</v>
      </c>
      <c r="T62" s="2845">
        <f t="shared" si="17"/>
        <v>3.3955505279034695E-2</v>
      </c>
      <c r="U62" s="374">
        <f t="shared" si="18"/>
        <v>0</v>
      </c>
      <c r="V62" s="2846">
        <f t="shared" si="19"/>
        <v>0</v>
      </c>
      <c r="W62" s="2847">
        <f t="shared" si="20"/>
        <v>1</v>
      </c>
      <c r="X62" s="2848">
        <f t="shared" si="21"/>
        <v>0</v>
      </c>
      <c r="Y62" s="2849">
        <f t="shared" si="22"/>
        <v>0</v>
      </c>
      <c r="Z62" s="2850">
        <f t="shared" si="23"/>
        <v>0</v>
      </c>
      <c r="AA62" s="2851">
        <f t="shared" si="24"/>
        <v>0</v>
      </c>
      <c r="AC62" s="2867"/>
      <c r="AD62" s="2867"/>
      <c r="AE62" s="2867"/>
      <c r="AF62" s="2867"/>
      <c r="AG62" s="2867"/>
      <c r="AH62" s="2867"/>
      <c r="AI62" s="2825"/>
      <c r="AJ62" s="2825"/>
      <c r="AK62" s="2825"/>
      <c r="AL62" s="2825"/>
      <c r="AM62" s="2825"/>
      <c r="AN62" s="1"/>
    </row>
    <row r="63" spans="1:40" ht="14" customHeight="1" thickBot="1">
      <c r="A63" s="5363" t="s">
        <v>219</v>
      </c>
      <c r="B63" s="5363" t="s">
        <v>461</v>
      </c>
      <c r="C63" s="629">
        <f t="shared" si="1"/>
        <v>2.0247664488766629E-4</v>
      </c>
      <c r="D63" s="4794">
        <v>4</v>
      </c>
      <c r="E63" s="5435">
        <v>1</v>
      </c>
      <c r="F63" s="5435">
        <v>1</v>
      </c>
      <c r="G63" s="5436">
        <v>300</v>
      </c>
      <c r="H63" s="5437"/>
      <c r="I63" s="5438">
        <v>0</v>
      </c>
      <c r="J63" s="5438">
        <v>2.0833333333333333E-3</v>
      </c>
      <c r="K63" s="5439" t="s">
        <v>1425</v>
      </c>
      <c r="L63" s="5440">
        <f t="shared" si="56"/>
        <v>0.38254686844724273</v>
      </c>
      <c r="M63" s="5441">
        <v>1.1000000000000001</v>
      </c>
      <c r="N63" s="5440">
        <f t="shared" si="52"/>
        <v>4.7560250458505288E-3</v>
      </c>
      <c r="O63" s="5442">
        <f t="shared" si="53"/>
        <v>2.4297197386519954E-3</v>
      </c>
      <c r="P63" s="5440">
        <f t="shared" si="54"/>
        <v>2.672691712517195E-3</v>
      </c>
      <c r="Q63" s="5443">
        <v>175</v>
      </c>
      <c r="R63" s="5444">
        <f t="shared" si="55"/>
        <v>300</v>
      </c>
      <c r="S63" s="2844">
        <f t="shared" si="16"/>
        <v>0.3</v>
      </c>
      <c r="T63" s="2845">
        <f t="shared" si="17"/>
        <v>9.7188789546079814E-3</v>
      </c>
      <c r="U63" s="374">
        <f t="shared" si="18"/>
        <v>0</v>
      </c>
      <c r="V63" s="2846">
        <f t="shared" si="19"/>
        <v>0</v>
      </c>
      <c r="W63" s="2847">
        <f t="shared" si="20"/>
        <v>0</v>
      </c>
      <c r="X63" s="2848">
        <f t="shared" si="21"/>
        <v>0.3</v>
      </c>
      <c r="Y63" s="2849">
        <f t="shared" si="22"/>
        <v>0</v>
      </c>
      <c r="Z63" s="2850">
        <f t="shared" si="23"/>
        <v>0</v>
      </c>
      <c r="AA63" s="2851">
        <f t="shared" si="24"/>
        <v>0</v>
      </c>
      <c r="AC63" s="2867"/>
      <c r="AD63" s="2867"/>
      <c r="AE63" s="2867"/>
      <c r="AF63" s="2867"/>
      <c r="AG63" s="2867"/>
      <c r="AH63" s="2867"/>
      <c r="AI63" s="2825"/>
      <c r="AJ63" s="2825"/>
      <c r="AK63" s="2825"/>
      <c r="AL63" s="2825"/>
      <c r="AM63" s="2825"/>
      <c r="AN63" s="1"/>
    </row>
    <row r="64" spans="1:40" ht="14" customHeight="1" thickBot="1">
      <c r="A64" s="5363"/>
      <c r="B64" s="5363" t="s">
        <v>461</v>
      </c>
      <c r="C64" s="629">
        <f t="shared" si="1"/>
        <v>0</v>
      </c>
      <c r="D64" s="920"/>
      <c r="E64" s="3275"/>
      <c r="F64" s="5445"/>
      <c r="G64" s="5445"/>
      <c r="H64" s="5446"/>
      <c r="I64" s="5447"/>
      <c r="J64" s="5447"/>
      <c r="K64" s="5445"/>
      <c r="L64" s="5448">
        <f t="shared" si="56"/>
        <v>0.38730289349309327</v>
      </c>
      <c r="M64" s="5449">
        <v>0.78</v>
      </c>
      <c r="N64" s="5450">
        <f>SUM(N57:N63)</f>
        <v>4.7025115715315528E-2</v>
      </c>
      <c r="O64" s="5450"/>
      <c r="P64" s="5451"/>
      <c r="Q64" s="5452"/>
      <c r="R64" s="5453">
        <f>SUM(R57:R63)</f>
        <v>3650</v>
      </c>
      <c r="S64" s="2844">
        <f t="shared" si="16"/>
        <v>0</v>
      </c>
      <c r="T64" s="2845">
        <f t="shared" si="17"/>
        <v>0</v>
      </c>
      <c r="U64" s="374">
        <f t="shared" si="18"/>
        <v>0</v>
      </c>
      <c r="V64" s="2846">
        <f t="shared" si="19"/>
        <v>0</v>
      </c>
      <c r="W64" s="2847">
        <f t="shared" si="20"/>
        <v>0</v>
      </c>
      <c r="X64" s="2848">
        <f t="shared" si="21"/>
        <v>0</v>
      </c>
      <c r="Y64" s="2849">
        <f t="shared" si="22"/>
        <v>0</v>
      </c>
      <c r="Z64" s="2850">
        <f t="shared" si="23"/>
        <v>0</v>
      </c>
      <c r="AA64" s="2851">
        <f t="shared" si="24"/>
        <v>0</v>
      </c>
      <c r="AC64" s="2867"/>
      <c r="AD64" s="2867"/>
      <c r="AE64" s="2867"/>
      <c r="AF64" s="2867"/>
      <c r="AG64" s="2867"/>
      <c r="AH64" s="2867"/>
      <c r="AI64" s="2825"/>
      <c r="AJ64" s="2825"/>
      <c r="AK64" s="2825"/>
      <c r="AL64" s="2825"/>
      <c r="AM64" s="2825"/>
      <c r="AN64" s="1"/>
    </row>
    <row r="65" spans="1:40" ht="14" customHeight="1" thickBot="1">
      <c r="A65" s="2914" t="s">
        <v>219</v>
      </c>
      <c r="B65" s="5368" t="s">
        <v>139</v>
      </c>
      <c r="C65" s="629">
        <f t="shared" si="1"/>
        <v>0</v>
      </c>
      <c r="D65" s="5454"/>
      <c r="E65" s="5455"/>
      <c r="F65" s="3242"/>
      <c r="G65" s="5456"/>
      <c r="H65" s="5457"/>
      <c r="I65" s="5457"/>
      <c r="J65" s="5456"/>
      <c r="K65" s="5458"/>
      <c r="L65" s="5459"/>
      <c r="M65" s="5460"/>
      <c r="N65" s="5461"/>
      <c r="O65" s="5456"/>
      <c r="P65" s="5456"/>
      <c r="Q65" s="5462"/>
      <c r="R65" s="5463"/>
      <c r="S65" s="2844">
        <f t="shared" si="16"/>
        <v>0</v>
      </c>
      <c r="T65" s="2845">
        <f t="shared" si="17"/>
        <v>0</v>
      </c>
      <c r="U65" s="374">
        <f t="shared" si="18"/>
        <v>0</v>
      </c>
      <c r="V65" s="2846">
        <f t="shared" si="19"/>
        <v>0</v>
      </c>
      <c r="W65" s="2847">
        <f t="shared" si="20"/>
        <v>0</v>
      </c>
      <c r="X65" s="2848">
        <f t="shared" si="21"/>
        <v>0</v>
      </c>
      <c r="Y65" s="2849">
        <f t="shared" si="22"/>
        <v>0</v>
      </c>
      <c r="Z65" s="2850">
        <f t="shared" si="23"/>
        <v>0</v>
      </c>
      <c r="AA65" s="2851">
        <f t="shared" si="24"/>
        <v>0</v>
      </c>
      <c r="AC65" s="2867"/>
      <c r="AD65" s="2867"/>
      <c r="AE65" s="2867"/>
      <c r="AF65" s="2867"/>
      <c r="AG65" s="2867"/>
      <c r="AH65" s="2867"/>
      <c r="AI65" s="2825"/>
      <c r="AJ65" s="2825"/>
      <c r="AK65" s="2825"/>
      <c r="AL65" s="2825"/>
      <c r="AM65" s="2825"/>
      <c r="AN65" s="1"/>
    </row>
    <row r="66" spans="1:40" ht="13" customHeight="1" thickBot="1">
      <c r="A66" s="5464" t="s">
        <v>138</v>
      </c>
      <c r="B66" s="5486">
        <v>8</v>
      </c>
      <c r="C66" s="629">
        <f t="shared" si="1"/>
        <v>1.7682291666666674E-4</v>
      </c>
      <c r="D66" s="920">
        <v>7</v>
      </c>
      <c r="E66" s="5466">
        <v>4</v>
      </c>
      <c r="F66" s="5466">
        <v>8</v>
      </c>
      <c r="G66" s="5466">
        <v>25</v>
      </c>
      <c r="H66" s="4681"/>
      <c r="I66" s="5467">
        <v>2.8935185185185189E-4</v>
      </c>
      <c r="J66" s="5467">
        <v>1.3888888888888889E-3</v>
      </c>
      <c r="K66" s="5468" t="s">
        <v>1899</v>
      </c>
      <c r="L66" s="5469">
        <f t="shared" ref="L66:L67" si="57">L65+N65</f>
        <v>0</v>
      </c>
      <c r="M66" s="5470">
        <v>1.4</v>
      </c>
      <c r="N66" s="5467">
        <f t="shared" ref="N66:N67" si="58">P66*E66*F66+I66*F66*E66+J66*E66</f>
        <v>2.2736481481481486E-2</v>
      </c>
      <c r="O66" s="5467">
        <f t="shared" ref="O66" si="59">C66*(G66/25)</f>
        <v>1.7682291666666674E-4</v>
      </c>
      <c r="P66" s="5471">
        <f>O66*M66</f>
        <v>2.475520833333334E-4</v>
      </c>
      <c r="Q66" s="5472"/>
      <c r="R66" s="5473">
        <f>E66*F66*G66</f>
        <v>800</v>
      </c>
      <c r="S66" s="2844">
        <f t="shared" si="16"/>
        <v>0.8</v>
      </c>
      <c r="T66" s="2845">
        <f t="shared" si="17"/>
        <v>2.2633333333333342E-2</v>
      </c>
      <c r="U66" s="374">
        <f t="shared" si="18"/>
        <v>0</v>
      </c>
      <c r="V66" s="2846">
        <f t="shared" si="19"/>
        <v>0</v>
      </c>
      <c r="W66" s="2847">
        <f t="shared" si="20"/>
        <v>0</v>
      </c>
      <c r="X66" s="2848">
        <f t="shared" si="21"/>
        <v>0</v>
      </c>
      <c r="Y66" s="2849">
        <f t="shared" si="22"/>
        <v>0</v>
      </c>
      <c r="Z66" s="2850">
        <f t="shared" si="23"/>
        <v>0</v>
      </c>
      <c r="AA66" s="2851">
        <f t="shared" si="24"/>
        <v>0.8</v>
      </c>
      <c r="AC66" s="2867"/>
      <c r="AD66" s="2867"/>
      <c r="AE66" s="2867"/>
      <c r="AF66" s="2867"/>
      <c r="AG66" s="2867"/>
      <c r="AH66" s="2867"/>
      <c r="AI66" s="2825"/>
      <c r="AJ66" s="2825"/>
      <c r="AK66" s="2825"/>
      <c r="AL66" s="2825"/>
      <c r="AM66" s="2825"/>
      <c r="AN66" s="1"/>
    </row>
    <row r="67" spans="1:40" ht="14" thickBot="1">
      <c r="A67" s="5464" t="s">
        <v>779</v>
      </c>
      <c r="B67" s="5465" t="s">
        <v>215</v>
      </c>
      <c r="C67" s="629">
        <f t="shared" si="1"/>
        <v>2.1222190799396687E-4</v>
      </c>
      <c r="D67" s="920">
        <v>3</v>
      </c>
      <c r="E67" s="5474"/>
      <c r="F67" s="5474"/>
      <c r="G67" s="5474"/>
      <c r="H67" s="5475"/>
      <c r="I67" s="5476"/>
      <c r="J67" s="5476"/>
      <c r="K67" s="5445"/>
      <c r="L67" s="5450">
        <f t="shared" si="57"/>
        <v>2.2736481481481486E-2</v>
      </c>
      <c r="M67" s="5477">
        <v>2</v>
      </c>
      <c r="N67" s="5476">
        <f t="shared" si="58"/>
        <v>0</v>
      </c>
      <c r="O67" s="5476"/>
      <c r="P67" s="5478"/>
      <c r="Q67" s="5479"/>
      <c r="R67" s="5480">
        <v>2000</v>
      </c>
      <c r="S67" s="2844">
        <f t="shared" si="16"/>
        <v>0</v>
      </c>
      <c r="T67" s="2845">
        <f t="shared" si="17"/>
        <v>0</v>
      </c>
      <c r="U67" s="374">
        <f t="shared" si="18"/>
        <v>0</v>
      </c>
      <c r="V67" s="2846">
        <f t="shared" si="19"/>
        <v>0</v>
      </c>
      <c r="W67" s="2847">
        <f t="shared" si="20"/>
        <v>0</v>
      </c>
      <c r="X67" s="2848">
        <f t="shared" si="21"/>
        <v>0</v>
      </c>
      <c r="Y67" s="2849">
        <f t="shared" si="22"/>
        <v>0</v>
      </c>
      <c r="Z67" s="2850">
        <f t="shared" si="23"/>
        <v>0</v>
      </c>
      <c r="AA67" s="2851">
        <f t="shared" si="24"/>
        <v>0</v>
      </c>
      <c r="AC67" s="2867"/>
      <c r="AD67" s="2867"/>
      <c r="AE67" s="2867"/>
      <c r="AF67" s="2867"/>
      <c r="AG67" s="2867"/>
      <c r="AH67" s="2867"/>
      <c r="AI67" s="2825"/>
      <c r="AJ67" s="2825"/>
      <c r="AK67" s="2825"/>
      <c r="AL67" s="2825"/>
      <c r="AM67" s="2825"/>
      <c r="AN67" s="1"/>
    </row>
    <row r="68" spans="1:40" ht="22" thickTop="1" thickBot="1">
      <c r="A68" s="144"/>
      <c r="B68" s="144"/>
      <c r="C68" s="4846"/>
      <c r="D68" s="1034"/>
      <c r="E68" s="4846"/>
      <c r="F68" s="4846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3153"/>
      <c r="T68" s="3154"/>
      <c r="U68" s="3155">
        <f t="shared" ref="U68:AA68" si="60">SUM(U5:U67)</f>
        <v>3.7</v>
      </c>
      <c r="V68" s="3155">
        <f t="shared" si="60"/>
        <v>1.5999999999999999</v>
      </c>
      <c r="W68" s="3155">
        <f t="shared" si="60"/>
        <v>4.7</v>
      </c>
      <c r="X68" s="3155">
        <f t="shared" si="60"/>
        <v>0.5</v>
      </c>
      <c r="Y68" s="3155">
        <f t="shared" si="60"/>
        <v>0.9</v>
      </c>
      <c r="Z68" s="3155">
        <f t="shared" si="60"/>
        <v>1.5249999999999999</v>
      </c>
      <c r="AA68" s="3155">
        <f t="shared" si="60"/>
        <v>2.1850000000000001</v>
      </c>
      <c r="AB68" s="3156">
        <f>SUM(U68:AA68)</f>
        <v>15.110000000000001</v>
      </c>
      <c r="AE68" s="2838"/>
      <c r="AF68" s="2838"/>
      <c r="AG68" s="2838"/>
      <c r="AH68" s="2838"/>
      <c r="AI68" s="2838"/>
    </row>
    <row r="69" spans="1:40" ht="21" thickTop="1">
      <c r="A69" s="144"/>
      <c r="B69" s="144"/>
      <c r="C69" s="144"/>
      <c r="D69" s="906"/>
      <c r="E69" s="4846"/>
      <c r="F69" s="4846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3157">
        <f>IF(U68&gt;0,U68,#REF!)</f>
        <v>3.7</v>
      </c>
      <c r="V69" s="3157">
        <f>IF(V68&gt;0,V68,#REF!)</f>
        <v>1.5999999999999999</v>
      </c>
      <c r="W69" s="3157">
        <f>IF(W68&gt;0,W68,#REF!)</f>
        <v>4.7</v>
      </c>
      <c r="X69" s="3157">
        <f>IF(X68&gt;0,X68,#REF!)</f>
        <v>0.5</v>
      </c>
      <c r="Y69" s="3157">
        <f>IF(Y68&gt;0,Y68,#REF!)</f>
        <v>0.9</v>
      </c>
      <c r="Z69" s="3157">
        <f>IF(Z68&gt;0,Z68,#REF!)</f>
        <v>1.5249999999999999</v>
      </c>
      <c r="AA69" s="3157">
        <f>IF(AA68&gt;0,AA68,#REF!)</f>
        <v>2.1850000000000001</v>
      </c>
      <c r="AB69" s="144"/>
    </row>
    <row r="70" spans="1:40" ht="20">
      <c r="A70" s="144"/>
      <c r="B70" s="144"/>
      <c r="C70" s="144"/>
      <c r="D70" s="906"/>
      <c r="E70" s="4846"/>
      <c r="F70" s="4846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3157">
        <f t="shared" ref="U70:AA85" si="61">IF(U69&gt;0,U69,U68)</f>
        <v>3.7</v>
      </c>
      <c r="V70" s="3157">
        <f t="shared" si="61"/>
        <v>1.5999999999999999</v>
      </c>
      <c r="W70" s="3157">
        <f t="shared" si="61"/>
        <v>4.7</v>
      </c>
      <c r="X70" s="3157">
        <f t="shared" si="61"/>
        <v>0.5</v>
      </c>
      <c r="Y70" s="3157">
        <f t="shared" si="61"/>
        <v>0.9</v>
      </c>
      <c r="Z70" s="3157">
        <f t="shared" si="61"/>
        <v>1.5249999999999999</v>
      </c>
      <c r="AA70" s="3157">
        <f t="shared" si="61"/>
        <v>2.1850000000000001</v>
      </c>
      <c r="AB70" s="144"/>
      <c r="AC70" s="2837"/>
      <c r="AD70" s="2838"/>
      <c r="AE70" s="2838"/>
      <c r="AF70" s="2838"/>
      <c r="AG70" s="2838"/>
      <c r="AH70" s="2838"/>
      <c r="AI70" s="2836"/>
    </row>
    <row r="71" spans="1:40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3157">
        <f t="shared" si="61"/>
        <v>3.7</v>
      </c>
      <c r="V71" s="3157">
        <f t="shared" si="61"/>
        <v>1.5999999999999999</v>
      </c>
      <c r="W71" s="3157">
        <f t="shared" si="61"/>
        <v>4.7</v>
      </c>
      <c r="X71" s="3157">
        <f t="shared" si="61"/>
        <v>0.5</v>
      </c>
      <c r="Y71" s="3157">
        <f t="shared" si="61"/>
        <v>0.9</v>
      </c>
      <c r="Z71" s="3157">
        <f t="shared" si="61"/>
        <v>1.5249999999999999</v>
      </c>
      <c r="AA71" s="3157">
        <f t="shared" si="61"/>
        <v>2.1850000000000001</v>
      </c>
      <c r="AB71" s="144"/>
      <c r="AC71" s="2867" t="s">
        <v>193</v>
      </c>
      <c r="AD71" s="2937"/>
      <c r="AE71" s="2937"/>
      <c r="AF71" s="2937"/>
      <c r="AG71" s="2937"/>
      <c r="AH71" s="2937"/>
      <c r="AI71" s="2935"/>
      <c r="AJ71" s="1"/>
      <c r="AK71" s="1"/>
      <c r="AL71" s="1"/>
      <c r="AM71" s="1"/>
      <c r="AN71" s="1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3157">
        <f t="shared" si="61"/>
        <v>3.7</v>
      </c>
      <c r="V72" s="3157">
        <f t="shared" si="61"/>
        <v>1.5999999999999999</v>
      </c>
      <c r="W72" s="3157">
        <f t="shared" si="61"/>
        <v>4.7</v>
      </c>
      <c r="X72" s="3157">
        <f t="shared" si="61"/>
        <v>0.5</v>
      </c>
      <c r="Y72" s="3157">
        <f t="shared" si="61"/>
        <v>0.9</v>
      </c>
      <c r="Z72" s="3157">
        <f t="shared" si="61"/>
        <v>1.5249999999999999</v>
      </c>
      <c r="AA72" s="3157">
        <f t="shared" si="61"/>
        <v>2.1850000000000001</v>
      </c>
      <c r="AB72" s="144"/>
      <c r="AC72" s="2867">
        <v>0</v>
      </c>
      <c r="AD72" s="2867">
        <v>0</v>
      </c>
      <c r="AE72" s="2867">
        <v>0</v>
      </c>
      <c r="AF72" s="2867">
        <v>0</v>
      </c>
      <c r="AG72" s="2867">
        <v>0</v>
      </c>
      <c r="AH72" s="2867">
        <v>0</v>
      </c>
      <c r="AI72" s="2935"/>
      <c r="AJ72" s="1"/>
      <c r="AK72" s="1"/>
      <c r="AL72" s="1"/>
      <c r="AM72" s="1"/>
      <c r="AN72" s="1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3157">
        <f t="shared" si="61"/>
        <v>3.7</v>
      </c>
      <c r="V73" s="3157">
        <f t="shared" si="61"/>
        <v>1.5999999999999999</v>
      </c>
      <c r="W73" s="3157">
        <f t="shared" si="61"/>
        <v>4.7</v>
      </c>
      <c r="X73" s="3157">
        <f t="shared" si="61"/>
        <v>0.5</v>
      </c>
      <c r="Y73" s="3157">
        <f t="shared" si="61"/>
        <v>0.9</v>
      </c>
      <c r="Z73" s="3157">
        <f t="shared" si="61"/>
        <v>1.5249999999999999</v>
      </c>
      <c r="AA73" s="3157">
        <f t="shared" si="61"/>
        <v>2.1850000000000001</v>
      </c>
      <c r="AB73" s="144"/>
      <c r="AC73" s="2867"/>
      <c r="AD73" s="2867"/>
      <c r="AE73" s="2867"/>
      <c r="AF73" s="2867"/>
      <c r="AG73" s="2867"/>
      <c r="AH73" s="2867"/>
      <c r="AI73" s="2935"/>
      <c r="AJ73" s="1"/>
      <c r="AK73" s="1"/>
      <c r="AL73" s="1"/>
      <c r="AM73" s="1"/>
      <c r="AN73" s="1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3157">
        <f t="shared" si="61"/>
        <v>3.7</v>
      </c>
      <c r="V74" s="3157">
        <f t="shared" si="61"/>
        <v>1.5999999999999999</v>
      </c>
      <c r="W74" s="3157">
        <f t="shared" si="61"/>
        <v>4.7</v>
      </c>
      <c r="X74" s="3157">
        <f t="shared" si="61"/>
        <v>0.5</v>
      </c>
      <c r="Y74" s="3157">
        <f t="shared" si="61"/>
        <v>0.9</v>
      </c>
      <c r="Z74" s="3157">
        <f t="shared" si="61"/>
        <v>1.5249999999999999</v>
      </c>
      <c r="AA74" s="3157">
        <f t="shared" si="61"/>
        <v>2.1850000000000001</v>
      </c>
      <c r="AB74" s="144"/>
      <c r="AC74" s="2867"/>
      <c r="AD74" s="2867"/>
      <c r="AE74" s="2867"/>
      <c r="AF74" s="2867"/>
      <c r="AG74" s="2867"/>
      <c r="AH74" s="2867"/>
      <c r="AI74" s="2935"/>
      <c r="AJ74" s="1"/>
      <c r="AK74" s="1"/>
      <c r="AL74" s="1"/>
      <c r="AM74" s="1"/>
      <c r="AN74" s="1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3157">
        <f t="shared" si="61"/>
        <v>3.7</v>
      </c>
      <c r="V75" s="3157">
        <f t="shared" si="61"/>
        <v>1.5999999999999999</v>
      </c>
      <c r="W75" s="3157">
        <f t="shared" si="61"/>
        <v>4.7</v>
      </c>
      <c r="X75" s="3157">
        <f t="shared" si="61"/>
        <v>0.5</v>
      </c>
      <c r="Y75" s="3157">
        <f t="shared" si="61"/>
        <v>0.9</v>
      </c>
      <c r="Z75" s="3157">
        <f t="shared" si="61"/>
        <v>1.5249999999999999</v>
      </c>
      <c r="AA75" s="3157">
        <f t="shared" si="61"/>
        <v>2.1850000000000001</v>
      </c>
      <c r="AB75" s="144"/>
      <c r="AC75" s="2867">
        <v>0</v>
      </c>
      <c r="AD75" s="2867">
        <v>0</v>
      </c>
      <c r="AE75" s="2867">
        <v>0</v>
      </c>
      <c r="AF75" s="2867">
        <v>0</v>
      </c>
      <c r="AG75" s="2867">
        <v>0</v>
      </c>
      <c r="AH75" s="2867">
        <v>0</v>
      </c>
      <c r="AI75" s="2935"/>
      <c r="AJ75" s="1"/>
      <c r="AK75" s="1"/>
      <c r="AL75" s="1"/>
      <c r="AM75" s="1"/>
      <c r="AN75" s="1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3157">
        <f t="shared" si="61"/>
        <v>3.7</v>
      </c>
      <c r="V76" s="3157">
        <f t="shared" si="61"/>
        <v>1.5999999999999999</v>
      </c>
      <c r="W76" s="3157">
        <f t="shared" si="61"/>
        <v>4.7</v>
      </c>
      <c r="X76" s="3157">
        <f t="shared" si="61"/>
        <v>0.5</v>
      </c>
      <c r="Y76" s="3157">
        <f t="shared" si="61"/>
        <v>0.9</v>
      </c>
      <c r="Z76" s="3157">
        <f t="shared" si="61"/>
        <v>1.5249999999999999</v>
      </c>
      <c r="AA76" s="3157">
        <f t="shared" si="61"/>
        <v>2.1850000000000001</v>
      </c>
      <c r="AB76" s="144"/>
      <c r="AC76" s="2867">
        <v>0</v>
      </c>
      <c r="AD76" s="2867">
        <v>0</v>
      </c>
      <c r="AE76" s="2867">
        <v>0</v>
      </c>
      <c r="AF76" s="2867">
        <v>0</v>
      </c>
      <c r="AG76" s="2867">
        <v>0</v>
      </c>
      <c r="AH76" s="2867">
        <v>0</v>
      </c>
      <c r="AI76" s="2825"/>
      <c r="AJ76" s="1"/>
      <c r="AK76" s="1"/>
      <c r="AL76" s="1"/>
      <c r="AM76" s="1"/>
      <c r="AN76" s="1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3157">
        <f t="shared" si="61"/>
        <v>3.7</v>
      </c>
      <c r="V77" s="3157">
        <f t="shared" si="61"/>
        <v>1.5999999999999999</v>
      </c>
      <c r="W77" s="3157">
        <f t="shared" si="61"/>
        <v>4.7</v>
      </c>
      <c r="X77" s="3157">
        <f t="shared" si="61"/>
        <v>0.5</v>
      </c>
      <c r="Y77" s="3157">
        <f t="shared" si="61"/>
        <v>0.9</v>
      </c>
      <c r="Z77" s="3157">
        <f t="shared" si="61"/>
        <v>1.5249999999999999</v>
      </c>
      <c r="AA77" s="3157">
        <f t="shared" si="61"/>
        <v>2.1850000000000001</v>
      </c>
      <c r="AB77" s="144"/>
      <c r="AC77" s="2867"/>
      <c r="AD77" s="2867"/>
      <c r="AE77" s="2867"/>
      <c r="AF77" s="2867"/>
      <c r="AG77" s="2867"/>
      <c r="AH77" s="2867"/>
      <c r="AI77" s="2825"/>
      <c r="AJ77" s="1"/>
      <c r="AK77" s="1"/>
      <c r="AL77" s="1"/>
      <c r="AM77" s="1"/>
      <c r="AN77" s="1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3157">
        <f t="shared" si="61"/>
        <v>3.7</v>
      </c>
      <c r="V78" s="3157">
        <f t="shared" si="61"/>
        <v>1.5999999999999999</v>
      </c>
      <c r="W78" s="3157">
        <f t="shared" si="61"/>
        <v>4.7</v>
      </c>
      <c r="X78" s="3157">
        <f t="shared" si="61"/>
        <v>0.5</v>
      </c>
      <c r="Y78" s="3157">
        <f t="shared" si="61"/>
        <v>0.9</v>
      </c>
      <c r="Z78" s="3157">
        <f t="shared" si="61"/>
        <v>1.5249999999999999</v>
      </c>
      <c r="AA78" s="3157">
        <f t="shared" si="61"/>
        <v>2.1850000000000001</v>
      </c>
      <c r="AB78" s="144"/>
      <c r="AC78" s="2867"/>
      <c r="AD78" s="2867"/>
      <c r="AE78" s="2867"/>
      <c r="AF78" s="2867"/>
      <c r="AG78" s="2867"/>
      <c r="AH78" s="2867"/>
      <c r="AI78" s="2825"/>
      <c r="AJ78" s="1"/>
      <c r="AK78" s="1"/>
      <c r="AL78" s="1"/>
      <c r="AM78" s="1"/>
      <c r="AN78" s="1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3157">
        <f t="shared" si="61"/>
        <v>3.7</v>
      </c>
      <c r="V79" s="3157">
        <f t="shared" si="61"/>
        <v>1.5999999999999999</v>
      </c>
      <c r="W79" s="3157">
        <f t="shared" si="61"/>
        <v>4.7</v>
      </c>
      <c r="X79" s="3157">
        <f t="shared" si="61"/>
        <v>0.5</v>
      </c>
      <c r="Y79" s="3157">
        <f t="shared" si="61"/>
        <v>0.9</v>
      </c>
      <c r="Z79" s="3157">
        <f t="shared" si="61"/>
        <v>1.5249999999999999</v>
      </c>
      <c r="AA79" s="3157">
        <f t="shared" si="61"/>
        <v>2.1850000000000001</v>
      </c>
      <c r="AB79" s="144"/>
      <c r="AC79" s="2867">
        <v>0</v>
      </c>
      <c r="AD79" s="2867">
        <v>0</v>
      </c>
      <c r="AE79" s="2867">
        <v>0</v>
      </c>
      <c r="AF79" s="2867">
        <v>0</v>
      </c>
      <c r="AG79" s="2867">
        <v>0</v>
      </c>
      <c r="AH79" s="2867">
        <v>0</v>
      </c>
      <c r="AI79" s="2825"/>
      <c r="AJ79" s="1"/>
      <c r="AK79" s="1"/>
      <c r="AL79" s="1"/>
      <c r="AM79" s="1"/>
      <c r="AN79" s="1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3157">
        <f t="shared" si="61"/>
        <v>3.7</v>
      </c>
      <c r="V80" s="3157">
        <f t="shared" si="61"/>
        <v>1.5999999999999999</v>
      </c>
      <c r="W80" s="3157">
        <f t="shared" si="61"/>
        <v>4.7</v>
      </c>
      <c r="X80" s="3157">
        <f t="shared" si="61"/>
        <v>0.5</v>
      </c>
      <c r="Y80" s="3157">
        <f t="shared" si="61"/>
        <v>0.9</v>
      </c>
      <c r="Z80" s="3157">
        <f t="shared" si="61"/>
        <v>1.5249999999999999</v>
      </c>
      <c r="AA80" s="3157">
        <f t="shared" si="61"/>
        <v>2.1850000000000001</v>
      </c>
      <c r="AB80" s="144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825"/>
      <c r="AJ80" s="1"/>
      <c r="AK80" s="1"/>
      <c r="AL80" s="1"/>
      <c r="AM80" s="1"/>
      <c r="AN80" s="1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3157">
        <f t="shared" si="61"/>
        <v>3.7</v>
      </c>
      <c r="V81" s="3157">
        <f t="shared" si="61"/>
        <v>1.5999999999999999</v>
      </c>
      <c r="W81" s="3157">
        <f t="shared" si="61"/>
        <v>4.7</v>
      </c>
      <c r="X81" s="3157">
        <f t="shared" si="61"/>
        <v>0.5</v>
      </c>
      <c r="Y81" s="3157">
        <f t="shared" si="61"/>
        <v>0.9</v>
      </c>
      <c r="Z81" s="3157">
        <f t="shared" si="61"/>
        <v>1.5249999999999999</v>
      </c>
      <c r="AA81" s="3157">
        <f t="shared" si="61"/>
        <v>2.1850000000000001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3157">
        <f t="shared" si="61"/>
        <v>3.7</v>
      </c>
      <c r="V82" s="3157">
        <f t="shared" si="61"/>
        <v>1.5999999999999999</v>
      </c>
      <c r="W82" s="3157">
        <f t="shared" si="61"/>
        <v>4.7</v>
      </c>
      <c r="X82" s="3157">
        <f t="shared" si="61"/>
        <v>0.5</v>
      </c>
      <c r="Y82" s="3157">
        <f t="shared" si="61"/>
        <v>0.9</v>
      </c>
      <c r="Z82" s="3157">
        <f t="shared" si="61"/>
        <v>1.5249999999999999</v>
      </c>
      <c r="AA82" s="3157">
        <f t="shared" si="61"/>
        <v>2.1850000000000001</v>
      </c>
      <c r="AB82" s="144"/>
      <c r="AC82" s="2867">
        <v>0</v>
      </c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82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3157">
        <f t="shared" si="61"/>
        <v>3.7</v>
      </c>
      <c r="V83" s="3157">
        <f t="shared" si="61"/>
        <v>1.5999999999999999</v>
      </c>
      <c r="W83" s="3157">
        <f t="shared" si="61"/>
        <v>4.7</v>
      </c>
      <c r="X83" s="3157">
        <f t="shared" si="61"/>
        <v>0.5</v>
      </c>
      <c r="Y83" s="3157">
        <f t="shared" si="61"/>
        <v>0.9</v>
      </c>
      <c r="Z83" s="3157">
        <f t="shared" si="61"/>
        <v>1.5249999999999999</v>
      </c>
      <c r="AA83" s="3157">
        <f t="shared" si="61"/>
        <v>2.1850000000000001</v>
      </c>
      <c r="AB83" s="144"/>
      <c r="AC83" s="2867"/>
      <c r="AD83" s="2867"/>
      <c r="AE83" s="2867"/>
      <c r="AF83" s="2867"/>
      <c r="AG83" s="2867"/>
      <c r="AH83" s="2867"/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3157">
        <f t="shared" si="61"/>
        <v>3.7</v>
      </c>
      <c r="V84" s="3157">
        <f t="shared" si="61"/>
        <v>1.5999999999999999</v>
      </c>
      <c r="W84" s="3157">
        <f t="shared" si="61"/>
        <v>4.7</v>
      </c>
      <c r="X84" s="3157">
        <f t="shared" si="61"/>
        <v>0.5</v>
      </c>
      <c r="Y84" s="3157">
        <f t="shared" si="61"/>
        <v>0.9</v>
      </c>
      <c r="Z84" s="3157">
        <f t="shared" si="61"/>
        <v>1.5249999999999999</v>
      </c>
      <c r="AA84" s="3157">
        <f t="shared" si="61"/>
        <v>2.1850000000000001</v>
      </c>
      <c r="AB84" s="144"/>
      <c r="AC84" s="2867"/>
      <c r="AD84" s="2867"/>
      <c r="AE84" s="2867"/>
      <c r="AF84" s="2867"/>
      <c r="AG84" s="2867"/>
      <c r="AH84" s="2867"/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3157">
        <f t="shared" si="61"/>
        <v>3.7</v>
      </c>
      <c r="V85" s="3157">
        <f t="shared" si="61"/>
        <v>1.5999999999999999</v>
      </c>
      <c r="W85" s="3157">
        <f t="shared" si="61"/>
        <v>4.7</v>
      </c>
      <c r="X85" s="3157">
        <f t="shared" si="61"/>
        <v>0.5</v>
      </c>
      <c r="Y85" s="3157">
        <f t="shared" si="61"/>
        <v>0.9</v>
      </c>
      <c r="Z85" s="3157">
        <f t="shared" si="61"/>
        <v>1.5249999999999999</v>
      </c>
      <c r="AA85" s="3157">
        <f t="shared" si="61"/>
        <v>2.1850000000000001</v>
      </c>
      <c r="AB85" s="144"/>
      <c r="AC85" s="2867">
        <v>0</v>
      </c>
      <c r="AD85" s="2867">
        <v>0</v>
      </c>
      <c r="AE85" s="2867">
        <v>0</v>
      </c>
      <c r="AF85" s="2867">
        <v>0</v>
      </c>
      <c r="AG85" s="2867">
        <v>0</v>
      </c>
      <c r="AH85" s="2867">
        <v>0</v>
      </c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3157">
        <f t="shared" ref="U86:AA101" si="62">IF(U85&gt;0,U85,U84)</f>
        <v>3.7</v>
      </c>
      <c r="V86" s="3157">
        <f t="shared" si="62"/>
        <v>1.5999999999999999</v>
      </c>
      <c r="W86" s="3157">
        <f t="shared" si="62"/>
        <v>4.7</v>
      </c>
      <c r="X86" s="3157">
        <f t="shared" si="62"/>
        <v>0.5</v>
      </c>
      <c r="Y86" s="3157">
        <f t="shared" si="62"/>
        <v>0.9</v>
      </c>
      <c r="Z86" s="3157">
        <f t="shared" si="62"/>
        <v>1.5249999999999999</v>
      </c>
      <c r="AA86" s="3157">
        <f t="shared" si="62"/>
        <v>2.1850000000000001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3157">
        <f t="shared" si="62"/>
        <v>3.7</v>
      </c>
      <c r="V87" s="3157">
        <f t="shared" si="62"/>
        <v>1.5999999999999999</v>
      </c>
      <c r="W87" s="3157">
        <f t="shared" si="62"/>
        <v>4.7</v>
      </c>
      <c r="X87" s="3157">
        <f t="shared" si="62"/>
        <v>0.5</v>
      </c>
      <c r="Y87" s="3157">
        <f t="shared" si="62"/>
        <v>0.9</v>
      </c>
      <c r="Z87" s="3157">
        <f t="shared" si="62"/>
        <v>1.5249999999999999</v>
      </c>
      <c r="AA87" s="3157">
        <f t="shared" si="62"/>
        <v>2.1850000000000001</v>
      </c>
      <c r="AB87" s="144"/>
      <c r="AC87" s="2867">
        <v>0</v>
      </c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3157">
        <f t="shared" si="62"/>
        <v>3.7</v>
      </c>
      <c r="V88" s="3157">
        <f t="shared" si="62"/>
        <v>1.5999999999999999</v>
      </c>
      <c r="W88" s="3157">
        <f t="shared" si="62"/>
        <v>4.7</v>
      </c>
      <c r="X88" s="3157">
        <f t="shared" si="62"/>
        <v>0.5</v>
      </c>
      <c r="Y88" s="3157">
        <f t="shared" si="62"/>
        <v>0.9</v>
      </c>
      <c r="Z88" s="3157">
        <f t="shared" si="62"/>
        <v>1.5249999999999999</v>
      </c>
      <c r="AA88" s="3157">
        <f t="shared" si="62"/>
        <v>2.1850000000000001</v>
      </c>
      <c r="AB88" s="144"/>
      <c r="AC88" s="2867"/>
      <c r="AD88" s="2867"/>
      <c r="AE88" s="2867"/>
      <c r="AF88" s="2867"/>
      <c r="AG88" s="2867"/>
      <c r="AH88" s="2867"/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3157">
        <f t="shared" si="62"/>
        <v>3.7</v>
      </c>
      <c r="V89" s="3157">
        <f t="shared" si="62"/>
        <v>1.5999999999999999</v>
      </c>
      <c r="W89" s="3157">
        <f t="shared" si="62"/>
        <v>4.7</v>
      </c>
      <c r="X89" s="3157">
        <f t="shared" si="62"/>
        <v>0.5</v>
      </c>
      <c r="Y89" s="3157">
        <f t="shared" si="62"/>
        <v>0.9</v>
      </c>
      <c r="Z89" s="3157">
        <f t="shared" si="62"/>
        <v>1.5249999999999999</v>
      </c>
      <c r="AA89" s="3157">
        <f t="shared" si="62"/>
        <v>2.1850000000000001</v>
      </c>
      <c r="AB89" s="144"/>
      <c r="AC89" s="2867"/>
      <c r="AD89" s="2867"/>
      <c r="AE89" s="2867"/>
      <c r="AF89" s="2867"/>
      <c r="AG89" s="2867"/>
      <c r="AH89" s="2867"/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3157">
        <f t="shared" si="62"/>
        <v>3.7</v>
      </c>
      <c r="V90" s="3157">
        <f t="shared" si="62"/>
        <v>1.5999999999999999</v>
      </c>
      <c r="W90" s="3157">
        <f t="shared" si="62"/>
        <v>4.7</v>
      </c>
      <c r="X90" s="3157">
        <f t="shared" si="62"/>
        <v>0.5</v>
      </c>
      <c r="Y90" s="3157">
        <f t="shared" si="62"/>
        <v>0.9</v>
      </c>
      <c r="Z90" s="3157">
        <f t="shared" si="62"/>
        <v>1.5249999999999999</v>
      </c>
      <c r="AA90" s="3157">
        <f t="shared" si="62"/>
        <v>2.1850000000000001</v>
      </c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1"/>
      <c r="AK90" s="1"/>
      <c r="AL90" s="1"/>
      <c r="AM90" s="1"/>
      <c r="AN90" s="1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3157">
        <f t="shared" si="62"/>
        <v>3.7</v>
      </c>
      <c r="V91" s="3157">
        <f t="shared" si="62"/>
        <v>1.5999999999999999</v>
      </c>
      <c r="W91" s="3157">
        <f t="shared" si="62"/>
        <v>4.7</v>
      </c>
      <c r="X91" s="3157">
        <f t="shared" si="62"/>
        <v>0.5</v>
      </c>
      <c r="Y91" s="3157">
        <f t="shared" si="62"/>
        <v>0.9</v>
      </c>
      <c r="Z91" s="3157">
        <f t="shared" si="62"/>
        <v>1.5249999999999999</v>
      </c>
      <c r="AA91" s="3157">
        <f t="shared" si="62"/>
        <v>2.1850000000000001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3157">
        <f t="shared" si="62"/>
        <v>3.7</v>
      </c>
      <c r="V92" s="3157">
        <f t="shared" si="62"/>
        <v>1.5999999999999999</v>
      </c>
      <c r="W92" s="3157">
        <f t="shared" si="62"/>
        <v>4.7</v>
      </c>
      <c r="X92" s="3157">
        <f t="shared" si="62"/>
        <v>0.5</v>
      </c>
      <c r="Y92" s="3157">
        <f t="shared" si="62"/>
        <v>0.9</v>
      </c>
      <c r="Z92" s="3157">
        <f t="shared" si="62"/>
        <v>1.5249999999999999</v>
      </c>
      <c r="AA92" s="3157">
        <f t="shared" si="62"/>
        <v>2.1850000000000001</v>
      </c>
      <c r="AB92" s="144"/>
      <c r="AC92" s="2867">
        <v>0</v>
      </c>
      <c r="AD92" s="2867">
        <v>0</v>
      </c>
      <c r="AE92" s="2867">
        <v>0</v>
      </c>
      <c r="AF92" s="2867">
        <v>0</v>
      </c>
      <c r="AG92" s="2867">
        <v>0</v>
      </c>
      <c r="AH92" s="2867">
        <v>0</v>
      </c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3157">
        <f t="shared" si="62"/>
        <v>3.7</v>
      </c>
      <c r="V93" s="3157">
        <f t="shared" si="62"/>
        <v>1.5999999999999999</v>
      </c>
      <c r="W93" s="3157">
        <f t="shared" si="62"/>
        <v>4.7</v>
      </c>
      <c r="X93" s="3157">
        <f t="shared" si="62"/>
        <v>0.5</v>
      </c>
      <c r="Y93" s="3157">
        <f t="shared" si="62"/>
        <v>0.9</v>
      </c>
      <c r="Z93" s="3157">
        <f t="shared" si="62"/>
        <v>1.5249999999999999</v>
      </c>
      <c r="AA93" s="3157">
        <f t="shared" si="62"/>
        <v>2.1850000000000001</v>
      </c>
      <c r="AB93" s="144"/>
      <c r="AC93" s="2867"/>
      <c r="AD93" s="2867"/>
      <c r="AE93" s="2867"/>
      <c r="AF93" s="2867"/>
      <c r="AG93" s="2867"/>
      <c r="AH93" s="2867"/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3157">
        <f t="shared" si="62"/>
        <v>3.7</v>
      </c>
      <c r="V94" s="3157">
        <f t="shared" si="62"/>
        <v>1.5999999999999999</v>
      </c>
      <c r="W94" s="3157">
        <f t="shared" si="62"/>
        <v>4.7</v>
      </c>
      <c r="X94" s="3157">
        <f t="shared" si="62"/>
        <v>0.5</v>
      </c>
      <c r="Y94" s="3157">
        <f t="shared" si="62"/>
        <v>0.9</v>
      </c>
      <c r="Z94" s="3157">
        <f t="shared" si="62"/>
        <v>1.5249999999999999</v>
      </c>
      <c r="AA94" s="3157">
        <f t="shared" si="62"/>
        <v>2.1850000000000001</v>
      </c>
      <c r="AB94" s="144"/>
      <c r="AC94" s="2867"/>
      <c r="AD94" s="2867"/>
      <c r="AE94" s="2867"/>
      <c r="AF94" s="2867"/>
      <c r="AG94" s="2867"/>
      <c r="AH94" s="2867"/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3157">
        <f t="shared" si="62"/>
        <v>3.7</v>
      </c>
      <c r="V95" s="3157">
        <f t="shared" si="62"/>
        <v>1.5999999999999999</v>
      </c>
      <c r="W95" s="3157">
        <f t="shared" si="62"/>
        <v>4.7</v>
      </c>
      <c r="X95" s="3157">
        <f t="shared" si="62"/>
        <v>0.5</v>
      </c>
      <c r="Y95" s="3157">
        <f t="shared" si="62"/>
        <v>0.9</v>
      </c>
      <c r="Z95" s="3157">
        <f t="shared" si="62"/>
        <v>1.5249999999999999</v>
      </c>
      <c r="AA95" s="3157">
        <f t="shared" si="62"/>
        <v>2.1850000000000001</v>
      </c>
      <c r="AB95" s="144"/>
      <c r="AC95" s="2867">
        <v>0</v>
      </c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82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3157">
        <f t="shared" si="62"/>
        <v>3.7</v>
      </c>
      <c r="V96" s="3157">
        <f t="shared" si="62"/>
        <v>1.5999999999999999</v>
      </c>
      <c r="W96" s="3157">
        <f t="shared" si="62"/>
        <v>4.7</v>
      </c>
      <c r="X96" s="3157">
        <f t="shared" si="62"/>
        <v>0.5</v>
      </c>
      <c r="Y96" s="3157">
        <f t="shared" si="62"/>
        <v>0.9</v>
      </c>
      <c r="Z96" s="3157">
        <f t="shared" si="62"/>
        <v>1.5249999999999999</v>
      </c>
      <c r="AA96" s="3157">
        <f t="shared" si="62"/>
        <v>2.1850000000000001</v>
      </c>
      <c r="AB96" s="144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3157">
        <f t="shared" si="62"/>
        <v>3.7</v>
      </c>
      <c r="V97" s="3157">
        <f t="shared" si="62"/>
        <v>1.5999999999999999</v>
      </c>
      <c r="W97" s="3157">
        <f t="shared" si="62"/>
        <v>4.7</v>
      </c>
      <c r="X97" s="3157">
        <f t="shared" si="62"/>
        <v>0.5</v>
      </c>
      <c r="Y97" s="3157">
        <f t="shared" si="62"/>
        <v>0.9</v>
      </c>
      <c r="Z97" s="3157">
        <f t="shared" si="62"/>
        <v>1.5249999999999999</v>
      </c>
      <c r="AA97" s="3157">
        <f t="shared" si="62"/>
        <v>2.1850000000000001</v>
      </c>
      <c r="AB97" s="144"/>
      <c r="AC97" s="2867"/>
      <c r="AD97" s="2867"/>
      <c r="AE97" s="2867"/>
      <c r="AF97" s="2867"/>
      <c r="AG97" s="2867"/>
      <c r="AH97" s="2867"/>
      <c r="AI97" s="2825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3157">
        <f t="shared" si="62"/>
        <v>3.7</v>
      </c>
      <c r="V98" s="3157">
        <f t="shared" si="62"/>
        <v>1.5999999999999999</v>
      </c>
      <c r="W98" s="3157">
        <f t="shared" si="62"/>
        <v>4.7</v>
      </c>
      <c r="X98" s="3157">
        <f t="shared" si="62"/>
        <v>0.5</v>
      </c>
      <c r="Y98" s="3157">
        <f t="shared" si="62"/>
        <v>0.9</v>
      </c>
      <c r="Z98" s="3157">
        <f t="shared" si="62"/>
        <v>1.5249999999999999</v>
      </c>
      <c r="AA98" s="3157">
        <f t="shared" si="62"/>
        <v>2.1850000000000001</v>
      </c>
      <c r="AB98" s="144"/>
      <c r="AC98" s="2867"/>
      <c r="AD98" s="2867"/>
      <c r="AE98" s="2867"/>
      <c r="AF98" s="2867"/>
      <c r="AG98" s="2867"/>
      <c r="AH98" s="2867"/>
      <c r="AI98" s="2825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3157">
        <f t="shared" si="62"/>
        <v>3.7</v>
      </c>
      <c r="V99" s="3157">
        <f t="shared" si="62"/>
        <v>1.5999999999999999</v>
      </c>
      <c r="W99" s="3157">
        <f t="shared" si="62"/>
        <v>4.7</v>
      </c>
      <c r="X99" s="3157">
        <f t="shared" si="62"/>
        <v>0.5</v>
      </c>
      <c r="Y99" s="3157">
        <f t="shared" si="62"/>
        <v>0.9</v>
      </c>
      <c r="Z99" s="3157">
        <f t="shared" si="62"/>
        <v>1.5249999999999999</v>
      </c>
      <c r="AA99" s="3157">
        <f t="shared" si="62"/>
        <v>2.1850000000000001</v>
      </c>
      <c r="AB99" s="144"/>
      <c r="AC99" s="2867">
        <v>0</v>
      </c>
      <c r="AD99" s="2867">
        <v>0</v>
      </c>
      <c r="AE99" s="2867">
        <v>0</v>
      </c>
      <c r="AF99" s="2867">
        <v>0</v>
      </c>
      <c r="AG99" s="2867">
        <v>0</v>
      </c>
      <c r="AH99" s="2867">
        <v>0</v>
      </c>
      <c r="AI99" s="2825"/>
      <c r="AJ99" s="1"/>
      <c r="AK99" s="1"/>
      <c r="AL99" s="1"/>
      <c r="AM99" s="1"/>
      <c r="AN99" s="1"/>
    </row>
    <row r="100" spans="1:40" ht="15" customHeight="1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3157">
        <f t="shared" si="62"/>
        <v>3.7</v>
      </c>
      <c r="V100" s="3157">
        <f t="shared" si="62"/>
        <v>1.5999999999999999</v>
      </c>
      <c r="W100" s="3157">
        <f t="shared" si="62"/>
        <v>4.7</v>
      </c>
      <c r="X100" s="3157">
        <f t="shared" si="62"/>
        <v>0.5</v>
      </c>
      <c r="Y100" s="3157">
        <f t="shared" si="62"/>
        <v>0.9</v>
      </c>
      <c r="Z100" s="3157">
        <f t="shared" si="62"/>
        <v>1.5249999999999999</v>
      </c>
      <c r="AA100" s="3157">
        <f t="shared" si="62"/>
        <v>2.1850000000000001</v>
      </c>
      <c r="AB100" s="144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3157">
        <f t="shared" si="62"/>
        <v>3.7</v>
      </c>
      <c r="V101" s="3157">
        <f t="shared" si="62"/>
        <v>1.5999999999999999</v>
      </c>
      <c r="W101" s="3157">
        <f t="shared" si="62"/>
        <v>4.7</v>
      </c>
      <c r="X101" s="3157">
        <f t="shared" si="62"/>
        <v>0.5</v>
      </c>
      <c r="Y101" s="3157">
        <f t="shared" si="62"/>
        <v>0.9</v>
      </c>
      <c r="Z101" s="3157">
        <f t="shared" si="62"/>
        <v>1.5249999999999999</v>
      </c>
      <c r="AA101" s="3157">
        <f t="shared" si="62"/>
        <v>2.1850000000000001</v>
      </c>
      <c r="AB101" s="144"/>
      <c r="AC101" s="2867">
        <v>0</v>
      </c>
      <c r="AD101" s="2867">
        <v>0</v>
      </c>
      <c r="AE101" s="2867">
        <v>0</v>
      </c>
      <c r="AF101" s="2867">
        <v>0</v>
      </c>
      <c r="AG101" s="2867">
        <v>0</v>
      </c>
      <c r="AH101" s="2867">
        <v>0</v>
      </c>
      <c r="AI101" s="2825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3157">
        <f t="shared" ref="U102:AA117" si="63">IF(U101&gt;0,U101,U100)</f>
        <v>3.7</v>
      </c>
      <c r="V102" s="3157">
        <f t="shared" si="63"/>
        <v>1.5999999999999999</v>
      </c>
      <c r="W102" s="3157">
        <f t="shared" si="63"/>
        <v>4.7</v>
      </c>
      <c r="X102" s="3157">
        <f t="shared" si="63"/>
        <v>0.5</v>
      </c>
      <c r="Y102" s="3157">
        <f t="shared" si="63"/>
        <v>0.9</v>
      </c>
      <c r="Z102" s="3157">
        <f t="shared" si="63"/>
        <v>1.5249999999999999</v>
      </c>
      <c r="AA102" s="3157">
        <f t="shared" si="63"/>
        <v>2.1850000000000001</v>
      </c>
      <c r="AB102" s="144"/>
      <c r="AC102" s="2867">
        <v>0</v>
      </c>
      <c r="AD102" s="2867">
        <v>0</v>
      </c>
      <c r="AE102" s="2867">
        <v>0</v>
      </c>
      <c r="AF102" s="2867">
        <v>0</v>
      </c>
      <c r="AG102" s="2867">
        <v>0</v>
      </c>
      <c r="AH102" s="2867">
        <v>0</v>
      </c>
      <c r="AI102" s="2825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3157">
        <f t="shared" si="63"/>
        <v>3.7</v>
      </c>
      <c r="V103" s="3157">
        <f t="shared" si="63"/>
        <v>1.5999999999999999</v>
      </c>
      <c r="W103" s="3157">
        <f t="shared" si="63"/>
        <v>4.7</v>
      </c>
      <c r="X103" s="3157">
        <f t="shared" si="63"/>
        <v>0.5</v>
      </c>
      <c r="Y103" s="3157">
        <f t="shared" si="63"/>
        <v>0.9</v>
      </c>
      <c r="Z103" s="3157">
        <f t="shared" si="63"/>
        <v>1.5249999999999999</v>
      </c>
      <c r="AA103" s="3157">
        <f t="shared" si="63"/>
        <v>2.1850000000000001</v>
      </c>
      <c r="AB103" s="144"/>
      <c r="AC103" s="2867"/>
      <c r="AD103" s="2867"/>
      <c r="AE103" s="2867"/>
      <c r="AF103" s="2867"/>
      <c r="AG103" s="2867"/>
      <c r="AH103" s="2867"/>
      <c r="AI103" s="2825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3157">
        <f t="shared" si="63"/>
        <v>3.7</v>
      </c>
      <c r="V104" s="3157">
        <f t="shared" si="63"/>
        <v>1.5999999999999999</v>
      </c>
      <c r="W104" s="3157">
        <f t="shared" si="63"/>
        <v>4.7</v>
      </c>
      <c r="X104" s="3157">
        <f t="shared" si="63"/>
        <v>0.5</v>
      </c>
      <c r="Y104" s="3157">
        <f t="shared" si="63"/>
        <v>0.9</v>
      </c>
      <c r="Z104" s="3157">
        <f t="shared" si="63"/>
        <v>1.5249999999999999</v>
      </c>
      <c r="AA104" s="3157">
        <f t="shared" si="63"/>
        <v>2.1850000000000001</v>
      </c>
      <c r="AB104" s="144"/>
      <c r="AC104" s="2867">
        <v>0</v>
      </c>
      <c r="AD104" s="2867">
        <v>0</v>
      </c>
      <c r="AE104" s="2867">
        <v>0</v>
      </c>
      <c r="AF104" s="2867">
        <v>0</v>
      </c>
      <c r="AG104" s="2867">
        <v>0</v>
      </c>
      <c r="AH104" s="2867">
        <v>0</v>
      </c>
      <c r="AI104" s="2825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3157">
        <f t="shared" si="63"/>
        <v>3.7</v>
      </c>
      <c r="V105" s="3157">
        <f t="shared" si="63"/>
        <v>1.5999999999999999</v>
      </c>
      <c r="W105" s="3157">
        <f t="shared" si="63"/>
        <v>4.7</v>
      </c>
      <c r="X105" s="3157">
        <f t="shared" si="63"/>
        <v>0.5</v>
      </c>
      <c r="Y105" s="3157">
        <f t="shared" si="63"/>
        <v>0.9</v>
      </c>
      <c r="Z105" s="3157">
        <f t="shared" si="63"/>
        <v>1.5249999999999999</v>
      </c>
      <c r="AA105" s="3157">
        <f t="shared" si="63"/>
        <v>2.1850000000000001</v>
      </c>
      <c r="AB105" s="144"/>
      <c r="AC105" s="2867">
        <v>0</v>
      </c>
      <c r="AD105" s="2867">
        <v>0</v>
      </c>
      <c r="AE105" s="2867">
        <v>0</v>
      </c>
      <c r="AF105" s="2867">
        <v>0</v>
      </c>
      <c r="AG105" s="2867">
        <v>0</v>
      </c>
      <c r="AH105" s="2867">
        <v>0</v>
      </c>
      <c r="AI105" s="2825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3157">
        <f t="shared" si="63"/>
        <v>3.7</v>
      </c>
      <c r="V106" s="3157">
        <f t="shared" si="63"/>
        <v>1.5999999999999999</v>
      </c>
      <c r="W106" s="3157">
        <f t="shared" si="63"/>
        <v>4.7</v>
      </c>
      <c r="X106" s="3157">
        <f t="shared" si="63"/>
        <v>0.5</v>
      </c>
      <c r="Y106" s="3157">
        <f t="shared" si="63"/>
        <v>0.9</v>
      </c>
      <c r="Z106" s="3157">
        <f t="shared" si="63"/>
        <v>1.5249999999999999</v>
      </c>
      <c r="AA106" s="3157">
        <f t="shared" si="63"/>
        <v>2.1850000000000001</v>
      </c>
      <c r="AB106" s="144"/>
      <c r="AC106" s="2867"/>
      <c r="AD106" s="2867"/>
      <c r="AE106" s="2867"/>
      <c r="AF106" s="2867"/>
      <c r="AG106" s="2867"/>
      <c r="AH106" s="2867"/>
      <c r="AI106" s="2825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3157">
        <f t="shared" si="63"/>
        <v>3.7</v>
      </c>
      <c r="V107" s="3157">
        <f t="shared" si="63"/>
        <v>1.5999999999999999</v>
      </c>
      <c r="W107" s="3157">
        <f t="shared" si="63"/>
        <v>4.7</v>
      </c>
      <c r="X107" s="3157">
        <f t="shared" si="63"/>
        <v>0.5</v>
      </c>
      <c r="Y107" s="3157">
        <f t="shared" si="63"/>
        <v>0.9</v>
      </c>
      <c r="Z107" s="3157">
        <f t="shared" si="63"/>
        <v>1.5249999999999999</v>
      </c>
      <c r="AA107" s="3157">
        <f t="shared" si="63"/>
        <v>2.1850000000000001</v>
      </c>
      <c r="AB107" s="144"/>
      <c r="AC107" s="2867"/>
      <c r="AD107" s="2867"/>
      <c r="AE107" s="2867"/>
      <c r="AF107" s="2867"/>
      <c r="AG107" s="2867"/>
      <c r="AH107" s="2867"/>
      <c r="AI107" s="2825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3157">
        <f t="shared" si="63"/>
        <v>3.7</v>
      </c>
      <c r="V108" s="3157">
        <f t="shared" si="63"/>
        <v>1.5999999999999999</v>
      </c>
      <c r="W108" s="3157">
        <f t="shared" si="63"/>
        <v>4.7</v>
      </c>
      <c r="X108" s="3157">
        <f t="shared" si="63"/>
        <v>0.5</v>
      </c>
      <c r="Y108" s="3157">
        <f t="shared" si="63"/>
        <v>0.9</v>
      </c>
      <c r="Z108" s="3157">
        <f t="shared" si="63"/>
        <v>1.5249999999999999</v>
      </c>
      <c r="AA108" s="3157">
        <f t="shared" si="63"/>
        <v>2.1850000000000001</v>
      </c>
      <c r="AB108" s="144"/>
      <c r="AC108" s="2867">
        <v>0</v>
      </c>
      <c r="AD108" s="2867">
        <v>0</v>
      </c>
      <c r="AE108" s="2867">
        <v>0</v>
      </c>
      <c r="AF108" s="2867">
        <v>0</v>
      </c>
      <c r="AG108" s="2867">
        <v>0</v>
      </c>
      <c r="AH108" s="2867">
        <v>0</v>
      </c>
      <c r="AI108" s="2825"/>
      <c r="AJ108" s="1"/>
      <c r="AK108" s="1"/>
      <c r="AL108" s="1"/>
      <c r="AM108" s="1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3157">
        <f t="shared" si="63"/>
        <v>3.7</v>
      </c>
      <c r="V109" s="3157">
        <f t="shared" si="63"/>
        <v>1.5999999999999999</v>
      </c>
      <c r="W109" s="3157">
        <f t="shared" si="63"/>
        <v>4.7</v>
      </c>
      <c r="X109" s="3157">
        <f t="shared" si="63"/>
        <v>0.5</v>
      </c>
      <c r="Y109" s="3157">
        <f t="shared" si="63"/>
        <v>0.9</v>
      </c>
      <c r="Z109" s="3157">
        <f t="shared" si="63"/>
        <v>1.5249999999999999</v>
      </c>
      <c r="AA109" s="3157">
        <f t="shared" si="63"/>
        <v>2.1850000000000001</v>
      </c>
      <c r="AB109" s="144"/>
      <c r="AC109" s="2867">
        <v>0</v>
      </c>
      <c r="AD109" s="2867">
        <v>0</v>
      </c>
      <c r="AE109" s="2867">
        <v>0</v>
      </c>
      <c r="AF109" s="2867">
        <v>0</v>
      </c>
      <c r="AG109" s="2867">
        <v>0</v>
      </c>
      <c r="AH109" s="2867">
        <v>0</v>
      </c>
      <c r="AI109" s="2825"/>
      <c r="AJ109" s="1"/>
      <c r="AK109" s="1"/>
      <c r="AL109" s="1"/>
      <c r="AM109" s="1"/>
      <c r="AN109" s="1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3157">
        <f t="shared" si="63"/>
        <v>3.7</v>
      </c>
      <c r="V110" s="3157">
        <f t="shared" si="63"/>
        <v>1.5999999999999999</v>
      </c>
      <c r="W110" s="3157">
        <f t="shared" si="63"/>
        <v>4.7</v>
      </c>
      <c r="X110" s="3157">
        <f t="shared" si="63"/>
        <v>0.5</v>
      </c>
      <c r="Y110" s="3157">
        <f t="shared" si="63"/>
        <v>0.9</v>
      </c>
      <c r="Z110" s="3157">
        <f t="shared" si="63"/>
        <v>1.5249999999999999</v>
      </c>
      <c r="AA110" s="3157">
        <f t="shared" si="63"/>
        <v>2.1850000000000001</v>
      </c>
      <c r="AB110" s="144"/>
      <c r="AC110" s="2867">
        <v>0</v>
      </c>
      <c r="AD110" s="2867">
        <v>0</v>
      </c>
      <c r="AE110" s="2867">
        <v>0</v>
      </c>
      <c r="AF110" s="2867">
        <v>0</v>
      </c>
      <c r="AG110" s="2867">
        <v>0</v>
      </c>
      <c r="AH110" s="2867">
        <v>0</v>
      </c>
      <c r="AI110" s="2825"/>
      <c r="AJ110" s="1"/>
      <c r="AK110" s="1"/>
      <c r="AL110" s="1"/>
      <c r="AM110" s="1"/>
      <c r="AN110" s="1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3157">
        <f t="shared" si="63"/>
        <v>3.7</v>
      </c>
      <c r="V111" s="3157">
        <f t="shared" si="63"/>
        <v>1.5999999999999999</v>
      </c>
      <c r="W111" s="3157">
        <f t="shared" si="63"/>
        <v>4.7</v>
      </c>
      <c r="X111" s="3157">
        <f t="shared" si="63"/>
        <v>0.5</v>
      </c>
      <c r="Y111" s="3157">
        <f t="shared" si="63"/>
        <v>0.9</v>
      </c>
      <c r="Z111" s="3157">
        <f t="shared" si="63"/>
        <v>1.5249999999999999</v>
      </c>
      <c r="AA111" s="3157">
        <f t="shared" si="63"/>
        <v>2.1850000000000001</v>
      </c>
      <c r="AB111" s="144"/>
      <c r="AC111" s="2867"/>
      <c r="AD111" s="2867"/>
      <c r="AE111" s="2867"/>
      <c r="AF111" s="2867"/>
      <c r="AG111" s="2867"/>
      <c r="AH111" s="2867"/>
      <c r="AI111" s="2825"/>
      <c r="AJ111" s="1"/>
      <c r="AK111" s="1"/>
      <c r="AL111" s="1"/>
      <c r="AM111" s="1"/>
      <c r="AN111" s="1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3157">
        <f t="shared" si="63"/>
        <v>3.7</v>
      </c>
      <c r="V112" s="3157">
        <f t="shared" si="63"/>
        <v>1.5999999999999999</v>
      </c>
      <c r="W112" s="3157">
        <f t="shared" si="63"/>
        <v>4.7</v>
      </c>
      <c r="X112" s="3157">
        <f t="shared" si="63"/>
        <v>0.5</v>
      </c>
      <c r="Y112" s="3157">
        <f t="shared" si="63"/>
        <v>0.9</v>
      </c>
      <c r="Z112" s="3157">
        <f t="shared" si="63"/>
        <v>1.5249999999999999</v>
      </c>
      <c r="AA112" s="3157">
        <f t="shared" si="63"/>
        <v>2.1850000000000001</v>
      </c>
      <c r="AB112" s="144"/>
      <c r="AC112" s="2867"/>
      <c r="AD112" s="2867"/>
      <c r="AE112" s="2867"/>
      <c r="AF112" s="2867"/>
      <c r="AG112" s="2867"/>
      <c r="AH112" s="2867"/>
      <c r="AI112" s="2825"/>
      <c r="AJ112" s="1"/>
      <c r="AK112" s="1"/>
      <c r="AL112" s="1"/>
      <c r="AM112" s="1"/>
      <c r="AN112" s="1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3157">
        <f t="shared" si="63"/>
        <v>3.7</v>
      </c>
      <c r="V113" s="3157">
        <f t="shared" si="63"/>
        <v>1.5999999999999999</v>
      </c>
      <c r="W113" s="3157">
        <f t="shared" si="63"/>
        <v>4.7</v>
      </c>
      <c r="X113" s="3157">
        <f t="shared" si="63"/>
        <v>0.5</v>
      </c>
      <c r="Y113" s="3157">
        <f t="shared" si="63"/>
        <v>0.9</v>
      </c>
      <c r="Z113" s="3157">
        <f t="shared" si="63"/>
        <v>1.5249999999999999</v>
      </c>
      <c r="AA113" s="3157">
        <f t="shared" si="63"/>
        <v>2.1850000000000001</v>
      </c>
      <c r="AB113" s="144"/>
      <c r="AC113" s="2867">
        <v>0</v>
      </c>
      <c r="AD113" s="2867">
        <v>0</v>
      </c>
      <c r="AE113" s="2867">
        <v>0</v>
      </c>
      <c r="AF113" s="2867">
        <v>0</v>
      </c>
      <c r="AG113" s="2867">
        <v>0</v>
      </c>
      <c r="AH113" s="2867">
        <v>0</v>
      </c>
      <c r="AI113" s="2825"/>
      <c r="AJ113" s="1"/>
      <c r="AK113" s="1"/>
      <c r="AL113" s="1"/>
      <c r="AM113" s="1"/>
      <c r="AN113" s="1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3157">
        <f t="shared" si="63"/>
        <v>3.7</v>
      </c>
      <c r="V114" s="3157">
        <f t="shared" si="63"/>
        <v>1.5999999999999999</v>
      </c>
      <c r="W114" s="3157">
        <f t="shared" si="63"/>
        <v>4.7</v>
      </c>
      <c r="X114" s="3157">
        <f t="shared" si="63"/>
        <v>0.5</v>
      </c>
      <c r="Y114" s="3157">
        <f t="shared" si="63"/>
        <v>0.9</v>
      </c>
      <c r="Z114" s="3157">
        <f t="shared" si="63"/>
        <v>1.5249999999999999</v>
      </c>
      <c r="AA114" s="3157">
        <f t="shared" si="63"/>
        <v>2.1850000000000001</v>
      </c>
      <c r="AB114" s="144"/>
      <c r="AC114" s="2867">
        <v>0</v>
      </c>
      <c r="AD114" s="2867">
        <v>0</v>
      </c>
      <c r="AE114" s="2867">
        <v>0</v>
      </c>
      <c r="AF114" s="2867">
        <v>0</v>
      </c>
      <c r="AG114" s="2867">
        <v>0</v>
      </c>
      <c r="AH114" s="2867">
        <v>0</v>
      </c>
      <c r="AI114" s="2825"/>
      <c r="AJ114" s="1"/>
      <c r="AK114" s="1"/>
      <c r="AL114" s="1"/>
      <c r="AM114" s="1"/>
      <c r="AN114" s="1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3157">
        <f t="shared" si="63"/>
        <v>3.7</v>
      </c>
      <c r="V115" s="3157">
        <f t="shared" si="63"/>
        <v>1.5999999999999999</v>
      </c>
      <c r="W115" s="3157">
        <f t="shared" si="63"/>
        <v>4.7</v>
      </c>
      <c r="X115" s="3157">
        <f t="shared" si="63"/>
        <v>0.5</v>
      </c>
      <c r="Y115" s="3157">
        <f t="shared" si="63"/>
        <v>0.9</v>
      </c>
      <c r="Z115" s="3157">
        <f t="shared" si="63"/>
        <v>1.5249999999999999</v>
      </c>
      <c r="AA115" s="3157">
        <f t="shared" si="63"/>
        <v>2.1850000000000001</v>
      </c>
      <c r="AB115" s="144"/>
      <c r="AC115" s="2867">
        <v>0</v>
      </c>
      <c r="AD115" s="2867">
        <v>0</v>
      </c>
      <c r="AE115" s="2867">
        <v>0</v>
      </c>
      <c r="AF115" s="2867">
        <v>0</v>
      </c>
      <c r="AG115" s="2867">
        <v>0</v>
      </c>
      <c r="AH115" s="2867">
        <v>0</v>
      </c>
      <c r="AI115" s="2825"/>
      <c r="AJ115" s="1"/>
      <c r="AK115" s="1"/>
      <c r="AL115" s="1"/>
      <c r="AM115" s="1"/>
      <c r="AN115" s="1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3157">
        <f t="shared" si="63"/>
        <v>3.7</v>
      </c>
      <c r="V116" s="3157">
        <f t="shared" si="63"/>
        <v>1.5999999999999999</v>
      </c>
      <c r="W116" s="3157">
        <f t="shared" si="63"/>
        <v>4.7</v>
      </c>
      <c r="X116" s="3157">
        <f t="shared" si="63"/>
        <v>0.5</v>
      </c>
      <c r="Y116" s="3157">
        <f t="shared" si="63"/>
        <v>0.9</v>
      </c>
      <c r="Z116" s="3157">
        <f t="shared" si="63"/>
        <v>1.5249999999999999</v>
      </c>
      <c r="AA116" s="3157">
        <f t="shared" si="63"/>
        <v>2.1850000000000001</v>
      </c>
      <c r="AB116" s="144"/>
      <c r="AC116" s="2867"/>
      <c r="AD116" s="2867"/>
      <c r="AE116" s="2867"/>
      <c r="AF116" s="2867"/>
      <c r="AG116" s="2867"/>
      <c r="AH116" s="2867"/>
      <c r="AI116" s="2825"/>
      <c r="AJ116" s="1"/>
      <c r="AK116" s="1"/>
      <c r="AL116" s="1"/>
      <c r="AM116" s="1"/>
      <c r="AN116" s="1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3157">
        <f t="shared" si="63"/>
        <v>3.7</v>
      </c>
      <c r="V117" s="3157">
        <f t="shared" si="63"/>
        <v>1.5999999999999999</v>
      </c>
      <c r="W117" s="3157">
        <f t="shared" si="63"/>
        <v>4.7</v>
      </c>
      <c r="X117" s="3157">
        <f t="shared" si="63"/>
        <v>0.5</v>
      </c>
      <c r="Y117" s="3157">
        <f t="shared" si="63"/>
        <v>0.9</v>
      </c>
      <c r="Z117" s="3157">
        <f t="shared" si="63"/>
        <v>1.5249999999999999</v>
      </c>
      <c r="AA117" s="3157">
        <f t="shared" si="63"/>
        <v>2.1850000000000001</v>
      </c>
      <c r="AB117" s="144"/>
      <c r="AC117" s="2867"/>
      <c r="AD117" s="2867"/>
      <c r="AE117" s="2867"/>
      <c r="AF117" s="2867"/>
      <c r="AG117" s="2867"/>
      <c r="AH117" s="2867"/>
      <c r="AI117" s="2825"/>
      <c r="AJ117" s="1"/>
      <c r="AK117" s="1"/>
      <c r="AL117" s="1"/>
      <c r="AM117" s="1"/>
      <c r="AN117" s="1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3157">
        <f t="shared" ref="U118:AA121" si="64">IF(U117&gt;0,U117,U116)</f>
        <v>3.7</v>
      </c>
      <c r="V118" s="3157">
        <f t="shared" si="64"/>
        <v>1.5999999999999999</v>
      </c>
      <c r="W118" s="3157">
        <f t="shared" si="64"/>
        <v>4.7</v>
      </c>
      <c r="X118" s="3157">
        <f t="shared" si="64"/>
        <v>0.5</v>
      </c>
      <c r="Y118" s="3157">
        <f t="shared" si="64"/>
        <v>0.9</v>
      </c>
      <c r="Z118" s="3157">
        <f t="shared" si="64"/>
        <v>1.5249999999999999</v>
      </c>
      <c r="AA118" s="3157">
        <f t="shared" si="64"/>
        <v>2.1850000000000001</v>
      </c>
      <c r="AB118" s="144"/>
      <c r="AC118" s="2867">
        <v>0</v>
      </c>
      <c r="AD118" s="2867">
        <v>0</v>
      </c>
      <c r="AE118" s="2867">
        <v>0</v>
      </c>
      <c r="AF118" s="2867">
        <v>0</v>
      </c>
      <c r="AG118" s="2867">
        <v>0</v>
      </c>
      <c r="AH118" s="2867">
        <v>0</v>
      </c>
      <c r="AI118" s="2825"/>
      <c r="AJ118" s="1"/>
      <c r="AK118" s="1"/>
      <c r="AL118" s="1"/>
      <c r="AM118" s="1"/>
      <c r="AN118" s="1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3157">
        <f t="shared" si="64"/>
        <v>3.7</v>
      </c>
      <c r="V119" s="3157">
        <f t="shared" si="64"/>
        <v>1.5999999999999999</v>
      </c>
      <c r="W119" s="3157">
        <f t="shared" si="64"/>
        <v>4.7</v>
      </c>
      <c r="X119" s="3157">
        <f t="shared" si="64"/>
        <v>0.5</v>
      </c>
      <c r="Y119" s="3157">
        <f t="shared" si="64"/>
        <v>0.9</v>
      </c>
      <c r="Z119" s="3157">
        <f t="shared" si="64"/>
        <v>1.5249999999999999</v>
      </c>
      <c r="AA119" s="3157">
        <f t="shared" si="64"/>
        <v>2.1850000000000001</v>
      </c>
      <c r="AB119" s="144"/>
      <c r="AC119" s="2867">
        <v>0</v>
      </c>
      <c r="AD119" s="2867">
        <v>0</v>
      </c>
      <c r="AE119" s="2867">
        <v>0</v>
      </c>
      <c r="AF119" s="2867">
        <v>0</v>
      </c>
      <c r="AG119" s="2867">
        <v>0</v>
      </c>
      <c r="AH119" s="2867">
        <v>0</v>
      </c>
      <c r="AI119" s="2825"/>
      <c r="AJ119" s="1"/>
      <c r="AK119" s="1"/>
      <c r="AL119" s="1"/>
      <c r="AM119" s="1"/>
      <c r="AN119" s="1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3157">
        <f t="shared" si="64"/>
        <v>3.7</v>
      </c>
      <c r="V120" s="3157">
        <f t="shared" si="64"/>
        <v>1.5999999999999999</v>
      </c>
      <c r="W120" s="3157">
        <f t="shared" si="64"/>
        <v>4.7</v>
      </c>
      <c r="X120" s="3157">
        <f t="shared" si="64"/>
        <v>0.5</v>
      </c>
      <c r="Y120" s="3157">
        <f t="shared" si="64"/>
        <v>0.9</v>
      </c>
      <c r="Z120" s="3157">
        <f t="shared" si="64"/>
        <v>1.5249999999999999</v>
      </c>
      <c r="AA120" s="3157">
        <f t="shared" si="64"/>
        <v>2.1850000000000001</v>
      </c>
      <c r="AB120" s="144"/>
      <c r="AC120" s="2867">
        <v>0</v>
      </c>
      <c r="AD120" s="2867">
        <v>0</v>
      </c>
      <c r="AE120" s="2867">
        <v>0</v>
      </c>
      <c r="AF120" s="2867">
        <v>0</v>
      </c>
      <c r="AG120" s="2867">
        <v>0</v>
      </c>
      <c r="AH120" s="2867">
        <v>0</v>
      </c>
      <c r="AI120" s="2825"/>
      <c r="AJ120" s="1"/>
      <c r="AK120" s="1"/>
      <c r="AL120" s="1"/>
      <c r="AM120" s="1"/>
      <c r="AN120" s="1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3158">
        <f>IF(U120&gt;0,U120,U119)</f>
        <v>3.7</v>
      </c>
      <c r="V121" s="3158">
        <f t="shared" si="64"/>
        <v>1.5999999999999999</v>
      </c>
      <c r="W121" s="3158">
        <f t="shared" si="64"/>
        <v>4.7</v>
      </c>
      <c r="X121" s="3158">
        <f t="shared" si="64"/>
        <v>0.5</v>
      </c>
      <c r="Y121" s="3158">
        <f t="shared" si="64"/>
        <v>0.9</v>
      </c>
      <c r="Z121" s="3158">
        <f t="shared" si="64"/>
        <v>1.5249999999999999</v>
      </c>
      <c r="AA121" s="3158">
        <f t="shared" si="64"/>
        <v>2.1850000000000001</v>
      </c>
      <c r="AB121" s="144"/>
      <c r="AC121" s="2867"/>
      <c r="AD121" s="2867"/>
      <c r="AE121" s="2867"/>
      <c r="AF121" s="2867"/>
      <c r="AG121" s="2867"/>
      <c r="AH121" s="2867"/>
      <c r="AI121" s="2825"/>
      <c r="AJ121" s="1"/>
      <c r="AK121" s="1"/>
      <c r="AL121" s="1"/>
      <c r="AM121" s="1"/>
      <c r="AN121" s="1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2838"/>
      <c r="V122" s="2838"/>
      <c r="W122" s="2838"/>
      <c r="X122" s="2838"/>
      <c r="Y122" s="2838"/>
      <c r="Z122" s="2838"/>
      <c r="AA122" s="2838"/>
      <c r="AB122" s="144"/>
      <c r="AC122" s="2867"/>
      <c r="AD122" s="2867"/>
      <c r="AE122" s="2867"/>
      <c r="AF122" s="2867"/>
      <c r="AG122" s="2867"/>
      <c r="AH122" s="2867"/>
      <c r="AI122" s="2825"/>
      <c r="AJ122" s="1"/>
      <c r="AK122" s="1"/>
      <c r="AL122" s="1"/>
      <c r="AM122" s="1"/>
      <c r="AN122" s="1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2838"/>
      <c r="V123" s="2838"/>
      <c r="W123" s="2838"/>
      <c r="X123" s="2838"/>
      <c r="Y123" s="2838"/>
      <c r="Z123" s="2838"/>
      <c r="AA123" s="2838"/>
      <c r="AB123" s="144"/>
      <c r="AC123" s="2867">
        <v>0</v>
      </c>
      <c r="AD123" s="2867">
        <v>0</v>
      </c>
      <c r="AE123" s="2867">
        <v>0</v>
      </c>
      <c r="AF123" s="2867">
        <v>0</v>
      </c>
      <c r="AG123" s="2867">
        <v>0</v>
      </c>
      <c r="AH123" s="2867">
        <v>0</v>
      </c>
      <c r="AI123" s="2825"/>
      <c r="AJ123" s="1"/>
      <c r="AK123" s="1"/>
      <c r="AL123" s="1"/>
      <c r="AM123" s="1"/>
      <c r="AN123" s="1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2838"/>
      <c r="V124" s="2838"/>
      <c r="W124" s="2838"/>
      <c r="X124" s="2838"/>
      <c r="Y124" s="2838"/>
      <c r="Z124" s="2838"/>
      <c r="AA124" s="2838"/>
      <c r="AB124" s="144"/>
      <c r="AC124" s="2867"/>
      <c r="AD124" s="2867"/>
      <c r="AE124" s="2867"/>
      <c r="AF124" s="2867"/>
      <c r="AG124" s="2867"/>
      <c r="AH124" s="2867"/>
      <c r="AJ124" s="1"/>
      <c r="AK124" s="1"/>
      <c r="AL124" s="1"/>
      <c r="AM124" s="1"/>
      <c r="AN124" s="1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2838"/>
      <c r="V125" s="2838"/>
      <c r="W125" s="2838"/>
      <c r="X125" s="2838"/>
      <c r="Y125" s="2838"/>
      <c r="Z125" s="2838"/>
      <c r="AA125" s="2838"/>
      <c r="AB125" s="144"/>
      <c r="AJ125" s="1"/>
      <c r="AK125" s="1"/>
      <c r="AL125" s="1"/>
      <c r="AM125" s="1"/>
      <c r="AN125" s="1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2838"/>
      <c r="V126" s="2838"/>
      <c r="W126" s="2838"/>
      <c r="X126" s="2838"/>
      <c r="Y126" s="2838"/>
      <c r="Z126" s="2838"/>
      <c r="AA126" s="2838"/>
      <c r="AB126" s="144"/>
      <c r="AJ126" s="1"/>
      <c r="AK126" s="1"/>
      <c r="AL126" s="1"/>
      <c r="AM126" s="1"/>
      <c r="AN126" s="1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2838"/>
      <c r="V127" s="2838"/>
      <c r="W127" s="2838"/>
      <c r="X127" s="2838"/>
      <c r="Y127" s="2838"/>
      <c r="Z127" s="2838"/>
      <c r="AA127" s="2838"/>
      <c r="AB127" s="144"/>
      <c r="AJ127" s="1"/>
      <c r="AK127" s="1"/>
      <c r="AL127" s="1"/>
      <c r="AM127" s="1"/>
      <c r="AN127" s="1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2838"/>
      <c r="V128" s="2838"/>
      <c r="W128" s="2838"/>
      <c r="X128" s="2838"/>
      <c r="Y128" s="2838"/>
      <c r="Z128" s="2838"/>
      <c r="AA128" s="2838"/>
      <c r="AB128" s="144"/>
      <c r="AJ128" s="1"/>
      <c r="AK128" s="1"/>
      <c r="AL128" s="1"/>
      <c r="AM128" s="1"/>
      <c r="AN128" s="1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2838"/>
      <c r="V129" s="2838"/>
      <c r="W129" s="2838"/>
      <c r="X129" s="2838"/>
      <c r="Y129" s="2838"/>
      <c r="Z129" s="2838"/>
      <c r="AA129" s="2838"/>
      <c r="AB129" s="144"/>
      <c r="AJ129" s="1"/>
      <c r="AK129" s="1"/>
      <c r="AL129" s="1"/>
      <c r="AM129" s="1"/>
      <c r="AN129" s="1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2838"/>
      <c r="V130" s="2838"/>
      <c r="W130" s="2838"/>
      <c r="X130" s="2838"/>
      <c r="Y130" s="2838"/>
      <c r="Z130" s="2838"/>
      <c r="AA130" s="2838"/>
      <c r="AB130" s="144"/>
      <c r="AJ130" s="1"/>
      <c r="AK130" s="1"/>
      <c r="AL130" s="1"/>
      <c r="AM130" s="1"/>
      <c r="AN130" s="1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2838"/>
      <c r="V131" s="2838"/>
      <c r="W131" s="2838"/>
      <c r="X131" s="2838"/>
      <c r="Y131" s="2838"/>
      <c r="Z131" s="2838"/>
      <c r="AA131" s="2838"/>
      <c r="AB131" s="144"/>
      <c r="AJ131" s="1"/>
      <c r="AK131" s="1"/>
      <c r="AL131" s="1"/>
      <c r="AM131" s="1"/>
      <c r="AN131" s="1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2838"/>
      <c r="V132" s="2838"/>
      <c r="W132" s="2838"/>
      <c r="X132" s="2838"/>
      <c r="Y132" s="2838"/>
      <c r="Z132" s="2838"/>
      <c r="AA132" s="2838"/>
      <c r="AB132" s="144"/>
      <c r="AJ132" s="1"/>
      <c r="AK132" s="1"/>
      <c r="AL132" s="1"/>
      <c r="AM132" s="1"/>
      <c r="AN132" s="1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2838"/>
      <c r="V133" s="2838"/>
      <c r="W133" s="2838"/>
      <c r="X133" s="2838"/>
      <c r="Y133" s="2838"/>
      <c r="Z133" s="2838"/>
      <c r="AA133" s="2838"/>
      <c r="AB133" s="144"/>
      <c r="AJ133" s="1"/>
      <c r="AK133" s="1"/>
      <c r="AL133" s="1"/>
      <c r="AM133" s="1"/>
      <c r="AN133" s="1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2838"/>
      <c r="V134" s="2838"/>
      <c r="W134" s="2838"/>
      <c r="X134" s="2838"/>
      <c r="Y134" s="2838"/>
      <c r="Z134" s="2838"/>
      <c r="AA134" s="2838"/>
      <c r="AB134" s="144"/>
      <c r="AJ134" s="1"/>
      <c r="AK134" s="1"/>
      <c r="AL134" s="1"/>
      <c r="AM134" s="1"/>
      <c r="AN134" s="1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2838"/>
      <c r="V135" s="2838"/>
      <c r="W135" s="2838"/>
      <c r="X135" s="2838"/>
      <c r="Y135" s="2838"/>
      <c r="Z135" s="2838"/>
      <c r="AA135" s="2838"/>
      <c r="AB135" s="144"/>
      <c r="AN135" s="1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2838"/>
      <c r="V136" s="2838"/>
      <c r="W136" s="2838"/>
      <c r="X136" s="2838"/>
      <c r="Y136" s="2838"/>
      <c r="Z136" s="2838"/>
      <c r="AA136" s="2838"/>
      <c r="AB136" s="144"/>
      <c r="AC136" s="2825"/>
      <c r="AD136" s="2825"/>
      <c r="AE136" s="2825"/>
      <c r="AF136" s="2825"/>
      <c r="AG136" s="2825"/>
      <c r="AH136" s="2825"/>
      <c r="AI136" s="2825"/>
      <c r="AJ136" s="2825"/>
      <c r="AK136" s="2825"/>
      <c r="AL136" s="2825"/>
      <c r="AM136" s="2825"/>
      <c r="AN136" s="1"/>
    </row>
    <row r="137" spans="1:40" s="3021" customFormat="1" ht="11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2838"/>
      <c r="V137" s="2838"/>
      <c r="W137" s="2838"/>
      <c r="X137" s="2838"/>
      <c r="Y137" s="2838"/>
      <c r="Z137" s="2838"/>
      <c r="AA137" s="2838"/>
      <c r="AB137" s="144"/>
      <c r="AC137" s="2826"/>
      <c r="AD137" s="2826"/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1:40" s="3021" customFormat="1" ht="11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2838"/>
      <c r="V138" s="2838"/>
      <c r="W138" s="2838"/>
      <c r="X138" s="2838"/>
      <c r="Y138" s="2838"/>
      <c r="Z138" s="2838"/>
      <c r="AA138" s="2838"/>
      <c r="AB138" s="144"/>
      <c r="AC138" s="2826"/>
      <c r="AD138" s="2826"/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1:40" s="3021" customFormat="1" ht="11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2838"/>
      <c r="V139" s="2838"/>
      <c r="W139" s="2838"/>
      <c r="X139" s="2838"/>
      <c r="Y139" s="2838"/>
      <c r="Z139" s="2838"/>
      <c r="AA139" s="2838"/>
      <c r="AB139" s="144"/>
      <c r="AC139" s="282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1:40" s="3021" customFormat="1" ht="11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2838"/>
      <c r="V140" s="2838"/>
      <c r="W140" s="2838"/>
      <c r="X140" s="2838"/>
      <c r="Y140" s="2838"/>
      <c r="Z140" s="2838"/>
      <c r="AA140" s="2838"/>
      <c r="AB140" s="144"/>
      <c r="AC140" s="2826"/>
      <c r="AD140" s="2826"/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1:40" s="3021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45"/>
      <c r="O141" s="146"/>
      <c r="P141" s="146"/>
      <c r="Q141" s="147"/>
      <c r="R141" s="147"/>
      <c r="S141" s="142"/>
      <c r="T141" s="142"/>
      <c r="U141" s="2838"/>
      <c r="V141" s="2838"/>
      <c r="W141" s="2838"/>
      <c r="X141" s="2838"/>
      <c r="Y141" s="2838"/>
      <c r="Z141" s="2838"/>
      <c r="AA141" s="2838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1:40" s="3021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2838"/>
      <c r="V142" s="2838"/>
      <c r="W142" s="2838"/>
      <c r="X142" s="2838"/>
      <c r="Y142" s="2838"/>
      <c r="Z142" s="2838"/>
      <c r="AA142" s="2838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1:40" s="3021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2838"/>
      <c r="V143" s="2838"/>
      <c r="W143" s="2838"/>
      <c r="X143" s="2838"/>
      <c r="Y143" s="2838"/>
      <c r="Z143" s="2838"/>
      <c r="AA143" s="2838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1:40" s="3021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2838"/>
      <c r="V144" s="2838"/>
      <c r="W144" s="2838"/>
      <c r="X144" s="2838"/>
      <c r="Y144" s="2838"/>
      <c r="Z144" s="2838"/>
      <c r="AA144" s="2838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39" s="3021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39" s="3021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39" s="3021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39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39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39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39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39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39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39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39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39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39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39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39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39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B166" s="3021">
        <f>SUBTOTAL(9,AB124:AB165)</f>
        <v>0</v>
      </c>
      <c r="AC166" s="2826">
        <f>SUBTOTAL(9,AC124:AC165)</f>
        <v>0</v>
      </c>
      <c r="AD166" s="2826">
        <f>SUBTOTAL(9,AD124:AD165)</f>
        <v>0</v>
      </c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B167" s="3021">
        <v>0</v>
      </c>
      <c r="AC167" s="2826">
        <v>0</v>
      </c>
      <c r="AD167" s="2826">
        <v>0</v>
      </c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B168" s="3021">
        <v>0</v>
      </c>
      <c r="AC168" s="2826">
        <v>0</v>
      </c>
      <c r="AD168" s="2826">
        <v>0</v>
      </c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B169" s="3021">
        <v>0</v>
      </c>
      <c r="AC169" s="2826">
        <v>0</v>
      </c>
      <c r="AD169" s="2826">
        <v>0</v>
      </c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B170" s="3021">
        <v>0</v>
      </c>
      <c r="AC170" s="2826">
        <v>0</v>
      </c>
      <c r="AD170" s="2826">
        <v>0</v>
      </c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B171" s="3021">
        <v>0</v>
      </c>
      <c r="AC171" s="2826">
        <v>0</v>
      </c>
      <c r="AD171" s="2826">
        <v>0</v>
      </c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B172" s="3021">
        <v>0</v>
      </c>
      <c r="AC172" s="2826">
        <v>0</v>
      </c>
      <c r="AD172" s="2826">
        <v>0</v>
      </c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3021">
        <v>0</v>
      </c>
      <c r="AC173" s="2826">
        <v>0</v>
      </c>
      <c r="AD173" s="2826">
        <v>0</v>
      </c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3021">
        <v>0</v>
      </c>
      <c r="AC174" s="2826">
        <v>0</v>
      </c>
      <c r="AD174" s="2826">
        <v>0</v>
      </c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3021">
        <v>0</v>
      </c>
      <c r="AC175" s="2826">
        <v>0</v>
      </c>
      <c r="AD175" s="2826">
        <v>0</v>
      </c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B176" s="3021">
        <v>0</v>
      </c>
      <c r="AC176" s="2826">
        <v>0</v>
      </c>
      <c r="AD176" s="2826">
        <v>0</v>
      </c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>
        <f>SUBTOTAL(9,U135:U176)</f>
        <v>0</v>
      </c>
      <c r="V177" s="146">
        <f t="shared" ref="V177:AA177" si="65">SUBTOTAL(9,V135:V176)</f>
        <v>0</v>
      </c>
      <c r="W177" s="146">
        <f t="shared" si="65"/>
        <v>0</v>
      </c>
      <c r="X177" s="146">
        <f t="shared" si="65"/>
        <v>0</v>
      </c>
      <c r="Y177" s="146">
        <f t="shared" si="65"/>
        <v>0</v>
      </c>
      <c r="Z177" s="146">
        <f t="shared" si="65"/>
        <v>0</v>
      </c>
      <c r="AA177" s="146">
        <f t="shared" si="65"/>
        <v>0</v>
      </c>
      <c r="AB177" s="3021">
        <v>0</v>
      </c>
      <c r="AC177" s="2826">
        <v>0</v>
      </c>
      <c r="AD177" s="2826">
        <v>0</v>
      </c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2825" customFormat="1" ht="14" thickBot="1">
      <c r="B178" s="139"/>
      <c r="C178" s="138"/>
      <c r="D178" s="908"/>
      <c r="E178" s="138"/>
      <c r="F178" s="140"/>
      <c r="G178" s="141"/>
      <c r="H178" s="141"/>
      <c r="I178" s="141"/>
      <c r="J178" s="141"/>
      <c r="K178" s="141"/>
      <c r="L178" s="141"/>
      <c r="M178" s="458"/>
      <c r="N178" s="140"/>
      <c r="O178" s="141"/>
      <c r="P178" s="141"/>
      <c r="Q178" s="148"/>
      <c r="R178" s="148"/>
      <c r="S178" s="149"/>
      <c r="T178" s="149"/>
      <c r="U178" s="150"/>
      <c r="V178" s="150"/>
      <c r="W178" s="150"/>
      <c r="X178" s="150"/>
      <c r="Y178" s="150"/>
      <c r="Z178" s="150"/>
      <c r="AA178" s="150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41" s="2825" customFormat="1" ht="15" thickTop="1" thickBot="1">
      <c r="B179" s="139"/>
      <c r="C179" s="138"/>
      <c r="D179" s="908"/>
      <c r="E179" s="138"/>
      <c r="F179" s="140"/>
      <c r="G179" s="141"/>
      <c r="H179" s="141"/>
      <c r="I179" s="141"/>
      <c r="J179" s="141"/>
      <c r="K179" s="141"/>
      <c r="L179" s="141"/>
      <c r="M179" s="458"/>
      <c r="N179" s="140"/>
      <c r="O179" s="141"/>
      <c r="P179" s="141"/>
      <c r="Q179" s="148"/>
      <c r="R179" s="148"/>
      <c r="S179" s="148"/>
      <c r="T179" s="149"/>
      <c r="U179" s="151"/>
      <c r="V179" s="152"/>
      <c r="W179" s="153"/>
      <c r="X179" s="153"/>
      <c r="Y179" s="153"/>
      <c r="Z179" s="153"/>
      <c r="AA179" s="154"/>
      <c r="AB179" s="3022"/>
      <c r="AC179" s="3022"/>
      <c r="AE179" s="2826"/>
      <c r="AF179" s="2826"/>
      <c r="AG179" s="2826"/>
      <c r="AH179" s="2826"/>
      <c r="AI179" s="2826"/>
      <c r="AJ179" s="2826"/>
      <c r="AK179" s="2826"/>
      <c r="AL179" s="2826"/>
      <c r="AM179" s="2826"/>
      <c r="AN179" s="2826"/>
      <c r="AO179" s="2826"/>
    </row>
    <row r="180" spans="2:41" s="3021" customFormat="1" ht="12" thickTop="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41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41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3021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41" s="3021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41" s="3021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41" s="3021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41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41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3021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3021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3021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3021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3021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3021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3021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3021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3021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41" s="3021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41" s="3021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41" s="3021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41" s="3021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41" s="3021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41" s="3021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41" s="3021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41" s="3021" customFormat="1" ht="11">
      <c r="B216" s="3159"/>
      <c r="D216" s="3160"/>
      <c r="F216" s="3023"/>
      <c r="G216" s="3024"/>
      <c r="H216" s="3024"/>
      <c r="I216" s="3024"/>
      <c r="J216" s="3024"/>
      <c r="K216" s="3024"/>
      <c r="L216" s="3024"/>
      <c r="M216" s="3025"/>
      <c r="N216" s="3023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41" s="3021" customFormat="1" ht="11">
      <c r="B217" s="3159"/>
      <c r="D217" s="3160"/>
      <c r="F217" s="3023"/>
      <c r="G217" s="3024"/>
      <c r="H217" s="3024"/>
      <c r="I217" s="3024"/>
      <c r="J217" s="3024"/>
      <c r="K217" s="3024"/>
      <c r="L217" s="3024"/>
      <c r="M217" s="3025"/>
      <c r="N217" s="3023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41" s="3021" customFormat="1" ht="11">
      <c r="B218" s="3159"/>
      <c r="D218" s="3160"/>
      <c r="F218" s="3023"/>
      <c r="G218" s="3024"/>
      <c r="H218" s="3024"/>
      <c r="I218" s="3024"/>
      <c r="J218" s="3024"/>
      <c r="K218" s="3024"/>
      <c r="L218" s="3024"/>
      <c r="M218" s="3025"/>
      <c r="N218" s="3023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41" s="3021" customFormat="1" ht="11">
      <c r="B219" s="3159"/>
      <c r="D219" s="3160"/>
      <c r="F219" s="3023"/>
      <c r="G219" s="3024"/>
      <c r="H219" s="3024"/>
      <c r="I219" s="3024"/>
      <c r="J219" s="3024"/>
      <c r="K219" s="3024"/>
      <c r="L219" s="3024"/>
      <c r="M219" s="3025"/>
      <c r="N219" s="3023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41" s="3021" customFormat="1" ht="11">
      <c r="B220" s="3159"/>
      <c r="D220" s="3160"/>
      <c r="F220" s="3023"/>
      <c r="G220" s="3024"/>
      <c r="H220" s="3024"/>
      <c r="I220" s="3024"/>
      <c r="J220" s="3024"/>
      <c r="K220" s="3024"/>
      <c r="L220" s="3024"/>
      <c r="M220" s="3025"/>
      <c r="N220" s="3023"/>
      <c r="O220" s="146"/>
      <c r="P220" s="146"/>
      <c r="Q220" s="147"/>
      <c r="R220" s="147"/>
      <c r="S220" s="142"/>
      <c r="T220" s="142"/>
      <c r="U220" s="146">
        <f>SUBTOTAL(9,U178:U219)</f>
        <v>0</v>
      </c>
      <c r="V220" s="146">
        <f t="shared" ref="V220:AA220" si="66">SUBTOTAL(9,V178:V219)</f>
        <v>0</v>
      </c>
      <c r="W220" s="146">
        <f t="shared" si="66"/>
        <v>0</v>
      </c>
      <c r="X220" s="146">
        <f t="shared" si="66"/>
        <v>0</v>
      </c>
      <c r="Y220" s="146">
        <f t="shared" si="66"/>
        <v>0</v>
      </c>
      <c r="Z220" s="146">
        <f t="shared" si="66"/>
        <v>0</v>
      </c>
      <c r="AA220" s="146">
        <f t="shared" si="66"/>
        <v>0</v>
      </c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41" s="2825" customFormat="1" ht="14" thickBot="1">
      <c r="B221" s="2935"/>
      <c r="D221" s="3161"/>
      <c r="F221" s="3026"/>
      <c r="G221" s="3027"/>
      <c r="H221" s="3027"/>
      <c r="I221" s="3027"/>
      <c r="J221" s="3027"/>
      <c r="K221" s="3027"/>
      <c r="L221" s="3027"/>
      <c r="M221" s="3025"/>
      <c r="N221" s="3026"/>
      <c r="O221" s="141"/>
      <c r="P221" s="141"/>
      <c r="Q221" s="148"/>
      <c r="R221" s="148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41" s="2825" customFormat="1" ht="15" thickTop="1" thickBot="1">
      <c r="B222" s="2935"/>
      <c r="D222" s="3161"/>
      <c r="F222" s="3026"/>
      <c r="G222" s="3027"/>
      <c r="H222" s="3027"/>
      <c r="I222" s="3027"/>
      <c r="J222" s="3027"/>
      <c r="K222" s="3027"/>
      <c r="L222" s="3027"/>
      <c r="M222" s="3025"/>
      <c r="N222" s="3026"/>
      <c r="O222" s="141"/>
      <c r="P222" s="141"/>
      <c r="Q222" s="148"/>
      <c r="R222" s="148"/>
      <c r="S222" s="148"/>
      <c r="T222" s="148"/>
      <c r="U222" s="151">
        <f>SUBTOTAL(9,U180:U221)</f>
        <v>0</v>
      </c>
      <c r="V222" s="152">
        <f t="shared" ref="V222:AA222" si="67">SUBTOTAL(9,V180:V221)</f>
        <v>0</v>
      </c>
      <c r="W222" s="153">
        <f t="shared" si="67"/>
        <v>0</v>
      </c>
      <c r="X222" s="153">
        <f t="shared" si="67"/>
        <v>0</v>
      </c>
      <c r="Y222" s="153">
        <f t="shared" si="67"/>
        <v>0</v>
      </c>
      <c r="Z222" s="153">
        <f t="shared" si="67"/>
        <v>0</v>
      </c>
      <c r="AA222" s="154">
        <f t="shared" si="67"/>
        <v>0</v>
      </c>
      <c r="AB222" s="3022"/>
      <c r="AC222" s="3022"/>
      <c r="AE222" s="2826"/>
      <c r="AF222" s="2826"/>
      <c r="AG222" s="2826"/>
      <c r="AH222" s="2826"/>
      <c r="AI222" s="2826"/>
      <c r="AJ222" s="2826"/>
      <c r="AK222" s="2826"/>
      <c r="AL222" s="2826"/>
      <c r="AM222" s="2826"/>
      <c r="AN222" s="2826"/>
      <c r="AO222" s="2826"/>
    </row>
    <row r="223" spans="2:41" s="2825" customFormat="1" ht="14" thickTop="1">
      <c r="B223" s="2935"/>
      <c r="D223" s="3161"/>
      <c r="F223" s="3026"/>
      <c r="G223" s="3027"/>
      <c r="H223" s="3027"/>
      <c r="I223" s="3027"/>
      <c r="J223" s="3027"/>
      <c r="K223" s="3027"/>
      <c r="L223" s="3027"/>
      <c r="M223" s="3025"/>
      <c r="N223" s="3026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41" s="2825" customFormat="1">
      <c r="B224" s="2935"/>
      <c r="D224" s="3161"/>
      <c r="F224" s="3026"/>
      <c r="G224" s="3027"/>
      <c r="H224" s="3027"/>
      <c r="I224" s="3027"/>
      <c r="J224" s="3027"/>
      <c r="K224" s="3027"/>
      <c r="L224" s="3027"/>
      <c r="M224" s="3025"/>
      <c r="N224" s="3026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2:39" s="2825" customFormat="1">
      <c r="B225" s="2935"/>
      <c r="D225" s="3161"/>
      <c r="F225" s="3026"/>
      <c r="G225" s="3027"/>
      <c r="H225" s="3027"/>
      <c r="I225" s="3027"/>
      <c r="J225" s="3027"/>
      <c r="K225" s="3027"/>
      <c r="L225" s="3027"/>
      <c r="M225" s="3025"/>
      <c r="N225" s="3026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39" s="2825" customFormat="1">
      <c r="B226" s="2935"/>
      <c r="D226" s="3161"/>
      <c r="F226" s="3026"/>
      <c r="G226" s="3027"/>
      <c r="H226" s="3027"/>
      <c r="I226" s="3027"/>
      <c r="J226" s="3027"/>
      <c r="K226" s="3027"/>
      <c r="L226" s="3027"/>
      <c r="M226" s="3025"/>
      <c r="N226" s="3026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2:39" s="2825" customFormat="1">
      <c r="B227" s="2935"/>
      <c r="D227" s="3161"/>
      <c r="F227" s="3026"/>
      <c r="G227" s="3027"/>
      <c r="H227" s="3027"/>
      <c r="I227" s="3027"/>
      <c r="J227" s="3027"/>
      <c r="K227" s="3027"/>
      <c r="L227" s="3027"/>
      <c r="M227" s="3025"/>
      <c r="N227" s="3026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2:39" s="2825" customFormat="1">
      <c r="B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39" s="2825" customFormat="1">
      <c r="B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026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2:39" s="2825" customFormat="1">
      <c r="B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39" s="2825" customFormat="1">
      <c r="B231" s="2935"/>
      <c r="D231" s="3161"/>
      <c r="F231" s="3026"/>
      <c r="G231" s="3027"/>
      <c r="H231" s="3027"/>
      <c r="I231" s="3027"/>
      <c r="J231" s="3027"/>
      <c r="K231" s="3027"/>
      <c r="L231" s="3027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39" s="2825" customFormat="1">
      <c r="B232" s="2935"/>
      <c r="D232" s="3161"/>
      <c r="F232" s="3026"/>
      <c r="G232" s="3027"/>
      <c r="H232" s="3027"/>
      <c r="I232" s="3027"/>
      <c r="J232" s="3027"/>
      <c r="K232" s="3027"/>
      <c r="L232" s="3027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39" s="2825" customFormat="1">
      <c r="B233" s="2935"/>
      <c r="D233" s="3161"/>
      <c r="F233" s="3026"/>
      <c r="G233" s="3027"/>
      <c r="H233" s="3027"/>
      <c r="I233" s="3027"/>
      <c r="J233" s="3027"/>
      <c r="K233" s="3027"/>
      <c r="L233" s="3027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39" s="2825" customFormat="1">
      <c r="B234" s="2935"/>
      <c r="D234" s="3161"/>
      <c r="F234" s="3026"/>
      <c r="G234" s="3027"/>
      <c r="H234" s="3027"/>
      <c r="I234" s="3027"/>
      <c r="J234" s="3027"/>
      <c r="K234" s="3027"/>
      <c r="L234" s="3027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39" s="2825" customFormat="1">
      <c r="B235" s="2935"/>
      <c r="D235" s="3161"/>
      <c r="F235" s="3026"/>
      <c r="G235" s="3027"/>
      <c r="H235" s="3027"/>
      <c r="I235" s="3027"/>
      <c r="J235" s="3027"/>
      <c r="K235" s="3027"/>
      <c r="L235" s="3027"/>
      <c r="M235" s="3025"/>
      <c r="N235" s="3026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39" s="2825" customFormat="1">
      <c r="B236" s="2935"/>
      <c r="D236" s="3161"/>
      <c r="F236" s="3026"/>
      <c r="G236" s="3027"/>
      <c r="H236" s="3027"/>
      <c r="I236" s="3027"/>
      <c r="J236" s="3027"/>
      <c r="K236" s="3027"/>
      <c r="L236" s="3027"/>
      <c r="M236" s="3025"/>
      <c r="N236" s="3026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39" s="2825" customFormat="1">
      <c r="B237" s="2935"/>
      <c r="D237" s="3161"/>
      <c r="F237" s="3026"/>
      <c r="G237" s="3027"/>
      <c r="H237" s="3027"/>
      <c r="I237" s="3027"/>
      <c r="J237" s="3027"/>
      <c r="K237" s="3027"/>
      <c r="L237" s="3027"/>
      <c r="M237" s="3025"/>
      <c r="N237" s="3026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39" s="2825" customFormat="1">
      <c r="B238" s="2935"/>
      <c r="D238" s="3161"/>
      <c r="F238" s="3026"/>
      <c r="G238" s="3027"/>
      <c r="H238" s="3027"/>
      <c r="I238" s="3027"/>
      <c r="J238" s="3027"/>
      <c r="K238" s="3027"/>
      <c r="L238" s="3027"/>
      <c r="M238" s="3025"/>
      <c r="N238" s="3026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39" s="2825" customFormat="1">
      <c r="B239" s="2935"/>
      <c r="D239" s="3161"/>
      <c r="F239" s="3026"/>
      <c r="G239" s="3027"/>
      <c r="H239" s="3027"/>
      <c r="I239" s="3027"/>
      <c r="J239" s="3027"/>
      <c r="K239" s="3027"/>
      <c r="L239" s="3027"/>
      <c r="M239" s="3025"/>
      <c r="N239" s="3026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39" s="2825" customFormat="1">
      <c r="B240" s="2935"/>
      <c r="D240" s="3161"/>
      <c r="F240" s="3026"/>
      <c r="G240" s="3027"/>
      <c r="H240" s="3027"/>
      <c r="I240" s="3027"/>
      <c r="J240" s="3027"/>
      <c r="K240" s="3027"/>
      <c r="L240" s="3027"/>
      <c r="M240" s="3025"/>
      <c r="N240" s="3026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1:40" s="2825" customFormat="1">
      <c r="B241" s="2935"/>
      <c r="D241" s="3161"/>
      <c r="F241" s="3026"/>
      <c r="G241" s="3027"/>
      <c r="H241" s="3027"/>
      <c r="I241" s="3027"/>
      <c r="J241" s="3027"/>
      <c r="K241" s="3027"/>
      <c r="L241" s="3027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1:40" s="2825" customFormat="1">
      <c r="B242" s="2935"/>
      <c r="D242" s="3161"/>
      <c r="F242" s="3026"/>
      <c r="G242" s="3027"/>
      <c r="H242" s="3027"/>
      <c r="I242" s="3027"/>
      <c r="J242" s="3027"/>
      <c r="K242" s="3027"/>
      <c r="L242" s="3027"/>
      <c r="M242" s="3025"/>
      <c r="N242" s="3026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826"/>
      <c r="AD242" s="2826"/>
      <c r="AE242" s="2826"/>
      <c r="AF242" s="2826"/>
      <c r="AG242" s="2826"/>
      <c r="AH242" s="2826"/>
      <c r="AI242" s="2826"/>
      <c r="AJ242" s="2826"/>
      <c r="AK242" s="2826"/>
      <c r="AL242" s="2826"/>
      <c r="AM242" s="2826"/>
    </row>
    <row r="243" spans="1:40" s="2825" customFormat="1">
      <c r="B243" s="2935"/>
      <c r="D243" s="3161"/>
      <c r="F243" s="3026"/>
      <c r="G243" s="3027"/>
      <c r="H243" s="3027"/>
      <c r="I243" s="3027"/>
      <c r="J243" s="3027"/>
      <c r="K243" s="3027"/>
      <c r="L243" s="3027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1:40" s="2825" customFormat="1">
      <c r="B244" s="2935"/>
      <c r="D244" s="3161"/>
      <c r="F244" s="3026"/>
      <c r="G244" s="3027"/>
      <c r="H244" s="3027"/>
      <c r="I244" s="3027"/>
      <c r="J244" s="3027"/>
      <c r="K244" s="3027"/>
      <c r="L244" s="3027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1:40" s="2825" customFormat="1">
      <c r="B245" s="2935"/>
      <c r="D245" s="3161"/>
      <c r="F245" s="3026"/>
      <c r="G245" s="3027"/>
      <c r="H245" s="3027"/>
      <c r="I245" s="3027"/>
      <c r="J245" s="3027"/>
      <c r="K245" s="3027"/>
      <c r="L245" s="3027"/>
      <c r="M245" s="3025"/>
      <c r="N245" s="3026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826"/>
      <c r="AD245" s="2826"/>
      <c r="AE245" s="2826"/>
      <c r="AF245" s="2826"/>
      <c r="AG245" s="2826"/>
      <c r="AH245" s="2826"/>
      <c r="AI245" s="2826"/>
      <c r="AJ245" s="2826"/>
      <c r="AK245" s="2826"/>
      <c r="AL245" s="2826"/>
      <c r="AM245" s="2826"/>
    </row>
    <row r="246" spans="1:40" s="2825" customFormat="1">
      <c r="B246" s="2935"/>
      <c r="D246" s="3161"/>
      <c r="F246" s="3026"/>
      <c r="G246" s="3027"/>
      <c r="H246" s="3027"/>
      <c r="I246" s="3027"/>
      <c r="J246" s="3027"/>
      <c r="K246" s="3027"/>
      <c r="L246" s="3027"/>
      <c r="M246" s="3025"/>
      <c r="N246" s="3026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826"/>
      <c r="AD246" s="2826"/>
      <c r="AE246" s="2826"/>
      <c r="AF246" s="2826"/>
      <c r="AG246" s="2826"/>
      <c r="AH246" s="2826"/>
      <c r="AI246" s="2826"/>
      <c r="AJ246" s="2826"/>
      <c r="AK246" s="2826"/>
      <c r="AL246" s="2826"/>
      <c r="AM246" s="2826"/>
    </row>
    <row r="247" spans="1:40" s="2825" customFormat="1">
      <c r="B247" s="2935"/>
      <c r="D247" s="3161"/>
      <c r="F247" s="3026"/>
      <c r="G247" s="3027"/>
      <c r="H247" s="3027"/>
      <c r="I247" s="3027"/>
      <c r="J247" s="3027"/>
      <c r="K247" s="3027"/>
      <c r="L247" s="3027"/>
      <c r="M247" s="3025"/>
      <c r="N247" s="3026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826"/>
      <c r="AD247" s="2826"/>
      <c r="AE247" s="2826"/>
      <c r="AF247" s="2826"/>
      <c r="AG247" s="2826"/>
      <c r="AH247" s="2826"/>
      <c r="AI247" s="2826"/>
      <c r="AJ247" s="2826"/>
      <c r="AK247" s="2826"/>
      <c r="AL247" s="2826"/>
      <c r="AM247" s="2826"/>
    </row>
    <row r="248" spans="1:40" s="2825" customFormat="1">
      <c r="B248" s="2935"/>
      <c r="D248" s="3161"/>
      <c r="F248" s="3026"/>
      <c r="G248" s="3027"/>
      <c r="H248" s="3027"/>
      <c r="I248" s="3027"/>
      <c r="J248" s="3027"/>
      <c r="K248" s="3027"/>
      <c r="L248" s="3027"/>
      <c r="M248" s="3025"/>
      <c r="N248" s="3026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826"/>
      <c r="AD248" s="2826"/>
      <c r="AE248" s="2826"/>
      <c r="AF248" s="2826"/>
      <c r="AG248" s="2826"/>
      <c r="AH248" s="2826"/>
      <c r="AI248" s="2826"/>
      <c r="AJ248" s="2826"/>
      <c r="AK248" s="2826"/>
      <c r="AL248" s="2826"/>
      <c r="AM248" s="2826"/>
    </row>
    <row r="249" spans="1:40" s="2825" customFormat="1">
      <c r="B249" s="2935"/>
      <c r="D249" s="3161"/>
      <c r="F249" s="3026"/>
      <c r="G249" s="3027"/>
      <c r="H249" s="3027"/>
      <c r="I249" s="3027"/>
      <c r="J249" s="3027"/>
      <c r="K249" s="3027"/>
      <c r="L249" s="3027"/>
      <c r="M249" s="3025"/>
      <c r="N249" s="3026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826"/>
      <c r="AD249" s="2826"/>
      <c r="AE249" s="2826"/>
      <c r="AF249" s="2826"/>
      <c r="AG249" s="2826"/>
      <c r="AH249" s="2826"/>
      <c r="AI249" s="2826"/>
      <c r="AJ249" s="2826"/>
      <c r="AK249" s="2826"/>
      <c r="AL249" s="2826"/>
      <c r="AM249" s="2826"/>
    </row>
    <row r="250" spans="1:40" s="2825" customFormat="1">
      <c r="B250" s="2935"/>
      <c r="D250" s="3161"/>
      <c r="F250" s="3026"/>
      <c r="G250" s="3027"/>
      <c r="H250" s="3027"/>
      <c r="I250" s="3027"/>
      <c r="J250" s="3027"/>
      <c r="K250" s="3027"/>
      <c r="L250" s="3027"/>
      <c r="M250" s="3025"/>
      <c r="N250" s="3026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826"/>
      <c r="AD250" s="2826"/>
      <c r="AE250" s="2826"/>
      <c r="AF250" s="2826"/>
      <c r="AG250" s="2826"/>
      <c r="AH250" s="2826"/>
      <c r="AI250" s="2826"/>
      <c r="AJ250" s="2826"/>
      <c r="AK250" s="2826"/>
      <c r="AL250" s="2826"/>
      <c r="AM250" s="2826"/>
    </row>
    <row r="251" spans="1:40" s="2825" customFormat="1">
      <c r="B251" s="2935"/>
      <c r="D251" s="3161"/>
      <c r="F251" s="3026"/>
      <c r="G251" s="3027"/>
      <c r="H251" s="3027"/>
      <c r="I251" s="3027"/>
      <c r="J251" s="3027"/>
      <c r="K251" s="3027"/>
      <c r="L251" s="3027"/>
      <c r="M251" s="3025"/>
      <c r="N251" s="3026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826"/>
      <c r="AD251" s="2826"/>
      <c r="AE251" s="2826"/>
      <c r="AF251" s="2826"/>
      <c r="AG251" s="2826"/>
      <c r="AH251" s="2826"/>
      <c r="AI251" s="2826"/>
      <c r="AJ251" s="2826"/>
      <c r="AK251" s="2826"/>
      <c r="AL251" s="2826"/>
      <c r="AM251" s="2826"/>
    </row>
    <row r="252" spans="1:40" s="2825" customFormat="1">
      <c r="B252" s="2935"/>
      <c r="D252" s="3161"/>
      <c r="F252" s="3026"/>
      <c r="G252" s="3027"/>
      <c r="H252" s="3027"/>
      <c r="I252" s="3027"/>
      <c r="J252" s="3027"/>
      <c r="K252" s="3027"/>
      <c r="L252" s="3027"/>
      <c r="M252" s="3025"/>
      <c r="N252" s="3026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826"/>
      <c r="AD252" s="2826"/>
      <c r="AE252" s="2826"/>
      <c r="AF252" s="2826"/>
      <c r="AG252" s="2826"/>
      <c r="AH252" s="2826"/>
      <c r="AI252" s="2826"/>
      <c r="AJ252" s="2826"/>
      <c r="AK252" s="2826"/>
      <c r="AL252" s="2826"/>
      <c r="AM252" s="2826"/>
    </row>
    <row r="253" spans="1:40" s="2825" customFormat="1">
      <c r="B253" s="2935"/>
      <c r="D253" s="3161"/>
      <c r="F253" s="3026"/>
      <c r="G253" s="3027"/>
      <c r="H253" s="3027"/>
      <c r="I253" s="3027"/>
      <c r="J253" s="3027"/>
      <c r="K253" s="3027"/>
      <c r="L253" s="3027"/>
      <c r="M253" s="3025"/>
      <c r="N253" s="3026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826"/>
      <c r="AD253" s="2826"/>
      <c r="AE253" s="2826"/>
      <c r="AF253" s="2826"/>
      <c r="AG253" s="2826"/>
      <c r="AH253" s="2826"/>
      <c r="AI253" s="2826"/>
      <c r="AJ253" s="2826"/>
      <c r="AK253" s="2826"/>
      <c r="AL253" s="2826"/>
      <c r="AM253" s="2826"/>
    </row>
    <row r="254" spans="1:40">
      <c r="A254" s="1"/>
      <c r="O254" s="155"/>
      <c r="P254" s="155"/>
      <c r="Q254" s="1131"/>
      <c r="R254" s="1131"/>
      <c r="S254" s="251"/>
      <c r="T254" s="251"/>
      <c r="U254" s="1132"/>
      <c r="V254" s="1132"/>
      <c r="W254" s="1132"/>
      <c r="X254" s="1132"/>
      <c r="Y254" s="1132"/>
      <c r="Z254" s="1132"/>
      <c r="AA254" s="1132"/>
      <c r="AN254" s="1"/>
    </row>
    <row r="255" spans="1:40">
      <c r="A255" s="1"/>
      <c r="O255" s="155"/>
      <c r="P255" s="155"/>
      <c r="Q255" s="1131"/>
      <c r="R255" s="1131"/>
      <c r="S255" s="251"/>
      <c r="T255" s="251"/>
      <c r="U255" s="1132"/>
      <c r="V255" s="1132"/>
      <c r="W255" s="1132"/>
      <c r="X255" s="1132"/>
      <c r="Y255" s="1132"/>
      <c r="Z255" s="1132"/>
      <c r="AA255" s="1132"/>
      <c r="AN255" s="1"/>
    </row>
    <row r="256" spans="1:40">
      <c r="A256" s="1"/>
      <c r="O256" s="155"/>
      <c r="P256" s="155"/>
      <c r="Q256" s="1131"/>
      <c r="R256" s="1131"/>
      <c r="S256" s="251"/>
      <c r="T256" s="251"/>
      <c r="U256" s="1132"/>
      <c r="V256" s="1132"/>
      <c r="W256" s="1132"/>
      <c r="X256" s="1132"/>
      <c r="Y256" s="1132"/>
      <c r="Z256" s="1132"/>
      <c r="AA256" s="1132"/>
      <c r="AN256" s="1"/>
    </row>
    <row r="257" spans="1:40">
      <c r="A257" s="1"/>
      <c r="O257" s="155"/>
      <c r="P257" s="155"/>
      <c r="Q257" s="1131"/>
      <c r="R257" s="1131"/>
      <c r="S257" s="251"/>
      <c r="T257" s="251"/>
      <c r="U257" s="1132"/>
      <c r="V257" s="1132"/>
      <c r="W257" s="1132"/>
      <c r="X257" s="1132"/>
      <c r="Y257" s="1132"/>
      <c r="Z257" s="1132"/>
      <c r="AA257" s="1132"/>
      <c r="AN257" s="1"/>
    </row>
    <row r="258" spans="1:40">
      <c r="A258" s="1"/>
      <c r="O258" s="155"/>
      <c r="P258" s="155"/>
      <c r="Q258" s="1131"/>
      <c r="R258" s="1131"/>
      <c r="S258" s="251"/>
      <c r="T258" s="251"/>
      <c r="U258" s="1132"/>
      <c r="V258" s="1132"/>
      <c r="W258" s="1132"/>
      <c r="X258" s="1132"/>
      <c r="Y258" s="1132"/>
      <c r="Z258" s="1132"/>
      <c r="AA258" s="1132"/>
      <c r="AN258" s="1"/>
    </row>
    <row r="259" spans="1:40">
      <c r="A259" s="1"/>
      <c r="O259" s="155"/>
      <c r="P259" s="155"/>
      <c r="Q259" s="1131"/>
      <c r="R259" s="1131"/>
      <c r="S259" s="251"/>
      <c r="T259" s="251"/>
      <c r="U259" s="1132"/>
      <c r="V259" s="1132"/>
      <c r="W259" s="1132"/>
      <c r="X259" s="1132"/>
      <c r="Y259" s="1132"/>
      <c r="Z259" s="1132"/>
      <c r="AA259" s="1132"/>
      <c r="AN259" s="1"/>
    </row>
    <row r="260" spans="1:40">
      <c r="A260" s="1"/>
      <c r="O260" s="155"/>
      <c r="P260" s="155"/>
      <c r="Q260" s="1131"/>
      <c r="R260" s="1131"/>
      <c r="S260" s="251"/>
      <c r="T260" s="251"/>
      <c r="U260" s="1132"/>
      <c r="V260" s="1132"/>
      <c r="W260" s="1132"/>
      <c r="X260" s="1132"/>
      <c r="Y260" s="1132"/>
      <c r="Z260" s="1132"/>
      <c r="AA260" s="1132"/>
      <c r="AN260" s="1"/>
    </row>
    <row r="261" spans="1:40">
      <c r="A261" s="1"/>
      <c r="O261" s="155"/>
      <c r="P261" s="155"/>
      <c r="Q261" s="1131"/>
      <c r="R261" s="1131"/>
      <c r="S261" s="251"/>
      <c r="T261" s="251"/>
      <c r="U261" s="1132"/>
      <c r="V261" s="1132"/>
      <c r="W261" s="1132"/>
      <c r="X261" s="1132"/>
      <c r="Y261" s="1132"/>
      <c r="Z261" s="1132"/>
      <c r="AA261" s="1132"/>
      <c r="AN261" s="1"/>
    </row>
    <row r="262" spans="1:40">
      <c r="A262" s="1"/>
      <c r="O262" s="155"/>
      <c r="P262" s="155"/>
      <c r="Q262" s="1131"/>
      <c r="R262" s="1131"/>
      <c r="S262" s="251"/>
      <c r="T262" s="251"/>
      <c r="U262" s="1132"/>
      <c r="V262" s="1132"/>
      <c r="W262" s="1132"/>
      <c r="X262" s="1132"/>
      <c r="Y262" s="1132"/>
      <c r="Z262" s="1132"/>
      <c r="AA262" s="1132"/>
      <c r="AN262" s="1"/>
    </row>
    <row r="263" spans="1:40">
      <c r="A263" s="1"/>
      <c r="B263" s="1"/>
      <c r="D263" s="1"/>
      <c r="F263" s="1"/>
      <c r="G263" s="1"/>
      <c r="H263" s="1"/>
      <c r="I263" s="1"/>
      <c r="J263" s="1"/>
      <c r="K263" s="1"/>
      <c r="L263" s="1"/>
      <c r="M263" s="1"/>
      <c r="N263" s="1"/>
      <c r="O263" s="155"/>
      <c r="P263" s="155"/>
      <c r="Q263" s="1131"/>
      <c r="R263" s="1131"/>
      <c r="S263" s="251"/>
      <c r="T263" s="251"/>
      <c r="U263" s="1132"/>
      <c r="V263" s="1132"/>
      <c r="W263" s="1132"/>
      <c r="X263" s="1132"/>
      <c r="Y263" s="1132"/>
      <c r="Z263" s="1132"/>
      <c r="AA263" s="1132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>
      <c r="A264" s="1"/>
      <c r="B264" s="1"/>
      <c r="D264" s="1"/>
      <c r="F264" s="1"/>
      <c r="G264" s="1"/>
      <c r="H264" s="1"/>
      <c r="I264" s="1"/>
      <c r="J264" s="1"/>
      <c r="K264" s="1"/>
      <c r="L264" s="1"/>
      <c r="M264" s="1"/>
      <c r="N264" s="1"/>
      <c r="O264" s="155"/>
      <c r="P264" s="155"/>
      <c r="Q264" s="1131"/>
      <c r="R264" s="1131"/>
      <c r="S264" s="251"/>
      <c r="T264" s="251"/>
      <c r="U264" s="1132"/>
      <c r="V264" s="1132"/>
      <c r="W264" s="1132"/>
      <c r="X264" s="1132"/>
      <c r="Y264" s="1132"/>
      <c r="Z264" s="1132"/>
      <c r="AA264" s="1132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>
      <c r="A265" s="1"/>
      <c r="B265" s="1"/>
      <c r="D265" s="1"/>
      <c r="F265" s="1"/>
      <c r="G265" s="1"/>
      <c r="H265" s="1"/>
      <c r="I265" s="1"/>
      <c r="J265" s="1"/>
      <c r="K265" s="1"/>
      <c r="L265" s="1"/>
      <c r="M265" s="1"/>
      <c r="N265" s="1"/>
      <c r="O265" s="155"/>
      <c r="P265" s="155"/>
      <c r="Q265" s="1131"/>
      <c r="R265" s="1131"/>
      <c r="S265" s="251"/>
      <c r="T265" s="251"/>
      <c r="U265" s="1132"/>
      <c r="V265" s="1132"/>
      <c r="W265" s="1132"/>
      <c r="X265" s="1132"/>
      <c r="Y265" s="1132"/>
      <c r="Z265" s="1132"/>
      <c r="AA265" s="1132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>
      <c r="A266" s="1"/>
      <c r="B266" s="1"/>
      <c r="D266" s="1"/>
      <c r="F266" s="1"/>
      <c r="G266" s="1"/>
      <c r="H266" s="1"/>
      <c r="I266" s="1"/>
      <c r="J266" s="1"/>
      <c r="K266" s="1"/>
      <c r="L266" s="1"/>
      <c r="M266" s="1"/>
      <c r="N266" s="1"/>
      <c r="O266" s="155"/>
      <c r="P266" s="155"/>
      <c r="Q266" s="1131"/>
      <c r="R266" s="1131"/>
      <c r="S266" s="251"/>
      <c r="T266" s="251"/>
      <c r="U266" s="1132"/>
      <c r="V266" s="1132"/>
      <c r="W266" s="1132"/>
      <c r="X266" s="1132"/>
      <c r="Y266" s="1132"/>
      <c r="Z266" s="1132"/>
      <c r="AA266" s="1132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</sheetData>
  <phoneticPr fontId="21" type="noConversion"/>
  <conditionalFormatting sqref="I21">
    <cfRule type="cellIs" dxfId="209" priority="6" stopIfTrue="1" operator="equal">
      <formula>1</formula>
    </cfRule>
  </conditionalFormatting>
  <conditionalFormatting sqref="J19">
    <cfRule type="cellIs" dxfId="208" priority="9" stopIfTrue="1" operator="equal">
      <formula>1</formula>
    </cfRule>
  </conditionalFormatting>
  <conditionalFormatting sqref="I20">
    <cfRule type="cellIs" dxfId="207" priority="8" stopIfTrue="1" operator="equal">
      <formula>1</formula>
    </cfRule>
  </conditionalFormatting>
  <conditionalFormatting sqref="J20">
    <cfRule type="cellIs" dxfId="206" priority="7" stopIfTrue="1" operator="equal">
      <formula>1</formula>
    </cfRule>
  </conditionalFormatting>
  <conditionalFormatting sqref="J21">
    <cfRule type="cellIs" dxfId="205" priority="5" stopIfTrue="1" operator="equal">
      <formula>1</formula>
    </cfRule>
  </conditionalFormatting>
  <conditionalFormatting sqref="G16 D16 I16:K16">
    <cfRule type="cellIs" dxfId="204" priority="21" stopIfTrue="1" operator="equal">
      <formula>1</formula>
    </cfRule>
  </conditionalFormatting>
  <conditionalFormatting sqref="H16:H21">
    <cfRule type="cellIs" dxfId="203" priority="20" stopIfTrue="1" operator="equal">
      <formula>1</formula>
    </cfRule>
  </conditionalFormatting>
  <conditionalFormatting sqref="D17 G17 I17:K17">
    <cfRule type="cellIs" dxfId="202" priority="19" stopIfTrue="1" operator="equal">
      <formula>1</formula>
    </cfRule>
  </conditionalFormatting>
  <conditionalFormatting sqref="G19 K19">
    <cfRule type="cellIs" dxfId="201" priority="15" stopIfTrue="1" operator="equal">
      <formula>1</formula>
    </cfRule>
  </conditionalFormatting>
  <conditionalFormatting sqref="K20">
    <cfRule type="cellIs" dxfId="200" priority="13" stopIfTrue="1" operator="equal">
      <formula>1</formula>
    </cfRule>
  </conditionalFormatting>
  <conditionalFormatting sqref="G18 I18:K18">
    <cfRule type="cellIs" dxfId="199" priority="17" stopIfTrue="1" operator="equal">
      <formula>1</formula>
    </cfRule>
  </conditionalFormatting>
  <conditionalFormatting sqref="K21">
    <cfRule type="cellIs" dxfId="198" priority="11" stopIfTrue="1" operator="equal">
      <formula>1</formula>
    </cfRule>
  </conditionalFormatting>
  <conditionalFormatting sqref="G20">
    <cfRule type="cellIs" dxfId="197" priority="14" stopIfTrue="1" operator="equal">
      <formula>1</formula>
    </cfRule>
  </conditionalFormatting>
  <conditionalFormatting sqref="G21">
    <cfRule type="cellIs" dxfId="196" priority="12" stopIfTrue="1" operator="equal">
      <formula>1</formula>
    </cfRule>
  </conditionalFormatting>
  <conditionalFormatting sqref="I19">
    <cfRule type="cellIs" dxfId="195" priority="10" stopIfTrue="1" operator="equal">
      <formula>1</formula>
    </cfRule>
  </conditionalFormatting>
  <printOptions horizontalCentered="1" verticalCentered="1"/>
  <pageMargins left="0" right="0" top="0.59055118110236227" bottom="0" header="0" footer="0"/>
  <pageSetup paperSize="9" scale="110" orientation="landscape" horizontalDpi="0" verticalDpi="0"/>
  <headerFooter>
    <oddHeader>&amp;L&amp;A&amp;F&amp;C&amp;D&amp;R&amp;P de&amp;N</oddHead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B5069-DC91-0F4F-8EF0-2283B017BFB7}">
  <sheetPr codeName="Hoja42"/>
  <dimension ref="A1:AO286"/>
  <sheetViews>
    <sheetView zoomScale="222" zoomScaleNormal="222" workbookViewId="0">
      <selection activeCell="L14" sqref="L14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33203125" style="1" customWidth="1"/>
    <col min="4" max="4" width="0.83203125" style="3082" customWidth="1"/>
    <col min="5" max="5" width="2.33203125" style="1" customWidth="1"/>
    <col min="6" max="6" width="3.33203125" style="2818" customWidth="1"/>
    <col min="7" max="7" width="5.6640625" style="780" customWidth="1"/>
    <col min="8" max="8" width="5.33203125" style="780" customWidth="1"/>
    <col min="9" max="10" width="7.33203125" style="780" customWidth="1"/>
    <col min="11" max="11" width="32.6640625" style="780" customWidth="1"/>
    <col min="12" max="12" width="7.5" style="780" customWidth="1"/>
    <col min="13" max="13" width="1.33203125" style="2820" customWidth="1"/>
    <col min="14" max="14" width="7.5" style="2818" customWidth="1"/>
    <col min="15" max="15" width="1" style="780" customWidth="1"/>
    <col min="16" max="16" width="7.5" style="780" customWidth="1"/>
    <col min="17" max="17" width="5.33203125" style="2821" customWidth="1"/>
    <col min="18" max="18" width="5.83203125" style="2821" customWidth="1"/>
    <col min="19" max="19" width="1.33203125" style="2822" customWidth="1"/>
    <col min="20" max="20" width="0.3320312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33203125" style="2823" customWidth="1"/>
    <col min="25" max="25" width="6" style="2823" customWidth="1"/>
    <col min="26" max="27" width="5.3320312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33203125" style="2826" customWidth="1"/>
    <col min="40" max="40" width="11.5" style="2825"/>
    <col min="41" max="16384" width="11.5" style="1"/>
  </cols>
  <sheetData>
    <row r="1" spans="1:40" ht="6" customHeight="1">
      <c r="B1" s="1"/>
      <c r="C1" s="2816"/>
      <c r="D1" s="3081"/>
      <c r="E1" s="2817"/>
      <c r="F1" s="780"/>
      <c r="V1" s="2824"/>
      <c r="AI1" s="2825"/>
      <c r="AJ1" s="2825"/>
      <c r="AK1" s="2825"/>
      <c r="AL1" s="2825"/>
      <c r="AM1" s="2825"/>
    </row>
    <row r="2" spans="1:40" ht="17.25" customHeight="1" thickBot="1">
      <c r="A2" s="3080" t="s">
        <v>344</v>
      </c>
      <c r="F2" s="527"/>
      <c r="G2" s="155"/>
      <c r="H2" s="155"/>
      <c r="I2" s="155"/>
      <c r="J2" s="3083"/>
      <c r="K2" s="3779">
        <v>45334</v>
      </c>
      <c r="L2" s="2561" t="s">
        <v>2535</v>
      </c>
      <c r="M2" s="5233"/>
      <c r="N2" s="5234"/>
      <c r="O2" s="5235"/>
      <c r="P2" s="5235"/>
      <c r="Q2" s="5236"/>
      <c r="R2" s="5236"/>
      <c r="U2" s="2827" t="s">
        <v>345</v>
      </c>
      <c r="AI2" s="2825"/>
      <c r="AJ2" s="2825"/>
      <c r="AK2" s="2825"/>
      <c r="AL2" s="2825"/>
      <c r="AM2" s="2825"/>
    </row>
    <row r="3" spans="1:40" s="2839" customFormat="1" ht="72.75" customHeight="1" thickTop="1" thickBot="1">
      <c r="A3" s="7271" t="s">
        <v>346</v>
      </c>
      <c r="B3" s="7272" t="s">
        <v>347</v>
      </c>
      <c r="C3" s="7273" t="s">
        <v>348</v>
      </c>
      <c r="D3" s="7274"/>
      <c r="E3" s="7275" t="s">
        <v>349</v>
      </c>
      <c r="F3" s="7276" t="s">
        <v>350</v>
      </c>
      <c r="G3" s="7277" t="s">
        <v>351</v>
      </c>
      <c r="H3" s="7277" t="s">
        <v>624</v>
      </c>
      <c r="I3" s="7277" t="s">
        <v>352</v>
      </c>
      <c r="J3" s="7276" t="s">
        <v>353</v>
      </c>
      <c r="K3" s="7277" t="s">
        <v>354</v>
      </c>
      <c r="L3" s="7277" t="s">
        <v>1065</v>
      </c>
      <c r="M3" s="7278" t="s">
        <v>355</v>
      </c>
      <c r="N3" s="7277" t="s">
        <v>445</v>
      </c>
      <c r="O3" s="7273" t="s">
        <v>446</v>
      </c>
      <c r="P3" s="7273" t="s">
        <v>447</v>
      </c>
      <c r="Q3" s="7279" t="s">
        <v>448</v>
      </c>
      <c r="R3" s="7280" t="s">
        <v>371</v>
      </c>
      <c r="S3" s="7281" t="s">
        <v>449</v>
      </c>
      <c r="T3" s="7281" t="s">
        <v>450</v>
      </c>
      <c r="U3" s="7282" t="s">
        <v>451</v>
      </c>
      <c r="V3" s="7283" t="s">
        <v>452</v>
      </c>
      <c r="W3" s="7284" t="s">
        <v>453</v>
      </c>
      <c r="X3" s="7285" t="s">
        <v>454</v>
      </c>
      <c r="Y3" s="7286" t="s">
        <v>455</v>
      </c>
      <c r="Z3" s="7287" t="s">
        <v>456</v>
      </c>
      <c r="AA3" s="7288" t="s">
        <v>457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2839" customFormat="1" ht="12.75" customHeight="1" thickBot="1">
      <c r="A4" s="3093"/>
      <c r="B4" s="3912"/>
      <c r="C4" s="3913"/>
      <c r="D4" s="3913"/>
      <c r="E4" s="5237"/>
      <c r="F4" s="3913"/>
      <c r="G4" s="3913"/>
      <c r="H4" s="3913"/>
      <c r="I4" s="3913"/>
      <c r="J4" s="3913"/>
      <c r="K4" s="3913"/>
      <c r="L4" s="3913"/>
      <c r="M4" s="5238"/>
      <c r="N4" s="3913"/>
      <c r="O4" s="3913"/>
      <c r="P4" s="3913"/>
      <c r="Q4" s="3917"/>
      <c r="R4" s="5239"/>
      <c r="S4" s="3919"/>
      <c r="T4" s="3919"/>
      <c r="U4" s="7289">
        <f>[6]Test!$D$29</f>
        <v>8.8618338240314043E-4</v>
      </c>
      <c r="V4" s="7289">
        <f>[6]Test!$D$31</f>
        <v>8.4852966392318248E-4</v>
      </c>
      <c r="W4" s="7289">
        <f>[6]Test!$D$33</f>
        <v>8.2193881826234756E-4</v>
      </c>
      <c r="X4" s="7289">
        <f>[6]Test!$D$35</f>
        <v>7.8419525956492946E-4</v>
      </c>
      <c r="Y4" s="7289">
        <f>[6]Test!$D$37</f>
        <v>7.333144017623571E-4</v>
      </c>
      <c r="Z4" s="7289">
        <f>[6]Test!$D$39</f>
        <v>7.0601851851851847E-4</v>
      </c>
      <c r="AA4" s="7290">
        <f>[6]Test!$D$41</f>
        <v>6.8483796296296294E-4</v>
      </c>
      <c r="AB4" s="2836"/>
      <c r="AC4" s="2837"/>
      <c r="AD4" s="2838"/>
      <c r="AE4" s="2838"/>
      <c r="AF4" s="2838"/>
      <c r="AG4" s="2838"/>
      <c r="AH4" s="2838"/>
      <c r="AI4" s="2836"/>
      <c r="AJ4" s="2836"/>
      <c r="AK4" s="2836"/>
      <c r="AL4" s="2836"/>
      <c r="AM4" s="2836"/>
      <c r="AN4" s="2836"/>
    </row>
    <row r="5" spans="1:40" s="63" customFormat="1" ht="3.75" customHeight="1" thickBot="1">
      <c r="A5" s="3101"/>
      <c r="B5" s="3923"/>
      <c r="C5" s="4696"/>
      <c r="D5" s="4697"/>
      <c r="E5" s="4696"/>
      <c r="F5" s="4698"/>
      <c r="G5" s="4699"/>
      <c r="H5" s="4699"/>
      <c r="I5" s="4699"/>
      <c r="J5" s="4698"/>
      <c r="K5" s="4699"/>
      <c r="L5" s="4699"/>
      <c r="M5" s="4700"/>
      <c r="N5" s="4701"/>
      <c r="O5" s="4696"/>
      <c r="P5" s="4696"/>
      <c r="Q5" s="4696"/>
      <c r="R5" s="4702"/>
      <c r="S5" s="2842"/>
      <c r="T5" s="2842"/>
      <c r="U5" s="7289">
        <f>U4/4</f>
        <v>2.2154584560078511E-4</v>
      </c>
      <c r="V5" s="7289">
        <f t="shared" ref="V5:AA5" si="0">V4/4</f>
        <v>2.1213241598079562E-4</v>
      </c>
      <c r="W5" s="7289">
        <f t="shared" si="0"/>
        <v>2.0548470456558689E-4</v>
      </c>
      <c r="X5" s="7289">
        <f t="shared" si="0"/>
        <v>1.9604881489123236E-4</v>
      </c>
      <c r="Y5" s="7289">
        <f t="shared" si="0"/>
        <v>1.8332860044058927E-4</v>
      </c>
      <c r="Z5" s="7289">
        <f t="shared" si="0"/>
        <v>1.7650462962962962E-4</v>
      </c>
      <c r="AA5" s="7289">
        <f t="shared" si="0"/>
        <v>1.7120949074074073E-4</v>
      </c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ht="13.25" customHeight="1" thickTop="1" thickBot="1">
      <c r="A6" s="7435" t="s">
        <v>214</v>
      </c>
      <c r="B6" s="3110" t="s">
        <v>215</v>
      </c>
      <c r="C6" s="5770">
        <f>IF(D6=1,U$5,IF(D6=2,V$5,IF(D6=3,W$5,IF(D6=4,X$5,IF(D6=5,Y$5,IF(D6=6,Z$5,IF(D6=7,AA$5,0)))))))</f>
        <v>2.2154584560078511E-4</v>
      </c>
      <c r="D6" s="7436">
        <v>1</v>
      </c>
      <c r="E6" s="7577">
        <v>1</v>
      </c>
      <c r="F6" s="7577">
        <v>1</v>
      </c>
      <c r="G6" s="7577">
        <v>800</v>
      </c>
      <c r="H6" s="7577"/>
      <c r="I6" s="7578">
        <v>0</v>
      </c>
      <c r="J6" s="7578">
        <v>8.1018518518518516E-4</v>
      </c>
      <c r="K6" s="7437" t="s">
        <v>1163</v>
      </c>
      <c r="L6" s="5775">
        <v>0.2986111111111111</v>
      </c>
      <c r="M6" s="5774">
        <v>1.2</v>
      </c>
      <c r="N6" s="5773">
        <f t="shared" ref="N6" si="1">P6*E6*F6+I6*F6*E6+J6*E6</f>
        <v>9.3175456562553331E-3</v>
      </c>
      <c r="O6" s="5777">
        <f t="shared" ref="O6:O9" si="2">C6*(G6/25)</f>
        <v>7.0894670592251234E-3</v>
      </c>
      <c r="P6" s="5773">
        <f t="shared" ref="P6:P9" si="3">O6*M6</f>
        <v>8.5073604710701484E-3</v>
      </c>
      <c r="Q6" s="6378">
        <v>145</v>
      </c>
      <c r="R6" s="6386">
        <f t="shared" ref="R6:R9" si="4">E6*F6*G6</f>
        <v>800</v>
      </c>
      <c r="S6" s="2844">
        <f t="shared" ref="S6:S66" si="5">E6*F6*G6/1000</f>
        <v>0.8</v>
      </c>
      <c r="T6" s="2845">
        <f t="shared" ref="T6:T66" si="6">E6*F6*O6*4</f>
        <v>2.8357868236900494E-2</v>
      </c>
      <c r="U6" s="374">
        <f t="shared" ref="U6:U66" si="7">IF(C6*4&gt;=$U$4,S6,0)</f>
        <v>0.8</v>
      </c>
      <c r="V6" s="2846">
        <f t="shared" ref="V6:V66" si="8">IF(AND(C6*4&gt;=$V$4,C6*4&lt;$U$4),S6,0)</f>
        <v>0</v>
      </c>
      <c r="W6" s="2847">
        <f t="shared" ref="W6:W66" si="9">IF(AND(C6*4&gt;=$W$4,C6*4&lt;$V$4),S6,0)</f>
        <v>0</v>
      </c>
      <c r="X6" s="2848">
        <f t="shared" ref="X6:X66" si="10">IF(AND(C6*4&gt;=$X$4,C6*4&lt;$W$4),S6,0)</f>
        <v>0</v>
      </c>
      <c r="Y6" s="2849">
        <f t="shared" ref="Y6:Y66" si="11">IF(AND(C6*4&gt;=$Y$4,C6*4&lt;$X$4),S6,0)</f>
        <v>0</v>
      </c>
      <c r="Z6" s="2850">
        <f t="shared" ref="Z6:Z66" si="12">IF(AND(C6*4&gt;=$Z$4,C6*4&lt;$Y$4),S6,0)</f>
        <v>0</v>
      </c>
      <c r="AA6" s="2851">
        <f t="shared" ref="AA6:AA66" si="13">IF(AND(C6*4&gt;=$AA$4,C6*4&lt;$Z$4),S6,0)</f>
        <v>0</v>
      </c>
      <c r="AC6" s="2867"/>
      <c r="AD6" s="2867"/>
      <c r="AE6" s="2867"/>
      <c r="AF6" s="2867"/>
      <c r="AG6" s="2867"/>
      <c r="AH6" s="2867"/>
      <c r="AI6" s="2825"/>
      <c r="AJ6" s="2825"/>
      <c r="AK6" s="2825"/>
      <c r="AL6" s="2825"/>
      <c r="AM6" s="2825"/>
      <c r="AN6" s="1"/>
    </row>
    <row r="7" spans="1:40" ht="12.75" customHeight="1" thickBot="1">
      <c r="A7" s="3109" t="s">
        <v>459</v>
      </c>
      <c r="B7" s="3110" t="s">
        <v>215</v>
      </c>
      <c r="C7" s="5770">
        <f t="shared" ref="C7:C66" si="14">IF(D7=1,U$5,IF(D7=2,V$5,IF(D7=3,W$5,IF(D7=4,X$5,IF(D7=5,Y$5,IF(D7=6,Z$5,IF(D7=7,AA$5,0)))))))</f>
        <v>1.7650462962962962E-4</v>
      </c>
      <c r="D7" s="7438">
        <v>6</v>
      </c>
      <c r="E7" s="6381">
        <v>1</v>
      </c>
      <c r="F7" s="6381">
        <v>1</v>
      </c>
      <c r="G7" s="6381">
        <v>290</v>
      </c>
      <c r="H7" s="7579"/>
      <c r="I7" s="5842">
        <v>2.3148148148148151E-3</v>
      </c>
      <c r="J7" s="5842">
        <v>1.3888888888888889E-3</v>
      </c>
      <c r="K7" s="6381" t="s">
        <v>1426</v>
      </c>
      <c r="L7" s="5842">
        <f>L6+N6</f>
        <v>0.30792865676736642</v>
      </c>
      <c r="M7" s="5675">
        <v>1</v>
      </c>
      <c r="N7" s="5842">
        <f t="shared" ref="N7:N9" si="15">P7*E7*F7+I7*E7*F7+J7*E7</f>
        <v>5.751157407407408E-3</v>
      </c>
      <c r="O7" s="5843">
        <f t="shared" si="2"/>
        <v>2.0474537037037037E-3</v>
      </c>
      <c r="P7" s="3442">
        <f t="shared" si="3"/>
        <v>2.0474537037037037E-3</v>
      </c>
      <c r="Q7" s="7580" t="s">
        <v>316</v>
      </c>
      <c r="R7" s="6381">
        <f t="shared" si="4"/>
        <v>290</v>
      </c>
      <c r="S7" s="2844">
        <f t="shared" si="5"/>
        <v>0.28999999999999998</v>
      </c>
      <c r="T7" s="2845">
        <f t="shared" si="6"/>
        <v>8.1898148148148147E-3</v>
      </c>
      <c r="U7" s="374">
        <f t="shared" si="7"/>
        <v>0</v>
      </c>
      <c r="V7" s="2846">
        <f t="shared" si="8"/>
        <v>0</v>
      </c>
      <c r="W7" s="2847">
        <f t="shared" si="9"/>
        <v>0</v>
      </c>
      <c r="X7" s="2848">
        <f t="shared" si="10"/>
        <v>0</v>
      </c>
      <c r="Y7" s="2849">
        <f t="shared" si="11"/>
        <v>0</v>
      </c>
      <c r="Z7" s="2850">
        <f t="shared" si="12"/>
        <v>0.28999999999999998</v>
      </c>
      <c r="AA7" s="2851">
        <f t="shared" si="13"/>
        <v>0</v>
      </c>
      <c r="AC7" s="2867"/>
      <c r="AD7" s="2867"/>
      <c r="AE7" s="2867"/>
      <c r="AF7" s="2867"/>
      <c r="AG7" s="2867"/>
      <c r="AH7" s="2867"/>
      <c r="AI7" s="2825"/>
      <c r="AJ7" s="2825"/>
      <c r="AK7" s="2825"/>
      <c r="AL7" s="2825"/>
      <c r="AM7" s="2825"/>
      <c r="AN7" s="1"/>
    </row>
    <row r="8" spans="1:40" ht="14" customHeight="1" thickBot="1">
      <c r="A8" s="3109" t="s">
        <v>460</v>
      </c>
      <c r="B8" s="6385">
        <v>0</v>
      </c>
      <c r="C8" s="5770">
        <f t="shared" si="14"/>
        <v>2.1213241598079562E-4</v>
      </c>
      <c r="D8" s="7439">
        <v>2</v>
      </c>
      <c r="E8" s="5679">
        <v>1</v>
      </c>
      <c r="F8" s="5771">
        <v>1</v>
      </c>
      <c r="G8" s="5771">
        <v>200</v>
      </c>
      <c r="H8" s="5772" t="s">
        <v>218</v>
      </c>
      <c r="I8" s="5773">
        <v>1.1574074074074073E-4</v>
      </c>
      <c r="J8" s="5773">
        <v>6.9444444444444447E-4</v>
      </c>
      <c r="K8" s="5774" t="s">
        <v>942</v>
      </c>
      <c r="L8" s="5773">
        <f t="shared" ref="L8:L11" si="16">L7+N7</f>
        <v>0.31367981417477381</v>
      </c>
      <c r="M8" s="5776">
        <v>1</v>
      </c>
      <c r="N8" s="5773">
        <f t="shared" si="15"/>
        <v>2.50724451303155E-3</v>
      </c>
      <c r="O8" s="5791">
        <f t="shared" si="2"/>
        <v>1.697059327846365E-3</v>
      </c>
      <c r="P8" s="5777">
        <f t="shared" si="3"/>
        <v>1.697059327846365E-3</v>
      </c>
      <c r="Q8" s="5778">
        <v>146</v>
      </c>
      <c r="R8" s="6386">
        <f t="shared" si="4"/>
        <v>200</v>
      </c>
      <c r="S8" s="2844">
        <f t="shared" si="5"/>
        <v>0.2</v>
      </c>
      <c r="T8" s="2845">
        <f t="shared" si="6"/>
        <v>6.7882373113854599E-3</v>
      </c>
      <c r="U8" s="374">
        <f t="shared" si="7"/>
        <v>0</v>
      </c>
      <c r="V8" s="2846">
        <f t="shared" si="8"/>
        <v>0.2</v>
      </c>
      <c r="W8" s="2847">
        <f t="shared" si="9"/>
        <v>0</v>
      </c>
      <c r="X8" s="2848">
        <f t="shared" si="10"/>
        <v>0</v>
      </c>
      <c r="Y8" s="2849">
        <f t="shared" si="11"/>
        <v>0</v>
      </c>
      <c r="Z8" s="2850">
        <f t="shared" si="12"/>
        <v>0</v>
      </c>
      <c r="AA8" s="2851">
        <f t="shared" si="13"/>
        <v>0</v>
      </c>
      <c r="AC8" s="2867"/>
      <c r="AD8" s="2867"/>
      <c r="AE8" s="2867"/>
      <c r="AF8" s="2867"/>
      <c r="AG8" s="2867"/>
      <c r="AH8" s="2867"/>
      <c r="AI8" s="2825"/>
      <c r="AJ8" s="2825"/>
      <c r="AK8" s="2825"/>
      <c r="AL8" s="2825"/>
      <c r="AM8" s="2825"/>
      <c r="AN8" s="1"/>
    </row>
    <row r="9" spans="1:40" ht="12.75" customHeight="1" thickBot="1">
      <c r="A9" s="3109" t="s">
        <v>458</v>
      </c>
      <c r="B9" s="6385">
        <v>9</v>
      </c>
      <c r="C9" s="5770">
        <f t="shared" si="14"/>
        <v>1.8332860044058927E-4</v>
      </c>
      <c r="D9" s="1433">
        <v>5</v>
      </c>
      <c r="E9" s="7440">
        <v>1</v>
      </c>
      <c r="F9" s="7441">
        <v>4</v>
      </c>
      <c r="G9" s="7442">
        <v>50</v>
      </c>
      <c r="H9" s="7443" t="s">
        <v>944</v>
      </c>
      <c r="I9" s="7444">
        <v>5.7870370370370366E-5</v>
      </c>
      <c r="J9" s="7444">
        <v>1.3888888888888889E-3</v>
      </c>
      <c r="K9" s="7445" t="s">
        <v>2538</v>
      </c>
      <c r="L9" s="7446">
        <f t="shared" si="16"/>
        <v>0.31618705868780533</v>
      </c>
      <c r="M9" s="3448">
        <v>1.1000000000000001</v>
      </c>
      <c r="N9" s="7444">
        <f t="shared" si="15"/>
        <v>3.2336620542475561E-3</v>
      </c>
      <c r="O9" s="7447">
        <f t="shared" si="2"/>
        <v>3.6665720088117855E-4</v>
      </c>
      <c r="P9" s="4148">
        <f t="shared" si="3"/>
        <v>4.0332292096929644E-4</v>
      </c>
      <c r="Q9" s="7448" t="s">
        <v>278</v>
      </c>
      <c r="R9" s="7442">
        <f t="shared" si="4"/>
        <v>200</v>
      </c>
      <c r="S9" s="2844">
        <f t="shared" si="5"/>
        <v>0.2</v>
      </c>
      <c r="T9" s="2845">
        <f t="shared" si="6"/>
        <v>5.8665152140988568E-3</v>
      </c>
      <c r="U9" s="374">
        <f t="shared" si="7"/>
        <v>0</v>
      </c>
      <c r="V9" s="2846">
        <f t="shared" si="8"/>
        <v>0</v>
      </c>
      <c r="W9" s="2847">
        <f t="shared" si="9"/>
        <v>0</v>
      </c>
      <c r="X9" s="2848">
        <f t="shared" si="10"/>
        <v>0</v>
      </c>
      <c r="Y9" s="2849">
        <f t="shared" si="11"/>
        <v>0.2</v>
      </c>
      <c r="Z9" s="2850">
        <f t="shared" si="12"/>
        <v>0</v>
      </c>
      <c r="AA9" s="2851">
        <f t="shared" si="13"/>
        <v>0</v>
      </c>
      <c r="AC9" s="2867"/>
      <c r="AD9" s="2867"/>
      <c r="AE9" s="2867"/>
      <c r="AF9" s="2867"/>
      <c r="AG9" s="2867"/>
      <c r="AH9" s="2867"/>
      <c r="AI9" s="2825"/>
      <c r="AJ9" s="2825"/>
      <c r="AK9" s="2825"/>
      <c r="AL9" s="2825"/>
      <c r="AM9" s="2825"/>
      <c r="AN9" s="1"/>
    </row>
    <row r="10" spans="1:40" ht="12.75" customHeight="1" thickBot="1">
      <c r="A10" s="3109" t="s">
        <v>219</v>
      </c>
      <c r="B10" s="3110" t="s">
        <v>215</v>
      </c>
      <c r="C10" s="5770">
        <f t="shared" si="14"/>
        <v>1.7120949074074073E-4</v>
      </c>
      <c r="D10" s="6391">
        <v>7</v>
      </c>
      <c r="E10" s="7581">
        <v>1</v>
      </c>
      <c r="F10" s="7581">
        <v>8</v>
      </c>
      <c r="G10" s="7581">
        <v>15</v>
      </c>
      <c r="H10" s="7582"/>
      <c r="I10" s="7583">
        <v>4.6296296296296293E-4</v>
      </c>
      <c r="J10" s="7583">
        <v>4.1666666666666666E-3</v>
      </c>
      <c r="K10" s="6395" t="s">
        <v>1178</v>
      </c>
      <c r="L10" s="7583">
        <f t="shared" si="16"/>
        <v>0.31942072074205291</v>
      </c>
      <c r="M10" s="7584">
        <v>0.9</v>
      </c>
      <c r="N10" s="7583">
        <f>P10*E10*F10+I10*F10+J10*E10</f>
        <v>8.6099953703703703E-3</v>
      </c>
      <c r="O10" s="7585">
        <f>C10*(G10/25)</f>
        <v>1.0272569444444444E-4</v>
      </c>
      <c r="P10" s="5813">
        <f>O10*M10</f>
        <v>9.2453125000000006E-5</v>
      </c>
      <c r="Q10" s="6395" t="s">
        <v>274</v>
      </c>
      <c r="R10" s="7586">
        <f>E10*F10*G10</f>
        <v>120</v>
      </c>
      <c r="S10" s="2844">
        <f t="shared" si="5"/>
        <v>0.12</v>
      </c>
      <c r="T10" s="2845">
        <f t="shared" si="6"/>
        <v>3.2872222222222222E-3</v>
      </c>
      <c r="U10" s="374">
        <f t="shared" si="7"/>
        <v>0</v>
      </c>
      <c r="V10" s="2846">
        <f t="shared" si="8"/>
        <v>0</v>
      </c>
      <c r="W10" s="2847">
        <f t="shared" si="9"/>
        <v>0</v>
      </c>
      <c r="X10" s="2848">
        <f t="shared" si="10"/>
        <v>0</v>
      </c>
      <c r="Y10" s="2849">
        <f t="shared" si="11"/>
        <v>0</v>
      </c>
      <c r="Z10" s="2850">
        <f t="shared" si="12"/>
        <v>0</v>
      </c>
      <c r="AA10" s="2851">
        <f t="shared" si="13"/>
        <v>0.12</v>
      </c>
      <c r="AC10" s="2867"/>
      <c r="AD10" s="2867"/>
      <c r="AE10" s="2867"/>
      <c r="AF10" s="2867"/>
      <c r="AG10" s="2867"/>
      <c r="AH10" s="2867"/>
      <c r="AI10" s="2825"/>
      <c r="AJ10" s="2825"/>
      <c r="AK10" s="2825"/>
      <c r="AL10" s="2825"/>
      <c r="AM10" s="2825"/>
      <c r="AN10" s="1"/>
    </row>
    <row r="11" spans="1:40" ht="12.75" customHeight="1" thickBot="1">
      <c r="A11" s="3109"/>
      <c r="B11" s="3110"/>
      <c r="C11" s="5770">
        <f t="shared" si="14"/>
        <v>0</v>
      </c>
      <c r="D11" s="5715"/>
      <c r="E11" s="2855"/>
      <c r="F11" s="2855"/>
      <c r="G11" s="2855"/>
      <c r="H11" s="2855"/>
      <c r="I11" s="3913"/>
      <c r="J11" s="2855"/>
      <c r="K11" s="2855"/>
      <c r="L11" s="5783">
        <f t="shared" si="16"/>
        <v>0.32803071611242329</v>
      </c>
      <c r="M11" s="5717"/>
      <c r="N11" s="5783"/>
      <c r="O11" s="2855">
        <f>C11*20/25</f>
        <v>0</v>
      </c>
      <c r="P11" s="2855"/>
      <c r="Q11" s="2855"/>
      <c r="R11" s="4155">
        <f>SUM(R6:R9)</f>
        <v>1490</v>
      </c>
      <c r="S11" s="2844">
        <f t="shared" si="5"/>
        <v>0</v>
      </c>
      <c r="T11" s="2845">
        <f t="shared" si="6"/>
        <v>0</v>
      </c>
      <c r="U11" s="374">
        <f t="shared" si="7"/>
        <v>0</v>
      </c>
      <c r="V11" s="2846">
        <f t="shared" si="8"/>
        <v>0</v>
      </c>
      <c r="W11" s="2847">
        <f t="shared" si="9"/>
        <v>0</v>
      </c>
      <c r="X11" s="2848">
        <f t="shared" si="10"/>
        <v>0</v>
      </c>
      <c r="Y11" s="2849">
        <f t="shared" si="11"/>
        <v>0</v>
      </c>
      <c r="Z11" s="2850">
        <f t="shared" si="12"/>
        <v>0</v>
      </c>
      <c r="AA11" s="2851">
        <f t="shared" si="13"/>
        <v>0</v>
      </c>
      <c r="AC11" s="2867"/>
      <c r="AD11" s="2867"/>
      <c r="AE11" s="2867"/>
      <c r="AF11" s="2867"/>
      <c r="AG11" s="2867"/>
      <c r="AH11" s="2867"/>
      <c r="AI11" s="2825"/>
      <c r="AJ11" s="2825"/>
      <c r="AK11" s="2825"/>
      <c r="AL11" s="2825"/>
      <c r="AM11" s="2825"/>
      <c r="AN11" s="1"/>
    </row>
    <row r="12" spans="1:40" ht="12.75" customHeight="1" thickBot="1">
      <c r="A12" s="3109"/>
      <c r="B12" s="3110"/>
      <c r="C12" s="5770">
        <f t="shared" si="14"/>
        <v>2.2154584560078511E-4</v>
      </c>
      <c r="D12" s="7436">
        <v>1</v>
      </c>
      <c r="E12" s="7577">
        <v>1</v>
      </c>
      <c r="F12" s="7577">
        <v>1</v>
      </c>
      <c r="G12" s="7577">
        <v>400</v>
      </c>
      <c r="H12" s="7577"/>
      <c r="I12" s="7578">
        <v>0</v>
      </c>
      <c r="J12" s="7578">
        <v>8.1018518518518516E-4</v>
      </c>
      <c r="K12" s="7437">
        <v>400</v>
      </c>
      <c r="L12" s="5775">
        <v>0.79861111111111116</v>
      </c>
      <c r="M12" s="5774">
        <v>1.2</v>
      </c>
      <c r="N12" s="5773">
        <f t="shared" ref="N12" si="17">P12*E12*F12+I12*F12*E12+J12*E12</f>
        <v>5.0638654207202597E-3</v>
      </c>
      <c r="O12" s="5777">
        <f t="shared" ref="O12:O17" si="18">C12*(G12/25)</f>
        <v>3.5447335296125617E-3</v>
      </c>
      <c r="P12" s="7587">
        <f t="shared" ref="P12:P17" si="19">O12*M12</f>
        <v>4.2536802355350742E-3</v>
      </c>
      <c r="Q12" s="7449">
        <v>145</v>
      </c>
      <c r="R12" s="7588">
        <f t="shared" ref="R12:R17" si="20">E12*F12*G12</f>
        <v>400</v>
      </c>
      <c r="S12" s="2844">
        <f t="shared" si="5"/>
        <v>0.4</v>
      </c>
      <c r="T12" s="2845">
        <f t="shared" si="6"/>
        <v>1.4178934118450247E-2</v>
      </c>
      <c r="U12" s="374">
        <f t="shared" si="7"/>
        <v>0.4</v>
      </c>
      <c r="V12" s="2846">
        <f t="shared" si="8"/>
        <v>0</v>
      </c>
      <c r="W12" s="2847">
        <f t="shared" si="9"/>
        <v>0</v>
      </c>
      <c r="X12" s="2848">
        <f t="shared" si="10"/>
        <v>0</v>
      </c>
      <c r="Y12" s="2849">
        <f t="shared" si="11"/>
        <v>0</v>
      </c>
      <c r="Z12" s="2850">
        <f t="shared" si="12"/>
        <v>0</v>
      </c>
      <c r="AA12" s="2851">
        <f t="shared" si="13"/>
        <v>0</v>
      </c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  <c r="AN12" s="1"/>
    </row>
    <row r="13" spans="1:40" ht="15" customHeight="1" thickBot="1">
      <c r="A13" s="3109" t="s">
        <v>214</v>
      </c>
      <c r="B13" s="3110" t="s">
        <v>461</v>
      </c>
      <c r="C13" s="5770">
        <f t="shared" si="14"/>
        <v>1.7650462962962962E-4</v>
      </c>
      <c r="D13" s="7438">
        <v>6</v>
      </c>
      <c r="E13" s="7450">
        <v>2</v>
      </c>
      <c r="F13" s="7450">
        <v>2</v>
      </c>
      <c r="G13" s="7450">
        <v>50</v>
      </c>
      <c r="H13" s="7589"/>
      <c r="I13" s="7451">
        <v>6.9444444444444447E-4</v>
      </c>
      <c r="J13" s="7451">
        <v>1.3888888888888889E-3</v>
      </c>
      <c r="K13" s="7450" t="s">
        <v>2539</v>
      </c>
      <c r="L13" s="7451">
        <f>L12+N12</f>
        <v>0.8036749765318314</v>
      </c>
      <c r="M13" s="5675">
        <v>1</v>
      </c>
      <c r="N13" s="7451">
        <f t="shared" ref="N13:N17" si="21">P13*E13*F13+I13*E13*F13+J13*E13</f>
        <v>6.9675925925925929E-3</v>
      </c>
      <c r="O13" s="7590">
        <f t="shared" si="18"/>
        <v>3.5300925925925924E-4</v>
      </c>
      <c r="P13" s="3442">
        <f t="shared" si="19"/>
        <v>3.5300925925925924E-4</v>
      </c>
      <c r="Q13" s="7591" t="s">
        <v>316</v>
      </c>
      <c r="R13" s="7450">
        <f t="shared" si="20"/>
        <v>200</v>
      </c>
      <c r="S13" s="2844">
        <f t="shared" si="5"/>
        <v>0.2</v>
      </c>
      <c r="T13" s="2845">
        <f t="shared" si="6"/>
        <v>5.6481481481481478E-3</v>
      </c>
      <c r="U13" s="374">
        <f t="shared" si="7"/>
        <v>0</v>
      </c>
      <c r="V13" s="2846">
        <f t="shared" si="8"/>
        <v>0</v>
      </c>
      <c r="W13" s="2847">
        <f t="shared" si="9"/>
        <v>0</v>
      </c>
      <c r="X13" s="2848">
        <f t="shared" si="10"/>
        <v>0</v>
      </c>
      <c r="Y13" s="2849">
        <f t="shared" si="11"/>
        <v>0</v>
      </c>
      <c r="Z13" s="2850">
        <f t="shared" si="12"/>
        <v>0.2</v>
      </c>
      <c r="AA13" s="2851">
        <f t="shared" si="13"/>
        <v>0</v>
      </c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  <c r="AN13" s="1"/>
    </row>
    <row r="14" spans="1:40" ht="15" customHeight="1" thickBot="1">
      <c r="A14" s="3109" t="s">
        <v>459</v>
      </c>
      <c r="B14" s="6385">
        <v>0</v>
      </c>
      <c r="C14" s="7452">
        <f t="shared" si="14"/>
        <v>1.7650462962962962E-4</v>
      </c>
      <c r="D14" s="7453">
        <v>6</v>
      </c>
      <c r="E14" s="7454">
        <v>2</v>
      </c>
      <c r="F14" s="7454">
        <v>2</v>
      </c>
      <c r="G14" s="7454">
        <v>50</v>
      </c>
      <c r="H14" s="7592"/>
      <c r="I14" s="7455">
        <v>2.3148148148148146E-4</v>
      </c>
      <c r="J14" s="7455">
        <v>1.3888888888888889E-3</v>
      </c>
      <c r="K14" s="7454" t="s">
        <v>1427</v>
      </c>
      <c r="L14" s="7455">
        <f t="shared" ref="L14:L16" si="22">L13+N13</f>
        <v>0.81064256912442401</v>
      </c>
      <c r="M14" s="5675">
        <v>1</v>
      </c>
      <c r="N14" s="7455">
        <f t="shared" si="21"/>
        <v>5.1157407407407401E-3</v>
      </c>
      <c r="O14" s="7593">
        <f t="shared" si="18"/>
        <v>3.5300925925925924E-4</v>
      </c>
      <c r="P14" s="3442">
        <f t="shared" si="19"/>
        <v>3.5300925925925924E-4</v>
      </c>
      <c r="Q14" s="7594">
        <v>146</v>
      </c>
      <c r="R14" s="7454">
        <f t="shared" si="20"/>
        <v>200</v>
      </c>
      <c r="S14" s="2844">
        <f t="shared" si="5"/>
        <v>0.2</v>
      </c>
      <c r="T14" s="2845">
        <f t="shared" si="6"/>
        <v>5.6481481481481478E-3</v>
      </c>
      <c r="U14" s="374">
        <f t="shared" si="7"/>
        <v>0</v>
      </c>
      <c r="V14" s="2846">
        <f t="shared" si="8"/>
        <v>0</v>
      </c>
      <c r="W14" s="2847">
        <f t="shared" si="9"/>
        <v>0</v>
      </c>
      <c r="X14" s="2848">
        <f t="shared" si="10"/>
        <v>0</v>
      </c>
      <c r="Y14" s="2849">
        <f t="shared" si="11"/>
        <v>0</v>
      </c>
      <c r="Z14" s="2850">
        <f t="shared" si="12"/>
        <v>0.2</v>
      </c>
      <c r="AA14" s="2851">
        <f t="shared" si="13"/>
        <v>0</v>
      </c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  <c r="AN14" s="1"/>
    </row>
    <row r="15" spans="1:40" ht="15" customHeight="1" thickBot="1">
      <c r="A15" s="3109" t="s">
        <v>460</v>
      </c>
      <c r="B15" s="6385">
        <v>9</v>
      </c>
      <c r="C15" s="7456">
        <f t="shared" si="14"/>
        <v>1.7650462962962962E-4</v>
      </c>
      <c r="D15" s="7457">
        <v>6</v>
      </c>
      <c r="E15" s="7458">
        <v>1</v>
      </c>
      <c r="F15" s="7458">
        <v>2</v>
      </c>
      <c r="G15" s="7458">
        <v>50</v>
      </c>
      <c r="H15" s="7595"/>
      <c r="I15" s="7459">
        <v>9.2592592592592585E-4</v>
      </c>
      <c r="J15" s="7459">
        <v>1.3888888888888889E-3</v>
      </c>
      <c r="K15" s="7458" t="s">
        <v>1165</v>
      </c>
      <c r="L15" s="7459">
        <f t="shared" si="22"/>
        <v>0.81575830986516473</v>
      </c>
      <c r="M15" s="5675">
        <v>1</v>
      </c>
      <c r="N15" s="7459">
        <f t="shared" si="21"/>
        <v>3.9467592592592592E-3</v>
      </c>
      <c r="O15" s="7596">
        <f t="shared" si="18"/>
        <v>3.5300925925925924E-4</v>
      </c>
      <c r="P15" s="3442">
        <f t="shared" si="19"/>
        <v>3.5300925925925924E-4</v>
      </c>
      <c r="Q15" s="7597">
        <v>164</v>
      </c>
      <c r="R15" s="7458">
        <f t="shared" si="20"/>
        <v>100</v>
      </c>
      <c r="S15" s="2844">
        <f t="shared" si="5"/>
        <v>0.1</v>
      </c>
      <c r="T15" s="2845">
        <f t="shared" si="6"/>
        <v>2.8240740740740739E-3</v>
      </c>
      <c r="U15" s="374">
        <f t="shared" si="7"/>
        <v>0</v>
      </c>
      <c r="V15" s="2846">
        <f t="shared" si="8"/>
        <v>0</v>
      </c>
      <c r="W15" s="2847">
        <f t="shared" si="9"/>
        <v>0</v>
      </c>
      <c r="X15" s="2848">
        <f t="shared" si="10"/>
        <v>0</v>
      </c>
      <c r="Y15" s="2849">
        <f t="shared" si="11"/>
        <v>0</v>
      </c>
      <c r="Z15" s="2850">
        <f t="shared" si="12"/>
        <v>0.1</v>
      </c>
      <c r="AA15" s="2851">
        <f t="shared" si="13"/>
        <v>0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  <c r="AN15" s="1"/>
    </row>
    <row r="16" spans="1:40" ht="15" customHeight="1" thickBot="1">
      <c r="A16" s="3109" t="s">
        <v>458</v>
      </c>
      <c r="B16" s="3110" t="s">
        <v>461</v>
      </c>
      <c r="C16" s="7460">
        <f t="shared" si="14"/>
        <v>2.1213241598079562E-4</v>
      </c>
      <c r="D16" s="7461">
        <v>2</v>
      </c>
      <c r="E16" s="7462">
        <v>1</v>
      </c>
      <c r="F16" s="7462">
        <v>1</v>
      </c>
      <c r="G16" s="7462">
        <v>200</v>
      </c>
      <c r="H16" s="7463" t="s">
        <v>218</v>
      </c>
      <c r="I16" s="7464">
        <v>1.1574074074074073E-4</v>
      </c>
      <c r="J16" s="7464">
        <v>6.9444444444444447E-4</v>
      </c>
      <c r="K16" s="7465" t="s">
        <v>942</v>
      </c>
      <c r="L16" s="7464">
        <f t="shared" si="22"/>
        <v>0.81970506912442398</v>
      </c>
      <c r="M16" s="7466">
        <v>1</v>
      </c>
      <c r="N16" s="7464">
        <f t="shared" si="21"/>
        <v>2.50724451303155E-3</v>
      </c>
      <c r="O16" s="7467">
        <f t="shared" si="18"/>
        <v>1.697059327846365E-3</v>
      </c>
      <c r="P16" s="7468">
        <f t="shared" si="19"/>
        <v>1.697059327846365E-3</v>
      </c>
      <c r="Q16" s="7469">
        <v>146</v>
      </c>
      <c r="R16" s="7470">
        <f t="shared" si="20"/>
        <v>200</v>
      </c>
      <c r="S16" s="2844">
        <f t="shared" si="5"/>
        <v>0.2</v>
      </c>
      <c r="T16" s="2845">
        <f t="shared" si="6"/>
        <v>6.7882373113854599E-3</v>
      </c>
      <c r="U16" s="374">
        <f t="shared" si="7"/>
        <v>0</v>
      </c>
      <c r="V16" s="2846">
        <f t="shared" si="8"/>
        <v>0.2</v>
      </c>
      <c r="W16" s="2847">
        <f t="shared" si="9"/>
        <v>0</v>
      </c>
      <c r="X16" s="2848">
        <f t="shared" si="10"/>
        <v>0</v>
      </c>
      <c r="Y16" s="2849">
        <f t="shared" si="11"/>
        <v>0</v>
      </c>
      <c r="Z16" s="2850">
        <f t="shared" si="12"/>
        <v>0</v>
      </c>
      <c r="AA16" s="2851">
        <f t="shared" si="13"/>
        <v>0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  <c r="AN16" s="1"/>
    </row>
    <row r="17" spans="1:40" ht="16" customHeight="1" thickBot="1">
      <c r="A17" s="3109" t="s">
        <v>219</v>
      </c>
      <c r="B17" s="3110" t="s">
        <v>461</v>
      </c>
      <c r="C17" s="7460">
        <f t="shared" si="14"/>
        <v>1.8332860044058927E-4</v>
      </c>
      <c r="D17" s="1433">
        <v>5</v>
      </c>
      <c r="E17" s="7471">
        <v>2</v>
      </c>
      <c r="F17" s="7471">
        <v>2</v>
      </c>
      <c r="G17" s="7472">
        <v>75</v>
      </c>
      <c r="H17" s="7473" t="s">
        <v>944</v>
      </c>
      <c r="I17" s="7474">
        <v>5.7870370370370366E-5</v>
      </c>
      <c r="J17" s="7474">
        <v>1.3888888888888889E-3</v>
      </c>
      <c r="K17" s="7475" t="s">
        <v>1428</v>
      </c>
      <c r="L17" s="7476">
        <f>L15+N15</f>
        <v>0.81970506912442398</v>
      </c>
      <c r="M17" s="3448">
        <v>1.1000000000000001</v>
      </c>
      <c r="N17" s="7474">
        <f t="shared" si="21"/>
        <v>5.4291967850750378E-3</v>
      </c>
      <c r="O17" s="7477">
        <f t="shared" si="18"/>
        <v>5.4998580132176785E-4</v>
      </c>
      <c r="P17" s="4148">
        <f t="shared" si="19"/>
        <v>6.0498438145394464E-4</v>
      </c>
      <c r="Q17" s="7478" t="s">
        <v>278</v>
      </c>
      <c r="R17" s="7472">
        <f t="shared" si="20"/>
        <v>300</v>
      </c>
      <c r="S17" s="2844">
        <f t="shared" si="5"/>
        <v>0.3</v>
      </c>
      <c r="T17" s="2845">
        <f t="shared" si="6"/>
        <v>8.7997728211482856E-3</v>
      </c>
      <c r="U17" s="374">
        <f t="shared" si="7"/>
        <v>0</v>
      </c>
      <c r="V17" s="2846">
        <f t="shared" si="8"/>
        <v>0</v>
      </c>
      <c r="W17" s="2847">
        <f t="shared" si="9"/>
        <v>0</v>
      </c>
      <c r="X17" s="2848">
        <f t="shared" si="10"/>
        <v>0</v>
      </c>
      <c r="Y17" s="2849">
        <f t="shared" si="11"/>
        <v>0.3</v>
      </c>
      <c r="Z17" s="2850">
        <f t="shared" si="12"/>
        <v>0</v>
      </c>
      <c r="AA17" s="2851">
        <f t="shared" si="13"/>
        <v>0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  <c r="AN17" s="1"/>
    </row>
    <row r="18" spans="1:40" ht="12" customHeight="1" thickBot="1">
      <c r="A18" s="3688"/>
      <c r="B18" s="7479"/>
      <c r="C18" s="7480">
        <f t="shared" si="14"/>
        <v>0</v>
      </c>
      <c r="D18" s="5715"/>
      <c r="E18" s="2855"/>
      <c r="F18" s="2855"/>
      <c r="G18" s="2855"/>
      <c r="H18" s="2855"/>
      <c r="I18" s="3913"/>
      <c r="J18" s="2855"/>
      <c r="K18" s="2855"/>
      <c r="L18" s="7481">
        <f>L17+N17</f>
        <v>0.82513426590949901</v>
      </c>
      <c r="M18" s="5717"/>
      <c r="N18" s="7481"/>
      <c r="O18" s="2855">
        <f>C18*20/25</f>
        <v>0</v>
      </c>
      <c r="P18" s="2855"/>
      <c r="Q18" s="2855"/>
      <c r="R18" s="4155">
        <f>SUM(R12:R17)</f>
        <v>1400</v>
      </c>
      <c r="S18" s="2844">
        <f t="shared" si="5"/>
        <v>0</v>
      </c>
      <c r="T18" s="2845">
        <f t="shared" si="6"/>
        <v>0</v>
      </c>
      <c r="U18" s="374">
        <f t="shared" si="7"/>
        <v>0</v>
      </c>
      <c r="V18" s="2846">
        <f t="shared" si="8"/>
        <v>0</v>
      </c>
      <c r="W18" s="2847">
        <f t="shared" si="9"/>
        <v>0</v>
      </c>
      <c r="X18" s="2848">
        <f t="shared" si="10"/>
        <v>0</v>
      </c>
      <c r="Y18" s="2849">
        <f t="shared" si="11"/>
        <v>0</v>
      </c>
      <c r="Z18" s="2850">
        <f t="shared" si="12"/>
        <v>0</v>
      </c>
      <c r="AA18" s="2851">
        <f t="shared" si="13"/>
        <v>0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1"/>
    </row>
    <row r="19" spans="1:40" ht="15.75" customHeight="1" thickBot="1">
      <c r="A19" s="6400" t="s">
        <v>215</v>
      </c>
      <c r="B19" s="6401" t="s">
        <v>215</v>
      </c>
      <c r="C19" s="7460">
        <f t="shared" si="14"/>
        <v>2.2154584560078511E-4</v>
      </c>
      <c r="D19" s="7482">
        <v>1</v>
      </c>
      <c r="E19" s="7598">
        <v>1</v>
      </c>
      <c r="F19" s="7598">
        <v>1</v>
      </c>
      <c r="G19" s="7598">
        <v>600</v>
      </c>
      <c r="H19" s="7599"/>
      <c r="I19" s="7460">
        <v>0</v>
      </c>
      <c r="J19" s="7460">
        <v>1.1574074074074073E-4</v>
      </c>
      <c r="K19" s="7483" t="s">
        <v>372</v>
      </c>
      <c r="L19" s="7460">
        <v>0.34027777777777773</v>
      </c>
      <c r="M19" s="7600">
        <v>1.2</v>
      </c>
      <c r="N19" s="7460">
        <f t="shared" ref="N19" si="23">P19*E19*F19+I19*F19*E19+J19*E19</f>
        <v>6.4962610940433518E-3</v>
      </c>
      <c r="O19" s="7599">
        <f t="shared" ref="O19:O25" si="24">C19*(G19/25)</f>
        <v>5.3171002944188426E-3</v>
      </c>
      <c r="P19" s="7467">
        <f t="shared" ref="P19:P25" si="25">O19*M19</f>
        <v>6.3805203533026109E-3</v>
      </c>
      <c r="Q19" s="7484">
        <v>145</v>
      </c>
      <c r="R19" s="7601">
        <f t="shared" ref="R19:R25" si="26">E19*F19*G19</f>
        <v>600</v>
      </c>
      <c r="S19" s="2844">
        <f t="shared" si="5"/>
        <v>0.6</v>
      </c>
      <c r="T19" s="2845">
        <f t="shared" si="6"/>
        <v>2.126840117767537E-2</v>
      </c>
      <c r="U19" s="374">
        <f t="shared" si="7"/>
        <v>0.6</v>
      </c>
      <c r="V19" s="2846">
        <f t="shared" si="8"/>
        <v>0</v>
      </c>
      <c r="W19" s="2847">
        <f t="shared" si="9"/>
        <v>0</v>
      </c>
      <c r="X19" s="2848">
        <f t="shared" si="10"/>
        <v>0</v>
      </c>
      <c r="Y19" s="2849">
        <f t="shared" si="11"/>
        <v>0</v>
      </c>
      <c r="Z19" s="2850">
        <f t="shared" si="12"/>
        <v>0</v>
      </c>
      <c r="AA19" s="2851">
        <f t="shared" si="13"/>
        <v>0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1"/>
    </row>
    <row r="20" spans="1:40" ht="15.75" customHeight="1" thickBot="1">
      <c r="A20" s="6400" t="s">
        <v>138</v>
      </c>
      <c r="B20" s="6401" t="s">
        <v>215</v>
      </c>
      <c r="C20" s="7460">
        <f t="shared" si="14"/>
        <v>1.7120949074074073E-4</v>
      </c>
      <c r="D20" s="7485">
        <v>7</v>
      </c>
      <c r="E20" s="7602">
        <v>1</v>
      </c>
      <c r="F20" s="7602">
        <v>4</v>
      </c>
      <c r="G20" s="7602">
        <v>25</v>
      </c>
      <c r="H20" s="7603"/>
      <c r="I20" s="7604">
        <v>4.6296296296296293E-4</v>
      </c>
      <c r="J20" s="7604">
        <v>6.9444444444444447E-4</v>
      </c>
      <c r="K20" s="7486" t="s">
        <v>1430</v>
      </c>
      <c r="L20" s="7604">
        <f>L19+N19</f>
        <v>0.34677403887182107</v>
      </c>
      <c r="M20" s="7605">
        <v>1.1000000000000001</v>
      </c>
      <c r="N20" s="7604">
        <f t="shared" ref="N20:N25" si="27">P20*E20*F20+I20*F20+J20*E20</f>
        <v>3.2996180555555556E-3</v>
      </c>
      <c r="O20" s="7599">
        <f t="shared" si="24"/>
        <v>1.7120949074074073E-4</v>
      </c>
      <c r="P20" s="7606">
        <f t="shared" si="25"/>
        <v>1.8833043981481481E-4</v>
      </c>
      <c r="Q20" s="7487" t="s">
        <v>274</v>
      </c>
      <c r="R20" s="7607">
        <f t="shared" si="26"/>
        <v>100</v>
      </c>
      <c r="S20" s="2844">
        <f t="shared" si="5"/>
        <v>0.1</v>
      </c>
      <c r="T20" s="2845">
        <f t="shared" si="6"/>
        <v>2.7393518518518518E-3</v>
      </c>
      <c r="U20" s="374">
        <f t="shared" si="7"/>
        <v>0</v>
      </c>
      <c r="V20" s="2846">
        <f t="shared" si="8"/>
        <v>0</v>
      </c>
      <c r="W20" s="2847">
        <f t="shared" si="9"/>
        <v>0</v>
      </c>
      <c r="X20" s="2848">
        <f t="shared" si="10"/>
        <v>0</v>
      </c>
      <c r="Y20" s="2849">
        <f t="shared" si="11"/>
        <v>0</v>
      </c>
      <c r="Z20" s="2850">
        <f t="shared" si="12"/>
        <v>0</v>
      </c>
      <c r="AA20" s="2851">
        <f t="shared" si="13"/>
        <v>0.1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1"/>
    </row>
    <row r="21" spans="1:40" ht="15.75" customHeight="1" thickBot="1">
      <c r="A21" s="6400" t="s">
        <v>461</v>
      </c>
      <c r="B21" s="6385">
        <v>0</v>
      </c>
      <c r="C21" s="7460">
        <f t="shared" si="14"/>
        <v>1.8332860044058927E-4</v>
      </c>
      <c r="D21" s="3474">
        <v>5</v>
      </c>
      <c r="E21" s="6388">
        <v>4</v>
      </c>
      <c r="F21" s="6388">
        <v>1</v>
      </c>
      <c r="G21" s="6388">
        <v>50</v>
      </c>
      <c r="H21" s="7608"/>
      <c r="I21" s="7608">
        <v>0</v>
      </c>
      <c r="J21" s="7608">
        <v>1.3888888888888889E-3</v>
      </c>
      <c r="K21" s="6389" t="s">
        <v>1431</v>
      </c>
      <c r="L21" s="7608">
        <f t="shared" ref="L21:L26" si="28">L20+N20</f>
        <v>0.35007365692737663</v>
      </c>
      <c r="M21" s="3448">
        <v>1.1000000000000001</v>
      </c>
      <c r="N21" s="7608">
        <f>P21*E21*F21+I21*E21*F21+J21*E21</f>
        <v>7.1688472394327418E-3</v>
      </c>
      <c r="O21" s="7599">
        <f t="shared" si="24"/>
        <v>3.6665720088117855E-4</v>
      </c>
      <c r="P21" s="7609">
        <f t="shared" si="25"/>
        <v>4.0332292096929644E-4</v>
      </c>
      <c r="Q21" s="6388">
        <v>168</v>
      </c>
      <c r="R21" s="6388">
        <f>E21*F21*G21</f>
        <v>200</v>
      </c>
      <c r="S21" s="2844">
        <f t="shared" si="5"/>
        <v>0.2</v>
      </c>
      <c r="T21" s="2845">
        <f t="shared" si="6"/>
        <v>5.8665152140988568E-3</v>
      </c>
      <c r="U21" s="374">
        <f t="shared" si="7"/>
        <v>0</v>
      </c>
      <c r="V21" s="2846">
        <f t="shared" si="8"/>
        <v>0</v>
      </c>
      <c r="W21" s="2847">
        <f t="shared" si="9"/>
        <v>0</v>
      </c>
      <c r="X21" s="2848">
        <f t="shared" si="10"/>
        <v>0</v>
      </c>
      <c r="Y21" s="2849">
        <f t="shared" si="11"/>
        <v>0.2</v>
      </c>
      <c r="Z21" s="2850">
        <f t="shared" si="12"/>
        <v>0</v>
      </c>
      <c r="AA21" s="2851">
        <f t="shared" si="13"/>
        <v>0</v>
      </c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1"/>
    </row>
    <row r="22" spans="1:40" ht="15.75" customHeight="1" thickBot="1">
      <c r="A22" s="6400" t="s">
        <v>458</v>
      </c>
      <c r="B22" s="6385">
        <v>8</v>
      </c>
      <c r="C22" s="7460">
        <f t="shared" si="14"/>
        <v>2.1213241598079562E-4</v>
      </c>
      <c r="D22" s="7488">
        <v>2</v>
      </c>
      <c r="E22" s="7534">
        <v>1</v>
      </c>
      <c r="F22" s="7534">
        <v>1</v>
      </c>
      <c r="G22" s="7534">
        <v>200</v>
      </c>
      <c r="H22" s="7610"/>
      <c r="I22" s="7521">
        <v>2.3148148148148146E-4</v>
      </c>
      <c r="J22" s="7521">
        <v>1.3888888888888889E-3</v>
      </c>
      <c r="K22" s="7489" t="s">
        <v>1176</v>
      </c>
      <c r="L22" s="7521">
        <f t="shared" si="28"/>
        <v>0.35724250416680936</v>
      </c>
      <c r="M22" s="7611">
        <v>1.3</v>
      </c>
      <c r="N22" s="7521">
        <f t="shared" si="27"/>
        <v>3.8265474965706444E-3</v>
      </c>
      <c r="O22" s="7612">
        <f t="shared" si="24"/>
        <v>1.697059327846365E-3</v>
      </c>
      <c r="P22" s="7522">
        <f t="shared" si="25"/>
        <v>2.2061771262002743E-3</v>
      </c>
      <c r="Q22" s="7490">
        <v>141</v>
      </c>
      <c r="R22" s="6386">
        <f t="shared" si="26"/>
        <v>200</v>
      </c>
      <c r="S22" s="2844">
        <f t="shared" si="5"/>
        <v>0.2</v>
      </c>
      <c r="T22" s="2845">
        <f t="shared" si="6"/>
        <v>6.7882373113854599E-3</v>
      </c>
      <c r="U22" s="374">
        <f t="shared" si="7"/>
        <v>0</v>
      </c>
      <c r="V22" s="2846">
        <f t="shared" si="8"/>
        <v>0.2</v>
      </c>
      <c r="W22" s="2847">
        <f t="shared" si="9"/>
        <v>0</v>
      </c>
      <c r="X22" s="2848">
        <f t="shared" si="10"/>
        <v>0</v>
      </c>
      <c r="Y22" s="2849">
        <f t="shared" si="11"/>
        <v>0</v>
      </c>
      <c r="Z22" s="2850">
        <f t="shared" si="12"/>
        <v>0</v>
      </c>
      <c r="AA22" s="2851">
        <f t="shared" si="13"/>
        <v>0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1"/>
    </row>
    <row r="23" spans="1:40" ht="15.75" customHeight="1" thickBot="1">
      <c r="A23" s="6400" t="s">
        <v>219</v>
      </c>
      <c r="B23" s="6401" t="s">
        <v>215</v>
      </c>
      <c r="C23" s="7480">
        <f t="shared" si="14"/>
        <v>1.8332860044058927E-4</v>
      </c>
      <c r="D23" s="3474">
        <v>5</v>
      </c>
      <c r="E23" s="6388">
        <v>4</v>
      </c>
      <c r="F23" s="6388">
        <v>1</v>
      </c>
      <c r="G23" s="6388">
        <v>50</v>
      </c>
      <c r="H23" s="7474"/>
      <c r="I23" s="7474">
        <v>0</v>
      </c>
      <c r="J23" s="7474">
        <v>1.3888888888888889E-3</v>
      </c>
      <c r="K23" s="6389" t="s">
        <v>1432</v>
      </c>
      <c r="L23" s="7474">
        <f t="shared" si="28"/>
        <v>0.36106905166337999</v>
      </c>
      <c r="M23" s="3448">
        <v>1.1000000000000001</v>
      </c>
      <c r="N23" s="7474">
        <f>P23*E23*F23+I23*E23*F23+J23*E23</f>
        <v>7.1688472394327418E-3</v>
      </c>
      <c r="O23" s="7612">
        <f t="shared" si="24"/>
        <v>3.6665720088117855E-4</v>
      </c>
      <c r="P23" s="7477">
        <f>O23*M23</f>
        <v>4.0332292096929644E-4</v>
      </c>
      <c r="Q23" s="6388">
        <v>168</v>
      </c>
      <c r="R23" s="6388">
        <f>E23*F23*G23</f>
        <v>200</v>
      </c>
      <c r="S23" s="2844">
        <f t="shared" si="5"/>
        <v>0.2</v>
      </c>
      <c r="T23" s="2845">
        <f t="shared" si="6"/>
        <v>5.8665152140988568E-3</v>
      </c>
      <c r="U23" s="374">
        <f t="shared" si="7"/>
        <v>0</v>
      </c>
      <c r="V23" s="2846">
        <f t="shared" si="8"/>
        <v>0</v>
      </c>
      <c r="W23" s="2847">
        <f t="shared" si="9"/>
        <v>0</v>
      </c>
      <c r="X23" s="2848">
        <f t="shared" si="10"/>
        <v>0</v>
      </c>
      <c r="Y23" s="2849">
        <f t="shared" si="11"/>
        <v>0.2</v>
      </c>
      <c r="Z23" s="2850">
        <f t="shared" si="12"/>
        <v>0</v>
      </c>
      <c r="AA23" s="2851">
        <f t="shared" si="13"/>
        <v>0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1"/>
    </row>
    <row r="24" spans="1:40" ht="15" customHeight="1" thickBot="1">
      <c r="A24" s="6400"/>
      <c r="B24" s="6401" t="s">
        <v>215</v>
      </c>
      <c r="C24" s="7480">
        <f t="shared" si="14"/>
        <v>2.1213241598079562E-4</v>
      </c>
      <c r="D24" s="7488">
        <v>2</v>
      </c>
      <c r="E24" s="7534">
        <v>1</v>
      </c>
      <c r="F24" s="7534">
        <v>1</v>
      </c>
      <c r="G24" s="7534">
        <v>200</v>
      </c>
      <c r="H24" s="7610"/>
      <c r="I24" s="7521">
        <v>2.3148148148148146E-4</v>
      </c>
      <c r="J24" s="7521">
        <v>1.3888888888888889E-3</v>
      </c>
      <c r="K24" s="7489" t="s">
        <v>1177</v>
      </c>
      <c r="L24" s="7521">
        <f t="shared" si="28"/>
        <v>0.36823789890281272</v>
      </c>
      <c r="M24" s="7611">
        <v>1.25</v>
      </c>
      <c r="N24" s="7521">
        <f t="shared" si="27"/>
        <v>3.7416945301783269E-3</v>
      </c>
      <c r="O24" s="7612">
        <f t="shared" si="24"/>
        <v>1.697059327846365E-3</v>
      </c>
      <c r="P24" s="7522">
        <f t="shared" si="25"/>
        <v>2.1213241598079563E-3</v>
      </c>
      <c r="Q24" s="7490">
        <v>141</v>
      </c>
      <c r="R24" s="6386">
        <f t="shared" si="26"/>
        <v>200</v>
      </c>
      <c r="S24" s="2844">
        <f t="shared" si="5"/>
        <v>0.2</v>
      </c>
      <c r="T24" s="2845">
        <f t="shared" si="6"/>
        <v>6.7882373113854599E-3</v>
      </c>
      <c r="U24" s="374">
        <f t="shared" si="7"/>
        <v>0</v>
      </c>
      <c r="V24" s="2846">
        <f t="shared" si="8"/>
        <v>0.2</v>
      </c>
      <c r="W24" s="2847">
        <f t="shared" si="9"/>
        <v>0</v>
      </c>
      <c r="X24" s="2848">
        <f t="shared" si="10"/>
        <v>0</v>
      </c>
      <c r="Y24" s="2849">
        <f t="shared" si="11"/>
        <v>0</v>
      </c>
      <c r="Z24" s="2850">
        <f t="shared" si="12"/>
        <v>0</v>
      </c>
      <c r="AA24" s="2851">
        <f t="shared" si="13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4" customHeight="1" thickBot="1">
      <c r="A25" s="6400" t="s">
        <v>215</v>
      </c>
      <c r="B25" s="6401" t="s">
        <v>215</v>
      </c>
      <c r="C25" s="7480">
        <f t="shared" si="14"/>
        <v>2.2154584560078511E-4</v>
      </c>
      <c r="D25" s="6419">
        <v>1</v>
      </c>
      <c r="E25" s="7613">
        <v>1</v>
      </c>
      <c r="F25" s="7613">
        <v>1</v>
      </c>
      <c r="G25" s="7613">
        <v>400</v>
      </c>
      <c r="H25" s="7614"/>
      <c r="I25" s="7615">
        <v>0</v>
      </c>
      <c r="J25" s="7615">
        <v>1.1574074074074073E-4</v>
      </c>
      <c r="K25" s="6423" t="s">
        <v>763</v>
      </c>
      <c r="L25" s="7615">
        <f t="shared" si="28"/>
        <v>0.37197959343299103</v>
      </c>
      <c r="M25" s="7616">
        <v>1</v>
      </c>
      <c r="N25" s="7615">
        <f t="shared" si="27"/>
        <v>3.6604742703533026E-3</v>
      </c>
      <c r="O25" s="7612">
        <f t="shared" si="24"/>
        <v>3.5447335296125617E-3</v>
      </c>
      <c r="P25" s="7617">
        <f t="shared" si="25"/>
        <v>3.5447335296125617E-3</v>
      </c>
      <c r="Q25" s="6426">
        <v>121</v>
      </c>
      <c r="R25" s="7618">
        <f t="shared" si="26"/>
        <v>400</v>
      </c>
      <c r="S25" s="2844">
        <f t="shared" si="5"/>
        <v>0.4</v>
      </c>
      <c r="T25" s="2845">
        <f t="shared" si="6"/>
        <v>1.4178934118450247E-2</v>
      </c>
      <c r="U25" s="374">
        <f t="shared" si="7"/>
        <v>0.4</v>
      </c>
      <c r="V25" s="2846">
        <f t="shared" si="8"/>
        <v>0</v>
      </c>
      <c r="W25" s="2847">
        <f t="shared" si="9"/>
        <v>0</v>
      </c>
      <c r="X25" s="2848">
        <f t="shared" si="10"/>
        <v>0</v>
      </c>
      <c r="Y25" s="2849">
        <f t="shared" si="11"/>
        <v>0</v>
      </c>
      <c r="Z25" s="2850">
        <f t="shared" si="12"/>
        <v>0</v>
      </c>
      <c r="AA25" s="2851">
        <f t="shared" si="13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3" customHeight="1" thickBot="1">
      <c r="A26" s="6400" t="s">
        <v>138</v>
      </c>
      <c r="B26" s="6401"/>
      <c r="C26" s="7480">
        <f t="shared" si="14"/>
        <v>0</v>
      </c>
      <c r="D26" s="6428"/>
      <c r="E26" s="849"/>
      <c r="F26" s="849"/>
      <c r="G26" s="849"/>
      <c r="H26" s="1538"/>
      <c r="I26" s="3913"/>
      <c r="J26" s="849"/>
      <c r="K26" s="849"/>
      <c r="L26" s="7491">
        <f t="shared" si="28"/>
        <v>0.37564006770334435</v>
      </c>
      <c r="M26" s="7619"/>
      <c r="N26" s="7620"/>
      <c r="O26" s="1538"/>
      <c r="P26" s="849"/>
      <c r="Q26" s="849"/>
      <c r="R26" s="3456">
        <f>SUM(R19:R25)</f>
        <v>1900</v>
      </c>
      <c r="S26" s="2844">
        <f t="shared" si="5"/>
        <v>0</v>
      </c>
      <c r="T26" s="2845">
        <f t="shared" si="6"/>
        <v>0</v>
      </c>
      <c r="U26" s="374">
        <f t="shared" si="7"/>
        <v>0</v>
      </c>
      <c r="V26" s="2846">
        <f t="shared" si="8"/>
        <v>0</v>
      </c>
      <c r="W26" s="2847">
        <f t="shared" si="9"/>
        <v>0</v>
      </c>
      <c r="X26" s="2848">
        <f t="shared" si="10"/>
        <v>0</v>
      </c>
      <c r="Y26" s="2849">
        <f t="shared" si="11"/>
        <v>0</v>
      </c>
      <c r="Z26" s="2850">
        <f t="shared" si="12"/>
        <v>0</v>
      </c>
      <c r="AA26" s="2851">
        <f t="shared" si="13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4" thickBot="1">
      <c r="A27" s="6400" t="s">
        <v>462</v>
      </c>
      <c r="B27" s="6385">
        <v>0</v>
      </c>
      <c r="C27" s="7480">
        <f t="shared" si="14"/>
        <v>2.2154584560078511E-4</v>
      </c>
      <c r="D27" s="7436">
        <v>1</v>
      </c>
      <c r="E27" s="7577">
        <v>1</v>
      </c>
      <c r="F27" s="7577">
        <v>1</v>
      </c>
      <c r="G27" s="7577">
        <v>200</v>
      </c>
      <c r="H27" s="7577"/>
      <c r="I27" s="7578">
        <v>0</v>
      </c>
      <c r="J27" s="7578">
        <v>8.1018518518518516E-4</v>
      </c>
      <c r="K27" s="7437" t="s">
        <v>1543</v>
      </c>
      <c r="L27" s="7492">
        <v>0.79861111111111116</v>
      </c>
      <c r="M27" s="7489">
        <v>1.2</v>
      </c>
      <c r="N27" s="7521">
        <f t="shared" ref="N27" si="29">P27*E27*F27+I27*F27*E27+J27*E27</f>
        <v>2.9370253029527222E-3</v>
      </c>
      <c r="O27" s="7522">
        <f t="shared" ref="O27" si="30">C27*(G27/25)</f>
        <v>1.7723667648062809E-3</v>
      </c>
      <c r="P27" s="7521">
        <f t="shared" ref="P27" si="31">O27*M27</f>
        <v>2.1268401177675371E-3</v>
      </c>
      <c r="Q27" s="7493">
        <v>145</v>
      </c>
      <c r="R27" s="6386">
        <f t="shared" ref="R27" si="32">E27*F27*G27</f>
        <v>200</v>
      </c>
      <c r="S27" s="2844">
        <f t="shared" si="5"/>
        <v>0.2</v>
      </c>
      <c r="T27" s="2845">
        <f t="shared" si="6"/>
        <v>7.0894670592251234E-3</v>
      </c>
      <c r="U27" s="374">
        <f t="shared" si="7"/>
        <v>0.2</v>
      </c>
      <c r="V27" s="2846">
        <f t="shared" si="8"/>
        <v>0</v>
      </c>
      <c r="W27" s="2847">
        <f t="shared" si="9"/>
        <v>0</v>
      </c>
      <c r="X27" s="2848">
        <f t="shared" si="10"/>
        <v>0</v>
      </c>
      <c r="Y27" s="2849">
        <f t="shared" si="11"/>
        <v>0</v>
      </c>
      <c r="Z27" s="2850">
        <f t="shared" si="12"/>
        <v>0</v>
      </c>
      <c r="AA27" s="2851">
        <f t="shared" si="13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4" customHeight="1" thickBot="1">
      <c r="A28" s="6400" t="s">
        <v>461</v>
      </c>
      <c r="B28" s="6385">
        <v>8</v>
      </c>
      <c r="C28" s="7480">
        <f t="shared" si="14"/>
        <v>1.7120949074074073E-4</v>
      </c>
      <c r="D28" s="7494">
        <v>7</v>
      </c>
      <c r="E28" s="7561">
        <v>1</v>
      </c>
      <c r="F28" s="7561">
        <v>2</v>
      </c>
      <c r="G28" s="7561">
        <v>15</v>
      </c>
      <c r="H28" s="7621"/>
      <c r="I28" s="7562">
        <v>2.3148148148148146E-4</v>
      </c>
      <c r="J28" s="7562">
        <v>6.9444444444444447E-4</v>
      </c>
      <c r="K28" s="7495" t="s">
        <v>1433</v>
      </c>
      <c r="L28" s="7562">
        <f t="shared" ref="L28:L36" si="33">L27+N27</f>
        <v>0.80154813641406386</v>
      </c>
      <c r="M28" s="7622">
        <v>0.9</v>
      </c>
      <c r="N28" s="7562">
        <f>P28*E28*F28+I28*F28+J28*E28</f>
        <v>1.3423136574074075E-3</v>
      </c>
      <c r="O28" s="7623">
        <f>C28*(G28/25)</f>
        <v>1.0272569444444444E-4</v>
      </c>
      <c r="P28" s="7566">
        <f>O28*M28</f>
        <v>9.2453125000000006E-5</v>
      </c>
      <c r="Q28" s="7495" t="s">
        <v>274</v>
      </c>
      <c r="R28" s="7586">
        <f>E28*F28*G28</f>
        <v>30</v>
      </c>
      <c r="S28" s="2844">
        <f t="shared" si="5"/>
        <v>0.03</v>
      </c>
      <c r="T28" s="2845">
        <f t="shared" si="6"/>
        <v>8.2180555555555555E-4</v>
      </c>
      <c r="U28" s="374">
        <f t="shared" si="7"/>
        <v>0</v>
      </c>
      <c r="V28" s="2846">
        <f t="shared" si="8"/>
        <v>0</v>
      </c>
      <c r="W28" s="2847">
        <f t="shared" si="9"/>
        <v>0</v>
      </c>
      <c r="X28" s="2848">
        <f t="shared" si="10"/>
        <v>0</v>
      </c>
      <c r="Y28" s="2849">
        <f t="shared" si="11"/>
        <v>0</v>
      </c>
      <c r="Z28" s="2850">
        <f t="shared" si="12"/>
        <v>0</v>
      </c>
      <c r="AA28" s="2851">
        <f t="shared" si="13"/>
        <v>0.03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4" customHeight="1" thickBot="1">
      <c r="A29" s="6400" t="s">
        <v>458</v>
      </c>
      <c r="B29" s="6401" t="s">
        <v>461</v>
      </c>
      <c r="C29" s="7480">
        <f t="shared" si="14"/>
        <v>1.7120949074074073E-4</v>
      </c>
      <c r="D29" s="7494">
        <v>7</v>
      </c>
      <c r="E29" s="7561">
        <v>1</v>
      </c>
      <c r="F29" s="7561">
        <v>2</v>
      </c>
      <c r="G29" s="7561">
        <v>15</v>
      </c>
      <c r="H29" s="7621"/>
      <c r="I29" s="7562">
        <v>2.3148148148148146E-4</v>
      </c>
      <c r="J29" s="7562">
        <v>6.9444444444444447E-4</v>
      </c>
      <c r="K29" s="7495" t="s">
        <v>1434</v>
      </c>
      <c r="L29" s="7562">
        <f t="shared" si="33"/>
        <v>0.80289045007147131</v>
      </c>
      <c r="M29" s="7622">
        <v>0.9</v>
      </c>
      <c r="N29" s="7562">
        <f>P29*E29*F29+I29*F29+J29*E29</f>
        <v>1.3423136574074075E-3</v>
      </c>
      <c r="O29" s="7623">
        <f>C29*(G29/25)</f>
        <v>1.0272569444444444E-4</v>
      </c>
      <c r="P29" s="7566">
        <f>O29*M29</f>
        <v>9.2453125000000006E-5</v>
      </c>
      <c r="Q29" s="7495" t="s">
        <v>274</v>
      </c>
      <c r="R29" s="7586">
        <f>E29*F29*G29</f>
        <v>30</v>
      </c>
      <c r="S29" s="2844">
        <f t="shared" si="5"/>
        <v>0.03</v>
      </c>
      <c r="T29" s="2845">
        <f t="shared" si="6"/>
        <v>8.2180555555555555E-4</v>
      </c>
      <c r="U29" s="374">
        <f t="shared" si="7"/>
        <v>0</v>
      </c>
      <c r="V29" s="2846">
        <f t="shared" si="8"/>
        <v>0</v>
      </c>
      <c r="W29" s="2847">
        <f t="shared" si="9"/>
        <v>0</v>
      </c>
      <c r="X29" s="2848">
        <f t="shared" si="10"/>
        <v>0</v>
      </c>
      <c r="Y29" s="2849">
        <f t="shared" si="11"/>
        <v>0</v>
      </c>
      <c r="Z29" s="2850">
        <f t="shared" si="12"/>
        <v>0</v>
      </c>
      <c r="AA29" s="2851">
        <f t="shared" si="13"/>
        <v>0.03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4" customHeight="1" thickBot="1">
      <c r="A30" s="6400" t="s">
        <v>219</v>
      </c>
      <c r="B30" s="6401" t="s">
        <v>461</v>
      </c>
      <c r="C30" s="7480">
        <f t="shared" si="14"/>
        <v>1.7120949074074073E-4</v>
      </c>
      <c r="D30" s="7494">
        <v>7</v>
      </c>
      <c r="E30" s="7561">
        <v>1</v>
      </c>
      <c r="F30" s="7561">
        <v>4</v>
      </c>
      <c r="G30" s="7561">
        <v>15</v>
      </c>
      <c r="H30" s="7621"/>
      <c r="I30" s="7562">
        <v>2.3148148148148146E-4</v>
      </c>
      <c r="J30" s="7562">
        <v>6.9444444444444447E-4</v>
      </c>
      <c r="K30" s="7495" t="s">
        <v>1178</v>
      </c>
      <c r="L30" s="7562">
        <f t="shared" si="33"/>
        <v>0.80423276372887875</v>
      </c>
      <c r="M30" s="7622">
        <v>0.9</v>
      </c>
      <c r="N30" s="7562">
        <f>P30*E30*F30+I30*F30+J30*E30</f>
        <v>1.9901828703703705E-3</v>
      </c>
      <c r="O30" s="7623">
        <f>C30*(G30/25)</f>
        <v>1.0272569444444444E-4</v>
      </c>
      <c r="P30" s="7566">
        <f>O30*M30</f>
        <v>9.2453125000000006E-5</v>
      </c>
      <c r="Q30" s="7495" t="s">
        <v>274</v>
      </c>
      <c r="R30" s="7586">
        <f>E30*F30*G30</f>
        <v>60</v>
      </c>
      <c r="S30" s="2844">
        <f t="shared" si="5"/>
        <v>0.06</v>
      </c>
      <c r="T30" s="2845">
        <f t="shared" si="6"/>
        <v>1.6436111111111111E-3</v>
      </c>
      <c r="U30" s="374">
        <f t="shared" si="7"/>
        <v>0</v>
      </c>
      <c r="V30" s="2846">
        <f t="shared" si="8"/>
        <v>0</v>
      </c>
      <c r="W30" s="2847">
        <f t="shared" si="9"/>
        <v>0</v>
      </c>
      <c r="X30" s="2848">
        <f t="shared" si="10"/>
        <v>0</v>
      </c>
      <c r="Y30" s="2849">
        <f t="shared" si="11"/>
        <v>0</v>
      </c>
      <c r="Z30" s="2850">
        <f t="shared" si="12"/>
        <v>0</v>
      </c>
      <c r="AA30" s="2851">
        <f t="shared" si="13"/>
        <v>0.06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4" customHeight="1" thickBot="1">
      <c r="A31" s="7496"/>
      <c r="B31" s="7497"/>
      <c r="C31" s="7480">
        <f t="shared" si="14"/>
        <v>0</v>
      </c>
      <c r="D31" s="7498"/>
      <c r="E31" s="7624"/>
      <c r="F31" s="7624"/>
      <c r="G31" s="7624"/>
      <c r="H31" s="7625"/>
      <c r="I31" s="7624"/>
      <c r="J31" s="7624"/>
      <c r="K31" s="7626" t="s">
        <v>157</v>
      </c>
      <c r="L31" s="7491">
        <f t="shared" si="33"/>
        <v>0.80622294659924909</v>
      </c>
      <c r="M31" s="7625"/>
      <c r="N31" s="7627"/>
      <c r="O31" s="7625"/>
      <c r="P31" s="7624"/>
      <c r="Q31" s="7624"/>
      <c r="R31" s="7628">
        <f>SUM(R27:R30)</f>
        <v>320</v>
      </c>
      <c r="S31" s="2844">
        <f t="shared" si="5"/>
        <v>0</v>
      </c>
      <c r="T31" s="2845">
        <f t="shared" si="6"/>
        <v>0</v>
      </c>
      <c r="U31" s="374">
        <f t="shared" si="7"/>
        <v>0</v>
      </c>
      <c r="V31" s="2846">
        <f t="shared" si="8"/>
        <v>0</v>
      </c>
      <c r="W31" s="2847">
        <f t="shared" si="9"/>
        <v>0</v>
      </c>
      <c r="X31" s="2848">
        <f t="shared" si="10"/>
        <v>0</v>
      </c>
      <c r="Y31" s="2849">
        <f t="shared" si="11"/>
        <v>0</v>
      </c>
      <c r="Z31" s="2850">
        <f t="shared" si="12"/>
        <v>0</v>
      </c>
      <c r="AA31" s="2851">
        <f t="shared" si="13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5" thickTop="1" thickBot="1">
      <c r="A32" s="6400" t="s">
        <v>215</v>
      </c>
      <c r="B32" s="6401" t="s">
        <v>461</v>
      </c>
      <c r="C32" s="7480">
        <f t="shared" si="14"/>
        <v>2.1213241598079562E-4</v>
      </c>
      <c r="D32" s="1550">
        <v>2</v>
      </c>
      <c r="E32" s="7629">
        <v>1</v>
      </c>
      <c r="F32" s="7629">
        <v>1</v>
      </c>
      <c r="G32" s="7629">
        <v>400</v>
      </c>
      <c r="H32" s="7630"/>
      <c r="I32" s="1669">
        <v>2.8935185185185189E-4</v>
      </c>
      <c r="J32" s="1669">
        <v>1.3888888888888889E-3</v>
      </c>
      <c r="K32" s="1340" t="s">
        <v>952</v>
      </c>
      <c r="L32" s="1669">
        <f t="shared" si="33"/>
        <v>0.80622294659924909</v>
      </c>
      <c r="M32" s="7631">
        <v>1</v>
      </c>
      <c r="N32" s="1669">
        <f>P32*E32*F32+I32*F32+J32*E32</f>
        <v>5.0723593964334705E-3</v>
      </c>
      <c r="O32" s="7612">
        <f>C32*(G32/25)</f>
        <v>3.3941186556927299E-3</v>
      </c>
      <c r="P32" s="7632">
        <f>O32*M32</f>
        <v>3.3941186556927299E-3</v>
      </c>
      <c r="Q32" s="836">
        <v>141</v>
      </c>
      <c r="R32" s="7633">
        <f>E32*F32*G32</f>
        <v>400</v>
      </c>
      <c r="S32" s="2844">
        <f t="shared" si="5"/>
        <v>0.4</v>
      </c>
      <c r="T32" s="2845">
        <f t="shared" si="6"/>
        <v>1.357647462277092E-2</v>
      </c>
      <c r="U32" s="374">
        <f t="shared" si="7"/>
        <v>0</v>
      </c>
      <c r="V32" s="2846">
        <f t="shared" si="8"/>
        <v>0.4</v>
      </c>
      <c r="W32" s="2847">
        <f t="shared" si="9"/>
        <v>0</v>
      </c>
      <c r="X32" s="2848">
        <f t="shared" si="10"/>
        <v>0</v>
      </c>
      <c r="Y32" s="2849">
        <f t="shared" si="11"/>
        <v>0</v>
      </c>
      <c r="Z32" s="2850">
        <f t="shared" si="12"/>
        <v>0</v>
      </c>
      <c r="AA32" s="2851">
        <f t="shared" si="13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4" thickBot="1">
      <c r="A33" s="6437" t="s">
        <v>138</v>
      </c>
      <c r="B33" s="6385">
        <v>0</v>
      </c>
      <c r="C33" s="7480">
        <f t="shared" si="14"/>
        <v>1.7120949074074073E-4</v>
      </c>
      <c r="D33" s="7494">
        <v>7</v>
      </c>
      <c r="E33" s="7561">
        <v>1</v>
      </c>
      <c r="F33" s="7561">
        <v>4</v>
      </c>
      <c r="G33" s="7561">
        <v>25</v>
      </c>
      <c r="H33" s="7621"/>
      <c r="I33" s="7562">
        <v>4.6296296296296293E-4</v>
      </c>
      <c r="J33" s="7562">
        <v>2.0833333333333333E-3</v>
      </c>
      <c r="K33" s="7495" t="s">
        <v>1435</v>
      </c>
      <c r="L33" s="7562">
        <f t="shared" si="33"/>
        <v>0.81129530599568256</v>
      </c>
      <c r="M33" s="7622">
        <v>0.85</v>
      </c>
      <c r="N33" s="7562">
        <f>P33*E33*F33+I33*F33+J33*E33</f>
        <v>4.5172974537037031E-3</v>
      </c>
      <c r="O33" s="7623">
        <f>C33*(G33/25)</f>
        <v>1.7120949074074073E-4</v>
      </c>
      <c r="P33" s="7566">
        <f>O33*M33</f>
        <v>1.4552806712962962E-4</v>
      </c>
      <c r="Q33" s="7495" t="s">
        <v>274</v>
      </c>
      <c r="R33" s="7586">
        <f>E33*F33*G33</f>
        <v>100</v>
      </c>
      <c r="S33" s="2844">
        <f t="shared" si="5"/>
        <v>0.1</v>
      </c>
      <c r="T33" s="2845">
        <f t="shared" si="6"/>
        <v>2.7393518518518518E-3</v>
      </c>
      <c r="U33" s="374">
        <f t="shared" si="7"/>
        <v>0</v>
      </c>
      <c r="V33" s="2846">
        <f t="shared" si="8"/>
        <v>0</v>
      </c>
      <c r="W33" s="2847">
        <f t="shared" si="9"/>
        <v>0</v>
      </c>
      <c r="X33" s="2848">
        <f t="shared" si="10"/>
        <v>0</v>
      </c>
      <c r="Y33" s="2849">
        <f t="shared" si="11"/>
        <v>0</v>
      </c>
      <c r="Z33" s="2850">
        <f t="shared" si="12"/>
        <v>0</v>
      </c>
      <c r="AA33" s="2851">
        <f t="shared" si="13"/>
        <v>0.1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4" thickBot="1">
      <c r="A34" s="6437" t="s">
        <v>462</v>
      </c>
      <c r="B34" s="6385">
        <v>8</v>
      </c>
      <c r="C34" s="7480">
        <f t="shared" si="14"/>
        <v>1.7120949074074073E-4</v>
      </c>
      <c r="D34" s="7494">
        <v>7</v>
      </c>
      <c r="E34" s="7561">
        <v>1</v>
      </c>
      <c r="F34" s="7561">
        <v>2</v>
      </c>
      <c r="G34" s="7561">
        <v>50</v>
      </c>
      <c r="H34" s="7621"/>
      <c r="I34" s="7562">
        <v>4.6296296296296293E-4</v>
      </c>
      <c r="J34" s="7562">
        <v>2.0833333333333333E-3</v>
      </c>
      <c r="K34" s="7495" t="s">
        <v>1436</v>
      </c>
      <c r="L34" s="7562">
        <f t="shared" si="33"/>
        <v>0.81581260344938622</v>
      </c>
      <c r="M34" s="7622">
        <v>1.05</v>
      </c>
      <c r="N34" s="7562">
        <f>P34*E34*F34+I34*F34+J34*E34</f>
        <v>3.7283391203703701E-3</v>
      </c>
      <c r="O34" s="7623">
        <f>C34*(G34/25)</f>
        <v>3.4241898148148147E-4</v>
      </c>
      <c r="P34" s="7566">
        <f>O34*M34</f>
        <v>3.5953993055555555E-4</v>
      </c>
      <c r="Q34" s="7495" t="s">
        <v>274</v>
      </c>
      <c r="R34" s="7586">
        <f>E34*F34*G34</f>
        <v>100</v>
      </c>
      <c r="S34" s="2844">
        <f t="shared" si="5"/>
        <v>0.1</v>
      </c>
      <c r="T34" s="2845">
        <f t="shared" si="6"/>
        <v>2.7393518518518518E-3</v>
      </c>
      <c r="U34" s="374">
        <f t="shared" si="7"/>
        <v>0</v>
      </c>
      <c r="V34" s="2846">
        <f t="shared" si="8"/>
        <v>0</v>
      </c>
      <c r="W34" s="2847">
        <f t="shared" si="9"/>
        <v>0</v>
      </c>
      <c r="X34" s="2848">
        <f t="shared" si="10"/>
        <v>0</v>
      </c>
      <c r="Y34" s="2849">
        <f t="shared" si="11"/>
        <v>0</v>
      </c>
      <c r="Z34" s="2850">
        <f t="shared" si="12"/>
        <v>0</v>
      </c>
      <c r="AA34" s="2851">
        <f t="shared" si="13"/>
        <v>0.1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>
      <c r="A35" s="6437" t="s">
        <v>461</v>
      </c>
      <c r="B35" s="6438" t="s">
        <v>461</v>
      </c>
      <c r="C35" s="7480">
        <f t="shared" si="14"/>
        <v>2.2154584560078511E-4</v>
      </c>
      <c r="D35" s="7499">
        <v>1</v>
      </c>
      <c r="E35" s="7539">
        <v>1</v>
      </c>
      <c r="F35" s="7539">
        <v>1</v>
      </c>
      <c r="G35" s="7539">
        <v>100</v>
      </c>
      <c r="H35" s="7612"/>
      <c r="I35" s="7480">
        <v>0</v>
      </c>
      <c r="J35" s="7480">
        <v>1.1574074074074073E-4</v>
      </c>
      <c r="K35" s="1340" t="s">
        <v>901</v>
      </c>
      <c r="L35" s="7480">
        <f t="shared" si="33"/>
        <v>0.81954094256975663</v>
      </c>
      <c r="M35" s="7634">
        <v>1</v>
      </c>
      <c r="N35" s="7480">
        <f>P35*E35*F35+I35*F35+J35*E35</f>
        <v>1.0019241231438811E-3</v>
      </c>
      <c r="O35" s="7612">
        <f>C35*(G35/25)</f>
        <v>8.8618338240314043E-4</v>
      </c>
      <c r="P35" s="7516">
        <f>O35*M35</f>
        <v>8.8618338240314043E-4</v>
      </c>
      <c r="Q35" s="7500">
        <v>121</v>
      </c>
      <c r="R35" s="7635">
        <f>E35*F35*G35</f>
        <v>100</v>
      </c>
      <c r="S35" s="2844">
        <f t="shared" si="5"/>
        <v>0.1</v>
      </c>
      <c r="T35" s="2845">
        <f t="shared" si="6"/>
        <v>3.5447335296125617E-3</v>
      </c>
      <c r="U35" s="374">
        <f t="shared" si="7"/>
        <v>0.1</v>
      </c>
      <c r="V35" s="2846">
        <f t="shared" si="8"/>
        <v>0</v>
      </c>
      <c r="W35" s="2847">
        <f t="shared" si="9"/>
        <v>0</v>
      </c>
      <c r="X35" s="2848">
        <f t="shared" si="10"/>
        <v>0</v>
      </c>
      <c r="Y35" s="2849">
        <f t="shared" si="11"/>
        <v>0</v>
      </c>
      <c r="Z35" s="2850">
        <f t="shared" si="12"/>
        <v>0</v>
      </c>
      <c r="AA35" s="2851">
        <f t="shared" si="13"/>
        <v>0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</row>
    <row r="36" spans="1:40" ht="14" thickBot="1">
      <c r="A36" s="6439"/>
      <c r="B36" s="6440"/>
      <c r="C36" s="7480">
        <f t="shared" si="14"/>
        <v>0</v>
      </c>
      <c r="D36" s="2801"/>
      <c r="E36" s="642"/>
      <c r="F36" s="642"/>
      <c r="G36" s="642"/>
      <c r="H36" s="1554"/>
      <c r="I36" s="642"/>
      <c r="J36" s="642"/>
      <c r="K36" s="642"/>
      <c r="L36" s="7491">
        <f t="shared" si="33"/>
        <v>0.82054286669290055</v>
      </c>
      <c r="M36" s="7636"/>
      <c r="N36" s="7637"/>
      <c r="O36" s="1538"/>
      <c r="P36" s="7638"/>
      <c r="Q36" s="849"/>
      <c r="R36" s="3456">
        <f>SUM(R32:R35)</f>
        <v>700</v>
      </c>
      <c r="S36" s="2844">
        <f t="shared" si="5"/>
        <v>0</v>
      </c>
      <c r="T36" s="2845">
        <f t="shared" si="6"/>
        <v>0</v>
      </c>
      <c r="U36" s="374">
        <f t="shared" si="7"/>
        <v>0</v>
      </c>
      <c r="V36" s="2846">
        <f t="shared" si="8"/>
        <v>0</v>
      </c>
      <c r="W36" s="2847">
        <f t="shared" si="9"/>
        <v>0</v>
      </c>
      <c r="X36" s="2848">
        <f t="shared" si="10"/>
        <v>0</v>
      </c>
      <c r="Y36" s="2849">
        <f t="shared" si="11"/>
        <v>0</v>
      </c>
      <c r="Z36" s="2850">
        <f t="shared" si="12"/>
        <v>0</v>
      </c>
      <c r="AA36" s="2851">
        <f t="shared" si="13"/>
        <v>0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</row>
    <row r="37" spans="1:40" ht="12" customHeight="1" thickBot="1">
      <c r="A37" s="3109"/>
      <c r="B37" s="3110" t="s">
        <v>461</v>
      </c>
      <c r="C37" s="7480">
        <f t="shared" si="14"/>
        <v>2.1213241598079562E-4</v>
      </c>
      <c r="D37" s="7501">
        <v>2</v>
      </c>
      <c r="E37" s="7502">
        <v>1</v>
      </c>
      <c r="F37" s="7502">
        <v>1</v>
      </c>
      <c r="G37" s="7502">
        <v>400</v>
      </c>
      <c r="H37" s="7503"/>
      <c r="I37" s="7503"/>
      <c r="J37" s="7503">
        <v>1.3888888888888889E-3</v>
      </c>
      <c r="K37" s="7504" t="s">
        <v>703</v>
      </c>
      <c r="L37" s="4903">
        <v>0.63194444444444442</v>
      </c>
      <c r="M37" s="7505">
        <v>1.1000000000000001</v>
      </c>
      <c r="N37" s="4903">
        <v>9.5138888888888894E-3</v>
      </c>
      <c r="O37" s="7506">
        <v>4.0624999999999993E-3</v>
      </c>
      <c r="P37" s="7507">
        <v>4.0624999999999993E-3</v>
      </c>
      <c r="Q37" s="7508">
        <v>146</v>
      </c>
      <c r="R37" s="6386">
        <f t="shared" ref="R37:R47" si="34">E37*F37*G37</f>
        <v>400</v>
      </c>
      <c r="S37" s="2844">
        <f t="shared" si="5"/>
        <v>0.4</v>
      </c>
      <c r="T37" s="2845">
        <f t="shared" si="6"/>
        <v>1.6249999999999997E-2</v>
      </c>
      <c r="U37" s="374">
        <f t="shared" si="7"/>
        <v>0</v>
      </c>
      <c r="V37" s="2846">
        <f t="shared" si="8"/>
        <v>0.4</v>
      </c>
      <c r="W37" s="2847">
        <f t="shared" si="9"/>
        <v>0</v>
      </c>
      <c r="X37" s="2848">
        <f t="shared" si="10"/>
        <v>0</v>
      </c>
      <c r="Y37" s="2849">
        <f t="shared" si="11"/>
        <v>0</v>
      </c>
      <c r="Z37" s="2850">
        <f t="shared" si="12"/>
        <v>0</v>
      </c>
      <c r="AA37" s="2851">
        <f t="shared" si="13"/>
        <v>0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</row>
    <row r="38" spans="1:40" ht="13" customHeight="1" thickBot="1">
      <c r="A38" s="7435"/>
      <c r="B38" s="3110" t="s">
        <v>461</v>
      </c>
      <c r="C38" s="7480">
        <f t="shared" si="14"/>
        <v>1.9604881489123236E-4</v>
      </c>
      <c r="D38" s="7509">
        <v>4</v>
      </c>
      <c r="E38" s="7510">
        <v>1</v>
      </c>
      <c r="F38" s="7510">
        <v>5</v>
      </c>
      <c r="G38" s="7510">
        <v>50</v>
      </c>
      <c r="H38" s="7511" t="s">
        <v>710</v>
      </c>
      <c r="I38" s="7512">
        <v>5.2083333333333333E-4</v>
      </c>
      <c r="J38" s="7512">
        <v>1.3888888888888889E-3</v>
      </c>
      <c r="K38" s="7513" t="s">
        <v>1180</v>
      </c>
      <c r="L38" s="7512">
        <f t="shared" ref="L38:L47" si="35">L37+N37</f>
        <v>0.64145833333333335</v>
      </c>
      <c r="M38" s="7514">
        <v>1.28</v>
      </c>
      <c r="N38" s="7515">
        <f>P38*E38*F38+I38*E38*F38+J38*E38</f>
        <v>6.5024803861633302E-3</v>
      </c>
      <c r="O38" s="7516">
        <f t="shared" ref="O38:O47" si="36">C38*(G38/25)</f>
        <v>3.9209762978246473E-4</v>
      </c>
      <c r="P38" s="7517">
        <f t="shared" ref="P38:P47" si="37">O38*M38</f>
        <v>5.018849661215549E-4</v>
      </c>
      <c r="Q38" s="7518" t="s">
        <v>316</v>
      </c>
      <c r="R38" s="7519">
        <f t="shared" si="34"/>
        <v>250</v>
      </c>
      <c r="S38" s="2844">
        <f t="shared" si="5"/>
        <v>0.25</v>
      </c>
      <c r="T38" s="2845">
        <f t="shared" si="6"/>
        <v>7.8419525956492948E-3</v>
      </c>
      <c r="U38" s="374">
        <f t="shared" si="7"/>
        <v>0</v>
      </c>
      <c r="V38" s="2846">
        <f t="shared" si="8"/>
        <v>0</v>
      </c>
      <c r="W38" s="2847">
        <f t="shared" si="9"/>
        <v>0</v>
      </c>
      <c r="X38" s="2848">
        <f t="shared" si="10"/>
        <v>0.25</v>
      </c>
      <c r="Y38" s="2849">
        <f t="shared" si="11"/>
        <v>0</v>
      </c>
      <c r="Z38" s="2850">
        <f t="shared" si="12"/>
        <v>0</v>
      </c>
      <c r="AA38" s="2851">
        <f t="shared" si="13"/>
        <v>0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</row>
    <row r="39" spans="1:40" ht="13" customHeight="1" thickBot="1">
      <c r="A39" s="3109" t="s">
        <v>215</v>
      </c>
      <c r="B39" s="3110" t="s">
        <v>461</v>
      </c>
      <c r="C39" s="7480">
        <f t="shared" si="14"/>
        <v>2.1213241598079562E-4</v>
      </c>
      <c r="D39" s="5834">
        <v>2</v>
      </c>
      <c r="E39" s="5835">
        <v>1</v>
      </c>
      <c r="F39" s="5835">
        <v>1</v>
      </c>
      <c r="G39" s="5835">
        <v>200</v>
      </c>
      <c r="H39" s="5836" t="s">
        <v>713</v>
      </c>
      <c r="I39" s="4903">
        <v>1.1574074074074073E-4</v>
      </c>
      <c r="J39" s="4903">
        <v>6.9444444444444447E-4</v>
      </c>
      <c r="K39" s="5837" t="s">
        <v>1181</v>
      </c>
      <c r="L39" s="4903">
        <f t="shared" si="35"/>
        <v>0.64796081371949665</v>
      </c>
      <c r="M39" s="7520">
        <v>1.28</v>
      </c>
      <c r="N39" s="7521">
        <f t="shared" ref="N39:N47" si="38">P39*E39*F39+I39*E39*F39+J39*E39</f>
        <v>2.9824211248285328E-3</v>
      </c>
      <c r="O39" s="7516">
        <f t="shared" si="36"/>
        <v>1.697059327846365E-3</v>
      </c>
      <c r="P39" s="7522">
        <f t="shared" si="37"/>
        <v>2.1722359396433473E-3</v>
      </c>
      <c r="Q39" s="7490">
        <v>146</v>
      </c>
      <c r="R39" s="6386">
        <f t="shared" si="34"/>
        <v>200</v>
      </c>
      <c r="S39" s="2844">
        <f t="shared" si="5"/>
        <v>0.2</v>
      </c>
      <c r="T39" s="2845">
        <f t="shared" si="6"/>
        <v>6.7882373113854599E-3</v>
      </c>
      <c r="U39" s="374">
        <f t="shared" si="7"/>
        <v>0</v>
      </c>
      <c r="V39" s="2846">
        <f t="shared" si="8"/>
        <v>0.2</v>
      </c>
      <c r="W39" s="2847">
        <f t="shared" si="9"/>
        <v>0</v>
      </c>
      <c r="X39" s="2848">
        <f t="shared" si="10"/>
        <v>0</v>
      </c>
      <c r="Y39" s="2849">
        <f t="shared" si="11"/>
        <v>0</v>
      </c>
      <c r="Z39" s="2850">
        <f t="shared" si="12"/>
        <v>0</v>
      </c>
      <c r="AA39" s="2851">
        <f t="shared" si="13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1"/>
    </row>
    <row r="40" spans="1:40" ht="14" thickBot="1">
      <c r="A40" s="3109" t="s">
        <v>139</v>
      </c>
      <c r="B40" s="3110" t="s">
        <v>461</v>
      </c>
      <c r="C40" s="7480">
        <f t="shared" si="14"/>
        <v>1.7650462962962962E-4</v>
      </c>
      <c r="D40" s="3436">
        <v>6</v>
      </c>
      <c r="E40" s="6381">
        <v>1</v>
      </c>
      <c r="F40" s="6381">
        <v>4</v>
      </c>
      <c r="G40" s="6381">
        <v>50</v>
      </c>
      <c r="H40" s="7639" t="s">
        <v>20</v>
      </c>
      <c r="I40" s="7523">
        <v>9.2592592592592585E-4</v>
      </c>
      <c r="J40" s="7523">
        <v>1.736111111111111E-3</v>
      </c>
      <c r="K40" s="6381" t="s">
        <v>2540</v>
      </c>
      <c r="L40" s="7523">
        <f t="shared" si="35"/>
        <v>0.65094323484432515</v>
      </c>
      <c r="M40" s="5675">
        <v>1.28</v>
      </c>
      <c r="N40" s="7523">
        <f t="shared" si="38"/>
        <v>7.2472222222222217E-3</v>
      </c>
      <c r="O40" s="7640">
        <f t="shared" si="36"/>
        <v>3.5300925925925924E-4</v>
      </c>
      <c r="P40" s="3442">
        <f t="shared" si="37"/>
        <v>4.5185185185185183E-4</v>
      </c>
      <c r="Q40" s="7580">
        <v>164</v>
      </c>
      <c r="R40" s="6381">
        <f t="shared" si="34"/>
        <v>200</v>
      </c>
      <c r="S40" s="2844">
        <f t="shared" si="5"/>
        <v>0.2</v>
      </c>
      <c r="T40" s="2845">
        <f t="shared" si="6"/>
        <v>5.6481481481481478E-3</v>
      </c>
      <c r="U40" s="374">
        <f t="shared" si="7"/>
        <v>0</v>
      </c>
      <c r="V40" s="2846">
        <f t="shared" si="8"/>
        <v>0</v>
      </c>
      <c r="W40" s="2847">
        <f t="shared" si="9"/>
        <v>0</v>
      </c>
      <c r="X40" s="2848">
        <f t="shared" si="10"/>
        <v>0</v>
      </c>
      <c r="Y40" s="2849">
        <f t="shared" si="11"/>
        <v>0</v>
      </c>
      <c r="Z40" s="2850">
        <f t="shared" si="12"/>
        <v>0.2</v>
      </c>
      <c r="AA40" s="2851">
        <f t="shared" si="13"/>
        <v>0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  <c r="AN40" s="1"/>
    </row>
    <row r="41" spans="1:40" ht="13" customHeight="1" thickBot="1">
      <c r="A41" s="3109" t="s">
        <v>458</v>
      </c>
      <c r="B41" s="3110" t="s">
        <v>461</v>
      </c>
      <c r="C41" s="7480">
        <f t="shared" si="14"/>
        <v>2.1213241598079562E-4</v>
      </c>
      <c r="D41" s="5834">
        <v>2</v>
      </c>
      <c r="E41" s="5837">
        <v>1</v>
      </c>
      <c r="F41" s="5837">
        <v>1</v>
      </c>
      <c r="G41" s="5837">
        <v>200</v>
      </c>
      <c r="H41" s="5845" t="s">
        <v>218</v>
      </c>
      <c r="I41" s="5846">
        <v>1.1574074074074073E-4</v>
      </c>
      <c r="J41" s="5846">
        <v>6.9444444444444447E-4</v>
      </c>
      <c r="K41" s="5837" t="s">
        <v>1170</v>
      </c>
      <c r="L41" s="5846">
        <f t="shared" si="35"/>
        <v>0.65819045706654733</v>
      </c>
      <c r="M41" s="7524">
        <v>1.28</v>
      </c>
      <c r="N41" s="7525">
        <f t="shared" si="38"/>
        <v>2.9824211248285328E-3</v>
      </c>
      <c r="O41" s="7516">
        <f t="shared" si="36"/>
        <v>1.697059327846365E-3</v>
      </c>
      <c r="P41" s="7522">
        <f t="shared" si="37"/>
        <v>2.1722359396433473E-3</v>
      </c>
      <c r="Q41" s="7490">
        <v>146</v>
      </c>
      <c r="R41" s="6449">
        <f t="shared" si="34"/>
        <v>200</v>
      </c>
      <c r="S41" s="2844">
        <f t="shared" si="5"/>
        <v>0.2</v>
      </c>
      <c r="T41" s="2845">
        <f t="shared" si="6"/>
        <v>6.7882373113854599E-3</v>
      </c>
      <c r="U41" s="374">
        <f t="shared" si="7"/>
        <v>0</v>
      </c>
      <c r="V41" s="2846">
        <f t="shared" si="8"/>
        <v>0.2</v>
      </c>
      <c r="W41" s="2847">
        <f t="shared" si="9"/>
        <v>0</v>
      </c>
      <c r="X41" s="2848">
        <f t="shared" si="10"/>
        <v>0</v>
      </c>
      <c r="Y41" s="2849">
        <f t="shared" si="11"/>
        <v>0</v>
      </c>
      <c r="Z41" s="2850">
        <f t="shared" si="12"/>
        <v>0</v>
      </c>
      <c r="AA41" s="2851">
        <f t="shared" si="13"/>
        <v>0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  <c r="AN41" s="1"/>
    </row>
    <row r="42" spans="1:40" ht="14" thickBot="1">
      <c r="A42" s="3109" t="s">
        <v>462</v>
      </c>
      <c r="B42" s="6385">
        <v>0</v>
      </c>
      <c r="C42" s="7480">
        <f t="shared" si="14"/>
        <v>1.7650462962962962E-4</v>
      </c>
      <c r="D42" s="3436">
        <v>6</v>
      </c>
      <c r="E42" s="6381">
        <v>1</v>
      </c>
      <c r="F42" s="6381">
        <v>4</v>
      </c>
      <c r="G42" s="6381">
        <v>50</v>
      </c>
      <c r="H42" s="7639" t="s">
        <v>20</v>
      </c>
      <c r="I42" s="7523">
        <v>9.2592592592592585E-4</v>
      </c>
      <c r="J42" s="7523">
        <v>1.736111111111111E-3</v>
      </c>
      <c r="K42" s="6381" t="s">
        <v>2541</v>
      </c>
      <c r="L42" s="7523">
        <f t="shared" si="35"/>
        <v>0.66117287819137582</v>
      </c>
      <c r="M42" s="5675">
        <v>1.28</v>
      </c>
      <c r="N42" s="7523">
        <f t="shared" si="38"/>
        <v>7.2472222222222217E-3</v>
      </c>
      <c r="O42" s="7640">
        <f t="shared" si="36"/>
        <v>3.5300925925925924E-4</v>
      </c>
      <c r="P42" s="3442">
        <f t="shared" si="37"/>
        <v>4.5185185185185183E-4</v>
      </c>
      <c r="Q42" s="7580">
        <v>165</v>
      </c>
      <c r="R42" s="6381">
        <f t="shared" si="34"/>
        <v>200</v>
      </c>
      <c r="S42" s="2844">
        <f t="shared" si="5"/>
        <v>0.2</v>
      </c>
      <c r="T42" s="2845">
        <f t="shared" si="6"/>
        <v>5.6481481481481478E-3</v>
      </c>
      <c r="U42" s="374">
        <f t="shared" si="7"/>
        <v>0</v>
      </c>
      <c r="V42" s="2846">
        <f t="shared" si="8"/>
        <v>0</v>
      </c>
      <c r="W42" s="2847">
        <f t="shared" si="9"/>
        <v>0</v>
      </c>
      <c r="X42" s="2848">
        <f t="shared" si="10"/>
        <v>0</v>
      </c>
      <c r="Y42" s="2849">
        <f t="shared" si="11"/>
        <v>0</v>
      </c>
      <c r="Z42" s="2850">
        <f t="shared" si="12"/>
        <v>0.2</v>
      </c>
      <c r="AA42" s="2851">
        <f t="shared" si="13"/>
        <v>0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  <c r="AN42" s="1"/>
    </row>
    <row r="43" spans="1:40" ht="14" thickBot="1">
      <c r="A43" s="3109" t="s">
        <v>140</v>
      </c>
      <c r="B43" s="6385">
        <v>7</v>
      </c>
      <c r="C43" s="7480">
        <f t="shared" si="14"/>
        <v>2.1213241598079562E-4</v>
      </c>
      <c r="D43" s="5834">
        <v>2</v>
      </c>
      <c r="E43" s="5835">
        <v>1</v>
      </c>
      <c r="F43" s="5835">
        <v>1</v>
      </c>
      <c r="G43" s="5835">
        <v>400</v>
      </c>
      <c r="H43" s="5836" t="s">
        <v>218</v>
      </c>
      <c r="I43" s="4903">
        <v>1.1574074074074073E-4</v>
      </c>
      <c r="J43" s="4903">
        <v>6.9444444444444447E-4</v>
      </c>
      <c r="K43" s="5837" t="s">
        <v>1173</v>
      </c>
      <c r="L43" s="4903">
        <f t="shared" si="35"/>
        <v>0.66842010041359801</v>
      </c>
      <c r="M43" s="7520">
        <v>1.28</v>
      </c>
      <c r="N43" s="7521">
        <f t="shared" si="38"/>
        <v>5.1546570644718801E-3</v>
      </c>
      <c r="O43" s="7516">
        <f t="shared" si="36"/>
        <v>3.3941186556927299E-3</v>
      </c>
      <c r="P43" s="7522">
        <f t="shared" si="37"/>
        <v>4.3444718792866946E-3</v>
      </c>
      <c r="Q43" s="7490">
        <v>146</v>
      </c>
      <c r="R43" s="6386">
        <f t="shared" si="34"/>
        <v>400</v>
      </c>
      <c r="S43" s="2844">
        <f t="shared" si="5"/>
        <v>0.4</v>
      </c>
      <c r="T43" s="2845">
        <f t="shared" si="6"/>
        <v>1.357647462277092E-2</v>
      </c>
      <c r="U43" s="374">
        <f t="shared" si="7"/>
        <v>0</v>
      </c>
      <c r="V43" s="2846">
        <f t="shared" si="8"/>
        <v>0.4</v>
      </c>
      <c r="W43" s="2847">
        <f t="shared" si="9"/>
        <v>0</v>
      </c>
      <c r="X43" s="2848">
        <f t="shared" si="10"/>
        <v>0</v>
      </c>
      <c r="Y43" s="2849">
        <f t="shared" si="11"/>
        <v>0</v>
      </c>
      <c r="Z43" s="2850">
        <f t="shared" si="12"/>
        <v>0</v>
      </c>
      <c r="AA43" s="2851">
        <f t="shared" si="13"/>
        <v>0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  <c r="AN43" s="1"/>
    </row>
    <row r="44" spans="1:40" ht="14" thickBot="1">
      <c r="A44" s="3109" t="s">
        <v>37</v>
      </c>
      <c r="B44" s="3110" t="s">
        <v>461</v>
      </c>
      <c r="C44" s="7480">
        <f t="shared" si="14"/>
        <v>1.8332860044058927E-4</v>
      </c>
      <c r="D44" s="1433">
        <v>5</v>
      </c>
      <c r="E44" s="6388">
        <v>2</v>
      </c>
      <c r="F44" s="6387">
        <v>1</v>
      </c>
      <c r="G44" s="6387">
        <v>75</v>
      </c>
      <c r="H44" s="7526" t="s">
        <v>944</v>
      </c>
      <c r="I44" s="5851">
        <v>5.7870370370370366E-5</v>
      </c>
      <c r="J44" s="5851">
        <v>1.3888888888888889E-3</v>
      </c>
      <c r="K44" s="6450" t="s">
        <v>2542</v>
      </c>
      <c r="L44" s="7527">
        <f t="shared" si="35"/>
        <v>0.67357475747806994</v>
      </c>
      <c r="M44" s="3448">
        <v>1.28</v>
      </c>
      <c r="N44" s="7474">
        <f t="shared" si="38"/>
        <v>4.3014821699022439E-3</v>
      </c>
      <c r="O44" s="7477">
        <f t="shared" si="36"/>
        <v>5.4998580132176785E-4</v>
      </c>
      <c r="P44" s="4148">
        <f t="shared" si="37"/>
        <v>7.0398182569186287E-4</v>
      </c>
      <c r="Q44" s="6390" t="s">
        <v>278</v>
      </c>
      <c r="R44" s="6388">
        <f t="shared" si="34"/>
        <v>150</v>
      </c>
      <c r="S44" s="2844">
        <f t="shared" si="5"/>
        <v>0.15</v>
      </c>
      <c r="T44" s="2845">
        <f t="shared" si="6"/>
        <v>4.3998864105741428E-3</v>
      </c>
      <c r="U44" s="374">
        <f t="shared" si="7"/>
        <v>0</v>
      </c>
      <c r="V44" s="2846">
        <f t="shared" si="8"/>
        <v>0</v>
      </c>
      <c r="W44" s="2847">
        <f t="shared" si="9"/>
        <v>0</v>
      </c>
      <c r="X44" s="2848">
        <f t="shared" si="10"/>
        <v>0</v>
      </c>
      <c r="Y44" s="2849">
        <f t="shared" si="11"/>
        <v>0.15</v>
      </c>
      <c r="Z44" s="2850">
        <f t="shared" si="12"/>
        <v>0</v>
      </c>
      <c r="AA44" s="2851">
        <f t="shared" si="13"/>
        <v>0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  <c r="AN44" s="1"/>
    </row>
    <row r="45" spans="1:40" ht="14" thickBot="1">
      <c r="A45" s="3109" t="s">
        <v>214</v>
      </c>
      <c r="B45" s="3110" t="s">
        <v>461</v>
      </c>
      <c r="C45" s="7480">
        <f t="shared" si="14"/>
        <v>2.1213241598079562E-4</v>
      </c>
      <c r="D45" s="5834">
        <v>2</v>
      </c>
      <c r="E45" s="5835">
        <v>1</v>
      </c>
      <c r="F45" s="5835">
        <v>1</v>
      </c>
      <c r="G45" s="5835">
        <v>200</v>
      </c>
      <c r="H45" s="5836" t="s">
        <v>218</v>
      </c>
      <c r="I45" s="4903">
        <v>1.1574074074074073E-4</v>
      </c>
      <c r="J45" s="4903">
        <v>6.9444444444444447E-4</v>
      </c>
      <c r="K45" s="5837" t="s">
        <v>1169</v>
      </c>
      <c r="L45" s="4903">
        <f t="shared" si="35"/>
        <v>0.67787623964797217</v>
      </c>
      <c r="M45" s="7520">
        <v>1.28</v>
      </c>
      <c r="N45" s="7521">
        <f t="shared" si="38"/>
        <v>2.9824211248285328E-3</v>
      </c>
      <c r="O45" s="7516">
        <f t="shared" si="36"/>
        <v>1.697059327846365E-3</v>
      </c>
      <c r="P45" s="7522">
        <f t="shared" si="37"/>
        <v>2.1722359396433473E-3</v>
      </c>
      <c r="Q45" s="7490">
        <v>146</v>
      </c>
      <c r="R45" s="6386">
        <f t="shared" si="34"/>
        <v>200</v>
      </c>
      <c r="S45" s="2844">
        <f t="shared" si="5"/>
        <v>0.2</v>
      </c>
      <c r="T45" s="2845">
        <f t="shared" si="6"/>
        <v>6.7882373113854599E-3</v>
      </c>
      <c r="U45" s="374">
        <f t="shared" si="7"/>
        <v>0</v>
      </c>
      <c r="V45" s="2846">
        <f t="shared" si="8"/>
        <v>0.2</v>
      </c>
      <c r="W45" s="2847">
        <f t="shared" si="9"/>
        <v>0</v>
      </c>
      <c r="X45" s="2848">
        <f t="shared" si="10"/>
        <v>0</v>
      </c>
      <c r="Y45" s="2849">
        <f t="shared" si="11"/>
        <v>0</v>
      </c>
      <c r="Z45" s="2850">
        <f t="shared" si="12"/>
        <v>0</v>
      </c>
      <c r="AA45" s="2851">
        <f t="shared" si="13"/>
        <v>0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  <c r="AN45" s="1"/>
    </row>
    <row r="46" spans="1:40" ht="14" customHeight="1" thickBot="1">
      <c r="A46" s="3109" t="s">
        <v>458</v>
      </c>
      <c r="B46" s="3110" t="s">
        <v>461</v>
      </c>
      <c r="C46" s="7480">
        <f t="shared" si="14"/>
        <v>1.8332860044058927E-4</v>
      </c>
      <c r="D46" s="1433">
        <v>5</v>
      </c>
      <c r="E46" s="6388">
        <v>2</v>
      </c>
      <c r="F46" s="6387">
        <v>1</v>
      </c>
      <c r="G46" s="6387">
        <v>75</v>
      </c>
      <c r="H46" s="7526" t="s">
        <v>944</v>
      </c>
      <c r="I46" s="5851">
        <v>5.7870370370370366E-5</v>
      </c>
      <c r="J46" s="5851">
        <v>1.3888888888888889E-3</v>
      </c>
      <c r="K46" s="6450" t="s">
        <v>2543</v>
      </c>
      <c r="L46" s="7527">
        <f t="shared" si="35"/>
        <v>0.68085866077280066</v>
      </c>
      <c r="M46" s="3448">
        <v>1.28</v>
      </c>
      <c r="N46" s="7474">
        <f t="shared" si="38"/>
        <v>4.3014821699022439E-3</v>
      </c>
      <c r="O46" s="7477">
        <f t="shared" si="36"/>
        <v>5.4998580132176785E-4</v>
      </c>
      <c r="P46" s="4148">
        <f t="shared" si="37"/>
        <v>7.0398182569186287E-4</v>
      </c>
      <c r="Q46" s="6390" t="s">
        <v>278</v>
      </c>
      <c r="R46" s="6388">
        <f t="shared" si="34"/>
        <v>150</v>
      </c>
      <c r="S46" s="2844">
        <f t="shared" si="5"/>
        <v>0.15</v>
      </c>
      <c r="T46" s="2845">
        <f t="shared" si="6"/>
        <v>4.3998864105741428E-3</v>
      </c>
      <c r="U46" s="374">
        <f t="shared" si="7"/>
        <v>0</v>
      </c>
      <c r="V46" s="2846">
        <f t="shared" si="8"/>
        <v>0</v>
      </c>
      <c r="W46" s="2847">
        <f t="shared" si="9"/>
        <v>0</v>
      </c>
      <c r="X46" s="2848">
        <f t="shared" si="10"/>
        <v>0</v>
      </c>
      <c r="Y46" s="2849">
        <f t="shared" si="11"/>
        <v>0.15</v>
      </c>
      <c r="Z46" s="2850">
        <f t="shared" si="12"/>
        <v>0</v>
      </c>
      <c r="AA46" s="2851">
        <f t="shared" si="13"/>
        <v>0</v>
      </c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  <c r="AN46" s="1"/>
    </row>
    <row r="47" spans="1:40" ht="14" customHeight="1" thickBot="1">
      <c r="A47" s="3109" t="s">
        <v>219</v>
      </c>
      <c r="B47" s="3110" t="s">
        <v>461</v>
      </c>
      <c r="C47" s="7480">
        <f t="shared" si="14"/>
        <v>2.1213241598079562E-4</v>
      </c>
      <c r="D47" s="7501">
        <v>2</v>
      </c>
      <c r="E47" s="7502">
        <v>1</v>
      </c>
      <c r="F47" s="7502">
        <v>1</v>
      </c>
      <c r="G47" s="7502">
        <v>400</v>
      </c>
      <c r="H47" s="7503"/>
      <c r="I47" s="7503"/>
      <c r="J47" s="7503">
        <v>1.3888888888888889E-3</v>
      </c>
      <c r="K47" s="7504" t="s">
        <v>703</v>
      </c>
      <c r="L47" s="4903">
        <f t="shared" si="35"/>
        <v>0.68516014294270289</v>
      </c>
      <c r="M47" s="7520">
        <v>1.28</v>
      </c>
      <c r="N47" s="7521">
        <f t="shared" si="38"/>
        <v>5.7333607681755838E-3</v>
      </c>
      <c r="O47" s="7516">
        <f t="shared" si="36"/>
        <v>3.3941186556927299E-3</v>
      </c>
      <c r="P47" s="7522">
        <f t="shared" si="37"/>
        <v>4.3444718792866946E-3</v>
      </c>
      <c r="Q47" s="7490">
        <v>146</v>
      </c>
      <c r="R47" s="6386">
        <f t="shared" si="34"/>
        <v>400</v>
      </c>
      <c r="S47" s="2844">
        <f t="shared" si="5"/>
        <v>0.4</v>
      </c>
      <c r="T47" s="2845">
        <f t="shared" si="6"/>
        <v>1.357647462277092E-2</v>
      </c>
      <c r="U47" s="374">
        <f t="shared" si="7"/>
        <v>0</v>
      </c>
      <c r="V47" s="2846">
        <f t="shared" si="8"/>
        <v>0.4</v>
      </c>
      <c r="W47" s="2847">
        <f t="shared" si="9"/>
        <v>0</v>
      </c>
      <c r="X47" s="2848">
        <f t="shared" si="10"/>
        <v>0</v>
      </c>
      <c r="Y47" s="2849">
        <f t="shared" si="11"/>
        <v>0</v>
      </c>
      <c r="Z47" s="2850">
        <f t="shared" si="12"/>
        <v>0</v>
      </c>
      <c r="AA47" s="2851">
        <f t="shared" si="13"/>
        <v>0</v>
      </c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  <c r="AN47" s="1"/>
    </row>
    <row r="48" spans="1:40" ht="14" customHeight="1">
      <c r="A48" s="3109"/>
      <c r="B48" s="3110"/>
      <c r="C48" s="7480">
        <f t="shared" si="14"/>
        <v>0</v>
      </c>
      <c r="D48" s="6451"/>
      <c r="E48" s="6452"/>
      <c r="F48" s="6452"/>
      <c r="G48" s="6452"/>
      <c r="H48" s="4907"/>
      <c r="I48" s="4907"/>
      <c r="J48" s="4907"/>
      <c r="K48" s="6453"/>
      <c r="L48" s="5857"/>
      <c r="M48" s="4154"/>
      <c r="N48" s="7528"/>
      <c r="O48" s="3744">
        <v>0</v>
      </c>
      <c r="P48" s="3744"/>
      <c r="Q48" s="3744"/>
      <c r="R48" s="4155">
        <f>SUM(R37:R47)</f>
        <v>2750</v>
      </c>
      <c r="S48" s="2844">
        <f t="shared" si="5"/>
        <v>0</v>
      </c>
      <c r="T48" s="2845">
        <f t="shared" si="6"/>
        <v>0</v>
      </c>
      <c r="U48" s="374">
        <f t="shared" si="7"/>
        <v>0</v>
      </c>
      <c r="V48" s="2846">
        <f t="shared" si="8"/>
        <v>0</v>
      </c>
      <c r="W48" s="2847">
        <f t="shared" si="9"/>
        <v>0</v>
      </c>
      <c r="X48" s="2848">
        <f t="shared" si="10"/>
        <v>0</v>
      </c>
      <c r="Y48" s="2849">
        <f t="shared" si="11"/>
        <v>0</v>
      </c>
      <c r="Z48" s="2850">
        <f t="shared" si="12"/>
        <v>0</v>
      </c>
      <c r="AA48" s="2851">
        <f t="shared" si="13"/>
        <v>0</v>
      </c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  <c r="AN48" s="1"/>
    </row>
    <row r="49" spans="1:40" ht="11" customHeight="1">
      <c r="A49" s="2889" t="s">
        <v>217</v>
      </c>
      <c r="B49" s="2896" t="s">
        <v>461</v>
      </c>
      <c r="C49" s="7480">
        <f t="shared" si="14"/>
        <v>2.1213241598079562E-4</v>
      </c>
      <c r="D49" s="7529">
        <v>2</v>
      </c>
      <c r="E49" s="7530">
        <v>1</v>
      </c>
      <c r="F49" s="7530">
        <v>40</v>
      </c>
      <c r="G49" s="7530">
        <v>25</v>
      </c>
      <c r="H49" s="7530"/>
      <c r="I49" s="7641">
        <v>5.7870370370370366E-5</v>
      </c>
      <c r="J49" s="7641">
        <v>1.3888888888888889E-3</v>
      </c>
      <c r="K49" s="7530" t="s">
        <v>263</v>
      </c>
      <c r="L49" s="4903">
        <v>0.79861111111111116</v>
      </c>
      <c r="M49" s="7530">
        <v>1.1000000000000001</v>
      </c>
      <c r="N49" s="7641">
        <v>9.5138888888888894E-3</v>
      </c>
      <c r="O49" s="7641">
        <v>4.0624999999999993E-3</v>
      </c>
      <c r="P49" s="7641">
        <v>4.0624999999999993E-3</v>
      </c>
      <c r="Q49" s="7642">
        <v>146</v>
      </c>
      <c r="R49" s="7643">
        <f t="shared" ref="R49:R56" si="39">E49*F49*G49</f>
        <v>1000</v>
      </c>
      <c r="S49" s="2844">
        <f t="shared" si="5"/>
        <v>1</v>
      </c>
      <c r="T49" s="2845">
        <f t="shared" si="6"/>
        <v>0.64999999999999991</v>
      </c>
      <c r="U49" s="374">
        <f t="shared" si="7"/>
        <v>0</v>
      </c>
      <c r="V49" s="2846">
        <f t="shared" si="8"/>
        <v>1</v>
      </c>
      <c r="W49" s="2847">
        <f t="shared" si="9"/>
        <v>0</v>
      </c>
      <c r="X49" s="2848">
        <f t="shared" si="10"/>
        <v>0</v>
      </c>
      <c r="Y49" s="2849">
        <f t="shared" si="11"/>
        <v>0</v>
      </c>
      <c r="Z49" s="2850">
        <f t="shared" si="12"/>
        <v>0</v>
      </c>
      <c r="AA49" s="2851">
        <f t="shared" si="13"/>
        <v>0</v>
      </c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  <c r="AN49" s="1"/>
    </row>
    <row r="50" spans="1:40" ht="14" customHeight="1">
      <c r="A50" s="2889" t="s">
        <v>459</v>
      </c>
      <c r="B50" s="2896" t="s">
        <v>461</v>
      </c>
      <c r="C50" s="7480">
        <f t="shared" si="14"/>
        <v>1.7120949074074073E-4</v>
      </c>
      <c r="D50" s="7531">
        <v>7</v>
      </c>
      <c r="E50" s="7554">
        <v>2</v>
      </c>
      <c r="F50" s="7554">
        <v>4</v>
      </c>
      <c r="G50" s="7554">
        <v>7.5</v>
      </c>
      <c r="H50" s="7554"/>
      <c r="I50" s="7644">
        <v>3.4722222222222224E-4</v>
      </c>
      <c r="J50" s="7644">
        <v>2.0833333333333333E-3</v>
      </c>
      <c r="K50" s="7532" t="s">
        <v>264</v>
      </c>
      <c r="L50" s="7644">
        <f>L49+N49</f>
        <v>0.80812500000000009</v>
      </c>
      <c r="M50" s="7532">
        <v>1.1000000000000001</v>
      </c>
      <c r="N50" s="7644">
        <v>9.5138888888888894E-3</v>
      </c>
      <c r="O50" s="7644">
        <v>4.0624999999999993E-3</v>
      </c>
      <c r="P50" s="7644">
        <v>4.0624999999999993E-3</v>
      </c>
      <c r="Q50" s="7645">
        <v>146</v>
      </c>
      <c r="R50" s="7646">
        <f t="shared" si="39"/>
        <v>60</v>
      </c>
      <c r="S50" s="2844">
        <f t="shared" si="5"/>
        <v>0.06</v>
      </c>
      <c r="T50" s="2845">
        <f t="shared" si="6"/>
        <v>0.12999999999999998</v>
      </c>
      <c r="U50" s="374">
        <f t="shared" si="7"/>
        <v>0</v>
      </c>
      <c r="V50" s="2846">
        <f t="shared" si="8"/>
        <v>0</v>
      </c>
      <c r="W50" s="2847">
        <f t="shared" si="9"/>
        <v>0</v>
      </c>
      <c r="X50" s="2848">
        <f t="shared" si="10"/>
        <v>0</v>
      </c>
      <c r="Y50" s="2849">
        <f t="shared" si="11"/>
        <v>0</v>
      </c>
      <c r="Z50" s="2850">
        <f t="shared" si="12"/>
        <v>0</v>
      </c>
      <c r="AA50" s="2851">
        <f t="shared" si="13"/>
        <v>0.06</v>
      </c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  <c r="AN50" s="1"/>
    </row>
    <row r="51" spans="1:40" ht="14" customHeight="1">
      <c r="A51" s="2889" t="s">
        <v>458</v>
      </c>
      <c r="B51" s="7533">
        <v>0</v>
      </c>
      <c r="C51" s="7480">
        <f t="shared" si="14"/>
        <v>2.1213241598079562E-4</v>
      </c>
      <c r="D51" s="7529">
        <v>2</v>
      </c>
      <c r="E51" s="7534">
        <v>1</v>
      </c>
      <c r="F51" s="7534">
        <v>2</v>
      </c>
      <c r="G51" s="7534">
        <v>300</v>
      </c>
      <c r="H51" s="7534"/>
      <c r="I51" s="7521">
        <v>2.0833333333333333E-3</v>
      </c>
      <c r="J51" s="7521">
        <v>0</v>
      </c>
      <c r="K51" s="7534" t="s">
        <v>1476</v>
      </c>
      <c r="L51" s="7521">
        <f t="shared" ref="L51:L57" si="40">L50+N50</f>
        <v>0.81763888888888903</v>
      </c>
      <c r="M51" s="7534">
        <v>1.1000000000000001</v>
      </c>
      <c r="N51" s="7521">
        <v>9.5138888888888894E-3</v>
      </c>
      <c r="O51" s="7521">
        <v>4.0624999999999993E-3</v>
      </c>
      <c r="P51" s="7521">
        <v>4.0624999999999993E-3</v>
      </c>
      <c r="Q51" s="7647">
        <v>146</v>
      </c>
      <c r="R51" s="6386">
        <f t="shared" si="39"/>
        <v>600</v>
      </c>
      <c r="S51" s="2844">
        <f t="shared" si="5"/>
        <v>0.6</v>
      </c>
      <c r="T51" s="2845">
        <f t="shared" si="6"/>
        <v>3.2499999999999994E-2</v>
      </c>
      <c r="U51" s="374">
        <f t="shared" si="7"/>
        <v>0</v>
      </c>
      <c r="V51" s="2846">
        <f t="shared" si="8"/>
        <v>0.6</v>
      </c>
      <c r="W51" s="2847">
        <f t="shared" si="9"/>
        <v>0</v>
      </c>
      <c r="X51" s="2848">
        <f t="shared" si="10"/>
        <v>0</v>
      </c>
      <c r="Y51" s="2849">
        <f t="shared" si="11"/>
        <v>0</v>
      </c>
      <c r="Z51" s="2850">
        <f t="shared" si="12"/>
        <v>0</v>
      </c>
      <c r="AA51" s="2851">
        <f t="shared" si="13"/>
        <v>0</v>
      </c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  <c r="AN51" s="1"/>
    </row>
    <row r="52" spans="1:40" ht="14" customHeight="1">
      <c r="A52" s="2889" t="s">
        <v>218</v>
      </c>
      <c r="B52" s="7533">
        <v>6</v>
      </c>
      <c r="C52" s="7480">
        <f t="shared" si="14"/>
        <v>1.7120949074074073E-4</v>
      </c>
      <c r="D52" s="7531">
        <v>7</v>
      </c>
      <c r="E52" s="7554">
        <v>2</v>
      </c>
      <c r="F52" s="7554">
        <v>4</v>
      </c>
      <c r="G52" s="7554">
        <v>15</v>
      </c>
      <c r="H52" s="7554"/>
      <c r="I52" s="7644">
        <v>4.6296296296296293E-4</v>
      </c>
      <c r="J52" s="7644">
        <v>5.5555555555555558E-3</v>
      </c>
      <c r="K52" s="7532" t="s">
        <v>312</v>
      </c>
      <c r="L52" s="7644">
        <f t="shared" si="40"/>
        <v>0.82715277777777796</v>
      </c>
      <c r="M52" s="7532">
        <v>1.1000000000000001</v>
      </c>
      <c r="N52" s="7644">
        <v>9.5138888888888894E-3</v>
      </c>
      <c r="O52" s="7644">
        <v>4.0624999999999993E-3</v>
      </c>
      <c r="P52" s="7644">
        <v>4.0624999999999993E-3</v>
      </c>
      <c r="Q52" s="7645">
        <v>146</v>
      </c>
      <c r="R52" s="7646">
        <f t="shared" si="39"/>
        <v>120</v>
      </c>
      <c r="S52" s="2844">
        <f t="shared" si="5"/>
        <v>0.12</v>
      </c>
      <c r="T52" s="2845">
        <f t="shared" si="6"/>
        <v>0.12999999999999998</v>
      </c>
      <c r="U52" s="374">
        <f t="shared" si="7"/>
        <v>0</v>
      </c>
      <c r="V52" s="2846">
        <f t="shared" si="8"/>
        <v>0</v>
      </c>
      <c r="W52" s="2847">
        <f t="shared" si="9"/>
        <v>0</v>
      </c>
      <c r="X52" s="2848">
        <f t="shared" si="10"/>
        <v>0</v>
      </c>
      <c r="Y52" s="2849">
        <f t="shared" si="11"/>
        <v>0</v>
      </c>
      <c r="Z52" s="2850">
        <f t="shared" si="12"/>
        <v>0</v>
      </c>
      <c r="AA52" s="2851">
        <f t="shared" si="13"/>
        <v>0.12</v>
      </c>
      <c r="AB52" s="3156"/>
      <c r="AC52" s="2867">
        <v>0</v>
      </c>
      <c r="AD52" s="2867">
        <v>0</v>
      </c>
      <c r="AE52" s="2838"/>
      <c r="AF52" s="2838"/>
      <c r="AG52" s="2838"/>
      <c r="AH52" s="2838"/>
      <c r="AI52" s="2838"/>
      <c r="AN52" s="1"/>
    </row>
    <row r="53" spans="1:40" s="2914" customFormat="1" ht="14" customHeight="1">
      <c r="A53" s="2889" t="s">
        <v>458</v>
      </c>
      <c r="B53" s="2896" t="s">
        <v>461</v>
      </c>
      <c r="C53" s="7480">
        <f t="shared" si="14"/>
        <v>0</v>
      </c>
      <c r="D53" s="2925"/>
      <c r="E53" s="7648"/>
      <c r="F53" s="7648"/>
      <c r="G53" s="7648"/>
      <c r="H53" s="7648"/>
      <c r="I53" s="7644"/>
      <c r="J53" s="7649"/>
      <c r="K53" s="2929" t="s">
        <v>265</v>
      </c>
      <c r="L53" s="7650">
        <f t="shared" si="40"/>
        <v>0.83666666666666689</v>
      </c>
      <c r="M53" s="2929">
        <v>1.1000000000000001</v>
      </c>
      <c r="N53" s="7650">
        <v>9.5138888888888894E-3</v>
      </c>
      <c r="O53" s="7651">
        <v>4.0624999999999993E-3</v>
      </c>
      <c r="P53" s="7644">
        <v>4.0624999999999993E-3</v>
      </c>
      <c r="Q53" s="2929">
        <v>146</v>
      </c>
      <c r="R53" s="7652">
        <f t="shared" si="39"/>
        <v>0</v>
      </c>
      <c r="S53" s="2844">
        <f t="shared" si="5"/>
        <v>0</v>
      </c>
      <c r="T53" s="2845">
        <f t="shared" si="6"/>
        <v>0</v>
      </c>
      <c r="U53" s="374">
        <f t="shared" si="7"/>
        <v>0</v>
      </c>
      <c r="V53" s="2846">
        <f t="shared" si="8"/>
        <v>0</v>
      </c>
      <c r="W53" s="2847">
        <f t="shared" si="9"/>
        <v>0</v>
      </c>
      <c r="X53" s="2848">
        <f t="shared" si="10"/>
        <v>0</v>
      </c>
      <c r="Y53" s="2849">
        <f t="shared" si="11"/>
        <v>0</v>
      </c>
      <c r="Z53" s="2850">
        <f t="shared" si="12"/>
        <v>0</v>
      </c>
      <c r="AA53" s="2851">
        <f t="shared" si="13"/>
        <v>0</v>
      </c>
      <c r="AB53" s="3156"/>
      <c r="AC53" s="2826"/>
      <c r="AD53" s="2826"/>
      <c r="AE53" s="2838"/>
      <c r="AF53" s="2838"/>
      <c r="AG53" s="2838"/>
      <c r="AH53" s="2838"/>
      <c r="AI53" s="2838"/>
      <c r="AJ53" s="2826"/>
      <c r="AK53" s="2826"/>
      <c r="AL53" s="2826"/>
      <c r="AM53" s="2826"/>
      <c r="AN53" s="2913"/>
    </row>
    <row r="54" spans="1:40" s="2914" customFormat="1">
      <c r="A54" s="2889" t="s">
        <v>219</v>
      </c>
      <c r="B54" s="2896" t="s">
        <v>461</v>
      </c>
      <c r="C54" s="7480">
        <f t="shared" si="14"/>
        <v>1.7120949074074073E-4</v>
      </c>
      <c r="D54" s="7535">
        <v>7</v>
      </c>
      <c r="E54" s="7653">
        <v>1</v>
      </c>
      <c r="F54" s="7653">
        <v>6</v>
      </c>
      <c r="G54" s="7653">
        <v>20</v>
      </c>
      <c r="H54" s="7653"/>
      <c r="I54" s="7654">
        <v>1.1574074074074073E-4</v>
      </c>
      <c r="J54" s="7654">
        <v>1.3888888888888889E-3</v>
      </c>
      <c r="K54" s="7536" t="s">
        <v>413</v>
      </c>
      <c r="L54" s="7654">
        <f t="shared" si="40"/>
        <v>0.84618055555555582</v>
      </c>
      <c r="M54" s="7536">
        <v>1.1000000000000001</v>
      </c>
      <c r="N54" s="7654">
        <v>9.5138888888888894E-3</v>
      </c>
      <c r="O54" s="7654">
        <v>4.0624999999999993E-3</v>
      </c>
      <c r="P54" s="7644">
        <v>4.0624999999999993E-3</v>
      </c>
      <c r="Q54" s="7656">
        <v>146</v>
      </c>
      <c r="R54" s="7657">
        <f t="shared" si="39"/>
        <v>120</v>
      </c>
      <c r="S54" s="2844">
        <f t="shared" si="5"/>
        <v>0.12</v>
      </c>
      <c r="T54" s="2845">
        <f t="shared" si="6"/>
        <v>9.7499999999999976E-2</v>
      </c>
      <c r="U54" s="374">
        <f t="shared" si="7"/>
        <v>0</v>
      </c>
      <c r="V54" s="2846">
        <f t="shared" si="8"/>
        <v>0</v>
      </c>
      <c r="W54" s="2847">
        <f t="shared" si="9"/>
        <v>0</v>
      </c>
      <c r="X54" s="2848">
        <f t="shared" si="10"/>
        <v>0</v>
      </c>
      <c r="Y54" s="2849">
        <f t="shared" si="11"/>
        <v>0</v>
      </c>
      <c r="Z54" s="2850">
        <f t="shared" si="12"/>
        <v>0</v>
      </c>
      <c r="AA54" s="2851">
        <f t="shared" si="13"/>
        <v>0.12</v>
      </c>
      <c r="AB54" s="3156"/>
      <c r="AC54" s="2826"/>
      <c r="AD54" s="2826"/>
      <c r="AE54" s="2838"/>
      <c r="AF54" s="2838"/>
      <c r="AG54" s="2838"/>
      <c r="AH54" s="2838"/>
      <c r="AI54" s="2838"/>
      <c r="AJ54" s="2826"/>
      <c r="AK54" s="2826"/>
      <c r="AL54" s="2826"/>
      <c r="AM54" s="2826"/>
      <c r="AN54" s="2913"/>
    </row>
    <row r="55" spans="1:40" s="2914" customFormat="1">
      <c r="A55" s="2889"/>
      <c r="B55" s="2896" t="s">
        <v>461</v>
      </c>
      <c r="C55" s="7480">
        <f t="shared" si="14"/>
        <v>1.7120949074074073E-4</v>
      </c>
      <c r="D55" s="7537">
        <v>7</v>
      </c>
      <c r="E55" s="7538">
        <v>1</v>
      </c>
      <c r="F55" s="7538">
        <v>2</v>
      </c>
      <c r="G55" s="7538">
        <v>50</v>
      </c>
      <c r="H55" s="7538"/>
      <c r="I55" s="7658">
        <v>3.4722222222222224E-4</v>
      </c>
      <c r="J55" s="7659">
        <v>1.3888888888888889E-3</v>
      </c>
      <c r="K55" s="7538" t="s">
        <v>688</v>
      </c>
      <c r="L55" s="7659">
        <f t="shared" si="40"/>
        <v>0.85569444444444476</v>
      </c>
      <c r="M55" s="7564">
        <v>1</v>
      </c>
      <c r="N55" s="7659">
        <v>9.5138888888888894E-3</v>
      </c>
      <c r="O55" s="7659">
        <v>4.0624999999999993E-3</v>
      </c>
      <c r="P55" s="7659">
        <v>4.0624999999999993E-3</v>
      </c>
      <c r="Q55" s="7660">
        <v>146</v>
      </c>
      <c r="R55" s="7661">
        <f t="shared" si="39"/>
        <v>100</v>
      </c>
      <c r="S55" s="2844">
        <f t="shared" si="5"/>
        <v>0.1</v>
      </c>
      <c r="T55" s="2845">
        <f t="shared" si="6"/>
        <v>3.2499999999999994E-2</v>
      </c>
      <c r="U55" s="374">
        <f t="shared" si="7"/>
        <v>0</v>
      </c>
      <c r="V55" s="2846">
        <f t="shared" si="8"/>
        <v>0</v>
      </c>
      <c r="W55" s="2847">
        <f t="shared" si="9"/>
        <v>0</v>
      </c>
      <c r="X55" s="2848">
        <f t="shared" si="10"/>
        <v>0</v>
      </c>
      <c r="Y55" s="2849">
        <f t="shared" si="11"/>
        <v>0</v>
      </c>
      <c r="Z55" s="2850">
        <f t="shared" si="12"/>
        <v>0</v>
      </c>
      <c r="AA55" s="2851">
        <f t="shared" si="13"/>
        <v>0.1</v>
      </c>
      <c r="AB55" s="3156"/>
      <c r="AC55" s="2826"/>
      <c r="AD55" s="2826"/>
      <c r="AE55" s="2838"/>
      <c r="AF55" s="2838"/>
      <c r="AG55" s="2838"/>
      <c r="AH55" s="2838"/>
      <c r="AI55" s="2838"/>
      <c r="AJ55" s="2826"/>
      <c r="AK55" s="2826"/>
      <c r="AL55" s="2826"/>
      <c r="AM55" s="2826"/>
      <c r="AN55" s="2913"/>
    </row>
    <row r="56" spans="1:40" s="2914" customFormat="1">
      <c r="A56" s="2889"/>
      <c r="B56" s="2896" t="s">
        <v>461</v>
      </c>
      <c r="C56" s="7480">
        <f t="shared" si="14"/>
        <v>2.2154584560078511E-4</v>
      </c>
      <c r="D56" s="7529">
        <v>1</v>
      </c>
      <c r="E56" s="7539">
        <v>1</v>
      </c>
      <c r="F56" s="7539">
        <v>1</v>
      </c>
      <c r="G56" s="7539">
        <v>200</v>
      </c>
      <c r="H56" s="7539"/>
      <c r="I56" s="7480">
        <v>3.4722222222222224E-4</v>
      </c>
      <c r="J56" s="7662">
        <v>1.3888888888888889E-3</v>
      </c>
      <c r="K56" s="7539" t="s">
        <v>560</v>
      </c>
      <c r="L56" s="7662">
        <f t="shared" si="40"/>
        <v>0.86520833333333369</v>
      </c>
      <c r="M56" s="7539">
        <v>1.1000000000000001</v>
      </c>
      <c r="N56" s="7662">
        <v>9.5138888888888894E-3</v>
      </c>
      <c r="O56" s="7662">
        <v>4.0624999999999993E-3</v>
      </c>
      <c r="P56" s="7663">
        <v>4.0624999999999993E-3</v>
      </c>
      <c r="Q56" s="7663">
        <v>146</v>
      </c>
      <c r="R56" s="7635">
        <f t="shared" si="39"/>
        <v>200</v>
      </c>
      <c r="S56" s="2844">
        <f t="shared" si="5"/>
        <v>0.2</v>
      </c>
      <c r="T56" s="2845">
        <f t="shared" si="6"/>
        <v>1.6249999999999997E-2</v>
      </c>
      <c r="U56" s="374">
        <f t="shared" si="7"/>
        <v>0.2</v>
      </c>
      <c r="V56" s="2846">
        <f t="shared" si="8"/>
        <v>0</v>
      </c>
      <c r="W56" s="2847">
        <f t="shared" si="9"/>
        <v>0</v>
      </c>
      <c r="X56" s="2848">
        <f t="shared" si="10"/>
        <v>0</v>
      </c>
      <c r="Y56" s="2849">
        <f t="shared" si="11"/>
        <v>0</v>
      </c>
      <c r="Z56" s="2850">
        <f t="shared" si="12"/>
        <v>0</v>
      </c>
      <c r="AA56" s="2851">
        <f t="shared" si="13"/>
        <v>0</v>
      </c>
      <c r="AB56" s="3156"/>
      <c r="AC56" s="2826"/>
      <c r="AD56" s="2826"/>
      <c r="AE56" s="2838"/>
      <c r="AF56" s="2838"/>
      <c r="AG56" s="2838"/>
      <c r="AH56" s="2838"/>
      <c r="AI56" s="2838"/>
      <c r="AJ56" s="2826"/>
      <c r="AK56" s="2826"/>
      <c r="AL56" s="2826"/>
      <c r="AM56" s="2826"/>
      <c r="AN56" s="2913"/>
    </row>
    <row r="57" spans="1:40" s="2914" customFormat="1" ht="14" thickBot="1">
      <c r="A57" s="2956"/>
      <c r="B57" s="2957"/>
      <c r="C57" s="7480">
        <f t="shared" si="14"/>
        <v>0</v>
      </c>
      <c r="D57" s="2891"/>
      <c r="E57" s="7664"/>
      <c r="F57" s="2959"/>
      <c r="G57" s="2959"/>
      <c r="H57" s="2959"/>
      <c r="I57" s="2959"/>
      <c r="J57" s="2959"/>
      <c r="K57" s="2959"/>
      <c r="L57" s="7665">
        <f t="shared" si="40"/>
        <v>0.87472222222222262</v>
      </c>
      <c r="M57" s="2959">
        <v>1</v>
      </c>
      <c r="N57" s="7665"/>
      <c r="O57" s="7666">
        <f t="shared" ref="O57:O69" si="41">C57*(G57/25)</f>
        <v>0</v>
      </c>
      <c r="P57" s="2959">
        <f>O57*M57</f>
        <v>0</v>
      </c>
      <c r="Q57" s="7667">
        <v>129</v>
      </c>
      <c r="R57" s="7668">
        <f>SUM(R54:R56)</f>
        <v>420</v>
      </c>
      <c r="S57" s="2844">
        <f t="shared" si="5"/>
        <v>0</v>
      </c>
      <c r="T57" s="2845">
        <f t="shared" si="6"/>
        <v>0</v>
      </c>
      <c r="U57" s="374">
        <f t="shared" si="7"/>
        <v>0</v>
      </c>
      <c r="V57" s="2846">
        <f t="shared" si="8"/>
        <v>0</v>
      </c>
      <c r="W57" s="2847">
        <f t="shared" si="9"/>
        <v>0</v>
      </c>
      <c r="X57" s="2848">
        <f t="shared" si="10"/>
        <v>0</v>
      </c>
      <c r="Y57" s="2849">
        <f t="shared" si="11"/>
        <v>0</v>
      </c>
      <c r="Z57" s="2850">
        <f t="shared" si="12"/>
        <v>0</v>
      </c>
      <c r="AA57" s="2851">
        <f t="shared" si="13"/>
        <v>0</v>
      </c>
      <c r="AB57" s="3156"/>
      <c r="AC57" s="2826"/>
      <c r="AD57" s="2826"/>
      <c r="AE57" s="2838"/>
      <c r="AF57" s="2838"/>
      <c r="AG57" s="2838"/>
      <c r="AH57" s="2838"/>
      <c r="AI57" s="2838"/>
      <c r="AJ57" s="2826"/>
      <c r="AK57" s="2826"/>
      <c r="AL57" s="2826"/>
      <c r="AM57" s="2826"/>
      <c r="AN57" s="2913"/>
    </row>
    <row r="58" spans="1:40" s="2914" customFormat="1" ht="14" thickBot="1">
      <c r="A58" s="7540" t="s">
        <v>218</v>
      </c>
      <c r="B58" s="7541" t="s">
        <v>215</v>
      </c>
      <c r="C58" s="7480">
        <f t="shared" si="14"/>
        <v>0</v>
      </c>
      <c r="D58" s="7542"/>
      <c r="E58" s="7669"/>
      <c r="F58" s="7669"/>
      <c r="G58" s="7670"/>
      <c r="H58" s="7670"/>
      <c r="I58" s="7671"/>
      <c r="J58" s="7543"/>
      <c r="K58" s="7672" t="s">
        <v>1477</v>
      </c>
      <c r="L58" s="7672"/>
      <c r="M58" s="7672"/>
      <c r="N58" s="7673"/>
      <c r="O58" s="7673">
        <f t="shared" si="41"/>
        <v>0</v>
      </c>
      <c r="P58" s="7670"/>
      <c r="Q58" s="7674"/>
      <c r="R58" s="7675"/>
      <c r="S58" s="2844">
        <f t="shared" si="5"/>
        <v>0</v>
      </c>
      <c r="T58" s="2845">
        <f t="shared" si="6"/>
        <v>0</v>
      </c>
      <c r="U58" s="374">
        <f t="shared" si="7"/>
        <v>0</v>
      </c>
      <c r="V58" s="2846">
        <f t="shared" si="8"/>
        <v>0</v>
      </c>
      <c r="W58" s="2847">
        <f t="shared" si="9"/>
        <v>0</v>
      </c>
      <c r="X58" s="2848">
        <f t="shared" si="10"/>
        <v>0</v>
      </c>
      <c r="Y58" s="2849">
        <f t="shared" si="11"/>
        <v>0</v>
      </c>
      <c r="Z58" s="2850">
        <f t="shared" si="12"/>
        <v>0</v>
      </c>
      <c r="AA58" s="2851">
        <f t="shared" si="13"/>
        <v>0</v>
      </c>
      <c r="AB58" s="3156"/>
      <c r="AC58" s="2826"/>
      <c r="AD58" s="2826"/>
      <c r="AE58" s="2838"/>
      <c r="AF58" s="2838"/>
      <c r="AG58" s="2838"/>
      <c r="AH58" s="2838"/>
      <c r="AI58" s="2838"/>
      <c r="AJ58" s="2826"/>
      <c r="AK58" s="2826"/>
      <c r="AL58" s="2826"/>
      <c r="AM58" s="2826"/>
      <c r="AN58" s="2913"/>
    </row>
    <row r="59" spans="1:40" s="2914" customFormat="1">
      <c r="A59" s="2972" t="s">
        <v>139</v>
      </c>
      <c r="B59" s="7541" t="s">
        <v>461</v>
      </c>
      <c r="C59" s="7480">
        <f t="shared" si="14"/>
        <v>2.2154584560078511E-4</v>
      </c>
      <c r="D59" s="7544">
        <v>1</v>
      </c>
      <c r="E59" s="7539">
        <v>1</v>
      </c>
      <c r="F59" s="7539">
        <v>1</v>
      </c>
      <c r="G59" s="7539">
        <v>400</v>
      </c>
      <c r="H59" s="7539"/>
      <c r="I59" s="7662">
        <v>0</v>
      </c>
      <c r="J59" s="7662">
        <v>1.3888888888888889E-3</v>
      </c>
      <c r="K59" s="7539" t="s">
        <v>149</v>
      </c>
      <c r="L59" s="4903">
        <v>0.34027777777777773</v>
      </c>
      <c r="M59" s="7539">
        <v>1</v>
      </c>
      <c r="N59" s="7676">
        <f t="shared" ref="N59:N65" si="42">P59*E59*F59+I59*E59*F59+J59*E59</f>
        <v>4.9336224185014509E-3</v>
      </c>
      <c r="O59" s="7676">
        <f t="shared" si="41"/>
        <v>3.5447335296125617E-3</v>
      </c>
      <c r="P59" s="7676">
        <f t="shared" ref="P59:P65" si="43">O59*M59</f>
        <v>3.5447335296125617E-3</v>
      </c>
      <c r="Q59" s="7663">
        <v>129</v>
      </c>
      <c r="R59" s="7677">
        <f t="shared" ref="R59:R65" si="44">E59*F59*G59</f>
        <v>400</v>
      </c>
      <c r="S59" s="2844">
        <f t="shared" si="5"/>
        <v>0.4</v>
      </c>
      <c r="T59" s="2845">
        <f t="shared" si="6"/>
        <v>1.4178934118450247E-2</v>
      </c>
      <c r="U59" s="374">
        <f t="shared" si="7"/>
        <v>0.4</v>
      </c>
      <c r="V59" s="2846">
        <f t="shared" si="8"/>
        <v>0</v>
      </c>
      <c r="W59" s="2847">
        <f t="shared" si="9"/>
        <v>0</v>
      </c>
      <c r="X59" s="2848">
        <f t="shared" si="10"/>
        <v>0</v>
      </c>
      <c r="Y59" s="2849">
        <f t="shared" si="11"/>
        <v>0</v>
      </c>
      <c r="Z59" s="2850">
        <f t="shared" si="12"/>
        <v>0</v>
      </c>
      <c r="AA59" s="2851">
        <f t="shared" si="13"/>
        <v>0</v>
      </c>
      <c r="AB59" s="3156"/>
      <c r="AC59" s="2826"/>
      <c r="AD59" s="2826"/>
      <c r="AE59" s="2838"/>
      <c r="AF59" s="2838"/>
      <c r="AG59" s="2838"/>
      <c r="AH59" s="2838"/>
      <c r="AI59" s="2838"/>
      <c r="AJ59" s="2826"/>
      <c r="AK59" s="2826"/>
      <c r="AL59" s="2826"/>
      <c r="AM59" s="2826"/>
      <c r="AN59" s="2913"/>
    </row>
    <row r="60" spans="1:40" s="2914" customFormat="1">
      <c r="A60" s="2973" t="s">
        <v>458</v>
      </c>
      <c r="B60" s="7533">
        <v>0</v>
      </c>
      <c r="C60" s="7480">
        <f t="shared" si="14"/>
        <v>2.0548470456558689E-4</v>
      </c>
      <c r="D60" s="7545">
        <v>3</v>
      </c>
      <c r="E60" s="7552">
        <v>1</v>
      </c>
      <c r="F60" s="7552">
        <v>6</v>
      </c>
      <c r="G60" s="7552">
        <v>50</v>
      </c>
      <c r="H60" s="7552"/>
      <c r="I60" s="7678">
        <v>3.4722222222222224E-4</v>
      </c>
      <c r="J60" s="7678">
        <v>1.3888888888888889E-3</v>
      </c>
      <c r="K60" s="7546" t="s">
        <v>150</v>
      </c>
      <c r="L60" s="7678">
        <f t="shared" ref="L60:L77" si="45">L59+N59</f>
        <v>0.34521140019627916</v>
      </c>
      <c r="M60" s="7679">
        <v>1</v>
      </c>
      <c r="N60" s="7678">
        <f t="shared" si="42"/>
        <v>5.9380386770092651E-3</v>
      </c>
      <c r="O60" s="7678">
        <f t="shared" si="41"/>
        <v>4.1096940913117378E-4</v>
      </c>
      <c r="P60" s="7678">
        <f t="shared" si="43"/>
        <v>4.1096940913117378E-4</v>
      </c>
      <c r="Q60" s="7680">
        <v>129</v>
      </c>
      <c r="R60" s="7681">
        <f t="shared" si="44"/>
        <v>300</v>
      </c>
      <c r="S60" s="2844">
        <f t="shared" si="5"/>
        <v>0.3</v>
      </c>
      <c r="T60" s="2845">
        <f t="shared" si="6"/>
        <v>9.8632658191481707E-3</v>
      </c>
      <c r="U60" s="374">
        <f t="shared" si="7"/>
        <v>0</v>
      </c>
      <c r="V60" s="2846">
        <f t="shared" si="8"/>
        <v>0</v>
      </c>
      <c r="W60" s="2847">
        <f t="shared" si="9"/>
        <v>0.3</v>
      </c>
      <c r="X60" s="2848">
        <f t="shared" si="10"/>
        <v>0</v>
      </c>
      <c r="Y60" s="2849">
        <f t="shared" si="11"/>
        <v>0</v>
      </c>
      <c r="Z60" s="2850">
        <f t="shared" si="12"/>
        <v>0</v>
      </c>
      <c r="AA60" s="2851">
        <f t="shared" si="13"/>
        <v>0</v>
      </c>
      <c r="AB60" s="3156"/>
      <c r="AC60" s="2826"/>
      <c r="AD60" s="2826"/>
      <c r="AE60" s="2838"/>
      <c r="AF60" s="2838"/>
      <c r="AG60" s="2838"/>
      <c r="AH60" s="2838"/>
      <c r="AI60" s="2838"/>
      <c r="AJ60" s="2826"/>
      <c r="AK60" s="2826"/>
      <c r="AL60" s="2826"/>
      <c r="AM60" s="2826"/>
      <c r="AN60" s="2913"/>
    </row>
    <row r="61" spans="1:40" s="2914" customFormat="1" ht="14" thickBot="1">
      <c r="A61" s="2973" t="s">
        <v>462</v>
      </c>
      <c r="B61" s="7533">
        <v>5</v>
      </c>
      <c r="C61" s="7480">
        <f t="shared" si="14"/>
        <v>2.0548470456558689E-4</v>
      </c>
      <c r="D61" s="7544">
        <v>3</v>
      </c>
      <c r="E61" s="7682">
        <v>1</v>
      </c>
      <c r="F61" s="7682">
        <v>6</v>
      </c>
      <c r="G61" s="7682">
        <v>150</v>
      </c>
      <c r="H61" s="7682"/>
      <c r="I61" s="7676">
        <v>1.3888888888888889E-3</v>
      </c>
      <c r="J61" s="7676">
        <v>1.3888888888888889E-3</v>
      </c>
      <c r="K61" s="7547" t="s">
        <v>689</v>
      </c>
      <c r="L61" s="7676">
        <f t="shared" si="45"/>
        <v>0.35114943887328842</v>
      </c>
      <c r="M61" s="7547">
        <v>1</v>
      </c>
      <c r="N61" s="7676">
        <f t="shared" si="42"/>
        <v>1.7119671586583351E-2</v>
      </c>
      <c r="O61" s="7676">
        <f t="shared" si="41"/>
        <v>1.2329082273935213E-3</v>
      </c>
      <c r="P61" s="7676">
        <f t="shared" si="43"/>
        <v>1.2329082273935213E-3</v>
      </c>
      <c r="Q61" s="7680">
        <v>129</v>
      </c>
      <c r="R61" s="7677">
        <f t="shared" si="44"/>
        <v>900</v>
      </c>
      <c r="S61" s="2844">
        <f t="shared" si="5"/>
        <v>0.9</v>
      </c>
      <c r="T61" s="2845">
        <f t="shared" si="6"/>
        <v>2.9589797457444514E-2</v>
      </c>
      <c r="U61" s="374">
        <f t="shared" si="7"/>
        <v>0</v>
      </c>
      <c r="V61" s="2846">
        <f t="shared" si="8"/>
        <v>0</v>
      </c>
      <c r="W61" s="2847">
        <f t="shared" si="9"/>
        <v>0.9</v>
      </c>
      <c r="X61" s="2848">
        <f t="shared" si="10"/>
        <v>0</v>
      </c>
      <c r="Y61" s="2849">
        <f t="shared" si="11"/>
        <v>0</v>
      </c>
      <c r="Z61" s="2850">
        <f t="shared" si="12"/>
        <v>0</v>
      </c>
      <c r="AA61" s="2851">
        <f t="shared" si="13"/>
        <v>0</v>
      </c>
      <c r="AB61" s="3156"/>
      <c r="AC61" s="2826"/>
      <c r="AD61" s="2826"/>
      <c r="AE61" s="2838"/>
      <c r="AF61" s="2838"/>
      <c r="AG61" s="2838"/>
      <c r="AH61" s="2838"/>
      <c r="AI61" s="2838"/>
      <c r="AJ61" s="2826"/>
      <c r="AK61" s="2826"/>
      <c r="AL61" s="2826"/>
      <c r="AM61" s="2826"/>
      <c r="AN61" s="2913"/>
    </row>
    <row r="62" spans="1:40" s="2914" customFormat="1" ht="26" thickBot="1">
      <c r="A62" s="2973" t="s">
        <v>460</v>
      </c>
      <c r="B62" s="7541" t="s">
        <v>461</v>
      </c>
      <c r="C62" s="7480">
        <f t="shared" si="14"/>
        <v>1.7650462962962962E-4</v>
      </c>
      <c r="D62" s="7548">
        <v>6</v>
      </c>
      <c r="E62" s="7683">
        <v>1</v>
      </c>
      <c r="F62" s="7683">
        <v>6</v>
      </c>
      <c r="G62" s="7683">
        <v>100</v>
      </c>
      <c r="H62" s="7683"/>
      <c r="I62" s="7684">
        <v>2.3148148148148146E-4</v>
      </c>
      <c r="J62" s="7684">
        <v>2.7777777777777779E-3</v>
      </c>
      <c r="K62" s="7685" t="s">
        <v>1478</v>
      </c>
      <c r="L62" s="7684">
        <f t="shared" si="45"/>
        <v>0.36826911045987176</v>
      </c>
      <c r="M62" s="7686">
        <v>1</v>
      </c>
      <c r="N62" s="7684">
        <f t="shared" si="42"/>
        <v>8.4027777777777781E-3</v>
      </c>
      <c r="O62" s="7684">
        <f t="shared" si="41"/>
        <v>7.0601851851851847E-4</v>
      </c>
      <c r="P62" s="7684">
        <f t="shared" si="43"/>
        <v>7.0601851851851847E-4</v>
      </c>
      <c r="Q62" s="7687">
        <v>175</v>
      </c>
      <c r="R62" s="7688">
        <f t="shared" si="44"/>
        <v>600</v>
      </c>
      <c r="S62" s="2844">
        <f t="shared" si="5"/>
        <v>0.6</v>
      </c>
      <c r="T62" s="2845">
        <f t="shared" si="6"/>
        <v>1.6944444444444443E-2</v>
      </c>
      <c r="U62" s="374">
        <f t="shared" si="7"/>
        <v>0</v>
      </c>
      <c r="V62" s="2846">
        <f t="shared" si="8"/>
        <v>0</v>
      </c>
      <c r="W62" s="2847">
        <f t="shared" si="9"/>
        <v>0</v>
      </c>
      <c r="X62" s="2848">
        <f t="shared" si="10"/>
        <v>0</v>
      </c>
      <c r="Y62" s="2849">
        <f t="shared" si="11"/>
        <v>0</v>
      </c>
      <c r="Z62" s="2850">
        <f t="shared" si="12"/>
        <v>0.6</v>
      </c>
      <c r="AA62" s="2851">
        <f t="shared" si="13"/>
        <v>0</v>
      </c>
      <c r="AB62" s="3156"/>
      <c r="AC62" s="2826"/>
      <c r="AD62" s="2826"/>
      <c r="AE62" s="2838"/>
      <c r="AF62" s="2838"/>
      <c r="AG62" s="2838"/>
      <c r="AH62" s="2838"/>
      <c r="AI62" s="2838"/>
      <c r="AJ62" s="2826"/>
      <c r="AK62" s="2826"/>
      <c r="AL62" s="2826"/>
      <c r="AM62" s="2826"/>
      <c r="AN62" s="2913"/>
    </row>
    <row r="63" spans="1:40" s="2914" customFormat="1" ht="14" thickBot="1">
      <c r="A63" s="2973" t="s">
        <v>458</v>
      </c>
      <c r="B63" s="7541" t="s">
        <v>461</v>
      </c>
      <c r="C63" s="7480">
        <f t="shared" si="14"/>
        <v>1.7120949074074073E-4</v>
      </c>
      <c r="D63" s="7535">
        <v>7</v>
      </c>
      <c r="E63" s="7653">
        <v>1</v>
      </c>
      <c r="F63" s="7653">
        <v>15</v>
      </c>
      <c r="G63" s="7653">
        <v>35</v>
      </c>
      <c r="H63" s="7653"/>
      <c r="I63" s="7654">
        <v>1.1574074074074073E-4</v>
      </c>
      <c r="J63" s="7654">
        <v>1.3888888888888889E-3</v>
      </c>
      <c r="K63" s="7536" t="s">
        <v>413</v>
      </c>
      <c r="L63" s="7654">
        <f t="shared" si="45"/>
        <v>0.37667188823764952</v>
      </c>
      <c r="M63" s="7536">
        <v>1</v>
      </c>
      <c r="N63" s="7654">
        <f t="shared" si="42"/>
        <v>6.720399305555555E-3</v>
      </c>
      <c r="O63" s="7654">
        <f t="shared" si="41"/>
        <v>2.3969328703703701E-4</v>
      </c>
      <c r="P63" s="7654">
        <f t="shared" si="43"/>
        <v>2.3969328703703701E-4</v>
      </c>
      <c r="Q63" s="7656">
        <v>140</v>
      </c>
      <c r="R63" s="7657">
        <f t="shared" si="44"/>
        <v>525</v>
      </c>
      <c r="S63" s="2844">
        <f t="shared" si="5"/>
        <v>0.52500000000000002</v>
      </c>
      <c r="T63" s="2845">
        <f t="shared" si="6"/>
        <v>1.4381597222222221E-2</v>
      </c>
      <c r="U63" s="374">
        <f t="shared" si="7"/>
        <v>0</v>
      </c>
      <c r="V63" s="2846">
        <f t="shared" si="8"/>
        <v>0</v>
      </c>
      <c r="W63" s="2847">
        <f t="shared" si="9"/>
        <v>0</v>
      </c>
      <c r="X63" s="2848">
        <f t="shared" si="10"/>
        <v>0</v>
      </c>
      <c r="Y63" s="2849">
        <f t="shared" si="11"/>
        <v>0</v>
      </c>
      <c r="Z63" s="2850">
        <f t="shared" si="12"/>
        <v>0</v>
      </c>
      <c r="AA63" s="2851">
        <f t="shared" si="13"/>
        <v>0.52500000000000002</v>
      </c>
      <c r="AB63" s="3156"/>
      <c r="AC63" s="2826"/>
      <c r="AD63" s="2826"/>
      <c r="AE63" s="2838"/>
      <c r="AF63" s="2838"/>
      <c r="AG63" s="2838"/>
      <c r="AH63" s="2838"/>
      <c r="AI63" s="2838"/>
      <c r="AJ63" s="2826"/>
      <c r="AK63" s="2826"/>
      <c r="AL63" s="2826"/>
      <c r="AM63" s="2826"/>
      <c r="AN63" s="2913"/>
    </row>
    <row r="64" spans="1:40" s="2914" customFormat="1" ht="23" customHeight="1" thickBot="1">
      <c r="A64" s="2973" t="s">
        <v>219</v>
      </c>
      <c r="B64" s="7541" t="s">
        <v>461</v>
      </c>
      <c r="C64" s="7480">
        <f t="shared" si="14"/>
        <v>1.9604881489123236E-4</v>
      </c>
      <c r="D64" s="7549">
        <v>4</v>
      </c>
      <c r="E64" s="7689">
        <v>4</v>
      </c>
      <c r="F64" s="7689">
        <v>6</v>
      </c>
      <c r="G64" s="7689">
        <v>25</v>
      </c>
      <c r="H64" s="7689"/>
      <c r="I64" s="7690">
        <v>2.3148148148148146E-4</v>
      </c>
      <c r="J64" s="7690">
        <v>1.3888888888888889E-3</v>
      </c>
      <c r="K64" s="7740" t="s">
        <v>1479</v>
      </c>
      <c r="L64" s="7690">
        <f t="shared" si="45"/>
        <v>0.38339228754320509</v>
      </c>
      <c r="M64" s="7691">
        <v>1</v>
      </c>
      <c r="N64" s="7690">
        <f t="shared" si="42"/>
        <v>1.5816282668500686E-2</v>
      </c>
      <c r="O64" s="7690">
        <f t="shared" si="41"/>
        <v>1.9604881489123236E-4</v>
      </c>
      <c r="P64" s="7690">
        <f t="shared" si="43"/>
        <v>1.9604881489123236E-4</v>
      </c>
      <c r="Q64" s="7692">
        <v>165</v>
      </c>
      <c r="R64" s="7693">
        <f t="shared" si="44"/>
        <v>600</v>
      </c>
      <c r="S64" s="2844">
        <f t="shared" si="5"/>
        <v>0.6</v>
      </c>
      <c r="T64" s="2845">
        <f t="shared" si="6"/>
        <v>1.8820686229558306E-2</v>
      </c>
      <c r="U64" s="374">
        <f t="shared" si="7"/>
        <v>0</v>
      </c>
      <c r="V64" s="2846">
        <f t="shared" si="8"/>
        <v>0</v>
      </c>
      <c r="W64" s="2847">
        <f t="shared" si="9"/>
        <v>0</v>
      </c>
      <c r="X64" s="2848">
        <f t="shared" si="10"/>
        <v>0.6</v>
      </c>
      <c r="Y64" s="2849">
        <f t="shared" si="11"/>
        <v>0</v>
      </c>
      <c r="Z64" s="2850">
        <f t="shared" si="12"/>
        <v>0</v>
      </c>
      <c r="AA64" s="2851">
        <f t="shared" si="13"/>
        <v>0</v>
      </c>
      <c r="AB64" s="3156"/>
      <c r="AC64" s="2826"/>
      <c r="AD64" s="2826"/>
      <c r="AE64" s="2838"/>
      <c r="AF64" s="2838"/>
      <c r="AG64" s="2838"/>
      <c r="AH64" s="2838"/>
      <c r="AI64" s="2838"/>
      <c r="AJ64" s="2826"/>
      <c r="AK64" s="2826"/>
      <c r="AL64" s="2826"/>
      <c r="AM64" s="2826"/>
      <c r="AN64" s="2913"/>
    </row>
    <row r="65" spans="1:40" s="2914" customFormat="1" ht="14" thickBot="1">
      <c r="A65" s="2973"/>
      <c r="B65" s="7541" t="s">
        <v>461</v>
      </c>
      <c r="C65" s="7480">
        <f t="shared" si="14"/>
        <v>2.2154584560078511E-4</v>
      </c>
      <c r="D65" s="7550">
        <v>1</v>
      </c>
      <c r="E65" s="7539">
        <v>1</v>
      </c>
      <c r="F65" s="7539">
        <v>1</v>
      </c>
      <c r="G65" s="7539">
        <v>200</v>
      </c>
      <c r="H65" s="7539"/>
      <c r="I65" s="7480">
        <v>0</v>
      </c>
      <c r="J65" s="7662">
        <v>1.3888888888888889E-3</v>
      </c>
      <c r="K65" s="7551" t="s">
        <v>1480</v>
      </c>
      <c r="L65" s="7662">
        <f t="shared" si="45"/>
        <v>0.39920857021170575</v>
      </c>
      <c r="M65" s="7694">
        <v>1</v>
      </c>
      <c r="N65" s="7662">
        <f t="shared" si="42"/>
        <v>3.16125565369517E-3</v>
      </c>
      <c r="O65" s="7662">
        <f t="shared" si="41"/>
        <v>1.7723667648062809E-3</v>
      </c>
      <c r="P65" s="7662">
        <f t="shared" si="43"/>
        <v>1.7723667648062809E-3</v>
      </c>
      <c r="Q65" s="7663">
        <v>129</v>
      </c>
      <c r="R65" s="7635">
        <f t="shared" si="44"/>
        <v>200</v>
      </c>
      <c r="S65" s="2844">
        <f t="shared" si="5"/>
        <v>0.2</v>
      </c>
      <c r="T65" s="2845">
        <f t="shared" si="6"/>
        <v>7.0894670592251234E-3</v>
      </c>
      <c r="U65" s="374">
        <f t="shared" si="7"/>
        <v>0.2</v>
      </c>
      <c r="V65" s="2846">
        <f t="shared" si="8"/>
        <v>0</v>
      </c>
      <c r="W65" s="2847">
        <f t="shared" si="9"/>
        <v>0</v>
      </c>
      <c r="X65" s="2848">
        <f t="shared" si="10"/>
        <v>0</v>
      </c>
      <c r="Y65" s="2849">
        <f t="shared" si="11"/>
        <v>0</v>
      </c>
      <c r="Z65" s="2850">
        <f t="shared" si="12"/>
        <v>0</v>
      </c>
      <c r="AA65" s="2851">
        <f t="shared" si="13"/>
        <v>0</v>
      </c>
      <c r="AB65" s="3156"/>
      <c r="AC65" s="2826"/>
      <c r="AD65" s="2826"/>
      <c r="AE65" s="2838"/>
      <c r="AF65" s="2838"/>
      <c r="AG65" s="2838"/>
      <c r="AH65" s="2838"/>
      <c r="AI65" s="2838"/>
      <c r="AJ65" s="2826"/>
      <c r="AK65" s="2826"/>
      <c r="AL65" s="2826"/>
      <c r="AM65" s="2826"/>
      <c r="AN65" s="2913"/>
    </row>
    <row r="66" spans="1:40" s="2914" customFormat="1" ht="14" thickBot="1">
      <c r="A66" s="2890"/>
      <c r="B66" s="7541"/>
      <c r="C66" s="7480">
        <f t="shared" si="14"/>
        <v>0</v>
      </c>
      <c r="D66" s="2891"/>
      <c r="E66" s="2959"/>
      <c r="F66" s="2959"/>
      <c r="G66" s="2959"/>
      <c r="H66" s="2959"/>
      <c r="I66" s="2959"/>
      <c r="J66" s="2959"/>
      <c r="K66" s="2959"/>
      <c r="L66" s="7695">
        <f t="shared" si="45"/>
        <v>0.40236982586540093</v>
      </c>
      <c r="M66" s="2959"/>
      <c r="N66" s="7695">
        <f>SUM(N59:N65)</f>
        <v>6.2092048087623253E-2</v>
      </c>
      <c r="O66" s="7696">
        <f t="shared" si="41"/>
        <v>0</v>
      </c>
      <c r="P66" s="2959"/>
      <c r="Q66" s="7667"/>
      <c r="R66" s="7668">
        <f>SUM(R59:R65)</f>
        <v>3525</v>
      </c>
      <c r="S66" s="2844">
        <f t="shared" si="5"/>
        <v>0</v>
      </c>
      <c r="T66" s="2845">
        <f t="shared" si="6"/>
        <v>0</v>
      </c>
      <c r="U66" s="374">
        <f t="shared" si="7"/>
        <v>0</v>
      </c>
      <c r="V66" s="2846">
        <f t="shared" si="8"/>
        <v>0</v>
      </c>
      <c r="W66" s="2847">
        <f t="shared" si="9"/>
        <v>0</v>
      </c>
      <c r="X66" s="2848">
        <f t="shared" si="10"/>
        <v>0</v>
      </c>
      <c r="Y66" s="2849">
        <f t="shared" si="11"/>
        <v>0</v>
      </c>
      <c r="Z66" s="2850">
        <f t="shared" si="12"/>
        <v>0</v>
      </c>
      <c r="AA66" s="2851">
        <f t="shared" si="13"/>
        <v>0</v>
      </c>
      <c r="AB66" s="3156"/>
      <c r="AC66" s="2826"/>
      <c r="AD66" s="2826"/>
      <c r="AE66" s="2838"/>
      <c r="AF66" s="2838"/>
      <c r="AG66" s="2838"/>
      <c r="AH66" s="2838"/>
      <c r="AI66" s="2838"/>
      <c r="AJ66" s="2826"/>
      <c r="AK66" s="2826"/>
      <c r="AL66" s="2826"/>
      <c r="AM66" s="2826"/>
      <c r="AN66" s="2913"/>
    </row>
    <row r="67" spans="1:40" s="2914" customFormat="1">
      <c r="A67" s="2889" t="s">
        <v>219</v>
      </c>
      <c r="B67" s="2896" t="s">
        <v>215</v>
      </c>
      <c r="C67" s="7480">
        <f t="shared" ref="C67:C81" si="46">IF(D67=1,U$5,IF(D67=2,V$5,IF(D67=3,W$5,IF(D67=4,X$5,IF(D67=5,Y$5,IF(D67=6,Z$5,IF(D67=7,AA$5,0)))))))</f>
        <v>2.0548470456558689E-4</v>
      </c>
      <c r="D67" s="7544">
        <v>3</v>
      </c>
      <c r="E67" s="7682">
        <v>1</v>
      </c>
      <c r="F67" s="7682">
        <v>1</v>
      </c>
      <c r="G67" s="7682">
        <v>400</v>
      </c>
      <c r="H67" s="7682"/>
      <c r="I67" s="7676">
        <v>0</v>
      </c>
      <c r="J67" s="7676">
        <v>1.3888888888888889E-3</v>
      </c>
      <c r="K67" s="7552" t="s">
        <v>881</v>
      </c>
      <c r="L67" s="4903">
        <v>0.34027777777777773</v>
      </c>
      <c r="M67" s="7552">
        <v>1</v>
      </c>
      <c r="N67" s="7676">
        <f t="shared" ref="N67:N76" si="47">P67*E67*F67+I67*E67*F67+J67*E67</f>
        <v>4.6766441619382794E-3</v>
      </c>
      <c r="O67" s="7676">
        <f t="shared" si="41"/>
        <v>3.2877552730493902E-3</v>
      </c>
      <c r="P67" s="7676">
        <f t="shared" ref="P67:P73" si="48">O67*M67</f>
        <v>3.2877552730493902E-3</v>
      </c>
      <c r="Q67" s="7680">
        <v>129</v>
      </c>
      <c r="R67" s="7677">
        <f t="shared" ref="R67:R76" si="49">E67*F67*G67</f>
        <v>400</v>
      </c>
      <c r="S67" s="2844">
        <f t="shared" ref="S67:S76" si="50">E67*F67*G67/1000</f>
        <v>0.4</v>
      </c>
      <c r="T67" s="2845">
        <f t="shared" ref="T67:T76" si="51">E67*F67*O67*4</f>
        <v>1.3151021092197561E-2</v>
      </c>
      <c r="U67" s="374">
        <f t="shared" ref="U67:U76" si="52">IF(C67*4&gt;=$U$4,S67,0)</f>
        <v>0</v>
      </c>
      <c r="V67" s="2846">
        <f t="shared" ref="V67:V76" si="53">IF(AND(C67*4&gt;=$V$4,C67*4&lt;$U$4),S67,0)</f>
        <v>0</v>
      </c>
      <c r="W67" s="2847">
        <f t="shared" ref="W67:W76" si="54">IF(AND(C67*4&gt;=$W$4,C67*4&lt;$V$4),S67,0)</f>
        <v>0.4</v>
      </c>
      <c r="X67" s="2848">
        <f t="shared" ref="X67:X76" si="55">IF(AND(C67*4&gt;=$X$4,C67*4&lt;$W$4),S67,0)</f>
        <v>0</v>
      </c>
      <c r="Y67" s="2849">
        <f t="shared" ref="Y67:Y76" si="56">IF(AND(C67*4&gt;=$Y$4,C67*4&lt;$X$4),S67,0)</f>
        <v>0</v>
      </c>
      <c r="Z67" s="2850">
        <f t="shared" ref="Z67:Z76" si="57">IF(AND(C67*4&gt;=$Z$4,C67*4&lt;$Y$4),S67,0)</f>
        <v>0</v>
      </c>
      <c r="AA67" s="2851">
        <f t="shared" ref="AA67:AA76" si="58">IF(AND(C67*4&gt;=$AA$4,C67*4&lt;$Z$4),S67,0)</f>
        <v>0</v>
      </c>
      <c r="AB67" s="3156"/>
      <c r="AC67" s="2826"/>
      <c r="AD67" s="2826"/>
      <c r="AE67" s="2838"/>
      <c r="AF67" s="2838"/>
      <c r="AG67" s="2838"/>
      <c r="AH67" s="2838"/>
      <c r="AI67" s="2838"/>
      <c r="AJ67" s="2826"/>
      <c r="AK67" s="2826"/>
      <c r="AL67" s="2826"/>
      <c r="AM67" s="2826"/>
      <c r="AN67" s="2913"/>
    </row>
    <row r="68" spans="1:40" s="2914" customFormat="1">
      <c r="A68" s="2889" t="s">
        <v>138</v>
      </c>
      <c r="B68" s="2896" t="s">
        <v>215</v>
      </c>
      <c r="C68" s="7480">
        <f t="shared" si="46"/>
        <v>1.7120949074074073E-4</v>
      </c>
      <c r="D68" s="7553">
        <v>7</v>
      </c>
      <c r="E68" s="7538">
        <v>2</v>
      </c>
      <c r="F68" s="7538">
        <v>4</v>
      </c>
      <c r="G68" s="7538">
        <v>25</v>
      </c>
      <c r="H68" s="7538"/>
      <c r="I68" s="7658">
        <v>2.0833333333333333E-3</v>
      </c>
      <c r="J68" s="7659">
        <v>1.3888888888888889E-3</v>
      </c>
      <c r="K68" s="7538" t="s">
        <v>284</v>
      </c>
      <c r="L68" s="7659">
        <f t="shared" si="45"/>
        <v>0.34495442193971604</v>
      </c>
      <c r="M68" s="7697">
        <v>0.9</v>
      </c>
      <c r="N68" s="7659">
        <f t="shared" si="47"/>
        <v>2.0677152777777777E-2</v>
      </c>
      <c r="O68" s="7659">
        <f t="shared" si="41"/>
        <v>1.7120949074074073E-4</v>
      </c>
      <c r="P68" s="7659">
        <f t="shared" si="48"/>
        <v>1.5408854166666666E-4</v>
      </c>
      <c r="Q68" s="7660">
        <v>170</v>
      </c>
      <c r="R68" s="7661">
        <f t="shared" si="49"/>
        <v>200</v>
      </c>
      <c r="S68" s="2844">
        <f t="shared" si="50"/>
        <v>0.2</v>
      </c>
      <c r="T68" s="2845">
        <f t="shared" si="51"/>
        <v>5.4787037037037035E-3</v>
      </c>
      <c r="U68" s="374">
        <f t="shared" si="52"/>
        <v>0</v>
      </c>
      <c r="V68" s="2846">
        <f t="shared" si="53"/>
        <v>0</v>
      </c>
      <c r="W68" s="2847">
        <f t="shared" si="54"/>
        <v>0</v>
      </c>
      <c r="X68" s="2848">
        <f t="shared" si="55"/>
        <v>0</v>
      </c>
      <c r="Y68" s="2849">
        <f t="shared" si="56"/>
        <v>0</v>
      </c>
      <c r="Z68" s="2850">
        <f t="shared" si="57"/>
        <v>0</v>
      </c>
      <c r="AA68" s="2851">
        <f t="shared" si="58"/>
        <v>0.2</v>
      </c>
      <c r="AB68" s="3156"/>
      <c r="AC68" s="2826"/>
      <c r="AD68" s="2826"/>
      <c r="AE68" s="2838"/>
      <c r="AF68" s="2838"/>
      <c r="AG68" s="2838"/>
      <c r="AH68" s="2838"/>
      <c r="AI68" s="2838"/>
      <c r="AJ68" s="2826"/>
      <c r="AK68" s="2826"/>
      <c r="AL68" s="2826"/>
      <c r="AM68" s="2826"/>
      <c r="AN68" s="2913"/>
    </row>
    <row r="69" spans="1:40" s="2914" customFormat="1" ht="15" customHeight="1" thickBot="1">
      <c r="A69" s="2889" t="s">
        <v>779</v>
      </c>
      <c r="B69" s="2896" t="s">
        <v>215</v>
      </c>
      <c r="C69" s="7480">
        <f t="shared" si="46"/>
        <v>1.7120949074074073E-4</v>
      </c>
      <c r="D69" s="7531">
        <v>7</v>
      </c>
      <c r="E69" s="7554">
        <v>1</v>
      </c>
      <c r="F69" s="7554">
        <v>4</v>
      </c>
      <c r="G69" s="7554">
        <v>15</v>
      </c>
      <c r="H69" s="7554"/>
      <c r="I69" s="7644">
        <v>4.6296296296296293E-4</v>
      </c>
      <c r="J69" s="7644">
        <v>2.0833333333333333E-3</v>
      </c>
      <c r="K69" s="7554" t="s">
        <v>312</v>
      </c>
      <c r="L69" s="7644">
        <f t="shared" si="45"/>
        <v>0.3656315747174938</v>
      </c>
      <c r="M69" s="7554">
        <v>1</v>
      </c>
      <c r="N69" s="7644">
        <f t="shared" si="47"/>
        <v>4.3460879629629631E-3</v>
      </c>
      <c r="O69" s="7644">
        <f t="shared" si="41"/>
        <v>1.0272569444444444E-4</v>
      </c>
      <c r="P69" s="7644">
        <f t="shared" si="48"/>
        <v>1.0272569444444444E-4</v>
      </c>
      <c r="Q69" s="7645">
        <v>129</v>
      </c>
      <c r="R69" s="7646">
        <f t="shared" si="49"/>
        <v>60</v>
      </c>
      <c r="S69" s="2844">
        <f t="shared" si="50"/>
        <v>0.06</v>
      </c>
      <c r="T69" s="2845">
        <f t="shared" si="51"/>
        <v>1.6436111111111111E-3</v>
      </c>
      <c r="U69" s="374">
        <f t="shared" si="52"/>
        <v>0</v>
      </c>
      <c r="V69" s="2846">
        <f t="shared" si="53"/>
        <v>0</v>
      </c>
      <c r="W69" s="2847">
        <f t="shared" si="54"/>
        <v>0</v>
      </c>
      <c r="X69" s="2848">
        <f t="shared" si="55"/>
        <v>0</v>
      </c>
      <c r="Y69" s="2849">
        <f t="shared" si="56"/>
        <v>0</v>
      </c>
      <c r="Z69" s="2850">
        <f t="shared" si="57"/>
        <v>0</v>
      </c>
      <c r="AA69" s="2851">
        <f t="shared" si="58"/>
        <v>0.06</v>
      </c>
      <c r="AB69" s="3156"/>
      <c r="AC69" s="2826"/>
      <c r="AD69" s="2826"/>
      <c r="AE69" s="2838"/>
      <c r="AF69" s="2838"/>
      <c r="AG69" s="2838"/>
      <c r="AH69" s="2838"/>
      <c r="AI69" s="2838"/>
      <c r="AJ69" s="2826"/>
      <c r="AK69" s="2826"/>
      <c r="AL69" s="2826"/>
      <c r="AM69" s="2826"/>
      <c r="AN69" s="2913"/>
    </row>
    <row r="70" spans="1:40" s="2914" customFormat="1" ht="24">
      <c r="A70" s="2889" t="s">
        <v>220</v>
      </c>
      <c r="B70" s="7555">
        <v>0</v>
      </c>
      <c r="C70" s="7480">
        <f t="shared" si="46"/>
        <v>2.1213241598079562E-4</v>
      </c>
      <c r="D70" s="7529">
        <v>2</v>
      </c>
      <c r="E70" s="7530">
        <v>1</v>
      </c>
      <c r="F70" s="7530">
        <v>32</v>
      </c>
      <c r="G70" s="7530">
        <v>25</v>
      </c>
      <c r="H70" s="7530"/>
      <c r="I70" s="7698">
        <v>2.8935185185185189E-4</v>
      </c>
      <c r="J70" s="7698">
        <v>1.3888888888888889E-3</v>
      </c>
      <c r="K70" s="7556" t="s">
        <v>2544</v>
      </c>
      <c r="L70" s="7699">
        <f t="shared" si="45"/>
        <v>0.36997766268045679</v>
      </c>
      <c r="M70" s="7557">
        <v>1</v>
      </c>
      <c r="N70" s="7699">
        <f t="shared" si="47"/>
        <v>1.7436385459533608E-2</v>
      </c>
      <c r="O70" s="7699">
        <f t="shared" ref="O70:O76" si="59">C70*(G70/25)</f>
        <v>2.1213241598079562E-4</v>
      </c>
      <c r="P70" s="7699">
        <f t="shared" si="48"/>
        <v>2.1213241598079562E-4</v>
      </c>
      <c r="Q70" s="7700">
        <v>129</v>
      </c>
      <c r="R70" s="7701">
        <f t="shared" si="49"/>
        <v>800</v>
      </c>
      <c r="S70" s="2844">
        <f t="shared" si="50"/>
        <v>0.8</v>
      </c>
      <c r="T70" s="2845">
        <f t="shared" si="51"/>
        <v>2.7152949245541839E-2</v>
      </c>
      <c r="U70" s="374">
        <f t="shared" si="52"/>
        <v>0</v>
      </c>
      <c r="V70" s="2846">
        <f t="shared" si="53"/>
        <v>0.8</v>
      </c>
      <c r="W70" s="2847">
        <f t="shared" si="54"/>
        <v>0</v>
      </c>
      <c r="X70" s="2848">
        <f t="shared" si="55"/>
        <v>0</v>
      </c>
      <c r="Y70" s="2849">
        <f t="shared" si="56"/>
        <v>0</v>
      </c>
      <c r="Z70" s="2850">
        <f t="shared" si="57"/>
        <v>0</v>
      </c>
      <c r="AA70" s="2851">
        <f t="shared" si="58"/>
        <v>0</v>
      </c>
      <c r="AB70" s="3156"/>
      <c r="AC70" s="2826"/>
      <c r="AD70" s="2826"/>
      <c r="AE70" s="2838"/>
      <c r="AF70" s="2838"/>
      <c r="AG70" s="2838"/>
      <c r="AH70" s="2838"/>
      <c r="AI70" s="2838"/>
      <c r="AJ70" s="2826"/>
      <c r="AK70" s="2826"/>
      <c r="AL70" s="2826"/>
      <c r="AM70" s="2826"/>
      <c r="AN70" s="2913"/>
    </row>
    <row r="71" spans="1:40" s="2914" customFormat="1" ht="17" thickBot="1">
      <c r="A71" s="2889" t="s">
        <v>674</v>
      </c>
      <c r="B71" s="2852">
        <v>4</v>
      </c>
      <c r="C71" s="7480">
        <f t="shared" si="46"/>
        <v>1.7120949074074073E-4</v>
      </c>
      <c r="D71" s="7531">
        <v>7</v>
      </c>
      <c r="E71" s="7554">
        <v>2</v>
      </c>
      <c r="F71" s="7554">
        <v>4</v>
      </c>
      <c r="G71" s="7554">
        <v>7.5</v>
      </c>
      <c r="H71" s="7554"/>
      <c r="I71" s="7644">
        <v>3.4722222222222224E-4</v>
      </c>
      <c r="J71" s="7644">
        <v>2.0833333333333333E-3</v>
      </c>
      <c r="K71" s="7532" t="s">
        <v>1482</v>
      </c>
      <c r="L71" s="7644">
        <f t="shared" si="45"/>
        <v>0.38741404813999042</v>
      </c>
      <c r="M71" s="7532">
        <v>1</v>
      </c>
      <c r="N71" s="7644">
        <f t="shared" si="47"/>
        <v>7.3553472222222223E-3</v>
      </c>
      <c r="O71" s="7644">
        <f t="shared" si="59"/>
        <v>5.1362847222222222E-5</v>
      </c>
      <c r="P71" s="7644">
        <f t="shared" si="48"/>
        <v>5.1362847222222222E-5</v>
      </c>
      <c r="Q71" s="7645">
        <v>129</v>
      </c>
      <c r="R71" s="7646">
        <f t="shared" si="49"/>
        <v>60</v>
      </c>
      <c r="S71" s="2844">
        <f t="shared" si="50"/>
        <v>0.06</v>
      </c>
      <c r="T71" s="2845">
        <f t="shared" si="51"/>
        <v>1.6436111111111111E-3</v>
      </c>
      <c r="U71" s="374">
        <f t="shared" si="52"/>
        <v>0</v>
      </c>
      <c r="V71" s="2846">
        <f t="shared" si="53"/>
        <v>0</v>
      </c>
      <c r="W71" s="2847">
        <f t="shared" si="54"/>
        <v>0</v>
      </c>
      <c r="X71" s="2848">
        <f t="shared" si="55"/>
        <v>0</v>
      </c>
      <c r="Y71" s="2849">
        <f t="shared" si="56"/>
        <v>0</v>
      </c>
      <c r="Z71" s="2850">
        <f t="shared" si="57"/>
        <v>0</v>
      </c>
      <c r="AA71" s="2851">
        <f t="shared" si="58"/>
        <v>0.06</v>
      </c>
      <c r="AB71" s="3156"/>
      <c r="AC71" s="2826"/>
      <c r="AD71" s="2826"/>
      <c r="AE71" s="2838"/>
      <c r="AF71" s="2838"/>
      <c r="AG71" s="2838"/>
      <c r="AH71" s="2838"/>
      <c r="AI71" s="2838"/>
      <c r="AJ71" s="2826"/>
      <c r="AK71" s="2826"/>
      <c r="AL71" s="2826"/>
      <c r="AM71" s="2826"/>
      <c r="AN71" s="2913"/>
    </row>
    <row r="72" spans="1:40" s="2914" customFormat="1">
      <c r="A72" s="2889"/>
      <c r="B72" s="2896" t="s">
        <v>215</v>
      </c>
      <c r="C72" s="7480">
        <f t="shared" si="46"/>
        <v>2.1213241598079562E-4</v>
      </c>
      <c r="D72" s="7529">
        <v>2</v>
      </c>
      <c r="E72" s="7534">
        <v>1</v>
      </c>
      <c r="F72" s="7534">
        <v>2</v>
      </c>
      <c r="G72" s="7534">
        <v>300</v>
      </c>
      <c r="H72" s="7534"/>
      <c r="I72" s="7521">
        <v>2.0833333333333333E-3</v>
      </c>
      <c r="J72" s="7521">
        <v>0</v>
      </c>
      <c r="K72" s="7534" t="s">
        <v>1476</v>
      </c>
      <c r="L72" s="7521">
        <f t="shared" si="45"/>
        <v>0.39476939536221262</v>
      </c>
      <c r="M72" s="7534">
        <v>1</v>
      </c>
      <c r="N72" s="7521">
        <f t="shared" si="47"/>
        <v>9.2578446502057619E-3</v>
      </c>
      <c r="O72" s="7521">
        <f t="shared" si="59"/>
        <v>2.5455889917695472E-3</v>
      </c>
      <c r="P72" s="7521">
        <f t="shared" si="48"/>
        <v>2.5455889917695472E-3</v>
      </c>
      <c r="Q72" s="7647">
        <v>129</v>
      </c>
      <c r="R72" s="6386">
        <f t="shared" si="49"/>
        <v>600</v>
      </c>
      <c r="S72" s="2844">
        <f t="shared" si="50"/>
        <v>0.6</v>
      </c>
      <c r="T72" s="2845">
        <f t="shared" si="51"/>
        <v>2.0364711934156378E-2</v>
      </c>
      <c r="U72" s="374">
        <f t="shared" si="52"/>
        <v>0</v>
      </c>
      <c r="V72" s="2846">
        <f t="shared" si="53"/>
        <v>0.6</v>
      </c>
      <c r="W72" s="2847">
        <f t="shared" si="54"/>
        <v>0</v>
      </c>
      <c r="X72" s="2848">
        <f t="shared" si="55"/>
        <v>0</v>
      </c>
      <c r="Y72" s="2849">
        <f t="shared" si="56"/>
        <v>0</v>
      </c>
      <c r="Z72" s="2850">
        <f t="shared" si="57"/>
        <v>0</v>
      </c>
      <c r="AA72" s="2851">
        <f t="shared" si="58"/>
        <v>0</v>
      </c>
      <c r="AB72" s="3156"/>
      <c r="AC72" s="2826"/>
      <c r="AD72" s="2826"/>
      <c r="AE72" s="2838"/>
      <c r="AF72" s="2838"/>
      <c r="AG72" s="2838"/>
      <c r="AH72" s="2838"/>
      <c r="AI72" s="2838"/>
      <c r="AJ72" s="2826"/>
      <c r="AK72" s="2826"/>
      <c r="AL72" s="2826"/>
      <c r="AM72" s="2826"/>
      <c r="AN72" s="2913"/>
    </row>
    <row r="73" spans="1:40" s="2914" customFormat="1" ht="16">
      <c r="A73" s="2889" t="s">
        <v>219</v>
      </c>
      <c r="B73" s="2896" t="s">
        <v>215</v>
      </c>
      <c r="C73" s="7480">
        <f t="shared" si="46"/>
        <v>1.7120949074074073E-4</v>
      </c>
      <c r="D73" s="7531">
        <v>7</v>
      </c>
      <c r="E73" s="7554">
        <v>2</v>
      </c>
      <c r="F73" s="7554">
        <v>4</v>
      </c>
      <c r="G73" s="7554">
        <v>15</v>
      </c>
      <c r="H73" s="7554"/>
      <c r="I73" s="7644">
        <v>4.6296296296296293E-4</v>
      </c>
      <c r="J73" s="7644">
        <v>5.5555555555555558E-3</v>
      </c>
      <c r="K73" s="7532" t="s">
        <v>312</v>
      </c>
      <c r="L73" s="7644">
        <f t="shared" si="45"/>
        <v>0.40402724001241835</v>
      </c>
      <c r="M73" s="7532">
        <v>1</v>
      </c>
      <c r="N73" s="7644">
        <f t="shared" si="47"/>
        <v>1.563662037037037E-2</v>
      </c>
      <c r="O73" s="7644">
        <f t="shared" si="59"/>
        <v>1.0272569444444444E-4</v>
      </c>
      <c r="P73" s="7644">
        <f t="shared" si="48"/>
        <v>1.0272569444444444E-4</v>
      </c>
      <c r="Q73" s="7645">
        <v>129</v>
      </c>
      <c r="R73" s="7646">
        <f t="shared" si="49"/>
        <v>120</v>
      </c>
      <c r="S73" s="2844">
        <f t="shared" si="50"/>
        <v>0.12</v>
      </c>
      <c r="T73" s="2845">
        <f t="shared" si="51"/>
        <v>3.2872222222222222E-3</v>
      </c>
      <c r="U73" s="374">
        <f t="shared" si="52"/>
        <v>0</v>
      </c>
      <c r="V73" s="2846">
        <f t="shared" si="53"/>
        <v>0</v>
      </c>
      <c r="W73" s="2847">
        <f t="shared" si="54"/>
        <v>0</v>
      </c>
      <c r="X73" s="2848">
        <f t="shared" si="55"/>
        <v>0</v>
      </c>
      <c r="Y73" s="2849">
        <f t="shared" si="56"/>
        <v>0</v>
      </c>
      <c r="Z73" s="2850">
        <f t="shared" si="57"/>
        <v>0</v>
      </c>
      <c r="AA73" s="2851">
        <f t="shared" si="58"/>
        <v>0.12</v>
      </c>
      <c r="AB73" s="3156"/>
      <c r="AC73" s="2826"/>
      <c r="AD73" s="2826"/>
      <c r="AE73" s="2838"/>
      <c r="AF73" s="2838"/>
      <c r="AG73" s="2838"/>
      <c r="AH73" s="2838"/>
      <c r="AI73" s="2838"/>
      <c r="AJ73" s="2826"/>
      <c r="AK73" s="2826"/>
      <c r="AL73" s="2826"/>
      <c r="AM73" s="2826"/>
      <c r="AN73" s="2913"/>
    </row>
    <row r="74" spans="1:40" s="2914" customFormat="1">
      <c r="A74" s="2889" t="s">
        <v>779</v>
      </c>
      <c r="B74" s="2896" t="s">
        <v>215</v>
      </c>
      <c r="C74" s="7480">
        <f t="shared" si="46"/>
        <v>1.7120949074074073E-4</v>
      </c>
      <c r="D74" s="7535">
        <v>7</v>
      </c>
      <c r="E74" s="7653">
        <v>1</v>
      </c>
      <c r="F74" s="7653">
        <v>15</v>
      </c>
      <c r="G74" s="7653">
        <v>20</v>
      </c>
      <c r="H74" s="7653"/>
      <c r="I74" s="7654">
        <v>1.1574074074074073E-4</v>
      </c>
      <c r="J74" s="7654">
        <v>1.3888888888888889E-3</v>
      </c>
      <c r="K74" s="7536" t="s">
        <v>413</v>
      </c>
      <c r="L74" s="7654">
        <f t="shared" si="45"/>
        <v>0.41966386038278874</v>
      </c>
      <c r="M74" s="7536">
        <v>1</v>
      </c>
      <c r="N74" s="7654">
        <f t="shared" si="47"/>
        <v>3.1250000000000002E-3</v>
      </c>
      <c r="O74" s="7654">
        <f t="shared" si="59"/>
        <v>1.3696759259259258E-4</v>
      </c>
      <c r="P74" s="7655"/>
      <c r="Q74" s="7656">
        <v>129</v>
      </c>
      <c r="R74" s="7657">
        <f t="shared" si="49"/>
        <v>300</v>
      </c>
      <c r="S74" s="2844">
        <f t="shared" si="50"/>
        <v>0.3</v>
      </c>
      <c r="T74" s="2845">
        <f t="shared" si="51"/>
        <v>8.2180555555555548E-3</v>
      </c>
      <c r="U74" s="374">
        <f t="shared" si="52"/>
        <v>0</v>
      </c>
      <c r="V74" s="2846">
        <f t="shared" si="53"/>
        <v>0</v>
      </c>
      <c r="W74" s="2847">
        <f t="shared" si="54"/>
        <v>0</v>
      </c>
      <c r="X74" s="2848">
        <f t="shared" si="55"/>
        <v>0</v>
      </c>
      <c r="Y74" s="2849">
        <f t="shared" si="56"/>
        <v>0</v>
      </c>
      <c r="Z74" s="2850">
        <f t="shared" si="57"/>
        <v>0</v>
      </c>
      <c r="AA74" s="2851">
        <f t="shared" si="58"/>
        <v>0.3</v>
      </c>
      <c r="AB74" s="3156"/>
      <c r="AC74" s="2826"/>
      <c r="AD74" s="2826"/>
      <c r="AE74" s="2838"/>
      <c r="AF74" s="2838"/>
      <c r="AG74" s="2838"/>
      <c r="AH74" s="2838"/>
      <c r="AI74" s="2838"/>
      <c r="AJ74" s="2826"/>
      <c r="AK74" s="2826"/>
      <c r="AL74" s="2826"/>
      <c r="AM74" s="2826"/>
      <c r="AN74" s="2913"/>
    </row>
    <row r="75" spans="1:40" s="2914" customFormat="1">
      <c r="A75" s="2889" t="s">
        <v>138</v>
      </c>
      <c r="B75" s="2896" t="s">
        <v>215</v>
      </c>
      <c r="C75" s="7480">
        <f t="shared" si="46"/>
        <v>1.7120949074074073E-4</v>
      </c>
      <c r="D75" s="7537">
        <v>7</v>
      </c>
      <c r="E75" s="7538">
        <v>1</v>
      </c>
      <c r="F75" s="7538">
        <v>2</v>
      </c>
      <c r="G75" s="7538">
        <v>50</v>
      </c>
      <c r="H75" s="7538"/>
      <c r="I75" s="7658">
        <v>3.4722222222222224E-4</v>
      </c>
      <c r="J75" s="7659">
        <v>1.3888888888888889E-3</v>
      </c>
      <c r="K75" s="7538" t="s">
        <v>688</v>
      </c>
      <c r="L75" s="7659">
        <f t="shared" si="45"/>
        <v>0.42278886038278873</v>
      </c>
      <c r="M75" s="7564">
        <v>0.85</v>
      </c>
      <c r="N75" s="7659">
        <f t="shared" si="47"/>
        <v>2.665445601851852E-3</v>
      </c>
      <c r="O75" s="7659">
        <f t="shared" si="59"/>
        <v>3.4241898148148147E-4</v>
      </c>
      <c r="P75" s="7659">
        <f>O75*M75</f>
        <v>2.9105613425925924E-4</v>
      </c>
      <c r="Q75" s="7660">
        <v>129</v>
      </c>
      <c r="R75" s="7661">
        <f t="shared" si="49"/>
        <v>100</v>
      </c>
      <c r="S75" s="2844">
        <f t="shared" si="50"/>
        <v>0.1</v>
      </c>
      <c r="T75" s="2845">
        <f t="shared" si="51"/>
        <v>2.7393518518518518E-3</v>
      </c>
      <c r="U75" s="374">
        <f t="shared" si="52"/>
        <v>0</v>
      </c>
      <c r="V75" s="2846">
        <f t="shared" si="53"/>
        <v>0</v>
      </c>
      <c r="W75" s="2847">
        <f t="shared" si="54"/>
        <v>0</v>
      </c>
      <c r="X75" s="2848">
        <f t="shared" si="55"/>
        <v>0</v>
      </c>
      <c r="Y75" s="2849">
        <f t="shared" si="56"/>
        <v>0</v>
      </c>
      <c r="Z75" s="2850">
        <f t="shared" si="57"/>
        <v>0</v>
      </c>
      <c r="AA75" s="2851">
        <f t="shared" si="58"/>
        <v>0.1</v>
      </c>
      <c r="AB75" s="3156"/>
      <c r="AC75" s="2826"/>
      <c r="AD75" s="2826"/>
      <c r="AE75" s="2838"/>
      <c r="AF75" s="2838"/>
      <c r="AG75" s="2838"/>
      <c r="AH75" s="2838"/>
      <c r="AI75" s="2838"/>
      <c r="AJ75" s="2826"/>
      <c r="AK75" s="2826"/>
      <c r="AL75" s="2826"/>
      <c r="AM75" s="2826"/>
      <c r="AN75" s="2913"/>
    </row>
    <row r="76" spans="1:40" s="2914" customFormat="1">
      <c r="A76" s="2889" t="s">
        <v>220</v>
      </c>
      <c r="B76" s="2896" t="s">
        <v>215</v>
      </c>
      <c r="C76" s="7480">
        <f t="shared" si="46"/>
        <v>2.2154584560078511E-4</v>
      </c>
      <c r="D76" s="7529">
        <v>1</v>
      </c>
      <c r="E76" s="7539">
        <v>1</v>
      </c>
      <c r="F76" s="7539">
        <v>1</v>
      </c>
      <c r="G76" s="7539">
        <v>200</v>
      </c>
      <c r="H76" s="7539"/>
      <c r="I76" s="7480">
        <v>3.4722222222222224E-4</v>
      </c>
      <c r="J76" s="7662">
        <v>1.3888888888888889E-3</v>
      </c>
      <c r="K76" s="7539" t="s">
        <v>560</v>
      </c>
      <c r="L76" s="7662">
        <f t="shared" si="45"/>
        <v>0.42545430598464057</v>
      </c>
      <c r="M76" s="7539">
        <v>1</v>
      </c>
      <c r="N76" s="7662">
        <f t="shared" si="47"/>
        <v>3.5084778759173919E-3</v>
      </c>
      <c r="O76" s="7662">
        <f t="shared" si="59"/>
        <v>1.7723667648062809E-3</v>
      </c>
      <c r="P76" s="7739">
        <f>O76*M76</f>
        <v>1.7723667648062809E-3</v>
      </c>
      <c r="Q76" s="7663">
        <v>129</v>
      </c>
      <c r="R76" s="7635">
        <f t="shared" si="49"/>
        <v>200</v>
      </c>
      <c r="S76" s="2844">
        <f t="shared" si="50"/>
        <v>0.2</v>
      </c>
      <c r="T76" s="2845">
        <f t="shared" si="51"/>
        <v>7.0894670592251234E-3</v>
      </c>
      <c r="U76" s="374">
        <f t="shared" si="52"/>
        <v>0.2</v>
      </c>
      <c r="V76" s="2846">
        <f t="shared" si="53"/>
        <v>0</v>
      </c>
      <c r="W76" s="2847">
        <f t="shared" si="54"/>
        <v>0</v>
      </c>
      <c r="X76" s="2848">
        <f t="shared" si="55"/>
        <v>0</v>
      </c>
      <c r="Y76" s="2849">
        <f t="shared" si="56"/>
        <v>0</v>
      </c>
      <c r="Z76" s="2850">
        <f t="shared" si="57"/>
        <v>0</v>
      </c>
      <c r="AA76" s="2851">
        <f t="shared" si="58"/>
        <v>0</v>
      </c>
      <c r="AB76" s="3156"/>
      <c r="AC76" s="2826"/>
      <c r="AD76" s="2826"/>
      <c r="AE76" s="2838"/>
      <c r="AF76" s="2838"/>
      <c r="AG76" s="2838"/>
      <c r="AH76" s="2838"/>
      <c r="AI76" s="2838"/>
      <c r="AJ76" s="2826"/>
      <c r="AK76" s="2826"/>
      <c r="AL76" s="2826"/>
      <c r="AM76" s="2826"/>
      <c r="AN76" s="2913"/>
    </row>
    <row r="77" spans="1:40" s="2914" customFormat="1" ht="14" thickBot="1">
      <c r="A77" s="2889" t="s">
        <v>674</v>
      </c>
      <c r="B77" s="2896" t="s">
        <v>215</v>
      </c>
      <c r="C77" s="7480"/>
      <c r="D77" s="856"/>
      <c r="E77" s="7575"/>
      <c r="F77" s="7575"/>
      <c r="G77" s="7575"/>
      <c r="H77" s="7575"/>
      <c r="I77" s="856"/>
      <c r="J77" s="7702"/>
      <c r="K77" s="7575"/>
      <c r="L77" s="7662">
        <f t="shared" si="45"/>
        <v>0.42896278386055797</v>
      </c>
      <c r="M77" s="7575"/>
      <c r="N77" s="7702"/>
      <c r="O77" s="7702"/>
      <c r="P77" s="3295"/>
      <c r="Q77" s="3295"/>
      <c r="R77" s="7575">
        <f>SUM(R67:R76)</f>
        <v>2840</v>
      </c>
      <c r="S77" s="2844">
        <f t="shared" ref="S77:S81" si="60">E77*F77*G77/1000</f>
        <v>0</v>
      </c>
      <c r="T77" s="2845">
        <f t="shared" ref="T77:T81" si="61">E77*F77*O77*4</f>
        <v>0</v>
      </c>
      <c r="U77" s="374">
        <f t="shared" ref="U77:U81" si="62">IF(C77*4&gt;=$U$4,S77,0)</f>
        <v>0</v>
      </c>
      <c r="V77" s="2846">
        <f t="shared" ref="V77:V81" si="63">IF(AND(C77*4&gt;=$V$4,C77*4&lt;$U$4),S77,0)</f>
        <v>0</v>
      </c>
      <c r="W77" s="2847">
        <f t="shared" ref="W77:W81" si="64">IF(AND(C77*4&gt;=$W$4,C77*4&lt;$V$4),S77,0)</f>
        <v>0</v>
      </c>
      <c r="X77" s="2848">
        <f t="shared" ref="X77:X81" si="65">IF(AND(C77*4&gt;=$X$4,C77*4&lt;$W$4),S77,0)</f>
        <v>0</v>
      </c>
      <c r="Y77" s="2849">
        <f t="shared" ref="Y77:Y81" si="66">IF(AND(C77*4&gt;=$Y$4,C77*4&lt;$X$4),S77,0)</f>
        <v>0</v>
      </c>
      <c r="Z77" s="2850">
        <f t="shared" ref="Z77:Z81" si="67">IF(AND(C77*4&gt;=$Z$4,C77*4&lt;$Y$4),S77,0)</f>
        <v>0</v>
      </c>
      <c r="AA77" s="2851">
        <f t="shared" ref="AA77:AA81" si="68">IF(AND(C77*4&gt;=$AA$4,C77*4&lt;$Z$4),S77,0)</f>
        <v>0</v>
      </c>
      <c r="AB77" s="3156"/>
      <c r="AC77" s="2826"/>
      <c r="AD77" s="2826"/>
      <c r="AE77" s="2838"/>
      <c r="AF77" s="2838"/>
      <c r="AG77" s="2838"/>
      <c r="AH77" s="2838"/>
      <c r="AI77" s="2838"/>
      <c r="AJ77" s="2826"/>
      <c r="AK77" s="2826"/>
      <c r="AL77" s="2826"/>
      <c r="AM77" s="2826"/>
      <c r="AN77" s="2913"/>
    </row>
    <row r="78" spans="1:40" s="2914" customFormat="1" ht="14" thickBot="1">
      <c r="A78" s="2973" t="s">
        <v>214</v>
      </c>
      <c r="B78" s="7541" t="s">
        <v>461</v>
      </c>
      <c r="C78" s="7480">
        <f t="shared" ref="C78:C80" si="69">IF(D78=1,U$5,IF(D78=2,V$5,IF(D78=3,W$5,IF(D78=4,X$5,IF(D78=5,Y$5,IF(D78=6,Z$5,IF(D78=7,AA$5,0)))))))</f>
        <v>2.0548470456558689E-4</v>
      </c>
      <c r="D78" s="7544">
        <v>3</v>
      </c>
      <c r="E78" s="7682">
        <v>1</v>
      </c>
      <c r="F78" s="7682">
        <v>1</v>
      </c>
      <c r="G78" s="7682">
        <v>400</v>
      </c>
      <c r="H78" s="7682"/>
      <c r="I78" s="7676">
        <v>0</v>
      </c>
      <c r="J78" s="7676">
        <v>1.3888888888888889E-3</v>
      </c>
      <c r="K78" s="7552" t="s">
        <v>881</v>
      </c>
      <c r="L78" s="7552"/>
      <c r="M78" s="7552">
        <v>1</v>
      </c>
      <c r="N78" s="7676">
        <f>P78*E78*F78+I78*E78*F78+J78*E78</f>
        <v>4.6766441619382794E-3</v>
      </c>
      <c r="O78" s="7676">
        <f t="shared" ref="O78:O80" si="70">C78*(G78/25)</f>
        <v>3.2877552730493902E-3</v>
      </c>
      <c r="P78" s="7676">
        <f>O78*M78</f>
        <v>3.2877552730493902E-3</v>
      </c>
      <c r="Q78" s="7680">
        <v>129</v>
      </c>
      <c r="R78" s="7677">
        <f>E78*F78*G78</f>
        <v>400</v>
      </c>
      <c r="S78" s="2844">
        <f t="shared" si="60"/>
        <v>0.4</v>
      </c>
      <c r="T78" s="2845">
        <f t="shared" si="61"/>
        <v>1.3151021092197561E-2</v>
      </c>
      <c r="U78" s="374">
        <f t="shared" si="62"/>
        <v>0</v>
      </c>
      <c r="V78" s="2846">
        <f t="shared" si="63"/>
        <v>0</v>
      </c>
      <c r="W78" s="2847">
        <f t="shared" si="64"/>
        <v>0.4</v>
      </c>
      <c r="X78" s="2848">
        <f t="shared" si="65"/>
        <v>0</v>
      </c>
      <c r="Y78" s="2849">
        <f t="shared" si="66"/>
        <v>0</v>
      </c>
      <c r="Z78" s="2850">
        <f t="shared" si="67"/>
        <v>0</v>
      </c>
      <c r="AA78" s="2851">
        <f t="shared" si="68"/>
        <v>0</v>
      </c>
      <c r="AB78" s="3156"/>
      <c r="AC78" s="2826"/>
      <c r="AD78" s="2826"/>
      <c r="AE78" s="2838"/>
      <c r="AF78" s="2838"/>
      <c r="AG78" s="2838"/>
      <c r="AH78" s="2838"/>
      <c r="AI78" s="2838"/>
      <c r="AJ78" s="2826"/>
      <c r="AK78" s="2826"/>
      <c r="AL78" s="2826"/>
      <c r="AM78" s="2826"/>
      <c r="AN78" s="2913"/>
    </row>
    <row r="79" spans="1:40" s="2914" customFormat="1" ht="14" thickBot="1">
      <c r="A79" s="2973" t="s">
        <v>459</v>
      </c>
      <c r="B79" s="7703">
        <v>0</v>
      </c>
      <c r="C79" s="7480">
        <f t="shared" si="69"/>
        <v>1.7120949074074073E-4</v>
      </c>
      <c r="D79" s="7553">
        <v>7</v>
      </c>
      <c r="E79" s="7538">
        <v>2</v>
      </c>
      <c r="F79" s="7538">
        <v>4</v>
      </c>
      <c r="G79" s="7538">
        <v>25</v>
      </c>
      <c r="H79" s="7538"/>
      <c r="I79" s="7658">
        <v>2.0833333333333333E-3</v>
      </c>
      <c r="J79" s="7659">
        <v>1.3888888888888889E-3</v>
      </c>
      <c r="K79" s="7538" t="s">
        <v>875</v>
      </c>
      <c r="L79" s="7538"/>
      <c r="M79" s="7697">
        <v>0.9</v>
      </c>
      <c r="N79" s="7659">
        <f>P79*E79*F79+I79*E79*F79+J79*E79</f>
        <v>2.0677152777777777E-2</v>
      </c>
      <c r="O79" s="7659">
        <f t="shared" si="70"/>
        <v>1.7120949074074073E-4</v>
      </c>
      <c r="P79" s="7659">
        <f>O79*M79</f>
        <v>1.5408854166666666E-4</v>
      </c>
      <c r="Q79" s="7660">
        <v>170</v>
      </c>
      <c r="R79" s="7661">
        <f>E79*F79*G79</f>
        <v>200</v>
      </c>
      <c r="S79" s="2844">
        <f t="shared" si="60"/>
        <v>0.2</v>
      </c>
      <c r="T79" s="2845">
        <f t="shared" si="61"/>
        <v>5.4787037037037035E-3</v>
      </c>
      <c r="U79" s="374">
        <f t="shared" si="62"/>
        <v>0</v>
      </c>
      <c r="V79" s="2846">
        <f t="shared" si="63"/>
        <v>0</v>
      </c>
      <c r="W79" s="2847">
        <f t="shared" si="64"/>
        <v>0</v>
      </c>
      <c r="X79" s="2848">
        <f t="shared" si="65"/>
        <v>0</v>
      </c>
      <c r="Y79" s="2849">
        <f t="shared" si="66"/>
        <v>0</v>
      </c>
      <c r="Z79" s="2850">
        <f t="shared" si="67"/>
        <v>0</v>
      </c>
      <c r="AA79" s="2851">
        <f t="shared" si="68"/>
        <v>0.2</v>
      </c>
      <c r="AB79" s="3156"/>
      <c r="AC79" s="2826"/>
      <c r="AD79" s="2826"/>
      <c r="AE79" s="2838"/>
      <c r="AF79" s="2838"/>
      <c r="AG79" s="2838"/>
      <c r="AH79" s="2838"/>
      <c r="AI79" s="2838"/>
      <c r="AJ79" s="2826"/>
      <c r="AK79" s="2826"/>
      <c r="AL79" s="2826"/>
      <c r="AM79" s="2826"/>
      <c r="AN79" s="2913"/>
    </row>
    <row r="80" spans="1:40" s="2914" customFormat="1" ht="17" thickBot="1">
      <c r="A80" s="2973" t="s">
        <v>460</v>
      </c>
      <c r="B80" s="7703">
        <v>3</v>
      </c>
      <c r="C80" s="7480">
        <f t="shared" si="69"/>
        <v>1.7120949074074073E-4</v>
      </c>
      <c r="D80" s="7531">
        <v>7</v>
      </c>
      <c r="E80" s="7554">
        <v>1</v>
      </c>
      <c r="F80" s="7554">
        <v>4</v>
      </c>
      <c r="G80" s="7554">
        <v>15</v>
      </c>
      <c r="H80" s="7554"/>
      <c r="I80" s="7644">
        <v>4.6296296296296293E-4</v>
      </c>
      <c r="J80" s="7644">
        <v>2.0833333333333333E-3</v>
      </c>
      <c r="K80" s="7554" t="s">
        <v>312</v>
      </c>
      <c r="L80" s="7554"/>
      <c r="M80" s="7554">
        <v>1</v>
      </c>
      <c r="N80" s="7644">
        <f>P80*E80*F80+I80*E80*F80+J80*E80</f>
        <v>4.3460879629629631E-3</v>
      </c>
      <c r="O80" s="7644">
        <f t="shared" si="70"/>
        <v>1.0272569444444444E-4</v>
      </c>
      <c r="P80" s="7644">
        <f>O80*M80</f>
        <v>1.0272569444444444E-4</v>
      </c>
      <c r="Q80" s="7645">
        <v>129</v>
      </c>
      <c r="R80" s="7646">
        <f>E80*F80*G80</f>
        <v>60</v>
      </c>
      <c r="S80" s="2844">
        <f t="shared" si="60"/>
        <v>0.06</v>
      </c>
      <c r="T80" s="2845">
        <f t="shared" si="61"/>
        <v>1.6436111111111111E-3</v>
      </c>
      <c r="U80" s="374">
        <f t="shared" si="62"/>
        <v>0</v>
      </c>
      <c r="V80" s="2846">
        <f t="shared" si="63"/>
        <v>0</v>
      </c>
      <c r="W80" s="2847">
        <f t="shared" si="64"/>
        <v>0</v>
      </c>
      <c r="X80" s="2848">
        <f t="shared" si="65"/>
        <v>0</v>
      </c>
      <c r="Y80" s="2849">
        <f t="shared" si="66"/>
        <v>0</v>
      </c>
      <c r="Z80" s="2850">
        <f t="shared" si="67"/>
        <v>0</v>
      </c>
      <c r="AA80" s="2851">
        <f t="shared" si="68"/>
        <v>0.06</v>
      </c>
      <c r="AB80" s="3156"/>
      <c r="AC80" s="2826"/>
      <c r="AD80" s="2826"/>
      <c r="AE80" s="2838"/>
      <c r="AF80" s="2838"/>
      <c r="AG80" s="2838"/>
      <c r="AH80" s="2838"/>
      <c r="AI80" s="2838"/>
      <c r="AJ80" s="2826"/>
      <c r="AK80" s="2826"/>
      <c r="AL80" s="2826"/>
      <c r="AM80" s="2826"/>
      <c r="AN80" s="2913"/>
    </row>
    <row r="81" spans="1:40" s="2914" customFormat="1" ht="10" customHeight="1" thickBot="1">
      <c r="A81" s="7732"/>
      <c r="B81" s="7733" t="s">
        <v>461</v>
      </c>
      <c r="C81" s="7734">
        <f t="shared" si="46"/>
        <v>0</v>
      </c>
      <c r="D81" s="7735"/>
      <c r="E81" s="7736"/>
      <c r="F81" s="7736"/>
      <c r="G81" s="7736"/>
      <c r="H81" s="7736"/>
      <c r="I81" s="7736"/>
      <c r="J81" s="7736"/>
      <c r="K81" s="7736"/>
      <c r="L81" s="7737"/>
      <c r="M81" s="7731"/>
      <c r="N81" s="7738"/>
      <c r="O81" s="7731"/>
      <c r="P81" s="7731"/>
      <c r="Q81" s="7731"/>
      <c r="R81" s="7558">
        <f>SUM(R78:R80)</f>
        <v>660</v>
      </c>
      <c r="S81" s="2844">
        <f t="shared" si="60"/>
        <v>0</v>
      </c>
      <c r="T81" s="2845">
        <f t="shared" si="61"/>
        <v>0</v>
      </c>
      <c r="U81" s="374">
        <f t="shared" si="62"/>
        <v>0</v>
      </c>
      <c r="V81" s="2846">
        <f t="shared" si="63"/>
        <v>0</v>
      </c>
      <c r="W81" s="2847">
        <f t="shared" si="64"/>
        <v>0</v>
      </c>
      <c r="X81" s="2848">
        <f t="shared" si="65"/>
        <v>0</v>
      </c>
      <c r="Y81" s="2849">
        <f t="shared" si="66"/>
        <v>0</v>
      </c>
      <c r="Z81" s="2850">
        <f t="shared" si="67"/>
        <v>0</v>
      </c>
      <c r="AA81" s="2851">
        <f t="shared" si="68"/>
        <v>0</v>
      </c>
      <c r="AB81" s="3156"/>
      <c r="AC81" s="2826"/>
      <c r="AD81" s="2826"/>
      <c r="AE81" s="2838"/>
      <c r="AF81" s="2838"/>
      <c r="AG81" s="2838"/>
      <c r="AH81" s="2838"/>
      <c r="AI81" s="2838"/>
      <c r="AJ81" s="2826"/>
      <c r="AK81" s="2826"/>
      <c r="AL81" s="2826"/>
      <c r="AM81" s="2826"/>
      <c r="AN81" s="2913"/>
    </row>
    <row r="82" spans="1:40" ht="13" customHeight="1" thickTop="1" thickBot="1">
      <c r="A82" s="4342" t="s">
        <v>215</v>
      </c>
      <c r="B82" s="4342">
        <v>0</v>
      </c>
      <c r="C82" s="4846"/>
      <c r="D82" s="1034"/>
      <c r="E82" s="4846"/>
      <c r="F82" s="4846"/>
      <c r="G82" s="144"/>
      <c r="H82" s="144"/>
      <c r="I82" s="144"/>
      <c r="J82" s="144"/>
      <c r="K82" s="7719" t="s">
        <v>1623</v>
      </c>
      <c r="L82" s="144"/>
      <c r="M82" s="144"/>
      <c r="N82" s="4364"/>
      <c r="O82" s="4365"/>
      <c r="P82" s="4366"/>
      <c r="Q82" s="144"/>
      <c r="R82" s="144"/>
      <c r="S82" s="3153"/>
      <c r="T82" s="3154"/>
      <c r="U82" s="7375">
        <f t="shared" ref="U82:AA82" si="71">SUM(U6:U81)</f>
        <v>3.5000000000000009</v>
      </c>
      <c r="V82" s="7375">
        <f t="shared" si="71"/>
        <v>5.9999999999999991</v>
      </c>
      <c r="W82" s="7375">
        <f t="shared" si="71"/>
        <v>2</v>
      </c>
      <c r="X82" s="7375">
        <f t="shared" si="71"/>
        <v>0.85</v>
      </c>
      <c r="Y82" s="7375">
        <f t="shared" si="71"/>
        <v>1.1999999999999997</v>
      </c>
      <c r="Z82" s="7375">
        <f t="shared" si="71"/>
        <v>1.79</v>
      </c>
      <c r="AA82" s="7375">
        <f t="shared" si="71"/>
        <v>2.5650000000000004</v>
      </c>
      <c r="AB82" s="3156">
        <f>SUM(U82:AA82)</f>
        <v>17.905000000000001</v>
      </c>
      <c r="AE82" s="2838"/>
      <c r="AF82" s="2838"/>
      <c r="AG82" s="2838"/>
      <c r="AH82" s="2838"/>
      <c r="AI82" s="2838"/>
    </row>
    <row r="83" spans="1:40" ht="12" customHeight="1" thickTop="1" thickBot="1">
      <c r="A83" s="7707" t="s">
        <v>138</v>
      </c>
      <c r="B83" s="7576">
        <v>1</v>
      </c>
      <c r="C83" s="629"/>
      <c r="D83" s="962"/>
      <c r="E83" s="1157"/>
      <c r="F83" s="1157"/>
      <c r="G83" s="1157"/>
      <c r="H83" s="629"/>
      <c r="I83" s="629"/>
      <c r="J83" s="629"/>
      <c r="K83" s="7708" t="s">
        <v>2536</v>
      </c>
      <c r="L83" s="632"/>
      <c r="M83" s="1158">
        <v>1</v>
      </c>
      <c r="N83" s="629">
        <f>P83*E83*F83+I83*E83*F83+J83*E83</f>
        <v>0</v>
      </c>
      <c r="O83" s="629">
        <f t="shared" ref="O83" si="72">D83*(G83/25)</f>
        <v>0</v>
      </c>
      <c r="P83" s="1159">
        <f>O83*M83</f>
        <v>0</v>
      </c>
      <c r="Q83" s="635">
        <v>129</v>
      </c>
      <c r="R83" s="1160"/>
      <c r="S83" s="7709"/>
      <c r="T83" s="4347"/>
      <c r="U83" s="3157">
        <f t="shared" ref="U83:AA83" si="73">IF(U82&gt;0,U82,U53)</f>
        <v>3.5000000000000009</v>
      </c>
      <c r="V83" s="3157">
        <f t="shared" si="73"/>
        <v>5.9999999999999991</v>
      </c>
      <c r="W83" s="3157">
        <f t="shared" si="73"/>
        <v>2</v>
      </c>
      <c r="X83" s="3157">
        <f t="shared" si="73"/>
        <v>0.85</v>
      </c>
      <c r="Y83" s="3157">
        <f t="shared" si="73"/>
        <v>1.1999999999999997</v>
      </c>
      <c r="Z83" s="3157">
        <f t="shared" si="73"/>
        <v>1.79</v>
      </c>
      <c r="AA83" s="3157">
        <f t="shared" si="73"/>
        <v>2.5650000000000004</v>
      </c>
      <c r="AB83" s="144"/>
    </row>
    <row r="84" spans="1:40" ht="12" customHeight="1" thickBot="1">
      <c r="A84" s="7710"/>
      <c r="B84" s="7576"/>
      <c r="C84" s="7704"/>
      <c r="D84" s="856"/>
      <c r="E84" s="7711"/>
      <c r="F84" s="7711"/>
      <c r="G84" s="7711"/>
      <c r="H84" s="7704"/>
      <c r="I84" s="7704"/>
      <c r="J84" s="7704"/>
      <c r="K84" s="7712" t="s">
        <v>1905</v>
      </c>
      <c r="L84" s="7705"/>
      <c r="M84" s="7713"/>
      <c r="N84" s="7704"/>
      <c r="O84" s="7704"/>
      <c r="P84" s="7714"/>
      <c r="Q84" s="7706"/>
      <c r="R84" s="7715"/>
      <c r="S84" s="7709"/>
      <c r="T84" s="4347"/>
      <c r="U84" s="3157"/>
      <c r="V84" s="3157"/>
      <c r="W84" s="3157"/>
      <c r="X84" s="3157"/>
      <c r="Y84" s="3157"/>
      <c r="Z84" s="3157"/>
      <c r="AA84" s="3157"/>
      <c r="AB84" s="144"/>
    </row>
    <row r="85" spans="1:40" ht="6" customHeight="1" thickBot="1">
      <c r="A85" s="7720"/>
      <c r="B85" s="7721"/>
      <c r="C85" s="7722"/>
      <c r="D85" s="7723"/>
      <c r="E85" s="7724"/>
      <c r="F85" s="7724"/>
      <c r="G85" s="7724"/>
      <c r="H85" s="7722"/>
      <c r="I85" s="7722"/>
      <c r="J85" s="7722"/>
      <c r="K85" s="7725"/>
      <c r="L85" s="7726"/>
      <c r="M85" s="7727"/>
      <c r="N85" s="7722"/>
      <c r="O85" s="7722"/>
      <c r="P85" s="7728"/>
      <c r="Q85" s="7729"/>
      <c r="R85" s="7730"/>
      <c r="S85" s="7731"/>
      <c r="T85" s="4347"/>
      <c r="U85" s="3157"/>
      <c r="V85" s="3157"/>
      <c r="W85" s="3157"/>
      <c r="X85" s="3157"/>
      <c r="Y85" s="3157"/>
      <c r="Z85" s="3157"/>
      <c r="AA85" s="3157"/>
      <c r="AB85" s="144"/>
    </row>
    <row r="86" spans="1:40" ht="14" thickBot="1">
      <c r="A86" s="7570" t="s">
        <v>138</v>
      </c>
      <c r="B86" s="7559" t="s">
        <v>215</v>
      </c>
      <c r="C86" s="7560">
        <v>3</v>
      </c>
      <c r="D86" s="7569">
        <v>7</v>
      </c>
      <c r="E86" s="7561" t="s">
        <v>1902</v>
      </c>
      <c r="F86" s="7561"/>
      <c r="G86" s="7561">
        <v>50</v>
      </c>
      <c r="H86" s="7562" t="s">
        <v>878</v>
      </c>
      <c r="I86" s="7562"/>
      <c r="J86" s="7562"/>
      <c r="K86" s="7716"/>
      <c r="L86" s="7563"/>
      <c r="M86" s="7564"/>
      <c r="N86" s="7565"/>
      <c r="O86" s="7566"/>
      <c r="P86" s="7565"/>
      <c r="Q86" s="7567"/>
      <c r="R86" s="7568"/>
      <c r="S86" s="7709"/>
      <c r="T86" s="4347"/>
      <c r="U86" s="3157">
        <f t="shared" ref="U86:AA86" si="74">IF(U83&gt;0,U83,U82)</f>
        <v>3.5000000000000009</v>
      </c>
      <c r="V86" s="3157">
        <f t="shared" si="74"/>
        <v>5.9999999999999991</v>
      </c>
      <c r="W86" s="3157">
        <f t="shared" si="74"/>
        <v>2</v>
      </c>
      <c r="X86" s="3157">
        <f t="shared" si="74"/>
        <v>0.85</v>
      </c>
      <c r="Y86" s="3157">
        <f t="shared" si="74"/>
        <v>1.1999999999999997</v>
      </c>
      <c r="Z86" s="3157">
        <f t="shared" si="74"/>
        <v>1.79</v>
      </c>
      <c r="AA86" s="3157">
        <f t="shared" si="74"/>
        <v>2.5650000000000004</v>
      </c>
      <c r="AB86" s="144"/>
      <c r="AC86" s="2837"/>
      <c r="AD86" s="2838"/>
      <c r="AE86" s="2838"/>
      <c r="AF86" s="2838"/>
      <c r="AG86" s="2838"/>
      <c r="AH86" s="2838"/>
      <c r="AI86" s="2836"/>
    </row>
    <row r="87" spans="1:40" ht="14" thickBot="1">
      <c r="A87" s="7717"/>
      <c r="B87" s="7559" t="s">
        <v>461</v>
      </c>
      <c r="C87" s="7560">
        <v>3</v>
      </c>
      <c r="D87" s="7569"/>
      <c r="E87" s="7561" t="s">
        <v>1903</v>
      </c>
      <c r="F87" s="7561"/>
      <c r="G87" s="7561">
        <v>50</v>
      </c>
      <c r="H87" s="7562" t="s">
        <v>878</v>
      </c>
      <c r="I87" s="7562"/>
      <c r="J87" s="7562"/>
      <c r="K87" s="7716" t="s">
        <v>1906</v>
      </c>
      <c r="L87" s="7563"/>
      <c r="M87" s="7564"/>
      <c r="N87" s="7565"/>
      <c r="O87" s="7566"/>
      <c r="P87" s="7565"/>
      <c r="Q87" s="7995"/>
      <c r="R87" s="7996"/>
      <c r="S87" s="7996"/>
      <c r="T87" s="4347"/>
      <c r="U87" s="3157"/>
      <c r="V87" s="3157"/>
      <c r="W87" s="3157"/>
      <c r="X87" s="3157"/>
      <c r="Y87" s="3157"/>
      <c r="Z87" s="3157"/>
      <c r="AA87" s="3157"/>
      <c r="AB87" s="144"/>
      <c r="AC87" s="2837"/>
      <c r="AD87" s="2838"/>
      <c r="AE87" s="2838"/>
      <c r="AF87" s="2838"/>
      <c r="AG87" s="2838"/>
      <c r="AH87" s="2838"/>
      <c r="AI87" s="2836"/>
    </row>
    <row r="88" spans="1:40">
      <c r="A88" s="7570" t="s">
        <v>215</v>
      </c>
      <c r="B88" s="7559" t="s">
        <v>215</v>
      </c>
      <c r="C88" s="7560">
        <v>4</v>
      </c>
      <c r="D88" s="7569"/>
      <c r="E88" s="7561" t="s">
        <v>1902</v>
      </c>
      <c r="F88" s="7561">
        <v>1</v>
      </c>
      <c r="G88" s="7561">
        <v>50</v>
      </c>
      <c r="H88" s="7562" t="s">
        <v>298</v>
      </c>
      <c r="I88" s="7562"/>
      <c r="J88" s="7562"/>
      <c r="K88" s="7716" t="s">
        <v>1907</v>
      </c>
      <c r="L88" s="7563"/>
      <c r="M88" s="7564"/>
      <c r="N88" s="7565"/>
      <c r="O88" s="7566"/>
      <c r="P88" s="7565"/>
      <c r="Q88" s="7567"/>
      <c r="R88" s="7568"/>
      <c r="S88" s="7709"/>
      <c r="T88" s="4347"/>
      <c r="U88" s="3157">
        <f t="shared" ref="U88:AA88" si="75">IF(U86&gt;0,U86,U83)</f>
        <v>3.5000000000000009</v>
      </c>
      <c r="V88" s="3157">
        <f t="shared" si="75"/>
        <v>5.9999999999999991</v>
      </c>
      <c r="W88" s="3157">
        <f t="shared" si="75"/>
        <v>2</v>
      </c>
      <c r="X88" s="3157">
        <f t="shared" si="75"/>
        <v>0.85</v>
      </c>
      <c r="Y88" s="3157">
        <f t="shared" si="75"/>
        <v>1.1999999999999997</v>
      </c>
      <c r="Z88" s="3157">
        <f t="shared" si="75"/>
        <v>1.79</v>
      </c>
      <c r="AA88" s="3157">
        <f t="shared" si="75"/>
        <v>2.5650000000000004</v>
      </c>
      <c r="AB88" s="144"/>
      <c r="AC88" s="2867" t="s">
        <v>193</v>
      </c>
      <c r="AD88" s="2937"/>
      <c r="AE88" s="2937"/>
      <c r="AF88" s="2937"/>
      <c r="AG88" s="2937"/>
      <c r="AH88" s="2937"/>
      <c r="AI88" s="2935"/>
      <c r="AJ88" s="1"/>
      <c r="AK88" s="1"/>
      <c r="AL88" s="1"/>
      <c r="AM88" s="1"/>
      <c r="AN88" s="1"/>
    </row>
    <row r="89" spans="1:40">
      <c r="A89" s="7571"/>
      <c r="B89" s="7559" t="s">
        <v>461</v>
      </c>
      <c r="C89" s="7560">
        <v>4</v>
      </c>
      <c r="D89" s="7569"/>
      <c r="E89" s="7561" t="s">
        <v>1903</v>
      </c>
      <c r="F89" s="7561"/>
      <c r="G89" s="7561">
        <v>50</v>
      </c>
      <c r="H89" s="7562" t="s">
        <v>2537</v>
      </c>
      <c r="I89" s="7562"/>
      <c r="J89" s="7562"/>
      <c r="K89" s="7716"/>
      <c r="L89" s="7563"/>
      <c r="M89" s="7564"/>
      <c r="N89" s="7565"/>
      <c r="O89" s="7566"/>
      <c r="P89" s="7565"/>
      <c r="Q89" s="7567"/>
      <c r="R89" s="7568"/>
      <c r="S89" s="7709"/>
      <c r="T89" s="4347"/>
      <c r="U89" s="3157"/>
      <c r="V89" s="3157"/>
      <c r="W89" s="3157"/>
      <c r="X89" s="3157"/>
      <c r="Y89" s="3157"/>
      <c r="Z89" s="3157"/>
      <c r="AA89" s="3157"/>
      <c r="AB89" s="144"/>
      <c r="AC89" s="2867"/>
      <c r="AD89" s="2937"/>
      <c r="AE89" s="2937"/>
      <c r="AF89" s="2937"/>
      <c r="AG89" s="2937"/>
      <c r="AH89" s="2937"/>
      <c r="AI89" s="2935"/>
      <c r="AJ89" s="1"/>
      <c r="AK89" s="1"/>
      <c r="AL89" s="1"/>
      <c r="AM89" s="1"/>
      <c r="AN89" s="1"/>
    </row>
    <row r="90" spans="1:40" ht="14" thickBot="1">
      <c r="A90" s="7572" t="s">
        <v>217</v>
      </c>
      <c r="B90" s="7573" t="s">
        <v>215</v>
      </c>
      <c r="C90" s="7560">
        <v>5</v>
      </c>
      <c r="D90" s="7569">
        <v>7</v>
      </c>
      <c r="E90" s="7561" t="s">
        <v>1902</v>
      </c>
      <c r="F90" s="7561">
        <v>1</v>
      </c>
      <c r="G90" s="7561"/>
      <c r="H90" s="7562"/>
      <c r="I90" s="7562"/>
      <c r="J90" s="7562"/>
      <c r="K90" s="7712" t="s">
        <v>1905</v>
      </c>
      <c r="L90" s="7563"/>
      <c r="M90" s="7564"/>
      <c r="N90" s="7565"/>
      <c r="O90" s="7566"/>
      <c r="P90" s="7565"/>
      <c r="Q90" s="7567"/>
      <c r="R90" s="7568"/>
      <c r="S90" s="7709"/>
      <c r="T90" s="4347"/>
      <c r="U90" s="3157">
        <f t="shared" ref="U90:AA90" si="76">IF(U88&gt;0,U88,U86)</f>
        <v>3.5000000000000009</v>
      </c>
      <c r="V90" s="3157">
        <f t="shared" si="76"/>
        <v>5.9999999999999991</v>
      </c>
      <c r="W90" s="3157">
        <f t="shared" si="76"/>
        <v>2</v>
      </c>
      <c r="X90" s="3157">
        <f t="shared" si="76"/>
        <v>0.85</v>
      </c>
      <c r="Y90" s="3157">
        <f t="shared" si="76"/>
        <v>1.1999999999999997</v>
      </c>
      <c r="Z90" s="3157">
        <f t="shared" si="76"/>
        <v>1.79</v>
      </c>
      <c r="AA90" s="3157">
        <f t="shared" si="76"/>
        <v>2.5650000000000004</v>
      </c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935"/>
      <c r="AJ90" s="1"/>
      <c r="AK90" s="1"/>
      <c r="AL90" s="1"/>
      <c r="AM90" s="1"/>
      <c r="AN90" s="1"/>
    </row>
    <row r="91" spans="1:40" ht="14" thickBot="1">
      <c r="A91" s="7572" t="s">
        <v>218</v>
      </c>
      <c r="B91" s="7573" t="s">
        <v>215</v>
      </c>
      <c r="C91" s="7560">
        <v>6</v>
      </c>
      <c r="D91" s="4345">
        <v>7</v>
      </c>
      <c r="E91" s="7561" t="s">
        <v>1902</v>
      </c>
      <c r="F91" s="7561">
        <v>1</v>
      </c>
      <c r="G91" s="7561">
        <v>100</v>
      </c>
      <c r="H91" s="7562" t="s">
        <v>878</v>
      </c>
      <c r="I91" s="7562"/>
      <c r="J91" s="7562"/>
      <c r="K91" s="7718"/>
      <c r="L91" s="7563"/>
      <c r="M91" s="7564"/>
      <c r="N91" s="7565"/>
      <c r="O91" s="7566"/>
      <c r="P91" s="7565"/>
      <c r="Q91" s="7567"/>
      <c r="R91" s="7568"/>
      <c r="S91" s="7709"/>
      <c r="T91" s="4347"/>
      <c r="U91" s="3157">
        <f t="shared" ref="U91:AA91" si="77">IF(U90&gt;0,U90,U88)</f>
        <v>3.5000000000000009</v>
      </c>
      <c r="V91" s="3157">
        <f t="shared" si="77"/>
        <v>5.9999999999999991</v>
      </c>
      <c r="W91" s="3157">
        <f t="shared" si="77"/>
        <v>2</v>
      </c>
      <c r="X91" s="3157">
        <f t="shared" si="77"/>
        <v>0.85</v>
      </c>
      <c r="Y91" s="3157">
        <f t="shared" si="77"/>
        <v>1.1999999999999997</v>
      </c>
      <c r="Z91" s="3157">
        <f t="shared" si="77"/>
        <v>1.79</v>
      </c>
      <c r="AA91" s="3157">
        <f t="shared" si="77"/>
        <v>2.5650000000000004</v>
      </c>
      <c r="AB91" s="144"/>
      <c r="AC91" s="2867"/>
      <c r="AD91" s="2867"/>
      <c r="AE91" s="2867"/>
      <c r="AF91" s="2867"/>
      <c r="AG91" s="2867"/>
      <c r="AH91" s="2867"/>
      <c r="AI91" s="2935"/>
      <c r="AJ91" s="1"/>
      <c r="AK91" s="1"/>
      <c r="AL91" s="1"/>
      <c r="AM91" s="1"/>
      <c r="AN91" s="1"/>
    </row>
    <row r="92" spans="1:40" ht="14" thickBot="1">
      <c r="A92" s="7572"/>
      <c r="B92" s="7573"/>
      <c r="C92" s="7560">
        <v>6</v>
      </c>
      <c r="D92" s="4345"/>
      <c r="E92" s="7561" t="s">
        <v>1903</v>
      </c>
      <c r="F92" s="7561"/>
      <c r="G92" s="7561">
        <v>100</v>
      </c>
      <c r="H92" s="7562" t="s">
        <v>878</v>
      </c>
      <c r="I92" s="7562"/>
      <c r="J92" s="7562"/>
      <c r="K92" s="7718" t="s">
        <v>1908</v>
      </c>
      <c r="L92" s="7563"/>
      <c r="M92" s="7564"/>
      <c r="N92" s="7565"/>
      <c r="O92" s="7566"/>
      <c r="P92" s="7565"/>
      <c r="Q92" s="7567"/>
      <c r="R92" s="7568"/>
      <c r="S92" s="7709"/>
      <c r="T92" s="4347"/>
      <c r="U92" s="3157"/>
      <c r="V92" s="3157"/>
      <c r="W92" s="3157"/>
      <c r="X92" s="3157"/>
      <c r="Y92" s="3157"/>
      <c r="Z92" s="3157"/>
      <c r="AA92" s="3157"/>
      <c r="AB92" s="144"/>
      <c r="AC92" s="2867"/>
      <c r="AD92" s="2867"/>
      <c r="AE92" s="2867"/>
      <c r="AF92" s="2867"/>
      <c r="AG92" s="2867"/>
      <c r="AH92" s="2867"/>
      <c r="AI92" s="2935"/>
      <c r="AJ92" s="1"/>
      <c r="AK92" s="1"/>
      <c r="AL92" s="1"/>
      <c r="AM92" s="1"/>
      <c r="AN92" s="1"/>
    </row>
    <row r="93" spans="1:40" ht="14" thickBot="1">
      <c r="A93" s="7572" t="s">
        <v>219</v>
      </c>
      <c r="B93" s="7573" t="s">
        <v>461</v>
      </c>
      <c r="C93" s="7560">
        <v>7</v>
      </c>
      <c r="D93" s="4345"/>
      <c r="E93" s="7561" t="s">
        <v>1902</v>
      </c>
      <c r="F93" s="7561"/>
      <c r="G93" s="7561">
        <v>100</v>
      </c>
      <c r="H93" s="7562" t="s">
        <v>298</v>
      </c>
      <c r="I93" s="7562"/>
      <c r="J93" s="7562"/>
      <c r="K93" s="7718" t="s">
        <v>1909</v>
      </c>
      <c r="L93" s="7574"/>
      <c r="M93" s="7564"/>
      <c r="N93" s="7565"/>
      <c r="O93" s="7566"/>
      <c r="P93" s="7565"/>
      <c r="Q93" s="7567"/>
      <c r="R93" s="7568"/>
      <c r="S93" s="7709"/>
      <c r="T93" s="4347"/>
      <c r="U93" s="3157"/>
      <c r="V93" s="3157"/>
      <c r="W93" s="3157"/>
      <c r="X93" s="3157"/>
      <c r="Y93" s="3157"/>
      <c r="Z93" s="3157"/>
      <c r="AA93" s="3157"/>
      <c r="AB93" s="144"/>
      <c r="AC93" s="2867"/>
      <c r="AD93" s="2867"/>
      <c r="AE93" s="2867"/>
      <c r="AF93" s="2867"/>
      <c r="AG93" s="2867"/>
      <c r="AH93" s="2867"/>
      <c r="AI93" s="2935"/>
      <c r="AJ93" s="1"/>
      <c r="AK93" s="1"/>
      <c r="AL93" s="1"/>
      <c r="AM93" s="1"/>
      <c r="AN93" s="1"/>
    </row>
    <row r="94" spans="1:40" ht="14" thickBot="1">
      <c r="A94" s="7572"/>
      <c r="B94" s="7573" t="s">
        <v>461</v>
      </c>
      <c r="C94" s="7560">
        <v>7</v>
      </c>
      <c r="D94" s="4345"/>
      <c r="E94" s="7561" t="s">
        <v>1903</v>
      </c>
      <c r="F94" s="7561"/>
      <c r="G94" s="7561">
        <v>100</v>
      </c>
      <c r="H94" s="7562" t="s">
        <v>298</v>
      </c>
      <c r="I94" s="7562"/>
      <c r="J94" s="7562"/>
      <c r="K94" s="7718"/>
      <c r="L94" s="7574"/>
      <c r="M94" s="7564"/>
      <c r="N94" s="7565"/>
      <c r="O94" s="7566"/>
      <c r="P94" s="7565"/>
      <c r="Q94" s="7995"/>
      <c r="R94" s="7996"/>
      <c r="S94" s="7996"/>
      <c r="T94" s="4347"/>
      <c r="U94" s="3157">
        <f t="shared" ref="U94:AA94" si="78">IF(U91&gt;0,U91,U90)</f>
        <v>3.5000000000000009</v>
      </c>
      <c r="V94" s="3157">
        <f t="shared" si="78"/>
        <v>5.9999999999999991</v>
      </c>
      <c r="W94" s="3157">
        <f t="shared" si="78"/>
        <v>2</v>
      </c>
      <c r="X94" s="3157">
        <f t="shared" si="78"/>
        <v>0.85</v>
      </c>
      <c r="Y94" s="3157">
        <f t="shared" si="78"/>
        <v>1.1999999999999997</v>
      </c>
      <c r="Z94" s="3157">
        <f t="shared" si="78"/>
        <v>1.79</v>
      </c>
      <c r="AA94" s="3157">
        <f t="shared" si="78"/>
        <v>2.5650000000000004</v>
      </c>
      <c r="AB94" s="144"/>
      <c r="AC94" s="2867"/>
      <c r="AD94" s="2867"/>
      <c r="AE94" s="2867"/>
      <c r="AF94" s="2867"/>
      <c r="AG94" s="2867"/>
      <c r="AH94" s="2867"/>
      <c r="AI94" s="293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3157">
        <f t="shared" ref="U95:AA95" si="79">IF(U94&gt;0,U94,U91)</f>
        <v>3.5000000000000009</v>
      </c>
      <c r="V95" s="3157">
        <f t="shared" si="79"/>
        <v>5.9999999999999991</v>
      </c>
      <c r="W95" s="3157">
        <f t="shared" si="79"/>
        <v>2</v>
      </c>
      <c r="X95" s="3157">
        <f t="shared" si="79"/>
        <v>0.85</v>
      </c>
      <c r="Y95" s="3157">
        <f t="shared" si="79"/>
        <v>1.1999999999999997</v>
      </c>
      <c r="Z95" s="3157">
        <f t="shared" si="79"/>
        <v>1.79</v>
      </c>
      <c r="AA95" s="3157">
        <f t="shared" si="79"/>
        <v>2.5650000000000004</v>
      </c>
      <c r="AB95" s="144"/>
      <c r="AC95" s="2867">
        <v>0</v>
      </c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93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3157">
        <f t="shared" ref="U96:AA100" si="80">IF(U95&gt;0,U95,U94)</f>
        <v>3.5000000000000009</v>
      </c>
      <c r="V96" s="3157">
        <f t="shared" si="80"/>
        <v>5.9999999999999991</v>
      </c>
      <c r="W96" s="3157">
        <f t="shared" si="80"/>
        <v>2</v>
      </c>
      <c r="X96" s="3157">
        <f t="shared" si="80"/>
        <v>0.85</v>
      </c>
      <c r="Y96" s="3157">
        <f t="shared" si="80"/>
        <v>1.1999999999999997</v>
      </c>
      <c r="Z96" s="3157">
        <f t="shared" si="80"/>
        <v>1.79</v>
      </c>
      <c r="AA96" s="3157">
        <f t="shared" si="80"/>
        <v>2.5650000000000004</v>
      </c>
      <c r="AB96" s="144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3157">
        <f t="shared" si="80"/>
        <v>3.5000000000000009</v>
      </c>
      <c r="V97" s="3157">
        <f t="shared" si="80"/>
        <v>5.9999999999999991</v>
      </c>
      <c r="W97" s="3157">
        <f t="shared" si="80"/>
        <v>2</v>
      </c>
      <c r="X97" s="3157">
        <f t="shared" si="80"/>
        <v>0.85</v>
      </c>
      <c r="Y97" s="3157">
        <f t="shared" si="80"/>
        <v>1.1999999999999997</v>
      </c>
      <c r="Z97" s="3157">
        <f t="shared" si="80"/>
        <v>1.79</v>
      </c>
      <c r="AA97" s="3157">
        <f t="shared" si="80"/>
        <v>2.5650000000000004</v>
      </c>
      <c r="AB97" s="144"/>
      <c r="AC97" s="2867"/>
      <c r="AD97" s="2867"/>
      <c r="AE97" s="2867"/>
      <c r="AF97" s="2867"/>
      <c r="AG97" s="2867"/>
      <c r="AH97" s="2867"/>
      <c r="AI97" s="2825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3157">
        <f t="shared" si="80"/>
        <v>3.5000000000000009</v>
      </c>
      <c r="V98" s="3157">
        <f t="shared" si="80"/>
        <v>5.9999999999999991</v>
      </c>
      <c r="W98" s="3157">
        <f t="shared" si="80"/>
        <v>2</v>
      </c>
      <c r="X98" s="3157">
        <f t="shared" si="80"/>
        <v>0.85</v>
      </c>
      <c r="Y98" s="3157">
        <f t="shared" si="80"/>
        <v>1.1999999999999997</v>
      </c>
      <c r="Z98" s="3157">
        <f t="shared" si="80"/>
        <v>1.79</v>
      </c>
      <c r="AA98" s="3157">
        <f t="shared" si="80"/>
        <v>2.5650000000000004</v>
      </c>
      <c r="AB98" s="144"/>
      <c r="AC98" s="2867"/>
      <c r="AD98" s="2867"/>
      <c r="AE98" s="2867"/>
      <c r="AF98" s="2867"/>
      <c r="AG98" s="2867"/>
      <c r="AH98" s="2867"/>
      <c r="AI98" s="2825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3157">
        <f t="shared" si="80"/>
        <v>3.5000000000000009</v>
      </c>
      <c r="V99" s="3157">
        <f t="shared" si="80"/>
        <v>5.9999999999999991</v>
      </c>
      <c r="W99" s="3157">
        <f t="shared" si="80"/>
        <v>2</v>
      </c>
      <c r="X99" s="3157">
        <f t="shared" si="80"/>
        <v>0.85</v>
      </c>
      <c r="Y99" s="3157">
        <f t="shared" si="80"/>
        <v>1.1999999999999997</v>
      </c>
      <c r="Z99" s="3157">
        <f t="shared" si="80"/>
        <v>1.79</v>
      </c>
      <c r="AA99" s="3157">
        <f t="shared" si="80"/>
        <v>2.5650000000000004</v>
      </c>
      <c r="AB99" s="144"/>
      <c r="AC99" s="2867">
        <v>0</v>
      </c>
      <c r="AD99" s="2867">
        <v>0</v>
      </c>
      <c r="AE99" s="2867">
        <v>0</v>
      </c>
      <c r="AF99" s="2867">
        <v>0</v>
      </c>
      <c r="AG99" s="2867">
        <v>0</v>
      </c>
      <c r="AH99" s="2867">
        <v>0</v>
      </c>
      <c r="AI99" s="2825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3157">
        <f t="shared" si="80"/>
        <v>3.5000000000000009</v>
      </c>
      <c r="V100" s="3157">
        <f t="shared" si="80"/>
        <v>5.9999999999999991</v>
      </c>
      <c r="W100" s="3157">
        <f t="shared" si="80"/>
        <v>2</v>
      </c>
      <c r="X100" s="3157">
        <f t="shared" si="80"/>
        <v>0.85</v>
      </c>
      <c r="Y100" s="3157">
        <f t="shared" si="80"/>
        <v>1.1999999999999997</v>
      </c>
      <c r="Z100" s="3157">
        <f t="shared" si="80"/>
        <v>1.79</v>
      </c>
      <c r="AA100" s="3157">
        <f t="shared" si="80"/>
        <v>2.5650000000000004</v>
      </c>
      <c r="AB100" s="144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3157">
        <f t="shared" ref="U101:AA116" si="81">IF(U100&gt;0,U100,U99)</f>
        <v>3.5000000000000009</v>
      </c>
      <c r="V101" s="3157">
        <f t="shared" si="81"/>
        <v>5.9999999999999991</v>
      </c>
      <c r="W101" s="3157">
        <f t="shared" si="81"/>
        <v>2</v>
      </c>
      <c r="X101" s="3157">
        <f t="shared" si="81"/>
        <v>0.85</v>
      </c>
      <c r="Y101" s="3157">
        <f t="shared" si="81"/>
        <v>1.1999999999999997</v>
      </c>
      <c r="Z101" s="3157">
        <f t="shared" si="81"/>
        <v>1.79</v>
      </c>
      <c r="AA101" s="3157">
        <f t="shared" si="81"/>
        <v>2.5650000000000004</v>
      </c>
      <c r="AB101" s="144"/>
      <c r="AC101" s="2867">
        <v>0</v>
      </c>
      <c r="AD101" s="2867">
        <v>0</v>
      </c>
      <c r="AE101" s="2867">
        <v>0</v>
      </c>
      <c r="AF101" s="2867">
        <v>0</v>
      </c>
      <c r="AG101" s="2867">
        <v>0</v>
      </c>
      <c r="AH101" s="2867">
        <v>0</v>
      </c>
      <c r="AI101" s="2825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3157">
        <f t="shared" si="81"/>
        <v>3.5000000000000009</v>
      </c>
      <c r="V102" s="3157">
        <f t="shared" si="81"/>
        <v>5.9999999999999991</v>
      </c>
      <c r="W102" s="3157">
        <f t="shared" si="81"/>
        <v>2</v>
      </c>
      <c r="X102" s="3157">
        <f t="shared" si="81"/>
        <v>0.85</v>
      </c>
      <c r="Y102" s="3157">
        <f t="shared" si="81"/>
        <v>1.1999999999999997</v>
      </c>
      <c r="Z102" s="3157">
        <f t="shared" si="81"/>
        <v>1.79</v>
      </c>
      <c r="AA102" s="3157">
        <f t="shared" si="81"/>
        <v>2.5650000000000004</v>
      </c>
      <c r="AB102" s="144"/>
      <c r="AC102" s="2867">
        <v>0</v>
      </c>
      <c r="AD102" s="2867">
        <v>0</v>
      </c>
      <c r="AE102" s="2867">
        <v>0</v>
      </c>
      <c r="AF102" s="2867">
        <v>0</v>
      </c>
      <c r="AG102" s="2867">
        <v>0</v>
      </c>
      <c r="AH102" s="2867">
        <v>0</v>
      </c>
      <c r="AI102" s="2825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3157">
        <f t="shared" si="81"/>
        <v>3.5000000000000009</v>
      </c>
      <c r="V103" s="3157">
        <f t="shared" si="81"/>
        <v>5.9999999999999991</v>
      </c>
      <c r="W103" s="3157">
        <f t="shared" si="81"/>
        <v>2</v>
      </c>
      <c r="X103" s="3157">
        <f t="shared" si="81"/>
        <v>0.85</v>
      </c>
      <c r="Y103" s="3157">
        <f t="shared" si="81"/>
        <v>1.1999999999999997</v>
      </c>
      <c r="Z103" s="3157">
        <f t="shared" si="81"/>
        <v>1.79</v>
      </c>
      <c r="AA103" s="3157">
        <f t="shared" si="81"/>
        <v>2.5650000000000004</v>
      </c>
      <c r="AB103" s="144"/>
      <c r="AC103" s="2867"/>
      <c r="AD103" s="2867"/>
      <c r="AE103" s="2867"/>
      <c r="AF103" s="2867"/>
      <c r="AG103" s="2867"/>
      <c r="AH103" s="2867"/>
      <c r="AI103" s="2825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3157">
        <f t="shared" si="81"/>
        <v>3.5000000000000009</v>
      </c>
      <c r="V104" s="3157">
        <f t="shared" si="81"/>
        <v>5.9999999999999991</v>
      </c>
      <c r="W104" s="3157">
        <f t="shared" si="81"/>
        <v>2</v>
      </c>
      <c r="X104" s="3157">
        <f t="shared" si="81"/>
        <v>0.85</v>
      </c>
      <c r="Y104" s="3157">
        <f t="shared" si="81"/>
        <v>1.1999999999999997</v>
      </c>
      <c r="Z104" s="3157">
        <f t="shared" si="81"/>
        <v>1.79</v>
      </c>
      <c r="AA104" s="3157">
        <f t="shared" si="81"/>
        <v>2.5650000000000004</v>
      </c>
      <c r="AB104" s="144"/>
      <c r="AC104" s="2867"/>
      <c r="AD104" s="2867"/>
      <c r="AE104" s="2867"/>
      <c r="AF104" s="2867"/>
      <c r="AG104" s="2867"/>
      <c r="AH104" s="2867"/>
      <c r="AI104" s="2825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3157">
        <f t="shared" si="81"/>
        <v>3.5000000000000009</v>
      </c>
      <c r="V105" s="3157">
        <f t="shared" si="81"/>
        <v>5.9999999999999991</v>
      </c>
      <c r="W105" s="3157">
        <f t="shared" si="81"/>
        <v>2</v>
      </c>
      <c r="X105" s="3157">
        <f t="shared" si="81"/>
        <v>0.85</v>
      </c>
      <c r="Y105" s="3157">
        <f t="shared" si="81"/>
        <v>1.1999999999999997</v>
      </c>
      <c r="Z105" s="3157">
        <f t="shared" si="81"/>
        <v>1.79</v>
      </c>
      <c r="AA105" s="3157">
        <f t="shared" si="81"/>
        <v>2.5650000000000004</v>
      </c>
      <c r="AB105" s="144"/>
      <c r="AC105" s="2867">
        <v>0</v>
      </c>
      <c r="AD105" s="2867">
        <v>0</v>
      </c>
      <c r="AE105" s="2867">
        <v>0</v>
      </c>
      <c r="AF105" s="2867">
        <v>0</v>
      </c>
      <c r="AG105" s="2867">
        <v>0</v>
      </c>
      <c r="AH105" s="2867">
        <v>0</v>
      </c>
      <c r="AI105" s="2825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3157">
        <f t="shared" si="81"/>
        <v>3.5000000000000009</v>
      </c>
      <c r="V106" s="3157">
        <f t="shared" si="81"/>
        <v>5.9999999999999991</v>
      </c>
      <c r="W106" s="3157">
        <f t="shared" si="81"/>
        <v>2</v>
      </c>
      <c r="X106" s="3157">
        <f t="shared" si="81"/>
        <v>0.85</v>
      </c>
      <c r="Y106" s="3157">
        <f t="shared" si="81"/>
        <v>1.1999999999999997</v>
      </c>
      <c r="Z106" s="3157">
        <f t="shared" si="81"/>
        <v>1.79</v>
      </c>
      <c r="AA106" s="3157">
        <f t="shared" si="81"/>
        <v>2.5650000000000004</v>
      </c>
      <c r="AB106" s="144"/>
      <c r="AC106" s="2867">
        <v>0</v>
      </c>
      <c r="AD106" s="2867">
        <v>0</v>
      </c>
      <c r="AE106" s="2867">
        <v>0</v>
      </c>
      <c r="AF106" s="2867">
        <v>0</v>
      </c>
      <c r="AG106" s="2867">
        <v>0</v>
      </c>
      <c r="AH106" s="2867">
        <v>0</v>
      </c>
      <c r="AI106" s="2825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3157">
        <f t="shared" si="81"/>
        <v>3.5000000000000009</v>
      </c>
      <c r="V107" s="3157">
        <f t="shared" si="81"/>
        <v>5.9999999999999991</v>
      </c>
      <c r="W107" s="3157">
        <f t="shared" si="81"/>
        <v>2</v>
      </c>
      <c r="X107" s="3157">
        <f t="shared" si="81"/>
        <v>0.85</v>
      </c>
      <c r="Y107" s="3157">
        <f t="shared" si="81"/>
        <v>1.1999999999999997</v>
      </c>
      <c r="Z107" s="3157">
        <f t="shared" si="81"/>
        <v>1.79</v>
      </c>
      <c r="AA107" s="3157">
        <f t="shared" si="81"/>
        <v>2.5650000000000004</v>
      </c>
      <c r="AB107" s="144"/>
      <c r="AC107" s="2867">
        <v>0</v>
      </c>
      <c r="AD107" s="2867">
        <v>0</v>
      </c>
      <c r="AE107" s="2867">
        <v>0</v>
      </c>
      <c r="AF107" s="2867">
        <v>0</v>
      </c>
      <c r="AG107" s="2867">
        <v>0</v>
      </c>
      <c r="AH107" s="2867">
        <v>0</v>
      </c>
      <c r="AI107" s="2825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3157">
        <f t="shared" si="81"/>
        <v>3.5000000000000009</v>
      </c>
      <c r="V108" s="3157">
        <f t="shared" si="81"/>
        <v>5.9999999999999991</v>
      </c>
      <c r="W108" s="3157">
        <f t="shared" si="81"/>
        <v>2</v>
      </c>
      <c r="X108" s="3157">
        <f t="shared" si="81"/>
        <v>0.85</v>
      </c>
      <c r="Y108" s="3157">
        <f t="shared" si="81"/>
        <v>1.1999999999999997</v>
      </c>
      <c r="Z108" s="3157">
        <f t="shared" si="81"/>
        <v>1.79</v>
      </c>
      <c r="AA108" s="3157">
        <f t="shared" si="81"/>
        <v>2.5650000000000004</v>
      </c>
      <c r="AB108" s="144"/>
      <c r="AC108" s="2867"/>
      <c r="AD108" s="2867"/>
      <c r="AE108" s="2867"/>
      <c r="AF108" s="2867"/>
      <c r="AG108" s="2867"/>
      <c r="AH108" s="2867"/>
      <c r="AI108" s="2825"/>
      <c r="AJ108" s="1"/>
      <c r="AK108" s="1"/>
      <c r="AL108" s="1"/>
      <c r="AM108" s="1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3157">
        <f t="shared" si="81"/>
        <v>3.5000000000000009</v>
      </c>
      <c r="V109" s="3157">
        <f t="shared" si="81"/>
        <v>5.9999999999999991</v>
      </c>
      <c r="W109" s="3157">
        <f t="shared" si="81"/>
        <v>2</v>
      </c>
      <c r="X109" s="3157">
        <f t="shared" si="81"/>
        <v>0.85</v>
      </c>
      <c r="Y109" s="3157">
        <f t="shared" si="81"/>
        <v>1.1999999999999997</v>
      </c>
      <c r="Z109" s="3157">
        <f t="shared" si="81"/>
        <v>1.79</v>
      </c>
      <c r="AA109" s="3157">
        <f t="shared" si="81"/>
        <v>2.5650000000000004</v>
      </c>
      <c r="AB109" s="144"/>
      <c r="AC109" s="2867"/>
      <c r="AD109" s="2867"/>
      <c r="AE109" s="2867"/>
      <c r="AF109" s="2867"/>
      <c r="AG109" s="2867"/>
      <c r="AH109" s="2867"/>
      <c r="AI109" s="2825"/>
      <c r="AJ109" s="1"/>
      <c r="AK109" s="1"/>
      <c r="AL109" s="1"/>
      <c r="AM109" s="1"/>
      <c r="AN109" s="1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3157">
        <f t="shared" si="81"/>
        <v>3.5000000000000009</v>
      </c>
      <c r="V110" s="3157">
        <f t="shared" si="81"/>
        <v>5.9999999999999991</v>
      </c>
      <c r="W110" s="3157">
        <f t="shared" si="81"/>
        <v>2</v>
      </c>
      <c r="X110" s="3157">
        <f t="shared" si="81"/>
        <v>0.85</v>
      </c>
      <c r="Y110" s="3157">
        <f t="shared" si="81"/>
        <v>1.1999999999999997</v>
      </c>
      <c r="Z110" s="3157">
        <f t="shared" si="81"/>
        <v>1.79</v>
      </c>
      <c r="AA110" s="3157">
        <f t="shared" si="81"/>
        <v>2.5650000000000004</v>
      </c>
      <c r="AB110" s="144"/>
      <c r="AC110" s="2867">
        <v>0</v>
      </c>
      <c r="AD110" s="2867">
        <v>0</v>
      </c>
      <c r="AE110" s="2867">
        <v>0</v>
      </c>
      <c r="AF110" s="2867">
        <v>0</v>
      </c>
      <c r="AG110" s="2867">
        <v>0</v>
      </c>
      <c r="AH110" s="2867">
        <v>0</v>
      </c>
      <c r="AI110" s="2825"/>
      <c r="AJ110" s="1"/>
      <c r="AK110" s="1"/>
      <c r="AL110" s="1"/>
      <c r="AM110" s="1"/>
      <c r="AN110" s="1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3157">
        <f t="shared" si="81"/>
        <v>3.5000000000000009</v>
      </c>
      <c r="V111" s="3157">
        <f t="shared" si="81"/>
        <v>5.9999999999999991</v>
      </c>
      <c r="W111" s="3157">
        <f t="shared" si="81"/>
        <v>2</v>
      </c>
      <c r="X111" s="3157">
        <f t="shared" si="81"/>
        <v>0.85</v>
      </c>
      <c r="Y111" s="3157">
        <f t="shared" si="81"/>
        <v>1.1999999999999997</v>
      </c>
      <c r="Z111" s="3157">
        <f t="shared" si="81"/>
        <v>1.79</v>
      </c>
      <c r="AA111" s="3157">
        <f t="shared" si="81"/>
        <v>2.5650000000000004</v>
      </c>
      <c r="AB111" s="144"/>
      <c r="AC111" s="2867">
        <v>0</v>
      </c>
      <c r="AD111" s="2867">
        <v>0</v>
      </c>
      <c r="AE111" s="2867">
        <v>0</v>
      </c>
      <c r="AF111" s="2867">
        <v>0</v>
      </c>
      <c r="AG111" s="2867">
        <v>0</v>
      </c>
      <c r="AH111" s="2867">
        <v>0</v>
      </c>
      <c r="AI111" s="2825"/>
      <c r="AJ111" s="1"/>
      <c r="AK111" s="1"/>
      <c r="AL111" s="1"/>
      <c r="AM111" s="1"/>
      <c r="AN111" s="1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3157">
        <f t="shared" si="81"/>
        <v>3.5000000000000009</v>
      </c>
      <c r="V112" s="3157">
        <f t="shared" si="81"/>
        <v>5.9999999999999991</v>
      </c>
      <c r="W112" s="3157">
        <f t="shared" si="81"/>
        <v>2</v>
      </c>
      <c r="X112" s="3157">
        <f t="shared" si="81"/>
        <v>0.85</v>
      </c>
      <c r="Y112" s="3157">
        <f t="shared" si="81"/>
        <v>1.1999999999999997</v>
      </c>
      <c r="Z112" s="3157">
        <f t="shared" si="81"/>
        <v>1.79</v>
      </c>
      <c r="AA112" s="3157">
        <f t="shared" si="81"/>
        <v>2.5650000000000004</v>
      </c>
      <c r="AB112" s="144"/>
      <c r="AC112" s="2867">
        <v>0</v>
      </c>
      <c r="AD112" s="2867">
        <v>0</v>
      </c>
      <c r="AE112" s="2867">
        <v>0</v>
      </c>
      <c r="AF112" s="2867">
        <v>0</v>
      </c>
      <c r="AG112" s="2867">
        <v>0</v>
      </c>
      <c r="AH112" s="2867">
        <v>0</v>
      </c>
      <c r="AI112" s="2825"/>
      <c r="AJ112" s="1"/>
      <c r="AK112" s="1"/>
      <c r="AL112" s="1"/>
      <c r="AM112" s="1"/>
      <c r="AN112" s="1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3157">
        <f t="shared" si="81"/>
        <v>3.5000000000000009</v>
      </c>
      <c r="V113" s="3157">
        <f t="shared" si="81"/>
        <v>5.9999999999999991</v>
      </c>
      <c r="W113" s="3157">
        <f t="shared" si="81"/>
        <v>2</v>
      </c>
      <c r="X113" s="3157">
        <f t="shared" si="81"/>
        <v>0.85</v>
      </c>
      <c r="Y113" s="3157">
        <f t="shared" si="81"/>
        <v>1.1999999999999997</v>
      </c>
      <c r="Z113" s="3157">
        <f t="shared" si="81"/>
        <v>1.79</v>
      </c>
      <c r="AA113" s="3157">
        <f t="shared" si="81"/>
        <v>2.5650000000000004</v>
      </c>
      <c r="AB113" s="144"/>
      <c r="AC113" s="2867"/>
      <c r="AD113" s="2867"/>
      <c r="AE113" s="2867"/>
      <c r="AF113" s="2867"/>
      <c r="AG113" s="2867"/>
      <c r="AH113" s="2867"/>
      <c r="AI113" s="2825"/>
      <c r="AJ113" s="1"/>
      <c r="AK113" s="1"/>
      <c r="AL113" s="1"/>
      <c r="AM113" s="1"/>
      <c r="AN113" s="1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3157">
        <f t="shared" si="81"/>
        <v>3.5000000000000009</v>
      </c>
      <c r="V114" s="3157">
        <f t="shared" si="81"/>
        <v>5.9999999999999991</v>
      </c>
      <c r="W114" s="3157">
        <f t="shared" si="81"/>
        <v>2</v>
      </c>
      <c r="X114" s="3157">
        <f t="shared" si="81"/>
        <v>0.85</v>
      </c>
      <c r="Y114" s="3157">
        <f t="shared" si="81"/>
        <v>1.1999999999999997</v>
      </c>
      <c r="Z114" s="3157">
        <f t="shared" si="81"/>
        <v>1.79</v>
      </c>
      <c r="AA114" s="3157">
        <f t="shared" si="81"/>
        <v>2.5650000000000004</v>
      </c>
      <c r="AB114" s="144"/>
      <c r="AC114" s="2867"/>
      <c r="AD114" s="2867"/>
      <c r="AE114" s="2867"/>
      <c r="AF114" s="2867"/>
      <c r="AG114" s="2867"/>
      <c r="AH114" s="2867"/>
      <c r="AI114" s="2825"/>
      <c r="AJ114" s="1"/>
      <c r="AK114" s="1"/>
      <c r="AL114" s="1"/>
      <c r="AM114" s="1"/>
      <c r="AN114" s="1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3157">
        <f t="shared" si="81"/>
        <v>3.5000000000000009</v>
      </c>
      <c r="V115" s="3157">
        <f t="shared" si="81"/>
        <v>5.9999999999999991</v>
      </c>
      <c r="W115" s="3157">
        <f t="shared" si="81"/>
        <v>2</v>
      </c>
      <c r="X115" s="3157">
        <f t="shared" si="81"/>
        <v>0.85</v>
      </c>
      <c r="Y115" s="3157">
        <f t="shared" si="81"/>
        <v>1.1999999999999997</v>
      </c>
      <c r="Z115" s="3157">
        <f t="shared" si="81"/>
        <v>1.79</v>
      </c>
      <c r="AA115" s="3157">
        <f t="shared" si="81"/>
        <v>2.5650000000000004</v>
      </c>
      <c r="AB115" s="144"/>
      <c r="AC115" s="2867">
        <v>0</v>
      </c>
      <c r="AD115" s="2867">
        <v>0</v>
      </c>
      <c r="AE115" s="2867">
        <v>0</v>
      </c>
      <c r="AF115" s="2867">
        <v>0</v>
      </c>
      <c r="AG115" s="2867">
        <v>0</v>
      </c>
      <c r="AH115" s="2867">
        <v>0</v>
      </c>
      <c r="AI115" s="2825"/>
      <c r="AJ115" s="1"/>
      <c r="AK115" s="1"/>
      <c r="AL115" s="1"/>
      <c r="AM115" s="1"/>
      <c r="AN115" s="1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3157">
        <f t="shared" si="81"/>
        <v>3.5000000000000009</v>
      </c>
      <c r="V116" s="3157">
        <f t="shared" si="81"/>
        <v>5.9999999999999991</v>
      </c>
      <c r="W116" s="3157">
        <f t="shared" si="81"/>
        <v>2</v>
      </c>
      <c r="X116" s="3157">
        <f t="shared" si="81"/>
        <v>0.85</v>
      </c>
      <c r="Y116" s="3157">
        <f t="shared" si="81"/>
        <v>1.1999999999999997</v>
      </c>
      <c r="Z116" s="3157">
        <f t="shared" si="81"/>
        <v>1.79</v>
      </c>
      <c r="AA116" s="3157">
        <f t="shared" si="81"/>
        <v>2.5650000000000004</v>
      </c>
      <c r="AB116" s="144"/>
      <c r="AC116" s="2867">
        <v>0</v>
      </c>
      <c r="AD116" s="2867">
        <v>0</v>
      </c>
      <c r="AE116" s="2867">
        <v>0</v>
      </c>
      <c r="AF116" s="2867">
        <v>0</v>
      </c>
      <c r="AG116" s="2867">
        <v>0</v>
      </c>
      <c r="AH116" s="2867">
        <v>0</v>
      </c>
      <c r="AI116" s="2825"/>
      <c r="AJ116" s="1"/>
      <c r="AK116" s="1"/>
      <c r="AL116" s="1"/>
      <c r="AM116" s="1"/>
      <c r="AN116" s="1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3157">
        <f t="shared" ref="U117:AA132" si="82">IF(U116&gt;0,U116,U115)</f>
        <v>3.5000000000000009</v>
      </c>
      <c r="V117" s="3157">
        <f t="shared" si="82"/>
        <v>5.9999999999999991</v>
      </c>
      <c r="W117" s="3157">
        <f t="shared" si="82"/>
        <v>2</v>
      </c>
      <c r="X117" s="3157">
        <f t="shared" si="82"/>
        <v>0.85</v>
      </c>
      <c r="Y117" s="3157">
        <f t="shared" si="82"/>
        <v>1.1999999999999997</v>
      </c>
      <c r="Z117" s="3157">
        <f t="shared" si="82"/>
        <v>1.79</v>
      </c>
      <c r="AA117" s="3157">
        <f t="shared" si="82"/>
        <v>2.5650000000000004</v>
      </c>
      <c r="AB117" s="144"/>
      <c r="AC117" s="2867"/>
      <c r="AD117" s="2867"/>
      <c r="AE117" s="2867"/>
      <c r="AF117" s="2867"/>
      <c r="AG117" s="2867"/>
      <c r="AH117" s="2867"/>
      <c r="AI117" s="2825"/>
      <c r="AJ117" s="1"/>
      <c r="AK117" s="1"/>
      <c r="AL117" s="1"/>
      <c r="AM117" s="1"/>
      <c r="AN117" s="1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3157">
        <f t="shared" si="82"/>
        <v>3.5000000000000009</v>
      </c>
      <c r="V118" s="3157">
        <f t="shared" si="82"/>
        <v>5.9999999999999991</v>
      </c>
      <c r="W118" s="3157">
        <f t="shared" si="82"/>
        <v>2</v>
      </c>
      <c r="X118" s="3157">
        <f t="shared" si="82"/>
        <v>0.85</v>
      </c>
      <c r="Y118" s="3157">
        <f t="shared" si="82"/>
        <v>1.1999999999999997</v>
      </c>
      <c r="Z118" s="3157">
        <f t="shared" si="82"/>
        <v>1.79</v>
      </c>
      <c r="AA118" s="3157">
        <f t="shared" si="82"/>
        <v>2.5650000000000004</v>
      </c>
      <c r="AB118" s="144"/>
      <c r="AC118" s="2867"/>
      <c r="AD118" s="2867"/>
      <c r="AE118" s="2867"/>
      <c r="AF118" s="2867"/>
      <c r="AG118" s="2867"/>
      <c r="AH118" s="2867"/>
      <c r="AI118" s="2825"/>
      <c r="AJ118" s="1"/>
      <c r="AK118" s="1"/>
      <c r="AL118" s="1"/>
      <c r="AM118" s="1"/>
      <c r="AN118" s="1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3157">
        <f t="shared" si="82"/>
        <v>3.5000000000000009</v>
      </c>
      <c r="V119" s="3157">
        <f t="shared" si="82"/>
        <v>5.9999999999999991</v>
      </c>
      <c r="W119" s="3157">
        <f t="shared" si="82"/>
        <v>2</v>
      </c>
      <c r="X119" s="3157">
        <f t="shared" si="82"/>
        <v>0.85</v>
      </c>
      <c r="Y119" s="3157">
        <f t="shared" si="82"/>
        <v>1.1999999999999997</v>
      </c>
      <c r="Z119" s="3157">
        <f t="shared" si="82"/>
        <v>1.79</v>
      </c>
      <c r="AA119" s="3157">
        <f t="shared" si="82"/>
        <v>2.5650000000000004</v>
      </c>
      <c r="AB119" s="144"/>
      <c r="AC119" s="2867">
        <v>0</v>
      </c>
      <c r="AD119" s="2867">
        <v>0</v>
      </c>
      <c r="AE119" s="2867">
        <v>0</v>
      </c>
      <c r="AF119" s="2867">
        <v>0</v>
      </c>
      <c r="AG119" s="2867">
        <v>0</v>
      </c>
      <c r="AH119" s="2867">
        <v>0</v>
      </c>
      <c r="AI119" s="2825"/>
      <c r="AJ119" s="1"/>
      <c r="AK119" s="1"/>
      <c r="AL119" s="1"/>
      <c r="AM119" s="1"/>
      <c r="AN119" s="1"/>
    </row>
    <row r="120" spans="1:40" ht="15" customHeight="1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3157">
        <f t="shared" si="82"/>
        <v>3.5000000000000009</v>
      </c>
      <c r="V120" s="3157">
        <f t="shared" si="82"/>
        <v>5.9999999999999991</v>
      </c>
      <c r="W120" s="3157">
        <f t="shared" si="82"/>
        <v>2</v>
      </c>
      <c r="X120" s="3157">
        <f t="shared" si="82"/>
        <v>0.85</v>
      </c>
      <c r="Y120" s="3157">
        <f t="shared" si="82"/>
        <v>1.1999999999999997</v>
      </c>
      <c r="Z120" s="3157">
        <f t="shared" si="82"/>
        <v>1.79</v>
      </c>
      <c r="AA120" s="3157">
        <f t="shared" si="82"/>
        <v>2.5650000000000004</v>
      </c>
      <c r="AB120" s="144"/>
      <c r="AC120" s="2867">
        <v>0</v>
      </c>
      <c r="AD120" s="2867">
        <v>0</v>
      </c>
      <c r="AE120" s="2867">
        <v>0</v>
      </c>
      <c r="AF120" s="2867">
        <v>0</v>
      </c>
      <c r="AG120" s="2867">
        <v>0</v>
      </c>
      <c r="AH120" s="2867">
        <v>0</v>
      </c>
      <c r="AI120" s="2825"/>
      <c r="AJ120" s="1"/>
      <c r="AK120" s="1"/>
      <c r="AL120" s="1"/>
      <c r="AM120" s="1"/>
      <c r="AN120" s="1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3157">
        <f t="shared" si="82"/>
        <v>3.5000000000000009</v>
      </c>
      <c r="V121" s="3157">
        <f t="shared" si="82"/>
        <v>5.9999999999999991</v>
      </c>
      <c r="W121" s="3157">
        <f t="shared" si="82"/>
        <v>2</v>
      </c>
      <c r="X121" s="3157">
        <f t="shared" si="82"/>
        <v>0.85</v>
      </c>
      <c r="Y121" s="3157">
        <f t="shared" si="82"/>
        <v>1.1999999999999997</v>
      </c>
      <c r="Z121" s="3157">
        <f t="shared" si="82"/>
        <v>1.79</v>
      </c>
      <c r="AA121" s="3157">
        <f t="shared" si="82"/>
        <v>2.5650000000000004</v>
      </c>
      <c r="AB121" s="144"/>
      <c r="AC121" s="2867">
        <v>0</v>
      </c>
      <c r="AD121" s="2867">
        <v>0</v>
      </c>
      <c r="AE121" s="2867">
        <v>0</v>
      </c>
      <c r="AF121" s="2867">
        <v>0</v>
      </c>
      <c r="AG121" s="2867">
        <v>0</v>
      </c>
      <c r="AH121" s="2867">
        <v>0</v>
      </c>
      <c r="AI121" s="2825"/>
      <c r="AJ121" s="1"/>
      <c r="AK121" s="1"/>
      <c r="AL121" s="1"/>
      <c r="AM121" s="1"/>
      <c r="AN121" s="1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3157">
        <f t="shared" si="82"/>
        <v>3.5000000000000009</v>
      </c>
      <c r="V122" s="3157">
        <f t="shared" si="82"/>
        <v>5.9999999999999991</v>
      </c>
      <c r="W122" s="3157">
        <f t="shared" si="82"/>
        <v>2</v>
      </c>
      <c r="X122" s="3157">
        <f t="shared" si="82"/>
        <v>0.85</v>
      </c>
      <c r="Y122" s="3157">
        <f t="shared" si="82"/>
        <v>1.1999999999999997</v>
      </c>
      <c r="Z122" s="3157">
        <f t="shared" si="82"/>
        <v>1.79</v>
      </c>
      <c r="AA122" s="3157">
        <f t="shared" si="82"/>
        <v>2.5650000000000004</v>
      </c>
      <c r="AB122" s="144"/>
      <c r="AC122" s="2867">
        <v>0</v>
      </c>
      <c r="AD122" s="2867">
        <v>0</v>
      </c>
      <c r="AE122" s="2867">
        <v>0</v>
      </c>
      <c r="AF122" s="2867">
        <v>0</v>
      </c>
      <c r="AG122" s="2867">
        <v>0</v>
      </c>
      <c r="AH122" s="2867">
        <v>0</v>
      </c>
      <c r="AI122" s="2825"/>
      <c r="AJ122" s="1"/>
      <c r="AK122" s="1"/>
      <c r="AL122" s="1"/>
      <c r="AM122" s="1"/>
      <c r="AN122" s="1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3157">
        <f t="shared" si="82"/>
        <v>3.5000000000000009</v>
      </c>
      <c r="V123" s="3157">
        <f t="shared" si="82"/>
        <v>5.9999999999999991</v>
      </c>
      <c r="W123" s="3157">
        <f t="shared" si="82"/>
        <v>2</v>
      </c>
      <c r="X123" s="3157">
        <f t="shared" si="82"/>
        <v>0.85</v>
      </c>
      <c r="Y123" s="3157">
        <f t="shared" si="82"/>
        <v>1.1999999999999997</v>
      </c>
      <c r="Z123" s="3157">
        <f t="shared" si="82"/>
        <v>1.79</v>
      </c>
      <c r="AA123" s="3157">
        <f t="shared" si="82"/>
        <v>2.5650000000000004</v>
      </c>
      <c r="AB123" s="144"/>
      <c r="AC123" s="2867"/>
      <c r="AD123" s="2867"/>
      <c r="AE123" s="2867"/>
      <c r="AF123" s="2867"/>
      <c r="AG123" s="2867"/>
      <c r="AH123" s="2867"/>
      <c r="AI123" s="2825"/>
      <c r="AJ123" s="1"/>
      <c r="AK123" s="1"/>
      <c r="AL123" s="1"/>
      <c r="AM123" s="1"/>
      <c r="AN123" s="1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3157">
        <f t="shared" si="82"/>
        <v>3.5000000000000009</v>
      </c>
      <c r="V124" s="3157">
        <f t="shared" si="82"/>
        <v>5.9999999999999991</v>
      </c>
      <c r="W124" s="3157">
        <f t="shared" si="82"/>
        <v>2</v>
      </c>
      <c r="X124" s="3157">
        <f t="shared" si="82"/>
        <v>0.85</v>
      </c>
      <c r="Y124" s="3157">
        <f t="shared" si="82"/>
        <v>1.1999999999999997</v>
      </c>
      <c r="Z124" s="3157">
        <f t="shared" si="82"/>
        <v>1.79</v>
      </c>
      <c r="AA124" s="3157">
        <f t="shared" si="82"/>
        <v>2.5650000000000004</v>
      </c>
      <c r="AB124" s="144"/>
      <c r="AC124" s="2867">
        <v>0</v>
      </c>
      <c r="AD124" s="2867">
        <v>0</v>
      </c>
      <c r="AE124" s="2867">
        <v>0</v>
      </c>
      <c r="AF124" s="2867">
        <v>0</v>
      </c>
      <c r="AG124" s="2867">
        <v>0</v>
      </c>
      <c r="AH124" s="2867">
        <v>0</v>
      </c>
      <c r="AI124" s="2825"/>
      <c r="AJ124" s="1"/>
      <c r="AK124" s="1"/>
      <c r="AL124" s="1"/>
      <c r="AM124" s="1"/>
      <c r="AN124" s="1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3157">
        <f t="shared" si="82"/>
        <v>3.5000000000000009</v>
      </c>
      <c r="V125" s="3157">
        <f t="shared" si="82"/>
        <v>5.9999999999999991</v>
      </c>
      <c r="W125" s="3157">
        <f t="shared" si="82"/>
        <v>2</v>
      </c>
      <c r="X125" s="3157">
        <f t="shared" si="82"/>
        <v>0.85</v>
      </c>
      <c r="Y125" s="3157">
        <f t="shared" si="82"/>
        <v>1.1999999999999997</v>
      </c>
      <c r="Z125" s="3157">
        <f t="shared" si="82"/>
        <v>1.79</v>
      </c>
      <c r="AA125" s="3157">
        <f t="shared" si="82"/>
        <v>2.5650000000000004</v>
      </c>
      <c r="AB125" s="144"/>
      <c r="AC125" s="2867">
        <v>0</v>
      </c>
      <c r="AD125" s="2867">
        <v>0</v>
      </c>
      <c r="AE125" s="2867">
        <v>0</v>
      </c>
      <c r="AF125" s="2867">
        <v>0</v>
      </c>
      <c r="AG125" s="2867">
        <v>0</v>
      </c>
      <c r="AH125" s="2867">
        <v>0</v>
      </c>
      <c r="AI125" s="2825"/>
      <c r="AJ125" s="1"/>
      <c r="AK125" s="1"/>
      <c r="AL125" s="1"/>
      <c r="AM125" s="1"/>
      <c r="AN125" s="1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3157">
        <f t="shared" si="82"/>
        <v>3.5000000000000009</v>
      </c>
      <c r="V126" s="3157">
        <f t="shared" si="82"/>
        <v>5.9999999999999991</v>
      </c>
      <c r="W126" s="3157">
        <f t="shared" si="82"/>
        <v>2</v>
      </c>
      <c r="X126" s="3157">
        <f t="shared" si="82"/>
        <v>0.85</v>
      </c>
      <c r="Y126" s="3157">
        <f t="shared" si="82"/>
        <v>1.1999999999999997</v>
      </c>
      <c r="Z126" s="3157">
        <f t="shared" si="82"/>
        <v>1.79</v>
      </c>
      <c r="AA126" s="3157">
        <f t="shared" si="82"/>
        <v>2.5650000000000004</v>
      </c>
      <c r="AB126" s="144"/>
      <c r="AC126" s="2867"/>
      <c r="AD126" s="2867"/>
      <c r="AE126" s="2867"/>
      <c r="AF126" s="2867"/>
      <c r="AG126" s="2867"/>
      <c r="AH126" s="2867"/>
      <c r="AI126" s="2825"/>
      <c r="AJ126" s="1"/>
      <c r="AK126" s="1"/>
      <c r="AL126" s="1"/>
      <c r="AM126" s="1"/>
      <c r="AN126" s="1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3157">
        <f t="shared" si="82"/>
        <v>3.5000000000000009</v>
      </c>
      <c r="V127" s="3157">
        <f t="shared" si="82"/>
        <v>5.9999999999999991</v>
      </c>
      <c r="W127" s="3157">
        <f t="shared" si="82"/>
        <v>2</v>
      </c>
      <c r="X127" s="3157">
        <f t="shared" si="82"/>
        <v>0.85</v>
      </c>
      <c r="Y127" s="3157">
        <f t="shared" si="82"/>
        <v>1.1999999999999997</v>
      </c>
      <c r="Z127" s="3157">
        <f t="shared" si="82"/>
        <v>1.79</v>
      </c>
      <c r="AA127" s="3157">
        <f t="shared" si="82"/>
        <v>2.5650000000000004</v>
      </c>
      <c r="AB127" s="144"/>
      <c r="AC127" s="2867"/>
      <c r="AD127" s="2867"/>
      <c r="AE127" s="2867"/>
      <c r="AF127" s="2867"/>
      <c r="AG127" s="2867"/>
      <c r="AH127" s="2867"/>
      <c r="AI127" s="2825"/>
      <c r="AJ127" s="1"/>
      <c r="AK127" s="1"/>
      <c r="AL127" s="1"/>
      <c r="AM127" s="1"/>
      <c r="AN127" s="1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3157">
        <f t="shared" si="82"/>
        <v>3.5000000000000009</v>
      </c>
      <c r="V128" s="3157">
        <f t="shared" si="82"/>
        <v>5.9999999999999991</v>
      </c>
      <c r="W128" s="3157">
        <f t="shared" si="82"/>
        <v>2</v>
      </c>
      <c r="X128" s="3157">
        <f t="shared" si="82"/>
        <v>0.85</v>
      </c>
      <c r="Y128" s="3157">
        <f t="shared" si="82"/>
        <v>1.1999999999999997</v>
      </c>
      <c r="Z128" s="3157">
        <f t="shared" si="82"/>
        <v>1.79</v>
      </c>
      <c r="AA128" s="3157">
        <f t="shared" si="82"/>
        <v>2.5650000000000004</v>
      </c>
      <c r="AB128" s="144"/>
      <c r="AC128" s="2867">
        <v>0</v>
      </c>
      <c r="AD128" s="2867">
        <v>0</v>
      </c>
      <c r="AE128" s="2867">
        <v>0</v>
      </c>
      <c r="AF128" s="2867">
        <v>0</v>
      </c>
      <c r="AG128" s="2867">
        <v>0</v>
      </c>
      <c r="AH128" s="2867">
        <v>0</v>
      </c>
      <c r="AI128" s="2825"/>
      <c r="AJ128" s="1"/>
      <c r="AK128" s="1"/>
      <c r="AL128" s="1"/>
      <c r="AM128" s="1"/>
      <c r="AN128" s="1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3157">
        <f t="shared" si="82"/>
        <v>3.5000000000000009</v>
      </c>
      <c r="V129" s="3157">
        <f t="shared" si="82"/>
        <v>5.9999999999999991</v>
      </c>
      <c r="W129" s="3157">
        <f t="shared" si="82"/>
        <v>2</v>
      </c>
      <c r="X129" s="3157">
        <f t="shared" si="82"/>
        <v>0.85</v>
      </c>
      <c r="Y129" s="3157">
        <f t="shared" si="82"/>
        <v>1.1999999999999997</v>
      </c>
      <c r="Z129" s="3157">
        <f t="shared" si="82"/>
        <v>1.79</v>
      </c>
      <c r="AA129" s="3157">
        <f t="shared" si="82"/>
        <v>2.5650000000000004</v>
      </c>
      <c r="AB129" s="144"/>
      <c r="AC129" s="2867">
        <v>0</v>
      </c>
      <c r="AD129" s="2867">
        <v>0</v>
      </c>
      <c r="AE129" s="2867">
        <v>0</v>
      </c>
      <c r="AF129" s="2867">
        <v>0</v>
      </c>
      <c r="AG129" s="2867">
        <v>0</v>
      </c>
      <c r="AH129" s="2867">
        <v>0</v>
      </c>
      <c r="AI129" s="2825"/>
      <c r="AJ129" s="1"/>
      <c r="AK129" s="1"/>
      <c r="AL129" s="1"/>
      <c r="AM129" s="1"/>
      <c r="AN129" s="1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3157">
        <f t="shared" si="82"/>
        <v>3.5000000000000009</v>
      </c>
      <c r="V130" s="3157">
        <f t="shared" si="82"/>
        <v>5.9999999999999991</v>
      </c>
      <c r="W130" s="3157">
        <f t="shared" si="82"/>
        <v>2</v>
      </c>
      <c r="X130" s="3157">
        <f t="shared" si="82"/>
        <v>0.85</v>
      </c>
      <c r="Y130" s="3157">
        <f t="shared" si="82"/>
        <v>1.1999999999999997</v>
      </c>
      <c r="Z130" s="3157">
        <f t="shared" si="82"/>
        <v>1.79</v>
      </c>
      <c r="AA130" s="3157">
        <f t="shared" si="82"/>
        <v>2.5650000000000004</v>
      </c>
      <c r="AB130" s="144"/>
      <c r="AC130" s="2867">
        <v>0</v>
      </c>
      <c r="AD130" s="2867">
        <v>0</v>
      </c>
      <c r="AE130" s="2867">
        <v>0</v>
      </c>
      <c r="AF130" s="2867">
        <v>0</v>
      </c>
      <c r="AG130" s="2867">
        <v>0</v>
      </c>
      <c r="AH130" s="2867">
        <v>0</v>
      </c>
      <c r="AI130" s="2825"/>
      <c r="AJ130" s="1"/>
      <c r="AK130" s="1"/>
      <c r="AL130" s="1"/>
      <c r="AM130" s="1"/>
      <c r="AN130" s="1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3157">
        <f t="shared" si="82"/>
        <v>3.5000000000000009</v>
      </c>
      <c r="V131" s="3157">
        <f t="shared" si="82"/>
        <v>5.9999999999999991</v>
      </c>
      <c r="W131" s="3157">
        <f t="shared" si="82"/>
        <v>2</v>
      </c>
      <c r="X131" s="3157">
        <f t="shared" si="82"/>
        <v>0.85</v>
      </c>
      <c r="Y131" s="3157">
        <f t="shared" si="82"/>
        <v>1.1999999999999997</v>
      </c>
      <c r="Z131" s="3157">
        <f t="shared" si="82"/>
        <v>1.79</v>
      </c>
      <c r="AA131" s="3157">
        <f t="shared" si="82"/>
        <v>2.5650000000000004</v>
      </c>
      <c r="AB131" s="144"/>
      <c r="AC131" s="2867"/>
      <c r="AD131" s="2867"/>
      <c r="AE131" s="2867"/>
      <c r="AF131" s="2867"/>
      <c r="AG131" s="2867"/>
      <c r="AH131" s="2867"/>
      <c r="AI131" s="2825"/>
      <c r="AJ131" s="1"/>
      <c r="AK131" s="1"/>
      <c r="AL131" s="1"/>
      <c r="AM131" s="1"/>
      <c r="AN131" s="1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3157">
        <f t="shared" si="82"/>
        <v>3.5000000000000009</v>
      </c>
      <c r="V132" s="3157">
        <f t="shared" si="82"/>
        <v>5.9999999999999991</v>
      </c>
      <c r="W132" s="3157">
        <f t="shared" si="82"/>
        <v>2</v>
      </c>
      <c r="X132" s="3157">
        <f t="shared" si="82"/>
        <v>0.85</v>
      </c>
      <c r="Y132" s="3157">
        <f t="shared" si="82"/>
        <v>1.1999999999999997</v>
      </c>
      <c r="Z132" s="3157">
        <f t="shared" si="82"/>
        <v>1.79</v>
      </c>
      <c r="AA132" s="3157">
        <f t="shared" si="82"/>
        <v>2.5650000000000004</v>
      </c>
      <c r="AB132" s="144"/>
      <c r="AC132" s="2867"/>
      <c r="AD132" s="2867"/>
      <c r="AE132" s="2867"/>
      <c r="AF132" s="2867"/>
      <c r="AG132" s="2867"/>
      <c r="AH132" s="2867"/>
      <c r="AI132" s="2825"/>
      <c r="AJ132" s="1"/>
      <c r="AK132" s="1"/>
      <c r="AL132" s="1"/>
      <c r="AM132" s="1"/>
      <c r="AN132" s="1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3157">
        <f t="shared" ref="U133:AA141" si="83">IF(U132&gt;0,U132,U131)</f>
        <v>3.5000000000000009</v>
      </c>
      <c r="V133" s="3157">
        <f t="shared" si="83"/>
        <v>5.9999999999999991</v>
      </c>
      <c r="W133" s="3157">
        <f t="shared" si="83"/>
        <v>2</v>
      </c>
      <c r="X133" s="3157">
        <f t="shared" si="83"/>
        <v>0.85</v>
      </c>
      <c r="Y133" s="3157">
        <f t="shared" si="83"/>
        <v>1.1999999999999997</v>
      </c>
      <c r="Z133" s="3157">
        <f t="shared" si="83"/>
        <v>1.79</v>
      </c>
      <c r="AA133" s="3157">
        <f t="shared" si="83"/>
        <v>2.5650000000000004</v>
      </c>
      <c r="AB133" s="144"/>
      <c r="AC133" s="2867">
        <v>0</v>
      </c>
      <c r="AD133" s="2867">
        <v>0</v>
      </c>
      <c r="AE133" s="2867">
        <v>0</v>
      </c>
      <c r="AF133" s="2867">
        <v>0</v>
      </c>
      <c r="AG133" s="2867">
        <v>0</v>
      </c>
      <c r="AH133" s="2867">
        <v>0</v>
      </c>
      <c r="AI133" s="2825"/>
      <c r="AJ133" s="1"/>
      <c r="AK133" s="1"/>
      <c r="AL133" s="1"/>
      <c r="AM133" s="1"/>
      <c r="AN133" s="1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3157">
        <f t="shared" si="83"/>
        <v>3.5000000000000009</v>
      </c>
      <c r="V134" s="3157">
        <f t="shared" si="83"/>
        <v>5.9999999999999991</v>
      </c>
      <c r="W134" s="3157">
        <f t="shared" si="83"/>
        <v>2</v>
      </c>
      <c r="X134" s="3157">
        <f t="shared" si="83"/>
        <v>0.85</v>
      </c>
      <c r="Y134" s="3157">
        <f t="shared" si="83"/>
        <v>1.1999999999999997</v>
      </c>
      <c r="Z134" s="3157">
        <f t="shared" si="83"/>
        <v>1.79</v>
      </c>
      <c r="AA134" s="3157">
        <f t="shared" si="83"/>
        <v>2.5650000000000004</v>
      </c>
      <c r="AB134" s="144"/>
      <c r="AC134" s="2867">
        <v>0</v>
      </c>
      <c r="AD134" s="2867">
        <v>0</v>
      </c>
      <c r="AE134" s="2867">
        <v>0</v>
      </c>
      <c r="AF134" s="2867">
        <v>0</v>
      </c>
      <c r="AG134" s="2867">
        <v>0</v>
      </c>
      <c r="AH134" s="2867">
        <v>0</v>
      </c>
      <c r="AI134" s="2825"/>
      <c r="AJ134" s="1"/>
      <c r="AK134" s="1"/>
      <c r="AL134" s="1"/>
      <c r="AM134" s="1"/>
      <c r="AN134" s="1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3157">
        <f t="shared" si="83"/>
        <v>3.5000000000000009</v>
      </c>
      <c r="V135" s="3157">
        <f t="shared" si="83"/>
        <v>5.9999999999999991</v>
      </c>
      <c r="W135" s="3157">
        <f t="shared" si="83"/>
        <v>2</v>
      </c>
      <c r="X135" s="3157">
        <f t="shared" si="83"/>
        <v>0.85</v>
      </c>
      <c r="Y135" s="3157">
        <f t="shared" si="83"/>
        <v>1.1999999999999997</v>
      </c>
      <c r="Z135" s="3157">
        <f t="shared" si="83"/>
        <v>1.79</v>
      </c>
      <c r="AA135" s="3157">
        <f t="shared" si="83"/>
        <v>2.5650000000000004</v>
      </c>
      <c r="AB135" s="144"/>
      <c r="AC135" s="2867">
        <v>0</v>
      </c>
      <c r="AD135" s="2867">
        <v>0</v>
      </c>
      <c r="AE135" s="2867">
        <v>0</v>
      </c>
      <c r="AF135" s="2867">
        <v>0</v>
      </c>
      <c r="AG135" s="2867">
        <v>0</v>
      </c>
      <c r="AH135" s="2867">
        <v>0</v>
      </c>
      <c r="AI135" s="2825"/>
      <c r="AJ135" s="1"/>
      <c r="AK135" s="1"/>
      <c r="AL135" s="1"/>
      <c r="AM135" s="1"/>
      <c r="AN135" s="1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3157">
        <f t="shared" si="83"/>
        <v>3.5000000000000009</v>
      </c>
      <c r="V136" s="3157">
        <f t="shared" si="83"/>
        <v>5.9999999999999991</v>
      </c>
      <c r="W136" s="3157">
        <f t="shared" si="83"/>
        <v>2</v>
      </c>
      <c r="X136" s="3157">
        <f t="shared" si="83"/>
        <v>0.85</v>
      </c>
      <c r="Y136" s="3157">
        <f t="shared" si="83"/>
        <v>1.1999999999999997</v>
      </c>
      <c r="Z136" s="3157">
        <f t="shared" si="83"/>
        <v>1.79</v>
      </c>
      <c r="AA136" s="3157">
        <f t="shared" si="83"/>
        <v>2.5650000000000004</v>
      </c>
      <c r="AB136" s="144"/>
      <c r="AC136" s="2867"/>
      <c r="AD136" s="2867"/>
      <c r="AE136" s="2867"/>
      <c r="AF136" s="2867"/>
      <c r="AG136" s="2867"/>
      <c r="AH136" s="2867"/>
      <c r="AI136" s="2825"/>
      <c r="AJ136" s="1"/>
      <c r="AK136" s="1"/>
      <c r="AL136" s="1"/>
      <c r="AM136" s="1"/>
      <c r="AN136" s="1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3157">
        <f t="shared" si="83"/>
        <v>3.5000000000000009</v>
      </c>
      <c r="V137" s="3157">
        <f t="shared" si="83"/>
        <v>5.9999999999999991</v>
      </c>
      <c r="W137" s="3157">
        <f t="shared" si="83"/>
        <v>2</v>
      </c>
      <c r="X137" s="3157">
        <f t="shared" si="83"/>
        <v>0.85</v>
      </c>
      <c r="Y137" s="3157">
        <f t="shared" si="83"/>
        <v>1.1999999999999997</v>
      </c>
      <c r="Z137" s="3157">
        <f t="shared" si="83"/>
        <v>1.79</v>
      </c>
      <c r="AA137" s="3157">
        <f t="shared" si="83"/>
        <v>2.5650000000000004</v>
      </c>
      <c r="AB137" s="144"/>
      <c r="AC137" s="2867"/>
      <c r="AD137" s="2867"/>
      <c r="AE137" s="2867"/>
      <c r="AF137" s="2867"/>
      <c r="AG137" s="2867"/>
      <c r="AH137" s="2867"/>
      <c r="AI137" s="2825"/>
      <c r="AJ137" s="1"/>
      <c r="AK137" s="1"/>
      <c r="AL137" s="1"/>
      <c r="AM137" s="1"/>
      <c r="AN137" s="1"/>
    </row>
    <row r="138" spans="1:40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3157">
        <f t="shared" si="83"/>
        <v>3.5000000000000009</v>
      </c>
      <c r="V138" s="3157">
        <f t="shared" si="83"/>
        <v>5.9999999999999991</v>
      </c>
      <c r="W138" s="3157">
        <f t="shared" si="83"/>
        <v>2</v>
      </c>
      <c r="X138" s="3157">
        <f t="shared" si="83"/>
        <v>0.85</v>
      </c>
      <c r="Y138" s="3157">
        <f t="shared" si="83"/>
        <v>1.1999999999999997</v>
      </c>
      <c r="Z138" s="3157">
        <f t="shared" si="83"/>
        <v>1.79</v>
      </c>
      <c r="AA138" s="3157">
        <f t="shared" si="83"/>
        <v>2.5650000000000004</v>
      </c>
      <c r="AB138" s="144"/>
      <c r="AC138" s="2867">
        <v>0</v>
      </c>
      <c r="AD138" s="2867">
        <v>0</v>
      </c>
      <c r="AE138" s="2867">
        <v>0</v>
      </c>
      <c r="AF138" s="2867">
        <v>0</v>
      </c>
      <c r="AG138" s="2867">
        <v>0</v>
      </c>
      <c r="AH138" s="2867">
        <v>0</v>
      </c>
      <c r="AI138" s="2825"/>
      <c r="AJ138" s="1"/>
      <c r="AK138" s="1"/>
      <c r="AL138" s="1"/>
      <c r="AM138" s="1"/>
      <c r="AN138" s="1"/>
    </row>
    <row r="139" spans="1:40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3157">
        <f t="shared" si="83"/>
        <v>3.5000000000000009</v>
      </c>
      <c r="V139" s="3157">
        <f t="shared" si="83"/>
        <v>5.9999999999999991</v>
      </c>
      <c r="W139" s="3157">
        <f t="shared" si="83"/>
        <v>2</v>
      </c>
      <c r="X139" s="3157">
        <f t="shared" si="83"/>
        <v>0.85</v>
      </c>
      <c r="Y139" s="3157">
        <f t="shared" si="83"/>
        <v>1.1999999999999997</v>
      </c>
      <c r="Z139" s="3157">
        <f t="shared" si="83"/>
        <v>1.79</v>
      </c>
      <c r="AA139" s="3157">
        <f t="shared" si="83"/>
        <v>2.5650000000000004</v>
      </c>
      <c r="AB139" s="144"/>
      <c r="AC139" s="2867">
        <v>0</v>
      </c>
      <c r="AD139" s="2867">
        <v>0</v>
      </c>
      <c r="AE139" s="2867">
        <v>0</v>
      </c>
      <c r="AF139" s="2867">
        <v>0</v>
      </c>
      <c r="AG139" s="2867">
        <v>0</v>
      </c>
      <c r="AH139" s="2867">
        <v>0</v>
      </c>
      <c r="AI139" s="2825"/>
      <c r="AJ139" s="1"/>
      <c r="AK139" s="1"/>
      <c r="AL139" s="1"/>
      <c r="AM139" s="1"/>
      <c r="AN139" s="1"/>
    </row>
    <row r="140" spans="1:40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3157">
        <f t="shared" si="83"/>
        <v>3.5000000000000009</v>
      </c>
      <c r="V140" s="3157">
        <f t="shared" si="83"/>
        <v>5.9999999999999991</v>
      </c>
      <c r="W140" s="3157">
        <f t="shared" si="83"/>
        <v>2</v>
      </c>
      <c r="X140" s="3157">
        <f t="shared" si="83"/>
        <v>0.85</v>
      </c>
      <c r="Y140" s="3157">
        <f t="shared" si="83"/>
        <v>1.1999999999999997</v>
      </c>
      <c r="Z140" s="3157">
        <f t="shared" si="83"/>
        <v>1.79</v>
      </c>
      <c r="AA140" s="3157">
        <f t="shared" si="83"/>
        <v>2.5650000000000004</v>
      </c>
      <c r="AB140" s="144"/>
      <c r="AC140" s="2867">
        <v>0</v>
      </c>
      <c r="AD140" s="2867">
        <v>0</v>
      </c>
      <c r="AE140" s="2867">
        <v>0</v>
      </c>
      <c r="AF140" s="2867">
        <v>0</v>
      </c>
      <c r="AG140" s="2867">
        <v>0</v>
      </c>
      <c r="AH140" s="2867">
        <v>0</v>
      </c>
      <c r="AI140" s="2825"/>
      <c r="AJ140" s="1"/>
      <c r="AK140" s="1"/>
      <c r="AL140" s="1"/>
      <c r="AM140" s="1"/>
      <c r="AN140" s="1"/>
    </row>
    <row r="141" spans="1:40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3158">
        <f>IF(U140&gt;0,U140,U139)</f>
        <v>3.5000000000000009</v>
      </c>
      <c r="V141" s="3158">
        <f t="shared" si="83"/>
        <v>5.9999999999999991</v>
      </c>
      <c r="W141" s="3158">
        <f t="shared" si="83"/>
        <v>2</v>
      </c>
      <c r="X141" s="3158">
        <f t="shared" si="83"/>
        <v>0.85</v>
      </c>
      <c r="Y141" s="3158">
        <f t="shared" si="83"/>
        <v>1.1999999999999997</v>
      </c>
      <c r="Z141" s="3158">
        <f t="shared" si="83"/>
        <v>1.79</v>
      </c>
      <c r="AA141" s="3158">
        <f t="shared" si="83"/>
        <v>2.5650000000000004</v>
      </c>
      <c r="AB141" s="144"/>
      <c r="AC141" s="2867"/>
      <c r="AD141" s="2867"/>
      <c r="AE141" s="2867"/>
      <c r="AF141" s="2867"/>
      <c r="AG141" s="2867"/>
      <c r="AH141" s="2867"/>
      <c r="AI141" s="2825"/>
      <c r="AJ141" s="1"/>
      <c r="AK141" s="1"/>
      <c r="AL141" s="1"/>
      <c r="AM141" s="1"/>
      <c r="AN141" s="1"/>
    </row>
    <row r="142" spans="1:40">
      <c r="A142" s="144"/>
      <c r="B142" s="144"/>
      <c r="C142" s="144"/>
      <c r="D142" s="906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2838"/>
      <c r="V142" s="2838"/>
      <c r="W142" s="2838"/>
      <c r="X142" s="2838"/>
      <c r="Y142" s="2838"/>
      <c r="Z142" s="2838"/>
      <c r="AA142" s="2838"/>
      <c r="AB142" s="144"/>
      <c r="AC142" s="2867"/>
      <c r="AD142" s="2867"/>
      <c r="AE142" s="2867"/>
      <c r="AF142" s="2867"/>
      <c r="AG142" s="2867"/>
      <c r="AH142" s="2867"/>
      <c r="AI142" s="2825"/>
      <c r="AJ142" s="1"/>
      <c r="AK142" s="1"/>
      <c r="AL142" s="1"/>
      <c r="AM142" s="1"/>
      <c r="AN142" s="1"/>
    </row>
    <row r="143" spans="1:40">
      <c r="A143" s="144"/>
      <c r="B143" s="144"/>
      <c r="C143" s="144"/>
      <c r="D143" s="906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2838"/>
      <c r="V143" s="2838"/>
      <c r="W143" s="2838"/>
      <c r="X143" s="2838"/>
      <c r="Y143" s="2838"/>
      <c r="Z143" s="2838"/>
      <c r="AA143" s="2838"/>
      <c r="AB143" s="144"/>
      <c r="AC143" s="2867">
        <v>0</v>
      </c>
      <c r="AD143" s="2867">
        <v>0</v>
      </c>
      <c r="AE143" s="2867">
        <v>0</v>
      </c>
      <c r="AF143" s="2867">
        <v>0</v>
      </c>
      <c r="AG143" s="2867">
        <v>0</v>
      </c>
      <c r="AH143" s="2867">
        <v>0</v>
      </c>
      <c r="AI143" s="2825"/>
      <c r="AJ143" s="1"/>
      <c r="AK143" s="1"/>
      <c r="AL143" s="1"/>
      <c r="AM143" s="1"/>
      <c r="AN143" s="1"/>
    </row>
    <row r="144" spans="1:40">
      <c r="A144" s="144"/>
      <c r="B144" s="144"/>
      <c r="C144" s="144"/>
      <c r="D144" s="906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2838"/>
      <c r="V144" s="2838"/>
      <c r="W144" s="2838"/>
      <c r="X144" s="2838"/>
      <c r="Y144" s="2838"/>
      <c r="Z144" s="2838"/>
      <c r="AA144" s="2838"/>
      <c r="AB144" s="144"/>
      <c r="AC144" s="2867"/>
      <c r="AD144" s="2867"/>
      <c r="AE144" s="2867"/>
      <c r="AF144" s="2867"/>
      <c r="AG144" s="2867"/>
      <c r="AH144" s="2867"/>
      <c r="AJ144" s="1"/>
      <c r="AK144" s="1"/>
      <c r="AL144" s="1"/>
      <c r="AM144" s="1"/>
      <c r="AN144" s="1"/>
    </row>
    <row r="145" spans="1:40">
      <c r="A145" s="144"/>
      <c r="B145" s="144"/>
      <c r="C145" s="144"/>
      <c r="D145" s="906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2838"/>
      <c r="V145" s="2838"/>
      <c r="W145" s="2838"/>
      <c r="X145" s="2838"/>
      <c r="Y145" s="2838"/>
      <c r="Z145" s="2838"/>
      <c r="AA145" s="2838"/>
      <c r="AB145" s="144"/>
      <c r="AJ145" s="1"/>
      <c r="AK145" s="1"/>
      <c r="AL145" s="1"/>
      <c r="AM145" s="1"/>
      <c r="AN145" s="1"/>
    </row>
    <row r="146" spans="1:40">
      <c r="A146" s="144"/>
      <c r="B146" s="144"/>
      <c r="C146" s="144"/>
      <c r="D146" s="906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2838"/>
      <c r="V146" s="2838"/>
      <c r="W146" s="2838"/>
      <c r="X146" s="2838"/>
      <c r="Y146" s="2838"/>
      <c r="Z146" s="2838"/>
      <c r="AA146" s="2838"/>
      <c r="AB146" s="144"/>
      <c r="AJ146" s="1"/>
      <c r="AK146" s="1"/>
      <c r="AL146" s="1"/>
      <c r="AM146" s="1"/>
      <c r="AN146" s="1"/>
    </row>
    <row r="147" spans="1:40">
      <c r="A147" s="144"/>
      <c r="B147" s="144"/>
      <c r="C147" s="144"/>
      <c r="D147" s="906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2838"/>
      <c r="V147" s="2838"/>
      <c r="W147" s="2838"/>
      <c r="X147" s="2838"/>
      <c r="Y147" s="2838"/>
      <c r="Z147" s="2838"/>
      <c r="AA147" s="2838"/>
      <c r="AB147" s="144"/>
      <c r="AJ147" s="1"/>
      <c r="AK147" s="1"/>
      <c r="AL147" s="1"/>
      <c r="AM147" s="1"/>
      <c r="AN147" s="1"/>
    </row>
    <row r="148" spans="1:40">
      <c r="A148" s="144"/>
      <c r="B148" s="144"/>
      <c r="C148" s="144"/>
      <c r="D148" s="906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2838"/>
      <c r="V148" s="2838"/>
      <c r="W148" s="2838"/>
      <c r="X148" s="2838"/>
      <c r="Y148" s="2838"/>
      <c r="Z148" s="2838"/>
      <c r="AA148" s="2838"/>
      <c r="AB148" s="144"/>
      <c r="AJ148" s="1"/>
      <c r="AK148" s="1"/>
      <c r="AL148" s="1"/>
      <c r="AM148" s="1"/>
      <c r="AN148" s="1"/>
    </row>
    <row r="149" spans="1:40">
      <c r="A149" s="144"/>
      <c r="B149" s="144"/>
      <c r="C149" s="144"/>
      <c r="D149" s="906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2838"/>
      <c r="V149" s="2838"/>
      <c r="W149" s="2838"/>
      <c r="X149" s="2838"/>
      <c r="Y149" s="2838"/>
      <c r="Z149" s="2838"/>
      <c r="AA149" s="2838"/>
      <c r="AB149" s="144"/>
      <c r="AJ149" s="1"/>
      <c r="AK149" s="1"/>
      <c r="AL149" s="1"/>
      <c r="AM149" s="1"/>
      <c r="AN149" s="1"/>
    </row>
    <row r="150" spans="1:40">
      <c r="A150" s="144"/>
      <c r="B150" s="144"/>
      <c r="C150" s="144"/>
      <c r="D150" s="906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2838"/>
      <c r="V150" s="2838"/>
      <c r="W150" s="2838"/>
      <c r="X150" s="2838"/>
      <c r="Y150" s="2838"/>
      <c r="Z150" s="2838"/>
      <c r="AA150" s="2838"/>
      <c r="AB150" s="144"/>
      <c r="AJ150" s="1"/>
      <c r="AK150" s="1"/>
      <c r="AL150" s="1"/>
      <c r="AM150" s="1"/>
      <c r="AN150" s="1"/>
    </row>
    <row r="151" spans="1:40">
      <c r="A151" s="144"/>
      <c r="B151" s="144"/>
      <c r="C151" s="144"/>
      <c r="D151" s="906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2838"/>
      <c r="V151" s="2838"/>
      <c r="W151" s="2838"/>
      <c r="X151" s="2838"/>
      <c r="Y151" s="2838"/>
      <c r="Z151" s="2838"/>
      <c r="AA151" s="2838"/>
      <c r="AB151" s="144"/>
      <c r="AJ151" s="1"/>
      <c r="AK151" s="1"/>
      <c r="AL151" s="1"/>
      <c r="AM151" s="1"/>
      <c r="AN151" s="1"/>
    </row>
    <row r="152" spans="1:40">
      <c r="A152" s="144"/>
      <c r="B152" s="144"/>
      <c r="C152" s="144"/>
      <c r="D152" s="906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2838"/>
      <c r="V152" s="2838"/>
      <c r="W152" s="2838"/>
      <c r="X152" s="2838"/>
      <c r="Y152" s="2838"/>
      <c r="Z152" s="2838"/>
      <c r="AA152" s="2838"/>
      <c r="AB152" s="144"/>
      <c r="AJ152" s="1"/>
      <c r="AK152" s="1"/>
      <c r="AL152" s="1"/>
      <c r="AM152" s="1"/>
      <c r="AN152" s="1"/>
    </row>
    <row r="153" spans="1:40">
      <c r="A153" s="144"/>
      <c r="B153" s="144"/>
      <c r="C153" s="144"/>
      <c r="D153" s="906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2838"/>
      <c r="V153" s="2838"/>
      <c r="W153" s="2838"/>
      <c r="X153" s="2838"/>
      <c r="Y153" s="2838"/>
      <c r="Z153" s="2838"/>
      <c r="AA153" s="2838"/>
      <c r="AB153" s="144"/>
      <c r="AJ153" s="1"/>
      <c r="AK153" s="1"/>
      <c r="AL153" s="1"/>
      <c r="AM153" s="1"/>
      <c r="AN153" s="1"/>
    </row>
    <row r="154" spans="1:40">
      <c r="A154" s="144"/>
      <c r="B154" s="144"/>
      <c r="C154" s="144"/>
      <c r="D154" s="906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2838"/>
      <c r="V154" s="2838"/>
      <c r="W154" s="2838"/>
      <c r="X154" s="2838"/>
      <c r="Y154" s="2838"/>
      <c r="Z154" s="2838"/>
      <c r="AA154" s="2838"/>
      <c r="AB154" s="144"/>
      <c r="AJ154" s="1"/>
      <c r="AK154" s="1"/>
      <c r="AL154" s="1"/>
      <c r="AM154" s="1"/>
      <c r="AN154" s="1"/>
    </row>
    <row r="155" spans="1:40">
      <c r="A155" s="144"/>
      <c r="B155" s="144"/>
      <c r="C155" s="144"/>
      <c r="D155" s="906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2838"/>
      <c r="V155" s="2838"/>
      <c r="W155" s="2838"/>
      <c r="X155" s="2838"/>
      <c r="Y155" s="2838"/>
      <c r="Z155" s="2838"/>
      <c r="AA155" s="2838"/>
      <c r="AB155" s="144"/>
      <c r="AN155" s="1"/>
    </row>
    <row r="156" spans="1:40">
      <c r="A156" s="144"/>
      <c r="B156" s="144"/>
      <c r="C156" s="144"/>
      <c r="D156" s="906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2838"/>
      <c r="V156" s="2838"/>
      <c r="W156" s="2838"/>
      <c r="X156" s="2838"/>
      <c r="Y156" s="2838"/>
      <c r="Z156" s="2838"/>
      <c r="AA156" s="2838"/>
      <c r="AB156" s="144"/>
      <c r="AC156" s="2825"/>
      <c r="AD156" s="2825"/>
      <c r="AE156" s="2825"/>
      <c r="AF156" s="2825"/>
      <c r="AG156" s="2825"/>
      <c r="AH156" s="2825"/>
      <c r="AI156" s="2825"/>
      <c r="AJ156" s="2825"/>
      <c r="AK156" s="2825"/>
      <c r="AL156" s="2825"/>
      <c r="AM156" s="2825"/>
      <c r="AN156" s="1"/>
    </row>
    <row r="157" spans="1:40" s="3021" customFormat="1" ht="11">
      <c r="A157" s="144"/>
      <c r="B157" s="144"/>
      <c r="C157" s="144"/>
      <c r="D157" s="906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2838"/>
      <c r="V157" s="2838"/>
      <c r="W157" s="2838"/>
      <c r="X157" s="2838"/>
      <c r="Y157" s="2838"/>
      <c r="Z157" s="2838"/>
      <c r="AA157" s="2838"/>
      <c r="AB157" s="144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1:40" s="3021" customFormat="1" ht="11">
      <c r="A158" s="144"/>
      <c r="B158" s="144"/>
      <c r="C158" s="144"/>
      <c r="D158" s="906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2838"/>
      <c r="V158" s="2838"/>
      <c r="W158" s="2838"/>
      <c r="X158" s="2838"/>
      <c r="Y158" s="2838"/>
      <c r="Z158" s="2838"/>
      <c r="AA158" s="2838"/>
      <c r="AB158" s="144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1:40" s="3021" customFormat="1" ht="11">
      <c r="A159" s="144"/>
      <c r="B159" s="144"/>
      <c r="C159" s="144"/>
      <c r="D159" s="906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2838"/>
      <c r="V159" s="2838"/>
      <c r="W159" s="2838"/>
      <c r="X159" s="2838"/>
      <c r="Y159" s="2838"/>
      <c r="Z159" s="2838"/>
      <c r="AA159" s="2838"/>
      <c r="AB159" s="144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1:40" s="3021" customFormat="1" ht="11">
      <c r="A160" s="144"/>
      <c r="B160" s="144"/>
      <c r="C160" s="144"/>
      <c r="D160" s="906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2838"/>
      <c r="V160" s="2838"/>
      <c r="W160" s="2838"/>
      <c r="X160" s="2838"/>
      <c r="Y160" s="2838"/>
      <c r="Z160" s="2838"/>
      <c r="AA160" s="2838"/>
      <c r="AB160" s="144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2838"/>
      <c r="V161" s="2838"/>
      <c r="W161" s="2838"/>
      <c r="X161" s="2838"/>
      <c r="Y161" s="2838"/>
      <c r="Z161" s="2838"/>
      <c r="AA161" s="2838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2838"/>
      <c r="V162" s="2838"/>
      <c r="W162" s="2838"/>
      <c r="X162" s="2838"/>
      <c r="Y162" s="2838"/>
      <c r="Z162" s="2838"/>
      <c r="AA162" s="2838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2838"/>
      <c r="V163" s="2838"/>
      <c r="W163" s="2838"/>
      <c r="X163" s="2838"/>
      <c r="Y163" s="2838"/>
      <c r="Z163" s="2838"/>
      <c r="AA163" s="2838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2838"/>
      <c r="V164" s="2838"/>
      <c r="W164" s="2838"/>
      <c r="X164" s="2838"/>
      <c r="Y164" s="2838"/>
      <c r="Z164" s="2838"/>
      <c r="AA164" s="2838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82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826"/>
      <c r="AD174" s="2826"/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826"/>
      <c r="AD175" s="2826"/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82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39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39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39" s="3021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39" s="3021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39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39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39" s="3021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39" s="3021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39" s="3021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39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B186" s="3021">
        <f>SUBTOTAL(9,AB144:AB185)</f>
        <v>0</v>
      </c>
      <c r="AC186" s="2826">
        <f>SUBTOTAL(9,AC144:AC185)</f>
        <v>0</v>
      </c>
      <c r="AD186" s="2826">
        <f>SUBTOTAL(9,AD144:AD185)</f>
        <v>0</v>
      </c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39" s="3021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B187" s="3021">
        <v>0</v>
      </c>
      <c r="AC187" s="2826">
        <v>0</v>
      </c>
      <c r="AD187" s="2826">
        <v>0</v>
      </c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39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B188" s="3021">
        <v>0</v>
      </c>
      <c r="AC188" s="2826">
        <v>0</v>
      </c>
      <c r="AD188" s="2826">
        <v>0</v>
      </c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39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B189" s="3021">
        <v>0</v>
      </c>
      <c r="AC189" s="2826">
        <v>0</v>
      </c>
      <c r="AD189" s="2826">
        <v>0</v>
      </c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39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B190" s="3021">
        <v>0</v>
      </c>
      <c r="AC190" s="2826">
        <v>0</v>
      </c>
      <c r="AD190" s="2826">
        <v>0</v>
      </c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39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B191" s="3021">
        <v>0</v>
      </c>
      <c r="AC191" s="2826">
        <v>0</v>
      </c>
      <c r="AD191" s="2826">
        <v>0</v>
      </c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39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B192" s="3021">
        <v>0</v>
      </c>
      <c r="AC192" s="2826">
        <v>0</v>
      </c>
      <c r="AD192" s="2826">
        <v>0</v>
      </c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41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B193" s="3021">
        <v>0</v>
      </c>
      <c r="AC193" s="2826">
        <v>0</v>
      </c>
      <c r="AD193" s="2826">
        <v>0</v>
      </c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41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B194" s="3021">
        <v>0</v>
      </c>
      <c r="AC194" s="2826">
        <v>0</v>
      </c>
      <c r="AD194" s="2826">
        <v>0</v>
      </c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41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B195" s="3021">
        <v>0</v>
      </c>
      <c r="AC195" s="2826">
        <v>0</v>
      </c>
      <c r="AD195" s="2826">
        <v>0</v>
      </c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41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B196" s="3021">
        <v>0</v>
      </c>
      <c r="AC196" s="2826">
        <v>0</v>
      </c>
      <c r="AD196" s="2826">
        <v>0</v>
      </c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41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>
        <f>SUBTOTAL(9,U155:U196)</f>
        <v>0</v>
      </c>
      <c r="V197" s="146">
        <f t="shared" ref="V197:AA197" si="84">SUBTOTAL(9,V155:V196)</f>
        <v>0</v>
      </c>
      <c r="W197" s="146">
        <f t="shared" si="84"/>
        <v>0</v>
      </c>
      <c r="X197" s="146">
        <f t="shared" si="84"/>
        <v>0</v>
      </c>
      <c r="Y197" s="146">
        <f t="shared" si="84"/>
        <v>0</v>
      </c>
      <c r="Z197" s="146">
        <f t="shared" si="84"/>
        <v>0</v>
      </c>
      <c r="AA197" s="146">
        <f t="shared" si="84"/>
        <v>0</v>
      </c>
      <c r="AB197" s="3021">
        <v>0</v>
      </c>
      <c r="AC197" s="2826">
        <v>0</v>
      </c>
      <c r="AD197" s="2826">
        <v>0</v>
      </c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41" s="2825" customFormat="1" ht="14" thickBot="1">
      <c r="B198" s="139"/>
      <c r="C198" s="138"/>
      <c r="D198" s="908"/>
      <c r="E198" s="138"/>
      <c r="F198" s="140"/>
      <c r="G198" s="141"/>
      <c r="H198" s="141"/>
      <c r="I198" s="141"/>
      <c r="J198" s="141"/>
      <c r="K198" s="141"/>
      <c r="L198" s="141"/>
      <c r="M198" s="458"/>
      <c r="N198" s="140"/>
      <c r="O198" s="141"/>
      <c r="P198" s="141"/>
      <c r="Q198" s="148"/>
      <c r="R198" s="148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41" s="2825" customFormat="1" ht="15" thickTop="1" thickBot="1">
      <c r="B199" s="139"/>
      <c r="C199" s="138"/>
      <c r="D199" s="908"/>
      <c r="E199" s="138"/>
      <c r="F199" s="140"/>
      <c r="G199" s="141"/>
      <c r="H199" s="141"/>
      <c r="I199" s="141"/>
      <c r="J199" s="141"/>
      <c r="K199" s="141"/>
      <c r="L199" s="141"/>
      <c r="M199" s="458"/>
      <c r="N199" s="140"/>
      <c r="O199" s="141"/>
      <c r="P199" s="141"/>
      <c r="Q199" s="148"/>
      <c r="R199" s="148"/>
      <c r="S199" s="148"/>
      <c r="T199" s="149"/>
      <c r="U199" s="7376"/>
      <c r="V199" s="7377"/>
      <c r="W199" s="7378"/>
      <c r="X199" s="7378"/>
      <c r="Y199" s="7378"/>
      <c r="Z199" s="7378"/>
      <c r="AA199" s="7379"/>
      <c r="AB199" s="3022"/>
      <c r="AC199" s="3022"/>
      <c r="AE199" s="2826"/>
      <c r="AF199" s="2826"/>
      <c r="AG199" s="2826"/>
      <c r="AH199" s="2826"/>
      <c r="AI199" s="2826"/>
      <c r="AJ199" s="2826"/>
      <c r="AK199" s="2826"/>
      <c r="AL199" s="2826"/>
      <c r="AM199" s="2826"/>
      <c r="AN199" s="2826"/>
      <c r="AO199" s="2826"/>
    </row>
    <row r="200" spans="2:41" s="3021" customFormat="1" ht="12" thickTop="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41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41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41" s="3021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41" s="3021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41" s="3021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41" s="3021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41" s="3021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41" s="3021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39" s="3021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39" s="3021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39" s="3021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39" s="3021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39" s="3021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39" s="3021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39" s="3021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39" s="3021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39" s="3021" customFormat="1" ht="11">
      <c r="B217" s="144"/>
      <c r="C217" s="143"/>
      <c r="D217" s="907"/>
      <c r="E217" s="143"/>
      <c r="F217" s="145"/>
      <c r="G217" s="146"/>
      <c r="H217" s="146"/>
      <c r="I217" s="146"/>
      <c r="J217" s="146"/>
      <c r="K217" s="146"/>
      <c r="L217" s="146"/>
      <c r="M217" s="458"/>
      <c r="N217" s="145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39" s="3021" customFormat="1" ht="11">
      <c r="B218" s="144"/>
      <c r="C218" s="143"/>
      <c r="D218" s="907"/>
      <c r="E218" s="143"/>
      <c r="F218" s="145"/>
      <c r="G218" s="146"/>
      <c r="H218" s="146"/>
      <c r="I218" s="146"/>
      <c r="J218" s="146"/>
      <c r="K218" s="146"/>
      <c r="L218" s="146"/>
      <c r="M218" s="458"/>
      <c r="N218" s="145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39" s="3021" customFormat="1" ht="11">
      <c r="B219" s="144"/>
      <c r="C219" s="143"/>
      <c r="D219" s="907"/>
      <c r="E219" s="143"/>
      <c r="F219" s="145"/>
      <c r="G219" s="146"/>
      <c r="H219" s="146"/>
      <c r="I219" s="146"/>
      <c r="J219" s="146"/>
      <c r="K219" s="146"/>
      <c r="L219" s="146"/>
      <c r="M219" s="458"/>
      <c r="N219" s="145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39" s="3021" customFormat="1" ht="11">
      <c r="B220" s="144"/>
      <c r="C220" s="143"/>
      <c r="D220" s="907"/>
      <c r="E220" s="143"/>
      <c r="F220" s="145"/>
      <c r="G220" s="146"/>
      <c r="H220" s="146"/>
      <c r="I220" s="146"/>
      <c r="J220" s="146"/>
      <c r="K220" s="146"/>
      <c r="L220" s="146"/>
      <c r="M220" s="458"/>
      <c r="N220" s="145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39" s="3021" customFormat="1" ht="11">
      <c r="B221" s="144"/>
      <c r="C221" s="143"/>
      <c r="D221" s="907"/>
      <c r="E221" s="143"/>
      <c r="F221" s="145"/>
      <c r="G221" s="146"/>
      <c r="H221" s="146"/>
      <c r="I221" s="146"/>
      <c r="J221" s="146"/>
      <c r="K221" s="146"/>
      <c r="L221" s="146"/>
      <c r="M221" s="458"/>
      <c r="N221" s="145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39" s="3021" customFormat="1" ht="11">
      <c r="B222" s="144"/>
      <c r="C222" s="143"/>
      <c r="D222" s="907"/>
      <c r="E222" s="143"/>
      <c r="F222" s="145"/>
      <c r="G222" s="146"/>
      <c r="H222" s="146"/>
      <c r="I222" s="146"/>
      <c r="J222" s="146"/>
      <c r="K222" s="146"/>
      <c r="L222" s="146"/>
      <c r="M222" s="458"/>
      <c r="N222" s="145"/>
      <c r="O222" s="146"/>
      <c r="P222" s="146"/>
      <c r="Q222" s="147"/>
      <c r="R222" s="147"/>
      <c r="S222" s="142"/>
      <c r="T222" s="142"/>
      <c r="U222" s="146"/>
      <c r="V222" s="146"/>
      <c r="W222" s="146"/>
      <c r="X222" s="146"/>
      <c r="Y222" s="146"/>
      <c r="Z222" s="146"/>
      <c r="AA222" s="146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39" s="3021" customFormat="1" ht="11">
      <c r="B223" s="144"/>
      <c r="C223" s="143"/>
      <c r="D223" s="907"/>
      <c r="E223" s="143"/>
      <c r="F223" s="145"/>
      <c r="G223" s="146"/>
      <c r="H223" s="146"/>
      <c r="I223" s="146"/>
      <c r="J223" s="146"/>
      <c r="K223" s="146"/>
      <c r="L223" s="146"/>
      <c r="M223" s="458"/>
      <c r="N223" s="145"/>
      <c r="O223" s="146"/>
      <c r="P223" s="146"/>
      <c r="Q223" s="147"/>
      <c r="R223" s="147"/>
      <c r="S223" s="142"/>
      <c r="T223" s="142"/>
      <c r="U223" s="146"/>
      <c r="V223" s="146"/>
      <c r="W223" s="146"/>
      <c r="X223" s="146"/>
      <c r="Y223" s="146"/>
      <c r="Z223" s="146"/>
      <c r="AA223" s="146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39" s="3021" customFormat="1" ht="11">
      <c r="B224" s="144"/>
      <c r="C224" s="143"/>
      <c r="D224" s="907"/>
      <c r="E224" s="143"/>
      <c r="F224" s="145"/>
      <c r="G224" s="146"/>
      <c r="H224" s="146"/>
      <c r="I224" s="146"/>
      <c r="J224" s="146"/>
      <c r="K224" s="146"/>
      <c r="L224" s="146"/>
      <c r="M224" s="458"/>
      <c r="N224" s="145"/>
      <c r="O224" s="146"/>
      <c r="P224" s="146"/>
      <c r="Q224" s="147"/>
      <c r="R224" s="147"/>
      <c r="S224" s="142"/>
      <c r="T224" s="142"/>
      <c r="U224" s="146"/>
      <c r="V224" s="146"/>
      <c r="W224" s="146"/>
      <c r="X224" s="146"/>
      <c r="Y224" s="146"/>
      <c r="Z224" s="146"/>
      <c r="AA224" s="146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2:39" s="3021" customFormat="1" ht="11">
      <c r="B225" s="144"/>
      <c r="C225" s="143"/>
      <c r="D225" s="907"/>
      <c r="E225" s="143"/>
      <c r="F225" s="145"/>
      <c r="G225" s="146"/>
      <c r="H225" s="146"/>
      <c r="I225" s="146"/>
      <c r="J225" s="146"/>
      <c r="K225" s="146"/>
      <c r="L225" s="146"/>
      <c r="M225" s="458"/>
      <c r="N225" s="145"/>
      <c r="O225" s="146"/>
      <c r="P225" s="146"/>
      <c r="Q225" s="147"/>
      <c r="R225" s="147"/>
      <c r="S225" s="142"/>
      <c r="T225" s="142"/>
      <c r="U225" s="146"/>
      <c r="V225" s="146"/>
      <c r="W225" s="146"/>
      <c r="X225" s="146"/>
      <c r="Y225" s="146"/>
      <c r="Z225" s="146"/>
      <c r="AA225" s="146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39" s="3021" customFormat="1" ht="11">
      <c r="B226" s="144"/>
      <c r="C226" s="143"/>
      <c r="D226" s="907"/>
      <c r="E226" s="143"/>
      <c r="F226" s="145"/>
      <c r="G226" s="146"/>
      <c r="H226" s="146"/>
      <c r="I226" s="146"/>
      <c r="J226" s="146"/>
      <c r="K226" s="146"/>
      <c r="L226" s="146"/>
      <c r="M226" s="458"/>
      <c r="N226" s="145"/>
      <c r="O226" s="146"/>
      <c r="P226" s="146"/>
      <c r="Q226" s="147"/>
      <c r="R226" s="147"/>
      <c r="S226" s="142"/>
      <c r="T226" s="142"/>
      <c r="U226" s="146"/>
      <c r="V226" s="146"/>
      <c r="W226" s="146"/>
      <c r="X226" s="146"/>
      <c r="Y226" s="146"/>
      <c r="Z226" s="146"/>
      <c r="AA226" s="146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2:39" s="3021" customFormat="1" ht="11">
      <c r="B227" s="144"/>
      <c r="C227" s="143"/>
      <c r="D227" s="907"/>
      <c r="E227" s="143"/>
      <c r="F227" s="145"/>
      <c r="G227" s="146"/>
      <c r="H227" s="146"/>
      <c r="I227" s="146"/>
      <c r="J227" s="146"/>
      <c r="K227" s="146"/>
      <c r="L227" s="146"/>
      <c r="M227" s="458"/>
      <c r="N227" s="145"/>
      <c r="O227" s="146"/>
      <c r="P227" s="146"/>
      <c r="Q227" s="147"/>
      <c r="R227" s="147"/>
      <c r="S227" s="142"/>
      <c r="T227" s="142"/>
      <c r="U227" s="146"/>
      <c r="V227" s="146"/>
      <c r="W227" s="146"/>
      <c r="X227" s="146"/>
      <c r="Y227" s="146"/>
      <c r="Z227" s="146"/>
      <c r="AA227" s="146"/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2:39" s="3021" customFormat="1" ht="11">
      <c r="B228" s="144"/>
      <c r="C228" s="143"/>
      <c r="D228" s="907"/>
      <c r="E228" s="143"/>
      <c r="F228" s="145"/>
      <c r="G228" s="146"/>
      <c r="H228" s="146"/>
      <c r="I228" s="146"/>
      <c r="J228" s="146"/>
      <c r="K228" s="146"/>
      <c r="L228" s="146"/>
      <c r="M228" s="458"/>
      <c r="N228" s="145"/>
      <c r="O228" s="146"/>
      <c r="P228" s="146"/>
      <c r="Q228" s="147"/>
      <c r="R228" s="147"/>
      <c r="S228" s="142"/>
      <c r="T228" s="142"/>
      <c r="U228" s="146"/>
      <c r="V228" s="146"/>
      <c r="W228" s="146"/>
      <c r="X228" s="146"/>
      <c r="Y228" s="146"/>
      <c r="Z228" s="146"/>
      <c r="AA228" s="146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39" s="3021" customFormat="1" ht="11">
      <c r="B229" s="144"/>
      <c r="C229" s="143"/>
      <c r="D229" s="907"/>
      <c r="E229" s="143"/>
      <c r="F229" s="145"/>
      <c r="G229" s="146"/>
      <c r="H229" s="146"/>
      <c r="I229" s="146"/>
      <c r="J229" s="146"/>
      <c r="K229" s="146"/>
      <c r="L229" s="146"/>
      <c r="M229" s="458"/>
      <c r="N229" s="145"/>
      <c r="O229" s="146"/>
      <c r="P229" s="146"/>
      <c r="Q229" s="147"/>
      <c r="R229" s="147"/>
      <c r="S229" s="142"/>
      <c r="T229" s="142"/>
      <c r="U229" s="146"/>
      <c r="V229" s="146"/>
      <c r="W229" s="146"/>
      <c r="X229" s="146"/>
      <c r="Y229" s="146"/>
      <c r="Z229" s="146"/>
      <c r="AA229" s="146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2:39" s="3021" customFormat="1" ht="11">
      <c r="B230" s="144"/>
      <c r="C230" s="143"/>
      <c r="D230" s="907"/>
      <c r="E230" s="143"/>
      <c r="F230" s="145"/>
      <c r="G230" s="146"/>
      <c r="H230" s="146"/>
      <c r="I230" s="146"/>
      <c r="J230" s="146"/>
      <c r="K230" s="146"/>
      <c r="L230" s="146"/>
      <c r="M230" s="458"/>
      <c r="N230" s="145"/>
      <c r="O230" s="146"/>
      <c r="P230" s="146"/>
      <c r="Q230" s="147"/>
      <c r="R230" s="147"/>
      <c r="S230" s="142"/>
      <c r="T230" s="142"/>
      <c r="U230" s="146"/>
      <c r="V230" s="146"/>
      <c r="W230" s="146"/>
      <c r="X230" s="146"/>
      <c r="Y230" s="146"/>
      <c r="Z230" s="146"/>
      <c r="AA230" s="146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39" s="3021" customFormat="1" ht="11">
      <c r="B231" s="144"/>
      <c r="C231" s="143"/>
      <c r="D231" s="907"/>
      <c r="E231" s="143"/>
      <c r="F231" s="145"/>
      <c r="G231" s="146"/>
      <c r="H231" s="146"/>
      <c r="I231" s="146"/>
      <c r="J231" s="146"/>
      <c r="K231" s="146"/>
      <c r="L231" s="146"/>
      <c r="M231" s="458"/>
      <c r="N231" s="145"/>
      <c r="O231" s="146"/>
      <c r="P231" s="146"/>
      <c r="Q231" s="147"/>
      <c r="R231" s="147"/>
      <c r="S231" s="142"/>
      <c r="T231" s="142"/>
      <c r="U231" s="146"/>
      <c r="V231" s="146"/>
      <c r="W231" s="146"/>
      <c r="X231" s="146"/>
      <c r="Y231" s="146"/>
      <c r="Z231" s="146"/>
      <c r="AA231" s="146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39" s="3021" customFormat="1" ht="11">
      <c r="B232" s="144"/>
      <c r="C232" s="143"/>
      <c r="D232" s="907"/>
      <c r="E232" s="143"/>
      <c r="F232" s="145"/>
      <c r="G232" s="146"/>
      <c r="H232" s="146"/>
      <c r="I232" s="146"/>
      <c r="J232" s="146"/>
      <c r="K232" s="146"/>
      <c r="L232" s="146"/>
      <c r="M232" s="458"/>
      <c r="N232" s="145"/>
      <c r="O232" s="146"/>
      <c r="P232" s="146"/>
      <c r="Q232" s="147"/>
      <c r="R232" s="147"/>
      <c r="S232" s="142"/>
      <c r="T232" s="142"/>
      <c r="U232" s="146"/>
      <c r="V232" s="146"/>
      <c r="W232" s="146"/>
      <c r="X232" s="146"/>
      <c r="Y232" s="146"/>
      <c r="Z232" s="146"/>
      <c r="AA232" s="146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39" s="3021" customFormat="1" ht="11">
      <c r="B233" s="144"/>
      <c r="C233" s="143"/>
      <c r="D233" s="907"/>
      <c r="E233" s="143"/>
      <c r="F233" s="145"/>
      <c r="G233" s="146"/>
      <c r="H233" s="146"/>
      <c r="I233" s="146"/>
      <c r="J233" s="146"/>
      <c r="K233" s="146"/>
      <c r="L233" s="146"/>
      <c r="M233" s="458"/>
      <c r="N233" s="145"/>
      <c r="O233" s="146"/>
      <c r="P233" s="146"/>
      <c r="Q233" s="147"/>
      <c r="R233" s="147"/>
      <c r="S233" s="142"/>
      <c r="T233" s="142"/>
      <c r="U233" s="146"/>
      <c r="V233" s="146"/>
      <c r="W233" s="146"/>
      <c r="X233" s="146"/>
      <c r="Y233" s="146"/>
      <c r="Z233" s="146"/>
      <c r="AA233" s="146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39" s="3021" customFormat="1" ht="11">
      <c r="B234" s="144"/>
      <c r="C234" s="143"/>
      <c r="D234" s="907"/>
      <c r="E234" s="143"/>
      <c r="F234" s="145"/>
      <c r="G234" s="146"/>
      <c r="H234" s="146"/>
      <c r="I234" s="146"/>
      <c r="J234" s="146"/>
      <c r="K234" s="146"/>
      <c r="L234" s="146"/>
      <c r="M234" s="458"/>
      <c r="N234" s="145"/>
      <c r="O234" s="146"/>
      <c r="P234" s="146"/>
      <c r="Q234" s="147"/>
      <c r="R234" s="147"/>
      <c r="S234" s="142"/>
      <c r="T234" s="142"/>
      <c r="U234" s="146"/>
      <c r="V234" s="146"/>
      <c r="W234" s="146"/>
      <c r="X234" s="146"/>
      <c r="Y234" s="146"/>
      <c r="Z234" s="146"/>
      <c r="AA234" s="146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39" s="3021" customFormat="1" ht="11">
      <c r="B235" s="144"/>
      <c r="C235" s="143"/>
      <c r="D235" s="907"/>
      <c r="E235" s="143"/>
      <c r="F235" s="145"/>
      <c r="G235" s="146"/>
      <c r="H235" s="146"/>
      <c r="I235" s="146"/>
      <c r="J235" s="146"/>
      <c r="K235" s="146"/>
      <c r="L235" s="146"/>
      <c r="M235" s="458"/>
      <c r="N235" s="145"/>
      <c r="O235" s="146"/>
      <c r="P235" s="146"/>
      <c r="Q235" s="147"/>
      <c r="R235" s="147"/>
      <c r="S235" s="142"/>
      <c r="T235" s="142"/>
      <c r="U235" s="146"/>
      <c r="V235" s="146"/>
      <c r="W235" s="146"/>
      <c r="X235" s="146"/>
      <c r="Y235" s="146"/>
      <c r="Z235" s="146"/>
      <c r="AA235" s="146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39" s="3021" customFormat="1" ht="11">
      <c r="B236" s="3159"/>
      <c r="D236" s="3160"/>
      <c r="F236" s="3023"/>
      <c r="G236" s="3024"/>
      <c r="H236" s="3024"/>
      <c r="I236" s="3024"/>
      <c r="J236" s="3024"/>
      <c r="K236" s="3024"/>
      <c r="L236" s="3024"/>
      <c r="M236" s="3025"/>
      <c r="N236" s="3023"/>
      <c r="O236" s="146"/>
      <c r="P236" s="146"/>
      <c r="Q236" s="147"/>
      <c r="R236" s="147"/>
      <c r="S236" s="142"/>
      <c r="T236" s="142"/>
      <c r="U236" s="146"/>
      <c r="V236" s="146"/>
      <c r="W236" s="146"/>
      <c r="X236" s="146"/>
      <c r="Y236" s="146"/>
      <c r="Z236" s="146"/>
      <c r="AA236" s="146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39" s="3021" customFormat="1" ht="11">
      <c r="B237" s="3159"/>
      <c r="D237" s="3160"/>
      <c r="F237" s="3023"/>
      <c r="G237" s="3024"/>
      <c r="H237" s="3024"/>
      <c r="I237" s="3024"/>
      <c r="J237" s="3024"/>
      <c r="K237" s="3024"/>
      <c r="L237" s="3024"/>
      <c r="M237" s="3025"/>
      <c r="N237" s="3023"/>
      <c r="O237" s="146"/>
      <c r="P237" s="146"/>
      <c r="Q237" s="147"/>
      <c r="R237" s="147"/>
      <c r="S237" s="142"/>
      <c r="T237" s="142"/>
      <c r="U237" s="146"/>
      <c r="V237" s="146"/>
      <c r="W237" s="146"/>
      <c r="X237" s="146"/>
      <c r="Y237" s="146"/>
      <c r="Z237" s="146"/>
      <c r="AA237" s="146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39" s="3021" customFormat="1" ht="11">
      <c r="B238" s="3159"/>
      <c r="D238" s="3160"/>
      <c r="F238" s="3023"/>
      <c r="G238" s="3024"/>
      <c r="H238" s="3024"/>
      <c r="I238" s="3024"/>
      <c r="J238" s="3024"/>
      <c r="K238" s="3024"/>
      <c r="L238" s="3024"/>
      <c r="M238" s="3025"/>
      <c r="N238" s="3023"/>
      <c r="O238" s="146"/>
      <c r="P238" s="146"/>
      <c r="Q238" s="147"/>
      <c r="R238" s="147"/>
      <c r="S238" s="142"/>
      <c r="T238" s="142"/>
      <c r="U238" s="146"/>
      <c r="V238" s="146"/>
      <c r="W238" s="146"/>
      <c r="X238" s="146"/>
      <c r="Y238" s="146"/>
      <c r="Z238" s="146"/>
      <c r="AA238" s="146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39" s="3021" customFormat="1" ht="11">
      <c r="B239" s="3159"/>
      <c r="D239" s="3160"/>
      <c r="F239" s="3023"/>
      <c r="G239" s="3024"/>
      <c r="H239" s="3024"/>
      <c r="I239" s="3024"/>
      <c r="J239" s="3024"/>
      <c r="K239" s="3024"/>
      <c r="L239" s="3024"/>
      <c r="M239" s="3025"/>
      <c r="N239" s="3023"/>
      <c r="O239" s="146"/>
      <c r="P239" s="146"/>
      <c r="Q239" s="147"/>
      <c r="R239" s="147"/>
      <c r="S239" s="142"/>
      <c r="T239" s="142"/>
      <c r="U239" s="146"/>
      <c r="V239" s="146"/>
      <c r="W239" s="146"/>
      <c r="X239" s="146"/>
      <c r="Y239" s="146"/>
      <c r="Z239" s="146"/>
      <c r="AA239" s="146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39" s="3021" customFormat="1" ht="11">
      <c r="B240" s="3159"/>
      <c r="D240" s="3160"/>
      <c r="F240" s="3023"/>
      <c r="G240" s="3024"/>
      <c r="H240" s="3024"/>
      <c r="I240" s="3024"/>
      <c r="J240" s="3024"/>
      <c r="K240" s="3024"/>
      <c r="L240" s="3024"/>
      <c r="M240" s="3025"/>
      <c r="N240" s="3023"/>
      <c r="O240" s="146"/>
      <c r="P240" s="146"/>
      <c r="Q240" s="147"/>
      <c r="R240" s="147"/>
      <c r="S240" s="142"/>
      <c r="T240" s="142"/>
      <c r="U240" s="146">
        <f>SUBTOTAL(9,U198:U239)</f>
        <v>0</v>
      </c>
      <c r="V240" s="146">
        <f t="shared" ref="V240:AA240" si="85">SUBTOTAL(9,V198:V239)</f>
        <v>0</v>
      </c>
      <c r="W240" s="146">
        <f t="shared" si="85"/>
        <v>0</v>
      </c>
      <c r="X240" s="146">
        <f t="shared" si="85"/>
        <v>0</v>
      </c>
      <c r="Y240" s="146">
        <f t="shared" si="85"/>
        <v>0</v>
      </c>
      <c r="Z240" s="146">
        <f t="shared" si="85"/>
        <v>0</v>
      </c>
      <c r="AA240" s="146">
        <f t="shared" si="85"/>
        <v>0</v>
      </c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2:41" s="2825" customFormat="1" ht="14" thickBot="1">
      <c r="B241" s="2935"/>
      <c r="D241" s="3161"/>
      <c r="F241" s="3026"/>
      <c r="G241" s="3027"/>
      <c r="H241" s="3027"/>
      <c r="I241" s="3027"/>
      <c r="J241" s="3027"/>
      <c r="K241" s="3027"/>
      <c r="L241" s="3027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2:41" s="2825" customFormat="1" ht="15" thickTop="1" thickBot="1">
      <c r="B242" s="2935"/>
      <c r="D242" s="3161"/>
      <c r="F242" s="3026"/>
      <c r="G242" s="3027"/>
      <c r="H242" s="3027"/>
      <c r="I242" s="3027"/>
      <c r="J242" s="3027"/>
      <c r="K242" s="3027"/>
      <c r="L242" s="3027"/>
      <c r="M242" s="3025"/>
      <c r="N242" s="3026"/>
      <c r="O242" s="141"/>
      <c r="P242" s="141"/>
      <c r="Q242" s="148"/>
      <c r="R242" s="148"/>
      <c r="S242" s="148"/>
      <c r="T242" s="148"/>
      <c r="U242" s="7376">
        <f>SUBTOTAL(9,U200:U241)</f>
        <v>0</v>
      </c>
      <c r="V242" s="7377">
        <f t="shared" ref="V242:AA242" si="86">SUBTOTAL(9,V200:V241)</f>
        <v>0</v>
      </c>
      <c r="W242" s="7378">
        <f t="shared" si="86"/>
        <v>0</v>
      </c>
      <c r="X242" s="7378">
        <f t="shared" si="86"/>
        <v>0</v>
      </c>
      <c r="Y242" s="7378">
        <f t="shared" si="86"/>
        <v>0</v>
      </c>
      <c r="Z242" s="7378">
        <f t="shared" si="86"/>
        <v>0</v>
      </c>
      <c r="AA242" s="7379">
        <f t="shared" si="86"/>
        <v>0</v>
      </c>
      <c r="AB242" s="3022"/>
      <c r="AC242" s="3022"/>
      <c r="AE242" s="2826"/>
      <c r="AF242" s="2826"/>
      <c r="AG242" s="2826"/>
      <c r="AH242" s="2826"/>
      <c r="AI242" s="2826"/>
      <c r="AJ242" s="2826"/>
      <c r="AK242" s="2826"/>
      <c r="AL242" s="2826"/>
      <c r="AM242" s="2826"/>
      <c r="AN242" s="2826"/>
      <c r="AO242" s="2826"/>
    </row>
    <row r="243" spans="2:41" s="2825" customFormat="1" ht="14" thickTop="1">
      <c r="B243" s="2935"/>
      <c r="D243" s="3161"/>
      <c r="F243" s="3026"/>
      <c r="G243" s="3027"/>
      <c r="H243" s="3027"/>
      <c r="I243" s="3027"/>
      <c r="J243" s="3027"/>
      <c r="K243" s="3027"/>
      <c r="L243" s="3027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2:41" s="2825" customFormat="1">
      <c r="B244" s="2935"/>
      <c r="D244" s="3161"/>
      <c r="F244" s="3026"/>
      <c r="G244" s="3027"/>
      <c r="H244" s="3027"/>
      <c r="I244" s="3027"/>
      <c r="J244" s="3027"/>
      <c r="K244" s="3027"/>
      <c r="L244" s="3027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2:41" s="2825" customFormat="1">
      <c r="B245" s="2935"/>
      <c r="D245" s="3161"/>
      <c r="F245" s="3026"/>
      <c r="G245" s="3027"/>
      <c r="H245" s="3027"/>
      <c r="I245" s="3027"/>
      <c r="J245" s="3027"/>
      <c r="K245" s="3027"/>
      <c r="L245" s="3027"/>
      <c r="M245" s="3025"/>
      <c r="N245" s="3026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826"/>
      <c r="AD245" s="2826"/>
      <c r="AE245" s="2826"/>
      <c r="AF245" s="2826"/>
      <c r="AG245" s="2826"/>
      <c r="AH245" s="2826"/>
      <c r="AI245" s="2826"/>
      <c r="AJ245" s="2826"/>
      <c r="AK245" s="2826"/>
      <c r="AL245" s="2826"/>
      <c r="AM245" s="2826"/>
    </row>
    <row r="246" spans="2:41" s="2825" customFormat="1">
      <c r="B246" s="2935"/>
      <c r="D246" s="3161"/>
      <c r="F246" s="3026"/>
      <c r="G246" s="3027"/>
      <c r="H246" s="3027"/>
      <c r="I246" s="3027"/>
      <c r="J246" s="3027"/>
      <c r="K246" s="3027"/>
      <c r="L246" s="3027"/>
      <c r="M246" s="3025"/>
      <c r="N246" s="3026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826"/>
      <c r="AD246" s="2826"/>
      <c r="AE246" s="2826"/>
      <c r="AF246" s="2826"/>
      <c r="AG246" s="2826"/>
      <c r="AH246" s="2826"/>
      <c r="AI246" s="2826"/>
      <c r="AJ246" s="2826"/>
      <c r="AK246" s="2826"/>
      <c r="AL246" s="2826"/>
      <c r="AM246" s="2826"/>
    </row>
    <row r="247" spans="2:41" s="2825" customFormat="1">
      <c r="B247" s="2935"/>
      <c r="D247" s="3161"/>
      <c r="F247" s="3026"/>
      <c r="G247" s="3027"/>
      <c r="H247" s="3027"/>
      <c r="I247" s="3027"/>
      <c r="J247" s="3027"/>
      <c r="K247" s="3027"/>
      <c r="L247" s="3027"/>
      <c r="M247" s="3025"/>
      <c r="N247" s="3026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826"/>
      <c r="AD247" s="2826"/>
      <c r="AE247" s="2826"/>
      <c r="AF247" s="2826"/>
      <c r="AG247" s="2826"/>
      <c r="AH247" s="2826"/>
      <c r="AI247" s="2826"/>
      <c r="AJ247" s="2826"/>
      <c r="AK247" s="2826"/>
      <c r="AL247" s="2826"/>
      <c r="AM247" s="2826"/>
    </row>
    <row r="248" spans="2:41" s="2825" customFormat="1">
      <c r="B248" s="2935"/>
      <c r="D248" s="3161"/>
      <c r="F248" s="3026"/>
      <c r="G248" s="3027"/>
      <c r="H248" s="3027"/>
      <c r="I248" s="3027"/>
      <c r="J248" s="3027"/>
      <c r="K248" s="3027"/>
      <c r="L248" s="3027"/>
      <c r="M248" s="3025"/>
      <c r="N248" s="3026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826"/>
      <c r="AD248" s="2826"/>
      <c r="AE248" s="2826"/>
      <c r="AF248" s="2826"/>
      <c r="AG248" s="2826"/>
      <c r="AH248" s="2826"/>
      <c r="AI248" s="2826"/>
      <c r="AJ248" s="2826"/>
      <c r="AK248" s="2826"/>
      <c r="AL248" s="2826"/>
      <c r="AM248" s="2826"/>
    </row>
    <row r="249" spans="2:41" s="2825" customFormat="1">
      <c r="B249" s="2935"/>
      <c r="D249" s="3161"/>
      <c r="F249" s="3026"/>
      <c r="G249" s="3027"/>
      <c r="H249" s="3027"/>
      <c r="I249" s="3027"/>
      <c r="J249" s="3027"/>
      <c r="K249" s="3027"/>
      <c r="L249" s="3027"/>
      <c r="M249" s="3025"/>
      <c r="N249" s="3026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826"/>
      <c r="AD249" s="2826"/>
      <c r="AE249" s="2826"/>
      <c r="AF249" s="2826"/>
      <c r="AG249" s="2826"/>
      <c r="AH249" s="2826"/>
      <c r="AI249" s="2826"/>
      <c r="AJ249" s="2826"/>
      <c r="AK249" s="2826"/>
      <c r="AL249" s="2826"/>
      <c r="AM249" s="2826"/>
    </row>
    <row r="250" spans="2:41" s="2825" customFormat="1">
      <c r="B250" s="2935"/>
      <c r="D250" s="3161"/>
      <c r="F250" s="3026"/>
      <c r="G250" s="3027"/>
      <c r="H250" s="3027"/>
      <c r="I250" s="3027"/>
      <c r="J250" s="3027"/>
      <c r="K250" s="3027"/>
      <c r="L250" s="3027"/>
      <c r="M250" s="3025"/>
      <c r="N250" s="3026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826"/>
      <c r="AD250" s="2826"/>
      <c r="AE250" s="2826"/>
      <c r="AF250" s="2826"/>
      <c r="AG250" s="2826"/>
      <c r="AH250" s="2826"/>
      <c r="AI250" s="2826"/>
      <c r="AJ250" s="2826"/>
      <c r="AK250" s="2826"/>
      <c r="AL250" s="2826"/>
      <c r="AM250" s="2826"/>
    </row>
    <row r="251" spans="2:41" s="2825" customFormat="1">
      <c r="B251" s="2935"/>
      <c r="D251" s="3161"/>
      <c r="F251" s="3026"/>
      <c r="G251" s="3027"/>
      <c r="H251" s="3027"/>
      <c r="I251" s="3027"/>
      <c r="J251" s="3027"/>
      <c r="K251" s="3027"/>
      <c r="L251" s="3027"/>
      <c r="M251" s="3025"/>
      <c r="N251" s="3026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826"/>
      <c r="AD251" s="2826"/>
      <c r="AE251" s="2826"/>
      <c r="AF251" s="2826"/>
      <c r="AG251" s="2826"/>
      <c r="AH251" s="2826"/>
      <c r="AI251" s="2826"/>
      <c r="AJ251" s="2826"/>
      <c r="AK251" s="2826"/>
      <c r="AL251" s="2826"/>
      <c r="AM251" s="2826"/>
    </row>
    <row r="252" spans="2:41" s="2825" customFormat="1">
      <c r="B252" s="2935"/>
      <c r="D252" s="3161"/>
      <c r="F252" s="3026"/>
      <c r="G252" s="3027"/>
      <c r="H252" s="3027"/>
      <c r="I252" s="3027"/>
      <c r="J252" s="3027"/>
      <c r="K252" s="3027"/>
      <c r="L252" s="3027"/>
      <c r="M252" s="3025"/>
      <c r="N252" s="3026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826"/>
      <c r="AD252" s="2826"/>
      <c r="AE252" s="2826"/>
      <c r="AF252" s="2826"/>
      <c r="AG252" s="2826"/>
      <c r="AH252" s="2826"/>
      <c r="AI252" s="2826"/>
      <c r="AJ252" s="2826"/>
      <c r="AK252" s="2826"/>
      <c r="AL252" s="2826"/>
      <c r="AM252" s="2826"/>
    </row>
    <row r="253" spans="2:41" s="2825" customFormat="1">
      <c r="B253" s="2935"/>
      <c r="D253" s="3161"/>
      <c r="F253" s="3026"/>
      <c r="G253" s="3027"/>
      <c r="H253" s="3027"/>
      <c r="I253" s="3027"/>
      <c r="J253" s="3027"/>
      <c r="K253" s="3027"/>
      <c r="L253" s="3027"/>
      <c r="M253" s="3025"/>
      <c r="N253" s="3026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826"/>
      <c r="AD253" s="2826"/>
      <c r="AE253" s="2826"/>
      <c r="AF253" s="2826"/>
      <c r="AG253" s="2826"/>
      <c r="AH253" s="2826"/>
      <c r="AI253" s="2826"/>
      <c r="AJ253" s="2826"/>
      <c r="AK253" s="2826"/>
      <c r="AL253" s="2826"/>
      <c r="AM253" s="2826"/>
    </row>
    <row r="254" spans="2:41" s="2825" customFormat="1">
      <c r="B254" s="2935"/>
      <c r="D254" s="3161"/>
      <c r="F254" s="3026"/>
      <c r="G254" s="3027"/>
      <c r="H254" s="3027"/>
      <c r="I254" s="3027"/>
      <c r="J254" s="3027"/>
      <c r="K254" s="3027"/>
      <c r="L254" s="3027"/>
      <c r="M254" s="3025"/>
      <c r="N254" s="3026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826"/>
      <c r="AD254" s="2826"/>
      <c r="AE254" s="2826"/>
      <c r="AF254" s="2826"/>
      <c r="AG254" s="2826"/>
      <c r="AH254" s="2826"/>
      <c r="AI254" s="2826"/>
      <c r="AJ254" s="2826"/>
      <c r="AK254" s="2826"/>
      <c r="AL254" s="2826"/>
      <c r="AM254" s="2826"/>
    </row>
    <row r="255" spans="2:41" s="2825" customFormat="1">
      <c r="B255" s="2935"/>
      <c r="D255" s="3161"/>
      <c r="F255" s="3026"/>
      <c r="G255" s="3027"/>
      <c r="H255" s="3027"/>
      <c r="I255" s="3027"/>
      <c r="J255" s="3027"/>
      <c r="K255" s="3027"/>
      <c r="L255" s="3027"/>
      <c r="M255" s="3025"/>
      <c r="N255" s="3026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826"/>
      <c r="AD255" s="2826"/>
      <c r="AE255" s="2826"/>
      <c r="AF255" s="2826"/>
      <c r="AG255" s="2826"/>
      <c r="AH255" s="2826"/>
      <c r="AI255" s="2826"/>
      <c r="AJ255" s="2826"/>
      <c r="AK255" s="2826"/>
      <c r="AL255" s="2826"/>
      <c r="AM255" s="2826"/>
    </row>
    <row r="256" spans="2:41" s="2825" customFormat="1">
      <c r="B256" s="2935"/>
      <c r="D256" s="3161"/>
      <c r="F256" s="3026"/>
      <c r="G256" s="3027"/>
      <c r="H256" s="3027"/>
      <c r="I256" s="3027"/>
      <c r="J256" s="3027"/>
      <c r="K256" s="3027"/>
      <c r="L256" s="3027"/>
      <c r="M256" s="3025"/>
      <c r="N256" s="3026"/>
      <c r="O256" s="141"/>
      <c r="P256" s="141"/>
      <c r="Q256" s="148"/>
      <c r="R256" s="148"/>
      <c r="S256" s="149"/>
      <c r="T256" s="149"/>
      <c r="U256" s="150"/>
      <c r="V256" s="150"/>
      <c r="W256" s="150"/>
      <c r="X256" s="150"/>
      <c r="Y256" s="150"/>
      <c r="Z256" s="150"/>
      <c r="AA256" s="150"/>
      <c r="AC256" s="2826"/>
      <c r="AD256" s="2826"/>
      <c r="AE256" s="2826"/>
      <c r="AF256" s="2826"/>
      <c r="AG256" s="2826"/>
      <c r="AH256" s="2826"/>
      <c r="AI256" s="2826"/>
      <c r="AJ256" s="2826"/>
      <c r="AK256" s="2826"/>
      <c r="AL256" s="2826"/>
      <c r="AM256" s="2826"/>
    </row>
    <row r="257" spans="2:39" s="2825" customFormat="1">
      <c r="B257" s="2935"/>
      <c r="D257" s="3161"/>
      <c r="F257" s="3026"/>
      <c r="G257" s="3027"/>
      <c r="H257" s="3027"/>
      <c r="I257" s="3027"/>
      <c r="J257" s="3027"/>
      <c r="K257" s="3027"/>
      <c r="L257" s="3027"/>
      <c r="M257" s="3025"/>
      <c r="N257" s="3026"/>
      <c r="O257" s="141"/>
      <c r="P257" s="141"/>
      <c r="Q257" s="148"/>
      <c r="R257" s="148"/>
      <c r="S257" s="149"/>
      <c r="T257" s="149"/>
      <c r="U257" s="150"/>
      <c r="V257" s="150"/>
      <c r="W257" s="150"/>
      <c r="X257" s="150"/>
      <c r="Y257" s="150"/>
      <c r="Z257" s="150"/>
      <c r="AA257" s="150"/>
      <c r="AC257" s="2826"/>
      <c r="AD257" s="2826"/>
      <c r="AE257" s="2826"/>
      <c r="AF257" s="2826"/>
      <c r="AG257" s="2826"/>
      <c r="AH257" s="2826"/>
      <c r="AI257" s="2826"/>
      <c r="AJ257" s="2826"/>
      <c r="AK257" s="2826"/>
      <c r="AL257" s="2826"/>
      <c r="AM257" s="2826"/>
    </row>
    <row r="258" spans="2:39" s="2825" customFormat="1">
      <c r="B258" s="2935"/>
      <c r="D258" s="3161"/>
      <c r="F258" s="3026"/>
      <c r="G258" s="3027"/>
      <c r="H258" s="3027"/>
      <c r="I258" s="3027"/>
      <c r="J258" s="3027"/>
      <c r="K258" s="3027"/>
      <c r="L258" s="3027"/>
      <c r="M258" s="3025"/>
      <c r="N258" s="3026"/>
      <c r="O258" s="141"/>
      <c r="P258" s="141"/>
      <c r="Q258" s="148"/>
      <c r="R258" s="148"/>
      <c r="S258" s="149"/>
      <c r="T258" s="149"/>
      <c r="U258" s="150"/>
      <c r="V258" s="150"/>
      <c r="W258" s="150"/>
      <c r="X258" s="150"/>
      <c r="Y258" s="150"/>
      <c r="Z258" s="150"/>
      <c r="AA258" s="150"/>
      <c r="AC258" s="2826"/>
      <c r="AD258" s="2826"/>
      <c r="AE258" s="2826"/>
      <c r="AF258" s="2826"/>
      <c r="AG258" s="2826"/>
      <c r="AH258" s="2826"/>
      <c r="AI258" s="2826"/>
      <c r="AJ258" s="2826"/>
      <c r="AK258" s="2826"/>
      <c r="AL258" s="2826"/>
      <c r="AM258" s="2826"/>
    </row>
    <row r="259" spans="2:39" s="2825" customFormat="1">
      <c r="B259" s="2935"/>
      <c r="D259" s="3161"/>
      <c r="F259" s="3026"/>
      <c r="G259" s="3027"/>
      <c r="H259" s="3027"/>
      <c r="I259" s="3027"/>
      <c r="J259" s="3027"/>
      <c r="K259" s="3027"/>
      <c r="L259" s="3027"/>
      <c r="M259" s="3025"/>
      <c r="N259" s="3026"/>
      <c r="O259" s="141"/>
      <c r="P259" s="141"/>
      <c r="Q259" s="148"/>
      <c r="R259" s="148"/>
      <c r="S259" s="149"/>
      <c r="T259" s="149"/>
      <c r="U259" s="150"/>
      <c r="V259" s="150"/>
      <c r="W259" s="150"/>
      <c r="X259" s="150"/>
      <c r="Y259" s="150"/>
      <c r="Z259" s="150"/>
      <c r="AA259" s="150"/>
      <c r="AC259" s="2826"/>
      <c r="AD259" s="2826"/>
      <c r="AE259" s="2826"/>
      <c r="AF259" s="2826"/>
      <c r="AG259" s="2826"/>
      <c r="AH259" s="2826"/>
      <c r="AI259" s="2826"/>
      <c r="AJ259" s="2826"/>
      <c r="AK259" s="2826"/>
      <c r="AL259" s="2826"/>
      <c r="AM259" s="2826"/>
    </row>
    <row r="260" spans="2:39" s="2825" customFormat="1">
      <c r="B260" s="2935"/>
      <c r="D260" s="3161"/>
      <c r="F260" s="3026"/>
      <c r="G260" s="3027"/>
      <c r="H260" s="3027"/>
      <c r="I260" s="3027"/>
      <c r="J260" s="3027"/>
      <c r="K260" s="3027"/>
      <c r="L260" s="3027"/>
      <c r="M260" s="3025"/>
      <c r="N260" s="3026"/>
      <c r="O260" s="141"/>
      <c r="P260" s="141"/>
      <c r="Q260" s="148"/>
      <c r="R260" s="148"/>
      <c r="S260" s="149"/>
      <c r="T260" s="149"/>
      <c r="U260" s="150"/>
      <c r="V260" s="150"/>
      <c r="W260" s="150"/>
      <c r="X260" s="150"/>
      <c r="Y260" s="150"/>
      <c r="Z260" s="150"/>
      <c r="AA260" s="150"/>
      <c r="AC260" s="2826"/>
      <c r="AD260" s="2826"/>
      <c r="AE260" s="2826"/>
      <c r="AF260" s="2826"/>
      <c r="AG260" s="2826"/>
      <c r="AH260" s="2826"/>
      <c r="AI260" s="2826"/>
      <c r="AJ260" s="2826"/>
      <c r="AK260" s="2826"/>
      <c r="AL260" s="2826"/>
      <c r="AM260" s="2826"/>
    </row>
    <row r="261" spans="2:39" s="2825" customFormat="1">
      <c r="B261" s="2935"/>
      <c r="D261" s="3161"/>
      <c r="F261" s="3026"/>
      <c r="G261" s="3027"/>
      <c r="H261" s="3027"/>
      <c r="I261" s="3027"/>
      <c r="J261" s="3027"/>
      <c r="K261" s="3027"/>
      <c r="L261" s="3027"/>
      <c r="M261" s="3025"/>
      <c r="N261" s="3026"/>
      <c r="O261" s="141"/>
      <c r="P261" s="141"/>
      <c r="Q261" s="148"/>
      <c r="R261" s="148"/>
      <c r="S261" s="149"/>
      <c r="T261" s="149"/>
      <c r="U261" s="150"/>
      <c r="V261" s="150"/>
      <c r="W261" s="150"/>
      <c r="X261" s="150"/>
      <c r="Y261" s="150"/>
      <c r="Z261" s="150"/>
      <c r="AA261" s="150"/>
      <c r="AC261" s="2826"/>
      <c r="AD261" s="2826"/>
      <c r="AE261" s="2826"/>
      <c r="AF261" s="2826"/>
      <c r="AG261" s="2826"/>
      <c r="AH261" s="2826"/>
      <c r="AI261" s="2826"/>
      <c r="AJ261" s="2826"/>
      <c r="AK261" s="2826"/>
      <c r="AL261" s="2826"/>
      <c r="AM261" s="2826"/>
    </row>
    <row r="262" spans="2:39" s="2825" customFormat="1">
      <c r="B262" s="2935"/>
      <c r="D262" s="3161"/>
      <c r="F262" s="3026"/>
      <c r="G262" s="3027"/>
      <c r="H262" s="3027"/>
      <c r="I262" s="3027"/>
      <c r="J262" s="3027"/>
      <c r="K262" s="3027"/>
      <c r="L262" s="3027"/>
      <c r="M262" s="3025"/>
      <c r="N262" s="3026"/>
      <c r="O262" s="141"/>
      <c r="P262" s="141"/>
      <c r="Q262" s="148"/>
      <c r="R262" s="148"/>
      <c r="S262" s="149"/>
      <c r="T262" s="149"/>
      <c r="U262" s="150"/>
      <c r="V262" s="150"/>
      <c r="W262" s="150"/>
      <c r="X262" s="150"/>
      <c r="Y262" s="150"/>
      <c r="Z262" s="150"/>
      <c r="AA262" s="150"/>
      <c r="AC262" s="2826"/>
      <c r="AD262" s="2826"/>
      <c r="AE262" s="2826"/>
      <c r="AF262" s="2826"/>
      <c r="AG262" s="2826"/>
      <c r="AH262" s="2826"/>
      <c r="AI262" s="2826"/>
      <c r="AJ262" s="2826"/>
      <c r="AK262" s="2826"/>
      <c r="AL262" s="2826"/>
      <c r="AM262" s="2826"/>
    </row>
    <row r="263" spans="2:39" s="2825" customFormat="1">
      <c r="B263" s="2935"/>
      <c r="D263" s="3161"/>
      <c r="F263" s="3026"/>
      <c r="G263" s="3027"/>
      <c r="H263" s="3027"/>
      <c r="I263" s="3027"/>
      <c r="J263" s="3027"/>
      <c r="K263" s="3027"/>
      <c r="L263" s="3027"/>
      <c r="M263" s="3025"/>
      <c r="N263" s="3026"/>
      <c r="O263" s="141"/>
      <c r="P263" s="141"/>
      <c r="Q263" s="148"/>
      <c r="R263" s="148"/>
      <c r="S263" s="149"/>
      <c r="T263" s="149"/>
      <c r="U263" s="150"/>
      <c r="V263" s="150"/>
      <c r="W263" s="150"/>
      <c r="X263" s="150"/>
      <c r="Y263" s="150"/>
      <c r="Z263" s="150"/>
      <c r="AA263" s="150"/>
      <c r="AC263" s="2826"/>
      <c r="AD263" s="2826"/>
      <c r="AE263" s="2826"/>
      <c r="AF263" s="2826"/>
      <c r="AG263" s="2826"/>
      <c r="AH263" s="2826"/>
      <c r="AI263" s="2826"/>
      <c r="AJ263" s="2826"/>
      <c r="AK263" s="2826"/>
      <c r="AL263" s="2826"/>
      <c r="AM263" s="2826"/>
    </row>
    <row r="264" spans="2:39" s="2825" customFormat="1">
      <c r="B264" s="2935"/>
      <c r="D264" s="3161"/>
      <c r="F264" s="3026"/>
      <c r="G264" s="3027"/>
      <c r="H264" s="3027"/>
      <c r="I264" s="3027"/>
      <c r="J264" s="3027"/>
      <c r="K264" s="3027"/>
      <c r="L264" s="3027"/>
      <c r="M264" s="3025"/>
      <c r="N264" s="3026"/>
      <c r="O264" s="141"/>
      <c r="P264" s="141"/>
      <c r="Q264" s="148"/>
      <c r="R264" s="148"/>
      <c r="S264" s="149"/>
      <c r="T264" s="149"/>
      <c r="U264" s="150"/>
      <c r="V264" s="150"/>
      <c r="W264" s="150"/>
      <c r="X264" s="150"/>
      <c r="Y264" s="150"/>
      <c r="Z264" s="150"/>
      <c r="AA264" s="150"/>
      <c r="AC264" s="2826"/>
      <c r="AD264" s="2826"/>
      <c r="AE264" s="2826"/>
      <c r="AF264" s="2826"/>
      <c r="AG264" s="2826"/>
      <c r="AH264" s="2826"/>
      <c r="AI264" s="2826"/>
      <c r="AJ264" s="2826"/>
      <c r="AK264" s="2826"/>
      <c r="AL264" s="2826"/>
      <c r="AM264" s="2826"/>
    </row>
    <row r="265" spans="2:39" s="2825" customFormat="1">
      <c r="B265" s="2935"/>
      <c r="D265" s="3161"/>
      <c r="F265" s="3026"/>
      <c r="G265" s="3027"/>
      <c r="H265" s="3027"/>
      <c r="I265" s="3027"/>
      <c r="J265" s="3027"/>
      <c r="K265" s="3027"/>
      <c r="L265" s="3027"/>
      <c r="M265" s="3025"/>
      <c r="N265" s="3026"/>
      <c r="O265" s="141"/>
      <c r="P265" s="141"/>
      <c r="Q265" s="148"/>
      <c r="R265" s="148"/>
      <c r="S265" s="149"/>
      <c r="T265" s="149"/>
      <c r="U265" s="150"/>
      <c r="V265" s="150"/>
      <c r="W265" s="150"/>
      <c r="X265" s="150"/>
      <c r="Y265" s="150"/>
      <c r="Z265" s="150"/>
      <c r="AA265" s="150"/>
      <c r="AC265" s="2826"/>
      <c r="AD265" s="2826"/>
      <c r="AE265" s="2826"/>
      <c r="AF265" s="2826"/>
      <c r="AG265" s="2826"/>
      <c r="AH265" s="2826"/>
      <c r="AI265" s="2826"/>
      <c r="AJ265" s="2826"/>
      <c r="AK265" s="2826"/>
      <c r="AL265" s="2826"/>
      <c r="AM265" s="2826"/>
    </row>
    <row r="266" spans="2:39" s="2825" customFormat="1">
      <c r="B266" s="2935"/>
      <c r="D266" s="3161"/>
      <c r="F266" s="3026"/>
      <c r="G266" s="3027"/>
      <c r="H266" s="3027"/>
      <c r="I266" s="3027"/>
      <c r="J266" s="3027"/>
      <c r="K266" s="3027"/>
      <c r="L266" s="3027"/>
      <c r="M266" s="3025"/>
      <c r="N266" s="3026"/>
      <c r="O266" s="141"/>
      <c r="P266" s="141"/>
      <c r="Q266" s="148"/>
      <c r="R266" s="148"/>
      <c r="S266" s="149"/>
      <c r="T266" s="149"/>
      <c r="U266" s="150"/>
      <c r="V266" s="150"/>
      <c r="W266" s="150"/>
      <c r="X266" s="150"/>
      <c r="Y266" s="150"/>
      <c r="Z266" s="150"/>
      <c r="AA266" s="150"/>
      <c r="AC266" s="2826"/>
      <c r="AD266" s="2826"/>
      <c r="AE266" s="2826"/>
      <c r="AF266" s="2826"/>
      <c r="AG266" s="2826"/>
      <c r="AH266" s="2826"/>
      <c r="AI266" s="2826"/>
      <c r="AJ266" s="2826"/>
      <c r="AK266" s="2826"/>
      <c r="AL266" s="2826"/>
      <c r="AM266" s="2826"/>
    </row>
    <row r="267" spans="2:39" s="2825" customFormat="1">
      <c r="B267" s="2935"/>
      <c r="D267" s="3161"/>
      <c r="F267" s="3026"/>
      <c r="G267" s="3027"/>
      <c r="H267" s="3027"/>
      <c r="I267" s="3027"/>
      <c r="J267" s="3027"/>
      <c r="K267" s="3027"/>
      <c r="L267" s="3027"/>
      <c r="M267" s="3025"/>
      <c r="N267" s="3026"/>
      <c r="O267" s="141"/>
      <c r="P267" s="141"/>
      <c r="Q267" s="148"/>
      <c r="R267" s="148"/>
      <c r="S267" s="149"/>
      <c r="T267" s="149"/>
      <c r="U267" s="150"/>
      <c r="V267" s="150"/>
      <c r="W267" s="150"/>
      <c r="X267" s="150"/>
      <c r="Y267" s="150"/>
      <c r="Z267" s="150"/>
      <c r="AA267" s="150"/>
      <c r="AC267" s="2826"/>
      <c r="AD267" s="2826"/>
      <c r="AE267" s="2826"/>
      <c r="AF267" s="2826"/>
      <c r="AG267" s="2826"/>
      <c r="AH267" s="2826"/>
      <c r="AI267" s="2826"/>
      <c r="AJ267" s="2826"/>
      <c r="AK267" s="2826"/>
      <c r="AL267" s="2826"/>
      <c r="AM267" s="2826"/>
    </row>
    <row r="268" spans="2:39" s="2825" customFormat="1">
      <c r="B268" s="2935"/>
      <c r="D268" s="3161"/>
      <c r="F268" s="3026"/>
      <c r="G268" s="3027"/>
      <c r="H268" s="3027"/>
      <c r="I268" s="3027"/>
      <c r="J268" s="3027"/>
      <c r="K268" s="3027"/>
      <c r="L268" s="3027"/>
      <c r="M268" s="3025"/>
      <c r="N268" s="3026"/>
      <c r="O268" s="141"/>
      <c r="P268" s="141"/>
      <c r="Q268" s="148"/>
      <c r="R268" s="148"/>
      <c r="S268" s="149"/>
      <c r="T268" s="149"/>
      <c r="U268" s="150"/>
      <c r="V268" s="150"/>
      <c r="W268" s="150"/>
      <c r="X268" s="150"/>
      <c r="Y268" s="150"/>
      <c r="Z268" s="150"/>
      <c r="AA268" s="150"/>
      <c r="AC268" s="2826"/>
      <c r="AD268" s="2826"/>
      <c r="AE268" s="2826"/>
      <c r="AF268" s="2826"/>
      <c r="AG268" s="2826"/>
      <c r="AH268" s="2826"/>
      <c r="AI268" s="2826"/>
      <c r="AJ268" s="2826"/>
      <c r="AK268" s="2826"/>
      <c r="AL268" s="2826"/>
      <c r="AM268" s="2826"/>
    </row>
    <row r="269" spans="2:39" s="2825" customFormat="1">
      <c r="B269" s="2935"/>
      <c r="D269" s="3161"/>
      <c r="F269" s="3026"/>
      <c r="G269" s="3027"/>
      <c r="H269" s="3027"/>
      <c r="I269" s="3027"/>
      <c r="J269" s="3027"/>
      <c r="K269" s="3027"/>
      <c r="L269" s="3027"/>
      <c r="M269" s="3025"/>
      <c r="N269" s="3026"/>
      <c r="O269" s="141"/>
      <c r="P269" s="141"/>
      <c r="Q269" s="148"/>
      <c r="R269" s="148"/>
      <c r="S269" s="149"/>
      <c r="T269" s="149"/>
      <c r="U269" s="150"/>
      <c r="V269" s="150"/>
      <c r="W269" s="150"/>
      <c r="X269" s="150"/>
      <c r="Y269" s="150"/>
      <c r="Z269" s="150"/>
      <c r="AA269" s="150"/>
      <c r="AC269" s="2826"/>
      <c r="AD269" s="2826"/>
      <c r="AE269" s="2826"/>
      <c r="AF269" s="2826"/>
      <c r="AG269" s="2826"/>
      <c r="AH269" s="2826"/>
      <c r="AI269" s="2826"/>
      <c r="AJ269" s="2826"/>
      <c r="AK269" s="2826"/>
      <c r="AL269" s="2826"/>
      <c r="AM269" s="2826"/>
    </row>
    <row r="270" spans="2:39" s="2825" customFormat="1">
      <c r="B270" s="2935"/>
      <c r="D270" s="3161"/>
      <c r="F270" s="3026"/>
      <c r="G270" s="3027"/>
      <c r="H270" s="3027"/>
      <c r="I270" s="3027"/>
      <c r="J270" s="3027"/>
      <c r="K270" s="3027"/>
      <c r="L270" s="3027"/>
      <c r="M270" s="3025"/>
      <c r="N270" s="3026"/>
      <c r="O270" s="141"/>
      <c r="P270" s="141"/>
      <c r="Q270" s="148"/>
      <c r="R270" s="148"/>
      <c r="S270" s="149"/>
      <c r="T270" s="149"/>
      <c r="U270" s="150"/>
      <c r="V270" s="150"/>
      <c r="W270" s="150"/>
      <c r="X270" s="150"/>
      <c r="Y270" s="150"/>
      <c r="Z270" s="150"/>
      <c r="AA270" s="150"/>
      <c r="AC270" s="2826"/>
      <c r="AD270" s="2826"/>
      <c r="AE270" s="2826"/>
      <c r="AF270" s="2826"/>
      <c r="AG270" s="2826"/>
      <c r="AH270" s="2826"/>
      <c r="AI270" s="2826"/>
      <c r="AJ270" s="2826"/>
      <c r="AK270" s="2826"/>
      <c r="AL270" s="2826"/>
      <c r="AM270" s="2826"/>
    </row>
    <row r="271" spans="2:39" s="2825" customFormat="1">
      <c r="B271" s="2935"/>
      <c r="D271" s="3161"/>
      <c r="F271" s="3026"/>
      <c r="G271" s="3027"/>
      <c r="H271" s="3027"/>
      <c r="I271" s="3027"/>
      <c r="J271" s="3027"/>
      <c r="K271" s="3027"/>
      <c r="L271" s="3027"/>
      <c r="M271" s="3025"/>
      <c r="N271" s="3026"/>
      <c r="O271" s="141"/>
      <c r="P271" s="141"/>
      <c r="Q271" s="148"/>
      <c r="R271" s="148"/>
      <c r="S271" s="149"/>
      <c r="T271" s="149"/>
      <c r="U271" s="150"/>
      <c r="V271" s="150"/>
      <c r="W271" s="150"/>
      <c r="X271" s="150"/>
      <c r="Y271" s="150"/>
      <c r="Z271" s="150"/>
      <c r="AA271" s="150"/>
      <c r="AC271" s="2826"/>
      <c r="AD271" s="2826"/>
      <c r="AE271" s="2826"/>
      <c r="AF271" s="2826"/>
      <c r="AG271" s="2826"/>
      <c r="AH271" s="2826"/>
      <c r="AI271" s="2826"/>
      <c r="AJ271" s="2826"/>
      <c r="AK271" s="2826"/>
      <c r="AL271" s="2826"/>
      <c r="AM271" s="2826"/>
    </row>
    <row r="272" spans="2:39" s="2825" customFormat="1">
      <c r="B272" s="2935"/>
      <c r="D272" s="3161"/>
      <c r="F272" s="3026"/>
      <c r="G272" s="3027"/>
      <c r="H272" s="3027"/>
      <c r="I272" s="3027"/>
      <c r="J272" s="3027"/>
      <c r="K272" s="3027"/>
      <c r="L272" s="3027"/>
      <c r="M272" s="3025"/>
      <c r="N272" s="3026"/>
      <c r="O272" s="141"/>
      <c r="P272" s="141"/>
      <c r="Q272" s="148"/>
      <c r="R272" s="148"/>
      <c r="S272" s="149"/>
      <c r="T272" s="149"/>
      <c r="U272" s="150"/>
      <c r="V272" s="150"/>
      <c r="W272" s="150"/>
      <c r="X272" s="150"/>
      <c r="Y272" s="150"/>
      <c r="Z272" s="150"/>
      <c r="AA272" s="150"/>
      <c r="AC272" s="2826"/>
      <c r="AD272" s="2826"/>
      <c r="AE272" s="2826"/>
      <c r="AF272" s="2826"/>
      <c r="AG272" s="2826"/>
      <c r="AH272" s="2826"/>
      <c r="AI272" s="2826"/>
      <c r="AJ272" s="2826"/>
      <c r="AK272" s="2826"/>
      <c r="AL272" s="2826"/>
      <c r="AM272" s="2826"/>
    </row>
    <row r="273" spans="1:40" s="2825" customFormat="1">
      <c r="B273" s="2935"/>
      <c r="D273" s="3161"/>
      <c r="F273" s="3026"/>
      <c r="G273" s="3027"/>
      <c r="H273" s="3027"/>
      <c r="I273" s="3027"/>
      <c r="J273" s="3027"/>
      <c r="K273" s="3027"/>
      <c r="L273" s="3027"/>
      <c r="M273" s="3025"/>
      <c r="N273" s="3026"/>
      <c r="O273" s="141"/>
      <c r="P273" s="141"/>
      <c r="Q273" s="148"/>
      <c r="R273" s="148"/>
      <c r="S273" s="149"/>
      <c r="T273" s="149"/>
      <c r="U273" s="150"/>
      <c r="V273" s="150"/>
      <c r="W273" s="150"/>
      <c r="X273" s="150"/>
      <c r="Y273" s="150"/>
      <c r="Z273" s="150"/>
      <c r="AA273" s="150"/>
      <c r="AC273" s="2826"/>
      <c r="AD273" s="2826"/>
      <c r="AE273" s="2826"/>
      <c r="AF273" s="2826"/>
      <c r="AG273" s="2826"/>
      <c r="AH273" s="2826"/>
      <c r="AI273" s="2826"/>
      <c r="AJ273" s="2826"/>
      <c r="AK273" s="2826"/>
      <c r="AL273" s="2826"/>
      <c r="AM273" s="2826"/>
    </row>
    <row r="274" spans="1:40">
      <c r="A274" s="1"/>
      <c r="O274" s="155"/>
      <c r="P274" s="155"/>
      <c r="Q274" s="1131"/>
      <c r="R274" s="1131"/>
      <c r="S274" s="251"/>
      <c r="T274" s="251"/>
      <c r="U274" s="1132"/>
      <c r="V274" s="1132"/>
      <c r="W274" s="1132"/>
      <c r="X274" s="1132"/>
      <c r="Y274" s="1132"/>
      <c r="Z274" s="1132"/>
      <c r="AA274" s="1132"/>
      <c r="AN274" s="1"/>
    </row>
    <row r="275" spans="1:40">
      <c r="A275" s="1"/>
      <c r="O275" s="155"/>
      <c r="P275" s="155"/>
      <c r="Q275" s="1131"/>
      <c r="R275" s="1131"/>
      <c r="S275" s="251"/>
      <c r="T275" s="251"/>
      <c r="U275" s="1132"/>
      <c r="V275" s="1132"/>
      <c r="W275" s="1132"/>
      <c r="X275" s="1132"/>
      <c r="Y275" s="1132"/>
      <c r="Z275" s="1132"/>
      <c r="AA275" s="1132"/>
      <c r="AN275" s="1"/>
    </row>
    <row r="276" spans="1:40">
      <c r="A276" s="1"/>
      <c r="O276" s="155"/>
      <c r="P276" s="155"/>
      <c r="Q276" s="1131"/>
      <c r="R276" s="1131"/>
      <c r="S276" s="251"/>
      <c r="T276" s="251"/>
      <c r="U276" s="1132"/>
      <c r="V276" s="1132"/>
      <c r="W276" s="1132"/>
      <c r="X276" s="1132"/>
      <c r="Y276" s="1132"/>
      <c r="Z276" s="1132"/>
      <c r="AA276" s="1132"/>
      <c r="AN276" s="1"/>
    </row>
    <row r="277" spans="1:40">
      <c r="A277" s="1"/>
      <c r="O277" s="155"/>
      <c r="P277" s="155"/>
      <c r="Q277" s="1131"/>
      <c r="R277" s="1131"/>
      <c r="S277" s="251"/>
      <c r="T277" s="251"/>
      <c r="U277" s="1132"/>
      <c r="V277" s="1132"/>
      <c r="W277" s="1132"/>
      <c r="X277" s="1132"/>
      <c r="Y277" s="1132"/>
      <c r="Z277" s="1132"/>
      <c r="AA277" s="1132"/>
      <c r="AN277" s="1"/>
    </row>
    <row r="278" spans="1:40">
      <c r="A278" s="1"/>
      <c r="O278" s="155"/>
      <c r="P278" s="155"/>
      <c r="Q278" s="1131"/>
      <c r="R278" s="1131"/>
      <c r="S278" s="251"/>
      <c r="T278" s="251"/>
      <c r="U278" s="1132"/>
      <c r="V278" s="1132"/>
      <c r="W278" s="1132"/>
      <c r="X278" s="1132"/>
      <c r="Y278" s="1132"/>
      <c r="Z278" s="1132"/>
      <c r="AA278" s="1132"/>
      <c r="AN278" s="1"/>
    </row>
    <row r="279" spans="1:40">
      <c r="A279" s="1"/>
      <c r="O279" s="155"/>
      <c r="P279" s="155"/>
      <c r="Q279" s="1131"/>
      <c r="R279" s="1131"/>
      <c r="S279" s="251"/>
      <c r="T279" s="251"/>
      <c r="U279" s="1132"/>
      <c r="V279" s="1132"/>
      <c r="W279" s="1132"/>
      <c r="X279" s="1132"/>
      <c r="Y279" s="1132"/>
      <c r="Z279" s="1132"/>
      <c r="AA279" s="1132"/>
      <c r="AN279" s="1"/>
    </row>
    <row r="280" spans="1:40">
      <c r="A280" s="1"/>
      <c r="O280" s="155"/>
      <c r="P280" s="155"/>
      <c r="Q280" s="1131"/>
      <c r="R280" s="1131"/>
      <c r="S280" s="251"/>
      <c r="T280" s="251"/>
      <c r="U280" s="1132"/>
      <c r="V280" s="1132"/>
      <c r="W280" s="1132"/>
      <c r="X280" s="1132"/>
      <c r="Y280" s="1132"/>
      <c r="Z280" s="1132"/>
      <c r="AA280" s="1132"/>
      <c r="AN280" s="1"/>
    </row>
    <row r="281" spans="1:40">
      <c r="A281" s="1"/>
      <c r="O281" s="155"/>
      <c r="P281" s="155"/>
      <c r="Q281" s="1131"/>
      <c r="R281" s="1131"/>
      <c r="S281" s="251"/>
      <c r="T281" s="251"/>
      <c r="U281" s="1132"/>
      <c r="V281" s="1132"/>
      <c r="W281" s="1132"/>
      <c r="X281" s="1132"/>
      <c r="Y281" s="1132"/>
      <c r="Z281" s="1132"/>
      <c r="AA281" s="1132"/>
      <c r="AN281" s="1"/>
    </row>
    <row r="282" spans="1:40">
      <c r="A282" s="1"/>
      <c r="O282" s="155"/>
      <c r="P282" s="155"/>
      <c r="Q282" s="1131"/>
      <c r="R282" s="1131"/>
      <c r="S282" s="251"/>
      <c r="T282" s="251"/>
      <c r="U282" s="1132"/>
      <c r="V282" s="1132"/>
      <c r="W282" s="1132"/>
      <c r="X282" s="1132"/>
      <c r="Y282" s="1132"/>
      <c r="Z282" s="1132"/>
      <c r="AA282" s="1132"/>
      <c r="AN282" s="1"/>
    </row>
    <row r="283" spans="1:40">
      <c r="A283" s="1"/>
      <c r="B283" s="1"/>
      <c r="D283" s="1"/>
      <c r="F283" s="1"/>
      <c r="G283" s="1"/>
      <c r="H283" s="1"/>
      <c r="I283" s="1"/>
      <c r="J283" s="1"/>
      <c r="K283" s="1"/>
      <c r="L283" s="1"/>
      <c r="M283" s="1"/>
      <c r="N283" s="1"/>
      <c r="O283" s="155"/>
      <c r="P283" s="155"/>
      <c r="Q283" s="1131"/>
      <c r="R283" s="1131"/>
      <c r="S283" s="251"/>
      <c r="T283" s="251"/>
      <c r="U283" s="1132"/>
      <c r="V283" s="1132"/>
      <c r="W283" s="1132"/>
      <c r="X283" s="1132"/>
      <c r="Y283" s="1132"/>
      <c r="Z283" s="1132"/>
      <c r="AA283" s="1132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>
      <c r="A284" s="1"/>
      <c r="B284" s="1"/>
      <c r="D284" s="1"/>
      <c r="F284" s="1"/>
      <c r="G284" s="1"/>
      <c r="H284" s="1"/>
      <c r="I284" s="1"/>
      <c r="J284" s="1"/>
      <c r="K284" s="1"/>
      <c r="L284" s="1"/>
      <c r="M284" s="1"/>
      <c r="N284" s="1"/>
      <c r="O284" s="155"/>
      <c r="P284" s="155"/>
      <c r="Q284" s="1131"/>
      <c r="R284" s="1131"/>
      <c r="S284" s="251"/>
      <c r="T284" s="251"/>
      <c r="U284" s="1132"/>
      <c r="V284" s="1132"/>
      <c r="W284" s="1132"/>
      <c r="X284" s="1132"/>
      <c r="Y284" s="1132"/>
      <c r="Z284" s="1132"/>
      <c r="AA284" s="1132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>
      <c r="A285" s="1"/>
      <c r="B285" s="1"/>
      <c r="D285" s="1"/>
      <c r="F285" s="1"/>
      <c r="G285" s="1"/>
      <c r="H285" s="1"/>
      <c r="I285" s="1"/>
      <c r="J285" s="1"/>
      <c r="K285" s="1"/>
      <c r="L285" s="1"/>
      <c r="M285" s="1"/>
      <c r="N285" s="1"/>
      <c r="O285" s="155"/>
      <c r="P285" s="155"/>
      <c r="Q285" s="1131"/>
      <c r="R285" s="1131"/>
      <c r="S285" s="251"/>
      <c r="T285" s="251"/>
      <c r="U285" s="1132"/>
      <c r="V285" s="1132"/>
      <c r="W285" s="1132"/>
      <c r="X285" s="1132"/>
      <c r="Y285" s="1132"/>
      <c r="Z285" s="1132"/>
      <c r="AA285" s="1132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>
      <c r="A286" s="1"/>
      <c r="B286" s="1"/>
      <c r="D286" s="1"/>
      <c r="F286" s="1"/>
      <c r="G286" s="1"/>
      <c r="H286" s="1"/>
      <c r="I286" s="1"/>
      <c r="J286" s="1"/>
      <c r="K286" s="1"/>
      <c r="L286" s="1"/>
      <c r="M286" s="1"/>
      <c r="N286" s="1"/>
      <c r="O286" s="155"/>
      <c r="P286" s="155"/>
      <c r="Q286" s="1131"/>
      <c r="R286" s="1131"/>
      <c r="S286" s="251"/>
      <c r="T286" s="251"/>
      <c r="U286" s="1132"/>
      <c r="V286" s="1132"/>
      <c r="W286" s="1132"/>
      <c r="X286" s="1132"/>
      <c r="Y286" s="1132"/>
      <c r="Z286" s="1132"/>
      <c r="AA286" s="1132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</sheetData>
  <mergeCells count="2">
    <mergeCell ref="Q87:S87"/>
    <mergeCell ref="Q94:S94"/>
  </mergeCells>
  <conditionalFormatting sqref="K94 K90:K91">
    <cfRule type="cellIs" dxfId="194" priority="2" stopIfTrue="1" operator="equal">
      <formula>1</formula>
    </cfRule>
  </conditionalFormatting>
  <conditionalFormatting sqref="K93">
    <cfRule type="cellIs" dxfId="193" priority="3" stopIfTrue="1" operator="equal">
      <formula>1</formula>
    </cfRule>
  </conditionalFormatting>
  <conditionalFormatting sqref="K86:K89">
    <cfRule type="cellIs" dxfId="192" priority="6" stopIfTrue="1" operator="equal">
      <formula>1</formula>
    </cfRule>
  </conditionalFormatting>
  <conditionalFormatting sqref="K92">
    <cfRule type="cellIs" dxfId="191" priority="4" stopIfTrue="1" operator="equal">
      <formula>1</formula>
    </cfRule>
  </conditionalFormatting>
  <conditionalFormatting sqref="K84:K85">
    <cfRule type="cellIs" dxfId="190" priority="1" stopIfTrue="1" operator="equal">
      <formula>1</formula>
    </cfRule>
  </conditionalFormatting>
  <printOptions horizontalCentered="1" verticalCentered="1"/>
  <pageMargins left="0" right="0" top="0.74803149606299213" bottom="1.1811023622047245" header="0.51181102362204722" footer="0"/>
  <pageSetup paperSize="9" scale="110" orientation="landscape" horizontalDpi="0" verticalDpi="0"/>
  <headerFooter>
    <oddHeader>&amp;L&amp;K000000&amp;D&amp;Z&amp;F&amp;C&amp;K000000&amp;F&amp;R&amp;K000000&amp;A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08733-AC8B-7241-9957-5CAF938B75E1}">
  <sheetPr codeName="Hoja44"/>
  <dimension ref="A1:AO304"/>
  <sheetViews>
    <sheetView topLeftCell="A19" zoomScale="225" zoomScaleNormal="150" workbookViewId="0">
      <selection activeCell="A38" sqref="A38:R44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6640625" style="1" customWidth="1"/>
    <col min="4" max="4" width="0.83203125" style="3082" customWidth="1"/>
    <col min="5" max="5" width="2.33203125" style="1" customWidth="1"/>
    <col min="6" max="6" width="2.6640625" style="2818" customWidth="1"/>
    <col min="7" max="7" width="5.6640625" style="780" customWidth="1"/>
    <col min="8" max="8" width="8" style="780" customWidth="1"/>
    <col min="9" max="9" width="8.83203125" style="780" customWidth="1"/>
    <col min="10" max="10" width="9" style="780" customWidth="1"/>
    <col min="11" max="11" width="29.83203125" style="780" customWidth="1"/>
    <col min="12" max="12" width="7.1640625" style="780" customWidth="1"/>
    <col min="13" max="13" width="1" style="2820" customWidth="1"/>
    <col min="14" max="14" width="10.1640625" style="2818" customWidth="1"/>
    <col min="15" max="15" width="0.33203125" style="780" customWidth="1"/>
    <col min="16" max="16" width="9.5" style="780" customWidth="1"/>
    <col min="17" max="17" width="7.33203125" style="2821" customWidth="1"/>
    <col min="18" max="18" width="7.6640625" style="2821" customWidth="1"/>
    <col min="19" max="19" width="1.33203125" style="2822" customWidth="1"/>
    <col min="20" max="20" width="0.33203125" style="2822" customWidth="1"/>
    <col min="21" max="21" width="6.33203125" style="2823" customWidth="1"/>
    <col min="22" max="22" width="5.6640625" style="2823" customWidth="1"/>
    <col min="23" max="23" width="6.33203125" style="2823" customWidth="1"/>
    <col min="24" max="24" width="5.33203125" style="2823" customWidth="1"/>
    <col min="25" max="25" width="6" style="2823" customWidth="1"/>
    <col min="26" max="27" width="5.3320312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33203125" style="2826" customWidth="1"/>
    <col min="40" max="40" width="11.5" style="2825"/>
    <col min="41" max="16384" width="11.5" style="1"/>
  </cols>
  <sheetData>
    <row r="1" spans="1:40" ht="18" customHeight="1">
      <c r="A1" s="3080" t="s">
        <v>810</v>
      </c>
      <c r="B1" s="1"/>
      <c r="C1" s="2816"/>
      <c r="D1" s="3081"/>
      <c r="E1" s="2817"/>
      <c r="V1" s="2824"/>
      <c r="AI1" s="2825"/>
      <c r="AJ1" s="2825"/>
      <c r="AK1" s="2825"/>
      <c r="AL1" s="2825"/>
      <c r="AM1" s="2825"/>
    </row>
    <row r="2" spans="1:40" ht="13" customHeight="1" thickBot="1">
      <c r="F2" s="527"/>
      <c r="G2" s="155"/>
      <c r="H2" s="155"/>
      <c r="I2" s="155"/>
      <c r="J2" s="3083"/>
      <c r="K2" s="583">
        <v>44606</v>
      </c>
      <c r="L2" s="583"/>
      <c r="U2" s="2827" t="s">
        <v>345</v>
      </c>
      <c r="AI2" s="2825"/>
      <c r="AJ2" s="2825"/>
      <c r="AK2" s="2825"/>
      <c r="AL2" s="2825"/>
      <c r="AM2" s="2825"/>
    </row>
    <row r="3" spans="1:40" s="2839" customFormat="1" ht="61.5" customHeight="1" thickTop="1" thickBot="1">
      <c r="A3" s="3084" t="s">
        <v>346</v>
      </c>
      <c r="B3" s="3085" t="s">
        <v>347</v>
      </c>
      <c r="C3" s="3086" t="s">
        <v>348</v>
      </c>
      <c r="D3" s="3087"/>
      <c r="E3" s="3086" t="s">
        <v>349</v>
      </c>
      <c r="F3" s="3088" t="s">
        <v>350</v>
      </c>
      <c r="G3" s="3089" t="s">
        <v>351</v>
      </c>
      <c r="H3" s="3089" t="s">
        <v>624</v>
      </c>
      <c r="I3" s="3089" t="s">
        <v>352</v>
      </c>
      <c r="J3" s="3088" t="s">
        <v>353</v>
      </c>
      <c r="K3" s="3089" t="s">
        <v>354</v>
      </c>
      <c r="L3" s="3089"/>
      <c r="M3" s="3090" t="s">
        <v>355</v>
      </c>
      <c r="N3" s="3089" t="s">
        <v>445</v>
      </c>
      <c r="O3" s="3086" t="s">
        <v>446</v>
      </c>
      <c r="P3" s="3086" t="s">
        <v>447</v>
      </c>
      <c r="Q3" s="3091" t="s">
        <v>448</v>
      </c>
      <c r="R3" s="3092" t="s">
        <v>371</v>
      </c>
      <c r="S3" s="2828" t="s">
        <v>449</v>
      </c>
      <c r="T3" s="2828" t="s">
        <v>450</v>
      </c>
      <c r="U3" s="2829" t="s">
        <v>451</v>
      </c>
      <c r="V3" s="2830" t="s">
        <v>452</v>
      </c>
      <c r="W3" s="2831" t="s">
        <v>453</v>
      </c>
      <c r="X3" s="2832" t="s">
        <v>454</v>
      </c>
      <c r="Y3" s="2833" t="s">
        <v>455</v>
      </c>
      <c r="Z3" s="2834" t="s">
        <v>456</v>
      </c>
      <c r="AA3" s="2835" t="s">
        <v>457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2839" customFormat="1" ht="9" customHeight="1" thickBot="1">
      <c r="A4" s="3093"/>
      <c r="B4" s="3094"/>
      <c r="C4" s="3095"/>
      <c r="D4" s="3096"/>
      <c r="E4" s="3095"/>
      <c r="F4" s="3097"/>
      <c r="G4" s="3095"/>
      <c r="H4" s="3095"/>
      <c r="I4" s="3095"/>
      <c r="J4" s="3097"/>
      <c r="K4" s="3095"/>
      <c r="L4" s="3095"/>
      <c r="M4" s="3098"/>
      <c r="N4" s="3095"/>
      <c r="O4" s="3095"/>
      <c r="P4" s="3095"/>
      <c r="Q4" s="3099"/>
      <c r="R4" s="3100"/>
      <c r="S4" s="2840"/>
      <c r="T4" s="2840"/>
      <c r="U4" s="2843">
        <f>[7]Test!$D$29</f>
        <v>9.1523857526881758E-4</v>
      </c>
      <c r="V4" s="2843">
        <f>[7]Test!$D$31</f>
        <v>8.7635030864197572E-4</v>
      </c>
      <c r="W4" s="2843">
        <f>[7]Test!$D$33</f>
        <v>8.4888763197586746E-4</v>
      </c>
      <c r="X4" s="2843">
        <f>[7]Test!$D$35</f>
        <v>8.0990657955066516E-4</v>
      </c>
      <c r="Y4" s="2843">
        <f>[7]Test!$D$37</f>
        <v>7.5735749690210676E-4</v>
      </c>
      <c r="Z4" s="2843">
        <f>[7]Test!$D$39</f>
        <v>7.2916666666666692E-4</v>
      </c>
      <c r="AA4" s="3043">
        <f>[7]Test!$D$41</f>
        <v>7.0729166666666694E-4</v>
      </c>
      <c r="AB4" s="2836"/>
      <c r="AC4" s="2837"/>
      <c r="AD4" s="2838"/>
      <c r="AE4" s="2838"/>
      <c r="AF4" s="2838"/>
      <c r="AG4" s="2838"/>
      <c r="AH4" s="2838"/>
      <c r="AI4" s="2836"/>
      <c r="AJ4" s="2836"/>
      <c r="AK4" s="2836"/>
      <c r="AL4" s="2836"/>
      <c r="AM4" s="2836"/>
      <c r="AN4" s="2836"/>
    </row>
    <row r="5" spans="1:40" s="63" customFormat="1" ht="3" customHeight="1" thickBot="1">
      <c r="A5" s="3101"/>
      <c r="B5" s="3102"/>
      <c r="C5" s="3103"/>
      <c r="D5" s="3104"/>
      <c r="E5" s="3103"/>
      <c r="F5" s="3105"/>
      <c r="G5" s="3106"/>
      <c r="H5" s="3106"/>
      <c r="I5" s="3106"/>
      <c r="J5" s="3105"/>
      <c r="K5" s="3106"/>
      <c r="L5" s="3106"/>
      <c r="M5" s="3107"/>
      <c r="N5" s="3106"/>
      <c r="O5" s="3103"/>
      <c r="P5" s="3103"/>
      <c r="Q5" s="3103"/>
      <c r="R5" s="3108"/>
      <c r="S5" s="2842"/>
      <c r="T5" s="2842"/>
      <c r="U5" s="2843">
        <f>U4/4</f>
        <v>2.2880964381720439E-4</v>
      </c>
      <c r="V5" s="2843">
        <f t="shared" ref="V5:AA5" si="0">V4/4</f>
        <v>2.1908757716049393E-4</v>
      </c>
      <c r="W5" s="2843">
        <f t="shared" si="0"/>
        <v>2.1222190799396687E-4</v>
      </c>
      <c r="X5" s="2843">
        <f t="shared" si="0"/>
        <v>2.0247664488766629E-4</v>
      </c>
      <c r="Y5" s="2843">
        <f t="shared" si="0"/>
        <v>1.8933937422552669E-4</v>
      </c>
      <c r="Z5" s="2843">
        <f t="shared" si="0"/>
        <v>1.8229166666666673E-4</v>
      </c>
      <c r="AA5" s="2843">
        <f t="shared" si="0"/>
        <v>1.7682291666666674E-4</v>
      </c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s="63" customFormat="1" ht="13" customHeight="1" thickTop="1">
      <c r="A6" s="3109" t="s">
        <v>214</v>
      </c>
      <c r="B6" s="3115" t="s">
        <v>461</v>
      </c>
      <c r="C6" s="2256">
        <f t="shared" ref="C6:C69" si="1">IF(D6=1,U$5,IF(D6=2,V$5,IF(D6=3,W$5,IF(D6=4,X$5,IF(D6=5,Y$5,IF(D6=6,Z$5,IF(D6=7,AA$5,0)))))))</f>
        <v>2.2880964381720439E-4</v>
      </c>
      <c r="D6" s="2335">
        <v>1</v>
      </c>
      <c r="E6" s="2336">
        <v>1</v>
      </c>
      <c r="F6" s="2336">
        <v>16</v>
      </c>
      <c r="G6" s="2336">
        <v>25</v>
      </c>
      <c r="H6" s="3383" t="s">
        <v>2041</v>
      </c>
      <c r="I6" s="2337">
        <v>2.3148148148148146E-4</v>
      </c>
      <c r="J6" s="2337">
        <v>1.3888888888888889E-3</v>
      </c>
      <c r="K6" s="3382" t="s">
        <v>2040</v>
      </c>
      <c r="L6" s="3119">
        <v>0.80208333333333337</v>
      </c>
      <c r="M6" s="2502">
        <v>0.9</v>
      </c>
      <c r="N6" s="2337">
        <f>P6*E6*F6+I6*E6*F6+J6*E6</f>
        <v>8.3874514635603348E-3</v>
      </c>
      <c r="O6" s="2359">
        <f t="shared" ref="O6" si="2">C6*(G6/25)</f>
        <v>2.2880964381720439E-4</v>
      </c>
      <c r="P6" s="2359">
        <f t="shared" ref="P6" si="3">O6*M6</f>
        <v>2.0592867943548395E-4</v>
      </c>
      <c r="Q6" s="2341">
        <v>129</v>
      </c>
      <c r="R6" s="2336">
        <f t="shared" ref="R6" si="4">E6*F6*G6</f>
        <v>400</v>
      </c>
      <c r="S6" s="2844">
        <f t="shared" ref="S6" si="5">E6*F6*G6/1000</f>
        <v>0.4</v>
      </c>
      <c r="T6" s="2845">
        <f t="shared" ref="T6" si="6">E6*F6*O6*4</f>
        <v>1.4643817204301081E-2</v>
      </c>
      <c r="U6" s="374">
        <f t="shared" ref="U6" si="7">IF(C6*4&gt;=$U$4,S6,0)</f>
        <v>0.4</v>
      </c>
      <c r="V6" s="2846">
        <f t="shared" ref="V6" si="8">IF(AND(C6*4&gt;=$V$4,C6*4&lt;$U$4),S6,0)</f>
        <v>0</v>
      </c>
      <c r="W6" s="2847">
        <f t="shared" ref="W6" si="9">IF(AND(C6*4&gt;=$W$4,C6*4&lt;$V$4),S6,0)</f>
        <v>0</v>
      </c>
      <c r="X6" s="2848">
        <f t="shared" ref="X6" si="10">IF(AND(C6*4&gt;=$X$4,C6*4&lt;$W$4),S6,0)</f>
        <v>0</v>
      </c>
      <c r="Y6" s="2849">
        <f t="shared" ref="Y6" si="11">IF(AND(C6*4&gt;=$Y$4,C6*4&lt;$X$4),S6,0)</f>
        <v>0</v>
      </c>
      <c r="Z6" s="2850">
        <f t="shared" ref="Z6" si="12">IF(AND(C6*4&gt;=$Z$4,C6*4&lt;$Y$4),S6,0)</f>
        <v>0</v>
      </c>
      <c r="AA6" s="2851">
        <f t="shared" ref="AA6" si="13">IF(AND(C6*4&gt;=$AA$4,C6*4&lt;$Z$4),S6,0)</f>
        <v>0</v>
      </c>
      <c r="AB6" s="2935"/>
      <c r="AC6" s="2867"/>
      <c r="AD6" s="2867"/>
      <c r="AE6" s="2867"/>
      <c r="AF6" s="2867"/>
      <c r="AG6" s="2867"/>
      <c r="AH6" s="2867"/>
      <c r="AI6" s="2935"/>
      <c r="AJ6" s="2935"/>
      <c r="AK6" s="2935"/>
      <c r="AL6" s="2935"/>
      <c r="AM6" s="2935"/>
      <c r="AN6" s="2935"/>
    </row>
    <row r="7" spans="1:40" s="63" customFormat="1" ht="13" customHeight="1">
      <c r="A7" s="3109" t="s">
        <v>459</v>
      </c>
      <c r="B7" s="3115" t="s">
        <v>461</v>
      </c>
      <c r="C7" s="2256">
        <f t="shared" si="1"/>
        <v>2.1908757716049393E-4</v>
      </c>
      <c r="D7" s="2302">
        <v>2</v>
      </c>
      <c r="E7" s="2276">
        <v>1</v>
      </c>
      <c r="F7" s="2276">
        <v>3</v>
      </c>
      <c r="G7" s="2276">
        <v>400</v>
      </c>
      <c r="H7" s="2277"/>
      <c r="I7" s="2277">
        <v>2.3148148148148146E-4</v>
      </c>
      <c r="J7" s="2277">
        <v>1.3888888888888889E-3</v>
      </c>
      <c r="K7" s="2278" t="s">
        <v>2042</v>
      </c>
      <c r="L7" s="2503">
        <f>L6+N6</f>
        <v>0.81047078479689372</v>
      </c>
      <c r="M7" s="2280">
        <v>0.9</v>
      </c>
      <c r="N7" s="2277">
        <f>P7*E7*F7+I7*E7*F7+J7*E7</f>
        <v>7.0049166666666688E-3</v>
      </c>
      <c r="O7" s="2281">
        <f>C7*8*1.04</f>
        <v>1.8228086419753095E-3</v>
      </c>
      <c r="P7" s="2281">
        <f>O7*M7</f>
        <v>1.6405277777777785E-3</v>
      </c>
      <c r="Q7" s="2282">
        <v>146</v>
      </c>
      <c r="R7" s="2283">
        <f>E7*F7*G7</f>
        <v>1200</v>
      </c>
      <c r="S7" s="2844">
        <f t="shared" ref="S7:S70" si="14">E7*F7*G7/1000</f>
        <v>1.2</v>
      </c>
      <c r="T7" s="2845">
        <f t="shared" ref="T7:T70" si="15">E7*F7*O7*4</f>
        <v>2.1873703703703715E-2</v>
      </c>
      <c r="U7" s="374">
        <f t="shared" ref="U7:U70" si="16">IF(C7*4&gt;=$U$4,S7,0)</f>
        <v>0</v>
      </c>
      <c r="V7" s="2846">
        <f t="shared" ref="V7:V70" si="17">IF(AND(C7*4&gt;=$V$4,C7*4&lt;$U$4),S7,0)</f>
        <v>1.2</v>
      </c>
      <c r="W7" s="2847">
        <f t="shared" ref="W7:W70" si="18">IF(AND(C7*4&gt;=$W$4,C7*4&lt;$V$4),S7,0)</f>
        <v>0</v>
      </c>
      <c r="X7" s="2848">
        <f t="shared" ref="X7:X70" si="19">IF(AND(C7*4&gt;=$X$4,C7*4&lt;$W$4),S7,0)</f>
        <v>0</v>
      </c>
      <c r="Y7" s="2849">
        <f t="shared" ref="Y7:Y70" si="20">IF(AND(C7*4&gt;=$Y$4,C7*4&lt;$X$4),S7,0)</f>
        <v>0</v>
      </c>
      <c r="Z7" s="2850">
        <f t="shared" ref="Z7:Z70" si="21">IF(AND(C7*4&gt;=$Z$4,C7*4&lt;$Y$4),S7,0)</f>
        <v>0</v>
      </c>
      <c r="AA7" s="2851">
        <f t="shared" ref="AA7:AA70" si="22">IF(AND(C7*4&gt;=$AA$4,C7*4&lt;$Z$4),S7,0)</f>
        <v>0</v>
      </c>
      <c r="AB7" s="2935"/>
      <c r="AC7" s="2867"/>
      <c r="AD7" s="2867"/>
      <c r="AE7" s="2867"/>
      <c r="AF7" s="2867"/>
      <c r="AG7" s="2867"/>
      <c r="AH7" s="2867"/>
      <c r="AI7" s="2935"/>
      <c r="AJ7" s="2935"/>
      <c r="AK7" s="2935"/>
      <c r="AL7" s="2935"/>
      <c r="AM7" s="2935"/>
      <c r="AN7" s="2935"/>
    </row>
    <row r="8" spans="1:40" s="63" customFormat="1" ht="14" customHeight="1">
      <c r="A8" s="3109" t="s">
        <v>460</v>
      </c>
      <c r="B8" s="3115" t="s">
        <v>461</v>
      </c>
      <c r="C8" s="2256">
        <f t="shared" si="1"/>
        <v>2.1222190799396687E-4</v>
      </c>
      <c r="D8" s="2309">
        <v>3</v>
      </c>
      <c r="E8" s="2257">
        <v>2</v>
      </c>
      <c r="F8" s="2257">
        <v>10</v>
      </c>
      <c r="G8" s="2257">
        <v>50</v>
      </c>
      <c r="H8" s="2258"/>
      <c r="I8" s="2258">
        <v>8.1018518518518516E-5</v>
      </c>
      <c r="J8" s="2258">
        <v>1.3888888888888889E-3</v>
      </c>
      <c r="K8" s="2310" t="s">
        <v>1602</v>
      </c>
      <c r="L8" s="2504">
        <f>L7+N7</f>
        <v>0.81747570146356041</v>
      </c>
      <c r="M8" s="2326">
        <v>1</v>
      </c>
      <c r="N8" s="2258">
        <f>P8*E8*F8+I8*E8*F8+J8*E8</f>
        <v>1.2887024467906823E-2</v>
      </c>
      <c r="O8" s="2262">
        <f>C8*(G8/25)</f>
        <v>4.2444381598793373E-4</v>
      </c>
      <c r="P8" s="2262">
        <f>O8*M8</f>
        <v>4.2444381598793373E-4</v>
      </c>
      <c r="Q8" s="2518">
        <v>164</v>
      </c>
      <c r="R8" s="3122">
        <f>E8*F8*G8</f>
        <v>1000</v>
      </c>
      <c r="S8" s="2844">
        <f t="shared" si="14"/>
        <v>1</v>
      </c>
      <c r="T8" s="2845">
        <f t="shared" si="15"/>
        <v>3.3955505279034695E-2</v>
      </c>
      <c r="U8" s="374">
        <f t="shared" si="16"/>
        <v>0</v>
      </c>
      <c r="V8" s="2846">
        <f t="shared" si="17"/>
        <v>0</v>
      </c>
      <c r="W8" s="2847">
        <f t="shared" si="18"/>
        <v>1</v>
      </c>
      <c r="X8" s="2848">
        <f t="shared" si="19"/>
        <v>0</v>
      </c>
      <c r="Y8" s="2849">
        <f t="shared" si="20"/>
        <v>0</v>
      </c>
      <c r="Z8" s="2850">
        <f t="shared" si="21"/>
        <v>0</v>
      </c>
      <c r="AA8" s="2851">
        <f t="shared" si="22"/>
        <v>0</v>
      </c>
      <c r="AB8" s="2935"/>
      <c r="AC8" s="2867"/>
      <c r="AD8" s="2867"/>
      <c r="AE8" s="2867"/>
      <c r="AF8" s="2867"/>
      <c r="AG8" s="2867"/>
      <c r="AH8" s="2867"/>
      <c r="AI8" s="2935"/>
      <c r="AJ8" s="2935"/>
      <c r="AK8" s="2935"/>
      <c r="AL8" s="2935"/>
      <c r="AM8" s="2935"/>
      <c r="AN8" s="2935"/>
    </row>
    <row r="9" spans="1:40" s="63" customFormat="1" ht="14" customHeight="1">
      <c r="A9" s="3109" t="s">
        <v>458</v>
      </c>
      <c r="B9" s="3115" t="s">
        <v>461</v>
      </c>
      <c r="C9" s="2256">
        <f t="shared" si="1"/>
        <v>1.8933937422552669E-4</v>
      </c>
      <c r="D9" s="2505">
        <v>5</v>
      </c>
      <c r="E9" s="2883">
        <v>4</v>
      </c>
      <c r="F9" s="2883">
        <v>3</v>
      </c>
      <c r="G9" s="2883">
        <v>75</v>
      </c>
      <c r="H9" s="2264"/>
      <c r="I9" s="2264">
        <v>6.9444444444444447E-4</v>
      </c>
      <c r="J9" s="2264">
        <v>2.0833333333333333E-3</v>
      </c>
      <c r="K9" s="3127" t="s">
        <v>1601</v>
      </c>
      <c r="L9" s="2508">
        <f>L8+N8</f>
        <v>0.8303627259314672</v>
      </c>
      <c r="M9" s="2509">
        <v>1</v>
      </c>
      <c r="N9" s="2264">
        <f>P9*E9*F9+I9*E9*F9+J9*E9</f>
        <v>2.3482884138785624E-2</v>
      </c>
      <c r="O9" s="2265">
        <f>C9*(G9/25)</f>
        <v>5.6801812267658004E-4</v>
      </c>
      <c r="P9" s="2185">
        <f>O9*M9</f>
        <v>5.6801812267658004E-4</v>
      </c>
      <c r="Q9" s="3128" t="s">
        <v>278</v>
      </c>
      <c r="R9" s="3129">
        <f>E9*F9*G9</f>
        <v>900</v>
      </c>
      <c r="S9" s="2844">
        <f t="shared" si="14"/>
        <v>0.9</v>
      </c>
      <c r="T9" s="2845">
        <f t="shared" si="15"/>
        <v>2.7264869888475842E-2</v>
      </c>
      <c r="U9" s="374">
        <f t="shared" si="16"/>
        <v>0</v>
      </c>
      <c r="V9" s="2846">
        <f t="shared" si="17"/>
        <v>0</v>
      </c>
      <c r="W9" s="2847">
        <f t="shared" si="18"/>
        <v>0</v>
      </c>
      <c r="X9" s="2848">
        <f t="shared" si="19"/>
        <v>0</v>
      </c>
      <c r="Y9" s="2849">
        <f t="shared" si="20"/>
        <v>0.9</v>
      </c>
      <c r="Z9" s="2850">
        <f t="shared" si="21"/>
        <v>0</v>
      </c>
      <c r="AA9" s="2851">
        <f t="shared" si="22"/>
        <v>0</v>
      </c>
      <c r="AB9" s="2935"/>
      <c r="AC9" s="2867"/>
      <c r="AD9" s="2867"/>
      <c r="AE9" s="2867"/>
      <c r="AF9" s="2867"/>
      <c r="AG9" s="2867"/>
      <c r="AH9" s="2867"/>
      <c r="AI9" s="2935"/>
      <c r="AJ9" s="2935"/>
      <c r="AK9" s="2935"/>
      <c r="AL9" s="2935"/>
      <c r="AM9" s="2935"/>
      <c r="AN9" s="2935"/>
    </row>
    <row r="10" spans="1:40" s="63" customFormat="1" ht="14" customHeight="1">
      <c r="A10" s="3109" t="s">
        <v>219</v>
      </c>
      <c r="B10" s="3115" t="s">
        <v>461</v>
      </c>
      <c r="C10" s="2256">
        <f t="shared" si="1"/>
        <v>1.7682291666666674E-4</v>
      </c>
      <c r="D10" s="3123">
        <v>7</v>
      </c>
      <c r="E10" s="3124">
        <v>3</v>
      </c>
      <c r="F10" s="3124">
        <v>4</v>
      </c>
      <c r="G10" s="3124">
        <v>25</v>
      </c>
      <c r="H10" s="2377" t="s">
        <v>2043</v>
      </c>
      <c r="I10" s="2377">
        <v>4.6296296296296293E-4</v>
      </c>
      <c r="J10" s="2377">
        <v>6.9444444444444447E-4</v>
      </c>
      <c r="K10" s="3125" t="s">
        <v>1603</v>
      </c>
      <c r="L10" s="2515">
        <f>L9+N9</f>
        <v>0.85384561007025284</v>
      </c>
      <c r="M10" s="3126">
        <v>1</v>
      </c>
      <c r="N10" s="2377">
        <f>P10*E10*F10+I10*E10*F10+J10*E10</f>
        <v>9.7607638888888883E-3</v>
      </c>
      <c r="O10" s="2271">
        <f>C10*(G10/25)</f>
        <v>1.7682291666666674E-4</v>
      </c>
      <c r="P10" s="2517">
        <f>O10*M10</f>
        <v>1.7682291666666674E-4</v>
      </c>
      <c r="Q10" s="3130" t="s">
        <v>316</v>
      </c>
      <c r="R10" s="3122">
        <f>E10*F10*G10</f>
        <v>300</v>
      </c>
      <c r="S10" s="2844">
        <f t="shared" si="14"/>
        <v>0.3</v>
      </c>
      <c r="T10" s="2845">
        <f t="shared" si="15"/>
        <v>8.4875000000000037E-3</v>
      </c>
      <c r="U10" s="374">
        <f t="shared" si="16"/>
        <v>0</v>
      </c>
      <c r="V10" s="2846">
        <f t="shared" si="17"/>
        <v>0</v>
      </c>
      <c r="W10" s="2847">
        <f t="shared" si="18"/>
        <v>0</v>
      </c>
      <c r="X10" s="2848">
        <f t="shared" si="19"/>
        <v>0</v>
      </c>
      <c r="Y10" s="2849">
        <f t="shared" si="20"/>
        <v>0</v>
      </c>
      <c r="Z10" s="2850">
        <f t="shared" si="21"/>
        <v>0</v>
      </c>
      <c r="AA10" s="2851">
        <f t="shared" si="22"/>
        <v>0.3</v>
      </c>
      <c r="AB10" s="2935"/>
      <c r="AC10" s="2867"/>
      <c r="AD10" s="2867"/>
      <c r="AE10" s="2867"/>
      <c r="AF10" s="2867"/>
      <c r="AG10" s="2867"/>
      <c r="AH10" s="2867"/>
      <c r="AI10" s="2935"/>
      <c r="AJ10" s="2935"/>
      <c r="AK10" s="2935"/>
      <c r="AL10" s="2935"/>
      <c r="AM10" s="2935"/>
      <c r="AN10" s="2935"/>
    </row>
    <row r="11" spans="1:40" s="63" customFormat="1" ht="14" customHeight="1" thickBot="1">
      <c r="A11" s="3109"/>
      <c r="B11" s="3115"/>
      <c r="C11" s="2256">
        <f t="shared" si="1"/>
        <v>0</v>
      </c>
      <c r="D11" s="3116"/>
      <c r="E11" s="642"/>
      <c r="F11" s="642"/>
      <c r="G11" s="642"/>
      <c r="H11" s="642"/>
      <c r="I11" s="642"/>
      <c r="J11" s="642"/>
      <c r="K11" s="3384" t="s">
        <v>2038</v>
      </c>
      <c r="L11" s="2182">
        <f>L10+N10</f>
        <v>0.86360637395914175</v>
      </c>
      <c r="M11" s="643"/>
      <c r="N11" s="3117">
        <f>SUM(N7:N10)</f>
        <v>5.3135589162248004E-2</v>
      </c>
      <c r="O11" s="642"/>
      <c r="P11" s="642"/>
      <c r="Q11" s="642"/>
      <c r="R11" s="3118">
        <f>SUM(R6:R10)</f>
        <v>3800</v>
      </c>
      <c r="S11" s="2844">
        <f t="shared" si="14"/>
        <v>0</v>
      </c>
      <c r="T11" s="2845">
        <f t="shared" si="15"/>
        <v>0</v>
      </c>
      <c r="U11" s="374">
        <f t="shared" si="16"/>
        <v>0</v>
      </c>
      <c r="V11" s="2846">
        <f t="shared" si="17"/>
        <v>0</v>
      </c>
      <c r="W11" s="2847">
        <f t="shared" si="18"/>
        <v>0</v>
      </c>
      <c r="X11" s="2848">
        <f t="shared" si="19"/>
        <v>0</v>
      </c>
      <c r="Y11" s="2849">
        <f t="shared" si="20"/>
        <v>0</v>
      </c>
      <c r="Z11" s="2850">
        <f t="shared" si="21"/>
        <v>0</v>
      </c>
      <c r="AA11" s="2851">
        <f t="shared" si="22"/>
        <v>0</v>
      </c>
      <c r="AB11" s="2935"/>
      <c r="AC11" s="2867"/>
      <c r="AD11" s="2867"/>
      <c r="AE11" s="2867"/>
      <c r="AF11" s="2867"/>
      <c r="AG11" s="2867"/>
      <c r="AH11" s="2867"/>
      <c r="AI11" s="2935"/>
      <c r="AJ11" s="2935"/>
      <c r="AK11" s="2935"/>
      <c r="AL11" s="2935"/>
      <c r="AM11" s="2935"/>
      <c r="AN11" s="2935"/>
    </row>
    <row r="12" spans="1:40" ht="15" customHeight="1">
      <c r="A12" s="2183" t="s">
        <v>215</v>
      </c>
      <c r="B12" s="2184" t="s">
        <v>215</v>
      </c>
      <c r="C12" s="2256">
        <f t="shared" si="1"/>
        <v>2.2880964381720439E-4</v>
      </c>
      <c r="D12" s="2335">
        <v>1</v>
      </c>
      <c r="E12" s="2336">
        <v>1</v>
      </c>
      <c r="F12" s="2336">
        <v>16</v>
      </c>
      <c r="G12" s="2336">
        <v>25</v>
      </c>
      <c r="H12" s="3383" t="s">
        <v>2041</v>
      </c>
      <c r="I12" s="2337">
        <v>2.3148148148148146E-4</v>
      </c>
      <c r="J12" s="2337">
        <v>1.3888888888888889E-3</v>
      </c>
      <c r="K12" s="3382" t="s">
        <v>2044</v>
      </c>
      <c r="L12" s="3119">
        <v>0.33680555555555558</v>
      </c>
      <c r="M12" s="2502">
        <v>0.9</v>
      </c>
      <c r="N12" s="2337">
        <f>P12*E12*F12+I12*E12*F12+J12*E12</f>
        <v>8.3874514635603348E-3</v>
      </c>
      <c r="O12" s="2359">
        <f t="shared" ref="O12" si="23">C12*(G12/25)</f>
        <v>2.2880964381720439E-4</v>
      </c>
      <c r="P12" s="2359">
        <f t="shared" ref="P12" si="24">O12*M12</f>
        <v>2.0592867943548395E-4</v>
      </c>
      <c r="Q12" s="2341">
        <v>129</v>
      </c>
      <c r="R12" s="2336">
        <f t="shared" ref="R12" si="25">E12*F12*G12</f>
        <v>400</v>
      </c>
      <c r="S12" s="2844">
        <f t="shared" si="14"/>
        <v>0.4</v>
      </c>
      <c r="T12" s="2845">
        <f t="shared" si="15"/>
        <v>1.4643817204301081E-2</v>
      </c>
      <c r="U12" s="374">
        <f t="shared" si="16"/>
        <v>0.4</v>
      </c>
      <c r="V12" s="2846">
        <f t="shared" si="17"/>
        <v>0</v>
      </c>
      <c r="W12" s="2847">
        <f t="shared" si="18"/>
        <v>0</v>
      </c>
      <c r="X12" s="2848">
        <f t="shared" si="19"/>
        <v>0</v>
      </c>
      <c r="Y12" s="2849">
        <f t="shared" si="20"/>
        <v>0</v>
      </c>
      <c r="Z12" s="2850">
        <f t="shared" si="21"/>
        <v>0</v>
      </c>
      <c r="AA12" s="2851">
        <f t="shared" si="22"/>
        <v>0</v>
      </c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</row>
    <row r="13" spans="1:40" ht="12.75" customHeight="1">
      <c r="A13" s="2183" t="s">
        <v>138</v>
      </c>
      <c r="B13" s="2184" t="s">
        <v>215</v>
      </c>
      <c r="C13" s="2256">
        <f t="shared" si="1"/>
        <v>2.1908757716049393E-4</v>
      </c>
      <c r="D13" s="2286">
        <v>2</v>
      </c>
      <c r="E13" s="2276">
        <v>1</v>
      </c>
      <c r="F13" s="2276">
        <v>2</v>
      </c>
      <c r="G13" s="2276">
        <v>400</v>
      </c>
      <c r="H13" s="2277">
        <v>5.5555555555555558E-3</v>
      </c>
      <c r="I13" s="2277"/>
      <c r="J13" s="2277">
        <v>1.3888888888888889E-3</v>
      </c>
      <c r="K13" s="2278" t="s">
        <v>703</v>
      </c>
      <c r="L13" s="2503">
        <f t="shared" ref="L13:L18" si="26">L12+N12</f>
        <v>0.34519300701911593</v>
      </c>
      <c r="M13" s="2280">
        <v>1</v>
      </c>
      <c r="N13" s="2277">
        <f>H13*F13*E13</f>
        <v>1.1111111111111112E-2</v>
      </c>
      <c r="O13" s="2281">
        <f t="shared" ref="O13:O17" si="27">C13*(G13/25)</f>
        <v>3.5054012345679029E-3</v>
      </c>
      <c r="P13" s="2281">
        <f t="shared" ref="P13:P17" si="28">O13*M13</f>
        <v>3.5054012345679029E-3</v>
      </c>
      <c r="Q13" s="2282">
        <v>146</v>
      </c>
      <c r="R13" s="2283">
        <f t="shared" ref="R13:R17" si="29">E13*F13*G13</f>
        <v>800</v>
      </c>
      <c r="S13" s="2844">
        <f t="shared" si="14"/>
        <v>0.8</v>
      </c>
      <c r="T13" s="2845">
        <f t="shared" si="15"/>
        <v>2.8043209876543223E-2</v>
      </c>
      <c r="U13" s="374">
        <f t="shared" si="16"/>
        <v>0</v>
      </c>
      <c r="V13" s="2846">
        <f t="shared" si="17"/>
        <v>0.8</v>
      </c>
      <c r="W13" s="2847">
        <f t="shared" si="18"/>
        <v>0</v>
      </c>
      <c r="X13" s="2848">
        <f t="shared" si="19"/>
        <v>0</v>
      </c>
      <c r="Y13" s="2849">
        <f t="shared" si="20"/>
        <v>0</v>
      </c>
      <c r="Z13" s="2850">
        <f t="shared" si="21"/>
        <v>0</v>
      </c>
      <c r="AA13" s="2851">
        <f t="shared" si="22"/>
        <v>0</v>
      </c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</row>
    <row r="14" spans="1:40" ht="12.75" customHeight="1">
      <c r="A14" s="2183" t="s">
        <v>462</v>
      </c>
      <c r="B14" s="2184" t="s">
        <v>215</v>
      </c>
      <c r="C14" s="2256">
        <f t="shared" si="1"/>
        <v>2.1222190799396687E-4</v>
      </c>
      <c r="D14" s="2309">
        <v>3</v>
      </c>
      <c r="E14" s="2257">
        <v>1</v>
      </c>
      <c r="F14" s="2257">
        <v>10</v>
      </c>
      <c r="G14" s="2257">
        <v>50</v>
      </c>
      <c r="H14" s="2258"/>
      <c r="I14" s="2258">
        <v>1.7361111111111112E-4</v>
      </c>
      <c r="J14" s="2258">
        <v>1.3888888888888889E-3</v>
      </c>
      <c r="K14" s="2310" t="s">
        <v>1607</v>
      </c>
      <c r="L14" s="2504">
        <f t="shared" si="26"/>
        <v>0.35630411813022705</v>
      </c>
      <c r="M14" s="2326">
        <v>1</v>
      </c>
      <c r="N14" s="2258">
        <f>P14*E14*F14+I14*E14*F14+J14*E14</f>
        <v>7.3694381598793371E-3</v>
      </c>
      <c r="O14" s="2262">
        <f t="shared" si="27"/>
        <v>4.2444381598793373E-4</v>
      </c>
      <c r="P14" s="2262">
        <f t="shared" si="28"/>
        <v>4.2444381598793373E-4</v>
      </c>
      <c r="Q14" s="3120">
        <v>164</v>
      </c>
      <c r="R14" s="3121">
        <f t="shared" si="29"/>
        <v>500</v>
      </c>
      <c r="S14" s="2844">
        <f t="shared" si="14"/>
        <v>0.5</v>
      </c>
      <c r="T14" s="2845">
        <f t="shared" si="15"/>
        <v>1.6977752639517348E-2</v>
      </c>
      <c r="U14" s="374">
        <f t="shared" si="16"/>
        <v>0</v>
      </c>
      <c r="V14" s="2846">
        <f t="shared" si="17"/>
        <v>0</v>
      </c>
      <c r="W14" s="2847">
        <f t="shared" si="18"/>
        <v>0.5</v>
      </c>
      <c r="X14" s="2848">
        <f t="shared" si="19"/>
        <v>0</v>
      </c>
      <c r="Y14" s="2849">
        <f t="shared" si="20"/>
        <v>0</v>
      </c>
      <c r="Z14" s="2850">
        <f t="shared" si="21"/>
        <v>0</v>
      </c>
      <c r="AA14" s="2851">
        <f t="shared" si="22"/>
        <v>0</v>
      </c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</row>
    <row r="15" spans="1:40" ht="12.75" customHeight="1">
      <c r="A15" s="2183" t="s">
        <v>461</v>
      </c>
      <c r="B15" s="2184" t="s">
        <v>215</v>
      </c>
      <c r="C15" s="2256">
        <f t="shared" si="1"/>
        <v>1.8229166666666673E-4</v>
      </c>
      <c r="D15" s="4924">
        <v>6</v>
      </c>
      <c r="E15" s="4683">
        <v>1</v>
      </c>
      <c r="F15" s="4683">
        <v>8</v>
      </c>
      <c r="G15" s="4683">
        <v>75</v>
      </c>
      <c r="H15" s="4683"/>
      <c r="I15" s="4684">
        <v>1.3888888888888889E-3</v>
      </c>
      <c r="J15" s="4684">
        <v>2.0833333333333333E-3</v>
      </c>
      <c r="K15" s="4561" t="s">
        <v>974</v>
      </c>
      <c r="L15" s="4684">
        <f>L13+N13</f>
        <v>0.35630411813022705</v>
      </c>
      <c r="M15" s="4685">
        <v>1.1000000000000001</v>
      </c>
      <c r="N15" s="4684">
        <f t="shared" ref="N15" si="30">P15*E15*F15+I15*E15*F15+J15*E15</f>
        <v>1.8103194444444446E-2</v>
      </c>
      <c r="O15" s="4586">
        <f>C15*(G15/25)*1.02</f>
        <v>5.5781250000000015E-4</v>
      </c>
      <c r="P15" s="4686">
        <f t="shared" si="28"/>
        <v>6.1359375000000021E-4</v>
      </c>
      <c r="Q15" s="4687">
        <v>177</v>
      </c>
      <c r="R15" s="4683">
        <f t="shared" si="29"/>
        <v>600</v>
      </c>
      <c r="S15" s="2844">
        <f t="shared" si="14"/>
        <v>0.6</v>
      </c>
      <c r="T15" s="2845">
        <f t="shared" si="15"/>
        <v>1.7850000000000005E-2</v>
      </c>
      <c r="U15" s="374">
        <f t="shared" si="16"/>
        <v>0</v>
      </c>
      <c r="V15" s="2846">
        <f t="shared" si="17"/>
        <v>0</v>
      </c>
      <c r="W15" s="2847">
        <f t="shared" si="18"/>
        <v>0</v>
      </c>
      <c r="X15" s="2848">
        <f t="shared" si="19"/>
        <v>0</v>
      </c>
      <c r="Y15" s="2849">
        <f t="shared" si="20"/>
        <v>0</v>
      </c>
      <c r="Z15" s="2850">
        <f t="shared" si="21"/>
        <v>0.6</v>
      </c>
      <c r="AA15" s="2851">
        <f t="shared" si="22"/>
        <v>0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  <c r="AN15" s="1"/>
    </row>
    <row r="16" spans="1:40" ht="12.75" customHeight="1">
      <c r="A16" s="2183" t="s">
        <v>458</v>
      </c>
      <c r="B16" s="2184" t="s">
        <v>215</v>
      </c>
      <c r="C16" s="2256">
        <f t="shared" si="1"/>
        <v>2.1908757716049393E-4</v>
      </c>
      <c r="D16" s="2286">
        <v>2</v>
      </c>
      <c r="E16" s="2276">
        <v>1</v>
      </c>
      <c r="F16" s="2276">
        <v>1</v>
      </c>
      <c r="G16" s="2276">
        <v>75</v>
      </c>
      <c r="H16" s="2277" t="s">
        <v>1606</v>
      </c>
      <c r="I16" s="2277">
        <v>1.3888888888888889E-4</v>
      </c>
      <c r="J16" s="2277">
        <v>1.3888888888888889E-3</v>
      </c>
      <c r="K16" s="2278" t="s">
        <v>1605</v>
      </c>
      <c r="L16" s="2503">
        <f t="shared" si="26"/>
        <v>0.37440731257467152</v>
      </c>
      <c r="M16" s="2280">
        <v>1</v>
      </c>
      <c r="N16" s="2277">
        <f>P16*E16*F16+I16*E16*F16+J16*E16</f>
        <v>2.1850405092592598E-3</v>
      </c>
      <c r="O16" s="2281">
        <f t="shared" si="27"/>
        <v>6.5726273148148176E-4</v>
      </c>
      <c r="P16" s="2281">
        <f t="shared" si="28"/>
        <v>6.5726273148148176E-4</v>
      </c>
      <c r="Q16" s="2282">
        <v>146</v>
      </c>
      <c r="R16" s="2283">
        <f t="shared" si="29"/>
        <v>75</v>
      </c>
      <c r="S16" s="2844">
        <f t="shared" si="14"/>
        <v>7.4999999999999997E-2</v>
      </c>
      <c r="T16" s="2845">
        <f t="shared" si="15"/>
        <v>2.629050925925927E-3</v>
      </c>
      <c r="U16" s="374">
        <f t="shared" si="16"/>
        <v>0</v>
      </c>
      <c r="V16" s="2846">
        <f t="shared" si="17"/>
        <v>7.4999999999999997E-2</v>
      </c>
      <c r="W16" s="2847">
        <f t="shared" si="18"/>
        <v>0</v>
      </c>
      <c r="X16" s="2848">
        <f t="shared" si="19"/>
        <v>0</v>
      </c>
      <c r="Y16" s="2849">
        <f t="shared" si="20"/>
        <v>0</v>
      </c>
      <c r="Z16" s="2850">
        <f t="shared" si="21"/>
        <v>0</v>
      </c>
      <c r="AA16" s="2851">
        <f t="shared" si="22"/>
        <v>0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  <c r="AN16" s="1"/>
    </row>
    <row r="17" spans="1:40" ht="12.75" customHeight="1">
      <c r="A17" s="2183" t="s">
        <v>219</v>
      </c>
      <c r="B17" s="2184" t="s">
        <v>215</v>
      </c>
      <c r="C17" s="2256">
        <f t="shared" si="1"/>
        <v>1.7682291666666674E-4</v>
      </c>
      <c r="D17" s="3123">
        <v>7</v>
      </c>
      <c r="E17" s="3124">
        <v>3</v>
      </c>
      <c r="F17" s="3124">
        <v>4</v>
      </c>
      <c r="G17" s="3124">
        <v>25</v>
      </c>
      <c r="H17" s="2377" t="s">
        <v>1611</v>
      </c>
      <c r="I17" s="2377">
        <v>3.4722222222222224E-4</v>
      </c>
      <c r="J17" s="2377">
        <v>6.9444444444444447E-4</v>
      </c>
      <c r="K17" s="3125" t="s">
        <v>1608</v>
      </c>
      <c r="L17" s="2515">
        <f t="shared" si="26"/>
        <v>0.3765923530839308</v>
      </c>
      <c r="M17" s="3126">
        <v>1</v>
      </c>
      <c r="N17" s="2377">
        <f>P17*E17*F17+I17*E17*F17+J17*E17</f>
        <v>8.3718750000000008E-3</v>
      </c>
      <c r="O17" s="2271">
        <f t="shared" si="27"/>
        <v>1.7682291666666674E-4</v>
      </c>
      <c r="P17" s="2517">
        <f t="shared" si="28"/>
        <v>1.7682291666666674E-4</v>
      </c>
      <c r="Q17" s="2518" t="s">
        <v>316</v>
      </c>
      <c r="R17" s="3122">
        <f t="shared" si="29"/>
        <v>300</v>
      </c>
      <c r="S17" s="2844">
        <f t="shared" si="14"/>
        <v>0.3</v>
      </c>
      <c r="T17" s="2845">
        <f t="shared" si="15"/>
        <v>8.4875000000000037E-3</v>
      </c>
      <c r="U17" s="374">
        <f t="shared" si="16"/>
        <v>0</v>
      </c>
      <c r="V17" s="2846">
        <f t="shared" si="17"/>
        <v>0</v>
      </c>
      <c r="W17" s="2847">
        <f t="shared" si="18"/>
        <v>0</v>
      </c>
      <c r="X17" s="2848">
        <f t="shared" si="19"/>
        <v>0</v>
      </c>
      <c r="Y17" s="2849">
        <f t="shared" si="20"/>
        <v>0</v>
      </c>
      <c r="Z17" s="2850">
        <f t="shared" si="21"/>
        <v>0</v>
      </c>
      <c r="AA17" s="2851">
        <f t="shared" si="22"/>
        <v>0.3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  <c r="AN17" s="1"/>
    </row>
    <row r="18" spans="1:40" ht="12.75" customHeight="1" thickBot="1">
      <c r="A18" s="2183"/>
      <c r="B18" s="2184"/>
      <c r="C18" s="2256">
        <f t="shared" si="1"/>
        <v>0</v>
      </c>
      <c r="D18" s="3116"/>
      <c r="E18" s="642"/>
      <c r="F18" s="642"/>
      <c r="G18" s="642"/>
      <c r="H18" s="642"/>
      <c r="I18" s="642"/>
      <c r="J18" s="642"/>
      <c r="K18" s="642"/>
      <c r="L18" s="2182">
        <f t="shared" si="26"/>
        <v>0.38496422808393083</v>
      </c>
      <c r="M18" s="643"/>
      <c r="N18" s="3117">
        <f>SUM(N12:N17)</f>
        <v>5.5528110688254487E-2</v>
      </c>
      <c r="O18" s="642"/>
      <c r="P18" s="642"/>
      <c r="Q18" s="642"/>
      <c r="R18" s="3118">
        <f>SUM(R12:R17)</f>
        <v>2675</v>
      </c>
      <c r="S18" s="2844">
        <f t="shared" si="14"/>
        <v>0</v>
      </c>
      <c r="T18" s="2845">
        <f t="shared" si="15"/>
        <v>0</v>
      </c>
      <c r="U18" s="374">
        <f t="shared" si="16"/>
        <v>0</v>
      </c>
      <c r="V18" s="2846">
        <f t="shared" si="17"/>
        <v>0</v>
      </c>
      <c r="W18" s="2847">
        <f t="shared" si="18"/>
        <v>0</v>
      </c>
      <c r="X18" s="2848">
        <f t="shared" si="19"/>
        <v>0</v>
      </c>
      <c r="Y18" s="2849">
        <f t="shared" si="20"/>
        <v>0</v>
      </c>
      <c r="Z18" s="2850">
        <f t="shared" si="21"/>
        <v>0</v>
      </c>
      <c r="AA18" s="2851">
        <f t="shared" si="22"/>
        <v>0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1"/>
    </row>
    <row r="19" spans="1:40" ht="16" customHeight="1" thickBot="1">
      <c r="A19" s="2183" t="s">
        <v>215</v>
      </c>
      <c r="B19" s="2184" t="s">
        <v>215</v>
      </c>
      <c r="C19" s="2256">
        <f t="shared" ref="C19" si="31">IF(D19=1,U$5,IF(D19=2,V$5,IF(D19=3,W$5,IF(D19=4,X$5,IF(D19=5,Y$5,IF(D19=6,Z$5,IF(D19=7,AA$5,0)))))))</f>
        <v>2.2880964381720439E-4</v>
      </c>
      <c r="D19" s="2335">
        <v>1</v>
      </c>
      <c r="E19" s="2336">
        <v>1</v>
      </c>
      <c r="F19" s="2336">
        <v>16</v>
      </c>
      <c r="G19" s="2336">
        <v>25</v>
      </c>
      <c r="H19" s="3383" t="s">
        <v>2041</v>
      </c>
      <c r="I19" s="2337">
        <v>2.3148148148148146E-4</v>
      </c>
      <c r="J19" s="2337">
        <v>1.3888888888888889E-3</v>
      </c>
      <c r="K19" s="3382" t="s">
        <v>2044</v>
      </c>
      <c r="L19" s="3119">
        <v>0.33680555555555558</v>
      </c>
      <c r="M19" s="2502">
        <v>0.9</v>
      </c>
      <c r="N19" s="2337">
        <f>P19*E19*F19+I19*E19*F19+J19*E19</f>
        <v>8.3874514635603348E-3</v>
      </c>
      <c r="O19" s="2359">
        <f t="shared" ref="O19" si="32">C19*(G19/25)</f>
        <v>2.2880964381720439E-4</v>
      </c>
      <c r="P19" s="2359">
        <f t="shared" ref="P19:P20" si="33">O19*M19</f>
        <v>2.0592867943548395E-4</v>
      </c>
      <c r="Q19" s="2341">
        <v>129</v>
      </c>
      <c r="R19" s="2336">
        <f t="shared" ref="R19:R20" si="34">E19*F19*G19</f>
        <v>400</v>
      </c>
      <c r="S19" s="2844">
        <f t="shared" si="14"/>
        <v>0.4</v>
      </c>
      <c r="T19" s="2845">
        <f t="shared" si="15"/>
        <v>1.4643817204301081E-2</v>
      </c>
      <c r="U19" s="374">
        <f t="shared" si="16"/>
        <v>0.4</v>
      </c>
      <c r="V19" s="2846">
        <f t="shared" si="17"/>
        <v>0</v>
      </c>
      <c r="W19" s="2847">
        <f t="shared" si="18"/>
        <v>0</v>
      </c>
      <c r="X19" s="2848">
        <f t="shared" si="19"/>
        <v>0</v>
      </c>
      <c r="Y19" s="2849">
        <f t="shared" si="20"/>
        <v>0</v>
      </c>
      <c r="Z19" s="2850">
        <f t="shared" si="21"/>
        <v>0</v>
      </c>
      <c r="AA19" s="2851">
        <f t="shared" si="22"/>
        <v>0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1"/>
    </row>
    <row r="20" spans="1:40" ht="13" customHeight="1" thickBot="1">
      <c r="A20" s="2183" t="s">
        <v>138</v>
      </c>
      <c r="B20" s="2530" t="s">
        <v>461</v>
      </c>
      <c r="C20" s="2256">
        <f t="shared" si="1"/>
        <v>1.8229166666666673E-4</v>
      </c>
      <c r="D20" s="4924">
        <v>6</v>
      </c>
      <c r="E20" s="4683">
        <v>1</v>
      </c>
      <c r="F20" s="4683">
        <v>6</v>
      </c>
      <c r="G20" s="4683">
        <v>75</v>
      </c>
      <c r="H20" s="4683"/>
      <c r="I20" s="4684">
        <v>1.3888888888888889E-3</v>
      </c>
      <c r="J20" s="4684">
        <v>2.0833333333333333E-3</v>
      </c>
      <c r="K20" s="4561" t="s">
        <v>974</v>
      </c>
      <c r="L20" s="4684">
        <f>L18+N18</f>
        <v>0.4404923387721853</v>
      </c>
      <c r="M20" s="4685">
        <v>1.1000000000000001</v>
      </c>
      <c r="N20" s="4684">
        <f t="shared" ref="N20" si="35">P20*E20*F20+I20*E20*F20+J20*E20</f>
        <v>1.4098229166666667E-2</v>
      </c>
      <c r="O20" s="4586">
        <f>C20*(G20/25)*1.02</f>
        <v>5.5781250000000015E-4</v>
      </c>
      <c r="P20" s="4686">
        <f t="shared" si="33"/>
        <v>6.1359375000000021E-4</v>
      </c>
      <c r="Q20" s="4687">
        <v>177</v>
      </c>
      <c r="R20" s="4683">
        <f t="shared" si="34"/>
        <v>450</v>
      </c>
      <c r="S20" s="2844">
        <f t="shared" si="14"/>
        <v>0.45</v>
      </c>
      <c r="T20" s="2845">
        <f t="shared" si="15"/>
        <v>1.3387500000000004E-2</v>
      </c>
      <c r="U20" s="374">
        <f t="shared" si="16"/>
        <v>0</v>
      </c>
      <c r="V20" s="2846">
        <f t="shared" si="17"/>
        <v>0</v>
      </c>
      <c r="W20" s="2847">
        <f t="shared" si="18"/>
        <v>0</v>
      </c>
      <c r="X20" s="2848">
        <f t="shared" si="19"/>
        <v>0</v>
      </c>
      <c r="Y20" s="2849">
        <f t="shared" si="20"/>
        <v>0</v>
      </c>
      <c r="Z20" s="2850">
        <f t="shared" si="21"/>
        <v>0.45</v>
      </c>
      <c r="AA20" s="2851">
        <f t="shared" si="22"/>
        <v>0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1"/>
    </row>
    <row r="21" spans="1:40" ht="13" customHeight="1" thickBot="1">
      <c r="A21" s="2183" t="s">
        <v>462</v>
      </c>
      <c r="B21" s="2530" t="s">
        <v>461</v>
      </c>
      <c r="C21" s="2256">
        <f t="shared" si="1"/>
        <v>2.1222190799396687E-4</v>
      </c>
      <c r="D21" s="2309">
        <v>3</v>
      </c>
      <c r="E21" s="2257">
        <v>2</v>
      </c>
      <c r="F21" s="2257">
        <v>10</v>
      </c>
      <c r="G21" s="2257">
        <v>50</v>
      </c>
      <c r="H21" s="2258"/>
      <c r="I21" s="2258">
        <v>8.1018518518518516E-5</v>
      </c>
      <c r="J21" s="2258">
        <v>1.3888888888888889E-3</v>
      </c>
      <c r="K21" s="2310" t="s">
        <v>1510</v>
      </c>
      <c r="L21" s="2504">
        <f>L20+N20</f>
        <v>0.45459056793885194</v>
      </c>
      <c r="M21" s="2326">
        <v>1</v>
      </c>
      <c r="N21" s="2258">
        <f>P21*E21*F21+I21*E21*F21+J21*E21</f>
        <v>1.2887024467906823E-2</v>
      </c>
      <c r="O21" s="2262">
        <f>C21*(G21/25)</f>
        <v>4.2444381598793373E-4</v>
      </c>
      <c r="P21" s="2262">
        <f>O21*M21</f>
        <v>4.2444381598793373E-4</v>
      </c>
      <c r="Q21" s="2518">
        <v>164</v>
      </c>
      <c r="R21" s="3122">
        <f>E21*F21*G21</f>
        <v>1000</v>
      </c>
      <c r="S21" s="2844">
        <f t="shared" si="14"/>
        <v>1</v>
      </c>
      <c r="T21" s="2845">
        <f t="shared" si="15"/>
        <v>3.3955505279034695E-2</v>
      </c>
      <c r="U21" s="374">
        <f t="shared" si="16"/>
        <v>0</v>
      </c>
      <c r="V21" s="2846">
        <f t="shared" si="17"/>
        <v>0</v>
      </c>
      <c r="W21" s="2847">
        <f t="shared" si="18"/>
        <v>1</v>
      </c>
      <c r="X21" s="2848">
        <f t="shared" si="19"/>
        <v>0</v>
      </c>
      <c r="Y21" s="2849">
        <f t="shared" si="20"/>
        <v>0</v>
      </c>
      <c r="Z21" s="2850">
        <f t="shared" si="21"/>
        <v>0</v>
      </c>
      <c r="AA21" s="2851">
        <f t="shared" si="22"/>
        <v>0</v>
      </c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1"/>
    </row>
    <row r="22" spans="1:40" ht="12.75" customHeight="1" thickBot="1">
      <c r="A22" s="2183" t="s">
        <v>461</v>
      </c>
      <c r="B22" s="2530" t="s">
        <v>461</v>
      </c>
      <c r="C22" s="2256">
        <f t="shared" si="1"/>
        <v>1.8229166666666673E-4</v>
      </c>
      <c r="D22" s="4924">
        <v>6</v>
      </c>
      <c r="E22" s="4683">
        <v>1</v>
      </c>
      <c r="F22" s="4683">
        <v>4</v>
      </c>
      <c r="G22" s="4683">
        <v>75</v>
      </c>
      <c r="H22" s="4683"/>
      <c r="I22" s="4684">
        <v>1.3888888888888889E-3</v>
      </c>
      <c r="J22" s="4684">
        <v>2.0833333333333333E-3</v>
      </c>
      <c r="K22" s="4561" t="s">
        <v>974</v>
      </c>
      <c r="L22" s="4684">
        <f>L20+N20</f>
        <v>0.45459056793885194</v>
      </c>
      <c r="M22" s="4685">
        <v>1.1000000000000001</v>
      </c>
      <c r="N22" s="4684">
        <f t="shared" ref="N22" si="36">P22*E22*F22+I22*E22*F22+J22*E22</f>
        <v>1.0093263888888889E-2</v>
      </c>
      <c r="O22" s="4586">
        <f>C22*(G22/25)*1.02</f>
        <v>5.5781250000000015E-4</v>
      </c>
      <c r="P22" s="4686">
        <f t="shared" ref="P22" si="37">O22*M22</f>
        <v>6.1359375000000021E-4</v>
      </c>
      <c r="Q22" s="4687">
        <v>177</v>
      </c>
      <c r="R22" s="4683">
        <f t="shared" ref="R22" si="38">E22*F22*G22</f>
        <v>300</v>
      </c>
      <c r="S22" s="2844">
        <f t="shared" si="14"/>
        <v>0.3</v>
      </c>
      <c r="T22" s="2845">
        <f t="shared" si="15"/>
        <v>8.9250000000000024E-3</v>
      </c>
      <c r="U22" s="374">
        <f t="shared" si="16"/>
        <v>0</v>
      </c>
      <c r="V22" s="2846">
        <f t="shared" si="17"/>
        <v>0</v>
      </c>
      <c r="W22" s="2847">
        <f t="shared" si="18"/>
        <v>0</v>
      </c>
      <c r="X22" s="2848">
        <f t="shared" si="19"/>
        <v>0</v>
      </c>
      <c r="Y22" s="2849">
        <f t="shared" si="20"/>
        <v>0</v>
      </c>
      <c r="Z22" s="2850">
        <f t="shared" si="21"/>
        <v>0.3</v>
      </c>
      <c r="AA22" s="2851">
        <f t="shared" si="22"/>
        <v>0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1"/>
    </row>
    <row r="23" spans="1:40" ht="12.75" customHeight="1" thickBot="1">
      <c r="A23" s="2183" t="s">
        <v>458</v>
      </c>
      <c r="B23" s="2530" t="s">
        <v>461</v>
      </c>
      <c r="C23" s="2256">
        <f t="shared" si="1"/>
        <v>1.7682291666666674E-4</v>
      </c>
      <c r="D23" s="3123">
        <v>7</v>
      </c>
      <c r="E23" s="3124">
        <v>3</v>
      </c>
      <c r="F23" s="3124">
        <v>4</v>
      </c>
      <c r="G23" s="3124">
        <v>25</v>
      </c>
      <c r="H23" s="2377" t="s">
        <v>1610</v>
      </c>
      <c r="I23" s="2377">
        <v>3.4722222222222224E-4</v>
      </c>
      <c r="J23" s="2377">
        <v>6.9444444444444447E-4</v>
      </c>
      <c r="K23" s="3125" t="s">
        <v>1608</v>
      </c>
      <c r="L23" s="2515">
        <f t="shared" ref="L23" si="39">L22+N22</f>
        <v>0.46468383182774081</v>
      </c>
      <c r="M23" s="3126">
        <v>1</v>
      </c>
      <c r="N23" s="2377">
        <f>P23*E23*F23+I23*E23*F23+J23*E23</f>
        <v>8.3718750000000008E-3</v>
      </c>
      <c r="O23" s="2271">
        <f t="shared" ref="O23" si="40">C23*(G23/25)</f>
        <v>1.7682291666666674E-4</v>
      </c>
      <c r="P23" s="2517">
        <f t="shared" ref="P23" si="41">O23*M23</f>
        <v>1.7682291666666674E-4</v>
      </c>
      <c r="Q23" s="2518" t="s">
        <v>316</v>
      </c>
      <c r="R23" s="3122">
        <f t="shared" ref="R23" si="42">E23*F23*G23</f>
        <v>300</v>
      </c>
      <c r="S23" s="2844">
        <f t="shared" si="14"/>
        <v>0.3</v>
      </c>
      <c r="T23" s="2845">
        <f t="shared" si="15"/>
        <v>8.4875000000000037E-3</v>
      </c>
      <c r="U23" s="374">
        <f t="shared" si="16"/>
        <v>0</v>
      </c>
      <c r="V23" s="2846">
        <f t="shared" si="17"/>
        <v>0</v>
      </c>
      <c r="W23" s="2847">
        <f t="shared" si="18"/>
        <v>0</v>
      </c>
      <c r="X23" s="2848">
        <f t="shared" si="19"/>
        <v>0</v>
      </c>
      <c r="Y23" s="2849">
        <f t="shared" si="20"/>
        <v>0</v>
      </c>
      <c r="Z23" s="2850">
        <f t="shared" si="21"/>
        <v>0</v>
      </c>
      <c r="AA23" s="2851">
        <f t="shared" si="22"/>
        <v>0.3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1"/>
    </row>
    <row r="24" spans="1:40" ht="12.75" customHeight="1" thickBot="1">
      <c r="A24" s="2183" t="s">
        <v>219</v>
      </c>
      <c r="B24" s="3131"/>
      <c r="C24" s="2256">
        <f t="shared" si="1"/>
        <v>0</v>
      </c>
      <c r="D24" s="3116"/>
      <c r="E24" s="642"/>
      <c r="F24" s="642"/>
      <c r="G24" s="642"/>
      <c r="H24" s="642"/>
      <c r="I24" s="642"/>
      <c r="J24" s="642"/>
      <c r="K24" s="642"/>
      <c r="L24" s="2182">
        <f>L23+N23</f>
        <v>0.47305570682774079</v>
      </c>
      <c r="M24" s="643"/>
      <c r="N24" s="3117">
        <f>SUM(N19:N23)</f>
        <v>5.3837843987022717E-2</v>
      </c>
      <c r="O24" s="642"/>
      <c r="P24" s="642"/>
      <c r="Q24" s="642"/>
      <c r="R24" s="3118">
        <f>SUM(R19:R23)</f>
        <v>2450</v>
      </c>
      <c r="S24" s="2844">
        <f t="shared" si="14"/>
        <v>0</v>
      </c>
      <c r="T24" s="2845">
        <f t="shared" si="15"/>
        <v>0</v>
      </c>
      <c r="U24" s="374">
        <f t="shared" si="16"/>
        <v>0</v>
      </c>
      <c r="V24" s="2846">
        <f t="shared" si="17"/>
        <v>0</v>
      </c>
      <c r="W24" s="2847">
        <f t="shared" si="18"/>
        <v>0</v>
      </c>
      <c r="X24" s="2848">
        <f t="shared" si="19"/>
        <v>0</v>
      </c>
      <c r="Y24" s="2849">
        <f t="shared" si="20"/>
        <v>0</v>
      </c>
      <c r="Z24" s="2850">
        <f t="shared" si="21"/>
        <v>0</v>
      </c>
      <c r="AA24" s="2851">
        <f t="shared" si="22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2.75" customHeight="1" thickBot="1">
      <c r="A25" s="3109"/>
      <c r="B25" s="3110" t="s">
        <v>215</v>
      </c>
      <c r="C25" s="2256">
        <f t="shared" si="1"/>
        <v>0</v>
      </c>
      <c r="D25" s="1"/>
      <c r="F25" s="1"/>
      <c r="G25" s="1"/>
      <c r="H25" s="1"/>
      <c r="I25" s="1"/>
      <c r="J25" s="1"/>
      <c r="K25" s="3384" t="s">
        <v>2038</v>
      </c>
      <c r="L25" s="1"/>
      <c r="M25" s="1"/>
      <c r="N25" s="1"/>
      <c r="O25" s="1"/>
      <c r="P25" s="1"/>
      <c r="Q25" s="1"/>
      <c r="R25" s="1"/>
      <c r="S25" s="2844">
        <f t="shared" si="14"/>
        <v>0</v>
      </c>
      <c r="T25" s="2845">
        <f t="shared" si="15"/>
        <v>0</v>
      </c>
      <c r="U25" s="374">
        <f t="shared" si="16"/>
        <v>0</v>
      </c>
      <c r="V25" s="2846">
        <f t="shared" si="17"/>
        <v>0</v>
      </c>
      <c r="W25" s="2847">
        <f t="shared" si="18"/>
        <v>0</v>
      </c>
      <c r="X25" s="2848">
        <f t="shared" si="19"/>
        <v>0</v>
      </c>
      <c r="Y25" s="2849">
        <f t="shared" si="20"/>
        <v>0</v>
      </c>
      <c r="Z25" s="2850">
        <f t="shared" si="21"/>
        <v>0</v>
      </c>
      <c r="AA25" s="2851">
        <f t="shared" si="22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2.75" customHeight="1" thickBot="1">
      <c r="A26" s="3109" t="s">
        <v>215</v>
      </c>
      <c r="B26" s="3110" t="s">
        <v>215</v>
      </c>
      <c r="C26" s="2256">
        <f t="shared" si="1"/>
        <v>2.1908757716049393E-4</v>
      </c>
      <c r="D26" s="2286">
        <v>2</v>
      </c>
      <c r="E26" s="2276">
        <v>1</v>
      </c>
      <c r="F26" s="2276">
        <v>16</v>
      </c>
      <c r="G26" s="2276">
        <v>50</v>
      </c>
      <c r="H26" s="2277"/>
      <c r="I26" s="2277">
        <v>1.7361111111111112E-4</v>
      </c>
      <c r="J26" s="2277">
        <v>1.3888888888888889E-3</v>
      </c>
      <c r="K26" s="2278" t="s">
        <v>300</v>
      </c>
      <c r="L26" s="2503">
        <v>0.35069444444444442</v>
      </c>
      <c r="M26" s="2280">
        <v>1.1000000000000001</v>
      </c>
      <c r="N26" s="2277">
        <f>P26*E26*F26+I26*E26*F26+J26*E26</f>
        <v>1.1878549382716054E-2</v>
      </c>
      <c r="O26" s="2281">
        <f t="shared" ref="O26" si="43">C26*(G26/25)</f>
        <v>4.3817515432098786E-4</v>
      </c>
      <c r="P26" s="2281">
        <f t="shared" ref="P26:P29" si="44">O26*M26</f>
        <v>4.8199266975308669E-4</v>
      </c>
      <c r="Q26" s="2282">
        <v>165</v>
      </c>
      <c r="R26" s="2283">
        <f t="shared" ref="R26:R29" si="45">E26*F26*G26</f>
        <v>800</v>
      </c>
      <c r="S26" s="2844">
        <f t="shared" si="14"/>
        <v>0.8</v>
      </c>
      <c r="T26" s="2845">
        <f t="shared" si="15"/>
        <v>2.8043209876543223E-2</v>
      </c>
      <c r="U26" s="374">
        <f t="shared" si="16"/>
        <v>0</v>
      </c>
      <c r="V26" s="2846">
        <f t="shared" si="17"/>
        <v>0.8</v>
      </c>
      <c r="W26" s="2847">
        <f t="shared" si="18"/>
        <v>0</v>
      </c>
      <c r="X26" s="2848">
        <f t="shared" si="19"/>
        <v>0</v>
      </c>
      <c r="Y26" s="2849">
        <f t="shared" si="20"/>
        <v>0</v>
      </c>
      <c r="Z26" s="2850">
        <f t="shared" si="21"/>
        <v>0</v>
      </c>
      <c r="AA26" s="2851">
        <f t="shared" si="22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2.75" customHeight="1" thickBot="1">
      <c r="A27" s="3109" t="s">
        <v>139</v>
      </c>
      <c r="B27" s="3110" t="s">
        <v>215</v>
      </c>
      <c r="C27" s="2256">
        <f t="shared" si="1"/>
        <v>1.8229166666666673E-4</v>
      </c>
      <c r="D27" s="4924">
        <v>6</v>
      </c>
      <c r="E27" s="4683">
        <v>1</v>
      </c>
      <c r="F27" s="4683">
        <v>8</v>
      </c>
      <c r="G27" s="4683">
        <v>75</v>
      </c>
      <c r="H27" s="4683" t="s">
        <v>2045</v>
      </c>
      <c r="I27" s="4684">
        <v>1.3888888888888889E-3</v>
      </c>
      <c r="J27" s="4684">
        <v>2.0833333333333333E-3</v>
      </c>
      <c r="K27" s="4561" t="s">
        <v>2047</v>
      </c>
      <c r="L27" s="4684">
        <f>L26+N26</f>
        <v>0.36257299382716046</v>
      </c>
      <c r="M27" s="4685">
        <v>1.1000000000000001</v>
      </c>
      <c r="N27" s="4684">
        <f t="shared" ref="N27:N29" si="46">P27*E27*F27+I27*E27*F27+J27*E27</f>
        <v>1.8103194444444446E-2</v>
      </c>
      <c r="O27" s="4586">
        <f t="shared" ref="O27:O29" si="47">C27*(G27/25)*1.02</f>
        <v>5.5781250000000015E-4</v>
      </c>
      <c r="P27" s="4686">
        <f t="shared" si="44"/>
        <v>6.1359375000000021E-4</v>
      </c>
      <c r="Q27" s="4687">
        <v>177</v>
      </c>
      <c r="R27" s="4683">
        <f t="shared" si="45"/>
        <v>600</v>
      </c>
      <c r="S27" s="2844">
        <f t="shared" si="14"/>
        <v>0.6</v>
      </c>
      <c r="T27" s="2845">
        <f t="shared" si="15"/>
        <v>1.7850000000000005E-2</v>
      </c>
      <c r="U27" s="374">
        <f t="shared" si="16"/>
        <v>0</v>
      </c>
      <c r="V27" s="2846">
        <f t="shared" si="17"/>
        <v>0</v>
      </c>
      <c r="W27" s="2847">
        <f t="shared" si="18"/>
        <v>0</v>
      </c>
      <c r="X27" s="2848">
        <f t="shared" si="19"/>
        <v>0</v>
      </c>
      <c r="Y27" s="2849">
        <f t="shared" si="20"/>
        <v>0</v>
      </c>
      <c r="Z27" s="2850">
        <f t="shared" si="21"/>
        <v>0.6</v>
      </c>
      <c r="AA27" s="2851">
        <f t="shared" si="22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2.75" customHeight="1" thickBot="1">
      <c r="A28" s="3109" t="s">
        <v>458</v>
      </c>
      <c r="B28" s="3110" t="s">
        <v>215</v>
      </c>
      <c r="C28" s="2256">
        <f t="shared" si="1"/>
        <v>1.8229166666666673E-4</v>
      </c>
      <c r="D28" s="4924">
        <v>6</v>
      </c>
      <c r="E28" s="4683">
        <v>1</v>
      </c>
      <c r="F28" s="4683">
        <v>6</v>
      </c>
      <c r="G28" s="4683">
        <v>75</v>
      </c>
      <c r="H28" s="4683" t="s">
        <v>2045</v>
      </c>
      <c r="I28" s="4684">
        <v>1.3888888888888889E-3</v>
      </c>
      <c r="J28" s="4684">
        <v>2.0833333333333333E-3</v>
      </c>
      <c r="K28" s="4561" t="s">
        <v>2047</v>
      </c>
      <c r="L28" s="4684">
        <f t="shared" ref="L28:L29" si="48">L26+N26</f>
        <v>0.36257299382716046</v>
      </c>
      <c r="M28" s="4685">
        <v>1.08</v>
      </c>
      <c r="N28" s="4684">
        <f t="shared" si="46"/>
        <v>1.4031291666666668E-2</v>
      </c>
      <c r="O28" s="4586">
        <f t="shared" si="47"/>
        <v>5.5781250000000015E-4</v>
      </c>
      <c r="P28" s="4686">
        <f t="shared" si="44"/>
        <v>6.0243750000000022E-4</v>
      </c>
      <c r="Q28" s="4687">
        <v>177</v>
      </c>
      <c r="R28" s="4683">
        <f t="shared" si="45"/>
        <v>450</v>
      </c>
      <c r="S28" s="2844">
        <f t="shared" si="14"/>
        <v>0.45</v>
      </c>
      <c r="T28" s="2845">
        <f t="shared" si="15"/>
        <v>1.3387500000000004E-2</v>
      </c>
      <c r="U28" s="374">
        <f t="shared" si="16"/>
        <v>0</v>
      </c>
      <c r="V28" s="2846">
        <f t="shared" si="17"/>
        <v>0</v>
      </c>
      <c r="W28" s="2847">
        <f t="shared" si="18"/>
        <v>0</v>
      </c>
      <c r="X28" s="2848">
        <f t="shared" si="19"/>
        <v>0</v>
      </c>
      <c r="Y28" s="2849">
        <f t="shared" si="20"/>
        <v>0</v>
      </c>
      <c r="Z28" s="2850">
        <f t="shared" si="21"/>
        <v>0.45</v>
      </c>
      <c r="AA28" s="2851">
        <f t="shared" si="22"/>
        <v>0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2.75" customHeight="1" thickBot="1">
      <c r="A29" s="3109" t="s">
        <v>462</v>
      </c>
      <c r="B29" s="3110" t="s">
        <v>215</v>
      </c>
      <c r="C29" s="2256">
        <f t="shared" si="1"/>
        <v>1.8229166666666673E-4</v>
      </c>
      <c r="D29" s="4924">
        <v>6</v>
      </c>
      <c r="E29" s="4683">
        <v>1</v>
      </c>
      <c r="F29" s="4683">
        <v>4</v>
      </c>
      <c r="G29" s="4683">
        <v>75</v>
      </c>
      <c r="H29" s="4683" t="s">
        <v>2045</v>
      </c>
      <c r="I29" s="4684">
        <v>1.3888888888888889E-3</v>
      </c>
      <c r="J29" s="4684">
        <v>2.0833333333333333E-3</v>
      </c>
      <c r="K29" s="4561" t="s">
        <v>2047</v>
      </c>
      <c r="L29" s="4684">
        <f t="shared" si="48"/>
        <v>0.38067618827160493</v>
      </c>
      <c r="M29" s="4685">
        <v>1</v>
      </c>
      <c r="N29" s="4684">
        <f t="shared" si="46"/>
        <v>9.8701388888888901E-3</v>
      </c>
      <c r="O29" s="4586">
        <f t="shared" si="47"/>
        <v>5.5781250000000015E-4</v>
      </c>
      <c r="P29" s="4686">
        <f t="shared" si="44"/>
        <v>5.5781250000000015E-4</v>
      </c>
      <c r="Q29" s="4687">
        <v>177</v>
      </c>
      <c r="R29" s="4683">
        <f t="shared" si="45"/>
        <v>300</v>
      </c>
      <c r="S29" s="2844">
        <f t="shared" si="14"/>
        <v>0.3</v>
      </c>
      <c r="T29" s="2845">
        <f t="shared" si="15"/>
        <v>8.9250000000000024E-3</v>
      </c>
      <c r="U29" s="374">
        <f t="shared" si="16"/>
        <v>0</v>
      </c>
      <c r="V29" s="2846">
        <f t="shared" si="17"/>
        <v>0</v>
      </c>
      <c r="W29" s="2847">
        <f t="shared" si="18"/>
        <v>0</v>
      </c>
      <c r="X29" s="2848">
        <f t="shared" si="19"/>
        <v>0</v>
      </c>
      <c r="Y29" s="2849">
        <f t="shared" si="20"/>
        <v>0</v>
      </c>
      <c r="Z29" s="2850">
        <f t="shared" si="21"/>
        <v>0.3</v>
      </c>
      <c r="AA29" s="2851">
        <f t="shared" si="22"/>
        <v>0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2.75" customHeight="1" thickBot="1">
      <c r="A30" s="3109" t="s">
        <v>140</v>
      </c>
      <c r="B30" s="3110" t="s">
        <v>215</v>
      </c>
      <c r="C30" s="2256">
        <f t="shared" si="1"/>
        <v>2.1908757716049393E-4</v>
      </c>
      <c r="D30" s="4925">
        <v>2</v>
      </c>
      <c r="E30" s="4926">
        <v>1</v>
      </c>
      <c r="F30" s="4926">
        <v>2</v>
      </c>
      <c r="G30" s="4926">
        <v>300</v>
      </c>
      <c r="H30" s="4927"/>
      <c r="I30" s="4927">
        <v>6.3657407407407402E-4</v>
      </c>
      <c r="J30" s="4927">
        <v>1.3888888888888889E-3</v>
      </c>
      <c r="K30" s="3850" t="s">
        <v>1514</v>
      </c>
      <c r="L30" s="4928">
        <f>L28+N28</f>
        <v>0.37660428549382713</v>
      </c>
      <c r="M30" s="4929">
        <v>1.2</v>
      </c>
      <c r="N30" s="4927">
        <f>P30*E30*F30+I30*E30*F30+J30*E30</f>
        <v>8.9717592592592609E-3</v>
      </c>
      <c r="O30" s="4930">
        <f t="shared" ref="O30:O31" si="49">C30*(G30/25)</f>
        <v>2.629050925925927E-3</v>
      </c>
      <c r="P30" s="4930">
        <f t="shared" ref="P30" si="50">O30*M30</f>
        <v>3.1548611111111122E-3</v>
      </c>
      <c r="Q30" s="2282">
        <v>196</v>
      </c>
      <c r="R30" s="3133">
        <f t="shared" ref="R30" si="51">E30*F30*G30</f>
        <v>600</v>
      </c>
      <c r="S30" s="2844">
        <f t="shared" si="14"/>
        <v>0.6</v>
      </c>
      <c r="T30" s="2845">
        <f t="shared" si="15"/>
        <v>2.1032407407407416E-2</v>
      </c>
      <c r="U30" s="374">
        <f t="shared" si="16"/>
        <v>0</v>
      </c>
      <c r="V30" s="2846">
        <f t="shared" si="17"/>
        <v>0.6</v>
      </c>
      <c r="W30" s="2847">
        <f t="shared" si="18"/>
        <v>0</v>
      </c>
      <c r="X30" s="2848">
        <f t="shared" si="19"/>
        <v>0</v>
      </c>
      <c r="Y30" s="2849">
        <f t="shared" si="20"/>
        <v>0</v>
      </c>
      <c r="Z30" s="2850">
        <f t="shared" si="21"/>
        <v>0</v>
      </c>
      <c r="AA30" s="2851">
        <f t="shared" si="22"/>
        <v>0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2.75" customHeight="1" thickBot="1">
      <c r="A31" s="3109"/>
      <c r="B31" s="3110"/>
      <c r="C31" s="2256">
        <f t="shared" si="1"/>
        <v>2.1222190799396687E-4</v>
      </c>
      <c r="D31" s="3385">
        <v>3</v>
      </c>
      <c r="E31" s="3386"/>
      <c r="F31" s="3386"/>
      <c r="G31" s="3386"/>
      <c r="H31" s="3387"/>
      <c r="I31" s="2337"/>
      <c r="J31" s="2337"/>
      <c r="K31" s="2338"/>
      <c r="L31" s="2182">
        <f>L30+N30</f>
        <v>0.38557604475308638</v>
      </c>
      <c r="M31" s="2502"/>
      <c r="N31" s="2528">
        <f>SUM(N26:N30)</f>
        <v>6.2854933641975322E-2</v>
      </c>
      <c r="O31" s="2359">
        <f t="shared" si="49"/>
        <v>0</v>
      </c>
      <c r="P31" s="2359"/>
      <c r="Q31" s="2341"/>
      <c r="R31" s="2529">
        <f>SUM(R26:R30)</f>
        <v>2750</v>
      </c>
      <c r="S31" s="2844">
        <f t="shared" si="14"/>
        <v>0</v>
      </c>
      <c r="T31" s="2845">
        <f t="shared" si="15"/>
        <v>0</v>
      </c>
      <c r="U31" s="374">
        <f t="shared" si="16"/>
        <v>0</v>
      </c>
      <c r="V31" s="2846">
        <f t="shared" si="17"/>
        <v>0</v>
      </c>
      <c r="W31" s="2847">
        <f t="shared" si="18"/>
        <v>0</v>
      </c>
      <c r="X31" s="2848">
        <f t="shared" si="19"/>
        <v>0</v>
      </c>
      <c r="Y31" s="2849">
        <f t="shared" si="20"/>
        <v>0</v>
      </c>
      <c r="Z31" s="2850">
        <f t="shared" si="21"/>
        <v>0</v>
      </c>
      <c r="AA31" s="2851">
        <f t="shared" si="22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2.75" customHeight="1" thickBot="1">
      <c r="A32" s="3109" t="s">
        <v>215</v>
      </c>
      <c r="B32" s="3110" t="s">
        <v>461</v>
      </c>
      <c r="C32" s="2256">
        <f t="shared" si="1"/>
        <v>2.1908757716049393E-4</v>
      </c>
      <c r="D32" s="2286">
        <v>2</v>
      </c>
      <c r="E32" s="2276">
        <v>1</v>
      </c>
      <c r="F32" s="2276">
        <v>8</v>
      </c>
      <c r="G32" s="2276">
        <v>100</v>
      </c>
      <c r="H32" s="2277"/>
      <c r="I32" s="2277">
        <v>2.3148148148148146E-4</v>
      </c>
      <c r="J32" s="2277">
        <v>1.3888888888888889E-3</v>
      </c>
      <c r="K32" s="2278" t="s">
        <v>1609</v>
      </c>
      <c r="L32" s="2503">
        <v>0.79861111111111116</v>
      </c>
      <c r="M32" s="2280">
        <v>1.2</v>
      </c>
      <c r="N32" s="2277">
        <f>P32*E32*F32+I32*E32*F32+J32*E32</f>
        <v>1.1653703703703706E-2</v>
      </c>
      <c r="O32" s="2281">
        <f t="shared" ref="O32:O43" si="52">C32*(G32/25)</f>
        <v>8.7635030864197572E-4</v>
      </c>
      <c r="P32" s="2281">
        <f t="shared" ref="P32:P36" si="53">O32*M32</f>
        <v>1.0516203703703707E-3</v>
      </c>
      <c r="Q32" s="2282">
        <v>129</v>
      </c>
      <c r="R32" s="2283">
        <f t="shared" ref="R32:R36" si="54">E32*F32*G32</f>
        <v>800</v>
      </c>
      <c r="S32" s="2844">
        <f t="shared" si="14"/>
        <v>0.8</v>
      </c>
      <c r="T32" s="2845">
        <f t="shared" si="15"/>
        <v>2.8043209876543223E-2</v>
      </c>
      <c r="U32" s="374">
        <f t="shared" si="16"/>
        <v>0</v>
      </c>
      <c r="V32" s="2846">
        <f t="shared" si="17"/>
        <v>0.8</v>
      </c>
      <c r="W32" s="2847">
        <f t="shared" si="18"/>
        <v>0</v>
      </c>
      <c r="X32" s="2848">
        <f t="shared" si="19"/>
        <v>0</v>
      </c>
      <c r="Y32" s="2849">
        <f t="shared" si="20"/>
        <v>0</v>
      </c>
      <c r="Z32" s="2850">
        <f t="shared" si="21"/>
        <v>0</v>
      </c>
      <c r="AA32" s="2851">
        <f t="shared" si="22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2.75" customHeight="1" thickBot="1">
      <c r="A33" s="3109" t="s">
        <v>139</v>
      </c>
      <c r="B33" s="3110" t="s">
        <v>461</v>
      </c>
      <c r="C33" s="2256">
        <f t="shared" si="1"/>
        <v>2.1222190799396687E-4</v>
      </c>
      <c r="D33" s="2309">
        <v>3</v>
      </c>
      <c r="E33" s="2257">
        <v>1</v>
      </c>
      <c r="F33" s="2257">
        <v>6</v>
      </c>
      <c r="G33" s="2257">
        <v>50</v>
      </c>
      <c r="H33" s="2258"/>
      <c r="I33" s="2258">
        <v>3.4722222222222224E-4</v>
      </c>
      <c r="J33" s="2258">
        <v>1.3888888888888889E-3</v>
      </c>
      <c r="K33" s="2259" t="s">
        <v>895</v>
      </c>
      <c r="L33" s="2504">
        <f>L32+N32</f>
        <v>0.81026481481481483</v>
      </c>
      <c r="M33" s="2326">
        <v>1.25</v>
      </c>
      <c r="N33" s="2258">
        <f>P33*E33*F33+I33*E33*F33+J33*E33</f>
        <v>6.6555508421317251E-3</v>
      </c>
      <c r="O33" s="2262">
        <f t="shared" si="52"/>
        <v>4.2444381598793373E-4</v>
      </c>
      <c r="P33" s="2262">
        <f t="shared" si="53"/>
        <v>5.3055476998491711E-4</v>
      </c>
      <c r="Q33" s="2274">
        <v>147</v>
      </c>
      <c r="R33" s="2257">
        <f t="shared" si="54"/>
        <v>300</v>
      </c>
      <c r="S33" s="2844">
        <f t="shared" si="14"/>
        <v>0.3</v>
      </c>
      <c r="T33" s="2845">
        <f t="shared" si="15"/>
        <v>1.018665158371041E-2</v>
      </c>
      <c r="U33" s="374">
        <f t="shared" si="16"/>
        <v>0</v>
      </c>
      <c r="V33" s="2846">
        <f t="shared" si="17"/>
        <v>0</v>
      </c>
      <c r="W33" s="2847">
        <f t="shared" si="18"/>
        <v>0.3</v>
      </c>
      <c r="X33" s="2848">
        <f t="shared" si="19"/>
        <v>0</v>
      </c>
      <c r="Y33" s="2849">
        <f t="shared" si="20"/>
        <v>0</v>
      </c>
      <c r="Z33" s="2850">
        <f t="shared" si="21"/>
        <v>0</v>
      </c>
      <c r="AA33" s="2851">
        <f t="shared" si="22"/>
        <v>0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2" customHeight="1" thickBot="1">
      <c r="A34" s="3109" t="s">
        <v>458</v>
      </c>
      <c r="B34" s="3110" t="s">
        <v>461</v>
      </c>
      <c r="C34" s="2256">
        <f t="shared" si="1"/>
        <v>2.2880964381720439E-4</v>
      </c>
      <c r="D34" s="2335">
        <v>1</v>
      </c>
      <c r="E34" s="2336">
        <v>1</v>
      </c>
      <c r="F34" s="2336">
        <v>1</v>
      </c>
      <c r="G34" s="2336">
        <v>100</v>
      </c>
      <c r="H34" s="2337">
        <v>1.9097222222222222E-3</v>
      </c>
      <c r="I34" s="2337"/>
      <c r="J34" s="2337">
        <v>1.3888888888888889E-3</v>
      </c>
      <c r="K34" s="2338" t="s">
        <v>1332</v>
      </c>
      <c r="L34" s="2501">
        <f>L33+N33</f>
        <v>0.81692036565694659</v>
      </c>
      <c r="M34" s="2502">
        <v>1</v>
      </c>
      <c r="N34" s="2337">
        <f>H34*F34*E34</f>
        <v>1.9097222222222222E-3</v>
      </c>
      <c r="O34" s="2359">
        <f t="shared" si="52"/>
        <v>9.1523857526881758E-4</v>
      </c>
      <c r="P34" s="2359">
        <f t="shared" si="53"/>
        <v>9.1523857526881758E-4</v>
      </c>
      <c r="Q34" s="2341">
        <v>164</v>
      </c>
      <c r="R34" s="2336">
        <f t="shared" si="54"/>
        <v>100</v>
      </c>
      <c r="S34" s="2844">
        <f t="shared" si="14"/>
        <v>0.1</v>
      </c>
      <c r="T34" s="2845">
        <f t="shared" si="15"/>
        <v>3.6609543010752703E-3</v>
      </c>
      <c r="U34" s="374">
        <f t="shared" si="16"/>
        <v>0.1</v>
      </c>
      <c r="V34" s="2846">
        <f t="shared" si="17"/>
        <v>0</v>
      </c>
      <c r="W34" s="2847">
        <f t="shared" si="18"/>
        <v>0</v>
      </c>
      <c r="X34" s="2848">
        <f t="shared" si="19"/>
        <v>0</v>
      </c>
      <c r="Y34" s="2849">
        <f t="shared" si="20"/>
        <v>0</v>
      </c>
      <c r="Z34" s="2850">
        <f t="shared" si="21"/>
        <v>0</v>
      </c>
      <c r="AA34" s="2851">
        <f t="shared" si="22"/>
        <v>0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2.75" customHeight="1" thickBot="1">
      <c r="A35" s="3109" t="s">
        <v>462</v>
      </c>
      <c r="B35" s="3110" t="s">
        <v>461</v>
      </c>
      <c r="C35" s="2256">
        <f t="shared" si="1"/>
        <v>1.7682291666666674E-4</v>
      </c>
      <c r="D35" s="2318">
        <v>7</v>
      </c>
      <c r="E35" s="2512">
        <v>2</v>
      </c>
      <c r="F35" s="2512">
        <v>4</v>
      </c>
      <c r="G35" s="2512">
        <v>25</v>
      </c>
      <c r="H35" s="2377" t="s">
        <v>1508</v>
      </c>
      <c r="I35" s="2377">
        <v>3.4722222222222224E-4</v>
      </c>
      <c r="J35" s="2377">
        <v>6.9444444444444447E-4</v>
      </c>
      <c r="K35" s="2514" t="s">
        <v>1513</v>
      </c>
      <c r="L35" s="2515">
        <f>L34+N34</f>
        <v>0.81883008787916878</v>
      </c>
      <c r="M35" s="3126">
        <v>1</v>
      </c>
      <c r="N35" s="2377">
        <f>P35*E35*F35+I35*E35*F35+J35*E35</f>
        <v>5.5812500000000011E-3</v>
      </c>
      <c r="O35" s="2271">
        <f>C35*(G35/25)</f>
        <v>1.7682291666666674E-4</v>
      </c>
      <c r="P35" s="2517">
        <f>O35*M35</f>
        <v>1.7682291666666674E-4</v>
      </c>
      <c r="Q35" s="3130" t="s">
        <v>316</v>
      </c>
      <c r="R35" s="3122">
        <f>E35*F35*G35</f>
        <v>200</v>
      </c>
      <c r="S35" s="2844">
        <f t="shared" si="14"/>
        <v>0.2</v>
      </c>
      <c r="T35" s="2845">
        <f t="shared" si="15"/>
        <v>5.6583333333333355E-3</v>
      </c>
      <c r="U35" s="374">
        <f t="shared" si="16"/>
        <v>0</v>
      </c>
      <c r="V35" s="2846">
        <f t="shared" si="17"/>
        <v>0</v>
      </c>
      <c r="W35" s="2847">
        <f t="shared" si="18"/>
        <v>0</v>
      </c>
      <c r="X35" s="2848">
        <f t="shared" si="19"/>
        <v>0</v>
      </c>
      <c r="Y35" s="2849">
        <f t="shared" si="20"/>
        <v>0</v>
      </c>
      <c r="Z35" s="2850">
        <f t="shared" si="21"/>
        <v>0</v>
      </c>
      <c r="AA35" s="2851">
        <f t="shared" si="22"/>
        <v>0.2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2.75" customHeight="1" thickBot="1">
      <c r="A36" s="3109" t="s">
        <v>140</v>
      </c>
      <c r="B36" s="3110" t="s">
        <v>461</v>
      </c>
      <c r="C36" s="2256">
        <f t="shared" si="1"/>
        <v>2.0247664488766629E-4</v>
      </c>
      <c r="D36" s="2520">
        <v>4</v>
      </c>
      <c r="E36" s="2521">
        <v>1</v>
      </c>
      <c r="F36" s="2521">
        <v>2</v>
      </c>
      <c r="G36" s="2521">
        <v>300</v>
      </c>
      <c r="H36" s="2522"/>
      <c r="I36" s="2522">
        <v>6.3657407407407402E-4</v>
      </c>
      <c r="J36" s="2522">
        <v>1.3888888888888889E-3</v>
      </c>
      <c r="K36" s="2523" t="s">
        <v>1514</v>
      </c>
      <c r="L36" s="2524">
        <f>L34+N34</f>
        <v>0.81883008787916878</v>
      </c>
      <c r="M36" s="2525">
        <v>1.2</v>
      </c>
      <c r="N36" s="2522">
        <f>P36*E36*F36+I36*E36*F36+J36*E36</f>
        <v>8.4933644098018259E-3</v>
      </c>
      <c r="O36" s="2526">
        <f t="shared" si="52"/>
        <v>2.4297197386519954E-3</v>
      </c>
      <c r="P36" s="2526">
        <f t="shared" si="53"/>
        <v>2.9156636863823943E-3</v>
      </c>
      <c r="Q36" s="3132">
        <v>196</v>
      </c>
      <c r="R36" s="3133">
        <f t="shared" si="54"/>
        <v>600</v>
      </c>
      <c r="S36" s="2844">
        <f t="shared" si="14"/>
        <v>0.6</v>
      </c>
      <c r="T36" s="2845">
        <f t="shared" si="15"/>
        <v>1.9437757909215963E-2</v>
      </c>
      <c r="U36" s="374">
        <f t="shared" si="16"/>
        <v>0</v>
      </c>
      <c r="V36" s="2846">
        <f t="shared" si="17"/>
        <v>0</v>
      </c>
      <c r="W36" s="2847">
        <f t="shared" si="18"/>
        <v>0</v>
      </c>
      <c r="X36" s="2848">
        <f t="shared" si="19"/>
        <v>0.6</v>
      </c>
      <c r="Y36" s="2849">
        <f t="shared" si="20"/>
        <v>0</v>
      </c>
      <c r="Z36" s="2850">
        <f t="shared" si="21"/>
        <v>0</v>
      </c>
      <c r="AA36" s="2851">
        <f t="shared" si="22"/>
        <v>0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2.75" customHeight="1" thickBot="1">
      <c r="A37" s="3109"/>
      <c r="B37" s="3110"/>
      <c r="C37" s="2256">
        <f t="shared" si="1"/>
        <v>0</v>
      </c>
      <c r="D37" s="2335"/>
      <c r="E37" s="2336"/>
      <c r="F37" s="2336"/>
      <c r="G37" s="2336"/>
      <c r="H37" s="2337"/>
      <c r="I37" s="2337"/>
      <c r="J37" s="2337"/>
      <c r="K37" s="2338"/>
      <c r="L37" s="2182">
        <f>L36+N36</f>
        <v>0.82732345228897064</v>
      </c>
      <c r="M37" s="2502"/>
      <c r="N37" s="2528">
        <f>SUM(N32:N36)</f>
        <v>3.4293591177859482E-2</v>
      </c>
      <c r="O37" s="2359">
        <f t="shared" si="52"/>
        <v>0</v>
      </c>
      <c r="P37" s="2359"/>
      <c r="Q37" s="2341"/>
      <c r="R37" s="2529">
        <f>SUM(R32:R36)</f>
        <v>2000</v>
      </c>
      <c r="S37" s="2844">
        <f t="shared" si="14"/>
        <v>0</v>
      </c>
      <c r="T37" s="2845">
        <f t="shared" si="15"/>
        <v>0</v>
      </c>
      <c r="U37" s="374">
        <f t="shared" si="16"/>
        <v>0</v>
      </c>
      <c r="V37" s="2846">
        <f t="shared" si="17"/>
        <v>0</v>
      </c>
      <c r="W37" s="2847">
        <f t="shared" si="18"/>
        <v>0</v>
      </c>
      <c r="X37" s="2848">
        <f t="shared" si="19"/>
        <v>0</v>
      </c>
      <c r="Y37" s="2849">
        <f t="shared" si="20"/>
        <v>0</v>
      </c>
      <c r="Z37" s="2850">
        <f t="shared" si="21"/>
        <v>0</v>
      </c>
      <c r="AA37" s="2851">
        <f t="shared" si="22"/>
        <v>0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</row>
    <row r="38" spans="1:40" ht="12.75" customHeight="1" thickBot="1">
      <c r="A38" s="3134"/>
      <c r="B38" s="3135" t="s">
        <v>215</v>
      </c>
      <c r="C38" s="2256">
        <f t="shared" si="1"/>
        <v>2.1908757716049393E-4</v>
      </c>
      <c r="D38" s="2286">
        <v>2</v>
      </c>
      <c r="E38" s="2276">
        <v>1</v>
      </c>
      <c r="F38" s="2276">
        <v>2</v>
      </c>
      <c r="G38" s="2276">
        <v>350</v>
      </c>
      <c r="H38" s="2277"/>
      <c r="I38" s="2277">
        <v>1.7361111111111112E-4</v>
      </c>
      <c r="J38" s="2277">
        <v>1.3888888888888889E-3</v>
      </c>
      <c r="K38" s="2278" t="s">
        <v>1333</v>
      </c>
      <c r="L38" s="2503">
        <v>0.32291666666666669</v>
      </c>
      <c r="M38" s="2280">
        <v>1.1000000000000001</v>
      </c>
      <c r="N38" s="2277">
        <f>P38*E38*F38+I38*E38*F38+J38*E38</f>
        <v>8.4840084876543244E-3</v>
      </c>
      <c r="O38" s="2281">
        <f t="shared" si="52"/>
        <v>3.0672260802469152E-3</v>
      </c>
      <c r="P38" s="2281">
        <f>O38*M38</f>
        <v>3.3739486882716071E-3</v>
      </c>
      <c r="Q38" s="2282">
        <v>164</v>
      </c>
      <c r="R38" s="2283">
        <f>E38*F38*G38</f>
        <v>700</v>
      </c>
      <c r="S38" s="2844">
        <f t="shared" si="14"/>
        <v>0.7</v>
      </c>
      <c r="T38" s="2845">
        <f t="shared" si="15"/>
        <v>2.4537808641975321E-2</v>
      </c>
      <c r="U38" s="374">
        <f t="shared" si="16"/>
        <v>0</v>
      </c>
      <c r="V38" s="2846">
        <f t="shared" si="17"/>
        <v>0.7</v>
      </c>
      <c r="W38" s="2847">
        <f t="shared" si="18"/>
        <v>0</v>
      </c>
      <c r="X38" s="2848">
        <f t="shared" si="19"/>
        <v>0</v>
      </c>
      <c r="Y38" s="2849">
        <f t="shared" si="20"/>
        <v>0</v>
      </c>
      <c r="Z38" s="2850">
        <f t="shared" si="21"/>
        <v>0</v>
      </c>
      <c r="AA38" s="2851">
        <f t="shared" si="22"/>
        <v>0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</row>
    <row r="39" spans="1:40" ht="12.75" customHeight="1" thickBot="1">
      <c r="A39" s="3134" t="s">
        <v>217</v>
      </c>
      <c r="B39" s="3135" t="s">
        <v>215</v>
      </c>
      <c r="C39" s="2256">
        <f t="shared" si="1"/>
        <v>2.1222190799396687E-4</v>
      </c>
      <c r="D39" s="2309">
        <v>3</v>
      </c>
      <c r="E39" s="2257">
        <v>1</v>
      </c>
      <c r="F39" s="2257">
        <v>14</v>
      </c>
      <c r="G39" s="2257">
        <v>50</v>
      </c>
      <c r="H39" s="2258"/>
      <c r="I39" s="2258">
        <v>1.7361111111111112E-4</v>
      </c>
      <c r="J39" s="2258">
        <v>1.3888888888888889E-3</v>
      </c>
      <c r="K39" s="2355" t="s">
        <v>1334</v>
      </c>
      <c r="L39" s="2504">
        <f t="shared" ref="L39" si="55">L38+N38</f>
        <v>0.33140067515432103</v>
      </c>
      <c r="M39" s="2326">
        <v>1.1000000000000001</v>
      </c>
      <c r="N39" s="2258">
        <f t="shared" ref="N39:N40" si="56">P39*E39*F39+I39*E39*F39+J39*E39</f>
        <v>1.0355879210658624E-2</v>
      </c>
      <c r="O39" s="2262">
        <f t="shared" si="52"/>
        <v>4.2444381598793373E-4</v>
      </c>
      <c r="P39" s="2262">
        <f t="shared" ref="P39:P40" si="57">O39*M39</f>
        <v>4.6688819758672714E-4</v>
      </c>
      <c r="Q39" s="2274">
        <v>164</v>
      </c>
      <c r="R39" s="2257">
        <f t="shared" ref="R39:R40" si="58">E39*F39*G39</f>
        <v>700</v>
      </c>
      <c r="S39" s="2844">
        <f t="shared" si="14"/>
        <v>0.7</v>
      </c>
      <c r="T39" s="2845">
        <f t="shared" si="15"/>
        <v>2.3768853695324291E-2</v>
      </c>
      <c r="U39" s="374">
        <f t="shared" si="16"/>
        <v>0</v>
      </c>
      <c r="V39" s="2846">
        <f t="shared" si="17"/>
        <v>0</v>
      </c>
      <c r="W39" s="2847">
        <f t="shared" si="18"/>
        <v>0.7</v>
      </c>
      <c r="X39" s="2848">
        <f t="shared" si="19"/>
        <v>0</v>
      </c>
      <c r="Y39" s="2849">
        <f t="shared" si="20"/>
        <v>0</v>
      </c>
      <c r="Z39" s="2850">
        <f t="shared" si="21"/>
        <v>0</v>
      </c>
      <c r="AA39" s="2851">
        <f t="shared" si="22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</row>
    <row r="40" spans="1:40" ht="12.75" customHeight="1" thickBot="1">
      <c r="A40" s="3134" t="s">
        <v>459</v>
      </c>
      <c r="B40" s="3135" t="s">
        <v>215</v>
      </c>
      <c r="C40" s="2256">
        <f t="shared" ref="C40" si="59">IF(D40=1,U$5,IF(D40=2,V$5,IF(D40=3,W$5,IF(D40=4,X$5,IF(D40=5,Y$5,IF(D40=6,Z$5,IF(D40=7,AA$5,0)))))))</f>
        <v>1.8229166666666673E-4</v>
      </c>
      <c r="D40" s="4924">
        <v>6</v>
      </c>
      <c r="E40" s="4683">
        <v>1</v>
      </c>
      <c r="F40" s="4683">
        <v>8</v>
      </c>
      <c r="G40" s="4683">
        <v>75</v>
      </c>
      <c r="H40" s="4683" t="s">
        <v>2045</v>
      </c>
      <c r="I40" s="4684">
        <v>1.3888888888888889E-3</v>
      </c>
      <c r="J40" s="4684">
        <v>2.0833333333333333E-3</v>
      </c>
      <c r="K40" s="4561" t="s">
        <v>2048</v>
      </c>
      <c r="L40" s="4684">
        <f>L39+N39</f>
        <v>0.34175655436497965</v>
      </c>
      <c r="M40" s="4685">
        <v>1.1000000000000001</v>
      </c>
      <c r="N40" s="4684">
        <f t="shared" si="56"/>
        <v>1.8103194444444446E-2</v>
      </c>
      <c r="O40" s="4586">
        <f t="shared" ref="O40" si="60">C40*(G40/25)*1.02</f>
        <v>5.5781250000000015E-4</v>
      </c>
      <c r="P40" s="4686">
        <f t="shared" si="57"/>
        <v>6.1359375000000021E-4</v>
      </c>
      <c r="Q40" s="4687">
        <v>177</v>
      </c>
      <c r="R40" s="4683">
        <f t="shared" si="58"/>
        <v>600</v>
      </c>
      <c r="S40" s="2844">
        <f t="shared" si="14"/>
        <v>0.6</v>
      </c>
      <c r="T40" s="2845">
        <f t="shared" si="15"/>
        <v>1.7850000000000005E-2</v>
      </c>
      <c r="U40" s="374">
        <f t="shared" si="16"/>
        <v>0</v>
      </c>
      <c r="V40" s="2846">
        <f t="shared" si="17"/>
        <v>0</v>
      </c>
      <c r="W40" s="2847">
        <f t="shared" si="18"/>
        <v>0</v>
      </c>
      <c r="X40" s="2848">
        <f t="shared" si="19"/>
        <v>0</v>
      </c>
      <c r="Y40" s="2849">
        <f t="shared" si="20"/>
        <v>0</v>
      </c>
      <c r="Z40" s="2850">
        <f t="shared" si="21"/>
        <v>0.6</v>
      </c>
      <c r="AA40" s="2851">
        <f t="shared" si="22"/>
        <v>0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</row>
    <row r="41" spans="1:40" ht="12.75" customHeight="1" thickBot="1">
      <c r="A41" s="3134" t="s">
        <v>218</v>
      </c>
      <c r="B41" s="3135" t="s">
        <v>215</v>
      </c>
      <c r="C41" s="2256">
        <f t="shared" si="1"/>
        <v>2.0247664488766629E-4</v>
      </c>
      <c r="D41" s="2520">
        <v>4</v>
      </c>
      <c r="E41" s="2521">
        <v>1</v>
      </c>
      <c r="F41" s="2521">
        <v>8</v>
      </c>
      <c r="G41" s="2521">
        <v>50</v>
      </c>
      <c r="H41" s="2522">
        <v>8.6805555555555551E-4</v>
      </c>
      <c r="I41" s="2522"/>
      <c r="J41" s="2522">
        <v>1.3888888888888889E-3</v>
      </c>
      <c r="K41" s="2523" t="s">
        <v>1336</v>
      </c>
      <c r="L41" s="2524">
        <f>L40+N40</f>
        <v>0.35985974880942412</v>
      </c>
      <c r="M41" s="2525">
        <v>1</v>
      </c>
      <c r="N41" s="2522">
        <f>H41*F41*E41</f>
        <v>6.9444444444444441E-3</v>
      </c>
      <c r="O41" s="2526">
        <f t="shared" si="52"/>
        <v>4.0495328977533258E-4</v>
      </c>
      <c r="P41" s="2517">
        <f>O41*M41</f>
        <v>4.0495328977533258E-4</v>
      </c>
      <c r="Q41" s="2518">
        <v>166</v>
      </c>
      <c r="R41" s="2885">
        <f>E41*F41*G41</f>
        <v>400</v>
      </c>
      <c r="S41" s="2844">
        <f t="shared" si="14"/>
        <v>0.4</v>
      </c>
      <c r="T41" s="2845">
        <f t="shared" si="15"/>
        <v>1.2958505272810643E-2</v>
      </c>
      <c r="U41" s="374">
        <f t="shared" si="16"/>
        <v>0</v>
      </c>
      <c r="V41" s="2846">
        <f t="shared" si="17"/>
        <v>0</v>
      </c>
      <c r="W41" s="2847">
        <f t="shared" si="18"/>
        <v>0</v>
      </c>
      <c r="X41" s="2848">
        <f t="shared" si="19"/>
        <v>0.4</v>
      </c>
      <c r="Y41" s="2849">
        <f t="shared" si="20"/>
        <v>0</v>
      </c>
      <c r="Z41" s="2850">
        <f t="shared" si="21"/>
        <v>0</v>
      </c>
      <c r="AA41" s="2851">
        <f t="shared" si="22"/>
        <v>0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</row>
    <row r="42" spans="1:40" ht="12.75" customHeight="1" thickBot="1">
      <c r="A42" s="3134" t="s">
        <v>458</v>
      </c>
      <c r="B42" s="3135" t="s">
        <v>215</v>
      </c>
      <c r="C42" s="2256">
        <f t="shared" si="1"/>
        <v>2.1908757716049393E-4</v>
      </c>
      <c r="D42" s="2286">
        <v>2</v>
      </c>
      <c r="E42" s="2276">
        <v>1</v>
      </c>
      <c r="F42" s="2276">
        <v>1</v>
      </c>
      <c r="G42" s="2276">
        <v>400</v>
      </c>
      <c r="H42" s="2277"/>
      <c r="I42" s="2277">
        <v>5.7870370370370366E-5</v>
      </c>
      <c r="J42" s="2277">
        <v>2.3148148148148146E-4</v>
      </c>
      <c r="K42" s="2278" t="s">
        <v>882</v>
      </c>
      <c r="L42" s="2503">
        <f>L41+N41</f>
        <v>0.36680419325386854</v>
      </c>
      <c r="M42" s="2280">
        <v>1.25</v>
      </c>
      <c r="N42" s="2277">
        <f>P42*E42*F42+I42*E42*F42+J42*E42</f>
        <v>4.671103395061731E-3</v>
      </c>
      <c r="O42" s="2281">
        <f t="shared" si="52"/>
        <v>3.5054012345679029E-3</v>
      </c>
      <c r="P42" s="2281">
        <f>O42*M42</f>
        <v>4.3817515432098787E-3</v>
      </c>
      <c r="Q42" s="2282">
        <v>147</v>
      </c>
      <c r="R42" s="2283">
        <f>E42*F42*G42</f>
        <v>400</v>
      </c>
      <c r="S42" s="2844">
        <f t="shared" si="14"/>
        <v>0.4</v>
      </c>
      <c r="T42" s="2845">
        <f t="shared" si="15"/>
        <v>1.4021604938271611E-2</v>
      </c>
      <c r="U42" s="374">
        <f t="shared" si="16"/>
        <v>0</v>
      </c>
      <c r="V42" s="2846">
        <f t="shared" si="17"/>
        <v>0.4</v>
      </c>
      <c r="W42" s="2847">
        <f t="shared" si="18"/>
        <v>0</v>
      </c>
      <c r="X42" s="2848">
        <f t="shared" si="19"/>
        <v>0</v>
      </c>
      <c r="Y42" s="2849">
        <f t="shared" si="20"/>
        <v>0</v>
      </c>
      <c r="Z42" s="2850">
        <f t="shared" si="21"/>
        <v>0</v>
      </c>
      <c r="AA42" s="2851">
        <f t="shared" si="22"/>
        <v>0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</row>
    <row r="43" spans="1:40" ht="12.75" customHeight="1">
      <c r="A43" s="3134" t="s">
        <v>219</v>
      </c>
      <c r="B43" s="3135" t="s">
        <v>215</v>
      </c>
      <c r="C43" s="2256">
        <f t="shared" si="1"/>
        <v>1.7682291666666674E-4</v>
      </c>
      <c r="D43" s="2318">
        <v>7</v>
      </c>
      <c r="E43" s="2512">
        <v>1</v>
      </c>
      <c r="F43" s="2512">
        <v>5</v>
      </c>
      <c r="G43" s="2512">
        <v>15</v>
      </c>
      <c r="H43" s="2270"/>
      <c r="I43" s="2270">
        <v>1.1574074074074073E-4</v>
      </c>
      <c r="J43" s="2270">
        <v>2.3148148148148146E-4</v>
      </c>
      <c r="K43" s="2514" t="s">
        <v>410</v>
      </c>
      <c r="L43" s="2515">
        <f>L42+N42</f>
        <v>0.37147529664893025</v>
      </c>
      <c r="M43" s="2516">
        <v>1</v>
      </c>
      <c r="N43" s="2270">
        <f>P43*E43*F43+I43*E43*F43+J43*E43</f>
        <v>1.3406539351851852E-3</v>
      </c>
      <c r="O43" s="2271">
        <f t="shared" si="52"/>
        <v>1.0609375000000004E-4</v>
      </c>
      <c r="P43" s="2517">
        <f>O43*M43</f>
        <v>1.0609375000000004E-4</v>
      </c>
      <c r="Q43" s="2518" t="s">
        <v>316</v>
      </c>
      <c r="R43" s="2885">
        <f>E43*F43*G43</f>
        <v>75</v>
      </c>
      <c r="S43" s="2844">
        <f t="shared" si="14"/>
        <v>7.4999999999999997E-2</v>
      </c>
      <c r="T43" s="2845">
        <f t="shared" si="15"/>
        <v>2.1218750000000009E-3</v>
      </c>
      <c r="U43" s="374">
        <f t="shared" si="16"/>
        <v>0</v>
      </c>
      <c r="V43" s="2846">
        <f t="shared" si="17"/>
        <v>0</v>
      </c>
      <c r="W43" s="2847">
        <f t="shared" si="18"/>
        <v>0</v>
      </c>
      <c r="X43" s="2848">
        <f t="shared" si="19"/>
        <v>0</v>
      </c>
      <c r="Y43" s="2849">
        <f t="shared" si="20"/>
        <v>0</v>
      </c>
      <c r="Z43" s="2850">
        <f t="shared" si="21"/>
        <v>0</v>
      </c>
      <c r="AA43" s="2851">
        <f t="shared" si="22"/>
        <v>7.4999999999999997E-2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</row>
    <row r="44" spans="1:40" ht="12.75" customHeight="1" thickBot="1">
      <c r="A44" s="3134"/>
      <c r="B44" s="3138"/>
      <c r="C44" s="2256">
        <f t="shared" si="1"/>
        <v>0</v>
      </c>
      <c r="D44" s="2335"/>
      <c r="E44" s="2336"/>
      <c r="F44" s="2336"/>
      <c r="G44" s="2336"/>
      <c r="H44" s="2337"/>
      <c r="I44" s="2337"/>
      <c r="J44" s="2337"/>
      <c r="K44" s="2338"/>
      <c r="L44" s="2182">
        <f>L43+N43</f>
        <v>0.37281595058411543</v>
      </c>
      <c r="M44" s="2502"/>
      <c r="N44" s="2528">
        <f>SUM(N38:N43)</f>
        <v>4.9899283917448752E-2</v>
      </c>
      <c r="O44" s="2359"/>
      <c r="P44" s="2359"/>
      <c r="Q44" s="2341"/>
      <c r="R44" s="2529">
        <f>SUM(R38:R43)</f>
        <v>2875</v>
      </c>
      <c r="S44" s="2844">
        <f t="shared" si="14"/>
        <v>0</v>
      </c>
      <c r="T44" s="2845">
        <f t="shared" si="15"/>
        <v>0</v>
      </c>
      <c r="U44" s="374">
        <f t="shared" si="16"/>
        <v>0</v>
      </c>
      <c r="V44" s="2846">
        <f t="shared" si="17"/>
        <v>0</v>
      </c>
      <c r="W44" s="2847">
        <f t="shared" si="18"/>
        <v>0</v>
      </c>
      <c r="X44" s="2848">
        <f t="shared" si="19"/>
        <v>0</v>
      </c>
      <c r="Y44" s="2849">
        <f t="shared" si="20"/>
        <v>0</v>
      </c>
      <c r="Z44" s="2850">
        <f t="shared" si="21"/>
        <v>0</v>
      </c>
      <c r="AA44" s="2851">
        <f t="shared" si="22"/>
        <v>0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</row>
    <row r="45" spans="1:40" ht="12.75" customHeight="1" thickBot="1">
      <c r="A45" s="3134"/>
      <c r="B45" s="3135" t="s">
        <v>461</v>
      </c>
      <c r="C45" s="2256">
        <f t="shared" si="1"/>
        <v>2.1908757716049393E-4</v>
      </c>
      <c r="D45" s="2286">
        <v>2</v>
      </c>
      <c r="E45" s="2276">
        <v>1</v>
      </c>
      <c r="F45" s="2276">
        <v>2</v>
      </c>
      <c r="G45" s="2276">
        <v>350</v>
      </c>
      <c r="H45" s="2277"/>
      <c r="I45" s="2277">
        <v>1.7361111111111112E-4</v>
      </c>
      <c r="J45" s="2277">
        <v>1.3888888888888889E-3</v>
      </c>
      <c r="K45" s="2278" t="s">
        <v>1515</v>
      </c>
      <c r="L45" s="2503">
        <v>0.80208333333333337</v>
      </c>
      <c r="M45" s="2280">
        <v>1.1000000000000001</v>
      </c>
      <c r="N45" s="2277">
        <f>P45*E45*F45+I45*E45*F45+J45*E45</f>
        <v>8.4840084876543244E-3</v>
      </c>
      <c r="O45" s="2281">
        <f t="shared" ref="O45:O51" si="61">C45*(G45/25)</f>
        <v>3.0672260802469152E-3</v>
      </c>
      <c r="P45" s="2281">
        <f>O45*M45</f>
        <v>3.3739486882716071E-3</v>
      </c>
      <c r="Q45" s="2282">
        <v>164</v>
      </c>
      <c r="R45" s="2283">
        <f>E45*F45*G45</f>
        <v>700</v>
      </c>
      <c r="S45" s="2844">
        <f t="shared" si="14"/>
        <v>0.7</v>
      </c>
      <c r="T45" s="2845">
        <f t="shared" si="15"/>
        <v>2.4537808641975321E-2</v>
      </c>
      <c r="U45" s="374">
        <f t="shared" si="16"/>
        <v>0</v>
      </c>
      <c r="V45" s="2846">
        <f t="shared" si="17"/>
        <v>0.7</v>
      </c>
      <c r="W45" s="2847">
        <f t="shared" si="18"/>
        <v>0</v>
      </c>
      <c r="X45" s="2848">
        <f t="shared" si="19"/>
        <v>0</v>
      </c>
      <c r="Y45" s="2849">
        <f t="shared" si="20"/>
        <v>0</v>
      </c>
      <c r="Z45" s="2850">
        <f t="shared" si="21"/>
        <v>0</v>
      </c>
      <c r="AA45" s="2851">
        <f t="shared" si="22"/>
        <v>0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</row>
    <row r="46" spans="1:40" ht="12.75" customHeight="1" thickBot="1">
      <c r="A46" s="3134" t="s">
        <v>217</v>
      </c>
      <c r="B46" s="3135" t="s">
        <v>461</v>
      </c>
      <c r="C46" s="2256">
        <f t="shared" si="1"/>
        <v>2.1222190799396687E-4</v>
      </c>
      <c r="D46" s="2309">
        <v>3</v>
      </c>
      <c r="E46" s="2257">
        <v>1</v>
      </c>
      <c r="F46" s="2257">
        <v>14</v>
      </c>
      <c r="G46" s="2257">
        <v>50</v>
      </c>
      <c r="H46" s="2258"/>
      <c r="I46" s="2258">
        <v>1.7361111111111112E-4</v>
      </c>
      <c r="J46" s="2258">
        <v>1.3888888888888889E-3</v>
      </c>
      <c r="K46" s="2355" t="s">
        <v>1334</v>
      </c>
      <c r="L46" s="2504">
        <f t="shared" ref="L46:L48" si="62">L45+N45</f>
        <v>0.81056734182098766</v>
      </c>
      <c r="M46" s="2326">
        <v>1.1000000000000001</v>
      </c>
      <c r="N46" s="2258">
        <f t="shared" ref="N46:N48" si="63">P46*E46*F46+I46*E46*F46+J46*E46</f>
        <v>1.0355879210658624E-2</v>
      </c>
      <c r="O46" s="2262">
        <f t="shared" si="61"/>
        <v>4.2444381598793373E-4</v>
      </c>
      <c r="P46" s="2262">
        <f t="shared" ref="P46:P48" si="64">O46*M46</f>
        <v>4.6688819758672714E-4</v>
      </c>
      <c r="Q46" s="2274">
        <v>164</v>
      </c>
      <c r="R46" s="2257">
        <f t="shared" ref="R46:R48" si="65">E46*F46*G46</f>
        <v>700</v>
      </c>
      <c r="S46" s="2844">
        <f t="shared" si="14"/>
        <v>0.7</v>
      </c>
      <c r="T46" s="2845">
        <f t="shared" si="15"/>
        <v>2.3768853695324291E-2</v>
      </c>
      <c r="U46" s="374">
        <f t="shared" si="16"/>
        <v>0</v>
      </c>
      <c r="V46" s="2846">
        <f t="shared" si="17"/>
        <v>0</v>
      </c>
      <c r="W46" s="2847">
        <f t="shared" si="18"/>
        <v>0.7</v>
      </c>
      <c r="X46" s="2848">
        <f t="shared" si="19"/>
        <v>0</v>
      </c>
      <c r="Y46" s="2849">
        <f t="shared" si="20"/>
        <v>0</v>
      </c>
      <c r="Z46" s="2850">
        <f t="shared" si="21"/>
        <v>0</v>
      </c>
      <c r="AA46" s="2851">
        <f t="shared" si="22"/>
        <v>0</v>
      </c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</row>
    <row r="47" spans="1:40" ht="12.75" customHeight="1" thickBot="1">
      <c r="A47" s="3134" t="s">
        <v>459</v>
      </c>
      <c r="B47" s="3135" t="s">
        <v>461</v>
      </c>
      <c r="C47" s="2256">
        <f t="shared" ref="C47" si="66">IF(D47=1,U$5,IF(D47=2,V$5,IF(D47=3,W$5,IF(D47=4,X$5,IF(D47=5,Y$5,IF(D47=6,Z$5,IF(D47=7,AA$5,0)))))))</f>
        <v>1.8229166666666673E-4</v>
      </c>
      <c r="D47" s="4924">
        <v>6</v>
      </c>
      <c r="E47" s="4683">
        <v>1</v>
      </c>
      <c r="F47" s="4683">
        <v>8</v>
      </c>
      <c r="G47" s="4683">
        <v>75</v>
      </c>
      <c r="H47" s="4683" t="s">
        <v>2045</v>
      </c>
      <c r="I47" s="4684">
        <v>1.3888888888888889E-3</v>
      </c>
      <c r="J47" s="4684">
        <v>2.0833333333333333E-3</v>
      </c>
      <c r="K47" s="4561" t="s">
        <v>2046</v>
      </c>
      <c r="L47" s="4684">
        <f>L46+N46</f>
        <v>0.82092322103164628</v>
      </c>
      <c r="M47" s="4685">
        <v>1.1000000000000001</v>
      </c>
      <c r="N47" s="4684">
        <f t="shared" si="63"/>
        <v>1.8103194444444446E-2</v>
      </c>
      <c r="O47" s="4586">
        <f t="shared" ref="O47" si="67">C47*(G47/25)*1.02</f>
        <v>5.5781250000000015E-4</v>
      </c>
      <c r="P47" s="4686">
        <f t="shared" si="64"/>
        <v>6.1359375000000021E-4</v>
      </c>
      <c r="Q47" s="4687">
        <v>177</v>
      </c>
      <c r="R47" s="4683">
        <f t="shared" si="65"/>
        <v>600</v>
      </c>
      <c r="S47" s="2844">
        <f t="shared" si="14"/>
        <v>0.6</v>
      </c>
      <c r="T47" s="2845">
        <f t="shared" si="15"/>
        <v>1.7850000000000005E-2</v>
      </c>
      <c r="U47" s="374">
        <f t="shared" si="16"/>
        <v>0</v>
      </c>
      <c r="V47" s="2846">
        <f t="shared" si="17"/>
        <v>0</v>
      </c>
      <c r="W47" s="2847">
        <f t="shared" si="18"/>
        <v>0</v>
      </c>
      <c r="X47" s="2848">
        <f t="shared" si="19"/>
        <v>0</v>
      </c>
      <c r="Y47" s="2849">
        <f t="shared" si="20"/>
        <v>0</v>
      </c>
      <c r="Z47" s="2850">
        <f t="shared" si="21"/>
        <v>0.6</v>
      </c>
      <c r="AA47" s="2851">
        <f t="shared" si="22"/>
        <v>0</v>
      </c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</row>
    <row r="48" spans="1:40" ht="12.75" customHeight="1" thickBot="1">
      <c r="A48" s="3134" t="s">
        <v>458</v>
      </c>
      <c r="B48" s="3135" t="s">
        <v>461</v>
      </c>
      <c r="C48" s="2256">
        <f t="shared" si="1"/>
        <v>2.1222190799396687E-4</v>
      </c>
      <c r="D48" s="2309">
        <v>3</v>
      </c>
      <c r="E48" s="2257">
        <v>1</v>
      </c>
      <c r="F48" s="2257">
        <v>2</v>
      </c>
      <c r="G48" s="2257">
        <v>300</v>
      </c>
      <c r="H48" s="2325" t="s">
        <v>1613</v>
      </c>
      <c r="I48" s="2258">
        <v>2.8935185185185189E-4</v>
      </c>
      <c r="J48" s="2258">
        <v>1.3888888888888889E-3</v>
      </c>
      <c r="K48" s="2355" t="s">
        <v>1517</v>
      </c>
      <c r="L48" s="2504">
        <f t="shared" si="62"/>
        <v>0.83902641547609069</v>
      </c>
      <c r="M48" s="2326">
        <v>1.1000000000000001</v>
      </c>
      <c r="N48" s="2258">
        <f t="shared" si="63"/>
        <v>7.5702509636333187E-3</v>
      </c>
      <c r="O48" s="2262">
        <f t="shared" si="61"/>
        <v>2.5466628959276024E-3</v>
      </c>
      <c r="P48" s="2262">
        <f t="shared" si="64"/>
        <v>2.8013291855203629E-3</v>
      </c>
      <c r="Q48" s="2274">
        <v>164</v>
      </c>
      <c r="R48" s="2257">
        <f t="shared" si="65"/>
        <v>600</v>
      </c>
      <c r="S48" s="2844">
        <f t="shared" si="14"/>
        <v>0.6</v>
      </c>
      <c r="T48" s="2845">
        <f t="shared" si="15"/>
        <v>2.0373303167420819E-2</v>
      </c>
      <c r="U48" s="374">
        <f t="shared" si="16"/>
        <v>0</v>
      </c>
      <c r="V48" s="2846">
        <f t="shared" si="17"/>
        <v>0</v>
      </c>
      <c r="W48" s="2847">
        <f t="shared" si="18"/>
        <v>0.6</v>
      </c>
      <c r="X48" s="2848">
        <f t="shared" si="19"/>
        <v>0</v>
      </c>
      <c r="Y48" s="2849">
        <f t="shared" si="20"/>
        <v>0</v>
      </c>
      <c r="Z48" s="2850">
        <f t="shared" si="21"/>
        <v>0</v>
      </c>
      <c r="AA48" s="2851">
        <f t="shared" si="22"/>
        <v>0</v>
      </c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</row>
    <row r="49" spans="1:39" ht="12.75" customHeight="1" thickBot="1">
      <c r="A49" s="3134" t="s">
        <v>218</v>
      </c>
      <c r="B49" s="3135" t="s">
        <v>461</v>
      </c>
      <c r="C49" s="2256">
        <f t="shared" si="1"/>
        <v>2.0247664488766629E-4</v>
      </c>
      <c r="D49" s="2520">
        <v>4</v>
      </c>
      <c r="E49" s="2521">
        <v>1</v>
      </c>
      <c r="F49" s="2521">
        <v>8</v>
      </c>
      <c r="G49" s="2521">
        <v>50</v>
      </c>
      <c r="H49" s="2522">
        <v>8.6805555555555551E-4</v>
      </c>
      <c r="I49" s="2522"/>
      <c r="J49" s="2522">
        <v>1.3888888888888889E-3</v>
      </c>
      <c r="K49" s="2523" t="s">
        <v>1336</v>
      </c>
      <c r="L49" s="2524">
        <f>L48+N48</f>
        <v>0.84659666643972398</v>
      </c>
      <c r="M49" s="2525">
        <v>1</v>
      </c>
      <c r="N49" s="2522">
        <f>H49*F49*E49</f>
        <v>6.9444444444444441E-3</v>
      </c>
      <c r="O49" s="2526">
        <f t="shared" si="61"/>
        <v>4.0495328977533258E-4</v>
      </c>
      <c r="P49" s="2517">
        <f>O49*M49</f>
        <v>4.0495328977533258E-4</v>
      </c>
      <c r="Q49" s="2518">
        <v>166</v>
      </c>
      <c r="R49" s="2885">
        <f>E49*F49*G49</f>
        <v>400</v>
      </c>
      <c r="S49" s="2844">
        <f t="shared" si="14"/>
        <v>0.4</v>
      </c>
      <c r="T49" s="2845">
        <f t="shared" si="15"/>
        <v>1.2958505272810643E-2</v>
      </c>
      <c r="U49" s="374">
        <f t="shared" si="16"/>
        <v>0</v>
      </c>
      <c r="V49" s="2846">
        <f t="shared" si="17"/>
        <v>0</v>
      </c>
      <c r="W49" s="2847">
        <f t="shared" si="18"/>
        <v>0</v>
      </c>
      <c r="X49" s="2848">
        <f t="shared" si="19"/>
        <v>0.4</v>
      </c>
      <c r="Y49" s="2849">
        <f t="shared" si="20"/>
        <v>0</v>
      </c>
      <c r="Z49" s="2850">
        <f t="shared" si="21"/>
        <v>0</v>
      </c>
      <c r="AA49" s="2851">
        <f t="shared" si="22"/>
        <v>0</v>
      </c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</row>
    <row r="50" spans="1:39" ht="12.75" customHeight="1" thickBot="1">
      <c r="A50" s="3134" t="s">
        <v>458</v>
      </c>
      <c r="B50" s="3135" t="s">
        <v>461</v>
      </c>
      <c r="C50" s="2256">
        <f t="shared" si="1"/>
        <v>2.1908757716049393E-4</v>
      </c>
      <c r="D50" s="2286">
        <v>2</v>
      </c>
      <c r="E50" s="2276">
        <v>1</v>
      </c>
      <c r="F50" s="2276">
        <v>1</v>
      </c>
      <c r="G50" s="2276">
        <v>400</v>
      </c>
      <c r="H50" s="2277"/>
      <c r="I50" s="2277">
        <v>5.7870370370370366E-5</v>
      </c>
      <c r="J50" s="2277">
        <v>2.3148148148148146E-4</v>
      </c>
      <c r="K50" s="2278" t="s">
        <v>882</v>
      </c>
      <c r="L50" s="2503">
        <f>L49+N49</f>
        <v>0.8535411108841684</v>
      </c>
      <c r="M50" s="2280">
        <v>1.25</v>
      </c>
      <c r="N50" s="2277">
        <f>P50*E50*F50+I50*E50*F50+J50*E50</f>
        <v>4.671103395061731E-3</v>
      </c>
      <c r="O50" s="2281">
        <f t="shared" si="61"/>
        <v>3.5054012345679029E-3</v>
      </c>
      <c r="P50" s="2281">
        <f>O50*M50</f>
        <v>4.3817515432098787E-3</v>
      </c>
      <c r="Q50" s="2282">
        <v>147</v>
      </c>
      <c r="R50" s="2283">
        <f>E50*F50*G50</f>
        <v>400</v>
      </c>
      <c r="S50" s="2844">
        <f t="shared" si="14"/>
        <v>0.4</v>
      </c>
      <c r="T50" s="2845">
        <f t="shared" si="15"/>
        <v>1.4021604938271611E-2</v>
      </c>
      <c r="U50" s="374">
        <f t="shared" si="16"/>
        <v>0</v>
      </c>
      <c r="V50" s="2846">
        <f t="shared" si="17"/>
        <v>0.4</v>
      </c>
      <c r="W50" s="2847">
        <f t="shared" si="18"/>
        <v>0</v>
      </c>
      <c r="X50" s="2848">
        <f t="shared" si="19"/>
        <v>0</v>
      </c>
      <c r="Y50" s="2849">
        <f t="shared" si="20"/>
        <v>0</v>
      </c>
      <c r="Z50" s="2850">
        <f t="shared" si="21"/>
        <v>0</v>
      </c>
      <c r="AA50" s="2851">
        <f t="shared" si="22"/>
        <v>0</v>
      </c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</row>
    <row r="51" spans="1:39" ht="12.75" customHeight="1">
      <c r="A51" s="3134" t="s">
        <v>219</v>
      </c>
      <c r="B51" s="3135" t="s">
        <v>461</v>
      </c>
      <c r="C51" s="2256">
        <f t="shared" si="1"/>
        <v>1.7682291666666674E-4</v>
      </c>
      <c r="D51" s="2318">
        <v>7</v>
      </c>
      <c r="E51" s="2512">
        <v>1</v>
      </c>
      <c r="F51" s="2512">
        <v>5</v>
      </c>
      <c r="G51" s="2512">
        <v>15</v>
      </c>
      <c r="H51" s="2270"/>
      <c r="I51" s="2270">
        <v>1.1574074074074073E-4</v>
      </c>
      <c r="J51" s="2270">
        <v>2.3148148148148146E-4</v>
      </c>
      <c r="K51" s="2514" t="s">
        <v>410</v>
      </c>
      <c r="L51" s="2515">
        <f>L50+N50</f>
        <v>0.85821221427923011</v>
      </c>
      <c r="M51" s="2516">
        <v>1</v>
      </c>
      <c r="N51" s="2270">
        <f>P51*E51*F51+I51*E51*F51+J51*E51</f>
        <v>1.3406539351851852E-3</v>
      </c>
      <c r="O51" s="2271">
        <f t="shared" si="61"/>
        <v>1.0609375000000004E-4</v>
      </c>
      <c r="P51" s="2517">
        <f>O51*M51</f>
        <v>1.0609375000000004E-4</v>
      </c>
      <c r="Q51" s="2518" t="s">
        <v>316</v>
      </c>
      <c r="R51" s="2885">
        <f>E51*F51*G51</f>
        <v>75</v>
      </c>
      <c r="S51" s="2844">
        <f t="shared" si="14"/>
        <v>7.4999999999999997E-2</v>
      </c>
      <c r="T51" s="2845">
        <f t="shared" si="15"/>
        <v>2.1218750000000009E-3</v>
      </c>
      <c r="U51" s="374">
        <f t="shared" si="16"/>
        <v>0</v>
      </c>
      <c r="V51" s="2846">
        <f t="shared" si="17"/>
        <v>0</v>
      </c>
      <c r="W51" s="2847">
        <f t="shared" si="18"/>
        <v>0</v>
      </c>
      <c r="X51" s="2848">
        <f t="shared" si="19"/>
        <v>0</v>
      </c>
      <c r="Y51" s="2849">
        <f t="shared" si="20"/>
        <v>0</v>
      </c>
      <c r="Z51" s="2850">
        <f t="shared" si="21"/>
        <v>0</v>
      </c>
      <c r="AA51" s="2851">
        <f t="shared" si="22"/>
        <v>7.4999999999999997E-2</v>
      </c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</row>
    <row r="52" spans="1:39" ht="12.75" customHeight="1" thickBot="1">
      <c r="A52" s="2183"/>
      <c r="B52" s="2184"/>
      <c r="C52" s="2256">
        <f t="shared" si="1"/>
        <v>0</v>
      </c>
      <c r="D52" s="2335"/>
      <c r="E52" s="2336"/>
      <c r="F52" s="2336"/>
      <c r="G52" s="2336"/>
      <c r="H52" s="2337"/>
      <c r="I52" s="2337"/>
      <c r="J52" s="2337"/>
      <c r="K52" s="2338"/>
      <c r="L52" s="2182">
        <f>L51+N51</f>
        <v>0.85955286821441534</v>
      </c>
      <c r="M52" s="2502"/>
      <c r="N52" s="2528">
        <f>SUM(N45:N51)</f>
        <v>5.7469534881082064E-2</v>
      </c>
      <c r="O52" s="2359"/>
      <c r="P52" s="2359"/>
      <c r="Q52" s="2341"/>
      <c r="R52" s="2529">
        <f>SUM(R45:R51)</f>
        <v>3475</v>
      </c>
      <c r="S52" s="2844">
        <f t="shared" si="14"/>
        <v>0</v>
      </c>
      <c r="T52" s="2845">
        <f t="shared" si="15"/>
        <v>0</v>
      </c>
      <c r="U52" s="374">
        <f t="shared" si="16"/>
        <v>0</v>
      </c>
      <c r="V52" s="2846">
        <f t="shared" si="17"/>
        <v>0</v>
      </c>
      <c r="W52" s="2847">
        <f t="shared" si="18"/>
        <v>0</v>
      </c>
      <c r="X52" s="2848">
        <f t="shared" si="19"/>
        <v>0</v>
      </c>
      <c r="Y52" s="2849">
        <f t="shared" si="20"/>
        <v>0</v>
      </c>
      <c r="Z52" s="2850">
        <f t="shared" si="21"/>
        <v>0</v>
      </c>
      <c r="AA52" s="2851">
        <f t="shared" si="22"/>
        <v>0</v>
      </c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</row>
    <row r="53" spans="1:39" ht="12.75" customHeight="1" thickBot="1">
      <c r="A53" s="3109" t="s">
        <v>218</v>
      </c>
      <c r="B53" s="3110" t="s">
        <v>215</v>
      </c>
      <c r="C53" s="2256">
        <f t="shared" si="1"/>
        <v>2.1908757716049393E-4</v>
      </c>
      <c r="D53" s="2286">
        <v>2</v>
      </c>
      <c r="E53" s="2276">
        <v>1</v>
      </c>
      <c r="F53" s="2276">
        <v>2</v>
      </c>
      <c r="G53" s="2276">
        <v>350</v>
      </c>
      <c r="H53" s="2277"/>
      <c r="I53" s="2277">
        <v>1.7361111111111112E-4</v>
      </c>
      <c r="J53" s="2277">
        <v>1.3888888888888889E-3</v>
      </c>
      <c r="K53" s="2278" t="s">
        <v>1515</v>
      </c>
      <c r="L53" s="2503">
        <v>0.80208333333333337</v>
      </c>
      <c r="M53" s="2280">
        <v>1.1000000000000001</v>
      </c>
      <c r="N53" s="2277">
        <f>P53*E53*F53+I53*E53*F53+J53*E53</f>
        <v>8.4840084876543244E-3</v>
      </c>
      <c r="O53" s="2281">
        <f t="shared" ref="O53:O59" si="68">C53*(G53/25)</f>
        <v>3.0672260802469152E-3</v>
      </c>
      <c r="P53" s="2281">
        <f>O53*M53</f>
        <v>3.3739486882716071E-3</v>
      </c>
      <c r="Q53" s="2282">
        <v>164</v>
      </c>
      <c r="R53" s="2283">
        <f>E53*F53*G53</f>
        <v>700</v>
      </c>
      <c r="S53" s="2844">
        <f t="shared" si="14"/>
        <v>0.7</v>
      </c>
      <c r="T53" s="2845">
        <f t="shared" si="15"/>
        <v>2.4537808641975321E-2</v>
      </c>
      <c r="U53" s="374">
        <f t="shared" si="16"/>
        <v>0</v>
      </c>
      <c r="V53" s="2846">
        <f t="shared" si="17"/>
        <v>0.7</v>
      </c>
      <c r="W53" s="2847">
        <f t="shared" si="18"/>
        <v>0</v>
      </c>
      <c r="X53" s="2848">
        <f t="shared" si="19"/>
        <v>0</v>
      </c>
      <c r="Y53" s="2849">
        <f t="shared" si="20"/>
        <v>0</v>
      </c>
      <c r="Z53" s="2850">
        <f t="shared" si="21"/>
        <v>0</v>
      </c>
      <c r="AA53" s="2851">
        <f t="shared" si="22"/>
        <v>0</v>
      </c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</row>
    <row r="54" spans="1:39" ht="12.75" customHeight="1" thickBot="1">
      <c r="A54" s="3109" t="s">
        <v>139</v>
      </c>
      <c r="B54" s="3110" t="s">
        <v>215</v>
      </c>
      <c r="C54" s="2256">
        <f t="shared" si="1"/>
        <v>2.1222190799396687E-4</v>
      </c>
      <c r="D54" s="2309">
        <v>3</v>
      </c>
      <c r="E54" s="2257">
        <v>1</v>
      </c>
      <c r="F54" s="2257">
        <v>14</v>
      </c>
      <c r="G54" s="2257">
        <v>50</v>
      </c>
      <c r="H54" s="2258"/>
      <c r="I54" s="2258">
        <v>1.7361111111111112E-4</v>
      </c>
      <c r="J54" s="2258">
        <v>1.3888888888888889E-3</v>
      </c>
      <c r="K54" s="2355" t="s">
        <v>1334</v>
      </c>
      <c r="L54" s="2504">
        <f t="shared" ref="L54:L56" si="69">L53+N53</f>
        <v>0.81056734182098766</v>
      </c>
      <c r="M54" s="2326">
        <v>1.1000000000000001</v>
      </c>
      <c r="N54" s="2258">
        <f t="shared" ref="N54:N56" si="70">P54*E54*F54+I54*E54*F54+J54*E54</f>
        <v>1.0355879210658624E-2</v>
      </c>
      <c r="O54" s="2262">
        <f t="shared" si="68"/>
        <v>4.2444381598793373E-4</v>
      </c>
      <c r="P54" s="2262">
        <f t="shared" ref="P54:P56" si="71">O54*M54</f>
        <v>4.6688819758672714E-4</v>
      </c>
      <c r="Q54" s="2274">
        <v>164</v>
      </c>
      <c r="R54" s="2257">
        <f t="shared" ref="R54:R56" si="72">E54*F54*G54</f>
        <v>700</v>
      </c>
      <c r="S54" s="2844">
        <f t="shared" si="14"/>
        <v>0.7</v>
      </c>
      <c r="T54" s="2845">
        <f t="shared" si="15"/>
        <v>2.3768853695324291E-2</v>
      </c>
      <c r="U54" s="374">
        <f t="shared" si="16"/>
        <v>0</v>
      </c>
      <c r="V54" s="2846">
        <f t="shared" si="17"/>
        <v>0</v>
      </c>
      <c r="W54" s="2847">
        <f t="shared" si="18"/>
        <v>0.7</v>
      </c>
      <c r="X54" s="2848">
        <f t="shared" si="19"/>
        <v>0</v>
      </c>
      <c r="Y54" s="2849">
        <f t="shared" si="20"/>
        <v>0</v>
      </c>
      <c r="Z54" s="2850">
        <f t="shared" si="21"/>
        <v>0</v>
      </c>
      <c r="AA54" s="2851">
        <f t="shared" si="22"/>
        <v>0</v>
      </c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</row>
    <row r="55" spans="1:39" ht="12.75" customHeight="1" thickBot="1">
      <c r="A55" s="3109" t="s">
        <v>458</v>
      </c>
      <c r="B55" s="3110" t="s">
        <v>215</v>
      </c>
      <c r="C55" s="2256">
        <f t="shared" ref="C55" si="73">IF(D55=1,U$5,IF(D55=2,V$5,IF(D55=3,W$5,IF(D55=4,X$5,IF(D55=5,Y$5,IF(D55=6,Z$5,IF(D55=7,AA$5,0)))))))</f>
        <v>1.8229166666666673E-4</v>
      </c>
      <c r="D55" s="4924">
        <v>6</v>
      </c>
      <c r="E55" s="4683">
        <v>1</v>
      </c>
      <c r="F55" s="4683">
        <v>8</v>
      </c>
      <c r="G55" s="4683">
        <v>75</v>
      </c>
      <c r="H55" s="4683" t="s">
        <v>2045</v>
      </c>
      <c r="I55" s="4684">
        <v>1.3888888888888889E-3</v>
      </c>
      <c r="J55" s="4684">
        <v>2.0833333333333333E-3</v>
      </c>
      <c r="K55" s="4561" t="s">
        <v>2046</v>
      </c>
      <c r="L55" s="4684">
        <f>L54+N54</f>
        <v>0.82092322103164628</v>
      </c>
      <c r="M55" s="4685">
        <v>1.1000000000000001</v>
      </c>
      <c r="N55" s="4684">
        <f t="shared" si="70"/>
        <v>1.8103194444444446E-2</v>
      </c>
      <c r="O55" s="4586">
        <f t="shared" ref="O55" si="74">C55*(G55/25)*1.02</f>
        <v>5.5781250000000015E-4</v>
      </c>
      <c r="P55" s="4686">
        <f t="shared" si="71"/>
        <v>6.1359375000000021E-4</v>
      </c>
      <c r="Q55" s="4687">
        <v>177</v>
      </c>
      <c r="R55" s="4683">
        <f t="shared" si="72"/>
        <v>600</v>
      </c>
      <c r="S55" s="2844">
        <f t="shared" si="14"/>
        <v>0.6</v>
      </c>
      <c r="T55" s="2845">
        <f t="shared" si="15"/>
        <v>1.7850000000000005E-2</v>
      </c>
      <c r="U55" s="374">
        <f t="shared" si="16"/>
        <v>0</v>
      </c>
      <c r="V55" s="2846">
        <f t="shared" si="17"/>
        <v>0</v>
      </c>
      <c r="W55" s="2847">
        <f t="shared" si="18"/>
        <v>0</v>
      </c>
      <c r="X55" s="2848">
        <f t="shared" si="19"/>
        <v>0</v>
      </c>
      <c r="Y55" s="2849">
        <f t="shared" si="20"/>
        <v>0</v>
      </c>
      <c r="Z55" s="2850">
        <f t="shared" si="21"/>
        <v>0.6</v>
      </c>
      <c r="AA55" s="2851">
        <f t="shared" si="22"/>
        <v>0</v>
      </c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</row>
    <row r="56" spans="1:39" ht="12.75" customHeight="1" thickBot="1">
      <c r="A56" s="3109" t="s">
        <v>462</v>
      </c>
      <c r="B56" s="3110" t="s">
        <v>215</v>
      </c>
      <c r="C56" s="2256">
        <f t="shared" si="1"/>
        <v>2.1222190799396687E-4</v>
      </c>
      <c r="D56" s="2309">
        <v>3</v>
      </c>
      <c r="E56" s="2257">
        <v>1</v>
      </c>
      <c r="F56" s="2257">
        <v>2</v>
      </c>
      <c r="G56" s="2257">
        <v>300</v>
      </c>
      <c r="H56" s="2325" t="s">
        <v>1613</v>
      </c>
      <c r="I56" s="2258">
        <v>2.8935185185185189E-4</v>
      </c>
      <c r="J56" s="2258">
        <v>1.3888888888888889E-3</v>
      </c>
      <c r="K56" s="2355" t="s">
        <v>1517</v>
      </c>
      <c r="L56" s="2504">
        <f t="shared" si="69"/>
        <v>0.83902641547609069</v>
      </c>
      <c r="M56" s="2326">
        <v>1.1000000000000001</v>
      </c>
      <c r="N56" s="2258">
        <f t="shared" si="70"/>
        <v>7.5702509636333187E-3</v>
      </c>
      <c r="O56" s="2262">
        <f t="shared" si="68"/>
        <v>2.5466628959276024E-3</v>
      </c>
      <c r="P56" s="2262">
        <f t="shared" si="71"/>
        <v>2.8013291855203629E-3</v>
      </c>
      <c r="Q56" s="2274">
        <v>164</v>
      </c>
      <c r="R56" s="2257">
        <f t="shared" si="72"/>
        <v>600</v>
      </c>
      <c r="S56" s="2844">
        <f t="shared" si="14"/>
        <v>0.6</v>
      </c>
      <c r="T56" s="2845">
        <f t="shared" si="15"/>
        <v>2.0373303167420819E-2</v>
      </c>
      <c r="U56" s="374">
        <f t="shared" si="16"/>
        <v>0</v>
      </c>
      <c r="V56" s="2846">
        <f t="shared" si="17"/>
        <v>0</v>
      </c>
      <c r="W56" s="2847">
        <f t="shared" si="18"/>
        <v>0.6</v>
      </c>
      <c r="X56" s="2848">
        <f t="shared" si="19"/>
        <v>0</v>
      </c>
      <c r="Y56" s="2849">
        <f t="shared" si="20"/>
        <v>0</v>
      </c>
      <c r="Z56" s="2850">
        <f t="shared" si="21"/>
        <v>0</v>
      </c>
      <c r="AA56" s="2851">
        <f t="shared" si="22"/>
        <v>0</v>
      </c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</row>
    <row r="57" spans="1:39" ht="12.75" customHeight="1" thickBot="1">
      <c r="A57" s="3109" t="s">
        <v>460</v>
      </c>
      <c r="B57" s="3110" t="s">
        <v>215</v>
      </c>
      <c r="C57" s="2256">
        <f t="shared" si="1"/>
        <v>2.0247664488766629E-4</v>
      </c>
      <c r="D57" s="2520">
        <v>4</v>
      </c>
      <c r="E57" s="2521">
        <v>1</v>
      </c>
      <c r="F57" s="2521">
        <v>8</v>
      </c>
      <c r="G57" s="2521">
        <v>50</v>
      </c>
      <c r="H57" s="2522">
        <v>8.6805555555555551E-4</v>
      </c>
      <c r="I57" s="2522"/>
      <c r="J57" s="2522">
        <v>1.3888888888888889E-3</v>
      </c>
      <c r="K57" s="2523" t="s">
        <v>1336</v>
      </c>
      <c r="L57" s="2524">
        <f t="shared" ref="L57:L64" si="75">L56+N56</f>
        <v>0.84659666643972398</v>
      </c>
      <c r="M57" s="2525">
        <v>1</v>
      </c>
      <c r="N57" s="2522">
        <f>H57*F57*E57</f>
        <v>6.9444444444444441E-3</v>
      </c>
      <c r="O57" s="2526">
        <f t="shared" si="68"/>
        <v>4.0495328977533258E-4</v>
      </c>
      <c r="P57" s="2517">
        <f>O57*M57</f>
        <v>4.0495328977533258E-4</v>
      </c>
      <c r="Q57" s="2518">
        <v>166</v>
      </c>
      <c r="R57" s="2885">
        <f>E57*F57*G57</f>
        <v>400</v>
      </c>
      <c r="S57" s="2844">
        <f t="shared" si="14"/>
        <v>0.4</v>
      </c>
      <c r="T57" s="2845">
        <f t="shared" si="15"/>
        <v>1.2958505272810643E-2</v>
      </c>
      <c r="U57" s="374">
        <f t="shared" si="16"/>
        <v>0</v>
      </c>
      <c r="V57" s="2846">
        <f t="shared" si="17"/>
        <v>0</v>
      </c>
      <c r="W57" s="2847">
        <f t="shared" si="18"/>
        <v>0</v>
      </c>
      <c r="X57" s="2848">
        <f t="shared" si="19"/>
        <v>0.4</v>
      </c>
      <c r="Y57" s="2849">
        <f t="shared" si="20"/>
        <v>0</v>
      </c>
      <c r="Z57" s="2850">
        <f t="shared" si="21"/>
        <v>0</v>
      </c>
      <c r="AA57" s="2851">
        <f t="shared" si="22"/>
        <v>0</v>
      </c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</row>
    <row r="58" spans="1:39" ht="12.75" customHeight="1" thickBot="1">
      <c r="A58" s="3109" t="s">
        <v>458</v>
      </c>
      <c r="B58" s="3110" t="s">
        <v>215</v>
      </c>
      <c r="C58" s="2256">
        <f t="shared" si="1"/>
        <v>2.1908757716049393E-4</v>
      </c>
      <c r="D58" s="2286">
        <v>2</v>
      </c>
      <c r="E58" s="2276">
        <v>1</v>
      </c>
      <c r="F58" s="2276">
        <v>1</v>
      </c>
      <c r="G58" s="2276">
        <v>400</v>
      </c>
      <c r="H58" s="2277"/>
      <c r="I58" s="2277">
        <v>5.7870370370370366E-5</v>
      </c>
      <c r="J58" s="2277">
        <v>2.3148148148148146E-4</v>
      </c>
      <c r="K58" s="2278" t="s">
        <v>882</v>
      </c>
      <c r="L58" s="2503">
        <f t="shared" si="75"/>
        <v>0.8535411108841684</v>
      </c>
      <c r="M58" s="2280">
        <v>1.25</v>
      </c>
      <c r="N58" s="2277">
        <f>P58*E58*F58+I58*E58*F58+J58*E58</f>
        <v>4.671103395061731E-3</v>
      </c>
      <c r="O58" s="2281">
        <f t="shared" si="68"/>
        <v>3.5054012345679029E-3</v>
      </c>
      <c r="P58" s="2281">
        <f>O58*M58</f>
        <v>4.3817515432098787E-3</v>
      </c>
      <c r="Q58" s="2282">
        <v>147</v>
      </c>
      <c r="R58" s="2283">
        <f>E58*F58*G58</f>
        <v>400</v>
      </c>
      <c r="S58" s="2844">
        <f t="shared" si="14"/>
        <v>0.4</v>
      </c>
      <c r="T58" s="2845">
        <f t="shared" si="15"/>
        <v>1.4021604938271611E-2</v>
      </c>
      <c r="U58" s="374">
        <f t="shared" si="16"/>
        <v>0</v>
      </c>
      <c r="V58" s="2846">
        <f t="shared" si="17"/>
        <v>0.4</v>
      </c>
      <c r="W58" s="2847">
        <f t="shared" si="18"/>
        <v>0</v>
      </c>
      <c r="X58" s="2848">
        <f t="shared" si="19"/>
        <v>0</v>
      </c>
      <c r="Y58" s="2849">
        <f t="shared" si="20"/>
        <v>0</v>
      </c>
      <c r="Z58" s="2850">
        <f t="shared" si="21"/>
        <v>0</v>
      </c>
      <c r="AA58" s="2851">
        <f t="shared" si="22"/>
        <v>0</v>
      </c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</row>
    <row r="59" spans="1:39" ht="12.75" customHeight="1" thickBot="1">
      <c r="A59" s="3109" t="s">
        <v>219</v>
      </c>
      <c r="B59" s="3110" t="s">
        <v>461</v>
      </c>
      <c r="C59" s="2256">
        <f t="shared" si="1"/>
        <v>1.7682291666666674E-4</v>
      </c>
      <c r="D59" s="2318">
        <v>7</v>
      </c>
      <c r="E59" s="2512">
        <v>1</v>
      </c>
      <c r="F59" s="2512">
        <v>5</v>
      </c>
      <c r="G59" s="2512">
        <v>15</v>
      </c>
      <c r="H59" s="2270"/>
      <c r="I59" s="2270">
        <v>1.1574074074074073E-4</v>
      </c>
      <c r="J59" s="2270">
        <v>2.3148148148148146E-4</v>
      </c>
      <c r="K59" s="2514" t="s">
        <v>410</v>
      </c>
      <c r="L59" s="2515">
        <f t="shared" si="75"/>
        <v>0.85821221427923011</v>
      </c>
      <c r="M59" s="2516">
        <v>1</v>
      </c>
      <c r="N59" s="2270">
        <f>P59*E59*F59+I59*E59*F59+J59*E59</f>
        <v>1.3406539351851852E-3</v>
      </c>
      <c r="O59" s="2271">
        <f t="shared" si="68"/>
        <v>1.0609375000000004E-4</v>
      </c>
      <c r="P59" s="2517">
        <f>O59*M59</f>
        <v>1.0609375000000004E-4</v>
      </c>
      <c r="Q59" s="2518" t="s">
        <v>316</v>
      </c>
      <c r="R59" s="2885">
        <f>E59*F59*G59</f>
        <v>75</v>
      </c>
      <c r="S59" s="2844">
        <f t="shared" si="14"/>
        <v>7.4999999999999997E-2</v>
      </c>
      <c r="T59" s="2845">
        <f t="shared" si="15"/>
        <v>2.1218750000000009E-3</v>
      </c>
      <c r="U59" s="374">
        <f t="shared" si="16"/>
        <v>0</v>
      </c>
      <c r="V59" s="2846">
        <f t="shared" si="17"/>
        <v>0</v>
      </c>
      <c r="W59" s="2847">
        <f t="shared" si="18"/>
        <v>0</v>
      </c>
      <c r="X59" s="2848">
        <f t="shared" si="19"/>
        <v>0</v>
      </c>
      <c r="Y59" s="2849">
        <f t="shared" si="20"/>
        <v>0</v>
      </c>
      <c r="Z59" s="2850">
        <f t="shared" si="21"/>
        <v>0</v>
      </c>
      <c r="AA59" s="2851">
        <f t="shared" si="22"/>
        <v>7.4999999999999997E-2</v>
      </c>
      <c r="AC59" s="2867"/>
      <c r="AD59" s="2867"/>
      <c r="AE59" s="2867"/>
      <c r="AF59" s="2867"/>
      <c r="AG59" s="2867"/>
      <c r="AH59" s="2867"/>
      <c r="AI59" s="2825"/>
      <c r="AJ59" s="2825"/>
      <c r="AK59" s="2825"/>
      <c r="AL59" s="2825"/>
      <c r="AM59" s="2825"/>
    </row>
    <row r="60" spans="1:39" ht="12.75" customHeight="1" thickBot="1">
      <c r="A60" s="3109" t="s">
        <v>218</v>
      </c>
      <c r="B60" s="3110"/>
      <c r="C60" s="2256">
        <f t="shared" si="1"/>
        <v>0</v>
      </c>
      <c r="D60" s="2335"/>
      <c r="E60" s="2336"/>
      <c r="F60" s="2336"/>
      <c r="G60" s="2336"/>
      <c r="H60" s="2337"/>
      <c r="I60" s="2337"/>
      <c r="J60" s="2337"/>
      <c r="K60" s="2338"/>
      <c r="L60" s="2182">
        <f t="shared" si="75"/>
        <v>0.85955286821441534</v>
      </c>
      <c r="M60" s="2502"/>
      <c r="N60" s="2528">
        <f>SUM(N53:N59)</f>
        <v>5.7469534881082064E-2</v>
      </c>
      <c r="O60" s="2359"/>
      <c r="P60" s="2359"/>
      <c r="Q60" s="2341"/>
      <c r="R60" s="2529">
        <f>SUM(R53:R59)</f>
        <v>3475</v>
      </c>
      <c r="S60" s="2844">
        <f t="shared" si="14"/>
        <v>0</v>
      </c>
      <c r="T60" s="2845">
        <f t="shared" si="15"/>
        <v>0</v>
      </c>
      <c r="U60" s="374">
        <f t="shared" si="16"/>
        <v>0</v>
      </c>
      <c r="V60" s="2846">
        <f t="shared" si="17"/>
        <v>0</v>
      </c>
      <c r="W60" s="2847">
        <f t="shared" si="18"/>
        <v>0</v>
      </c>
      <c r="X60" s="2848">
        <f t="shared" si="19"/>
        <v>0</v>
      </c>
      <c r="Y60" s="2849">
        <f t="shared" si="20"/>
        <v>0</v>
      </c>
      <c r="Z60" s="2850">
        <f t="shared" si="21"/>
        <v>0</v>
      </c>
      <c r="AA60" s="2851">
        <f t="shared" si="22"/>
        <v>0</v>
      </c>
      <c r="AC60" s="2867"/>
      <c r="AD60" s="2867"/>
      <c r="AE60" s="2867"/>
      <c r="AF60" s="2867"/>
      <c r="AG60" s="2867"/>
      <c r="AH60" s="2867"/>
      <c r="AI60" s="2825"/>
      <c r="AJ60" s="2825"/>
      <c r="AK60" s="2825"/>
      <c r="AL60" s="2825"/>
      <c r="AM60" s="2825"/>
    </row>
    <row r="61" spans="1:39" ht="12.75" customHeight="1" thickBot="1">
      <c r="A61" s="3109" t="s">
        <v>139</v>
      </c>
      <c r="B61" s="3110" t="s">
        <v>461</v>
      </c>
      <c r="C61" s="2256">
        <f t="shared" si="1"/>
        <v>2.1908757716049393E-4</v>
      </c>
      <c r="D61" s="2286">
        <v>2</v>
      </c>
      <c r="E61" s="2276">
        <v>1</v>
      </c>
      <c r="F61" s="2276">
        <v>16</v>
      </c>
      <c r="G61" s="2276">
        <v>50</v>
      </c>
      <c r="H61" s="2277"/>
      <c r="I61" s="2277">
        <v>1.7361111111111112E-4</v>
      </c>
      <c r="J61" s="2277">
        <v>1.3888888888888889E-3</v>
      </c>
      <c r="K61" s="2278" t="s">
        <v>1519</v>
      </c>
      <c r="L61" s="2503">
        <f t="shared" si="75"/>
        <v>0.91702240309549743</v>
      </c>
      <c r="M61" s="2280">
        <v>1.1000000000000001</v>
      </c>
      <c r="N61" s="2277">
        <f>P61*E61*F61+I61*E61*F61+J61*E61</f>
        <v>1.1878549382716054E-2</v>
      </c>
      <c r="O61" s="2281">
        <f t="shared" ref="O61:O63" si="76">C61*(G61/25)</f>
        <v>4.3817515432098786E-4</v>
      </c>
      <c r="P61" s="2281">
        <f t="shared" ref="P61:P63" si="77">O61*M61</f>
        <v>4.8199266975308669E-4</v>
      </c>
      <c r="Q61" s="3140">
        <v>165</v>
      </c>
      <c r="R61" s="3139">
        <f t="shared" ref="R61:R63" si="78">E61*F61*G61</f>
        <v>800</v>
      </c>
      <c r="S61" s="2844">
        <f t="shared" si="14"/>
        <v>0.8</v>
      </c>
      <c r="T61" s="2845">
        <f t="shared" si="15"/>
        <v>2.8043209876543223E-2</v>
      </c>
      <c r="U61" s="374">
        <f t="shared" si="16"/>
        <v>0</v>
      </c>
      <c r="V61" s="2846">
        <f t="shared" si="17"/>
        <v>0.8</v>
      </c>
      <c r="W61" s="2847">
        <f t="shared" si="18"/>
        <v>0</v>
      </c>
      <c r="X61" s="2848">
        <f t="shared" si="19"/>
        <v>0</v>
      </c>
      <c r="Y61" s="2849">
        <f t="shared" si="20"/>
        <v>0</v>
      </c>
      <c r="Z61" s="2850">
        <f t="shared" si="21"/>
        <v>0</v>
      </c>
      <c r="AA61" s="2851">
        <f t="shared" si="22"/>
        <v>0</v>
      </c>
      <c r="AC61" s="2867"/>
      <c r="AD61" s="2867"/>
      <c r="AE61" s="2867"/>
      <c r="AF61" s="2867"/>
      <c r="AG61" s="2867"/>
      <c r="AH61" s="2867"/>
      <c r="AI61" s="2825"/>
      <c r="AJ61" s="2825"/>
      <c r="AK61" s="2825"/>
      <c r="AL61" s="2825"/>
      <c r="AM61" s="2825"/>
    </row>
    <row r="62" spans="1:39" ht="12.75" customHeight="1" thickBot="1">
      <c r="A62" s="3109" t="s">
        <v>458</v>
      </c>
      <c r="B62" s="3110" t="s">
        <v>461</v>
      </c>
      <c r="C62" s="2256">
        <f t="shared" si="1"/>
        <v>2.1222190799396687E-4</v>
      </c>
      <c r="D62" s="2309">
        <v>3</v>
      </c>
      <c r="E62" s="2257">
        <v>1</v>
      </c>
      <c r="F62" s="2257">
        <v>12</v>
      </c>
      <c r="G62" s="2257">
        <v>50</v>
      </c>
      <c r="H62" s="2258"/>
      <c r="I62" s="2258">
        <v>3.4722222222222224E-4</v>
      </c>
      <c r="J62" s="2258">
        <v>1.3888888888888889E-3</v>
      </c>
      <c r="K62" s="2259" t="s">
        <v>895</v>
      </c>
      <c r="L62" s="2504">
        <f t="shared" si="75"/>
        <v>0.92890095247821347</v>
      </c>
      <c r="M62" s="2326">
        <v>1.25</v>
      </c>
      <c r="N62" s="2258">
        <f>P62*E62*F62+I62*E62*F62+J62*E62</f>
        <v>1.1922212795374561E-2</v>
      </c>
      <c r="O62" s="2262">
        <f t="shared" si="76"/>
        <v>4.2444381598793373E-4</v>
      </c>
      <c r="P62" s="2262">
        <f t="shared" si="77"/>
        <v>5.3055476998491711E-4</v>
      </c>
      <c r="Q62" s="2274">
        <v>147</v>
      </c>
      <c r="R62" s="2257">
        <f t="shared" si="78"/>
        <v>600</v>
      </c>
      <c r="S62" s="2844">
        <f t="shared" si="14"/>
        <v>0.6</v>
      </c>
      <c r="T62" s="2845">
        <f t="shared" si="15"/>
        <v>2.0373303167420819E-2</v>
      </c>
      <c r="U62" s="374">
        <f t="shared" si="16"/>
        <v>0</v>
      </c>
      <c r="V62" s="2846">
        <f t="shared" si="17"/>
        <v>0</v>
      </c>
      <c r="W62" s="2847">
        <f t="shared" si="18"/>
        <v>0.6</v>
      </c>
      <c r="X62" s="2848">
        <f t="shared" si="19"/>
        <v>0</v>
      </c>
      <c r="Y62" s="2849">
        <f t="shared" si="20"/>
        <v>0</v>
      </c>
      <c r="Z62" s="2850">
        <f t="shared" si="21"/>
        <v>0</v>
      </c>
      <c r="AA62" s="2851">
        <f t="shared" si="22"/>
        <v>0</v>
      </c>
      <c r="AC62" s="2867"/>
      <c r="AD62" s="2867"/>
      <c r="AE62" s="2867"/>
      <c r="AF62" s="2867"/>
      <c r="AG62" s="2867"/>
      <c r="AH62" s="2867"/>
      <c r="AI62" s="2825"/>
      <c r="AJ62" s="2825"/>
      <c r="AK62" s="2825"/>
      <c r="AL62" s="2825"/>
      <c r="AM62" s="2825"/>
    </row>
    <row r="63" spans="1:39" ht="12.75" customHeight="1" thickBot="1">
      <c r="A63" s="3109" t="s">
        <v>462</v>
      </c>
      <c r="B63" s="3110" t="s">
        <v>461</v>
      </c>
      <c r="C63" s="2256">
        <f t="shared" si="1"/>
        <v>2.2880964381720439E-4</v>
      </c>
      <c r="D63" s="2335">
        <v>1</v>
      </c>
      <c r="E63" s="2336">
        <v>1</v>
      </c>
      <c r="F63" s="2336">
        <v>1</v>
      </c>
      <c r="G63" s="2336">
        <v>200</v>
      </c>
      <c r="H63" s="2337">
        <v>1.9097222222222222E-3</v>
      </c>
      <c r="I63" s="2337"/>
      <c r="J63" s="2337">
        <v>1.3888888888888889E-3</v>
      </c>
      <c r="K63" s="2338" t="s">
        <v>1332</v>
      </c>
      <c r="L63" s="2501">
        <f t="shared" si="75"/>
        <v>0.940823165273588</v>
      </c>
      <c r="M63" s="2502">
        <v>1</v>
      </c>
      <c r="N63" s="2337">
        <f>H63*F63*E63</f>
        <v>1.9097222222222222E-3</v>
      </c>
      <c r="O63" s="2359">
        <f t="shared" si="76"/>
        <v>1.8304771505376352E-3</v>
      </c>
      <c r="P63" s="2359">
        <f t="shared" si="77"/>
        <v>1.8304771505376352E-3</v>
      </c>
      <c r="Q63" s="2341">
        <v>164</v>
      </c>
      <c r="R63" s="2336">
        <f t="shared" si="78"/>
        <v>200</v>
      </c>
      <c r="S63" s="2844">
        <f t="shared" si="14"/>
        <v>0.2</v>
      </c>
      <c r="T63" s="2845">
        <f t="shared" si="15"/>
        <v>7.3219086021505406E-3</v>
      </c>
      <c r="U63" s="374">
        <f t="shared" si="16"/>
        <v>0.2</v>
      </c>
      <c r="V63" s="2846">
        <f t="shared" si="17"/>
        <v>0</v>
      </c>
      <c r="W63" s="2847">
        <f t="shared" si="18"/>
        <v>0</v>
      </c>
      <c r="X63" s="2848">
        <f t="shared" si="19"/>
        <v>0</v>
      </c>
      <c r="Y63" s="2849">
        <f t="shared" si="20"/>
        <v>0</v>
      </c>
      <c r="Z63" s="2850">
        <f t="shared" si="21"/>
        <v>0</v>
      </c>
      <c r="AA63" s="2851">
        <f t="shared" si="22"/>
        <v>0</v>
      </c>
      <c r="AC63" s="2867"/>
      <c r="AD63" s="2867"/>
      <c r="AE63" s="2867"/>
      <c r="AF63" s="2867"/>
      <c r="AG63" s="2867"/>
      <c r="AH63" s="2867"/>
      <c r="AI63" s="2825"/>
      <c r="AJ63" s="2825"/>
      <c r="AK63" s="2825"/>
      <c r="AL63" s="2825"/>
      <c r="AM63" s="2825"/>
    </row>
    <row r="64" spans="1:39" ht="12.75" customHeight="1" thickBot="1">
      <c r="A64" s="3109" t="s">
        <v>460</v>
      </c>
      <c r="B64" s="3110" t="s">
        <v>461</v>
      </c>
      <c r="C64" s="2256">
        <f t="shared" si="1"/>
        <v>1.7682291666666674E-4</v>
      </c>
      <c r="D64" s="2318">
        <v>7</v>
      </c>
      <c r="E64" s="2512">
        <v>4</v>
      </c>
      <c r="F64" s="2512">
        <v>4</v>
      </c>
      <c r="G64" s="2512">
        <v>25</v>
      </c>
      <c r="H64" s="2377" t="s">
        <v>1508</v>
      </c>
      <c r="I64" s="2377">
        <v>3.4722222222222224E-4</v>
      </c>
      <c r="J64" s="2377">
        <v>6.9444444444444447E-4</v>
      </c>
      <c r="K64" s="2514" t="s">
        <v>1513</v>
      </c>
      <c r="L64" s="2515">
        <f t="shared" si="75"/>
        <v>0.94273288749581019</v>
      </c>
      <c r="M64" s="3126">
        <v>1</v>
      </c>
      <c r="N64" s="2377">
        <f>P64*E64*F64+I64*E64*F64+J64*E64</f>
        <v>1.1162500000000002E-2</v>
      </c>
      <c r="O64" s="2271">
        <f>C64*(G64/25)</f>
        <v>1.7682291666666674E-4</v>
      </c>
      <c r="P64" s="2517">
        <f>O64*M64</f>
        <v>1.7682291666666674E-4</v>
      </c>
      <c r="Q64" s="3130" t="s">
        <v>316</v>
      </c>
      <c r="R64" s="3122">
        <f>E64*F64*G64</f>
        <v>400</v>
      </c>
      <c r="S64" s="2844">
        <f t="shared" si="14"/>
        <v>0.4</v>
      </c>
      <c r="T64" s="2845">
        <f t="shared" si="15"/>
        <v>1.1316666666666671E-2</v>
      </c>
      <c r="U64" s="374">
        <f t="shared" si="16"/>
        <v>0</v>
      </c>
      <c r="V64" s="2846">
        <f t="shared" si="17"/>
        <v>0</v>
      </c>
      <c r="W64" s="2847">
        <f t="shared" si="18"/>
        <v>0</v>
      </c>
      <c r="X64" s="2848">
        <f t="shared" si="19"/>
        <v>0</v>
      </c>
      <c r="Y64" s="2849">
        <f t="shared" si="20"/>
        <v>0</v>
      </c>
      <c r="Z64" s="2850">
        <f t="shared" si="21"/>
        <v>0</v>
      </c>
      <c r="AA64" s="2851">
        <f t="shared" si="22"/>
        <v>0.4</v>
      </c>
      <c r="AC64" s="2867"/>
      <c r="AD64" s="2867"/>
      <c r="AE64" s="2867"/>
      <c r="AF64" s="2867"/>
      <c r="AG64" s="2867"/>
      <c r="AH64" s="2867"/>
      <c r="AI64" s="2825"/>
      <c r="AJ64" s="2825"/>
      <c r="AK64" s="2825"/>
      <c r="AL64" s="2825"/>
      <c r="AM64" s="2825"/>
    </row>
    <row r="65" spans="1:40" ht="12.75" customHeight="1" thickBot="1">
      <c r="A65" s="3109" t="s">
        <v>458</v>
      </c>
      <c r="B65" s="3110" t="s">
        <v>461</v>
      </c>
      <c r="C65" s="2256">
        <f t="shared" si="1"/>
        <v>2.0247664488766629E-4</v>
      </c>
      <c r="D65" s="2520">
        <v>4</v>
      </c>
      <c r="E65" s="2521">
        <v>1</v>
      </c>
      <c r="F65" s="2521">
        <v>4</v>
      </c>
      <c r="G65" s="2521">
        <v>300</v>
      </c>
      <c r="H65" s="2522" t="s">
        <v>1614</v>
      </c>
      <c r="I65" s="2522">
        <v>6.3657407407407402E-4</v>
      </c>
      <c r="J65" s="2522">
        <v>1.3888888888888889E-3</v>
      </c>
      <c r="K65" s="2523" t="s">
        <v>1514</v>
      </c>
      <c r="L65" s="2524">
        <f>L63+N63</f>
        <v>0.94273288749581019</v>
      </c>
      <c r="M65" s="2525">
        <v>1.2</v>
      </c>
      <c r="N65" s="2522">
        <f>P65*E65*F65+I65*E65*F65+J65*E65</f>
        <v>1.5597839930714763E-2</v>
      </c>
      <c r="O65" s="2526">
        <f t="shared" ref="O65:O72" si="79">C65*(G65/25)</f>
        <v>2.4297197386519954E-3</v>
      </c>
      <c r="P65" s="2526">
        <f t="shared" ref="P65" si="80">O65*M65</f>
        <v>2.9156636863823943E-3</v>
      </c>
      <c r="Q65" s="3132">
        <v>196</v>
      </c>
      <c r="R65" s="3133">
        <f t="shared" ref="R65" si="81">E65*F65*G65</f>
        <v>1200</v>
      </c>
      <c r="S65" s="2844">
        <f t="shared" si="14"/>
        <v>1.2</v>
      </c>
      <c r="T65" s="2845">
        <f t="shared" si="15"/>
        <v>3.8875515818431926E-2</v>
      </c>
      <c r="U65" s="374">
        <f t="shared" si="16"/>
        <v>0</v>
      </c>
      <c r="V65" s="2846">
        <f t="shared" si="17"/>
        <v>0</v>
      </c>
      <c r="W65" s="2847">
        <f t="shared" si="18"/>
        <v>0</v>
      </c>
      <c r="X65" s="2848">
        <f t="shared" si="19"/>
        <v>1.2</v>
      </c>
      <c r="Y65" s="2849">
        <f t="shared" si="20"/>
        <v>0</v>
      </c>
      <c r="Z65" s="2850">
        <f t="shared" si="21"/>
        <v>0</v>
      </c>
      <c r="AA65" s="2851">
        <f t="shared" si="22"/>
        <v>0</v>
      </c>
      <c r="AC65" s="2867"/>
      <c r="AD65" s="2867"/>
      <c r="AE65" s="2867"/>
      <c r="AF65" s="2867"/>
      <c r="AG65" s="2867"/>
      <c r="AH65" s="2867"/>
      <c r="AI65" s="2825"/>
      <c r="AJ65" s="2825"/>
      <c r="AK65" s="2825"/>
      <c r="AL65" s="2825"/>
      <c r="AM65" s="2825"/>
    </row>
    <row r="66" spans="1:40" ht="12.75" customHeight="1" thickBot="1">
      <c r="A66" s="3109" t="s">
        <v>219</v>
      </c>
      <c r="B66" s="3110"/>
      <c r="C66" s="2256">
        <f t="shared" si="1"/>
        <v>0</v>
      </c>
      <c r="D66" s="2335"/>
      <c r="E66" s="2336"/>
      <c r="F66" s="2336"/>
      <c r="G66" s="2336"/>
      <c r="H66" s="2337"/>
      <c r="I66" s="2337"/>
      <c r="J66" s="2337"/>
      <c r="K66" s="2338"/>
      <c r="L66" s="2182">
        <f>L65+N65</f>
        <v>0.95833072742652492</v>
      </c>
      <c r="M66" s="2502"/>
      <c r="N66" s="2528">
        <f>SUM(N60:N65)</f>
        <v>0.10994035921210965</v>
      </c>
      <c r="O66" s="2359">
        <f t="shared" si="79"/>
        <v>0</v>
      </c>
      <c r="P66" s="2359"/>
      <c r="Q66" s="2341"/>
      <c r="R66" s="2529">
        <f>SUM(R61:R65)</f>
        <v>3200</v>
      </c>
      <c r="S66" s="2844">
        <f t="shared" si="14"/>
        <v>0</v>
      </c>
      <c r="T66" s="2845">
        <f t="shared" si="15"/>
        <v>0</v>
      </c>
      <c r="U66" s="374">
        <f t="shared" si="16"/>
        <v>0</v>
      </c>
      <c r="V66" s="2846">
        <f t="shared" si="17"/>
        <v>0</v>
      </c>
      <c r="W66" s="2847">
        <f t="shared" si="18"/>
        <v>0</v>
      </c>
      <c r="X66" s="2848">
        <f t="shared" si="19"/>
        <v>0</v>
      </c>
      <c r="Y66" s="2849">
        <f t="shared" si="20"/>
        <v>0</v>
      </c>
      <c r="Z66" s="2850">
        <f t="shared" si="21"/>
        <v>0</v>
      </c>
      <c r="AA66" s="2851">
        <f t="shared" si="22"/>
        <v>0</v>
      </c>
      <c r="AC66" s="2867"/>
      <c r="AD66" s="2867"/>
      <c r="AE66" s="2867"/>
      <c r="AF66" s="2867"/>
      <c r="AG66" s="2867"/>
      <c r="AH66" s="2867"/>
      <c r="AI66" s="2825"/>
      <c r="AJ66" s="2825"/>
      <c r="AK66" s="2825"/>
      <c r="AL66" s="2825"/>
      <c r="AM66" s="2825"/>
    </row>
    <row r="67" spans="1:40" ht="12.75" customHeight="1" thickBot="1">
      <c r="A67" s="4918"/>
      <c r="B67" s="4919" t="s">
        <v>803</v>
      </c>
      <c r="C67" s="2256">
        <f t="shared" si="1"/>
        <v>2.2880964381720439E-4</v>
      </c>
      <c r="D67" s="2335">
        <v>1</v>
      </c>
      <c r="E67" s="2336">
        <v>1</v>
      </c>
      <c r="F67" s="2336">
        <v>16</v>
      </c>
      <c r="G67" s="2336">
        <v>25</v>
      </c>
      <c r="H67" s="3383" t="s">
        <v>1600</v>
      </c>
      <c r="I67" s="2337">
        <v>2.3148148148148146E-4</v>
      </c>
      <c r="J67" s="2337">
        <v>1.3888888888888889E-3</v>
      </c>
      <c r="K67" s="3382" t="s">
        <v>1604</v>
      </c>
      <c r="L67" s="3119">
        <v>0.33680555555555558</v>
      </c>
      <c r="M67" s="2502">
        <v>0.9</v>
      </c>
      <c r="N67" s="2337">
        <f>P67*E67*F67+I67*E67*F67+J67*E67</f>
        <v>8.3874514635603348E-3</v>
      </c>
      <c r="O67" s="2359">
        <f t="shared" si="79"/>
        <v>2.2880964381720439E-4</v>
      </c>
      <c r="P67" s="2359">
        <f t="shared" ref="P67:P72" si="82">O67*M67</f>
        <v>2.0592867943548395E-4</v>
      </c>
      <c r="Q67" s="2341">
        <v>129</v>
      </c>
      <c r="R67" s="2336">
        <f t="shared" ref="R67:R72" si="83">E67*F67*G67</f>
        <v>400</v>
      </c>
      <c r="S67" s="2844">
        <f t="shared" si="14"/>
        <v>0.4</v>
      </c>
      <c r="T67" s="2845">
        <f t="shared" si="15"/>
        <v>1.4643817204301081E-2</v>
      </c>
      <c r="U67" s="374">
        <f t="shared" si="16"/>
        <v>0.4</v>
      </c>
      <c r="V67" s="2846">
        <f t="shared" si="17"/>
        <v>0</v>
      </c>
      <c r="W67" s="2847">
        <f t="shared" si="18"/>
        <v>0</v>
      </c>
      <c r="X67" s="2848">
        <f t="shared" si="19"/>
        <v>0</v>
      </c>
      <c r="Y67" s="2849">
        <f t="shared" si="20"/>
        <v>0</v>
      </c>
      <c r="Z67" s="2850">
        <f t="shared" si="21"/>
        <v>0</v>
      </c>
      <c r="AA67" s="2851">
        <f t="shared" si="22"/>
        <v>0</v>
      </c>
      <c r="AC67" s="2867"/>
      <c r="AD67" s="2867"/>
      <c r="AE67" s="2867"/>
      <c r="AF67" s="2867"/>
      <c r="AG67" s="2867"/>
      <c r="AH67" s="2867"/>
      <c r="AI67" s="2825"/>
      <c r="AJ67" s="2825"/>
      <c r="AK67" s="2825"/>
      <c r="AL67" s="2825"/>
      <c r="AM67" s="2825"/>
    </row>
    <row r="68" spans="1:40" ht="15" customHeight="1" thickBot="1">
      <c r="A68" s="3134" t="s">
        <v>219</v>
      </c>
      <c r="B68" s="4919" t="s">
        <v>803</v>
      </c>
      <c r="C68" s="2256">
        <f t="shared" si="1"/>
        <v>2.1908757716049393E-4</v>
      </c>
      <c r="D68" s="2286">
        <v>2</v>
      </c>
      <c r="E68" s="2276">
        <v>1</v>
      </c>
      <c r="F68" s="2276">
        <v>2</v>
      </c>
      <c r="G68" s="2276">
        <v>400</v>
      </c>
      <c r="H68" s="2277">
        <v>5.5555555555555558E-3</v>
      </c>
      <c r="I68" s="2277"/>
      <c r="J68" s="2277">
        <v>1.3888888888888889E-3</v>
      </c>
      <c r="K68" s="2278" t="s">
        <v>703</v>
      </c>
      <c r="L68" s="2503">
        <f t="shared" ref="L68:L73" si="84">L67+N67</f>
        <v>0.34519300701911593</v>
      </c>
      <c r="M68" s="2280">
        <v>1</v>
      </c>
      <c r="N68" s="2277">
        <f>H68*F68*E68</f>
        <v>1.1111111111111112E-2</v>
      </c>
      <c r="O68" s="2281">
        <f t="shared" si="79"/>
        <v>3.5054012345679029E-3</v>
      </c>
      <c r="P68" s="2281">
        <f t="shared" si="82"/>
        <v>3.5054012345679029E-3</v>
      </c>
      <c r="Q68" s="2282">
        <v>146</v>
      </c>
      <c r="R68" s="2283">
        <f t="shared" si="83"/>
        <v>800</v>
      </c>
      <c r="S68" s="2844">
        <f t="shared" si="14"/>
        <v>0.8</v>
      </c>
      <c r="T68" s="2845">
        <f t="shared" si="15"/>
        <v>2.8043209876543223E-2</v>
      </c>
      <c r="U68" s="374">
        <f t="shared" si="16"/>
        <v>0</v>
      </c>
      <c r="V68" s="2846">
        <f t="shared" si="17"/>
        <v>0.8</v>
      </c>
      <c r="W68" s="2847">
        <f t="shared" si="18"/>
        <v>0</v>
      </c>
      <c r="X68" s="2848">
        <f t="shared" si="19"/>
        <v>0</v>
      </c>
      <c r="Y68" s="2849">
        <f t="shared" si="20"/>
        <v>0</v>
      </c>
      <c r="Z68" s="2850">
        <f t="shared" si="21"/>
        <v>0</v>
      </c>
      <c r="AA68" s="2851">
        <f t="shared" si="22"/>
        <v>0</v>
      </c>
      <c r="AC68" s="2867"/>
      <c r="AD68" s="2867"/>
      <c r="AE68" s="2867"/>
      <c r="AF68" s="2867"/>
      <c r="AG68" s="2867"/>
      <c r="AH68" s="2867"/>
      <c r="AI68" s="2825"/>
      <c r="AJ68" s="2825"/>
      <c r="AK68" s="2825"/>
      <c r="AL68" s="2825"/>
      <c r="AM68" s="2825"/>
    </row>
    <row r="69" spans="1:40" ht="15" customHeight="1" thickBot="1">
      <c r="A69" s="3134" t="s">
        <v>138</v>
      </c>
      <c r="B69" s="4919" t="s">
        <v>803</v>
      </c>
      <c r="C69" s="2256">
        <f t="shared" si="1"/>
        <v>2.1222190799396687E-4</v>
      </c>
      <c r="D69" s="2309">
        <v>3</v>
      </c>
      <c r="E69" s="2257">
        <v>1</v>
      </c>
      <c r="F69" s="2257">
        <v>10</v>
      </c>
      <c r="G69" s="2257">
        <v>50</v>
      </c>
      <c r="H69" s="2258"/>
      <c r="I69" s="2258">
        <v>1.7361111111111112E-4</v>
      </c>
      <c r="J69" s="2258">
        <v>1.3888888888888889E-3</v>
      </c>
      <c r="K69" s="2310" t="s">
        <v>1607</v>
      </c>
      <c r="L69" s="2504">
        <f t="shared" si="84"/>
        <v>0.35630411813022705</v>
      </c>
      <c r="M69" s="2326">
        <v>1</v>
      </c>
      <c r="N69" s="2258">
        <f>P69*E69*F69+I69*E69*F69+J69*E69</f>
        <v>7.3694381598793371E-3</v>
      </c>
      <c r="O69" s="2262">
        <f t="shared" si="79"/>
        <v>4.2444381598793373E-4</v>
      </c>
      <c r="P69" s="2262">
        <f t="shared" si="82"/>
        <v>4.2444381598793373E-4</v>
      </c>
      <c r="Q69" s="3120">
        <v>164</v>
      </c>
      <c r="R69" s="3121">
        <f t="shared" si="83"/>
        <v>500</v>
      </c>
      <c r="S69" s="2844">
        <f t="shared" si="14"/>
        <v>0.5</v>
      </c>
      <c r="T69" s="2845">
        <f t="shared" si="15"/>
        <v>1.6977752639517348E-2</v>
      </c>
      <c r="U69" s="374">
        <f t="shared" si="16"/>
        <v>0</v>
      </c>
      <c r="V69" s="2846">
        <f t="shared" si="17"/>
        <v>0</v>
      </c>
      <c r="W69" s="2847">
        <f t="shared" si="18"/>
        <v>0.5</v>
      </c>
      <c r="X69" s="2848">
        <f t="shared" si="19"/>
        <v>0</v>
      </c>
      <c r="Y69" s="2849">
        <f t="shared" si="20"/>
        <v>0</v>
      </c>
      <c r="Z69" s="2850">
        <f t="shared" si="21"/>
        <v>0</v>
      </c>
      <c r="AA69" s="2851">
        <f t="shared" si="22"/>
        <v>0</v>
      </c>
      <c r="AC69" s="2867"/>
      <c r="AD69" s="2867"/>
      <c r="AE69" s="2867"/>
      <c r="AF69" s="2867"/>
      <c r="AG69" s="2867"/>
      <c r="AH69" s="2867"/>
      <c r="AI69" s="2825"/>
      <c r="AJ69" s="2825"/>
      <c r="AK69" s="2825"/>
      <c r="AL69" s="2825"/>
      <c r="AM69" s="2825"/>
    </row>
    <row r="70" spans="1:40" ht="15" customHeight="1">
      <c r="A70" s="3134" t="s">
        <v>779</v>
      </c>
      <c r="B70" s="4919" t="s">
        <v>803</v>
      </c>
      <c r="C70" s="2256">
        <f t="shared" ref="C70" si="85">IF(D70=1,U$5,IF(D70=2,V$5,IF(D70=3,W$5,IF(D70=4,X$5,IF(D70=5,Y$5,IF(D70=6,Z$5,IF(D70=7,AA$5,0)))))))</f>
        <v>1.8229166666666673E-4</v>
      </c>
      <c r="D70" s="4924">
        <v>6</v>
      </c>
      <c r="E70" s="4683">
        <v>1</v>
      </c>
      <c r="F70" s="4683">
        <v>8</v>
      </c>
      <c r="G70" s="4683">
        <v>75</v>
      </c>
      <c r="H70" s="4683" t="s">
        <v>2045</v>
      </c>
      <c r="I70" s="4684">
        <v>1.3888888888888889E-3</v>
      </c>
      <c r="J70" s="4684">
        <v>2.0833333333333333E-3</v>
      </c>
      <c r="K70" s="4561" t="s">
        <v>2047</v>
      </c>
      <c r="L70" s="4684">
        <f>L69+N69</f>
        <v>0.36367355629010639</v>
      </c>
      <c r="M70" s="4685">
        <v>1.1000000000000001</v>
      </c>
      <c r="N70" s="4684">
        <f t="shared" ref="N70" si="86">P70*E70*F70+I70*E70*F70+J70*E70</f>
        <v>1.8103194444444446E-2</v>
      </c>
      <c r="O70" s="4586">
        <f t="shared" ref="O70" si="87">C70*(G70/25)*1.02</f>
        <v>5.5781250000000015E-4</v>
      </c>
      <c r="P70" s="4686">
        <f t="shared" si="82"/>
        <v>6.1359375000000021E-4</v>
      </c>
      <c r="Q70" s="4687">
        <v>177</v>
      </c>
      <c r="R70" s="4683">
        <f t="shared" si="83"/>
        <v>600</v>
      </c>
      <c r="S70" s="2844">
        <f t="shared" si="14"/>
        <v>0.6</v>
      </c>
      <c r="T70" s="2845">
        <f t="shared" si="15"/>
        <v>1.7850000000000005E-2</v>
      </c>
      <c r="U70" s="374">
        <f t="shared" si="16"/>
        <v>0</v>
      </c>
      <c r="V70" s="2846">
        <f t="shared" si="17"/>
        <v>0</v>
      </c>
      <c r="W70" s="2847">
        <f t="shared" si="18"/>
        <v>0</v>
      </c>
      <c r="X70" s="2848">
        <f t="shared" si="19"/>
        <v>0</v>
      </c>
      <c r="Y70" s="2849">
        <f t="shared" si="20"/>
        <v>0</v>
      </c>
      <c r="Z70" s="2850">
        <f t="shared" si="21"/>
        <v>0.6</v>
      </c>
      <c r="AA70" s="2851">
        <f t="shared" si="22"/>
        <v>0</v>
      </c>
      <c r="AC70" s="2867"/>
      <c r="AD70" s="2867"/>
      <c r="AE70" s="2867"/>
      <c r="AF70" s="2867"/>
      <c r="AG70" s="2867"/>
      <c r="AH70" s="2867"/>
      <c r="AI70" s="2825"/>
      <c r="AJ70" s="2825"/>
      <c r="AK70" s="2825"/>
      <c r="AL70" s="2825"/>
      <c r="AM70" s="2825"/>
    </row>
    <row r="71" spans="1:40" ht="12.75" customHeight="1">
      <c r="A71" s="2183" t="s">
        <v>220</v>
      </c>
      <c r="B71" s="4788" t="s">
        <v>803</v>
      </c>
      <c r="C71" s="2256">
        <f t="shared" ref="C71:C72" si="88">IF(D71=1,U$5,IF(D71=2,V$5,IF(D71=3,W$5,IF(D71=4,X$5,IF(D71=5,Y$5,IF(D71=6,Z$5,IF(D71=7,AA$5,0)))))))</f>
        <v>2.1908757716049393E-4</v>
      </c>
      <c r="D71" s="2286">
        <v>2</v>
      </c>
      <c r="E71" s="2276">
        <v>1</v>
      </c>
      <c r="F71" s="2276">
        <v>8</v>
      </c>
      <c r="G71" s="2276">
        <v>75</v>
      </c>
      <c r="H71" s="2277" t="s">
        <v>1606</v>
      </c>
      <c r="I71" s="2277">
        <v>1.3888888888888889E-4</v>
      </c>
      <c r="J71" s="2277">
        <v>1.3888888888888889E-3</v>
      </c>
      <c r="K71" s="2278" t="s">
        <v>1605</v>
      </c>
      <c r="L71" s="2503">
        <f t="shared" si="84"/>
        <v>0.38177675073455086</v>
      </c>
      <c r="M71" s="2280">
        <v>1</v>
      </c>
      <c r="N71" s="2277">
        <f>P71*E71*F71+I71*E71*F71+J71*E71</f>
        <v>7.7581018518518546E-3</v>
      </c>
      <c r="O71" s="2281">
        <f t="shared" si="79"/>
        <v>6.5726273148148176E-4</v>
      </c>
      <c r="P71" s="2281">
        <f t="shared" si="82"/>
        <v>6.5726273148148176E-4</v>
      </c>
      <c r="Q71" s="2282">
        <v>146</v>
      </c>
      <c r="R71" s="2283">
        <f t="shared" si="83"/>
        <v>600</v>
      </c>
      <c r="S71" s="2844">
        <f t="shared" ref="S71:S72" si="89">E71*F71*G71/1000</f>
        <v>0.6</v>
      </c>
      <c r="T71" s="2845">
        <f t="shared" ref="T71:T72" si="90">E71*F71*O71*4</f>
        <v>2.1032407407407416E-2</v>
      </c>
      <c r="U71" s="374">
        <f t="shared" ref="U71:U72" si="91">IF(C71*4&gt;=$U$4,S71,0)</f>
        <v>0</v>
      </c>
      <c r="V71" s="2846">
        <f t="shared" ref="V71:V72" si="92">IF(AND(C71*4&gt;=$V$4,C71*4&lt;$U$4),S71,0)</f>
        <v>0.6</v>
      </c>
      <c r="W71" s="2847">
        <f t="shared" ref="W71:W72" si="93">IF(AND(C71*4&gt;=$W$4,C71*4&lt;$V$4),S71,0)</f>
        <v>0</v>
      </c>
      <c r="X71" s="2848">
        <f t="shared" ref="X71:X72" si="94">IF(AND(C71*4&gt;=$X$4,C71*4&lt;$W$4),S71,0)</f>
        <v>0</v>
      </c>
      <c r="Y71" s="2849">
        <f t="shared" ref="Y71:Y72" si="95">IF(AND(C71*4&gt;=$Y$4,C71*4&lt;$X$4),S71,0)</f>
        <v>0</v>
      </c>
      <c r="Z71" s="2850">
        <f t="shared" ref="Z71:Z72" si="96">IF(AND(C71*4&gt;=$Z$4,C71*4&lt;$Y$4),S71,0)</f>
        <v>0</v>
      </c>
      <c r="AA71" s="2851">
        <f t="shared" ref="AA71:AA72" si="97">IF(AND(C71*4&gt;=$AA$4,C71*4&lt;$Z$4),S71,0)</f>
        <v>0</v>
      </c>
      <c r="AC71" s="2867"/>
      <c r="AD71" s="2867"/>
      <c r="AE71" s="2867"/>
      <c r="AF71" s="2867"/>
      <c r="AG71" s="2867"/>
      <c r="AH71" s="2867"/>
      <c r="AI71" s="2825"/>
      <c r="AJ71" s="2825"/>
      <c r="AK71" s="2825"/>
      <c r="AL71" s="2825"/>
      <c r="AM71" s="2825"/>
    </row>
    <row r="72" spans="1:40" ht="16.5" customHeight="1" thickBot="1">
      <c r="A72" s="4920"/>
      <c r="B72" s="4921" t="s">
        <v>803</v>
      </c>
      <c r="C72" s="2256">
        <f t="shared" si="88"/>
        <v>1.7682291666666674E-4</v>
      </c>
      <c r="D72" s="3123">
        <v>7</v>
      </c>
      <c r="E72" s="3124">
        <v>3</v>
      </c>
      <c r="F72" s="3124">
        <v>4</v>
      </c>
      <c r="G72" s="3124">
        <v>25</v>
      </c>
      <c r="H72" s="2377" t="s">
        <v>1611</v>
      </c>
      <c r="I72" s="2377">
        <v>3.4722222222222224E-4</v>
      </c>
      <c r="J72" s="2377">
        <v>6.9444444444444447E-4</v>
      </c>
      <c r="K72" s="3125" t="s">
        <v>1608</v>
      </c>
      <c r="L72" s="2515">
        <f t="shared" si="84"/>
        <v>0.38953485258640269</v>
      </c>
      <c r="M72" s="3126">
        <v>1</v>
      </c>
      <c r="N72" s="2377">
        <f>P72*E72*F72+I72*E72*F72+J72*E72</f>
        <v>8.3718750000000008E-3</v>
      </c>
      <c r="O72" s="2271">
        <f t="shared" si="79"/>
        <v>1.7682291666666674E-4</v>
      </c>
      <c r="P72" s="2517">
        <f t="shared" si="82"/>
        <v>1.7682291666666674E-4</v>
      </c>
      <c r="Q72" s="2518" t="s">
        <v>316</v>
      </c>
      <c r="R72" s="3122">
        <f t="shared" si="83"/>
        <v>300</v>
      </c>
      <c r="S72" s="2844">
        <f t="shared" si="89"/>
        <v>0.3</v>
      </c>
      <c r="T72" s="2845">
        <f t="shared" si="90"/>
        <v>8.4875000000000037E-3</v>
      </c>
      <c r="U72" s="374">
        <f t="shared" si="91"/>
        <v>0</v>
      </c>
      <c r="V72" s="2846">
        <f t="shared" si="92"/>
        <v>0</v>
      </c>
      <c r="W72" s="2847">
        <f t="shared" si="93"/>
        <v>0</v>
      </c>
      <c r="X72" s="2848">
        <f t="shared" si="94"/>
        <v>0</v>
      </c>
      <c r="Y72" s="2849">
        <f t="shared" si="95"/>
        <v>0</v>
      </c>
      <c r="Z72" s="2850">
        <f t="shared" si="96"/>
        <v>0</v>
      </c>
      <c r="AA72" s="2851">
        <f t="shared" si="97"/>
        <v>0.3</v>
      </c>
      <c r="AB72" s="3156"/>
      <c r="AC72" s="2867">
        <v>0</v>
      </c>
      <c r="AD72" s="2867">
        <v>0</v>
      </c>
      <c r="AE72" s="2838"/>
      <c r="AF72" s="2838"/>
      <c r="AG72" s="2838"/>
      <c r="AH72" s="2838"/>
      <c r="AI72" s="2838"/>
    </row>
    <row r="73" spans="1:40" ht="15" customHeight="1" thickTop="1" thickBot="1">
      <c r="A73" s="144" t="s">
        <v>60</v>
      </c>
      <c r="B73" s="144"/>
      <c r="C73" s="1460"/>
      <c r="D73" s="3116"/>
      <c r="E73" s="642"/>
      <c r="F73" s="642"/>
      <c r="G73" s="642"/>
      <c r="H73" s="642"/>
      <c r="I73" s="642"/>
      <c r="J73" s="642"/>
      <c r="K73" s="642"/>
      <c r="L73" s="2182">
        <f t="shared" si="84"/>
        <v>0.39790672758640266</v>
      </c>
      <c r="M73" s="643"/>
      <c r="N73" s="3117">
        <f>SUM(N67:N72)</f>
        <v>6.1101172030847084E-2</v>
      </c>
      <c r="O73" s="642"/>
      <c r="P73" s="642"/>
      <c r="Q73" s="642"/>
      <c r="R73" s="3118">
        <f>SUM(R67:R72)</f>
        <v>3200</v>
      </c>
      <c r="S73" s="3153"/>
      <c r="T73" s="3154"/>
      <c r="U73" s="3155">
        <f>SUM(U7:U72)</f>
        <v>1.5</v>
      </c>
      <c r="V73" s="3155">
        <f t="shared" ref="V73:AA73" si="98">SUM(V7:V72)</f>
        <v>9.7750000000000021</v>
      </c>
      <c r="W73" s="3155">
        <f t="shared" si="98"/>
        <v>7.1999999999999993</v>
      </c>
      <c r="X73" s="3155">
        <f t="shared" si="98"/>
        <v>3</v>
      </c>
      <c r="Y73" s="3155">
        <f t="shared" si="98"/>
        <v>0.9</v>
      </c>
      <c r="Z73" s="3155">
        <f t="shared" si="98"/>
        <v>5.0999999999999996</v>
      </c>
      <c r="AA73" s="3155">
        <f t="shared" si="98"/>
        <v>2.0249999999999995</v>
      </c>
      <c r="AB73" s="3155">
        <f>SUM(U73:AA73)</f>
        <v>29.5</v>
      </c>
      <c r="AC73" s="2825"/>
      <c r="AD73" s="2825"/>
      <c r="AE73" s="2838"/>
      <c r="AF73" s="2838"/>
      <c r="AG73" s="2838"/>
      <c r="AH73" s="2838"/>
      <c r="AI73" s="2838"/>
      <c r="AJ73" s="2825"/>
      <c r="AK73" s="2825"/>
      <c r="AL73" s="2825"/>
      <c r="AM73" s="2825"/>
    </row>
    <row r="74" spans="1:40" s="2914" customFormat="1" ht="19.5" customHeight="1" thickBot="1">
      <c r="A74" s="144"/>
      <c r="B74" s="144"/>
      <c r="C74" s="144"/>
      <c r="D74" s="4444"/>
      <c r="E74" s="4594">
        <f>U73*100000/$Q$74</f>
        <v>5.0847457627118642</v>
      </c>
      <c r="F74" s="4594">
        <f t="shared" ref="F74:K74" si="99">V73*100000/$Q$74</f>
        <v>33.13559322033899</v>
      </c>
      <c r="G74" s="4594">
        <f t="shared" si="99"/>
        <v>24.406779661016945</v>
      </c>
      <c r="H74" s="4594">
        <f t="shared" si="99"/>
        <v>10.169491525423728</v>
      </c>
      <c r="I74" s="4594">
        <f t="shared" si="99"/>
        <v>3.0508474576271185</v>
      </c>
      <c r="J74" s="4594">
        <f t="shared" si="99"/>
        <v>17.288135593220336</v>
      </c>
      <c r="K74" s="4595">
        <f t="shared" si="99"/>
        <v>6.8644067796610146</v>
      </c>
      <c r="L74" s="4378" t="s">
        <v>1922</v>
      </c>
      <c r="M74" s="1278"/>
      <c r="N74" s="1278"/>
      <c r="O74" s="1278"/>
      <c r="P74" s="1278"/>
      <c r="Q74" s="7881">
        <f>AB73*1000</f>
        <v>29500</v>
      </c>
      <c r="R74" s="7882"/>
      <c r="S74" s="144"/>
      <c r="T74" s="144"/>
      <c r="U74" s="3157">
        <f t="shared" ref="U74:AA89" si="100">IF(U73&gt;0,U73,U72)</f>
        <v>1.5</v>
      </c>
      <c r="V74" s="3157">
        <f t="shared" si="100"/>
        <v>9.7750000000000021</v>
      </c>
      <c r="W74" s="3157">
        <f t="shared" si="100"/>
        <v>7.1999999999999993</v>
      </c>
      <c r="X74" s="3157">
        <f t="shared" si="100"/>
        <v>3</v>
      </c>
      <c r="Y74" s="3157">
        <f t="shared" si="100"/>
        <v>0.9</v>
      </c>
      <c r="Z74" s="3157">
        <f t="shared" si="100"/>
        <v>5.0999999999999996</v>
      </c>
      <c r="AA74" s="3157">
        <f t="shared" si="100"/>
        <v>2.0249999999999995</v>
      </c>
      <c r="AB74" s="144"/>
      <c r="AC74" s="2826"/>
      <c r="AD74" s="2826"/>
      <c r="AE74" s="2838"/>
      <c r="AF74" s="2838"/>
      <c r="AG74" s="2838"/>
      <c r="AH74" s="2838"/>
      <c r="AI74" s="2838"/>
      <c r="AJ74" s="2826"/>
      <c r="AK74" s="2826"/>
      <c r="AL74" s="2826"/>
      <c r="AM74" s="2826"/>
      <c r="AN74" s="2913"/>
    </row>
    <row r="75" spans="1:40" ht="14" thickBot="1">
      <c r="A75" s="144"/>
      <c r="B75" s="144"/>
      <c r="C75" s="144"/>
      <c r="D75" s="4444"/>
      <c r="E75" s="4521">
        <f>E74*15/100</f>
        <v>0.76271186440677963</v>
      </c>
      <c r="F75" s="4522">
        <f t="shared" ref="F75:K75" si="101">F74*15/100</f>
        <v>4.9703389830508486</v>
      </c>
      <c r="G75" s="4523">
        <f t="shared" si="101"/>
        <v>3.6610169491525415</v>
      </c>
      <c r="H75" s="4524">
        <f t="shared" si="101"/>
        <v>1.5254237288135593</v>
      </c>
      <c r="I75" s="4525">
        <f t="shared" si="101"/>
        <v>0.45762711864406774</v>
      </c>
      <c r="J75" s="4526">
        <f t="shared" si="101"/>
        <v>2.5932203389830506</v>
      </c>
      <c r="K75" s="4527">
        <f t="shared" si="101"/>
        <v>1.0296610169491522</v>
      </c>
      <c r="L75" s="4378" t="s">
        <v>1252</v>
      </c>
      <c r="M75" s="144"/>
      <c r="N75" s="144"/>
      <c r="O75" s="144"/>
      <c r="P75" s="144"/>
      <c r="Q75" s="144"/>
      <c r="R75" s="144"/>
      <c r="S75" s="144"/>
      <c r="T75" s="144"/>
      <c r="U75" s="3157">
        <f t="shared" si="100"/>
        <v>1.5</v>
      </c>
      <c r="V75" s="3157">
        <f t="shared" si="100"/>
        <v>9.7750000000000021</v>
      </c>
      <c r="W75" s="3157">
        <f t="shared" si="100"/>
        <v>7.1999999999999993</v>
      </c>
      <c r="X75" s="3157">
        <f t="shared" si="100"/>
        <v>3</v>
      </c>
      <c r="Y75" s="3157">
        <f t="shared" si="100"/>
        <v>0.9</v>
      </c>
      <c r="Z75" s="3157">
        <f t="shared" si="100"/>
        <v>5.0999999999999996</v>
      </c>
      <c r="AA75" s="3157">
        <f t="shared" si="100"/>
        <v>2.0249999999999995</v>
      </c>
      <c r="AB75" s="144"/>
      <c r="AE75" s="2838"/>
      <c r="AF75" s="2838"/>
      <c r="AG75" s="2838"/>
      <c r="AH75" s="2838"/>
      <c r="AI75" s="2838"/>
    </row>
    <row r="76" spans="1:40" ht="15.75" customHeight="1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3157">
        <f t="shared" si="100"/>
        <v>1.5</v>
      </c>
      <c r="V76" s="3157">
        <f t="shared" si="100"/>
        <v>9.7750000000000021</v>
      </c>
      <c r="W76" s="3157">
        <f t="shared" si="100"/>
        <v>7.1999999999999993</v>
      </c>
      <c r="X76" s="3157">
        <f t="shared" si="100"/>
        <v>3</v>
      </c>
      <c r="Y76" s="3157">
        <f t="shared" si="100"/>
        <v>0.9</v>
      </c>
      <c r="Z76" s="3157">
        <f t="shared" si="100"/>
        <v>5.0999999999999996</v>
      </c>
      <c r="AA76" s="3157">
        <f t="shared" si="100"/>
        <v>2.0249999999999995</v>
      </c>
      <c r="AB76" s="144"/>
    </row>
    <row r="77" spans="1:40" ht="72" customHeight="1">
      <c r="A77" s="144"/>
      <c r="B77" s="144"/>
      <c r="C77" s="144"/>
      <c r="D77" s="906"/>
      <c r="E77" s="4916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3157">
        <f t="shared" si="100"/>
        <v>1.5</v>
      </c>
      <c r="V77" s="3157">
        <f t="shared" si="100"/>
        <v>9.7750000000000021</v>
      </c>
      <c r="W77" s="3157">
        <f t="shared" si="100"/>
        <v>7.1999999999999993</v>
      </c>
      <c r="X77" s="3157">
        <f t="shared" si="100"/>
        <v>3</v>
      </c>
      <c r="Y77" s="3157">
        <f t="shared" si="100"/>
        <v>0.9</v>
      </c>
      <c r="Z77" s="3157">
        <f t="shared" si="100"/>
        <v>5.0999999999999996</v>
      </c>
      <c r="AA77" s="3157">
        <f t="shared" si="100"/>
        <v>2.0249999999999995</v>
      </c>
      <c r="AB77" s="144"/>
      <c r="AC77" s="2837"/>
      <c r="AD77" s="2838"/>
      <c r="AE77" s="2838"/>
      <c r="AF77" s="2838"/>
      <c r="AG77" s="2838"/>
      <c r="AH77" s="2838"/>
      <c r="AI77" s="2836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3157">
        <f t="shared" si="100"/>
        <v>1.5</v>
      </c>
      <c r="V78" s="3157">
        <f t="shared" si="100"/>
        <v>9.7750000000000021</v>
      </c>
      <c r="W78" s="3157">
        <f t="shared" si="100"/>
        <v>7.1999999999999993</v>
      </c>
      <c r="X78" s="3157">
        <f t="shared" si="100"/>
        <v>3</v>
      </c>
      <c r="Y78" s="3157">
        <f t="shared" si="100"/>
        <v>0.9</v>
      </c>
      <c r="Z78" s="3157">
        <f t="shared" si="100"/>
        <v>5.0999999999999996</v>
      </c>
      <c r="AA78" s="3157">
        <f t="shared" si="100"/>
        <v>2.0249999999999995</v>
      </c>
      <c r="AB78" s="144"/>
      <c r="AC78" s="2867" t="s">
        <v>193</v>
      </c>
      <c r="AD78" s="2937"/>
      <c r="AE78" s="2937"/>
      <c r="AF78" s="2937"/>
      <c r="AG78" s="2937"/>
      <c r="AH78" s="2937"/>
      <c r="AI78" s="2935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3157">
        <f t="shared" si="100"/>
        <v>1.5</v>
      </c>
      <c r="V79" s="3157">
        <f t="shared" si="100"/>
        <v>9.7750000000000021</v>
      </c>
      <c r="W79" s="3157">
        <f t="shared" si="100"/>
        <v>7.1999999999999993</v>
      </c>
      <c r="X79" s="3157">
        <f t="shared" si="100"/>
        <v>3</v>
      </c>
      <c r="Y79" s="3157">
        <f t="shared" si="100"/>
        <v>0.9</v>
      </c>
      <c r="Z79" s="3157">
        <f t="shared" si="100"/>
        <v>5.0999999999999996</v>
      </c>
      <c r="AA79" s="3157">
        <f t="shared" si="100"/>
        <v>2.0249999999999995</v>
      </c>
      <c r="AB79" s="144"/>
      <c r="AC79" s="2867">
        <v>0</v>
      </c>
      <c r="AD79" s="2867">
        <v>0</v>
      </c>
      <c r="AE79" s="2867">
        <v>0</v>
      </c>
      <c r="AF79" s="2867">
        <v>0</v>
      </c>
      <c r="AG79" s="2867">
        <v>0</v>
      </c>
      <c r="AH79" s="2867">
        <v>0</v>
      </c>
      <c r="AI79" s="2935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3157">
        <f t="shared" si="100"/>
        <v>1.5</v>
      </c>
      <c r="V80" s="3157">
        <f t="shared" si="100"/>
        <v>9.7750000000000021</v>
      </c>
      <c r="W80" s="3157">
        <f t="shared" si="100"/>
        <v>7.1999999999999993</v>
      </c>
      <c r="X80" s="3157">
        <f t="shared" si="100"/>
        <v>3</v>
      </c>
      <c r="Y80" s="3157">
        <f t="shared" si="100"/>
        <v>0.9</v>
      </c>
      <c r="Z80" s="3157">
        <f t="shared" si="100"/>
        <v>5.0999999999999996</v>
      </c>
      <c r="AA80" s="3157">
        <f t="shared" si="100"/>
        <v>2.0249999999999995</v>
      </c>
      <c r="AB80" s="144"/>
      <c r="AC80" s="2867"/>
      <c r="AD80" s="2867"/>
      <c r="AE80" s="2867"/>
      <c r="AF80" s="2867"/>
      <c r="AG80" s="2867"/>
      <c r="AH80" s="2867"/>
      <c r="AI80" s="2935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3157">
        <f t="shared" si="100"/>
        <v>1.5</v>
      </c>
      <c r="V81" s="3157">
        <f t="shared" si="100"/>
        <v>9.7750000000000021</v>
      </c>
      <c r="W81" s="3157">
        <f t="shared" si="100"/>
        <v>7.1999999999999993</v>
      </c>
      <c r="X81" s="3157">
        <f t="shared" si="100"/>
        <v>3</v>
      </c>
      <c r="Y81" s="3157">
        <f t="shared" si="100"/>
        <v>0.9</v>
      </c>
      <c r="Z81" s="3157">
        <f t="shared" si="100"/>
        <v>5.0999999999999996</v>
      </c>
      <c r="AA81" s="3157">
        <f t="shared" si="100"/>
        <v>2.0249999999999995</v>
      </c>
      <c r="AB81" s="144"/>
      <c r="AC81" s="2867"/>
      <c r="AD81" s="2867"/>
      <c r="AE81" s="2867"/>
      <c r="AF81" s="2867"/>
      <c r="AG81" s="2867"/>
      <c r="AH81" s="2867"/>
      <c r="AI81" s="2935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3157">
        <f t="shared" si="100"/>
        <v>1.5</v>
      </c>
      <c r="V82" s="3157">
        <f t="shared" si="100"/>
        <v>9.7750000000000021</v>
      </c>
      <c r="W82" s="3157">
        <f t="shared" si="100"/>
        <v>7.1999999999999993</v>
      </c>
      <c r="X82" s="3157">
        <f t="shared" si="100"/>
        <v>3</v>
      </c>
      <c r="Y82" s="3157">
        <f t="shared" si="100"/>
        <v>0.9</v>
      </c>
      <c r="Z82" s="3157">
        <f t="shared" si="100"/>
        <v>5.0999999999999996</v>
      </c>
      <c r="AA82" s="3157">
        <f t="shared" si="100"/>
        <v>2.0249999999999995</v>
      </c>
      <c r="AB82" s="144"/>
      <c r="AC82" s="2867">
        <v>0</v>
      </c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93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3157">
        <f t="shared" si="100"/>
        <v>1.5</v>
      </c>
      <c r="V83" s="3157">
        <f t="shared" si="100"/>
        <v>9.7750000000000021</v>
      </c>
      <c r="W83" s="3157">
        <f t="shared" si="100"/>
        <v>7.1999999999999993</v>
      </c>
      <c r="X83" s="3157">
        <f t="shared" si="100"/>
        <v>3</v>
      </c>
      <c r="Y83" s="3157">
        <f t="shared" si="100"/>
        <v>0.9</v>
      </c>
      <c r="Z83" s="3157">
        <f t="shared" si="100"/>
        <v>5.0999999999999996</v>
      </c>
      <c r="AA83" s="3157">
        <f t="shared" si="100"/>
        <v>2.0249999999999995</v>
      </c>
      <c r="AB83" s="144"/>
      <c r="AC83" s="2867">
        <v>0</v>
      </c>
      <c r="AD83" s="2867">
        <v>0</v>
      </c>
      <c r="AE83" s="2867">
        <v>0</v>
      </c>
      <c r="AF83" s="2867">
        <v>0</v>
      </c>
      <c r="AG83" s="2867">
        <v>0</v>
      </c>
      <c r="AH83" s="2867">
        <v>0</v>
      </c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3157">
        <f t="shared" si="100"/>
        <v>1.5</v>
      </c>
      <c r="V84" s="3157">
        <f t="shared" si="100"/>
        <v>9.7750000000000021</v>
      </c>
      <c r="W84" s="3157">
        <f t="shared" si="100"/>
        <v>7.1999999999999993</v>
      </c>
      <c r="X84" s="3157">
        <f t="shared" si="100"/>
        <v>3</v>
      </c>
      <c r="Y84" s="3157">
        <f t="shared" si="100"/>
        <v>0.9</v>
      </c>
      <c r="Z84" s="3157">
        <f t="shared" si="100"/>
        <v>5.0999999999999996</v>
      </c>
      <c r="AA84" s="3157">
        <f t="shared" si="100"/>
        <v>2.0249999999999995</v>
      </c>
      <c r="AB84" s="144"/>
      <c r="AC84" s="2867"/>
      <c r="AD84" s="2867"/>
      <c r="AE84" s="2867"/>
      <c r="AF84" s="2867"/>
      <c r="AG84" s="2867"/>
      <c r="AH84" s="2867"/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3157">
        <f t="shared" si="100"/>
        <v>1.5</v>
      </c>
      <c r="V85" s="3157">
        <f t="shared" si="100"/>
        <v>9.7750000000000021</v>
      </c>
      <c r="W85" s="3157">
        <f t="shared" si="100"/>
        <v>7.1999999999999993</v>
      </c>
      <c r="X85" s="3157">
        <f t="shared" si="100"/>
        <v>3</v>
      </c>
      <c r="Y85" s="3157">
        <f t="shared" si="100"/>
        <v>0.9</v>
      </c>
      <c r="Z85" s="3157">
        <f t="shared" si="100"/>
        <v>5.0999999999999996</v>
      </c>
      <c r="AA85" s="3157">
        <f t="shared" si="100"/>
        <v>2.0249999999999995</v>
      </c>
      <c r="AB85" s="144"/>
      <c r="AC85" s="2867"/>
      <c r="AD85" s="2867"/>
      <c r="AE85" s="2867"/>
      <c r="AF85" s="2867"/>
      <c r="AG85" s="2867"/>
      <c r="AH85" s="2867"/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3157">
        <f t="shared" si="100"/>
        <v>1.5</v>
      </c>
      <c r="V86" s="3157">
        <f t="shared" si="100"/>
        <v>9.7750000000000021</v>
      </c>
      <c r="W86" s="3157">
        <f t="shared" si="100"/>
        <v>7.1999999999999993</v>
      </c>
      <c r="X86" s="3157">
        <f t="shared" si="100"/>
        <v>3</v>
      </c>
      <c r="Y86" s="3157">
        <f t="shared" si="100"/>
        <v>0.9</v>
      </c>
      <c r="Z86" s="3157">
        <f t="shared" si="100"/>
        <v>5.0999999999999996</v>
      </c>
      <c r="AA86" s="3157">
        <f t="shared" si="100"/>
        <v>2.0249999999999995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3157">
        <f t="shared" si="100"/>
        <v>1.5</v>
      </c>
      <c r="V87" s="3157">
        <f t="shared" si="100"/>
        <v>9.7750000000000021</v>
      </c>
      <c r="W87" s="3157">
        <f t="shared" si="100"/>
        <v>7.1999999999999993</v>
      </c>
      <c r="X87" s="3157">
        <f t="shared" si="100"/>
        <v>3</v>
      </c>
      <c r="Y87" s="3157">
        <f t="shared" si="100"/>
        <v>0.9</v>
      </c>
      <c r="Z87" s="3157">
        <f t="shared" si="100"/>
        <v>5.0999999999999996</v>
      </c>
      <c r="AA87" s="3157">
        <f t="shared" si="100"/>
        <v>2.0249999999999995</v>
      </c>
      <c r="AB87" s="144"/>
      <c r="AC87" s="2867">
        <v>0</v>
      </c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3157">
        <f t="shared" si="100"/>
        <v>1.5</v>
      </c>
      <c r="V88" s="3157">
        <f t="shared" si="100"/>
        <v>9.7750000000000021</v>
      </c>
      <c r="W88" s="3157">
        <f t="shared" si="100"/>
        <v>7.1999999999999993</v>
      </c>
      <c r="X88" s="3157">
        <f t="shared" si="100"/>
        <v>3</v>
      </c>
      <c r="Y88" s="3157">
        <f t="shared" si="100"/>
        <v>0.9</v>
      </c>
      <c r="Z88" s="3157">
        <f t="shared" si="100"/>
        <v>5.0999999999999996</v>
      </c>
      <c r="AA88" s="3157">
        <f t="shared" si="100"/>
        <v>2.0249999999999995</v>
      </c>
      <c r="AB88" s="144"/>
      <c r="AC88" s="2867">
        <v>0</v>
      </c>
      <c r="AD88" s="2867">
        <v>0</v>
      </c>
      <c r="AE88" s="2867">
        <v>0</v>
      </c>
      <c r="AF88" s="2867">
        <v>0</v>
      </c>
      <c r="AG88" s="2867">
        <v>0</v>
      </c>
      <c r="AH88" s="2867">
        <v>0</v>
      </c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3157">
        <f t="shared" si="100"/>
        <v>1.5</v>
      </c>
      <c r="V89" s="3157">
        <f t="shared" si="100"/>
        <v>9.7750000000000021</v>
      </c>
      <c r="W89" s="3157">
        <f t="shared" si="100"/>
        <v>7.1999999999999993</v>
      </c>
      <c r="X89" s="3157">
        <f t="shared" si="100"/>
        <v>3</v>
      </c>
      <c r="Y89" s="3157">
        <f t="shared" si="100"/>
        <v>0.9</v>
      </c>
      <c r="Z89" s="3157">
        <f t="shared" si="100"/>
        <v>5.0999999999999996</v>
      </c>
      <c r="AA89" s="3157">
        <f t="shared" si="100"/>
        <v>2.0249999999999995</v>
      </c>
      <c r="AB89" s="144"/>
      <c r="AC89" s="2867">
        <v>0</v>
      </c>
      <c r="AD89" s="2867">
        <v>0</v>
      </c>
      <c r="AE89" s="2867">
        <v>0</v>
      </c>
      <c r="AF89" s="2867">
        <v>0</v>
      </c>
      <c r="AG89" s="2867">
        <v>0</v>
      </c>
      <c r="AH89" s="2867">
        <v>0</v>
      </c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3157">
        <f t="shared" ref="U90:AA105" si="102">IF(U89&gt;0,U89,U88)</f>
        <v>1.5</v>
      </c>
      <c r="V90" s="3157">
        <f t="shared" si="102"/>
        <v>9.7750000000000021</v>
      </c>
      <c r="W90" s="3157">
        <f t="shared" si="102"/>
        <v>7.1999999999999993</v>
      </c>
      <c r="X90" s="3157">
        <f t="shared" si="102"/>
        <v>3</v>
      </c>
      <c r="Y90" s="3157">
        <f t="shared" si="102"/>
        <v>0.9</v>
      </c>
      <c r="Z90" s="3157">
        <f t="shared" si="102"/>
        <v>5.0999999999999996</v>
      </c>
      <c r="AA90" s="3157">
        <f t="shared" si="102"/>
        <v>2.0249999999999995</v>
      </c>
      <c r="AB90" s="144"/>
      <c r="AC90" s="2867"/>
      <c r="AD90" s="2867"/>
      <c r="AE90" s="2867"/>
      <c r="AF90" s="2867"/>
      <c r="AG90" s="2867"/>
      <c r="AH90" s="2867"/>
      <c r="AI90" s="2825"/>
      <c r="AJ90" s="1"/>
      <c r="AK90" s="1"/>
      <c r="AL90" s="1"/>
      <c r="AM90" s="1"/>
      <c r="AN90" s="1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3157">
        <f t="shared" si="102"/>
        <v>1.5</v>
      </c>
      <c r="V91" s="3157">
        <f t="shared" si="102"/>
        <v>9.7750000000000021</v>
      </c>
      <c r="W91" s="3157">
        <f t="shared" si="102"/>
        <v>7.1999999999999993</v>
      </c>
      <c r="X91" s="3157">
        <f t="shared" si="102"/>
        <v>3</v>
      </c>
      <c r="Y91" s="3157">
        <f t="shared" si="102"/>
        <v>0.9</v>
      </c>
      <c r="Z91" s="3157">
        <f t="shared" si="102"/>
        <v>5.0999999999999996</v>
      </c>
      <c r="AA91" s="3157">
        <f t="shared" si="102"/>
        <v>2.0249999999999995</v>
      </c>
      <c r="AB91" s="144"/>
      <c r="AC91" s="2867"/>
      <c r="AD91" s="2867"/>
      <c r="AE91" s="2867"/>
      <c r="AF91" s="2867"/>
      <c r="AG91" s="2867"/>
      <c r="AH91" s="2867"/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3157">
        <f t="shared" si="102"/>
        <v>1.5</v>
      </c>
      <c r="V92" s="3157">
        <f t="shared" si="102"/>
        <v>9.7750000000000021</v>
      </c>
      <c r="W92" s="3157">
        <f t="shared" si="102"/>
        <v>7.1999999999999993</v>
      </c>
      <c r="X92" s="3157">
        <f t="shared" si="102"/>
        <v>3</v>
      </c>
      <c r="Y92" s="3157">
        <f t="shared" si="102"/>
        <v>0.9</v>
      </c>
      <c r="Z92" s="3157">
        <f t="shared" si="102"/>
        <v>5.0999999999999996</v>
      </c>
      <c r="AA92" s="3157">
        <f t="shared" si="102"/>
        <v>2.0249999999999995</v>
      </c>
      <c r="AB92" s="144"/>
      <c r="AC92" s="2867">
        <v>0</v>
      </c>
      <c r="AD92" s="2867">
        <v>0</v>
      </c>
      <c r="AE92" s="2867">
        <v>0</v>
      </c>
      <c r="AF92" s="2867">
        <v>0</v>
      </c>
      <c r="AG92" s="2867">
        <v>0</v>
      </c>
      <c r="AH92" s="2867">
        <v>0</v>
      </c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3157">
        <f t="shared" si="102"/>
        <v>1.5</v>
      </c>
      <c r="V93" s="3157">
        <f t="shared" si="102"/>
        <v>9.7750000000000021</v>
      </c>
      <c r="W93" s="3157">
        <f t="shared" si="102"/>
        <v>7.1999999999999993</v>
      </c>
      <c r="X93" s="3157">
        <f t="shared" si="102"/>
        <v>3</v>
      </c>
      <c r="Y93" s="3157">
        <f t="shared" si="102"/>
        <v>0.9</v>
      </c>
      <c r="Z93" s="3157">
        <f t="shared" si="102"/>
        <v>5.0999999999999996</v>
      </c>
      <c r="AA93" s="3157">
        <f t="shared" si="102"/>
        <v>2.0249999999999995</v>
      </c>
      <c r="AB93" s="144"/>
      <c r="AC93" s="2867">
        <v>0</v>
      </c>
      <c r="AD93" s="2867">
        <v>0</v>
      </c>
      <c r="AE93" s="2867">
        <v>0</v>
      </c>
      <c r="AF93" s="2867">
        <v>0</v>
      </c>
      <c r="AG93" s="2867">
        <v>0</v>
      </c>
      <c r="AH93" s="2867">
        <v>0</v>
      </c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3157">
        <f t="shared" si="102"/>
        <v>1.5</v>
      </c>
      <c r="V94" s="3157">
        <f t="shared" si="102"/>
        <v>9.7750000000000021</v>
      </c>
      <c r="W94" s="3157">
        <f t="shared" si="102"/>
        <v>7.1999999999999993</v>
      </c>
      <c r="X94" s="3157">
        <f t="shared" si="102"/>
        <v>3</v>
      </c>
      <c r="Y94" s="3157">
        <f t="shared" si="102"/>
        <v>0.9</v>
      </c>
      <c r="Z94" s="3157">
        <f t="shared" si="102"/>
        <v>5.0999999999999996</v>
      </c>
      <c r="AA94" s="3157">
        <f t="shared" si="102"/>
        <v>2.0249999999999995</v>
      </c>
      <c r="AB94" s="144"/>
      <c r="AC94" s="2867">
        <v>0</v>
      </c>
      <c r="AD94" s="2867">
        <v>0</v>
      </c>
      <c r="AE94" s="2867">
        <v>0</v>
      </c>
      <c r="AF94" s="2867">
        <v>0</v>
      </c>
      <c r="AG94" s="2867">
        <v>0</v>
      </c>
      <c r="AH94" s="2867">
        <v>0</v>
      </c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3157">
        <f t="shared" si="102"/>
        <v>1.5</v>
      </c>
      <c r="V95" s="3157">
        <f t="shared" si="102"/>
        <v>9.7750000000000021</v>
      </c>
      <c r="W95" s="3157">
        <f t="shared" si="102"/>
        <v>7.1999999999999993</v>
      </c>
      <c r="X95" s="3157">
        <f t="shared" si="102"/>
        <v>3</v>
      </c>
      <c r="Y95" s="3157">
        <f t="shared" si="102"/>
        <v>0.9</v>
      </c>
      <c r="Z95" s="3157">
        <f t="shared" si="102"/>
        <v>5.0999999999999996</v>
      </c>
      <c r="AA95" s="3157">
        <f t="shared" si="102"/>
        <v>2.0249999999999995</v>
      </c>
      <c r="AB95" s="144"/>
      <c r="AC95" s="2867"/>
      <c r="AD95" s="2867"/>
      <c r="AE95" s="2867"/>
      <c r="AF95" s="2867"/>
      <c r="AG95" s="2867"/>
      <c r="AH95" s="2867"/>
      <c r="AI95" s="282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3157">
        <f t="shared" si="102"/>
        <v>1.5</v>
      </c>
      <c r="V96" s="3157">
        <f t="shared" si="102"/>
        <v>9.7750000000000021</v>
      </c>
      <c r="W96" s="3157">
        <f t="shared" si="102"/>
        <v>7.1999999999999993</v>
      </c>
      <c r="X96" s="3157">
        <f t="shared" si="102"/>
        <v>3</v>
      </c>
      <c r="Y96" s="3157">
        <f t="shared" si="102"/>
        <v>0.9</v>
      </c>
      <c r="Z96" s="3157">
        <f t="shared" si="102"/>
        <v>5.0999999999999996</v>
      </c>
      <c r="AA96" s="3157">
        <f t="shared" si="102"/>
        <v>2.0249999999999995</v>
      </c>
      <c r="AB96" s="144"/>
      <c r="AC96" s="2867"/>
      <c r="AD96" s="2867"/>
      <c r="AE96" s="2867"/>
      <c r="AF96" s="2867"/>
      <c r="AG96" s="2867"/>
      <c r="AH96" s="2867"/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3157">
        <f t="shared" si="102"/>
        <v>1.5</v>
      </c>
      <c r="V97" s="3157">
        <f t="shared" si="102"/>
        <v>9.7750000000000021</v>
      </c>
      <c r="W97" s="3157">
        <f t="shared" si="102"/>
        <v>7.1999999999999993</v>
      </c>
      <c r="X97" s="3157">
        <f t="shared" si="102"/>
        <v>3</v>
      </c>
      <c r="Y97" s="3157">
        <f t="shared" si="102"/>
        <v>0.9</v>
      </c>
      <c r="Z97" s="3157">
        <f t="shared" si="102"/>
        <v>5.0999999999999996</v>
      </c>
      <c r="AA97" s="3157">
        <f t="shared" si="102"/>
        <v>2.0249999999999995</v>
      </c>
      <c r="AB97" s="144"/>
      <c r="AC97" s="2867">
        <v>0</v>
      </c>
      <c r="AD97" s="2867">
        <v>0</v>
      </c>
      <c r="AE97" s="2867">
        <v>0</v>
      </c>
      <c r="AF97" s="2867">
        <v>0</v>
      </c>
      <c r="AG97" s="2867">
        <v>0</v>
      </c>
      <c r="AH97" s="2867">
        <v>0</v>
      </c>
      <c r="AI97" s="2825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3157">
        <f t="shared" si="102"/>
        <v>1.5</v>
      </c>
      <c r="V98" s="3157">
        <f t="shared" si="102"/>
        <v>9.7750000000000021</v>
      </c>
      <c r="W98" s="3157">
        <f t="shared" si="102"/>
        <v>7.1999999999999993</v>
      </c>
      <c r="X98" s="3157">
        <f t="shared" si="102"/>
        <v>3</v>
      </c>
      <c r="Y98" s="3157">
        <f t="shared" si="102"/>
        <v>0.9</v>
      </c>
      <c r="Z98" s="3157">
        <f t="shared" si="102"/>
        <v>5.0999999999999996</v>
      </c>
      <c r="AA98" s="3157">
        <f t="shared" si="102"/>
        <v>2.0249999999999995</v>
      </c>
      <c r="AB98" s="144"/>
      <c r="AC98" s="2867">
        <v>0</v>
      </c>
      <c r="AD98" s="2867">
        <v>0</v>
      </c>
      <c r="AE98" s="2867">
        <v>0</v>
      </c>
      <c r="AF98" s="2867">
        <v>0</v>
      </c>
      <c r="AG98" s="2867">
        <v>0</v>
      </c>
      <c r="AH98" s="2867">
        <v>0</v>
      </c>
      <c r="AI98" s="2825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3157">
        <f t="shared" si="102"/>
        <v>1.5</v>
      </c>
      <c r="V99" s="3157">
        <f t="shared" si="102"/>
        <v>9.7750000000000021</v>
      </c>
      <c r="W99" s="3157">
        <f t="shared" si="102"/>
        <v>7.1999999999999993</v>
      </c>
      <c r="X99" s="3157">
        <f t="shared" si="102"/>
        <v>3</v>
      </c>
      <c r="Y99" s="3157">
        <f t="shared" si="102"/>
        <v>0.9</v>
      </c>
      <c r="Z99" s="3157">
        <f t="shared" si="102"/>
        <v>5.0999999999999996</v>
      </c>
      <c r="AA99" s="3157">
        <f t="shared" si="102"/>
        <v>2.0249999999999995</v>
      </c>
      <c r="AB99" s="144"/>
      <c r="AC99" s="2867">
        <v>0</v>
      </c>
      <c r="AD99" s="2867">
        <v>0</v>
      </c>
      <c r="AE99" s="2867">
        <v>0</v>
      </c>
      <c r="AF99" s="2867">
        <v>0</v>
      </c>
      <c r="AG99" s="2867">
        <v>0</v>
      </c>
      <c r="AH99" s="2867">
        <v>0</v>
      </c>
      <c r="AI99" s="2825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3157">
        <f t="shared" si="102"/>
        <v>1.5</v>
      </c>
      <c r="V100" s="3157">
        <f t="shared" si="102"/>
        <v>9.7750000000000021</v>
      </c>
      <c r="W100" s="3157">
        <f t="shared" si="102"/>
        <v>7.1999999999999993</v>
      </c>
      <c r="X100" s="3157">
        <f t="shared" si="102"/>
        <v>3</v>
      </c>
      <c r="Y100" s="3157">
        <f t="shared" si="102"/>
        <v>0.9</v>
      </c>
      <c r="Z100" s="3157">
        <f t="shared" si="102"/>
        <v>5.0999999999999996</v>
      </c>
      <c r="AA100" s="3157">
        <f t="shared" si="102"/>
        <v>2.0249999999999995</v>
      </c>
      <c r="AB100" s="144"/>
      <c r="AC100" s="2867"/>
      <c r="AD100" s="2867"/>
      <c r="AE100" s="2867"/>
      <c r="AF100" s="2867"/>
      <c r="AG100" s="2867"/>
      <c r="AH100" s="2867"/>
      <c r="AI100" s="2825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3157">
        <f t="shared" si="102"/>
        <v>1.5</v>
      </c>
      <c r="V101" s="3157">
        <f t="shared" si="102"/>
        <v>9.7750000000000021</v>
      </c>
      <c r="W101" s="3157">
        <f t="shared" si="102"/>
        <v>7.1999999999999993</v>
      </c>
      <c r="X101" s="3157">
        <f t="shared" si="102"/>
        <v>3</v>
      </c>
      <c r="Y101" s="3157">
        <f t="shared" si="102"/>
        <v>0.9</v>
      </c>
      <c r="Z101" s="3157">
        <f t="shared" si="102"/>
        <v>5.0999999999999996</v>
      </c>
      <c r="AA101" s="3157">
        <f t="shared" si="102"/>
        <v>2.0249999999999995</v>
      </c>
      <c r="AB101" s="144"/>
      <c r="AC101" s="2867"/>
      <c r="AD101" s="2867"/>
      <c r="AE101" s="2867"/>
      <c r="AF101" s="2867"/>
      <c r="AG101" s="2867"/>
      <c r="AH101" s="2867"/>
      <c r="AI101" s="2825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3157">
        <f t="shared" si="102"/>
        <v>1.5</v>
      </c>
      <c r="V102" s="3157">
        <f t="shared" si="102"/>
        <v>9.7750000000000021</v>
      </c>
      <c r="W102" s="3157">
        <f t="shared" si="102"/>
        <v>7.1999999999999993</v>
      </c>
      <c r="X102" s="3157">
        <f t="shared" si="102"/>
        <v>3</v>
      </c>
      <c r="Y102" s="3157">
        <f t="shared" si="102"/>
        <v>0.9</v>
      </c>
      <c r="Z102" s="3157">
        <f t="shared" si="102"/>
        <v>5.0999999999999996</v>
      </c>
      <c r="AA102" s="3157">
        <f t="shared" si="102"/>
        <v>2.0249999999999995</v>
      </c>
      <c r="AB102" s="144"/>
      <c r="AC102" s="2867">
        <v>0</v>
      </c>
      <c r="AD102" s="2867">
        <v>0</v>
      </c>
      <c r="AE102" s="2867">
        <v>0</v>
      </c>
      <c r="AF102" s="2867">
        <v>0</v>
      </c>
      <c r="AG102" s="2867">
        <v>0</v>
      </c>
      <c r="AH102" s="2867">
        <v>0</v>
      </c>
      <c r="AI102" s="2825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3157">
        <f t="shared" si="102"/>
        <v>1.5</v>
      </c>
      <c r="V103" s="3157">
        <f t="shared" si="102"/>
        <v>9.7750000000000021</v>
      </c>
      <c r="W103" s="3157">
        <f t="shared" si="102"/>
        <v>7.1999999999999993</v>
      </c>
      <c r="X103" s="3157">
        <f t="shared" si="102"/>
        <v>3</v>
      </c>
      <c r="Y103" s="3157">
        <f t="shared" si="102"/>
        <v>0.9</v>
      </c>
      <c r="Z103" s="3157">
        <f t="shared" si="102"/>
        <v>5.0999999999999996</v>
      </c>
      <c r="AA103" s="3157">
        <f t="shared" si="102"/>
        <v>2.0249999999999995</v>
      </c>
      <c r="AB103" s="144"/>
      <c r="AC103" s="2867">
        <v>0</v>
      </c>
      <c r="AD103" s="2867">
        <v>0</v>
      </c>
      <c r="AE103" s="2867">
        <v>0</v>
      </c>
      <c r="AF103" s="2867">
        <v>0</v>
      </c>
      <c r="AG103" s="2867">
        <v>0</v>
      </c>
      <c r="AH103" s="2867">
        <v>0</v>
      </c>
      <c r="AI103" s="2825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3157">
        <f t="shared" si="102"/>
        <v>1.5</v>
      </c>
      <c r="V104" s="3157">
        <f t="shared" si="102"/>
        <v>9.7750000000000021</v>
      </c>
      <c r="W104" s="3157">
        <f t="shared" si="102"/>
        <v>7.1999999999999993</v>
      </c>
      <c r="X104" s="3157">
        <f t="shared" si="102"/>
        <v>3</v>
      </c>
      <c r="Y104" s="3157">
        <f t="shared" si="102"/>
        <v>0.9</v>
      </c>
      <c r="Z104" s="3157">
        <f t="shared" si="102"/>
        <v>5.0999999999999996</v>
      </c>
      <c r="AA104" s="3157">
        <f t="shared" si="102"/>
        <v>2.0249999999999995</v>
      </c>
      <c r="AB104" s="144"/>
      <c r="AC104" s="2867"/>
      <c r="AD104" s="2867"/>
      <c r="AE104" s="2867"/>
      <c r="AF104" s="2867"/>
      <c r="AG104" s="2867"/>
      <c r="AH104" s="2867"/>
      <c r="AI104" s="2825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3157">
        <f t="shared" si="102"/>
        <v>1.5</v>
      </c>
      <c r="V105" s="3157">
        <f t="shared" si="102"/>
        <v>9.7750000000000021</v>
      </c>
      <c r="W105" s="3157">
        <f t="shared" si="102"/>
        <v>7.1999999999999993</v>
      </c>
      <c r="X105" s="3157">
        <f t="shared" si="102"/>
        <v>3</v>
      </c>
      <c r="Y105" s="3157">
        <f t="shared" si="102"/>
        <v>0.9</v>
      </c>
      <c r="Z105" s="3157">
        <f t="shared" si="102"/>
        <v>5.0999999999999996</v>
      </c>
      <c r="AA105" s="3157">
        <f t="shared" si="102"/>
        <v>2.0249999999999995</v>
      </c>
      <c r="AB105" s="144"/>
      <c r="AC105" s="2867"/>
      <c r="AD105" s="2867"/>
      <c r="AE105" s="2867"/>
      <c r="AF105" s="2867"/>
      <c r="AG105" s="2867"/>
      <c r="AH105" s="2867"/>
      <c r="AI105" s="2825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3157">
        <f t="shared" ref="U106:AA121" si="103">IF(U105&gt;0,U105,U104)</f>
        <v>1.5</v>
      </c>
      <c r="V106" s="3157">
        <f t="shared" si="103"/>
        <v>9.7750000000000021</v>
      </c>
      <c r="W106" s="3157">
        <f t="shared" si="103"/>
        <v>7.1999999999999993</v>
      </c>
      <c r="X106" s="3157">
        <f t="shared" si="103"/>
        <v>3</v>
      </c>
      <c r="Y106" s="3157">
        <f t="shared" si="103"/>
        <v>0.9</v>
      </c>
      <c r="Z106" s="3157">
        <f t="shared" si="103"/>
        <v>5.0999999999999996</v>
      </c>
      <c r="AA106" s="3157">
        <f t="shared" si="103"/>
        <v>2.0249999999999995</v>
      </c>
      <c r="AB106" s="144"/>
      <c r="AC106" s="2867">
        <v>0</v>
      </c>
      <c r="AD106" s="2867">
        <v>0</v>
      </c>
      <c r="AE106" s="2867">
        <v>0</v>
      </c>
      <c r="AF106" s="2867">
        <v>0</v>
      </c>
      <c r="AG106" s="2867">
        <v>0</v>
      </c>
      <c r="AH106" s="2867">
        <v>0</v>
      </c>
      <c r="AI106" s="2825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3157">
        <f t="shared" si="103"/>
        <v>1.5</v>
      </c>
      <c r="V107" s="3157">
        <f t="shared" si="103"/>
        <v>9.7750000000000021</v>
      </c>
      <c r="W107" s="3157">
        <f t="shared" si="103"/>
        <v>7.1999999999999993</v>
      </c>
      <c r="X107" s="3157">
        <f t="shared" si="103"/>
        <v>3</v>
      </c>
      <c r="Y107" s="3157">
        <f t="shared" si="103"/>
        <v>0.9</v>
      </c>
      <c r="Z107" s="3157">
        <f t="shared" si="103"/>
        <v>5.0999999999999996</v>
      </c>
      <c r="AA107" s="3157">
        <f t="shared" si="103"/>
        <v>2.0249999999999995</v>
      </c>
      <c r="AB107" s="144"/>
      <c r="AC107" s="2867">
        <v>0</v>
      </c>
      <c r="AD107" s="2867">
        <v>0</v>
      </c>
      <c r="AE107" s="2867">
        <v>0</v>
      </c>
      <c r="AF107" s="2867">
        <v>0</v>
      </c>
      <c r="AG107" s="2867">
        <v>0</v>
      </c>
      <c r="AH107" s="2867">
        <v>0</v>
      </c>
      <c r="AI107" s="2825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3157">
        <f t="shared" si="103"/>
        <v>1.5</v>
      </c>
      <c r="V108" s="3157">
        <f t="shared" si="103"/>
        <v>9.7750000000000021</v>
      </c>
      <c r="W108" s="3157">
        <f t="shared" si="103"/>
        <v>7.1999999999999993</v>
      </c>
      <c r="X108" s="3157">
        <f t="shared" si="103"/>
        <v>3</v>
      </c>
      <c r="Y108" s="3157">
        <f t="shared" si="103"/>
        <v>0.9</v>
      </c>
      <c r="Z108" s="3157">
        <f t="shared" si="103"/>
        <v>5.0999999999999996</v>
      </c>
      <c r="AA108" s="3157">
        <f t="shared" si="103"/>
        <v>2.0249999999999995</v>
      </c>
      <c r="AB108" s="144"/>
      <c r="AC108" s="2867">
        <v>0</v>
      </c>
      <c r="AD108" s="2867">
        <v>0</v>
      </c>
      <c r="AE108" s="2867">
        <v>0</v>
      </c>
      <c r="AF108" s="2867">
        <v>0</v>
      </c>
      <c r="AG108" s="2867">
        <v>0</v>
      </c>
      <c r="AH108" s="2867">
        <v>0</v>
      </c>
      <c r="AI108" s="2825"/>
      <c r="AJ108" s="1"/>
      <c r="AK108" s="1"/>
      <c r="AL108" s="1"/>
      <c r="AM108" s="1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3157">
        <f t="shared" si="103"/>
        <v>1.5</v>
      </c>
      <c r="V109" s="3157">
        <f t="shared" si="103"/>
        <v>9.7750000000000021</v>
      </c>
      <c r="W109" s="3157">
        <f t="shared" si="103"/>
        <v>7.1999999999999993</v>
      </c>
      <c r="X109" s="3157">
        <f t="shared" si="103"/>
        <v>3</v>
      </c>
      <c r="Y109" s="3157">
        <f t="shared" si="103"/>
        <v>0.9</v>
      </c>
      <c r="Z109" s="3157">
        <f t="shared" si="103"/>
        <v>5.0999999999999996</v>
      </c>
      <c r="AA109" s="3157">
        <f t="shared" si="103"/>
        <v>2.0249999999999995</v>
      </c>
      <c r="AB109" s="144"/>
      <c r="AC109" s="2867">
        <v>0</v>
      </c>
      <c r="AD109" s="2867">
        <v>0</v>
      </c>
      <c r="AE109" s="2867">
        <v>0</v>
      </c>
      <c r="AF109" s="2867">
        <v>0</v>
      </c>
      <c r="AG109" s="2867">
        <v>0</v>
      </c>
      <c r="AH109" s="2867">
        <v>0</v>
      </c>
      <c r="AI109" s="2825"/>
      <c r="AJ109" s="1"/>
      <c r="AK109" s="1"/>
      <c r="AL109" s="1"/>
      <c r="AM109" s="1"/>
      <c r="AN109" s="1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3157">
        <f t="shared" si="103"/>
        <v>1.5</v>
      </c>
      <c r="V110" s="3157">
        <f t="shared" si="103"/>
        <v>9.7750000000000021</v>
      </c>
      <c r="W110" s="3157">
        <f t="shared" si="103"/>
        <v>7.1999999999999993</v>
      </c>
      <c r="X110" s="3157">
        <f t="shared" si="103"/>
        <v>3</v>
      </c>
      <c r="Y110" s="3157">
        <f t="shared" si="103"/>
        <v>0.9</v>
      </c>
      <c r="Z110" s="3157">
        <f t="shared" si="103"/>
        <v>5.0999999999999996</v>
      </c>
      <c r="AA110" s="3157">
        <f t="shared" si="103"/>
        <v>2.0249999999999995</v>
      </c>
      <c r="AB110" s="144"/>
      <c r="AC110" s="2867"/>
      <c r="AD110" s="2867"/>
      <c r="AE110" s="2867"/>
      <c r="AF110" s="2867"/>
      <c r="AG110" s="2867"/>
      <c r="AH110" s="2867"/>
      <c r="AI110" s="2825"/>
      <c r="AJ110" s="1"/>
      <c r="AK110" s="1"/>
      <c r="AL110" s="1"/>
      <c r="AM110" s="1"/>
      <c r="AN110" s="1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3157">
        <f t="shared" si="103"/>
        <v>1.5</v>
      </c>
      <c r="V111" s="3157">
        <f t="shared" si="103"/>
        <v>9.7750000000000021</v>
      </c>
      <c r="W111" s="3157">
        <f t="shared" si="103"/>
        <v>7.1999999999999993</v>
      </c>
      <c r="X111" s="3157">
        <f t="shared" si="103"/>
        <v>3</v>
      </c>
      <c r="Y111" s="3157">
        <f t="shared" si="103"/>
        <v>0.9</v>
      </c>
      <c r="Z111" s="3157">
        <f t="shared" si="103"/>
        <v>5.0999999999999996</v>
      </c>
      <c r="AA111" s="3157">
        <f t="shared" si="103"/>
        <v>2.0249999999999995</v>
      </c>
      <c r="AB111" s="144"/>
      <c r="AC111" s="2867">
        <v>0</v>
      </c>
      <c r="AD111" s="2867">
        <v>0</v>
      </c>
      <c r="AE111" s="2867">
        <v>0</v>
      </c>
      <c r="AF111" s="2867">
        <v>0</v>
      </c>
      <c r="AG111" s="2867">
        <v>0</v>
      </c>
      <c r="AH111" s="2867">
        <v>0</v>
      </c>
      <c r="AI111" s="2825"/>
      <c r="AJ111" s="1"/>
      <c r="AK111" s="1"/>
      <c r="AL111" s="1"/>
      <c r="AM111" s="1"/>
      <c r="AN111" s="1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3157">
        <f t="shared" si="103"/>
        <v>1.5</v>
      </c>
      <c r="V112" s="3157">
        <f t="shared" si="103"/>
        <v>9.7750000000000021</v>
      </c>
      <c r="W112" s="3157">
        <f t="shared" si="103"/>
        <v>7.1999999999999993</v>
      </c>
      <c r="X112" s="3157">
        <f t="shared" si="103"/>
        <v>3</v>
      </c>
      <c r="Y112" s="3157">
        <f t="shared" si="103"/>
        <v>0.9</v>
      </c>
      <c r="Z112" s="3157">
        <f t="shared" si="103"/>
        <v>5.0999999999999996</v>
      </c>
      <c r="AA112" s="3157">
        <f t="shared" si="103"/>
        <v>2.0249999999999995</v>
      </c>
      <c r="AB112" s="144"/>
      <c r="AC112" s="2867">
        <v>0</v>
      </c>
      <c r="AD112" s="2867">
        <v>0</v>
      </c>
      <c r="AE112" s="2867">
        <v>0</v>
      </c>
      <c r="AF112" s="2867">
        <v>0</v>
      </c>
      <c r="AG112" s="2867">
        <v>0</v>
      </c>
      <c r="AH112" s="2867">
        <v>0</v>
      </c>
      <c r="AI112" s="2825"/>
      <c r="AJ112" s="1"/>
      <c r="AK112" s="1"/>
      <c r="AL112" s="1"/>
      <c r="AM112" s="1"/>
      <c r="AN112" s="1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3157">
        <f t="shared" si="103"/>
        <v>1.5</v>
      </c>
      <c r="V113" s="3157">
        <f t="shared" si="103"/>
        <v>9.7750000000000021</v>
      </c>
      <c r="W113" s="3157">
        <f t="shared" si="103"/>
        <v>7.1999999999999993</v>
      </c>
      <c r="X113" s="3157">
        <f t="shared" si="103"/>
        <v>3</v>
      </c>
      <c r="Y113" s="3157">
        <f t="shared" si="103"/>
        <v>0.9</v>
      </c>
      <c r="Z113" s="3157">
        <f t="shared" si="103"/>
        <v>5.0999999999999996</v>
      </c>
      <c r="AA113" s="3157">
        <f t="shared" si="103"/>
        <v>2.0249999999999995</v>
      </c>
      <c r="AB113" s="144"/>
      <c r="AC113" s="2867"/>
      <c r="AD113" s="2867"/>
      <c r="AE113" s="2867"/>
      <c r="AF113" s="2867"/>
      <c r="AG113" s="2867"/>
      <c r="AH113" s="2867"/>
      <c r="AI113" s="2825"/>
      <c r="AJ113" s="1"/>
      <c r="AK113" s="1"/>
      <c r="AL113" s="1"/>
      <c r="AM113" s="1"/>
      <c r="AN113" s="1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3157">
        <f t="shared" si="103"/>
        <v>1.5</v>
      </c>
      <c r="V114" s="3157">
        <f t="shared" si="103"/>
        <v>9.7750000000000021</v>
      </c>
      <c r="W114" s="3157">
        <f t="shared" si="103"/>
        <v>7.1999999999999993</v>
      </c>
      <c r="X114" s="3157">
        <f t="shared" si="103"/>
        <v>3</v>
      </c>
      <c r="Y114" s="3157">
        <f t="shared" si="103"/>
        <v>0.9</v>
      </c>
      <c r="Z114" s="3157">
        <f t="shared" si="103"/>
        <v>5.0999999999999996</v>
      </c>
      <c r="AA114" s="3157">
        <f t="shared" si="103"/>
        <v>2.0249999999999995</v>
      </c>
      <c r="AB114" s="144"/>
      <c r="AC114" s="2867"/>
      <c r="AD114" s="2867"/>
      <c r="AE114" s="2867"/>
      <c r="AF114" s="2867"/>
      <c r="AG114" s="2867"/>
      <c r="AH114" s="2867"/>
      <c r="AI114" s="2825"/>
      <c r="AJ114" s="1"/>
      <c r="AK114" s="1"/>
      <c r="AL114" s="1"/>
      <c r="AM114" s="1"/>
      <c r="AN114" s="1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3157">
        <f t="shared" si="103"/>
        <v>1.5</v>
      </c>
      <c r="V115" s="3157">
        <f t="shared" si="103"/>
        <v>9.7750000000000021</v>
      </c>
      <c r="W115" s="3157">
        <f t="shared" si="103"/>
        <v>7.1999999999999993</v>
      </c>
      <c r="X115" s="3157">
        <f t="shared" si="103"/>
        <v>3</v>
      </c>
      <c r="Y115" s="3157">
        <f t="shared" si="103"/>
        <v>0.9</v>
      </c>
      <c r="Z115" s="3157">
        <f t="shared" si="103"/>
        <v>5.0999999999999996</v>
      </c>
      <c r="AA115" s="3157">
        <f t="shared" si="103"/>
        <v>2.0249999999999995</v>
      </c>
      <c r="AB115" s="144"/>
      <c r="AC115" s="2867">
        <v>0</v>
      </c>
      <c r="AD115" s="2867">
        <v>0</v>
      </c>
      <c r="AE115" s="2867">
        <v>0</v>
      </c>
      <c r="AF115" s="2867">
        <v>0</v>
      </c>
      <c r="AG115" s="2867">
        <v>0</v>
      </c>
      <c r="AH115" s="2867">
        <v>0</v>
      </c>
      <c r="AI115" s="2825"/>
      <c r="AJ115" s="1"/>
      <c r="AK115" s="1"/>
      <c r="AL115" s="1"/>
      <c r="AM115" s="1"/>
      <c r="AN115" s="1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3157">
        <f t="shared" si="103"/>
        <v>1.5</v>
      </c>
      <c r="V116" s="3157">
        <f t="shared" si="103"/>
        <v>9.7750000000000021</v>
      </c>
      <c r="W116" s="3157">
        <f t="shared" si="103"/>
        <v>7.1999999999999993</v>
      </c>
      <c r="X116" s="3157">
        <f t="shared" si="103"/>
        <v>3</v>
      </c>
      <c r="Y116" s="3157">
        <f t="shared" si="103"/>
        <v>0.9</v>
      </c>
      <c r="Z116" s="3157">
        <f t="shared" si="103"/>
        <v>5.0999999999999996</v>
      </c>
      <c r="AA116" s="3157">
        <f t="shared" si="103"/>
        <v>2.0249999999999995</v>
      </c>
      <c r="AB116" s="144"/>
      <c r="AC116" s="2867">
        <v>0</v>
      </c>
      <c r="AD116" s="2867">
        <v>0</v>
      </c>
      <c r="AE116" s="2867">
        <v>0</v>
      </c>
      <c r="AF116" s="2867">
        <v>0</v>
      </c>
      <c r="AG116" s="2867">
        <v>0</v>
      </c>
      <c r="AH116" s="2867">
        <v>0</v>
      </c>
      <c r="AI116" s="2825"/>
      <c r="AJ116" s="1"/>
      <c r="AK116" s="1"/>
      <c r="AL116" s="1"/>
      <c r="AM116" s="1"/>
      <c r="AN116" s="1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3157">
        <f t="shared" si="103"/>
        <v>1.5</v>
      </c>
      <c r="V117" s="3157">
        <f t="shared" si="103"/>
        <v>9.7750000000000021</v>
      </c>
      <c r="W117" s="3157">
        <f t="shared" si="103"/>
        <v>7.1999999999999993</v>
      </c>
      <c r="X117" s="3157">
        <f t="shared" si="103"/>
        <v>3</v>
      </c>
      <c r="Y117" s="3157">
        <f t="shared" si="103"/>
        <v>0.9</v>
      </c>
      <c r="Z117" s="3157">
        <f t="shared" si="103"/>
        <v>5.0999999999999996</v>
      </c>
      <c r="AA117" s="3157">
        <f t="shared" si="103"/>
        <v>2.0249999999999995</v>
      </c>
      <c r="AB117" s="144"/>
      <c r="AC117" s="2867">
        <v>0</v>
      </c>
      <c r="AD117" s="2867">
        <v>0</v>
      </c>
      <c r="AE117" s="2867">
        <v>0</v>
      </c>
      <c r="AF117" s="2867">
        <v>0</v>
      </c>
      <c r="AG117" s="2867">
        <v>0</v>
      </c>
      <c r="AH117" s="2867">
        <v>0</v>
      </c>
      <c r="AI117" s="2825"/>
      <c r="AJ117" s="1"/>
      <c r="AK117" s="1"/>
      <c r="AL117" s="1"/>
      <c r="AM117" s="1"/>
      <c r="AN117" s="1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3157">
        <f t="shared" si="103"/>
        <v>1.5</v>
      </c>
      <c r="V118" s="3157">
        <f t="shared" si="103"/>
        <v>9.7750000000000021</v>
      </c>
      <c r="W118" s="3157">
        <f t="shared" si="103"/>
        <v>7.1999999999999993</v>
      </c>
      <c r="X118" s="3157">
        <f t="shared" si="103"/>
        <v>3</v>
      </c>
      <c r="Y118" s="3157">
        <f t="shared" si="103"/>
        <v>0.9</v>
      </c>
      <c r="Z118" s="3157">
        <f t="shared" si="103"/>
        <v>5.0999999999999996</v>
      </c>
      <c r="AA118" s="3157">
        <f t="shared" si="103"/>
        <v>2.0249999999999995</v>
      </c>
      <c r="AB118" s="144"/>
      <c r="AC118" s="2867"/>
      <c r="AD118" s="2867"/>
      <c r="AE118" s="2867"/>
      <c r="AF118" s="2867"/>
      <c r="AG118" s="2867"/>
      <c r="AH118" s="2867"/>
      <c r="AI118" s="2825"/>
      <c r="AJ118" s="1"/>
      <c r="AK118" s="1"/>
      <c r="AL118" s="1"/>
      <c r="AM118" s="1"/>
      <c r="AN118" s="1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3157">
        <f t="shared" si="103"/>
        <v>1.5</v>
      </c>
      <c r="V119" s="3157">
        <f t="shared" si="103"/>
        <v>9.7750000000000021</v>
      </c>
      <c r="W119" s="3157">
        <f t="shared" si="103"/>
        <v>7.1999999999999993</v>
      </c>
      <c r="X119" s="3157">
        <f t="shared" si="103"/>
        <v>3</v>
      </c>
      <c r="Y119" s="3157">
        <f t="shared" si="103"/>
        <v>0.9</v>
      </c>
      <c r="Z119" s="3157">
        <f t="shared" si="103"/>
        <v>5.0999999999999996</v>
      </c>
      <c r="AA119" s="3157">
        <f t="shared" si="103"/>
        <v>2.0249999999999995</v>
      </c>
      <c r="AB119" s="144"/>
      <c r="AC119" s="2867"/>
      <c r="AD119" s="2867"/>
      <c r="AE119" s="2867"/>
      <c r="AF119" s="2867"/>
      <c r="AG119" s="2867"/>
      <c r="AH119" s="2867"/>
      <c r="AI119" s="2825"/>
      <c r="AJ119" s="1"/>
      <c r="AK119" s="1"/>
      <c r="AL119" s="1"/>
      <c r="AM119" s="1"/>
      <c r="AN119" s="1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3157">
        <f t="shared" si="103"/>
        <v>1.5</v>
      </c>
      <c r="V120" s="3157">
        <f t="shared" si="103"/>
        <v>9.7750000000000021</v>
      </c>
      <c r="W120" s="3157">
        <f t="shared" si="103"/>
        <v>7.1999999999999993</v>
      </c>
      <c r="X120" s="3157">
        <f t="shared" si="103"/>
        <v>3</v>
      </c>
      <c r="Y120" s="3157">
        <f t="shared" si="103"/>
        <v>0.9</v>
      </c>
      <c r="Z120" s="3157">
        <f t="shared" si="103"/>
        <v>5.0999999999999996</v>
      </c>
      <c r="AA120" s="3157">
        <f t="shared" si="103"/>
        <v>2.0249999999999995</v>
      </c>
      <c r="AB120" s="144"/>
      <c r="AC120" s="2867">
        <v>0</v>
      </c>
      <c r="AD120" s="2867">
        <v>0</v>
      </c>
      <c r="AE120" s="2867">
        <v>0</v>
      </c>
      <c r="AF120" s="2867">
        <v>0</v>
      </c>
      <c r="AG120" s="2867">
        <v>0</v>
      </c>
      <c r="AH120" s="2867">
        <v>0</v>
      </c>
      <c r="AI120" s="2825"/>
      <c r="AJ120" s="1"/>
      <c r="AK120" s="1"/>
      <c r="AL120" s="1"/>
      <c r="AM120" s="1"/>
      <c r="AN120" s="1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3157">
        <f t="shared" si="103"/>
        <v>1.5</v>
      </c>
      <c r="V121" s="3157">
        <f t="shared" si="103"/>
        <v>9.7750000000000021</v>
      </c>
      <c r="W121" s="3157">
        <f t="shared" si="103"/>
        <v>7.1999999999999993</v>
      </c>
      <c r="X121" s="3157">
        <f t="shared" si="103"/>
        <v>3</v>
      </c>
      <c r="Y121" s="3157">
        <f t="shared" si="103"/>
        <v>0.9</v>
      </c>
      <c r="Z121" s="3157">
        <f t="shared" si="103"/>
        <v>5.0999999999999996</v>
      </c>
      <c r="AA121" s="3157">
        <f t="shared" si="103"/>
        <v>2.0249999999999995</v>
      </c>
      <c r="AB121" s="144"/>
      <c r="AC121" s="2867">
        <v>0</v>
      </c>
      <c r="AD121" s="2867">
        <v>0</v>
      </c>
      <c r="AE121" s="2867">
        <v>0</v>
      </c>
      <c r="AF121" s="2867">
        <v>0</v>
      </c>
      <c r="AG121" s="2867">
        <v>0</v>
      </c>
      <c r="AH121" s="2867">
        <v>0</v>
      </c>
      <c r="AI121" s="2825"/>
      <c r="AJ121" s="1"/>
      <c r="AK121" s="1"/>
      <c r="AL121" s="1"/>
      <c r="AM121" s="1"/>
      <c r="AN121" s="1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3157">
        <f t="shared" ref="U122:AA128" si="104">IF(U121&gt;0,U121,U120)</f>
        <v>1.5</v>
      </c>
      <c r="V122" s="3157">
        <f t="shared" si="104"/>
        <v>9.7750000000000021</v>
      </c>
      <c r="W122" s="3157">
        <f t="shared" si="104"/>
        <v>7.1999999999999993</v>
      </c>
      <c r="X122" s="3157">
        <f t="shared" si="104"/>
        <v>3</v>
      </c>
      <c r="Y122" s="3157">
        <f t="shared" si="104"/>
        <v>0.9</v>
      </c>
      <c r="Z122" s="3157">
        <f t="shared" si="104"/>
        <v>5.0999999999999996</v>
      </c>
      <c r="AA122" s="3157">
        <f t="shared" si="104"/>
        <v>2.0249999999999995</v>
      </c>
      <c r="AB122" s="144"/>
      <c r="AC122" s="2867">
        <v>0</v>
      </c>
      <c r="AD122" s="2867">
        <v>0</v>
      </c>
      <c r="AE122" s="2867">
        <v>0</v>
      </c>
      <c r="AF122" s="2867">
        <v>0</v>
      </c>
      <c r="AG122" s="2867">
        <v>0</v>
      </c>
      <c r="AH122" s="2867">
        <v>0</v>
      </c>
      <c r="AI122" s="2825"/>
      <c r="AJ122" s="1"/>
      <c r="AK122" s="1"/>
      <c r="AL122" s="1"/>
      <c r="AM122" s="1"/>
      <c r="AN122" s="1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3157">
        <f t="shared" si="104"/>
        <v>1.5</v>
      </c>
      <c r="V123" s="3157">
        <f t="shared" si="104"/>
        <v>9.7750000000000021</v>
      </c>
      <c r="W123" s="3157">
        <f t="shared" si="104"/>
        <v>7.1999999999999993</v>
      </c>
      <c r="X123" s="3157">
        <f t="shared" si="104"/>
        <v>3</v>
      </c>
      <c r="Y123" s="3157">
        <f t="shared" si="104"/>
        <v>0.9</v>
      </c>
      <c r="Z123" s="3157">
        <f t="shared" si="104"/>
        <v>5.0999999999999996</v>
      </c>
      <c r="AA123" s="3157">
        <f t="shared" si="104"/>
        <v>2.0249999999999995</v>
      </c>
      <c r="AB123" s="144"/>
      <c r="AC123" s="2867"/>
      <c r="AD123" s="2867"/>
      <c r="AE123" s="2867"/>
      <c r="AF123" s="2867"/>
      <c r="AG123" s="2867"/>
      <c r="AH123" s="2867"/>
      <c r="AI123" s="2825"/>
      <c r="AJ123" s="1"/>
      <c r="AK123" s="1"/>
      <c r="AL123" s="1"/>
      <c r="AM123" s="1"/>
      <c r="AN123" s="1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3157">
        <f t="shared" si="104"/>
        <v>1.5</v>
      </c>
      <c r="V124" s="3157">
        <f t="shared" si="104"/>
        <v>9.7750000000000021</v>
      </c>
      <c r="W124" s="3157">
        <f t="shared" si="104"/>
        <v>7.1999999999999993</v>
      </c>
      <c r="X124" s="3157">
        <f t="shared" si="104"/>
        <v>3</v>
      </c>
      <c r="Y124" s="3157">
        <f t="shared" si="104"/>
        <v>0.9</v>
      </c>
      <c r="Z124" s="3157">
        <f t="shared" si="104"/>
        <v>5.0999999999999996</v>
      </c>
      <c r="AA124" s="3157">
        <f t="shared" si="104"/>
        <v>2.0249999999999995</v>
      </c>
      <c r="AB124" s="144"/>
      <c r="AC124" s="2867"/>
      <c r="AD124" s="2867"/>
      <c r="AE124" s="2867"/>
      <c r="AF124" s="2867"/>
      <c r="AG124" s="2867"/>
      <c r="AH124" s="2867"/>
      <c r="AI124" s="2825"/>
      <c r="AJ124" s="1"/>
      <c r="AK124" s="1"/>
      <c r="AL124" s="1"/>
      <c r="AM124" s="1"/>
      <c r="AN124" s="1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3157">
        <f t="shared" si="104"/>
        <v>1.5</v>
      </c>
      <c r="V125" s="3157">
        <f t="shared" si="104"/>
        <v>9.7750000000000021</v>
      </c>
      <c r="W125" s="3157">
        <f t="shared" si="104"/>
        <v>7.1999999999999993</v>
      </c>
      <c r="X125" s="3157">
        <f t="shared" si="104"/>
        <v>3</v>
      </c>
      <c r="Y125" s="3157">
        <f t="shared" si="104"/>
        <v>0.9</v>
      </c>
      <c r="Z125" s="3157">
        <f t="shared" si="104"/>
        <v>5.0999999999999996</v>
      </c>
      <c r="AA125" s="3157">
        <f t="shared" si="104"/>
        <v>2.0249999999999995</v>
      </c>
      <c r="AB125" s="144"/>
      <c r="AC125" s="2867">
        <v>0</v>
      </c>
      <c r="AD125" s="2867">
        <v>0</v>
      </c>
      <c r="AE125" s="2867">
        <v>0</v>
      </c>
      <c r="AF125" s="2867">
        <v>0</v>
      </c>
      <c r="AG125" s="2867">
        <v>0</v>
      </c>
      <c r="AH125" s="2867">
        <v>0</v>
      </c>
      <c r="AI125" s="2825"/>
      <c r="AJ125" s="1"/>
      <c r="AK125" s="1"/>
      <c r="AL125" s="1"/>
      <c r="AM125" s="1"/>
      <c r="AN125" s="1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3157">
        <f t="shared" si="104"/>
        <v>1.5</v>
      </c>
      <c r="V126" s="3157">
        <f t="shared" si="104"/>
        <v>9.7750000000000021</v>
      </c>
      <c r="W126" s="3157">
        <f t="shared" si="104"/>
        <v>7.1999999999999993</v>
      </c>
      <c r="X126" s="3157">
        <f t="shared" si="104"/>
        <v>3</v>
      </c>
      <c r="Y126" s="3157">
        <f t="shared" si="104"/>
        <v>0.9</v>
      </c>
      <c r="Z126" s="3157">
        <f t="shared" si="104"/>
        <v>5.0999999999999996</v>
      </c>
      <c r="AA126" s="3157">
        <f t="shared" si="104"/>
        <v>2.0249999999999995</v>
      </c>
      <c r="AB126" s="144"/>
      <c r="AC126" s="2867">
        <v>0</v>
      </c>
      <c r="AD126" s="2867">
        <v>0</v>
      </c>
      <c r="AE126" s="2867">
        <v>0</v>
      </c>
      <c r="AF126" s="2867">
        <v>0</v>
      </c>
      <c r="AG126" s="2867">
        <v>0</v>
      </c>
      <c r="AH126" s="2867">
        <v>0</v>
      </c>
      <c r="AI126" s="2825"/>
      <c r="AJ126" s="1"/>
      <c r="AK126" s="1"/>
      <c r="AL126" s="1"/>
      <c r="AM126" s="1"/>
      <c r="AN126" s="1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3157">
        <f t="shared" si="104"/>
        <v>1.5</v>
      </c>
      <c r="V127" s="3157">
        <f t="shared" si="104"/>
        <v>9.7750000000000021</v>
      </c>
      <c r="W127" s="3157">
        <f t="shared" si="104"/>
        <v>7.1999999999999993</v>
      </c>
      <c r="X127" s="3157">
        <f t="shared" si="104"/>
        <v>3</v>
      </c>
      <c r="Y127" s="3157">
        <f t="shared" si="104"/>
        <v>0.9</v>
      </c>
      <c r="Z127" s="3157">
        <f t="shared" si="104"/>
        <v>5.0999999999999996</v>
      </c>
      <c r="AA127" s="3157">
        <f t="shared" si="104"/>
        <v>2.0249999999999995</v>
      </c>
      <c r="AB127" s="144"/>
      <c r="AC127" s="2867">
        <v>0</v>
      </c>
      <c r="AD127" s="2867">
        <v>0</v>
      </c>
      <c r="AE127" s="2867">
        <v>0</v>
      </c>
      <c r="AF127" s="2867">
        <v>0</v>
      </c>
      <c r="AG127" s="2867">
        <v>0</v>
      </c>
      <c r="AH127" s="2867">
        <v>0</v>
      </c>
      <c r="AI127" s="2825"/>
      <c r="AJ127" s="1"/>
      <c r="AK127" s="1"/>
      <c r="AL127" s="1"/>
      <c r="AM127" s="1"/>
      <c r="AN127" s="1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3158">
        <f>IF(U127&gt;0,U127,U126)</f>
        <v>1.5</v>
      </c>
      <c r="V128" s="3158">
        <f t="shared" si="104"/>
        <v>9.7750000000000021</v>
      </c>
      <c r="W128" s="3158">
        <f t="shared" si="104"/>
        <v>7.1999999999999993</v>
      </c>
      <c r="X128" s="3158">
        <f t="shared" si="104"/>
        <v>3</v>
      </c>
      <c r="Y128" s="3158">
        <f t="shared" si="104"/>
        <v>0.9</v>
      </c>
      <c r="Z128" s="3158">
        <f t="shared" si="104"/>
        <v>5.0999999999999996</v>
      </c>
      <c r="AA128" s="3158">
        <f t="shared" si="104"/>
        <v>2.0249999999999995</v>
      </c>
      <c r="AB128" s="144"/>
      <c r="AC128" s="2867"/>
      <c r="AD128" s="2867"/>
      <c r="AE128" s="2867"/>
      <c r="AF128" s="2867"/>
      <c r="AG128" s="2867"/>
      <c r="AH128" s="2867"/>
      <c r="AI128" s="2825"/>
      <c r="AJ128" s="1"/>
      <c r="AK128" s="1"/>
      <c r="AL128" s="1"/>
      <c r="AM128" s="1"/>
      <c r="AN128" s="1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2838"/>
      <c r="V129" s="2838"/>
      <c r="W129" s="2838"/>
      <c r="X129" s="2838"/>
      <c r="Y129" s="2838"/>
      <c r="Z129" s="2838"/>
      <c r="AA129" s="2838"/>
      <c r="AB129" s="144"/>
      <c r="AC129" s="2867"/>
      <c r="AD129" s="2867"/>
      <c r="AE129" s="2867"/>
      <c r="AF129" s="2867"/>
      <c r="AG129" s="2867"/>
      <c r="AH129" s="2867"/>
      <c r="AI129" s="2825"/>
      <c r="AJ129" s="1"/>
      <c r="AK129" s="1"/>
      <c r="AL129" s="1"/>
      <c r="AM129" s="1"/>
      <c r="AN129" s="1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2838"/>
      <c r="V130" s="2838"/>
      <c r="W130" s="2838"/>
      <c r="X130" s="2838"/>
      <c r="Y130" s="2838"/>
      <c r="Z130" s="2838"/>
      <c r="AA130" s="2838"/>
      <c r="AB130" s="144"/>
      <c r="AC130" s="2867">
        <v>0</v>
      </c>
      <c r="AD130" s="2867">
        <v>0</v>
      </c>
      <c r="AE130" s="2867">
        <v>0</v>
      </c>
      <c r="AF130" s="2867">
        <v>0</v>
      </c>
      <c r="AG130" s="2867">
        <v>0</v>
      </c>
      <c r="AH130" s="2867">
        <v>0</v>
      </c>
      <c r="AI130" s="2825"/>
      <c r="AN130" s="1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2838"/>
      <c r="V131" s="2838"/>
      <c r="W131" s="2838"/>
      <c r="X131" s="2838"/>
      <c r="Y131" s="2838"/>
      <c r="Z131" s="2838"/>
      <c r="AA131" s="2838"/>
      <c r="AB131" s="144"/>
      <c r="AC131" s="2867"/>
      <c r="AD131" s="2867"/>
      <c r="AE131" s="2867"/>
      <c r="AF131" s="2867"/>
      <c r="AG131" s="2867"/>
      <c r="AH131" s="2867"/>
      <c r="AN131" s="1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2838"/>
      <c r="V132" s="2838"/>
      <c r="W132" s="2838"/>
      <c r="X132" s="2838"/>
      <c r="Y132" s="2838"/>
      <c r="Z132" s="2838"/>
      <c r="AA132" s="2838"/>
      <c r="AB132" s="144"/>
      <c r="AN132" s="1"/>
    </row>
    <row r="133" spans="1:40" ht="15" customHeight="1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2838"/>
      <c r="V133" s="2838"/>
      <c r="W133" s="2838"/>
      <c r="X133" s="2838"/>
      <c r="Y133" s="2838"/>
      <c r="Z133" s="2838"/>
      <c r="AA133" s="2838"/>
      <c r="AB133" s="144"/>
      <c r="AN133" s="1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2838"/>
      <c r="V134" s="2838"/>
      <c r="W134" s="2838"/>
      <c r="X134" s="2838"/>
      <c r="Y134" s="2838"/>
      <c r="Z134" s="2838"/>
      <c r="AA134" s="2838"/>
      <c r="AB134" s="144"/>
      <c r="AN134" s="1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2838"/>
      <c r="V135" s="2838"/>
      <c r="W135" s="2838"/>
      <c r="X135" s="2838"/>
      <c r="Y135" s="2838"/>
      <c r="Z135" s="2838"/>
      <c r="AA135" s="2838"/>
      <c r="AB135" s="144"/>
      <c r="AN135" s="1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2838"/>
      <c r="V136" s="2838"/>
      <c r="W136" s="2838"/>
      <c r="X136" s="2838"/>
      <c r="Y136" s="2838"/>
      <c r="Z136" s="2838"/>
      <c r="AA136" s="2838"/>
      <c r="AB136" s="144"/>
      <c r="AN136" s="1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2838"/>
      <c r="V137" s="2838"/>
      <c r="W137" s="2838"/>
      <c r="X137" s="2838"/>
      <c r="Y137" s="2838"/>
      <c r="Z137" s="2838"/>
      <c r="AA137" s="2838"/>
      <c r="AB137" s="144"/>
      <c r="AN137" s="1"/>
    </row>
    <row r="138" spans="1:40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2838"/>
      <c r="V138" s="2838"/>
      <c r="W138" s="2838"/>
      <c r="X138" s="2838"/>
      <c r="Y138" s="2838"/>
      <c r="Z138" s="2838"/>
      <c r="AA138" s="2838"/>
      <c r="AB138" s="144"/>
      <c r="AN138" s="1"/>
    </row>
    <row r="139" spans="1:40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2838"/>
      <c r="V139" s="2838"/>
      <c r="W139" s="2838"/>
      <c r="X139" s="2838"/>
      <c r="Y139" s="2838"/>
      <c r="Z139" s="2838"/>
      <c r="AA139" s="2838"/>
      <c r="AB139" s="144"/>
      <c r="AN139" s="1"/>
    </row>
    <row r="140" spans="1:40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2838"/>
      <c r="V140" s="2838"/>
      <c r="W140" s="2838"/>
      <c r="X140" s="2838"/>
      <c r="Y140" s="2838"/>
      <c r="Z140" s="2838"/>
      <c r="AA140" s="2838"/>
      <c r="AB140" s="144"/>
      <c r="AN140" s="1"/>
    </row>
    <row r="141" spans="1:40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2838"/>
      <c r="V141" s="2838"/>
      <c r="W141" s="2838"/>
      <c r="X141" s="2838"/>
      <c r="Y141" s="2838"/>
      <c r="Z141" s="2838"/>
      <c r="AA141" s="2838"/>
      <c r="AB141" s="144"/>
      <c r="AN141" s="1"/>
    </row>
    <row r="142" spans="1:40">
      <c r="A142" s="144"/>
      <c r="B142" s="144"/>
      <c r="C142" s="144"/>
      <c r="D142" s="906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2838"/>
      <c r="V142" s="2838"/>
      <c r="W142" s="2838"/>
      <c r="X142" s="2838"/>
      <c r="Y142" s="2838"/>
      <c r="Z142" s="2838"/>
      <c r="AA142" s="2838"/>
      <c r="AB142" s="144"/>
      <c r="AN142" s="1"/>
    </row>
    <row r="143" spans="1:40">
      <c r="A143" s="144"/>
      <c r="B143" s="144"/>
      <c r="C143" s="144"/>
      <c r="D143" s="906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2838"/>
      <c r="V143" s="2838"/>
      <c r="W143" s="2838"/>
      <c r="X143" s="2838"/>
      <c r="Y143" s="2838"/>
      <c r="Z143" s="2838"/>
      <c r="AA143" s="2838"/>
      <c r="AB143" s="144"/>
      <c r="AC143" s="2825"/>
      <c r="AD143" s="2825"/>
      <c r="AE143" s="2825"/>
      <c r="AF143" s="2825"/>
      <c r="AG143" s="2825"/>
      <c r="AH143" s="2825"/>
      <c r="AI143" s="2825"/>
      <c r="AJ143" s="2825"/>
      <c r="AK143" s="2825"/>
      <c r="AL143" s="2825"/>
      <c r="AM143" s="2825"/>
      <c r="AN143" s="1"/>
    </row>
    <row r="144" spans="1:40" s="3021" customFormat="1" ht="11">
      <c r="A144" s="144"/>
      <c r="B144" s="144"/>
      <c r="C144" s="144"/>
      <c r="D144" s="906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2838"/>
      <c r="V144" s="2838"/>
      <c r="W144" s="2838"/>
      <c r="X144" s="2838"/>
      <c r="Y144" s="2838"/>
      <c r="Z144" s="2838"/>
      <c r="AA144" s="2838"/>
      <c r="AB144" s="144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1:39" s="3021" customFormat="1" ht="11">
      <c r="A145" s="144"/>
      <c r="B145" s="144"/>
      <c r="C145" s="144"/>
      <c r="D145" s="906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2838"/>
      <c r="V145" s="2838"/>
      <c r="W145" s="2838"/>
      <c r="X145" s="2838"/>
      <c r="Y145" s="2838"/>
      <c r="Z145" s="2838"/>
      <c r="AA145" s="2838"/>
      <c r="AB145" s="144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1:39" s="3021" customFormat="1" ht="11">
      <c r="A146" s="144"/>
      <c r="B146" s="144"/>
      <c r="C146" s="144"/>
      <c r="D146" s="906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2838"/>
      <c r="V146" s="2838"/>
      <c r="W146" s="2838"/>
      <c r="X146" s="2838"/>
      <c r="Y146" s="2838"/>
      <c r="Z146" s="2838"/>
      <c r="AA146" s="2838"/>
      <c r="AB146" s="144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1:39" s="3021" customFormat="1" ht="11">
      <c r="A147" s="144"/>
      <c r="B147" s="144"/>
      <c r="C147" s="144"/>
      <c r="D147" s="906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2838"/>
      <c r="V147" s="2838"/>
      <c r="W147" s="2838"/>
      <c r="X147" s="2838"/>
      <c r="Y147" s="2838"/>
      <c r="Z147" s="2838"/>
      <c r="AA147" s="2838"/>
      <c r="AB147" s="144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1:39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2838"/>
      <c r="V148" s="2838"/>
      <c r="W148" s="2838"/>
      <c r="X148" s="2838"/>
      <c r="Y148" s="2838"/>
      <c r="Z148" s="2838"/>
      <c r="AA148" s="2838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1:39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2838"/>
      <c r="V149" s="2838"/>
      <c r="W149" s="2838"/>
      <c r="X149" s="2838"/>
      <c r="Y149" s="2838"/>
      <c r="Z149" s="2838"/>
      <c r="AA149" s="2838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1:39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2838"/>
      <c r="V150" s="2838"/>
      <c r="W150" s="2838"/>
      <c r="X150" s="2838"/>
      <c r="Y150" s="2838"/>
      <c r="Z150" s="2838"/>
      <c r="AA150" s="2838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1:39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2838"/>
      <c r="V151" s="2838"/>
      <c r="W151" s="2838"/>
      <c r="X151" s="2838"/>
      <c r="Y151" s="2838"/>
      <c r="Z151" s="2838"/>
      <c r="AA151" s="2838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1:39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1:39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1:39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1:39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1:39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1:39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1:39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1:39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1:39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3021">
        <f>SUBTOTAL(9,AB131:AB172)</f>
        <v>0</v>
      </c>
      <c r="AC173" s="2826">
        <f>SUBTOTAL(9,AC131:AC172)</f>
        <v>0</v>
      </c>
      <c r="AD173" s="2826">
        <f>SUBTOTAL(9,AD131:AD172)</f>
        <v>0</v>
      </c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3021">
        <v>0</v>
      </c>
      <c r="AC174" s="2826">
        <v>0</v>
      </c>
      <c r="AD174" s="2826">
        <v>0</v>
      </c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3021">
        <v>0</v>
      </c>
      <c r="AC175" s="2826">
        <v>0</v>
      </c>
      <c r="AD175" s="2826">
        <v>0</v>
      </c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B176" s="3021">
        <v>0</v>
      </c>
      <c r="AC176" s="2826">
        <v>0</v>
      </c>
      <c r="AD176" s="2826">
        <v>0</v>
      </c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B177" s="3021">
        <v>0</v>
      </c>
      <c r="AC177" s="2826">
        <v>0</v>
      </c>
      <c r="AD177" s="2826">
        <v>0</v>
      </c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B178" s="3021">
        <v>0</v>
      </c>
      <c r="AC178" s="2826">
        <v>0</v>
      </c>
      <c r="AD178" s="2826">
        <v>0</v>
      </c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41" s="3021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B179" s="3021">
        <v>0</v>
      </c>
      <c r="AC179" s="2826">
        <v>0</v>
      </c>
      <c r="AD179" s="2826">
        <v>0</v>
      </c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41" s="3021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B180" s="3021">
        <v>0</v>
      </c>
      <c r="AC180" s="2826">
        <v>0</v>
      </c>
      <c r="AD180" s="2826">
        <v>0</v>
      </c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41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B181" s="3021">
        <v>0</v>
      </c>
      <c r="AC181" s="2826">
        <v>0</v>
      </c>
      <c r="AD181" s="2826">
        <v>0</v>
      </c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41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B182" s="3021">
        <v>0</v>
      </c>
      <c r="AC182" s="2826">
        <v>0</v>
      </c>
      <c r="AD182" s="2826">
        <v>0</v>
      </c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3021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B183" s="3021">
        <v>0</v>
      </c>
      <c r="AC183" s="2826">
        <v>0</v>
      </c>
      <c r="AD183" s="2826">
        <v>0</v>
      </c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41" s="3021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>
        <f>SUBTOTAL(9,U142:U183)</f>
        <v>0</v>
      </c>
      <c r="V184" s="146">
        <f t="shared" ref="V184:AA184" si="105">SUBTOTAL(9,V142:V183)</f>
        <v>0</v>
      </c>
      <c r="W184" s="146">
        <f t="shared" si="105"/>
        <v>0</v>
      </c>
      <c r="X184" s="146">
        <f t="shared" si="105"/>
        <v>0</v>
      </c>
      <c r="Y184" s="146">
        <f t="shared" si="105"/>
        <v>0</v>
      </c>
      <c r="Z184" s="146">
        <f t="shared" si="105"/>
        <v>0</v>
      </c>
      <c r="AA184" s="146">
        <f t="shared" si="105"/>
        <v>0</v>
      </c>
      <c r="AB184" s="3021">
        <v>0</v>
      </c>
      <c r="AC184" s="2826">
        <v>0</v>
      </c>
      <c r="AD184" s="2826">
        <v>0</v>
      </c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41" s="2825" customFormat="1" ht="14" thickBot="1">
      <c r="B185" s="139"/>
      <c r="C185" s="138"/>
      <c r="D185" s="908"/>
      <c r="E185" s="138"/>
      <c r="F185" s="140"/>
      <c r="G185" s="141"/>
      <c r="H185" s="141"/>
      <c r="I185" s="141"/>
      <c r="J185" s="141"/>
      <c r="K185" s="141"/>
      <c r="L185" s="141"/>
      <c r="M185" s="458"/>
      <c r="N185" s="140"/>
      <c r="O185" s="141"/>
      <c r="P185" s="141"/>
      <c r="Q185" s="148"/>
      <c r="R185" s="148"/>
      <c r="S185" s="149"/>
      <c r="T185" s="149"/>
      <c r="U185" s="150"/>
      <c r="V185" s="150"/>
      <c r="W185" s="150"/>
      <c r="X185" s="150"/>
      <c r="Y185" s="150"/>
      <c r="Z185" s="150"/>
      <c r="AA185" s="150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2825" customFormat="1" ht="15" thickTop="1" thickBot="1">
      <c r="B186" s="139"/>
      <c r="C186" s="138"/>
      <c r="D186" s="908"/>
      <c r="E186" s="138"/>
      <c r="F186" s="140"/>
      <c r="G186" s="141"/>
      <c r="H186" s="141"/>
      <c r="I186" s="141"/>
      <c r="J186" s="141"/>
      <c r="K186" s="141"/>
      <c r="L186" s="141"/>
      <c r="M186" s="458"/>
      <c r="N186" s="140"/>
      <c r="O186" s="141"/>
      <c r="P186" s="141"/>
      <c r="Q186" s="148"/>
      <c r="R186" s="148"/>
      <c r="S186" s="148"/>
      <c r="T186" s="149"/>
      <c r="U186" s="151"/>
      <c r="V186" s="152"/>
      <c r="W186" s="153"/>
      <c r="X186" s="153"/>
      <c r="Y186" s="153"/>
      <c r="Z186" s="153"/>
      <c r="AA186" s="154"/>
      <c r="AB186" s="3022"/>
      <c r="AC186" s="3022"/>
      <c r="AE186" s="2826"/>
      <c r="AF186" s="2826"/>
      <c r="AG186" s="2826"/>
      <c r="AH186" s="2826"/>
      <c r="AI186" s="2826"/>
      <c r="AJ186" s="2826"/>
      <c r="AK186" s="2826"/>
      <c r="AL186" s="2826"/>
      <c r="AM186" s="2826"/>
      <c r="AN186" s="2826"/>
      <c r="AO186" s="2826"/>
    </row>
    <row r="187" spans="2:41" s="3021" customFormat="1" ht="12" thickTop="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41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41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3021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3021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3021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3021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3021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3021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3021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3021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3021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39" s="3021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39" s="3021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39" s="3021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39" s="3021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39" s="3021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39" s="3021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39" s="3021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39" s="3021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39" s="3021" customFormat="1" ht="11">
      <c r="B217" s="144"/>
      <c r="C217" s="143"/>
      <c r="D217" s="907"/>
      <c r="E217" s="143"/>
      <c r="F217" s="145"/>
      <c r="G217" s="146"/>
      <c r="H217" s="146"/>
      <c r="I217" s="146"/>
      <c r="J217" s="146"/>
      <c r="K217" s="146"/>
      <c r="L217" s="146"/>
      <c r="M217" s="458"/>
      <c r="N217" s="145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39" s="3021" customFormat="1" ht="11">
      <c r="B218" s="144"/>
      <c r="C218" s="143"/>
      <c r="D218" s="907"/>
      <c r="E218" s="143"/>
      <c r="F218" s="145"/>
      <c r="G218" s="146"/>
      <c r="H218" s="146"/>
      <c r="I218" s="146"/>
      <c r="J218" s="146"/>
      <c r="K218" s="146"/>
      <c r="L218" s="146"/>
      <c r="M218" s="458"/>
      <c r="N218" s="145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39" s="3021" customFormat="1" ht="11">
      <c r="B219" s="144"/>
      <c r="C219" s="143"/>
      <c r="D219" s="907"/>
      <c r="E219" s="143"/>
      <c r="F219" s="145"/>
      <c r="G219" s="146"/>
      <c r="H219" s="146"/>
      <c r="I219" s="146"/>
      <c r="J219" s="146"/>
      <c r="K219" s="146"/>
      <c r="L219" s="146"/>
      <c r="M219" s="458"/>
      <c r="N219" s="145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39" s="3021" customFormat="1" ht="11">
      <c r="B220" s="144"/>
      <c r="C220" s="143"/>
      <c r="D220" s="907"/>
      <c r="E220" s="143"/>
      <c r="F220" s="145"/>
      <c r="G220" s="146"/>
      <c r="H220" s="146"/>
      <c r="I220" s="146"/>
      <c r="J220" s="146"/>
      <c r="K220" s="146"/>
      <c r="L220" s="146"/>
      <c r="M220" s="458"/>
      <c r="N220" s="145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39" s="3021" customFormat="1" ht="11">
      <c r="B221" s="144"/>
      <c r="C221" s="143"/>
      <c r="D221" s="907"/>
      <c r="E221" s="143"/>
      <c r="F221" s="145"/>
      <c r="G221" s="146"/>
      <c r="H221" s="146"/>
      <c r="I221" s="146"/>
      <c r="J221" s="146"/>
      <c r="K221" s="146"/>
      <c r="L221" s="146"/>
      <c r="M221" s="458"/>
      <c r="N221" s="145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39" s="3021" customFormat="1" ht="11">
      <c r="B222" s="144"/>
      <c r="C222" s="143"/>
      <c r="D222" s="907"/>
      <c r="E222" s="143"/>
      <c r="F222" s="145"/>
      <c r="G222" s="146"/>
      <c r="H222" s="146"/>
      <c r="I222" s="146"/>
      <c r="J222" s="146"/>
      <c r="K222" s="146"/>
      <c r="L222" s="146"/>
      <c r="M222" s="458"/>
      <c r="N222" s="145"/>
      <c r="O222" s="146"/>
      <c r="P222" s="146"/>
      <c r="Q222" s="147"/>
      <c r="R222" s="147"/>
      <c r="S222" s="142"/>
      <c r="T222" s="142"/>
      <c r="U222" s="146"/>
      <c r="V222" s="146"/>
      <c r="W222" s="146"/>
      <c r="X222" s="146"/>
      <c r="Y222" s="146"/>
      <c r="Z222" s="146"/>
      <c r="AA222" s="146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39" s="3021" customFormat="1" ht="11">
      <c r="B223" s="3159"/>
      <c r="D223" s="3160"/>
      <c r="F223" s="3023"/>
      <c r="G223" s="3024"/>
      <c r="H223" s="3024"/>
      <c r="I223" s="3024"/>
      <c r="J223" s="3024"/>
      <c r="K223" s="3024"/>
      <c r="L223" s="3024"/>
      <c r="M223" s="3025"/>
      <c r="N223" s="3023"/>
      <c r="O223" s="146"/>
      <c r="P223" s="146"/>
      <c r="Q223" s="147"/>
      <c r="R223" s="147"/>
      <c r="S223" s="142"/>
      <c r="T223" s="142"/>
      <c r="U223" s="146"/>
      <c r="V223" s="146"/>
      <c r="W223" s="146"/>
      <c r="X223" s="146"/>
      <c r="Y223" s="146"/>
      <c r="Z223" s="146"/>
      <c r="AA223" s="146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39" s="3021" customFormat="1" ht="11">
      <c r="B224" s="3159"/>
      <c r="D224" s="3160"/>
      <c r="F224" s="3023"/>
      <c r="G224" s="3024"/>
      <c r="H224" s="3024"/>
      <c r="I224" s="3024"/>
      <c r="J224" s="3024"/>
      <c r="K224" s="3024"/>
      <c r="L224" s="3024"/>
      <c r="M224" s="3025"/>
      <c r="N224" s="3023"/>
      <c r="O224" s="146"/>
      <c r="P224" s="146"/>
      <c r="Q224" s="147"/>
      <c r="R224" s="147"/>
      <c r="S224" s="142"/>
      <c r="T224" s="142"/>
      <c r="U224" s="146"/>
      <c r="V224" s="146"/>
      <c r="W224" s="146"/>
      <c r="X224" s="146"/>
      <c r="Y224" s="146"/>
      <c r="Z224" s="146"/>
      <c r="AA224" s="146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2:41" s="3021" customFormat="1" ht="11">
      <c r="B225" s="3159"/>
      <c r="D225" s="3160"/>
      <c r="F225" s="3023"/>
      <c r="G225" s="3024"/>
      <c r="H225" s="3024"/>
      <c r="I225" s="3024"/>
      <c r="J225" s="3024"/>
      <c r="K225" s="3024"/>
      <c r="L225" s="3024"/>
      <c r="M225" s="3025"/>
      <c r="N225" s="3023"/>
      <c r="O225" s="146"/>
      <c r="P225" s="146"/>
      <c r="Q225" s="147"/>
      <c r="R225" s="147"/>
      <c r="S225" s="142"/>
      <c r="T225" s="142"/>
      <c r="U225" s="146"/>
      <c r="V225" s="146"/>
      <c r="W225" s="146"/>
      <c r="X225" s="146"/>
      <c r="Y225" s="146"/>
      <c r="Z225" s="146"/>
      <c r="AA225" s="146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41" s="3021" customFormat="1" ht="11">
      <c r="B226" s="3159"/>
      <c r="D226" s="3160"/>
      <c r="F226" s="3023"/>
      <c r="G226" s="3024"/>
      <c r="H226" s="3024"/>
      <c r="I226" s="3024"/>
      <c r="J226" s="3024"/>
      <c r="K226" s="3024"/>
      <c r="L226" s="3024"/>
      <c r="M226" s="3025"/>
      <c r="N226" s="3023"/>
      <c r="O226" s="146"/>
      <c r="P226" s="146"/>
      <c r="Q226" s="147"/>
      <c r="R226" s="147"/>
      <c r="S226" s="142"/>
      <c r="T226" s="142"/>
      <c r="U226" s="146"/>
      <c r="V226" s="146"/>
      <c r="W226" s="146"/>
      <c r="X226" s="146"/>
      <c r="Y226" s="146"/>
      <c r="Z226" s="146"/>
      <c r="AA226" s="146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2:41" s="3021" customFormat="1" ht="11">
      <c r="B227" s="3159"/>
      <c r="D227" s="3160"/>
      <c r="F227" s="3023"/>
      <c r="G227" s="3024"/>
      <c r="H227" s="3024"/>
      <c r="I227" s="3024"/>
      <c r="J227" s="3024"/>
      <c r="K227" s="3024"/>
      <c r="L227" s="3024"/>
      <c r="M227" s="3025"/>
      <c r="N227" s="3023"/>
      <c r="O227" s="146"/>
      <c r="P227" s="146"/>
      <c r="Q227" s="147"/>
      <c r="R227" s="147"/>
      <c r="S227" s="142"/>
      <c r="T227" s="142"/>
      <c r="U227" s="146">
        <f>SUBTOTAL(9,U185:U226)</f>
        <v>0</v>
      </c>
      <c r="V227" s="146">
        <f t="shared" ref="V227:AA227" si="106">SUBTOTAL(9,V185:V226)</f>
        <v>0</v>
      </c>
      <c r="W227" s="146">
        <f t="shared" si="106"/>
        <v>0</v>
      </c>
      <c r="X227" s="146">
        <f t="shared" si="106"/>
        <v>0</v>
      </c>
      <c r="Y227" s="146">
        <f t="shared" si="106"/>
        <v>0</v>
      </c>
      <c r="Z227" s="146">
        <f t="shared" si="106"/>
        <v>0</v>
      </c>
      <c r="AA227" s="146">
        <f t="shared" si="106"/>
        <v>0</v>
      </c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2:41" s="2825" customFormat="1" ht="14" thickBot="1">
      <c r="B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41" s="2825" customFormat="1" ht="15" thickTop="1" thickBot="1">
      <c r="B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026"/>
      <c r="O229" s="141"/>
      <c r="P229" s="141"/>
      <c r="Q229" s="148"/>
      <c r="R229" s="148"/>
      <c r="S229" s="148"/>
      <c r="T229" s="148"/>
      <c r="U229" s="151">
        <f>SUBTOTAL(9,U187:U228)</f>
        <v>0</v>
      </c>
      <c r="V229" s="152">
        <f t="shared" ref="V229:AA229" si="107">SUBTOTAL(9,V187:V228)</f>
        <v>0</v>
      </c>
      <c r="W229" s="153">
        <f t="shared" si="107"/>
        <v>0</v>
      </c>
      <c r="X229" s="153">
        <f t="shared" si="107"/>
        <v>0</v>
      </c>
      <c r="Y229" s="153">
        <f t="shared" si="107"/>
        <v>0</v>
      </c>
      <c r="Z229" s="153">
        <f t="shared" si="107"/>
        <v>0</v>
      </c>
      <c r="AA229" s="154">
        <f t="shared" si="107"/>
        <v>0</v>
      </c>
      <c r="AB229" s="3022"/>
      <c r="AC229" s="3022"/>
      <c r="AE229" s="2826"/>
      <c r="AF229" s="2826"/>
      <c r="AG229" s="2826"/>
      <c r="AH229" s="2826"/>
      <c r="AI229" s="2826"/>
      <c r="AJ229" s="2826"/>
      <c r="AK229" s="2826"/>
      <c r="AL229" s="2826"/>
      <c r="AM229" s="2826"/>
      <c r="AN229" s="2826"/>
      <c r="AO229" s="2826"/>
    </row>
    <row r="230" spans="2:41" s="2825" customFormat="1" ht="14" thickTop="1">
      <c r="B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41" s="2825" customFormat="1">
      <c r="B231" s="2935"/>
      <c r="D231" s="3161"/>
      <c r="F231" s="3026"/>
      <c r="G231" s="3027"/>
      <c r="H231" s="3027"/>
      <c r="I231" s="3027"/>
      <c r="J231" s="3027"/>
      <c r="K231" s="3027"/>
      <c r="L231" s="3027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41" s="2825" customFormat="1">
      <c r="B232" s="2935"/>
      <c r="D232" s="3161"/>
      <c r="F232" s="3026"/>
      <c r="G232" s="3027"/>
      <c r="H232" s="3027"/>
      <c r="I232" s="3027"/>
      <c r="J232" s="3027"/>
      <c r="K232" s="3027"/>
      <c r="L232" s="3027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41" s="2825" customFormat="1">
      <c r="B233" s="2935"/>
      <c r="D233" s="3161"/>
      <c r="F233" s="3026"/>
      <c r="G233" s="3027"/>
      <c r="H233" s="3027"/>
      <c r="I233" s="3027"/>
      <c r="J233" s="3027"/>
      <c r="K233" s="3027"/>
      <c r="L233" s="3027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41" s="2825" customFormat="1">
      <c r="B234" s="2935"/>
      <c r="D234" s="3161"/>
      <c r="F234" s="3026"/>
      <c r="G234" s="3027"/>
      <c r="H234" s="3027"/>
      <c r="I234" s="3027"/>
      <c r="J234" s="3027"/>
      <c r="K234" s="3027"/>
      <c r="L234" s="3027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41" s="2825" customFormat="1">
      <c r="B235" s="2935"/>
      <c r="D235" s="3161"/>
      <c r="F235" s="3026"/>
      <c r="G235" s="3027"/>
      <c r="H235" s="3027"/>
      <c r="I235" s="3027"/>
      <c r="J235" s="3027"/>
      <c r="K235" s="3027"/>
      <c r="L235" s="3027"/>
      <c r="M235" s="3025"/>
      <c r="N235" s="3026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41" s="2825" customFormat="1">
      <c r="B236" s="2935"/>
      <c r="D236" s="3161"/>
      <c r="F236" s="3026"/>
      <c r="G236" s="3027"/>
      <c r="H236" s="3027"/>
      <c r="I236" s="3027"/>
      <c r="J236" s="3027"/>
      <c r="K236" s="3027"/>
      <c r="L236" s="3027"/>
      <c r="M236" s="3025"/>
      <c r="N236" s="3026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41" s="2825" customFormat="1">
      <c r="B237" s="2935"/>
      <c r="D237" s="3161"/>
      <c r="F237" s="3026"/>
      <c r="G237" s="3027"/>
      <c r="H237" s="3027"/>
      <c r="I237" s="3027"/>
      <c r="J237" s="3027"/>
      <c r="K237" s="3027"/>
      <c r="L237" s="3027"/>
      <c r="M237" s="3025"/>
      <c r="N237" s="3026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41" s="2825" customFormat="1">
      <c r="B238" s="2935"/>
      <c r="D238" s="3161"/>
      <c r="F238" s="3026"/>
      <c r="G238" s="3027"/>
      <c r="H238" s="3027"/>
      <c r="I238" s="3027"/>
      <c r="J238" s="3027"/>
      <c r="K238" s="3027"/>
      <c r="L238" s="3027"/>
      <c r="M238" s="3025"/>
      <c r="N238" s="3026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41" s="2825" customFormat="1">
      <c r="B239" s="2935"/>
      <c r="D239" s="3161"/>
      <c r="F239" s="3026"/>
      <c r="G239" s="3027"/>
      <c r="H239" s="3027"/>
      <c r="I239" s="3027"/>
      <c r="J239" s="3027"/>
      <c r="K239" s="3027"/>
      <c r="L239" s="3027"/>
      <c r="M239" s="3025"/>
      <c r="N239" s="3026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41" s="2825" customFormat="1">
      <c r="B240" s="2935"/>
      <c r="D240" s="3161"/>
      <c r="F240" s="3026"/>
      <c r="G240" s="3027"/>
      <c r="H240" s="3027"/>
      <c r="I240" s="3027"/>
      <c r="J240" s="3027"/>
      <c r="K240" s="3027"/>
      <c r="L240" s="3027"/>
      <c r="M240" s="3025"/>
      <c r="N240" s="3026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2:39" s="2825" customFormat="1">
      <c r="B241" s="2935"/>
      <c r="D241" s="3161"/>
      <c r="F241" s="3026"/>
      <c r="G241" s="3027"/>
      <c r="H241" s="3027"/>
      <c r="I241" s="3027"/>
      <c r="J241" s="3027"/>
      <c r="K241" s="3027"/>
      <c r="L241" s="3027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2:39" s="2825" customFormat="1">
      <c r="B242" s="2935"/>
      <c r="D242" s="3161"/>
      <c r="F242" s="3026"/>
      <c r="G242" s="3027"/>
      <c r="H242" s="3027"/>
      <c r="I242" s="3027"/>
      <c r="J242" s="3027"/>
      <c r="K242" s="3027"/>
      <c r="L242" s="3027"/>
      <c r="M242" s="3025"/>
      <c r="N242" s="3026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826"/>
      <c r="AD242" s="2826"/>
      <c r="AE242" s="2826"/>
      <c r="AF242" s="2826"/>
      <c r="AG242" s="2826"/>
      <c r="AH242" s="2826"/>
      <c r="AI242" s="2826"/>
      <c r="AJ242" s="2826"/>
      <c r="AK242" s="2826"/>
      <c r="AL242" s="2826"/>
      <c r="AM242" s="2826"/>
    </row>
    <row r="243" spans="2:39" s="2825" customFormat="1">
      <c r="B243" s="2935"/>
      <c r="D243" s="3161"/>
      <c r="F243" s="3026"/>
      <c r="G243" s="3027"/>
      <c r="H243" s="3027"/>
      <c r="I243" s="3027"/>
      <c r="J243" s="3027"/>
      <c r="K243" s="3027"/>
      <c r="L243" s="3027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2:39" s="2825" customFormat="1">
      <c r="B244" s="2935"/>
      <c r="D244" s="3161"/>
      <c r="F244" s="3026"/>
      <c r="G244" s="3027"/>
      <c r="H244" s="3027"/>
      <c r="I244" s="3027"/>
      <c r="J244" s="3027"/>
      <c r="K244" s="3027"/>
      <c r="L244" s="3027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2:39" s="2825" customFormat="1">
      <c r="B245" s="2935"/>
      <c r="D245" s="3161"/>
      <c r="F245" s="3026"/>
      <c r="G245" s="3027"/>
      <c r="H245" s="3027"/>
      <c r="I245" s="3027"/>
      <c r="J245" s="3027"/>
      <c r="K245" s="3027"/>
      <c r="L245" s="3027"/>
      <c r="M245" s="3025"/>
      <c r="N245" s="3026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826"/>
      <c r="AD245" s="2826"/>
      <c r="AE245" s="2826"/>
      <c r="AF245" s="2826"/>
      <c r="AG245" s="2826"/>
      <c r="AH245" s="2826"/>
      <c r="AI245" s="2826"/>
      <c r="AJ245" s="2826"/>
      <c r="AK245" s="2826"/>
      <c r="AL245" s="2826"/>
      <c r="AM245" s="2826"/>
    </row>
    <row r="246" spans="2:39" s="2825" customFormat="1">
      <c r="B246" s="2935"/>
      <c r="D246" s="3161"/>
      <c r="F246" s="3026"/>
      <c r="G246" s="3027"/>
      <c r="H246" s="3027"/>
      <c r="I246" s="3027"/>
      <c r="J246" s="3027"/>
      <c r="K246" s="3027"/>
      <c r="L246" s="3027"/>
      <c r="M246" s="3025"/>
      <c r="N246" s="3026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826"/>
      <c r="AD246" s="2826"/>
      <c r="AE246" s="2826"/>
      <c r="AF246" s="2826"/>
      <c r="AG246" s="2826"/>
      <c r="AH246" s="2826"/>
      <c r="AI246" s="2826"/>
      <c r="AJ246" s="2826"/>
      <c r="AK246" s="2826"/>
      <c r="AL246" s="2826"/>
      <c r="AM246" s="2826"/>
    </row>
    <row r="247" spans="2:39" s="2825" customFormat="1">
      <c r="B247" s="2935"/>
      <c r="D247" s="3161"/>
      <c r="F247" s="3026"/>
      <c r="G247" s="3027"/>
      <c r="H247" s="3027"/>
      <c r="I247" s="3027"/>
      <c r="J247" s="3027"/>
      <c r="K247" s="3027"/>
      <c r="L247" s="3027"/>
      <c r="M247" s="3025"/>
      <c r="N247" s="3026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826"/>
      <c r="AD247" s="2826"/>
      <c r="AE247" s="2826"/>
      <c r="AF247" s="2826"/>
      <c r="AG247" s="2826"/>
      <c r="AH247" s="2826"/>
      <c r="AI247" s="2826"/>
      <c r="AJ247" s="2826"/>
      <c r="AK247" s="2826"/>
      <c r="AL247" s="2826"/>
      <c r="AM247" s="2826"/>
    </row>
    <row r="248" spans="2:39" s="2825" customFormat="1">
      <c r="B248" s="2935"/>
      <c r="D248" s="3161"/>
      <c r="F248" s="3026"/>
      <c r="G248" s="3027"/>
      <c r="H248" s="3027"/>
      <c r="I248" s="3027"/>
      <c r="J248" s="3027"/>
      <c r="K248" s="3027"/>
      <c r="L248" s="3027"/>
      <c r="M248" s="3025"/>
      <c r="N248" s="3026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826"/>
      <c r="AD248" s="2826"/>
      <c r="AE248" s="2826"/>
      <c r="AF248" s="2826"/>
      <c r="AG248" s="2826"/>
      <c r="AH248" s="2826"/>
      <c r="AI248" s="2826"/>
      <c r="AJ248" s="2826"/>
      <c r="AK248" s="2826"/>
      <c r="AL248" s="2826"/>
      <c r="AM248" s="2826"/>
    </row>
    <row r="249" spans="2:39" s="2825" customFormat="1">
      <c r="B249" s="2935"/>
      <c r="D249" s="3161"/>
      <c r="F249" s="3026"/>
      <c r="G249" s="3027"/>
      <c r="H249" s="3027"/>
      <c r="I249" s="3027"/>
      <c r="J249" s="3027"/>
      <c r="K249" s="3027"/>
      <c r="L249" s="3027"/>
      <c r="M249" s="3025"/>
      <c r="N249" s="3026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826"/>
      <c r="AD249" s="2826"/>
      <c r="AE249" s="2826"/>
      <c r="AF249" s="2826"/>
      <c r="AG249" s="2826"/>
      <c r="AH249" s="2826"/>
      <c r="AI249" s="2826"/>
      <c r="AJ249" s="2826"/>
      <c r="AK249" s="2826"/>
      <c r="AL249" s="2826"/>
      <c r="AM249" s="2826"/>
    </row>
    <row r="250" spans="2:39" s="2825" customFormat="1">
      <c r="B250" s="2935"/>
      <c r="D250" s="3161"/>
      <c r="F250" s="3026"/>
      <c r="G250" s="3027"/>
      <c r="H250" s="3027"/>
      <c r="I250" s="3027"/>
      <c r="J250" s="3027"/>
      <c r="K250" s="3027"/>
      <c r="L250" s="3027"/>
      <c r="M250" s="3025"/>
      <c r="N250" s="3026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826"/>
      <c r="AD250" s="2826"/>
      <c r="AE250" s="2826"/>
      <c r="AF250" s="2826"/>
      <c r="AG250" s="2826"/>
      <c r="AH250" s="2826"/>
      <c r="AI250" s="2826"/>
      <c r="AJ250" s="2826"/>
      <c r="AK250" s="2826"/>
      <c r="AL250" s="2826"/>
      <c r="AM250" s="2826"/>
    </row>
    <row r="251" spans="2:39" s="2825" customFormat="1">
      <c r="B251" s="2935"/>
      <c r="D251" s="3161"/>
      <c r="F251" s="3026"/>
      <c r="G251" s="3027"/>
      <c r="H251" s="3027"/>
      <c r="I251" s="3027"/>
      <c r="J251" s="3027"/>
      <c r="K251" s="3027"/>
      <c r="L251" s="3027"/>
      <c r="M251" s="3025"/>
      <c r="N251" s="3026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826"/>
      <c r="AD251" s="2826"/>
      <c r="AE251" s="2826"/>
      <c r="AF251" s="2826"/>
      <c r="AG251" s="2826"/>
      <c r="AH251" s="2826"/>
      <c r="AI251" s="2826"/>
      <c r="AJ251" s="2826"/>
      <c r="AK251" s="2826"/>
      <c r="AL251" s="2826"/>
      <c r="AM251" s="2826"/>
    </row>
    <row r="252" spans="2:39" s="2825" customFormat="1">
      <c r="B252" s="2935"/>
      <c r="D252" s="3161"/>
      <c r="F252" s="3026"/>
      <c r="G252" s="3027"/>
      <c r="H252" s="3027"/>
      <c r="I252" s="3027"/>
      <c r="J252" s="3027"/>
      <c r="K252" s="3027"/>
      <c r="L252" s="3027"/>
      <c r="M252" s="3025"/>
      <c r="N252" s="3026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826"/>
      <c r="AD252" s="2826"/>
      <c r="AE252" s="2826"/>
      <c r="AF252" s="2826"/>
      <c r="AG252" s="2826"/>
      <c r="AH252" s="2826"/>
      <c r="AI252" s="2826"/>
      <c r="AJ252" s="2826"/>
      <c r="AK252" s="2826"/>
      <c r="AL252" s="2826"/>
      <c r="AM252" s="2826"/>
    </row>
    <row r="253" spans="2:39" s="2825" customFormat="1">
      <c r="B253" s="2935"/>
      <c r="D253" s="3161"/>
      <c r="F253" s="3026"/>
      <c r="G253" s="3027"/>
      <c r="H253" s="3027"/>
      <c r="I253" s="3027"/>
      <c r="J253" s="3027"/>
      <c r="K253" s="3027"/>
      <c r="L253" s="3027"/>
      <c r="M253" s="3025"/>
      <c r="N253" s="3026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826"/>
      <c r="AD253" s="2826"/>
      <c r="AE253" s="2826"/>
      <c r="AF253" s="2826"/>
      <c r="AG253" s="2826"/>
      <c r="AH253" s="2826"/>
      <c r="AI253" s="2826"/>
      <c r="AJ253" s="2826"/>
      <c r="AK253" s="2826"/>
      <c r="AL253" s="2826"/>
      <c r="AM253" s="2826"/>
    </row>
    <row r="254" spans="2:39" s="2825" customFormat="1">
      <c r="B254" s="2935"/>
      <c r="D254" s="3161"/>
      <c r="F254" s="3026"/>
      <c r="G254" s="3027"/>
      <c r="H254" s="3027"/>
      <c r="I254" s="3027"/>
      <c r="J254" s="3027"/>
      <c r="K254" s="3027"/>
      <c r="L254" s="3027"/>
      <c r="M254" s="3025"/>
      <c r="N254" s="3026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826"/>
      <c r="AD254" s="2826"/>
      <c r="AE254" s="2826"/>
      <c r="AF254" s="2826"/>
      <c r="AG254" s="2826"/>
      <c r="AH254" s="2826"/>
      <c r="AI254" s="2826"/>
      <c r="AJ254" s="2826"/>
      <c r="AK254" s="2826"/>
      <c r="AL254" s="2826"/>
      <c r="AM254" s="2826"/>
    </row>
    <row r="255" spans="2:39" s="2825" customFormat="1">
      <c r="B255" s="2935"/>
      <c r="D255" s="3161"/>
      <c r="F255" s="3026"/>
      <c r="G255" s="3027"/>
      <c r="H255" s="3027"/>
      <c r="I255" s="3027"/>
      <c r="J255" s="3027"/>
      <c r="K255" s="3027"/>
      <c r="L255" s="3027"/>
      <c r="M255" s="3025"/>
      <c r="N255" s="3026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826"/>
      <c r="AD255" s="2826"/>
      <c r="AE255" s="2826"/>
      <c r="AF255" s="2826"/>
      <c r="AG255" s="2826"/>
      <c r="AH255" s="2826"/>
      <c r="AI255" s="2826"/>
      <c r="AJ255" s="2826"/>
      <c r="AK255" s="2826"/>
      <c r="AL255" s="2826"/>
      <c r="AM255" s="2826"/>
    </row>
    <row r="256" spans="2:39" s="2825" customFormat="1">
      <c r="B256" s="2935"/>
      <c r="D256" s="3161"/>
      <c r="F256" s="3026"/>
      <c r="G256" s="3027"/>
      <c r="H256" s="3027"/>
      <c r="I256" s="3027"/>
      <c r="J256" s="3027"/>
      <c r="K256" s="3027"/>
      <c r="L256" s="3027"/>
      <c r="M256" s="3025"/>
      <c r="N256" s="3026"/>
      <c r="O256" s="141"/>
      <c r="P256" s="141"/>
      <c r="Q256" s="148"/>
      <c r="R256" s="148"/>
      <c r="S256" s="149"/>
      <c r="T256" s="149"/>
      <c r="U256" s="150"/>
      <c r="V256" s="150"/>
      <c r="W256" s="150"/>
      <c r="X256" s="150"/>
      <c r="Y256" s="150"/>
      <c r="Z256" s="150"/>
      <c r="AA256" s="150"/>
      <c r="AC256" s="2826"/>
      <c r="AD256" s="2826"/>
      <c r="AE256" s="2826"/>
      <c r="AF256" s="2826"/>
      <c r="AG256" s="2826"/>
      <c r="AH256" s="2826"/>
      <c r="AI256" s="2826"/>
      <c r="AJ256" s="2826"/>
      <c r="AK256" s="2826"/>
      <c r="AL256" s="2826"/>
      <c r="AM256" s="2826"/>
    </row>
    <row r="257" spans="1:40" s="2825" customFormat="1">
      <c r="B257" s="2935"/>
      <c r="D257" s="3161"/>
      <c r="F257" s="3026"/>
      <c r="G257" s="3027"/>
      <c r="H257" s="3027"/>
      <c r="I257" s="3027"/>
      <c r="J257" s="3027"/>
      <c r="K257" s="3027"/>
      <c r="L257" s="3027"/>
      <c r="M257" s="3025"/>
      <c r="N257" s="3026"/>
      <c r="O257" s="141"/>
      <c r="P257" s="141"/>
      <c r="Q257" s="148"/>
      <c r="R257" s="148"/>
      <c r="S257" s="149"/>
      <c r="T257" s="149"/>
      <c r="U257" s="150"/>
      <c r="V257" s="150"/>
      <c r="W257" s="150"/>
      <c r="X257" s="150"/>
      <c r="Y257" s="150"/>
      <c r="Z257" s="150"/>
      <c r="AA257" s="150"/>
      <c r="AC257" s="2826"/>
      <c r="AD257" s="2826"/>
      <c r="AE257" s="2826"/>
      <c r="AF257" s="2826"/>
      <c r="AG257" s="2826"/>
      <c r="AH257" s="2826"/>
      <c r="AI257" s="2826"/>
      <c r="AJ257" s="2826"/>
      <c r="AK257" s="2826"/>
      <c r="AL257" s="2826"/>
      <c r="AM257" s="2826"/>
    </row>
    <row r="258" spans="1:40" s="2825" customFormat="1">
      <c r="B258" s="2935"/>
      <c r="D258" s="3161"/>
      <c r="F258" s="3026"/>
      <c r="G258" s="3027"/>
      <c r="H258" s="3027"/>
      <c r="I258" s="3027"/>
      <c r="J258" s="3027"/>
      <c r="K258" s="3027"/>
      <c r="L258" s="3027"/>
      <c r="M258" s="3025"/>
      <c r="N258" s="3026"/>
      <c r="O258" s="141"/>
      <c r="P258" s="141"/>
      <c r="Q258" s="148"/>
      <c r="R258" s="148"/>
      <c r="S258" s="149"/>
      <c r="T258" s="149"/>
      <c r="U258" s="150"/>
      <c r="V258" s="150"/>
      <c r="W258" s="150"/>
      <c r="X258" s="150"/>
      <c r="Y258" s="150"/>
      <c r="Z258" s="150"/>
      <c r="AA258" s="150"/>
      <c r="AC258" s="2826"/>
      <c r="AD258" s="2826"/>
      <c r="AE258" s="2826"/>
      <c r="AF258" s="2826"/>
      <c r="AG258" s="2826"/>
      <c r="AH258" s="2826"/>
      <c r="AI258" s="2826"/>
      <c r="AJ258" s="2826"/>
      <c r="AK258" s="2826"/>
      <c r="AL258" s="2826"/>
      <c r="AM258" s="2826"/>
    </row>
    <row r="259" spans="1:40" s="2825" customFormat="1">
      <c r="B259" s="2935"/>
      <c r="D259" s="3161"/>
      <c r="F259" s="3026"/>
      <c r="G259" s="3027"/>
      <c r="H259" s="3027"/>
      <c r="I259" s="3027"/>
      <c r="J259" s="3027"/>
      <c r="K259" s="3027"/>
      <c r="L259" s="3027"/>
      <c r="M259" s="3025"/>
      <c r="N259" s="3026"/>
      <c r="O259" s="141"/>
      <c r="P259" s="141"/>
      <c r="Q259" s="148"/>
      <c r="R259" s="148"/>
      <c r="S259" s="149"/>
      <c r="T259" s="149"/>
      <c r="U259" s="150"/>
      <c r="V259" s="150"/>
      <c r="W259" s="150"/>
      <c r="X259" s="150"/>
      <c r="Y259" s="150"/>
      <c r="Z259" s="150"/>
      <c r="AA259" s="150"/>
      <c r="AC259" s="2826"/>
      <c r="AD259" s="2826"/>
      <c r="AE259" s="2826"/>
      <c r="AF259" s="2826"/>
      <c r="AG259" s="2826"/>
      <c r="AH259" s="2826"/>
      <c r="AI259" s="2826"/>
      <c r="AJ259" s="2826"/>
      <c r="AK259" s="2826"/>
      <c r="AL259" s="2826"/>
      <c r="AM259" s="2826"/>
    </row>
    <row r="260" spans="1:40" s="2825" customFormat="1">
      <c r="B260" s="2935"/>
      <c r="D260" s="3161"/>
      <c r="F260" s="3026"/>
      <c r="G260" s="3027"/>
      <c r="H260" s="3027"/>
      <c r="I260" s="3027"/>
      <c r="J260" s="3027"/>
      <c r="K260" s="3027"/>
      <c r="L260" s="3027"/>
      <c r="M260" s="3025"/>
      <c r="N260" s="3026"/>
      <c r="O260" s="141"/>
      <c r="P260" s="141"/>
      <c r="Q260" s="148"/>
      <c r="R260" s="148"/>
      <c r="S260" s="149"/>
      <c r="T260" s="149"/>
      <c r="U260" s="150"/>
      <c r="V260" s="150"/>
      <c r="W260" s="150"/>
      <c r="X260" s="150"/>
      <c r="Y260" s="150"/>
      <c r="Z260" s="150"/>
      <c r="AA260" s="150"/>
      <c r="AC260" s="2826"/>
      <c r="AD260" s="2826"/>
      <c r="AE260" s="2826"/>
      <c r="AF260" s="2826"/>
      <c r="AG260" s="2826"/>
      <c r="AH260" s="2826"/>
      <c r="AI260" s="2826"/>
      <c r="AJ260" s="2826"/>
      <c r="AK260" s="2826"/>
      <c r="AL260" s="2826"/>
      <c r="AM260" s="2826"/>
    </row>
    <row r="261" spans="1:40">
      <c r="A261" s="1"/>
      <c r="O261" s="155"/>
      <c r="P261" s="155"/>
      <c r="Q261" s="1131"/>
      <c r="R261" s="1131"/>
      <c r="S261" s="251"/>
      <c r="T261" s="251"/>
      <c r="U261" s="1132"/>
      <c r="V261" s="1132"/>
      <c r="W261" s="1132"/>
      <c r="X261" s="1132"/>
      <c r="Y261" s="1132"/>
      <c r="Z261" s="1132"/>
      <c r="AA261" s="1132"/>
      <c r="AN261" s="1"/>
    </row>
    <row r="262" spans="1:40">
      <c r="A262" s="1"/>
      <c r="O262" s="155"/>
      <c r="P262" s="155"/>
      <c r="Q262" s="1131"/>
      <c r="R262" s="1131"/>
      <c r="S262" s="251"/>
      <c r="T262" s="251"/>
      <c r="U262" s="1132"/>
      <c r="V262" s="1132"/>
      <c r="W262" s="1132"/>
      <c r="X262" s="1132"/>
      <c r="Y262" s="1132"/>
      <c r="Z262" s="1132"/>
      <c r="AA262" s="1132"/>
      <c r="AN262" s="1"/>
    </row>
    <row r="263" spans="1:40">
      <c r="A263" s="1"/>
      <c r="O263" s="155"/>
      <c r="P263" s="155"/>
      <c r="Q263" s="1131"/>
      <c r="R263" s="1131"/>
      <c r="S263" s="251"/>
      <c r="T263" s="251"/>
      <c r="U263" s="1132"/>
      <c r="V263" s="1132"/>
      <c r="W263" s="1132"/>
      <c r="X263" s="1132"/>
      <c r="Y263" s="1132"/>
      <c r="Z263" s="1132"/>
      <c r="AA263" s="1132"/>
      <c r="AN263" s="1"/>
    </row>
    <row r="264" spans="1:40">
      <c r="A264" s="1"/>
      <c r="O264" s="155"/>
      <c r="P264" s="155"/>
      <c r="Q264" s="1131"/>
      <c r="R264" s="1131"/>
      <c r="S264" s="251"/>
      <c r="T264" s="251"/>
      <c r="U264" s="1132"/>
      <c r="V264" s="1132"/>
      <c r="W264" s="1132"/>
      <c r="X264" s="1132"/>
      <c r="Y264" s="1132"/>
      <c r="Z264" s="1132"/>
      <c r="AA264" s="1132"/>
      <c r="AN264" s="1"/>
    </row>
    <row r="265" spans="1:40">
      <c r="A265" s="1"/>
      <c r="O265" s="155"/>
      <c r="P265" s="155"/>
      <c r="Q265" s="1131"/>
      <c r="R265" s="1131"/>
      <c r="S265" s="251"/>
      <c r="T265" s="251"/>
      <c r="U265" s="1132"/>
      <c r="V265" s="1132"/>
      <c r="W265" s="1132"/>
      <c r="X265" s="1132"/>
      <c r="Y265" s="1132"/>
      <c r="Z265" s="1132"/>
      <c r="AA265" s="1132"/>
      <c r="AN265" s="1"/>
    </row>
    <row r="266" spans="1:40">
      <c r="A266" s="1"/>
      <c r="O266" s="155"/>
      <c r="P266" s="155"/>
      <c r="Q266" s="1131"/>
      <c r="R266" s="1131"/>
      <c r="S266" s="251"/>
      <c r="T266" s="251"/>
      <c r="U266" s="1132"/>
      <c r="V266" s="1132"/>
      <c r="W266" s="1132"/>
      <c r="X266" s="1132"/>
      <c r="Y266" s="1132"/>
      <c r="Z266" s="1132"/>
      <c r="AA266" s="1132"/>
      <c r="AN266" s="1"/>
    </row>
    <row r="267" spans="1:40">
      <c r="A267" s="1"/>
      <c r="O267" s="155"/>
      <c r="P267" s="155"/>
      <c r="Q267" s="1131"/>
      <c r="R267" s="1131"/>
      <c r="S267" s="251"/>
      <c r="T267" s="251"/>
      <c r="U267" s="1132"/>
      <c r="V267" s="1132"/>
      <c r="W267" s="1132"/>
      <c r="X267" s="1132"/>
      <c r="Y267" s="1132"/>
      <c r="Z267" s="1132"/>
      <c r="AA267" s="1132"/>
      <c r="AN267" s="1"/>
    </row>
    <row r="268" spans="1:40">
      <c r="A268" s="1"/>
      <c r="O268" s="155"/>
      <c r="P268" s="155"/>
      <c r="Q268" s="1131"/>
      <c r="R268" s="1131"/>
      <c r="S268" s="251"/>
      <c r="T268" s="251"/>
      <c r="U268" s="1132"/>
      <c r="V268" s="1132"/>
      <c r="W268" s="1132"/>
      <c r="X268" s="1132"/>
      <c r="Y268" s="1132"/>
      <c r="Z268" s="1132"/>
      <c r="AA268" s="1132"/>
      <c r="AN268" s="1"/>
    </row>
    <row r="269" spans="1:40">
      <c r="A269" s="1"/>
      <c r="O269" s="155"/>
      <c r="P269" s="155"/>
      <c r="Q269" s="1131"/>
      <c r="R269" s="1131"/>
      <c r="S269" s="251"/>
      <c r="T269" s="251"/>
      <c r="U269" s="1132"/>
      <c r="V269" s="1132"/>
      <c r="W269" s="1132"/>
      <c r="X269" s="1132"/>
      <c r="Y269" s="1132"/>
      <c r="Z269" s="1132"/>
      <c r="AA269" s="1132"/>
      <c r="AN269" s="1"/>
    </row>
    <row r="270" spans="1:40">
      <c r="A270" s="1"/>
      <c r="O270" s="155"/>
      <c r="P270" s="155"/>
      <c r="Q270" s="1131"/>
      <c r="R270" s="1131"/>
      <c r="S270" s="251"/>
      <c r="T270" s="251"/>
      <c r="U270" s="1132"/>
      <c r="V270" s="1132"/>
      <c r="W270" s="1132"/>
      <c r="X270" s="1132"/>
      <c r="Y270" s="1132"/>
      <c r="Z270" s="1132"/>
      <c r="AA270" s="1132"/>
      <c r="AN270" s="1"/>
    </row>
    <row r="271" spans="1:40">
      <c r="A271" s="1"/>
      <c r="O271" s="155"/>
      <c r="P271" s="155"/>
      <c r="Q271" s="1131"/>
      <c r="R271" s="1131"/>
      <c r="S271" s="251"/>
      <c r="T271" s="251"/>
      <c r="U271" s="1132"/>
      <c r="V271" s="1132"/>
      <c r="W271" s="1132"/>
      <c r="X271" s="1132"/>
      <c r="Y271" s="1132"/>
      <c r="Z271" s="1132"/>
      <c r="AA271" s="1132"/>
      <c r="AN271" s="1"/>
    </row>
    <row r="272" spans="1:40">
      <c r="A272" s="1"/>
      <c r="O272" s="155"/>
      <c r="P272" s="155"/>
      <c r="Q272" s="1131"/>
      <c r="R272" s="1131"/>
      <c r="S272" s="251"/>
      <c r="T272" s="251"/>
      <c r="U272" s="1132"/>
      <c r="V272" s="1132"/>
      <c r="W272" s="1132"/>
      <c r="X272" s="1132"/>
      <c r="Y272" s="1132"/>
      <c r="Z272" s="1132"/>
      <c r="AA272" s="1132"/>
      <c r="AN272" s="1"/>
    </row>
    <row r="273" spans="1:40">
      <c r="A273" s="1"/>
      <c r="O273" s="155"/>
      <c r="P273" s="155"/>
      <c r="Q273" s="1131"/>
      <c r="R273" s="1131"/>
      <c r="S273" s="251"/>
      <c r="T273" s="251"/>
      <c r="U273" s="1132"/>
      <c r="V273" s="1132"/>
      <c r="W273" s="1132"/>
      <c r="X273" s="1132"/>
      <c r="Y273" s="1132"/>
      <c r="Z273" s="1132"/>
      <c r="AA273" s="1132"/>
      <c r="AN273" s="1"/>
    </row>
    <row r="274" spans="1:40">
      <c r="A274" s="1"/>
      <c r="B274" s="1"/>
      <c r="D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>
      <c r="A275" s="1"/>
      <c r="B275" s="1"/>
      <c r="D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>
      <c r="A276" s="1"/>
      <c r="B276" s="1"/>
      <c r="D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>
      <c r="A277" s="1"/>
      <c r="B277" s="1"/>
      <c r="D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>
      <c r="A278" s="1"/>
      <c r="B278" s="1"/>
      <c r="D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>
      <c r="A279" s="1"/>
      <c r="B279" s="1"/>
      <c r="D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>
      <c r="A280" s="1"/>
      <c r="B280" s="1"/>
      <c r="D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>
      <c r="A281" s="1"/>
      <c r="B281" s="1"/>
      <c r="D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>
      <c r="A282" s="1"/>
      <c r="B282" s="1"/>
      <c r="D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>
      <c r="A283" s="1"/>
      <c r="B283" s="1"/>
      <c r="D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>
      <c r="A284" s="1"/>
      <c r="B284" s="1"/>
      <c r="D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>
      <c r="A285" s="1"/>
      <c r="B285" s="1"/>
      <c r="D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>
      <c r="A286" s="1"/>
      <c r="B286" s="1"/>
      <c r="D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>
      <c r="A287" s="1"/>
      <c r="B287" s="1"/>
      <c r="D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>
      <c r="A288" s="1"/>
      <c r="B288" s="1"/>
      <c r="D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>
      <c r="A289" s="1"/>
      <c r="B289" s="1"/>
      <c r="D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>
      <c r="A290" s="1"/>
      <c r="B290" s="1"/>
      <c r="D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>
      <c r="A291" s="1"/>
      <c r="B291" s="1"/>
      <c r="D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>
      <c r="A292" s="1"/>
      <c r="B292" s="1"/>
      <c r="D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>
      <c r="A293" s="1"/>
      <c r="B293" s="1"/>
      <c r="D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>
      <c r="A294" s="1"/>
      <c r="B294" s="1"/>
      <c r="D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>
      <c r="A295" s="1"/>
      <c r="B295" s="1"/>
      <c r="D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>
      <c r="A296" s="1"/>
      <c r="B296" s="1"/>
      <c r="D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>
      <c r="A297" s="1"/>
      <c r="B297" s="1"/>
      <c r="D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>
      <c r="A298" s="1"/>
      <c r="B298" s="1"/>
      <c r="D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>
      <c r="A299" s="1"/>
      <c r="B299" s="1"/>
      <c r="D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>
      <c r="A300" s="1"/>
      <c r="B300" s="1"/>
      <c r="D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>
      <c r="A301" s="1"/>
      <c r="B301" s="1"/>
      <c r="D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>
      <c r="A302" s="1"/>
      <c r="B302" s="1"/>
      <c r="D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>
      <c r="A303" s="1"/>
      <c r="B303" s="1"/>
      <c r="D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>
      <c r="A304" s="1"/>
      <c r="B304" s="1"/>
      <c r="D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</sheetData>
  <mergeCells count="1">
    <mergeCell ref="Q74:R74"/>
  </mergeCells>
  <conditionalFormatting sqref="D15 F15:G15 I15:K15">
    <cfRule type="cellIs" dxfId="189" priority="16" stopIfTrue="1" operator="equal">
      <formula>1</formula>
    </cfRule>
  </conditionalFormatting>
  <conditionalFormatting sqref="H15">
    <cfRule type="cellIs" dxfId="188" priority="15" stopIfTrue="1" operator="equal">
      <formula>1</formula>
    </cfRule>
  </conditionalFormatting>
  <conditionalFormatting sqref="D20 F20:G20 I20:K20">
    <cfRule type="cellIs" dxfId="187" priority="14" stopIfTrue="1" operator="equal">
      <formula>1</formula>
    </cfRule>
  </conditionalFormatting>
  <conditionalFormatting sqref="H20">
    <cfRule type="cellIs" dxfId="186" priority="13" stopIfTrue="1" operator="equal">
      <formula>1</formula>
    </cfRule>
  </conditionalFormatting>
  <conditionalFormatting sqref="D22 F22:G22 I22:K22">
    <cfRule type="cellIs" dxfId="185" priority="12" stopIfTrue="1" operator="equal">
      <formula>1</formula>
    </cfRule>
  </conditionalFormatting>
  <conditionalFormatting sqref="H22">
    <cfRule type="cellIs" dxfId="184" priority="11" stopIfTrue="1" operator="equal">
      <formula>1</formula>
    </cfRule>
  </conditionalFormatting>
  <conditionalFormatting sqref="D27:D29 F27:G29 I27:K29">
    <cfRule type="cellIs" dxfId="183" priority="10" stopIfTrue="1" operator="equal">
      <formula>1</formula>
    </cfRule>
  </conditionalFormatting>
  <conditionalFormatting sqref="H27:H29">
    <cfRule type="cellIs" dxfId="182" priority="9" stopIfTrue="1" operator="equal">
      <formula>1</formula>
    </cfRule>
  </conditionalFormatting>
  <conditionalFormatting sqref="D40 F40:G40 I40:K40">
    <cfRule type="cellIs" dxfId="181" priority="8" stopIfTrue="1" operator="equal">
      <formula>1</formula>
    </cfRule>
  </conditionalFormatting>
  <conditionalFormatting sqref="H40">
    <cfRule type="cellIs" dxfId="180" priority="7" stopIfTrue="1" operator="equal">
      <formula>1</formula>
    </cfRule>
  </conditionalFormatting>
  <conditionalFormatting sqref="D47 F47:G47 I47:K47">
    <cfRule type="cellIs" dxfId="179" priority="6" stopIfTrue="1" operator="equal">
      <formula>1</formula>
    </cfRule>
  </conditionalFormatting>
  <conditionalFormatting sqref="H47">
    <cfRule type="cellIs" dxfId="178" priority="5" stopIfTrue="1" operator="equal">
      <formula>1</formula>
    </cfRule>
  </conditionalFormatting>
  <conditionalFormatting sqref="D55 F55:G55 I55:K55">
    <cfRule type="cellIs" dxfId="177" priority="4" stopIfTrue="1" operator="equal">
      <formula>1</formula>
    </cfRule>
  </conditionalFormatting>
  <conditionalFormatting sqref="H55">
    <cfRule type="cellIs" dxfId="176" priority="3" stopIfTrue="1" operator="equal">
      <formula>1</formula>
    </cfRule>
  </conditionalFormatting>
  <conditionalFormatting sqref="D70 F70:G70 I70:K70">
    <cfRule type="cellIs" dxfId="175" priority="2" stopIfTrue="1" operator="equal">
      <formula>1</formula>
    </cfRule>
  </conditionalFormatting>
  <conditionalFormatting sqref="H70">
    <cfRule type="cellIs" dxfId="174" priority="1" stopIfTrue="1" operator="equal">
      <formula>1</formula>
    </cfRule>
  </conditionalFormatting>
  <printOptions horizontalCentered="1" verticalCentered="1"/>
  <pageMargins left="0" right="0" top="0.39370078740157483" bottom="0.39370078740157483" header="0.31496062992125984" footer="0"/>
  <pageSetup paperSize="9" scale="110" orientation="landscape" horizontalDpi="0" verticalDpi="0"/>
  <headerFooter>
    <oddHeader>&amp;L&amp;K000000&amp;Z&amp;F&amp;C&amp;K000000&amp;D&amp;P&amp;N</oddHeader>
  </headerFooter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B416-77EB-5742-905A-8E6E67C97FAB}">
  <sheetPr codeName="Hoja45"/>
  <dimension ref="A1:AO311"/>
  <sheetViews>
    <sheetView zoomScale="213" zoomScaleNormal="213" workbookViewId="0">
      <selection sqref="A1:XFD1048576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6640625" style="204" customWidth="1"/>
    <col min="4" max="4" width="1" style="902" customWidth="1"/>
    <col min="5" max="5" width="3" style="204" customWidth="1"/>
    <col min="6" max="6" width="3" style="207" customWidth="1"/>
    <col min="7" max="7" width="5.1640625" style="208" customWidth="1"/>
    <col min="8" max="8" width="8.5" style="208" customWidth="1"/>
    <col min="9" max="10" width="8.1640625" style="208" customWidth="1"/>
    <col min="11" max="11" width="24" style="208" customWidth="1"/>
    <col min="12" max="12" width="7.1640625" style="208" customWidth="1"/>
    <col min="13" max="13" width="1" style="449" customWidth="1"/>
    <col min="14" max="14" width="8.5" style="207" customWidth="1"/>
    <col min="15" max="15" width="0.33203125" style="208" customWidth="1"/>
    <col min="16" max="16" width="9" style="208" customWidth="1"/>
    <col min="17" max="17" width="6.5" style="209" customWidth="1"/>
    <col min="18" max="18" width="6.83203125" style="209" customWidth="1"/>
    <col min="19" max="19" width="1.33203125" style="210" customWidth="1"/>
    <col min="20" max="20" width="0.33203125" style="210" customWidth="1"/>
    <col min="21" max="21" width="6.33203125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18" customHeight="1">
      <c r="A1" s="203" t="s">
        <v>2053</v>
      </c>
      <c r="B1" s="204"/>
      <c r="C1" s="205"/>
      <c r="D1" s="901"/>
      <c r="E1" s="206"/>
      <c r="L1" s="211"/>
      <c r="M1" s="211"/>
      <c r="N1" s="211"/>
      <c r="O1" s="211"/>
      <c r="P1" s="211"/>
      <c r="Q1" s="211"/>
      <c r="R1" s="211"/>
      <c r="S1" s="211"/>
      <c r="T1" s="211"/>
      <c r="V1" s="212"/>
      <c r="AI1" s="213"/>
      <c r="AJ1" s="213"/>
      <c r="AK1" s="213"/>
      <c r="AL1" s="213"/>
      <c r="AM1" s="213"/>
    </row>
    <row r="2" spans="1:40" ht="12" customHeight="1" thickBot="1">
      <c r="F2" s="527"/>
      <c r="G2" s="155"/>
      <c r="H2" s="155"/>
      <c r="I2" s="155"/>
      <c r="J2" s="217"/>
      <c r="K2" s="583">
        <v>81137</v>
      </c>
      <c r="L2" s="583"/>
      <c r="U2" s="218" t="s">
        <v>345</v>
      </c>
      <c r="AI2" s="213"/>
      <c r="AJ2" s="213"/>
      <c r="AK2" s="213"/>
      <c r="AL2" s="213"/>
      <c r="AM2" s="213"/>
    </row>
    <row r="3" spans="1:40" s="223" customFormat="1" ht="61.5" customHeight="1" thickTop="1" thickBot="1">
      <c r="A3" s="351" t="s">
        <v>346</v>
      </c>
      <c r="B3" s="352" t="s">
        <v>210</v>
      </c>
      <c r="C3" s="353" t="s">
        <v>348</v>
      </c>
      <c r="D3" s="903"/>
      <c r="E3" s="353" t="s">
        <v>349</v>
      </c>
      <c r="F3" s="35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350"/>
      <c r="M3" s="450" t="s">
        <v>355</v>
      </c>
      <c r="N3" s="350" t="s">
        <v>445</v>
      </c>
      <c r="O3" s="353" t="s">
        <v>446</v>
      </c>
      <c r="P3" s="353" t="s">
        <v>447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3" customFormat="1" ht="12" customHeight="1" thickBot="1">
      <c r="A4" s="911"/>
      <c r="B4" s="912"/>
      <c r="C4" s="913"/>
      <c r="D4" s="914"/>
      <c r="E4" s="913"/>
      <c r="F4" s="915"/>
      <c r="G4" s="913"/>
      <c r="H4" s="913"/>
      <c r="I4" s="913"/>
      <c r="J4" s="915"/>
      <c r="K4" s="3388" t="s">
        <v>1612</v>
      </c>
      <c r="L4" s="913"/>
      <c r="M4" s="916"/>
      <c r="N4" s="913"/>
      <c r="O4" s="913"/>
      <c r="P4" s="913"/>
      <c r="Q4" s="917"/>
      <c r="R4" s="918"/>
      <c r="S4" s="919"/>
      <c r="T4" s="919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0"/>
      <c r="AC4" s="221"/>
      <c r="AD4" s="222"/>
      <c r="AE4" s="222"/>
      <c r="AF4" s="222"/>
      <c r="AG4" s="222"/>
      <c r="AH4" s="222"/>
      <c r="AI4" s="220"/>
      <c r="AJ4" s="220"/>
      <c r="AK4" s="220"/>
      <c r="AL4" s="220"/>
      <c r="AM4" s="220"/>
      <c r="AN4" s="220"/>
    </row>
    <row r="5" spans="1:40" s="228" customFormat="1" ht="3" customHeight="1" thickBot="1">
      <c r="A5" s="621"/>
      <c r="B5" s="622"/>
      <c r="C5" s="623"/>
      <c r="D5" s="938"/>
      <c r="E5" s="623"/>
      <c r="F5" s="624"/>
      <c r="G5" s="625"/>
      <c r="H5" s="625"/>
      <c r="I5" s="625"/>
      <c r="J5" s="624"/>
      <c r="K5" s="625"/>
      <c r="L5" s="625"/>
      <c r="M5" s="626"/>
      <c r="N5" s="625"/>
      <c r="O5" s="623"/>
      <c r="P5" s="623"/>
      <c r="Q5" s="623"/>
      <c r="R5" s="627"/>
      <c r="S5" s="224"/>
      <c r="T5" s="224"/>
      <c r="U5" s="111">
        <f>U4/4</f>
        <v>2.2880964381720439E-4</v>
      </c>
      <c r="V5" s="111">
        <f t="shared" ref="V5:AA5" si="0">V4/4</f>
        <v>2.1908757716049393E-4</v>
      </c>
      <c r="W5" s="111">
        <f t="shared" si="0"/>
        <v>2.1222190799396687E-4</v>
      </c>
      <c r="X5" s="111">
        <f t="shared" si="0"/>
        <v>2.0247664488766629E-4</v>
      </c>
      <c r="Y5" s="111">
        <f t="shared" si="0"/>
        <v>1.8933937422552669E-4</v>
      </c>
      <c r="Z5" s="111">
        <f t="shared" si="0"/>
        <v>1.8229166666666673E-4</v>
      </c>
      <c r="AA5" s="111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s="228" customFormat="1" ht="15" customHeight="1" thickTop="1" thickBot="1">
      <c r="A6" s="396" t="s">
        <v>459</v>
      </c>
      <c r="B6" s="1117" t="s">
        <v>215</v>
      </c>
      <c r="C6" s="2256">
        <f t="shared" ref="C6:C13" si="1">IF(D6=1,U$5,IF(D6=2,V$5,IF(D6=3,W$5,IF(D6=4,X$5,IF(D6=5,Y$5,IF(D6=6,Z$5,IF(D6=7,AA$5,0)))))))</f>
        <v>2.2880964381720439E-4</v>
      </c>
      <c r="D6" s="2335">
        <v>1</v>
      </c>
      <c r="E6" s="2336">
        <v>1</v>
      </c>
      <c r="F6" s="2336">
        <v>3</v>
      </c>
      <c r="G6" s="2336">
        <v>200</v>
      </c>
      <c r="H6" s="2337"/>
      <c r="I6" s="2337">
        <v>0</v>
      </c>
      <c r="J6" s="2337">
        <v>1.1574074074074073E-4</v>
      </c>
      <c r="K6" s="2500" t="s">
        <v>1617</v>
      </c>
      <c r="L6" s="2501">
        <v>0.30208333333333331</v>
      </c>
      <c r="M6" s="2502">
        <v>1</v>
      </c>
      <c r="N6" s="2337">
        <f>P6*E6*F6+I6*E6*F6+J6*E6</f>
        <v>5.6071721923536466E-3</v>
      </c>
      <c r="O6" s="2359">
        <f t="shared" ref="O6:O13" si="2">C6*(G6/25)</f>
        <v>1.8304771505376352E-3</v>
      </c>
      <c r="P6" s="2359">
        <f t="shared" ref="P6:P13" si="3">O6*M6</f>
        <v>1.8304771505376352E-3</v>
      </c>
      <c r="Q6" s="2341">
        <v>129</v>
      </c>
      <c r="R6" s="2336">
        <f t="shared" ref="R6:R13" si="4">E6*F6*G6</f>
        <v>600</v>
      </c>
      <c r="S6" s="229">
        <f>E6*F6*G6/1000</f>
        <v>0.6</v>
      </c>
      <c r="T6" s="230">
        <f>E6*F6*O6*4</f>
        <v>2.1965725806451623E-2</v>
      </c>
      <c r="U6" s="374">
        <f>IF(C6*4&gt;=$U$4,S6,0)</f>
        <v>0.6</v>
      </c>
      <c r="V6" s="375">
        <f>IF(AND(C6*4&gt;=$V$4,C6*4&lt;$U$4),S6,0)</f>
        <v>0</v>
      </c>
      <c r="W6" s="376">
        <f>IF(AND(C6*4&gt;=$W$4,C6*4&lt;$V$4),S6,0)</f>
        <v>0</v>
      </c>
      <c r="X6" s="377">
        <f>IF(AND(C6*4&gt;=$X$4,C6*4&lt;$W$4),S6,0)</f>
        <v>0</v>
      </c>
      <c r="Y6" s="378">
        <f>IF(AND(C6*4&gt;=$Y$4,C6*4&lt;$X$4),S6,0)</f>
        <v>0</v>
      </c>
      <c r="Z6" s="379">
        <f>IF(AND(C6*4&gt;=$Z$4,C6*4&lt;$Y$4),S6,0)</f>
        <v>0</v>
      </c>
      <c r="AA6" s="380">
        <f>IF(AND(C6*4&gt;=$AA$4,C6*4&lt;$Z$4),S6,0)</f>
        <v>0</v>
      </c>
      <c r="AB6" s="225"/>
      <c r="AC6" s="231"/>
      <c r="AD6" s="231"/>
      <c r="AE6" s="231"/>
      <c r="AF6" s="231"/>
      <c r="AG6" s="231"/>
      <c r="AH6" s="231"/>
      <c r="AI6" s="225"/>
      <c r="AJ6" s="225"/>
      <c r="AK6" s="225"/>
      <c r="AL6" s="225"/>
      <c r="AM6" s="225"/>
      <c r="AN6" s="225"/>
    </row>
    <row r="7" spans="1:40" s="228" customFormat="1" ht="14" customHeight="1" thickBot="1">
      <c r="A7" s="396" t="s">
        <v>460</v>
      </c>
      <c r="B7" s="1117" t="s">
        <v>215</v>
      </c>
      <c r="C7" s="2256">
        <f t="shared" si="1"/>
        <v>2.1908757716049393E-4</v>
      </c>
      <c r="D7" s="2286">
        <v>2</v>
      </c>
      <c r="E7" s="2276">
        <v>1</v>
      </c>
      <c r="F7" s="2276">
        <v>4</v>
      </c>
      <c r="G7" s="2276">
        <v>100</v>
      </c>
      <c r="H7" s="2277"/>
      <c r="I7" s="2277">
        <v>2.3148148148148146E-4</v>
      </c>
      <c r="J7" s="2277">
        <v>2.3148148148148146E-4</v>
      </c>
      <c r="K7" s="2278" t="s">
        <v>1521</v>
      </c>
      <c r="L7" s="2503">
        <f t="shared" ref="L7:L13" si="5">L6+N6</f>
        <v>0.30769050552568694</v>
      </c>
      <c r="M7" s="2280">
        <v>1.25</v>
      </c>
      <c r="N7" s="2277">
        <f>P7*E7*F7+I7*E7*F7+J7*E7</f>
        <v>5.539158950617286E-3</v>
      </c>
      <c r="O7" s="2281">
        <f t="shared" si="2"/>
        <v>8.7635030864197572E-4</v>
      </c>
      <c r="P7" s="2281">
        <f t="shared" si="3"/>
        <v>1.0954378858024697E-3</v>
      </c>
      <c r="Q7" s="2282">
        <v>147</v>
      </c>
      <c r="R7" s="2283">
        <f t="shared" si="4"/>
        <v>400</v>
      </c>
      <c r="S7" s="229">
        <f t="shared" ref="S7:S68" si="6">E7*F7*G7/1000</f>
        <v>0.4</v>
      </c>
      <c r="T7" s="230">
        <f t="shared" ref="T7:T68" si="7">E7*F7*O7*4</f>
        <v>1.4021604938271611E-2</v>
      </c>
      <c r="U7" s="374">
        <f t="shared" ref="U7:U68" si="8">IF(C7*4&gt;=$U$4,S7,0)</f>
        <v>0</v>
      </c>
      <c r="V7" s="375">
        <f t="shared" ref="V7:V68" si="9">IF(AND(C7*4&gt;=$V$4,C7*4&lt;$U$4),S7,0)</f>
        <v>0.4</v>
      </c>
      <c r="W7" s="376">
        <f t="shared" ref="W7:W68" si="10">IF(AND(C7*4&gt;=$W$4,C7*4&lt;$V$4),S7,0)</f>
        <v>0</v>
      </c>
      <c r="X7" s="377">
        <f t="shared" ref="X7:X68" si="11">IF(AND(C7*4&gt;=$X$4,C7*4&lt;$W$4),S7,0)</f>
        <v>0</v>
      </c>
      <c r="Y7" s="378">
        <f t="shared" ref="Y7:Y68" si="12">IF(AND(C7*4&gt;=$Y$4,C7*4&lt;$X$4),S7,0)</f>
        <v>0</v>
      </c>
      <c r="Z7" s="379">
        <f t="shared" ref="Z7:Z68" si="13">IF(AND(C7*4&gt;=$Z$4,C7*4&lt;$Y$4),S7,0)</f>
        <v>0</v>
      </c>
      <c r="AA7" s="380">
        <f t="shared" ref="AA7:AA68" si="14">IF(AND(C7*4&gt;=$AA$4,C7*4&lt;$Z$4),S7,0)</f>
        <v>0</v>
      </c>
      <c r="AB7" s="225"/>
      <c r="AC7" s="231"/>
      <c r="AD7" s="231"/>
      <c r="AE7" s="231"/>
      <c r="AF7" s="231"/>
      <c r="AG7" s="231"/>
      <c r="AH7" s="231"/>
      <c r="AI7" s="225"/>
      <c r="AJ7" s="225"/>
      <c r="AK7" s="225"/>
      <c r="AL7" s="225"/>
      <c r="AM7" s="225"/>
      <c r="AN7" s="225"/>
    </row>
    <row r="8" spans="1:40" s="228" customFormat="1" ht="14" customHeight="1" thickBot="1">
      <c r="A8" s="398" t="s">
        <v>214</v>
      </c>
      <c r="B8" s="1117" t="s">
        <v>215</v>
      </c>
      <c r="C8" s="2256">
        <f t="shared" si="1"/>
        <v>2.1908757716049393E-4</v>
      </c>
      <c r="D8" s="2309">
        <v>2</v>
      </c>
      <c r="E8" s="2257">
        <v>1</v>
      </c>
      <c r="F8" s="2257">
        <v>4</v>
      </c>
      <c r="G8" s="2257">
        <v>100</v>
      </c>
      <c r="H8" s="2325" t="s">
        <v>1606</v>
      </c>
      <c r="I8" s="2258">
        <v>3.4722222222222224E-4</v>
      </c>
      <c r="J8" s="2258">
        <v>2.3148148148148151E-3</v>
      </c>
      <c r="K8" s="2355" t="s">
        <v>1616</v>
      </c>
      <c r="L8" s="2504">
        <f t="shared" si="5"/>
        <v>0.31322966447630424</v>
      </c>
      <c r="M8" s="2326">
        <v>1.25</v>
      </c>
      <c r="N8" s="2258">
        <f>P8*E8*F8+I8*E8*F8+J8*E8</f>
        <v>8.0854552469135834E-3</v>
      </c>
      <c r="O8" s="2262">
        <f t="shared" si="2"/>
        <v>8.7635030864197572E-4</v>
      </c>
      <c r="P8" s="2262">
        <f t="shared" si="3"/>
        <v>1.0954378858024697E-3</v>
      </c>
      <c r="Q8" s="2274">
        <v>147</v>
      </c>
      <c r="R8" s="2257">
        <f t="shared" si="4"/>
        <v>400</v>
      </c>
      <c r="S8" s="229">
        <f t="shared" si="6"/>
        <v>0.4</v>
      </c>
      <c r="T8" s="230">
        <f t="shared" si="7"/>
        <v>1.4021604938271611E-2</v>
      </c>
      <c r="U8" s="374">
        <f t="shared" si="8"/>
        <v>0</v>
      </c>
      <c r="V8" s="375">
        <f t="shared" si="9"/>
        <v>0.4</v>
      </c>
      <c r="W8" s="376">
        <f t="shared" si="10"/>
        <v>0</v>
      </c>
      <c r="X8" s="377">
        <f t="shared" si="11"/>
        <v>0</v>
      </c>
      <c r="Y8" s="378">
        <f t="shared" si="12"/>
        <v>0</v>
      </c>
      <c r="Z8" s="379">
        <f t="shared" si="13"/>
        <v>0</v>
      </c>
      <c r="AA8" s="380">
        <f t="shared" si="14"/>
        <v>0</v>
      </c>
      <c r="AB8" s="225"/>
      <c r="AC8" s="231"/>
      <c r="AD8" s="231"/>
      <c r="AE8" s="231"/>
      <c r="AF8" s="231"/>
      <c r="AG8" s="231"/>
      <c r="AH8" s="231"/>
      <c r="AI8" s="225"/>
      <c r="AJ8" s="225"/>
      <c r="AK8" s="225"/>
      <c r="AL8" s="225"/>
      <c r="AM8" s="225"/>
      <c r="AN8" s="225"/>
    </row>
    <row r="9" spans="1:40" ht="13" customHeight="1" thickBot="1">
      <c r="A9" s="396" t="s">
        <v>459</v>
      </c>
      <c r="B9" s="1117" t="s">
        <v>215</v>
      </c>
      <c r="C9" s="2256">
        <f t="shared" si="1"/>
        <v>1.8933937422552669E-4</v>
      </c>
      <c r="D9" s="2505">
        <v>5</v>
      </c>
      <c r="E9" s="2506">
        <v>1</v>
      </c>
      <c r="F9" s="2506">
        <v>4</v>
      </c>
      <c r="G9" s="2506">
        <v>50</v>
      </c>
      <c r="H9" s="2264"/>
      <c r="I9" s="2264">
        <v>1.3888888888888889E-3</v>
      </c>
      <c r="J9" s="2264">
        <v>2.7777777777777779E-3</v>
      </c>
      <c r="K9" s="2507" t="s">
        <v>1325</v>
      </c>
      <c r="L9" s="2508">
        <f t="shared" si="5"/>
        <v>0.3213151197232178</v>
      </c>
      <c r="M9" s="2509">
        <v>1</v>
      </c>
      <c r="N9" s="2264">
        <f>P9*E9*F9+I9*E9*F9+J9*E9</f>
        <v>9.8480483271375478E-3</v>
      </c>
      <c r="O9" s="2265">
        <f>C9*(G9/25)</f>
        <v>3.7867874845105338E-4</v>
      </c>
      <c r="P9" s="2185">
        <f t="shared" si="3"/>
        <v>3.7867874845105338E-4</v>
      </c>
      <c r="Q9" s="2510" t="s">
        <v>278</v>
      </c>
      <c r="R9" s="2511">
        <f t="shared" si="4"/>
        <v>200</v>
      </c>
      <c r="S9" s="229">
        <f t="shared" si="6"/>
        <v>0.2</v>
      </c>
      <c r="T9" s="230">
        <f t="shared" si="7"/>
        <v>6.0588599752168541E-3</v>
      </c>
      <c r="U9" s="374">
        <f t="shared" si="8"/>
        <v>0</v>
      </c>
      <c r="V9" s="375">
        <f t="shared" si="9"/>
        <v>0</v>
      </c>
      <c r="W9" s="376">
        <f t="shared" si="10"/>
        <v>0</v>
      </c>
      <c r="X9" s="377">
        <f t="shared" si="11"/>
        <v>0</v>
      </c>
      <c r="Y9" s="378">
        <f t="shared" si="12"/>
        <v>0.2</v>
      </c>
      <c r="Z9" s="379">
        <f t="shared" si="13"/>
        <v>0</v>
      </c>
      <c r="AA9" s="380">
        <f t="shared" si="14"/>
        <v>0</v>
      </c>
      <c r="AC9" s="231"/>
      <c r="AD9" s="231"/>
      <c r="AE9" s="231"/>
      <c r="AF9" s="231"/>
      <c r="AG9" s="231"/>
      <c r="AH9" s="231"/>
      <c r="AI9" s="213"/>
      <c r="AJ9" s="213"/>
      <c r="AK9" s="213"/>
      <c r="AL9" s="213"/>
      <c r="AM9" s="213"/>
    </row>
    <row r="10" spans="1:40" ht="12.75" customHeight="1" thickBot="1">
      <c r="A10" s="396" t="s">
        <v>458</v>
      </c>
      <c r="B10" s="1117" t="s">
        <v>215</v>
      </c>
      <c r="C10" s="2256">
        <f t="shared" si="1"/>
        <v>2.1222190799396687E-4</v>
      </c>
      <c r="D10" s="2318">
        <v>3</v>
      </c>
      <c r="E10" s="2512">
        <v>1</v>
      </c>
      <c r="F10" s="2512">
        <v>4</v>
      </c>
      <c r="G10" s="2512">
        <v>60</v>
      </c>
      <c r="H10" s="2513"/>
      <c r="I10" s="2270">
        <v>1.0416666666666667E-3</v>
      </c>
      <c r="J10" s="2270">
        <v>2.7777777777777779E-3</v>
      </c>
      <c r="K10" s="2514" t="s">
        <v>1326</v>
      </c>
      <c r="L10" s="2515">
        <f t="shared" si="5"/>
        <v>0.33116316805035534</v>
      </c>
      <c r="M10" s="2516">
        <v>1.1000000000000001</v>
      </c>
      <c r="N10" s="2270">
        <f>P10*E10*F10+I10*E10*F10+J10*E10</f>
        <v>9.1855077928607344E-3</v>
      </c>
      <c r="O10" s="2271">
        <f t="shared" si="2"/>
        <v>5.0933257918552043E-4</v>
      </c>
      <c r="P10" s="2517">
        <f t="shared" si="3"/>
        <v>5.6026583710407248E-4</v>
      </c>
      <c r="Q10" s="2518">
        <v>164</v>
      </c>
      <c r="R10" s="2519">
        <f t="shared" si="4"/>
        <v>240</v>
      </c>
      <c r="S10" s="229">
        <f t="shared" si="6"/>
        <v>0.24</v>
      </c>
      <c r="T10" s="230">
        <f t="shared" si="7"/>
        <v>8.149321266968327E-3</v>
      </c>
      <c r="U10" s="374">
        <f t="shared" si="8"/>
        <v>0</v>
      </c>
      <c r="V10" s="375">
        <f t="shared" si="9"/>
        <v>0</v>
      </c>
      <c r="W10" s="376">
        <f t="shared" si="10"/>
        <v>0.24</v>
      </c>
      <c r="X10" s="377">
        <f t="shared" si="11"/>
        <v>0</v>
      </c>
      <c r="Y10" s="378">
        <f t="shared" si="12"/>
        <v>0</v>
      </c>
      <c r="Z10" s="379">
        <f t="shared" si="13"/>
        <v>0</v>
      </c>
      <c r="AA10" s="380">
        <f t="shared" si="14"/>
        <v>0</v>
      </c>
      <c r="AC10" s="231"/>
      <c r="AD10" s="231"/>
      <c r="AE10" s="231"/>
      <c r="AF10" s="231"/>
      <c r="AG10" s="231"/>
      <c r="AH10" s="231"/>
      <c r="AI10" s="213"/>
      <c r="AJ10" s="213"/>
      <c r="AK10" s="213"/>
      <c r="AL10" s="213"/>
      <c r="AM10" s="213"/>
    </row>
    <row r="11" spans="1:40" ht="14" customHeight="1" thickBot="1">
      <c r="A11" s="396" t="s">
        <v>219</v>
      </c>
      <c r="B11" s="1117" t="s">
        <v>215</v>
      </c>
      <c r="C11" s="2256">
        <f t="shared" si="1"/>
        <v>2.0247664488766629E-4</v>
      </c>
      <c r="D11" s="2520">
        <v>4</v>
      </c>
      <c r="E11" s="2521">
        <v>1</v>
      </c>
      <c r="F11" s="2521">
        <v>4</v>
      </c>
      <c r="G11" s="2521">
        <v>40</v>
      </c>
      <c r="H11" s="2522" t="s">
        <v>1327</v>
      </c>
      <c r="I11" s="2522">
        <v>1.0416666666666667E-3</v>
      </c>
      <c r="J11" s="2522">
        <v>2.7777777777777779E-3</v>
      </c>
      <c r="K11" s="2523" t="s">
        <v>1328</v>
      </c>
      <c r="L11" s="2524">
        <f t="shared" si="5"/>
        <v>0.3403486758432161</v>
      </c>
      <c r="M11" s="2525">
        <v>1</v>
      </c>
      <c r="N11" s="2522">
        <f>P11*E11*F11+J11*E11</f>
        <v>4.073628305058842E-3</v>
      </c>
      <c r="O11" s="2526">
        <f t="shared" si="2"/>
        <v>3.239626318202661E-4</v>
      </c>
      <c r="P11" s="2526">
        <f t="shared" si="3"/>
        <v>3.239626318202661E-4</v>
      </c>
      <c r="Q11" s="2527">
        <v>164</v>
      </c>
      <c r="R11" s="2521">
        <f t="shared" si="4"/>
        <v>160</v>
      </c>
      <c r="S11" s="229">
        <f t="shared" si="6"/>
        <v>0.16</v>
      </c>
      <c r="T11" s="230">
        <f t="shared" si="7"/>
        <v>5.1834021091242575E-3</v>
      </c>
      <c r="U11" s="374">
        <f t="shared" si="8"/>
        <v>0</v>
      </c>
      <c r="V11" s="375">
        <f t="shared" si="9"/>
        <v>0</v>
      </c>
      <c r="W11" s="376">
        <f t="shared" si="10"/>
        <v>0</v>
      </c>
      <c r="X11" s="377">
        <f t="shared" si="11"/>
        <v>0.16</v>
      </c>
      <c r="Y11" s="378">
        <f t="shared" si="12"/>
        <v>0</v>
      </c>
      <c r="Z11" s="379">
        <f t="shared" si="13"/>
        <v>0</v>
      </c>
      <c r="AA11" s="380">
        <f t="shared" si="14"/>
        <v>0</v>
      </c>
      <c r="AC11" s="231"/>
      <c r="AD11" s="231"/>
      <c r="AE11" s="231"/>
      <c r="AF11" s="231"/>
      <c r="AG11" s="231"/>
      <c r="AH11" s="231"/>
      <c r="AI11" s="213"/>
      <c r="AJ11" s="213"/>
      <c r="AK11" s="213"/>
      <c r="AL11" s="213"/>
      <c r="AM11" s="213"/>
    </row>
    <row r="12" spans="1:40" ht="12.75" customHeight="1" thickBot="1">
      <c r="A12" s="396"/>
      <c r="B12" s="1117" t="s">
        <v>215</v>
      </c>
      <c r="C12" s="2256">
        <f t="shared" si="1"/>
        <v>1.7682291666666674E-4</v>
      </c>
      <c r="D12" s="2318">
        <v>7</v>
      </c>
      <c r="E12" s="2512">
        <v>1</v>
      </c>
      <c r="F12" s="2512">
        <v>4</v>
      </c>
      <c r="G12" s="2512">
        <v>50</v>
      </c>
      <c r="H12" s="2270"/>
      <c r="I12" s="2270">
        <v>1.0416666666666667E-3</v>
      </c>
      <c r="J12" s="2270">
        <v>2.3148148148148146E-4</v>
      </c>
      <c r="K12" s="2514" t="s">
        <v>1329</v>
      </c>
      <c r="L12" s="2515">
        <f t="shared" si="5"/>
        <v>0.34442230414827496</v>
      </c>
      <c r="M12" s="2516">
        <v>1</v>
      </c>
      <c r="N12" s="2270">
        <f>P12*E12*F12+I12*E12*F12+J12*E12</f>
        <v>5.8127314814814821E-3</v>
      </c>
      <c r="O12" s="2271">
        <f t="shared" si="2"/>
        <v>3.5364583333333347E-4</v>
      </c>
      <c r="P12" s="2517">
        <f t="shared" si="3"/>
        <v>3.5364583333333347E-4</v>
      </c>
      <c r="Q12" s="2518" t="s">
        <v>316</v>
      </c>
      <c r="R12" s="2519">
        <f t="shared" si="4"/>
        <v>200</v>
      </c>
      <c r="S12" s="229">
        <f t="shared" si="6"/>
        <v>0.2</v>
      </c>
      <c r="T12" s="230">
        <f t="shared" si="7"/>
        <v>5.6583333333333355E-3</v>
      </c>
      <c r="U12" s="374">
        <f t="shared" si="8"/>
        <v>0</v>
      </c>
      <c r="V12" s="375">
        <f t="shared" si="9"/>
        <v>0</v>
      </c>
      <c r="W12" s="376">
        <f t="shared" si="10"/>
        <v>0</v>
      </c>
      <c r="X12" s="377">
        <f t="shared" si="11"/>
        <v>0</v>
      </c>
      <c r="Y12" s="378">
        <f t="shared" si="12"/>
        <v>0</v>
      </c>
      <c r="Z12" s="379">
        <f t="shared" si="13"/>
        <v>0</v>
      </c>
      <c r="AA12" s="380">
        <f t="shared" si="14"/>
        <v>0.2</v>
      </c>
      <c r="AC12" s="231"/>
      <c r="AD12" s="231"/>
      <c r="AE12" s="231"/>
      <c r="AF12" s="231"/>
      <c r="AG12" s="231"/>
      <c r="AH12" s="231"/>
      <c r="AI12" s="213"/>
      <c r="AJ12" s="213"/>
      <c r="AK12" s="213"/>
      <c r="AL12" s="213"/>
      <c r="AM12" s="213"/>
    </row>
    <row r="13" spans="1:40" ht="12.75" customHeight="1" thickBot="1">
      <c r="A13" s="639"/>
      <c r="B13" s="1117" t="s">
        <v>215</v>
      </c>
      <c r="C13" s="2256">
        <f t="shared" si="1"/>
        <v>2.1908757716049393E-4</v>
      </c>
      <c r="D13" s="2309">
        <v>2</v>
      </c>
      <c r="E13" s="2257">
        <v>1</v>
      </c>
      <c r="F13" s="2257">
        <v>4</v>
      </c>
      <c r="G13" s="2257">
        <v>150</v>
      </c>
      <c r="H13" s="2258"/>
      <c r="I13" s="2258">
        <v>1.7361111111111112E-4</v>
      </c>
      <c r="J13" s="2258">
        <v>0</v>
      </c>
      <c r="K13" s="2355" t="s">
        <v>1330</v>
      </c>
      <c r="L13" s="2504">
        <f t="shared" si="5"/>
        <v>0.35023503562975644</v>
      </c>
      <c r="M13" s="2326">
        <v>1.25</v>
      </c>
      <c r="N13" s="2258">
        <f>P13*E13*F13+I13*E13*F13+J13*E13</f>
        <v>7.2670717592592622E-3</v>
      </c>
      <c r="O13" s="2262">
        <f t="shared" si="2"/>
        <v>1.3145254629629635E-3</v>
      </c>
      <c r="P13" s="2262">
        <f t="shared" si="3"/>
        <v>1.6431568287037044E-3</v>
      </c>
      <c r="Q13" s="2274">
        <v>147</v>
      </c>
      <c r="R13" s="2257">
        <f t="shared" si="4"/>
        <v>600</v>
      </c>
      <c r="S13" s="229">
        <f t="shared" si="6"/>
        <v>0.6</v>
      </c>
      <c r="T13" s="230">
        <f t="shared" si="7"/>
        <v>2.1032407407407416E-2</v>
      </c>
      <c r="U13" s="374">
        <f t="shared" si="8"/>
        <v>0</v>
      </c>
      <c r="V13" s="375">
        <f t="shared" si="9"/>
        <v>0.6</v>
      </c>
      <c r="W13" s="376">
        <f t="shared" si="10"/>
        <v>0</v>
      </c>
      <c r="X13" s="377">
        <f t="shared" si="11"/>
        <v>0</v>
      </c>
      <c r="Y13" s="378">
        <f t="shared" si="12"/>
        <v>0</v>
      </c>
      <c r="Z13" s="379">
        <f t="shared" si="13"/>
        <v>0</v>
      </c>
      <c r="AA13" s="380">
        <f t="shared" si="14"/>
        <v>0</v>
      </c>
      <c r="AC13" s="231"/>
      <c r="AD13" s="231"/>
      <c r="AE13" s="231"/>
      <c r="AF13" s="231"/>
      <c r="AG13" s="231"/>
      <c r="AH13" s="231"/>
      <c r="AI13" s="213"/>
      <c r="AJ13" s="213"/>
      <c r="AK13" s="213"/>
      <c r="AL13" s="213"/>
      <c r="AM13" s="213"/>
    </row>
    <row r="14" spans="1:40" ht="12.75" customHeight="1" thickBot="1">
      <c r="A14" s="396"/>
      <c r="B14" s="1142"/>
      <c r="C14" s="2256"/>
      <c r="D14" s="2335"/>
      <c r="E14" s="2336"/>
      <c r="F14" s="2336"/>
      <c r="G14" s="2336"/>
      <c r="H14" s="2337"/>
      <c r="I14" s="2337"/>
      <c r="J14" s="2337"/>
      <c r="K14" s="3388" t="s">
        <v>2049</v>
      </c>
      <c r="L14" s="2182">
        <f>L13+N13</f>
        <v>0.35750210738901572</v>
      </c>
      <c r="M14" s="2502"/>
      <c r="N14" s="2528">
        <f>SUM(N6:N13)</f>
        <v>5.5418774055682379E-2</v>
      </c>
      <c r="O14" s="2359"/>
      <c r="P14" s="2359"/>
      <c r="Q14" s="2341"/>
      <c r="R14" s="2529">
        <f>SUM(R6:R13)</f>
        <v>2800</v>
      </c>
      <c r="S14" s="229">
        <f t="shared" si="6"/>
        <v>0</v>
      </c>
      <c r="T14" s="230">
        <f t="shared" si="7"/>
        <v>0</v>
      </c>
      <c r="U14" s="374">
        <f t="shared" si="8"/>
        <v>0</v>
      </c>
      <c r="V14" s="375">
        <f t="shared" si="9"/>
        <v>0</v>
      </c>
      <c r="W14" s="376">
        <f t="shared" si="10"/>
        <v>0</v>
      </c>
      <c r="X14" s="377">
        <f t="shared" si="11"/>
        <v>0</v>
      </c>
      <c r="Y14" s="378">
        <f t="shared" si="12"/>
        <v>0</v>
      </c>
      <c r="Z14" s="379">
        <f t="shared" si="13"/>
        <v>0</v>
      </c>
      <c r="AA14" s="380">
        <f t="shared" si="14"/>
        <v>0</v>
      </c>
      <c r="AC14" s="231"/>
      <c r="AD14" s="231"/>
      <c r="AE14" s="231"/>
      <c r="AF14" s="231"/>
      <c r="AG14" s="231"/>
      <c r="AH14" s="231"/>
      <c r="AI14" s="213"/>
      <c r="AJ14" s="213"/>
      <c r="AK14" s="213"/>
      <c r="AL14" s="213"/>
      <c r="AM14" s="213"/>
    </row>
    <row r="15" spans="1:40" ht="12.75" customHeight="1" thickBot="1">
      <c r="A15" s="396"/>
      <c r="B15" s="1117" t="s">
        <v>461</v>
      </c>
      <c r="C15" s="2256">
        <f t="shared" ref="C15:C22" si="15">IF(D15=1,U$5,IF(D15=2,V$5,IF(D15=3,W$5,IF(D15=4,X$5,IF(D15=5,Y$5,IF(D15=6,Z$5,IF(D15=7,AA$5,0)))))))</f>
        <v>2.2880964381720439E-4</v>
      </c>
      <c r="D15" s="2335">
        <v>1</v>
      </c>
      <c r="E15" s="2336">
        <v>1</v>
      </c>
      <c r="F15" s="2336">
        <v>3</v>
      </c>
      <c r="G15" s="2336">
        <v>200</v>
      </c>
      <c r="H15" s="2337"/>
      <c r="I15" s="2337">
        <v>0</v>
      </c>
      <c r="J15" s="2337">
        <v>1.1574074074074073E-4</v>
      </c>
      <c r="K15" s="2500" t="s">
        <v>1617</v>
      </c>
      <c r="L15" s="2501">
        <v>0.30208333333333331</v>
      </c>
      <c r="M15" s="2502">
        <v>1</v>
      </c>
      <c r="N15" s="2337">
        <f>P15*E15*F15+I15*E15*F15+J15*E15</f>
        <v>5.6071721923536466E-3</v>
      </c>
      <c r="O15" s="2359">
        <f t="shared" ref="O15:O17" si="16">C15*(G15/25)</f>
        <v>1.8304771505376352E-3</v>
      </c>
      <c r="P15" s="2359">
        <f t="shared" ref="P15:P22" si="17">O15*M15</f>
        <v>1.8304771505376352E-3</v>
      </c>
      <c r="Q15" s="2341">
        <v>129</v>
      </c>
      <c r="R15" s="2336">
        <f t="shared" ref="R15:R22" si="18">E15*F15*G15</f>
        <v>600</v>
      </c>
      <c r="S15" s="229">
        <f t="shared" si="6"/>
        <v>0.6</v>
      </c>
      <c r="T15" s="230">
        <f t="shared" si="7"/>
        <v>2.1965725806451623E-2</v>
      </c>
      <c r="U15" s="374">
        <f t="shared" si="8"/>
        <v>0.6</v>
      </c>
      <c r="V15" s="375">
        <f t="shared" si="9"/>
        <v>0</v>
      </c>
      <c r="W15" s="376">
        <f t="shared" si="10"/>
        <v>0</v>
      </c>
      <c r="X15" s="377">
        <f t="shared" si="11"/>
        <v>0</v>
      </c>
      <c r="Y15" s="378">
        <f t="shared" si="12"/>
        <v>0</v>
      </c>
      <c r="Z15" s="379">
        <f t="shared" si="13"/>
        <v>0</v>
      </c>
      <c r="AA15" s="380">
        <f t="shared" si="14"/>
        <v>0</v>
      </c>
      <c r="AC15" s="231"/>
      <c r="AD15" s="231"/>
      <c r="AE15" s="231"/>
      <c r="AF15" s="231"/>
      <c r="AG15" s="231"/>
      <c r="AH15" s="231"/>
      <c r="AI15" s="213"/>
      <c r="AJ15" s="213"/>
      <c r="AK15" s="213"/>
      <c r="AL15" s="213"/>
      <c r="AM15" s="213"/>
    </row>
    <row r="16" spans="1:40" ht="12.75" customHeight="1" thickBot="1">
      <c r="A16" s="396"/>
      <c r="B16" s="1117" t="s">
        <v>461</v>
      </c>
      <c r="C16" s="2256">
        <f t="shared" si="15"/>
        <v>2.1908757716049393E-4</v>
      </c>
      <c r="D16" s="2286">
        <v>2</v>
      </c>
      <c r="E16" s="2276">
        <v>1</v>
      </c>
      <c r="F16" s="2276">
        <v>4</v>
      </c>
      <c r="G16" s="2276">
        <v>100</v>
      </c>
      <c r="H16" s="2277"/>
      <c r="I16" s="2277">
        <v>2.3148148148148146E-4</v>
      </c>
      <c r="J16" s="2277">
        <v>2.3148148148148146E-4</v>
      </c>
      <c r="K16" s="2278" t="s">
        <v>1521</v>
      </c>
      <c r="L16" s="2503">
        <f t="shared" ref="L16:L22" si="19">L15+N15</f>
        <v>0.30769050552568694</v>
      </c>
      <c r="M16" s="2280">
        <v>1.25</v>
      </c>
      <c r="N16" s="2277">
        <f>P16*E16*F16+I16*E16*F16+J16*E16</f>
        <v>5.539158950617286E-3</v>
      </c>
      <c r="O16" s="2281">
        <f t="shared" si="16"/>
        <v>8.7635030864197572E-4</v>
      </c>
      <c r="P16" s="2281">
        <f t="shared" si="17"/>
        <v>1.0954378858024697E-3</v>
      </c>
      <c r="Q16" s="2282">
        <v>147</v>
      </c>
      <c r="R16" s="2283">
        <f t="shared" si="18"/>
        <v>400</v>
      </c>
      <c r="S16" s="229">
        <f t="shared" si="6"/>
        <v>0.4</v>
      </c>
      <c r="T16" s="230">
        <f t="shared" si="7"/>
        <v>1.4021604938271611E-2</v>
      </c>
      <c r="U16" s="374">
        <f t="shared" si="8"/>
        <v>0</v>
      </c>
      <c r="V16" s="375">
        <f t="shared" si="9"/>
        <v>0.4</v>
      </c>
      <c r="W16" s="376">
        <f t="shared" si="10"/>
        <v>0</v>
      </c>
      <c r="X16" s="377">
        <f t="shared" si="11"/>
        <v>0</v>
      </c>
      <c r="Y16" s="378">
        <f t="shared" si="12"/>
        <v>0</v>
      </c>
      <c r="Z16" s="379">
        <f t="shared" si="13"/>
        <v>0</v>
      </c>
      <c r="AA16" s="380">
        <f t="shared" si="14"/>
        <v>0</v>
      </c>
      <c r="AC16" s="231"/>
      <c r="AD16" s="231"/>
      <c r="AE16" s="231"/>
      <c r="AF16" s="231"/>
      <c r="AG16" s="231"/>
      <c r="AH16" s="231"/>
      <c r="AI16" s="213"/>
      <c r="AJ16" s="213"/>
      <c r="AK16" s="213"/>
      <c r="AL16" s="213"/>
      <c r="AM16" s="213"/>
    </row>
    <row r="17" spans="1:39" ht="12.75" customHeight="1" thickBot="1">
      <c r="A17" s="396"/>
      <c r="B17" s="1117" t="s">
        <v>461</v>
      </c>
      <c r="C17" s="2256">
        <f t="shared" si="15"/>
        <v>2.1908757716049393E-4</v>
      </c>
      <c r="D17" s="2309">
        <v>2</v>
      </c>
      <c r="E17" s="2257">
        <v>1</v>
      </c>
      <c r="F17" s="2257">
        <v>4</v>
      </c>
      <c r="G17" s="2257">
        <v>100</v>
      </c>
      <c r="H17" s="2325" t="s">
        <v>1606</v>
      </c>
      <c r="I17" s="2258">
        <v>3.4722222222222224E-4</v>
      </c>
      <c r="J17" s="2258">
        <v>2.3148148148148151E-3</v>
      </c>
      <c r="K17" s="2355" t="s">
        <v>1616</v>
      </c>
      <c r="L17" s="2504">
        <f t="shared" si="19"/>
        <v>0.31322966447630424</v>
      </c>
      <c r="M17" s="2326">
        <v>1.25</v>
      </c>
      <c r="N17" s="2258">
        <f>P17*E17*F17+I17*E17*F17+J17*E17</f>
        <v>8.0854552469135834E-3</v>
      </c>
      <c r="O17" s="2262">
        <f t="shared" si="16"/>
        <v>8.7635030864197572E-4</v>
      </c>
      <c r="P17" s="2262">
        <f t="shared" si="17"/>
        <v>1.0954378858024697E-3</v>
      </c>
      <c r="Q17" s="2274">
        <v>147</v>
      </c>
      <c r="R17" s="2257">
        <f t="shared" si="18"/>
        <v>400</v>
      </c>
      <c r="S17" s="229">
        <f t="shared" si="6"/>
        <v>0.4</v>
      </c>
      <c r="T17" s="230">
        <f t="shared" si="7"/>
        <v>1.4021604938271611E-2</v>
      </c>
      <c r="U17" s="374">
        <f t="shared" si="8"/>
        <v>0</v>
      </c>
      <c r="V17" s="375">
        <f t="shared" si="9"/>
        <v>0.4</v>
      </c>
      <c r="W17" s="376">
        <f t="shared" si="10"/>
        <v>0</v>
      </c>
      <c r="X17" s="377">
        <f t="shared" si="11"/>
        <v>0</v>
      </c>
      <c r="Y17" s="378">
        <f t="shared" si="12"/>
        <v>0</v>
      </c>
      <c r="Z17" s="379">
        <f t="shared" si="13"/>
        <v>0</v>
      </c>
      <c r="AA17" s="380">
        <f t="shared" si="14"/>
        <v>0</v>
      </c>
      <c r="AC17" s="231"/>
      <c r="AD17" s="231"/>
      <c r="AE17" s="231"/>
      <c r="AF17" s="231"/>
      <c r="AG17" s="231"/>
      <c r="AH17" s="231"/>
      <c r="AI17" s="213"/>
      <c r="AJ17" s="213"/>
      <c r="AK17" s="213"/>
      <c r="AL17" s="213"/>
      <c r="AM17" s="213"/>
    </row>
    <row r="18" spans="1:39" ht="12.75" customHeight="1" thickBot="1">
      <c r="A18" s="396"/>
      <c r="B18" s="1117" t="s">
        <v>461</v>
      </c>
      <c r="C18" s="2256">
        <f t="shared" si="15"/>
        <v>1.8933937422552669E-4</v>
      </c>
      <c r="D18" s="2505">
        <v>5</v>
      </c>
      <c r="E18" s="2506">
        <v>1</v>
      </c>
      <c r="F18" s="2506">
        <v>4</v>
      </c>
      <c r="G18" s="2506">
        <v>50</v>
      </c>
      <c r="H18" s="2264"/>
      <c r="I18" s="2264">
        <v>1.3888888888888889E-3</v>
      </c>
      <c r="J18" s="2264">
        <v>2.7777777777777779E-3</v>
      </c>
      <c r="K18" s="2507" t="s">
        <v>1325</v>
      </c>
      <c r="L18" s="2508">
        <f t="shared" si="19"/>
        <v>0.3213151197232178</v>
      </c>
      <c r="M18" s="2509">
        <v>1</v>
      </c>
      <c r="N18" s="2264">
        <f>P18*E18*F18+I18*E18*F18+J18*E18</f>
        <v>9.8480483271375478E-3</v>
      </c>
      <c r="O18" s="2265">
        <f>C18*(G18/25)</f>
        <v>3.7867874845105338E-4</v>
      </c>
      <c r="P18" s="2185">
        <f t="shared" si="17"/>
        <v>3.7867874845105338E-4</v>
      </c>
      <c r="Q18" s="2510" t="s">
        <v>278</v>
      </c>
      <c r="R18" s="2511">
        <f t="shared" si="18"/>
        <v>200</v>
      </c>
      <c r="S18" s="229">
        <f t="shared" si="6"/>
        <v>0.2</v>
      </c>
      <c r="T18" s="230">
        <f t="shared" si="7"/>
        <v>6.0588599752168541E-3</v>
      </c>
      <c r="U18" s="374">
        <f t="shared" si="8"/>
        <v>0</v>
      </c>
      <c r="V18" s="375">
        <f t="shared" si="9"/>
        <v>0</v>
      </c>
      <c r="W18" s="376">
        <f t="shared" si="10"/>
        <v>0</v>
      </c>
      <c r="X18" s="377">
        <f t="shared" si="11"/>
        <v>0</v>
      </c>
      <c r="Y18" s="378">
        <f t="shared" si="12"/>
        <v>0.2</v>
      </c>
      <c r="Z18" s="379">
        <f t="shared" si="13"/>
        <v>0</v>
      </c>
      <c r="AA18" s="380">
        <f t="shared" si="14"/>
        <v>0</v>
      </c>
      <c r="AC18" s="231"/>
      <c r="AD18" s="231"/>
      <c r="AE18" s="231"/>
      <c r="AF18" s="231"/>
      <c r="AG18" s="231"/>
      <c r="AH18" s="231"/>
      <c r="AI18" s="213"/>
      <c r="AJ18" s="213"/>
      <c r="AK18" s="213"/>
      <c r="AL18" s="213"/>
      <c r="AM18" s="213"/>
    </row>
    <row r="19" spans="1:39" ht="12.75" customHeight="1" thickBot="1">
      <c r="A19" s="396"/>
      <c r="B19" s="1117" t="s">
        <v>461</v>
      </c>
      <c r="C19" s="2256">
        <f t="shared" si="15"/>
        <v>2.1222190799396687E-4</v>
      </c>
      <c r="D19" s="2318">
        <v>3</v>
      </c>
      <c r="E19" s="2512">
        <v>1</v>
      </c>
      <c r="F19" s="2512">
        <v>4</v>
      </c>
      <c r="G19" s="2512">
        <v>60</v>
      </c>
      <c r="H19" s="2513"/>
      <c r="I19" s="2270">
        <v>1.0416666666666667E-3</v>
      </c>
      <c r="J19" s="2270">
        <v>2.7777777777777779E-3</v>
      </c>
      <c r="K19" s="2514" t="s">
        <v>1326</v>
      </c>
      <c r="L19" s="2515">
        <f t="shared" si="19"/>
        <v>0.33116316805035534</v>
      </c>
      <c r="M19" s="2516">
        <v>1.1000000000000001</v>
      </c>
      <c r="N19" s="2270">
        <f>P19*E19*F19+I19*E19*F19+J19*E19</f>
        <v>9.1855077928607344E-3</v>
      </c>
      <c r="O19" s="2271">
        <f t="shared" ref="O19:O22" si="20">C19*(G19/25)</f>
        <v>5.0933257918552043E-4</v>
      </c>
      <c r="P19" s="2517">
        <f t="shared" si="17"/>
        <v>5.6026583710407248E-4</v>
      </c>
      <c r="Q19" s="2518">
        <v>164</v>
      </c>
      <c r="R19" s="2519">
        <f t="shared" si="18"/>
        <v>240</v>
      </c>
      <c r="S19" s="229">
        <f t="shared" si="6"/>
        <v>0.24</v>
      </c>
      <c r="T19" s="230">
        <f t="shared" si="7"/>
        <v>8.149321266968327E-3</v>
      </c>
      <c r="U19" s="374">
        <f t="shared" si="8"/>
        <v>0</v>
      </c>
      <c r="V19" s="375">
        <f t="shared" si="9"/>
        <v>0</v>
      </c>
      <c r="W19" s="376">
        <f t="shared" si="10"/>
        <v>0.24</v>
      </c>
      <c r="X19" s="377">
        <f t="shared" si="11"/>
        <v>0</v>
      </c>
      <c r="Y19" s="378">
        <f t="shared" si="12"/>
        <v>0</v>
      </c>
      <c r="Z19" s="379">
        <f t="shared" si="13"/>
        <v>0</v>
      </c>
      <c r="AA19" s="380">
        <f t="shared" si="14"/>
        <v>0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</row>
    <row r="20" spans="1:39" ht="12.75" customHeight="1" thickBot="1">
      <c r="A20" s="396"/>
      <c r="B20" s="1117" t="s">
        <v>461</v>
      </c>
      <c r="C20" s="2256">
        <f t="shared" si="15"/>
        <v>2.0247664488766629E-4</v>
      </c>
      <c r="D20" s="2520">
        <v>4</v>
      </c>
      <c r="E20" s="2521">
        <v>1</v>
      </c>
      <c r="F20" s="2521">
        <v>4</v>
      </c>
      <c r="G20" s="2521">
        <v>40</v>
      </c>
      <c r="H20" s="2522" t="s">
        <v>1327</v>
      </c>
      <c r="I20" s="2522">
        <v>1.0416666666666667E-3</v>
      </c>
      <c r="J20" s="2522">
        <v>2.7777777777777779E-3</v>
      </c>
      <c r="K20" s="2523" t="s">
        <v>1328</v>
      </c>
      <c r="L20" s="2524">
        <f t="shared" si="19"/>
        <v>0.3403486758432161</v>
      </c>
      <c r="M20" s="2525">
        <v>1</v>
      </c>
      <c r="N20" s="2522">
        <f>P20*E20*F20+J20*E20</f>
        <v>4.073628305058842E-3</v>
      </c>
      <c r="O20" s="2526">
        <f t="shared" si="20"/>
        <v>3.239626318202661E-4</v>
      </c>
      <c r="P20" s="2526">
        <f t="shared" si="17"/>
        <v>3.239626318202661E-4</v>
      </c>
      <c r="Q20" s="2527">
        <v>164</v>
      </c>
      <c r="R20" s="2521">
        <f t="shared" si="18"/>
        <v>160</v>
      </c>
      <c r="S20" s="229">
        <f t="shared" si="6"/>
        <v>0.16</v>
      </c>
      <c r="T20" s="230">
        <f t="shared" si="7"/>
        <v>5.1834021091242575E-3</v>
      </c>
      <c r="U20" s="374">
        <f t="shared" si="8"/>
        <v>0</v>
      </c>
      <c r="V20" s="375">
        <f t="shared" si="9"/>
        <v>0</v>
      </c>
      <c r="W20" s="376">
        <f t="shared" si="10"/>
        <v>0</v>
      </c>
      <c r="X20" s="377">
        <f t="shared" si="11"/>
        <v>0.16</v>
      </c>
      <c r="Y20" s="378">
        <f t="shared" si="12"/>
        <v>0</v>
      </c>
      <c r="Z20" s="379">
        <f t="shared" si="13"/>
        <v>0</v>
      </c>
      <c r="AA20" s="380">
        <f t="shared" si="14"/>
        <v>0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</row>
    <row r="21" spans="1:39" ht="12.75" customHeight="1" thickBot="1">
      <c r="A21" s="396"/>
      <c r="B21" s="1117" t="s">
        <v>461</v>
      </c>
      <c r="C21" s="2256">
        <f t="shared" si="15"/>
        <v>1.7682291666666674E-4</v>
      </c>
      <c r="D21" s="2318">
        <v>7</v>
      </c>
      <c r="E21" s="2512">
        <v>1</v>
      </c>
      <c r="F21" s="2512">
        <v>4</v>
      </c>
      <c r="G21" s="2512">
        <v>50</v>
      </c>
      <c r="H21" s="2270"/>
      <c r="I21" s="2270">
        <v>1.0416666666666667E-3</v>
      </c>
      <c r="J21" s="2270">
        <v>2.3148148148148146E-4</v>
      </c>
      <c r="K21" s="2514" t="s">
        <v>1329</v>
      </c>
      <c r="L21" s="2515">
        <f t="shared" si="19"/>
        <v>0.34442230414827496</v>
      </c>
      <c r="M21" s="2516">
        <v>1</v>
      </c>
      <c r="N21" s="2270">
        <f>P21*E21*F21+I21*E21*F21+J21*E21</f>
        <v>5.8127314814814821E-3</v>
      </c>
      <c r="O21" s="2271">
        <f t="shared" si="20"/>
        <v>3.5364583333333347E-4</v>
      </c>
      <c r="P21" s="2517">
        <f t="shared" si="17"/>
        <v>3.5364583333333347E-4</v>
      </c>
      <c r="Q21" s="2518" t="s">
        <v>316</v>
      </c>
      <c r="R21" s="2519">
        <f t="shared" si="18"/>
        <v>200</v>
      </c>
      <c r="S21" s="229">
        <f t="shared" si="6"/>
        <v>0.2</v>
      </c>
      <c r="T21" s="230">
        <f t="shared" si="7"/>
        <v>5.6583333333333355E-3</v>
      </c>
      <c r="U21" s="374">
        <f t="shared" si="8"/>
        <v>0</v>
      </c>
      <c r="V21" s="375">
        <f t="shared" si="9"/>
        <v>0</v>
      </c>
      <c r="W21" s="376">
        <f t="shared" si="10"/>
        <v>0</v>
      </c>
      <c r="X21" s="377">
        <f t="shared" si="11"/>
        <v>0</v>
      </c>
      <c r="Y21" s="378">
        <f t="shared" si="12"/>
        <v>0</v>
      </c>
      <c r="Z21" s="379">
        <f t="shared" si="13"/>
        <v>0</v>
      </c>
      <c r="AA21" s="380">
        <f t="shared" si="14"/>
        <v>0.2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</row>
    <row r="22" spans="1:39" ht="12.75" customHeight="1">
      <c r="A22" s="396"/>
      <c r="B22" s="1117" t="s">
        <v>461</v>
      </c>
      <c r="C22" s="2256">
        <f t="shared" si="15"/>
        <v>2.1908757716049393E-4</v>
      </c>
      <c r="D22" s="2309">
        <v>2</v>
      </c>
      <c r="E22" s="2257">
        <v>1</v>
      </c>
      <c r="F22" s="2257">
        <v>4</v>
      </c>
      <c r="G22" s="2257">
        <v>150</v>
      </c>
      <c r="H22" s="2258"/>
      <c r="I22" s="2258">
        <v>1.7361111111111112E-4</v>
      </c>
      <c r="J22" s="2258">
        <v>0</v>
      </c>
      <c r="K22" s="2355" t="s">
        <v>1330</v>
      </c>
      <c r="L22" s="2504">
        <f t="shared" si="19"/>
        <v>0.35023503562975644</v>
      </c>
      <c r="M22" s="2326">
        <v>1.25</v>
      </c>
      <c r="N22" s="2258">
        <f>P22*E22*F22+I22*E22*F22+J22*E22</f>
        <v>7.2670717592592622E-3</v>
      </c>
      <c r="O22" s="2262">
        <f t="shared" si="20"/>
        <v>1.3145254629629635E-3</v>
      </c>
      <c r="P22" s="2262">
        <f t="shared" si="17"/>
        <v>1.6431568287037044E-3</v>
      </c>
      <c r="Q22" s="2274">
        <v>147</v>
      </c>
      <c r="R22" s="2257">
        <f t="shared" si="18"/>
        <v>600</v>
      </c>
      <c r="S22" s="229">
        <f t="shared" si="6"/>
        <v>0.6</v>
      </c>
      <c r="T22" s="230">
        <f t="shared" si="7"/>
        <v>2.1032407407407416E-2</v>
      </c>
      <c r="U22" s="374">
        <f t="shared" si="8"/>
        <v>0</v>
      </c>
      <c r="V22" s="375">
        <f t="shared" si="9"/>
        <v>0.6</v>
      </c>
      <c r="W22" s="376">
        <f t="shared" si="10"/>
        <v>0</v>
      </c>
      <c r="X22" s="377">
        <f t="shared" si="11"/>
        <v>0</v>
      </c>
      <c r="Y22" s="378">
        <f t="shared" si="12"/>
        <v>0</v>
      </c>
      <c r="Z22" s="379">
        <f t="shared" si="13"/>
        <v>0</v>
      </c>
      <c r="AA22" s="380">
        <f t="shared" si="14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</row>
    <row r="23" spans="1:39" ht="12.75" customHeight="1">
      <c r="A23" s="396"/>
      <c r="B23" s="1142"/>
      <c r="C23" s="2256"/>
      <c r="D23" s="2335"/>
      <c r="E23" s="2336"/>
      <c r="F23" s="2336"/>
      <c r="G23" s="2336"/>
      <c r="H23" s="2337"/>
      <c r="I23" s="2337"/>
      <c r="J23" s="2337"/>
      <c r="K23" s="3388" t="s">
        <v>1612</v>
      </c>
      <c r="L23" s="2182">
        <f>L22+N22</f>
        <v>0.35750210738901572</v>
      </c>
      <c r="M23" s="2502"/>
      <c r="N23" s="2528">
        <f>SUM(N15:N22)</f>
        <v>5.5418774055682379E-2</v>
      </c>
      <c r="O23" s="2359"/>
      <c r="P23" s="2359"/>
      <c r="Q23" s="2341"/>
      <c r="R23" s="2529">
        <f>SUM(R15:R22)</f>
        <v>2800</v>
      </c>
      <c r="S23" s="229">
        <f t="shared" si="6"/>
        <v>0</v>
      </c>
      <c r="T23" s="230">
        <f t="shared" si="7"/>
        <v>0</v>
      </c>
      <c r="U23" s="374">
        <f t="shared" si="8"/>
        <v>0</v>
      </c>
      <c r="V23" s="375">
        <f t="shared" si="9"/>
        <v>0</v>
      </c>
      <c r="W23" s="376">
        <f t="shared" si="10"/>
        <v>0</v>
      </c>
      <c r="X23" s="377">
        <f t="shared" si="11"/>
        <v>0</v>
      </c>
      <c r="Y23" s="378">
        <f t="shared" si="12"/>
        <v>0</v>
      </c>
      <c r="Z23" s="379">
        <f t="shared" si="13"/>
        <v>0</v>
      </c>
      <c r="AA23" s="380">
        <f t="shared" si="14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</row>
    <row r="24" spans="1:39" ht="12.75" customHeight="1">
      <c r="A24" s="851" t="s">
        <v>215</v>
      </c>
      <c r="B24" s="1124" t="s">
        <v>215</v>
      </c>
      <c r="C24" s="2256">
        <f t="shared" ref="C24:C54" si="21">IF(D24=1,U$5,IF(D24=2,V$5,IF(D24=3,W$5,IF(D24=4,X$5,IF(D24=5,Y$5,IF(D24=6,Z$5,IF(D24=7,AA$5,0)))))))</f>
        <v>2.2880964381720439E-4</v>
      </c>
      <c r="D24" s="2335">
        <v>1</v>
      </c>
      <c r="E24" s="2336">
        <v>1</v>
      </c>
      <c r="F24" s="2336">
        <v>1</v>
      </c>
      <c r="G24" s="2336">
        <v>600</v>
      </c>
      <c r="H24" s="2337" t="s">
        <v>1619</v>
      </c>
      <c r="I24" s="2337">
        <v>0</v>
      </c>
      <c r="J24" s="2337">
        <v>1.1574074074074073E-4</v>
      </c>
      <c r="K24" s="2500" t="s">
        <v>1618</v>
      </c>
      <c r="L24" s="2501">
        <v>0.34375</v>
      </c>
      <c r="M24" s="2502">
        <v>1</v>
      </c>
      <c r="N24" s="2337">
        <f>P24*E24*F24+I24*E24*F24+J24*E24</f>
        <v>5.6071721923536466E-3</v>
      </c>
      <c r="O24" s="2359">
        <f t="shared" ref="O24:O26" si="22">C24*(G24/25)</f>
        <v>5.4914314516129057E-3</v>
      </c>
      <c r="P24" s="2359">
        <f t="shared" ref="P24:P31" si="23">O24*M24</f>
        <v>5.4914314516129057E-3</v>
      </c>
      <c r="Q24" s="2341">
        <v>129</v>
      </c>
      <c r="R24" s="2336">
        <f t="shared" ref="R24:R31" si="24">E24*F24*G24</f>
        <v>600</v>
      </c>
      <c r="S24" s="229">
        <f t="shared" si="6"/>
        <v>0.6</v>
      </c>
      <c r="T24" s="230">
        <f t="shared" si="7"/>
        <v>2.1965725806451623E-2</v>
      </c>
      <c r="U24" s="374">
        <f t="shared" si="8"/>
        <v>0.6</v>
      </c>
      <c r="V24" s="375">
        <f t="shared" si="9"/>
        <v>0</v>
      </c>
      <c r="W24" s="376">
        <f t="shared" si="10"/>
        <v>0</v>
      </c>
      <c r="X24" s="377">
        <f t="shared" si="11"/>
        <v>0</v>
      </c>
      <c r="Y24" s="378">
        <f t="shared" si="12"/>
        <v>0</v>
      </c>
      <c r="Z24" s="379">
        <f t="shared" si="13"/>
        <v>0</v>
      </c>
      <c r="AA24" s="380">
        <f t="shared" si="14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</row>
    <row r="25" spans="1:39" ht="12.75" customHeight="1">
      <c r="A25" s="851" t="s">
        <v>138</v>
      </c>
      <c r="B25" s="1124" t="s">
        <v>215</v>
      </c>
      <c r="C25" s="2256">
        <f t="shared" si="21"/>
        <v>2.1908757716049393E-4</v>
      </c>
      <c r="D25" s="2286">
        <v>2</v>
      </c>
      <c r="E25" s="2276">
        <v>1</v>
      </c>
      <c r="F25" s="2276">
        <v>4</v>
      </c>
      <c r="G25" s="2276">
        <v>100</v>
      </c>
      <c r="H25" s="2277"/>
      <c r="I25" s="2277">
        <v>2.3148148148148146E-4</v>
      </c>
      <c r="J25" s="2277">
        <v>2.3148148148148146E-4</v>
      </c>
      <c r="K25" s="2278" t="s">
        <v>1523</v>
      </c>
      <c r="L25" s="2503">
        <f>L24+N24</f>
        <v>0.34935717219235363</v>
      </c>
      <c r="M25" s="2280">
        <v>1.25</v>
      </c>
      <c r="N25" s="2277">
        <f>P25*E25*F25+I25*E25*F25+J25*E25</f>
        <v>5.539158950617286E-3</v>
      </c>
      <c r="O25" s="2281">
        <f t="shared" si="22"/>
        <v>8.7635030864197572E-4</v>
      </c>
      <c r="P25" s="2281">
        <f t="shared" si="23"/>
        <v>1.0954378858024697E-3</v>
      </c>
      <c r="Q25" s="2282">
        <v>147</v>
      </c>
      <c r="R25" s="2283">
        <f t="shared" si="24"/>
        <v>400</v>
      </c>
      <c r="S25" s="229">
        <f t="shared" si="6"/>
        <v>0.4</v>
      </c>
      <c r="T25" s="230">
        <f t="shared" si="7"/>
        <v>1.4021604938271611E-2</v>
      </c>
      <c r="U25" s="374">
        <f t="shared" si="8"/>
        <v>0</v>
      </c>
      <c r="V25" s="375">
        <f t="shared" si="9"/>
        <v>0.4</v>
      </c>
      <c r="W25" s="376">
        <f t="shared" si="10"/>
        <v>0</v>
      </c>
      <c r="X25" s="377">
        <f t="shared" si="11"/>
        <v>0</v>
      </c>
      <c r="Y25" s="378">
        <f t="shared" si="12"/>
        <v>0</v>
      </c>
      <c r="Z25" s="379">
        <f t="shared" si="13"/>
        <v>0</v>
      </c>
      <c r="AA25" s="380">
        <f t="shared" si="14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</row>
    <row r="26" spans="1:39" ht="12.75" customHeight="1">
      <c r="A26" s="851" t="s">
        <v>462</v>
      </c>
      <c r="B26" s="1124" t="s">
        <v>215</v>
      </c>
      <c r="C26" s="2256">
        <f t="shared" si="21"/>
        <v>2.1222190799396687E-4</v>
      </c>
      <c r="D26" s="2309">
        <v>3</v>
      </c>
      <c r="E26" s="2257">
        <v>1</v>
      </c>
      <c r="F26" s="2257">
        <v>4</v>
      </c>
      <c r="G26" s="2257">
        <v>100</v>
      </c>
      <c r="H26" s="2325" t="s">
        <v>1606</v>
      </c>
      <c r="I26" s="2258">
        <v>2.8935185185185189E-4</v>
      </c>
      <c r="J26" s="2258">
        <v>2.3148148148148146E-4</v>
      </c>
      <c r="K26" s="2355" t="s">
        <v>1620</v>
      </c>
      <c r="L26" s="2504">
        <f>L25+N25</f>
        <v>0.35489633114297092</v>
      </c>
      <c r="M26" s="2326">
        <v>1.25</v>
      </c>
      <c r="N26" s="2258">
        <f>P26*E26*F26+I26*E26*F26+J26*E26</f>
        <v>5.633327048768226E-3</v>
      </c>
      <c r="O26" s="2262">
        <f t="shared" si="22"/>
        <v>8.4888763197586746E-4</v>
      </c>
      <c r="P26" s="2262">
        <f t="shared" si="23"/>
        <v>1.0611095399698342E-3</v>
      </c>
      <c r="Q26" s="2274">
        <v>147</v>
      </c>
      <c r="R26" s="2257">
        <f t="shared" si="24"/>
        <v>400</v>
      </c>
      <c r="S26" s="229">
        <f t="shared" si="6"/>
        <v>0.4</v>
      </c>
      <c r="T26" s="230">
        <f t="shared" si="7"/>
        <v>1.3582202111613879E-2</v>
      </c>
      <c r="U26" s="374">
        <f t="shared" si="8"/>
        <v>0</v>
      </c>
      <c r="V26" s="375">
        <f t="shared" si="9"/>
        <v>0</v>
      </c>
      <c r="W26" s="376">
        <f t="shared" si="10"/>
        <v>0.4</v>
      </c>
      <c r="X26" s="377">
        <f t="shared" si="11"/>
        <v>0</v>
      </c>
      <c r="Y26" s="378">
        <f t="shared" si="12"/>
        <v>0</v>
      </c>
      <c r="Z26" s="379">
        <f t="shared" si="13"/>
        <v>0</v>
      </c>
      <c r="AA26" s="380">
        <f t="shared" si="14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</row>
    <row r="27" spans="1:39" ht="12.75" customHeight="1">
      <c r="A27" s="851" t="s">
        <v>461</v>
      </c>
      <c r="B27" s="1124" t="s">
        <v>215</v>
      </c>
      <c r="C27" s="2256">
        <f t="shared" si="21"/>
        <v>1.8933937422552669E-4</v>
      </c>
      <c r="D27" s="2505">
        <v>5</v>
      </c>
      <c r="E27" s="2506">
        <v>1</v>
      </c>
      <c r="F27" s="2506">
        <v>8</v>
      </c>
      <c r="G27" s="2506">
        <v>50</v>
      </c>
      <c r="H27" s="2264" t="s">
        <v>1338</v>
      </c>
      <c r="I27" s="2264">
        <v>6.9444444444444447E-4</v>
      </c>
      <c r="J27" s="2264">
        <v>2.0833333333333333E-3</v>
      </c>
      <c r="K27" s="2507" t="s">
        <v>1340</v>
      </c>
      <c r="L27" s="2508">
        <f>L26+N26</f>
        <v>0.36052965819173916</v>
      </c>
      <c r="M27" s="2509">
        <v>1</v>
      </c>
      <c r="N27" s="2264">
        <f>P27*E27*F27+I27*E27*F27+J27*E27</f>
        <v>1.0668318876497315E-2</v>
      </c>
      <c r="O27" s="2265">
        <f>C27*(G27/25)</f>
        <v>3.7867874845105338E-4</v>
      </c>
      <c r="P27" s="2185">
        <f t="shared" si="23"/>
        <v>3.7867874845105338E-4</v>
      </c>
      <c r="Q27" s="2510" t="s">
        <v>278</v>
      </c>
      <c r="R27" s="2511">
        <f t="shared" si="24"/>
        <v>400</v>
      </c>
      <c r="S27" s="229">
        <f t="shared" si="6"/>
        <v>0.4</v>
      </c>
      <c r="T27" s="230">
        <f t="shared" si="7"/>
        <v>1.2117719950433708E-2</v>
      </c>
      <c r="U27" s="374">
        <f t="shared" si="8"/>
        <v>0</v>
      </c>
      <c r="V27" s="375">
        <f t="shared" si="9"/>
        <v>0</v>
      </c>
      <c r="W27" s="376">
        <f t="shared" si="10"/>
        <v>0</v>
      </c>
      <c r="X27" s="377">
        <f t="shared" si="11"/>
        <v>0</v>
      </c>
      <c r="Y27" s="378">
        <f t="shared" si="12"/>
        <v>0.4</v>
      </c>
      <c r="Z27" s="379">
        <f t="shared" si="13"/>
        <v>0</v>
      </c>
      <c r="AA27" s="380">
        <f t="shared" si="14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39" ht="12.75" customHeight="1">
      <c r="A28" s="851" t="s">
        <v>458</v>
      </c>
      <c r="B28" s="1124" t="s">
        <v>215</v>
      </c>
      <c r="C28" s="2256">
        <f t="shared" si="21"/>
        <v>1.8229166666666673E-4</v>
      </c>
      <c r="D28" s="2541">
        <v>6</v>
      </c>
      <c r="E28" s="2542">
        <v>1</v>
      </c>
      <c r="F28" s="2542">
        <v>12</v>
      </c>
      <c r="G28" s="2542">
        <v>50</v>
      </c>
      <c r="H28" s="2543" t="s">
        <v>1339</v>
      </c>
      <c r="I28" s="2544">
        <v>1.0416666666666667E-3</v>
      </c>
      <c r="J28" s="2544">
        <v>0</v>
      </c>
      <c r="K28" s="2545" t="s">
        <v>1337</v>
      </c>
      <c r="L28" s="2546">
        <f>L24+N24</f>
        <v>0.34935717219235363</v>
      </c>
      <c r="M28" s="2547">
        <v>1.1000000000000001</v>
      </c>
      <c r="N28" s="2544">
        <f>P28*E28*F28+I28*E28*F28+J28*E28</f>
        <v>1.7312500000000001E-2</v>
      </c>
      <c r="O28" s="2548">
        <f t="shared" ref="O28:O31" si="25">C28*(G28/25)</f>
        <v>3.6458333333333346E-4</v>
      </c>
      <c r="P28" s="2549">
        <f t="shared" si="23"/>
        <v>4.0104166666666684E-4</v>
      </c>
      <c r="Q28" s="2550">
        <v>164</v>
      </c>
      <c r="R28" s="2551">
        <f t="shared" si="24"/>
        <v>600</v>
      </c>
      <c r="S28" s="229">
        <f t="shared" si="6"/>
        <v>0.6</v>
      </c>
      <c r="T28" s="230">
        <f t="shared" si="7"/>
        <v>1.7500000000000005E-2</v>
      </c>
      <c r="U28" s="374">
        <f t="shared" si="8"/>
        <v>0</v>
      </c>
      <c r="V28" s="375">
        <f t="shared" si="9"/>
        <v>0</v>
      </c>
      <c r="W28" s="376">
        <f t="shared" si="10"/>
        <v>0</v>
      </c>
      <c r="X28" s="377">
        <f t="shared" si="11"/>
        <v>0</v>
      </c>
      <c r="Y28" s="378">
        <f t="shared" si="12"/>
        <v>0</v>
      </c>
      <c r="Z28" s="379">
        <f t="shared" si="13"/>
        <v>0.6</v>
      </c>
      <c r="AA28" s="380">
        <f t="shared" si="14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39" ht="12.75" customHeight="1">
      <c r="A29" s="851" t="s">
        <v>219</v>
      </c>
      <c r="B29" s="1124" t="s">
        <v>215</v>
      </c>
      <c r="C29" s="2256">
        <f t="shared" si="21"/>
        <v>2.1908757716049393E-4</v>
      </c>
      <c r="D29" s="890">
        <v>2</v>
      </c>
      <c r="E29" s="300">
        <v>1</v>
      </c>
      <c r="F29" s="300">
        <v>1</v>
      </c>
      <c r="G29" s="300">
        <v>400</v>
      </c>
      <c r="H29" s="301"/>
      <c r="I29" s="301">
        <v>1.0416666666666667E-3</v>
      </c>
      <c r="J29" s="301">
        <v>1.3888888888888889E-3</v>
      </c>
      <c r="K29" s="1123" t="s">
        <v>702</v>
      </c>
      <c r="L29" s="994">
        <f>L28+N28</f>
        <v>0.36666967219235364</v>
      </c>
      <c r="M29" s="455">
        <v>1</v>
      </c>
      <c r="N29" s="301">
        <f>P29*E29*F29+J29*E29</f>
        <v>4.8942901234567916E-3</v>
      </c>
      <c r="O29" s="302">
        <f t="shared" si="25"/>
        <v>3.5054012345679029E-3</v>
      </c>
      <c r="P29" s="302">
        <f t="shared" si="23"/>
        <v>3.5054012345679029E-3</v>
      </c>
      <c r="Q29" s="550">
        <v>164</v>
      </c>
      <c r="R29" s="369">
        <f t="shared" si="24"/>
        <v>400</v>
      </c>
      <c r="S29" s="229">
        <f t="shared" si="6"/>
        <v>0.4</v>
      </c>
      <c r="T29" s="230">
        <f t="shared" si="7"/>
        <v>1.4021604938271611E-2</v>
      </c>
      <c r="U29" s="374">
        <f t="shared" si="8"/>
        <v>0</v>
      </c>
      <c r="V29" s="375">
        <f t="shared" si="9"/>
        <v>0.4</v>
      </c>
      <c r="W29" s="376">
        <f t="shared" si="10"/>
        <v>0</v>
      </c>
      <c r="X29" s="377">
        <f t="shared" si="11"/>
        <v>0</v>
      </c>
      <c r="Y29" s="378">
        <f t="shared" si="12"/>
        <v>0</v>
      </c>
      <c r="Z29" s="379">
        <f t="shared" si="13"/>
        <v>0</v>
      </c>
      <c r="AA29" s="380">
        <f t="shared" si="14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</row>
    <row r="30" spans="1:39" ht="12.75" customHeight="1">
      <c r="A30" s="397"/>
      <c r="B30" s="1124" t="s">
        <v>215</v>
      </c>
      <c r="C30" s="2256">
        <f t="shared" si="21"/>
        <v>1.7682291666666674E-4</v>
      </c>
      <c r="D30" s="2318">
        <v>7</v>
      </c>
      <c r="E30" s="2512">
        <v>1</v>
      </c>
      <c r="F30" s="2512">
        <v>4</v>
      </c>
      <c r="G30" s="2512">
        <v>27</v>
      </c>
      <c r="H30" s="2270"/>
      <c r="I30" s="2270">
        <v>1.0416666666666667E-3</v>
      </c>
      <c r="J30" s="2270">
        <v>2.3148148148148146E-4</v>
      </c>
      <c r="K30" s="2514" t="s">
        <v>1525</v>
      </c>
      <c r="L30" s="2515">
        <f>L29+N29</f>
        <v>0.3715639623158104</v>
      </c>
      <c r="M30" s="2516">
        <v>1</v>
      </c>
      <c r="N30" s="2270">
        <f>P30*E30*F30+I30*E30*F30+J30*E30</f>
        <v>5.1620231481481491E-3</v>
      </c>
      <c r="O30" s="2271">
        <f t="shared" si="25"/>
        <v>1.9096875000000008E-4</v>
      </c>
      <c r="P30" s="2517">
        <f t="shared" si="23"/>
        <v>1.9096875000000008E-4</v>
      </c>
      <c r="Q30" s="2518" t="s">
        <v>316</v>
      </c>
      <c r="R30" s="2519">
        <f t="shared" si="24"/>
        <v>108</v>
      </c>
      <c r="S30" s="229">
        <f t="shared" si="6"/>
        <v>0.108</v>
      </c>
      <c r="T30" s="230">
        <f t="shared" si="7"/>
        <v>3.0555000000000014E-3</v>
      </c>
      <c r="U30" s="374">
        <f t="shared" si="8"/>
        <v>0</v>
      </c>
      <c r="V30" s="375">
        <f t="shared" si="9"/>
        <v>0</v>
      </c>
      <c r="W30" s="376">
        <f t="shared" si="10"/>
        <v>0</v>
      </c>
      <c r="X30" s="377">
        <f t="shared" si="11"/>
        <v>0</v>
      </c>
      <c r="Y30" s="378">
        <f t="shared" si="12"/>
        <v>0</v>
      </c>
      <c r="Z30" s="379">
        <f t="shared" si="13"/>
        <v>0</v>
      </c>
      <c r="AA30" s="380">
        <f t="shared" si="14"/>
        <v>0.108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</row>
    <row r="31" spans="1:39" ht="12.75" customHeight="1">
      <c r="A31" s="397"/>
      <c r="B31" s="403"/>
      <c r="C31" s="2256">
        <f t="shared" si="21"/>
        <v>2.1908757716049393E-4</v>
      </c>
      <c r="D31" s="2309">
        <v>2</v>
      </c>
      <c r="E31" s="2257">
        <v>1</v>
      </c>
      <c r="F31" s="2257">
        <v>4</v>
      </c>
      <c r="G31" s="2257">
        <v>150</v>
      </c>
      <c r="H31" s="2258"/>
      <c r="I31" s="2258">
        <v>1.7361111111111112E-4</v>
      </c>
      <c r="J31" s="2258">
        <v>2.3148148148148146E-4</v>
      </c>
      <c r="K31" s="2355" t="s">
        <v>1341</v>
      </c>
      <c r="L31" s="2504">
        <f>L30+N30</f>
        <v>0.37672598546395858</v>
      </c>
      <c r="M31" s="2326">
        <v>1.25</v>
      </c>
      <c r="N31" s="2258">
        <f>P31*E31*F31+I31*E31*F31+J31*E31</f>
        <v>7.498553240740744E-3</v>
      </c>
      <c r="O31" s="2262">
        <f t="shared" si="25"/>
        <v>1.3145254629629635E-3</v>
      </c>
      <c r="P31" s="2262">
        <f t="shared" si="23"/>
        <v>1.6431568287037044E-3</v>
      </c>
      <c r="Q31" s="2274">
        <v>147</v>
      </c>
      <c r="R31" s="2257">
        <f t="shared" si="24"/>
        <v>600</v>
      </c>
      <c r="S31" s="229">
        <f t="shared" si="6"/>
        <v>0.6</v>
      </c>
      <c r="T31" s="230">
        <f t="shared" si="7"/>
        <v>2.1032407407407416E-2</v>
      </c>
      <c r="U31" s="374">
        <f t="shared" si="8"/>
        <v>0</v>
      </c>
      <c r="V31" s="375">
        <f t="shared" si="9"/>
        <v>0.6</v>
      </c>
      <c r="W31" s="376">
        <f t="shared" si="10"/>
        <v>0</v>
      </c>
      <c r="X31" s="377">
        <f t="shared" si="11"/>
        <v>0</v>
      </c>
      <c r="Y31" s="378">
        <f t="shared" si="12"/>
        <v>0</v>
      </c>
      <c r="Z31" s="379">
        <f t="shared" si="13"/>
        <v>0</v>
      </c>
      <c r="AA31" s="380">
        <f t="shared" si="14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</row>
    <row r="32" spans="1:39" ht="12.75" customHeight="1">
      <c r="A32" s="397"/>
      <c r="B32" s="403"/>
      <c r="C32" s="2256">
        <f t="shared" si="21"/>
        <v>0</v>
      </c>
      <c r="D32" s="2335"/>
      <c r="E32" s="2336"/>
      <c r="F32" s="2336"/>
      <c r="G32" s="2336"/>
      <c r="H32" s="2337"/>
      <c r="I32" s="2337"/>
      <c r="J32" s="2337"/>
      <c r="K32" s="3388" t="s">
        <v>1621</v>
      </c>
      <c r="L32" s="2182">
        <f>L31+N31</f>
        <v>0.3842245387046993</v>
      </c>
      <c r="M32" s="2502"/>
      <c r="N32" s="2528">
        <f>SUM(N24:N31)</f>
        <v>6.2315343580582161E-2</v>
      </c>
      <c r="O32" s="2359"/>
      <c r="P32" s="2359"/>
      <c r="Q32" s="2341"/>
      <c r="R32" s="2529">
        <f>SUM(R24:R31)</f>
        <v>3508</v>
      </c>
      <c r="S32" s="229">
        <f t="shared" si="6"/>
        <v>0</v>
      </c>
      <c r="T32" s="230">
        <f t="shared" si="7"/>
        <v>0</v>
      </c>
      <c r="U32" s="374">
        <f t="shared" si="8"/>
        <v>0</v>
      </c>
      <c r="V32" s="375">
        <f t="shared" si="9"/>
        <v>0</v>
      </c>
      <c r="W32" s="376">
        <f t="shared" si="10"/>
        <v>0</v>
      </c>
      <c r="X32" s="377">
        <f t="shared" si="11"/>
        <v>0</v>
      </c>
      <c r="Y32" s="378">
        <f t="shared" si="12"/>
        <v>0</v>
      </c>
      <c r="Z32" s="379">
        <f t="shared" si="13"/>
        <v>0</v>
      </c>
      <c r="AA32" s="380">
        <f t="shared" si="14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</row>
    <row r="33" spans="1:39" ht="12.75" customHeight="1">
      <c r="A33" s="851" t="s">
        <v>215</v>
      </c>
      <c r="B33" s="1124" t="s">
        <v>461</v>
      </c>
      <c r="C33" s="2256">
        <f t="shared" si="21"/>
        <v>2.1908757716049393E-4</v>
      </c>
      <c r="D33" s="2286">
        <v>2</v>
      </c>
      <c r="E33" s="2276">
        <v>1</v>
      </c>
      <c r="F33" s="2276">
        <v>1</v>
      </c>
      <c r="G33" s="2276">
        <v>500</v>
      </c>
      <c r="H33" s="2277"/>
      <c r="I33" s="2277">
        <v>2.3148148148148146E-4</v>
      </c>
      <c r="J33" s="2277">
        <v>2.3148148148148146E-4</v>
      </c>
      <c r="K33" s="2278" t="s">
        <v>1346</v>
      </c>
      <c r="L33" s="2503">
        <v>0.79861111111111116</v>
      </c>
      <c r="M33" s="2280">
        <v>1.25</v>
      </c>
      <c r="N33" s="2277">
        <f t="shared" ref="N33:N40" si="26">P33*E33*F33+I33*E33*F33+J33*E33</f>
        <v>5.9401523919753122E-3</v>
      </c>
      <c r="O33" s="2281">
        <f t="shared" ref="O33:O35" si="27">C33*(G33/25)</f>
        <v>4.3817515432098787E-3</v>
      </c>
      <c r="P33" s="2281">
        <f t="shared" ref="P33:P38" si="28">O33*M33</f>
        <v>5.4771894290123486E-3</v>
      </c>
      <c r="Q33" s="2282">
        <v>147</v>
      </c>
      <c r="R33" s="2283">
        <f t="shared" ref="R33:R38" si="29">E33*F33*G33</f>
        <v>500</v>
      </c>
      <c r="S33" s="229">
        <f t="shared" si="6"/>
        <v>0.5</v>
      </c>
      <c r="T33" s="230">
        <f t="shared" si="7"/>
        <v>1.7527006172839515E-2</v>
      </c>
      <c r="U33" s="374">
        <f t="shared" si="8"/>
        <v>0</v>
      </c>
      <c r="V33" s="375">
        <f t="shared" si="9"/>
        <v>0.5</v>
      </c>
      <c r="W33" s="376">
        <f t="shared" si="10"/>
        <v>0</v>
      </c>
      <c r="X33" s="377">
        <f t="shared" si="11"/>
        <v>0</v>
      </c>
      <c r="Y33" s="378">
        <f t="shared" si="12"/>
        <v>0</v>
      </c>
      <c r="Z33" s="379">
        <f t="shared" si="13"/>
        <v>0</v>
      </c>
      <c r="AA33" s="380">
        <f t="shared" si="14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</row>
    <row r="34" spans="1:39" ht="12.75" customHeight="1">
      <c r="A34" s="851" t="s">
        <v>138</v>
      </c>
      <c r="B34" s="1124" t="s">
        <v>461</v>
      </c>
      <c r="C34" s="2256">
        <f t="shared" si="21"/>
        <v>2.1908757716049393E-4</v>
      </c>
      <c r="D34" s="2286">
        <v>2</v>
      </c>
      <c r="E34" s="2276">
        <v>1</v>
      </c>
      <c r="F34" s="2276">
        <v>8</v>
      </c>
      <c r="G34" s="2276">
        <v>50</v>
      </c>
      <c r="H34" s="2277"/>
      <c r="I34" s="2277">
        <v>2.3148148148148146E-4</v>
      </c>
      <c r="J34" s="2277">
        <v>2.3148148148148146E-4</v>
      </c>
      <c r="K34" s="2278" t="s">
        <v>1347</v>
      </c>
      <c r="L34" s="2503">
        <f>L33+N33</f>
        <v>0.80455126350308648</v>
      </c>
      <c r="M34" s="2280">
        <v>1.25</v>
      </c>
      <c r="N34" s="2277">
        <f t="shared" si="26"/>
        <v>6.4650848765432124E-3</v>
      </c>
      <c r="O34" s="2281">
        <f t="shared" si="27"/>
        <v>4.3817515432098786E-4</v>
      </c>
      <c r="P34" s="2281">
        <f t="shared" si="28"/>
        <v>5.4771894290123484E-4</v>
      </c>
      <c r="Q34" s="2282">
        <v>147</v>
      </c>
      <c r="R34" s="2283">
        <f t="shared" si="29"/>
        <v>400</v>
      </c>
      <c r="S34" s="229">
        <f t="shared" si="6"/>
        <v>0.4</v>
      </c>
      <c r="T34" s="230">
        <f t="shared" si="7"/>
        <v>1.4021604938271611E-2</v>
      </c>
      <c r="U34" s="374">
        <f t="shared" si="8"/>
        <v>0</v>
      </c>
      <c r="V34" s="375">
        <f t="shared" si="9"/>
        <v>0.4</v>
      </c>
      <c r="W34" s="376">
        <f t="shared" si="10"/>
        <v>0</v>
      </c>
      <c r="X34" s="377">
        <f t="shared" si="11"/>
        <v>0</v>
      </c>
      <c r="Y34" s="378">
        <f t="shared" si="12"/>
        <v>0</v>
      </c>
      <c r="Z34" s="379">
        <f t="shared" si="13"/>
        <v>0</v>
      </c>
      <c r="AA34" s="380">
        <f t="shared" si="14"/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</row>
    <row r="35" spans="1:39" ht="12.75" customHeight="1">
      <c r="A35" s="851" t="s">
        <v>462</v>
      </c>
      <c r="B35" s="1124" t="s">
        <v>461</v>
      </c>
      <c r="C35" s="2256">
        <f t="shared" si="21"/>
        <v>2.1222190799396687E-4</v>
      </c>
      <c r="D35" s="2309">
        <v>3</v>
      </c>
      <c r="E35" s="2257">
        <v>1</v>
      </c>
      <c r="F35" s="2257">
        <v>8</v>
      </c>
      <c r="G35" s="2257">
        <v>50</v>
      </c>
      <c r="H35" s="2258"/>
      <c r="I35" s="2258">
        <v>1.7361111111111112E-4</v>
      </c>
      <c r="J35" s="2258">
        <v>1.3888888888888889E-3</v>
      </c>
      <c r="K35" s="2355" t="s">
        <v>1622</v>
      </c>
      <c r="L35" s="2504">
        <f t="shared" ref="L35" si="30">L34+N34</f>
        <v>0.81101634837962966</v>
      </c>
      <c r="M35" s="2326">
        <v>1.2</v>
      </c>
      <c r="N35" s="2258">
        <f t="shared" si="26"/>
        <v>6.8524384112619418E-3</v>
      </c>
      <c r="O35" s="2262">
        <f t="shared" si="27"/>
        <v>4.2444381598793373E-4</v>
      </c>
      <c r="P35" s="2262">
        <f t="shared" si="28"/>
        <v>5.0933257918552043E-4</v>
      </c>
      <c r="Q35" s="2274">
        <v>146</v>
      </c>
      <c r="R35" s="2257">
        <f t="shared" si="29"/>
        <v>400</v>
      </c>
      <c r="S35" s="229">
        <f t="shared" si="6"/>
        <v>0.4</v>
      </c>
      <c r="T35" s="230">
        <f t="shared" si="7"/>
        <v>1.3582202111613879E-2</v>
      </c>
      <c r="U35" s="374">
        <f t="shared" si="8"/>
        <v>0</v>
      </c>
      <c r="V35" s="375">
        <f t="shared" si="9"/>
        <v>0</v>
      </c>
      <c r="W35" s="376">
        <f t="shared" si="10"/>
        <v>0.4</v>
      </c>
      <c r="X35" s="377">
        <f t="shared" si="11"/>
        <v>0</v>
      </c>
      <c r="Y35" s="378">
        <f t="shared" si="12"/>
        <v>0</v>
      </c>
      <c r="Z35" s="379">
        <f t="shared" si="13"/>
        <v>0</v>
      </c>
      <c r="AA35" s="380">
        <f t="shared" si="14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</row>
    <row r="36" spans="1:39" ht="12.75" customHeight="1">
      <c r="A36" s="851" t="s">
        <v>461</v>
      </c>
      <c r="B36" s="1124" t="s">
        <v>461</v>
      </c>
      <c r="C36" s="2256">
        <f t="shared" si="21"/>
        <v>1.8933937422552669E-4</v>
      </c>
      <c r="D36" s="2505">
        <v>5</v>
      </c>
      <c r="E36" s="2506">
        <v>1</v>
      </c>
      <c r="F36" s="2506">
        <v>4</v>
      </c>
      <c r="G36" s="2506">
        <v>50</v>
      </c>
      <c r="H36" s="2264"/>
      <c r="I36" s="2264">
        <v>6.9444444444444447E-4</v>
      </c>
      <c r="J36" s="2264">
        <v>2.0833333333333333E-3</v>
      </c>
      <c r="K36" s="2507" t="s">
        <v>1348</v>
      </c>
      <c r="L36" s="2508">
        <f>L35+N35</f>
        <v>0.81786878679089159</v>
      </c>
      <c r="M36" s="2509">
        <v>1</v>
      </c>
      <c r="N36" s="2264">
        <f t="shared" si="26"/>
        <v>6.3758261049153241E-3</v>
      </c>
      <c r="O36" s="2265">
        <f>C36*(G36/25)</f>
        <v>3.7867874845105338E-4</v>
      </c>
      <c r="P36" s="2185">
        <f t="shared" si="28"/>
        <v>3.7867874845105338E-4</v>
      </c>
      <c r="Q36" s="2510" t="s">
        <v>278</v>
      </c>
      <c r="R36" s="2511">
        <f t="shared" si="29"/>
        <v>200</v>
      </c>
      <c r="S36" s="229">
        <f t="shared" si="6"/>
        <v>0.2</v>
      </c>
      <c r="T36" s="230">
        <f t="shared" si="7"/>
        <v>6.0588599752168541E-3</v>
      </c>
      <c r="U36" s="374">
        <f t="shared" si="8"/>
        <v>0</v>
      </c>
      <c r="V36" s="375">
        <f t="shared" si="9"/>
        <v>0</v>
      </c>
      <c r="W36" s="376">
        <f t="shared" si="10"/>
        <v>0</v>
      </c>
      <c r="X36" s="377">
        <f t="shared" si="11"/>
        <v>0</v>
      </c>
      <c r="Y36" s="378">
        <f t="shared" si="12"/>
        <v>0.2</v>
      </c>
      <c r="Z36" s="379">
        <f t="shared" si="13"/>
        <v>0</v>
      </c>
      <c r="AA36" s="380">
        <f t="shared" si="14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</row>
    <row r="37" spans="1:39" ht="12.75" customHeight="1">
      <c r="A37" s="851" t="s">
        <v>458</v>
      </c>
      <c r="B37" s="1124" t="s">
        <v>461</v>
      </c>
      <c r="C37" s="2256">
        <f t="shared" si="21"/>
        <v>1.8933937422552669E-4</v>
      </c>
      <c r="D37" s="2505">
        <v>5</v>
      </c>
      <c r="E37" s="2506">
        <v>1</v>
      </c>
      <c r="F37" s="2506">
        <v>5</v>
      </c>
      <c r="G37" s="2506">
        <v>80</v>
      </c>
      <c r="H37" s="2264"/>
      <c r="I37" s="2264">
        <v>2.0833333333333333E-3</v>
      </c>
      <c r="J37" s="2264">
        <v>2.0833333333333333E-3</v>
      </c>
      <c r="K37" s="2507" t="s">
        <v>1349</v>
      </c>
      <c r="L37" s="2508">
        <f>L36+N36</f>
        <v>0.82424461289580686</v>
      </c>
      <c r="M37" s="2509">
        <v>1</v>
      </c>
      <c r="N37" s="2264">
        <f t="shared" si="26"/>
        <v>1.5529429987608426E-2</v>
      </c>
      <c r="O37" s="2265">
        <f>C37*(G37/25)</f>
        <v>6.058859975216855E-4</v>
      </c>
      <c r="P37" s="2185">
        <f t="shared" si="28"/>
        <v>6.058859975216855E-4</v>
      </c>
      <c r="Q37" s="2510" t="s">
        <v>278</v>
      </c>
      <c r="R37" s="2511">
        <f t="shared" si="29"/>
        <v>400</v>
      </c>
      <c r="S37" s="229">
        <f t="shared" si="6"/>
        <v>0.4</v>
      </c>
      <c r="T37" s="230">
        <f t="shared" si="7"/>
        <v>1.211771995043371E-2</v>
      </c>
      <c r="U37" s="374">
        <f t="shared" si="8"/>
        <v>0</v>
      </c>
      <c r="V37" s="375">
        <f t="shared" si="9"/>
        <v>0</v>
      </c>
      <c r="W37" s="376">
        <f t="shared" si="10"/>
        <v>0</v>
      </c>
      <c r="X37" s="377">
        <f t="shared" si="11"/>
        <v>0</v>
      </c>
      <c r="Y37" s="378">
        <f t="shared" si="12"/>
        <v>0.4</v>
      </c>
      <c r="Z37" s="379">
        <f t="shared" si="13"/>
        <v>0</v>
      </c>
      <c r="AA37" s="380">
        <f t="shared" si="14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</row>
    <row r="38" spans="1:39" ht="12.75" customHeight="1">
      <c r="A38" s="851" t="s">
        <v>219</v>
      </c>
      <c r="B38" s="1124" t="s">
        <v>461</v>
      </c>
      <c r="C38" s="2256">
        <f t="shared" si="21"/>
        <v>1.8933937422552669E-4</v>
      </c>
      <c r="D38" s="2505">
        <v>5</v>
      </c>
      <c r="E38" s="2506">
        <v>1</v>
      </c>
      <c r="F38" s="2506">
        <v>5</v>
      </c>
      <c r="G38" s="2506">
        <v>60</v>
      </c>
      <c r="H38" s="2264"/>
      <c r="I38" s="2264">
        <v>2.0833333333333333E-3</v>
      </c>
      <c r="J38" s="2264">
        <v>2.0833333333333333E-3</v>
      </c>
      <c r="K38" s="2507" t="s">
        <v>1350</v>
      </c>
      <c r="L38" s="2508">
        <f>L37+N37</f>
        <v>0.83977404288341528</v>
      </c>
      <c r="M38" s="2509">
        <v>2</v>
      </c>
      <c r="N38" s="2264">
        <f t="shared" si="26"/>
        <v>1.7044144981412639E-2</v>
      </c>
      <c r="O38" s="2265">
        <f>C38*(G38/25)</f>
        <v>4.5441449814126401E-4</v>
      </c>
      <c r="P38" s="2185">
        <f t="shared" si="28"/>
        <v>9.0882899628252803E-4</v>
      </c>
      <c r="Q38" s="2510" t="s">
        <v>278</v>
      </c>
      <c r="R38" s="2511">
        <f t="shared" si="29"/>
        <v>300</v>
      </c>
      <c r="S38" s="229">
        <f t="shared" si="6"/>
        <v>0.3</v>
      </c>
      <c r="T38" s="230">
        <f t="shared" si="7"/>
        <v>9.0882899628252807E-3</v>
      </c>
      <c r="U38" s="374">
        <f t="shared" si="8"/>
        <v>0</v>
      </c>
      <c r="V38" s="375">
        <f t="shared" si="9"/>
        <v>0</v>
      </c>
      <c r="W38" s="376">
        <f t="shared" si="10"/>
        <v>0</v>
      </c>
      <c r="X38" s="377">
        <f t="shared" si="11"/>
        <v>0</v>
      </c>
      <c r="Y38" s="378">
        <f t="shared" si="12"/>
        <v>0.3</v>
      </c>
      <c r="Z38" s="379">
        <f t="shared" si="13"/>
        <v>0</v>
      </c>
      <c r="AA38" s="380">
        <f t="shared" si="14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</row>
    <row r="39" spans="1:39" ht="12.75" customHeight="1">
      <c r="A39" s="397"/>
      <c r="B39" s="1124" t="s">
        <v>461</v>
      </c>
      <c r="C39" s="2256">
        <f t="shared" si="21"/>
        <v>2.2880964381720439E-4</v>
      </c>
      <c r="D39" s="547">
        <v>1</v>
      </c>
      <c r="E39" s="275">
        <v>1</v>
      </c>
      <c r="F39" s="275">
        <v>1</v>
      </c>
      <c r="G39" s="275">
        <v>100</v>
      </c>
      <c r="H39" s="276"/>
      <c r="I39" s="276">
        <v>1.1574074074074073E-4</v>
      </c>
      <c r="J39" s="276">
        <v>1.3888888888888889E-3</v>
      </c>
      <c r="K39" s="312" t="s">
        <v>1943</v>
      </c>
      <c r="L39" s="1008">
        <f t="shared" ref="L39:L41" si="31">L38+N38</f>
        <v>0.85681818786482788</v>
      </c>
      <c r="M39" s="451">
        <v>2</v>
      </c>
      <c r="N39" s="276">
        <f t="shared" si="26"/>
        <v>3.335106780167265E-3</v>
      </c>
      <c r="O39" s="296">
        <f>C39*(G39/25)</f>
        <v>9.1523857526881758E-4</v>
      </c>
      <c r="P39" s="296">
        <f>O39*M39</f>
        <v>1.8304771505376352E-3</v>
      </c>
      <c r="Q39" s="548">
        <v>129</v>
      </c>
      <c r="R39" s="275">
        <f>E39*F39*G39</f>
        <v>100</v>
      </c>
      <c r="S39" s="229">
        <f t="shared" si="6"/>
        <v>0.1</v>
      </c>
      <c r="T39" s="230">
        <f t="shared" si="7"/>
        <v>3.6609543010752703E-3</v>
      </c>
      <c r="U39" s="374">
        <f t="shared" si="8"/>
        <v>0.1</v>
      </c>
      <c r="V39" s="375">
        <f t="shared" si="9"/>
        <v>0</v>
      </c>
      <c r="W39" s="376">
        <f t="shared" si="10"/>
        <v>0</v>
      </c>
      <c r="X39" s="377">
        <f t="shared" si="11"/>
        <v>0</v>
      </c>
      <c r="Y39" s="378">
        <f t="shared" si="12"/>
        <v>0</v>
      </c>
      <c r="Z39" s="379">
        <f t="shared" si="13"/>
        <v>0</v>
      </c>
      <c r="AA39" s="380">
        <f t="shared" si="14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</row>
    <row r="40" spans="1:39" ht="12.75" customHeight="1">
      <c r="A40" s="851"/>
      <c r="B40" s="1124" t="s">
        <v>461</v>
      </c>
      <c r="C40" s="274">
        <f t="shared" si="21"/>
        <v>1.7682291666666674E-4</v>
      </c>
      <c r="D40" s="1054">
        <v>7</v>
      </c>
      <c r="E40" s="1043">
        <v>1</v>
      </c>
      <c r="F40" s="1043">
        <v>8</v>
      </c>
      <c r="G40" s="1043">
        <v>25</v>
      </c>
      <c r="H40" s="1044"/>
      <c r="I40" s="1044">
        <v>3.4722222222222224E-4</v>
      </c>
      <c r="J40" s="1044">
        <v>0</v>
      </c>
      <c r="K40" s="1323" t="s">
        <v>893</v>
      </c>
      <c r="L40" s="1007">
        <f t="shared" si="31"/>
        <v>0.86015329464499513</v>
      </c>
      <c r="M40" s="1063">
        <v>2</v>
      </c>
      <c r="N40" s="1044">
        <f t="shared" si="26"/>
        <v>5.6069444444444456E-3</v>
      </c>
      <c r="O40" s="439">
        <f>C40*(G40/25)</f>
        <v>1.7682291666666674E-4</v>
      </c>
      <c r="P40" s="587">
        <f>O40*M40</f>
        <v>3.5364583333333347E-4</v>
      </c>
      <c r="Q40" s="446" t="s">
        <v>316</v>
      </c>
      <c r="R40" s="1045">
        <f>E40*F40*G40</f>
        <v>200</v>
      </c>
      <c r="S40" s="229">
        <f t="shared" si="6"/>
        <v>0.2</v>
      </c>
      <c r="T40" s="230">
        <f t="shared" si="7"/>
        <v>5.6583333333333355E-3</v>
      </c>
      <c r="U40" s="374">
        <f t="shared" si="8"/>
        <v>0</v>
      </c>
      <c r="V40" s="375">
        <f t="shared" si="9"/>
        <v>0</v>
      </c>
      <c r="W40" s="376">
        <f t="shared" si="10"/>
        <v>0</v>
      </c>
      <c r="X40" s="377">
        <f t="shared" si="11"/>
        <v>0</v>
      </c>
      <c r="Y40" s="378">
        <f t="shared" si="12"/>
        <v>0</v>
      </c>
      <c r="Z40" s="379">
        <f t="shared" si="13"/>
        <v>0</v>
      </c>
      <c r="AA40" s="380">
        <f t="shared" si="14"/>
        <v>0.2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</row>
    <row r="41" spans="1:39" ht="12.75" customHeight="1" thickBot="1">
      <c r="A41" s="851"/>
      <c r="B41" s="1124"/>
      <c r="C41" s="2256">
        <f t="shared" si="21"/>
        <v>0</v>
      </c>
      <c r="D41" s="2532"/>
      <c r="E41" s="2533"/>
      <c r="F41" s="2533"/>
      <c r="G41" s="2533"/>
      <c r="H41" s="2534"/>
      <c r="I41" s="2534"/>
      <c r="J41" s="2534"/>
      <c r="K41" s="3388" t="s">
        <v>1612</v>
      </c>
      <c r="L41" s="2182">
        <f t="shared" si="31"/>
        <v>0.86576023908943955</v>
      </c>
      <c r="M41" s="2536">
        <v>2</v>
      </c>
      <c r="N41" s="2537">
        <f>SUM(N33:N40)</f>
        <v>6.7149127978328574E-2</v>
      </c>
      <c r="O41" s="2538"/>
      <c r="P41" s="2538"/>
      <c r="Q41" s="2539"/>
      <c r="R41" s="2540">
        <f>SUM(R33:R40)</f>
        <v>2500</v>
      </c>
      <c r="S41" s="229">
        <f t="shared" si="6"/>
        <v>0</v>
      </c>
      <c r="T41" s="230">
        <f t="shared" si="7"/>
        <v>0</v>
      </c>
      <c r="U41" s="374">
        <f t="shared" si="8"/>
        <v>0</v>
      </c>
      <c r="V41" s="375">
        <f t="shared" si="9"/>
        <v>0</v>
      </c>
      <c r="W41" s="376">
        <f t="shared" si="10"/>
        <v>0</v>
      </c>
      <c r="X41" s="377">
        <f t="shared" si="11"/>
        <v>0</v>
      </c>
      <c r="Y41" s="378">
        <f t="shared" si="12"/>
        <v>0</v>
      </c>
      <c r="Z41" s="379">
        <f t="shared" si="13"/>
        <v>0</v>
      </c>
      <c r="AA41" s="380">
        <f t="shared" si="14"/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</row>
    <row r="42" spans="1:39" ht="12.75" customHeight="1" thickBot="1">
      <c r="A42" s="398" t="s">
        <v>215</v>
      </c>
      <c r="B42" s="1117" t="s">
        <v>215</v>
      </c>
      <c r="C42" s="2256">
        <f t="shared" si="21"/>
        <v>2.2880964381720439E-4</v>
      </c>
      <c r="D42" s="2335">
        <v>1</v>
      </c>
      <c r="E42" s="2336">
        <v>1</v>
      </c>
      <c r="F42" s="2336">
        <v>1</v>
      </c>
      <c r="G42" s="2336">
        <v>300</v>
      </c>
      <c r="H42" s="2337" t="s">
        <v>1590</v>
      </c>
      <c r="I42" s="2337">
        <v>0</v>
      </c>
      <c r="J42" s="2337">
        <v>1.1574074074074073E-4</v>
      </c>
      <c r="K42" s="2500" t="s">
        <v>1618</v>
      </c>
      <c r="L42" s="2501">
        <v>0.51041666666666663</v>
      </c>
      <c r="M42" s="2502">
        <v>1</v>
      </c>
      <c r="N42" s="2337">
        <f t="shared" ref="N42:N48" si="32">P42*E42*F42+I42*E42*F42+J42*E42</f>
        <v>2.8614564665471937E-3</v>
      </c>
      <c r="O42" s="2359">
        <f t="shared" ref="O42:O44" si="33">C42*(G42/25)</f>
        <v>2.7457157258064528E-3</v>
      </c>
      <c r="P42" s="2359">
        <f t="shared" ref="P42:P48" si="34">O42*M42</f>
        <v>2.7457157258064528E-3</v>
      </c>
      <c r="Q42" s="2341">
        <v>129</v>
      </c>
      <c r="R42" s="2336">
        <f t="shared" ref="R42:R48" si="35">E42*F42*G42</f>
        <v>300</v>
      </c>
      <c r="S42" s="229">
        <f t="shared" si="6"/>
        <v>0.3</v>
      </c>
      <c r="T42" s="230">
        <f t="shared" si="7"/>
        <v>1.0982862903225811E-2</v>
      </c>
      <c r="U42" s="374">
        <f t="shared" si="8"/>
        <v>0.3</v>
      </c>
      <c r="V42" s="375">
        <f t="shared" si="9"/>
        <v>0</v>
      </c>
      <c r="W42" s="376">
        <f t="shared" si="10"/>
        <v>0</v>
      </c>
      <c r="X42" s="377">
        <f t="shared" si="11"/>
        <v>0</v>
      </c>
      <c r="Y42" s="378">
        <f t="shared" si="12"/>
        <v>0</v>
      </c>
      <c r="Z42" s="379">
        <f t="shared" si="13"/>
        <v>0</v>
      </c>
      <c r="AA42" s="380">
        <f t="shared" si="14"/>
        <v>0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</row>
    <row r="43" spans="1:39" ht="12.75" customHeight="1" thickBot="1">
      <c r="A43" s="398" t="s">
        <v>139</v>
      </c>
      <c r="B43" s="1117" t="s">
        <v>215</v>
      </c>
      <c r="C43" s="2256">
        <f t="shared" si="21"/>
        <v>2.1908757716049393E-4</v>
      </c>
      <c r="D43" s="2286">
        <v>2</v>
      </c>
      <c r="E43" s="2276">
        <v>1</v>
      </c>
      <c r="F43" s="2276">
        <v>4</v>
      </c>
      <c r="G43" s="2276">
        <v>100</v>
      </c>
      <c r="H43" s="2277"/>
      <c r="I43" s="2277">
        <v>2.3148148148148146E-4</v>
      </c>
      <c r="J43" s="2277">
        <v>2.3148148148148146E-4</v>
      </c>
      <c r="K43" s="2355" t="s">
        <v>1620</v>
      </c>
      <c r="L43" s="2503">
        <f>L42+N42</f>
        <v>0.51327812313321386</v>
      </c>
      <c r="M43" s="2280">
        <v>1.25</v>
      </c>
      <c r="N43" s="2277">
        <f t="shared" si="32"/>
        <v>5.539158950617286E-3</v>
      </c>
      <c r="O43" s="2281">
        <f t="shared" si="33"/>
        <v>8.7635030864197572E-4</v>
      </c>
      <c r="P43" s="2281">
        <f t="shared" si="34"/>
        <v>1.0954378858024697E-3</v>
      </c>
      <c r="Q43" s="2282">
        <v>147</v>
      </c>
      <c r="R43" s="2283">
        <f t="shared" si="35"/>
        <v>400</v>
      </c>
      <c r="S43" s="229">
        <f t="shared" si="6"/>
        <v>0.4</v>
      </c>
      <c r="T43" s="230">
        <f t="shared" si="7"/>
        <v>1.4021604938271611E-2</v>
      </c>
      <c r="U43" s="374">
        <f t="shared" si="8"/>
        <v>0</v>
      </c>
      <c r="V43" s="375">
        <f t="shared" si="9"/>
        <v>0.4</v>
      </c>
      <c r="W43" s="376">
        <f t="shared" si="10"/>
        <v>0</v>
      </c>
      <c r="X43" s="377">
        <f t="shared" si="11"/>
        <v>0</v>
      </c>
      <c r="Y43" s="378">
        <f t="shared" si="12"/>
        <v>0</v>
      </c>
      <c r="Z43" s="379">
        <f t="shared" si="13"/>
        <v>0</v>
      </c>
      <c r="AA43" s="380">
        <f t="shared" si="14"/>
        <v>0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</row>
    <row r="44" spans="1:39" ht="13" customHeight="1" thickBot="1">
      <c r="A44" s="398" t="s">
        <v>458</v>
      </c>
      <c r="B44" s="1117" t="s">
        <v>215</v>
      </c>
      <c r="C44" s="2256">
        <f t="shared" si="21"/>
        <v>2.1222190799396687E-4</v>
      </c>
      <c r="D44" s="2309">
        <v>3</v>
      </c>
      <c r="E44" s="2257">
        <v>1</v>
      </c>
      <c r="F44" s="2257">
        <v>4</v>
      </c>
      <c r="G44" s="2257">
        <v>100</v>
      </c>
      <c r="H44" s="2325" t="s">
        <v>1590</v>
      </c>
      <c r="I44" s="2258">
        <v>2.8935185185185189E-4</v>
      </c>
      <c r="J44" s="2258">
        <v>2.3148148148148146E-4</v>
      </c>
      <c r="K44" s="204"/>
      <c r="L44" s="2504">
        <f>L43+N43</f>
        <v>0.51881728208383115</v>
      </c>
      <c r="M44" s="2326">
        <v>1.25</v>
      </c>
      <c r="N44" s="2258">
        <f t="shared" si="32"/>
        <v>5.633327048768226E-3</v>
      </c>
      <c r="O44" s="2262">
        <f t="shared" si="33"/>
        <v>8.4888763197586746E-4</v>
      </c>
      <c r="P44" s="2262">
        <f t="shared" si="34"/>
        <v>1.0611095399698342E-3</v>
      </c>
      <c r="Q44" s="2274">
        <v>147</v>
      </c>
      <c r="R44" s="2257">
        <f t="shared" si="35"/>
        <v>400</v>
      </c>
      <c r="S44" s="229">
        <f t="shared" si="6"/>
        <v>0.4</v>
      </c>
      <c r="T44" s="230">
        <f t="shared" si="7"/>
        <v>1.3582202111613879E-2</v>
      </c>
      <c r="U44" s="374">
        <f t="shared" si="8"/>
        <v>0</v>
      </c>
      <c r="V44" s="375">
        <f t="shared" si="9"/>
        <v>0</v>
      </c>
      <c r="W44" s="376">
        <f t="shared" si="10"/>
        <v>0.4</v>
      </c>
      <c r="X44" s="377">
        <f t="shared" si="11"/>
        <v>0</v>
      </c>
      <c r="Y44" s="378">
        <f t="shared" si="12"/>
        <v>0</v>
      </c>
      <c r="Z44" s="379">
        <f t="shared" si="13"/>
        <v>0</v>
      </c>
      <c r="AA44" s="380">
        <f t="shared" si="14"/>
        <v>0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</row>
    <row r="45" spans="1:39" ht="13" customHeight="1" thickBot="1">
      <c r="A45" s="398" t="s">
        <v>462</v>
      </c>
      <c r="B45" s="1117" t="s">
        <v>215</v>
      </c>
      <c r="C45" s="2256">
        <f t="shared" si="21"/>
        <v>1.8933937422552669E-4</v>
      </c>
      <c r="D45" s="2505">
        <v>5</v>
      </c>
      <c r="E45" s="2506">
        <v>1</v>
      </c>
      <c r="F45" s="2506">
        <v>6</v>
      </c>
      <c r="G45" s="2506">
        <v>40</v>
      </c>
      <c r="H45" s="2264"/>
      <c r="I45" s="2264">
        <v>1.0416666666666667E-3</v>
      </c>
      <c r="J45" s="2264">
        <v>2.0833333333333333E-3</v>
      </c>
      <c r="K45" s="2507" t="s">
        <v>1527</v>
      </c>
      <c r="L45" s="2508">
        <f>L44+N44</f>
        <v>0.52445060913259933</v>
      </c>
      <c r="M45" s="2509">
        <v>1</v>
      </c>
      <c r="N45" s="2264">
        <f t="shared" si="32"/>
        <v>1.015099132589839E-2</v>
      </c>
      <c r="O45" s="2265">
        <f>C45*(G45/25)</f>
        <v>3.0294299876084275E-4</v>
      </c>
      <c r="P45" s="2185">
        <f t="shared" si="34"/>
        <v>3.0294299876084275E-4</v>
      </c>
      <c r="Q45" s="2510" t="s">
        <v>278</v>
      </c>
      <c r="R45" s="2511">
        <f t="shared" si="35"/>
        <v>240</v>
      </c>
      <c r="S45" s="229">
        <f t="shared" si="6"/>
        <v>0.24</v>
      </c>
      <c r="T45" s="230">
        <f t="shared" si="7"/>
        <v>7.270631970260226E-3</v>
      </c>
      <c r="U45" s="374">
        <f t="shared" si="8"/>
        <v>0</v>
      </c>
      <c r="V45" s="375">
        <f t="shared" si="9"/>
        <v>0</v>
      </c>
      <c r="W45" s="376">
        <f t="shared" si="10"/>
        <v>0</v>
      </c>
      <c r="X45" s="377">
        <f t="shared" si="11"/>
        <v>0</v>
      </c>
      <c r="Y45" s="378">
        <f t="shared" si="12"/>
        <v>0.24</v>
      </c>
      <c r="Z45" s="379">
        <f t="shared" si="13"/>
        <v>0</v>
      </c>
      <c r="AA45" s="380">
        <f t="shared" si="14"/>
        <v>0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</row>
    <row r="46" spans="1:39" ht="12.75" customHeight="1" thickBot="1">
      <c r="A46" s="398" t="s">
        <v>140</v>
      </c>
      <c r="B46" s="1117" t="s">
        <v>215</v>
      </c>
      <c r="C46" s="2256">
        <f t="shared" si="21"/>
        <v>1.7682291666666674E-4</v>
      </c>
      <c r="D46" s="1054">
        <v>7</v>
      </c>
      <c r="E46" s="1043">
        <v>1</v>
      </c>
      <c r="F46" s="1043">
        <v>5</v>
      </c>
      <c r="G46" s="1043">
        <v>30</v>
      </c>
      <c r="H46" s="1044"/>
      <c r="I46" s="1044">
        <v>1.3888888888888889E-3</v>
      </c>
      <c r="J46" s="1044">
        <v>0</v>
      </c>
      <c r="K46" s="1323" t="s">
        <v>1528</v>
      </c>
      <c r="L46" s="1007">
        <f t="shared" ref="L46:L49" si="36">L45+N45</f>
        <v>0.53460160045849769</v>
      </c>
      <c r="M46" s="1063">
        <v>1</v>
      </c>
      <c r="N46" s="1044">
        <f t="shared" si="32"/>
        <v>8.0053819444444452E-3</v>
      </c>
      <c r="O46" s="439">
        <f t="shared" ref="O46:O48" si="37">C46*(G46/25)</f>
        <v>2.1218750000000008E-4</v>
      </c>
      <c r="P46" s="587">
        <f t="shared" si="34"/>
        <v>2.1218750000000008E-4</v>
      </c>
      <c r="Q46" s="446" t="s">
        <v>316</v>
      </c>
      <c r="R46" s="1045">
        <f t="shared" si="35"/>
        <v>150</v>
      </c>
      <c r="S46" s="229">
        <f t="shared" si="6"/>
        <v>0.15</v>
      </c>
      <c r="T46" s="230">
        <f t="shared" si="7"/>
        <v>4.2437500000000019E-3</v>
      </c>
      <c r="U46" s="374">
        <f t="shared" si="8"/>
        <v>0</v>
      </c>
      <c r="V46" s="375">
        <f t="shared" si="9"/>
        <v>0</v>
      </c>
      <c r="W46" s="376">
        <f t="shared" si="10"/>
        <v>0</v>
      </c>
      <c r="X46" s="377">
        <f t="shared" si="11"/>
        <v>0</v>
      </c>
      <c r="Y46" s="378">
        <f t="shared" si="12"/>
        <v>0</v>
      </c>
      <c r="Z46" s="379">
        <f t="shared" si="13"/>
        <v>0</v>
      </c>
      <c r="AA46" s="380">
        <f t="shared" si="14"/>
        <v>0.15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</row>
    <row r="47" spans="1:39" ht="12.75" customHeight="1" thickBot="1">
      <c r="A47" s="398" t="s">
        <v>674</v>
      </c>
      <c r="B47" s="1117" t="s">
        <v>215</v>
      </c>
      <c r="C47" s="2256">
        <f t="shared" si="21"/>
        <v>1.7682291666666674E-4</v>
      </c>
      <c r="D47" s="1054">
        <v>7</v>
      </c>
      <c r="E47" s="1043">
        <v>1</v>
      </c>
      <c r="F47" s="1043">
        <v>5</v>
      </c>
      <c r="G47" s="1043">
        <v>30</v>
      </c>
      <c r="H47" s="1044"/>
      <c r="I47" s="1044">
        <v>1.3888888888888889E-3</v>
      </c>
      <c r="J47" s="1044">
        <v>0</v>
      </c>
      <c r="K47" s="1323" t="s">
        <v>1529</v>
      </c>
      <c r="L47" s="1007">
        <f t="shared" si="36"/>
        <v>0.54260698240294214</v>
      </c>
      <c r="M47" s="1063">
        <v>2</v>
      </c>
      <c r="N47" s="1044">
        <f t="shared" si="32"/>
        <v>9.0663194444444463E-3</v>
      </c>
      <c r="O47" s="439">
        <f t="shared" si="37"/>
        <v>2.1218750000000008E-4</v>
      </c>
      <c r="P47" s="587">
        <f t="shared" si="34"/>
        <v>4.2437500000000016E-4</v>
      </c>
      <c r="Q47" s="446" t="s">
        <v>316</v>
      </c>
      <c r="R47" s="1045">
        <f t="shared" si="35"/>
        <v>150</v>
      </c>
      <c r="S47" s="229">
        <f t="shared" si="6"/>
        <v>0.15</v>
      </c>
      <c r="T47" s="230">
        <f t="shared" si="7"/>
        <v>4.2437500000000019E-3</v>
      </c>
      <c r="U47" s="374">
        <f t="shared" si="8"/>
        <v>0</v>
      </c>
      <c r="V47" s="375">
        <f t="shared" si="9"/>
        <v>0</v>
      </c>
      <c r="W47" s="376">
        <f t="shared" si="10"/>
        <v>0</v>
      </c>
      <c r="X47" s="377">
        <f t="shared" si="11"/>
        <v>0</v>
      </c>
      <c r="Y47" s="378">
        <f t="shared" si="12"/>
        <v>0</v>
      </c>
      <c r="Z47" s="379">
        <f t="shared" si="13"/>
        <v>0</v>
      </c>
      <c r="AA47" s="380">
        <f t="shared" si="14"/>
        <v>0.15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</row>
    <row r="48" spans="1:39" ht="12.75" customHeight="1" thickBot="1">
      <c r="A48" s="398" t="s">
        <v>214</v>
      </c>
      <c r="B48" s="1117" t="s">
        <v>215</v>
      </c>
      <c r="C48" s="2256">
        <f t="shared" si="21"/>
        <v>1.7682291666666674E-4</v>
      </c>
      <c r="D48" s="1054">
        <v>7</v>
      </c>
      <c r="E48" s="1043">
        <v>1</v>
      </c>
      <c r="F48" s="1043">
        <v>6</v>
      </c>
      <c r="G48" s="1043">
        <v>20</v>
      </c>
      <c r="H48" s="1044"/>
      <c r="I48" s="1044">
        <v>1.0416666666666667E-3</v>
      </c>
      <c r="J48" s="1044">
        <v>0</v>
      </c>
      <c r="K48" s="1323" t="s">
        <v>413</v>
      </c>
      <c r="L48" s="1007">
        <f t="shared" si="36"/>
        <v>0.55167330184738661</v>
      </c>
      <c r="M48" s="1063">
        <v>2</v>
      </c>
      <c r="N48" s="1044">
        <f t="shared" si="32"/>
        <v>7.9475000000000014E-3</v>
      </c>
      <c r="O48" s="439">
        <f t="shared" si="37"/>
        <v>1.4145833333333339E-4</v>
      </c>
      <c r="P48" s="587">
        <f t="shared" si="34"/>
        <v>2.8291666666666678E-4</v>
      </c>
      <c r="Q48" s="446" t="s">
        <v>316</v>
      </c>
      <c r="R48" s="1045">
        <f t="shared" si="35"/>
        <v>120</v>
      </c>
      <c r="S48" s="229">
        <f t="shared" si="6"/>
        <v>0.12</v>
      </c>
      <c r="T48" s="230">
        <f t="shared" si="7"/>
        <v>3.3950000000000013E-3</v>
      </c>
      <c r="U48" s="374">
        <f t="shared" si="8"/>
        <v>0</v>
      </c>
      <c r="V48" s="375">
        <f t="shared" si="9"/>
        <v>0</v>
      </c>
      <c r="W48" s="376">
        <f t="shared" si="10"/>
        <v>0</v>
      </c>
      <c r="X48" s="377">
        <f t="shared" si="11"/>
        <v>0</v>
      </c>
      <c r="Y48" s="378">
        <f t="shared" si="12"/>
        <v>0</v>
      </c>
      <c r="Z48" s="379">
        <f t="shared" si="13"/>
        <v>0</v>
      </c>
      <c r="AA48" s="380">
        <f t="shared" si="14"/>
        <v>0.12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</row>
    <row r="49" spans="1:40" ht="12.75" customHeight="1" thickBot="1">
      <c r="A49" s="398" t="s">
        <v>458</v>
      </c>
      <c r="B49" s="1117"/>
      <c r="C49" s="2256">
        <f t="shared" si="21"/>
        <v>0</v>
      </c>
      <c r="D49" s="2532"/>
      <c r="E49" s="2533"/>
      <c r="F49" s="2533"/>
      <c r="G49" s="2533"/>
      <c r="H49" s="2534"/>
      <c r="I49" s="2534"/>
      <c r="J49" s="2534"/>
      <c r="K49" s="3388" t="s">
        <v>1621</v>
      </c>
      <c r="L49" s="2182">
        <f t="shared" si="36"/>
        <v>0.55962080184738661</v>
      </c>
      <c r="M49" s="2536"/>
      <c r="N49" s="2537">
        <f>SUM(N42:N48)</f>
        <v>4.9204135180719984E-2</v>
      </c>
      <c r="O49" s="2538"/>
      <c r="P49" s="2538"/>
      <c r="Q49" s="2539"/>
      <c r="R49" s="2540">
        <f>SUM(R42:R48)</f>
        <v>1760</v>
      </c>
      <c r="S49" s="229">
        <f t="shared" si="6"/>
        <v>0</v>
      </c>
      <c r="T49" s="230">
        <f t="shared" si="7"/>
        <v>0</v>
      </c>
      <c r="U49" s="374">
        <f t="shared" si="8"/>
        <v>0</v>
      </c>
      <c r="V49" s="375">
        <f t="shared" si="9"/>
        <v>0</v>
      </c>
      <c r="W49" s="376">
        <f t="shared" si="10"/>
        <v>0</v>
      </c>
      <c r="X49" s="377">
        <f t="shared" si="11"/>
        <v>0</v>
      </c>
      <c r="Y49" s="378">
        <f t="shared" si="12"/>
        <v>0</v>
      </c>
      <c r="Z49" s="379">
        <f t="shared" si="13"/>
        <v>0</v>
      </c>
      <c r="AA49" s="380">
        <f t="shared" si="14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</row>
    <row r="50" spans="1:40" ht="12.75" customHeight="1" thickBot="1">
      <c r="A50" s="398" t="s">
        <v>219</v>
      </c>
      <c r="B50" s="1117" t="s">
        <v>461</v>
      </c>
      <c r="C50" s="274">
        <f t="shared" si="21"/>
        <v>2.1908757716049393E-4</v>
      </c>
      <c r="D50" s="890">
        <v>2</v>
      </c>
      <c r="E50" s="300">
        <v>1</v>
      </c>
      <c r="F50" s="300">
        <v>3</v>
      </c>
      <c r="G50" s="300">
        <v>200</v>
      </c>
      <c r="H50" s="301"/>
      <c r="I50" s="301">
        <v>1.7361111111111112E-4</v>
      </c>
      <c r="J50" s="301">
        <v>1.3888888888888889E-3</v>
      </c>
      <c r="K50" s="1123" t="s">
        <v>1343</v>
      </c>
      <c r="L50" s="994">
        <v>0.80208333333333337</v>
      </c>
      <c r="M50" s="455">
        <v>1</v>
      </c>
      <c r="N50" s="301">
        <f t="shared" ref="N50:N57" si="38">P50*E50*F50+I50*E50*F50+J50*E50</f>
        <v>7.1678240740740765E-3</v>
      </c>
      <c r="O50" s="302">
        <f t="shared" ref="O50:O60" si="39">C50*(G50/25)</f>
        <v>1.7527006172839514E-3</v>
      </c>
      <c r="P50" s="302">
        <f t="shared" ref="P50:P53" si="40">O50*M50</f>
        <v>1.7527006172839514E-3</v>
      </c>
      <c r="Q50" s="550">
        <v>164</v>
      </c>
      <c r="R50" s="369">
        <f t="shared" ref="R50:R53" si="41">E50*F50*G50</f>
        <v>600</v>
      </c>
      <c r="S50" s="229">
        <f t="shared" si="6"/>
        <v>0.6</v>
      </c>
      <c r="T50" s="230">
        <f t="shared" si="7"/>
        <v>2.1032407407407416E-2</v>
      </c>
      <c r="U50" s="374">
        <f t="shared" si="8"/>
        <v>0</v>
      </c>
      <c r="V50" s="375">
        <f t="shared" si="9"/>
        <v>0.6</v>
      </c>
      <c r="W50" s="376">
        <f t="shared" si="10"/>
        <v>0</v>
      </c>
      <c r="X50" s="377">
        <f t="shared" si="11"/>
        <v>0</v>
      </c>
      <c r="Y50" s="378">
        <f t="shared" si="12"/>
        <v>0</v>
      </c>
      <c r="Z50" s="379">
        <f t="shared" si="13"/>
        <v>0</v>
      </c>
      <c r="AA50" s="380">
        <f t="shared" si="14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</row>
    <row r="51" spans="1:40" ht="12.75" customHeight="1" thickBot="1">
      <c r="A51" s="398"/>
      <c r="B51" s="1117" t="s">
        <v>461</v>
      </c>
      <c r="C51" s="274">
        <f t="shared" si="21"/>
        <v>2.1908757716049393E-4</v>
      </c>
      <c r="D51" s="890">
        <v>2</v>
      </c>
      <c r="E51" s="300">
        <v>1</v>
      </c>
      <c r="F51" s="300">
        <v>7</v>
      </c>
      <c r="G51" s="300">
        <v>50</v>
      </c>
      <c r="H51" s="301"/>
      <c r="I51" s="301">
        <v>2.8935185185185189E-4</v>
      </c>
      <c r="J51" s="301">
        <v>1.3888888888888889E-3</v>
      </c>
      <c r="K51" s="1123" t="s">
        <v>1530</v>
      </c>
      <c r="L51" s="994">
        <f t="shared" ref="L51:L58" si="42">L50+N50</f>
        <v>0.8092511574074075</v>
      </c>
      <c r="M51" s="455">
        <v>1</v>
      </c>
      <c r="N51" s="301">
        <f t="shared" si="38"/>
        <v>6.4815779320987676E-3</v>
      </c>
      <c r="O51" s="302">
        <f t="shared" si="39"/>
        <v>4.3817515432098786E-4</v>
      </c>
      <c r="P51" s="302">
        <f t="shared" si="40"/>
        <v>4.3817515432098786E-4</v>
      </c>
      <c r="Q51" s="550">
        <v>146</v>
      </c>
      <c r="R51" s="369">
        <f t="shared" si="41"/>
        <v>350</v>
      </c>
      <c r="S51" s="229">
        <f t="shared" si="6"/>
        <v>0.35</v>
      </c>
      <c r="T51" s="230">
        <f t="shared" si="7"/>
        <v>1.2268904320987661E-2</v>
      </c>
      <c r="U51" s="374">
        <f t="shared" si="8"/>
        <v>0</v>
      </c>
      <c r="V51" s="375">
        <f t="shared" si="9"/>
        <v>0.35</v>
      </c>
      <c r="W51" s="376">
        <f t="shared" si="10"/>
        <v>0</v>
      </c>
      <c r="X51" s="377">
        <f t="shared" si="11"/>
        <v>0</v>
      </c>
      <c r="Y51" s="378">
        <f t="shared" si="12"/>
        <v>0</v>
      </c>
      <c r="Z51" s="379">
        <f t="shared" si="13"/>
        <v>0</v>
      </c>
      <c r="AA51" s="380">
        <f t="shared" si="14"/>
        <v>0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  <c r="AN51" s="204"/>
    </row>
    <row r="52" spans="1:40" ht="12.75" customHeight="1" thickBot="1">
      <c r="A52" s="398"/>
      <c r="B52" s="1117" t="s">
        <v>461</v>
      </c>
      <c r="C52" s="274">
        <f t="shared" si="21"/>
        <v>1.7682291666666674E-4</v>
      </c>
      <c r="D52" s="1054">
        <v>7</v>
      </c>
      <c r="E52" s="1043">
        <v>1</v>
      </c>
      <c r="F52" s="1043">
        <v>6</v>
      </c>
      <c r="G52" s="1043">
        <v>18</v>
      </c>
      <c r="H52" s="1044"/>
      <c r="I52" s="1044">
        <v>1.0416666666666667E-3</v>
      </c>
      <c r="J52" s="1044">
        <v>0</v>
      </c>
      <c r="K52" s="1323" t="s">
        <v>1344</v>
      </c>
      <c r="L52" s="1007">
        <f t="shared" si="42"/>
        <v>0.8157327353395063</v>
      </c>
      <c r="M52" s="1063">
        <v>1</v>
      </c>
      <c r="N52" s="1044">
        <f t="shared" si="38"/>
        <v>7.013875000000001E-3</v>
      </c>
      <c r="O52" s="439">
        <f t="shared" si="39"/>
        <v>1.2731250000000004E-4</v>
      </c>
      <c r="P52" s="587">
        <f t="shared" si="40"/>
        <v>1.2731250000000004E-4</v>
      </c>
      <c r="Q52" s="446" t="s">
        <v>316</v>
      </c>
      <c r="R52" s="1045">
        <f t="shared" si="41"/>
        <v>108</v>
      </c>
      <c r="S52" s="229">
        <f t="shared" si="6"/>
        <v>0.108</v>
      </c>
      <c r="T52" s="230">
        <f t="shared" si="7"/>
        <v>3.0555000000000009E-3</v>
      </c>
      <c r="U52" s="374">
        <f t="shared" si="8"/>
        <v>0</v>
      </c>
      <c r="V52" s="375">
        <f t="shared" si="9"/>
        <v>0</v>
      </c>
      <c r="W52" s="376">
        <f t="shared" si="10"/>
        <v>0</v>
      </c>
      <c r="X52" s="377">
        <f t="shared" si="11"/>
        <v>0</v>
      </c>
      <c r="Y52" s="378">
        <f t="shared" si="12"/>
        <v>0</v>
      </c>
      <c r="Z52" s="379">
        <f t="shared" si="13"/>
        <v>0</v>
      </c>
      <c r="AA52" s="380">
        <f t="shared" si="14"/>
        <v>0.108</v>
      </c>
      <c r="AC52" s="231"/>
      <c r="AD52" s="231"/>
      <c r="AE52" s="231"/>
      <c r="AF52" s="231"/>
      <c r="AG52" s="231"/>
      <c r="AH52" s="231"/>
      <c r="AI52" s="213"/>
      <c r="AJ52" s="213"/>
      <c r="AK52" s="213"/>
      <c r="AL52" s="213"/>
      <c r="AM52" s="213"/>
      <c r="AN52" s="204"/>
    </row>
    <row r="53" spans="1:40" ht="12.75" customHeight="1" thickBot="1">
      <c r="A53" s="398"/>
      <c r="B53" s="1117" t="s">
        <v>461</v>
      </c>
      <c r="C53" s="274">
        <f t="shared" si="21"/>
        <v>1.7682291666666674E-4</v>
      </c>
      <c r="D53" s="1054">
        <v>7</v>
      </c>
      <c r="E53" s="1043">
        <v>1</v>
      </c>
      <c r="F53" s="1043">
        <v>4</v>
      </c>
      <c r="G53" s="1043">
        <v>80</v>
      </c>
      <c r="H53" s="1044"/>
      <c r="I53" s="1044">
        <v>1.0416666666666667E-3</v>
      </c>
      <c r="J53" s="1044">
        <v>0</v>
      </c>
      <c r="K53" s="1323" t="s">
        <v>1345</v>
      </c>
      <c r="L53" s="1007">
        <f t="shared" si="42"/>
        <v>0.82274661033950625</v>
      </c>
      <c r="M53" s="1063">
        <v>2</v>
      </c>
      <c r="N53" s="1044">
        <f t="shared" si="38"/>
        <v>8.6933333333333342E-3</v>
      </c>
      <c r="O53" s="439">
        <f t="shared" si="39"/>
        <v>5.6583333333333355E-4</v>
      </c>
      <c r="P53" s="587">
        <f t="shared" si="40"/>
        <v>1.1316666666666671E-3</v>
      </c>
      <c r="Q53" s="446" t="s">
        <v>316</v>
      </c>
      <c r="R53" s="1045">
        <f t="shared" si="41"/>
        <v>320</v>
      </c>
      <c r="S53" s="229">
        <f t="shared" si="6"/>
        <v>0.32</v>
      </c>
      <c r="T53" s="230">
        <f t="shared" si="7"/>
        <v>9.0533333333333368E-3</v>
      </c>
      <c r="U53" s="374">
        <f t="shared" si="8"/>
        <v>0</v>
      </c>
      <c r="V53" s="375">
        <f t="shared" si="9"/>
        <v>0</v>
      </c>
      <c r="W53" s="376">
        <f t="shared" si="10"/>
        <v>0</v>
      </c>
      <c r="X53" s="377">
        <f t="shared" si="11"/>
        <v>0</v>
      </c>
      <c r="Y53" s="378">
        <f t="shared" si="12"/>
        <v>0</v>
      </c>
      <c r="Z53" s="379">
        <f t="shared" si="13"/>
        <v>0</v>
      </c>
      <c r="AA53" s="380">
        <f t="shared" si="14"/>
        <v>0.32</v>
      </c>
      <c r="AC53" s="231"/>
      <c r="AD53" s="231"/>
      <c r="AE53" s="231"/>
      <c r="AF53" s="231"/>
      <c r="AG53" s="231"/>
      <c r="AH53" s="231"/>
      <c r="AI53" s="213"/>
      <c r="AJ53" s="213"/>
      <c r="AK53" s="213"/>
      <c r="AL53" s="213"/>
      <c r="AM53" s="213"/>
      <c r="AN53" s="204"/>
    </row>
    <row r="54" spans="1:40" ht="12.75" customHeight="1" thickBot="1">
      <c r="A54" s="398"/>
      <c r="B54" s="1117" t="s">
        <v>461</v>
      </c>
      <c r="C54" s="274">
        <f t="shared" si="21"/>
        <v>2.1222190799396687E-4</v>
      </c>
      <c r="D54" s="891">
        <v>3</v>
      </c>
      <c r="E54" s="280">
        <v>1</v>
      </c>
      <c r="F54" s="280">
        <v>3</v>
      </c>
      <c r="G54" s="280">
        <v>200</v>
      </c>
      <c r="H54" s="281"/>
      <c r="I54" s="281">
        <v>3.4722222222222224E-4</v>
      </c>
      <c r="J54" s="281">
        <v>1.3888888888888889E-3</v>
      </c>
      <c r="K54" s="1328" t="s">
        <v>300</v>
      </c>
      <c r="L54" s="995">
        <f t="shared" si="42"/>
        <v>0.83143994367283958</v>
      </c>
      <c r="M54" s="453">
        <v>1.1000000000000001</v>
      </c>
      <c r="N54" s="281">
        <f t="shared" si="38"/>
        <v>8.0332139265962815E-3</v>
      </c>
      <c r="O54" s="298">
        <f t="shared" si="39"/>
        <v>1.6977752639517349E-3</v>
      </c>
      <c r="P54" s="298">
        <f>O54*M54</f>
        <v>1.8675527903469085E-3</v>
      </c>
      <c r="Q54" s="333">
        <v>165</v>
      </c>
      <c r="R54" s="280">
        <f>E54*F54*G54</f>
        <v>600</v>
      </c>
      <c r="S54" s="229">
        <f t="shared" si="6"/>
        <v>0.6</v>
      </c>
      <c r="T54" s="230">
        <f t="shared" si="7"/>
        <v>2.0373303167420819E-2</v>
      </c>
      <c r="U54" s="374">
        <f t="shared" si="8"/>
        <v>0</v>
      </c>
      <c r="V54" s="375">
        <f t="shared" si="9"/>
        <v>0</v>
      </c>
      <c r="W54" s="376">
        <f t="shared" si="10"/>
        <v>0.6</v>
      </c>
      <c r="X54" s="377">
        <f t="shared" si="11"/>
        <v>0</v>
      </c>
      <c r="Y54" s="378">
        <f t="shared" si="12"/>
        <v>0</v>
      </c>
      <c r="Z54" s="379">
        <f t="shared" si="13"/>
        <v>0</v>
      </c>
      <c r="AA54" s="380">
        <f t="shared" si="14"/>
        <v>0</v>
      </c>
      <c r="AC54" s="231"/>
      <c r="AD54" s="231"/>
      <c r="AE54" s="231"/>
      <c r="AF54" s="231"/>
      <c r="AG54" s="231"/>
      <c r="AH54" s="231"/>
      <c r="AI54" s="213"/>
      <c r="AJ54" s="213"/>
      <c r="AK54" s="213"/>
      <c r="AL54" s="213"/>
      <c r="AM54" s="213"/>
      <c r="AN54" s="204"/>
    </row>
    <row r="55" spans="1:40" ht="12.75" customHeight="1" thickBot="1">
      <c r="A55" s="398"/>
      <c r="B55" s="1117" t="s">
        <v>461</v>
      </c>
      <c r="C55" s="274">
        <f>IF(D55=1,U$5,IF(D55=2,V$5,IF(D55=3,W$5,IF(D55=4,X$5,IF(D55=5,Y$5,IF(D55=6,Z$5,IF(D55=7,AA$5,0)))))))</f>
        <v>1.8933937422552669E-4</v>
      </c>
      <c r="D55" s="2505">
        <v>5</v>
      </c>
      <c r="E55" s="2506">
        <v>2</v>
      </c>
      <c r="F55" s="2506">
        <v>3</v>
      </c>
      <c r="G55" s="2506">
        <v>35</v>
      </c>
      <c r="H55" s="2264"/>
      <c r="I55" s="2264">
        <v>1.3888888888888889E-3</v>
      </c>
      <c r="J55" s="2264">
        <v>2.0833333333333333E-3</v>
      </c>
      <c r="K55" s="2507" t="s">
        <v>1351</v>
      </c>
      <c r="L55" s="2508">
        <f t="shared" si="42"/>
        <v>0.83947315759943586</v>
      </c>
      <c r="M55" s="2509">
        <v>1</v>
      </c>
      <c r="N55" s="2264">
        <f t="shared" si="38"/>
        <v>1.4090450743494423E-2</v>
      </c>
      <c r="O55" s="2265">
        <f>C55*(G55/25)</f>
        <v>2.6507512391573735E-4</v>
      </c>
      <c r="P55" s="2185">
        <f t="shared" ref="P55" si="43">O55*M55</f>
        <v>2.6507512391573735E-4</v>
      </c>
      <c r="Q55" s="2510" t="s">
        <v>278</v>
      </c>
      <c r="R55" s="2511">
        <f t="shared" ref="R55" si="44">E55*F55*G55</f>
        <v>210</v>
      </c>
      <c r="S55" s="229">
        <f t="shared" si="6"/>
        <v>0.21</v>
      </c>
      <c r="T55" s="230">
        <f t="shared" si="7"/>
        <v>6.3618029739776968E-3</v>
      </c>
      <c r="U55" s="374">
        <f t="shared" si="8"/>
        <v>0</v>
      </c>
      <c r="V55" s="375">
        <f t="shared" si="9"/>
        <v>0</v>
      </c>
      <c r="W55" s="376">
        <f t="shared" si="10"/>
        <v>0</v>
      </c>
      <c r="X55" s="377">
        <f t="shared" si="11"/>
        <v>0</v>
      </c>
      <c r="Y55" s="378">
        <f t="shared" si="12"/>
        <v>0.21</v>
      </c>
      <c r="Z55" s="379">
        <f t="shared" si="13"/>
        <v>0</v>
      </c>
      <c r="AA55" s="380">
        <f t="shared" si="14"/>
        <v>0</v>
      </c>
      <c r="AC55" s="231"/>
      <c r="AD55" s="231"/>
      <c r="AE55" s="231"/>
      <c r="AF55" s="231"/>
      <c r="AG55" s="231"/>
      <c r="AH55" s="231"/>
      <c r="AI55" s="213"/>
      <c r="AJ55" s="213"/>
      <c r="AK55" s="213"/>
      <c r="AL55" s="213"/>
      <c r="AM55" s="213"/>
      <c r="AN55" s="204"/>
    </row>
    <row r="56" spans="1:40" ht="12.75" customHeight="1" thickBot="1">
      <c r="A56" s="398"/>
      <c r="B56" s="1117" t="s">
        <v>461</v>
      </c>
      <c r="C56" s="274">
        <f>IF(D56=1,U$5,IF(D56=2,V$5,IF(D56=3,W$5,IF(D56=4,X$5,IF(D56=5,Y$5,IF(D56=6,Z$5,IF(D56=7,AA$5,0)))))))</f>
        <v>2.2880964381720439E-4</v>
      </c>
      <c r="D56" s="890">
        <v>1</v>
      </c>
      <c r="E56" s="300">
        <v>1</v>
      </c>
      <c r="F56" s="300">
        <v>1</v>
      </c>
      <c r="G56" s="300">
        <v>500</v>
      </c>
      <c r="H56" s="301"/>
      <c r="I56" s="301">
        <v>5.2083333333333333E-4</v>
      </c>
      <c r="J56" s="301">
        <v>1.3888888888888889E-3</v>
      </c>
      <c r="K56" s="1123" t="s">
        <v>424</v>
      </c>
      <c r="L56" s="994">
        <f t="shared" si="42"/>
        <v>0.85356360834293032</v>
      </c>
      <c r="M56" s="455">
        <v>1</v>
      </c>
      <c r="N56" s="301">
        <f t="shared" si="38"/>
        <v>6.4859150985663106E-3</v>
      </c>
      <c r="O56" s="302">
        <f t="shared" si="39"/>
        <v>4.5761928763440882E-3</v>
      </c>
      <c r="P56" s="302">
        <f>O56*M56</f>
        <v>4.5761928763440882E-3</v>
      </c>
      <c r="Q56" s="550">
        <v>196</v>
      </c>
      <c r="R56" s="369">
        <f>E56*F56*G56</f>
        <v>500</v>
      </c>
      <c r="S56" s="229">
        <f t="shared" si="6"/>
        <v>0.5</v>
      </c>
      <c r="T56" s="230">
        <f t="shared" si="7"/>
        <v>1.8304771505376353E-2</v>
      </c>
      <c r="U56" s="374">
        <f t="shared" si="8"/>
        <v>0.5</v>
      </c>
      <c r="V56" s="375">
        <f t="shared" si="9"/>
        <v>0</v>
      </c>
      <c r="W56" s="376">
        <f t="shared" si="10"/>
        <v>0</v>
      </c>
      <c r="X56" s="377">
        <f t="shared" si="11"/>
        <v>0</v>
      </c>
      <c r="Y56" s="378">
        <f t="shared" si="12"/>
        <v>0</v>
      </c>
      <c r="Z56" s="379">
        <f t="shared" si="13"/>
        <v>0</v>
      </c>
      <c r="AA56" s="380">
        <f t="shared" si="14"/>
        <v>0</v>
      </c>
      <c r="AC56" s="231"/>
      <c r="AD56" s="231"/>
      <c r="AE56" s="231"/>
      <c r="AF56" s="231"/>
      <c r="AG56" s="231"/>
      <c r="AH56" s="231"/>
      <c r="AI56" s="213"/>
      <c r="AJ56" s="213"/>
      <c r="AK56" s="213"/>
      <c r="AL56" s="213"/>
      <c r="AM56" s="213"/>
      <c r="AN56" s="204"/>
    </row>
    <row r="57" spans="1:40" ht="12.75" customHeight="1">
      <c r="A57" s="398"/>
      <c r="B57" s="1117" t="s">
        <v>461</v>
      </c>
      <c r="C57" s="274">
        <f t="shared" ref="C57:C58" si="45">IF(D57=1,U$5,IF(D57=2,V$5,IF(D57=3,W$5,IF(D57=4,X$5,IF(D57=5,Y$5,IF(D57=6,Z$5,IF(D57=7,AA$5,0)))))))</f>
        <v>1.7682291666666674E-4</v>
      </c>
      <c r="D57" s="1054">
        <v>7</v>
      </c>
      <c r="E57" s="1043">
        <v>1</v>
      </c>
      <c r="F57" s="1043">
        <v>20</v>
      </c>
      <c r="G57" s="1043">
        <v>25</v>
      </c>
      <c r="H57" s="1044"/>
      <c r="I57" s="1044">
        <v>3.4722222222222224E-4</v>
      </c>
      <c r="J57" s="1044">
        <v>0</v>
      </c>
      <c r="K57" s="1323" t="s">
        <v>893</v>
      </c>
      <c r="L57" s="1007">
        <f t="shared" si="42"/>
        <v>0.86004952344149665</v>
      </c>
      <c r="M57" s="1063">
        <v>1</v>
      </c>
      <c r="N57" s="1044">
        <f t="shared" si="38"/>
        <v>1.048090277777778E-2</v>
      </c>
      <c r="O57" s="439">
        <f>C57*(G57/25)</f>
        <v>1.7682291666666674E-4</v>
      </c>
      <c r="P57" s="587">
        <f>O57*M57</f>
        <v>1.7682291666666674E-4</v>
      </c>
      <c r="Q57" s="446" t="s">
        <v>316</v>
      </c>
      <c r="R57" s="1045">
        <f>E57*F57*G57</f>
        <v>500</v>
      </c>
      <c r="S57" s="229">
        <f t="shared" si="6"/>
        <v>0.5</v>
      </c>
      <c r="T57" s="230">
        <f t="shared" si="7"/>
        <v>1.4145833333333338E-2</v>
      </c>
      <c r="U57" s="374">
        <f t="shared" si="8"/>
        <v>0</v>
      </c>
      <c r="V57" s="375">
        <f t="shared" si="9"/>
        <v>0</v>
      </c>
      <c r="W57" s="376">
        <f t="shared" si="10"/>
        <v>0</v>
      </c>
      <c r="X57" s="377">
        <f t="shared" si="11"/>
        <v>0</v>
      </c>
      <c r="Y57" s="378">
        <f t="shared" si="12"/>
        <v>0</v>
      </c>
      <c r="Z57" s="379">
        <f t="shared" si="13"/>
        <v>0</v>
      </c>
      <c r="AA57" s="380">
        <f t="shared" si="14"/>
        <v>0.5</v>
      </c>
      <c r="AC57" s="231"/>
      <c r="AD57" s="231"/>
      <c r="AE57" s="231"/>
      <c r="AF57" s="231"/>
      <c r="AG57" s="231"/>
      <c r="AH57" s="231"/>
      <c r="AI57" s="213"/>
      <c r="AJ57" s="213"/>
      <c r="AK57" s="213"/>
      <c r="AL57" s="213"/>
      <c r="AM57" s="213"/>
      <c r="AN57" s="204"/>
    </row>
    <row r="58" spans="1:40" ht="12.75" customHeight="1" thickBot="1">
      <c r="A58" s="204"/>
      <c r="B58" s="204"/>
      <c r="C58" s="274">
        <f t="shared" si="45"/>
        <v>0</v>
      </c>
      <c r="D58" s="959"/>
      <c r="E58" s="642"/>
      <c r="F58" s="642"/>
      <c r="G58" s="642"/>
      <c r="H58" s="642"/>
      <c r="I58" s="642"/>
      <c r="J58" s="642"/>
      <c r="K58" s="642"/>
      <c r="L58" s="1003">
        <f t="shared" si="42"/>
        <v>0.87053042621927446</v>
      </c>
      <c r="M58" s="643"/>
      <c r="N58" s="644">
        <f>SUM(N54:N57)</f>
        <v>3.9090482546434796E-2</v>
      </c>
      <c r="O58" s="642"/>
      <c r="P58" s="642"/>
      <c r="Q58" s="642"/>
      <c r="R58" s="645">
        <f>SUM(R50:R57)</f>
        <v>3188</v>
      </c>
      <c r="S58" s="229">
        <f t="shared" si="6"/>
        <v>0</v>
      </c>
      <c r="T58" s="230">
        <f t="shared" si="7"/>
        <v>0</v>
      </c>
      <c r="U58" s="374">
        <f t="shared" si="8"/>
        <v>0</v>
      </c>
      <c r="V58" s="375">
        <f t="shared" si="9"/>
        <v>0</v>
      </c>
      <c r="W58" s="376">
        <f t="shared" si="10"/>
        <v>0</v>
      </c>
      <c r="X58" s="377">
        <f t="shared" si="11"/>
        <v>0</v>
      </c>
      <c r="Y58" s="378">
        <f t="shared" si="12"/>
        <v>0</v>
      </c>
      <c r="Z58" s="379">
        <f t="shared" si="13"/>
        <v>0</v>
      </c>
      <c r="AA58" s="380">
        <f t="shared" si="14"/>
        <v>0</v>
      </c>
      <c r="AC58" s="231"/>
      <c r="AD58" s="231"/>
      <c r="AE58" s="231"/>
      <c r="AF58" s="231"/>
      <c r="AG58" s="231"/>
      <c r="AH58" s="231"/>
      <c r="AI58" s="213"/>
      <c r="AJ58" s="213"/>
      <c r="AK58" s="213"/>
      <c r="AL58" s="213"/>
      <c r="AM58" s="213"/>
    </row>
    <row r="59" spans="1:40" ht="12.75" customHeight="1">
      <c r="A59" s="204"/>
      <c r="B59" s="1124" t="s">
        <v>461</v>
      </c>
      <c r="C59" s="274">
        <f>IF(D59=1,U$5,IF(D59=2,V$5,IF(D59=3,W$5,IF(D59=4,X$5,IF(D59=5,Y$5,IF(D59=6,Z$5,IF(D59=7,AA$5,0)))))))</f>
        <v>2.2880964381720439E-4</v>
      </c>
      <c r="D59" s="547">
        <v>1</v>
      </c>
      <c r="E59" s="275">
        <v>1</v>
      </c>
      <c r="F59" s="275">
        <v>1</v>
      </c>
      <c r="G59" s="275">
        <v>500</v>
      </c>
      <c r="H59" s="276"/>
      <c r="I59" s="276">
        <v>0</v>
      </c>
      <c r="J59" s="276">
        <v>1.1574074074074073E-4</v>
      </c>
      <c r="K59" s="312" t="s">
        <v>1220</v>
      </c>
      <c r="L59" s="1004">
        <v>0.79861111111111116</v>
      </c>
      <c r="M59" s="451">
        <v>1.2</v>
      </c>
      <c r="N59" s="276">
        <f>P59*E59*F59+I59*E59*F59+J59*E59</f>
        <v>5.6071721923536466E-3</v>
      </c>
      <c r="O59" s="296">
        <f t="shared" ref="O59" si="46">C59*(G59/25)</f>
        <v>4.5761928763440882E-3</v>
      </c>
      <c r="P59" s="296">
        <f>O59*M59</f>
        <v>5.4914314516129057E-3</v>
      </c>
      <c r="Q59" s="548">
        <v>129</v>
      </c>
      <c r="R59" s="275">
        <f>E59*F59*G59</f>
        <v>500</v>
      </c>
      <c r="S59" s="229">
        <f t="shared" si="6"/>
        <v>0.5</v>
      </c>
      <c r="T59" s="230">
        <f t="shared" si="7"/>
        <v>1.8304771505376353E-2</v>
      </c>
      <c r="U59" s="374">
        <f t="shared" si="8"/>
        <v>0.5</v>
      </c>
      <c r="V59" s="375">
        <f t="shared" si="9"/>
        <v>0</v>
      </c>
      <c r="W59" s="376">
        <f t="shared" si="10"/>
        <v>0</v>
      </c>
      <c r="X59" s="377">
        <f t="shared" si="11"/>
        <v>0</v>
      </c>
      <c r="Y59" s="378">
        <f t="shared" si="12"/>
        <v>0</v>
      </c>
      <c r="Z59" s="379">
        <f t="shared" si="13"/>
        <v>0</v>
      </c>
      <c r="AA59" s="380">
        <f t="shared" si="14"/>
        <v>0</v>
      </c>
      <c r="AC59" s="231"/>
      <c r="AD59" s="231"/>
      <c r="AE59" s="231"/>
      <c r="AF59" s="231"/>
      <c r="AG59" s="231"/>
      <c r="AH59" s="231"/>
      <c r="AI59" s="213"/>
      <c r="AJ59" s="213"/>
      <c r="AK59" s="213"/>
      <c r="AL59" s="213"/>
      <c r="AM59" s="213"/>
    </row>
    <row r="60" spans="1:40" ht="12.75" customHeight="1">
      <c r="A60" s="851" t="s">
        <v>217</v>
      </c>
      <c r="B60" s="1124" t="s">
        <v>461</v>
      </c>
      <c r="C60" s="274">
        <f>IF(D60=1,U$5,IF(D60=2,V$5,IF(D60=3,W$5,IF(D60=4,X$5,IF(D60=5,Y$5,IF(D60=6,Z$5,IF(D60=7,AA$5,0)))))))</f>
        <v>2.1908757716049393E-4</v>
      </c>
      <c r="D60" s="890">
        <v>2</v>
      </c>
      <c r="E60" s="300">
        <v>3</v>
      </c>
      <c r="F60" s="300">
        <v>8</v>
      </c>
      <c r="G60" s="300">
        <v>25</v>
      </c>
      <c r="H60" s="301"/>
      <c r="I60" s="301">
        <v>5.7870370370370366E-5</v>
      </c>
      <c r="J60" s="301">
        <v>2.3148148148148146E-4</v>
      </c>
      <c r="K60" s="1123" t="s">
        <v>1352</v>
      </c>
      <c r="L60" s="994">
        <f>L59+N59</f>
        <v>0.80421828330346479</v>
      </c>
      <c r="M60" s="455">
        <v>1.25</v>
      </c>
      <c r="N60" s="301">
        <f>P60*E60*F60+I60*E60*F60+J60*E60</f>
        <v>8.6559606481481505E-3</v>
      </c>
      <c r="O60" s="302">
        <f t="shared" si="39"/>
        <v>2.1908757716049393E-4</v>
      </c>
      <c r="P60" s="302">
        <f>O60*M60</f>
        <v>2.7385947145061742E-4</v>
      </c>
      <c r="Q60" s="550">
        <v>147</v>
      </c>
      <c r="R60" s="369">
        <f>E60*F60*G60</f>
        <v>600</v>
      </c>
      <c r="S60" s="229">
        <f t="shared" si="6"/>
        <v>0.6</v>
      </c>
      <c r="T60" s="230">
        <f t="shared" si="7"/>
        <v>2.1032407407407416E-2</v>
      </c>
      <c r="U60" s="374">
        <f t="shared" si="8"/>
        <v>0</v>
      </c>
      <c r="V60" s="375">
        <f t="shared" si="9"/>
        <v>0.6</v>
      </c>
      <c r="W60" s="376">
        <f t="shared" si="10"/>
        <v>0</v>
      </c>
      <c r="X60" s="377">
        <f t="shared" si="11"/>
        <v>0</v>
      </c>
      <c r="Y60" s="378">
        <f t="shared" si="12"/>
        <v>0</v>
      </c>
      <c r="Z60" s="379">
        <f t="shared" si="13"/>
        <v>0</v>
      </c>
      <c r="AA60" s="380">
        <f t="shared" si="14"/>
        <v>0</v>
      </c>
      <c r="AC60" s="231"/>
      <c r="AD60" s="231"/>
      <c r="AE60" s="231"/>
      <c r="AF60" s="231"/>
      <c r="AG60" s="231"/>
      <c r="AH60" s="231"/>
      <c r="AI60" s="213"/>
      <c r="AJ60" s="213"/>
      <c r="AK60" s="213"/>
      <c r="AL60" s="213"/>
      <c r="AM60" s="213"/>
    </row>
    <row r="61" spans="1:40" ht="12.75" customHeight="1">
      <c r="A61" s="851" t="s">
        <v>459</v>
      </c>
      <c r="B61" s="1124" t="s">
        <v>461</v>
      </c>
      <c r="C61" s="274">
        <f t="shared" ref="C61:C71" si="47">IF(D61=1,U$5,IF(D61=2,V$5,IF(D61=3,W$5,IF(D61=4,X$5,IF(D61=5,Y$5,IF(D61=6,Z$5,IF(D61=7,AA$5,0)))))))</f>
        <v>1.8933937422552669E-4</v>
      </c>
      <c r="D61" s="2505">
        <v>5</v>
      </c>
      <c r="E61" s="2506">
        <v>1</v>
      </c>
      <c r="F61" s="2506">
        <v>8</v>
      </c>
      <c r="G61" s="2506">
        <v>50</v>
      </c>
      <c r="H61" s="2264"/>
      <c r="I61" s="2264">
        <v>8.1018518518518516E-4</v>
      </c>
      <c r="J61" s="2264">
        <v>2.0833333333333333E-3</v>
      </c>
      <c r="K61" s="2507" t="s">
        <v>1353</v>
      </c>
      <c r="L61" s="2508">
        <f>L60+N60</f>
        <v>0.8128742439516129</v>
      </c>
      <c r="M61" s="2509">
        <v>1</v>
      </c>
      <c r="N61" s="2264">
        <f>P61*E61*F61+I61*E61*F61+J61*E61</f>
        <v>1.1594244802423241E-2</v>
      </c>
      <c r="O61" s="2265">
        <f>C61*(G61/25)</f>
        <v>3.7867874845105338E-4</v>
      </c>
      <c r="P61" s="2185">
        <f t="shared" ref="P61:P64" si="48">O61*M61</f>
        <v>3.7867874845105338E-4</v>
      </c>
      <c r="Q61" s="2510" t="s">
        <v>278</v>
      </c>
      <c r="R61" s="2511">
        <f t="shared" ref="R61:R64" si="49">E61*F61*G61</f>
        <v>400</v>
      </c>
      <c r="S61" s="229">
        <f t="shared" si="6"/>
        <v>0.4</v>
      </c>
      <c r="T61" s="230">
        <f t="shared" si="7"/>
        <v>1.2117719950433708E-2</v>
      </c>
      <c r="U61" s="374">
        <f t="shared" si="8"/>
        <v>0</v>
      </c>
      <c r="V61" s="375">
        <f t="shared" si="9"/>
        <v>0</v>
      </c>
      <c r="W61" s="376">
        <f t="shared" si="10"/>
        <v>0</v>
      </c>
      <c r="X61" s="377">
        <f t="shared" si="11"/>
        <v>0</v>
      </c>
      <c r="Y61" s="378">
        <f t="shared" si="12"/>
        <v>0.4</v>
      </c>
      <c r="Z61" s="379">
        <f t="shared" si="13"/>
        <v>0</v>
      </c>
      <c r="AA61" s="380">
        <f t="shared" si="14"/>
        <v>0</v>
      </c>
      <c r="AC61" s="231"/>
      <c r="AD61" s="231"/>
      <c r="AE61" s="231"/>
      <c r="AF61" s="231"/>
      <c r="AG61" s="231"/>
      <c r="AH61" s="231"/>
      <c r="AI61" s="213"/>
      <c r="AJ61" s="213"/>
      <c r="AK61" s="213"/>
      <c r="AL61" s="213"/>
      <c r="AM61" s="213"/>
    </row>
    <row r="62" spans="1:40" ht="12.75" customHeight="1">
      <c r="A62" s="851" t="s">
        <v>458</v>
      </c>
      <c r="B62" s="1124" t="s">
        <v>461</v>
      </c>
      <c r="C62" s="274">
        <f t="shared" si="47"/>
        <v>1.8933937422552669E-4</v>
      </c>
      <c r="D62" s="2505">
        <v>5</v>
      </c>
      <c r="E62" s="2506">
        <v>1</v>
      </c>
      <c r="F62" s="2506">
        <v>3</v>
      </c>
      <c r="G62" s="2506">
        <v>30</v>
      </c>
      <c r="H62" s="2264"/>
      <c r="I62" s="2264">
        <v>8.1018518518518516E-4</v>
      </c>
      <c r="J62" s="2264">
        <v>2.0833333333333333E-3</v>
      </c>
      <c r="K62" s="2507" t="s">
        <v>1355</v>
      </c>
      <c r="L62" s="2508">
        <f t="shared" ref="L62:L63" si="50">L61+N61</f>
        <v>0.82446848875403611</v>
      </c>
      <c r="M62" s="2509">
        <v>2</v>
      </c>
      <c r="N62" s="2264">
        <f t="shared" ref="N62:N63" si="51">P62*E62*F62+I62*E62*F62+J62*E62</f>
        <v>5.8771323833126804E-3</v>
      </c>
      <c r="O62" s="2265">
        <f t="shared" ref="O62:O65" si="52">C62*(G62/25)</f>
        <v>2.2720724907063201E-4</v>
      </c>
      <c r="P62" s="2185">
        <f t="shared" si="48"/>
        <v>4.5441449814126401E-4</v>
      </c>
      <c r="Q62" s="2510" t="s">
        <v>278</v>
      </c>
      <c r="R62" s="2511">
        <f t="shared" si="49"/>
        <v>90</v>
      </c>
      <c r="S62" s="229">
        <f t="shared" si="6"/>
        <v>0.09</v>
      </c>
      <c r="T62" s="230">
        <f t="shared" si="7"/>
        <v>2.7264869888475839E-3</v>
      </c>
      <c r="U62" s="374">
        <f t="shared" si="8"/>
        <v>0</v>
      </c>
      <c r="V62" s="375">
        <f t="shared" si="9"/>
        <v>0</v>
      </c>
      <c r="W62" s="376">
        <f t="shared" si="10"/>
        <v>0</v>
      </c>
      <c r="X62" s="377">
        <f t="shared" si="11"/>
        <v>0</v>
      </c>
      <c r="Y62" s="378">
        <f t="shared" si="12"/>
        <v>0.09</v>
      </c>
      <c r="Z62" s="379">
        <f t="shared" si="13"/>
        <v>0</v>
      </c>
      <c r="AA62" s="380">
        <f t="shared" si="14"/>
        <v>0</v>
      </c>
      <c r="AC62" s="231"/>
      <c r="AD62" s="231"/>
      <c r="AE62" s="231"/>
      <c r="AF62" s="231"/>
      <c r="AG62" s="231"/>
      <c r="AH62" s="231"/>
      <c r="AI62" s="213"/>
      <c r="AJ62" s="213"/>
      <c r="AK62" s="213"/>
      <c r="AL62" s="213"/>
      <c r="AM62" s="213"/>
    </row>
    <row r="63" spans="1:40" ht="12.75" customHeight="1">
      <c r="A63" s="851" t="s">
        <v>218</v>
      </c>
      <c r="B63" s="1124" t="s">
        <v>461</v>
      </c>
      <c r="C63" s="274">
        <f t="shared" si="47"/>
        <v>1.8933937422552669E-4</v>
      </c>
      <c r="D63" s="2505">
        <v>5</v>
      </c>
      <c r="E63" s="2506">
        <v>1</v>
      </c>
      <c r="F63" s="2506">
        <v>3</v>
      </c>
      <c r="G63" s="2506">
        <v>30</v>
      </c>
      <c r="H63" s="2264"/>
      <c r="I63" s="2264">
        <v>8.1018518518518516E-4</v>
      </c>
      <c r="J63" s="2264">
        <v>2.0833333333333333E-3</v>
      </c>
      <c r="K63" s="2507" t="s">
        <v>1354</v>
      </c>
      <c r="L63" s="2508">
        <f t="shared" si="50"/>
        <v>0.83034562113734878</v>
      </c>
      <c r="M63" s="2509">
        <v>3</v>
      </c>
      <c r="N63" s="2264">
        <f t="shared" si="51"/>
        <v>6.5587541305245772E-3</v>
      </c>
      <c r="O63" s="2265">
        <f t="shared" si="52"/>
        <v>2.2720724907063201E-4</v>
      </c>
      <c r="P63" s="2185">
        <f t="shared" si="48"/>
        <v>6.8162174721189597E-4</v>
      </c>
      <c r="Q63" s="2510" t="s">
        <v>278</v>
      </c>
      <c r="R63" s="2511">
        <f t="shared" si="49"/>
        <v>90</v>
      </c>
      <c r="S63" s="229">
        <f t="shared" si="6"/>
        <v>0.09</v>
      </c>
      <c r="T63" s="230">
        <f t="shared" si="7"/>
        <v>2.7264869888475839E-3</v>
      </c>
      <c r="U63" s="374">
        <f t="shared" si="8"/>
        <v>0</v>
      </c>
      <c r="V63" s="375">
        <f t="shared" si="9"/>
        <v>0</v>
      </c>
      <c r="W63" s="376">
        <f t="shared" si="10"/>
        <v>0</v>
      </c>
      <c r="X63" s="377">
        <f t="shared" si="11"/>
        <v>0</v>
      </c>
      <c r="Y63" s="378">
        <f t="shared" si="12"/>
        <v>0.09</v>
      </c>
      <c r="Z63" s="379">
        <f t="shared" si="13"/>
        <v>0</v>
      </c>
      <c r="AA63" s="380">
        <f t="shared" si="14"/>
        <v>0</v>
      </c>
      <c r="AC63" s="231"/>
      <c r="AD63" s="231"/>
      <c r="AE63" s="231"/>
      <c r="AF63" s="231"/>
      <c r="AG63" s="231"/>
      <c r="AH63" s="231"/>
      <c r="AI63" s="213"/>
      <c r="AJ63" s="213"/>
      <c r="AK63" s="213"/>
      <c r="AL63" s="213"/>
      <c r="AM63" s="213"/>
    </row>
    <row r="64" spans="1:40" ht="12.75" customHeight="1">
      <c r="A64" s="851" t="s">
        <v>458</v>
      </c>
      <c r="B64" s="1124" t="s">
        <v>461</v>
      </c>
      <c r="C64" s="2256">
        <f t="shared" si="47"/>
        <v>1.8229166666666673E-4</v>
      </c>
      <c r="D64" s="2541">
        <v>6</v>
      </c>
      <c r="E64" s="2542">
        <v>2</v>
      </c>
      <c r="F64" s="2542">
        <v>12</v>
      </c>
      <c r="G64" s="2542">
        <v>50</v>
      </c>
      <c r="H64" s="2543" t="s">
        <v>1357</v>
      </c>
      <c r="I64" s="2544">
        <v>8.1018518518518516E-4</v>
      </c>
      <c r="J64" s="2544">
        <v>1.3888888888888889E-3</v>
      </c>
      <c r="K64" s="4932" t="s">
        <v>2052</v>
      </c>
      <c r="L64" s="2546">
        <f>L60+N60</f>
        <v>0.8128742439516129</v>
      </c>
      <c r="M64" s="2547">
        <v>1.1000000000000001</v>
      </c>
      <c r="N64" s="2544">
        <f>P64*E64*F64+I64*E64*F64+J64*E64</f>
        <v>3.1847222222222228E-2</v>
      </c>
      <c r="O64" s="2548">
        <f t="shared" si="52"/>
        <v>3.6458333333333346E-4</v>
      </c>
      <c r="P64" s="2549">
        <f t="shared" si="48"/>
        <v>4.0104166666666684E-4</v>
      </c>
      <c r="Q64" s="2550">
        <v>164</v>
      </c>
      <c r="R64" s="2551">
        <f t="shared" si="49"/>
        <v>1200</v>
      </c>
      <c r="S64" s="229">
        <f t="shared" si="6"/>
        <v>1.2</v>
      </c>
      <c r="T64" s="230">
        <f t="shared" si="7"/>
        <v>3.500000000000001E-2</v>
      </c>
      <c r="U64" s="374">
        <f t="shared" si="8"/>
        <v>0</v>
      </c>
      <c r="V64" s="375">
        <f t="shared" si="9"/>
        <v>0</v>
      </c>
      <c r="W64" s="376">
        <f t="shared" si="10"/>
        <v>0</v>
      </c>
      <c r="X64" s="377">
        <f t="shared" si="11"/>
        <v>0</v>
      </c>
      <c r="Y64" s="378">
        <f t="shared" si="12"/>
        <v>0</v>
      </c>
      <c r="Z64" s="379">
        <f t="shared" si="13"/>
        <v>1.2</v>
      </c>
      <c r="AA64" s="380">
        <f t="shared" si="14"/>
        <v>0</v>
      </c>
      <c r="AC64" s="231"/>
      <c r="AD64" s="231"/>
      <c r="AE64" s="231"/>
      <c r="AF64" s="231"/>
      <c r="AG64" s="231"/>
      <c r="AH64" s="231"/>
      <c r="AI64" s="213"/>
      <c r="AJ64" s="213"/>
      <c r="AK64" s="213"/>
      <c r="AL64" s="213"/>
      <c r="AM64" s="213"/>
    </row>
    <row r="65" spans="1:39" ht="12.75" customHeight="1">
      <c r="A65" s="851" t="s">
        <v>219</v>
      </c>
      <c r="B65" s="1124" t="s">
        <v>461</v>
      </c>
      <c r="C65" s="274">
        <f>IF(D65=1,U$5,IF(D65=2,V$5,IF(D65=3,W$5,IF(D65=4,X$5,IF(D65=5,Y$5,IF(D65=6,Z$5,IF(D65=7,AA$5,0)))))))</f>
        <v>2.2880964381720439E-4</v>
      </c>
      <c r="D65" s="890">
        <v>1</v>
      </c>
      <c r="E65" s="300">
        <v>1</v>
      </c>
      <c r="F65" s="300">
        <v>1</v>
      </c>
      <c r="G65" s="300">
        <v>200</v>
      </c>
      <c r="H65" s="301"/>
      <c r="I65" s="301">
        <v>5.2083333333333333E-4</v>
      </c>
      <c r="J65" s="301">
        <v>1.3888888888888889E-3</v>
      </c>
      <c r="K65" s="1123" t="s">
        <v>424</v>
      </c>
      <c r="L65" s="994">
        <f>L64+N64</f>
        <v>0.84472146617383514</v>
      </c>
      <c r="M65" s="455">
        <v>1</v>
      </c>
      <c r="N65" s="301">
        <f>P65*E65*F65+I65*E65*F65+J65*E65</f>
        <v>3.7401993727598573E-3</v>
      </c>
      <c r="O65" s="302">
        <f t="shared" si="52"/>
        <v>1.8304771505376352E-3</v>
      </c>
      <c r="P65" s="302">
        <f>O65*M65</f>
        <v>1.8304771505376352E-3</v>
      </c>
      <c r="Q65" s="550">
        <v>196</v>
      </c>
      <c r="R65" s="369">
        <f>E65*F65*G65</f>
        <v>200</v>
      </c>
      <c r="S65" s="229">
        <f t="shared" si="6"/>
        <v>0.2</v>
      </c>
      <c r="T65" s="230">
        <f t="shared" si="7"/>
        <v>7.3219086021505406E-3</v>
      </c>
      <c r="U65" s="374">
        <f t="shared" si="8"/>
        <v>0.2</v>
      </c>
      <c r="V65" s="375">
        <f t="shared" si="9"/>
        <v>0</v>
      </c>
      <c r="W65" s="376">
        <f t="shared" si="10"/>
        <v>0</v>
      </c>
      <c r="X65" s="377">
        <f t="shared" si="11"/>
        <v>0</v>
      </c>
      <c r="Y65" s="378">
        <f t="shared" si="12"/>
        <v>0</v>
      </c>
      <c r="Z65" s="379">
        <f t="shared" si="13"/>
        <v>0</v>
      </c>
      <c r="AA65" s="380">
        <f t="shared" si="14"/>
        <v>0</v>
      </c>
      <c r="AC65" s="231"/>
      <c r="AD65" s="231"/>
      <c r="AE65" s="231"/>
      <c r="AF65" s="231"/>
      <c r="AG65" s="231"/>
      <c r="AH65" s="231"/>
      <c r="AI65" s="213"/>
      <c r="AJ65" s="213"/>
      <c r="AK65" s="213"/>
      <c r="AL65" s="213"/>
      <c r="AM65" s="213"/>
    </row>
    <row r="66" spans="1:39" ht="12.75" customHeight="1">
      <c r="A66" s="851"/>
      <c r="B66" s="1124" t="s">
        <v>461</v>
      </c>
      <c r="C66" s="274">
        <f t="shared" ref="C66" si="53">IF(D66=1,U$5,IF(D66=2,V$5,IF(D66=3,W$5,IF(D66=4,X$5,IF(D66=5,Y$5,IF(D66=6,Z$5,IF(D66=7,AA$5,0)))))))</f>
        <v>1.7682291666666674E-4</v>
      </c>
      <c r="D66" s="1054">
        <v>7</v>
      </c>
      <c r="E66" s="1043">
        <v>1</v>
      </c>
      <c r="F66" s="1043">
        <v>8</v>
      </c>
      <c r="G66" s="1043">
        <v>25</v>
      </c>
      <c r="H66" s="1044"/>
      <c r="I66" s="1044">
        <v>3.4722222222222224E-4</v>
      </c>
      <c r="J66" s="1044">
        <v>0</v>
      </c>
      <c r="K66" s="1323" t="s">
        <v>1358</v>
      </c>
      <c r="L66" s="1007">
        <f>L65+N65</f>
        <v>0.84846166554659497</v>
      </c>
      <c r="M66" s="1063">
        <v>1</v>
      </c>
      <c r="N66" s="1044">
        <f>P66*E66*F66+I66*E66*F66+J66*E66</f>
        <v>4.192361111111112E-3</v>
      </c>
      <c r="O66" s="439">
        <f>C66*(G66/25)</f>
        <v>1.7682291666666674E-4</v>
      </c>
      <c r="P66" s="587">
        <f>O66*M66</f>
        <v>1.7682291666666674E-4</v>
      </c>
      <c r="Q66" s="446" t="s">
        <v>316</v>
      </c>
      <c r="R66" s="1045">
        <f>E66*F66*G66</f>
        <v>200</v>
      </c>
      <c r="S66" s="229">
        <f t="shared" si="6"/>
        <v>0.2</v>
      </c>
      <c r="T66" s="230">
        <f t="shared" si="7"/>
        <v>5.6583333333333355E-3</v>
      </c>
      <c r="U66" s="374">
        <f t="shared" si="8"/>
        <v>0</v>
      </c>
      <c r="V66" s="375">
        <f t="shared" si="9"/>
        <v>0</v>
      </c>
      <c r="W66" s="376">
        <f t="shared" si="10"/>
        <v>0</v>
      </c>
      <c r="X66" s="377">
        <f t="shared" si="11"/>
        <v>0</v>
      </c>
      <c r="Y66" s="378">
        <f t="shared" si="12"/>
        <v>0</v>
      </c>
      <c r="Z66" s="379">
        <f t="shared" si="13"/>
        <v>0</v>
      </c>
      <c r="AA66" s="380">
        <f t="shared" si="14"/>
        <v>0.2</v>
      </c>
      <c r="AC66" s="231"/>
      <c r="AD66" s="231"/>
      <c r="AE66" s="231"/>
      <c r="AF66" s="231"/>
      <c r="AG66" s="231"/>
      <c r="AH66" s="231"/>
      <c r="AI66" s="213"/>
      <c r="AJ66" s="213"/>
      <c r="AK66" s="213"/>
      <c r="AL66" s="213"/>
      <c r="AM66" s="213"/>
    </row>
    <row r="67" spans="1:39" ht="12.75" customHeight="1" thickBot="1">
      <c r="A67" s="851"/>
      <c r="B67" s="1124"/>
      <c r="C67" s="274">
        <f t="shared" si="47"/>
        <v>0</v>
      </c>
      <c r="D67" s="1357"/>
      <c r="E67" s="809"/>
      <c r="F67" s="809"/>
      <c r="G67" s="809"/>
      <c r="H67" s="2552"/>
      <c r="I67" s="2552"/>
      <c r="J67" s="2552"/>
      <c r="K67" s="2553"/>
      <c r="L67" s="1003">
        <f>L66+N66</f>
        <v>0.85265402665770607</v>
      </c>
      <c r="M67" s="2554"/>
      <c r="N67" s="1439">
        <f>SUM(N59:N66)</f>
        <v>7.8073046862855502E-2</v>
      </c>
      <c r="O67" s="2555"/>
      <c r="P67" s="204"/>
      <c r="Q67" s="1358"/>
      <c r="R67" s="1440">
        <f>SUM(R59:R66)</f>
        <v>3280</v>
      </c>
      <c r="S67" s="229">
        <f t="shared" si="6"/>
        <v>0</v>
      </c>
      <c r="T67" s="230">
        <f t="shared" si="7"/>
        <v>0</v>
      </c>
      <c r="U67" s="374">
        <f t="shared" si="8"/>
        <v>0</v>
      </c>
      <c r="V67" s="375">
        <f t="shared" si="9"/>
        <v>0</v>
      </c>
      <c r="W67" s="376">
        <f t="shared" si="10"/>
        <v>0</v>
      </c>
      <c r="X67" s="377">
        <f t="shared" si="11"/>
        <v>0</v>
      </c>
      <c r="Y67" s="378">
        <f t="shared" si="12"/>
        <v>0</v>
      </c>
      <c r="Z67" s="379">
        <f t="shared" si="13"/>
        <v>0</v>
      </c>
      <c r="AA67" s="380">
        <f t="shared" si="14"/>
        <v>0</v>
      </c>
      <c r="AC67" s="231"/>
      <c r="AD67" s="231"/>
      <c r="AE67" s="231"/>
      <c r="AF67" s="231"/>
      <c r="AG67" s="231"/>
      <c r="AH67" s="231"/>
      <c r="AI67" s="213"/>
      <c r="AJ67" s="213"/>
      <c r="AK67" s="213"/>
      <c r="AL67" s="213"/>
      <c r="AM67" s="213"/>
    </row>
    <row r="68" spans="1:39" ht="12.75" customHeight="1" thickBot="1">
      <c r="A68" s="398"/>
      <c r="B68" s="1117" t="s">
        <v>215</v>
      </c>
      <c r="C68" s="274">
        <f t="shared" si="47"/>
        <v>2.2880964381720439E-4</v>
      </c>
      <c r="D68" s="1263">
        <v>1</v>
      </c>
      <c r="E68" s="1295">
        <v>1</v>
      </c>
      <c r="F68" s="1239">
        <v>1</v>
      </c>
      <c r="G68" s="1239">
        <v>500</v>
      </c>
      <c r="H68" s="1162"/>
      <c r="I68" s="1162">
        <v>0</v>
      </c>
      <c r="J68" s="1162">
        <v>0</v>
      </c>
      <c r="K68" s="1240" t="s">
        <v>1623</v>
      </c>
      <c r="L68" s="1235">
        <v>0.2951388888888889</v>
      </c>
      <c r="M68" s="1241">
        <v>0.9</v>
      </c>
      <c r="N68" s="1162">
        <f t="shared" ref="N68:N71" si="54">P68*E68*F68+I68*E68*F68+J68*E68</f>
        <v>4.1185735887096795E-3</v>
      </c>
      <c r="O68" s="1196">
        <f>C68*(G68/25)</f>
        <v>4.5761928763440882E-3</v>
      </c>
      <c r="P68" s="1242">
        <f t="shared" ref="P68:P73" si="55">O68*M68</f>
        <v>4.1185735887096795E-3</v>
      </c>
      <c r="Q68" s="985">
        <v>129</v>
      </c>
      <c r="R68" s="1243">
        <f t="shared" ref="R68:R73" si="56">E68*F68*G68</f>
        <v>500</v>
      </c>
      <c r="S68" s="229">
        <f t="shared" si="6"/>
        <v>0.5</v>
      </c>
      <c r="T68" s="230">
        <f t="shared" si="7"/>
        <v>1.8304771505376353E-2</v>
      </c>
      <c r="U68" s="374">
        <f t="shared" si="8"/>
        <v>0.5</v>
      </c>
      <c r="V68" s="375">
        <f t="shared" si="9"/>
        <v>0</v>
      </c>
      <c r="W68" s="376">
        <f t="shared" si="10"/>
        <v>0</v>
      </c>
      <c r="X68" s="377">
        <f t="shared" si="11"/>
        <v>0</v>
      </c>
      <c r="Y68" s="378">
        <f t="shared" si="12"/>
        <v>0</v>
      </c>
      <c r="Z68" s="379">
        <f t="shared" si="13"/>
        <v>0</v>
      </c>
      <c r="AA68" s="380">
        <f t="shared" si="14"/>
        <v>0</v>
      </c>
      <c r="AC68" s="231"/>
      <c r="AD68" s="231"/>
      <c r="AE68" s="231"/>
      <c r="AF68" s="231"/>
      <c r="AG68" s="231"/>
      <c r="AH68" s="231"/>
      <c r="AI68" s="213"/>
      <c r="AJ68" s="213"/>
      <c r="AK68" s="213"/>
      <c r="AL68" s="213"/>
      <c r="AM68" s="213"/>
    </row>
    <row r="69" spans="1:39" ht="12.75" customHeight="1" thickBot="1">
      <c r="A69" s="398"/>
      <c r="B69" s="1117" t="s">
        <v>215</v>
      </c>
      <c r="C69" s="274">
        <f t="shared" si="47"/>
        <v>2.1908757716049393E-4</v>
      </c>
      <c r="D69" s="1028">
        <v>2</v>
      </c>
      <c r="E69" s="1296">
        <v>3</v>
      </c>
      <c r="F69" s="1296">
        <v>3</v>
      </c>
      <c r="G69" s="1173">
        <v>50</v>
      </c>
      <c r="H69" s="299"/>
      <c r="I69" s="299">
        <v>1.7361111111111112E-4</v>
      </c>
      <c r="J69" s="299">
        <v>6.9444444444444447E-4</v>
      </c>
      <c r="K69" s="1123"/>
      <c r="L69" s="1149">
        <f t="shared" ref="L69:L71" si="57">L68+N68</f>
        <v>0.2992574624775986</v>
      </c>
      <c r="M69" s="1174">
        <v>1</v>
      </c>
      <c r="N69" s="299">
        <f t="shared" si="54"/>
        <v>7.5894097222222231E-3</v>
      </c>
      <c r="O69" s="1175">
        <f>C69*2</f>
        <v>4.3817515432098786E-4</v>
      </c>
      <c r="P69" s="1175">
        <f t="shared" si="55"/>
        <v>4.3817515432098786E-4</v>
      </c>
      <c r="Q69" s="550">
        <v>153</v>
      </c>
      <c r="R69" s="1176">
        <f t="shared" si="56"/>
        <v>450</v>
      </c>
      <c r="S69" s="229">
        <f t="shared" ref="S69:S78" si="58">E69*F69*G69/1000</f>
        <v>0.45</v>
      </c>
      <c r="T69" s="230">
        <f t="shared" ref="T69:T78" si="59">E69*F69*O69*4</f>
        <v>1.5774305555555562E-2</v>
      </c>
      <c r="U69" s="374">
        <f t="shared" ref="U69:U78" si="60">IF(C69*4&gt;=$U$4,S69,0)</f>
        <v>0</v>
      </c>
      <c r="V69" s="375">
        <f t="shared" ref="V69:V78" si="61">IF(AND(C69*4&gt;=$V$4,C69*4&lt;$U$4),S69,0)</f>
        <v>0.45</v>
      </c>
      <c r="W69" s="376">
        <f t="shared" ref="W69:W78" si="62">IF(AND(C69*4&gt;=$W$4,C69*4&lt;$V$4),S69,0)</f>
        <v>0</v>
      </c>
      <c r="X69" s="377">
        <f t="shared" ref="X69:X78" si="63">IF(AND(C69*4&gt;=$X$4,C69*4&lt;$W$4),S69,0)</f>
        <v>0</v>
      </c>
      <c r="Y69" s="378">
        <f t="shared" ref="Y69:Y78" si="64">IF(AND(C69*4&gt;=$Y$4,C69*4&lt;$X$4),S69,0)</f>
        <v>0</v>
      </c>
      <c r="Z69" s="379">
        <f t="shared" ref="Z69:Z78" si="65">IF(AND(C69*4&gt;=$Z$4,C69*4&lt;$Y$4),S69,0)</f>
        <v>0</v>
      </c>
      <c r="AA69" s="380">
        <f t="shared" ref="AA69:AA78" si="66">IF(AND(C69*4&gt;=$AA$4,C69*4&lt;$Z$4),S69,0)</f>
        <v>0</v>
      </c>
      <c r="AC69" s="231"/>
      <c r="AD69" s="231"/>
      <c r="AE69" s="231"/>
      <c r="AF69" s="231"/>
      <c r="AG69" s="231"/>
      <c r="AH69" s="231"/>
      <c r="AI69" s="213"/>
      <c r="AJ69" s="213"/>
      <c r="AK69" s="213"/>
      <c r="AL69" s="213"/>
      <c r="AM69" s="213"/>
    </row>
    <row r="70" spans="1:39" ht="12.75" customHeight="1" thickBot="1">
      <c r="A70" s="398"/>
      <c r="B70" s="1117" t="s">
        <v>215</v>
      </c>
      <c r="C70" s="274">
        <f t="shared" si="47"/>
        <v>2.1222190799396687E-4</v>
      </c>
      <c r="D70" s="1236">
        <v>3</v>
      </c>
      <c r="E70" s="1161">
        <v>3</v>
      </c>
      <c r="F70" s="1161">
        <v>1</v>
      </c>
      <c r="G70" s="1161">
        <v>200</v>
      </c>
      <c r="H70" s="1161"/>
      <c r="I70" s="1163">
        <v>0</v>
      </c>
      <c r="J70" s="1163">
        <v>6.9444444444444447E-4</v>
      </c>
      <c r="K70" s="1163"/>
      <c r="L70" s="1148">
        <f t="shared" si="57"/>
        <v>0.30684687219982082</v>
      </c>
      <c r="M70" s="1164">
        <v>1.05</v>
      </c>
      <c r="N70" s="1164">
        <f t="shared" si="54"/>
        <v>7.4313254147812986E-3</v>
      </c>
      <c r="O70" s="1163">
        <f>C70*(G70/25)</f>
        <v>1.6977752639517349E-3</v>
      </c>
      <c r="P70" s="1165">
        <f t="shared" si="55"/>
        <v>1.7826640271493218E-3</v>
      </c>
      <c r="Q70" s="333">
        <v>164</v>
      </c>
      <c r="R70" s="1161">
        <f>E70*F70*G70</f>
        <v>600</v>
      </c>
      <c r="S70" s="229">
        <f t="shared" si="58"/>
        <v>0.6</v>
      </c>
      <c r="T70" s="230">
        <f t="shared" si="59"/>
        <v>2.0373303167420819E-2</v>
      </c>
      <c r="U70" s="374">
        <f t="shared" si="60"/>
        <v>0</v>
      </c>
      <c r="V70" s="375">
        <f t="shared" si="61"/>
        <v>0</v>
      </c>
      <c r="W70" s="376">
        <f t="shared" si="62"/>
        <v>0.6</v>
      </c>
      <c r="X70" s="377">
        <f t="shared" si="63"/>
        <v>0</v>
      </c>
      <c r="Y70" s="378">
        <f t="shared" si="64"/>
        <v>0</v>
      </c>
      <c r="Z70" s="379">
        <f t="shared" si="65"/>
        <v>0</v>
      </c>
      <c r="AA70" s="380">
        <f t="shared" si="66"/>
        <v>0</v>
      </c>
      <c r="AC70" s="231"/>
      <c r="AD70" s="231"/>
      <c r="AE70" s="231"/>
      <c r="AF70" s="231"/>
      <c r="AG70" s="231"/>
      <c r="AH70" s="231"/>
      <c r="AI70" s="213"/>
      <c r="AJ70" s="213"/>
      <c r="AK70" s="213"/>
      <c r="AL70" s="213"/>
      <c r="AM70" s="213"/>
    </row>
    <row r="71" spans="1:39" ht="12.75" customHeight="1" thickBot="1">
      <c r="A71" s="398" t="s">
        <v>218</v>
      </c>
      <c r="B71" s="1117" t="s">
        <v>215</v>
      </c>
      <c r="C71" s="274">
        <f t="shared" si="47"/>
        <v>1.8229166666666673E-4</v>
      </c>
      <c r="D71" s="2541">
        <v>6</v>
      </c>
      <c r="E71" s="2542">
        <v>1</v>
      </c>
      <c r="F71" s="2542">
        <v>3</v>
      </c>
      <c r="G71" s="2542">
        <v>80</v>
      </c>
      <c r="H71" s="2543"/>
      <c r="I71" s="2544">
        <v>2.3148148148148146E-4</v>
      </c>
      <c r="J71" s="2544">
        <v>1.3888888888888889E-3</v>
      </c>
      <c r="K71" s="2545"/>
      <c r="L71" s="2546">
        <f t="shared" si="57"/>
        <v>0.31427819761460213</v>
      </c>
      <c r="M71" s="2547">
        <v>1</v>
      </c>
      <c r="N71" s="2544">
        <f t="shared" si="54"/>
        <v>3.9033333333333342E-3</v>
      </c>
      <c r="O71" s="2548">
        <f>C71*(G71/25)*1.04</f>
        <v>6.0666666666666692E-4</v>
      </c>
      <c r="P71" s="2549">
        <f t="shared" si="55"/>
        <v>6.0666666666666692E-4</v>
      </c>
      <c r="Q71" s="2550">
        <v>177</v>
      </c>
      <c r="R71" s="2551">
        <f t="shared" si="56"/>
        <v>240</v>
      </c>
      <c r="S71" s="229">
        <f t="shared" si="58"/>
        <v>0.24</v>
      </c>
      <c r="T71" s="230">
        <f t="shared" si="59"/>
        <v>7.2800000000000035E-3</v>
      </c>
      <c r="U71" s="374">
        <f t="shared" si="60"/>
        <v>0</v>
      </c>
      <c r="V71" s="375">
        <f t="shared" si="61"/>
        <v>0</v>
      </c>
      <c r="W71" s="376">
        <f t="shared" si="62"/>
        <v>0</v>
      </c>
      <c r="X71" s="377">
        <f t="shared" si="63"/>
        <v>0</v>
      </c>
      <c r="Y71" s="378">
        <f t="shared" si="64"/>
        <v>0</v>
      </c>
      <c r="Z71" s="379">
        <f t="shared" si="65"/>
        <v>0.24</v>
      </c>
      <c r="AA71" s="380">
        <f t="shared" si="66"/>
        <v>0</v>
      </c>
      <c r="AC71" s="231"/>
      <c r="AD71" s="231"/>
      <c r="AE71" s="231"/>
      <c r="AF71" s="231"/>
      <c r="AG71" s="231"/>
      <c r="AH71" s="231"/>
      <c r="AI71" s="213"/>
      <c r="AJ71" s="213"/>
      <c r="AK71" s="213"/>
      <c r="AL71" s="213"/>
      <c r="AM71" s="213"/>
    </row>
    <row r="72" spans="1:39" ht="12.75" customHeight="1" thickBot="1">
      <c r="A72" s="398" t="s">
        <v>460</v>
      </c>
      <c r="B72" s="1117"/>
      <c r="C72" s="2531"/>
      <c r="D72" s="2505">
        <v>5</v>
      </c>
      <c r="E72" s="2506">
        <v>2</v>
      </c>
      <c r="F72" s="2506">
        <v>1</v>
      </c>
      <c r="G72" s="2506">
        <v>80</v>
      </c>
      <c r="H72" s="2264"/>
      <c r="I72" s="2264">
        <v>5.7870370370370366E-5</v>
      </c>
      <c r="J72" s="2264">
        <v>5.5555555555555558E-3</v>
      </c>
      <c r="K72" s="2507" t="s">
        <v>1363</v>
      </c>
      <c r="L72" s="2508">
        <f>L71+N71</f>
        <v>0.31818153094793544</v>
      </c>
      <c r="M72" s="2509">
        <v>4</v>
      </c>
      <c r="N72" s="2264">
        <f t="shared" ref="N72:N73" si="67">P72*E72*F72+I72*E72*F72+J72*E72</f>
        <v>1.1226851851851852E-2</v>
      </c>
      <c r="O72" s="2265">
        <f t="shared" ref="O72:O73" si="68">C72*(G72/25)</f>
        <v>0</v>
      </c>
      <c r="P72" s="2185">
        <f t="shared" si="55"/>
        <v>0</v>
      </c>
      <c r="Q72" s="2510" t="s">
        <v>278</v>
      </c>
      <c r="R72" s="2511">
        <f t="shared" si="56"/>
        <v>160</v>
      </c>
      <c r="S72" s="229">
        <f t="shared" si="58"/>
        <v>0.16</v>
      </c>
      <c r="T72" s="230">
        <f t="shared" si="59"/>
        <v>0</v>
      </c>
      <c r="U72" s="374">
        <f t="shared" si="60"/>
        <v>0</v>
      </c>
      <c r="V72" s="375">
        <f t="shared" si="61"/>
        <v>0</v>
      </c>
      <c r="W72" s="376">
        <f t="shared" si="62"/>
        <v>0</v>
      </c>
      <c r="X72" s="377">
        <f t="shared" si="63"/>
        <v>0</v>
      </c>
      <c r="Y72" s="378">
        <f t="shared" si="64"/>
        <v>0</v>
      </c>
      <c r="Z72" s="379">
        <f t="shared" si="65"/>
        <v>0</v>
      </c>
      <c r="AA72" s="380">
        <f t="shared" si="66"/>
        <v>0</v>
      </c>
      <c r="AC72" s="231"/>
      <c r="AD72" s="231"/>
      <c r="AE72" s="231"/>
      <c r="AF72" s="231"/>
      <c r="AG72" s="231"/>
      <c r="AH72" s="231"/>
      <c r="AI72" s="213"/>
      <c r="AJ72" s="213"/>
      <c r="AK72" s="213"/>
      <c r="AL72" s="213"/>
      <c r="AM72" s="213"/>
    </row>
    <row r="73" spans="1:39" ht="12.75" customHeight="1" thickBot="1">
      <c r="A73" s="398" t="s">
        <v>458</v>
      </c>
      <c r="B73" s="1117"/>
      <c r="C73" s="2531"/>
      <c r="D73" s="2505">
        <v>5</v>
      </c>
      <c r="E73" s="2506">
        <v>2</v>
      </c>
      <c r="F73" s="2506">
        <v>1</v>
      </c>
      <c r="G73" s="2506">
        <v>80</v>
      </c>
      <c r="H73" s="2264"/>
      <c r="I73" s="2264">
        <v>5.7870370370370366E-5</v>
      </c>
      <c r="J73" s="2264">
        <v>5.5555555555555558E-3</v>
      </c>
      <c r="K73" s="2507" t="s">
        <v>1364</v>
      </c>
      <c r="L73" s="2508">
        <f t="shared" ref="L73:L74" si="69">L72+N72</f>
        <v>0.32940838279978729</v>
      </c>
      <c r="M73" s="2509">
        <v>5</v>
      </c>
      <c r="N73" s="2264">
        <f t="shared" si="67"/>
        <v>1.1226851851851852E-2</v>
      </c>
      <c r="O73" s="2265">
        <f t="shared" si="68"/>
        <v>0</v>
      </c>
      <c r="P73" s="2185">
        <f t="shared" si="55"/>
        <v>0</v>
      </c>
      <c r="Q73" s="2510" t="s">
        <v>278</v>
      </c>
      <c r="R73" s="2511">
        <f t="shared" si="56"/>
        <v>160</v>
      </c>
      <c r="S73" s="229">
        <f t="shared" si="58"/>
        <v>0.16</v>
      </c>
      <c r="T73" s="230">
        <f t="shared" si="59"/>
        <v>0</v>
      </c>
      <c r="U73" s="374">
        <f t="shared" si="60"/>
        <v>0</v>
      </c>
      <c r="V73" s="375">
        <f t="shared" si="61"/>
        <v>0</v>
      </c>
      <c r="W73" s="376">
        <f t="shared" si="62"/>
        <v>0</v>
      </c>
      <c r="X73" s="377">
        <f t="shared" si="63"/>
        <v>0</v>
      </c>
      <c r="Y73" s="378">
        <f t="shared" si="64"/>
        <v>0</v>
      </c>
      <c r="Z73" s="379">
        <f t="shared" si="65"/>
        <v>0</v>
      </c>
      <c r="AA73" s="380">
        <f t="shared" si="66"/>
        <v>0</v>
      </c>
      <c r="AC73" s="231"/>
      <c r="AD73" s="231"/>
      <c r="AE73" s="231"/>
      <c r="AF73" s="231"/>
      <c r="AG73" s="231"/>
      <c r="AH73" s="231"/>
      <c r="AI73" s="213"/>
      <c r="AJ73" s="213"/>
      <c r="AK73" s="213"/>
      <c r="AL73" s="213"/>
      <c r="AM73" s="213"/>
    </row>
    <row r="74" spans="1:39" ht="12.75" customHeight="1" thickBot="1">
      <c r="A74" s="398" t="s">
        <v>219</v>
      </c>
      <c r="B74" s="1117"/>
      <c r="C74" s="2531"/>
      <c r="D74" s="1357"/>
      <c r="E74" s="809"/>
      <c r="F74" s="809"/>
      <c r="G74" s="809"/>
      <c r="H74" s="2552"/>
      <c r="I74" s="2552"/>
      <c r="J74" s="2552"/>
      <c r="K74" s="2553"/>
      <c r="L74" s="1003">
        <f t="shared" si="69"/>
        <v>0.34063523465163914</v>
      </c>
      <c r="M74" s="2554"/>
      <c r="N74" s="1439">
        <f>SUM(N68:N73)</f>
        <v>4.5496345762750245E-2</v>
      </c>
      <c r="O74" s="2555"/>
      <c r="P74" s="204"/>
      <c r="Q74" s="1358"/>
      <c r="R74" s="1440">
        <f>SUM(R68:R73)</f>
        <v>2110</v>
      </c>
      <c r="S74" s="229">
        <f t="shared" si="58"/>
        <v>0</v>
      </c>
      <c r="T74" s="230">
        <f t="shared" si="59"/>
        <v>0</v>
      </c>
      <c r="U74" s="374">
        <f t="shared" si="60"/>
        <v>0</v>
      </c>
      <c r="V74" s="375">
        <f t="shared" si="61"/>
        <v>0</v>
      </c>
      <c r="W74" s="376">
        <f t="shared" si="62"/>
        <v>0</v>
      </c>
      <c r="X74" s="377">
        <f t="shared" si="63"/>
        <v>0</v>
      </c>
      <c r="Y74" s="378">
        <f t="shared" si="64"/>
        <v>0</v>
      </c>
      <c r="Z74" s="379">
        <f t="shared" si="65"/>
        <v>0</v>
      </c>
      <c r="AA74" s="380">
        <f t="shared" si="66"/>
        <v>0</v>
      </c>
      <c r="AC74" s="231"/>
      <c r="AD74" s="231"/>
      <c r="AE74" s="231"/>
      <c r="AF74" s="231"/>
      <c r="AG74" s="231"/>
      <c r="AH74" s="231"/>
      <c r="AI74" s="213"/>
      <c r="AJ74" s="213"/>
      <c r="AK74" s="213"/>
      <c r="AL74" s="213"/>
      <c r="AM74" s="213"/>
    </row>
    <row r="75" spans="1:39" ht="12.75" customHeight="1" thickBot="1">
      <c r="A75" s="3134" t="s">
        <v>1624</v>
      </c>
      <c r="B75" s="3135" t="s">
        <v>215</v>
      </c>
      <c r="C75" s="2256">
        <f t="shared" ref="C75:C78" si="70">IF(D75=1,U$5,IF(D75=2,V$5,IF(D75=3,W$5,IF(D75=4,X$5,IF(D75=5,Y$5,IF(D75=6,Z$5,IF(D75=7,AA$5,0)))))))</f>
        <v>2.1222190799396687E-4</v>
      </c>
      <c r="D75" s="2309">
        <v>3</v>
      </c>
      <c r="E75" s="2257">
        <v>1</v>
      </c>
      <c r="F75" s="2257">
        <v>2</v>
      </c>
      <c r="G75" s="2257">
        <v>800</v>
      </c>
      <c r="H75" s="2325"/>
      <c r="I75" s="2258">
        <v>3.4722222222222224E-4</v>
      </c>
      <c r="J75" s="2258">
        <v>1.3888888888888889E-3</v>
      </c>
      <c r="K75" s="2259" t="s">
        <v>1615</v>
      </c>
      <c r="L75" s="2504">
        <f>L74+N74</f>
        <v>0.38613158041438939</v>
      </c>
      <c r="M75" s="2326">
        <v>1.25</v>
      </c>
      <c r="N75" s="2258">
        <f>P75*E75*F75+I75*E75*F75+J75*E75</f>
        <v>1.906108597285068E-2</v>
      </c>
      <c r="O75" s="2262">
        <f t="shared" ref="O75:O78" si="71">C75*(G75/25)</f>
        <v>6.7911010558069397E-3</v>
      </c>
      <c r="P75" s="2262">
        <f t="shared" ref="P75:P78" si="72">O75*M75</f>
        <v>8.4888763197586738E-3</v>
      </c>
      <c r="Q75" s="2274">
        <v>147</v>
      </c>
      <c r="R75" s="2257">
        <f t="shared" ref="R75:R78" si="73">E75*F75*G75</f>
        <v>1600</v>
      </c>
      <c r="S75" s="229">
        <f t="shared" si="58"/>
        <v>1.6</v>
      </c>
      <c r="T75" s="230">
        <f t="shared" si="59"/>
        <v>5.4328808446455518E-2</v>
      </c>
      <c r="U75" s="374">
        <f t="shared" si="60"/>
        <v>0</v>
      </c>
      <c r="V75" s="375">
        <f t="shared" si="61"/>
        <v>0</v>
      </c>
      <c r="W75" s="376">
        <f t="shared" si="62"/>
        <v>1.6</v>
      </c>
      <c r="X75" s="377">
        <f t="shared" si="63"/>
        <v>0</v>
      </c>
      <c r="Y75" s="378">
        <f t="shared" si="64"/>
        <v>0</v>
      </c>
      <c r="Z75" s="379">
        <f t="shared" si="65"/>
        <v>0</v>
      </c>
      <c r="AA75" s="380">
        <f t="shared" si="66"/>
        <v>0</v>
      </c>
      <c r="AC75" s="231"/>
      <c r="AD75" s="231"/>
      <c r="AE75" s="231"/>
      <c r="AF75" s="231"/>
      <c r="AG75" s="231"/>
      <c r="AH75" s="231"/>
      <c r="AI75" s="213"/>
      <c r="AJ75" s="213"/>
      <c r="AK75" s="213"/>
      <c r="AL75" s="213"/>
      <c r="AM75" s="213"/>
    </row>
    <row r="76" spans="1:39" ht="12.75" customHeight="1" thickBot="1">
      <c r="A76" s="3134" t="s">
        <v>1625</v>
      </c>
      <c r="B76" s="3135" t="s">
        <v>461</v>
      </c>
      <c r="C76" s="2256">
        <f t="shared" si="70"/>
        <v>1.7682291666666674E-4</v>
      </c>
      <c r="D76" s="2318">
        <v>7</v>
      </c>
      <c r="E76" s="2512">
        <v>1</v>
      </c>
      <c r="F76" s="2512">
        <v>1</v>
      </c>
      <c r="G76" s="2512">
        <v>100</v>
      </c>
      <c r="H76" s="2325" t="s">
        <v>2050</v>
      </c>
      <c r="I76" s="2270">
        <v>4.6296296296296293E-4</v>
      </c>
      <c r="J76" s="2270">
        <v>1.3888888888888889E-3</v>
      </c>
      <c r="K76" s="2514" t="s">
        <v>2051</v>
      </c>
      <c r="L76" s="1007">
        <f t="shared" ref="L76:L78" si="74">L75+N75</f>
        <v>0.40519266638724005</v>
      </c>
      <c r="M76" s="1063">
        <v>1</v>
      </c>
      <c r="N76" s="1044">
        <f t="shared" ref="N76:N78" si="75">P76*E76*F76+I76*E76*F76+J76*E76</f>
        <v>2.5591435185185188E-3</v>
      </c>
      <c r="O76" s="439">
        <f t="shared" si="71"/>
        <v>7.0729166666666694E-4</v>
      </c>
      <c r="P76" s="587">
        <f t="shared" si="72"/>
        <v>7.0729166666666694E-4</v>
      </c>
      <c r="Q76" s="446" t="s">
        <v>316</v>
      </c>
      <c r="R76" s="1045">
        <f t="shared" si="73"/>
        <v>100</v>
      </c>
      <c r="S76" s="229">
        <f t="shared" si="58"/>
        <v>0.1</v>
      </c>
      <c r="T76" s="230">
        <f t="shared" si="59"/>
        <v>2.8291666666666678E-3</v>
      </c>
      <c r="U76" s="374">
        <f t="shared" si="60"/>
        <v>0</v>
      </c>
      <c r="V76" s="375">
        <f t="shared" si="61"/>
        <v>0</v>
      </c>
      <c r="W76" s="376">
        <f t="shared" si="62"/>
        <v>0</v>
      </c>
      <c r="X76" s="377">
        <f t="shared" si="63"/>
        <v>0</v>
      </c>
      <c r="Y76" s="378">
        <f t="shared" si="64"/>
        <v>0</v>
      </c>
      <c r="Z76" s="379">
        <f t="shared" si="65"/>
        <v>0</v>
      </c>
      <c r="AA76" s="380">
        <f t="shared" si="66"/>
        <v>0.1</v>
      </c>
      <c r="AC76" s="231"/>
      <c r="AD76" s="231"/>
      <c r="AE76" s="231"/>
      <c r="AF76" s="231"/>
      <c r="AG76" s="231"/>
      <c r="AH76" s="231"/>
      <c r="AI76" s="213"/>
      <c r="AJ76" s="213"/>
      <c r="AK76" s="213"/>
      <c r="AL76" s="213"/>
      <c r="AM76" s="213"/>
    </row>
    <row r="77" spans="1:39" ht="12.75" customHeight="1" thickBot="1">
      <c r="A77" s="3134" t="s">
        <v>1626</v>
      </c>
      <c r="B77" s="3135" t="s">
        <v>215</v>
      </c>
      <c r="C77" s="2256">
        <f t="shared" si="70"/>
        <v>1.7682291666666674E-4</v>
      </c>
      <c r="D77" s="2318">
        <v>7</v>
      </c>
      <c r="E77" s="2512">
        <v>1</v>
      </c>
      <c r="F77" s="2512">
        <v>1</v>
      </c>
      <c r="G77" s="2512">
        <v>50</v>
      </c>
      <c r="H77" s="2325" t="s">
        <v>2050</v>
      </c>
      <c r="I77" s="2270">
        <v>8.1018518518518516E-4</v>
      </c>
      <c r="J77" s="2270">
        <v>1.3888888888888889E-3</v>
      </c>
      <c r="K77" s="2514" t="s">
        <v>2051</v>
      </c>
      <c r="L77" s="1007">
        <f t="shared" si="74"/>
        <v>0.40775180990575854</v>
      </c>
      <c r="M77" s="1063">
        <v>1</v>
      </c>
      <c r="N77" s="1044">
        <f t="shared" si="75"/>
        <v>2.5527199074074076E-3</v>
      </c>
      <c r="O77" s="439">
        <f t="shared" si="71"/>
        <v>3.5364583333333347E-4</v>
      </c>
      <c r="P77" s="587">
        <f t="shared" si="72"/>
        <v>3.5364583333333347E-4</v>
      </c>
      <c r="Q77" s="446" t="s">
        <v>316</v>
      </c>
      <c r="R77" s="1045">
        <f t="shared" si="73"/>
        <v>50</v>
      </c>
      <c r="S77" s="229">
        <f t="shared" si="58"/>
        <v>0.05</v>
      </c>
      <c r="T77" s="230">
        <f t="shared" si="59"/>
        <v>1.4145833333333339E-3</v>
      </c>
      <c r="U77" s="374">
        <f t="shared" si="60"/>
        <v>0</v>
      </c>
      <c r="V77" s="375">
        <f t="shared" si="61"/>
        <v>0</v>
      </c>
      <c r="W77" s="376">
        <f t="shared" si="62"/>
        <v>0</v>
      </c>
      <c r="X77" s="377">
        <f t="shared" si="63"/>
        <v>0</v>
      </c>
      <c r="Y77" s="378">
        <f t="shared" si="64"/>
        <v>0</v>
      </c>
      <c r="Z77" s="379">
        <f t="shared" si="65"/>
        <v>0</v>
      </c>
      <c r="AA77" s="380">
        <f t="shared" si="66"/>
        <v>0.05</v>
      </c>
      <c r="AC77" s="231"/>
      <c r="AD77" s="231"/>
      <c r="AE77" s="231"/>
      <c r="AF77" s="231"/>
      <c r="AG77" s="231"/>
      <c r="AH77" s="231"/>
      <c r="AI77" s="213"/>
      <c r="AJ77" s="213"/>
      <c r="AK77" s="213"/>
      <c r="AL77" s="213"/>
      <c r="AM77" s="213"/>
    </row>
    <row r="78" spans="1:39" ht="12.75" customHeight="1" thickBot="1">
      <c r="A78" s="3134" t="s">
        <v>1627</v>
      </c>
      <c r="B78" s="3135"/>
      <c r="C78" s="2256">
        <f t="shared" si="70"/>
        <v>1.7682291666666674E-4</v>
      </c>
      <c r="D78" s="2318">
        <v>7</v>
      </c>
      <c r="E78" s="2512">
        <v>1</v>
      </c>
      <c r="F78" s="2512">
        <v>1</v>
      </c>
      <c r="G78" s="2512">
        <v>200</v>
      </c>
      <c r="H78" s="2325" t="s">
        <v>2050</v>
      </c>
      <c r="I78" s="2270">
        <v>6.3657407407407402E-4</v>
      </c>
      <c r="J78" s="2270">
        <v>1.3888888888888889E-3</v>
      </c>
      <c r="K78" s="2514" t="s">
        <v>2051</v>
      </c>
      <c r="L78" s="1007">
        <f t="shared" si="74"/>
        <v>0.41030452981316595</v>
      </c>
      <c r="M78" s="1063">
        <v>1.1499999999999999</v>
      </c>
      <c r="N78" s="1044">
        <f t="shared" si="75"/>
        <v>3.6522337962962967E-3</v>
      </c>
      <c r="O78" s="439">
        <f t="shared" si="71"/>
        <v>1.4145833333333339E-3</v>
      </c>
      <c r="P78" s="587">
        <f t="shared" si="72"/>
        <v>1.6267708333333338E-3</v>
      </c>
      <c r="Q78" s="446" t="s">
        <v>316</v>
      </c>
      <c r="R78" s="1045">
        <f t="shared" si="73"/>
        <v>200</v>
      </c>
      <c r="S78" s="229">
        <f t="shared" si="58"/>
        <v>0.2</v>
      </c>
      <c r="T78" s="230">
        <f t="shared" si="59"/>
        <v>5.6583333333333355E-3</v>
      </c>
      <c r="U78" s="374">
        <f t="shared" si="60"/>
        <v>0</v>
      </c>
      <c r="V78" s="375">
        <f t="shared" si="61"/>
        <v>0</v>
      </c>
      <c r="W78" s="376">
        <f t="shared" si="62"/>
        <v>0</v>
      </c>
      <c r="X78" s="377">
        <f t="shared" si="63"/>
        <v>0</v>
      </c>
      <c r="Y78" s="378">
        <f t="shared" si="64"/>
        <v>0</v>
      </c>
      <c r="Z78" s="379">
        <f t="shared" si="65"/>
        <v>0</v>
      </c>
      <c r="AA78" s="380">
        <f t="shared" si="66"/>
        <v>0.2</v>
      </c>
      <c r="AC78" s="231"/>
      <c r="AD78" s="231"/>
      <c r="AE78" s="231"/>
      <c r="AF78" s="231"/>
      <c r="AG78" s="231"/>
      <c r="AH78" s="231"/>
      <c r="AI78" s="213"/>
      <c r="AJ78" s="213"/>
      <c r="AK78" s="213"/>
      <c r="AL78" s="213"/>
      <c r="AM78" s="213"/>
    </row>
    <row r="79" spans="1:39" ht="12.75" customHeight="1" thickTop="1" thickBot="1">
      <c r="A79" s="2183"/>
      <c r="B79" s="2184"/>
      <c r="C79" s="2256"/>
      <c r="D79" s="2335"/>
      <c r="E79" s="2336"/>
      <c r="F79" s="2336"/>
      <c r="G79" s="2336"/>
      <c r="H79" s="2337"/>
      <c r="I79" s="2337"/>
      <c r="J79" s="2337"/>
      <c r="K79" s="2338"/>
      <c r="L79" s="2182"/>
      <c r="M79" s="2502"/>
      <c r="N79" s="2528"/>
      <c r="O79" s="2359"/>
      <c r="P79" s="2359"/>
      <c r="Q79" s="2341"/>
      <c r="R79" s="2529">
        <f>SUM(R75:R78)</f>
        <v>1950</v>
      </c>
      <c r="S79" s="3153">
        <f t="shared" ref="S79" si="76">E79*F79*G79/1000</f>
        <v>0</v>
      </c>
      <c r="T79" s="3154">
        <f t="shared" ref="T79" si="77">E79*F79*O79*4</f>
        <v>0</v>
      </c>
      <c r="U79" s="3155">
        <f t="shared" ref="U79:AA79" si="78">SUM(U6:U78)</f>
        <v>3.9</v>
      </c>
      <c r="V79" s="3155">
        <f t="shared" si="78"/>
        <v>7.4999999999999991</v>
      </c>
      <c r="W79" s="3155">
        <f t="shared" si="78"/>
        <v>4.4800000000000004</v>
      </c>
      <c r="X79" s="3155">
        <f t="shared" si="78"/>
        <v>0.32</v>
      </c>
      <c r="Y79" s="3155">
        <f t="shared" si="78"/>
        <v>2.7299999999999995</v>
      </c>
      <c r="Z79" s="3155">
        <f t="shared" si="78"/>
        <v>2.04</v>
      </c>
      <c r="AA79" s="3155">
        <f t="shared" si="78"/>
        <v>2.6060000000000003</v>
      </c>
      <c r="AB79" s="4931">
        <f>SUM(U79:AA79)</f>
        <v>23.576000000000001</v>
      </c>
      <c r="AC79" s="231"/>
      <c r="AD79" s="231"/>
      <c r="AE79" s="231"/>
      <c r="AF79" s="231"/>
      <c r="AG79" s="231"/>
      <c r="AH79" s="231"/>
      <c r="AI79" s="213"/>
      <c r="AJ79" s="213"/>
      <c r="AK79" s="213"/>
      <c r="AL79" s="213"/>
      <c r="AM79" s="213"/>
    </row>
    <row r="80" spans="1:39" ht="14" customHeight="1" thickTop="1" thickBot="1">
      <c r="A80" s="851"/>
      <c r="B80" s="1124"/>
      <c r="C80" s="144"/>
      <c r="D80" s="4444"/>
      <c r="E80" s="4594">
        <f>U79*100000/$Q$80</f>
        <v>16.542246352222598</v>
      </c>
      <c r="F80" s="4594">
        <f t="shared" ref="F80:K80" si="79">V79*100000/$Q$80</f>
        <v>31.812012215812686</v>
      </c>
      <c r="G80" s="4594">
        <f t="shared" si="79"/>
        <v>19.002375296912117</v>
      </c>
      <c r="H80" s="4594">
        <f t="shared" si="79"/>
        <v>1.3573125212080082</v>
      </c>
      <c r="I80" s="4594">
        <f t="shared" si="79"/>
        <v>11.579572446555817</v>
      </c>
      <c r="J80" s="4594">
        <f t="shared" si="79"/>
        <v>8.6528673227010522</v>
      </c>
      <c r="K80" s="4595">
        <f t="shared" si="79"/>
        <v>11.053613844587717</v>
      </c>
      <c r="L80" s="4378" t="s">
        <v>1922</v>
      </c>
      <c r="M80" s="1278"/>
      <c r="N80" s="1278"/>
      <c r="O80" s="1278"/>
      <c r="P80" s="1278"/>
      <c r="Q80" s="7881">
        <f>AB79*1000</f>
        <v>23576</v>
      </c>
      <c r="R80" s="7882"/>
      <c r="S80" s="144"/>
      <c r="T80" s="144"/>
      <c r="U80" s="566" t="e">
        <f>IF(#REF!&gt;0,#REF!,#REF!)</f>
        <v>#REF!</v>
      </c>
      <c r="V80" s="566" t="e">
        <f>IF(#REF!&gt;0,#REF!,#REF!)</f>
        <v>#REF!</v>
      </c>
      <c r="W80" s="566" t="e">
        <f>IF(#REF!&gt;0,#REF!,#REF!)</f>
        <v>#REF!</v>
      </c>
      <c r="X80" s="566" t="e">
        <f>IF(#REF!&gt;0,#REF!,#REF!)</f>
        <v>#REF!</v>
      </c>
      <c r="Y80" s="566" t="e">
        <f>IF(#REF!&gt;0,#REF!,#REF!)</f>
        <v>#REF!</v>
      </c>
      <c r="Z80" s="566" t="e">
        <f>IF(#REF!&gt;0,#REF!,#REF!)</f>
        <v>#REF!</v>
      </c>
      <c r="AA80" s="566" t="e">
        <f>IF(#REF!&gt;0,#REF!,#REF!)</f>
        <v>#REF!</v>
      </c>
      <c r="AB80" s="144"/>
      <c r="AC80" s="213"/>
      <c r="AD80" s="213"/>
      <c r="AE80" s="222"/>
      <c r="AF80" s="222"/>
      <c r="AG80" s="222"/>
      <c r="AH80" s="222"/>
      <c r="AI80" s="222"/>
      <c r="AJ80" s="213"/>
      <c r="AK80" s="213"/>
      <c r="AL80" s="213"/>
      <c r="AM80" s="213"/>
    </row>
    <row r="81" spans="1:40" s="245" customFormat="1" ht="15" customHeight="1" thickBot="1">
      <c r="A81" s="851"/>
      <c r="B81" s="1124"/>
      <c r="C81" s="144"/>
      <c r="D81" s="4444"/>
      <c r="E81" s="4521">
        <f>E80*15/100</f>
        <v>2.4813369528333897</v>
      </c>
      <c r="F81" s="4522">
        <f t="shared" ref="F81:K81" si="80">F80*15/100</f>
        <v>4.7718018323719029</v>
      </c>
      <c r="G81" s="4523">
        <f t="shared" si="80"/>
        <v>2.8503562945368173</v>
      </c>
      <c r="H81" s="4524">
        <f t="shared" si="80"/>
        <v>0.20359687818120123</v>
      </c>
      <c r="I81" s="4525">
        <f t="shared" si="80"/>
        <v>1.7369358669833723</v>
      </c>
      <c r="J81" s="4526">
        <f t="shared" si="80"/>
        <v>1.2979300984051578</v>
      </c>
      <c r="K81" s="4527">
        <f t="shared" si="80"/>
        <v>1.6580420766881576</v>
      </c>
      <c r="L81" s="4378" t="s">
        <v>1252</v>
      </c>
      <c r="M81" s="144"/>
      <c r="N81" s="144"/>
      <c r="O81" s="144"/>
      <c r="P81" s="144"/>
      <c r="Q81" s="144"/>
      <c r="R81" s="144"/>
      <c r="S81" s="144"/>
      <c r="T81" s="144"/>
      <c r="U81" s="566" t="e">
        <f>IF(U80&gt;0,U80,#REF!)</f>
        <v>#REF!</v>
      </c>
      <c r="V81" s="566" t="e">
        <f>IF(V80&gt;0,V80,#REF!)</f>
        <v>#REF!</v>
      </c>
      <c r="W81" s="566" t="e">
        <f>IF(W80&gt;0,W80,#REF!)</f>
        <v>#REF!</v>
      </c>
      <c r="X81" s="566" t="e">
        <f>IF(X80&gt;0,X80,#REF!)</f>
        <v>#REF!</v>
      </c>
      <c r="Y81" s="566" t="e">
        <f>IF(Y80&gt;0,Y80,#REF!)</f>
        <v>#REF!</v>
      </c>
      <c r="Z81" s="566" t="e">
        <f>IF(Z80&gt;0,Z80,#REF!)</f>
        <v>#REF!</v>
      </c>
      <c r="AA81" s="566" t="e">
        <f>IF(AA80&gt;0,AA80,#REF!)</f>
        <v>#REF!</v>
      </c>
      <c r="AB81" s="144"/>
      <c r="AC81" s="214"/>
      <c r="AD81" s="214"/>
      <c r="AE81" s="222"/>
      <c r="AF81" s="222"/>
      <c r="AG81" s="222"/>
      <c r="AH81" s="222"/>
      <c r="AI81" s="222"/>
      <c r="AJ81" s="214"/>
      <c r="AK81" s="214"/>
      <c r="AL81" s="214"/>
      <c r="AM81" s="214"/>
      <c r="AN81" s="244"/>
    </row>
    <row r="82" spans="1:40" ht="10.25" customHeight="1">
      <c r="A82" s="851"/>
      <c r="B82" s="112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566" t="e">
        <f t="shared" ref="U82:AA96" si="81">IF(U81&gt;0,U81,U80)</f>
        <v>#REF!</v>
      </c>
      <c r="V82" s="566" t="e">
        <f t="shared" si="81"/>
        <v>#REF!</v>
      </c>
      <c r="W82" s="566" t="e">
        <f t="shared" si="81"/>
        <v>#REF!</v>
      </c>
      <c r="X82" s="566" t="e">
        <f t="shared" si="81"/>
        <v>#REF!</v>
      </c>
      <c r="Y82" s="566" t="e">
        <f t="shared" si="81"/>
        <v>#REF!</v>
      </c>
      <c r="Z82" s="566" t="e">
        <f t="shared" si="81"/>
        <v>#REF!</v>
      </c>
      <c r="AA82" s="566" t="e">
        <f t="shared" si="81"/>
        <v>#REF!</v>
      </c>
      <c r="AB82" s="144"/>
      <c r="AE82" s="222"/>
      <c r="AF82" s="222"/>
      <c r="AG82" s="222"/>
      <c r="AH82" s="222"/>
      <c r="AI82" s="222"/>
    </row>
    <row r="83" spans="1:40" ht="15.75" customHeight="1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566" t="e">
        <f t="shared" si="81"/>
        <v>#REF!</v>
      </c>
      <c r="V83" s="566" t="e">
        <f t="shared" si="81"/>
        <v>#REF!</v>
      </c>
      <c r="W83" s="566" t="e">
        <f t="shared" si="81"/>
        <v>#REF!</v>
      </c>
      <c r="X83" s="566" t="e">
        <f t="shared" si="81"/>
        <v>#REF!</v>
      </c>
      <c r="Y83" s="566" t="e">
        <f t="shared" si="81"/>
        <v>#REF!</v>
      </c>
      <c r="Z83" s="566" t="e">
        <f t="shared" si="81"/>
        <v>#REF!</v>
      </c>
      <c r="AA83" s="566" t="e">
        <f t="shared" si="81"/>
        <v>#REF!</v>
      </c>
      <c r="AB83" s="144"/>
    </row>
    <row r="84" spans="1:40" ht="72" customHeight="1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M84" s="144"/>
      <c r="N84" s="144"/>
      <c r="O84" s="144"/>
      <c r="P84" s="144"/>
      <c r="Q84" s="144"/>
      <c r="R84" s="144"/>
      <c r="S84" s="144"/>
      <c r="T84" s="144"/>
      <c r="U84" s="566" t="e">
        <f t="shared" si="81"/>
        <v>#REF!</v>
      </c>
      <c r="V84" s="566" t="e">
        <f t="shared" si="81"/>
        <v>#REF!</v>
      </c>
      <c r="W84" s="566" t="e">
        <f t="shared" si="81"/>
        <v>#REF!</v>
      </c>
      <c r="X84" s="566" t="e">
        <f t="shared" si="81"/>
        <v>#REF!</v>
      </c>
      <c r="Y84" s="566" t="e">
        <f t="shared" si="81"/>
        <v>#REF!</v>
      </c>
      <c r="Z84" s="566" t="e">
        <f t="shared" si="81"/>
        <v>#REF!</v>
      </c>
      <c r="AA84" s="566" t="e">
        <f t="shared" si="81"/>
        <v>#REF!</v>
      </c>
      <c r="AB84" s="144"/>
      <c r="AC84" s="221"/>
      <c r="AD84" s="222"/>
      <c r="AE84" s="222"/>
      <c r="AF84" s="222"/>
      <c r="AG84" s="222"/>
      <c r="AH84" s="222"/>
      <c r="AI84" s="220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566" t="e">
        <f t="shared" si="81"/>
        <v>#REF!</v>
      </c>
      <c r="V85" s="566" t="e">
        <f t="shared" si="81"/>
        <v>#REF!</v>
      </c>
      <c r="W85" s="566" t="e">
        <f t="shared" si="81"/>
        <v>#REF!</v>
      </c>
      <c r="X85" s="566" t="e">
        <f t="shared" si="81"/>
        <v>#REF!</v>
      </c>
      <c r="Y85" s="566" t="e">
        <f t="shared" si="81"/>
        <v>#REF!</v>
      </c>
      <c r="Z85" s="566" t="e">
        <f t="shared" si="81"/>
        <v>#REF!</v>
      </c>
      <c r="AA85" s="566" t="e">
        <f t="shared" si="81"/>
        <v>#REF!</v>
      </c>
      <c r="AB85" s="144"/>
      <c r="AC85" s="231" t="s">
        <v>193</v>
      </c>
      <c r="AD85" s="227"/>
      <c r="AE85" s="227"/>
      <c r="AF85" s="227"/>
      <c r="AG85" s="227"/>
      <c r="AH85" s="227"/>
      <c r="AI85" s="225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566" t="e">
        <f t="shared" si="81"/>
        <v>#REF!</v>
      </c>
      <c r="V86" s="566" t="e">
        <f t="shared" si="81"/>
        <v>#REF!</v>
      </c>
      <c r="W86" s="566" t="e">
        <f t="shared" si="81"/>
        <v>#REF!</v>
      </c>
      <c r="X86" s="566" t="e">
        <f t="shared" si="81"/>
        <v>#REF!</v>
      </c>
      <c r="Y86" s="566" t="e">
        <f t="shared" si="81"/>
        <v>#REF!</v>
      </c>
      <c r="Z86" s="566" t="e">
        <f t="shared" si="81"/>
        <v>#REF!</v>
      </c>
      <c r="AA86" s="566" t="e">
        <f t="shared" si="81"/>
        <v>#REF!</v>
      </c>
      <c r="AB86" s="144"/>
      <c r="AC86" s="231">
        <v>0</v>
      </c>
      <c r="AD86" s="231">
        <v>0</v>
      </c>
      <c r="AE86" s="231">
        <v>0</v>
      </c>
      <c r="AF86" s="231">
        <v>0</v>
      </c>
      <c r="AG86" s="231">
        <v>0</v>
      </c>
      <c r="AH86" s="231">
        <v>0</v>
      </c>
      <c r="AI86" s="225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566" t="e">
        <f t="shared" si="81"/>
        <v>#REF!</v>
      </c>
      <c r="V87" s="566" t="e">
        <f t="shared" si="81"/>
        <v>#REF!</v>
      </c>
      <c r="W87" s="566" t="e">
        <f t="shared" si="81"/>
        <v>#REF!</v>
      </c>
      <c r="X87" s="566" t="e">
        <f t="shared" si="81"/>
        <v>#REF!</v>
      </c>
      <c r="Y87" s="566" t="e">
        <f t="shared" si="81"/>
        <v>#REF!</v>
      </c>
      <c r="Z87" s="566" t="e">
        <f t="shared" si="81"/>
        <v>#REF!</v>
      </c>
      <c r="AA87" s="566" t="e">
        <f t="shared" si="81"/>
        <v>#REF!</v>
      </c>
      <c r="AB87" s="144"/>
      <c r="AC87" s="231"/>
      <c r="AD87" s="231"/>
      <c r="AE87" s="231"/>
      <c r="AF87" s="231"/>
      <c r="AG87" s="231"/>
      <c r="AH87" s="231"/>
      <c r="AI87" s="225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566" t="e">
        <f t="shared" si="81"/>
        <v>#REF!</v>
      </c>
      <c r="V88" s="566" t="e">
        <f t="shared" si="81"/>
        <v>#REF!</v>
      </c>
      <c r="W88" s="566" t="e">
        <f t="shared" si="81"/>
        <v>#REF!</v>
      </c>
      <c r="X88" s="566" t="e">
        <f t="shared" si="81"/>
        <v>#REF!</v>
      </c>
      <c r="Y88" s="566" t="e">
        <f t="shared" si="81"/>
        <v>#REF!</v>
      </c>
      <c r="Z88" s="566" t="e">
        <f t="shared" si="81"/>
        <v>#REF!</v>
      </c>
      <c r="AA88" s="566" t="e">
        <f t="shared" si="81"/>
        <v>#REF!</v>
      </c>
      <c r="AB88" s="144"/>
      <c r="AC88" s="231"/>
      <c r="AD88" s="231"/>
      <c r="AE88" s="231"/>
      <c r="AF88" s="231"/>
      <c r="AG88" s="231"/>
      <c r="AH88" s="231"/>
      <c r="AI88" s="225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566" t="e">
        <f t="shared" si="81"/>
        <v>#REF!</v>
      </c>
      <c r="V89" s="566" t="e">
        <f t="shared" si="81"/>
        <v>#REF!</v>
      </c>
      <c r="W89" s="566" t="e">
        <f t="shared" si="81"/>
        <v>#REF!</v>
      </c>
      <c r="X89" s="566" t="e">
        <f t="shared" si="81"/>
        <v>#REF!</v>
      </c>
      <c r="Y89" s="566" t="e">
        <f t="shared" si="81"/>
        <v>#REF!</v>
      </c>
      <c r="Z89" s="566" t="e">
        <f t="shared" si="81"/>
        <v>#REF!</v>
      </c>
      <c r="AA89" s="566" t="e">
        <f t="shared" si="81"/>
        <v>#REF!</v>
      </c>
      <c r="AB89" s="144"/>
      <c r="AC89" s="231">
        <v>0</v>
      </c>
      <c r="AD89" s="231">
        <v>0</v>
      </c>
      <c r="AE89" s="231">
        <v>0</v>
      </c>
      <c r="AF89" s="231">
        <v>0</v>
      </c>
      <c r="AG89" s="231">
        <v>0</v>
      </c>
      <c r="AH89" s="231">
        <v>0</v>
      </c>
      <c r="AI89" s="225"/>
      <c r="AJ89" s="204"/>
      <c r="AK89" s="204"/>
      <c r="AL89" s="204"/>
      <c r="AM89" s="204"/>
      <c r="AN89" s="204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566" t="e">
        <f t="shared" si="81"/>
        <v>#REF!</v>
      </c>
      <c r="V90" s="566" t="e">
        <f t="shared" si="81"/>
        <v>#REF!</v>
      </c>
      <c r="W90" s="566" t="e">
        <f t="shared" si="81"/>
        <v>#REF!</v>
      </c>
      <c r="X90" s="566" t="e">
        <f t="shared" si="81"/>
        <v>#REF!</v>
      </c>
      <c r="Y90" s="566" t="e">
        <f t="shared" si="81"/>
        <v>#REF!</v>
      </c>
      <c r="Z90" s="566" t="e">
        <f t="shared" si="81"/>
        <v>#REF!</v>
      </c>
      <c r="AA90" s="566" t="e">
        <f t="shared" si="81"/>
        <v>#REF!</v>
      </c>
      <c r="AB90" s="144"/>
      <c r="AC90" s="231">
        <v>0</v>
      </c>
      <c r="AD90" s="231">
        <v>0</v>
      </c>
      <c r="AE90" s="231">
        <v>0</v>
      </c>
      <c r="AF90" s="231">
        <v>0</v>
      </c>
      <c r="AG90" s="231">
        <v>0</v>
      </c>
      <c r="AH90" s="231">
        <v>0</v>
      </c>
      <c r="AI90" s="213"/>
      <c r="AJ90" s="204"/>
      <c r="AK90" s="204"/>
      <c r="AL90" s="204"/>
      <c r="AM90" s="204"/>
      <c r="AN90" s="204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566" t="e">
        <f t="shared" si="81"/>
        <v>#REF!</v>
      </c>
      <c r="V91" s="566" t="e">
        <f t="shared" si="81"/>
        <v>#REF!</v>
      </c>
      <c r="W91" s="566" t="e">
        <f t="shared" si="81"/>
        <v>#REF!</v>
      </c>
      <c r="X91" s="566" t="e">
        <f t="shared" si="81"/>
        <v>#REF!</v>
      </c>
      <c r="Y91" s="566" t="e">
        <f t="shared" si="81"/>
        <v>#REF!</v>
      </c>
      <c r="Z91" s="566" t="e">
        <f t="shared" si="81"/>
        <v>#REF!</v>
      </c>
      <c r="AA91" s="566" t="e">
        <f t="shared" si="81"/>
        <v>#REF!</v>
      </c>
      <c r="AB91" s="144"/>
      <c r="AC91" s="231"/>
      <c r="AD91" s="231"/>
      <c r="AE91" s="231"/>
      <c r="AF91" s="231"/>
      <c r="AG91" s="231"/>
      <c r="AH91" s="231"/>
      <c r="AI91" s="213"/>
      <c r="AJ91" s="204"/>
      <c r="AK91" s="204"/>
      <c r="AL91" s="204"/>
      <c r="AM91" s="204"/>
      <c r="AN91" s="204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566" t="e">
        <f t="shared" si="81"/>
        <v>#REF!</v>
      </c>
      <c r="V92" s="566" t="e">
        <f t="shared" si="81"/>
        <v>#REF!</v>
      </c>
      <c r="W92" s="566" t="e">
        <f t="shared" si="81"/>
        <v>#REF!</v>
      </c>
      <c r="X92" s="566" t="e">
        <f t="shared" si="81"/>
        <v>#REF!</v>
      </c>
      <c r="Y92" s="566" t="e">
        <f t="shared" si="81"/>
        <v>#REF!</v>
      </c>
      <c r="Z92" s="566" t="e">
        <f t="shared" si="81"/>
        <v>#REF!</v>
      </c>
      <c r="AA92" s="566" t="e">
        <f t="shared" si="81"/>
        <v>#REF!</v>
      </c>
      <c r="AB92" s="144"/>
      <c r="AC92" s="231"/>
      <c r="AD92" s="231"/>
      <c r="AE92" s="231"/>
      <c r="AF92" s="231"/>
      <c r="AG92" s="231"/>
      <c r="AH92" s="231"/>
      <c r="AI92" s="213"/>
      <c r="AJ92" s="204"/>
      <c r="AK92" s="204"/>
      <c r="AL92" s="204"/>
      <c r="AM92" s="204"/>
      <c r="AN92" s="204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566" t="e">
        <f t="shared" si="81"/>
        <v>#REF!</v>
      </c>
      <c r="V93" s="566" t="e">
        <f t="shared" si="81"/>
        <v>#REF!</v>
      </c>
      <c r="W93" s="566" t="e">
        <f t="shared" si="81"/>
        <v>#REF!</v>
      </c>
      <c r="X93" s="566" t="e">
        <f t="shared" si="81"/>
        <v>#REF!</v>
      </c>
      <c r="Y93" s="566" t="e">
        <f t="shared" si="81"/>
        <v>#REF!</v>
      </c>
      <c r="Z93" s="566" t="e">
        <f t="shared" si="81"/>
        <v>#REF!</v>
      </c>
      <c r="AA93" s="566" t="e">
        <f t="shared" si="81"/>
        <v>#REF!</v>
      </c>
      <c r="AB93" s="144"/>
      <c r="AC93" s="231">
        <v>0</v>
      </c>
      <c r="AD93" s="231">
        <v>0</v>
      </c>
      <c r="AE93" s="231">
        <v>0</v>
      </c>
      <c r="AF93" s="231">
        <v>0</v>
      </c>
      <c r="AG93" s="231">
        <v>0</v>
      </c>
      <c r="AH93" s="231">
        <v>0</v>
      </c>
      <c r="AI93" s="213"/>
      <c r="AJ93" s="204"/>
      <c r="AK93" s="204"/>
      <c r="AL93" s="204"/>
      <c r="AM93" s="204"/>
      <c r="AN93" s="204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566" t="e">
        <f t="shared" si="81"/>
        <v>#REF!</v>
      </c>
      <c r="V94" s="566" t="e">
        <f t="shared" si="81"/>
        <v>#REF!</v>
      </c>
      <c r="W94" s="566" t="e">
        <f t="shared" si="81"/>
        <v>#REF!</v>
      </c>
      <c r="X94" s="566" t="e">
        <f t="shared" si="81"/>
        <v>#REF!</v>
      </c>
      <c r="Y94" s="566" t="e">
        <f t="shared" si="81"/>
        <v>#REF!</v>
      </c>
      <c r="Z94" s="566" t="e">
        <f t="shared" si="81"/>
        <v>#REF!</v>
      </c>
      <c r="AA94" s="566" t="e">
        <f t="shared" si="81"/>
        <v>#REF!</v>
      </c>
      <c r="AB94" s="144"/>
      <c r="AC94" s="231">
        <v>0</v>
      </c>
      <c r="AD94" s="231">
        <v>0</v>
      </c>
      <c r="AE94" s="231">
        <v>0</v>
      </c>
      <c r="AF94" s="231">
        <v>0</v>
      </c>
      <c r="AG94" s="231">
        <v>0</v>
      </c>
      <c r="AH94" s="231">
        <v>0</v>
      </c>
      <c r="AI94" s="213"/>
      <c r="AJ94" s="204"/>
      <c r="AK94" s="204"/>
      <c r="AL94" s="204"/>
      <c r="AM94" s="204"/>
      <c r="AN94" s="204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566" t="e">
        <f t="shared" si="81"/>
        <v>#REF!</v>
      </c>
      <c r="V95" s="566" t="e">
        <f t="shared" si="81"/>
        <v>#REF!</v>
      </c>
      <c r="W95" s="566" t="e">
        <f t="shared" si="81"/>
        <v>#REF!</v>
      </c>
      <c r="X95" s="566" t="e">
        <f t="shared" si="81"/>
        <v>#REF!</v>
      </c>
      <c r="Y95" s="566" t="e">
        <f t="shared" si="81"/>
        <v>#REF!</v>
      </c>
      <c r="Z95" s="566" t="e">
        <f t="shared" si="81"/>
        <v>#REF!</v>
      </c>
      <c r="AA95" s="566" t="e">
        <f t="shared" si="81"/>
        <v>#REF!</v>
      </c>
      <c r="AB95" s="144"/>
      <c r="AC95" s="231">
        <v>0</v>
      </c>
      <c r="AD95" s="231">
        <v>0</v>
      </c>
      <c r="AE95" s="231">
        <v>0</v>
      </c>
      <c r="AF95" s="231">
        <v>0</v>
      </c>
      <c r="AG95" s="231">
        <v>0</v>
      </c>
      <c r="AH95" s="231">
        <v>0</v>
      </c>
      <c r="AI95" s="213"/>
      <c r="AJ95" s="204"/>
      <c r="AK95" s="204"/>
      <c r="AL95" s="204"/>
      <c r="AM95" s="204"/>
      <c r="AN95" s="204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566" t="e">
        <f t="shared" si="81"/>
        <v>#REF!</v>
      </c>
      <c r="V96" s="566" t="e">
        <f t="shared" si="81"/>
        <v>#REF!</v>
      </c>
      <c r="W96" s="566" t="e">
        <f t="shared" si="81"/>
        <v>#REF!</v>
      </c>
      <c r="X96" s="566" t="e">
        <f t="shared" si="81"/>
        <v>#REF!</v>
      </c>
      <c r="Y96" s="566" t="e">
        <f t="shared" si="81"/>
        <v>#REF!</v>
      </c>
      <c r="Z96" s="566" t="e">
        <f t="shared" si="81"/>
        <v>#REF!</v>
      </c>
      <c r="AA96" s="566" t="e">
        <f t="shared" si="81"/>
        <v>#REF!</v>
      </c>
      <c r="AB96" s="144"/>
      <c r="AC96" s="231">
        <v>0</v>
      </c>
      <c r="AD96" s="231">
        <v>0</v>
      </c>
      <c r="AE96" s="231">
        <v>0</v>
      </c>
      <c r="AF96" s="231">
        <v>0</v>
      </c>
      <c r="AG96" s="231">
        <v>0</v>
      </c>
      <c r="AH96" s="231">
        <v>0</v>
      </c>
      <c r="AI96" s="213"/>
      <c r="AJ96" s="204"/>
      <c r="AK96" s="204"/>
      <c r="AL96" s="204"/>
      <c r="AM96" s="204"/>
      <c r="AN96" s="204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566" t="e">
        <f t="shared" ref="U97:AA112" si="82">IF(U96&gt;0,U96,U95)</f>
        <v>#REF!</v>
      </c>
      <c r="V97" s="566" t="e">
        <f t="shared" si="82"/>
        <v>#REF!</v>
      </c>
      <c r="W97" s="566" t="e">
        <f t="shared" si="82"/>
        <v>#REF!</v>
      </c>
      <c r="X97" s="566" t="e">
        <f t="shared" si="82"/>
        <v>#REF!</v>
      </c>
      <c r="Y97" s="566" t="e">
        <f t="shared" si="82"/>
        <v>#REF!</v>
      </c>
      <c r="Z97" s="566" t="e">
        <f t="shared" si="82"/>
        <v>#REF!</v>
      </c>
      <c r="AA97" s="566" t="e">
        <f t="shared" si="82"/>
        <v>#REF!</v>
      </c>
      <c r="AB97" s="144"/>
      <c r="AC97" s="231"/>
      <c r="AD97" s="231"/>
      <c r="AE97" s="231"/>
      <c r="AF97" s="231"/>
      <c r="AG97" s="231"/>
      <c r="AH97" s="231"/>
      <c r="AI97" s="213"/>
      <c r="AJ97" s="204"/>
      <c r="AK97" s="204"/>
      <c r="AL97" s="204"/>
      <c r="AM97" s="204"/>
      <c r="AN97" s="204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566" t="e">
        <f t="shared" si="82"/>
        <v>#REF!</v>
      </c>
      <c r="V98" s="566" t="e">
        <f t="shared" si="82"/>
        <v>#REF!</v>
      </c>
      <c r="W98" s="566" t="e">
        <f t="shared" si="82"/>
        <v>#REF!</v>
      </c>
      <c r="X98" s="566" t="e">
        <f t="shared" si="82"/>
        <v>#REF!</v>
      </c>
      <c r="Y98" s="566" t="e">
        <f t="shared" si="82"/>
        <v>#REF!</v>
      </c>
      <c r="Z98" s="566" t="e">
        <f t="shared" si="82"/>
        <v>#REF!</v>
      </c>
      <c r="AA98" s="566" t="e">
        <f t="shared" si="82"/>
        <v>#REF!</v>
      </c>
      <c r="AB98" s="144"/>
      <c r="AC98" s="231"/>
      <c r="AD98" s="231"/>
      <c r="AE98" s="231"/>
      <c r="AF98" s="231"/>
      <c r="AG98" s="231"/>
      <c r="AH98" s="231"/>
      <c r="AI98" s="213"/>
      <c r="AJ98" s="204"/>
      <c r="AK98" s="204"/>
      <c r="AL98" s="204"/>
      <c r="AM98" s="204"/>
      <c r="AN98" s="204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566" t="e">
        <f t="shared" si="82"/>
        <v>#REF!</v>
      </c>
      <c r="V99" s="566" t="e">
        <f t="shared" si="82"/>
        <v>#REF!</v>
      </c>
      <c r="W99" s="566" t="e">
        <f t="shared" si="82"/>
        <v>#REF!</v>
      </c>
      <c r="X99" s="566" t="e">
        <f t="shared" si="82"/>
        <v>#REF!</v>
      </c>
      <c r="Y99" s="566" t="e">
        <f t="shared" si="82"/>
        <v>#REF!</v>
      </c>
      <c r="Z99" s="566" t="e">
        <f t="shared" si="82"/>
        <v>#REF!</v>
      </c>
      <c r="AA99" s="566" t="e">
        <f t="shared" si="82"/>
        <v>#REF!</v>
      </c>
      <c r="AB99" s="144"/>
      <c r="AC99" s="231">
        <v>0</v>
      </c>
      <c r="AD99" s="231">
        <v>0</v>
      </c>
      <c r="AE99" s="231">
        <v>0</v>
      </c>
      <c r="AF99" s="231">
        <v>0</v>
      </c>
      <c r="AG99" s="231">
        <v>0</v>
      </c>
      <c r="AH99" s="231">
        <v>0</v>
      </c>
      <c r="AI99" s="213"/>
      <c r="AJ99" s="204"/>
      <c r="AK99" s="204"/>
      <c r="AL99" s="204"/>
      <c r="AM99" s="204"/>
      <c r="AN99" s="204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566" t="e">
        <f t="shared" si="82"/>
        <v>#REF!</v>
      </c>
      <c r="V100" s="566" t="e">
        <f t="shared" si="82"/>
        <v>#REF!</v>
      </c>
      <c r="W100" s="566" t="e">
        <f t="shared" si="82"/>
        <v>#REF!</v>
      </c>
      <c r="X100" s="566" t="e">
        <f t="shared" si="82"/>
        <v>#REF!</v>
      </c>
      <c r="Y100" s="566" t="e">
        <f t="shared" si="82"/>
        <v>#REF!</v>
      </c>
      <c r="Z100" s="566" t="e">
        <f t="shared" si="82"/>
        <v>#REF!</v>
      </c>
      <c r="AA100" s="566" t="e">
        <f t="shared" si="82"/>
        <v>#REF!</v>
      </c>
      <c r="AB100" s="144"/>
      <c r="AC100" s="231">
        <v>0</v>
      </c>
      <c r="AD100" s="231">
        <v>0</v>
      </c>
      <c r="AE100" s="231">
        <v>0</v>
      </c>
      <c r="AF100" s="231">
        <v>0</v>
      </c>
      <c r="AG100" s="231">
        <v>0</v>
      </c>
      <c r="AH100" s="231">
        <v>0</v>
      </c>
      <c r="AI100" s="213"/>
      <c r="AJ100" s="204"/>
      <c r="AK100" s="204"/>
      <c r="AL100" s="204"/>
      <c r="AM100" s="204"/>
      <c r="AN100" s="204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566" t="e">
        <f t="shared" si="82"/>
        <v>#REF!</v>
      </c>
      <c r="V101" s="566" t="e">
        <f t="shared" si="82"/>
        <v>#REF!</v>
      </c>
      <c r="W101" s="566" t="e">
        <f t="shared" si="82"/>
        <v>#REF!</v>
      </c>
      <c r="X101" s="566" t="e">
        <f t="shared" si="82"/>
        <v>#REF!</v>
      </c>
      <c r="Y101" s="566" t="e">
        <f t="shared" si="82"/>
        <v>#REF!</v>
      </c>
      <c r="Z101" s="566" t="e">
        <f t="shared" si="82"/>
        <v>#REF!</v>
      </c>
      <c r="AA101" s="566" t="e">
        <f t="shared" si="82"/>
        <v>#REF!</v>
      </c>
      <c r="AB101" s="144"/>
      <c r="AC101" s="231">
        <v>0</v>
      </c>
      <c r="AD101" s="231">
        <v>0</v>
      </c>
      <c r="AE101" s="231">
        <v>0</v>
      </c>
      <c r="AF101" s="231">
        <v>0</v>
      </c>
      <c r="AG101" s="231">
        <v>0</v>
      </c>
      <c r="AH101" s="231">
        <v>0</v>
      </c>
      <c r="AI101" s="213"/>
      <c r="AJ101" s="204"/>
      <c r="AK101" s="204"/>
      <c r="AL101" s="204"/>
      <c r="AM101" s="204"/>
      <c r="AN101" s="204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566" t="e">
        <f t="shared" si="82"/>
        <v>#REF!</v>
      </c>
      <c r="V102" s="566" t="e">
        <f t="shared" si="82"/>
        <v>#REF!</v>
      </c>
      <c r="W102" s="566" t="e">
        <f t="shared" si="82"/>
        <v>#REF!</v>
      </c>
      <c r="X102" s="566" t="e">
        <f t="shared" si="82"/>
        <v>#REF!</v>
      </c>
      <c r="Y102" s="566" t="e">
        <f t="shared" si="82"/>
        <v>#REF!</v>
      </c>
      <c r="Z102" s="566" t="e">
        <f t="shared" si="82"/>
        <v>#REF!</v>
      </c>
      <c r="AA102" s="566" t="e">
        <f t="shared" si="82"/>
        <v>#REF!</v>
      </c>
      <c r="AB102" s="144"/>
      <c r="AC102" s="231"/>
      <c r="AD102" s="231"/>
      <c r="AE102" s="231"/>
      <c r="AF102" s="231"/>
      <c r="AG102" s="231"/>
      <c r="AH102" s="231"/>
      <c r="AI102" s="213"/>
      <c r="AJ102" s="204"/>
      <c r="AK102" s="204"/>
      <c r="AL102" s="204"/>
      <c r="AM102" s="204"/>
      <c r="AN102" s="204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566" t="e">
        <f t="shared" si="82"/>
        <v>#REF!</v>
      </c>
      <c r="V103" s="566" t="e">
        <f t="shared" si="82"/>
        <v>#REF!</v>
      </c>
      <c r="W103" s="566" t="e">
        <f t="shared" si="82"/>
        <v>#REF!</v>
      </c>
      <c r="X103" s="566" t="e">
        <f t="shared" si="82"/>
        <v>#REF!</v>
      </c>
      <c r="Y103" s="566" t="e">
        <f t="shared" si="82"/>
        <v>#REF!</v>
      </c>
      <c r="Z103" s="566" t="e">
        <f t="shared" si="82"/>
        <v>#REF!</v>
      </c>
      <c r="AA103" s="566" t="e">
        <f t="shared" si="82"/>
        <v>#REF!</v>
      </c>
      <c r="AB103" s="144"/>
      <c r="AC103" s="231"/>
      <c r="AD103" s="231"/>
      <c r="AE103" s="231"/>
      <c r="AF103" s="231"/>
      <c r="AG103" s="231"/>
      <c r="AH103" s="231"/>
      <c r="AI103" s="213"/>
      <c r="AJ103" s="204"/>
      <c r="AK103" s="204"/>
      <c r="AL103" s="204"/>
      <c r="AM103" s="204"/>
      <c r="AN103" s="204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566" t="e">
        <f t="shared" si="82"/>
        <v>#REF!</v>
      </c>
      <c r="V104" s="566" t="e">
        <f t="shared" si="82"/>
        <v>#REF!</v>
      </c>
      <c r="W104" s="566" t="e">
        <f t="shared" si="82"/>
        <v>#REF!</v>
      </c>
      <c r="X104" s="566" t="e">
        <f t="shared" si="82"/>
        <v>#REF!</v>
      </c>
      <c r="Y104" s="566" t="e">
        <f t="shared" si="82"/>
        <v>#REF!</v>
      </c>
      <c r="Z104" s="566" t="e">
        <f t="shared" si="82"/>
        <v>#REF!</v>
      </c>
      <c r="AA104" s="566" t="e">
        <f t="shared" si="82"/>
        <v>#REF!</v>
      </c>
      <c r="AB104" s="144"/>
      <c r="AC104" s="231">
        <v>0</v>
      </c>
      <c r="AD104" s="231">
        <v>0</v>
      </c>
      <c r="AE104" s="231">
        <v>0</v>
      </c>
      <c r="AF104" s="231">
        <v>0</v>
      </c>
      <c r="AG104" s="231">
        <v>0</v>
      </c>
      <c r="AH104" s="231">
        <v>0</v>
      </c>
      <c r="AI104" s="213"/>
      <c r="AJ104" s="204"/>
      <c r="AK104" s="204"/>
      <c r="AL104" s="204"/>
      <c r="AM104" s="204"/>
      <c r="AN104" s="204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566" t="e">
        <f t="shared" si="82"/>
        <v>#REF!</v>
      </c>
      <c r="V105" s="566" t="e">
        <f t="shared" si="82"/>
        <v>#REF!</v>
      </c>
      <c r="W105" s="566" t="e">
        <f t="shared" si="82"/>
        <v>#REF!</v>
      </c>
      <c r="X105" s="566" t="e">
        <f t="shared" si="82"/>
        <v>#REF!</v>
      </c>
      <c r="Y105" s="566" t="e">
        <f t="shared" si="82"/>
        <v>#REF!</v>
      </c>
      <c r="Z105" s="566" t="e">
        <f t="shared" si="82"/>
        <v>#REF!</v>
      </c>
      <c r="AA105" s="566" t="e">
        <f t="shared" si="82"/>
        <v>#REF!</v>
      </c>
      <c r="AB105" s="144"/>
      <c r="AC105" s="231">
        <v>0</v>
      </c>
      <c r="AD105" s="231">
        <v>0</v>
      </c>
      <c r="AE105" s="231">
        <v>0</v>
      </c>
      <c r="AF105" s="231">
        <v>0</v>
      </c>
      <c r="AG105" s="231">
        <v>0</v>
      </c>
      <c r="AH105" s="231">
        <v>0</v>
      </c>
      <c r="AI105" s="213"/>
      <c r="AJ105" s="204"/>
      <c r="AK105" s="204"/>
      <c r="AL105" s="204"/>
      <c r="AM105" s="204"/>
      <c r="AN105" s="204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566" t="e">
        <f t="shared" si="82"/>
        <v>#REF!</v>
      </c>
      <c r="V106" s="566" t="e">
        <f t="shared" si="82"/>
        <v>#REF!</v>
      </c>
      <c r="W106" s="566" t="e">
        <f t="shared" si="82"/>
        <v>#REF!</v>
      </c>
      <c r="X106" s="566" t="e">
        <f t="shared" si="82"/>
        <v>#REF!</v>
      </c>
      <c r="Y106" s="566" t="e">
        <f t="shared" si="82"/>
        <v>#REF!</v>
      </c>
      <c r="Z106" s="566" t="e">
        <f t="shared" si="82"/>
        <v>#REF!</v>
      </c>
      <c r="AA106" s="566" t="e">
        <f t="shared" si="82"/>
        <v>#REF!</v>
      </c>
      <c r="AB106" s="144"/>
      <c r="AC106" s="231">
        <v>0</v>
      </c>
      <c r="AD106" s="231">
        <v>0</v>
      </c>
      <c r="AE106" s="231">
        <v>0</v>
      </c>
      <c r="AF106" s="231">
        <v>0</v>
      </c>
      <c r="AG106" s="231">
        <v>0</v>
      </c>
      <c r="AH106" s="231">
        <v>0</v>
      </c>
      <c r="AI106" s="213"/>
      <c r="AJ106" s="204"/>
      <c r="AK106" s="204"/>
      <c r="AL106" s="204"/>
      <c r="AM106" s="204"/>
      <c r="AN106" s="204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566" t="e">
        <f t="shared" si="82"/>
        <v>#REF!</v>
      </c>
      <c r="V107" s="566" t="e">
        <f t="shared" si="82"/>
        <v>#REF!</v>
      </c>
      <c r="W107" s="566" t="e">
        <f t="shared" si="82"/>
        <v>#REF!</v>
      </c>
      <c r="X107" s="566" t="e">
        <f t="shared" si="82"/>
        <v>#REF!</v>
      </c>
      <c r="Y107" s="566" t="e">
        <f t="shared" si="82"/>
        <v>#REF!</v>
      </c>
      <c r="Z107" s="566" t="e">
        <f t="shared" si="82"/>
        <v>#REF!</v>
      </c>
      <c r="AA107" s="566" t="e">
        <f t="shared" si="82"/>
        <v>#REF!</v>
      </c>
      <c r="AB107" s="144"/>
      <c r="AC107" s="231"/>
      <c r="AD107" s="231"/>
      <c r="AE107" s="231"/>
      <c r="AF107" s="231"/>
      <c r="AG107" s="231"/>
      <c r="AH107" s="231"/>
      <c r="AI107" s="213"/>
      <c r="AJ107" s="204"/>
      <c r="AK107" s="204"/>
      <c r="AL107" s="204"/>
      <c r="AM107" s="204"/>
      <c r="AN107" s="204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566" t="e">
        <f t="shared" si="82"/>
        <v>#REF!</v>
      </c>
      <c r="V108" s="566" t="e">
        <f t="shared" si="82"/>
        <v>#REF!</v>
      </c>
      <c r="W108" s="566" t="e">
        <f t="shared" si="82"/>
        <v>#REF!</v>
      </c>
      <c r="X108" s="566" t="e">
        <f t="shared" si="82"/>
        <v>#REF!</v>
      </c>
      <c r="Y108" s="566" t="e">
        <f t="shared" si="82"/>
        <v>#REF!</v>
      </c>
      <c r="Z108" s="566" t="e">
        <f t="shared" si="82"/>
        <v>#REF!</v>
      </c>
      <c r="AA108" s="566" t="e">
        <f t="shared" si="82"/>
        <v>#REF!</v>
      </c>
      <c r="AB108" s="144"/>
      <c r="AC108" s="231"/>
      <c r="AD108" s="231"/>
      <c r="AE108" s="231"/>
      <c r="AF108" s="231"/>
      <c r="AG108" s="231"/>
      <c r="AH108" s="231"/>
      <c r="AI108" s="213"/>
      <c r="AJ108" s="204"/>
      <c r="AK108" s="204"/>
      <c r="AL108" s="204"/>
      <c r="AM108" s="204"/>
      <c r="AN108" s="204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566" t="e">
        <f t="shared" si="82"/>
        <v>#REF!</v>
      </c>
      <c r="V109" s="566" t="e">
        <f t="shared" si="82"/>
        <v>#REF!</v>
      </c>
      <c r="W109" s="566" t="e">
        <f t="shared" si="82"/>
        <v>#REF!</v>
      </c>
      <c r="X109" s="566" t="e">
        <f t="shared" si="82"/>
        <v>#REF!</v>
      </c>
      <c r="Y109" s="566" t="e">
        <f t="shared" si="82"/>
        <v>#REF!</v>
      </c>
      <c r="Z109" s="566" t="e">
        <f t="shared" si="82"/>
        <v>#REF!</v>
      </c>
      <c r="AA109" s="566" t="e">
        <f t="shared" si="82"/>
        <v>#REF!</v>
      </c>
      <c r="AB109" s="144"/>
      <c r="AC109" s="231">
        <v>0</v>
      </c>
      <c r="AD109" s="231">
        <v>0</v>
      </c>
      <c r="AE109" s="231">
        <v>0</v>
      </c>
      <c r="AF109" s="231">
        <v>0</v>
      </c>
      <c r="AG109" s="231">
        <v>0</v>
      </c>
      <c r="AH109" s="231">
        <v>0</v>
      </c>
      <c r="AI109" s="213"/>
      <c r="AJ109" s="204"/>
      <c r="AK109" s="204"/>
      <c r="AL109" s="204"/>
      <c r="AM109" s="204"/>
      <c r="AN109" s="204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566" t="e">
        <f t="shared" si="82"/>
        <v>#REF!</v>
      </c>
      <c r="V110" s="566" t="e">
        <f t="shared" si="82"/>
        <v>#REF!</v>
      </c>
      <c r="W110" s="566" t="e">
        <f t="shared" si="82"/>
        <v>#REF!</v>
      </c>
      <c r="X110" s="566" t="e">
        <f t="shared" si="82"/>
        <v>#REF!</v>
      </c>
      <c r="Y110" s="566" t="e">
        <f t="shared" si="82"/>
        <v>#REF!</v>
      </c>
      <c r="Z110" s="566" t="e">
        <f t="shared" si="82"/>
        <v>#REF!</v>
      </c>
      <c r="AA110" s="566" t="e">
        <f t="shared" si="82"/>
        <v>#REF!</v>
      </c>
      <c r="AB110" s="144"/>
      <c r="AC110" s="231">
        <v>0</v>
      </c>
      <c r="AD110" s="231">
        <v>0</v>
      </c>
      <c r="AE110" s="231">
        <v>0</v>
      </c>
      <c r="AF110" s="231">
        <v>0</v>
      </c>
      <c r="AG110" s="231">
        <v>0</v>
      </c>
      <c r="AH110" s="231">
        <v>0</v>
      </c>
      <c r="AI110" s="213"/>
      <c r="AJ110" s="204"/>
      <c r="AK110" s="204"/>
      <c r="AL110" s="204"/>
      <c r="AM110" s="204"/>
      <c r="AN110" s="204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566" t="e">
        <f t="shared" si="82"/>
        <v>#REF!</v>
      </c>
      <c r="V111" s="566" t="e">
        <f t="shared" si="82"/>
        <v>#REF!</v>
      </c>
      <c r="W111" s="566" t="e">
        <f t="shared" si="82"/>
        <v>#REF!</v>
      </c>
      <c r="X111" s="566" t="e">
        <f t="shared" si="82"/>
        <v>#REF!</v>
      </c>
      <c r="Y111" s="566" t="e">
        <f t="shared" si="82"/>
        <v>#REF!</v>
      </c>
      <c r="Z111" s="566" t="e">
        <f t="shared" si="82"/>
        <v>#REF!</v>
      </c>
      <c r="AA111" s="566" t="e">
        <f t="shared" si="82"/>
        <v>#REF!</v>
      </c>
      <c r="AB111" s="144"/>
      <c r="AC111" s="231"/>
      <c r="AD111" s="231"/>
      <c r="AE111" s="231"/>
      <c r="AF111" s="231"/>
      <c r="AG111" s="231"/>
      <c r="AH111" s="231"/>
      <c r="AI111" s="213"/>
      <c r="AJ111" s="204"/>
      <c r="AK111" s="204"/>
      <c r="AL111" s="204"/>
      <c r="AM111" s="204"/>
      <c r="AN111" s="204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566" t="e">
        <f t="shared" si="82"/>
        <v>#REF!</v>
      </c>
      <c r="V112" s="566" t="e">
        <f t="shared" si="82"/>
        <v>#REF!</v>
      </c>
      <c r="W112" s="566" t="e">
        <f t="shared" si="82"/>
        <v>#REF!</v>
      </c>
      <c r="X112" s="566" t="e">
        <f t="shared" si="82"/>
        <v>#REF!</v>
      </c>
      <c r="Y112" s="566" t="e">
        <f t="shared" si="82"/>
        <v>#REF!</v>
      </c>
      <c r="Z112" s="566" t="e">
        <f t="shared" si="82"/>
        <v>#REF!</v>
      </c>
      <c r="AA112" s="566" t="e">
        <f t="shared" si="82"/>
        <v>#REF!</v>
      </c>
      <c r="AB112" s="144"/>
      <c r="AC112" s="231"/>
      <c r="AD112" s="231"/>
      <c r="AE112" s="231"/>
      <c r="AF112" s="231"/>
      <c r="AG112" s="231"/>
      <c r="AH112" s="231"/>
      <c r="AI112" s="213"/>
      <c r="AJ112" s="204"/>
      <c r="AK112" s="204"/>
      <c r="AL112" s="204"/>
      <c r="AM112" s="204"/>
      <c r="AN112" s="204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566" t="e">
        <f t="shared" ref="U113:AA128" si="83">IF(U112&gt;0,U112,U111)</f>
        <v>#REF!</v>
      </c>
      <c r="V113" s="566" t="e">
        <f t="shared" si="83"/>
        <v>#REF!</v>
      </c>
      <c r="W113" s="566" t="e">
        <f t="shared" si="83"/>
        <v>#REF!</v>
      </c>
      <c r="X113" s="566" t="e">
        <f t="shared" si="83"/>
        <v>#REF!</v>
      </c>
      <c r="Y113" s="566" t="e">
        <f t="shared" si="83"/>
        <v>#REF!</v>
      </c>
      <c r="Z113" s="566" t="e">
        <f t="shared" si="83"/>
        <v>#REF!</v>
      </c>
      <c r="AA113" s="566" t="e">
        <f t="shared" si="83"/>
        <v>#REF!</v>
      </c>
      <c r="AB113" s="144"/>
      <c r="AC113" s="231">
        <v>0</v>
      </c>
      <c r="AD113" s="231">
        <v>0</v>
      </c>
      <c r="AE113" s="231">
        <v>0</v>
      </c>
      <c r="AF113" s="231">
        <v>0</v>
      </c>
      <c r="AG113" s="231">
        <v>0</v>
      </c>
      <c r="AH113" s="231">
        <v>0</v>
      </c>
      <c r="AI113" s="213"/>
      <c r="AJ113" s="204"/>
      <c r="AK113" s="204"/>
      <c r="AL113" s="204"/>
      <c r="AM113" s="204"/>
      <c r="AN113" s="204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566" t="e">
        <f t="shared" si="83"/>
        <v>#REF!</v>
      </c>
      <c r="V114" s="566" t="e">
        <f t="shared" si="83"/>
        <v>#REF!</v>
      </c>
      <c r="W114" s="566" t="e">
        <f t="shared" si="83"/>
        <v>#REF!</v>
      </c>
      <c r="X114" s="566" t="e">
        <f t="shared" si="83"/>
        <v>#REF!</v>
      </c>
      <c r="Y114" s="566" t="e">
        <f t="shared" si="83"/>
        <v>#REF!</v>
      </c>
      <c r="Z114" s="566" t="e">
        <f t="shared" si="83"/>
        <v>#REF!</v>
      </c>
      <c r="AA114" s="566" t="e">
        <f t="shared" si="83"/>
        <v>#REF!</v>
      </c>
      <c r="AB114" s="144"/>
      <c r="AC114" s="231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13"/>
      <c r="AJ114" s="204"/>
      <c r="AK114" s="204"/>
      <c r="AL114" s="204"/>
      <c r="AM114" s="204"/>
      <c r="AN114" s="204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566" t="e">
        <f t="shared" si="83"/>
        <v>#REF!</v>
      </c>
      <c r="V115" s="566" t="e">
        <f t="shared" si="83"/>
        <v>#REF!</v>
      </c>
      <c r="W115" s="566" t="e">
        <f t="shared" si="83"/>
        <v>#REF!</v>
      </c>
      <c r="X115" s="566" t="e">
        <f t="shared" si="83"/>
        <v>#REF!</v>
      </c>
      <c r="Y115" s="566" t="e">
        <f t="shared" si="83"/>
        <v>#REF!</v>
      </c>
      <c r="Z115" s="566" t="e">
        <f t="shared" si="83"/>
        <v>#REF!</v>
      </c>
      <c r="AA115" s="566" t="e">
        <f t="shared" si="83"/>
        <v>#REF!</v>
      </c>
      <c r="AB115" s="144"/>
      <c r="AC115" s="231">
        <v>0</v>
      </c>
      <c r="AD115" s="231">
        <v>0</v>
      </c>
      <c r="AE115" s="231">
        <v>0</v>
      </c>
      <c r="AF115" s="231">
        <v>0</v>
      </c>
      <c r="AG115" s="231">
        <v>0</v>
      </c>
      <c r="AH115" s="231">
        <v>0</v>
      </c>
      <c r="AI115" s="213"/>
      <c r="AJ115" s="204"/>
      <c r="AK115" s="204"/>
      <c r="AL115" s="204"/>
      <c r="AM115" s="204"/>
      <c r="AN115" s="204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566" t="e">
        <f t="shared" si="83"/>
        <v>#REF!</v>
      </c>
      <c r="V116" s="566" t="e">
        <f t="shared" si="83"/>
        <v>#REF!</v>
      </c>
      <c r="W116" s="566" t="e">
        <f t="shared" si="83"/>
        <v>#REF!</v>
      </c>
      <c r="X116" s="566" t="e">
        <f t="shared" si="83"/>
        <v>#REF!</v>
      </c>
      <c r="Y116" s="566" t="e">
        <f t="shared" si="83"/>
        <v>#REF!</v>
      </c>
      <c r="Z116" s="566" t="e">
        <f t="shared" si="83"/>
        <v>#REF!</v>
      </c>
      <c r="AA116" s="566" t="e">
        <f t="shared" si="83"/>
        <v>#REF!</v>
      </c>
      <c r="AB116" s="144"/>
      <c r="AC116" s="231">
        <v>0</v>
      </c>
      <c r="AD116" s="231">
        <v>0</v>
      </c>
      <c r="AE116" s="231">
        <v>0</v>
      </c>
      <c r="AF116" s="231">
        <v>0</v>
      </c>
      <c r="AG116" s="231">
        <v>0</v>
      </c>
      <c r="AH116" s="231">
        <v>0</v>
      </c>
      <c r="AI116" s="213"/>
      <c r="AJ116" s="204"/>
      <c r="AK116" s="204"/>
      <c r="AL116" s="204"/>
      <c r="AM116" s="204"/>
      <c r="AN116" s="204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566" t="e">
        <f t="shared" si="83"/>
        <v>#REF!</v>
      </c>
      <c r="V117" s="566" t="e">
        <f t="shared" si="83"/>
        <v>#REF!</v>
      </c>
      <c r="W117" s="566" t="e">
        <f t="shared" si="83"/>
        <v>#REF!</v>
      </c>
      <c r="X117" s="566" t="e">
        <f t="shared" si="83"/>
        <v>#REF!</v>
      </c>
      <c r="Y117" s="566" t="e">
        <f t="shared" si="83"/>
        <v>#REF!</v>
      </c>
      <c r="Z117" s="566" t="e">
        <f t="shared" si="83"/>
        <v>#REF!</v>
      </c>
      <c r="AA117" s="566" t="e">
        <f t="shared" si="83"/>
        <v>#REF!</v>
      </c>
      <c r="AB117" s="144"/>
      <c r="AC117" s="231"/>
      <c r="AD117" s="231"/>
      <c r="AE117" s="231"/>
      <c r="AF117" s="231"/>
      <c r="AG117" s="231"/>
      <c r="AH117" s="231"/>
      <c r="AI117" s="213"/>
      <c r="AJ117" s="204"/>
      <c r="AK117" s="204"/>
      <c r="AL117" s="204"/>
      <c r="AM117" s="204"/>
      <c r="AN117" s="204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566" t="e">
        <f t="shared" si="83"/>
        <v>#REF!</v>
      </c>
      <c r="V118" s="566" t="e">
        <f t="shared" si="83"/>
        <v>#REF!</v>
      </c>
      <c r="W118" s="566" t="e">
        <f t="shared" si="83"/>
        <v>#REF!</v>
      </c>
      <c r="X118" s="566" t="e">
        <f t="shared" si="83"/>
        <v>#REF!</v>
      </c>
      <c r="Y118" s="566" t="e">
        <f t="shared" si="83"/>
        <v>#REF!</v>
      </c>
      <c r="Z118" s="566" t="e">
        <f t="shared" si="83"/>
        <v>#REF!</v>
      </c>
      <c r="AA118" s="566" t="e">
        <f t="shared" si="83"/>
        <v>#REF!</v>
      </c>
      <c r="AB118" s="144"/>
      <c r="AC118" s="231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13"/>
      <c r="AJ118" s="204"/>
      <c r="AK118" s="204"/>
      <c r="AL118" s="204"/>
      <c r="AM118" s="204"/>
      <c r="AN118" s="204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566" t="e">
        <f t="shared" si="83"/>
        <v>#REF!</v>
      </c>
      <c r="V119" s="566" t="e">
        <f t="shared" si="83"/>
        <v>#REF!</v>
      </c>
      <c r="W119" s="566" t="e">
        <f t="shared" si="83"/>
        <v>#REF!</v>
      </c>
      <c r="X119" s="566" t="e">
        <f t="shared" si="83"/>
        <v>#REF!</v>
      </c>
      <c r="Y119" s="566" t="e">
        <f t="shared" si="83"/>
        <v>#REF!</v>
      </c>
      <c r="Z119" s="566" t="e">
        <f t="shared" si="83"/>
        <v>#REF!</v>
      </c>
      <c r="AA119" s="566" t="e">
        <f t="shared" si="83"/>
        <v>#REF!</v>
      </c>
      <c r="AB119" s="144"/>
      <c r="AC119" s="231">
        <v>0</v>
      </c>
      <c r="AD119" s="231">
        <v>0</v>
      </c>
      <c r="AE119" s="231">
        <v>0</v>
      </c>
      <c r="AF119" s="231">
        <v>0</v>
      </c>
      <c r="AG119" s="231">
        <v>0</v>
      </c>
      <c r="AH119" s="231">
        <v>0</v>
      </c>
      <c r="AI119" s="213"/>
      <c r="AJ119" s="204"/>
      <c r="AK119" s="204"/>
      <c r="AL119" s="204"/>
      <c r="AM119" s="204"/>
      <c r="AN119" s="204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566" t="e">
        <f t="shared" si="83"/>
        <v>#REF!</v>
      </c>
      <c r="V120" s="566" t="e">
        <f t="shared" si="83"/>
        <v>#REF!</v>
      </c>
      <c r="W120" s="566" t="e">
        <f t="shared" si="83"/>
        <v>#REF!</v>
      </c>
      <c r="X120" s="566" t="e">
        <f t="shared" si="83"/>
        <v>#REF!</v>
      </c>
      <c r="Y120" s="566" t="e">
        <f t="shared" si="83"/>
        <v>#REF!</v>
      </c>
      <c r="Z120" s="566" t="e">
        <f t="shared" si="83"/>
        <v>#REF!</v>
      </c>
      <c r="AA120" s="566" t="e">
        <f t="shared" si="83"/>
        <v>#REF!</v>
      </c>
      <c r="AB120" s="144"/>
      <c r="AC120" s="231"/>
      <c r="AD120" s="231"/>
      <c r="AE120" s="231"/>
      <c r="AF120" s="231"/>
      <c r="AG120" s="231"/>
      <c r="AH120" s="231"/>
      <c r="AI120" s="213"/>
      <c r="AJ120" s="204"/>
      <c r="AK120" s="204"/>
      <c r="AL120" s="204"/>
      <c r="AM120" s="204"/>
      <c r="AN120" s="204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566" t="e">
        <f t="shared" si="83"/>
        <v>#REF!</v>
      </c>
      <c r="V121" s="566" t="e">
        <f t="shared" si="83"/>
        <v>#REF!</v>
      </c>
      <c r="W121" s="566" t="e">
        <f t="shared" si="83"/>
        <v>#REF!</v>
      </c>
      <c r="X121" s="566" t="e">
        <f t="shared" si="83"/>
        <v>#REF!</v>
      </c>
      <c r="Y121" s="566" t="e">
        <f t="shared" si="83"/>
        <v>#REF!</v>
      </c>
      <c r="Z121" s="566" t="e">
        <f t="shared" si="83"/>
        <v>#REF!</v>
      </c>
      <c r="AA121" s="566" t="e">
        <f t="shared" si="83"/>
        <v>#REF!</v>
      </c>
      <c r="AB121" s="144"/>
      <c r="AC121" s="231"/>
      <c r="AD121" s="231"/>
      <c r="AE121" s="231"/>
      <c r="AF121" s="231"/>
      <c r="AG121" s="231"/>
      <c r="AH121" s="231"/>
      <c r="AI121" s="213"/>
      <c r="AJ121" s="204"/>
      <c r="AK121" s="204"/>
      <c r="AL121" s="204"/>
      <c r="AM121" s="204"/>
      <c r="AN121" s="204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566" t="e">
        <f t="shared" si="83"/>
        <v>#REF!</v>
      </c>
      <c r="V122" s="566" t="e">
        <f t="shared" si="83"/>
        <v>#REF!</v>
      </c>
      <c r="W122" s="566" t="e">
        <f t="shared" si="83"/>
        <v>#REF!</v>
      </c>
      <c r="X122" s="566" t="e">
        <f t="shared" si="83"/>
        <v>#REF!</v>
      </c>
      <c r="Y122" s="566" t="e">
        <f t="shared" si="83"/>
        <v>#REF!</v>
      </c>
      <c r="Z122" s="566" t="e">
        <f t="shared" si="83"/>
        <v>#REF!</v>
      </c>
      <c r="AA122" s="566" t="e">
        <f t="shared" si="83"/>
        <v>#REF!</v>
      </c>
      <c r="AB122" s="144"/>
      <c r="AC122" s="231">
        <v>0</v>
      </c>
      <c r="AD122" s="231">
        <v>0</v>
      </c>
      <c r="AE122" s="231">
        <v>0</v>
      </c>
      <c r="AF122" s="231">
        <v>0</v>
      </c>
      <c r="AG122" s="231">
        <v>0</v>
      </c>
      <c r="AH122" s="231">
        <v>0</v>
      </c>
      <c r="AI122" s="213"/>
      <c r="AJ122" s="204"/>
      <c r="AK122" s="204"/>
      <c r="AL122" s="204"/>
      <c r="AM122" s="204"/>
      <c r="AN122" s="204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566" t="e">
        <f t="shared" si="83"/>
        <v>#REF!</v>
      </c>
      <c r="V123" s="566" t="e">
        <f t="shared" si="83"/>
        <v>#REF!</v>
      </c>
      <c r="W123" s="566" t="e">
        <f t="shared" si="83"/>
        <v>#REF!</v>
      </c>
      <c r="X123" s="566" t="e">
        <f t="shared" si="83"/>
        <v>#REF!</v>
      </c>
      <c r="Y123" s="566" t="e">
        <f t="shared" si="83"/>
        <v>#REF!</v>
      </c>
      <c r="Z123" s="566" t="e">
        <f t="shared" si="83"/>
        <v>#REF!</v>
      </c>
      <c r="AA123" s="566" t="e">
        <f t="shared" si="83"/>
        <v>#REF!</v>
      </c>
      <c r="AB123" s="144"/>
      <c r="AC123" s="231">
        <v>0</v>
      </c>
      <c r="AD123" s="231">
        <v>0</v>
      </c>
      <c r="AE123" s="231">
        <v>0</v>
      </c>
      <c r="AF123" s="231">
        <v>0</v>
      </c>
      <c r="AG123" s="231">
        <v>0</v>
      </c>
      <c r="AH123" s="231">
        <v>0</v>
      </c>
      <c r="AI123" s="213"/>
      <c r="AJ123" s="204"/>
      <c r="AK123" s="204"/>
      <c r="AL123" s="204"/>
      <c r="AM123" s="204"/>
      <c r="AN123" s="204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566" t="e">
        <f t="shared" si="83"/>
        <v>#REF!</v>
      </c>
      <c r="V124" s="566" t="e">
        <f t="shared" si="83"/>
        <v>#REF!</v>
      </c>
      <c r="W124" s="566" t="e">
        <f t="shared" si="83"/>
        <v>#REF!</v>
      </c>
      <c r="X124" s="566" t="e">
        <f t="shared" si="83"/>
        <v>#REF!</v>
      </c>
      <c r="Y124" s="566" t="e">
        <f t="shared" si="83"/>
        <v>#REF!</v>
      </c>
      <c r="Z124" s="566" t="e">
        <f t="shared" si="83"/>
        <v>#REF!</v>
      </c>
      <c r="AA124" s="566" t="e">
        <f t="shared" si="83"/>
        <v>#REF!</v>
      </c>
      <c r="AB124" s="144"/>
      <c r="AC124" s="231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13"/>
      <c r="AJ124" s="204"/>
      <c r="AK124" s="204"/>
      <c r="AL124" s="204"/>
      <c r="AM124" s="204"/>
      <c r="AN124" s="204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566" t="e">
        <f t="shared" si="83"/>
        <v>#REF!</v>
      </c>
      <c r="V125" s="566" t="e">
        <f t="shared" si="83"/>
        <v>#REF!</v>
      </c>
      <c r="W125" s="566" t="e">
        <f t="shared" si="83"/>
        <v>#REF!</v>
      </c>
      <c r="X125" s="566" t="e">
        <f t="shared" si="83"/>
        <v>#REF!</v>
      </c>
      <c r="Y125" s="566" t="e">
        <f t="shared" si="83"/>
        <v>#REF!</v>
      </c>
      <c r="Z125" s="566" t="e">
        <f t="shared" si="83"/>
        <v>#REF!</v>
      </c>
      <c r="AA125" s="566" t="e">
        <f t="shared" si="83"/>
        <v>#REF!</v>
      </c>
      <c r="AB125" s="144"/>
      <c r="AC125" s="231"/>
      <c r="AD125" s="231"/>
      <c r="AE125" s="231"/>
      <c r="AF125" s="231"/>
      <c r="AG125" s="231"/>
      <c r="AH125" s="231"/>
      <c r="AI125" s="213"/>
      <c r="AJ125" s="204"/>
      <c r="AK125" s="204"/>
      <c r="AL125" s="204"/>
      <c r="AM125" s="204"/>
      <c r="AN125" s="204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566" t="e">
        <f t="shared" si="83"/>
        <v>#REF!</v>
      </c>
      <c r="V126" s="566" t="e">
        <f t="shared" si="83"/>
        <v>#REF!</v>
      </c>
      <c r="W126" s="566" t="e">
        <f t="shared" si="83"/>
        <v>#REF!</v>
      </c>
      <c r="X126" s="566" t="e">
        <f t="shared" si="83"/>
        <v>#REF!</v>
      </c>
      <c r="Y126" s="566" t="e">
        <f t="shared" si="83"/>
        <v>#REF!</v>
      </c>
      <c r="Z126" s="566" t="e">
        <f t="shared" si="83"/>
        <v>#REF!</v>
      </c>
      <c r="AA126" s="566" t="e">
        <f t="shared" si="83"/>
        <v>#REF!</v>
      </c>
      <c r="AB126" s="144"/>
      <c r="AC126" s="231"/>
      <c r="AD126" s="231"/>
      <c r="AE126" s="231"/>
      <c r="AF126" s="231"/>
      <c r="AG126" s="231"/>
      <c r="AH126" s="231"/>
      <c r="AI126" s="213"/>
      <c r="AJ126" s="204"/>
      <c r="AK126" s="204"/>
      <c r="AL126" s="204"/>
      <c r="AM126" s="204"/>
      <c r="AN126" s="204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566" t="e">
        <f t="shared" si="83"/>
        <v>#REF!</v>
      </c>
      <c r="V127" s="566" t="e">
        <f t="shared" si="83"/>
        <v>#REF!</v>
      </c>
      <c r="W127" s="566" t="e">
        <f t="shared" si="83"/>
        <v>#REF!</v>
      </c>
      <c r="X127" s="566" t="e">
        <f t="shared" si="83"/>
        <v>#REF!</v>
      </c>
      <c r="Y127" s="566" t="e">
        <f t="shared" si="83"/>
        <v>#REF!</v>
      </c>
      <c r="Z127" s="566" t="e">
        <f t="shared" si="83"/>
        <v>#REF!</v>
      </c>
      <c r="AA127" s="566" t="e">
        <f t="shared" si="83"/>
        <v>#REF!</v>
      </c>
      <c r="AB127" s="144"/>
      <c r="AC127" s="231">
        <v>0</v>
      </c>
      <c r="AD127" s="231">
        <v>0</v>
      </c>
      <c r="AE127" s="231">
        <v>0</v>
      </c>
      <c r="AF127" s="231">
        <v>0</v>
      </c>
      <c r="AG127" s="231">
        <v>0</v>
      </c>
      <c r="AH127" s="231">
        <v>0</v>
      </c>
      <c r="AI127" s="213"/>
      <c r="AJ127" s="204"/>
      <c r="AK127" s="204"/>
      <c r="AL127" s="204"/>
      <c r="AM127" s="204"/>
      <c r="AN127" s="204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566" t="e">
        <f t="shared" si="83"/>
        <v>#REF!</v>
      </c>
      <c r="V128" s="566" t="e">
        <f t="shared" si="83"/>
        <v>#REF!</v>
      </c>
      <c r="W128" s="566" t="e">
        <f t="shared" si="83"/>
        <v>#REF!</v>
      </c>
      <c r="X128" s="566" t="e">
        <f t="shared" si="83"/>
        <v>#REF!</v>
      </c>
      <c r="Y128" s="566" t="e">
        <f t="shared" si="83"/>
        <v>#REF!</v>
      </c>
      <c r="Z128" s="566" t="e">
        <f t="shared" si="83"/>
        <v>#REF!</v>
      </c>
      <c r="AA128" s="566" t="e">
        <f t="shared" si="83"/>
        <v>#REF!</v>
      </c>
      <c r="AB128" s="144"/>
      <c r="AC128" s="231">
        <v>0</v>
      </c>
      <c r="AD128" s="231">
        <v>0</v>
      </c>
      <c r="AE128" s="231">
        <v>0</v>
      </c>
      <c r="AF128" s="231">
        <v>0</v>
      </c>
      <c r="AG128" s="231">
        <v>0</v>
      </c>
      <c r="AH128" s="231">
        <v>0</v>
      </c>
      <c r="AI128" s="213"/>
      <c r="AJ128" s="204"/>
      <c r="AK128" s="204"/>
      <c r="AL128" s="204"/>
      <c r="AM128" s="204"/>
      <c r="AN128" s="204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566" t="e">
        <f t="shared" ref="U129:AA135" si="84">IF(U128&gt;0,U128,U127)</f>
        <v>#REF!</v>
      </c>
      <c r="V129" s="566" t="e">
        <f t="shared" si="84"/>
        <v>#REF!</v>
      </c>
      <c r="W129" s="566" t="e">
        <f t="shared" si="84"/>
        <v>#REF!</v>
      </c>
      <c r="X129" s="566" t="e">
        <f t="shared" si="84"/>
        <v>#REF!</v>
      </c>
      <c r="Y129" s="566" t="e">
        <f t="shared" si="84"/>
        <v>#REF!</v>
      </c>
      <c r="Z129" s="566" t="e">
        <f t="shared" si="84"/>
        <v>#REF!</v>
      </c>
      <c r="AA129" s="566" t="e">
        <f t="shared" si="84"/>
        <v>#REF!</v>
      </c>
      <c r="AB129" s="144"/>
      <c r="AC129" s="231">
        <v>0</v>
      </c>
      <c r="AD129" s="231">
        <v>0</v>
      </c>
      <c r="AE129" s="231">
        <v>0</v>
      </c>
      <c r="AF129" s="231">
        <v>0</v>
      </c>
      <c r="AG129" s="231">
        <v>0</v>
      </c>
      <c r="AH129" s="231">
        <v>0</v>
      </c>
      <c r="AI129" s="213"/>
      <c r="AJ129" s="204"/>
      <c r="AK129" s="204"/>
      <c r="AL129" s="204"/>
      <c r="AM129" s="204"/>
      <c r="AN129" s="204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566" t="e">
        <f t="shared" si="84"/>
        <v>#REF!</v>
      </c>
      <c r="V130" s="566" t="e">
        <f t="shared" si="84"/>
        <v>#REF!</v>
      </c>
      <c r="W130" s="566" t="e">
        <f t="shared" si="84"/>
        <v>#REF!</v>
      </c>
      <c r="X130" s="566" t="e">
        <f t="shared" si="84"/>
        <v>#REF!</v>
      </c>
      <c r="Y130" s="566" t="e">
        <f t="shared" si="84"/>
        <v>#REF!</v>
      </c>
      <c r="Z130" s="566" t="e">
        <f t="shared" si="84"/>
        <v>#REF!</v>
      </c>
      <c r="AA130" s="566" t="e">
        <f t="shared" si="84"/>
        <v>#REF!</v>
      </c>
      <c r="AB130" s="144"/>
      <c r="AC130" s="231"/>
      <c r="AD130" s="231"/>
      <c r="AE130" s="231"/>
      <c r="AF130" s="231"/>
      <c r="AG130" s="231"/>
      <c r="AH130" s="231"/>
      <c r="AI130" s="213"/>
      <c r="AJ130" s="204"/>
      <c r="AK130" s="204"/>
      <c r="AL130" s="204"/>
      <c r="AM130" s="204"/>
      <c r="AN130" s="204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566" t="e">
        <f t="shared" si="84"/>
        <v>#REF!</v>
      </c>
      <c r="V131" s="566" t="e">
        <f t="shared" si="84"/>
        <v>#REF!</v>
      </c>
      <c r="W131" s="566" t="e">
        <f t="shared" si="84"/>
        <v>#REF!</v>
      </c>
      <c r="X131" s="566" t="e">
        <f t="shared" si="84"/>
        <v>#REF!</v>
      </c>
      <c r="Y131" s="566" t="e">
        <f t="shared" si="84"/>
        <v>#REF!</v>
      </c>
      <c r="Z131" s="566" t="e">
        <f t="shared" si="84"/>
        <v>#REF!</v>
      </c>
      <c r="AA131" s="566" t="e">
        <f t="shared" si="84"/>
        <v>#REF!</v>
      </c>
      <c r="AB131" s="144"/>
      <c r="AC131" s="231"/>
      <c r="AD131" s="231"/>
      <c r="AE131" s="231"/>
      <c r="AF131" s="231"/>
      <c r="AG131" s="231"/>
      <c r="AH131" s="231"/>
      <c r="AI131" s="213"/>
      <c r="AJ131" s="204"/>
      <c r="AK131" s="204"/>
      <c r="AL131" s="204"/>
      <c r="AM131" s="204"/>
      <c r="AN131" s="204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566" t="e">
        <f t="shared" si="84"/>
        <v>#REF!</v>
      </c>
      <c r="V132" s="566" t="e">
        <f t="shared" si="84"/>
        <v>#REF!</v>
      </c>
      <c r="W132" s="566" t="e">
        <f t="shared" si="84"/>
        <v>#REF!</v>
      </c>
      <c r="X132" s="566" t="e">
        <f t="shared" si="84"/>
        <v>#REF!</v>
      </c>
      <c r="Y132" s="566" t="e">
        <f t="shared" si="84"/>
        <v>#REF!</v>
      </c>
      <c r="Z132" s="566" t="e">
        <f t="shared" si="84"/>
        <v>#REF!</v>
      </c>
      <c r="AA132" s="566" t="e">
        <f t="shared" si="84"/>
        <v>#REF!</v>
      </c>
      <c r="AB132" s="144"/>
      <c r="AC132" s="231">
        <v>0</v>
      </c>
      <c r="AD132" s="231">
        <v>0</v>
      </c>
      <c r="AE132" s="231">
        <v>0</v>
      </c>
      <c r="AF132" s="231">
        <v>0</v>
      </c>
      <c r="AG132" s="231">
        <v>0</v>
      </c>
      <c r="AH132" s="231">
        <v>0</v>
      </c>
      <c r="AI132" s="213"/>
      <c r="AJ132" s="204"/>
      <c r="AK132" s="204"/>
      <c r="AL132" s="204"/>
      <c r="AM132" s="204"/>
      <c r="AN132" s="204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566" t="e">
        <f t="shared" si="84"/>
        <v>#REF!</v>
      </c>
      <c r="V133" s="566" t="e">
        <f t="shared" si="84"/>
        <v>#REF!</v>
      </c>
      <c r="W133" s="566" t="e">
        <f t="shared" si="84"/>
        <v>#REF!</v>
      </c>
      <c r="X133" s="566" t="e">
        <f t="shared" si="84"/>
        <v>#REF!</v>
      </c>
      <c r="Y133" s="566" t="e">
        <f t="shared" si="84"/>
        <v>#REF!</v>
      </c>
      <c r="Z133" s="566" t="e">
        <f t="shared" si="84"/>
        <v>#REF!</v>
      </c>
      <c r="AA133" s="566" t="e">
        <f t="shared" si="84"/>
        <v>#REF!</v>
      </c>
      <c r="AB133" s="144"/>
      <c r="AC133" s="231">
        <v>0</v>
      </c>
      <c r="AD133" s="231">
        <v>0</v>
      </c>
      <c r="AE133" s="231">
        <v>0</v>
      </c>
      <c r="AF133" s="231">
        <v>0</v>
      </c>
      <c r="AG133" s="231">
        <v>0</v>
      </c>
      <c r="AH133" s="231">
        <v>0</v>
      </c>
      <c r="AI133" s="213"/>
      <c r="AJ133" s="204"/>
      <c r="AK133" s="204"/>
      <c r="AL133" s="204"/>
      <c r="AM133" s="204"/>
      <c r="AN133" s="204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566" t="e">
        <f t="shared" si="84"/>
        <v>#REF!</v>
      </c>
      <c r="V134" s="566" t="e">
        <f t="shared" si="84"/>
        <v>#REF!</v>
      </c>
      <c r="W134" s="566" t="e">
        <f t="shared" si="84"/>
        <v>#REF!</v>
      </c>
      <c r="X134" s="566" t="e">
        <f t="shared" si="84"/>
        <v>#REF!</v>
      </c>
      <c r="Y134" s="566" t="e">
        <f t="shared" si="84"/>
        <v>#REF!</v>
      </c>
      <c r="Z134" s="566" t="e">
        <f t="shared" si="84"/>
        <v>#REF!</v>
      </c>
      <c r="AA134" s="566" t="e">
        <f t="shared" si="84"/>
        <v>#REF!</v>
      </c>
      <c r="AB134" s="144"/>
      <c r="AC134" s="231">
        <v>0</v>
      </c>
      <c r="AD134" s="231">
        <v>0</v>
      </c>
      <c r="AE134" s="231">
        <v>0</v>
      </c>
      <c r="AF134" s="231">
        <v>0</v>
      </c>
      <c r="AG134" s="231">
        <v>0</v>
      </c>
      <c r="AH134" s="231">
        <v>0</v>
      </c>
      <c r="AI134" s="213"/>
      <c r="AJ134" s="204"/>
      <c r="AK134" s="204"/>
      <c r="AL134" s="204"/>
      <c r="AM134" s="204"/>
      <c r="AN134" s="204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567" t="e">
        <f>IF(U134&gt;0,U134,U133)</f>
        <v>#REF!</v>
      </c>
      <c r="V135" s="567" t="e">
        <f t="shared" si="84"/>
        <v>#REF!</v>
      </c>
      <c r="W135" s="567" t="e">
        <f t="shared" si="84"/>
        <v>#REF!</v>
      </c>
      <c r="X135" s="567" t="e">
        <f t="shared" si="84"/>
        <v>#REF!</v>
      </c>
      <c r="Y135" s="567" t="e">
        <f t="shared" si="84"/>
        <v>#REF!</v>
      </c>
      <c r="Z135" s="567" t="e">
        <f t="shared" si="84"/>
        <v>#REF!</v>
      </c>
      <c r="AA135" s="567" t="e">
        <f t="shared" si="84"/>
        <v>#REF!</v>
      </c>
      <c r="AB135" s="144"/>
      <c r="AC135" s="231"/>
      <c r="AD135" s="231"/>
      <c r="AE135" s="231"/>
      <c r="AF135" s="231"/>
      <c r="AG135" s="231"/>
      <c r="AH135" s="231"/>
      <c r="AI135" s="213"/>
      <c r="AJ135" s="204"/>
      <c r="AK135" s="204"/>
      <c r="AL135" s="204"/>
      <c r="AM135" s="204"/>
      <c r="AN135" s="204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222"/>
      <c r="V136" s="222"/>
      <c r="W136" s="222"/>
      <c r="X136" s="222"/>
      <c r="Y136" s="222"/>
      <c r="Z136" s="222"/>
      <c r="AA136" s="222"/>
      <c r="AB136" s="144"/>
      <c r="AC136" s="231"/>
      <c r="AD136" s="231"/>
      <c r="AE136" s="231"/>
      <c r="AF136" s="231"/>
      <c r="AG136" s="231"/>
      <c r="AH136" s="231"/>
      <c r="AI136" s="213"/>
      <c r="AJ136" s="204"/>
      <c r="AK136" s="204"/>
      <c r="AL136" s="204"/>
      <c r="AM136" s="204"/>
      <c r="AN136" s="204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222"/>
      <c r="V137" s="222"/>
      <c r="W137" s="222"/>
      <c r="X137" s="222"/>
      <c r="Y137" s="222"/>
      <c r="Z137" s="222"/>
      <c r="AA137" s="222"/>
      <c r="AB137" s="144"/>
      <c r="AC137" s="231">
        <v>0</v>
      </c>
      <c r="AD137" s="231">
        <v>0</v>
      </c>
      <c r="AE137" s="231">
        <v>0</v>
      </c>
      <c r="AF137" s="231">
        <v>0</v>
      </c>
      <c r="AG137" s="231">
        <v>0</v>
      </c>
      <c r="AH137" s="231">
        <v>0</v>
      </c>
      <c r="AI137" s="213"/>
      <c r="AN137" s="204"/>
    </row>
    <row r="138" spans="1:40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222"/>
      <c r="V138" s="222"/>
      <c r="W138" s="222"/>
      <c r="X138" s="222"/>
      <c r="Y138" s="222"/>
      <c r="Z138" s="222"/>
      <c r="AA138" s="222"/>
      <c r="AB138" s="144"/>
      <c r="AC138" s="231"/>
      <c r="AD138" s="231"/>
      <c r="AE138" s="231"/>
      <c r="AF138" s="231"/>
      <c r="AG138" s="231"/>
      <c r="AH138" s="231"/>
      <c r="AN138" s="204"/>
    </row>
    <row r="139" spans="1:40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222"/>
      <c r="V139" s="222"/>
      <c r="W139" s="222"/>
      <c r="X139" s="222"/>
      <c r="Y139" s="222"/>
      <c r="Z139" s="222"/>
      <c r="AA139" s="222"/>
      <c r="AB139" s="144"/>
      <c r="AN139" s="204"/>
    </row>
    <row r="140" spans="1:40" ht="15" customHeight="1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222"/>
      <c r="V140" s="222"/>
      <c r="W140" s="222"/>
      <c r="X140" s="222"/>
      <c r="Y140" s="222"/>
      <c r="Z140" s="222"/>
      <c r="AA140" s="222"/>
      <c r="AB140" s="144"/>
      <c r="AN140" s="204"/>
    </row>
    <row r="141" spans="1:40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222"/>
      <c r="V141" s="222"/>
      <c r="W141" s="222"/>
      <c r="X141" s="222"/>
      <c r="Y141" s="222"/>
      <c r="Z141" s="222"/>
      <c r="AA141" s="222"/>
      <c r="AB141" s="144"/>
      <c r="AN141" s="204"/>
    </row>
    <row r="142" spans="1:40">
      <c r="A142" s="144"/>
      <c r="B142" s="144"/>
      <c r="C142" s="144"/>
      <c r="D142" s="906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222"/>
      <c r="V142" s="222"/>
      <c r="W142" s="222"/>
      <c r="X142" s="222"/>
      <c r="Y142" s="222"/>
      <c r="Z142" s="222"/>
      <c r="AA142" s="222"/>
      <c r="AB142" s="144"/>
      <c r="AN142" s="204"/>
    </row>
    <row r="143" spans="1:40">
      <c r="A143" s="144"/>
      <c r="B143" s="144"/>
      <c r="C143" s="144"/>
      <c r="D143" s="906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222"/>
      <c r="V143" s="222"/>
      <c r="W143" s="222"/>
      <c r="X143" s="222"/>
      <c r="Y143" s="222"/>
      <c r="Z143" s="222"/>
      <c r="AA143" s="222"/>
      <c r="AB143" s="144"/>
      <c r="AN143" s="204"/>
    </row>
    <row r="144" spans="1:40">
      <c r="A144" s="144"/>
      <c r="B144" s="144"/>
      <c r="C144" s="144"/>
      <c r="D144" s="906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222"/>
      <c r="V144" s="222"/>
      <c r="W144" s="222"/>
      <c r="X144" s="222"/>
      <c r="Y144" s="222"/>
      <c r="Z144" s="222"/>
      <c r="AA144" s="222"/>
      <c r="AB144" s="144"/>
      <c r="AN144" s="204"/>
    </row>
    <row r="145" spans="1:40">
      <c r="A145" s="144"/>
      <c r="B145" s="144"/>
      <c r="C145" s="144"/>
      <c r="D145" s="906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222"/>
      <c r="V145" s="222"/>
      <c r="W145" s="222"/>
      <c r="X145" s="222"/>
      <c r="Y145" s="222"/>
      <c r="Z145" s="222"/>
      <c r="AA145" s="222"/>
      <c r="AB145" s="144"/>
      <c r="AN145" s="204"/>
    </row>
    <row r="146" spans="1:40">
      <c r="A146" s="144"/>
      <c r="B146" s="144"/>
      <c r="C146" s="144"/>
      <c r="D146" s="906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222"/>
      <c r="V146" s="222"/>
      <c r="W146" s="222"/>
      <c r="X146" s="222"/>
      <c r="Y146" s="222"/>
      <c r="Z146" s="222"/>
      <c r="AA146" s="222"/>
      <c r="AB146" s="144"/>
      <c r="AN146" s="204"/>
    </row>
    <row r="147" spans="1:40">
      <c r="A147" s="144"/>
      <c r="B147" s="144"/>
      <c r="C147" s="144"/>
      <c r="D147" s="906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222"/>
      <c r="V147" s="222"/>
      <c r="W147" s="222"/>
      <c r="X147" s="222"/>
      <c r="Y147" s="222"/>
      <c r="Z147" s="222"/>
      <c r="AA147" s="222"/>
      <c r="AB147" s="144"/>
      <c r="AN147" s="204"/>
    </row>
    <row r="148" spans="1:40">
      <c r="A148" s="144"/>
      <c r="B148" s="144"/>
      <c r="C148" s="144"/>
      <c r="D148" s="906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222"/>
      <c r="V148" s="222"/>
      <c r="W148" s="222"/>
      <c r="X148" s="222"/>
      <c r="Y148" s="222"/>
      <c r="Z148" s="222"/>
      <c r="AA148" s="222"/>
      <c r="AB148" s="144"/>
      <c r="AN148" s="204"/>
    </row>
    <row r="149" spans="1:40">
      <c r="A149" s="144"/>
      <c r="B149" s="144"/>
      <c r="C149" s="144"/>
      <c r="D149" s="906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222"/>
      <c r="V149" s="222"/>
      <c r="W149" s="222"/>
      <c r="X149" s="222"/>
      <c r="Y149" s="222"/>
      <c r="Z149" s="222"/>
      <c r="AA149" s="222"/>
      <c r="AB149" s="144"/>
      <c r="AN149" s="204"/>
    </row>
    <row r="150" spans="1:40">
      <c r="A150" s="144"/>
      <c r="B150" s="144"/>
      <c r="C150" s="144"/>
      <c r="D150" s="906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222"/>
      <c r="V150" s="222"/>
      <c r="W150" s="222"/>
      <c r="X150" s="222"/>
      <c r="Y150" s="222"/>
      <c r="Z150" s="222"/>
      <c r="AA150" s="222"/>
      <c r="AB150" s="144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04"/>
    </row>
    <row r="151" spans="1:40" s="247" customFormat="1" ht="11">
      <c r="A151" s="144"/>
      <c r="B151" s="144"/>
      <c r="C151" s="144"/>
      <c r="D151" s="906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222"/>
      <c r="V151" s="222"/>
      <c r="W151" s="222"/>
      <c r="X151" s="222"/>
      <c r="Y151" s="222"/>
      <c r="Z151" s="222"/>
      <c r="AA151" s="222"/>
      <c r="AB151" s="14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1:40" s="247" customFormat="1" ht="11">
      <c r="A152" s="144"/>
      <c r="B152" s="144"/>
      <c r="C152" s="144"/>
      <c r="D152" s="906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222"/>
      <c r="V152" s="222"/>
      <c r="W152" s="222"/>
      <c r="X152" s="222"/>
      <c r="Y152" s="222"/>
      <c r="Z152" s="222"/>
      <c r="AA152" s="222"/>
      <c r="AB152" s="14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1:40" s="247" customFormat="1" ht="11">
      <c r="A153" s="144"/>
      <c r="B153" s="144"/>
      <c r="C153" s="144"/>
      <c r="D153" s="906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222"/>
      <c r="V153" s="222"/>
      <c r="W153" s="222"/>
      <c r="X153" s="222"/>
      <c r="Y153" s="222"/>
      <c r="Z153" s="222"/>
      <c r="AA153" s="222"/>
      <c r="AB153" s="14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1:40" s="247" customFormat="1" ht="11">
      <c r="A154" s="144"/>
      <c r="B154" s="144"/>
      <c r="C154" s="144"/>
      <c r="D154" s="906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222"/>
      <c r="V154" s="222"/>
      <c r="W154" s="222"/>
      <c r="X154" s="222"/>
      <c r="Y154" s="222"/>
      <c r="Z154" s="222"/>
      <c r="AA154" s="222"/>
      <c r="AB154" s="14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1:40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222"/>
      <c r="V155" s="222"/>
      <c r="W155" s="222"/>
      <c r="X155" s="222"/>
      <c r="Y155" s="222"/>
      <c r="Z155" s="222"/>
      <c r="AA155" s="222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1:40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222"/>
      <c r="V156" s="222"/>
      <c r="W156" s="222"/>
      <c r="X156" s="222"/>
      <c r="Y156" s="222"/>
      <c r="Z156" s="222"/>
      <c r="AA156" s="222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1:40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222"/>
      <c r="V157" s="222"/>
      <c r="W157" s="222"/>
      <c r="X157" s="222"/>
      <c r="Y157" s="222"/>
      <c r="Z157" s="222"/>
      <c r="AA157" s="222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1:40" s="247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222"/>
      <c r="V158" s="222"/>
      <c r="W158" s="222"/>
      <c r="X158" s="222"/>
      <c r="Y158" s="222"/>
      <c r="Z158" s="222"/>
      <c r="AA158" s="222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1:40" s="247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1:40" s="247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39" s="247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39" s="247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39" s="247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39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39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39" s="247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39" s="247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39" s="247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39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39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39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39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39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39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39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39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39" s="247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39" s="247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39" s="247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39" s="247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B180" s="247">
        <f>SUBTOTAL(9,AB138:AB179)</f>
        <v>0</v>
      </c>
      <c r="AC180" s="214">
        <f>SUBTOTAL(9,AC138:AC179)</f>
        <v>0</v>
      </c>
      <c r="AD180" s="214">
        <f>SUBTOTAL(9,AD138:AD179)</f>
        <v>0</v>
      </c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39" s="247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B181" s="247">
        <v>0</v>
      </c>
      <c r="AC181" s="214">
        <v>0</v>
      </c>
      <c r="AD181" s="214">
        <v>0</v>
      </c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39" s="247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B182" s="247">
        <v>0</v>
      </c>
      <c r="AC182" s="214">
        <v>0</v>
      </c>
      <c r="AD182" s="214">
        <v>0</v>
      </c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39" s="247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B183" s="247">
        <v>0</v>
      </c>
      <c r="AC183" s="214">
        <v>0</v>
      </c>
      <c r="AD183" s="214">
        <v>0</v>
      </c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39" s="247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B184" s="247">
        <v>0</v>
      </c>
      <c r="AC184" s="214">
        <v>0</v>
      </c>
      <c r="AD184" s="214">
        <v>0</v>
      </c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39" s="247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B185" s="247">
        <v>0</v>
      </c>
      <c r="AC185" s="214">
        <v>0</v>
      </c>
      <c r="AD185" s="214">
        <v>0</v>
      </c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39" s="247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B186" s="247">
        <v>0</v>
      </c>
      <c r="AC186" s="214">
        <v>0</v>
      </c>
      <c r="AD186" s="214">
        <v>0</v>
      </c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39" s="247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B187" s="247">
        <v>0</v>
      </c>
      <c r="AC187" s="214">
        <v>0</v>
      </c>
      <c r="AD187" s="214">
        <v>0</v>
      </c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39" s="247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B188" s="247">
        <v>0</v>
      </c>
      <c r="AC188" s="214">
        <v>0</v>
      </c>
      <c r="AD188" s="214">
        <v>0</v>
      </c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39" s="247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B189" s="247">
        <v>0</v>
      </c>
      <c r="AC189" s="214">
        <v>0</v>
      </c>
      <c r="AD189" s="214">
        <v>0</v>
      </c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39" s="247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B190" s="247">
        <v>0</v>
      </c>
      <c r="AC190" s="214">
        <v>0</v>
      </c>
      <c r="AD190" s="214">
        <v>0</v>
      </c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39" s="247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>
        <f>SUBTOTAL(9,U149:U190)</f>
        <v>0</v>
      </c>
      <c r="V191" s="146">
        <f t="shared" ref="V191:AA191" si="85">SUBTOTAL(9,V149:V190)</f>
        <v>0</v>
      </c>
      <c r="W191" s="146">
        <f t="shared" si="85"/>
        <v>0</v>
      </c>
      <c r="X191" s="146">
        <f t="shared" si="85"/>
        <v>0</v>
      </c>
      <c r="Y191" s="146">
        <f t="shared" si="85"/>
        <v>0</v>
      </c>
      <c r="Z191" s="146">
        <f t="shared" si="85"/>
        <v>0</v>
      </c>
      <c r="AA191" s="146">
        <f t="shared" si="85"/>
        <v>0</v>
      </c>
      <c r="AB191" s="247">
        <v>0</v>
      </c>
      <c r="AC191" s="214">
        <v>0</v>
      </c>
      <c r="AD191" s="214">
        <v>0</v>
      </c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39" s="213" customFormat="1" ht="14" thickBot="1">
      <c r="B192" s="139"/>
      <c r="C192" s="138"/>
      <c r="D192" s="908"/>
      <c r="E192" s="138"/>
      <c r="F192" s="140"/>
      <c r="G192" s="141"/>
      <c r="H192" s="141"/>
      <c r="I192" s="141"/>
      <c r="J192" s="141"/>
      <c r="K192" s="141"/>
      <c r="L192" s="141"/>
      <c r="M192" s="458"/>
      <c r="N192" s="140"/>
      <c r="O192" s="141"/>
      <c r="P192" s="141"/>
      <c r="Q192" s="148"/>
      <c r="R192" s="148"/>
      <c r="S192" s="149"/>
      <c r="T192" s="149"/>
      <c r="U192" s="150"/>
      <c r="V192" s="150"/>
      <c r="W192" s="150"/>
      <c r="X192" s="150"/>
      <c r="Y192" s="150"/>
      <c r="Z192" s="150"/>
      <c r="AA192" s="150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41" s="213" customFormat="1" ht="15" thickTop="1" thickBot="1">
      <c r="B193" s="139"/>
      <c r="C193" s="138"/>
      <c r="D193" s="908"/>
      <c r="E193" s="138"/>
      <c r="F193" s="140"/>
      <c r="G193" s="141"/>
      <c r="H193" s="141"/>
      <c r="I193" s="141"/>
      <c r="J193" s="141"/>
      <c r="K193" s="141"/>
      <c r="L193" s="141"/>
      <c r="M193" s="458"/>
      <c r="N193" s="140"/>
      <c r="O193" s="141"/>
      <c r="P193" s="141"/>
      <c r="Q193" s="148"/>
      <c r="R193" s="148"/>
      <c r="S193" s="148"/>
      <c r="T193" s="149"/>
      <c r="U193" s="151"/>
      <c r="V193" s="152"/>
      <c r="W193" s="153"/>
      <c r="X193" s="153"/>
      <c r="Y193" s="153"/>
      <c r="Z193" s="153"/>
      <c r="AA193" s="154"/>
      <c r="AB193" s="246"/>
      <c r="AC193" s="246"/>
      <c r="AE193" s="214"/>
      <c r="AF193" s="214"/>
      <c r="AG193" s="214"/>
      <c r="AH193" s="214"/>
      <c r="AI193" s="214"/>
      <c r="AJ193" s="214"/>
      <c r="AK193" s="214"/>
      <c r="AL193" s="214"/>
      <c r="AM193" s="214"/>
      <c r="AN193" s="214"/>
      <c r="AO193" s="214"/>
    </row>
    <row r="194" spans="2:41" s="247" customFormat="1" ht="12" thickTop="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41" s="247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41" s="247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41" s="247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41" s="247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41" s="247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41" s="247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41" s="247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41" s="247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41" s="247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41" s="247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41" s="247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41" s="247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41" s="247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41" s="247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39" s="247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39" s="247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39" s="247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39" s="247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39" s="247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39" s="247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39" s="247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39" s="247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39" s="247" customFormat="1" ht="11">
      <c r="B217" s="144"/>
      <c r="C217" s="143"/>
      <c r="D217" s="907"/>
      <c r="E217" s="143"/>
      <c r="F217" s="145"/>
      <c r="G217" s="146"/>
      <c r="H217" s="146"/>
      <c r="I217" s="146"/>
      <c r="J217" s="146"/>
      <c r="K217" s="146"/>
      <c r="L217" s="146"/>
      <c r="M217" s="458"/>
      <c r="N217" s="145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39" s="247" customFormat="1" ht="11">
      <c r="B218" s="144"/>
      <c r="C218" s="143"/>
      <c r="D218" s="907"/>
      <c r="E218" s="143"/>
      <c r="F218" s="145"/>
      <c r="G218" s="146"/>
      <c r="H218" s="146"/>
      <c r="I218" s="146"/>
      <c r="J218" s="146"/>
      <c r="K218" s="146"/>
      <c r="L218" s="146"/>
      <c r="M218" s="458"/>
      <c r="N218" s="145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39" s="247" customFormat="1" ht="11">
      <c r="B219" s="144"/>
      <c r="C219" s="143"/>
      <c r="D219" s="907"/>
      <c r="E219" s="143"/>
      <c r="F219" s="145"/>
      <c r="G219" s="146"/>
      <c r="H219" s="146"/>
      <c r="I219" s="146"/>
      <c r="J219" s="146"/>
      <c r="K219" s="146"/>
      <c r="L219" s="146"/>
      <c r="M219" s="458"/>
      <c r="N219" s="145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39" s="247" customFormat="1" ht="11">
      <c r="B220" s="144"/>
      <c r="C220" s="143"/>
      <c r="D220" s="907"/>
      <c r="E220" s="143"/>
      <c r="F220" s="145"/>
      <c r="G220" s="146"/>
      <c r="H220" s="146"/>
      <c r="I220" s="146"/>
      <c r="J220" s="146"/>
      <c r="K220" s="146"/>
      <c r="L220" s="146"/>
      <c r="M220" s="458"/>
      <c r="N220" s="145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39" s="247" customFormat="1" ht="11">
      <c r="B221" s="144"/>
      <c r="C221" s="143"/>
      <c r="D221" s="907"/>
      <c r="E221" s="143"/>
      <c r="F221" s="145"/>
      <c r="G221" s="146"/>
      <c r="H221" s="146"/>
      <c r="I221" s="146"/>
      <c r="J221" s="146"/>
      <c r="K221" s="146"/>
      <c r="L221" s="146"/>
      <c r="M221" s="458"/>
      <c r="N221" s="145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</row>
    <row r="222" spans="2:39" s="247" customFormat="1" ht="11">
      <c r="B222" s="144"/>
      <c r="C222" s="143"/>
      <c r="D222" s="907"/>
      <c r="E222" s="143"/>
      <c r="F222" s="145"/>
      <c r="G222" s="146"/>
      <c r="H222" s="146"/>
      <c r="I222" s="146"/>
      <c r="J222" s="146"/>
      <c r="K222" s="146"/>
      <c r="L222" s="146"/>
      <c r="M222" s="458"/>
      <c r="N222" s="145"/>
      <c r="O222" s="146"/>
      <c r="P222" s="146"/>
      <c r="Q222" s="147"/>
      <c r="R222" s="147"/>
      <c r="S222" s="142"/>
      <c r="T222" s="142"/>
      <c r="U222" s="146"/>
      <c r="V222" s="146"/>
      <c r="W222" s="146"/>
      <c r="X222" s="146"/>
      <c r="Y222" s="146"/>
      <c r="Z222" s="146"/>
      <c r="AA222" s="146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39" s="247" customFormat="1" ht="11">
      <c r="B223" s="144"/>
      <c r="C223" s="143"/>
      <c r="D223" s="907"/>
      <c r="E223" s="143"/>
      <c r="F223" s="145"/>
      <c r="G223" s="146"/>
      <c r="H223" s="146"/>
      <c r="I223" s="146"/>
      <c r="J223" s="146"/>
      <c r="K223" s="146"/>
      <c r="L223" s="146"/>
      <c r="M223" s="458"/>
      <c r="N223" s="145"/>
      <c r="O223" s="146"/>
      <c r="P223" s="146"/>
      <c r="Q223" s="147"/>
      <c r="R223" s="147"/>
      <c r="S223" s="142"/>
      <c r="T223" s="142"/>
      <c r="U223" s="146"/>
      <c r="V223" s="146"/>
      <c r="W223" s="146"/>
      <c r="X223" s="146"/>
      <c r="Y223" s="146"/>
      <c r="Z223" s="146"/>
      <c r="AA223" s="146"/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</row>
    <row r="224" spans="2:39" s="247" customFormat="1" ht="11">
      <c r="B224" s="144"/>
      <c r="C224" s="143"/>
      <c r="D224" s="907"/>
      <c r="E224" s="143"/>
      <c r="F224" s="145"/>
      <c r="G224" s="146"/>
      <c r="H224" s="146"/>
      <c r="I224" s="146"/>
      <c r="J224" s="146"/>
      <c r="K224" s="146"/>
      <c r="L224" s="146"/>
      <c r="M224" s="458"/>
      <c r="N224" s="145"/>
      <c r="O224" s="146"/>
      <c r="P224" s="146"/>
      <c r="Q224" s="147"/>
      <c r="R224" s="147"/>
      <c r="S224" s="142"/>
      <c r="T224" s="142"/>
      <c r="U224" s="146"/>
      <c r="V224" s="146"/>
      <c r="W224" s="146"/>
      <c r="X224" s="146"/>
      <c r="Y224" s="146"/>
      <c r="Z224" s="146"/>
      <c r="AA224" s="146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2:41" s="247" customFormat="1" ht="11">
      <c r="B225" s="144"/>
      <c r="C225" s="143"/>
      <c r="D225" s="907"/>
      <c r="E225" s="143"/>
      <c r="F225" s="145"/>
      <c r="G225" s="146"/>
      <c r="H225" s="146"/>
      <c r="I225" s="146"/>
      <c r="J225" s="146"/>
      <c r="K225" s="146"/>
      <c r="L225" s="146"/>
      <c r="M225" s="458"/>
      <c r="N225" s="145"/>
      <c r="O225" s="146"/>
      <c r="P225" s="146"/>
      <c r="Q225" s="147"/>
      <c r="R225" s="147"/>
      <c r="S225" s="142"/>
      <c r="T225" s="142"/>
      <c r="U225" s="146"/>
      <c r="V225" s="146"/>
      <c r="W225" s="146"/>
      <c r="X225" s="146"/>
      <c r="Y225" s="146"/>
      <c r="Z225" s="146"/>
      <c r="AA225" s="146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</row>
    <row r="226" spans="2:41" s="247" customFormat="1" ht="11">
      <c r="B226" s="144"/>
      <c r="C226" s="143"/>
      <c r="D226" s="907"/>
      <c r="E226" s="143"/>
      <c r="F226" s="145"/>
      <c r="G226" s="146"/>
      <c r="H226" s="146"/>
      <c r="I226" s="146"/>
      <c r="J226" s="146"/>
      <c r="K226" s="146"/>
      <c r="L226" s="146"/>
      <c r="M226" s="458"/>
      <c r="N226" s="145"/>
      <c r="O226" s="146"/>
      <c r="P226" s="146"/>
      <c r="Q226" s="147"/>
      <c r="R226" s="147"/>
      <c r="S226" s="142"/>
      <c r="T226" s="142"/>
      <c r="U226" s="146"/>
      <c r="V226" s="146"/>
      <c r="W226" s="146"/>
      <c r="X226" s="146"/>
      <c r="Y226" s="146"/>
      <c r="Z226" s="146"/>
      <c r="AA226" s="146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2:41" s="247" customFormat="1" ht="11">
      <c r="B227" s="144"/>
      <c r="C227" s="143"/>
      <c r="D227" s="907"/>
      <c r="E227" s="143"/>
      <c r="F227" s="145"/>
      <c r="G227" s="146"/>
      <c r="H227" s="146"/>
      <c r="I227" s="146"/>
      <c r="J227" s="146"/>
      <c r="K227" s="146"/>
      <c r="L227" s="146"/>
      <c r="M227" s="458"/>
      <c r="N227" s="145"/>
      <c r="O227" s="146"/>
      <c r="P227" s="146"/>
      <c r="Q227" s="147"/>
      <c r="R227" s="147"/>
      <c r="S227" s="142"/>
      <c r="T227" s="142"/>
      <c r="U227" s="146"/>
      <c r="V227" s="146"/>
      <c r="W227" s="146"/>
      <c r="X227" s="146"/>
      <c r="Y227" s="146"/>
      <c r="Z227" s="146"/>
      <c r="AA227" s="146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2:41" s="247" customFormat="1" ht="11">
      <c r="B228" s="144"/>
      <c r="C228" s="143"/>
      <c r="D228" s="907"/>
      <c r="E228" s="143"/>
      <c r="F228" s="145"/>
      <c r="G228" s="146"/>
      <c r="H228" s="146"/>
      <c r="I228" s="146"/>
      <c r="J228" s="146"/>
      <c r="K228" s="146"/>
      <c r="L228" s="146"/>
      <c r="M228" s="458"/>
      <c r="N228" s="145"/>
      <c r="O228" s="146"/>
      <c r="P228" s="146"/>
      <c r="Q228" s="147"/>
      <c r="R228" s="147"/>
      <c r="S228" s="142"/>
      <c r="T228" s="142"/>
      <c r="U228" s="146"/>
      <c r="V228" s="146"/>
      <c r="W228" s="146"/>
      <c r="X228" s="146"/>
      <c r="Y228" s="146"/>
      <c r="Z228" s="146"/>
      <c r="AA228" s="146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2:41" s="247" customFormat="1" ht="11">
      <c r="B229" s="144"/>
      <c r="C229" s="143"/>
      <c r="D229" s="907"/>
      <c r="E229" s="143"/>
      <c r="F229" s="145"/>
      <c r="G229" s="146"/>
      <c r="H229" s="146"/>
      <c r="I229" s="146"/>
      <c r="J229" s="146"/>
      <c r="K229" s="146"/>
      <c r="L229" s="146"/>
      <c r="M229" s="458"/>
      <c r="N229" s="145"/>
      <c r="O229" s="146"/>
      <c r="P229" s="146"/>
      <c r="Q229" s="147"/>
      <c r="R229" s="147"/>
      <c r="S229" s="142"/>
      <c r="T229" s="142"/>
      <c r="U229" s="146"/>
      <c r="V229" s="146"/>
      <c r="W229" s="146"/>
      <c r="X229" s="146"/>
      <c r="Y229" s="146"/>
      <c r="Z229" s="146"/>
      <c r="AA229" s="146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2:41" s="247" customFormat="1" ht="11">
      <c r="B230" s="248"/>
      <c r="D230" s="909"/>
      <c r="F230" s="249"/>
      <c r="G230" s="250"/>
      <c r="H230" s="250"/>
      <c r="I230" s="250"/>
      <c r="J230" s="250"/>
      <c r="K230" s="250"/>
      <c r="L230" s="250"/>
      <c r="M230" s="459"/>
      <c r="N230" s="249"/>
      <c r="O230" s="146"/>
      <c r="P230" s="146"/>
      <c r="Q230" s="147"/>
      <c r="R230" s="147"/>
      <c r="S230" s="142"/>
      <c r="T230" s="142"/>
      <c r="U230" s="146"/>
      <c r="V230" s="146"/>
      <c r="W230" s="146"/>
      <c r="X230" s="146"/>
      <c r="Y230" s="146"/>
      <c r="Z230" s="146"/>
      <c r="AA230" s="146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</row>
    <row r="231" spans="2:41" s="247" customFormat="1" ht="11">
      <c r="B231" s="248"/>
      <c r="D231" s="909"/>
      <c r="F231" s="249"/>
      <c r="G231" s="250"/>
      <c r="H231" s="250"/>
      <c r="I231" s="250"/>
      <c r="J231" s="250"/>
      <c r="K231" s="250"/>
      <c r="L231" s="250"/>
      <c r="M231" s="459"/>
      <c r="N231" s="249"/>
      <c r="O231" s="146"/>
      <c r="P231" s="146"/>
      <c r="Q231" s="147"/>
      <c r="R231" s="147"/>
      <c r="S231" s="142"/>
      <c r="T231" s="142"/>
      <c r="U231" s="146"/>
      <c r="V231" s="146"/>
      <c r="W231" s="146"/>
      <c r="X231" s="146"/>
      <c r="Y231" s="146"/>
      <c r="Z231" s="146"/>
      <c r="AA231" s="146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2:41" s="247" customFormat="1" ht="11">
      <c r="B232" s="248"/>
      <c r="D232" s="909"/>
      <c r="F232" s="249"/>
      <c r="G232" s="250"/>
      <c r="H232" s="250"/>
      <c r="I232" s="250"/>
      <c r="J232" s="250"/>
      <c r="K232" s="250"/>
      <c r="L232" s="250"/>
      <c r="M232" s="459"/>
      <c r="N232" s="249"/>
      <c r="O232" s="146"/>
      <c r="P232" s="146"/>
      <c r="Q232" s="147"/>
      <c r="R232" s="147"/>
      <c r="S232" s="142"/>
      <c r="T232" s="142"/>
      <c r="U232" s="146"/>
      <c r="V232" s="146"/>
      <c r="W232" s="146"/>
      <c r="X232" s="146"/>
      <c r="Y232" s="146"/>
      <c r="Z232" s="146"/>
      <c r="AA232" s="146"/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2:41" s="247" customFormat="1" ht="11">
      <c r="B233" s="248"/>
      <c r="D233" s="909"/>
      <c r="F233" s="249"/>
      <c r="G233" s="250"/>
      <c r="H233" s="250"/>
      <c r="I233" s="250"/>
      <c r="J233" s="250"/>
      <c r="K233" s="250"/>
      <c r="L233" s="250"/>
      <c r="M233" s="459"/>
      <c r="N233" s="249"/>
      <c r="O233" s="146"/>
      <c r="P233" s="146"/>
      <c r="Q233" s="147"/>
      <c r="R233" s="147"/>
      <c r="S233" s="142"/>
      <c r="T233" s="142"/>
      <c r="U233" s="146"/>
      <c r="V233" s="146"/>
      <c r="W233" s="146"/>
      <c r="X233" s="146"/>
      <c r="Y233" s="146"/>
      <c r="Z233" s="146"/>
      <c r="AA233" s="146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2:41" s="247" customFormat="1" ht="11">
      <c r="B234" s="248"/>
      <c r="D234" s="909"/>
      <c r="F234" s="249"/>
      <c r="G234" s="250"/>
      <c r="H234" s="250"/>
      <c r="I234" s="250"/>
      <c r="J234" s="250"/>
      <c r="K234" s="250"/>
      <c r="L234" s="250"/>
      <c r="M234" s="459"/>
      <c r="N234" s="249"/>
      <c r="O234" s="146"/>
      <c r="P234" s="146"/>
      <c r="Q234" s="147"/>
      <c r="R234" s="147"/>
      <c r="S234" s="142"/>
      <c r="T234" s="142"/>
      <c r="U234" s="146">
        <f>SUBTOTAL(9,U192:U233)</f>
        <v>0</v>
      </c>
      <c r="V234" s="146">
        <f t="shared" ref="V234:AA234" si="86">SUBTOTAL(9,V192:V233)</f>
        <v>0</v>
      </c>
      <c r="W234" s="146">
        <f t="shared" si="86"/>
        <v>0</v>
      </c>
      <c r="X234" s="146">
        <f t="shared" si="86"/>
        <v>0</v>
      </c>
      <c r="Y234" s="146">
        <f t="shared" si="86"/>
        <v>0</v>
      </c>
      <c r="Z234" s="146">
        <f t="shared" si="86"/>
        <v>0</v>
      </c>
      <c r="AA234" s="146">
        <f t="shared" si="86"/>
        <v>0</v>
      </c>
      <c r="AC234" s="214"/>
      <c r="AD234" s="214"/>
      <c r="AE234" s="214"/>
      <c r="AF234" s="214"/>
      <c r="AG234" s="214"/>
      <c r="AH234" s="214"/>
      <c r="AI234" s="214"/>
      <c r="AJ234" s="214"/>
      <c r="AK234" s="214"/>
      <c r="AL234" s="214"/>
      <c r="AM234" s="214"/>
    </row>
    <row r="235" spans="2:41" s="213" customFormat="1" ht="14" thickBot="1">
      <c r="B235" s="225"/>
      <c r="D235" s="910"/>
      <c r="F235" s="242"/>
      <c r="G235" s="243"/>
      <c r="H235" s="243"/>
      <c r="I235" s="243"/>
      <c r="J235" s="243"/>
      <c r="K235" s="243"/>
      <c r="L235" s="243"/>
      <c r="M235" s="459"/>
      <c r="N235" s="242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</row>
    <row r="236" spans="2:41" s="213" customFormat="1" ht="15" thickTop="1" thickBot="1">
      <c r="B236" s="225"/>
      <c r="D236" s="910"/>
      <c r="F236" s="242"/>
      <c r="G236" s="243"/>
      <c r="H236" s="243"/>
      <c r="I236" s="243"/>
      <c r="J236" s="243"/>
      <c r="K236" s="243"/>
      <c r="L236" s="243"/>
      <c r="M236" s="459"/>
      <c r="N236" s="242"/>
      <c r="O236" s="141"/>
      <c r="P236" s="141"/>
      <c r="Q236" s="148"/>
      <c r="R236" s="148"/>
      <c r="S236" s="148"/>
      <c r="T236" s="148"/>
      <c r="U236" s="151">
        <f>SUBTOTAL(9,U194:U235)</f>
        <v>0</v>
      </c>
      <c r="V236" s="152">
        <f t="shared" ref="V236:AA236" si="87">SUBTOTAL(9,V194:V235)</f>
        <v>0</v>
      </c>
      <c r="W236" s="153">
        <f t="shared" si="87"/>
        <v>0</v>
      </c>
      <c r="X236" s="153">
        <f t="shared" si="87"/>
        <v>0</v>
      </c>
      <c r="Y236" s="153">
        <f t="shared" si="87"/>
        <v>0</v>
      </c>
      <c r="Z236" s="153">
        <f t="shared" si="87"/>
        <v>0</v>
      </c>
      <c r="AA236" s="154">
        <f t="shared" si="87"/>
        <v>0</v>
      </c>
      <c r="AB236" s="246"/>
      <c r="AC236" s="246"/>
      <c r="AE236" s="214"/>
      <c r="AF236" s="214"/>
      <c r="AG236" s="214"/>
      <c r="AH236" s="214"/>
      <c r="AI236" s="214"/>
      <c r="AJ236" s="214"/>
      <c r="AK236" s="214"/>
      <c r="AL236" s="214"/>
      <c r="AM236" s="214"/>
      <c r="AN236" s="214"/>
      <c r="AO236" s="214"/>
    </row>
    <row r="237" spans="2:41" s="213" customFormat="1" ht="14" thickTop="1">
      <c r="B237" s="225"/>
      <c r="D237" s="910"/>
      <c r="F237" s="242"/>
      <c r="G237" s="243"/>
      <c r="H237" s="243"/>
      <c r="I237" s="243"/>
      <c r="J237" s="243"/>
      <c r="K237" s="243"/>
      <c r="L237" s="243"/>
      <c r="M237" s="459"/>
      <c r="N237" s="242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14"/>
      <c r="AD237" s="214"/>
      <c r="AE237" s="214"/>
      <c r="AF237" s="214"/>
      <c r="AG237" s="214"/>
      <c r="AH237" s="214"/>
      <c r="AI237" s="214"/>
      <c r="AJ237" s="214"/>
      <c r="AK237" s="214"/>
      <c r="AL237" s="214"/>
      <c r="AM237" s="214"/>
    </row>
    <row r="238" spans="2:41" s="213" customFormat="1">
      <c r="B238" s="225"/>
      <c r="D238" s="910"/>
      <c r="F238" s="242"/>
      <c r="G238" s="243"/>
      <c r="H238" s="243"/>
      <c r="I238" s="243"/>
      <c r="J238" s="243"/>
      <c r="K238" s="243"/>
      <c r="L238" s="243"/>
      <c r="M238" s="459"/>
      <c r="N238" s="242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14"/>
      <c r="AD238" s="214"/>
      <c r="AE238" s="214"/>
      <c r="AF238" s="214"/>
      <c r="AG238" s="214"/>
      <c r="AH238" s="214"/>
      <c r="AI238" s="214"/>
      <c r="AJ238" s="214"/>
      <c r="AK238" s="214"/>
      <c r="AL238" s="214"/>
      <c r="AM238" s="214"/>
    </row>
    <row r="239" spans="2:41" s="213" customFormat="1">
      <c r="B239" s="225"/>
      <c r="D239" s="910"/>
      <c r="F239" s="242"/>
      <c r="G239" s="243"/>
      <c r="H239" s="243"/>
      <c r="I239" s="243"/>
      <c r="J239" s="243"/>
      <c r="K239" s="243"/>
      <c r="L239" s="243"/>
      <c r="M239" s="459"/>
      <c r="N239" s="242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14"/>
      <c r="AD239" s="214"/>
      <c r="AE239" s="214"/>
      <c r="AF239" s="214"/>
      <c r="AG239" s="214"/>
      <c r="AH239" s="214"/>
      <c r="AI239" s="214"/>
      <c r="AJ239" s="214"/>
      <c r="AK239" s="214"/>
      <c r="AL239" s="214"/>
      <c r="AM239" s="214"/>
    </row>
    <row r="240" spans="2:41" s="213" customFormat="1">
      <c r="B240" s="225"/>
      <c r="D240" s="910"/>
      <c r="F240" s="242"/>
      <c r="G240" s="243"/>
      <c r="H240" s="243"/>
      <c r="I240" s="243"/>
      <c r="J240" s="243"/>
      <c r="K240" s="243"/>
      <c r="L240" s="243"/>
      <c r="M240" s="459"/>
      <c r="N240" s="242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14"/>
      <c r="AD240" s="214"/>
      <c r="AE240" s="214"/>
      <c r="AF240" s="214"/>
      <c r="AG240" s="214"/>
      <c r="AH240" s="214"/>
      <c r="AI240" s="214"/>
      <c r="AJ240" s="214"/>
      <c r="AK240" s="214"/>
      <c r="AL240" s="214"/>
      <c r="AM240" s="214"/>
    </row>
    <row r="241" spans="2:39" s="213" customFormat="1">
      <c r="B241" s="225"/>
      <c r="D241" s="910"/>
      <c r="F241" s="242"/>
      <c r="G241" s="243"/>
      <c r="H241" s="243"/>
      <c r="I241" s="243"/>
      <c r="J241" s="243"/>
      <c r="K241" s="243"/>
      <c r="L241" s="243"/>
      <c r="M241" s="459"/>
      <c r="N241" s="242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14"/>
      <c r="AD241" s="214"/>
      <c r="AE241" s="214"/>
      <c r="AF241" s="214"/>
      <c r="AG241" s="214"/>
      <c r="AH241" s="214"/>
      <c r="AI241" s="214"/>
      <c r="AJ241" s="214"/>
      <c r="AK241" s="214"/>
      <c r="AL241" s="214"/>
      <c r="AM241" s="214"/>
    </row>
    <row r="242" spans="2:39" s="213" customFormat="1">
      <c r="B242" s="225"/>
      <c r="D242" s="910"/>
      <c r="F242" s="242"/>
      <c r="G242" s="243"/>
      <c r="H242" s="243"/>
      <c r="I242" s="243"/>
      <c r="J242" s="243"/>
      <c r="K242" s="243"/>
      <c r="L242" s="243"/>
      <c r="M242" s="459"/>
      <c r="N242" s="242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14"/>
      <c r="AD242" s="214"/>
      <c r="AE242" s="214"/>
      <c r="AF242" s="214"/>
      <c r="AG242" s="214"/>
      <c r="AH242" s="214"/>
      <c r="AI242" s="214"/>
      <c r="AJ242" s="214"/>
      <c r="AK242" s="214"/>
      <c r="AL242" s="214"/>
      <c r="AM242" s="214"/>
    </row>
    <row r="243" spans="2:39" s="213" customFormat="1">
      <c r="B243" s="225"/>
      <c r="D243" s="910"/>
      <c r="F243" s="242"/>
      <c r="G243" s="243"/>
      <c r="H243" s="243"/>
      <c r="I243" s="243"/>
      <c r="J243" s="243"/>
      <c r="K243" s="243"/>
      <c r="L243" s="243"/>
      <c r="M243" s="459"/>
      <c r="N243" s="242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14"/>
      <c r="AD243" s="214"/>
      <c r="AE243" s="214"/>
      <c r="AF243" s="214"/>
      <c r="AG243" s="214"/>
      <c r="AH243" s="214"/>
      <c r="AI243" s="214"/>
      <c r="AJ243" s="214"/>
      <c r="AK243" s="214"/>
      <c r="AL243" s="214"/>
      <c r="AM243" s="214"/>
    </row>
    <row r="244" spans="2:39" s="213" customFormat="1">
      <c r="B244" s="225"/>
      <c r="D244" s="910"/>
      <c r="F244" s="242"/>
      <c r="G244" s="243"/>
      <c r="H244" s="243"/>
      <c r="I244" s="243"/>
      <c r="J244" s="243"/>
      <c r="K244" s="243"/>
      <c r="L244" s="243"/>
      <c r="M244" s="459"/>
      <c r="N244" s="242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14"/>
      <c r="AD244" s="214"/>
      <c r="AE244" s="214"/>
      <c r="AF244" s="214"/>
      <c r="AG244" s="214"/>
      <c r="AH244" s="214"/>
      <c r="AI244" s="214"/>
      <c r="AJ244" s="214"/>
      <c r="AK244" s="214"/>
      <c r="AL244" s="214"/>
      <c r="AM244" s="214"/>
    </row>
    <row r="245" spans="2:39" s="213" customFormat="1">
      <c r="B245" s="225"/>
      <c r="D245" s="910"/>
      <c r="F245" s="242"/>
      <c r="G245" s="243"/>
      <c r="H245" s="243"/>
      <c r="I245" s="243"/>
      <c r="J245" s="243"/>
      <c r="K245" s="243"/>
      <c r="L245" s="243"/>
      <c r="M245" s="459"/>
      <c r="N245" s="242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14"/>
      <c r="AD245" s="214"/>
      <c r="AE245" s="214"/>
      <c r="AF245" s="214"/>
      <c r="AG245" s="214"/>
      <c r="AH245" s="214"/>
      <c r="AI245" s="214"/>
      <c r="AJ245" s="214"/>
      <c r="AK245" s="214"/>
      <c r="AL245" s="214"/>
      <c r="AM245" s="214"/>
    </row>
    <row r="246" spans="2:39" s="213" customFormat="1">
      <c r="B246" s="225"/>
      <c r="D246" s="910"/>
      <c r="F246" s="242"/>
      <c r="G246" s="243"/>
      <c r="H246" s="243"/>
      <c r="I246" s="243"/>
      <c r="J246" s="243"/>
      <c r="K246" s="243"/>
      <c r="L246" s="243"/>
      <c r="M246" s="459"/>
      <c r="N246" s="242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14"/>
      <c r="AD246" s="214"/>
      <c r="AE246" s="214"/>
      <c r="AF246" s="214"/>
      <c r="AG246" s="214"/>
      <c r="AH246" s="214"/>
      <c r="AI246" s="214"/>
      <c r="AJ246" s="214"/>
      <c r="AK246" s="214"/>
      <c r="AL246" s="214"/>
      <c r="AM246" s="214"/>
    </row>
    <row r="247" spans="2:39" s="213" customFormat="1">
      <c r="B247" s="225"/>
      <c r="D247" s="910"/>
      <c r="F247" s="242"/>
      <c r="G247" s="243"/>
      <c r="H247" s="243"/>
      <c r="I247" s="243"/>
      <c r="J247" s="243"/>
      <c r="K247" s="243"/>
      <c r="L247" s="243"/>
      <c r="M247" s="459"/>
      <c r="N247" s="242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14"/>
      <c r="AD247" s="214"/>
      <c r="AE247" s="214"/>
      <c r="AF247" s="214"/>
      <c r="AG247" s="214"/>
      <c r="AH247" s="214"/>
      <c r="AI247" s="214"/>
      <c r="AJ247" s="214"/>
      <c r="AK247" s="214"/>
      <c r="AL247" s="214"/>
      <c r="AM247" s="214"/>
    </row>
    <row r="248" spans="2:39" s="213" customFormat="1">
      <c r="B248" s="225"/>
      <c r="D248" s="910"/>
      <c r="F248" s="242"/>
      <c r="G248" s="243"/>
      <c r="H248" s="243"/>
      <c r="I248" s="243"/>
      <c r="J248" s="243"/>
      <c r="K248" s="243"/>
      <c r="L248" s="243"/>
      <c r="M248" s="459"/>
      <c r="N248" s="242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14"/>
      <c r="AD248" s="214"/>
      <c r="AE248" s="214"/>
      <c r="AF248" s="214"/>
      <c r="AG248" s="214"/>
      <c r="AH248" s="214"/>
      <c r="AI248" s="214"/>
      <c r="AJ248" s="214"/>
      <c r="AK248" s="214"/>
      <c r="AL248" s="214"/>
      <c r="AM248" s="214"/>
    </row>
    <row r="249" spans="2:39" s="213" customFormat="1">
      <c r="B249" s="225"/>
      <c r="D249" s="910"/>
      <c r="F249" s="242"/>
      <c r="G249" s="243"/>
      <c r="H249" s="243"/>
      <c r="I249" s="243"/>
      <c r="J249" s="243"/>
      <c r="K249" s="243"/>
      <c r="L249" s="243"/>
      <c r="M249" s="459"/>
      <c r="N249" s="242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14"/>
      <c r="AD249" s="214"/>
      <c r="AE249" s="214"/>
      <c r="AF249" s="214"/>
      <c r="AG249" s="214"/>
      <c r="AH249" s="214"/>
      <c r="AI249" s="214"/>
      <c r="AJ249" s="214"/>
      <c r="AK249" s="214"/>
      <c r="AL249" s="214"/>
      <c r="AM249" s="214"/>
    </row>
    <row r="250" spans="2:39" s="213" customFormat="1">
      <c r="B250" s="225"/>
      <c r="D250" s="910"/>
      <c r="F250" s="242"/>
      <c r="G250" s="243"/>
      <c r="H250" s="243"/>
      <c r="I250" s="243"/>
      <c r="J250" s="243"/>
      <c r="K250" s="243"/>
      <c r="L250" s="243"/>
      <c r="M250" s="459"/>
      <c r="N250" s="242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14"/>
      <c r="AD250" s="214"/>
      <c r="AE250" s="214"/>
      <c r="AF250" s="214"/>
      <c r="AG250" s="214"/>
      <c r="AH250" s="214"/>
      <c r="AI250" s="214"/>
      <c r="AJ250" s="214"/>
      <c r="AK250" s="214"/>
      <c r="AL250" s="214"/>
      <c r="AM250" s="214"/>
    </row>
    <row r="251" spans="2:39" s="213" customFormat="1">
      <c r="B251" s="225"/>
      <c r="D251" s="910"/>
      <c r="F251" s="242"/>
      <c r="G251" s="243"/>
      <c r="H251" s="243"/>
      <c r="I251" s="243"/>
      <c r="J251" s="243"/>
      <c r="K251" s="243"/>
      <c r="L251" s="243"/>
      <c r="M251" s="459"/>
      <c r="N251" s="242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14"/>
      <c r="AD251" s="214"/>
      <c r="AE251" s="214"/>
      <c r="AF251" s="214"/>
      <c r="AG251" s="214"/>
      <c r="AH251" s="214"/>
      <c r="AI251" s="214"/>
      <c r="AJ251" s="214"/>
      <c r="AK251" s="214"/>
      <c r="AL251" s="214"/>
      <c r="AM251" s="214"/>
    </row>
    <row r="252" spans="2:39" s="213" customFormat="1">
      <c r="B252" s="225"/>
      <c r="D252" s="910"/>
      <c r="F252" s="242"/>
      <c r="G252" s="243"/>
      <c r="H252" s="243"/>
      <c r="I252" s="243"/>
      <c r="J252" s="243"/>
      <c r="K252" s="243"/>
      <c r="L252" s="243"/>
      <c r="M252" s="459"/>
      <c r="N252" s="242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14"/>
      <c r="AD252" s="214"/>
      <c r="AE252" s="214"/>
      <c r="AF252" s="214"/>
      <c r="AG252" s="214"/>
      <c r="AH252" s="214"/>
      <c r="AI252" s="214"/>
      <c r="AJ252" s="214"/>
      <c r="AK252" s="214"/>
      <c r="AL252" s="214"/>
      <c r="AM252" s="214"/>
    </row>
    <row r="253" spans="2:39" s="213" customFormat="1">
      <c r="B253" s="225"/>
      <c r="D253" s="910"/>
      <c r="F253" s="242"/>
      <c r="G253" s="243"/>
      <c r="H253" s="243"/>
      <c r="I253" s="243"/>
      <c r="J253" s="243"/>
      <c r="K253" s="243"/>
      <c r="L253" s="243"/>
      <c r="M253" s="459"/>
      <c r="N253" s="242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14"/>
      <c r="AD253" s="214"/>
      <c r="AE253" s="214"/>
      <c r="AF253" s="214"/>
      <c r="AG253" s="214"/>
      <c r="AH253" s="214"/>
      <c r="AI253" s="214"/>
      <c r="AJ253" s="214"/>
      <c r="AK253" s="214"/>
      <c r="AL253" s="214"/>
      <c r="AM253" s="214"/>
    </row>
    <row r="254" spans="2:39" s="213" customFormat="1">
      <c r="B254" s="225"/>
      <c r="D254" s="910"/>
      <c r="F254" s="242"/>
      <c r="G254" s="243"/>
      <c r="H254" s="243"/>
      <c r="I254" s="243"/>
      <c r="J254" s="243"/>
      <c r="K254" s="243"/>
      <c r="L254" s="243"/>
      <c r="M254" s="459"/>
      <c r="N254" s="242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14"/>
      <c r="AD254" s="214"/>
      <c r="AE254" s="214"/>
      <c r="AF254" s="214"/>
      <c r="AG254" s="214"/>
      <c r="AH254" s="214"/>
      <c r="AI254" s="214"/>
      <c r="AJ254" s="214"/>
      <c r="AK254" s="214"/>
      <c r="AL254" s="214"/>
      <c r="AM254" s="214"/>
    </row>
    <row r="255" spans="2:39" s="213" customFormat="1">
      <c r="B255" s="225"/>
      <c r="D255" s="910"/>
      <c r="F255" s="242"/>
      <c r="G255" s="243"/>
      <c r="H255" s="243"/>
      <c r="I255" s="243"/>
      <c r="J255" s="243"/>
      <c r="K255" s="243"/>
      <c r="L255" s="243"/>
      <c r="M255" s="459"/>
      <c r="N255" s="242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14"/>
      <c r="AD255" s="214"/>
      <c r="AE255" s="214"/>
      <c r="AF255" s="214"/>
      <c r="AG255" s="214"/>
      <c r="AH255" s="214"/>
      <c r="AI255" s="214"/>
      <c r="AJ255" s="214"/>
      <c r="AK255" s="214"/>
      <c r="AL255" s="214"/>
      <c r="AM255" s="214"/>
    </row>
    <row r="256" spans="2:39" s="213" customFormat="1">
      <c r="B256" s="225"/>
      <c r="D256" s="910"/>
      <c r="F256" s="242"/>
      <c r="G256" s="243"/>
      <c r="H256" s="243"/>
      <c r="I256" s="243"/>
      <c r="J256" s="243"/>
      <c r="K256" s="243"/>
      <c r="L256" s="243"/>
      <c r="M256" s="459"/>
      <c r="N256" s="242"/>
      <c r="O256" s="141"/>
      <c r="P256" s="141"/>
      <c r="Q256" s="148"/>
      <c r="R256" s="148"/>
      <c r="S256" s="149"/>
      <c r="T256" s="149"/>
      <c r="U256" s="150"/>
      <c r="V256" s="150"/>
      <c r="W256" s="150"/>
      <c r="X256" s="150"/>
      <c r="Y256" s="150"/>
      <c r="Z256" s="150"/>
      <c r="AA256" s="150"/>
      <c r="AC256" s="214"/>
      <c r="AD256" s="214"/>
      <c r="AE256" s="214"/>
      <c r="AF256" s="214"/>
      <c r="AG256" s="214"/>
      <c r="AH256" s="214"/>
      <c r="AI256" s="214"/>
      <c r="AJ256" s="214"/>
      <c r="AK256" s="214"/>
      <c r="AL256" s="214"/>
      <c r="AM256" s="214"/>
    </row>
    <row r="257" spans="1:40" s="213" customFormat="1">
      <c r="B257" s="225"/>
      <c r="D257" s="910"/>
      <c r="F257" s="242"/>
      <c r="G257" s="243"/>
      <c r="H257" s="243"/>
      <c r="I257" s="243"/>
      <c r="J257" s="243"/>
      <c r="K257" s="243"/>
      <c r="L257" s="243"/>
      <c r="M257" s="459"/>
      <c r="N257" s="242"/>
      <c r="O257" s="141"/>
      <c r="P257" s="141"/>
      <c r="Q257" s="148"/>
      <c r="R257" s="148"/>
      <c r="S257" s="149"/>
      <c r="T257" s="149"/>
      <c r="U257" s="150"/>
      <c r="V257" s="150"/>
      <c r="W257" s="150"/>
      <c r="X257" s="150"/>
      <c r="Y257" s="150"/>
      <c r="Z257" s="150"/>
      <c r="AA257" s="150"/>
      <c r="AC257" s="214"/>
      <c r="AD257" s="214"/>
      <c r="AE257" s="214"/>
      <c r="AF257" s="214"/>
      <c r="AG257" s="214"/>
      <c r="AH257" s="214"/>
      <c r="AI257" s="214"/>
      <c r="AJ257" s="214"/>
      <c r="AK257" s="214"/>
      <c r="AL257" s="214"/>
      <c r="AM257" s="214"/>
    </row>
    <row r="258" spans="1:40" s="213" customFormat="1">
      <c r="B258" s="225"/>
      <c r="D258" s="910"/>
      <c r="F258" s="242"/>
      <c r="G258" s="243"/>
      <c r="H258" s="243"/>
      <c r="I258" s="243"/>
      <c r="J258" s="243"/>
      <c r="K258" s="243"/>
      <c r="L258" s="243"/>
      <c r="M258" s="459"/>
      <c r="N258" s="242"/>
      <c r="O258" s="141"/>
      <c r="P258" s="141"/>
      <c r="Q258" s="148"/>
      <c r="R258" s="148"/>
      <c r="S258" s="149"/>
      <c r="T258" s="149"/>
      <c r="U258" s="150"/>
      <c r="V258" s="150"/>
      <c r="W258" s="150"/>
      <c r="X258" s="150"/>
      <c r="Y258" s="150"/>
      <c r="Z258" s="150"/>
      <c r="AA258" s="150"/>
      <c r="AC258" s="214"/>
      <c r="AD258" s="214"/>
      <c r="AE258" s="214"/>
      <c r="AF258" s="214"/>
      <c r="AG258" s="214"/>
      <c r="AH258" s="214"/>
      <c r="AI258" s="214"/>
      <c r="AJ258" s="214"/>
      <c r="AK258" s="214"/>
      <c r="AL258" s="214"/>
      <c r="AM258" s="214"/>
    </row>
    <row r="259" spans="1:40" s="213" customFormat="1">
      <c r="B259" s="225"/>
      <c r="D259" s="910"/>
      <c r="F259" s="242"/>
      <c r="G259" s="243"/>
      <c r="H259" s="243"/>
      <c r="I259" s="243"/>
      <c r="J259" s="243"/>
      <c r="K259" s="243"/>
      <c r="L259" s="243"/>
      <c r="M259" s="459"/>
      <c r="N259" s="242"/>
      <c r="O259" s="141"/>
      <c r="P259" s="141"/>
      <c r="Q259" s="148"/>
      <c r="R259" s="148"/>
      <c r="S259" s="149"/>
      <c r="T259" s="149"/>
      <c r="U259" s="150"/>
      <c r="V259" s="150"/>
      <c r="W259" s="150"/>
      <c r="X259" s="150"/>
      <c r="Y259" s="150"/>
      <c r="Z259" s="150"/>
      <c r="AA259" s="150"/>
      <c r="AC259" s="214"/>
      <c r="AD259" s="214"/>
      <c r="AE259" s="214"/>
      <c r="AF259" s="214"/>
      <c r="AG259" s="214"/>
      <c r="AH259" s="214"/>
      <c r="AI259" s="214"/>
      <c r="AJ259" s="214"/>
      <c r="AK259" s="214"/>
      <c r="AL259" s="214"/>
      <c r="AM259" s="214"/>
    </row>
    <row r="260" spans="1:40" s="213" customFormat="1">
      <c r="B260" s="225"/>
      <c r="D260" s="910"/>
      <c r="F260" s="242"/>
      <c r="G260" s="243"/>
      <c r="H260" s="243"/>
      <c r="I260" s="243"/>
      <c r="J260" s="243"/>
      <c r="K260" s="243"/>
      <c r="L260" s="243"/>
      <c r="M260" s="459"/>
      <c r="N260" s="242"/>
      <c r="O260" s="141"/>
      <c r="P260" s="141"/>
      <c r="Q260" s="148"/>
      <c r="R260" s="148"/>
      <c r="S260" s="149"/>
      <c r="T260" s="149"/>
      <c r="U260" s="150"/>
      <c r="V260" s="150"/>
      <c r="W260" s="150"/>
      <c r="X260" s="150"/>
      <c r="Y260" s="150"/>
      <c r="Z260" s="150"/>
      <c r="AA260" s="150"/>
      <c r="AC260" s="214"/>
      <c r="AD260" s="214"/>
      <c r="AE260" s="214"/>
      <c r="AF260" s="214"/>
      <c r="AG260" s="214"/>
      <c r="AH260" s="214"/>
      <c r="AI260" s="214"/>
      <c r="AJ260" s="214"/>
      <c r="AK260" s="214"/>
      <c r="AL260" s="214"/>
      <c r="AM260" s="214"/>
    </row>
    <row r="261" spans="1:40" s="213" customFormat="1">
      <c r="B261" s="225"/>
      <c r="D261" s="910"/>
      <c r="F261" s="242"/>
      <c r="G261" s="243"/>
      <c r="H261" s="243"/>
      <c r="I261" s="243"/>
      <c r="J261" s="243"/>
      <c r="K261" s="243"/>
      <c r="L261" s="243"/>
      <c r="M261" s="459"/>
      <c r="N261" s="242"/>
      <c r="O261" s="141"/>
      <c r="P261" s="141"/>
      <c r="Q261" s="148"/>
      <c r="R261" s="148"/>
      <c r="S261" s="149"/>
      <c r="T261" s="149"/>
      <c r="U261" s="150"/>
      <c r="V261" s="150"/>
      <c r="W261" s="150"/>
      <c r="X261" s="150"/>
      <c r="Y261" s="150"/>
      <c r="Z261" s="150"/>
      <c r="AA261" s="150"/>
      <c r="AC261" s="214"/>
      <c r="AD261" s="214"/>
      <c r="AE261" s="214"/>
      <c r="AF261" s="214"/>
      <c r="AG261" s="214"/>
      <c r="AH261" s="214"/>
      <c r="AI261" s="214"/>
      <c r="AJ261" s="214"/>
      <c r="AK261" s="214"/>
      <c r="AL261" s="214"/>
      <c r="AM261" s="214"/>
    </row>
    <row r="262" spans="1:40" s="213" customFormat="1">
      <c r="B262" s="225"/>
      <c r="D262" s="910"/>
      <c r="F262" s="242"/>
      <c r="G262" s="243"/>
      <c r="H262" s="243"/>
      <c r="I262" s="243"/>
      <c r="J262" s="243"/>
      <c r="K262" s="243"/>
      <c r="L262" s="243"/>
      <c r="M262" s="459"/>
      <c r="N262" s="242"/>
      <c r="O262" s="141"/>
      <c r="P262" s="141"/>
      <c r="Q262" s="148"/>
      <c r="R262" s="148"/>
      <c r="S262" s="149"/>
      <c r="T262" s="149"/>
      <c r="U262" s="150"/>
      <c r="V262" s="150"/>
      <c r="W262" s="150"/>
      <c r="X262" s="150"/>
      <c r="Y262" s="150"/>
      <c r="Z262" s="150"/>
      <c r="AA262" s="150"/>
      <c r="AC262" s="214"/>
      <c r="AD262" s="214"/>
      <c r="AE262" s="214"/>
      <c r="AF262" s="214"/>
      <c r="AG262" s="214"/>
      <c r="AH262" s="214"/>
      <c r="AI262" s="214"/>
      <c r="AJ262" s="214"/>
      <c r="AK262" s="214"/>
      <c r="AL262" s="214"/>
      <c r="AM262" s="214"/>
    </row>
    <row r="263" spans="1:40" s="213" customFormat="1">
      <c r="B263" s="225"/>
      <c r="D263" s="910"/>
      <c r="F263" s="242"/>
      <c r="G263" s="243"/>
      <c r="H263" s="243"/>
      <c r="I263" s="243"/>
      <c r="J263" s="243"/>
      <c r="K263" s="243"/>
      <c r="L263" s="243"/>
      <c r="M263" s="459"/>
      <c r="N263" s="242"/>
      <c r="O263" s="141"/>
      <c r="P263" s="141"/>
      <c r="Q263" s="148"/>
      <c r="R263" s="148"/>
      <c r="S263" s="149"/>
      <c r="T263" s="149"/>
      <c r="U263" s="150"/>
      <c r="V263" s="150"/>
      <c r="W263" s="150"/>
      <c r="X263" s="150"/>
      <c r="Y263" s="150"/>
      <c r="Z263" s="150"/>
      <c r="AA263" s="150"/>
      <c r="AC263" s="214"/>
      <c r="AD263" s="214"/>
      <c r="AE263" s="214"/>
      <c r="AF263" s="214"/>
      <c r="AG263" s="214"/>
      <c r="AH263" s="214"/>
      <c r="AI263" s="214"/>
      <c r="AJ263" s="214"/>
      <c r="AK263" s="214"/>
      <c r="AL263" s="214"/>
      <c r="AM263" s="214"/>
    </row>
    <row r="264" spans="1:40" s="213" customFormat="1">
      <c r="B264" s="225"/>
      <c r="D264" s="910"/>
      <c r="F264" s="242"/>
      <c r="G264" s="243"/>
      <c r="H264" s="243"/>
      <c r="I264" s="243"/>
      <c r="J264" s="243"/>
      <c r="K264" s="243"/>
      <c r="L264" s="243"/>
      <c r="M264" s="459"/>
      <c r="N264" s="242"/>
      <c r="O264" s="141"/>
      <c r="P264" s="141"/>
      <c r="Q264" s="148"/>
      <c r="R264" s="148"/>
      <c r="S264" s="149"/>
      <c r="T264" s="149"/>
      <c r="U264" s="150"/>
      <c r="V264" s="150"/>
      <c r="W264" s="150"/>
      <c r="X264" s="150"/>
      <c r="Y264" s="150"/>
      <c r="Z264" s="150"/>
      <c r="AA264" s="150"/>
      <c r="AC264" s="214"/>
      <c r="AD264" s="214"/>
      <c r="AE264" s="214"/>
      <c r="AF264" s="214"/>
      <c r="AG264" s="214"/>
      <c r="AH264" s="214"/>
      <c r="AI264" s="214"/>
      <c r="AJ264" s="214"/>
      <c r="AK264" s="214"/>
      <c r="AL264" s="214"/>
      <c r="AM264" s="214"/>
    </row>
    <row r="265" spans="1:40" s="213" customFormat="1">
      <c r="B265" s="225"/>
      <c r="D265" s="910"/>
      <c r="F265" s="242"/>
      <c r="G265" s="243"/>
      <c r="H265" s="243"/>
      <c r="I265" s="243"/>
      <c r="J265" s="243"/>
      <c r="K265" s="243"/>
      <c r="L265" s="243"/>
      <c r="M265" s="459"/>
      <c r="N265" s="242"/>
      <c r="O265" s="141"/>
      <c r="P265" s="141"/>
      <c r="Q265" s="148"/>
      <c r="R265" s="148"/>
      <c r="S265" s="149"/>
      <c r="T265" s="149"/>
      <c r="U265" s="150"/>
      <c r="V265" s="150"/>
      <c r="W265" s="150"/>
      <c r="X265" s="150"/>
      <c r="Y265" s="150"/>
      <c r="Z265" s="150"/>
      <c r="AA265" s="150"/>
      <c r="AC265" s="214"/>
      <c r="AD265" s="214"/>
      <c r="AE265" s="214"/>
      <c r="AF265" s="214"/>
      <c r="AG265" s="214"/>
      <c r="AH265" s="214"/>
      <c r="AI265" s="214"/>
      <c r="AJ265" s="214"/>
      <c r="AK265" s="214"/>
      <c r="AL265" s="214"/>
      <c r="AM265" s="214"/>
    </row>
    <row r="266" spans="1:40" s="213" customFormat="1">
      <c r="B266" s="225"/>
      <c r="D266" s="910"/>
      <c r="F266" s="242"/>
      <c r="G266" s="243"/>
      <c r="H266" s="243"/>
      <c r="I266" s="243"/>
      <c r="J266" s="243"/>
      <c r="K266" s="243"/>
      <c r="L266" s="243"/>
      <c r="M266" s="459"/>
      <c r="N266" s="242"/>
      <c r="O266" s="141"/>
      <c r="P266" s="141"/>
      <c r="Q266" s="148"/>
      <c r="R266" s="148"/>
      <c r="S266" s="149"/>
      <c r="T266" s="149"/>
      <c r="U266" s="150"/>
      <c r="V266" s="150"/>
      <c r="W266" s="150"/>
      <c r="X266" s="150"/>
      <c r="Y266" s="150"/>
      <c r="Z266" s="150"/>
      <c r="AA266" s="150"/>
      <c r="AC266" s="214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</row>
    <row r="267" spans="1:40" s="213" customFormat="1">
      <c r="B267" s="225"/>
      <c r="D267" s="910"/>
      <c r="F267" s="242"/>
      <c r="G267" s="243"/>
      <c r="H267" s="243"/>
      <c r="I267" s="243"/>
      <c r="J267" s="243"/>
      <c r="K267" s="243"/>
      <c r="L267" s="243"/>
      <c r="M267" s="459"/>
      <c r="N267" s="242"/>
      <c r="O267" s="141"/>
      <c r="P267" s="141"/>
      <c r="Q267" s="148"/>
      <c r="R267" s="148"/>
      <c r="S267" s="149"/>
      <c r="T267" s="149"/>
      <c r="U267" s="150"/>
      <c r="V267" s="150"/>
      <c r="W267" s="150"/>
      <c r="X267" s="150"/>
      <c r="Y267" s="150"/>
      <c r="Z267" s="150"/>
      <c r="AA267" s="150"/>
      <c r="AC267" s="214"/>
      <c r="AD267" s="214"/>
      <c r="AE267" s="214"/>
      <c r="AF267" s="214"/>
      <c r="AG267" s="214"/>
      <c r="AH267" s="214"/>
      <c r="AI267" s="214"/>
      <c r="AJ267" s="214"/>
      <c r="AK267" s="214"/>
      <c r="AL267" s="214"/>
      <c r="AM267" s="214"/>
    </row>
    <row r="268" spans="1:40">
      <c r="A268" s="204"/>
      <c r="O268" s="155"/>
      <c r="P268" s="155"/>
      <c r="Q268" s="156"/>
      <c r="R268" s="156"/>
      <c r="S268" s="251"/>
      <c r="T268" s="251"/>
      <c r="U268" s="252"/>
      <c r="V268" s="252"/>
      <c r="W268" s="252"/>
      <c r="X268" s="252"/>
      <c r="Y268" s="252"/>
      <c r="Z268" s="252"/>
      <c r="AA268" s="252"/>
      <c r="AN268" s="204"/>
    </row>
    <row r="269" spans="1:40">
      <c r="A269" s="204"/>
      <c r="O269" s="155"/>
      <c r="P269" s="155"/>
      <c r="Q269" s="156"/>
      <c r="R269" s="156"/>
      <c r="S269" s="251"/>
      <c r="T269" s="251"/>
      <c r="U269" s="252"/>
      <c r="V269" s="252"/>
      <c r="W269" s="252"/>
      <c r="X269" s="252"/>
      <c r="Y269" s="252"/>
      <c r="Z269" s="252"/>
      <c r="AA269" s="252"/>
      <c r="AN269" s="204"/>
    </row>
    <row r="270" spans="1:40">
      <c r="A270" s="204"/>
      <c r="O270" s="155"/>
      <c r="P270" s="155"/>
      <c r="Q270" s="156"/>
      <c r="R270" s="156"/>
      <c r="S270" s="251"/>
      <c r="T270" s="251"/>
      <c r="U270" s="252"/>
      <c r="V270" s="252"/>
      <c r="W270" s="252"/>
      <c r="X270" s="252"/>
      <c r="Y270" s="252"/>
      <c r="Z270" s="252"/>
      <c r="AA270" s="252"/>
      <c r="AN270" s="204"/>
    </row>
    <row r="271" spans="1:40">
      <c r="A271" s="204"/>
      <c r="O271" s="155"/>
      <c r="P271" s="155"/>
      <c r="Q271" s="156"/>
      <c r="R271" s="156"/>
      <c r="S271" s="251"/>
      <c r="T271" s="251"/>
      <c r="U271" s="252"/>
      <c r="V271" s="252"/>
      <c r="W271" s="252"/>
      <c r="X271" s="252"/>
      <c r="Y271" s="252"/>
      <c r="Z271" s="252"/>
      <c r="AA271" s="252"/>
      <c r="AN271" s="204"/>
    </row>
    <row r="272" spans="1:40">
      <c r="A272" s="204"/>
      <c r="O272" s="155"/>
      <c r="P272" s="155"/>
      <c r="Q272" s="156"/>
      <c r="R272" s="156"/>
      <c r="S272" s="251"/>
      <c r="T272" s="251"/>
      <c r="U272" s="252"/>
      <c r="V272" s="252"/>
      <c r="W272" s="252"/>
      <c r="X272" s="252"/>
      <c r="Y272" s="252"/>
      <c r="Z272" s="252"/>
      <c r="AA272" s="252"/>
      <c r="AN272" s="204"/>
    </row>
    <row r="273" spans="1:40">
      <c r="A273" s="204"/>
      <c r="O273" s="155"/>
      <c r="P273" s="155"/>
      <c r="Q273" s="156"/>
      <c r="R273" s="156"/>
      <c r="S273" s="251"/>
      <c r="T273" s="251"/>
      <c r="U273" s="252"/>
      <c r="V273" s="252"/>
      <c r="W273" s="252"/>
      <c r="X273" s="252"/>
      <c r="Y273" s="252"/>
      <c r="Z273" s="252"/>
      <c r="AA273" s="252"/>
      <c r="AN273" s="204"/>
    </row>
    <row r="274" spans="1:40">
      <c r="A274" s="204"/>
      <c r="O274" s="155"/>
      <c r="P274" s="155"/>
      <c r="Q274" s="156"/>
      <c r="R274" s="156"/>
      <c r="S274" s="251"/>
      <c r="T274" s="251"/>
      <c r="U274" s="252"/>
      <c r="V274" s="252"/>
      <c r="W274" s="252"/>
      <c r="X274" s="252"/>
      <c r="Y274" s="252"/>
      <c r="Z274" s="252"/>
      <c r="AA274" s="252"/>
      <c r="AN274" s="204"/>
    </row>
    <row r="275" spans="1:40">
      <c r="A275" s="204"/>
      <c r="O275" s="155"/>
      <c r="P275" s="155"/>
      <c r="Q275" s="156"/>
      <c r="R275" s="156"/>
      <c r="S275" s="251"/>
      <c r="T275" s="251"/>
      <c r="U275" s="252"/>
      <c r="V275" s="252"/>
      <c r="W275" s="252"/>
      <c r="X275" s="252"/>
      <c r="Y275" s="252"/>
      <c r="Z275" s="252"/>
      <c r="AA275" s="252"/>
      <c r="AN275" s="204"/>
    </row>
    <row r="276" spans="1:40">
      <c r="A276" s="204"/>
      <c r="O276" s="155"/>
      <c r="P276" s="155"/>
      <c r="Q276" s="156"/>
      <c r="R276" s="156"/>
      <c r="S276" s="251"/>
      <c r="T276" s="251"/>
      <c r="U276" s="252"/>
      <c r="V276" s="252"/>
      <c r="W276" s="252"/>
      <c r="X276" s="252"/>
      <c r="Y276" s="252"/>
      <c r="Z276" s="252"/>
      <c r="AA276" s="252"/>
      <c r="AN276" s="204"/>
    </row>
    <row r="277" spans="1:40">
      <c r="A277" s="204"/>
      <c r="O277" s="155"/>
      <c r="P277" s="155"/>
      <c r="Q277" s="156"/>
      <c r="R277" s="156"/>
      <c r="S277" s="251"/>
      <c r="T277" s="251"/>
      <c r="U277" s="252"/>
      <c r="V277" s="252"/>
      <c r="W277" s="252"/>
      <c r="X277" s="252"/>
      <c r="Y277" s="252"/>
      <c r="Z277" s="252"/>
      <c r="AA277" s="252"/>
      <c r="AN277" s="204"/>
    </row>
    <row r="278" spans="1:40">
      <c r="A278" s="204"/>
      <c r="O278" s="155"/>
      <c r="P278" s="155"/>
      <c r="Q278" s="156"/>
      <c r="R278" s="156"/>
      <c r="S278" s="251"/>
      <c r="T278" s="251"/>
      <c r="U278" s="252"/>
      <c r="V278" s="252"/>
      <c r="W278" s="252"/>
      <c r="X278" s="252"/>
      <c r="Y278" s="252"/>
      <c r="Z278" s="252"/>
      <c r="AA278" s="252"/>
      <c r="AN278" s="204"/>
    </row>
    <row r="279" spans="1:40">
      <c r="A279" s="204"/>
      <c r="O279" s="155"/>
      <c r="P279" s="155"/>
      <c r="Q279" s="156"/>
      <c r="R279" s="156"/>
      <c r="S279" s="251"/>
      <c r="T279" s="251"/>
      <c r="U279" s="252"/>
      <c r="V279" s="252"/>
      <c r="W279" s="252"/>
      <c r="X279" s="252"/>
      <c r="Y279" s="252"/>
      <c r="Z279" s="252"/>
      <c r="AA279" s="252"/>
      <c r="AN279" s="204"/>
    </row>
    <row r="280" spans="1:40">
      <c r="A280" s="204"/>
      <c r="O280" s="155"/>
      <c r="P280" s="155"/>
      <c r="Q280" s="156"/>
      <c r="R280" s="156"/>
      <c r="S280" s="251"/>
      <c r="T280" s="251"/>
      <c r="U280" s="252"/>
      <c r="V280" s="252"/>
      <c r="W280" s="252"/>
      <c r="X280" s="252"/>
      <c r="Y280" s="252"/>
      <c r="Z280" s="252"/>
      <c r="AA280" s="252"/>
      <c r="AN280" s="204"/>
    </row>
    <row r="281" spans="1:40">
      <c r="A281" s="204"/>
      <c r="B281" s="204"/>
      <c r="D281" s="204"/>
      <c r="F281" s="204"/>
      <c r="G281" s="204"/>
      <c r="H281" s="204"/>
      <c r="I281" s="204"/>
      <c r="J281" s="204"/>
      <c r="K281" s="204"/>
      <c r="L281" s="204"/>
      <c r="M281" s="204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204"/>
      <c r="AB281" s="204"/>
      <c r="AC281" s="204"/>
      <c r="AD281" s="204"/>
      <c r="AE281" s="204"/>
      <c r="AF281" s="204"/>
      <c r="AG281" s="204"/>
      <c r="AH281" s="204"/>
      <c r="AI281" s="204"/>
      <c r="AJ281" s="204"/>
      <c r="AK281" s="204"/>
      <c r="AL281" s="204"/>
      <c r="AM281" s="204"/>
      <c r="AN281" s="204"/>
    </row>
    <row r="282" spans="1:40">
      <c r="A282" s="204"/>
      <c r="B282" s="204"/>
      <c r="D282" s="204"/>
      <c r="F282" s="204"/>
      <c r="G282" s="204"/>
      <c r="H282" s="204"/>
      <c r="I282" s="204"/>
      <c r="J282" s="204"/>
      <c r="K282" s="204"/>
      <c r="L282" s="204"/>
      <c r="M282" s="204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204"/>
      <c r="AB282" s="204"/>
      <c r="AC282" s="204"/>
      <c r="AD282" s="204"/>
      <c r="AE282" s="204"/>
      <c r="AF282" s="204"/>
      <c r="AG282" s="204"/>
      <c r="AH282" s="204"/>
      <c r="AI282" s="204"/>
      <c r="AJ282" s="204"/>
      <c r="AK282" s="204"/>
      <c r="AL282" s="204"/>
      <c r="AM282" s="204"/>
      <c r="AN282" s="204"/>
    </row>
    <row r="283" spans="1:40">
      <c r="A283" s="204"/>
      <c r="B283" s="204"/>
      <c r="D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  <c r="AH283" s="204"/>
      <c r="AI283" s="204"/>
      <c r="AJ283" s="204"/>
      <c r="AK283" s="204"/>
      <c r="AL283" s="204"/>
      <c r="AM283" s="204"/>
      <c r="AN283" s="204"/>
    </row>
    <row r="284" spans="1:40">
      <c r="A284" s="204"/>
      <c r="B284" s="204"/>
      <c r="D284" s="204"/>
      <c r="F284" s="204"/>
      <c r="G284" s="204"/>
      <c r="H284" s="204"/>
      <c r="I284" s="204"/>
      <c r="J284" s="204"/>
      <c r="K284" s="204"/>
      <c r="L284" s="204"/>
      <c r="M284" s="204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204"/>
      <c r="AB284" s="204"/>
      <c r="AC284" s="204"/>
      <c r="AD284" s="204"/>
      <c r="AE284" s="204"/>
      <c r="AF284" s="204"/>
      <c r="AG284" s="204"/>
      <c r="AH284" s="204"/>
      <c r="AI284" s="204"/>
      <c r="AJ284" s="204"/>
      <c r="AK284" s="204"/>
      <c r="AL284" s="204"/>
      <c r="AM284" s="204"/>
      <c r="AN284" s="204"/>
    </row>
    <row r="285" spans="1:40">
      <c r="A285" s="204"/>
      <c r="B285" s="204"/>
      <c r="D285" s="204"/>
      <c r="F285" s="204"/>
      <c r="G285" s="204"/>
      <c r="H285" s="204"/>
      <c r="I285" s="204"/>
      <c r="J285" s="204"/>
      <c r="K285" s="204"/>
      <c r="L285" s="204"/>
      <c r="M285" s="204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204"/>
      <c r="AB285" s="204"/>
      <c r="AC285" s="204"/>
      <c r="AD285" s="204"/>
      <c r="AE285" s="204"/>
      <c r="AF285" s="204"/>
      <c r="AG285" s="204"/>
      <c r="AH285" s="204"/>
      <c r="AI285" s="204"/>
      <c r="AJ285" s="204"/>
      <c r="AK285" s="204"/>
      <c r="AL285" s="204"/>
      <c r="AM285" s="204"/>
      <c r="AN285" s="204"/>
    </row>
    <row r="286" spans="1:40">
      <c r="A286" s="204"/>
      <c r="B286" s="204"/>
      <c r="D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204"/>
      <c r="AB286" s="204"/>
      <c r="AC286" s="204"/>
      <c r="AD286" s="204"/>
      <c r="AE286" s="204"/>
      <c r="AF286" s="204"/>
      <c r="AG286" s="204"/>
      <c r="AH286" s="204"/>
      <c r="AI286" s="204"/>
      <c r="AJ286" s="204"/>
      <c r="AK286" s="204"/>
      <c r="AL286" s="204"/>
      <c r="AM286" s="204"/>
      <c r="AN286" s="204"/>
    </row>
    <row r="287" spans="1:40">
      <c r="A287" s="204"/>
      <c r="B287" s="204"/>
      <c r="D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204"/>
      <c r="AB287" s="204"/>
      <c r="AC287" s="204"/>
      <c r="AD287" s="204"/>
      <c r="AE287" s="204"/>
      <c r="AF287" s="204"/>
      <c r="AG287" s="204"/>
      <c r="AH287" s="204"/>
      <c r="AI287" s="204"/>
      <c r="AJ287" s="204"/>
      <c r="AK287" s="204"/>
      <c r="AL287" s="204"/>
      <c r="AM287" s="204"/>
      <c r="AN287" s="204"/>
    </row>
    <row r="288" spans="1:40">
      <c r="A288" s="204"/>
      <c r="B288" s="204"/>
      <c r="D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204"/>
      <c r="AB288" s="204"/>
      <c r="AC288" s="204"/>
      <c r="AD288" s="204"/>
      <c r="AE288" s="204"/>
      <c r="AF288" s="204"/>
      <c r="AG288" s="204"/>
      <c r="AH288" s="204"/>
      <c r="AI288" s="204"/>
      <c r="AJ288" s="204"/>
      <c r="AK288" s="204"/>
      <c r="AL288" s="204"/>
      <c r="AM288" s="204"/>
      <c r="AN288" s="204"/>
    </row>
    <row r="289" spans="1:40">
      <c r="A289" s="204"/>
      <c r="B289" s="204"/>
      <c r="D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204"/>
      <c r="AB289" s="204"/>
      <c r="AC289" s="204"/>
      <c r="AD289" s="204"/>
      <c r="AE289" s="204"/>
      <c r="AF289" s="204"/>
      <c r="AG289" s="204"/>
      <c r="AH289" s="204"/>
      <c r="AI289" s="204"/>
      <c r="AJ289" s="204"/>
      <c r="AK289" s="204"/>
      <c r="AL289" s="204"/>
      <c r="AM289" s="204"/>
      <c r="AN289" s="204"/>
    </row>
    <row r="290" spans="1:40">
      <c r="A290" s="204"/>
      <c r="B290" s="204"/>
      <c r="D290" s="204"/>
      <c r="F290" s="204"/>
      <c r="G290" s="204"/>
      <c r="H290" s="204"/>
      <c r="I290" s="204"/>
      <c r="J290" s="204"/>
      <c r="K290" s="204"/>
      <c r="L290" s="204"/>
      <c r="M290" s="204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204"/>
      <c r="AB290" s="204"/>
      <c r="AC290" s="204"/>
      <c r="AD290" s="204"/>
      <c r="AE290" s="204"/>
      <c r="AF290" s="204"/>
      <c r="AG290" s="204"/>
      <c r="AH290" s="204"/>
      <c r="AI290" s="204"/>
      <c r="AJ290" s="204"/>
      <c r="AK290" s="204"/>
      <c r="AL290" s="204"/>
      <c r="AM290" s="204"/>
      <c r="AN290" s="204"/>
    </row>
    <row r="291" spans="1:40">
      <c r="A291" s="204"/>
      <c r="B291" s="204"/>
      <c r="D291" s="204"/>
      <c r="F291" s="204"/>
      <c r="G291" s="204"/>
      <c r="H291" s="204"/>
      <c r="I291" s="204"/>
      <c r="J291" s="204"/>
      <c r="K291" s="204"/>
      <c r="L291" s="204"/>
      <c r="M291" s="204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204"/>
      <c r="AB291" s="204"/>
      <c r="AC291" s="204"/>
      <c r="AD291" s="204"/>
      <c r="AE291" s="204"/>
      <c r="AF291" s="204"/>
      <c r="AG291" s="204"/>
      <c r="AH291" s="204"/>
      <c r="AI291" s="204"/>
      <c r="AJ291" s="204"/>
      <c r="AK291" s="204"/>
      <c r="AL291" s="204"/>
      <c r="AM291" s="204"/>
      <c r="AN291" s="204"/>
    </row>
    <row r="292" spans="1:40">
      <c r="A292" s="204"/>
      <c r="B292" s="204"/>
      <c r="D292" s="204"/>
      <c r="F292" s="204"/>
      <c r="G292" s="204"/>
      <c r="H292" s="204"/>
      <c r="I292" s="204"/>
      <c r="J292" s="204"/>
      <c r="K292" s="204"/>
      <c r="L292" s="204"/>
      <c r="M292" s="204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204"/>
      <c r="AB292" s="204"/>
      <c r="AC292" s="204"/>
      <c r="AD292" s="204"/>
      <c r="AE292" s="204"/>
      <c r="AF292" s="204"/>
      <c r="AG292" s="204"/>
      <c r="AH292" s="204"/>
      <c r="AI292" s="204"/>
      <c r="AJ292" s="204"/>
      <c r="AK292" s="204"/>
      <c r="AL292" s="204"/>
      <c r="AM292" s="204"/>
      <c r="AN292" s="204"/>
    </row>
    <row r="293" spans="1:40">
      <c r="A293" s="204"/>
      <c r="B293" s="204"/>
      <c r="D293" s="204"/>
      <c r="F293" s="204"/>
      <c r="G293" s="204"/>
      <c r="H293" s="204"/>
      <c r="I293" s="204"/>
      <c r="J293" s="204"/>
      <c r="K293" s="204"/>
      <c r="L293" s="204"/>
      <c r="M293" s="204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204"/>
      <c r="AB293" s="204"/>
      <c r="AC293" s="204"/>
      <c r="AD293" s="204"/>
      <c r="AE293" s="204"/>
      <c r="AF293" s="204"/>
      <c r="AG293" s="204"/>
      <c r="AH293" s="204"/>
      <c r="AI293" s="204"/>
      <c r="AJ293" s="204"/>
      <c r="AK293" s="204"/>
      <c r="AL293" s="204"/>
      <c r="AM293" s="204"/>
      <c r="AN293" s="204"/>
    </row>
    <row r="294" spans="1:40">
      <c r="A294" s="204"/>
      <c r="B294" s="204"/>
      <c r="D294" s="204"/>
      <c r="F294" s="204"/>
      <c r="G294" s="204"/>
      <c r="H294" s="204"/>
      <c r="I294" s="204"/>
      <c r="J294" s="204"/>
      <c r="K294" s="204"/>
      <c r="L294" s="204"/>
      <c r="M294" s="204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  <c r="AA294" s="204"/>
      <c r="AB294" s="204"/>
      <c r="AC294" s="204"/>
      <c r="AD294" s="204"/>
      <c r="AE294" s="204"/>
      <c r="AF294" s="204"/>
      <c r="AG294" s="204"/>
      <c r="AH294" s="204"/>
      <c r="AI294" s="204"/>
      <c r="AJ294" s="204"/>
      <c r="AK294" s="204"/>
      <c r="AL294" s="204"/>
      <c r="AM294" s="204"/>
      <c r="AN294" s="204"/>
    </row>
    <row r="295" spans="1:40">
      <c r="A295" s="204"/>
      <c r="B295" s="204"/>
      <c r="D295" s="204"/>
      <c r="F295" s="204"/>
      <c r="G295" s="204"/>
      <c r="H295" s="204"/>
      <c r="I295" s="204"/>
      <c r="J295" s="204"/>
      <c r="K295" s="204"/>
      <c r="L295" s="204"/>
      <c r="M295" s="204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204"/>
      <c r="AB295" s="204"/>
      <c r="AC295" s="204"/>
      <c r="AD295" s="204"/>
      <c r="AE295" s="204"/>
      <c r="AF295" s="204"/>
      <c r="AG295" s="204"/>
      <c r="AH295" s="204"/>
      <c r="AI295" s="204"/>
      <c r="AJ295" s="204"/>
      <c r="AK295" s="204"/>
      <c r="AL295" s="204"/>
      <c r="AM295" s="204"/>
      <c r="AN295" s="204"/>
    </row>
    <row r="296" spans="1:40">
      <c r="A296" s="204"/>
      <c r="B296" s="204"/>
      <c r="D296" s="204"/>
      <c r="F296" s="204"/>
      <c r="G296" s="204"/>
      <c r="H296" s="204"/>
      <c r="I296" s="204"/>
      <c r="J296" s="204"/>
      <c r="K296" s="204"/>
      <c r="L296" s="204"/>
      <c r="M296" s="204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204"/>
      <c r="AB296" s="204"/>
      <c r="AC296" s="204"/>
      <c r="AD296" s="204"/>
      <c r="AE296" s="204"/>
      <c r="AF296" s="204"/>
      <c r="AG296" s="204"/>
      <c r="AH296" s="204"/>
      <c r="AI296" s="204"/>
      <c r="AJ296" s="204"/>
      <c r="AK296" s="204"/>
      <c r="AL296" s="204"/>
      <c r="AM296" s="204"/>
      <c r="AN296" s="204"/>
    </row>
    <row r="297" spans="1:40">
      <c r="A297" s="204"/>
      <c r="B297" s="204"/>
      <c r="D297" s="204"/>
      <c r="F297" s="204"/>
      <c r="G297" s="204"/>
      <c r="H297" s="204"/>
      <c r="I297" s="204"/>
      <c r="J297" s="204"/>
      <c r="K297" s="204"/>
      <c r="L297" s="204"/>
      <c r="M297" s="204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204"/>
      <c r="AB297" s="204"/>
      <c r="AC297" s="204"/>
      <c r="AD297" s="204"/>
      <c r="AE297" s="204"/>
      <c r="AF297" s="204"/>
      <c r="AG297" s="204"/>
      <c r="AH297" s="204"/>
      <c r="AI297" s="204"/>
      <c r="AJ297" s="204"/>
      <c r="AK297" s="204"/>
      <c r="AL297" s="204"/>
      <c r="AM297" s="204"/>
      <c r="AN297" s="204"/>
    </row>
    <row r="298" spans="1:40">
      <c r="A298" s="204"/>
      <c r="B298" s="204"/>
      <c r="D298" s="204"/>
      <c r="F298" s="204"/>
      <c r="G298" s="204"/>
      <c r="H298" s="204"/>
      <c r="I298" s="204"/>
      <c r="J298" s="204"/>
      <c r="K298" s="204"/>
      <c r="L298" s="204"/>
      <c r="M298" s="204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204"/>
      <c r="AB298" s="204"/>
      <c r="AC298" s="204"/>
      <c r="AD298" s="204"/>
      <c r="AE298" s="204"/>
      <c r="AF298" s="204"/>
      <c r="AG298" s="204"/>
      <c r="AH298" s="204"/>
      <c r="AI298" s="204"/>
      <c r="AJ298" s="204"/>
      <c r="AK298" s="204"/>
      <c r="AL298" s="204"/>
      <c r="AM298" s="204"/>
      <c r="AN298" s="204"/>
    </row>
    <row r="299" spans="1:40">
      <c r="A299" s="204"/>
      <c r="B299" s="204"/>
      <c r="D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204"/>
      <c r="AB299" s="204"/>
      <c r="AC299" s="204"/>
      <c r="AD299" s="204"/>
      <c r="AE299" s="204"/>
      <c r="AF299" s="204"/>
      <c r="AG299" s="204"/>
      <c r="AH299" s="204"/>
      <c r="AI299" s="204"/>
      <c r="AJ299" s="204"/>
      <c r="AK299" s="204"/>
      <c r="AL299" s="204"/>
      <c r="AM299" s="204"/>
      <c r="AN299" s="204"/>
    </row>
    <row r="300" spans="1:40">
      <c r="A300" s="204"/>
      <c r="B300" s="204"/>
      <c r="D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204"/>
      <c r="AB300" s="204"/>
      <c r="AC300" s="204"/>
      <c r="AD300" s="204"/>
      <c r="AE300" s="204"/>
      <c r="AF300" s="204"/>
      <c r="AG300" s="204"/>
      <c r="AH300" s="204"/>
      <c r="AI300" s="204"/>
      <c r="AJ300" s="204"/>
      <c r="AK300" s="204"/>
      <c r="AL300" s="204"/>
      <c r="AM300" s="204"/>
      <c r="AN300" s="204"/>
    </row>
    <row r="301" spans="1:40">
      <c r="A301" s="204"/>
      <c r="B301" s="204"/>
      <c r="D301" s="204"/>
      <c r="F301" s="204"/>
      <c r="G301" s="204"/>
      <c r="H301" s="204"/>
      <c r="I301" s="204"/>
      <c r="J301" s="204"/>
      <c r="K301" s="204"/>
      <c r="L301" s="204"/>
      <c r="M301" s="204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204"/>
      <c r="AB301" s="204"/>
      <c r="AC301" s="204"/>
      <c r="AD301" s="204"/>
      <c r="AE301" s="204"/>
      <c r="AF301" s="204"/>
      <c r="AG301" s="204"/>
      <c r="AH301" s="204"/>
      <c r="AI301" s="204"/>
      <c r="AJ301" s="204"/>
      <c r="AK301" s="204"/>
      <c r="AL301" s="204"/>
      <c r="AM301" s="204"/>
      <c r="AN301" s="204"/>
    </row>
    <row r="302" spans="1:40">
      <c r="A302" s="204"/>
      <c r="B302" s="204"/>
      <c r="D302" s="204"/>
      <c r="F302" s="204"/>
      <c r="G302" s="204"/>
      <c r="H302" s="204"/>
      <c r="I302" s="204"/>
      <c r="J302" s="204"/>
      <c r="K302" s="204"/>
      <c r="L302" s="204"/>
      <c r="M302" s="204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204"/>
      <c r="AB302" s="204"/>
      <c r="AC302" s="204"/>
      <c r="AD302" s="204"/>
      <c r="AE302" s="204"/>
      <c r="AF302" s="204"/>
      <c r="AG302" s="204"/>
      <c r="AH302" s="204"/>
      <c r="AI302" s="204"/>
      <c r="AJ302" s="204"/>
      <c r="AK302" s="204"/>
      <c r="AL302" s="204"/>
      <c r="AM302" s="204"/>
      <c r="AN302" s="204"/>
    </row>
    <row r="303" spans="1:40">
      <c r="A303" s="204"/>
      <c r="B303" s="204"/>
      <c r="D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204"/>
      <c r="AB303" s="204"/>
      <c r="AC303" s="204"/>
      <c r="AD303" s="204"/>
      <c r="AE303" s="204"/>
      <c r="AF303" s="204"/>
      <c r="AG303" s="204"/>
      <c r="AH303" s="204"/>
      <c r="AI303" s="204"/>
      <c r="AJ303" s="204"/>
      <c r="AK303" s="204"/>
      <c r="AL303" s="204"/>
      <c r="AM303" s="204"/>
      <c r="AN303" s="204"/>
    </row>
    <row r="304" spans="1:40">
      <c r="A304" s="204"/>
      <c r="B304" s="204"/>
      <c r="D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204"/>
      <c r="AB304" s="204"/>
      <c r="AC304" s="204"/>
      <c r="AD304" s="204"/>
      <c r="AE304" s="204"/>
      <c r="AF304" s="204"/>
      <c r="AG304" s="204"/>
      <c r="AH304" s="204"/>
      <c r="AI304" s="204"/>
      <c r="AJ304" s="204"/>
      <c r="AK304" s="204"/>
      <c r="AL304" s="204"/>
      <c r="AM304" s="204"/>
      <c r="AN304" s="204"/>
    </row>
    <row r="305" spans="1:40">
      <c r="A305" s="204"/>
      <c r="B305" s="204"/>
      <c r="D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204"/>
      <c r="AB305" s="204"/>
      <c r="AC305" s="204"/>
      <c r="AD305" s="204"/>
      <c r="AE305" s="204"/>
      <c r="AF305" s="204"/>
      <c r="AG305" s="204"/>
      <c r="AH305" s="204"/>
      <c r="AI305" s="204"/>
      <c r="AJ305" s="204"/>
      <c r="AK305" s="204"/>
      <c r="AL305" s="204"/>
      <c r="AM305" s="204"/>
      <c r="AN305" s="204"/>
    </row>
    <row r="306" spans="1:40">
      <c r="A306" s="204"/>
      <c r="B306" s="204"/>
      <c r="D306" s="204"/>
      <c r="F306" s="204"/>
      <c r="G306" s="204"/>
      <c r="H306" s="204"/>
      <c r="I306" s="204"/>
      <c r="J306" s="204"/>
      <c r="K306" s="204"/>
      <c r="L306" s="204"/>
      <c r="M306" s="204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  <c r="AA306" s="204"/>
      <c r="AB306" s="204"/>
      <c r="AC306" s="204"/>
      <c r="AD306" s="204"/>
      <c r="AE306" s="204"/>
      <c r="AF306" s="204"/>
      <c r="AG306" s="204"/>
      <c r="AH306" s="204"/>
      <c r="AI306" s="204"/>
      <c r="AJ306" s="204"/>
      <c r="AK306" s="204"/>
      <c r="AL306" s="204"/>
      <c r="AM306" s="204"/>
      <c r="AN306" s="204"/>
    </row>
    <row r="307" spans="1:40">
      <c r="A307" s="204"/>
      <c r="B307" s="204"/>
      <c r="D307" s="204"/>
      <c r="F307" s="204"/>
      <c r="G307" s="204"/>
      <c r="H307" s="204"/>
      <c r="I307" s="204"/>
      <c r="J307" s="204"/>
      <c r="K307" s="204"/>
      <c r="L307" s="204"/>
      <c r="M307" s="204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204"/>
      <c r="AB307" s="204"/>
      <c r="AC307" s="204"/>
      <c r="AD307" s="204"/>
      <c r="AE307" s="204"/>
      <c r="AF307" s="204"/>
      <c r="AG307" s="204"/>
      <c r="AH307" s="204"/>
      <c r="AI307" s="204"/>
      <c r="AJ307" s="204"/>
      <c r="AK307" s="204"/>
      <c r="AL307" s="204"/>
      <c r="AM307" s="204"/>
      <c r="AN307" s="204"/>
    </row>
    <row r="308" spans="1:40">
      <c r="A308" s="204"/>
      <c r="B308" s="204"/>
      <c r="D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204"/>
      <c r="AB308" s="204"/>
      <c r="AC308" s="204"/>
      <c r="AD308" s="204"/>
      <c r="AE308" s="204"/>
      <c r="AF308" s="204"/>
      <c r="AG308" s="204"/>
      <c r="AH308" s="204"/>
      <c r="AI308" s="204"/>
      <c r="AJ308" s="204"/>
      <c r="AK308" s="204"/>
      <c r="AL308" s="204"/>
      <c r="AM308" s="204"/>
      <c r="AN308" s="204"/>
    </row>
    <row r="309" spans="1:40">
      <c r="A309" s="204"/>
      <c r="B309" s="204"/>
      <c r="D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204"/>
      <c r="AB309" s="204"/>
      <c r="AC309" s="204"/>
      <c r="AD309" s="204"/>
      <c r="AE309" s="204"/>
      <c r="AF309" s="204"/>
      <c r="AG309" s="204"/>
      <c r="AH309" s="204"/>
      <c r="AI309" s="204"/>
      <c r="AJ309" s="204"/>
      <c r="AK309" s="204"/>
      <c r="AL309" s="204"/>
      <c r="AM309" s="204"/>
      <c r="AN309" s="204"/>
    </row>
    <row r="310" spans="1:40">
      <c r="A310" s="204"/>
      <c r="B310" s="204"/>
      <c r="D310" s="204"/>
      <c r="F310" s="204"/>
      <c r="G310" s="204"/>
      <c r="H310" s="204"/>
      <c r="I310" s="204"/>
      <c r="J310" s="204"/>
      <c r="K310" s="204"/>
      <c r="L310" s="204"/>
      <c r="M310" s="204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  <c r="AA310" s="204"/>
      <c r="AB310" s="204"/>
      <c r="AC310" s="204"/>
      <c r="AD310" s="204"/>
      <c r="AE310" s="204"/>
      <c r="AF310" s="204"/>
      <c r="AG310" s="204"/>
      <c r="AH310" s="204"/>
      <c r="AI310" s="204"/>
      <c r="AJ310" s="204"/>
      <c r="AK310" s="204"/>
      <c r="AL310" s="204"/>
      <c r="AM310" s="204"/>
      <c r="AN310" s="204"/>
    </row>
    <row r="311" spans="1:40">
      <c r="A311" s="204"/>
      <c r="B311" s="204"/>
      <c r="D311" s="204"/>
      <c r="F311" s="204"/>
      <c r="G311" s="204"/>
      <c r="H311" s="204"/>
      <c r="I311" s="204"/>
      <c r="J311" s="204"/>
      <c r="K311" s="204"/>
      <c r="L311" s="204"/>
      <c r="M311" s="204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  <c r="AA311" s="204"/>
      <c r="AB311" s="204"/>
      <c r="AC311" s="204"/>
      <c r="AD311" s="204"/>
      <c r="AE311" s="204"/>
      <c r="AF311" s="204"/>
      <c r="AG311" s="204"/>
      <c r="AH311" s="204"/>
      <c r="AI311" s="204"/>
      <c r="AJ311" s="204"/>
      <c r="AK311" s="204"/>
      <c r="AL311" s="204"/>
      <c r="AM311" s="204"/>
      <c r="AN311" s="204"/>
    </row>
  </sheetData>
  <mergeCells count="1">
    <mergeCell ref="Q80:R80"/>
  </mergeCells>
  <printOptions horizontalCentered="1" verticalCentered="1"/>
  <pageMargins left="0" right="0" top="0.78740157480314965" bottom="0.39370078740157483" header="0.51181102362204722" footer="0"/>
  <pageSetup paperSize="9" scale="110" fitToHeight="2" orientation="landscape" horizontalDpi="0" verticalDpi="0"/>
  <headerFooter>
    <oddHeader>&amp;L&amp;K000000&amp;Z&amp;F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062AD-D85F-9947-BB3F-0BFAF4469638}">
  <sheetPr codeName="Hoja46">
    <pageSetUpPr fitToPage="1"/>
  </sheetPr>
  <dimension ref="A1:AP253"/>
  <sheetViews>
    <sheetView zoomScale="157" zoomScaleNormal="155" workbookViewId="0">
      <selection activeCell="AB84" sqref="AB84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83203125" style="1" customWidth="1"/>
    <col min="4" max="4" width="0.83203125" style="3082" customWidth="1"/>
    <col min="5" max="5" width="1.83203125" style="1" customWidth="1"/>
    <col min="6" max="6" width="2.5" style="2818" customWidth="1"/>
    <col min="7" max="7" width="5" style="780" customWidth="1"/>
    <col min="8" max="8" width="7.1640625" style="780" customWidth="1"/>
    <col min="9" max="9" width="5" style="780" customWidth="1"/>
    <col min="10" max="11" width="7" style="780" customWidth="1"/>
    <col min="12" max="12" width="34.33203125" style="780" customWidth="1"/>
    <col min="13" max="13" width="8.33203125" style="3520" customWidth="1"/>
    <col min="14" max="14" width="1.1640625" style="3389" customWidth="1"/>
    <col min="15" max="15" width="8" style="3390" customWidth="1"/>
    <col min="16" max="16" width="1" style="2819" customWidth="1"/>
    <col min="17" max="17" width="9" style="2819" customWidth="1"/>
    <col min="18" max="18" width="7" style="3391" customWidth="1"/>
    <col min="19" max="19" width="6.83203125" style="3391" customWidth="1"/>
    <col min="20" max="20" width="1.33203125" style="2822" customWidth="1"/>
    <col min="21" max="21" width="0.5" style="2822" customWidth="1"/>
    <col min="22" max="22" width="6" style="2823" customWidth="1"/>
    <col min="23" max="23" width="5.6640625" style="2823" customWidth="1"/>
    <col min="24" max="24" width="6.33203125" style="2823" customWidth="1"/>
    <col min="25" max="25" width="5.5" style="2823" customWidth="1"/>
    <col min="26" max="26" width="6" style="2823" customWidth="1"/>
    <col min="27" max="28" width="5.5" style="2823" customWidth="1"/>
    <col min="29" max="29" width="7.6640625" style="2825" customWidth="1"/>
    <col min="30" max="34" width="4.5" style="2826" customWidth="1"/>
    <col min="35" max="35" width="6.5" style="2826" customWidth="1"/>
    <col min="36" max="40" width="5.5" style="2826" customWidth="1"/>
    <col min="41" max="41" width="11.5" style="2825"/>
    <col min="42" max="16384" width="11.5" style="1"/>
  </cols>
  <sheetData>
    <row r="1" spans="1:41" ht="14" customHeight="1" thickBot="1">
      <c r="F1" s="527"/>
      <c r="G1" s="155"/>
      <c r="H1" s="155"/>
      <c r="I1" s="155"/>
      <c r="J1" s="155"/>
      <c r="K1" s="3083"/>
      <c r="L1" s="583" t="s">
        <v>2063</v>
      </c>
      <c r="M1" s="1672"/>
      <c r="V1" s="2827" t="s">
        <v>345</v>
      </c>
      <c r="AJ1" s="2825"/>
      <c r="AK1" s="2825"/>
      <c r="AL1" s="2825"/>
      <c r="AM1" s="2825"/>
      <c r="AN1" s="2825"/>
    </row>
    <row r="2" spans="1:41" s="2839" customFormat="1" ht="65" customHeight="1" thickTop="1" thickBot="1">
      <c r="A2" s="3084" t="s">
        <v>346</v>
      </c>
      <c r="B2" s="3085" t="s">
        <v>347</v>
      </c>
      <c r="C2" s="3086" t="s">
        <v>348</v>
      </c>
      <c r="D2" s="3087"/>
      <c r="E2" s="3086" t="s">
        <v>349</v>
      </c>
      <c r="F2" s="3088" t="s">
        <v>350</v>
      </c>
      <c r="G2" s="3089" t="s">
        <v>351</v>
      </c>
      <c r="H2" s="3089"/>
      <c r="I2" s="3089" t="s">
        <v>352</v>
      </c>
      <c r="J2" s="3089"/>
      <c r="K2" s="3088" t="s">
        <v>353</v>
      </c>
      <c r="L2" s="3089" t="s">
        <v>354</v>
      </c>
      <c r="M2" s="3392"/>
      <c r="N2" s="3393" t="s">
        <v>355</v>
      </c>
      <c r="O2" s="3089" t="s">
        <v>445</v>
      </c>
      <c r="P2" s="3086" t="s">
        <v>446</v>
      </c>
      <c r="Q2" s="3086" t="s">
        <v>447</v>
      </c>
      <c r="R2" s="3091" t="s">
        <v>448</v>
      </c>
      <c r="S2" s="3092" t="s">
        <v>371</v>
      </c>
      <c r="T2" s="2828" t="s">
        <v>449</v>
      </c>
      <c r="U2" s="2828" t="s">
        <v>450</v>
      </c>
      <c r="V2" s="2829" t="s">
        <v>451</v>
      </c>
      <c r="W2" s="2830" t="s">
        <v>452</v>
      </c>
      <c r="X2" s="2831" t="s">
        <v>453</v>
      </c>
      <c r="Y2" s="2832" t="s">
        <v>454</v>
      </c>
      <c r="Z2" s="2833" t="s">
        <v>455</v>
      </c>
      <c r="AA2" s="2834" t="s">
        <v>456</v>
      </c>
      <c r="AB2" s="2835" t="s">
        <v>457</v>
      </c>
      <c r="AC2" s="2836"/>
      <c r="AD2" s="2837"/>
      <c r="AE2" s="2838"/>
      <c r="AF2" s="2838"/>
      <c r="AG2" s="2838"/>
      <c r="AH2" s="2838"/>
      <c r="AI2" s="2838"/>
      <c r="AJ2" s="2836"/>
      <c r="AK2" s="2836"/>
      <c r="AL2" s="2836"/>
      <c r="AM2" s="2836"/>
      <c r="AN2" s="2836"/>
      <c r="AO2" s="2836"/>
    </row>
    <row r="3" spans="1:41" s="2839" customFormat="1" ht="5" customHeight="1" thickBot="1">
      <c r="A3" s="3093"/>
      <c r="B3" s="3094"/>
      <c r="C3" s="3095"/>
      <c r="D3" s="3096"/>
      <c r="E3" s="3095"/>
      <c r="F3" s="3097"/>
      <c r="G3" s="3095"/>
      <c r="H3" s="3095"/>
      <c r="I3" s="3095"/>
      <c r="J3" s="3913"/>
      <c r="K3" s="3097"/>
      <c r="L3" s="3095"/>
      <c r="M3" s="3394"/>
      <c r="N3" s="3395"/>
      <c r="O3" s="3095"/>
      <c r="P3" s="3095"/>
      <c r="Q3" s="3095"/>
      <c r="R3" s="3099"/>
      <c r="S3" s="3100"/>
      <c r="T3" s="2840"/>
      <c r="U3" s="2840"/>
      <c r="V3" s="2843">
        <f>[8]Test!$D$29</f>
        <v>9.1523857526881758E-4</v>
      </c>
      <c r="W3" s="2843">
        <f>[8]Test!$D$31</f>
        <v>8.7635030864197572E-4</v>
      </c>
      <c r="X3" s="2843">
        <f>[8]Test!$D$33</f>
        <v>8.4888763197586746E-4</v>
      </c>
      <c r="Y3" s="2843">
        <f>[8]Test!$D$35</f>
        <v>8.0990657955066516E-4</v>
      </c>
      <c r="Z3" s="2843">
        <f>[8]Test!$D$37</f>
        <v>7.5735749690210676E-4</v>
      </c>
      <c r="AA3" s="2843">
        <f>[8]Test!$D$39</f>
        <v>7.2916666666666692E-4</v>
      </c>
      <c r="AB3" s="3043">
        <f>[8]Test!$D$41</f>
        <v>7.0729166666666694E-4</v>
      </c>
      <c r="AC3" s="2836"/>
      <c r="AD3" s="2837"/>
      <c r="AE3" s="2838"/>
      <c r="AF3" s="2838"/>
      <c r="AG3" s="2838"/>
      <c r="AH3" s="2838"/>
      <c r="AI3" s="2838"/>
      <c r="AJ3" s="2836"/>
      <c r="AK3" s="2836"/>
      <c r="AL3" s="2836"/>
      <c r="AM3" s="2836"/>
      <c r="AN3" s="2836"/>
      <c r="AO3" s="2836"/>
    </row>
    <row r="4" spans="1:41" s="63" customFormat="1" ht="3" customHeight="1" thickBot="1">
      <c r="A4" s="3101"/>
      <c r="B4" s="3102"/>
      <c r="C4" s="3396"/>
      <c r="D4" s="3397"/>
      <c r="E4" s="3396"/>
      <c r="F4" s="3398"/>
      <c r="G4" s="3399"/>
      <c r="H4" s="3399"/>
      <c r="I4" s="3399"/>
      <c r="J4" s="3399"/>
      <c r="K4" s="3398"/>
      <c r="L4" s="3399"/>
      <c r="M4" s="3400"/>
      <c r="N4" s="3401"/>
      <c r="O4" s="3399"/>
      <c r="P4" s="3402"/>
      <c r="Q4" s="3402"/>
      <c r="R4" s="3402"/>
      <c r="S4" s="3403"/>
      <c r="T4" s="3404"/>
      <c r="U4" s="3404"/>
      <c r="V4" s="2843">
        <f>V3/4</f>
        <v>2.2880964381720439E-4</v>
      </c>
      <c r="W4" s="2843">
        <f t="shared" ref="W4:AB4" si="0">W3/4</f>
        <v>2.1908757716049393E-4</v>
      </c>
      <c r="X4" s="2843">
        <f t="shared" si="0"/>
        <v>2.1222190799396687E-4</v>
      </c>
      <c r="Y4" s="2843">
        <f t="shared" si="0"/>
        <v>2.0247664488766629E-4</v>
      </c>
      <c r="Z4" s="2843">
        <f t="shared" si="0"/>
        <v>1.8933937422552669E-4</v>
      </c>
      <c r="AA4" s="2843">
        <f t="shared" si="0"/>
        <v>1.8229166666666673E-4</v>
      </c>
      <c r="AB4" s="2843">
        <f t="shared" si="0"/>
        <v>1.7682291666666674E-4</v>
      </c>
      <c r="AC4" s="2935"/>
      <c r="AD4" s="2936"/>
      <c r="AE4" s="2937"/>
      <c r="AF4" s="2937"/>
      <c r="AG4" s="2937"/>
      <c r="AH4" s="2937"/>
      <c r="AI4" s="2937"/>
      <c r="AJ4" s="2935"/>
      <c r="AK4" s="2935"/>
      <c r="AL4" s="2935"/>
      <c r="AM4" s="2935"/>
      <c r="AN4" s="2935"/>
      <c r="AO4" s="2935"/>
    </row>
    <row r="5" spans="1:41" ht="16" customHeight="1" thickTop="1">
      <c r="A5" s="2889" t="s">
        <v>214</v>
      </c>
      <c r="B5" s="3405" t="s">
        <v>215</v>
      </c>
      <c r="C5" s="2715">
        <f t="shared" ref="C5:C71" si="1">IF(D5=1,V$4,IF(D5=2,W$4,IF(D5=3,X$4,IF(D5=4,Y$4,IF(D5=5,Z$4,IF(D5=6,AA$4,IF(D5=7,AB$4,0)))))))</f>
        <v>2.2880964381720439E-4</v>
      </c>
      <c r="D5" s="3406">
        <v>1</v>
      </c>
      <c r="E5" s="3407">
        <v>1</v>
      </c>
      <c r="F5" s="3407">
        <v>1</v>
      </c>
      <c r="G5" s="3407">
        <v>200</v>
      </c>
      <c r="H5" s="3522"/>
      <c r="I5" s="2654">
        <v>1.1574074074074073E-4</v>
      </c>
      <c r="J5" s="4705"/>
      <c r="K5" s="2654">
        <v>1.3888888888888889E-3</v>
      </c>
      <c r="L5" s="2865" t="s">
        <v>581</v>
      </c>
      <c r="M5" s="3408">
        <v>0.79861111111111116</v>
      </c>
      <c r="N5" s="3409">
        <v>1</v>
      </c>
      <c r="O5" s="3410">
        <f>Q5*E5*F5+I5*E5*F5+K5*E5</f>
        <v>3.4083258661887703E-3</v>
      </c>
      <c r="P5" s="2715">
        <f>C5*(G5/25)*1.04</f>
        <v>1.9036962365591406E-3</v>
      </c>
      <c r="Q5" s="3411">
        <f>P5*N5</f>
        <v>1.9036962365591406E-3</v>
      </c>
      <c r="R5" s="3412"/>
      <c r="S5" s="3413">
        <f>E5*F5*G5</f>
        <v>200</v>
      </c>
      <c r="T5" s="2844">
        <f t="shared" ref="T5:T21" si="2">E5*F5*G5/1000</f>
        <v>0.2</v>
      </c>
      <c r="U5" s="2845">
        <f t="shared" ref="U5:U21" si="3">E5*F5*P5*4</f>
        <v>7.6147849462365625E-3</v>
      </c>
      <c r="V5" s="374">
        <f>IF(C5*4&gt;=$V$3,T5,0)</f>
        <v>0.2</v>
      </c>
      <c r="W5" s="2846">
        <f>IF(AND(C5*4&gt;=$W$3,C5*4&lt;$V$3),T5,0)</f>
        <v>0</v>
      </c>
      <c r="X5" s="2847">
        <f>IF(AND(C5*4&gt;=$X$3,C5*4&lt;$W$3),T5,0)</f>
        <v>0</v>
      </c>
      <c r="Y5" s="2848">
        <f>IF(AND(C5*4&gt;=$Y$3,C5*4&lt;$X$3),T5,0)</f>
        <v>0</v>
      </c>
      <c r="Z5" s="2849">
        <f>IF(AND(C5*4&gt;=$Z$3,C5*4&lt;$Y$3),T5,0)</f>
        <v>0</v>
      </c>
      <c r="AA5" s="2850">
        <f>IF(AND(C5*4&gt;=$AA$3,C5*4&lt;$Z$3),T5,0)</f>
        <v>0</v>
      </c>
      <c r="AB5" s="2851">
        <f>IF(AND(C5*4&gt;=$AB$3,C5*4&lt;$AA$3),T5,0)</f>
        <v>0</v>
      </c>
      <c r="AD5" s="2867"/>
      <c r="AE5" s="2867"/>
      <c r="AF5" s="2867"/>
      <c r="AG5" s="2867"/>
      <c r="AH5" s="2867"/>
      <c r="AI5" s="2867"/>
      <c r="AJ5" s="2825"/>
      <c r="AK5" s="2825"/>
      <c r="AL5" s="2825"/>
      <c r="AM5" s="2825"/>
      <c r="AN5" s="2825"/>
    </row>
    <row r="6" spans="1:41" ht="14" customHeight="1">
      <c r="A6" s="2889" t="s">
        <v>459</v>
      </c>
      <c r="B6" s="3405" t="s">
        <v>215</v>
      </c>
      <c r="C6" s="2715">
        <f t="shared" si="1"/>
        <v>2.1908757716049393E-4</v>
      </c>
      <c r="D6" s="3414">
        <v>2</v>
      </c>
      <c r="E6" s="2651">
        <v>1</v>
      </c>
      <c r="F6" s="2651">
        <v>12</v>
      </c>
      <c r="G6" s="2651">
        <v>50</v>
      </c>
      <c r="H6" s="3523" t="s">
        <v>1644</v>
      </c>
      <c r="I6" s="2869">
        <v>1.3888888888888889E-4</v>
      </c>
      <c r="J6" s="4739"/>
      <c r="K6" s="2869">
        <v>1.3888888888888889E-3</v>
      </c>
      <c r="L6" s="2870" t="s">
        <v>1643</v>
      </c>
      <c r="M6" s="3415">
        <f t="shared" ref="M6:M53" si="4">M5+O5</f>
        <v>0.80201943697729994</v>
      </c>
      <c r="N6" s="3416">
        <v>1</v>
      </c>
      <c r="O6" s="3417">
        <f>Q6*E6*F6+I6*E6*F6+K6*E6</f>
        <v>8.5239814814814848E-3</v>
      </c>
      <c r="P6" s="3418">
        <f>C6*(G6/25)*1.04</f>
        <v>4.5570216049382737E-4</v>
      </c>
      <c r="Q6" s="3418">
        <f>P6*N6</f>
        <v>4.5570216049382737E-4</v>
      </c>
      <c r="R6" s="3419"/>
      <c r="S6" s="3420">
        <f>E6*F6*G6</f>
        <v>600</v>
      </c>
      <c r="T6" s="2844">
        <f t="shared" ref="T6:T11" si="5">E6*F6*G6/1000</f>
        <v>0.6</v>
      </c>
      <c r="U6" s="2845">
        <f t="shared" ref="U6:U11" si="6">E6*F6*P6*4</f>
        <v>2.1873703703703715E-2</v>
      </c>
      <c r="V6" s="374">
        <f t="shared" ref="V6:V11" si="7">IF(C6*4&gt;=$V$3,T6,0)</f>
        <v>0</v>
      </c>
      <c r="W6" s="2846">
        <f t="shared" ref="W6:W11" si="8">IF(AND(C6*4&gt;=$W$3,C6*4&lt;$V$3),T6,0)</f>
        <v>0.6</v>
      </c>
      <c r="X6" s="2847">
        <f t="shared" ref="X6:X11" si="9">IF(AND(C6*4&gt;=$X$3,C6*4&lt;$W$3),T6,0)</f>
        <v>0</v>
      </c>
      <c r="Y6" s="2848">
        <f t="shared" ref="Y6:Y11" si="10">IF(AND(C6*4&gt;=$Y$3,C6*4&lt;$X$3),T6,0)</f>
        <v>0</v>
      </c>
      <c r="Z6" s="2849">
        <f t="shared" ref="Z6:Z11" si="11">IF(AND(C6*4&gt;=$Z$3,C6*4&lt;$Y$3),T6,0)</f>
        <v>0</v>
      </c>
      <c r="AA6" s="2850">
        <f t="shared" ref="AA6:AA11" si="12">IF(AND(C6*4&gt;=$AA$3,C6*4&lt;$Z$3),T6,0)</f>
        <v>0</v>
      </c>
      <c r="AB6" s="2851">
        <f t="shared" ref="AB6:AB11" si="13">IF(AND(C6*4&gt;=$AB$3,C6*4&lt;$AA$3),T6,0)</f>
        <v>0</v>
      </c>
      <c r="AD6" s="2867"/>
      <c r="AE6" s="2867"/>
      <c r="AF6" s="2867"/>
      <c r="AG6" s="2867"/>
      <c r="AH6" s="2867"/>
      <c r="AI6" s="2867"/>
      <c r="AJ6" s="2825"/>
      <c r="AK6" s="2825"/>
      <c r="AL6" s="2825"/>
      <c r="AM6" s="2825"/>
      <c r="AN6" s="2825"/>
    </row>
    <row r="7" spans="1:41" ht="14" customHeight="1">
      <c r="A7" s="2889" t="s">
        <v>460</v>
      </c>
      <c r="B7" s="3405" t="s">
        <v>215</v>
      </c>
      <c r="C7" s="2715">
        <f t="shared" si="1"/>
        <v>2.1222190799396687E-4</v>
      </c>
      <c r="D7" s="3421">
        <v>3</v>
      </c>
      <c r="E7" s="3422">
        <v>1</v>
      </c>
      <c r="F7" s="3422">
        <v>4</v>
      </c>
      <c r="G7" s="3422">
        <v>50</v>
      </c>
      <c r="H7" s="3524"/>
      <c r="I7" s="3423">
        <v>4.6296296296296293E-4</v>
      </c>
      <c r="J7" s="4711"/>
      <c r="K7" s="3423">
        <v>2.0833333333333333E-3</v>
      </c>
      <c r="L7" s="3424" t="s">
        <v>1645</v>
      </c>
      <c r="M7" s="3425">
        <f t="shared" si="4"/>
        <v>0.81054341845878142</v>
      </c>
      <c r="N7" s="3426">
        <v>1</v>
      </c>
      <c r="O7" s="3427">
        <f>Q7*E7*F7+I7*E7*F7+K7*E7</f>
        <v>5.7008714596949901E-3</v>
      </c>
      <c r="P7" s="3428">
        <f>C7*(G7/25)*1.04</f>
        <v>4.4142156862745112E-4</v>
      </c>
      <c r="Q7" s="3429">
        <f>P7*N7</f>
        <v>4.4142156862745112E-4</v>
      </c>
      <c r="R7" s="3430"/>
      <c r="S7" s="3431">
        <f>E7*F7*G7</f>
        <v>200</v>
      </c>
      <c r="T7" s="2844">
        <f t="shared" si="5"/>
        <v>0.2</v>
      </c>
      <c r="U7" s="2845">
        <f t="shared" si="6"/>
        <v>7.0627450980392179E-3</v>
      </c>
      <c r="V7" s="374">
        <f t="shared" si="7"/>
        <v>0</v>
      </c>
      <c r="W7" s="2846">
        <f t="shared" si="8"/>
        <v>0</v>
      </c>
      <c r="X7" s="2847">
        <f t="shared" si="9"/>
        <v>0.2</v>
      </c>
      <c r="Y7" s="2848">
        <f t="shared" si="10"/>
        <v>0</v>
      </c>
      <c r="Z7" s="2849">
        <f t="shared" si="11"/>
        <v>0</v>
      </c>
      <c r="AA7" s="2850">
        <f t="shared" si="12"/>
        <v>0</v>
      </c>
      <c r="AB7" s="2851">
        <f t="shared" si="13"/>
        <v>0</v>
      </c>
      <c r="AD7" s="2867"/>
      <c r="AE7" s="2867"/>
      <c r="AF7" s="2867"/>
      <c r="AG7" s="2867"/>
      <c r="AH7" s="2867"/>
      <c r="AI7" s="2867"/>
      <c r="AJ7" s="2825"/>
      <c r="AK7" s="2825"/>
      <c r="AL7" s="2825"/>
      <c r="AM7" s="2825"/>
      <c r="AN7" s="2825"/>
    </row>
    <row r="8" spans="1:41" ht="14" customHeight="1">
      <c r="A8" s="2889" t="s">
        <v>458</v>
      </c>
      <c r="B8" s="3405" t="s">
        <v>215</v>
      </c>
      <c r="C8" s="2715">
        <f t="shared" si="1"/>
        <v>1.8229166666666673E-4</v>
      </c>
      <c r="D8" s="4619">
        <v>6</v>
      </c>
      <c r="E8" s="4620">
        <v>1</v>
      </c>
      <c r="F8" s="4620">
        <v>6</v>
      </c>
      <c r="G8" s="4620">
        <v>80</v>
      </c>
      <c r="H8" s="4620"/>
      <c r="I8" s="4621">
        <v>3.4722222222222224E-4</v>
      </c>
      <c r="J8" s="4959"/>
      <c r="K8" s="4621">
        <v>6.9444444444444441E-3</v>
      </c>
      <c r="L8" s="4561" t="s">
        <v>2056</v>
      </c>
      <c r="M8" s="4621">
        <f t="shared" si="4"/>
        <v>0.81624428991847642</v>
      </c>
      <c r="N8" s="4622">
        <v>1.07</v>
      </c>
      <c r="O8" s="4621">
        <f t="shared" ref="O8" si="14">Q8*E8*F8+I8*E8*F8+K8*E8</f>
        <v>1.2772777777777779E-2</v>
      </c>
      <c r="P8" s="4563">
        <f>C8*(G8/25)</f>
        <v>5.833333333333336E-4</v>
      </c>
      <c r="Q8" s="4564">
        <f t="shared" ref="Q8:Q10" si="15">P8*N8</f>
        <v>6.2416666666666697E-4</v>
      </c>
      <c r="R8" s="4623">
        <v>177</v>
      </c>
      <c r="S8" s="4620">
        <f t="shared" ref="S8:S10" si="16">E8*F8*G8</f>
        <v>480</v>
      </c>
      <c r="T8" s="2844">
        <f t="shared" si="5"/>
        <v>0.48</v>
      </c>
      <c r="U8" s="2845">
        <f t="shared" si="6"/>
        <v>1.4000000000000005E-2</v>
      </c>
      <c r="V8" s="374">
        <f t="shared" si="7"/>
        <v>0</v>
      </c>
      <c r="W8" s="2846">
        <f t="shared" si="8"/>
        <v>0</v>
      </c>
      <c r="X8" s="2847">
        <f t="shared" si="9"/>
        <v>0</v>
      </c>
      <c r="Y8" s="2848">
        <f t="shared" si="10"/>
        <v>0</v>
      </c>
      <c r="Z8" s="2849">
        <f t="shared" si="11"/>
        <v>0</v>
      </c>
      <c r="AA8" s="2850">
        <f t="shared" si="12"/>
        <v>0.48</v>
      </c>
      <c r="AB8" s="2851">
        <f t="shared" si="13"/>
        <v>0</v>
      </c>
      <c r="AD8" s="2867"/>
      <c r="AE8" s="2867"/>
      <c r="AF8" s="2867"/>
      <c r="AG8" s="2867"/>
      <c r="AH8" s="2867"/>
      <c r="AI8" s="2867"/>
      <c r="AJ8" s="2825"/>
      <c r="AK8" s="2825"/>
      <c r="AL8" s="2825"/>
      <c r="AM8" s="2825"/>
      <c r="AN8" s="2825"/>
    </row>
    <row r="9" spans="1:41" ht="14" customHeight="1">
      <c r="A9" s="2889" t="s">
        <v>219</v>
      </c>
      <c r="B9" s="3405" t="s">
        <v>215</v>
      </c>
      <c r="C9" s="2715">
        <f t="shared" si="1"/>
        <v>2.1908757716049393E-4</v>
      </c>
      <c r="D9" s="4614">
        <v>2</v>
      </c>
      <c r="E9" s="4615">
        <v>1</v>
      </c>
      <c r="F9" s="4615">
        <v>2</v>
      </c>
      <c r="G9" s="4615">
        <v>20</v>
      </c>
      <c r="H9" s="4615"/>
      <c r="I9" s="4616">
        <v>1.3888888888888889E-4</v>
      </c>
      <c r="J9" s="4960"/>
      <c r="K9" s="4616">
        <v>1.3888888888888889E-3</v>
      </c>
      <c r="L9" s="1123" t="s">
        <v>894</v>
      </c>
      <c r="M9" s="1149">
        <f t="shared" si="4"/>
        <v>0.82901706769625416</v>
      </c>
      <c r="N9" s="4617">
        <v>1.2</v>
      </c>
      <c r="O9" s="4616">
        <f>Q9*E9*F9+I9*E9*F9+K9*E9</f>
        <v>2.0873148148148153E-3</v>
      </c>
      <c r="P9" s="302">
        <f t="shared" ref="P9" si="17">C9*(G9/25)</f>
        <v>1.7527006172839515E-4</v>
      </c>
      <c r="Q9" s="302">
        <f t="shared" si="15"/>
        <v>2.1032407407407417E-4</v>
      </c>
      <c r="R9" s="550">
        <v>146</v>
      </c>
      <c r="S9" s="4618">
        <f t="shared" si="16"/>
        <v>40</v>
      </c>
      <c r="T9" s="2844">
        <f t="shared" si="5"/>
        <v>0.04</v>
      </c>
      <c r="U9" s="2845">
        <f t="shared" si="6"/>
        <v>1.4021604938271612E-3</v>
      </c>
      <c r="V9" s="374">
        <f t="shared" si="7"/>
        <v>0</v>
      </c>
      <c r="W9" s="2846">
        <f t="shared" si="8"/>
        <v>0.04</v>
      </c>
      <c r="X9" s="2847">
        <f t="shared" si="9"/>
        <v>0</v>
      </c>
      <c r="Y9" s="2848">
        <f t="shared" si="10"/>
        <v>0</v>
      </c>
      <c r="Z9" s="2849">
        <f t="shared" si="11"/>
        <v>0</v>
      </c>
      <c r="AA9" s="2850">
        <f t="shared" si="12"/>
        <v>0</v>
      </c>
      <c r="AB9" s="2851">
        <f t="shared" si="13"/>
        <v>0</v>
      </c>
      <c r="AD9" s="2867"/>
      <c r="AE9" s="2867"/>
      <c r="AF9" s="2867"/>
      <c r="AG9" s="2867"/>
      <c r="AH9" s="2867"/>
      <c r="AI9" s="2867"/>
      <c r="AJ9" s="2825"/>
      <c r="AK9" s="2825"/>
      <c r="AL9" s="2825"/>
      <c r="AM9" s="2825"/>
      <c r="AN9" s="2825"/>
    </row>
    <row r="10" spans="1:41" ht="14" customHeight="1">
      <c r="A10" s="2889"/>
      <c r="B10" s="3405" t="s">
        <v>215</v>
      </c>
      <c r="C10" s="2715">
        <f t="shared" si="1"/>
        <v>1.8229166666666673E-4</v>
      </c>
      <c r="D10" s="4619">
        <v>6</v>
      </c>
      <c r="E10" s="4620">
        <v>1</v>
      </c>
      <c r="F10" s="4620">
        <v>8</v>
      </c>
      <c r="G10" s="4620">
        <v>50</v>
      </c>
      <c r="H10" s="4620"/>
      <c r="I10" s="4621">
        <v>6.9444444444444447E-4</v>
      </c>
      <c r="J10" s="4959"/>
      <c r="K10" s="4621">
        <v>3.472222222222222E-3</v>
      </c>
      <c r="L10" s="4561" t="s">
        <v>875</v>
      </c>
      <c r="M10" s="4621">
        <f>M8+O8</f>
        <v>0.82901706769625416</v>
      </c>
      <c r="N10" s="4622">
        <v>1.05</v>
      </c>
      <c r="O10" s="4621">
        <f t="shared" ref="O10" si="18">Q10*E10*F10+I10*E10*F10+K10*E10</f>
        <v>1.2151527777777778E-2</v>
      </c>
      <c r="P10" s="4563">
        <f>C10*(G10/25)*1.02</f>
        <v>3.7187500000000014E-4</v>
      </c>
      <c r="Q10" s="4564">
        <f t="shared" si="15"/>
        <v>3.9046875000000014E-4</v>
      </c>
      <c r="R10" s="4623">
        <v>177</v>
      </c>
      <c r="S10" s="4620">
        <f t="shared" si="16"/>
        <v>400</v>
      </c>
      <c r="T10" s="2844">
        <f t="shared" si="5"/>
        <v>0.4</v>
      </c>
      <c r="U10" s="2845">
        <f t="shared" si="6"/>
        <v>1.1900000000000004E-2</v>
      </c>
      <c r="V10" s="374">
        <f t="shared" si="7"/>
        <v>0</v>
      </c>
      <c r="W10" s="2846">
        <f t="shared" si="8"/>
        <v>0</v>
      </c>
      <c r="X10" s="2847">
        <f t="shared" si="9"/>
        <v>0</v>
      </c>
      <c r="Y10" s="2848">
        <f t="shared" si="10"/>
        <v>0</v>
      </c>
      <c r="Z10" s="2849">
        <f t="shared" si="11"/>
        <v>0</v>
      </c>
      <c r="AA10" s="2850">
        <f t="shared" si="12"/>
        <v>0.4</v>
      </c>
      <c r="AB10" s="2851">
        <f t="shared" si="13"/>
        <v>0</v>
      </c>
      <c r="AD10" s="2867"/>
      <c r="AE10" s="2867"/>
      <c r="AF10" s="2867"/>
      <c r="AG10" s="2867"/>
      <c r="AH10" s="2867"/>
      <c r="AI10" s="2867"/>
      <c r="AJ10" s="2825"/>
      <c r="AK10" s="2825"/>
      <c r="AL10" s="2825"/>
      <c r="AM10" s="2825"/>
      <c r="AN10" s="2825"/>
    </row>
    <row r="11" spans="1:41" ht="14" customHeight="1">
      <c r="A11" s="2889"/>
      <c r="B11" s="3405"/>
      <c r="C11" s="2715">
        <f t="shared" si="1"/>
        <v>1.7682291666666674E-4</v>
      </c>
      <c r="D11" s="3123">
        <v>7</v>
      </c>
      <c r="E11" s="3124">
        <v>5</v>
      </c>
      <c r="F11" s="3124">
        <v>4</v>
      </c>
      <c r="G11" s="3124">
        <v>25</v>
      </c>
      <c r="H11" s="2377" t="s">
        <v>1508</v>
      </c>
      <c r="I11" s="2377">
        <v>3.4722222222222224E-4</v>
      </c>
      <c r="J11" s="4724"/>
      <c r="K11" s="2377">
        <v>6.9444444444444447E-4</v>
      </c>
      <c r="L11" s="3125" t="s">
        <v>2057</v>
      </c>
      <c r="M11" s="2515">
        <f>M10+O10</f>
        <v>0.84116859547403189</v>
      </c>
      <c r="N11" s="3126">
        <v>1</v>
      </c>
      <c r="O11" s="2377">
        <f>Q11*E11*F11+I11*E11*F11+K11*E11</f>
        <v>1.3953125000000002E-2</v>
      </c>
      <c r="P11" s="2271">
        <f>C11*(G11/25)</f>
        <v>1.7682291666666674E-4</v>
      </c>
      <c r="Q11" s="2517">
        <f>P11*N11</f>
        <v>1.7682291666666674E-4</v>
      </c>
      <c r="R11" s="3130" t="s">
        <v>316</v>
      </c>
      <c r="S11" s="3122">
        <f>E11*F11*G11</f>
        <v>500</v>
      </c>
      <c r="T11" s="2844">
        <f t="shared" si="5"/>
        <v>0.5</v>
      </c>
      <c r="U11" s="2845">
        <f t="shared" si="6"/>
        <v>1.4145833333333338E-2</v>
      </c>
      <c r="V11" s="374">
        <f t="shared" si="7"/>
        <v>0</v>
      </c>
      <c r="W11" s="2846">
        <f t="shared" si="8"/>
        <v>0</v>
      </c>
      <c r="X11" s="2847">
        <f t="shared" si="9"/>
        <v>0</v>
      </c>
      <c r="Y11" s="2848">
        <f t="shared" si="10"/>
        <v>0</v>
      </c>
      <c r="Z11" s="2849">
        <f t="shared" si="11"/>
        <v>0</v>
      </c>
      <c r="AA11" s="2850">
        <f t="shared" si="12"/>
        <v>0</v>
      </c>
      <c r="AB11" s="2851">
        <f t="shared" si="13"/>
        <v>0.5</v>
      </c>
      <c r="AD11" s="2867"/>
      <c r="AE11" s="2867"/>
      <c r="AF11" s="2867"/>
      <c r="AG11" s="2867"/>
      <c r="AH11" s="2867"/>
      <c r="AI11" s="2867"/>
      <c r="AJ11" s="2825"/>
      <c r="AK11" s="2825"/>
      <c r="AL11" s="2825"/>
      <c r="AM11" s="2825"/>
      <c r="AN11" s="2825"/>
    </row>
    <row r="12" spans="1:41" ht="13" customHeight="1">
      <c r="A12" s="2889" t="s">
        <v>214</v>
      </c>
      <c r="B12" s="3405" t="s">
        <v>461</v>
      </c>
      <c r="C12" s="2715">
        <f t="shared" si="1"/>
        <v>0</v>
      </c>
      <c r="D12" s="3432"/>
      <c r="E12" s="3433"/>
      <c r="F12" s="3433"/>
      <c r="G12" s="3433"/>
      <c r="H12" s="3433"/>
      <c r="I12" s="3433"/>
      <c r="J12" s="3433"/>
      <c r="K12" s="3433"/>
      <c r="L12" s="3433"/>
      <c r="M12" s="3408">
        <f>M7+O7</f>
        <v>0.81624428991847642</v>
      </c>
      <c r="N12" s="3434"/>
      <c r="O12" s="3410"/>
      <c r="P12" s="3433"/>
      <c r="Q12" s="3433"/>
      <c r="R12" s="3433"/>
      <c r="S12" s="3435">
        <f>SUM(S5:S11)</f>
        <v>2420</v>
      </c>
      <c r="T12" s="2844">
        <f t="shared" si="2"/>
        <v>0</v>
      </c>
      <c r="U12" s="2845">
        <f t="shared" si="3"/>
        <v>0</v>
      </c>
      <c r="V12" s="374">
        <f t="shared" ref="V12:V21" si="19">IF(C12*4&gt;=$V$3,T12,0)</f>
        <v>0</v>
      </c>
      <c r="W12" s="2846">
        <f t="shared" ref="W12:W21" si="20">IF(AND(C12*4&gt;=$W$3,C12*4&lt;$V$3),T12,0)</f>
        <v>0</v>
      </c>
      <c r="X12" s="2847">
        <f t="shared" ref="X12:X21" si="21">IF(AND(C12*4&gt;=$X$3,C12*4&lt;$W$3),T12,0)</f>
        <v>0</v>
      </c>
      <c r="Y12" s="2848">
        <f t="shared" ref="Y12:Y21" si="22">IF(AND(C12*4&gt;=$Y$3,C12*4&lt;$X$3),T12,0)</f>
        <v>0</v>
      </c>
      <c r="Z12" s="2849">
        <f t="shared" ref="Z12:Z21" si="23">IF(AND(C12*4&gt;=$Z$3,C12*4&lt;$Y$3),T12,0)</f>
        <v>0</v>
      </c>
      <c r="AA12" s="2850">
        <f t="shared" ref="AA12:AA21" si="24">IF(AND(C12*4&gt;=$AA$3,C12*4&lt;$Z$3),T12,0)</f>
        <v>0</v>
      </c>
      <c r="AB12" s="2851">
        <f t="shared" ref="AB12:AB21" si="25">IF(AND(C12*4&gt;=$AB$3,C12*4&lt;$AA$3),T12,0)</f>
        <v>0</v>
      </c>
      <c r="AD12" s="2867"/>
      <c r="AE12" s="2867"/>
      <c r="AF12" s="2867"/>
      <c r="AG12" s="2867"/>
      <c r="AH12" s="2867"/>
      <c r="AI12" s="2867"/>
      <c r="AJ12" s="2825"/>
      <c r="AK12" s="2825"/>
      <c r="AL12" s="2825"/>
      <c r="AM12" s="2825"/>
      <c r="AN12" s="2825"/>
    </row>
    <row r="13" spans="1:41" ht="18" customHeight="1">
      <c r="A13" s="2889" t="s">
        <v>459</v>
      </c>
      <c r="B13" s="3405" t="s">
        <v>461</v>
      </c>
      <c r="C13" s="2715">
        <f t="shared" si="1"/>
        <v>2.1908757716049393E-4</v>
      </c>
      <c r="D13" s="3414">
        <v>2</v>
      </c>
      <c r="E13" s="2651">
        <v>1</v>
      </c>
      <c r="F13" s="2651">
        <v>4</v>
      </c>
      <c r="G13" s="2651">
        <v>50</v>
      </c>
      <c r="H13" s="2869"/>
      <c r="I13" s="2869">
        <v>1.1574074074074073E-4</v>
      </c>
      <c r="J13" s="4739"/>
      <c r="K13" s="2869">
        <v>1.3888888888888889E-3</v>
      </c>
      <c r="L13" s="2870" t="s">
        <v>2058</v>
      </c>
      <c r="M13" s="3415">
        <f t="shared" si="4"/>
        <v>0.81624428991847642</v>
      </c>
      <c r="N13" s="3416">
        <v>1</v>
      </c>
      <c r="O13" s="3417">
        <f>Q13*E13*F13+I13*E13*F13+K13*E13</f>
        <v>3.6746604938271612E-3</v>
      </c>
      <c r="P13" s="3418">
        <f>C13*(G13/25)*1.04</f>
        <v>4.5570216049382737E-4</v>
      </c>
      <c r="Q13" s="3418">
        <f>P13*N13</f>
        <v>4.5570216049382737E-4</v>
      </c>
      <c r="R13" s="3419"/>
      <c r="S13" s="3420">
        <f>E13*F13*G13</f>
        <v>200</v>
      </c>
      <c r="T13" s="2844">
        <f t="shared" si="2"/>
        <v>0.2</v>
      </c>
      <c r="U13" s="2845">
        <f t="shared" si="3"/>
        <v>7.2912345679012379E-3</v>
      </c>
      <c r="V13" s="374">
        <f t="shared" si="19"/>
        <v>0</v>
      </c>
      <c r="W13" s="2846">
        <f t="shared" si="20"/>
        <v>0.2</v>
      </c>
      <c r="X13" s="2847">
        <f t="shared" si="21"/>
        <v>0</v>
      </c>
      <c r="Y13" s="2848">
        <f t="shared" si="22"/>
        <v>0</v>
      </c>
      <c r="Z13" s="2849">
        <f t="shared" si="23"/>
        <v>0</v>
      </c>
      <c r="AA13" s="2850">
        <f t="shared" si="24"/>
        <v>0</v>
      </c>
      <c r="AB13" s="2851">
        <f t="shared" si="25"/>
        <v>0</v>
      </c>
      <c r="AD13" s="2867"/>
      <c r="AE13" s="2867"/>
      <c r="AF13" s="2867"/>
      <c r="AG13" s="2867"/>
      <c r="AH13" s="2867"/>
      <c r="AI13" s="2867"/>
      <c r="AJ13" s="2825"/>
      <c r="AK13" s="2825"/>
      <c r="AL13" s="2825"/>
      <c r="AM13" s="2825"/>
      <c r="AN13" s="2825"/>
    </row>
    <row r="14" spans="1:41" ht="17" customHeight="1">
      <c r="A14" s="2889" t="s">
        <v>460</v>
      </c>
      <c r="B14" s="3405" t="s">
        <v>461</v>
      </c>
      <c r="C14" s="2715">
        <f t="shared" si="1"/>
        <v>2.1222190799396687E-4</v>
      </c>
      <c r="D14" s="3421">
        <v>3</v>
      </c>
      <c r="E14" s="3422">
        <v>1</v>
      </c>
      <c r="F14" s="3422">
        <v>12</v>
      </c>
      <c r="G14" s="3422">
        <v>50</v>
      </c>
      <c r="H14" s="3423"/>
      <c r="I14" s="3423">
        <v>3.4722222222222224E-4</v>
      </c>
      <c r="J14" s="4711"/>
      <c r="K14" s="3423">
        <v>0</v>
      </c>
      <c r="L14" s="3424" t="s">
        <v>1647</v>
      </c>
      <c r="M14" s="3425">
        <f t="shared" si="4"/>
        <v>0.81991895041230356</v>
      </c>
      <c r="N14" s="3426">
        <v>1</v>
      </c>
      <c r="O14" s="3427">
        <f>Q14*E14*F14+I14*E14*F14+K14*E14</f>
        <v>9.4127922322775268E-3</v>
      </c>
      <c r="P14" s="3428">
        <f>C14*(G14/25)*1.03</f>
        <v>4.3717713046757177E-4</v>
      </c>
      <c r="Q14" s="3429">
        <f>P14*N14</f>
        <v>4.3717713046757177E-4</v>
      </c>
      <c r="R14" s="3430"/>
      <c r="S14" s="3431">
        <f>E14*F14*G14</f>
        <v>600</v>
      </c>
      <c r="T14" s="2844">
        <f t="shared" si="2"/>
        <v>0.6</v>
      </c>
      <c r="U14" s="2845">
        <f t="shared" si="3"/>
        <v>2.0984502262443444E-2</v>
      </c>
      <c r="V14" s="374">
        <f t="shared" si="19"/>
        <v>0</v>
      </c>
      <c r="W14" s="2846">
        <f t="shared" si="20"/>
        <v>0</v>
      </c>
      <c r="X14" s="2847">
        <f t="shared" si="21"/>
        <v>0.6</v>
      </c>
      <c r="Y14" s="2848">
        <f t="shared" si="22"/>
        <v>0</v>
      </c>
      <c r="Z14" s="2849">
        <f t="shared" si="23"/>
        <v>0</v>
      </c>
      <c r="AA14" s="2850">
        <f t="shared" si="24"/>
        <v>0</v>
      </c>
      <c r="AB14" s="2851">
        <f t="shared" si="25"/>
        <v>0</v>
      </c>
      <c r="AD14" s="2867"/>
      <c r="AE14" s="2867"/>
      <c r="AF14" s="2867"/>
      <c r="AG14" s="2867"/>
      <c r="AH14" s="2867"/>
      <c r="AI14" s="2867"/>
      <c r="AJ14" s="2825"/>
      <c r="AK14" s="2825"/>
      <c r="AL14" s="2825"/>
      <c r="AM14" s="2825"/>
      <c r="AN14" s="2825"/>
    </row>
    <row r="15" spans="1:41" ht="14" customHeight="1">
      <c r="A15" s="2889" t="s">
        <v>458</v>
      </c>
      <c r="B15" s="3405" t="s">
        <v>461</v>
      </c>
      <c r="C15" s="2715">
        <f t="shared" si="1"/>
        <v>1.8229166666666673E-4</v>
      </c>
      <c r="D15" s="3436">
        <v>6</v>
      </c>
      <c r="E15" s="3437">
        <v>1</v>
      </c>
      <c r="F15" s="3437">
        <v>3</v>
      </c>
      <c r="G15" s="3437">
        <v>50</v>
      </c>
      <c r="H15" s="2284"/>
      <c r="I15" s="2284">
        <v>5.7870370370370378E-4</v>
      </c>
      <c r="J15" s="4778"/>
      <c r="K15" s="2284">
        <v>0</v>
      </c>
      <c r="L15" s="3438" t="s">
        <v>1036</v>
      </c>
      <c r="M15" s="3439">
        <f t="shared" si="4"/>
        <v>0.82933174264458109</v>
      </c>
      <c r="N15" s="3440">
        <v>1.1000000000000001</v>
      </c>
      <c r="O15" s="3441">
        <f>Q15*E15*F15+I15*E15*F15+K15*E15</f>
        <v>2.9753298611111118E-3</v>
      </c>
      <c r="P15" s="3145">
        <f>C15*(G15/25)*1.03</f>
        <v>3.7552083333333345E-4</v>
      </c>
      <c r="Q15" s="3442">
        <f>P15*N15</f>
        <v>4.1307291666666684E-4</v>
      </c>
      <c r="R15" s="3443"/>
      <c r="S15" s="3444">
        <f>E15*F15*G15</f>
        <v>150</v>
      </c>
      <c r="T15" s="2844">
        <f t="shared" si="2"/>
        <v>0.15</v>
      </c>
      <c r="U15" s="2845">
        <f t="shared" si="3"/>
        <v>4.5062500000000016E-3</v>
      </c>
      <c r="V15" s="374">
        <f t="shared" si="19"/>
        <v>0</v>
      </c>
      <c r="W15" s="2846">
        <f t="shared" si="20"/>
        <v>0</v>
      </c>
      <c r="X15" s="2847">
        <f t="shared" si="21"/>
        <v>0</v>
      </c>
      <c r="Y15" s="2848">
        <f t="shared" si="22"/>
        <v>0</v>
      </c>
      <c r="Z15" s="2849">
        <f t="shared" si="23"/>
        <v>0</v>
      </c>
      <c r="AA15" s="2850">
        <f t="shared" si="24"/>
        <v>0.15</v>
      </c>
      <c r="AB15" s="2851">
        <f t="shared" si="25"/>
        <v>0</v>
      </c>
      <c r="AD15" s="2867"/>
      <c r="AE15" s="2867"/>
      <c r="AF15" s="2867"/>
      <c r="AG15" s="2867"/>
      <c r="AH15" s="2867"/>
      <c r="AI15" s="2867"/>
      <c r="AJ15" s="2825"/>
      <c r="AK15" s="2825"/>
      <c r="AL15" s="2825"/>
      <c r="AM15" s="2825"/>
      <c r="AN15" s="2825"/>
    </row>
    <row r="16" spans="1:41" ht="16" customHeight="1">
      <c r="A16" s="2889" t="s">
        <v>219</v>
      </c>
      <c r="B16" s="3405" t="s">
        <v>461</v>
      </c>
      <c r="C16" s="2715">
        <f t="shared" si="1"/>
        <v>1.8933937422552669E-4</v>
      </c>
      <c r="D16" s="2505">
        <v>5</v>
      </c>
      <c r="E16" s="3445">
        <v>1</v>
      </c>
      <c r="F16" s="3445">
        <v>4</v>
      </c>
      <c r="G16" s="3445">
        <v>50</v>
      </c>
      <c r="H16" s="2264"/>
      <c r="I16" s="2264">
        <v>4.6296296296296293E-4</v>
      </c>
      <c r="J16" s="4715"/>
      <c r="K16" s="2264">
        <v>2.0833333333333333E-3</v>
      </c>
      <c r="L16" s="3446" t="s">
        <v>1646</v>
      </c>
      <c r="M16" s="3447">
        <f t="shared" si="4"/>
        <v>0.83230707250569225</v>
      </c>
      <c r="N16" s="3448">
        <v>1</v>
      </c>
      <c r="O16" s="3449">
        <f>Q16*E16*F16+I16*E16*F16+K16*E16</f>
        <v>5.5104887787415669E-3</v>
      </c>
      <c r="P16" s="3450">
        <f>C16*(G16/25)*1.04</f>
        <v>3.9382589838909553E-4</v>
      </c>
      <c r="Q16" s="3451">
        <f>P16*N16</f>
        <v>3.9382589838909553E-4</v>
      </c>
      <c r="R16" s="3452"/>
      <c r="S16" s="3452">
        <f>E16*F16*G16</f>
        <v>200</v>
      </c>
      <c r="T16" s="2844">
        <f t="shared" si="2"/>
        <v>0.2</v>
      </c>
      <c r="U16" s="2845">
        <f t="shared" si="3"/>
        <v>6.3012143742255285E-3</v>
      </c>
      <c r="V16" s="374">
        <f t="shared" si="19"/>
        <v>0</v>
      </c>
      <c r="W16" s="2846">
        <f t="shared" si="20"/>
        <v>0</v>
      </c>
      <c r="X16" s="2847">
        <f t="shared" si="21"/>
        <v>0</v>
      </c>
      <c r="Y16" s="2848">
        <f t="shared" si="22"/>
        <v>0</v>
      </c>
      <c r="Z16" s="2849">
        <f t="shared" si="23"/>
        <v>0.2</v>
      </c>
      <c r="AA16" s="2850">
        <f t="shared" si="24"/>
        <v>0</v>
      </c>
      <c r="AB16" s="2851">
        <f t="shared" si="25"/>
        <v>0</v>
      </c>
      <c r="AD16" s="2867"/>
      <c r="AE16" s="2867"/>
      <c r="AF16" s="2867"/>
      <c r="AG16" s="2867"/>
      <c r="AH16" s="2867"/>
      <c r="AI16" s="2867"/>
      <c r="AJ16" s="2825"/>
      <c r="AK16" s="2825"/>
      <c r="AL16" s="2825"/>
      <c r="AM16" s="2825"/>
      <c r="AN16" s="2825"/>
    </row>
    <row r="17" spans="1:40" ht="14" customHeight="1">
      <c r="A17" s="2889"/>
      <c r="B17" s="3405" t="s">
        <v>461</v>
      </c>
      <c r="C17" s="2715">
        <f t="shared" si="1"/>
        <v>1.8933937422552669E-4</v>
      </c>
      <c r="D17" s="2505">
        <v>5</v>
      </c>
      <c r="E17" s="3445">
        <v>1</v>
      </c>
      <c r="F17" s="3445">
        <v>4</v>
      </c>
      <c r="G17" s="3445">
        <v>50</v>
      </c>
      <c r="H17" s="2264"/>
      <c r="I17" s="2264">
        <v>7.5231481481481471E-4</v>
      </c>
      <c r="J17" s="4715"/>
      <c r="K17" s="2264">
        <v>1.3888888888888889E-3</v>
      </c>
      <c r="L17" s="3446" t="s">
        <v>2059</v>
      </c>
      <c r="M17" s="3447">
        <f t="shared" si="4"/>
        <v>0.83781756128443385</v>
      </c>
      <c r="N17" s="3448">
        <v>1</v>
      </c>
      <c r="O17" s="3449">
        <f>Q17*E17*F17+I17*E17*F17+K17*E17</f>
        <v>5.9734517417045305E-3</v>
      </c>
      <c r="P17" s="3450">
        <f>C17*(G17/25)*1.04</f>
        <v>3.9382589838909553E-4</v>
      </c>
      <c r="Q17" s="3451">
        <f>P17*N17</f>
        <v>3.9382589838909553E-4</v>
      </c>
      <c r="R17" s="3452"/>
      <c r="S17" s="3452">
        <f>E17*F17*G17</f>
        <v>200</v>
      </c>
      <c r="T17" s="2844">
        <f t="shared" si="2"/>
        <v>0.2</v>
      </c>
      <c r="U17" s="2845">
        <f t="shared" si="3"/>
        <v>6.3012143742255285E-3</v>
      </c>
      <c r="V17" s="374">
        <f t="shared" si="19"/>
        <v>0</v>
      </c>
      <c r="W17" s="2846">
        <f t="shared" si="20"/>
        <v>0</v>
      </c>
      <c r="X17" s="2847">
        <f t="shared" si="21"/>
        <v>0</v>
      </c>
      <c r="Y17" s="2848">
        <f t="shared" si="22"/>
        <v>0</v>
      </c>
      <c r="Z17" s="2849">
        <f t="shared" si="23"/>
        <v>0.2</v>
      </c>
      <c r="AA17" s="2850">
        <f t="shared" si="24"/>
        <v>0</v>
      </c>
      <c r="AB17" s="2851">
        <f t="shared" si="25"/>
        <v>0</v>
      </c>
      <c r="AD17" s="2867"/>
      <c r="AE17" s="2867"/>
      <c r="AF17" s="2867"/>
      <c r="AG17" s="2867"/>
      <c r="AH17" s="2867"/>
      <c r="AI17" s="2867"/>
      <c r="AJ17" s="2825"/>
      <c r="AK17" s="2825"/>
      <c r="AL17" s="2825"/>
      <c r="AM17" s="2825"/>
      <c r="AN17" s="2825"/>
    </row>
    <row r="18" spans="1:40" ht="15" customHeight="1" thickBot="1">
      <c r="A18" s="2889"/>
      <c r="B18" s="3405"/>
      <c r="C18" s="2715">
        <f t="shared" si="1"/>
        <v>0</v>
      </c>
      <c r="D18" s="3453"/>
      <c r="E18" s="3454"/>
      <c r="F18" s="3454"/>
      <c r="G18" s="3454"/>
      <c r="H18" s="3454"/>
      <c r="I18" s="3454"/>
      <c r="J18" s="3454"/>
      <c r="K18" s="3454"/>
      <c r="L18" s="3454"/>
      <c r="M18" s="2328">
        <f t="shared" si="4"/>
        <v>0.84379101302613835</v>
      </c>
      <c r="N18" s="3455"/>
      <c r="O18" s="2329">
        <f>O13+O14+O15+O16+O17</f>
        <v>2.7546723107661895E-2</v>
      </c>
      <c r="P18" s="3454"/>
      <c r="Q18" s="3454"/>
      <c r="R18" s="3454"/>
      <c r="S18" s="3456">
        <f>SUM(S13:S17)</f>
        <v>1350</v>
      </c>
      <c r="T18" s="2844">
        <f t="shared" si="2"/>
        <v>0</v>
      </c>
      <c r="U18" s="2845">
        <f t="shared" si="3"/>
        <v>0</v>
      </c>
      <c r="V18" s="374">
        <f t="shared" si="19"/>
        <v>0</v>
      </c>
      <c r="W18" s="2846">
        <f t="shared" si="20"/>
        <v>0</v>
      </c>
      <c r="X18" s="2847">
        <f t="shared" si="21"/>
        <v>0</v>
      </c>
      <c r="Y18" s="2848">
        <f t="shared" si="22"/>
        <v>0</v>
      </c>
      <c r="Z18" s="2849">
        <f t="shared" si="23"/>
        <v>0</v>
      </c>
      <c r="AA18" s="2850">
        <f t="shared" si="24"/>
        <v>0</v>
      </c>
      <c r="AB18" s="2851">
        <f t="shared" si="25"/>
        <v>0</v>
      </c>
      <c r="AD18" s="2867"/>
      <c r="AE18" s="2867"/>
      <c r="AF18" s="2867"/>
      <c r="AG18" s="2867"/>
      <c r="AH18" s="2867"/>
      <c r="AI18" s="2867"/>
      <c r="AJ18" s="2825"/>
      <c r="AK18" s="2825"/>
      <c r="AL18" s="2825"/>
      <c r="AM18" s="2825"/>
      <c r="AN18" s="2825"/>
    </row>
    <row r="19" spans="1:40" ht="14" thickBot="1">
      <c r="A19" s="3457"/>
      <c r="B19" s="3457" t="s">
        <v>215</v>
      </c>
      <c r="C19" s="2715">
        <f t="shared" si="1"/>
        <v>2.2880964381720439E-4</v>
      </c>
      <c r="D19" s="2335">
        <v>1</v>
      </c>
      <c r="E19" s="2336">
        <v>1</v>
      </c>
      <c r="F19" s="2336">
        <v>2</v>
      </c>
      <c r="G19" s="2336">
        <v>100</v>
      </c>
      <c r="H19" s="2337"/>
      <c r="I19" s="2337">
        <v>1.1574074074074073E-4</v>
      </c>
      <c r="J19" s="4705"/>
      <c r="K19" s="2337">
        <v>1.3888888888888889E-3</v>
      </c>
      <c r="L19" s="2338" t="s">
        <v>707</v>
      </c>
      <c r="M19" s="2501">
        <v>0.30902777777777779</v>
      </c>
      <c r="N19" s="2502">
        <v>1</v>
      </c>
      <c r="O19" s="2337">
        <f>Q19*E19*F19+I19*E19*F19+K19*E19</f>
        <v>3.4508475209080059E-3</v>
      </c>
      <c r="P19" s="2359">
        <f t="shared" ref="P19:P37" si="26">C19*(G19/25)</f>
        <v>9.1523857526881758E-4</v>
      </c>
      <c r="Q19" s="2359">
        <f>P19*N19</f>
        <v>9.1523857526881758E-4</v>
      </c>
      <c r="R19" s="2341">
        <v>129</v>
      </c>
      <c r="S19" s="2336">
        <f>E19*F19*G19</f>
        <v>200</v>
      </c>
      <c r="T19" s="2844">
        <f t="shared" si="2"/>
        <v>0.2</v>
      </c>
      <c r="U19" s="2845">
        <f t="shared" si="3"/>
        <v>7.3219086021505406E-3</v>
      </c>
      <c r="V19" s="374">
        <f t="shared" si="19"/>
        <v>0.2</v>
      </c>
      <c r="W19" s="2846">
        <f t="shared" si="20"/>
        <v>0</v>
      </c>
      <c r="X19" s="2847">
        <f t="shared" si="21"/>
        <v>0</v>
      </c>
      <c r="Y19" s="2848">
        <f t="shared" si="22"/>
        <v>0</v>
      </c>
      <c r="Z19" s="2849">
        <f t="shared" si="23"/>
        <v>0</v>
      </c>
      <c r="AA19" s="2850">
        <f t="shared" si="24"/>
        <v>0</v>
      </c>
      <c r="AB19" s="2851">
        <f t="shared" si="25"/>
        <v>0</v>
      </c>
      <c r="AD19" s="2867"/>
      <c r="AE19" s="2867"/>
      <c r="AF19" s="2867"/>
      <c r="AG19" s="2867"/>
      <c r="AH19" s="2867"/>
      <c r="AI19" s="2867"/>
      <c r="AJ19" s="2825"/>
      <c r="AK19" s="2825"/>
      <c r="AL19" s="2825"/>
      <c r="AM19" s="2825"/>
      <c r="AN19" s="2825"/>
    </row>
    <row r="20" spans="1:40" ht="14" thickBot="1">
      <c r="A20" s="3457"/>
      <c r="B20" s="3457" t="s">
        <v>215</v>
      </c>
      <c r="C20" s="2715">
        <f t="shared" si="1"/>
        <v>2.1222190799396687E-4</v>
      </c>
      <c r="D20" s="3458">
        <v>3</v>
      </c>
      <c r="E20" s="3459">
        <v>1</v>
      </c>
      <c r="F20" s="3459">
        <v>2</v>
      </c>
      <c r="G20" s="3459">
        <v>50</v>
      </c>
      <c r="H20" s="3460"/>
      <c r="I20" s="3460">
        <v>1.1574074074074073E-4</v>
      </c>
      <c r="J20" s="4749"/>
      <c r="K20" s="3460">
        <v>1.3888888888888889E-3</v>
      </c>
      <c r="L20" s="3461" t="s">
        <v>1648</v>
      </c>
      <c r="M20" s="3462">
        <f>M19+O19</f>
        <v>0.31247862529868581</v>
      </c>
      <c r="N20" s="3463">
        <v>1</v>
      </c>
      <c r="O20" s="3460">
        <f>Q20*E20*F20+I20*E20*F20+K20*E20</f>
        <v>2.469258002346238E-3</v>
      </c>
      <c r="P20" s="3464">
        <f t="shared" si="26"/>
        <v>4.2444381598793373E-4</v>
      </c>
      <c r="Q20" s="3464">
        <f>P20*N20</f>
        <v>4.2444381598793373E-4</v>
      </c>
      <c r="R20" s="3465">
        <v>164</v>
      </c>
      <c r="S20" s="3459">
        <f>E20*F20*G20</f>
        <v>100</v>
      </c>
      <c r="T20" s="2844">
        <f t="shared" si="2"/>
        <v>0.1</v>
      </c>
      <c r="U20" s="2845">
        <f t="shared" si="3"/>
        <v>3.3955505279034699E-3</v>
      </c>
      <c r="V20" s="374">
        <f t="shared" si="19"/>
        <v>0</v>
      </c>
      <c r="W20" s="2846">
        <f t="shared" si="20"/>
        <v>0</v>
      </c>
      <c r="X20" s="2847">
        <f t="shared" si="21"/>
        <v>0.1</v>
      </c>
      <c r="Y20" s="2848">
        <f t="shared" si="22"/>
        <v>0</v>
      </c>
      <c r="Z20" s="2849">
        <f t="shared" si="23"/>
        <v>0</v>
      </c>
      <c r="AA20" s="2850">
        <f t="shared" si="24"/>
        <v>0</v>
      </c>
      <c r="AB20" s="2851">
        <f t="shared" si="25"/>
        <v>0</v>
      </c>
      <c r="AD20" s="2867"/>
      <c r="AE20" s="2867"/>
      <c r="AF20" s="2867"/>
      <c r="AG20" s="2867"/>
      <c r="AH20" s="2867"/>
      <c r="AI20" s="2867"/>
      <c r="AJ20" s="2825"/>
      <c r="AK20" s="2825"/>
      <c r="AL20" s="2825"/>
      <c r="AM20" s="2825"/>
      <c r="AN20" s="2825"/>
    </row>
    <row r="21" spans="1:40" ht="14" thickBot="1">
      <c r="A21" s="3457"/>
      <c r="B21" s="3457" t="s">
        <v>215</v>
      </c>
      <c r="C21" s="2715">
        <f t="shared" si="1"/>
        <v>1.8933937422552669E-4</v>
      </c>
      <c r="D21" s="2505">
        <v>5</v>
      </c>
      <c r="E21" s="3445">
        <v>4</v>
      </c>
      <c r="F21" s="3445">
        <v>1</v>
      </c>
      <c r="G21" s="3445">
        <v>50</v>
      </c>
      <c r="H21" s="2264"/>
      <c r="I21" s="2264">
        <v>8.1018518518518516E-5</v>
      </c>
      <c r="J21" s="4715"/>
      <c r="K21" s="2264">
        <v>2.0833333333333333E-3</v>
      </c>
      <c r="L21" s="3466" t="s">
        <v>1649</v>
      </c>
      <c r="M21" s="2508">
        <f>M20+O20</f>
        <v>0.31494788330103207</v>
      </c>
      <c r="N21" s="2509">
        <v>1</v>
      </c>
      <c r="O21" s="2264">
        <f>Q21*E21*F21+I21*E21*F21+K21*E21</f>
        <v>1.0172122401211622E-2</v>
      </c>
      <c r="P21" s="2265">
        <f t="shared" si="26"/>
        <v>3.7867874845105338E-4</v>
      </c>
      <c r="Q21" s="2185">
        <f>P21*N21</f>
        <v>3.7867874845105338E-4</v>
      </c>
      <c r="R21" s="3467">
        <v>173</v>
      </c>
      <c r="S21" s="3468">
        <f>E21*F21*G21</f>
        <v>200</v>
      </c>
      <c r="T21" s="2844">
        <f t="shared" si="2"/>
        <v>0.2</v>
      </c>
      <c r="U21" s="2845">
        <f t="shared" si="3"/>
        <v>6.0588599752168541E-3</v>
      </c>
      <c r="V21" s="374">
        <f t="shared" si="19"/>
        <v>0</v>
      </c>
      <c r="W21" s="2846">
        <f t="shared" si="20"/>
        <v>0</v>
      </c>
      <c r="X21" s="2847">
        <f t="shared" si="21"/>
        <v>0</v>
      </c>
      <c r="Y21" s="2848">
        <f t="shared" si="22"/>
        <v>0</v>
      </c>
      <c r="Z21" s="2849">
        <f t="shared" si="23"/>
        <v>0.2</v>
      </c>
      <c r="AA21" s="2850">
        <f t="shared" si="24"/>
        <v>0</v>
      </c>
      <c r="AB21" s="2851">
        <f t="shared" si="25"/>
        <v>0</v>
      </c>
      <c r="AD21" s="2867"/>
      <c r="AE21" s="2867"/>
      <c r="AF21" s="2867"/>
      <c r="AG21" s="2867"/>
      <c r="AH21" s="2867"/>
      <c r="AI21" s="2867"/>
      <c r="AJ21" s="2825"/>
      <c r="AK21" s="2825"/>
      <c r="AL21" s="2825"/>
      <c r="AM21" s="2825"/>
      <c r="AN21" s="2825"/>
    </row>
    <row r="22" spans="1:40" ht="14" thickBot="1">
      <c r="A22" s="3457"/>
      <c r="B22" s="3457"/>
      <c r="C22" s="2715">
        <f t="shared" si="1"/>
        <v>1.8229166666666673E-4</v>
      </c>
      <c r="D22" s="4558">
        <v>6</v>
      </c>
      <c r="E22" s="4559">
        <v>2</v>
      </c>
      <c r="F22" s="4559">
        <v>4</v>
      </c>
      <c r="G22" s="4559">
        <v>75</v>
      </c>
      <c r="H22" s="4559"/>
      <c r="I22" s="4560">
        <v>6.9444444444444447E-4</v>
      </c>
      <c r="J22" s="4901"/>
      <c r="K22" s="4560">
        <v>3.472222222222222E-3</v>
      </c>
      <c r="L22" s="4561" t="s">
        <v>974</v>
      </c>
      <c r="M22" s="4560">
        <f>M20+O20</f>
        <v>0.31494788330103207</v>
      </c>
      <c r="N22" s="4562">
        <v>1.08</v>
      </c>
      <c r="O22" s="4560">
        <f t="shared" ref="O22" si="27">Q22*E22*F22+I22*E22*F22+K22*E22</f>
        <v>1.7319500000000002E-2</v>
      </c>
      <c r="P22" s="4563">
        <f>C22*(G22/25)*1.02</f>
        <v>5.5781250000000015E-4</v>
      </c>
      <c r="Q22" s="4564">
        <f t="shared" ref="Q22:Q23" si="28">P22*N22</f>
        <v>6.0243750000000022E-4</v>
      </c>
      <c r="R22" s="4565">
        <v>177</v>
      </c>
      <c r="S22" s="4559">
        <f t="shared" ref="S22:S23" si="29">E22*F22*G22</f>
        <v>600</v>
      </c>
      <c r="T22" s="2844">
        <f t="shared" ref="T22:T67" si="30">E22*F22*G22/1000</f>
        <v>0.6</v>
      </c>
      <c r="U22" s="2845">
        <f t="shared" ref="U22:U67" si="31">E22*F22*P22*4</f>
        <v>1.7850000000000005E-2</v>
      </c>
      <c r="V22" s="374">
        <f t="shared" ref="V22:V67" si="32">IF(C22*4&gt;=$V$3,T22,0)</f>
        <v>0</v>
      </c>
      <c r="W22" s="2846">
        <f t="shared" ref="W22:W67" si="33">IF(AND(C22*4&gt;=$W$3,C22*4&lt;$V$3),T22,0)</f>
        <v>0</v>
      </c>
      <c r="X22" s="2847">
        <f t="shared" ref="X22:X67" si="34">IF(AND(C22*4&gt;=$X$3,C22*4&lt;$W$3),T22,0)</f>
        <v>0</v>
      </c>
      <c r="Y22" s="2848">
        <f t="shared" ref="Y22:Y67" si="35">IF(AND(C22*4&gt;=$Y$3,C22*4&lt;$X$3),T22,0)</f>
        <v>0</v>
      </c>
      <c r="Z22" s="2849">
        <f t="shared" ref="Z22:Z67" si="36">IF(AND(C22*4&gt;=$Z$3,C22*4&lt;$Y$3),T22,0)</f>
        <v>0</v>
      </c>
      <c r="AA22" s="2850">
        <f t="shared" ref="AA22:AA67" si="37">IF(AND(C22*4&gt;=$AA$3,C22*4&lt;$Z$3),T22,0)</f>
        <v>0.6</v>
      </c>
      <c r="AB22" s="2851">
        <f t="shared" ref="AB22:AB67" si="38">IF(AND(C22*4&gt;=$AB$3,C22*4&lt;$AA$3),T22,0)</f>
        <v>0</v>
      </c>
      <c r="AD22" s="2867"/>
      <c r="AE22" s="2867"/>
      <c r="AF22" s="2867"/>
      <c r="AG22" s="2867"/>
      <c r="AH22" s="2867"/>
      <c r="AI22" s="2867"/>
      <c r="AJ22" s="2825"/>
      <c r="AK22" s="2825"/>
      <c r="AL22" s="2825"/>
      <c r="AM22" s="2825"/>
      <c r="AN22" s="2825"/>
    </row>
    <row r="23" spans="1:40" ht="14" thickBot="1">
      <c r="A23" s="3457"/>
      <c r="B23" s="3457"/>
      <c r="C23" s="2715">
        <f t="shared" si="1"/>
        <v>2.1908757716049393E-4</v>
      </c>
      <c r="D23" s="4614">
        <v>2</v>
      </c>
      <c r="E23" s="4615">
        <v>1</v>
      </c>
      <c r="F23" s="4615">
        <v>2</v>
      </c>
      <c r="G23" s="4615">
        <v>20</v>
      </c>
      <c r="H23" s="4615"/>
      <c r="I23" s="4616">
        <v>1.3888888888888889E-4</v>
      </c>
      <c r="J23" s="4960"/>
      <c r="K23" s="4616">
        <v>1.3888888888888889E-3</v>
      </c>
      <c r="L23" s="1123" t="s">
        <v>894</v>
      </c>
      <c r="M23" s="1149">
        <f t="shared" ref="M23" si="39">M22+O22</f>
        <v>0.33226738330103206</v>
      </c>
      <c r="N23" s="4617">
        <v>1.2</v>
      </c>
      <c r="O23" s="4616">
        <f>Q23*E23*F23+I23*E23*F23+K23*E23</f>
        <v>2.0873148148148153E-3</v>
      </c>
      <c r="P23" s="302">
        <f t="shared" ref="P23" si="40">C23*(G23/25)</f>
        <v>1.7527006172839515E-4</v>
      </c>
      <c r="Q23" s="302">
        <f t="shared" si="28"/>
        <v>2.1032407407407417E-4</v>
      </c>
      <c r="R23" s="550">
        <v>146</v>
      </c>
      <c r="S23" s="4618">
        <f t="shared" si="29"/>
        <v>40</v>
      </c>
      <c r="T23" s="2844">
        <f t="shared" si="30"/>
        <v>0.04</v>
      </c>
      <c r="U23" s="2845">
        <f t="shared" si="31"/>
        <v>1.4021604938271612E-3</v>
      </c>
      <c r="V23" s="374">
        <f t="shared" si="32"/>
        <v>0</v>
      </c>
      <c r="W23" s="2846">
        <f t="shared" si="33"/>
        <v>0.04</v>
      </c>
      <c r="X23" s="2847">
        <f t="shared" si="34"/>
        <v>0</v>
      </c>
      <c r="Y23" s="2848">
        <f t="shared" si="35"/>
        <v>0</v>
      </c>
      <c r="Z23" s="2849">
        <f t="shared" si="36"/>
        <v>0</v>
      </c>
      <c r="AA23" s="2850">
        <f t="shared" si="37"/>
        <v>0</v>
      </c>
      <c r="AB23" s="2851">
        <f t="shared" si="38"/>
        <v>0</v>
      </c>
      <c r="AD23" s="2867"/>
      <c r="AE23" s="2867"/>
      <c r="AF23" s="2867"/>
      <c r="AG23" s="2867"/>
      <c r="AH23" s="2867"/>
      <c r="AI23" s="2867"/>
      <c r="AJ23" s="2825"/>
      <c r="AK23" s="2825"/>
      <c r="AL23" s="2825"/>
      <c r="AM23" s="2825"/>
      <c r="AN23" s="2825"/>
    </row>
    <row r="24" spans="1:40" ht="14" thickBot="1">
      <c r="A24" s="3457"/>
      <c r="B24" s="3457"/>
      <c r="C24" s="2715">
        <f t="shared" si="1"/>
        <v>1.8229166666666673E-4</v>
      </c>
      <c r="D24" s="4558">
        <v>6</v>
      </c>
      <c r="E24" s="4559">
        <v>2</v>
      </c>
      <c r="F24" s="4559">
        <v>6</v>
      </c>
      <c r="G24" s="4559">
        <v>20</v>
      </c>
      <c r="H24" s="4559"/>
      <c r="I24" s="4560">
        <v>2.3148148148148146E-4</v>
      </c>
      <c r="J24" s="4901"/>
      <c r="K24" s="4560">
        <v>3.472222222222222E-3</v>
      </c>
      <c r="L24" s="4561" t="s">
        <v>875</v>
      </c>
      <c r="M24" s="4560">
        <f t="shared" ref="M24:M25" si="41">M23+O23</f>
        <v>0.33435469811584689</v>
      </c>
      <c r="N24" s="4562">
        <v>1.05</v>
      </c>
      <c r="O24" s="4560">
        <f t="shared" ref="O24" si="42">Q24*E24*F24+I24*E24*F24+K24*E24</f>
        <v>1.1559722222222223E-2</v>
      </c>
      <c r="P24" s="4563">
        <f>C24*(G24/25)</f>
        <v>1.458333333333334E-4</v>
      </c>
      <c r="Q24" s="4564">
        <f t="shared" ref="Q24:Q25" si="43">P24*N24</f>
        <v>1.5312500000000008E-4</v>
      </c>
      <c r="R24" s="4565">
        <v>177</v>
      </c>
      <c r="S24" s="4559">
        <f t="shared" ref="S24:S25" si="44">E24*F24*G24</f>
        <v>240</v>
      </c>
      <c r="T24" s="2844">
        <f t="shared" si="30"/>
        <v>0.24</v>
      </c>
      <c r="U24" s="2845">
        <f t="shared" si="31"/>
        <v>7.0000000000000027E-3</v>
      </c>
      <c r="V24" s="374">
        <f t="shared" si="32"/>
        <v>0</v>
      </c>
      <c r="W24" s="2846">
        <f t="shared" si="33"/>
        <v>0</v>
      </c>
      <c r="X24" s="2847">
        <f t="shared" si="34"/>
        <v>0</v>
      </c>
      <c r="Y24" s="2848">
        <f t="shared" si="35"/>
        <v>0</v>
      </c>
      <c r="Z24" s="2849">
        <f t="shared" si="36"/>
        <v>0</v>
      </c>
      <c r="AA24" s="2850">
        <f t="shared" si="37"/>
        <v>0.24</v>
      </c>
      <c r="AB24" s="2851">
        <f t="shared" si="38"/>
        <v>0</v>
      </c>
      <c r="AD24" s="2867"/>
      <c r="AE24" s="2867"/>
      <c r="AF24" s="2867"/>
      <c r="AG24" s="2867"/>
      <c r="AH24" s="2867"/>
      <c r="AI24" s="2867"/>
      <c r="AJ24" s="2825"/>
      <c r="AK24" s="2825"/>
      <c r="AL24" s="2825"/>
      <c r="AM24" s="2825"/>
      <c r="AN24" s="2825"/>
    </row>
    <row r="25" spans="1:40" ht="14" thickBot="1">
      <c r="A25" s="3457"/>
      <c r="B25" s="3457"/>
      <c r="C25" s="2715">
        <f t="shared" si="1"/>
        <v>2.1908757716049393E-4</v>
      </c>
      <c r="D25" s="4614">
        <v>2</v>
      </c>
      <c r="E25" s="4615">
        <v>1</v>
      </c>
      <c r="F25" s="4615">
        <v>2</v>
      </c>
      <c r="G25" s="4615">
        <v>20</v>
      </c>
      <c r="H25" s="4615"/>
      <c r="I25" s="4616">
        <v>1.3888888888888889E-4</v>
      </c>
      <c r="J25" s="4960"/>
      <c r="K25" s="4616">
        <v>1.3888888888888889E-3</v>
      </c>
      <c r="L25" s="1123" t="s">
        <v>894</v>
      </c>
      <c r="M25" s="1149">
        <f t="shared" si="41"/>
        <v>0.34591442033806913</v>
      </c>
      <c r="N25" s="4617">
        <v>1.2</v>
      </c>
      <c r="O25" s="4616">
        <f>Q25*E25*F25+I25*E25*F25+K25*E25</f>
        <v>2.0873148148148153E-3</v>
      </c>
      <c r="P25" s="302">
        <f t="shared" ref="P25" si="45">C25*(G25/25)</f>
        <v>1.7527006172839515E-4</v>
      </c>
      <c r="Q25" s="302">
        <f t="shared" si="43"/>
        <v>2.1032407407407417E-4</v>
      </c>
      <c r="R25" s="550">
        <v>146</v>
      </c>
      <c r="S25" s="4618">
        <f t="shared" si="44"/>
        <v>40</v>
      </c>
      <c r="T25" s="2844">
        <f t="shared" si="30"/>
        <v>0.04</v>
      </c>
      <c r="U25" s="2845">
        <f t="shared" si="31"/>
        <v>1.4021604938271612E-3</v>
      </c>
      <c r="V25" s="374">
        <f t="shared" si="32"/>
        <v>0</v>
      </c>
      <c r="W25" s="2846">
        <f t="shared" si="33"/>
        <v>0.04</v>
      </c>
      <c r="X25" s="2847">
        <f t="shared" si="34"/>
        <v>0</v>
      </c>
      <c r="Y25" s="2848">
        <f t="shared" si="35"/>
        <v>0</v>
      </c>
      <c r="Z25" s="2849">
        <f t="shared" si="36"/>
        <v>0</v>
      </c>
      <c r="AA25" s="2850">
        <f t="shared" si="37"/>
        <v>0</v>
      </c>
      <c r="AB25" s="2851">
        <f t="shared" si="38"/>
        <v>0</v>
      </c>
      <c r="AD25" s="2867"/>
      <c r="AE25" s="2867"/>
      <c r="AF25" s="2867"/>
      <c r="AG25" s="2867"/>
      <c r="AH25" s="2867"/>
      <c r="AI25" s="2867"/>
      <c r="AJ25" s="2825"/>
      <c r="AK25" s="2825"/>
      <c r="AL25" s="2825"/>
      <c r="AM25" s="2825"/>
      <c r="AN25" s="2825"/>
    </row>
    <row r="26" spans="1:40" ht="14" thickBot="1">
      <c r="A26" s="3457"/>
      <c r="B26" s="3457" t="s">
        <v>215</v>
      </c>
      <c r="C26" s="2715">
        <f t="shared" si="1"/>
        <v>1.7682291666666674E-4</v>
      </c>
      <c r="D26" s="2318">
        <v>7</v>
      </c>
      <c r="E26" s="2512">
        <v>2</v>
      </c>
      <c r="F26" s="2512">
        <v>6</v>
      </c>
      <c r="G26" s="2512">
        <v>15</v>
      </c>
      <c r="H26" s="3525"/>
      <c r="I26" s="2270">
        <v>5.7870370370370378E-4</v>
      </c>
      <c r="J26" s="4943"/>
      <c r="K26" s="2270">
        <v>1.3888888888888889E-3</v>
      </c>
      <c r="L26" s="3125" t="s">
        <v>2060</v>
      </c>
      <c r="M26" s="2515">
        <f>M21+O21</f>
        <v>0.3251200057022437</v>
      </c>
      <c r="N26" s="3469">
        <v>1</v>
      </c>
      <c r="O26" s="2270">
        <f>Q26*E26*F26+I26*E26*F26+K26*E26</f>
        <v>1.0995347222222224E-2</v>
      </c>
      <c r="P26" s="2271">
        <f t="shared" si="26"/>
        <v>1.0609375000000004E-4</v>
      </c>
      <c r="Q26" s="2517">
        <f>P26*N26</f>
        <v>1.0609375000000004E-4</v>
      </c>
      <c r="R26" s="3130" t="s">
        <v>316</v>
      </c>
      <c r="S26" s="3470">
        <f>E26*F26*G26</f>
        <v>180</v>
      </c>
      <c r="T26" s="2844">
        <f t="shared" si="30"/>
        <v>0.18</v>
      </c>
      <c r="U26" s="2845">
        <f t="shared" si="31"/>
        <v>5.0925000000000015E-3</v>
      </c>
      <c r="V26" s="374">
        <f t="shared" si="32"/>
        <v>0</v>
      </c>
      <c r="W26" s="2846">
        <f t="shared" si="33"/>
        <v>0</v>
      </c>
      <c r="X26" s="2847">
        <f t="shared" si="34"/>
        <v>0</v>
      </c>
      <c r="Y26" s="2848">
        <f t="shared" si="35"/>
        <v>0</v>
      </c>
      <c r="Z26" s="2849">
        <f t="shared" si="36"/>
        <v>0</v>
      </c>
      <c r="AA26" s="2850">
        <f t="shared" si="37"/>
        <v>0</v>
      </c>
      <c r="AB26" s="2851">
        <f t="shared" si="38"/>
        <v>0.18</v>
      </c>
      <c r="AD26" s="2867"/>
      <c r="AE26" s="2867"/>
      <c r="AF26" s="2867"/>
      <c r="AG26" s="2867"/>
      <c r="AH26" s="2867"/>
      <c r="AI26" s="2867"/>
      <c r="AJ26" s="2825"/>
      <c r="AK26" s="2825"/>
      <c r="AL26" s="2825"/>
      <c r="AM26" s="2825"/>
      <c r="AN26" s="2825"/>
    </row>
    <row r="27" spans="1:40" ht="14" thickBot="1">
      <c r="A27" s="3457"/>
      <c r="B27" s="3457" t="s">
        <v>215</v>
      </c>
      <c r="C27" s="2715">
        <f t="shared" si="1"/>
        <v>1.7682291666666674E-4</v>
      </c>
      <c r="D27" s="2318">
        <v>7</v>
      </c>
      <c r="E27" s="2512">
        <v>1</v>
      </c>
      <c r="F27" s="2512">
        <v>4</v>
      </c>
      <c r="G27" s="2512">
        <v>25</v>
      </c>
      <c r="H27" s="3525"/>
      <c r="I27" s="2270">
        <v>1.0416666666666667E-3</v>
      </c>
      <c r="J27" s="4943"/>
      <c r="K27" s="2270">
        <v>0</v>
      </c>
      <c r="L27" s="3125" t="s">
        <v>1650</v>
      </c>
      <c r="M27" s="2515">
        <f>M26+O26</f>
        <v>0.33611535292446593</v>
      </c>
      <c r="N27" s="3469">
        <v>1</v>
      </c>
      <c r="O27" s="2270">
        <f>Q27*E27*F27+I27*E27*F27+K27*E27</f>
        <v>4.8739583333333334E-3</v>
      </c>
      <c r="P27" s="2271">
        <f t="shared" si="26"/>
        <v>1.7682291666666674E-4</v>
      </c>
      <c r="Q27" s="2517">
        <f>P27*N27</f>
        <v>1.7682291666666674E-4</v>
      </c>
      <c r="R27" s="3130" t="s">
        <v>316</v>
      </c>
      <c r="S27" s="3470">
        <f>E27*F27*G27</f>
        <v>100</v>
      </c>
      <c r="T27" s="2844">
        <f t="shared" si="30"/>
        <v>0.1</v>
      </c>
      <c r="U27" s="2845">
        <f t="shared" si="31"/>
        <v>2.8291666666666678E-3</v>
      </c>
      <c r="V27" s="374">
        <f t="shared" si="32"/>
        <v>0</v>
      </c>
      <c r="W27" s="2846">
        <f t="shared" si="33"/>
        <v>0</v>
      </c>
      <c r="X27" s="2847">
        <f t="shared" si="34"/>
        <v>0</v>
      </c>
      <c r="Y27" s="2848">
        <f t="shared" si="35"/>
        <v>0</v>
      </c>
      <c r="Z27" s="2849">
        <f t="shared" si="36"/>
        <v>0</v>
      </c>
      <c r="AA27" s="2850">
        <f t="shared" si="37"/>
        <v>0</v>
      </c>
      <c r="AB27" s="2851">
        <f t="shared" si="38"/>
        <v>0.1</v>
      </c>
      <c r="AD27" s="2867"/>
      <c r="AE27" s="2867"/>
      <c r="AF27" s="2867"/>
      <c r="AG27" s="2867"/>
      <c r="AH27" s="2867"/>
      <c r="AI27" s="2867"/>
      <c r="AJ27" s="2825"/>
      <c r="AK27" s="2825"/>
      <c r="AL27" s="2825"/>
      <c r="AM27" s="2825"/>
      <c r="AN27" s="2825"/>
    </row>
    <row r="28" spans="1:40" ht="14" thickBot="1">
      <c r="A28" s="3457"/>
      <c r="B28" s="3457"/>
      <c r="C28" s="2715">
        <f t="shared" si="1"/>
        <v>0</v>
      </c>
      <c r="D28" s="3116"/>
      <c r="E28" s="642"/>
      <c r="F28" s="642"/>
      <c r="G28" s="642"/>
      <c r="H28" s="642"/>
      <c r="I28" s="642"/>
      <c r="J28" s="642"/>
      <c r="K28" s="642"/>
      <c r="L28" s="642"/>
      <c r="M28" s="2182">
        <f>M27+O27</f>
        <v>0.34098931125779924</v>
      </c>
      <c r="N28" s="643"/>
      <c r="O28" s="3471">
        <f>SUM(O19:O27)</f>
        <v>6.5015385331873274E-2</v>
      </c>
      <c r="P28" s="642">
        <f t="shared" si="26"/>
        <v>0</v>
      </c>
      <c r="Q28" s="642"/>
      <c r="R28" s="642"/>
      <c r="S28" s="3118">
        <f>SUM(S19:S27)</f>
        <v>1700</v>
      </c>
      <c r="T28" s="2844">
        <f t="shared" si="30"/>
        <v>0</v>
      </c>
      <c r="U28" s="2845">
        <f t="shared" si="31"/>
        <v>0</v>
      </c>
      <c r="V28" s="374">
        <f t="shared" si="32"/>
        <v>0</v>
      </c>
      <c r="W28" s="2846">
        <f t="shared" si="33"/>
        <v>0</v>
      </c>
      <c r="X28" s="2847">
        <f t="shared" si="34"/>
        <v>0</v>
      </c>
      <c r="Y28" s="2848">
        <f t="shared" si="35"/>
        <v>0</v>
      </c>
      <c r="Z28" s="2849">
        <f t="shared" si="36"/>
        <v>0</v>
      </c>
      <c r="AA28" s="2850">
        <f t="shared" si="37"/>
        <v>0</v>
      </c>
      <c r="AB28" s="2851">
        <f t="shared" si="38"/>
        <v>0</v>
      </c>
      <c r="AD28" s="2867"/>
      <c r="AE28" s="2867"/>
      <c r="AF28" s="2867"/>
      <c r="AG28" s="2867"/>
      <c r="AH28" s="2867"/>
      <c r="AI28" s="2867"/>
      <c r="AJ28" s="2825"/>
      <c r="AK28" s="2825"/>
      <c r="AL28" s="2825"/>
      <c r="AM28" s="2825"/>
      <c r="AN28" s="2825"/>
    </row>
    <row r="29" spans="1:40" ht="15" customHeight="1" thickBot="1">
      <c r="A29" s="3457" t="s">
        <v>215</v>
      </c>
      <c r="B29" s="3457" t="s">
        <v>461</v>
      </c>
      <c r="C29" s="2715">
        <f t="shared" si="1"/>
        <v>2.2880964381720439E-4</v>
      </c>
      <c r="D29" s="3045">
        <v>1</v>
      </c>
      <c r="E29" s="3046">
        <v>0</v>
      </c>
      <c r="F29" s="3046">
        <v>2</v>
      </c>
      <c r="G29" s="3046">
        <v>300</v>
      </c>
      <c r="H29" s="3047"/>
      <c r="I29" s="3047">
        <v>1.1574074074074073E-4</v>
      </c>
      <c r="J29" s="4895"/>
      <c r="K29" s="3047">
        <v>1.3888888888888889E-3</v>
      </c>
      <c r="L29" s="3048" t="s">
        <v>762</v>
      </c>
      <c r="M29" s="3472">
        <v>0.81805555555555554</v>
      </c>
      <c r="N29" s="3049">
        <v>0.9</v>
      </c>
      <c r="O29" s="3047">
        <f>Q29*E29*F29+I29*E29*F29+K29*E29</f>
        <v>0</v>
      </c>
      <c r="P29" s="3050">
        <f t="shared" si="26"/>
        <v>2.7457157258064528E-3</v>
      </c>
      <c r="Q29" s="3050">
        <f t="shared" ref="Q29:Q37" si="46">P29*N29</f>
        <v>2.4711441532258077E-3</v>
      </c>
      <c r="R29" s="3051">
        <v>129</v>
      </c>
      <c r="S29" s="3046">
        <f t="shared" ref="S29:S37" si="47">E29*F29*G29</f>
        <v>0</v>
      </c>
      <c r="T29" s="2844">
        <f t="shared" si="30"/>
        <v>0</v>
      </c>
      <c r="U29" s="2845">
        <f t="shared" si="31"/>
        <v>0</v>
      </c>
      <c r="V29" s="374">
        <f t="shared" si="32"/>
        <v>0</v>
      </c>
      <c r="W29" s="2846">
        <f t="shared" si="33"/>
        <v>0</v>
      </c>
      <c r="X29" s="2847">
        <f t="shared" si="34"/>
        <v>0</v>
      </c>
      <c r="Y29" s="2848">
        <f t="shared" si="35"/>
        <v>0</v>
      </c>
      <c r="Z29" s="2849">
        <f t="shared" si="36"/>
        <v>0</v>
      </c>
      <c r="AA29" s="2850">
        <f t="shared" si="37"/>
        <v>0</v>
      </c>
      <c r="AB29" s="2851">
        <f t="shared" si="38"/>
        <v>0</v>
      </c>
      <c r="AD29" s="2867"/>
      <c r="AE29" s="2867"/>
      <c r="AF29" s="2867"/>
      <c r="AG29" s="2867"/>
      <c r="AH29" s="2867"/>
      <c r="AI29" s="2867"/>
      <c r="AJ29" s="2825"/>
      <c r="AK29" s="2825"/>
      <c r="AL29" s="2825"/>
      <c r="AM29" s="2825"/>
      <c r="AN29" s="2825"/>
    </row>
    <row r="30" spans="1:40" ht="14" thickBot="1">
      <c r="A30" s="3457" t="s">
        <v>138</v>
      </c>
      <c r="B30" s="3457" t="s">
        <v>461</v>
      </c>
      <c r="C30" s="2715">
        <f t="shared" si="1"/>
        <v>2.1908757716049393E-4</v>
      </c>
      <c r="D30" s="3077">
        <v>2</v>
      </c>
      <c r="E30" s="3052">
        <v>0</v>
      </c>
      <c r="F30" s="3052">
        <v>1</v>
      </c>
      <c r="G30" s="3052">
        <v>400</v>
      </c>
      <c r="H30" s="3053">
        <v>5.5555555555555558E-3</v>
      </c>
      <c r="I30" s="3053"/>
      <c r="J30" s="4961"/>
      <c r="K30" s="3053">
        <v>1.3888888888888889E-3</v>
      </c>
      <c r="L30" s="3054" t="s">
        <v>703</v>
      </c>
      <c r="M30" s="3055">
        <f t="shared" ref="M30:M38" si="48">M29+O29</f>
        <v>0.81805555555555554</v>
      </c>
      <c r="N30" s="3056">
        <v>1</v>
      </c>
      <c r="O30" s="3053">
        <f>H30*F30*E30</f>
        <v>0</v>
      </c>
      <c r="P30" s="3057">
        <f t="shared" si="26"/>
        <v>3.5054012345679029E-3</v>
      </c>
      <c r="Q30" s="3057">
        <f t="shared" si="46"/>
        <v>3.5054012345679029E-3</v>
      </c>
      <c r="R30" s="3058">
        <v>146</v>
      </c>
      <c r="S30" s="3473">
        <f t="shared" si="47"/>
        <v>0</v>
      </c>
      <c r="T30" s="2844">
        <f t="shared" si="30"/>
        <v>0</v>
      </c>
      <c r="U30" s="2845">
        <f t="shared" si="31"/>
        <v>0</v>
      </c>
      <c r="V30" s="374">
        <f t="shared" si="32"/>
        <v>0</v>
      </c>
      <c r="W30" s="2846">
        <f t="shared" si="33"/>
        <v>0</v>
      </c>
      <c r="X30" s="2847">
        <f t="shared" si="34"/>
        <v>0</v>
      </c>
      <c r="Y30" s="2848">
        <f t="shared" si="35"/>
        <v>0</v>
      </c>
      <c r="Z30" s="2849">
        <f t="shared" si="36"/>
        <v>0</v>
      </c>
      <c r="AA30" s="2850">
        <f t="shared" si="37"/>
        <v>0</v>
      </c>
      <c r="AB30" s="2851">
        <f t="shared" si="38"/>
        <v>0</v>
      </c>
      <c r="AD30" s="2867"/>
      <c r="AE30" s="2867"/>
      <c r="AF30" s="2867"/>
      <c r="AG30" s="2867"/>
      <c r="AH30" s="2867"/>
      <c r="AI30" s="2867"/>
      <c r="AJ30" s="2825"/>
      <c r="AK30" s="2825"/>
      <c r="AL30" s="2825"/>
      <c r="AM30" s="2825"/>
      <c r="AN30" s="2825"/>
    </row>
    <row r="31" spans="1:40" ht="14" thickBot="1">
      <c r="A31" s="3457" t="s">
        <v>462</v>
      </c>
      <c r="B31" s="3457" t="s">
        <v>461</v>
      </c>
      <c r="C31" s="2715">
        <f t="shared" si="1"/>
        <v>2.1222190799396687E-4</v>
      </c>
      <c r="D31" s="3059">
        <v>3</v>
      </c>
      <c r="E31" s="3531">
        <v>0</v>
      </c>
      <c r="F31" s="3060">
        <v>6</v>
      </c>
      <c r="G31" s="3060">
        <v>50</v>
      </c>
      <c r="H31" s="3061"/>
      <c r="I31" s="3061">
        <v>1.7361111111111112E-4</v>
      </c>
      <c r="J31" s="4962"/>
      <c r="K31" s="3061">
        <v>1.3888888888888889E-3</v>
      </c>
      <c r="L31" s="3062" t="s">
        <v>284</v>
      </c>
      <c r="M31" s="3063">
        <f t="shared" si="48"/>
        <v>0.81805555555555554</v>
      </c>
      <c r="N31" s="3064">
        <v>1</v>
      </c>
      <c r="O31" s="3061">
        <f>Q31*E31*F31+I31*E31*F31+K31*E31</f>
        <v>0</v>
      </c>
      <c r="P31" s="3065">
        <f t="shared" si="26"/>
        <v>4.2444381598793373E-4</v>
      </c>
      <c r="Q31" s="3065">
        <f t="shared" si="46"/>
        <v>4.2444381598793373E-4</v>
      </c>
      <c r="R31" s="3066">
        <v>164</v>
      </c>
      <c r="S31" s="3060">
        <f t="shared" si="47"/>
        <v>0</v>
      </c>
      <c r="T31" s="2844">
        <f t="shared" si="30"/>
        <v>0</v>
      </c>
      <c r="U31" s="2845">
        <f t="shared" si="31"/>
        <v>0</v>
      </c>
      <c r="V31" s="374">
        <f t="shared" si="32"/>
        <v>0</v>
      </c>
      <c r="W31" s="2846">
        <f t="shared" si="33"/>
        <v>0</v>
      </c>
      <c r="X31" s="2847">
        <f t="shared" si="34"/>
        <v>0</v>
      </c>
      <c r="Y31" s="2848">
        <f t="shared" si="35"/>
        <v>0</v>
      </c>
      <c r="Z31" s="2849">
        <f t="shared" si="36"/>
        <v>0</v>
      </c>
      <c r="AA31" s="2850">
        <f t="shared" si="37"/>
        <v>0</v>
      </c>
      <c r="AB31" s="2851">
        <f t="shared" si="38"/>
        <v>0</v>
      </c>
      <c r="AD31" s="2867"/>
      <c r="AE31" s="2867"/>
      <c r="AF31" s="2867"/>
      <c r="AG31" s="2867"/>
      <c r="AH31" s="2867"/>
      <c r="AI31" s="2867"/>
      <c r="AJ31" s="2825"/>
      <c r="AK31" s="2825"/>
      <c r="AL31" s="2825"/>
      <c r="AM31" s="2825"/>
      <c r="AN31" s="2825"/>
    </row>
    <row r="32" spans="1:40" ht="14" thickBot="1">
      <c r="A32" s="3457" t="s">
        <v>461</v>
      </c>
      <c r="B32" s="3457" t="s">
        <v>461</v>
      </c>
      <c r="C32" s="2715">
        <f t="shared" si="1"/>
        <v>1.8933937422552669E-4</v>
      </c>
      <c r="D32" s="3458">
        <v>5</v>
      </c>
      <c r="E32" s="3459">
        <v>0</v>
      </c>
      <c r="F32" s="3459">
        <v>1</v>
      </c>
      <c r="G32" s="3459">
        <f>SUM(G33:G35)</f>
        <v>100</v>
      </c>
      <c r="H32" s="3460"/>
      <c r="I32" s="3460">
        <v>5.7870370370370366E-5</v>
      </c>
      <c r="J32" s="4749"/>
      <c r="K32" s="3460">
        <v>2.7777777777777779E-3</v>
      </c>
      <c r="L32" s="3461" t="s">
        <v>1651</v>
      </c>
      <c r="M32" s="3462">
        <f t="shared" si="48"/>
        <v>0.81805555555555554</v>
      </c>
      <c r="N32" s="3463">
        <v>1</v>
      </c>
      <c r="O32" s="3460">
        <f>Q32*E32*F32+I32*E32*F32+K32*E32</f>
        <v>0</v>
      </c>
      <c r="P32" s="3464">
        <f t="shared" si="26"/>
        <v>7.5735749690210676E-4</v>
      </c>
      <c r="Q32" s="3464">
        <f t="shared" si="46"/>
        <v>7.5735749690210676E-4</v>
      </c>
      <c r="R32" s="3465" t="s">
        <v>278</v>
      </c>
      <c r="S32" s="3459">
        <f t="shared" si="47"/>
        <v>0</v>
      </c>
      <c r="T32" s="2844">
        <f t="shared" si="30"/>
        <v>0</v>
      </c>
      <c r="U32" s="2845">
        <f t="shared" si="31"/>
        <v>0</v>
      </c>
      <c r="V32" s="374">
        <f t="shared" si="32"/>
        <v>0</v>
      </c>
      <c r="W32" s="2846">
        <f t="shared" si="33"/>
        <v>0</v>
      </c>
      <c r="X32" s="2847">
        <f t="shared" si="34"/>
        <v>0</v>
      </c>
      <c r="Y32" s="2848">
        <f t="shared" si="35"/>
        <v>0</v>
      </c>
      <c r="Z32" s="2849">
        <f t="shared" si="36"/>
        <v>0</v>
      </c>
      <c r="AA32" s="2850">
        <f t="shared" si="37"/>
        <v>0</v>
      </c>
      <c r="AB32" s="2851">
        <f t="shared" si="38"/>
        <v>0</v>
      </c>
      <c r="AD32" s="2867"/>
      <c r="AE32" s="2867"/>
      <c r="AF32" s="2867"/>
      <c r="AG32" s="2867"/>
      <c r="AH32" s="2867"/>
      <c r="AI32" s="2867"/>
      <c r="AJ32" s="2825"/>
      <c r="AK32" s="2825"/>
      <c r="AL32" s="2825"/>
      <c r="AM32" s="2825"/>
      <c r="AN32" s="2825"/>
    </row>
    <row r="33" spans="1:41" ht="11" customHeight="1" thickBot="1">
      <c r="A33" s="3457" t="s">
        <v>458</v>
      </c>
      <c r="B33" s="3457" t="s">
        <v>461</v>
      </c>
      <c r="C33" s="2715">
        <f t="shared" si="1"/>
        <v>0</v>
      </c>
      <c r="D33" s="3474"/>
      <c r="E33" s="3533">
        <v>0</v>
      </c>
      <c r="F33" s="3530">
        <v>1</v>
      </c>
      <c r="G33" s="3529">
        <v>15</v>
      </c>
      <c r="H33" s="3526"/>
      <c r="I33" s="3476"/>
      <c r="J33" s="4963"/>
      <c r="K33" s="3476"/>
      <c r="L33" s="3481" t="s">
        <v>1629</v>
      </c>
      <c r="M33" s="3477"/>
      <c r="N33" s="3478"/>
      <c r="O33" s="3476"/>
      <c r="P33" s="3479"/>
      <c r="Q33" s="3480"/>
      <c r="R33" s="3482"/>
      <c r="S33" s="3475">
        <f t="shared" si="47"/>
        <v>0</v>
      </c>
      <c r="T33" s="2844">
        <f t="shared" si="30"/>
        <v>0</v>
      </c>
      <c r="U33" s="2845">
        <f t="shared" si="31"/>
        <v>0</v>
      </c>
      <c r="V33" s="374">
        <f t="shared" si="32"/>
        <v>0</v>
      </c>
      <c r="W33" s="2846">
        <f t="shared" si="33"/>
        <v>0</v>
      </c>
      <c r="X33" s="2847">
        <f t="shared" si="34"/>
        <v>0</v>
      </c>
      <c r="Y33" s="2848">
        <f t="shared" si="35"/>
        <v>0</v>
      </c>
      <c r="Z33" s="2849">
        <f t="shared" si="36"/>
        <v>0</v>
      </c>
      <c r="AA33" s="2850">
        <f t="shared" si="37"/>
        <v>0</v>
      </c>
      <c r="AB33" s="2851">
        <f t="shared" si="38"/>
        <v>0</v>
      </c>
      <c r="AD33" s="2867"/>
      <c r="AE33" s="2867"/>
      <c r="AF33" s="2867"/>
      <c r="AG33" s="2867"/>
      <c r="AH33" s="2867"/>
      <c r="AI33" s="2867"/>
      <c r="AJ33" s="2825"/>
      <c r="AK33" s="2825"/>
      <c r="AL33" s="2825"/>
      <c r="AM33" s="2825"/>
      <c r="AN33" s="2825"/>
    </row>
    <row r="34" spans="1:41" ht="12" customHeight="1" thickBot="1">
      <c r="A34" s="3457" t="s">
        <v>219</v>
      </c>
      <c r="B34" s="3457" t="s">
        <v>461</v>
      </c>
      <c r="C34" s="2715">
        <f t="shared" si="1"/>
        <v>0</v>
      </c>
      <c r="D34" s="3474"/>
      <c r="E34" s="3533">
        <v>0</v>
      </c>
      <c r="F34" s="3530">
        <v>1</v>
      </c>
      <c r="G34" s="3529">
        <v>35</v>
      </c>
      <c r="H34" s="3526"/>
      <c r="I34" s="3476"/>
      <c r="J34" s="4963"/>
      <c r="K34" s="3476"/>
      <c r="L34" s="3481" t="s">
        <v>1630</v>
      </c>
      <c r="M34" s="3477"/>
      <c r="N34" s="3478"/>
      <c r="O34" s="3476"/>
      <c r="P34" s="3479"/>
      <c r="Q34" s="3480"/>
      <c r="R34" s="3482"/>
      <c r="S34" s="3475">
        <f t="shared" si="47"/>
        <v>0</v>
      </c>
      <c r="T34" s="2844">
        <f t="shared" si="30"/>
        <v>0</v>
      </c>
      <c r="U34" s="2845">
        <f t="shared" si="31"/>
        <v>0</v>
      </c>
      <c r="V34" s="374">
        <f t="shared" si="32"/>
        <v>0</v>
      </c>
      <c r="W34" s="2846">
        <f t="shared" si="33"/>
        <v>0</v>
      </c>
      <c r="X34" s="2847">
        <f t="shared" si="34"/>
        <v>0</v>
      </c>
      <c r="Y34" s="2848">
        <f t="shared" si="35"/>
        <v>0</v>
      </c>
      <c r="Z34" s="2849">
        <f t="shared" si="36"/>
        <v>0</v>
      </c>
      <c r="AA34" s="2850">
        <f t="shared" si="37"/>
        <v>0</v>
      </c>
      <c r="AB34" s="2851">
        <f t="shared" si="38"/>
        <v>0</v>
      </c>
      <c r="AD34" s="2867"/>
      <c r="AE34" s="2867"/>
      <c r="AF34" s="2867"/>
      <c r="AG34" s="2867"/>
      <c r="AH34" s="2867"/>
      <c r="AI34" s="2867"/>
      <c r="AJ34" s="2825"/>
      <c r="AK34" s="2825"/>
      <c r="AL34" s="2825"/>
      <c r="AM34" s="2825"/>
      <c r="AN34" s="2825"/>
    </row>
    <row r="35" spans="1:41" ht="12" customHeight="1" thickBot="1">
      <c r="A35" s="3457"/>
      <c r="B35" s="3457" t="s">
        <v>461</v>
      </c>
      <c r="C35" s="2715">
        <f t="shared" si="1"/>
        <v>0</v>
      </c>
      <c r="D35" s="3474"/>
      <c r="E35" s="3534">
        <v>0</v>
      </c>
      <c r="F35" s="3530">
        <v>1</v>
      </c>
      <c r="G35" s="3529">
        <v>50</v>
      </c>
      <c r="H35" s="3526"/>
      <c r="I35" s="3476"/>
      <c r="J35" s="4963"/>
      <c r="K35" s="3476"/>
      <c r="L35" s="3481" t="s">
        <v>1631</v>
      </c>
      <c r="M35" s="3477"/>
      <c r="N35" s="3478"/>
      <c r="O35" s="3476"/>
      <c r="P35" s="3479"/>
      <c r="Q35" s="3480"/>
      <c r="R35" s="3482"/>
      <c r="S35" s="3475">
        <f t="shared" si="47"/>
        <v>0</v>
      </c>
      <c r="T35" s="2844">
        <f t="shared" si="30"/>
        <v>0</v>
      </c>
      <c r="U35" s="2845">
        <f t="shared" si="31"/>
        <v>0</v>
      </c>
      <c r="V35" s="374">
        <f t="shared" si="32"/>
        <v>0</v>
      </c>
      <c r="W35" s="2846">
        <f t="shared" si="33"/>
        <v>0</v>
      </c>
      <c r="X35" s="2847">
        <f t="shared" si="34"/>
        <v>0</v>
      </c>
      <c r="Y35" s="2848">
        <f t="shared" si="35"/>
        <v>0</v>
      </c>
      <c r="Z35" s="2849">
        <f t="shared" si="36"/>
        <v>0</v>
      </c>
      <c r="AA35" s="2850">
        <f t="shared" si="37"/>
        <v>0</v>
      </c>
      <c r="AB35" s="2851">
        <f t="shared" si="38"/>
        <v>0</v>
      </c>
      <c r="AD35" s="2867"/>
      <c r="AE35" s="2867"/>
      <c r="AF35" s="2867"/>
      <c r="AG35" s="2867"/>
      <c r="AH35" s="2867"/>
      <c r="AI35" s="2867"/>
      <c r="AJ35" s="2825"/>
      <c r="AK35" s="2825"/>
      <c r="AL35" s="2825"/>
      <c r="AM35" s="2825"/>
      <c r="AN35" s="2825"/>
    </row>
    <row r="36" spans="1:41" ht="14" thickBot="1">
      <c r="A36" s="3457"/>
      <c r="B36" s="3457" t="s">
        <v>461</v>
      </c>
      <c r="C36" s="2715">
        <f t="shared" si="1"/>
        <v>2.1908757716049393E-4</v>
      </c>
      <c r="D36" s="3077">
        <v>2</v>
      </c>
      <c r="E36" s="3532">
        <v>0</v>
      </c>
      <c r="F36" s="3052">
        <v>6</v>
      </c>
      <c r="G36" s="3052">
        <v>50</v>
      </c>
      <c r="H36" s="3527"/>
      <c r="I36" s="3053">
        <v>1.3888888888888889E-4</v>
      </c>
      <c r="J36" s="4961"/>
      <c r="K36" s="3053">
        <v>1.3888888888888889E-3</v>
      </c>
      <c r="L36" s="3054" t="s">
        <v>1632</v>
      </c>
      <c r="M36" s="3055">
        <f>M32+O32</f>
        <v>0.81805555555555554</v>
      </c>
      <c r="N36" s="3056">
        <v>1</v>
      </c>
      <c r="O36" s="3053">
        <f>Q36*E36*F36+I36*E36*F36+K36*E36</f>
        <v>0</v>
      </c>
      <c r="P36" s="3057">
        <f t="shared" si="26"/>
        <v>4.3817515432098786E-4</v>
      </c>
      <c r="Q36" s="3057">
        <f t="shared" si="46"/>
        <v>4.3817515432098786E-4</v>
      </c>
      <c r="R36" s="3058">
        <v>146</v>
      </c>
      <c r="S36" s="3473">
        <f t="shared" si="47"/>
        <v>0</v>
      </c>
      <c r="T36" s="2844">
        <f t="shared" si="30"/>
        <v>0</v>
      </c>
      <c r="U36" s="2845">
        <f t="shared" si="31"/>
        <v>0</v>
      </c>
      <c r="V36" s="374">
        <f t="shared" si="32"/>
        <v>0</v>
      </c>
      <c r="W36" s="2846">
        <f t="shared" si="33"/>
        <v>0</v>
      </c>
      <c r="X36" s="2847">
        <f t="shared" si="34"/>
        <v>0</v>
      </c>
      <c r="Y36" s="2848">
        <f t="shared" si="35"/>
        <v>0</v>
      </c>
      <c r="Z36" s="2849">
        <f t="shared" si="36"/>
        <v>0</v>
      </c>
      <c r="AA36" s="2850">
        <f t="shared" si="37"/>
        <v>0</v>
      </c>
      <c r="AB36" s="2851">
        <f t="shared" si="38"/>
        <v>0</v>
      </c>
      <c r="AD36" s="2867"/>
      <c r="AE36" s="2867"/>
      <c r="AF36" s="2867"/>
      <c r="AG36" s="2867"/>
      <c r="AH36" s="2867"/>
      <c r="AI36" s="2867"/>
      <c r="AJ36" s="2825"/>
      <c r="AK36" s="2825"/>
      <c r="AL36" s="2825"/>
      <c r="AM36" s="2825"/>
      <c r="AN36" s="2825"/>
    </row>
    <row r="37" spans="1:41" ht="14" thickBot="1">
      <c r="A37" s="3457"/>
      <c r="B37" s="3457" t="s">
        <v>461</v>
      </c>
      <c r="C37" s="2715">
        <f t="shared" si="1"/>
        <v>1.7682291666666674E-4</v>
      </c>
      <c r="D37" s="3067">
        <v>7</v>
      </c>
      <c r="E37" s="3068">
        <v>0</v>
      </c>
      <c r="F37" s="3068">
        <v>4</v>
      </c>
      <c r="G37" s="3068">
        <v>25</v>
      </c>
      <c r="H37" s="3528"/>
      <c r="I37" s="3069">
        <v>1.0416666666666667E-3</v>
      </c>
      <c r="J37" s="4964"/>
      <c r="K37" s="3069">
        <v>0</v>
      </c>
      <c r="L37" s="3070" t="s">
        <v>979</v>
      </c>
      <c r="M37" s="3071">
        <f t="shared" si="48"/>
        <v>0.81805555555555554</v>
      </c>
      <c r="N37" s="3072">
        <v>1</v>
      </c>
      <c r="O37" s="3069">
        <f>Q37*E37*F37+I37*E37*F37+K37*E37</f>
        <v>0</v>
      </c>
      <c r="P37" s="3073">
        <f t="shared" si="26"/>
        <v>1.7682291666666674E-4</v>
      </c>
      <c r="Q37" s="3074">
        <f t="shared" si="46"/>
        <v>1.7682291666666674E-4</v>
      </c>
      <c r="R37" s="3075" t="s">
        <v>316</v>
      </c>
      <c r="S37" s="3483">
        <f t="shared" si="47"/>
        <v>0</v>
      </c>
      <c r="T37" s="2844">
        <f t="shared" si="30"/>
        <v>0</v>
      </c>
      <c r="U37" s="2845">
        <f t="shared" si="31"/>
        <v>0</v>
      </c>
      <c r="V37" s="374">
        <f t="shared" si="32"/>
        <v>0</v>
      </c>
      <c r="W37" s="2846">
        <f t="shared" si="33"/>
        <v>0</v>
      </c>
      <c r="X37" s="2847">
        <f t="shared" si="34"/>
        <v>0</v>
      </c>
      <c r="Y37" s="2848">
        <f t="shared" si="35"/>
        <v>0</v>
      </c>
      <c r="Z37" s="2849">
        <f t="shared" si="36"/>
        <v>0</v>
      </c>
      <c r="AA37" s="2850">
        <f t="shared" si="37"/>
        <v>0</v>
      </c>
      <c r="AB37" s="2851">
        <f t="shared" si="38"/>
        <v>0</v>
      </c>
      <c r="AD37" s="2867"/>
      <c r="AE37" s="2867"/>
      <c r="AF37" s="2867"/>
      <c r="AG37" s="2867"/>
      <c r="AH37" s="2867"/>
      <c r="AI37" s="2867"/>
      <c r="AJ37" s="2825"/>
      <c r="AK37" s="2825"/>
      <c r="AL37" s="2825"/>
      <c r="AM37" s="2825"/>
      <c r="AN37" s="2825"/>
    </row>
    <row r="38" spans="1:41" ht="14" thickBot="1">
      <c r="A38" s="3457"/>
      <c r="B38" s="3457"/>
      <c r="C38" s="2715">
        <f t="shared" si="1"/>
        <v>0</v>
      </c>
      <c r="D38" s="2801"/>
      <c r="E38" s="1554"/>
      <c r="F38" s="1554"/>
      <c r="G38" s="1554"/>
      <c r="H38" s="1554"/>
      <c r="I38" s="1554"/>
      <c r="J38" s="1554"/>
      <c r="K38" s="1554"/>
      <c r="L38" s="1554"/>
      <c r="M38" s="3076">
        <f t="shared" si="48"/>
        <v>0.81805555555555554</v>
      </c>
      <c r="N38" s="1555"/>
      <c r="O38" s="3484">
        <f>SUM(O29:O37)</f>
        <v>0</v>
      </c>
      <c r="P38" s="1554"/>
      <c r="Q38" s="1554"/>
      <c r="R38" s="1554"/>
      <c r="S38" s="3485">
        <f>SUM(S29:S37)</f>
        <v>0</v>
      </c>
      <c r="T38" s="2844">
        <f t="shared" si="30"/>
        <v>0</v>
      </c>
      <c r="U38" s="2845">
        <f t="shared" si="31"/>
        <v>0</v>
      </c>
      <c r="V38" s="374">
        <f t="shared" si="32"/>
        <v>0</v>
      </c>
      <c r="W38" s="2846">
        <f t="shared" si="33"/>
        <v>0</v>
      </c>
      <c r="X38" s="2847">
        <f t="shared" si="34"/>
        <v>0</v>
      </c>
      <c r="Y38" s="2848">
        <f t="shared" si="35"/>
        <v>0</v>
      </c>
      <c r="Z38" s="2849">
        <f t="shared" si="36"/>
        <v>0</v>
      </c>
      <c r="AA38" s="2850">
        <f t="shared" si="37"/>
        <v>0</v>
      </c>
      <c r="AB38" s="2851">
        <f t="shared" si="38"/>
        <v>0</v>
      </c>
      <c r="AD38" s="2867"/>
      <c r="AE38" s="2867"/>
      <c r="AF38" s="2867"/>
      <c r="AG38" s="2867"/>
      <c r="AH38" s="2867"/>
      <c r="AI38" s="2867"/>
      <c r="AJ38" s="2825"/>
      <c r="AK38" s="2825"/>
      <c r="AL38" s="2825"/>
      <c r="AM38" s="2825"/>
      <c r="AN38" s="2825"/>
    </row>
    <row r="39" spans="1:41" ht="14" customHeight="1" thickTop="1" thickBot="1">
      <c r="A39" s="2889" t="s">
        <v>139</v>
      </c>
      <c r="B39" s="3486" t="s">
        <v>215</v>
      </c>
      <c r="C39" s="2715">
        <f t="shared" si="1"/>
        <v>2.2880964381720439E-4</v>
      </c>
      <c r="D39" s="2335">
        <v>1</v>
      </c>
      <c r="E39" s="2336">
        <v>0</v>
      </c>
      <c r="F39" s="2336">
        <v>1</v>
      </c>
      <c r="G39" s="2336">
        <v>200</v>
      </c>
      <c r="H39" s="3522"/>
      <c r="I39" s="2337">
        <v>1.1574074074074073E-4</v>
      </c>
      <c r="J39" s="4705"/>
      <c r="K39" s="2337">
        <v>1.3888888888888889E-3</v>
      </c>
      <c r="L39" s="2338" t="s">
        <v>1187</v>
      </c>
      <c r="M39" s="2328">
        <v>0.2986111111111111</v>
      </c>
      <c r="N39" s="2339">
        <v>1</v>
      </c>
      <c r="O39" s="2329">
        <f t="shared" ref="O39:O44" si="49">Q39*E39*F39+I39*E39*F39+K39*E39</f>
        <v>0</v>
      </c>
      <c r="P39" s="2256">
        <f>C39*(G39/25)*1.04</f>
        <v>1.9036962365591406E-3</v>
      </c>
      <c r="Q39" s="2340">
        <f t="shared" ref="Q39:Q44" si="50">P39*N39</f>
        <v>1.9036962365591406E-3</v>
      </c>
      <c r="R39" s="2341"/>
      <c r="S39" s="2427">
        <f t="shared" ref="S39:S44" si="51">E39*F39*G39</f>
        <v>0</v>
      </c>
      <c r="T39" s="2844">
        <f t="shared" si="30"/>
        <v>0</v>
      </c>
      <c r="U39" s="2845">
        <f t="shared" si="31"/>
        <v>0</v>
      </c>
      <c r="V39" s="374">
        <f t="shared" si="32"/>
        <v>0</v>
      </c>
      <c r="W39" s="2846">
        <f t="shared" si="33"/>
        <v>0</v>
      </c>
      <c r="X39" s="2847">
        <f t="shared" si="34"/>
        <v>0</v>
      </c>
      <c r="Y39" s="2848">
        <f t="shared" si="35"/>
        <v>0</v>
      </c>
      <c r="Z39" s="2849">
        <f t="shared" si="36"/>
        <v>0</v>
      </c>
      <c r="AA39" s="2850">
        <f t="shared" si="37"/>
        <v>0</v>
      </c>
      <c r="AB39" s="2851">
        <f t="shared" si="38"/>
        <v>0</v>
      </c>
      <c r="AD39" s="2867"/>
      <c r="AE39" s="2867"/>
      <c r="AF39" s="2867"/>
      <c r="AG39" s="2867"/>
      <c r="AH39" s="2867"/>
      <c r="AI39" s="2867"/>
      <c r="AJ39" s="2825"/>
      <c r="AK39" s="2825"/>
      <c r="AL39" s="2825"/>
      <c r="AM39" s="2825"/>
      <c r="AN39" s="2825"/>
    </row>
    <row r="40" spans="1:41" ht="25" thickBot="1">
      <c r="A40" s="2889" t="s">
        <v>458</v>
      </c>
      <c r="B40" s="3486" t="s">
        <v>215</v>
      </c>
      <c r="C40" s="2715">
        <f t="shared" si="1"/>
        <v>1.8229166666666673E-4</v>
      </c>
      <c r="D40" s="3437">
        <v>6</v>
      </c>
      <c r="E40" s="3437">
        <v>0</v>
      </c>
      <c r="F40" s="3437">
        <v>8</v>
      </c>
      <c r="G40" s="3437">
        <v>50</v>
      </c>
      <c r="H40" s="3535"/>
      <c r="I40" s="2284">
        <v>6.9444444444444447E-4</v>
      </c>
      <c r="J40" s="4778"/>
      <c r="K40" s="2284">
        <v>1.0416666666666667E-3</v>
      </c>
      <c r="L40" s="3491" t="s">
        <v>1189</v>
      </c>
      <c r="M40" s="3439">
        <f>M39+O39</f>
        <v>0.2986111111111111</v>
      </c>
      <c r="N40" s="3440">
        <v>1.08</v>
      </c>
      <c r="O40" s="3441">
        <f t="shared" si="49"/>
        <v>0</v>
      </c>
      <c r="P40" s="3145">
        <f>C40*(G40/25)</f>
        <v>3.6458333333333346E-4</v>
      </c>
      <c r="Q40" s="3442">
        <f t="shared" si="50"/>
        <v>3.9375000000000017E-4</v>
      </c>
      <c r="R40" s="3443"/>
      <c r="S40" s="3444">
        <f t="shared" si="51"/>
        <v>0</v>
      </c>
      <c r="T40" s="2844">
        <f t="shared" si="30"/>
        <v>0</v>
      </c>
      <c r="U40" s="2845">
        <f t="shared" si="31"/>
        <v>0</v>
      </c>
      <c r="V40" s="374">
        <f t="shared" si="32"/>
        <v>0</v>
      </c>
      <c r="W40" s="2846">
        <f t="shared" si="33"/>
        <v>0</v>
      </c>
      <c r="X40" s="2847">
        <f t="shared" si="34"/>
        <v>0</v>
      </c>
      <c r="Y40" s="2848">
        <f t="shared" si="35"/>
        <v>0</v>
      </c>
      <c r="Z40" s="2849">
        <f t="shared" si="36"/>
        <v>0</v>
      </c>
      <c r="AA40" s="2850">
        <f t="shared" si="37"/>
        <v>0</v>
      </c>
      <c r="AB40" s="2851">
        <f t="shared" si="38"/>
        <v>0</v>
      </c>
      <c r="AD40" s="2867"/>
      <c r="AE40" s="2867"/>
      <c r="AF40" s="2867"/>
      <c r="AG40" s="2867"/>
      <c r="AH40" s="2867"/>
      <c r="AI40" s="2867"/>
      <c r="AJ40" s="2825"/>
      <c r="AK40" s="2825"/>
      <c r="AL40" s="2825"/>
      <c r="AM40" s="2825"/>
      <c r="AN40" s="2825"/>
    </row>
    <row r="41" spans="1:41" ht="14" thickBot="1">
      <c r="A41" s="2889" t="s">
        <v>462</v>
      </c>
      <c r="B41" s="3486" t="s">
        <v>215</v>
      </c>
      <c r="C41" s="2715">
        <f t="shared" si="1"/>
        <v>2.1908757716049393E-4</v>
      </c>
      <c r="D41" s="2302">
        <v>2</v>
      </c>
      <c r="E41" s="2276">
        <v>0</v>
      </c>
      <c r="F41" s="2276">
        <v>10</v>
      </c>
      <c r="G41" s="2276">
        <v>50</v>
      </c>
      <c r="H41" s="3036"/>
      <c r="I41" s="2277">
        <v>1.3888888888888889E-4</v>
      </c>
      <c r="J41" s="4739"/>
      <c r="K41" s="2277">
        <v>1.3888888888888889E-3</v>
      </c>
      <c r="L41" s="2278" t="s">
        <v>1188</v>
      </c>
      <c r="M41" s="2304">
        <f t="shared" ref="M41:M45" si="52">M40+O40</f>
        <v>0.2986111111111111</v>
      </c>
      <c r="N41" s="2305">
        <v>1.2</v>
      </c>
      <c r="O41" s="2306">
        <f t="shared" si="49"/>
        <v>0</v>
      </c>
      <c r="P41" s="2307">
        <f>C41*(G41/25)*1.04</f>
        <v>4.5570216049382737E-4</v>
      </c>
      <c r="Q41" s="2307">
        <f t="shared" si="50"/>
        <v>5.468425925925928E-4</v>
      </c>
      <c r="R41" s="2282"/>
      <c r="S41" s="2308">
        <f t="shared" si="51"/>
        <v>0</v>
      </c>
      <c r="T41" s="2844">
        <f t="shared" si="30"/>
        <v>0</v>
      </c>
      <c r="U41" s="2845">
        <f t="shared" si="31"/>
        <v>0</v>
      </c>
      <c r="V41" s="374">
        <f t="shared" si="32"/>
        <v>0</v>
      </c>
      <c r="W41" s="2846">
        <f t="shared" si="33"/>
        <v>0</v>
      </c>
      <c r="X41" s="2847">
        <f t="shared" si="34"/>
        <v>0</v>
      </c>
      <c r="Y41" s="2848">
        <f t="shared" si="35"/>
        <v>0</v>
      </c>
      <c r="Z41" s="2849">
        <f t="shared" si="36"/>
        <v>0</v>
      </c>
      <c r="AA41" s="2850">
        <f t="shared" si="37"/>
        <v>0</v>
      </c>
      <c r="AB41" s="2851">
        <f t="shared" si="38"/>
        <v>0</v>
      </c>
      <c r="AD41" s="2867"/>
      <c r="AE41" s="2867"/>
      <c r="AF41" s="2867"/>
      <c r="AG41" s="2867"/>
      <c r="AH41" s="2867"/>
      <c r="AI41" s="2867"/>
      <c r="AJ41" s="2825"/>
      <c r="AK41" s="2825"/>
      <c r="AL41" s="2825"/>
      <c r="AM41" s="2825"/>
      <c r="AN41" s="2825"/>
    </row>
    <row r="42" spans="1:41" ht="14" thickBot="1">
      <c r="A42" s="2889" t="s">
        <v>140</v>
      </c>
      <c r="B42" s="3486" t="s">
        <v>215</v>
      </c>
      <c r="C42" s="2715">
        <f t="shared" si="1"/>
        <v>1.7682291666666674E-4</v>
      </c>
      <c r="D42" s="2318">
        <v>7</v>
      </c>
      <c r="E42" s="2512">
        <v>0</v>
      </c>
      <c r="F42" s="2512">
        <v>2</v>
      </c>
      <c r="G42" s="2512">
        <v>50</v>
      </c>
      <c r="H42" s="3536"/>
      <c r="I42" s="2270">
        <v>6.9444444444444447E-4</v>
      </c>
      <c r="J42" s="4943"/>
      <c r="K42" s="2270">
        <v>1.3888888888888889E-3</v>
      </c>
      <c r="L42" s="2514" t="s">
        <v>947</v>
      </c>
      <c r="M42" s="3492">
        <f t="shared" si="52"/>
        <v>0.2986111111111111</v>
      </c>
      <c r="N42" s="3493">
        <v>1</v>
      </c>
      <c r="O42" s="3494">
        <f t="shared" si="49"/>
        <v>0</v>
      </c>
      <c r="P42" s="3495">
        <f>C42*(G42/25)*1.07</f>
        <v>3.7840104166666686E-4</v>
      </c>
      <c r="Q42" s="3496">
        <f t="shared" si="50"/>
        <v>3.7840104166666686E-4</v>
      </c>
      <c r="R42" s="3130"/>
      <c r="S42" s="3497">
        <f t="shared" si="51"/>
        <v>0</v>
      </c>
      <c r="T42" s="2844">
        <f t="shared" si="30"/>
        <v>0</v>
      </c>
      <c r="U42" s="2845">
        <f t="shared" si="31"/>
        <v>0</v>
      </c>
      <c r="V42" s="374">
        <f t="shared" si="32"/>
        <v>0</v>
      </c>
      <c r="W42" s="2846">
        <f t="shared" si="33"/>
        <v>0</v>
      </c>
      <c r="X42" s="2847">
        <f t="shared" si="34"/>
        <v>0</v>
      </c>
      <c r="Y42" s="2848">
        <f t="shared" si="35"/>
        <v>0</v>
      </c>
      <c r="Z42" s="2849">
        <f t="shared" si="36"/>
        <v>0</v>
      </c>
      <c r="AA42" s="2850">
        <f t="shared" si="37"/>
        <v>0</v>
      </c>
      <c r="AB42" s="2851">
        <f t="shared" si="38"/>
        <v>0</v>
      </c>
      <c r="AD42" s="2867"/>
      <c r="AE42" s="2867"/>
      <c r="AF42" s="2867"/>
      <c r="AG42" s="2867"/>
      <c r="AH42" s="2867"/>
      <c r="AI42" s="2867"/>
      <c r="AJ42" s="2825"/>
      <c r="AK42" s="2825"/>
      <c r="AL42" s="2825"/>
      <c r="AM42" s="2825"/>
      <c r="AN42" s="2825"/>
    </row>
    <row r="43" spans="1:41" ht="14" thickBot="1">
      <c r="A43" s="2889" t="s">
        <v>674</v>
      </c>
      <c r="B43" s="3486" t="s">
        <v>215</v>
      </c>
      <c r="C43" s="2715">
        <f t="shared" si="1"/>
        <v>2.1908757716049393E-4</v>
      </c>
      <c r="D43" s="2302">
        <v>2</v>
      </c>
      <c r="E43" s="2276">
        <v>0</v>
      </c>
      <c r="F43" s="2276">
        <v>10</v>
      </c>
      <c r="G43" s="2276">
        <v>50</v>
      </c>
      <c r="H43" s="3036"/>
      <c r="I43" s="2277">
        <v>1.3888888888888889E-4</v>
      </c>
      <c r="J43" s="4739"/>
      <c r="K43" s="2277">
        <v>1.3888888888888889E-3</v>
      </c>
      <c r="L43" s="2278" t="s">
        <v>1188</v>
      </c>
      <c r="M43" s="2304">
        <f t="shared" si="52"/>
        <v>0.2986111111111111</v>
      </c>
      <c r="N43" s="2305">
        <v>1.2</v>
      </c>
      <c r="O43" s="2306">
        <f t="shared" si="49"/>
        <v>0</v>
      </c>
      <c r="P43" s="2307">
        <f>C43*(G43/25)*1.04</f>
        <v>4.5570216049382737E-4</v>
      </c>
      <c r="Q43" s="2307">
        <f t="shared" si="50"/>
        <v>5.468425925925928E-4</v>
      </c>
      <c r="R43" s="2282"/>
      <c r="S43" s="2308">
        <f t="shared" si="51"/>
        <v>0</v>
      </c>
      <c r="T43" s="2844">
        <f t="shared" si="30"/>
        <v>0</v>
      </c>
      <c r="U43" s="2845">
        <f t="shared" si="31"/>
        <v>0</v>
      </c>
      <c r="V43" s="374">
        <f t="shared" si="32"/>
        <v>0</v>
      </c>
      <c r="W43" s="2846">
        <f t="shared" si="33"/>
        <v>0</v>
      </c>
      <c r="X43" s="2847">
        <f t="shared" si="34"/>
        <v>0</v>
      </c>
      <c r="Y43" s="2848">
        <f t="shared" si="35"/>
        <v>0</v>
      </c>
      <c r="Z43" s="2849">
        <f t="shared" si="36"/>
        <v>0</v>
      </c>
      <c r="AA43" s="2850">
        <f t="shared" si="37"/>
        <v>0</v>
      </c>
      <c r="AB43" s="2851">
        <f t="shared" si="38"/>
        <v>0</v>
      </c>
      <c r="AD43" s="2867"/>
      <c r="AE43" s="2867"/>
      <c r="AF43" s="2867"/>
      <c r="AG43" s="2867"/>
      <c r="AH43" s="2867"/>
      <c r="AI43" s="2867"/>
      <c r="AJ43" s="2825"/>
      <c r="AK43" s="2825"/>
      <c r="AL43" s="2825"/>
      <c r="AM43" s="2825"/>
      <c r="AN43" s="2825"/>
    </row>
    <row r="44" spans="1:41" ht="14" thickBot="1">
      <c r="A44" s="2889" t="s">
        <v>214</v>
      </c>
      <c r="B44" s="3486" t="s">
        <v>215</v>
      </c>
      <c r="C44" s="2715">
        <f t="shared" si="1"/>
        <v>1.7682291666666674E-4</v>
      </c>
      <c r="D44" s="2318">
        <v>7</v>
      </c>
      <c r="E44" s="2512">
        <v>0</v>
      </c>
      <c r="F44" s="2512">
        <v>2</v>
      </c>
      <c r="G44" s="2512">
        <v>50</v>
      </c>
      <c r="H44" s="3536"/>
      <c r="I44" s="2270">
        <v>6.9444444444444447E-4</v>
      </c>
      <c r="J44" s="4943"/>
      <c r="K44" s="2270">
        <v>1.3888888888888889E-3</v>
      </c>
      <c r="L44" s="2514" t="s">
        <v>1633</v>
      </c>
      <c r="M44" s="3492">
        <f t="shared" si="52"/>
        <v>0.2986111111111111</v>
      </c>
      <c r="N44" s="3493">
        <v>1</v>
      </c>
      <c r="O44" s="3494">
        <f t="shared" si="49"/>
        <v>0</v>
      </c>
      <c r="P44" s="3495">
        <f>C44*(G44/25)*1.07</f>
        <v>3.7840104166666686E-4</v>
      </c>
      <c r="Q44" s="3496">
        <f t="shared" si="50"/>
        <v>3.7840104166666686E-4</v>
      </c>
      <c r="R44" s="3130"/>
      <c r="S44" s="3497">
        <f t="shared" si="51"/>
        <v>0</v>
      </c>
      <c r="T44" s="2844">
        <f t="shared" si="30"/>
        <v>0</v>
      </c>
      <c r="U44" s="2845">
        <f t="shared" si="31"/>
        <v>0</v>
      </c>
      <c r="V44" s="374">
        <f t="shared" si="32"/>
        <v>0</v>
      </c>
      <c r="W44" s="2846">
        <f t="shared" si="33"/>
        <v>0</v>
      </c>
      <c r="X44" s="2847">
        <f t="shared" si="34"/>
        <v>0</v>
      </c>
      <c r="Y44" s="2848">
        <f t="shared" si="35"/>
        <v>0</v>
      </c>
      <c r="Z44" s="2849">
        <f t="shared" si="36"/>
        <v>0</v>
      </c>
      <c r="AA44" s="2850">
        <f t="shared" si="37"/>
        <v>0</v>
      </c>
      <c r="AB44" s="2851">
        <f t="shared" si="38"/>
        <v>0</v>
      </c>
      <c r="AD44" s="2867"/>
      <c r="AE44" s="2867"/>
      <c r="AF44" s="2867"/>
      <c r="AG44" s="2867"/>
      <c r="AH44" s="2867"/>
      <c r="AI44" s="2867"/>
      <c r="AJ44" s="2825"/>
      <c r="AK44" s="2825"/>
      <c r="AL44" s="2825"/>
      <c r="AM44" s="2825"/>
      <c r="AN44" s="2825"/>
    </row>
    <row r="45" spans="1:41" ht="14" thickBot="1">
      <c r="A45" s="2892"/>
      <c r="B45" s="3486"/>
      <c r="C45" s="2715">
        <f t="shared" si="1"/>
        <v>0</v>
      </c>
      <c r="D45" s="3453"/>
      <c r="E45" s="3454"/>
      <c r="F45" s="3454"/>
      <c r="G45" s="3454"/>
      <c r="H45" s="3454"/>
      <c r="I45" s="3454"/>
      <c r="J45" s="3454"/>
      <c r="K45" s="3454"/>
      <c r="L45" s="3454"/>
      <c r="M45" s="2328">
        <f t="shared" si="52"/>
        <v>0.2986111111111111</v>
      </c>
      <c r="N45" s="3455"/>
      <c r="O45" s="2329"/>
      <c r="P45" s="3454"/>
      <c r="Q45" s="3454"/>
      <c r="R45" s="3454"/>
      <c r="S45" s="3456">
        <f>SUM(S39:S42)</f>
        <v>0</v>
      </c>
      <c r="T45" s="2844">
        <f t="shared" si="30"/>
        <v>0</v>
      </c>
      <c r="U45" s="2845">
        <f t="shared" si="31"/>
        <v>0</v>
      </c>
      <c r="V45" s="374">
        <f t="shared" si="32"/>
        <v>0</v>
      </c>
      <c r="W45" s="2846">
        <f t="shared" si="33"/>
        <v>0</v>
      </c>
      <c r="X45" s="2847">
        <f t="shared" si="34"/>
        <v>0</v>
      </c>
      <c r="Y45" s="2848">
        <f t="shared" si="35"/>
        <v>0</v>
      </c>
      <c r="Z45" s="2849">
        <f t="shared" si="36"/>
        <v>0</v>
      </c>
      <c r="AA45" s="2850">
        <f t="shared" si="37"/>
        <v>0</v>
      </c>
      <c r="AB45" s="2851">
        <f t="shared" si="38"/>
        <v>0</v>
      </c>
      <c r="AD45" s="2867"/>
      <c r="AE45" s="2867"/>
      <c r="AF45" s="2867"/>
      <c r="AG45" s="2867"/>
      <c r="AH45" s="2867"/>
      <c r="AI45" s="2867"/>
      <c r="AJ45" s="2825"/>
      <c r="AK45" s="2825"/>
      <c r="AL45" s="2825"/>
      <c r="AM45" s="2825"/>
      <c r="AN45" s="2825"/>
    </row>
    <row r="46" spans="1:41" ht="15" customHeight="1" thickBot="1">
      <c r="A46" s="2892" t="s">
        <v>215</v>
      </c>
      <c r="B46" s="3486" t="s">
        <v>461</v>
      </c>
      <c r="C46" s="2715">
        <f t="shared" si="1"/>
        <v>2.2880964381720439E-4</v>
      </c>
      <c r="D46" s="2335">
        <v>1</v>
      </c>
      <c r="E46" s="2336">
        <v>0</v>
      </c>
      <c r="F46" s="2336">
        <v>1</v>
      </c>
      <c r="G46" s="2336">
        <v>200</v>
      </c>
      <c r="H46" s="2337"/>
      <c r="I46" s="2337">
        <v>1.1574074074074073E-4</v>
      </c>
      <c r="J46" s="4705"/>
      <c r="K46" s="2337">
        <v>1.3888888888888889E-3</v>
      </c>
      <c r="L46" s="3498" t="s">
        <v>1634</v>
      </c>
      <c r="M46" s="2328">
        <v>0.79861111111111116</v>
      </c>
      <c r="N46" s="2339">
        <v>1</v>
      </c>
      <c r="O46" s="2340">
        <f>Q46*E46*F46+I46*E46*F46+K46*E46</f>
        <v>0</v>
      </c>
      <c r="P46" s="2256">
        <f>C46*(G46/25)*1.04</f>
        <v>1.9036962365591406E-3</v>
      </c>
      <c r="Q46" s="2340">
        <f>P46*N46</f>
        <v>1.9036962365591406E-3</v>
      </c>
      <c r="R46" s="2341"/>
      <c r="S46" s="2427">
        <f>E46*F46*G46</f>
        <v>0</v>
      </c>
      <c r="T46" s="2844">
        <f t="shared" si="30"/>
        <v>0</v>
      </c>
      <c r="U46" s="2845">
        <f t="shared" si="31"/>
        <v>0</v>
      </c>
      <c r="V46" s="374">
        <f t="shared" si="32"/>
        <v>0</v>
      </c>
      <c r="W46" s="2846">
        <f t="shared" si="33"/>
        <v>0</v>
      </c>
      <c r="X46" s="2847">
        <f t="shared" si="34"/>
        <v>0</v>
      </c>
      <c r="Y46" s="2848">
        <f t="shared" si="35"/>
        <v>0</v>
      </c>
      <c r="Z46" s="2849">
        <f t="shared" si="36"/>
        <v>0</v>
      </c>
      <c r="AA46" s="2850">
        <f t="shared" si="37"/>
        <v>0</v>
      </c>
      <c r="AB46" s="2851">
        <f t="shared" si="38"/>
        <v>0</v>
      </c>
      <c r="AD46" s="2867"/>
      <c r="AE46" s="2867"/>
      <c r="AF46" s="2867"/>
      <c r="AG46" s="2867"/>
      <c r="AH46" s="2867"/>
      <c r="AI46" s="2867"/>
      <c r="AJ46" s="2825"/>
      <c r="AK46" s="2825"/>
      <c r="AL46" s="2825"/>
      <c r="AM46" s="2825"/>
      <c r="AN46" s="2825"/>
    </row>
    <row r="47" spans="1:41" s="2914" customFormat="1" ht="14" thickBot="1">
      <c r="A47" s="2889" t="s">
        <v>139</v>
      </c>
      <c r="B47" s="3486" t="s">
        <v>461</v>
      </c>
      <c r="C47" s="2715">
        <f t="shared" si="1"/>
        <v>2.1908757716049393E-4</v>
      </c>
      <c r="D47" s="2302">
        <v>2</v>
      </c>
      <c r="E47" s="2276">
        <v>0</v>
      </c>
      <c r="F47" s="2276">
        <v>10</v>
      </c>
      <c r="G47" s="2276">
        <v>50</v>
      </c>
      <c r="H47" s="2277"/>
      <c r="I47" s="2277">
        <v>1.3888888888888889E-4</v>
      </c>
      <c r="J47" s="4739"/>
      <c r="K47" s="2277">
        <v>1.3888888888888889E-3</v>
      </c>
      <c r="L47" s="2278" t="s">
        <v>670</v>
      </c>
      <c r="M47" s="2304">
        <f t="shared" si="4"/>
        <v>0.79861111111111116</v>
      </c>
      <c r="N47" s="2305">
        <v>1.2</v>
      </c>
      <c r="O47" s="2307">
        <f>Q47*E47*F47+I47*E47*F47+K47*E47</f>
        <v>0</v>
      </c>
      <c r="P47" s="2307">
        <f>C47*(G47/25)*1.04</f>
        <v>4.5570216049382737E-4</v>
      </c>
      <c r="Q47" s="2307">
        <f>P47*N47</f>
        <v>5.468425925925928E-4</v>
      </c>
      <c r="R47" s="2282"/>
      <c r="S47" s="2308">
        <f>E47*F47*G47</f>
        <v>0</v>
      </c>
      <c r="T47" s="2844">
        <f t="shared" si="30"/>
        <v>0</v>
      </c>
      <c r="U47" s="2845">
        <f t="shared" si="31"/>
        <v>0</v>
      </c>
      <c r="V47" s="374">
        <f t="shared" si="32"/>
        <v>0</v>
      </c>
      <c r="W47" s="2846">
        <f t="shared" si="33"/>
        <v>0</v>
      </c>
      <c r="X47" s="2847">
        <f t="shared" si="34"/>
        <v>0</v>
      </c>
      <c r="Y47" s="2848">
        <f t="shared" si="35"/>
        <v>0</v>
      </c>
      <c r="Z47" s="2849">
        <f t="shared" si="36"/>
        <v>0</v>
      </c>
      <c r="AA47" s="2850">
        <f t="shared" si="37"/>
        <v>0</v>
      </c>
      <c r="AB47" s="2851">
        <f t="shared" si="38"/>
        <v>0</v>
      </c>
      <c r="AC47" s="3156"/>
      <c r="AD47" s="2826"/>
      <c r="AE47" s="2826"/>
      <c r="AF47" s="2838"/>
      <c r="AG47" s="2838"/>
      <c r="AH47" s="2838"/>
      <c r="AI47" s="2838"/>
      <c r="AJ47" s="2838"/>
      <c r="AK47" s="2826"/>
      <c r="AL47" s="2826"/>
      <c r="AM47" s="2826"/>
      <c r="AN47" s="2826"/>
      <c r="AO47" s="2913"/>
    </row>
    <row r="48" spans="1:41" s="2914" customFormat="1" ht="14" thickBot="1">
      <c r="A48" s="2889" t="s">
        <v>458</v>
      </c>
      <c r="B48" s="3486" t="s">
        <v>461</v>
      </c>
      <c r="C48" s="2715">
        <f t="shared" si="1"/>
        <v>2.1222190799396687E-4</v>
      </c>
      <c r="D48" s="2309">
        <v>3</v>
      </c>
      <c r="E48" s="2257">
        <v>0</v>
      </c>
      <c r="F48" s="2257">
        <v>4</v>
      </c>
      <c r="G48" s="2257">
        <v>50</v>
      </c>
      <c r="H48" s="2258"/>
      <c r="I48" s="2258">
        <v>4.6296296296296293E-4</v>
      </c>
      <c r="J48" s="4711"/>
      <c r="K48" s="2258">
        <v>2.0833333333333333E-3</v>
      </c>
      <c r="L48" s="2310" t="s">
        <v>703</v>
      </c>
      <c r="M48" s="2311">
        <f t="shared" si="4"/>
        <v>0.79861111111111116</v>
      </c>
      <c r="N48" s="2312">
        <v>1</v>
      </c>
      <c r="O48" s="2315">
        <f>Q48*E48*F48+I48*E48*F48+K48*E48</f>
        <v>0</v>
      </c>
      <c r="P48" s="2314">
        <f>C48*(G48/25)*1.04</f>
        <v>4.4142156862745112E-4</v>
      </c>
      <c r="Q48" s="2315">
        <f>P48*N48</f>
        <v>4.4142156862745112E-4</v>
      </c>
      <c r="R48" s="2274"/>
      <c r="S48" s="3499">
        <f>E48*F48*G48</f>
        <v>0</v>
      </c>
      <c r="T48" s="2844">
        <f t="shared" si="30"/>
        <v>0</v>
      </c>
      <c r="U48" s="2845">
        <f t="shared" si="31"/>
        <v>0</v>
      </c>
      <c r="V48" s="374">
        <f t="shared" si="32"/>
        <v>0</v>
      </c>
      <c r="W48" s="2846">
        <f t="shared" si="33"/>
        <v>0</v>
      </c>
      <c r="X48" s="2847">
        <f t="shared" si="34"/>
        <v>0</v>
      </c>
      <c r="Y48" s="2848">
        <f t="shared" si="35"/>
        <v>0</v>
      </c>
      <c r="Z48" s="2849">
        <f t="shared" si="36"/>
        <v>0</v>
      </c>
      <c r="AA48" s="2850">
        <f t="shared" si="37"/>
        <v>0</v>
      </c>
      <c r="AB48" s="2851">
        <f t="shared" si="38"/>
        <v>0</v>
      </c>
      <c r="AC48" s="3156"/>
      <c r="AD48" s="2826"/>
      <c r="AE48" s="2826"/>
      <c r="AF48" s="2838"/>
      <c r="AG48" s="2838"/>
      <c r="AH48" s="2838"/>
      <c r="AI48" s="2838"/>
      <c r="AJ48" s="2838"/>
      <c r="AK48" s="2826"/>
      <c r="AL48" s="2826"/>
      <c r="AM48" s="2826"/>
      <c r="AN48" s="2826"/>
      <c r="AO48" s="2913"/>
    </row>
    <row r="49" spans="1:41" s="2914" customFormat="1" ht="14" thickBot="1">
      <c r="A49" s="2889" t="s">
        <v>462</v>
      </c>
      <c r="B49" s="3486" t="s">
        <v>461</v>
      </c>
      <c r="C49" s="2715">
        <f t="shared" si="1"/>
        <v>1.8933937422552669E-4</v>
      </c>
      <c r="D49" s="3500">
        <v>5</v>
      </c>
      <c r="E49" s="3445">
        <v>0</v>
      </c>
      <c r="F49" s="3445">
        <v>1</v>
      </c>
      <c r="G49" s="3445">
        <v>50</v>
      </c>
      <c r="H49" s="2264"/>
      <c r="I49" s="2264">
        <v>5.7870370370370366E-5</v>
      </c>
      <c r="J49" s="4715"/>
      <c r="K49" s="2264">
        <v>1.3888888888888889E-3</v>
      </c>
      <c r="L49" s="3446" t="s">
        <v>2061</v>
      </c>
      <c r="M49" s="3447">
        <f t="shared" si="4"/>
        <v>0.79861111111111116</v>
      </c>
      <c r="N49" s="3448">
        <v>0.93</v>
      </c>
      <c r="O49" s="3451">
        <f t="shared" ref="O49:O53" si="53">Q49*E49*F49+I49*E49*F49+K49*E49</f>
        <v>0</v>
      </c>
      <c r="P49" s="3450">
        <f t="shared" ref="P49:P53" si="54">C49*(G49/25)*1.04</f>
        <v>3.9382589838909553E-4</v>
      </c>
      <c r="Q49" s="3451">
        <f t="shared" ref="Q49:Q53" si="55">P49*N49</f>
        <v>3.6625808550185885E-4</v>
      </c>
      <c r="R49" s="3468"/>
      <c r="S49" s="3468">
        <f t="shared" ref="S49:S53" si="56">E49*F49*G49</f>
        <v>0</v>
      </c>
      <c r="T49" s="2844">
        <f t="shared" si="30"/>
        <v>0</v>
      </c>
      <c r="U49" s="2845">
        <f t="shared" si="31"/>
        <v>0</v>
      </c>
      <c r="V49" s="374">
        <f t="shared" si="32"/>
        <v>0</v>
      </c>
      <c r="W49" s="2846">
        <f t="shared" si="33"/>
        <v>0</v>
      </c>
      <c r="X49" s="2847">
        <f t="shared" si="34"/>
        <v>0</v>
      </c>
      <c r="Y49" s="2848">
        <f t="shared" si="35"/>
        <v>0</v>
      </c>
      <c r="Z49" s="2849">
        <f t="shared" si="36"/>
        <v>0</v>
      </c>
      <c r="AA49" s="2850">
        <f t="shared" si="37"/>
        <v>0</v>
      </c>
      <c r="AB49" s="2851">
        <f t="shared" si="38"/>
        <v>0</v>
      </c>
      <c r="AC49" s="3156"/>
      <c r="AD49" s="2826"/>
      <c r="AE49" s="2826"/>
      <c r="AF49" s="2838"/>
      <c r="AG49" s="2838"/>
      <c r="AH49" s="2838"/>
      <c r="AI49" s="2838"/>
      <c r="AJ49" s="2838"/>
      <c r="AK49" s="2826"/>
      <c r="AL49" s="2826"/>
      <c r="AM49" s="2826"/>
      <c r="AN49" s="2826"/>
      <c r="AO49" s="2913"/>
    </row>
    <row r="50" spans="1:41" s="2914" customFormat="1" ht="14" thickBot="1">
      <c r="A50" s="2889" t="s">
        <v>140</v>
      </c>
      <c r="B50" s="3486" t="s">
        <v>461</v>
      </c>
      <c r="C50" s="2715">
        <f t="shared" si="1"/>
        <v>2.1222190799396687E-4</v>
      </c>
      <c r="D50" s="2309">
        <v>3</v>
      </c>
      <c r="E50" s="2257">
        <v>0</v>
      </c>
      <c r="F50" s="2257">
        <v>1</v>
      </c>
      <c r="G50" s="2257">
        <v>200</v>
      </c>
      <c r="H50" s="2258"/>
      <c r="I50" s="2258">
        <v>3.4722222222222224E-4</v>
      </c>
      <c r="J50" s="4711"/>
      <c r="K50" s="2258">
        <v>1.3888888888888889E-3</v>
      </c>
      <c r="L50" s="2259" t="s">
        <v>670</v>
      </c>
      <c r="M50" s="2311">
        <f t="shared" si="4"/>
        <v>0.79861111111111116</v>
      </c>
      <c r="N50" s="2312">
        <v>1.2</v>
      </c>
      <c r="O50" s="2315">
        <f t="shared" si="53"/>
        <v>0</v>
      </c>
      <c r="P50" s="2314">
        <f t="shared" si="54"/>
        <v>1.7656862745098045E-3</v>
      </c>
      <c r="Q50" s="2315">
        <f t="shared" si="55"/>
        <v>2.1188235294117654E-3</v>
      </c>
      <c r="R50" s="2274"/>
      <c r="S50" s="2257">
        <f t="shared" si="56"/>
        <v>0</v>
      </c>
      <c r="T50" s="2844">
        <f t="shared" si="30"/>
        <v>0</v>
      </c>
      <c r="U50" s="2845">
        <f t="shared" si="31"/>
        <v>0</v>
      </c>
      <c r="V50" s="374">
        <f t="shared" si="32"/>
        <v>0</v>
      </c>
      <c r="W50" s="2846">
        <f t="shared" si="33"/>
        <v>0</v>
      </c>
      <c r="X50" s="2847">
        <f t="shared" si="34"/>
        <v>0</v>
      </c>
      <c r="Y50" s="2848">
        <f t="shared" si="35"/>
        <v>0</v>
      </c>
      <c r="Z50" s="2849">
        <f t="shared" si="36"/>
        <v>0</v>
      </c>
      <c r="AA50" s="2850">
        <f t="shared" si="37"/>
        <v>0</v>
      </c>
      <c r="AB50" s="2851">
        <f t="shared" si="38"/>
        <v>0</v>
      </c>
      <c r="AC50" s="3156"/>
      <c r="AD50" s="2826"/>
      <c r="AE50" s="2826"/>
      <c r="AF50" s="2838"/>
      <c r="AG50" s="2838"/>
      <c r="AH50" s="2838"/>
      <c r="AI50" s="2838"/>
      <c r="AJ50" s="2838"/>
      <c r="AK50" s="2826"/>
      <c r="AL50" s="2826"/>
      <c r="AM50" s="2826"/>
      <c r="AN50" s="2826"/>
      <c r="AO50" s="2913"/>
    </row>
    <row r="51" spans="1:41" s="2914" customFormat="1" ht="14" thickBot="1">
      <c r="A51" s="2889" t="s">
        <v>674</v>
      </c>
      <c r="B51" s="3486" t="s">
        <v>461</v>
      </c>
      <c r="C51" s="2715">
        <f t="shared" si="1"/>
        <v>1.8933937422552669E-4</v>
      </c>
      <c r="D51" s="2505">
        <v>5</v>
      </c>
      <c r="E51" s="3445">
        <v>0</v>
      </c>
      <c r="F51" s="3445">
        <v>1</v>
      </c>
      <c r="G51" s="3445">
        <v>100</v>
      </c>
      <c r="H51" s="2264"/>
      <c r="I51" s="2264">
        <v>5.7870370370370366E-5</v>
      </c>
      <c r="J51" s="4715"/>
      <c r="K51" s="2264">
        <v>1.3888888888888889E-3</v>
      </c>
      <c r="L51" s="3446" t="s">
        <v>2062</v>
      </c>
      <c r="M51" s="3447">
        <f t="shared" si="4"/>
        <v>0.79861111111111116</v>
      </c>
      <c r="N51" s="3448">
        <v>1</v>
      </c>
      <c r="O51" s="3451">
        <f t="shared" si="53"/>
        <v>0</v>
      </c>
      <c r="P51" s="3450">
        <f t="shared" si="54"/>
        <v>7.8765179677819106E-4</v>
      </c>
      <c r="Q51" s="3451">
        <f t="shared" si="55"/>
        <v>7.8765179677819106E-4</v>
      </c>
      <c r="R51" s="3468"/>
      <c r="S51" s="3468">
        <f t="shared" si="56"/>
        <v>0</v>
      </c>
      <c r="T51" s="2844">
        <f t="shared" si="30"/>
        <v>0</v>
      </c>
      <c r="U51" s="2845">
        <f t="shared" si="31"/>
        <v>0</v>
      </c>
      <c r="V51" s="374">
        <f t="shared" si="32"/>
        <v>0</v>
      </c>
      <c r="W51" s="2846">
        <f t="shared" si="33"/>
        <v>0</v>
      </c>
      <c r="X51" s="2847">
        <f t="shared" si="34"/>
        <v>0</v>
      </c>
      <c r="Y51" s="2848">
        <f t="shared" si="35"/>
        <v>0</v>
      </c>
      <c r="Z51" s="2849">
        <f t="shared" si="36"/>
        <v>0</v>
      </c>
      <c r="AA51" s="2850">
        <f t="shared" si="37"/>
        <v>0</v>
      </c>
      <c r="AB51" s="2851">
        <f t="shared" si="38"/>
        <v>0</v>
      </c>
      <c r="AC51" s="3156"/>
      <c r="AD51" s="2826"/>
      <c r="AE51" s="2826"/>
      <c r="AF51" s="2838"/>
      <c r="AG51" s="2838"/>
      <c r="AH51" s="2838"/>
      <c r="AI51" s="2838"/>
      <c r="AJ51" s="2838"/>
      <c r="AK51" s="2826"/>
      <c r="AL51" s="2826"/>
      <c r="AM51" s="2826"/>
      <c r="AN51" s="2826"/>
      <c r="AO51" s="2913"/>
    </row>
    <row r="52" spans="1:41" s="2914" customFormat="1" ht="14" thickBot="1">
      <c r="A52" s="2889" t="s">
        <v>214</v>
      </c>
      <c r="B52" s="3486" t="s">
        <v>461</v>
      </c>
      <c r="C52" s="2715">
        <f t="shared" si="1"/>
        <v>2.1908757716049393E-4</v>
      </c>
      <c r="D52" s="2302">
        <v>2</v>
      </c>
      <c r="E52" s="2276">
        <v>0</v>
      </c>
      <c r="F52" s="2276">
        <v>3</v>
      </c>
      <c r="G52" s="2276">
        <v>100</v>
      </c>
      <c r="H52" s="2277"/>
      <c r="I52" s="2277">
        <v>1.7361111111111112E-4</v>
      </c>
      <c r="J52" s="4739"/>
      <c r="K52" s="2277">
        <v>1.3888888888888889E-3</v>
      </c>
      <c r="L52" s="2278" t="s">
        <v>703</v>
      </c>
      <c r="M52" s="2304">
        <f t="shared" si="4"/>
        <v>0.79861111111111116</v>
      </c>
      <c r="N52" s="2305">
        <v>1</v>
      </c>
      <c r="O52" s="2307">
        <f t="shared" si="53"/>
        <v>0</v>
      </c>
      <c r="P52" s="2307">
        <f t="shared" si="54"/>
        <v>9.1140432098765474E-4</v>
      </c>
      <c r="Q52" s="2307">
        <f t="shared" si="55"/>
        <v>9.1140432098765474E-4</v>
      </c>
      <c r="R52" s="2282"/>
      <c r="S52" s="2283">
        <f t="shared" si="56"/>
        <v>0</v>
      </c>
      <c r="T52" s="2844">
        <f t="shared" si="30"/>
        <v>0</v>
      </c>
      <c r="U52" s="2845">
        <f t="shared" si="31"/>
        <v>0</v>
      </c>
      <c r="V52" s="374">
        <f t="shared" si="32"/>
        <v>0</v>
      </c>
      <c r="W52" s="2846">
        <f t="shared" si="33"/>
        <v>0</v>
      </c>
      <c r="X52" s="2847">
        <f t="shared" si="34"/>
        <v>0</v>
      </c>
      <c r="Y52" s="2848">
        <f t="shared" si="35"/>
        <v>0</v>
      </c>
      <c r="Z52" s="2849">
        <f t="shared" si="36"/>
        <v>0</v>
      </c>
      <c r="AA52" s="2850">
        <f t="shared" si="37"/>
        <v>0</v>
      </c>
      <c r="AB52" s="2851">
        <f t="shared" si="38"/>
        <v>0</v>
      </c>
      <c r="AC52" s="3156"/>
      <c r="AD52" s="2826"/>
      <c r="AE52" s="2826"/>
      <c r="AF52" s="2838"/>
      <c r="AG52" s="2838"/>
      <c r="AH52" s="2838"/>
      <c r="AI52" s="2838"/>
      <c r="AJ52" s="2838"/>
      <c r="AK52" s="2826"/>
      <c r="AL52" s="2826"/>
      <c r="AM52" s="2826"/>
      <c r="AN52" s="2826"/>
      <c r="AO52" s="2913"/>
    </row>
    <row r="53" spans="1:41" ht="16" customHeight="1" thickBot="1">
      <c r="A53" s="2889" t="s">
        <v>219</v>
      </c>
      <c r="B53" s="3486" t="s">
        <v>461</v>
      </c>
      <c r="C53" s="2715">
        <f t="shared" si="1"/>
        <v>1.7682291666666674E-4</v>
      </c>
      <c r="D53" s="2318">
        <v>7</v>
      </c>
      <c r="E53" s="2266">
        <v>0</v>
      </c>
      <c r="F53" s="2266">
        <v>4</v>
      </c>
      <c r="G53" s="2266">
        <v>15</v>
      </c>
      <c r="H53" s="2267"/>
      <c r="I53" s="2267">
        <v>1.1574074074074073E-4</v>
      </c>
      <c r="J53" s="4770"/>
      <c r="K53" s="2267">
        <v>6.9444444444444447E-4</v>
      </c>
      <c r="L53" s="3501" t="s">
        <v>319</v>
      </c>
      <c r="M53" s="3492">
        <f t="shared" si="4"/>
        <v>0.79861111111111116</v>
      </c>
      <c r="N53" s="3502">
        <v>1</v>
      </c>
      <c r="O53" s="3496">
        <f t="shared" si="53"/>
        <v>0</v>
      </c>
      <c r="P53" s="3496">
        <f t="shared" si="54"/>
        <v>1.1033750000000005E-4</v>
      </c>
      <c r="Q53" s="3496">
        <f t="shared" si="55"/>
        <v>1.1033750000000005E-4</v>
      </c>
      <c r="R53" s="3503"/>
      <c r="S53" s="3470">
        <f t="shared" si="56"/>
        <v>0</v>
      </c>
      <c r="T53" s="2844">
        <f t="shared" si="30"/>
        <v>0</v>
      </c>
      <c r="U53" s="2845">
        <f t="shared" si="31"/>
        <v>0</v>
      </c>
      <c r="V53" s="374">
        <f t="shared" si="32"/>
        <v>0</v>
      </c>
      <c r="W53" s="2846">
        <f t="shared" si="33"/>
        <v>0</v>
      </c>
      <c r="X53" s="2847">
        <f t="shared" si="34"/>
        <v>0</v>
      </c>
      <c r="Y53" s="2848">
        <f t="shared" si="35"/>
        <v>0</v>
      </c>
      <c r="Z53" s="2849">
        <f t="shared" si="36"/>
        <v>0</v>
      </c>
      <c r="AA53" s="2850">
        <f t="shared" si="37"/>
        <v>0</v>
      </c>
      <c r="AB53" s="2851">
        <f t="shared" si="38"/>
        <v>0</v>
      </c>
      <c r="AC53" s="144"/>
      <c r="AD53" s="2867" t="s">
        <v>193</v>
      </c>
      <c r="AE53" s="2937"/>
      <c r="AF53" s="2937"/>
      <c r="AG53" s="2937"/>
      <c r="AH53" s="2937"/>
      <c r="AI53" s="2937"/>
      <c r="AJ53" s="2935"/>
      <c r="AK53" s="1"/>
      <c r="AL53" s="1"/>
      <c r="AM53" s="1"/>
      <c r="AN53" s="1"/>
      <c r="AO53" s="1"/>
    </row>
    <row r="54" spans="1:41" ht="51" customHeight="1" thickTop="1">
      <c r="A54" s="3584" t="s">
        <v>346</v>
      </c>
      <c r="B54" s="3585" t="s">
        <v>347</v>
      </c>
      <c r="C54" s="3586" t="s">
        <v>348</v>
      </c>
      <c r="D54" s="3587"/>
      <c r="E54" s="3586" t="s">
        <v>349</v>
      </c>
      <c r="F54" s="3588" t="s">
        <v>350</v>
      </c>
      <c r="G54" s="4966" t="s">
        <v>1448</v>
      </c>
      <c r="H54" s="3042" t="s">
        <v>1449</v>
      </c>
      <c r="I54" s="4967" t="s">
        <v>2067</v>
      </c>
      <c r="J54" s="4968" t="s">
        <v>352</v>
      </c>
      <c r="K54" s="4968" t="s">
        <v>353</v>
      </c>
      <c r="L54" s="3042" t="s">
        <v>354</v>
      </c>
      <c r="M54" s="3042"/>
      <c r="N54" s="3589" t="s">
        <v>355</v>
      </c>
      <c r="O54" s="3042" t="s">
        <v>445</v>
      </c>
      <c r="P54" s="3586" t="s">
        <v>446</v>
      </c>
      <c r="Q54" s="3586" t="s">
        <v>447</v>
      </c>
      <c r="R54" s="3590" t="s">
        <v>448</v>
      </c>
      <c r="S54" s="3591" t="s">
        <v>2068</v>
      </c>
      <c r="T54" s="2844" t="e">
        <f t="shared" si="30"/>
        <v>#VALUE!</v>
      </c>
      <c r="U54" s="2845" t="e">
        <f t="shared" si="31"/>
        <v>#VALUE!</v>
      </c>
      <c r="V54" s="374"/>
      <c r="W54" s="2846"/>
      <c r="X54" s="2847"/>
      <c r="Y54" s="2848"/>
      <c r="Z54" s="2849"/>
      <c r="AA54" s="2850"/>
      <c r="AB54" s="2851"/>
      <c r="AC54" s="144"/>
      <c r="AD54" s="2867"/>
      <c r="AE54" s="2937"/>
      <c r="AF54" s="2937"/>
      <c r="AG54" s="2937"/>
      <c r="AH54" s="2937"/>
      <c r="AI54" s="2937"/>
      <c r="AJ54" s="2935"/>
      <c r="AK54" s="1"/>
      <c r="AL54" s="1"/>
      <c r="AM54" s="1"/>
      <c r="AN54" s="1"/>
      <c r="AO54" s="1"/>
    </row>
    <row r="55" spans="1:41" ht="15" customHeight="1">
      <c r="A55" s="3514" t="s">
        <v>218</v>
      </c>
      <c r="B55" s="3514" t="s">
        <v>459</v>
      </c>
      <c r="C55" s="2715">
        <f t="shared" si="1"/>
        <v>2.2880964381720439E-4</v>
      </c>
      <c r="D55" s="4773">
        <v>1</v>
      </c>
      <c r="E55" s="4704">
        <v>1</v>
      </c>
      <c r="F55" s="4704">
        <v>2</v>
      </c>
      <c r="G55" s="4934">
        <f t="shared" ref="G55:G66" si="57">H55*25/C55</f>
        <v>151.75156799755234</v>
      </c>
      <c r="H55" s="4705">
        <v>1.3888888888888889E-3</v>
      </c>
      <c r="I55" s="4935">
        <f t="shared" ref="I55:I59" si="58">IF(D55=1,29,IF(D55=2,34,IF(D55=3,39,IF(D55=4,44,IF(D55=5,49,IF(D55=6,54,IF(D55=7,59,0)))))))</f>
        <v>29</v>
      </c>
      <c r="J55" s="4705">
        <v>1.1574074074074073E-4</v>
      </c>
      <c r="K55" s="4705">
        <v>1.3888888888888889E-3</v>
      </c>
      <c r="L55" s="4706" t="s">
        <v>2066</v>
      </c>
      <c r="M55" s="4774">
        <v>0.67361111111111116</v>
      </c>
      <c r="N55" s="4775">
        <v>1</v>
      </c>
      <c r="O55" s="4705">
        <f>Q55*E55*F55+J55*E55*F55+K55*E55</f>
        <v>4.3981481481481484E-3</v>
      </c>
      <c r="P55" s="4707">
        <f t="shared" ref="P55:P67" si="59">C55*(G55/25)</f>
        <v>1.3888888888888889E-3</v>
      </c>
      <c r="Q55" s="4707">
        <f>P55*N55</f>
        <v>1.3888888888888889E-3</v>
      </c>
      <c r="R55" s="4776">
        <v>129</v>
      </c>
      <c r="S55" s="4704">
        <f>E55*F55*G55</f>
        <v>303.50313599510469</v>
      </c>
      <c r="T55" s="2844">
        <f t="shared" si="30"/>
        <v>0.3035031359951047</v>
      </c>
      <c r="U55" s="2845">
        <f t="shared" si="31"/>
        <v>1.1111111111111112E-2</v>
      </c>
      <c r="V55" s="374">
        <f t="shared" si="32"/>
        <v>0.3035031359951047</v>
      </c>
      <c r="W55" s="2846">
        <f t="shared" si="33"/>
        <v>0</v>
      </c>
      <c r="X55" s="2847">
        <f t="shared" si="34"/>
        <v>0</v>
      </c>
      <c r="Y55" s="2848">
        <f t="shared" si="35"/>
        <v>0</v>
      </c>
      <c r="Z55" s="2849">
        <f t="shared" si="36"/>
        <v>0</v>
      </c>
      <c r="AA55" s="2850">
        <f t="shared" si="37"/>
        <v>0</v>
      </c>
      <c r="AB55" s="2851">
        <f t="shared" si="38"/>
        <v>0</v>
      </c>
      <c r="AC55" s="144"/>
      <c r="AD55" s="2867">
        <v>0</v>
      </c>
      <c r="AE55" s="2867">
        <v>0</v>
      </c>
      <c r="AF55" s="2867">
        <v>0</v>
      </c>
      <c r="AG55" s="2867">
        <v>0</v>
      </c>
      <c r="AH55" s="2867">
        <v>0</v>
      </c>
      <c r="AI55" s="2867">
        <v>0</v>
      </c>
      <c r="AJ55" s="2935"/>
      <c r="AK55" s="1"/>
      <c r="AL55" s="1"/>
      <c r="AM55" s="1"/>
      <c r="AN55" s="1"/>
      <c r="AO55" s="1"/>
    </row>
    <row r="56" spans="1:41">
      <c r="A56" s="3514" t="s">
        <v>139</v>
      </c>
      <c r="B56" s="3514" t="s">
        <v>459</v>
      </c>
      <c r="C56" s="2715">
        <f t="shared" si="1"/>
        <v>2.1222190799396687E-4</v>
      </c>
      <c r="D56" s="4703">
        <v>3</v>
      </c>
      <c r="E56" s="4710">
        <v>1</v>
      </c>
      <c r="F56" s="4710">
        <v>2</v>
      </c>
      <c r="G56" s="4934">
        <f t="shared" si="57"/>
        <v>81.806403849713107</v>
      </c>
      <c r="H56" s="4711">
        <v>6.9444444444444447E-4</v>
      </c>
      <c r="I56" s="4935">
        <f t="shared" si="58"/>
        <v>39</v>
      </c>
      <c r="J56" s="4711">
        <v>1.1574074074074073E-4</v>
      </c>
      <c r="K56" s="4711">
        <v>1.3888888888888889E-3</v>
      </c>
      <c r="L56" s="4734" t="s">
        <v>670</v>
      </c>
      <c r="M56" s="4784">
        <f>M55+O55</f>
        <v>0.67800925925925926</v>
      </c>
      <c r="N56" s="4730">
        <v>1</v>
      </c>
      <c r="O56" s="4711">
        <f>Q56*E56*F56+J56*E56*F56+K56*E56</f>
        <v>3.0092592592592593E-3</v>
      </c>
      <c r="P56" s="4713">
        <f t="shared" si="59"/>
        <v>6.9444444444444447E-4</v>
      </c>
      <c r="Q56" s="4713">
        <f>P56*N56</f>
        <v>6.9444444444444447E-4</v>
      </c>
      <c r="R56" s="4714">
        <v>164</v>
      </c>
      <c r="S56" s="4710">
        <f>E56*F56*G56</f>
        <v>163.61280769942621</v>
      </c>
      <c r="T56" s="2844">
        <f t="shared" si="30"/>
        <v>0.16361280769942621</v>
      </c>
      <c r="U56" s="2845">
        <f t="shared" si="31"/>
        <v>5.5555555555555558E-3</v>
      </c>
      <c r="V56" s="374">
        <f t="shared" si="32"/>
        <v>0</v>
      </c>
      <c r="W56" s="2846">
        <f t="shared" si="33"/>
        <v>0</v>
      </c>
      <c r="X56" s="2847">
        <f t="shared" si="34"/>
        <v>0.16361280769942621</v>
      </c>
      <c r="Y56" s="2848">
        <f t="shared" si="35"/>
        <v>0</v>
      </c>
      <c r="Z56" s="2849">
        <f t="shared" si="36"/>
        <v>0</v>
      </c>
      <c r="AA56" s="2850">
        <f t="shared" si="37"/>
        <v>0</v>
      </c>
      <c r="AB56" s="2851">
        <f t="shared" si="38"/>
        <v>0</v>
      </c>
      <c r="AC56" s="144"/>
      <c r="AD56" s="2867"/>
      <c r="AE56" s="2867"/>
      <c r="AF56" s="2867"/>
      <c r="AG56" s="2867"/>
      <c r="AH56" s="2867"/>
      <c r="AI56" s="2867"/>
      <c r="AJ56" s="2935"/>
      <c r="AK56" s="1"/>
      <c r="AL56" s="1"/>
      <c r="AM56" s="1"/>
      <c r="AN56" s="1"/>
      <c r="AO56" s="1"/>
    </row>
    <row r="57" spans="1:41">
      <c r="A57" s="3514" t="s">
        <v>458</v>
      </c>
      <c r="B57" s="3514" t="s">
        <v>459</v>
      </c>
      <c r="C57" s="2715">
        <f t="shared" si="1"/>
        <v>1.8933937422552669E-4</v>
      </c>
      <c r="D57" s="2505">
        <v>5</v>
      </c>
      <c r="E57" s="4936">
        <v>8</v>
      </c>
      <c r="F57" s="4936">
        <v>1</v>
      </c>
      <c r="G57" s="4934">
        <f t="shared" si="57"/>
        <v>68.769812864301045</v>
      </c>
      <c r="H57" s="4937">
        <v>5.2083333333333333E-4</v>
      </c>
      <c r="I57" s="4935">
        <f t="shared" si="58"/>
        <v>49</v>
      </c>
      <c r="J57" s="4715">
        <v>5.7870370370370366E-5</v>
      </c>
      <c r="K57" s="4715">
        <v>6.9444444444444447E-4</v>
      </c>
      <c r="L57" s="4938" t="s">
        <v>2070</v>
      </c>
      <c r="M57" s="4939">
        <f>M56+O56</f>
        <v>0.68101851851851847</v>
      </c>
      <c r="N57" s="2509">
        <v>1</v>
      </c>
      <c r="O57" s="4715">
        <f>Q57*E57*F57+J57*E57*F57+K57*E57</f>
        <v>1.0185185185185186E-2</v>
      </c>
      <c r="P57" s="4716">
        <f t="shared" si="59"/>
        <v>5.2083333333333343E-4</v>
      </c>
      <c r="Q57" s="2185">
        <f>P57*N57</f>
        <v>5.2083333333333343E-4</v>
      </c>
      <c r="R57" s="4940">
        <v>173</v>
      </c>
      <c r="S57" s="4941">
        <f>E57*F57*G57</f>
        <v>550.15850291440836</v>
      </c>
      <c r="T57" s="2844">
        <f t="shared" si="30"/>
        <v>0.55015850291440838</v>
      </c>
      <c r="U57" s="2845">
        <f t="shared" si="31"/>
        <v>1.666666666666667E-2</v>
      </c>
      <c r="V57" s="374">
        <f t="shared" si="32"/>
        <v>0</v>
      </c>
      <c r="W57" s="2846">
        <f t="shared" si="33"/>
        <v>0</v>
      </c>
      <c r="X57" s="2847">
        <f t="shared" si="34"/>
        <v>0</v>
      </c>
      <c r="Y57" s="2848">
        <f t="shared" si="35"/>
        <v>0</v>
      </c>
      <c r="Z57" s="2849">
        <f t="shared" si="36"/>
        <v>0.55015850291440838</v>
      </c>
      <c r="AA57" s="2850">
        <f t="shared" si="37"/>
        <v>0</v>
      </c>
      <c r="AB57" s="2851">
        <f t="shared" si="38"/>
        <v>0</v>
      </c>
      <c r="AC57" s="144"/>
      <c r="AD57" s="2867"/>
      <c r="AE57" s="2867"/>
      <c r="AF57" s="2867"/>
      <c r="AG57" s="2867"/>
      <c r="AH57" s="2867"/>
      <c r="AI57" s="2867"/>
      <c r="AJ57" s="2935"/>
      <c r="AK57" s="1"/>
      <c r="AL57" s="1"/>
      <c r="AM57" s="1"/>
      <c r="AN57" s="1"/>
      <c r="AO57" s="1"/>
    </row>
    <row r="58" spans="1:41" ht="14" customHeight="1">
      <c r="A58" s="3514" t="s">
        <v>462</v>
      </c>
      <c r="B58" s="3514" t="s">
        <v>459</v>
      </c>
      <c r="C58" s="2715">
        <f t="shared" si="1"/>
        <v>1.7682291666666674E-4</v>
      </c>
      <c r="D58" s="4785">
        <v>7</v>
      </c>
      <c r="E58" s="4942">
        <v>1</v>
      </c>
      <c r="F58" s="4942">
        <v>6</v>
      </c>
      <c r="G58" s="4934">
        <f t="shared" si="57"/>
        <v>27.818687612502035</v>
      </c>
      <c r="H58" s="4943">
        <v>1.9675925925925926E-4</v>
      </c>
      <c r="I58" s="4935">
        <f t="shared" si="58"/>
        <v>59</v>
      </c>
      <c r="J58" s="4943">
        <v>3.4722222222222224E-4</v>
      </c>
      <c r="K58" s="4943">
        <v>0</v>
      </c>
      <c r="L58" s="4723" t="s">
        <v>2069</v>
      </c>
      <c r="M58" s="4830">
        <f>M57+O57</f>
        <v>0.69120370370370365</v>
      </c>
      <c r="N58" s="4944">
        <v>1</v>
      </c>
      <c r="O58" s="4943">
        <f>Q58*E58*F58+J58*E58*F58+K58*E58</f>
        <v>3.2638888888888891E-3</v>
      </c>
      <c r="P58" s="4725">
        <f t="shared" si="59"/>
        <v>1.9675925925925926E-4</v>
      </c>
      <c r="Q58" s="2517">
        <f>P58*N58</f>
        <v>1.9675925925925926E-4</v>
      </c>
      <c r="R58" s="4945" t="s">
        <v>316</v>
      </c>
      <c r="S58" s="4946">
        <f>E58*F58*G58</f>
        <v>166.91212567501222</v>
      </c>
      <c r="T58" s="2844">
        <f t="shared" si="30"/>
        <v>0.16691212567501221</v>
      </c>
      <c r="U58" s="2845">
        <f t="shared" si="31"/>
        <v>4.7222222222222223E-3</v>
      </c>
      <c r="V58" s="374">
        <f t="shared" si="32"/>
        <v>0</v>
      </c>
      <c r="W58" s="2846">
        <f t="shared" si="33"/>
        <v>0</v>
      </c>
      <c r="X58" s="2847">
        <f t="shared" si="34"/>
        <v>0</v>
      </c>
      <c r="Y58" s="2848">
        <f t="shared" si="35"/>
        <v>0</v>
      </c>
      <c r="Z58" s="2849">
        <f t="shared" si="36"/>
        <v>0</v>
      </c>
      <c r="AA58" s="2850">
        <f t="shared" si="37"/>
        <v>0</v>
      </c>
      <c r="AB58" s="2851">
        <f t="shared" si="38"/>
        <v>0.16691212567501221</v>
      </c>
      <c r="AC58" s="144"/>
      <c r="AD58" s="2867"/>
      <c r="AE58" s="2867"/>
      <c r="AF58" s="2867"/>
      <c r="AG58" s="2867"/>
      <c r="AH58" s="2867"/>
      <c r="AI58" s="2867"/>
      <c r="AJ58" s="2935"/>
      <c r="AK58" s="1"/>
      <c r="AL58" s="1"/>
      <c r="AM58" s="1"/>
      <c r="AN58" s="1"/>
      <c r="AO58" s="1"/>
    </row>
    <row r="59" spans="1:41">
      <c r="A59" s="3514" t="s">
        <v>460</v>
      </c>
      <c r="B59" s="3514" t="s">
        <v>459</v>
      </c>
      <c r="C59" s="2715">
        <f t="shared" si="1"/>
        <v>1.7682291666666674E-4</v>
      </c>
      <c r="D59" s="4785">
        <v>7</v>
      </c>
      <c r="E59" s="4942">
        <v>1</v>
      </c>
      <c r="F59" s="4942">
        <v>4</v>
      </c>
      <c r="G59" s="4934">
        <f t="shared" si="57"/>
        <v>27.818687612502035</v>
      </c>
      <c r="H59" s="4943">
        <v>1.9675925925925926E-4</v>
      </c>
      <c r="I59" s="4935">
        <f t="shared" si="58"/>
        <v>59</v>
      </c>
      <c r="J59" s="4943">
        <v>1.0416666666666667E-3</v>
      </c>
      <c r="K59" s="4943">
        <v>0</v>
      </c>
      <c r="L59" s="4723" t="s">
        <v>2064</v>
      </c>
      <c r="M59" s="4830">
        <f>M58+O58</f>
        <v>0.6944675925925925</v>
      </c>
      <c r="N59" s="4944">
        <v>1</v>
      </c>
      <c r="O59" s="4943">
        <f>Q59*E59*F59+J59*E59*F59+K59*E59</f>
        <v>4.9537037037037032E-3</v>
      </c>
      <c r="P59" s="4725">
        <f t="shared" si="59"/>
        <v>1.9675925925925926E-4</v>
      </c>
      <c r="Q59" s="2517">
        <f>P59*N59</f>
        <v>1.9675925925925926E-4</v>
      </c>
      <c r="R59" s="4945" t="s">
        <v>316</v>
      </c>
      <c r="S59" s="4946">
        <f>E59*F59*G59</f>
        <v>111.27475045000814</v>
      </c>
      <c r="T59" s="2844">
        <f t="shared" si="30"/>
        <v>0.11127475045000815</v>
      </c>
      <c r="U59" s="2845">
        <f t="shared" si="31"/>
        <v>3.1481481481481482E-3</v>
      </c>
      <c r="V59" s="374">
        <f t="shared" si="32"/>
        <v>0</v>
      </c>
      <c r="W59" s="2846">
        <f t="shared" si="33"/>
        <v>0</v>
      </c>
      <c r="X59" s="2847">
        <f t="shared" si="34"/>
        <v>0</v>
      </c>
      <c r="Y59" s="2848">
        <f t="shared" si="35"/>
        <v>0</v>
      </c>
      <c r="Z59" s="2849">
        <f t="shared" si="36"/>
        <v>0</v>
      </c>
      <c r="AA59" s="2850">
        <f t="shared" si="37"/>
        <v>0</v>
      </c>
      <c r="AB59" s="2851">
        <f t="shared" si="38"/>
        <v>0.11127475045000815</v>
      </c>
      <c r="AC59" s="144"/>
      <c r="AD59" s="2867"/>
      <c r="AE59" s="2867"/>
      <c r="AF59" s="2867"/>
      <c r="AG59" s="2867"/>
      <c r="AH59" s="2867"/>
      <c r="AI59" s="2867"/>
      <c r="AJ59" s="2935"/>
      <c r="AK59" s="1"/>
      <c r="AL59" s="1"/>
      <c r="AM59" s="1"/>
      <c r="AN59" s="1"/>
      <c r="AO59" s="1"/>
    </row>
    <row r="60" spans="1:41" ht="14" thickBot="1">
      <c r="A60" s="3514" t="s">
        <v>458</v>
      </c>
      <c r="B60" s="3514" t="s">
        <v>459</v>
      </c>
      <c r="C60" s="2715">
        <f t="shared" si="1"/>
        <v>0</v>
      </c>
      <c r="D60" s="3116"/>
      <c r="E60" s="642"/>
      <c r="F60" s="642"/>
      <c r="G60" s="642"/>
      <c r="H60" s="642"/>
      <c r="I60" s="642"/>
      <c r="J60" s="642"/>
      <c r="K60" s="642"/>
      <c r="L60" s="642"/>
      <c r="M60" s="2182">
        <f>M59+O59</f>
        <v>0.69942129629629624</v>
      </c>
      <c r="N60" s="643"/>
      <c r="O60" s="4947">
        <f>SUM(O55:O59)</f>
        <v>2.5810185185185186E-2</v>
      </c>
      <c r="P60" s="642">
        <f t="shared" si="59"/>
        <v>0</v>
      </c>
      <c r="Q60" s="642"/>
      <c r="R60" s="642"/>
      <c r="S60" s="3118">
        <f>SUM(S55:S59)</f>
        <v>1295.4613227339596</v>
      </c>
      <c r="T60" s="2844">
        <f t="shared" si="30"/>
        <v>0</v>
      </c>
      <c r="U60" s="2845">
        <f t="shared" si="31"/>
        <v>0</v>
      </c>
      <c r="V60" s="374">
        <f t="shared" si="32"/>
        <v>0</v>
      </c>
      <c r="W60" s="2846">
        <f t="shared" si="33"/>
        <v>0</v>
      </c>
      <c r="X60" s="2847">
        <f t="shared" si="34"/>
        <v>0</v>
      </c>
      <c r="Y60" s="2848">
        <f t="shared" si="35"/>
        <v>0</v>
      </c>
      <c r="Z60" s="2849">
        <f t="shared" si="36"/>
        <v>0</v>
      </c>
      <c r="AA60" s="2850">
        <f t="shared" si="37"/>
        <v>0</v>
      </c>
      <c r="AB60" s="2851">
        <f t="shared" si="38"/>
        <v>0</v>
      </c>
      <c r="AC60" s="144"/>
      <c r="AD60" s="2867"/>
      <c r="AE60" s="2867"/>
      <c r="AF60" s="2867"/>
      <c r="AG60" s="2867"/>
      <c r="AH60" s="2867"/>
      <c r="AI60" s="2867"/>
      <c r="AJ60" s="2935"/>
      <c r="AK60" s="1"/>
      <c r="AL60" s="1"/>
      <c r="AM60" s="1"/>
      <c r="AN60" s="1"/>
      <c r="AO60" s="1"/>
    </row>
    <row r="61" spans="1:41">
      <c r="A61" s="3514" t="s">
        <v>219</v>
      </c>
      <c r="B61" s="3514" t="s">
        <v>459</v>
      </c>
      <c r="C61" s="2715">
        <f t="shared" si="1"/>
        <v>2.2880964381720439E-4</v>
      </c>
      <c r="D61" s="4773">
        <v>1</v>
      </c>
      <c r="E61" s="4704">
        <v>1</v>
      </c>
      <c r="F61" s="4704">
        <v>1</v>
      </c>
      <c r="G61" s="4934">
        <f t="shared" si="57"/>
        <v>151.75156799755234</v>
      </c>
      <c r="H61" s="4705">
        <v>1.3888888888888889E-3</v>
      </c>
      <c r="I61" s="4935">
        <f t="shared" ref="I61:I66" si="60">IF(D61=1,29,IF(D61=2,34,IF(D61=3,39,IF(D61=4,44,IF(D61=5,49,IF(D61=6,54,IF(D61=7,59,0)))))))</f>
        <v>29</v>
      </c>
      <c r="J61" s="4705">
        <v>0</v>
      </c>
      <c r="K61" s="4705">
        <v>1.1574074074074073E-4</v>
      </c>
      <c r="L61" s="4948" t="s">
        <v>777</v>
      </c>
      <c r="M61" s="4949">
        <f>M60</f>
        <v>0.69942129629629624</v>
      </c>
      <c r="N61" s="4775">
        <v>0.9</v>
      </c>
      <c r="O61" s="4705">
        <f t="shared" ref="O61:O66" si="61">Q61*E61*F61+J61*E61*F61+K61*E61</f>
        <v>1.3657407407407407E-3</v>
      </c>
      <c r="P61" s="4707">
        <f t="shared" si="59"/>
        <v>1.3888888888888889E-3</v>
      </c>
      <c r="Q61" s="4707">
        <f t="shared" ref="Q61:Q66" si="62">P61*N61</f>
        <v>1.25E-3</v>
      </c>
      <c r="R61" s="4776">
        <v>129</v>
      </c>
      <c r="S61" s="4704">
        <f t="shared" ref="S61:S66" si="63">E61*F61*G61</f>
        <v>151.75156799755234</v>
      </c>
      <c r="T61" s="2844">
        <f t="shared" si="30"/>
        <v>0.15175156799755235</v>
      </c>
      <c r="U61" s="2845">
        <f t="shared" si="31"/>
        <v>5.5555555555555558E-3</v>
      </c>
      <c r="V61" s="374">
        <f t="shared" si="32"/>
        <v>0.15175156799755235</v>
      </c>
      <c r="W61" s="2846">
        <f t="shared" si="33"/>
        <v>0</v>
      </c>
      <c r="X61" s="2847">
        <f t="shared" si="34"/>
        <v>0</v>
      </c>
      <c r="Y61" s="2848">
        <f t="shared" si="35"/>
        <v>0</v>
      </c>
      <c r="Z61" s="2849">
        <f t="shared" si="36"/>
        <v>0</v>
      </c>
      <c r="AA61" s="2850">
        <f t="shared" si="37"/>
        <v>0</v>
      </c>
      <c r="AB61" s="2851">
        <f t="shared" si="38"/>
        <v>0</v>
      </c>
      <c r="AC61" s="144"/>
      <c r="AD61" s="2867"/>
      <c r="AE61" s="2867"/>
      <c r="AF61" s="2867"/>
      <c r="AG61" s="2867"/>
      <c r="AH61" s="2867"/>
      <c r="AI61" s="2867"/>
      <c r="AJ61" s="2935"/>
      <c r="AK61" s="1"/>
      <c r="AL61" s="1"/>
      <c r="AM61" s="1"/>
      <c r="AN61" s="1"/>
      <c r="AO61" s="1"/>
    </row>
    <row r="62" spans="1:41" ht="14" customHeight="1">
      <c r="A62" s="3514" t="s">
        <v>138</v>
      </c>
      <c r="B62" s="3514" t="s">
        <v>459</v>
      </c>
      <c r="C62" s="2715">
        <f t="shared" si="1"/>
        <v>2.1908757716049393E-4</v>
      </c>
      <c r="D62" s="4890">
        <v>2</v>
      </c>
      <c r="E62" s="4736">
        <v>1</v>
      </c>
      <c r="F62" s="4736">
        <v>4</v>
      </c>
      <c r="G62" s="4934">
        <f t="shared" si="57"/>
        <v>158.48558221439572</v>
      </c>
      <c r="H62" s="4739">
        <v>1.3888888888888889E-3</v>
      </c>
      <c r="I62" s="4935">
        <f t="shared" si="60"/>
        <v>34</v>
      </c>
      <c r="J62" s="4739">
        <v>1.7361111111111112E-4</v>
      </c>
      <c r="K62" s="4739">
        <v>1.3888888888888889E-3</v>
      </c>
      <c r="L62" s="4950" t="s">
        <v>2065</v>
      </c>
      <c r="M62" s="4784">
        <f t="shared" ref="M62:M67" si="64">M61+O61</f>
        <v>0.70078703703703693</v>
      </c>
      <c r="N62" s="4730">
        <v>1.2</v>
      </c>
      <c r="O62" s="4711">
        <f t="shared" si="61"/>
        <v>8.7500000000000008E-3</v>
      </c>
      <c r="P62" s="4713">
        <f t="shared" si="59"/>
        <v>1.3888888888888892E-3</v>
      </c>
      <c r="Q62" s="4713">
        <f t="shared" si="62"/>
        <v>1.666666666666667E-3</v>
      </c>
      <c r="R62" s="4714">
        <v>146</v>
      </c>
      <c r="S62" s="4710">
        <f t="shared" si="63"/>
        <v>633.94232885758288</v>
      </c>
      <c r="T62" s="2844">
        <f t="shared" si="30"/>
        <v>0.63394232885758284</v>
      </c>
      <c r="U62" s="2845">
        <f t="shared" si="31"/>
        <v>2.2222222222222227E-2</v>
      </c>
      <c r="V62" s="374">
        <f t="shared" si="32"/>
        <v>0</v>
      </c>
      <c r="W62" s="2846">
        <f t="shared" si="33"/>
        <v>0.63394232885758284</v>
      </c>
      <c r="X62" s="2847">
        <f t="shared" si="34"/>
        <v>0</v>
      </c>
      <c r="Y62" s="2848">
        <f t="shared" si="35"/>
        <v>0</v>
      </c>
      <c r="Z62" s="2849">
        <f t="shared" si="36"/>
        <v>0</v>
      </c>
      <c r="AA62" s="2850">
        <f t="shared" si="37"/>
        <v>0</v>
      </c>
      <c r="AB62" s="2851">
        <f t="shared" si="38"/>
        <v>0</v>
      </c>
      <c r="AC62" s="144"/>
      <c r="AD62" s="2867"/>
      <c r="AE62" s="2867"/>
      <c r="AF62" s="2867"/>
      <c r="AG62" s="2867"/>
      <c r="AH62" s="2867"/>
      <c r="AI62" s="2867"/>
      <c r="AJ62" s="2935"/>
      <c r="AK62" s="1"/>
      <c r="AL62" s="1"/>
      <c r="AM62" s="1"/>
      <c r="AN62" s="1"/>
      <c r="AO62" s="1"/>
    </row>
    <row r="63" spans="1:41" ht="14" customHeight="1">
      <c r="A63" s="3514" t="s">
        <v>779</v>
      </c>
      <c r="B63" s="3514" t="s">
        <v>459</v>
      </c>
      <c r="C63" s="2715">
        <f t="shared" si="1"/>
        <v>2.1908757716049393E-4</v>
      </c>
      <c r="D63" s="4890">
        <v>2</v>
      </c>
      <c r="E63" s="4951">
        <v>1</v>
      </c>
      <c r="F63" s="4736">
        <v>4</v>
      </c>
      <c r="G63" s="4934">
        <f t="shared" si="57"/>
        <v>158.48558221439572</v>
      </c>
      <c r="H63" s="4739">
        <v>1.3888888888888889E-3</v>
      </c>
      <c r="I63" s="4935">
        <f t="shared" si="60"/>
        <v>34</v>
      </c>
      <c r="J63" s="4739">
        <v>1.7361111111111112E-4</v>
      </c>
      <c r="K63" s="4739">
        <v>1.3888888888888889E-3</v>
      </c>
      <c r="L63" s="4950" t="s">
        <v>2065</v>
      </c>
      <c r="M63" s="4784">
        <f t="shared" si="64"/>
        <v>0.70953703703703697</v>
      </c>
      <c r="N63" s="4730">
        <v>0.9</v>
      </c>
      <c r="O63" s="4711">
        <f t="shared" si="61"/>
        <v>7.0833333333333347E-3</v>
      </c>
      <c r="P63" s="4713">
        <f t="shared" si="59"/>
        <v>1.3888888888888892E-3</v>
      </c>
      <c r="Q63" s="4713">
        <f t="shared" si="62"/>
        <v>1.2500000000000002E-3</v>
      </c>
      <c r="R63" s="4714">
        <v>164</v>
      </c>
      <c r="S63" s="4710">
        <f t="shared" si="63"/>
        <v>633.94232885758288</v>
      </c>
      <c r="T63" s="2844">
        <f t="shared" si="30"/>
        <v>0.63394232885758284</v>
      </c>
      <c r="U63" s="2845">
        <f t="shared" si="31"/>
        <v>2.2222222222222227E-2</v>
      </c>
      <c r="V63" s="374">
        <f t="shared" si="32"/>
        <v>0</v>
      </c>
      <c r="W63" s="2846">
        <f t="shared" si="33"/>
        <v>0.63394232885758284</v>
      </c>
      <c r="X63" s="2847">
        <f t="shared" si="34"/>
        <v>0</v>
      </c>
      <c r="Y63" s="2848">
        <f t="shared" si="35"/>
        <v>0</v>
      </c>
      <c r="Z63" s="2849">
        <f t="shared" si="36"/>
        <v>0</v>
      </c>
      <c r="AA63" s="2850">
        <f t="shared" si="37"/>
        <v>0</v>
      </c>
      <c r="AB63" s="2851">
        <f t="shared" si="38"/>
        <v>0</v>
      </c>
      <c r="AC63" s="144"/>
      <c r="AD63" s="2867"/>
      <c r="AE63" s="2867"/>
      <c r="AF63" s="2867"/>
      <c r="AG63" s="2867"/>
      <c r="AH63" s="2867"/>
      <c r="AI63" s="2867"/>
      <c r="AJ63" s="2935"/>
      <c r="AK63" s="1"/>
      <c r="AL63" s="1"/>
      <c r="AM63" s="1"/>
      <c r="AN63" s="1"/>
      <c r="AO63" s="1"/>
    </row>
    <row r="64" spans="1:41" ht="14" customHeight="1">
      <c r="A64" s="3514" t="s">
        <v>138</v>
      </c>
      <c r="B64" s="3514" t="s">
        <v>459</v>
      </c>
      <c r="C64" s="2715">
        <f t="shared" si="1"/>
        <v>2.1222190799396687E-4</v>
      </c>
      <c r="D64" s="4952">
        <v>3</v>
      </c>
      <c r="E64" s="4953">
        <v>2</v>
      </c>
      <c r="F64" s="4731">
        <v>4</v>
      </c>
      <c r="G64" s="4934">
        <f t="shared" si="57"/>
        <v>81.806403849713107</v>
      </c>
      <c r="H64" s="4711">
        <v>6.9444444444444447E-4</v>
      </c>
      <c r="I64" s="4935">
        <f t="shared" si="60"/>
        <v>39</v>
      </c>
      <c r="J64" s="4711">
        <v>1.1574074074074073E-4</v>
      </c>
      <c r="K64" s="4711">
        <v>1.3888888888888889E-3</v>
      </c>
      <c r="L64" s="4712" t="s">
        <v>2071</v>
      </c>
      <c r="M64" s="4784">
        <f t="shared" si="64"/>
        <v>0.7166203703703703</v>
      </c>
      <c r="N64" s="4730">
        <v>1</v>
      </c>
      <c r="O64" s="4749">
        <f t="shared" si="61"/>
        <v>9.2592592592592587E-3</v>
      </c>
      <c r="P64" s="4751">
        <f t="shared" si="59"/>
        <v>6.9444444444444447E-4</v>
      </c>
      <c r="Q64" s="4751">
        <f t="shared" si="62"/>
        <v>6.9444444444444447E-4</v>
      </c>
      <c r="R64" s="4752">
        <v>173</v>
      </c>
      <c r="S64" s="4753">
        <f t="shared" si="63"/>
        <v>654.45123079770485</v>
      </c>
      <c r="T64" s="2844">
        <f t="shared" si="30"/>
        <v>0.65445123079770484</v>
      </c>
      <c r="U64" s="2845">
        <f t="shared" si="31"/>
        <v>2.2222222222222223E-2</v>
      </c>
      <c r="V64" s="374">
        <f t="shared" si="32"/>
        <v>0</v>
      </c>
      <c r="W64" s="2846">
        <f t="shared" si="33"/>
        <v>0</v>
      </c>
      <c r="X64" s="2847">
        <f t="shared" si="34"/>
        <v>0.65445123079770484</v>
      </c>
      <c r="Y64" s="2848">
        <f t="shared" si="35"/>
        <v>0</v>
      </c>
      <c r="Z64" s="2849">
        <f t="shared" si="36"/>
        <v>0</v>
      </c>
      <c r="AA64" s="2850">
        <f t="shared" si="37"/>
        <v>0</v>
      </c>
      <c r="AB64" s="2851">
        <f t="shared" si="38"/>
        <v>0</v>
      </c>
      <c r="AC64" s="144"/>
      <c r="AD64" s="2867"/>
      <c r="AE64" s="2867"/>
      <c r="AF64" s="2867"/>
      <c r="AG64" s="2867"/>
      <c r="AH64" s="2867"/>
      <c r="AI64" s="2867"/>
      <c r="AJ64" s="2935"/>
      <c r="AK64" s="1"/>
      <c r="AL64" s="1"/>
      <c r="AM64" s="1"/>
      <c r="AN64" s="1"/>
      <c r="AO64" s="1"/>
    </row>
    <row r="65" spans="1:41" ht="14" customHeight="1">
      <c r="A65" s="3514" t="s">
        <v>220</v>
      </c>
      <c r="B65" s="3514" t="s">
        <v>459</v>
      </c>
      <c r="C65" s="2715">
        <f t="shared" si="1"/>
        <v>2.1222190799396687E-4</v>
      </c>
      <c r="D65" s="4954">
        <v>3</v>
      </c>
      <c r="E65" s="4955">
        <v>2</v>
      </c>
      <c r="F65" s="4793">
        <v>2</v>
      </c>
      <c r="G65" s="4934">
        <f t="shared" si="57"/>
        <v>163.61280769942621</v>
      </c>
      <c r="H65" s="4739">
        <v>1.3888888888888889E-3</v>
      </c>
      <c r="I65" s="4935">
        <f t="shared" si="60"/>
        <v>39</v>
      </c>
      <c r="J65" s="4711">
        <v>2.8935185185185189E-4</v>
      </c>
      <c r="K65" s="4711">
        <v>1.3888888888888889E-3</v>
      </c>
      <c r="L65" s="4740" t="s">
        <v>1194</v>
      </c>
      <c r="M65" s="4781">
        <f t="shared" si="64"/>
        <v>0.7258796296296296</v>
      </c>
      <c r="N65" s="4782">
        <v>2</v>
      </c>
      <c r="O65" s="4739">
        <f t="shared" si="61"/>
        <v>1.5046296296296297E-2</v>
      </c>
      <c r="P65" s="4741">
        <f t="shared" si="59"/>
        <v>1.3888888888888889E-3</v>
      </c>
      <c r="Q65" s="4741">
        <f t="shared" si="62"/>
        <v>2.7777777777777779E-3</v>
      </c>
      <c r="R65" s="4783">
        <v>174</v>
      </c>
      <c r="S65" s="4956">
        <f t="shared" si="63"/>
        <v>654.45123079770485</v>
      </c>
      <c r="T65" s="2844">
        <f t="shared" si="30"/>
        <v>0.65445123079770484</v>
      </c>
      <c r="U65" s="2845">
        <f t="shared" si="31"/>
        <v>2.2222222222222223E-2</v>
      </c>
      <c r="V65" s="374">
        <f t="shared" si="32"/>
        <v>0</v>
      </c>
      <c r="W65" s="2846">
        <f t="shared" si="33"/>
        <v>0</v>
      </c>
      <c r="X65" s="2847">
        <f t="shared" si="34"/>
        <v>0.65445123079770484</v>
      </c>
      <c r="Y65" s="2848">
        <f t="shared" si="35"/>
        <v>0</v>
      </c>
      <c r="Z65" s="2849">
        <f t="shared" si="36"/>
        <v>0</v>
      </c>
      <c r="AA65" s="2850">
        <f t="shared" si="37"/>
        <v>0</v>
      </c>
      <c r="AB65" s="2851">
        <f t="shared" si="38"/>
        <v>0</v>
      </c>
      <c r="AC65" s="144"/>
      <c r="AD65" s="2867"/>
      <c r="AE65" s="2867"/>
      <c r="AF65" s="2867"/>
      <c r="AG65" s="2867"/>
      <c r="AH65" s="2867"/>
      <c r="AI65" s="2867"/>
      <c r="AJ65" s="2935"/>
      <c r="AK65" s="1"/>
      <c r="AL65" s="1"/>
      <c r="AM65" s="1"/>
      <c r="AN65" s="1"/>
      <c r="AO65" s="1"/>
    </row>
    <row r="66" spans="1:41" ht="14" customHeight="1">
      <c r="A66" s="3514" t="s">
        <v>674</v>
      </c>
      <c r="B66" s="3514" t="s">
        <v>459</v>
      </c>
      <c r="C66" s="2715">
        <f t="shared" si="1"/>
        <v>1.7682291666666674E-4</v>
      </c>
      <c r="D66" s="4785">
        <v>7</v>
      </c>
      <c r="E66" s="4957">
        <v>1</v>
      </c>
      <c r="F66" s="4942">
        <v>10</v>
      </c>
      <c r="G66" s="4934">
        <f t="shared" si="57"/>
        <v>27.818687612502035</v>
      </c>
      <c r="H66" s="4943">
        <v>1.9675925925925926E-4</v>
      </c>
      <c r="I66" s="4935">
        <f t="shared" si="60"/>
        <v>59</v>
      </c>
      <c r="J66" s="4943">
        <v>3.4722222222222224E-4</v>
      </c>
      <c r="K66" s="4943">
        <v>0</v>
      </c>
      <c r="L66" s="4723" t="s">
        <v>2069</v>
      </c>
      <c r="M66" s="4830">
        <f t="shared" si="64"/>
        <v>0.74092592592592588</v>
      </c>
      <c r="N66" s="4944">
        <v>1</v>
      </c>
      <c r="O66" s="4943">
        <f t="shared" si="61"/>
        <v>5.4398148148148157E-3</v>
      </c>
      <c r="P66" s="4725">
        <f t="shared" si="59"/>
        <v>1.9675925925925926E-4</v>
      </c>
      <c r="Q66" s="2517">
        <f t="shared" si="62"/>
        <v>1.9675925925925926E-4</v>
      </c>
      <c r="R66" s="4945" t="s">
        <v>316</v>
      </c>
      <c r="S66" s="4946">
        <f t="shared" si="63"/>
        <v>278.18687612502038</v>
      </c>
      <c r="T66" s="2844">
        <f t="shared" si="30"/>
        <v>0.27818687612502035</v>
      </c>
      <c r="U66" s="2845">
        <f t="shared" si="31"/>
        <v>7.8703703703703713E-3</v>
      </c>
      <c r="V66" s="374">
        <f t="shared" si="32"/>
        <v>0</v>
      </c>
      <c r="W66" s="2846">
        <f t="shared" si="33"/>
        <v>0</v>
      </c>
      <c r="X66" s="2847">
        <f t="shared" si="34"/>
        <v>0</v>
      </c>
      <c r="Y66" s="2848">
        <f t="shared" si="35"/>
        <v>0</v>
      </c>
      <c r="Z66" s="2849">
        <f t="shared" si="36"/>
        <v>0</v>
      </c>
      <c r="AA66" s="2850">
        <f t="shared" si="37"/>
        <v>0</v>
      </c>
      <c r="AB66" s="2851">
        <f t="shared" si="38"/>
        <v>0.27818687612502035</v>
      </c>
      <c r="AC66" s="144"/>
      <c r="AD66" s="2867"/>
      <c r="AE66" s="2867"/>
      <c r="AF66" s="2867"/>
      <c r="AG66" s="2867"/>
      <c r="AH66" s="2867"/>
      <c r="AI66" s="2867"/>
      <c r="AJ66" s="2935"/>
      <c r="AK66" s="1"/>
      <c r="AL66" s="1"/>
      <c r="AM66" s="1"/>
      <c r="AN66" s="1"/>
      <c r="AO66" s="1"/>
    </row>
    <row r="67" spans="1:41" ht="9" customHeight="1" thickBot="1">
      <c r="A67" s="3514"/>
      <c r="B67" s="3514"/>
      <c r="C67" s="2715">
        <f t="shared" si="1"/>
        <v>0</v>
      </c>
      <c r="D67" s="3365"/>
      <c r="E67" s="2855"/>
      <c r="F67" s="2855"/>
      <c r="G67" s="4934"/>
      <c r="H67" s="2855"/>
      <c r="I67" s="4958"/>
      <c r="J67" s="2855"/>
      <c r="K67" s="2855"/>
      <c r="L67" s="2855"/>
      <c r="M67" s="2182">
        <f t="shared" si="64"/>
        <v>0.74636574074074069</v>
      </c>
      <c r="N67" s="3620"/>
      <c r="O67" s="4642">
        <f>SUM(O61:O66)</f>
        <v>4.6944444444444441E-2</v>
      </c>
      <c r="P67" s="2855">
        <f t="shared" si="59"/>
        <v>0</v>
      </c>
      <c r="Q67" s="2855"/>
      <c r="R67" s="2855"/>
      <c r="S67" s="3621">
        <f>SUM(S61:S66)</f>
        <v>3006.7255634331477</v>
      </c>
      <c r="T67" s="2844">
        <f t="shared" si="30"/>
        <v>0</v>
      </c>
      <c r="U67" s="2845">
        <f t="shared" si="31"/>
        <v>0</v>
      </c>
      <c r="V67" s="374">
        <f t="shared" si="32"/>
        <v>0</v>
      </c>
      <c r="W67" s="2846">
        <f t="shared" si="33"/>
        <v>0</v>
      </c>
      <c r="X67" s="2847">
        <f t="shared" si="34"/>
        <v>0</v>
      </c>
      <c r="Y67" s="2848">
        <f t="shared" si="35"/>
        <v>0</v>
      </c>
      <c r="Z67" s="2849">
        <f t="shared" si="36"/>
        <v>0</v>
      </c>
      <c r="AA67" s="2850">
        <f t="shared" si="37"/>
        <v>0</v>
      </c>
      <c r="AB67" s="2851">
        <f t="shared" si="38"/>
        <v>0</v>
      </c>
      <c r="AC67" s="144"/>
      <c r="AD67" s="2867"/>
      <c r="AE67" s="2867"/>
      <c r="AF67" s="2867"/>
      <c r="AG67" s="2867"/>
      <c r="AH67" s="2867"/>
      <c r="AI67" s="2867"/>
      <c r="AJ67" s="2935"/>
      <c r="AK67" s="1"/>
      <c r="AL67" s="1"/>
      <c r="AM67" s="1"/>
      <c r="AN67" s="1"/>
      <c r="AO67" s="1"/>
    </row>
    <row r="68" spans="1:41" ht="47" customHeight="1" thickTop="1">
      <c r="A68" s="3584" t="s">
        <v>346</v>
      </c>
      <c r="B68" s="3585" t="s">
        <v>347</v>
      </c>
      <c r="C68" s="3586" t="s">
        <v>348</v>
      </c>
      <c r="D68" s="3587"/>
      <c r="E68" s="3586" t="s">
        <v>349</v>
      </c>
      <c r="F68" s="3588" t="s">
        <v>350</v>
      </c>
      <c r="G68" s="4966" t="s">
        <v>1448</v>
      </c>
      <c r="H68" s="3042" t="s">
        <v>1449</v>
      </c>
      <c r="I68" s="4967" t="s">
        <v>2067</v>
      </c>
      <c r="J68" s="4968" t="s">
        <v>352</v>
      </c>
      <c r="K68" s="4968" t="s">
        <v>353</v>
      </c>
      <c r="L68" s="3042" t="s">
        <v>354</v>
      </c>
      <c r="M68" s="3042"/>
      <c r="N68" s="3589" t="s">
        <v>355</v>
      </c>
      <c r="O68" s="3042" t="s">
        <v>445</v>
      </c>
      <c r="P68" s="3586" t="s">
        <v>446</v>
      </c>
      <c r="Q68" s="3586" t="s">
        <v>447</v>
      </c>
      <c r="R68" s="3590" t="s">
        <v>448</v>
      </c>
      <c r="S68" s="3621">
        <f t="shared" ref="S68:S78" si="65">SUM(S62:S67)</f>
        <v>5861.6995588687432</v>
      </c>
      <c r="T68" s="2844" t="e">
        <f t="shared" ref="T68:T78" si="66">E68*F68*G68/1000</f>
        <v>#VALUE!</v>
      </c>
      <c r="U68" s="2845" t="e">
        <f t="shared" ref="U68:U78" si="67">E68*F68*P68*4</f>
        <v>#VALUE!</v>
      </c>
      <c r="V68" s="374"/>
      <c r="W68" s="2846"/>
      <c r="X68" s="2847"/>
      <c r="Y68" s="2848"/>
      <c r="Z68" s="2849"/>
      <c r="AA68" s="2850"/>
      <c r="AB68" s="2851"/>
      <c r="AC68" s="144"/>
      <c r="AD68" s="2867"/>
      <c r="AE68" s="2867"/>
      <c r="AF68" s="2867"/>
      <c r="AG68" s="2867"/>
      <c r="AH68" s="2867"/>
      <c r="AI68" s="2867"/>
      <c r="AJ68" s="2935"/>
      <c r="AK68" s="1"/>
      <c r="AL68" s="1"/>
      <c r="AM68" s="1"/>
      <c r="AN68" s="1"/>
      <c r="AO68" s="1"/>
    </row>
    <row r="69" spans="1:41" ht="14" customHeight="1">
      <c r="A69" s="2889" t="s">
        <v>220</v>
      </c>
      <c r="B69" s="3515"/>
      <c r="C69" s="2715">
        <f t="shared" si="1"/>
        <v>2.1222190799396687E-4</v>
      </c>
      <c r="D69" s="4969">
        <v>3</v>
      </c>
      <c r="E69" s="4883">
        <v>1</v>
      </c>
      <c r="F69" s="4883">
        <v>2</v>
      </c>
      <c r="G69" s="4934">
        <f t="shared" ref="G69:G74" si="68">H69*25/C69</f>
        <v>81.806403849713107</v>
      </c>
      <c r="H69" s="4711">
        <v>6.9444444444444447E-4</v>
      </c>
      <c r="I69" s="4935">
        <f t="shared" ref="I69:I72" si="69">IF(D69=1,29,IF(D69=2,34,IF(D69=3,39,IF(D69=4,44,IF(D69=5,49,IF(D69=6,54,IF(D69=7,59,0)))))))</f>
        <v>39</v>
      </c>
      <c r="J69" s="4884">
        <v>2.3148148148148146E-4</v>
      </c>
      <c r="K69" s="4884">
        <v>3.4722222222222224E-4</v>
      </c>
      <c r="L69" s="4970" t="s">
        <v>2072</v>
      </c>
      <c r="M69" s="4971">
        <v>0.6875</v>
      </c>
      <c r="N69" s="4885">
        <v>1.05</v>
      </c>
      <c r="O69" s="4972">
        <f>Q69*E69*F69+J69*E69*F69+K69*E69</f>
        <v>2.2685185185185187E-3</v>
      </c>
      <c r="P69" s="4884">
        <f>C69*(G69/25)</f>
        <v>6.9444444444444447E-4</v>
      </c>
      <c r="Q69" s="4886">
        <f>P69*N69</f>
        <v>7.291666666666667E-4</v>
      </c>
      <c r="R69" s="4714"/>
      <c r="S69" s="3621">
        <f t="shared" si="65"/>
        <v>11089.456788879903</v>
      </c>
      <c r="T69" s="2844">
        <f t="shared" si="66"/>
        <v>0.16361280769942621</v>
      </c>
      <c r="U69" s="2845">
        <f t="shared" si="67"/>
        <v>5.5555555555555558E-3</v>
      </c>
      <c r="V69" s="374">
        <f t="shared" ref="V69:V78" si="70">IF(C69*4&gt;=$V$3,T69,0)</f>
        <v>0</v>
      </c>
      <c r="W69" s="2846">
        <f t="shared" ref="W69:W78" si="71">IF(AND(C69*4&gt;=$W$3,C69*4&lt;$V$3),T69,0)</f>
        <v>0</v>
      </c>
      <c r="X69" s="2847">
        <f t="shared" ref="X69:X78" si="72">IF(AND(C69*4&gt;=$X$3,C69*4&lt;$W$3),T69,0)</f>
        <v>0.16361280769942621</v>
      </c>
      <c r="Y69" s="2848">
        <f t="shared" ref="Y69:Y78" si="73">IF(AND(C69*4&gt;=$Y$3,C69*4&lt;$X$3),T69,0)</f>
        <v>0</v>
      </c>
      <c r="Z69" s="2849">
        <f t="shared" ref="Z69:Z78" si="74">IF(AND(C69*4&gt;=$Z$3,C69*4&lt;$Y$3),T69,0)</f>
        <v>0</v>
      </c>
      <c r="AA69" s="2850">
        <f t="shared" ref="AA69:AA78" si="75">IF(AND(C69*4&gt;=$AA$3,C69*4&lt;$Z$3),T69,0)</f>
        <v>0</v>
      </c>
      <c r="AB69" s="2851">
        <f t="shared" ref="AB69:AB78" si="76">IF(AND(C69*4&gt;=$AB$3,C69*4&lt;$AA$3),T69,0)</f>
        <v>0</v>
      </c>
      <c r="AC69" s="144"/>
      <c r="AD69" s="2867"/>
      <c r="AE69" s="2867"/>
      <c r="AF69" s="2867"/>
      <c r="AG69" s="2867"/>
      <c r="AH69" s="2867"/>
      <c r="AI69" s="2867"/>
      <c r="AJ69" s="2935"/>
      <c r="AK69" s="1"/>
      <c r="AL69" s="1"/>
      <c r="AM69" s="1"/>
      <c r="AN69" s="1"/>
      <c r="AO69" s="1"/>
    </row>
    <row r="70" spans="1:41" ht="14" customHeight="1">
      <c r="A70" s="2889" t="s">
        <v>674</v>
      </c>
      <c r="B70" s="3515"/>
      <c r="C70" s="2715">
        <f t="shared" si="1"/>
        <v>2.0247664488766629E-4</v>
      </c>
      <c r="D70" s="4973">
        <v>4</v>
      </c>
      <c r="E70" s="3504">
        <v>1</v>
      </c>
      <c r="F70" s="3504">
        <v>2</v>
      </c>
      <c r="G70" s="4934">
        <f t="shared" si="68"/>
        <v>57.162514128458376</v>
      </c>
      <c r="H70" s="3505">
        <v>4.6296296296296293E-4</v>
      </c>
      <c r="I70" s="4935">
        <f t="shared" si="69"/>
        <v>44</v>
      </c>
      <c r="J70" s="3505">
        <v>4.6296296296296293E-4</v>
      </c>
      <c r="K70" s="3505">
        <v>5.7870370370370378E-4</v>
      </c>
      <c r="L70" s="3506" t="s">
        <v>2073</v>
      </c>
      <c r="M70" s="3507">
        <f>M69+O69</f>
        <v>0.6897685185185185</v>
      </c>
      <c r="N70" s="3508">
        <v>1</v>
      </c>
      <c r="O70" s="3509">
        <f>Q70*E70*F70+J70*E70*F70+K70*E70</f>
        <v>2.4675925925925924E-3</v>
      </c>
      <c r="P70" s="3510">
        <f>C70*(G70/25)*1.04</f>
        <v>4.8148148148148144E-4</v>
      </c>
      <c r="Q70" s="3510">
        <f>P70*N70</f>
        <v>4.8148148148148144E-4</v>
      </c>
      <c r="R70" s="3511"/>
      <c r="S70" s="3621">
        <f t="shared" si="65"/>
        <v>21544.971248902224</v>
      </c>
      <c r="T70" s="2844">
        <f t="shared" si="66"/>
        <v>0.11432502825691675</v>
      </c>
      <c r="U70" s="2845">
        <f t="shared" si="67"/>
        <v>3.8518518518518515E-3</v>
      </c>
      <c r="V70" s="374">
        <f t="shared" si="70"/>
        <v>0</v>
      </c>
      <c r="W70" s="2846">
        <f t="shared" si="71"/>
        <v>0</v>
      </c>
      <c r="X70" s="2847">
        <f t="shared" si="72"/>
        <v>0</v>
      </c>
      <c r="Y70" s="2848">
        <f t="shared" si="73"/>
        <v>0.11432502825691675</v>
      </c>
      <c r="Z70" s="2849">
        <f t="shared" si="74"/>
        <v>0</v>
      </c>
      <c r="AA70" s="2850">
        <f t="shared" si="75"/>
        <v>0</v>
      </c>
      <c r="AB70" s="2851">
        <f t="shared" si="76"/>
        <v>0</v>
      </c>
      <c r="AC70" s="144"/>
      <c r="AD70" s="2867"/>
      <c r="AE70" s="2867"/>
      <c r="AF70" s="2867"/>
      <c r="AG70" s="2867"/>
      <c r="AH70" s="2867"/>
      <c r="AI70" s="2867"/>
      <c r="AJ70" s="2935"/>
      <c r="AK70" s="1"/>
      <c r="AL70" s="1"/>
      <c r="AM70" s="1"/>
      <c r="AN70" s="1"/>
      <c r="AO70" s="1"/>
    </row>
    <row r="71" spans="1:41" ht="12" customHeight="1">
      <c r="A71" s="2889" t="s">
        <v>215</v>
      </c>
      <c r="B71" s="3515" t="s">
        <v>459</v>
      </c>
      <c r="C71" s="2715">
        <f t="shared" si="1"/>
        <v>1.8229166666666673E-4</v>
      </c>
      <c r="D71" s="4974">
        <v>6</v>
      </c>
      <c r="E71" s="4974">
        <v>1</v>
      </c>
      <c r="F71" s="4974">
        <v>2</v>
      </c>
      <c r="G71" s="4934">
        <f t="shared" si="68"/>
        <v>95.238095238095212</v>
      </c>
      <c r="H71" s="4975">
        <v>6.9444444444444447E-4</v>
      </c>
      <c r="I71" s="4935">
        <f t="shared" si="69"/>
        <v>54</v>
      </c>
      <c r="J71" s="4975">
        <v>6.9444444444444447E-4</v>
      </c>
      <c r="K71" s="4975">
        <v>1.0416666666666667E-3</v>
      </c>
      <c r="L71" s="4976" t="s">
        <v>2074</v>
      </c>
      <c r="M71" s="4977">
        <f>M70+O70</f>
        <v>0.69223611111111105</v>
      </c>
      <c r="N71" s="3440">
        <v>1.08</v>
      </c>
      <c r="O71" s="4978">
        <f>Q71*E71*F71+J71*E71*F71+K71*E71</f>
        <v>3.9305555555555561E-3</v>
      </c>
      <c r="P71" s="4979">
        <f>C71*(G71/25)</f>
        <v>6.9444444444444447E-4</v>
      </c>
      <c r="Q71" s="3442">
        <f>P71*N71</f>
        <v>7.5000000000000012E-4</v>
      </c>
      <c r="R71" s="4980"/>
      <c r="S71" s="3621">
        <f t="shared" si="65"/>
        <v>42435.491267006742</v>
      </c>
      <c r="T71" s="2844">
        <f t="shared" si="66"/>
        <v>0.19047619047619044</v>
      </c>
      <c r="U71" s="2845">
        <f t="shared" si="67"/>
        <v>5.5555555555555558E-3</v>
      </c>
      <c r="V71" s="374">
        <f t="shared" si="70"/>
        <v>0</v>
      </c>
      <c r="W71" s="2846">
        <f t="shared" si="71"/>
        <v>0</v>
      </c>
      <c r="X71" s="2847">
        <f t="shared" si="72"/>
        <v>0</v>
      </c>
      <c r="Y71" s="2848">
        <f t="shared" si="73"/>
        <v>0</v>
      </c>
      <c r="Z71" s="2849">
        <f t="shared" si="74"/>
        <v>0</v>
      </c>
      <c r="AA71" s="2850">
        <f t="shared" si="75"/>
        <v>0.19047619047619044</v>
      </c>
      <c r="AB71" s="2851">
        <f t="shared" si="76"/>
        <v>0</v>
      </c>
      <c r="AC71" s="144"/>
      <c r="AD71" s="2867"/>
      <c r="AE71" s="2867"/>
      <c r="AF71" s="2867"/>
      <c r="AG71" s="2867"/>
      <c r="AH71" s="2867"/>
      <c r="AI71" s="2867"/>
      <c r="AJ71" s="2825"/>
      <c r="AK71" s="1"/>
      <c r="AL71" s="1"/>
      <c r="AM71" s="1"/>
      <c r="AN71" s="1"/>
      <c r="AO71" s="1"/>
    </row>
    <row r="72" spans="1:41">
      <c r="A72" s="2889" t="s">
        <v>139</v>
      </c>
      <c r="B72" s="3515" t="s">
        <v>459</v>
      </c>
      <c r="C72" s="2715">
        <f t="shared" ref="C72:C74" si="77">IF(D72=1,V$4,IF(D72=2,W$4,IF(D72=3,X$4,IF(D72=4,Y$4,IF(D72=5,Z$4,IF(D72=6,AA$4,IF(D72=7,AB$4,0)))))))</f>
        <v>1.7682291666666674E-4</v>
      </c>
      <c r="D72" s="4981">
        <v>7</v>
      </c>
      <c r="E72" s="4982">
        <v>1</v>
      </c>
      <c r="F72" s="4982">
        <v>1</v>
      </c>
      <c r="G72" s="4983">
        <f t="shared" si="68"/>
        <v>49.091801669121239</v>
      </c>
      <c r="H72" s="4984">
        <v>3.4722222222222224E-4</v>
      </c>
      <c r="I72" s="4985">
        <f t="shared" si="69"/>
        <v>59</v>
      </c>
      <c r="J72" s="4984">
        <v>0</v>
      </c>
      <c r="K72" s="4984">
        <v>1.3888888888888889E-3</v>
      </c>
      <c r="L72" s="4986" t="s">
        <v>2075</v>
      </c>
      <c r="M72" s="4987">
        <f>M71+O71</f>
        <v>0.6961666666666666</v>
      </c>
      <c r="N72" s="4988">
        <v>1</v>
      </c>
      <c r="O72" s="4989">
        <f>Q72*E72*F72+J72*E72*F72+K72*E72</f>
        <v>1.7604166666666666E-3</v>
      </c>
      <c r="P72" s="4990">
        <f>C72*(G72/25)*1.07</f>
        <v>3.7152777777777781E-4</v>
      </c>
      <c r="Q72" s="4112">
        <f>P72*N72</f>
        <v>3.7152777777777781E-4</v>
      </c>
      <c r="R72" s="4991"/>
      <c r="S72" s="3621">
        <f t="shared" si="65"/>
        <v>84216.531303215786</v>
      </c>
      <c r="T72" s="2844">
        <f t="shared" si="66"/>
        <v>4.9091801669121242E-2</v>
      </c>
      <c r="U72" s="2845">
        <f t="shared" si="67"/>
        <v>1.4861111111111112E-3</v>
      </c>
      <c r="V72" s="374">
        <f t="shared" si="70"/>
        <v>0</v>
      </c>
      <c r="W72" s="2846">
        <f t="shared" si="71"/>
        <v>0</v>
      </c>
      <c r="X72" s="2847">
        <f t="shared" si="72"/>
        <v>0</v>
      </c>
      <c r="Y72" s="2848">
        <f t="shared" si="73"/>
        <v>0</v>
      </c>
      <c r="Z72" s="2849">
        <f t="shared" si="74"/>
        <v>0</v>
      </c>
      <c r="AA72" s="2850">
        <f t="shared" si="75"/>
        <v>0</v>
      </c>
      <c r="AB72" s="2851">
        <f t="shared" si="76"/>
        <v>4.9091801669121242E-2</v>
      </c>
      <c r="AC72" s="144"/>
      <c r="AD72" s="2867"/>
      <c r="AE72" s="2867"/>
      <c r="AF72" s="2867"/>
      <c r="AG72" s="2867"/>
      <c r="AH72" s="2867"/>
      <c r="AI72" s="2867"/>
      <c r="AJ72" s="2825"/>
      <c r="AK72" s="1"/>
      <c r="AL72" s="1"/>
      <c r="AM72" s="1"/>
      <c r="AN72" s="1"/>
      <c r="AO72" s="1"/>
    </row>
    <row r="73" spans="1:41" ht="14" customHeight="1">
      <c r="A73" s="2889" t="s">
        <v>460</v>
      </c>
      <c r="B73" s="3515" t="s">
        <v>459</v>
      </c>
      <c r="C73" s="2715">
        <f t="shared" si="77"/>
        <v>1.8933937422552669E-4</v>
      </c>
      <c r="D73" s="1433">
        <v>5</v>
      </c>
      <c r="E73" s="4048">
        <v>1</v>
      </c>
      <c r="F73" s="4048">
        <v>4</v>
      </c>
      <c r="G73" s="4983">
        <f t="shared" si="68"/>
        <v>68.769812864301045</v>
      </c>
      <c r="H73" s="4992">
        <v>5.2083333333333333E-4</v>
      </c>
      <c r="I73" s="4985">
        <f t="shared" ref="I73:I74" si="78">IF(D73=1,29,IF(D73=2,34,IF(D73=3,39,IF(D73=4,44,IF(D73=5,49,IF(D73=6,54,IF(D73=7,59,0)))))))</f>
        <v>49</v>
      </c>
      <c r="J73" s="4469">
        <v>1.2152777777777778E-3</v>
      </c>
      <c r="K73" s="4469">
        <v>6.9444444444444447E-4</v>
      </c>
      <c r="L73" s="4504" t="s">
        <v>2076</v>
      </c>
      <c r="M73" s="4467">
        <f t="shared" ref="M73:M74" si="79">M72+O72</f>
        <v>0.69792708333333331</v>
      </c>
      <c r="N73" s="3448">
        <v>1</v>
      </c>
      <c r="O73" s="4468">
        <f t="shared" ref="O73:O74" si="80">Q73*E73*F73+J73*E73*F73+K73*E73</f>
        <v>7.7847222222222233E-3</v>
      </c>
      <c r="P73" s="4469">
        <f t="shared" ref="P73:P74" si="81">C73*(G73/25)*1.07</f>
        <v>5.5729166666666676E-4</v>
      </c>
      <c r="Q73" s="4470">
        <f t="shared" ref="Q73:Q74" si="82">P73*N73</f>
        <v>5.5729166666666676E-4</v>
      </c>
      <c r="R73" s="4048"/>
      <c r="S73" s="3621">
        <f t="shared" si="65"/>
        <v>168154.87573030655</v>
      </c>
      <c r="T73" s="2844">
        <f t="shared" si="66"/>
        <v>0.27507925145720419</v>
      </c>
      <c r="U73" s="2845">
        <f t="shared" si="67"/>
        <v>8.9166666666666682E-3</v>
      </c>
      <c r="V73" s="374">
        <f t="shared" si="70"/>
        <v>0</v>
      </c>
      <c r="W73" s="2846">
        <f t="shared" si="71"/>
        <v>0</v>
      </c>
      <c r="X73" s="2847">
        <f t="shared" si="72"/>
        <v>0</v>
      </c>
      <c r="Y73" s="2848">
        <f t="shared" si="73"/>
        <v>0</v>
      </c>
      <c r="Z73" s="2849">
        <f t="shared" si="74"/>
        <v>0.27507925145720419</v>
      </c>
      <c r="AA73" s="2850">
        <f t="shared" si="75"/>
        <v>0</v>
      </c>
      <c r="AB73" s="2851">
        <f t="shared" si="76"/>
        <v>0</v>
      </c>
      <c r="AC73" s="144"/>
      <c r="AD73" s="2867"/>
      <c r="AE73" s="2867"/>
      <c r="AF73" s="2867"/>
      <c r="AG73" s="2867"/>
      <c r="AH73" s="2867"/>
      <c r="AI73" s="2867"/>
      <c r="AJ73" s="2825"/>
      <c r="AK73" s="1"/>
      <c r="AL73" s="1"/>
      <c r="AM73" s="1"/>
      <c r="AN73" s="1"/>
      <c r="AO73" s="1"/>
    </row>
    <row r="74" spans="1:41" ht="14" customHeight="1">
      <c r="A74" s="2889" t="s">
        <v>1763</v>
      </c>
      <c r="B74" s="3515" t="s">
        <v>459</v>
      </c>
      <c r="C74" s="2715">
        <f t="shared" si="77"/>
        <v>1.8933937422552669E-4</v>
      </c>
      <c r="D74" s="1433">
        <v>5</v>
      </c>
      <c r="E74" s="4048">
        <v>1</v>
      </c>
      <c r="F74" s="4048">
        <v>3</v>
      </c>
      <c r="G74" s="4983">
        <f t="shared" si="68"/>
        <v>68.769812864301045</v>
      </c>
      <c r="H74" s="4992">
        <v>5.2083333333333333E-4</v>
      </c>
      <c r="I74" s="4985">
        <f t="shared" si="78"/>
        <v>49</v>
      </c>
      <c r="J74" s="4469">
        <v>1.0416666666666667E-3</v>
      </c>
      <c r="K74" s="4469">
        <v>5.2083333333333333E-4</v>
      </c>
      <c r="L74" s="4504" t="s">
        <v>2077</v>
      </c>
      <c r="M74" s="4467">
        <f t="shared" si="79"/>
        <v>0.70571180555555557</v>
      </c>
      <c r="N74" s="3448">
        <v>1</v>
      </c>
      <c r="O74" s="4468">
        <f t="shared" si="80"/>
        <v>5.317708333333334E-3</v>
      </c>
      <c r="P74" s="4469">
        <f t="shared" si="81"/>
        <v>5.5729166666666676E-4</v>
      </c>
      <c r="Q74" s="4470">
        <f t="shared" si="82"/>
        <v>5.5729166666666676E-4</v>
      </c>
      <c r="R74" s="4048"/>
      <c r="S74" s="3621">
        <f t="shared" si="65"/>
        <v>333303.02589717996</v>
      </c>
      <c r="T74" s="2844">
        <f t="shared" si="66"/>
        <v>0.20630943859290313</v>
      </c>
      <c r="U74" s="2845">
        <f t="shared" si="67"/>
        <v>6.6875000000000007E-3</v>
      </c>
      <c r="V74" s="374">
        <f t="shared" si="70"/>
        <v>0</v>
      </c>
      <c r="W74" s="2846">
        <f t="shared" si="71"/>
        <v>0</v>
      </c>
      <c r="X74" s="2847">
        <f t="shared" si="72"/>
        <v>0</v>
      </c>
      <c r="Y74" s="2848">
        <f t="shared" si="73"/>
        <v>0</v>
      </c>
      <c r="Z74" s="2849">
        <f t="shared" si="74"/>
        <v>0.20630943859290313</v>
      </c>
      <c r="AA74" s="2850">
        <f t="shared" si="75"/>
        <v>0</v>
      </c>
      <c r="AB74" s="2851">
        <f t="shared" si="76"/>
        <v>0</v>
      </c>
      <c r="AC74" s="144"/>
      <c r="AD74" s="2867"/>
      <c r="AE74" s="2867"/>
      <c r="AF74" s="2867"/>
      <c r="AG74" s="2867"/>
      <c r="AH74" s="2867"/>
      <c r="AI74" s="2867"/>
      <c r="AJ74" s="2825"/>
      <c r="AK74" s="1"/>
      <c r="AL74" s="1"/>
      <c r="AM74" s="1"/>
      <c r="AN74" s="1"/>
      <c r="AO74" s="1"/>
    </row>
    <row r="75" spans="1:41" ht="14" thickBot="1">
      <c r="A75" s="2889"/>
      <c r="B75" s="3515"/>
      <c r="C75" s="2715">
        <f t="shared" ref="C75" si="83">IF(D75=1,V$4,IF(D75=2,W$4,IF(D75=3,X$4,IF(D75=4,Y$4,IF(D75=5,Z$4,IF(D75=6,AA$4,IF(D75=7,AB$4,0)))))))</f>
        <v>0</v>
      </c>
      <c r="D75" s="3453"/>
      <c r="E75" s="3454"/>
      <c r="F75" s="3454"/>
      <c r="G75" s="3454"/>
      <c r="H75" s="3454"/>
      <c r="I75" s="3454"/>
      <c r="J75" s="3454"/>
      <c r="K75" s="3454"/>
      <c r="L75" s="3454"/>
      <c r="M75" s="2328">
        <f>M74+O74</f>
        <v>0.71102951388888891</v>
      </c>
      <c r="N75" s="3455"/>
      <c r="O75" s="2329">
        <f>SUM(O69:O74)</f>
        <v>2.3529513888888891E-2</v>
      </c>
      <c r="P75" s="3454"/>
      <c r="Q75" s="3454"/>
      <c r="R75" s="3454"/>
      <c r="S75" s="3621">
        <f t="shared" si="65"/>
        <v>660744.35223549115</v>
      </c>
      <c r="T75" s="2844">
        <f t="shared" si="66"/>
        <v>0</v>
      </c>
      <c r="U75" s="2845">
        <f t="shared" si="67"/>
        <v>0</v>
      </c>
      <c r="V75" s="374">
        <f t="shared" si="70"/>
        <v>0</v>
      </c>
      <c r="W75" s="2846">
        <f t="shared" si="71"/>
        <v>0</v>
      </c>
      <c r="X75" s="2847">
        <f t="shared" si="72"/>
        <v>0</v>
      </c>
      <c r="Y75" s="2848">
        <f t="shared" si="73"/>
        <v>0</v>
      </c>
      <c r="Z75" s="2849">
        <f t="shared" si="74"/>
        <v>0</v>
      </c>
      <c r="AA75" s="2850">
        <f t="shared" si="75"/>
        <v>0</v>
      </c>
      <c r="AB75" s="2851">
        <f t="shared" si="76"/>
        <v>0</v>
      </c>
      <c r="AC75" s="144"/>
      <c r="AD75" s="2867"/>
      <c r="AE75" s="2867"/>
      <c r="AF75" s="2867"/>
      <c r="AG75" s="2867"/>
      <c r="AH75" s="2867"/>
      <c r="AI75" s="2867"/>
      <c r="AJ75" s="2825"/>
      <c r="AK75" s="1"/>
      <c r="AL75" s="1"/>
      <c r="AM75" s="1"/>
      <c r="AN75" s="1"/>
      <c r="AO75" s="1"/>
    </row>
    <row r="76" spans="1:41" ht="15" customHeight="1">
      <c r="A76" s="2889" t="s">
        <v>219</v>
      </c>
      <c r="B76" s="3515" t="s">
        <v>215</v>
      </c>
      <c r="C76" s="2715">
        <f t="shared" ref="C76:C78" si="84">IF(D76=1,V$4,IF(D76=2,W$4,IF(D76=3,X$4,IF(D76=4,Y$4,IF(D76=5,Z$4,IF(D76=6,AA$4,IF(D76=7,AB$4,0)))))))</f>
        <v>1.7682291666666674E-4</v>
      </c>
      <c r="D76" s="2335">
        <v>7</v>
      </c>
      <c r="E76" s="2336">
        <v>1</v>
      </c>
      <c r="F76" s="2336">
        <v>4</v>
      </c>
      <c r="G76" s="2336">
        <v>200</v>
      </c>
      <c r="H76" s="2337"/>
      <c r="I76" s="2337">
        <v>4.6296296296296293E-4</v>
      </c>
      <c r="J76" s="4705"/>
      <c r="K76" s="2337">
        <v>6.9444444444444441E-3</v>
      </c>
      <c r="L76" s="2323" t="s">
        <v>2054</v>
      </c>
      <c r="M76" s="2328">
        <f t="shared" ref="M76" si="85">M75+O75</f>
        <v>0.73455902777777782</v>
      </c>
      <c r="N76" s="2339">
        <v>1</v>
      </c>
      <c r="O76" s="2256">
        <f>Q76*E76*F76+I76*E76*F76+K76*E76</f>
        <v>1.4680962962962965E-2</v>
      </c>
      <c r="P76" s="2256">
        <f>C76*(G76/25)*1.04</f>
        <v>1.4711666666666673E-3</v>
      </c>
      <c r="Q76" s="2340">
        <f>P76*N76</f>
        <v>1.4711666666666673E-3</v>
      </c>
      <c r="R76" s="2341"/>
      <c r="S76" s="3621">
        <f t="shared" si="65"/>
        <v>1310399.2476821025</v>
      </c>
      <c r="T76" s="2844">
        <f t="shared" si="66"/>
        <v>0.8</v>
      </c>
      <c r="U76" s="2845">
        <f t="shared" si="67"/>
        <v>2.3538666666666676E-2</v>
      </c>
      <c r="V76" s="374">
        <f t="shared" si="70"/>
        <v>0</v>
      </c>
      <c r="W76" s="2846">
        <f t="shared" si="71"/>
        <v>0</v>
      </c>
      <c r="X76" s="2847">
        <f t="shared" si="72"/>
        <v>0</v>
      </c>
      <c r="Y76" s="2848">
        <f t="shared" si="73"/>
        <v>0</v>
      </c>
      <c r="Z76" s="2849">
        <f t="shared" si="74"/>
        <v>0</v>
      </c>
      <c r="AA76" s="2850">
        <f t="shared" si="75"/>
        <v>0</v>
      </c>
      <c r="AB76" s="2851">
        <f t="shared" si="76"/>
        <v>0.8</v>
      </c>
      <c r="AC76" s="144"/>
      <c r="AD76" s="2867"/>
      <c r="AE76" s="2867"/>
      <c r="AF76" s="2867"/>
      <c r="AG76" s="2867"/>
      <c r="AH76" s="2867"/>
      <c r="AI76" s="2867"/>
      <c r="AJ76" s="2825"/>
      <c r="AK76" s="1"/>
      <c r="AL76" s="1"/>
      <c r="AM76" s="1"/>
      <c r="AN76" s="1"/>
      <c r="AO76" s="1"/>
    </row>
    <row r="77" spans="1:41">
      <c r="A77" s="2889" t="s">
        <v>779</v>
      </c>
      <c r="B77" s="3515" t="s">
        <v>215</v>
      </c>
      <c r="C77" s="2715">
        <f t="shared" si="84"/>
        <v>1.7682291666666674E-4</v>
      </c>
      <c r="D77" s="2256">
        <v>7</v>
      </c>
      <c r="E77" s="2318">
        <v>1</v>
      </c>
      <c r="F77" s="2512">
        <v>1</v>
      </c>
      <c r="G77" s="2512">
        <v>50</v>
      </c>
      <c r="H77" s="2325" t="s">
        <v>298</v>
      </c>
      <c r="I77" s="2270">
        <v>1.3888888888888889E-4</v>
      </c>
      <c r="J77" s="4943"/>
      <c r="K77" s="2270">
        <v>1.3888888888888889E-3</v>
      </c>
      <c r="L77" s="2270" t="s">
        <v>2055</v>
      </c>
      <c r="M77" s="3637"/>
      <c r="N77" s="2516">
        <v>1</v>
      </c>
      <c r="O77" s="3638"/>
      <c r="P77" s="3632"/>
      <c r="Q77" s="2271"/>
      <c r="R77" s="3496"/>
      <c r="S77" s="3621">
        <f t="shared" si="65"/>
        <v>2599253.5241153026</v>
      </c>
      <c r="T77" s="2844">
        <f t="shared" si="66"/>
        <v>0.05</v>
      </c>
      <c r="U77" s="2845">
        <f t="shared" si="67"/>
        <v>0</v>
      </c>
      <c r="V77" s="374">
        <f t="shared" si="70"/>
        <v>0</v>
      </c>
      <c r="W77" s="2846">
        <f t="shared" si="71"/>
        <v>0</v>
      </c>
      <c r="X77" s="2847">
        <f t="shared" si="72"/>
        <v>0</v>
      </c>
      <c r="Y77" s="2848">
        <f t="shared" si="73"/>
        <v>0</v>
      </c>
      <c r="Z77" s="2849">
        <f t="shared" si="74"/>
        <v>0</v>
      </c>
      <c r="AA77" s="2850">
        <f t="shared" si="75"/>
        <v>0</v>
      </c>
      <c r="AB77" s="2851">
        <f t="shared" si="76"/>
        <v>0.05</v>
      </c>
      <c r="AC77" s="144"/>
      <c r="AD77" s="2867"/>
      <c r="AE77" s="2867"/>
      <c r="AF77" s="2867"/>
      <c r="AG77" s="2867"/>
      <c r="AH77" s="2867"/>
      <c r="AI77" s="2867"/>
      <c r="AJ77" s="2825"/>
      <c r="AK77" s="1"/>
      <c r="AL77" s="1"/>
      <c r="AM77" s="1"/>
      <c r="AN77" s="1"/>
      <c r="AO77" s="1"/>
    </row>
    <row r="78" spans="1:41" ht="14" thickBot="1">
      <c r="A78" s="2889" t="s">
        <v>138</v>
      </c>
      <c r="B78" s="3515" t="s">
        <v>215</v>
      </c>
      <c r="C78" s="2715">
        <f t="shared" si="84"/>
        <v>1.7682291666666674E-4</v>
      </c>
      <c r="D78" s="2318">
        <v>7</v>
      </c>
      <c r="E78" s="2512">
        <v>1</v>
      </c>
      <c r="F78" s="2512">
        <v>1</v>
      </c>
      <c r="G78" s="2512">
        <v>100</v>
      </c>
      <c r="H78" s="2325" t="s">
        <v>1686</v>
      </c>
      <c r="I78" s="2270">
        <v>4.6296296296296293E-4</v>
      </c>
      <c r="J78" s="4943"/>
      <c r="K78" s="2270">
        <v>1.3888888888888889E-3</v>
      </c>
      <c r="L78" s="2270" t="s">
        <v>2055</v>
      </c>
      <c r="M78" s="3637"/>
      <c r="N78" s="2516">
        <v>1</v>
      </c>
      <c r="O78" s="3639"/>
      <c r="P78" s="2271">
        <f t="shared" ref="P78" si="86">C78*(G78/25)</f>
        <v>7.0729166666666694E-4</v>
      </c>
      <c r="Q78" s="3496"/>
      <c r="R78" s="3132"/>
      <c r="S78" s="3621">
        <f t="shared" si="65"/>
        <v>5156071.5569635984</v>
      </c>
      <c r="T78" s="2844">
        <f t="shared" si="66"/>
        <v>0.1</v>
      </c>
      <c r="U78" s="2845">
        <f t="shared" si="67"/>
        <v>2.8291666666666678E-3</v>
      </c>
      <c r="V78" s="374">
        <f t="shared" si="70"/>
        <v>0</v>
      </c>
      <c r="W78" s="2846">
        <f t="shared" si="71"/>
        <v>0</v>
      </c>
      <c r="X78" s="2847">
        <f t="shared" si="72"/>
        <v>0</v>
      </c>
      <c r="Y78" s="2848">
        <f t="shared" si="73"/>
        <v>0</v>
      </c>
      <c r="Z78" s="2849">
        <f t="shared" si="74"/>
        <v>0</v>
      </c>
      <c r="AA78" s="2850">
        <f t="shared" si="75"/>
        <v>0</v>
      </c>
      <c r="AB78" s="2851">
        <f t="shared" si="76"/>
        <v>0.1</v>
      </c>
      <c r="AC78" s="144"/>
      <c r="AD78" s="2867"/>
      <c r="AE78" s="2867"/>
      <c r="AF78" s="2867"/>
      <c r="AG78" s="2867"/>
      <c r="AH78" s="2867"/>
      <c r="AI78" s="2867"/>
      <c r="AJ78" s="2825"/>
      <c r="AK78" s="1"/>
      <c r="AL78" s="1"/>
      <c r="AM78" s="1"/>
      <c r="AN78" s="1"/>
      <c r="AO78" s="1"/>
    </row>
    <row r="79" spans="1:41" ht="15" thickTop="1" thickBot="1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675"/>
      <c r="N79" s="1278"/>
      <c r="O79" s="1278"/>
      <c r="P79" s="1278"/>
      <c r="Q79" s="1278"/>
      <c r="R79" s="1278"/>
      <c r="S79" s="4933">
        <f>SUM(S76:S78)</f>
        <v>9065724.3287610039</v>
      </c>
      <c r="T79" s="144"/>
      <c r="U79" s="3154"/>
      <c r="V79" s="3155">
        <f t="shared" ref="V79:AB79" si="87">SUM(V5:V78)</f>
        <v>0.85525470399265702</v>
      </c>
      <c r="W79" s="3155">
        <f t="shared" si="87"/>
        <v>2.1878846577151658</v>
      </c>
      <c r="X79" s="3155">
        <f t="shared" si="87"/>
        <v>2.5361280769942622</v>
      </c>
      <c r="Y79" s="3155">
        <f t="shared" si="87"/>
        <v>0.11432502825691675</v>
      </c>
      <c r="Z79" s="3155">
        <f t="shared" si="87"/>
        <v>1.631547192964516</v>
      </c>
      <c r="AA79" s="3155">
        <f t="shared" si="87"/>
        <v>2.0604761904761904</v>
      </c>
      <c r="AB79" s="3155">
        <f t="shared" si="87"/>
        <v>2.3354655539191618</v>
      </c>
      <c r="AC79" s="3516">
        <f>SUM(V79:AB79)</f>
        <v>11.72108140431887</v>
      </c>
      <c r="AD79" s="2867">
        <v>0</v>
      </c>
      <c r="AE79" s="2867">
        <v>0</v>
      </c>
      <c r="AF79" s="2867">
        <v>0</v>
      </c>
      <c r="AG79" s="2867">
        <v>0</v>
      </c>
      <c r="AH79" s="2867">
        <v>0</v>
      </c>
      <c r="AI79" s="2867">
        <v>0</v>
      </c>
      <c r="AJ79" s="2825"/>
      <c r="AK79" s="1"/>
      <c r="AL79" s="1"/>
      <c r="AM79" s="1"/>
      <c r="AN79" s="1"/>
      <c r="AO79" s="1"/>
    </row>
    <row r="80" spans="1:41" ht="15" thickTop="1" thickBot="1">
      <c r="A80" s="144"/>
      <c r="B80" s="144"/>
      <c r="C80" s="144"/>
      <c r="D80" s="4444"/>
      <c r="E80" s="4594">
        <f>V79*100000/$R$80</f>
        <v>7.296721816790054</v>
      </c>
      <c r="F80" s="4594">
        <f>W79*100000/$R$80</f>
        <v>18.666235496914094</v>
      </c>
      <c r="G80" s="4594">
        <f>X79*100000/$R$80</f>
        <v>21.637321587577873</v>
      </c>
      <c r="H80" s="4594">
        <f>Y79*100000/$R$80</f>
        <v>0.97537952611430012</v>
      </c>
      <c r="I80" s="4594">
        <f>Z79*100000/$R$80</f>
        <v>13.919766757727144</v>
      </c>
      <c r="J80" s="4594"/>
      <c r="K80" s="4594">
        <f>AA79*100000/$R$80</f>
        <v>17.579232831852583</v>
      </c>
      <c r="L80" s="4595">
        <f>AB79*100000/$R$80</f>
        <v>19.925341983023959</v>
      </c>
      <c r="M80" s="4378" t="s">
        <v>1922</v>
      </c>
      <c r="N80" s="1278"/>
      <c r="O80" s="1278"/>
      <c r="P80" s="1278"/>
      <c r="Q80" s="1278"/>
      <c r="R80" s="7881">
        <f>AC79*1000</f>
        <v>11721.081404318869</v>
      </c>
      <c r="S80" s="7882"/>
      <c r="T80" s="144"/>
      <c r="U80" s="144"/>
      <c r="V80" s="3157">
        <f>IF(V79&gt;0,V79,#REF!)</f>
        <v>0.85525470399265702</v>
      </c>
      <c r="W80" s="3157">
        <f>IF(W79&gt;0,W79,#REF!)</f>
        <v>2.1878846577151658</v>
      </c>
      <c r="X80" s="3157">
        <f>IF(X79&gt;0,X79,#REF!)</f>
        <v>2.5361280769942622</v>
      </c>
      <c r="Y80" s="3157">
        <f>IF(Y79&gt;0,Y79,#REF!)</f>
        <v>0.11432502825691675</v>
      </c>
      <c r="Z80" s="3157">
        <f>IF(Z79&gt;0,Z79,#REF!)</f>
        <v>1.631547192964516</v>
      </c>
      <c r="AA80" s="3157">
        <f>IF(AA79&gt;0,AA79,#REF!)</f>
        <v>2.0604761904761904</v>
      </c>
      <c r="AB80" s="3157">
        <f>IF(AB79&gt;0,AB79,#REF!)</f>
        <v>2.3354655539191618</v>
      </c>
      <c r="AC80" s="144"/>
      <c r="AD80" s="2867"/>
      <c r="AE80" s="2867"/>
      <c r="AF80" s="2867"/>
      <c r="AG80" s="2867"/>
      <c r="AH80" s="2867"/>
      <c r="AI80" s="2867"/>
      <c r="AJ80" s="2825"/>
      <c r="AK80" s="1"/>
      <c r="AL80" s="1"/>
      <c r="AM80" s="1"/>
      <c r="AN80" s="1"/>
      <c r="AO80" s="1"/>
    </row>
    <row r="81" spans="1:41" ht="14" thickBot="1">
      <c r="A81" s="144"/>
      <c r="B81" s="144"/>
      <c r="C81" s="144"/>
      <c r="D81" s="4444"/>
      <c r="E81" s="4521">
        <f>E80*15/100</f>
        <v>1.094508272518508</v>
      </c>
      <c r="F81" s="4522">
        <f t="shared" ref="F81:L81" si="88">F80*15/100</f>
        <v>2.7999353245371141</v>
      </c>
      <c r="G81" s="4523">
        <f t="shared" si="88"/>
        <v>3.2455982381366812</v>
      </c>
      <c r="H81" s="4524">
        <f t="shared" si="88"/>
        <v>0.146306928917145</v>
      </c>
      <c r="I81" s="4525">
        <f t="shared" si="88"/>
        <v>2.0879650136590717</v>
      </c>
      <c r="J81" s="4965"/>
      <c r="K81" s="4526">
        <f t="shared" si="88"/>
        <v>2.6368849247778869</v>
      </c>
      <c r="L81" s="4527">
        <f t="shared" si="88"/>
        <v>2.9888012974535938</v>
      </c>
      <c r="M81" s="4378" t="s">
        <v>1252</v>
      </c>
      <c r="N81" s="144"/>
      <c r="O81" s="144"/>
      <c r="P81" s="144"/>
      <c r="Q81" s="144"/>
      <c r="R81" s="144"/>
      <c r="S81" s="144"/>
      <c r="T81" s="144"/>
      <c r="U81" s="144"/>
      <c r="V81" s="3157">
        <f t="shared" ref="V81:AB96" si="89">IF(V80&gt;0,V80,V79)</f>
        <v>0.85525470399265702</v>
      </c>
      <c r="W81" s="3157">
        <f t="shared" si="89"/>
        <v>2.1878846577151658</v>
      </c>
      <c r="X81" s="3157">
        <f t="shared" si="89"/>
        <v>2.5361280769942622</v>
      </c>
      <c r="Y81" s="3157">
        <f t="shared" si="89"/>
        <v>0.11432502825691675</v>
      </c>
      <c r="Z81" s="3157">
        <f t="shared" si="89"/>
        <v>1.631547192964516</v>
      </c>
      <c r="AA81" s="3157">
        <f t="shared" si="89"/>
        <v>2.0604761904761904</v>
      </c>
      <c r="AB81" s="3157">
        <f t="shared" si="89"/>
        <v>2.3354655539191618</v>
      </c>
      <c r="AC81" s="144"/>
      <c r="AD81" s="2867"/>
      <c r="AE81" s="2867"/>
      <c r="AF81" s="2867"/>
      <c r="AG81" s="2867"/>
      <c r="AH81" s="2867"/>
      <c r="AI81" s="2867"/>
      <c r="AJ81" s="2825"/>
      <c r="AK81" s="1"/>
      <c r="AL81" s="1"/>
      <c r="AM81" s="1"/>
      <c r="AN81" s="1"/>
      <c r="AO81" s="1"/>
    </row>
    <row r="82" spans="1:41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675"/>
      <c r="N82" s="1278"/>
      <c r="O82" s="1278"/>
      <c r="P82" s="1278"/>
      <c r="Q82" s="1278"/>
      <c r="R82" s="1278"/>
      <c r="S82" s="1278"/>
      <c r="T82" s="144"/>
      <c r="U82" s="144"/>
      <c r="V82" s="3157">
        <f t="shared" si="89"/>
        <v>0.85525470399265702</v>
      </c>
      <c r="W82" s="3157">
        <f t="shared" si="89"/>
        <v>2.1878846577151658</v>
      </c>
      <c r="X82" s="3157">
        <f t="shared" si="89"/>
        <v>2.5361280769942622</v>
      </c>
      <c r="Y82" s="3157">
        <f t="shared" si="89"/>
        <v>0.11432502825691675</v>
      </c>
      <c r="Z82" s="3157">
        <f t="shared" si="89"/>
        <v>1.631547192964516</v>
      </c>
      <c r="AA82" s="3157">
        <f t="shared" si="89"/>
        <v>2.0604761904761904</v>
      </c>
      <c r="AB82" s="3157">
        <f t="shared" si="89"/>
        <v>2.3354655539191618</v>
      </c>
      <c r="AC82" s="144"/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867">
        <v>0</v>
      </c>
      <c r="AJ82" s="2825"/>
      <c r="AK82" s="1"/>
      <c r="AL82" s="1"/>
      <c r="AM82" s="1"/>
      <c r="AN82" s="1"/>
      <c r="AO82" s="1"/>
    </row>
    <row r="83" spans="1:41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675"/>
      <c r="N83" s="1278"/>
      <c r="O83" s="1278"/>
      <c r="P83" s="1278"/>
      <c r="Q83" s="1278"/>
      <c r="R83" s="1278"/>
      <c r="S83" s="1278"/>
      <c r="T83" s="144"/>
      <c r="U83" s="144"/>
      <c r="V83" s="3157">
        <f t="shared" si="89"/>
        <v>0.85525470399265702</v>
      </c>
      <c r="W83" s="3157">
        <f t="shared" si="89"/>
        <v>2.1878846577151658</v>
      </c>
      <c r="X83" s="3157">
        <f t="shared" si="89"/>
        <v>2.5361280769942622</v>
      </c>
      <c r="Y83" s="3157">
        <f t="shared" si="89"/>
        <v>0.11432502825691675</v>
      </c>
      <c r="Z83" s="3157">
        <f t="shared" si="89"/>
        <v>1.631547192964516</v>
      </c>
      <c r="AA83" s="3157">
        <f t="shared" si="89"/>
        <v>2.0604761904761904</v>
      </c>
      <c r="AB83" s="3157">
        <f t="shared" si="89"/>
        <v>2.3354655539191618</v>
      </c>
      <c r="AC83" s="144"/>
      <c r="AD83" s="2867">
        <v>0</v>
      </c>
      <c r="AE83" s="2867">
        <v>0</v>
      </c>
      <c r="AF83" s="2867">
        <v>0</v>
      </c>
      <c r="AG83" s="2867">
        <v>0</v>
      </c>
      <c r="AH83" s="2867">
        <v>0</v>
      </c>
      <c r="AI83" s="2867">
        <v>0</v>
      </c>
      <c r="AJ83" s="2825"/>
      <c r="AK83" s="1"/>
      <c r="AL83" s="1"/>
      <c r="AM83" s="1"/>
      <c r="AN83" s="1"/>
      <c r="AO83" s="1"/>
    </row>
    <row r="84" spans="1:41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675"/>
      <c r="N84" s="1278"/>
      <c r="O84" s="1278"/>
      <c r="P84" s="1278"/>
      <c r="Q84" s="1278"/>
      <c r="R84" s="1278"/>
      <c r="S84" s="1278"/>
      <c r="T84" s="144"/>
      <c r="U84" s="144"/>
      <c r="V84" s="3157">
        <f t="shared" si="89"/>
        <v>0.85525470399265702</v>
      </c>
      <c r="W84" s="3157">
        <f t="shared" si="89"/>
        <v>2.1878846577151658</v>
      </c>
      <c r="X84" s="3157">
        <f t="shared" si="89"/>
        <v>2.5361280769942622</v>
      </c>
      <c r="Y84" s="3157">
        <f t="shared" si="89"/>
        <v>0.11432502825691675</v>
      </c>
      <c r="Z84" s="3157">
        <f t="shared" si="89"/>
        <v>1.631547192964516</v>
      </c>
      <c r="AA84" s="3157">
        <f t="shared" si="89"/>
        <v>2.0604761904761904</v>
      </c>
      <c r="AB84" s="3157">
        <f t="shared" si="89"/>
        <v>2.3354655539191618</v>
      </c>
      <c r="AC84" s="144"/>
      <c r="AD84" s="2867"/>
      <c r="AE84" s="2867"/>
      <c r="AF84" s="2867"/>
      <c r="AG84" s="2867"/>
      <c r="AH84" s="2867"/>
      <c r="AI84" s="2867"/>
      <c r="AJ84" s="2825"/>
      <c r="AK84" s="1"/>
      <c r="AL84" s="1"/>
      <c r="AM84" s="1"/>
      <c r="AN84" s="1"/>
      <c r="AO84" s="1"/>
    </row>
    <row r="85" spans="1:41" ht="15" customHeight="1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675"/>
      <c r="N85" s="1278"/>
      <c r="O85" s="1278"/>
      <c r="P85" s="1278"/>
      <c r="Q85" s="1278"/>
      <c r="R85" s="1278"/>
      <c r="S85" s="1278"/>
      <c r="T85" s="144"/>
      <c r="U85" s="144"/>
      <c r="V85" s="3157">
        <f t="shared" si="89"/>
        <v>0.85525470399265702</v>
      </c>
      <c r="W85" s="3157">
        <f t="shared" si="89"/>
        <v>2.1878846577151658</v>
      </c>
      <c r="X85" s="3157">
        <f t="shared" si="89"/>
        <v>2.5361280769942622</v>
      </c>
      <c r="Y85" s="3157">
        <f t="shared" si="89"/>
        <v>0.11432502825691675</v>
      </c>
      <c r="Z85" s="3157">
        <f t="shared" si="89"/>
        <v>1.631547192964516</v>
      </c>
      <c r="AA85" s="3157">
        <f t="shared" si="89"/>
        <v>2.0604761904761904</v>
      </c>
      <c r="AB85" s="3157">
        <f t="shared" si="89"/>
        <v>2.3354655539191618</v>
      </c>
      <c r="AC85" s="144"/>
      <c r="AD85" s="2867"/>
      <c r="AE85" s="2867"/>
      <c r="AF85" s="2867"/>
      <c r="AG85" s="2867"/>
      <c r="AH85" s="2867"/>
      <c r="AI85" s="2867"/>
      <c r="AJ85" s="2825"/>
      <c r="AK85" s="1"/>
      <c r="AL85" s="1"/>
      <c r="AM85" s="1"/>
      <c r="AN85" s="1"/>
      <c r="AO85" s="1"/>
    </row>
    <row r="86" spans="1:41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675"/>
      <c r="N86" s="1278"/>
      <c r="O86" s="1278"/>
      <c r="P86" s="1278"/>
      <c r="Q86" s="1278"/>
      <c r="R86" s="1278"/>
      <c r="S86" s="1278"/>
      <c r="T86" s="144"/>
      <c r="U86" s="144"/>
      <c r="V86" s="3157">
        <f t="shared" si="89"/>
        <v>0.85525470399265702</v>
      </c>
      <c r="W86" s="3157">
        <f t="shared" si="89"/>
        <v>2.1878846577151658</v>
      </c>
      <c r="X86" s="3157">
        <f t="shared" si="89"/>
        <v>2.5361280769942622</v>
      </c>
      <c r="Y86" s="3157">
        <f t="shared" si="89"/>
        <v>0.11432502825691675</v>
      </c>
      <c r="Z86" s="3157">
        <f t="shared" si="89"/>
        <v>1.631547192964516</v>
      </c>
      <c r="AA86" s="3157">
        <f t="shared" si="89"/>
        <v>2.0604761904761904</v>
      </c>
      <c r="AB86" s="3157">
        <f t="shared" si="89"/>
        <v>2.3354655539191618</v>
      </c>
      <c r="AC86" s="144"/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67">
        <v>0</v>
      </c>
      <c r="AJ86" s="2825"/>
      <c r="AK86" s="1"/>
      <c r="AL86" s="1"/>
      <c r="AM86" s="1"/>
      <c r="AN86" s="1"/>
      <c r="AO86" s="1"/>
    </row>
    <row r="87" spans="1:41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675"/>
      <c r="N87" s="1278"/>
      <c r="O87" s="1278"/>
      <c r="P87" s="1278"/>
      <c r="Q87" s="1278"/>
      <c r="R87" s="1278"/>
      <c r="S87" s="1278"/>
      <c r="T87" s="144"/>
      <c r="U87" s="144"/>
      <c r="V87" s="3157">
        <f t="shared" si="89"/>
        <v>0.85525470399265702</v>
      </c>
      <c r="W87" s="3157">
        <f t="shared" si="89"/>
        <v>2.1878846577151658</v>
      </c>
      <c r="X87" s="3157">
        <f t="shared" si="89"/>
        <v>2.5361280769942622</v>
      </c>
      <c r="Y87" s="3157">
        <f t="shared" si="89"/>
        <v>0.11432502825691675</v>
      </c>
      <c r="Z87" s="3157">
        <f t="shared" si="89"/>
        <v>1.631547192964516</v>
      </c>
      <c r="AA87" s="3157">
        <f t="shared" si="89"/>
        <v>2.0604761904761904</v>
      </c>
      <c r="AB87" s="3157">
        <f t="shared" si="89"/>
        <v>2.3354655539191618</v>
      </c>
      <c r="AC87" s="144"/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67">
        <v>0</v>
      </c>
      <c r="AJ87" s="2825"/>
      <c r="AK87" s="1"/>
      <c r="AL87" s="1"/>
      <c r="AM87" s="1"/>
      <c r="AN87" s="1"/>
      <c r="AO87" s="1"/>
    </row>
    <row r="88" spans="1:41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675"/>
      <c r="N88" s="1278"/>
      <c r="O88" s="1278"/>
      <c r="P88" s="1278"/>
      <c r="Q88" s="1278"/>
      <c r="R88" s="1278"/>
      <c r="S88" s="1278"/>
      <c r="T88" s="144"/>
      <c r="U88" s="144"/>
      <c r="V88" s="3157">
        <f t="shared" si="89"/>
        <v>0.85525470399265702</v>
      </c>
      <c r="W88" s="3157">
        <f t="shared" si="89"/>
        <v>2.1878846577151658</v>
      </c>
      <c r="X88" s="3157">
        <f t="shared" si="89"/>
        <v>2.5361280769942622</v>
      </c>
      <c r="Y88" s="3157">
        <f t="shared" si="89"/>
        <v>0.11432502825691675</v>
      </c>
      <c r="Z88" s="3157">
        <f t="shared" si="89"/>
        <v>1.631547192964516</v>
      </c>
      <c r="AA88" s="3157">
        <f t="shared" si="89"/>
        <v>2.0604761904761904</v>
      </c>
      <c r="AB88" s="3157">
        <f t="shared" si="89"/>
        <v>2.3354655539191618</v>
      </c>
      <c r="AC88" s="144"/>
      <c r="AD88" s="2867">
        <v>0</v>
      </c>
      <c r="AE88" s="2867">
        <v>0</v>
      </c>
      <c r="AF88" s="2867">
        <v>0</v>
      </c>
      <c r="AG88" s="2867">
        <v>0</v>
      </c>
      <c r="AH88" s="2867">
        <v>0</v>
      </c>
      <c r="AI88" s="2867">
        <v>0</v>
      </c>
      <c r="AJ88" s="2825"/>
      <c r="AK88" s="1"/>
      <c r="AL88" s="1"/>
      <c r="AM88" s="1"/>
      <c r="AN88" s="1"/>
      <c r="AO88" s="1"/>
    </row>
    <row r="89" spans="1:41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675"/>
      <c r="N89" s="1278"/>
      <c r="O89" s="1278"/>
      <c r="P89" s="1278"/>
      <c r="Q89" s="1278"/>
      <c r="R89" s="1278"/>
      <c r="S89" s="1278"/>
      <c r="T89" s="144"/>
      <c r="U89" s="144"/>
      <c r="V89" s="3157">
        <f t="shared" si="89"/>
        <v>0.85525470399265702</v>
      </c>
      <c r="W89" s="3157">
        <f t="shared" si="89"/>
        <v>2.1878846577151658</v>
      </c>
      <c r="X89" s="3157">
        <f t="shared" si="89"/>
        <v>2.5361280769942622</v>
      </c>
      <c r="Y89" s="3157">
        <f t="shared" si="89"/>
        <v>0.11432502825691675</v>
      </c>
      <c r="Z89" s="3157">
        <f t="shared" si="89"/>
        <v>1.631547192964516</v>
      </c>
      <c r="AA89" s="3157">
        <f t="shared" si="89"/>
        <v>2.0604761904761904</v>
      </c>
      <c r="AB89" s="3157">
        <f t="shared" si="89"/>
        <v>2.3354655539191618</v>
      </c>
      <c r="AC89" s="144"/>
      <c r="AD89" s="2867">
        <v>0</v>
      </c>
      <c r="AE89" s="2867">
        <v>0</v>
      </c>
      <c r="AF89" s="2867">
        <v>0</v>
      </c>
      <c r="AG89" s="2867">
        <v>0</v>
      </c>
      <c r="AH89" s="2867">
        <v>0</v>
      </c>
      <c r="AI89" s="2867">
        <v>0</v>
      </c>
      <c r="AJ89" s="2825"/>
      <c r="AK89" s="1"/>
      <c r="AL89" s="1"/>
      <c r="AM89" s="1"/>
      <c r="AN89" s="1"/>
      <c r="AO89" s="1"/>
    </row>
    <row r="90" spans="1:41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675"/>
      <c r="N90" s="1278"/>
      <c r="O90" s="1278"/>
      <c r="P90" s="1278"/>
      <c r="Q90" s="1278"/>
      <c r="R90" s="1278"/>
      <c r="S90" s="1278"/>
      <c r="T90" s="144"/>
      <c r="U90" s="144"/>
      <c r="V90" s="3157">
        <f t="shared" si="89"/>
        <v>0.85525470399265702</v>
      </c>
      <c r="W90" s="3157">
        <f t="shared" si="89"/>
        <v>2.1878846577151658</v>
      </c>
      <c r="X90" s="3157">
        <f t="shared" si="89"/>
        <v>2.5361280769942622</v>
      </c>
      <c r="Y90" s="3157">
        <f t="shared" si="89"/>
        <v>0.11432502825691675</v>
      </c>
      <c r="Z90" s="3157">
        <f t="shared" si="89"/>
        <v>1.631547192964516</v>
      </c>
      <c r="AA90" s="3157">
        <f t="shared" si="89"/>
        <v>2.0604761904761904</v>
      </c>
      <c r="AB90" s="3157">
        <f t="shared" si="89"/>
        <v>2.3354655539191618</v>
      </c>
      <c r="AC90" s="144"/>
      <c r="AD90" s="2867"/>
      <c r="AE90" s="2867"/>
      <c r="AF90" s="2867"/>
      <c r="AG90" s="2867"/>
      <c r="AH90" s="2867"/>
      <c r="AI90" s="2867"/>
      <c r="AJ90" s="2825"/>
      <c r="AK90" s="1"/>
      <c r="AL90" s="1"/>
      <c r="AM90" s="1"/>
      <c r="AN90" s="1"/>
      <c r="AO90" s="1"/>
    </row>
    <row r="91" spans="1:41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675"/>
      <c r="N91" s="1278"/>
      <c r="O91" s="1278"/>
      <c r="P91" s="1278"/>
      <c r="Q91" s="1278"/>
      <c r="R91" s="1278"/>
      <c r="S91" s="1278"/>
      <c r="T91" s="144"/>
      <c r="U91" s="144"/>
      <c r="V91" s="3157">
        <f t="shared" si="89"/>
        <v>0.85525470399265702</v>
      </c>
      <c r="W91" s="3157">
        <f t="shared" si="89"/>
        <v>2.1878846577151658</v>
      </c>
      <c r="X91" s="3157">
        <f t="shared" si="89"/>
        <v>2.5361280769942622</v>
      </c>
      <c r="Y91" s="3157">
        <f t="shared" si="89"/>
        <v>0.11432502825691675</v>
      </c>
      <c r="Z91" s="3157">
        <f t="shared" si="89"/>
        <v>1.631547192964516</v>
      </c>
      <c r="AA91" s="3157">
        <f t="shared" si="89"/>
        <v>2.0604761904761904</v>
      </c>
      <c r="AB91" s="3157">
        <f t="shared" si="89"/>
        <v>2.3354655539191618</v>
      </c>
      <c r="AC91" s="144"/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67">
        <v>0</v>
      </c>
      <c r="AJ91" s="2825"/>
      <c r="AK91" s="1"/>
      <c r="AL91" s="1"/>
      <c r="AM91" s="1"/>
      <c r="AN91" s="1"/>
      <c r="AO91" s="1"/>
    </row>
    <row r="92" spans="1:41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675"/>
      <c r="N92" s="1278"/>
      <c r="O92" s="1278"/>
      <c r="P92" s="1278"/>
      <c r="Q92" s="1278"/>
      <c r="R92" s="1278"/>
      <c r="S92" s="1278"/>
      <c r="T92" s="144"/>
      <c r="U92" s="144"/>
      <c r="V92" s="3157">
        <f t="shared" si="89"/>
        <v>0.85525470399265702</v>
      </c>
      <c r="W92" s="3157">
        <f t="shared" si="89"/>
        <v>2.1878846577151658</v>
      </c>
      <c r="X92" s="3157">
        <f t="shared" si="89"/>
        <v>2.5361280769942622</v>
      </c>
      <c r="Y92" s="3157">
        <f t="shared" si="89"/>
        <v>0.11432502825691675</v>
      </c>
      <c r="Z92" s="3157">
        <f t="shared" si="89"/>
        <v>1.631547192964516</v>
      </c>
      <c r="AA92" s="3157">
        <f t="shared" si="89"/>
        <v>2.0604761904761904</v>
      </c>
      <c r="AB92" s="3157">
        <f t="shared" si="89"/>
        <v>2.3354655539191618</v>
      </c>
      <c r="AC92" s="144"/>
      <c r="AD92" s="2867">
        <v>0</v>
      </c>
      <c r="AE92" s="2867">
        <v>0</v>
      </c>
      <c r="AF92" s="2867">
        <v>0</v>
      </c>
      <c r="AG92" s="2867">
        <v>0</v>
      </c>
      <c r="AH92" s="2867">
        <v>0</v>
      </c>
      <c r="AI92" s="2867">
        <v>0</v>
      </c>
      <c r="AJ92" s="2825"/>
      <c r="AK92" s="1"/>
      <c r="AL92" s="1"/>
      <c r="AM92" s="1"/>
      <c r="AN92" s="1"/>
      <c r="AO92" s="1"/>
    </row>
    <row r="93" spans="1:41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675"/>
      <c r="N93" s="1278"/>
      <c r="O93" s="1278"/>
      <c r="P93" s="1278"/>
      <c r="Q93" s="1278"/>
      <c r="R93" s="1278"/>
      <c r="S93" s="1278"/>
      <c r="T93" s="144"/>
      <c r="U93" s="144"/>
      <c r="V93" s="3157">
        <f t="shared" si="89"/>
        <v>0.85525470399265702</v>
      </c>
      <c r="W93" s="3157">
        <f t="shared" si="89"/>
        <v>2.1878846577151658</v>
      </c>
      <c r="X93" s="3157">
        <f t="shared" si="89"/>
        <v>2.5361280769942622</v>
      </c>
      <c r="Y93" s="3157">
        <f t="shared" si="89"/>
        <v>0.11432502825691675</v>
      </c>
      <c r="Z93" s="3157">
        <f t="shared" si="89"/>
        <v>1.631547192964516</v>
      </c>
      <c r="AA93" s="3157">
        <f t="shared" si="89"/>
        <v>2.0604761904761904</v>
      </c>
      <c r="AB93" s="3157">
        <f t="shared" si="89"/>
        <v>2.3354655539191618</v>
      </c>
      <c r="AC93" s="144"/>
      <c r="AD93" s="2867"/>
      <c r="AE93" s="2867"/>
      <c r="AF93" s="2867"/>
      <c r="AG93" s="2867"/>
      <c r="AH93" s="2867"/>
      <c r="AI93" s="2867"/>
      <c r="AJ93" s="2825"/>
      <c r="AK93" s="1"/>
      <c r="AL93" s="1"/>
      <c r="AM93" s="1"/>
      <c r="AN93" s="1"/>
      <c r="AO93" s="1"/>
    </row>
    <row r="94" spans="1:41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675"/>
      <c r="N94" s="1278"/>
      <c r="O94" s="1278"/>
      <c r="P94" s="1278"/>
      <c r="Q94" s="1278"/>
      <c r="R94" s="1278"/>
      <c r="S94" s="1278"/>
      <c r="T94" s="144"/>
      <c r="U94" s="144"/>
      <c r="V94" s="3157">
        <f t="shared" si="89"/>
        <v>0.85525470399265702</v>
      </c>
      <c r="W94" s="3157">
        <f t="shared" si="89"/>
        <v>2.1878846577151658</v>
      </c>
      <c r="X94" s="3157">
        <f t="shared" si="89"/>
        <v>2.5361280769942622</v>
      </c>
      <c r="Y94" s="3157">
        <f t="shared" si="89"/>
        <v>0.11432502825691675</v>
      </c>
      <c r="Z94" s="3157">
        <f t="shared" si="89"/>
        <v>1.631547192964516</v>
      </c>
      <c r="AA94" s="3157">
        <f t="shared" si="89"/>
        <v>2.0604761904761904</v>
      </c>
      <c r="AB94" s="3157">
        <f t="shared" si="89"/>
        <v>2.3354655539191618</v>
      </c>
      <c r="AC94" s="144"/>
      <c r="AD94" s="2867"/>
      <c r="AE94" s="2867"/>
      <c r="AF94" s="2867"/>
      <c r="AG94" s="2867"/>
      <c r="AH94" s="2867"/>
      <c r="AI94" s="2867"/>
      <c r="AJ94" s="2825"/>
      <c r="AK94" s="1"/>
      <c r="AL94" s="1"/>
      <c r="AM94" s="1"/>
      <c r="AN94" s="1"/>
      <c r="AO94" s="1"/>
    </row>
    <row r="95" spans="1:41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675"/>
      <c r="N95" s="1278"/>
      <c r="O95" s="1278"/>
      <c r="P95" s="1278"/>
      <c r="Q95" s="1278"/>
      <c r="R95" s="1278"/>
      <c r="S95" s="1278"/>
      <c r="T95" s="144"/>
      <c r="U95" s="144"/>
      <c r="V95" s="3157">
        <f t="shared" si="89"/>
        <v>0.85525470399265702</v>
      </c>
      <c r="W95" s="3157">
        <f t="shared" si="89"/>
        <v>2.1878846577151658</v>
      </c>
      <c r="X95" s="3157">
        <f t="shared" si="89"/>
        <v>2.5361280769942622</v>
      </c>
      <c r="Y95" s="3157">
        <f t="shared" si="89"/>
        <v>0.11432502825691675</v>
      </c>
      <c r="Z95" s="3157">
        <f t="shared" si="89"/>
        <v>1.631547192964516</v>
      </c>
      <c r="AA95" s="3157">
        <f t="shared" si="89"/>
        <v>2.0604761904761904</v>
      </c>
      <c r="AB95" s="3157">
        <f t="shared" si="89"/>
        <v>2.3354655539191618</v>
      </c>
      <c r="AC95" s="144"/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867">
        <v>0</v>
      </c>
      <c r="AJ95" s="2825"/>
      <c r="AK95" s="1"/>
      <c r="AL95" s="1"/>
      <c r="AM95" s="1"/>
      <c r="AN95" s="1"/>
      <c r="AO95" s="1"/>
    </row>
    <row r="96" spans="1:41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675"/>
      <c r="N96" s="1278"/>
      <c r="O96" s="1278"/>
      <c r="P96" s="1278"/>
      <c r="Q96" s="1278"/>
      <c r="R96" s="1278"/>
      <c r="S96" s="1278"/>
      <c r="T96" s="144"/>
      <c r="U96" s="144"/>
      <c r="V96" s="3157">
        <f t="shared" si="89"/>
        <v>0.85525470399265702</v>
      </c>
      <c r="W96" s="3157">
        <f t="shared" si="89"/>
        <v>2.1878846577151658</v>
      </c>
      <c r="X96" s="3157">
        <f t="shared" si="89"/>
        <v>2.5361280769942622</v>
      </c>
      <c r="Y96" s="3157">
        <f t="shared" si="89"/>
        <v>0.11432502825691675</v>
      </c>
      <c r="Z96" s="3157">
        <f t="shared" si="89"/>
        <v>1.631547192964516</v>
      </c>
      <c r="AA96" s="3157">
        <f t="shared" si="89"/>
        <v>2.0604761904761904</v>
      </c>
      <c r="AB96" s="3157">
        <f t="shared" si="89"/>
        <v>2.3354655539191618</v>
      </c>
      <c r="AC96" s="144"/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67">
        <v>0</v>
      </c>
      <c r="AJ96" s="2825"/>
      <c r="AK96" s="1"/>
      <c r="AL96" s="1"/>
      <c r="AM96" s="1"/>
      <c r="AN96" s="1"/>
      <c r="AO96" s="1"/>
    </row>
    <row r="97" spans="1:41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675"/>
      <c r="N97" s="1278"/>
      <c r="O97" s="1278"/>
      <c r="P97" s="1278"/>
      <c r="Q97" s="1278"/>
      <c r="R97" s="1278"/>
      <c r="S97" s="1278"/>
      <c r="T97" s="144"/>
      <c r="U97" s="144"/>
      <c r="V97" s="3157">
        <f t="shared" ref="V97:AB108" si="90">IF(V96&gt;0,V96,V95)</f>
        <v>0.85525470399265702</v>
      </c>
      <c r="W97" s="3157">
        <f t="shared" si="90"/>
        <v>2.1878846577151658</v>
      </c>
      <c r="X97" s="3157">
        <f t="shared" si="90"/>
        <v>2.5361280769942622</v>
      </c>
      <c r="Y97" s="3157">
        <f t="shared" si="90"/>
        <v>0.11432502825691675</v>
      </c>
      <c r="Z97" s="3157">
        <f t="shared" si="90"/>
        <v>1.631547192964516</v>
      </c>
      <c r="AA97" s="3157">
        <f t="shared" si="90"/>
        <v>2.0604761904761904</v>
      </c>
      <c r="AB97" s="3157">
        <f t="shared" si="90"/>
        <v>2.3354655539191618</v>
      </c>
      <c r="AC97" s="144"/>
      <c r="AD97" s="2867">
        <v>0</v>
      </c>
      <c r="AE97" s="2867">
        <v>0</v>
      </c>
      <c r="AF97" s="2867">
        <v>0</v>
      </c>
      <c r="AG97" s="2867">
        <v>0</v>
      </c>
      <c r="AH97" s="2867">
        <v>0</v>
      </c>
      <c r="AI97" s="2867">
        <v>0</v>
      </c>
      <c r="AJ97" s="2825"/>
      <c r="AK97" s="1"/>
      <c r="AL97" s="1"/>
      <c r="AM97" s="1"/>
      <c r="AN97" s="1"/>
      <c r="AO97" s="1"/>
    </row>
    <row r="98" spans="1:41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675"/>
      <c r="N98" s="1278"/>
      <c r="O98" s="1278"/>
      <c r="P98" s="1278"/>
      <c r="Q98" s="1278"/>
      <c r="R98" s="1278"/>
      <c r="S98" s="1278"/>
      <c r="T98" s="144"/>
      <c r="U98" s="144"/>
      <c r="V98" s="3157">
        <f t="shared" si="90"/>
        <v>0.85525470399265702</v>
      </c>
      <c r="W98" s="3157">
        <f t="shared" si="90"/>
        <v>2.1878846577151658</v>
      </c>
      <c r="X98" s="3157">
        <f t="shared" si="90"/>
        <v>2.5361280769942622</v>
      </c>
      <c r="Y98" s="3157">
        <f t="shared" si="90"/>
        <v>0.11432502825691675</v>
      </c>
      <c r="Z98" s="3157">
        <f t="shared" si="90"/>
        <v>1.631547192964516</v>
      </c>
      <c r="AA98" s="3157">
        <f t="shared" si="90"/>
        <v>2.0604761904761904</v>
      </c>
      <c r="AB98" s="3157">
        <f t="shared" si="90"/>
        <v>2.3354655539191618</v>
      </c>
      <c r="AC98" s="144"/>
      <c r="AD98" s="2867"/>
      <c r="AE98" s="2867"/>
      <c r="AF98" s="2867"/>
      <c r="AG98" s="2867"/>
      <c r="AH98" s="2867"/>
      <c r="AI98" s="2867"/>
      <c r="AJ98" s="2825"/>
      <c r="AK98" s="1"/>
      <c r="AL98" s="1"/>
      <c r="AM98" s="1"/>
      <c r="AN98" s="1"/>
      <c r="AO98" s="1"/>
    </row>
    <row r="99" spans="1:41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675"/>
      <c r="N99" s="1278"/>
      <c r="O99" s="1278"/>
      <c r="P99" s="1278"/>
      <c r="Q99" s="1278"/>
      <c r="R99" s="1278"/>
      <c r="S99" s="1278"/>
      <c r="T99" s="144"/>
      <c r="U99" s="144"/>
      <c r="V99" s="3157">
        <f t="shared" si="90"/>
        <v>0.85525470399265702</v>
      </c>
      <c r="W99" s="3157">
        <f t="shared" si="90"/>
        <v>2.1878846577151658</v>
      </c>
      <c r="X99" s="3157">
        <f t="shared" si="90"/>
        <v>2.5361280769942622</v>
      </c>
      <c r="Y99" s="3157">
        <f t="shared" si="90"/>
        <v>0.11432502825691675</v>
      </c>
      <c r="Z99" s="3157">
        <f t="shared" si="90"/>
        <v>1.631547192964516</v>
      </c>
      <c r="AA99" s="3157">
        <f t="shared" si="90"/>
        <v>2.0604761904761904</v>
      </c>
      <c r="AB99" s="3157">
        <f t="shared" si="90"/>
        <v>2.3354655539191618</v>
      </c>
      <c r="AC99" s="144"/>
      <c r="AD99" s="2867"/>
      <c r="AE99" s="2867"/>
      <c r="AF99" s="2867"/>
      <c r="AG99" s="2867"/>
      <c r="AH99" s="2867"/>
      <c r="AI99" s="2867"/>
      <c r="AJ99" s="2825"/>
      <c r="AK99" s="1"/>
      <c r="AL99" s="1"/>
      <c r="AM99" s="1"/>
      <c r="AN99" s="1"/>
      <c r="AO99" s="1"/>
    </row>
    <row r="100" spans="1:41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675"/>
      <c r="N100" s="1278"/>
      <c r="O100" s="1278"/>
      <c r="P100" s="1278"/>
      <c r="Q100" s="1278"/>
      <c r="R100" s="1278"/>
      <c r="S100" s="1278"/>
      <c r="T100" s="144"/>
      <c r="U100" s="144"/>
      <c r="V100" s="3157">
        <f t="shared" si="90"/>
        <v>0.85525470399265702</v>
      </c>
      <c r="W100" s="3157">
        <f t="shared" si="90"/>
        <v>2.1878846577151658</v>
      </c>
      <c r="X100" s="3157">
        <f t="shared" si="90"/>
        <v>2.5361280769942622</v>
      </c>
      <c r="Y100" s="3157">
        <f t="shared" si="90"/>
        <v>0.11432502825691675</v>
      </c>
      <c r="Z100" s="3157">
        <f t="shared" si="90"/>
        <v>1.631547192964516</v>
      </c>
      <c r="AA100" s="3157">
        <f t="shared" si="90"/>
        <v>2.0604761904761904</v>
      </c>
      <c r="AB100" s="3157">
        <f t="shared" si="90"/>
        <v>2.3354655539191618</v>
      </c>
      <c r="AC100" s="144"/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67">
        <v>0</v>
      </c>
      <c r="AJ100" s="2825"/>
      <c r="AK100" s="1"/>
      <c r="AL100" s="1"/>
      <c r="AM100" s="1"/>
      <c r="AN100" s="1"/>
      <c r="AO100" s="1"/>
    </row>
    <row r="101" spans="1:41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675"/>
      <c r="N101" s="1278"/>
      <c r="O101" s="1278"/>
      <c r="P101" s="1278"/>
      <c r="Q101" s="1278"/>
      <c r="R101" s="1278"/>
      <c r="S101" s="1278"/>
      <c r="T101" s="144"/>
      <c r="U101" s="144"/>
      <c r="V101" s="3157">
        <f t="shared" si="90"/>
        <v>0.85525470399265702</v>
      </c>
      <c r="W101" s="3157">
        <f t="shared" si="90"/>
        <v>2.1878846577151658</v>
      </c>
      <c r="X101" s="3157">
        <f t="shared" si="90"/>
        <v>2.5361280769942622</v>
      </c>
      <c r="Y101" s="3157">
        <f t="shared" si="90"/>
        <v>0.11432502825691675</v>
      </c>
      <c r="Z101" s="3157">
        <f t="shared" si="90"/>
        <v>1.631547192964516</v>
      </c>
      <c r="AA101" s="3157">
        <f t="shared" si="90"/>
        <v>2.0604761904761904</v>
      </c>
      <c r="AB101" s="3157">
        <f t="shared" si="90"/>
        <v>2.3354655539191618</v>
      </c>
      <c r="AC101" s="144"/>
      <c r="AD101" s="2867">
        <v>0</v>
      </c>
      <c r="AE101" s="2867">
        <v>0</v>
      </c>
      <c r="AF101" s="2867">
        <v>0</v>
      </c>
      <c r="AG101" s="2867">
        <v>0</v>
      </c>
      <c r="AH101" s="2867">
        <v>0</v>
      </c>
      <c r="AI101" s="2867">
        <v>0</v>
      </c>
      <c r="AJ101" s="2825"/>
      <c r="AK101" s="1"/>
      <c r="AL101" s="1"/>
      <c r="AM101" s="1"/>
      <c r="AN101" s="1"/>
      <c r="AO101" s="1"/>
    </row>
    <row r="102" spans="1:41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675"/>
      <c r="N102" s="1278"/>
      <c r="O102" s="1278"/>
      <c r="P102" s="1278"/>
      <c r="Q102" s="1278"/>
      <c r="R102" s="1278"/>
      <c r="S102" s="1278"/>
      <c r="T102" s="144"/>
      <c r="U102" s="144"/>
      <c r="V102" s="3157">
        <f t="shared" si="90"/>
        <v>0.85525470399265702</v>
      </c>
      <c r="W102" s="3157">
        <f t="shared" si="90"/>
        <v>2.1878846577151658</v>
      </c>
      <c r="X102" s="3157">
        <f t="shared" si="90"/>
        <v>2.5361280769942622</v>
      </c>
      <c r="Y102" s="3157">
        <f t="shared" si="90"/>
        <v>0.11432502825691675</v>
      </c>
      <c r="Z102" s="3157">
        <f t="shared" si="90"/>
        <v>1.631547192964516</v>
      </c>
      <c r="AA102" s="3157">
        <f t="shared" si="90"/>
        <v>2.0604761904761904</v>
      </c>
      <c r="AB102" s="3157">
        <f t="shared" si="90"/>
        <v>2.3354655539191618</v>
      </c>
      <c r="AC102" s="144"/>
      <c r="AD102" s="2867">
        <v>0</v>
      </c>
      <c r="AE102" s="2867">
        <v>0</v>
      </c>
      <c r="AF102" s="2867">
        <v>0</v>
      </c>
      <c r="AG102" s="2867">
        <v>0</v>
      </c>
      <c r="AH102" s="2867">
        <v>0</v>
      </c>
      <c r="AI102" s="2867">
        <v>0</v>
      </c>
      <c r="AJ102" s="2825"/>
      <c r="AK102" s="1"/>
      <c r="AL102" s="1"/>
      <c r="AM102" s="1"/>
      <c r="AN102" s="1"/>
      <c r="AO102" s="1"/>
    </row>
    <row r="103" spans="1:41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675"/>
      <c r="N103" s="1278"/>
      <c r="O103" s="1278"/>
      <c r="P103" s="1278"/>
      <c r="Q103" s="1278"/>
      <c r="R103" s="1278"/>
      <c r="S103" s="1278"/>
      <c r="T103" s="144"/>
      <c r="U103" s="144"/>
      <c r="V103" s="3157">
        <f t="shared" si="90"/>
        <v>0.85525470399265702</v>
      </c>
      <c r="W103" s="3157">
        <f t="shared" si="90"/>
        <v>2.1878846577151658</v>
      </c>
      <c r="X103" s="3157">
        <f t="shared" si="90"/>
        <v>2.5361280769942622</v>
      </c>
      <c r="Y103" s="3157">
        <f t="shared" si="90"/>
        <v>0.11432502825691675</v>
      </c>
      <c r="Z103" s="3157">
        <f t="shared" si="90"/>
        <v>1.631547192964516</v>
      </c>
      <c r="AA103" s="3157">
        <f t="shared" si="90"/>
        <v>2.0604761904761904</v>
      </c>
      <c r="AB103" s="3157">
        <f t="shared" si="90"/>
        <v>2.3354655539191618</v>
      </c>
      <c r="AC103" s="144"/>
      <c r="AD103" s="2867"/>
      <c r="AE103" s="2867"/>
      <c r="AF103" s="2867"/>
      <c r="AG103" s="2867"/>
      <c r="AH103" s="2867"/>
      <c r="AI103" s="2867"/>
      <c r="AJ103" s="2825"/>
      <c r="AK103" s="1"/>
      <c r="AL103" s="1"/>
      <c r="AM103" s="1"/>
      <c r="AN103" s="1"/>
      <c r="AO103" s="1"/>
    </row>
    <row r="104" spans="1:41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675"/>
      <c r="N104" s="1278"/>
      <c r="O104" s="1278"/>
      <c r="P104" s="1278"/>
      <c r="Q104" s="1278"/>
      <c r="R104" s="1278"/>
      <c r="S104" s="1278"/>
      <c r="T104" s="144"/>
      <c r="U104" s="144"/>
      <c r="V104" s="3157">
        <f t="shared" si="90"/>
        <v>0.85525470399265702</v>
      </c>
      <c r="W104" s="3157">
        <f t="shared" si="90"/>
        <v>2.1878846577151658</v>
      </c>
      <c r="X104" s="3157">
        <f t="shared" si="90"/>
        <v>2.5361280769942622</v>
      </c>
      <c r="Y104" s="3157">
        <f t="shared" si="90"/>
        <v>0.11432502825691675</v>
      </c>
      <c r="Z104" s="3157">
        <f t="shared" si="90"/>
        <v>1.631547192964516</v>
      </c>
      <c r="AA104" s="3157">
        <f t="shared" si="90"/>
        <v>2.0604761904761904</v>
      </c>
      <c r="AB104" s="3157">
        <f t="shared" si="90"/>
        <v>2.3354655539191618</v>
      </c>
      <c r="AC104" s="144"/>
      <c r="AD104" s="2867"/>
      <c r="AE104" s="2867"/>
      <c r="AF104" s="2867"/>
      <c r="AG104" s="2867"/>
      <c r="AH104" s="2867"/>
      <c r="AI104" s="2867"/>
      <c r="AJ104" s="2825"/>
      <c r="AK104" s="1"/>
      <c r="AL104" s="1"/>
      <c r="AM104" s="1"/>
      <c r="AN104" s="1"/>
      <c r="AO104" s="1"/>
    </row>
    <row r="105" spans="1:41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675"/>
      <c r="N105" s="1278"/>
      <c r="O105" s="1278"/>
      <c r="P105" s="1278"/>
      <c r="Q105" s="1278"/>
      <c r="R105" s="1278"/>
      <c r="S105" s="1278"/>
      <c r="T105" s="144"/>
      <c r="U105" s="144"/>
      <c r="V105" s="3157">
        <f t="shared" si="90"/>
        <v>0.85525470399265702</v>
      </c>
      <c r="W105" s="3157">
        <f t="shared" si="90"/>
        <v>2.1878846577151658</v>
      </c>
      <c r="X105" s="3157">
        <f t="shared" si="90"/>
        <v>2.5361280769942622</v>
      </c>
      <c r="Y105" s="3157">
        <f t="shared" si="90"/>
        <v>0.11432502825691675</v>
      </c>
      <c r="Z105" s="3157">
        <f t="shared" si="90"/>
        <v>1.631547192964516</v>
      </c>
      <c r="AA105" s="3157">
        <f t="shared" si="90"/>
        <v>2.0604761904761904</v>
      </c>
      <c r="AB105" s="3157">
        <f t="shared" si="90"/>
        <v>2.3354655539191618</v>
      </c>
      <c r="AC105" s="144"/>
      <c r="AD105" s="2867">
        <v>0</v>
      </c>
      <c r="AE105" s="2867">
        <v>0</v>
      </c>
      <c r="AF105" s="2867">
        <v>0</v>
      </c>
      <c r="AG105" s="2867">
        <v>0</v>
      </c>
      <c r="AH105" s="2867">
        <v>0</v>
      </c>
      <c r="AI105" s="2867">
        <v>0</v>
      </c>
      <c r="AJ105" s="2825"/>
      <c r="AK105" s="1"/>
      <c r="AL105" s="1"/>
      <c r="AM105" s="1"/>
      <c r="AN105" s="1"/>
      <c r="AO105" s="1"/>
    </row>
    <row r="106" spans="1:41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675"/>
      <c r="N106" s="1278"/>
      <c r="O106" s="1278"/>
      <c r="P106" s="1278"/>
      <c r="Q106" s="1278"/>
      <c r="R106" s="1278"/>
      <c r="S106" s="1278"/>
      <c r="T106" s="144"/>
      <c r="U106" s="144"/>
      <c r="V106" s="3157">
        <f t="shared" si="90"/>
        <v>0.85525470399265702</v>
      </c>
      <c r="W106" s="3157">
        <f t="shared" si="90"/>
        <v>2.1878846577151658</v>
      </c>
      <c r="X106" s="3157">
        <f t="shared" si="90"/>
        <v>2.5361280769942622</v>
      </c>
      <c r="Y106" s="3157">
        <f t="shared" si="90"/>
        <v>0.11432502825691675</v>
      </c>
      <c r="Z106" s="3157">
        <f t="shared" si="90"/>
        <v>1.631547192964516</v>
      </c>
      <c r="AA106" s="3157">
        <f t="shared" si="90"/>
        <v>2.0604761904761904</v>
      </c>
      <c r="AB106" s="3157">
        <f t="shared" si="90"/>
        <v>2.3354655539191618</v>
      </c>
      <c r="AC106" s="144"/>
      <c r="AD106" s="2867">
        <v>0</v>
      </c>
      <c r="AE106" s="2867">
        <v>0</v>
      </c>
      <c r="AF106" s="2867">
        <v>0</v>
      </c>
      <c r="AG106" s="2867">
        <v>0</v>
      </c>
      <c r="AH106" s="2867">
        <v>0</v>
      </c>
      <c r="AI106" s="2867">
        <v>0</v>
      </c>
      <c r="AJ106" s="2825"/>
      <c r="AK106" s="1"/>
      <c r="AL106" s="1"/>
      <c r="AM106" s="1"/>
      <c r="AN106" s="1"/>
      <c r="AO106" s="1"/>
    </row>
    <row r="107" spans="1:41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675"/>
      <c r="N107" s="1278"/>
      <c r="O107" s="1278"/>
      <c r="P107" s="1278"/>
      <c r="Q107" s="1278"/>
      <c r="R107" s="1278"/>
      <c r="S107" s="1278"/>
      <c r="T107" s="144"/>
      <c r="U107" s="144"/>
      <c r="V107" s="3157">
        <f t="shared" si="90"/>
        <v>0.85525470399265702</v>
      </c>
      <c r="W107" s="3157">
        <f t="shared" si="90"/>
        <v>2.1878846577151658</v>
      </c>
      <c r="X107" s="3157">
        <f t="shared" si="90"/>
        <v>2.5361280769942622</v>
      </c>
      <c r="Y107" s="3157">
        <f t="shared" si="90"/>
        <v>0.11432502825691675</v>
      </c>
      <c r="Z107" s="3157">
        <f t="shared" si="90"/>
        <v>1.631547192964516</v>
      </c>
      <c r="AA107" s="3157">
        <f t="shared" si="90"/>
        <v>2.0604761904761904</v>
      </c>
      <c r="AB107" s="3157">
        <f t="shared" si="90"/>
        <v>2.3354655539191618</v>
      </c>
      <c r="AC107" s="144"/>
      <c r="AD107" s="2867">
        <v>0</v>
      </c>
      <c r="AE107" s="2867">
        <v>0</v>
      </c>
      <c r="AF107" s="2867">
        <v>0</v>
      </c>
      <c r="AG107" s="2867">
        <v>0</v>
      </c>
      <c r="AH107" s="2867">
        <v>0</v>
      </c>
      <c r="AI107" s="2867">
        <v>0</v>
      </c>
      <c r="AJ107" s="2825"/>
      <c r="AK107" s="1"/>
      <c r="AL107" s="1"/>
      <c r="AM107" s="1"/>
      <c r="AN107" s="1"/>
      <c r="AO107" s="1"/>
    </row>
    <row r="108" spans="1:41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675"/>
      <c r="N108" s="1278"/>
      <c r="O108" s="1278"/>
      <c r="P108" s="1278"/>
      <c r="Q108" s="1278"/>
      <c r="R108" s="1278"/>
      <c r="S108" s="1278"/>
      <c r="T108" s="144"/>
      <c r="U108" s="144"/>
      <c r="V108" s="3158">
        <f>IF(V107&gt;0,V107,V106)</f>
        <v>0.85525470399265702</v>
      </c>
      <c r="W108" s="3158">
        <f t="shared" si="90"/>
        <v>2.1878846577151658</v>
      </c>
      <c r="X108" s="3158">
        <f t="shared" si="90"/>
        <v>2.5361280769942622</v>
      </c>
      <c r="Y108" s="3158">
        <f t="shared" si="90"/>
        <v>0.11432502825691675</v>
      </c>
      <c r="Z108" s="3158">
        <f t="shared" si="90"/>
        <v>1.631547192964516</v>
      </c>
      <c r="AA108" s="3158">
        <f t="shared" si="90"/>
        <v>2.0604761904761904</v>
      </c>
      <c r="AB108" s="3158">
        <f t="shared" si="90"/>
        <v>2.3354655539191618</v>
      </c>
      <c r="AC108" s="144"/>
      <c r="AD108" s="2867"/>
      <c r="AE108" s="2867"/>
      <c r="AF108" s="2867"/>
      <c r="AG108" s="2867"/>
      <c r="AH108" s="2867"/>
      <c r="AI108" s="2867"/>
      <c r="AJ108" s="2825"/>
      <c r="AK108" s="1"/>
      <c r="AL108" s="1"/>
      <c r="AM108" s="1"/>
      <c r="AN108" s="1"/>
      <c r="AO108" s="1"/>
    </row>
    <row r="109" spans="1:41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675"/>
      <c r="N109" s="1278"/>
      <c r="O109" s="1278"/>
      <c r="P109" s="1278"/>
      <c r="Q109" s="1278"/>
      <c r="R109" s="1278"/>
      <c r="S109" s="1278"/>
      <c r="T109" s="144"/>
      <c r="U109" s="144"/>
      <c r="V109" s="2838"/>
      <c r="W109" s="2838"/>
      <c r="X109" s="2838"/>
      <c r="Y109" s="2838"/>
      <c r="Z109" s="2838"/>
      <c r="AA109" s="2838"/>
      <c r="AB109" s="2838"/>
      <c r="AC109" s="144"/>
      <c r="AD109" s="2867"/>
      <c r="AE109" s="2867"/>
      <c r="AF109" s="2867"/>
      <c r="AG109" s="2867"/>
      <c r="AH109" s="2867"/>
      <c r="AI109" s="2867"/>
      <c r="AJ109" s="2825"/>
      <c r="AK109" s="1"/>
      <c r="AL109" s="1"/>
      <c r="AM109" s="1"/>
      <c r="AN109" s="1"/>
      <c r="AO109" s="1"/>
    </row>
    <row r="110" spans="1:41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675"/>
      <c r="N110" s="1278"/>
      <c r="O110" s="1278"/>
      <c r="P110" s="1278"/>
      <c r="Q110" s="1278"/>
      <c r="R110" s="1278"/>
      <c r="S110" s="1278"/>
      <c r="T110" s="144"/>
      <c r="U110" s="144"/>
      <c r="V110" s="2838"/>
      <c r="W110" s="2838"/>
      <c r="X110" s="2838"/>
      <c r="Y110" s="2838"/>
      <c r="Z110" s="2838"/>
      <c r="AA110" s="2838"/>
      <c r="AB110" s="2838"/>
      <c r="AC110" s="144"/>
      <c r="AD110" s="2867">
        <v>0</v>
      </c>
      <c r="AE110" s="2867">
        <v>0</v>
      </c>
      <c r="AF110" s="2867">
        <v>0</v>
      </c>
      <c r="AG110" s="2867">
        <v>0</v>
      </c>
      <c r="AH110" s="2867">
        <v>0</v>
      </c>
      <c r="AI110" s="2867">
        <v>0</v>
      </c>
      <c r="AJ110" s="2825"/>
      <c r="AK110" s="1"/>
      <c r="AL110" s="1"/>
      <c r="AM110" s="1"/>
      <c r="AN110" s="1"/>
      <c r="AO110" s="1"/>
    </row>
    <row r="111" spans="1:41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675"/>
      <c r="N111" s="1278"/>
      <c r="O111" s="1278"/>
      <c r="P111" s="1278"/>
      <c r="Q111" s="1278"/>
      <c r="R111" s="1278"/>
      <c r="S111" s="1278"/>
      <c r="T111" s="144"/>
      <c r="U111" s="144"/>
      <c r="V111" s="2838"/>
      <c r="W111" s="2838"/>
      <c r="X111" s="2838"/>
      <c r="Y111" s="2838"/>
      <c r="Z111" s="2838"/>
      <c r="AA111" s="2838"/>
      <c r="AB111" s="2838"/>
      <c r="AC111" s="144"/>
      <c r="AD111" s="2867"/>
      <c r="AE111" s="2867"/>
      <c r="AF111" s="2867"/>
      <c r="AG111" s="2867"/>
      <c r="AH111" s="2867"/>
      <c r="AI111" s="2867"/>
      <c r="AK111" s="1"/>
      <c r="AL111" s="1"/>
      <c r="AM111" s="1"/>
      <c r="AN111" s="1"/>
      <c r="AO111" s="1"/>
    </row>
    <row r="112" spans="1:41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675"/>
      <c r="N112" s="1278"/>
      <c r="O112" s="1278"/>
      <c r="P112" s="1278"/>
      <c r="Q112" s="1278"/>
      <c r="R112" s="1278"/>
      <c r="S112" s="1278"/>
      <c r="T112" s="144"/>
      <c r="U112" s="144"/>
      <c r="V112" s="2838"/>
      <c r="W112" s="2838"/>
      <c r="X112" s="2838"/>
      <c r="Y112" s="2838"/>
      <c r="Z112" s="2838"/>
      <c r="AA112" s="2838"/>
      <c r="AB112" s="2838"/>
      <c r="AC112" s="144"/>
      <c r="AK112" s="1"/>
      <c r="AL112" s="1"/>
      <c r="AM112" s="1"/>
      <c r="AN112" s="1"/>
      <c r="AO112" s="1"/>
    </row>
    <row r="113" spans="1:41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675"/>
      <c r="N113" s="1278"/>
      <c r="O113" s="1278"/>
      <c r="P113" s="1278"/>
      <c r="Q113" s="1278"/>
      <c r="R113" s="1278"/>
      <c r="S113" s="1278"/>
      <c r="T113" s="144"/>
      <c r="U113" s="144"/>
      <c r="V113" s="2838"/>
      <c r="W113" s="2838"/>
      <c r="X113" s="2838"/>
      <c r="Y113" s="2838"/>
      <c r="Z113" s="2838"/>
      <c r="AA113" s="2838"/>
      <c r="AB113" s="2838"/>
      <c r="AC113" s="144"/>
      <c r="AK113" s="1"/>
      <c r="AL113" s="1"/>
      <c r="AM113" s="1"/>
      <c r="AN113" s="1"/>
      <c r="AO113" s="1"/>
    </row>
    <row r="114" spans="1:41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675"/>
      <c r="N114" s="1278"/>
      <c r="O114" s="1278"/>
      <c r="P114" s="1278"/>
      <c r="Q114" s="1278"/>
      <c r="R114" s="1278"/>
      <c r="S114" s="1278"/>
      <c r="T114" s="144"/>
      <c r="U114" s="144"/>
      <c r="V114" s="2838"/>
      <c r="W114" s="2838"/>
      <c r="X114" s="2838"/>
      <c r="Y114" s="2838"/>
      <c r="Z114" s="2838"/>
      <c r="AA114" s="2838"/>
      <c r="AB114" s="2838"/>
      <c r="AC114" s="144"/>
      <c r="AK114" s="1"/>
      <c r="AL114" s="1"/>
      <c r="AM114" s="1"/>
      <c r="AN114" s="1"/>
      <c r="AO114" s="1"/>
    </row>
    <row r="115" spans="1:41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675"/>
      <c r="N115" s="1278"/>
      <c r="O115" s="1278"/>
      <c r="P115" s="1278"/>
      <c r="Q115" s="1278"/>
      <c r="R115" s="1278"/>
      <c r="S115" s="1278"/>
      <c r="T115" s="144"/>
      <c r="U115" s="144"/>
      <c r="V115" s="2838"/>
      <c r="W115" s="2838"/>
      <c r="X115" s="2838"/>
      <c r="Y115" s="2838"/>
      <c r="Z115" s="2838"/>
      <c r="AA115" s="2838"/>
      <c r="AB115" s="2838"/>
      <c r="AC115" s="144"/>
      <c r="AK115" s="1"/>
      <c r="AL115" s="1"/>
      <c r="AM115" s="1"/>
      <c r="AN115" s="1"/>
      <c r="AO115" s="1"/>
    </row>
    <row r="116" spans="1:41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675"/>
      <c r="N116" s="1278"/>
      <c r="O116" s="1278"/>
      <c r="P116" s="1278"/>
      <c r="Q116" s="1278"/>
      <c r="R116" s="1278"/>
      <c r="S116" s="1278"/>
      <c r="T116" s="144"/>
      <c r="U116" s="144"/>
      <c r="V116" s="2838"/>
      <c r="W116" s="2838"/>
      <c r="X116" s="2838"/>
      <c r="Y116" s="2838"/>
      <c r="Z116" s="2838"/>
      <c r="AA116" s="2838"/>
      <c r="AB116" s="2838"/>
      <c r="AC116" s="144"/>
      <c r="AK116" s="1"/>
      <c r="AL116" s="1"/>
      <c r="AM116" s="1"/>
      <c r="AN116" s="1"/>
      <c r="AO116" s="1"/>
    </row>
    <row r="117" spans="1:41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675"/>
      <c r="N117" s="1278"/>
      <c r="O117" s="1278"/>
      <c r="P117" s="1278"/>
      <c r="Q117" s="1278"/>
      <c r="R117" s="1278"/>
      <c r="S117" s="1278"/>
      <c r="T117" s="144"/>
      <c r="U117" s="144"/>
      <c r="V117" s="2838"/>
      <c r="W117" s="2838"/>
      <c r="X117" s="2838"/>
      <c r="Y117" s="2838"/>
      <c r="Z117" s="2838"/>
      <c r="AA117" s="2838"/>
      <c r="AB117" s="2838"/>
      <c r="AC117" s="144"/>
      <c r="AK117" s="1"/>
      <c r="AL117" s="1"/>
      <c r="AM117" s="1"/>
      <c r="AN117" s="1"/>
      <c r="AO117" s="1"/>
    </row>
    <row r="118" spans="1:41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675"/>
      <c r="N118" s="1278"/>
      <c r="O118" s="1278"/>
      <c r="P118" s="1278"/>
      <c r="Q118" s="1278"/>
      <c r="R118" s="1278"/>
      <c r="S118" s="1278"/>
      <c r="T118" s="144"/>
      <c r="U118" s="144"/>
      <c r="V118" s="2838"/>
      <c r="W118" s="2838"/>
      <c r="X118" s="2838"/>
      <c r="Y118" s="2838"/>
      <c r="Z118" s="2838"/>
      <c r="AA118" s="2838"/>
      <c r="AB118" s="2838"/>
      <c r="AC118" s="144"/>
      <c r="AK118" s="1"/>
      <c r="AL118" s="1"/>
      <c r="AM118" s="1"/>
      <c r="AN118" s="1"/>
      <c r="AO118" s="1"/>
    </row>
    <row r="119" spans="1:41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675"/>
      <c r="N119" s="1278"/>
      <c r="O119" s="1278"/>
      <c r="P119" s="1278"/>
      <c r="Q119" s="1278"/>
      <c r="R119" s="1278"/>
      <c r="S119" s="1278"/>
      <c r="T119" s="144"/>
      <c r="U119" s="144"/>
      <c r="V119" s="2838"/>
      <c r="W119" s="2838"/>
      <c r="X119" s="2838"/>
      <c r="Y119" s="2838"/>
      <c r="Z119" s="2838"/>
      <c r="AA119" s="2838"/>
      <c r="AB119" s="2838"/>
      <c r="AC119" s="144"/>
      <c r="AO119" s="1"/>
    </row>
    <row r="120" spans="1:41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675"/>
      <c r="N120" s="1278"/>
      <c r="O120" s="1278"/>
      <c r="P120" s="1278"/>
      <c r="Q120" s="1278"/>
      <c r="R120" s="1278"/>
      <c r="S120" s="1278"/>
      <c r="T120" s="144"/>
      <c r="U120" s="144"/>
      <c r="V120" s="2838"/>
      <c r="W120" s="2838"/>
      <c r="X120" s="2838"/>
      <c r="Y120" s="2838"/>
      <c r="Z120" s="2838"/>
      <c r="AA120" s="2838"/>
      <c r="AB120" s="2838"/>
      <c r="AC120" s="144"/>
      <c r="AO120" s="1"/>
    </row>
    <row r="121" spans="1:41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675"/>
      <c r="N121" s="1278"/>
      <c r="O121" s="1278"/>
      <c r="P121" s="1278"/>
      <c r="Q121" s="1278"/>
      <c r="R121" s="1278"/>
      <c r="S121" s="1278"/>
      <c r="T121" s="144"/>
      <c r="U121" s="144"/>
      <c r="V121" s="2838"/>
      <c r="W121" s="2838"/>
      <c r="X121" s="2838"/>
      <c r="Y121" s="2838"/>
      <c r="Z121" s="2838"/>
      <c r="AA121" s="2838"/>
      <c r="AB121" s="2838"/>
      <c r="AC121" s="144"/>
      <c r="AO121" s="1"/>
    </row>
    <row r="122" spans="1:41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675"/>
      <c r="N122" s="1278"/>
      <c r="O122" s="1278"/>
      <c r="P122" s="1278"/>
      <c r="Q122" s="1278"/>
      <c r="R122" s="1278"/>
      <c r="S122" s="1278"/>
      <c r="T122" s="144"/>
      <c r="U122" s="144"/>
      <c r="V122" s="2838"/>
      <c r="W122" s="2838"/>
      <c r="X122" s="2838"/>
      <c r="Y122" s="2838"/>
      <c r="Z122" s="2838"/>
      <c r="AA122" s="2838"/>
      <c r="AB122" s="2838"/>
      <c r="AC122" s="144"/>
      <c r="AO122" s="1"/>
    </row>
    <row r="123" spans="1:41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675"/>
      <c r="N123" s="1278"/>
      <c r="O123" s="1278"/>
      <c r="P123" s="1278"/>
      <c r="Q123" s="1278"/>
      <c r="R123" s="1278"/>
      <c r="S123" s="1278"/>
      <c r="T123" s="144"/>
      <c r="U123" s="144"/>
      <c r="V123" s="2838"/>
      <c r="W123" s="2838"/>
      <c r="X123" s="2838"/>
      <c r="Y123" s="2838"/>
      <c r="Z123" s="2838"/>
      <c r="AA123" s="2838"/>
      <c r="AB123" s="2838"/>
      <c r="AC123" s="144"/>
      <c r="AD123" s="2825"/>
      <c r="AE123" s="2825"/>
      <c r="AF123" s="2825"/>
      <c r="AG123" s="2825"/>
      <c r="AH123" s="2825"/>
      <c r="AI123" s="2825"/>
      <c r="AJ123" s="2825"/>
      <c r="AK123" s="2825"/>
      <c r="AL123" s="2825"/>
      <c r="AM123" s="2825"/>
      <c r="AN123" s="2825"/>
      <c r="AO123" s="1"/>
    </row>
    <row r="124" spans="1:41" s="3021" customFormat="1" ht="11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675"/>
      <c r="N124" s="1278"/>
      <c r="O124" s="1278"/>
      <c r="P124" s="1278"/>
      <c r="Q124" s="1278"/>
      <c r="R124" s="1278"/>
      <c r="S124" s="1278"/>
      <c r="T124" s="144"/>
      <c r="U124" s="144"/>
      <c r="V124" s="2838"/>
      <c r="W124" s="2838"/>
      <c r="X124" s="2838"/>
      <c r="Y124" s="2838"/>
      <c r="Z124" s="2838"/>
      <c r="AA124" s="2838"/>
      <c r="AB124" s="2838"/>
      <c r="AC124" s="144"/>
      <c r="AD124" s="2826"/>
      <c r="AE124" s="2826"/>
      <c r="AF124" s="2826"/>
      <c r="AG124" s="2826"/>
      <c r="AH124" s="2826"/>
      <c r="AI124" s="2826"/>
      <c r="AJ124" s="2826"/>
      <c r="AK124" s="2826"/>
      <c r="AL124" s="2826"/>
      <c r="AM124" s="2826"/>
      <c r="AN124" s="2826"/>
    </row>
    <row r="125" spans="1:41" s="3021" customFormat="1" ht="11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675"/>
      <c r="N125" s="1278"/>
      <c r="O125" s="1278"/>
      <c r="P125" s="1278"/>
      <c r="Q125" s="1278"/>
      <c r="R125" s="1278"/>
      <c r="S125" s="1278"/>
      <c r="T125" s="144"/>
      <c r="U125" s="144"/>
      <c r="V125" s="2838"/>
      <c r="W125" s="2838"/>
      <c r="X125" s="2838"/>
      <c r="Y125" s="2838"/>
      <c r="Z125" s="2838"/>
      <c r="AA125" s="2838"/>
      <c r="AB125" s="2838"/>
      <c r="AC125" s="144"/>
      <c r="AD125" s="2826"/>
      <c r="AE125" s="2826"/>
      <c r="AF125" s="2826"/>
      <c r="AG125" s="2826"/>
      <c r="AH125" s="2826"/>
      <c r="AI125" s="2826"/>
      <c r="AJ125" s="2826"/>
      <c r="AK125" s="2826"/>
      <c r="AL125" s="2826"/>
      <c r="AM125" s="2826"/>
      <c r="AN125" s="2826"/>
    </row>
    <row r="126" spans="1:41" s="3021" customFormat="1" ht="11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675"/>
      <c r="N126" s="1278"/>
      <c r="O126" s="1278"/>
      <c r="P126" s="1278"/>
      <c r="Q126" s="1278"/>
      <c r="R126" s="1278"/>
      <c r="S126" s="1278"/>
      <c r="T126" s="144"/>
      <c r="U126" s="144"/>
      <c r="V126" s="2838"/>
      <c r="W126" s="2838"/>
      <c r="X126" s="2838"/>
      <c r="Y126" s="2838"/>
      <c r="Z126" s="2838"/>
      <c r="AA126" s="2838"/>
      <c r="AB126" s="2838"/>
      <c r="AC126" s="144"/>
      <c r="AD126" s="2826"/>
      <c r="AE126" s="2826"/>
      <c r="AF126" s="2826"/>
      <c r="AG126" s="2826"/>
      <c r="AH126" s="2826"/>
      <c r="AI126" s="2826"/>
      <c r="AJ126" s="2826"/>
      <c r="AK126" s="2826"/>
      <c r="AL126" s="2826"/>
      <c r="AM126" s="2826"/>
      <c r="AN126" s="2826"/>
    </row>
    <row r="127" spans="1:41" s="3021" customFormat="1" ht="11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675"/>
      <c r="N127" s="1278"/>
      <c r="O127" s="1278"/>
      <c r="P127" s="1278"/>
      <c r="Q127" s="1278"/>
      <c r="R127" s="1278"/>
      <c r="S127" s="1278"/>
      <c r="T127" s="144"/>
      <c r="U127" s="144"/>
      <c r="V127" s="2838"/>
      <c r="W127" s="2838"/>
      <c r="X127" s="2838"/>
      <c r="Y127" s="2838"/>
      <c r="Z127" s="2838"/>
      <c r="AA127" s="2838"/>
      <c r="AB127" s="2838"/>
      <c r="AC127" s="144"/>
      <c r="AD127" s="2826"/>
      <c r="AE127" s="2826"/>
      <c r="AF127" s="2826"/>
      <c r="AG127" s="2826"/>
      <c r="AH127" s="2826"/>
      <c r="AI127" s="2826"/>
      <c r="AJ127" s="2826"/>
      <c r="AK127" s="2826"/>
      <c r="AL127" s="2826"/>
      <c r="AM127" s="2826"/>
      <c r="AN127" s="2826"/>
    </row>
    <row r="128" spans="1:41" s="3021" customFormat="1" ht="11">
      <c r="B128" s="144"/>
      <c r="C128" s="143"/>
      <c r="D128" s="907"/>
      <c r="E128" s="143"/>
      <c r="F128" s="145"/>
      <c r="G128" s="146"/>
      <c r="H128" s="146"/>
      <c r="I128" s="146"/>
      <c r="J128" s="146"/>
      <c r="K128" s="146"/>
      <c r="L128" s="146"/>
      <c r="M128" s="1676"/>
      <c r="N128" s="1286"/>
      <c r="O128" s="1284"/>
      <c r="P128" s="150"/>
      <c r="Q128" s="150"/>
      <c r="R128" s="1287"/>
      <c r="S128" s="1287"/>
      <c r="T128" s="142"/>
      <c r="U128" s="142"/>
      <c r="V128" s="2838"/>
      <c r="W128" s="2838"/>
      <c r="X128" s="2838"/>
      <c r="Y128" s="2838"/>
      <c r="Z128" s="2838"/>
      <c r="AA128" s="2838"/>
      <c r="AB128" s="2838"/>
      <c r="AD128" s="2826"/>
      <c r="AE128" s="2826"/>
      <c r="AF128" s="2826"/>
      <c r="AG128" s="2826"/>
      <c r="AH128" s="2826"/>
      <c r="AI128" s="2826"/>
      <c r="AJ128" s="2826"/>
      <c r="AK128" s="2826"/>
      <c r="AL128" s="2826"/>
      <c r="AM128" s="2826"/>
      <c r="AN128" s="2826"/>
    </row>
    <row r="129" spans="2:40" s="3021" customFormat="1" ht="11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146"/>
      <c r="M129" s="1676"/>
      <c r="N129" s="1286"/>
      <c r="O129" s="1284"/>
      <c r="P129" s="150"/>
      <c r="Q129" s="150"/>
      <c r="R129" s="1287"/>
      <c r="S129" s="1287"/>
      <c r="T129" s="142"/>
      <c r="U129" s="142"/>
      <c r="V129" s="2838"/>
      <c r="W129" s="2838"/>
      <c r="X129" s="2838"/>
      <c r="Y129" s="2838"/>
      <c r="Z129" s="2838"/>
      <c r="AA129" s="2838"/>
      <c r="AB129" s="2838"/>
      <c r="AD129" s="2826"/>
      <c r="AE129" s="2826"/>
      <c r="AF129" s="2826"/>
      <c r="AG129" s="2826"/>
      <c r="AH129" s="2826"/>
      <c r="AI129" s="2826"/>
      <c r="AJ129" s="2826"/>
      <c r="AK129" s="2826"/>
      <c r="AL129" s="2826"/>
      <c r="AM129" s="2826"/>
      <c r="AN129" s="2826"/>
    </row>
    <row r="130" spans="2:40" s="3021" customFormat="1" ht="11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146"/>
      <c r="M130" s="1676"/>
      <c r="N130" s="1286"/>
      <c r="O130" s="1284"/>
      <c r="P130" s="150"/>
      <c r="Q130" s="150"/>
      <c r="R130" s="1287"/>
      <c r="S130" s="1287"/>
      <c r="T130" s="142"/>
      <c r="U130" s="142"/>
      <c r="V130" s="2838"/>
      <c r="W130" s="2838"/>
      <c r="X130" s="2838"/>
      <c r="Y130" s="2838"/>
      <c r="Z130" s="2838"/>
      <c r="AA130" s="2838"/>
      <c r="AB130" s="2838"/>
      <c r="AD130" s="2826"/>
      <c r="AE130" s="2826"/>
      <c r="AF130" s="2826"/>
      <c r="AG130" s="2826"/>
      <c r="AH130" s="2826"/>
      <c r="AI130" s="2826"/>
      <c r="AJ130" s="2826"/>
      <c r="AK130" s="2826"/>
      <c r="AL130" s="2826"/>
      <c r="AM130" s="2826"/>
      <c r="AN130" s="2826"/>
    </row>
    <row r="131" spans="2:40" s="3021" customFormat="1" ht="11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146"/>
      <c r="M131" s="1676"/>
      <c r="N131" s="1286"/>
      <c r="O131" s="1284"/>
      <c r="P131" s="150"/>
      <c r="Q131" s="150"/>
      <c r="R131" s="1287"/>
      <c r="S131" s="1287"/>
      <c r="T131" s="142"/>
      <c r="U131" s="142"/>
      <c r="V131" s="2838"/>
      <c r="W131" s="2838"/>
      <c r="X131" s="2838"/>
      <c r="Y131" s="2838"/>
      <c r="Z131" s="2838"/>
      <c r="AA131" s="2838"/>
      <c r="AB131" s="2838"/>
      <c r="AD131" s="2826"/>
      <c r="AE131" s="2826"/>
      <c r="AF131" s="2826"/>
      <c r="AG131" s="2826"/>
      <c r="AH131" s="2826"/>
      <c r="AI131" s="2826"/>
      <c r="AJ131" s="2826"/>
      <c r="AK131" s="2826"/>
      <c r="AL131" s="2826"/>
      <c r="AM131" s="2826"/>
      <c r="AN131" s="2826"/>
    </row>
    <row r="132" spans="2:40" s="3021" customFormat="1" ht="11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146"/>
      <c r="M132" s="1676"/>
      <c r="N132" s="1286"/>
      <c r="O132" s="1284"/>
      <c r="P132" s="150"/>
      <c r="Q132" s="150"/>
      <c r="R132" s="1287"/>
      <c r="S132" s="1287"/>
      <c r="T132" s="142"/>
      <c r="U132" s="142"/>
      <c r="V132" s="146"/>
      <c r="W132" s="146"/>
      <c r="X132" s="146"/>
      <c r="Y132" s="146"/>
      <c r="Z132" s="146"/>
      <c r="AA132" s="146"/>
      <c r="AB132" s="146"/>
      <c r="AD132" s="2826"/>
      <c r="AE132" s="2826"/>
      <c r="AF132" s="2826"/>
      <c r="AG132" s="2826"/>
      <c r="AH132" s="2826"/>
      <c r="AI132" s="2826"/>
      <c r="AJ132" s="2826"/>
      <c r="AK132" s="2826"/>
      <c r="AL132" s="2826"/>
      <c r="AM132" s="2826"/>
      <c r="AN132" s="2826"/>
    </row>
    <row r="133" spans="2:40" s="3021" customFormat="1" ht="11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146"/>
      <c r="M133" s="1676"/>
      <c r="N133" s="1286"/>
      <c r="O133" s="1284"/>
      <c r="P133" s="150"/>
      <c r="Q133" s="150"/>
      <c r="R133" s="1287"/>
      <c r="S133" s="1287"/>
      <c r="T133" s="142"/>
      <c r="U133" s="142"/>
      <c r="V133" s="146"/>
      <c r="W133" s="146"/>
      <c r="X133" s="146"/>
      <c r="Y133" s="146"/>
      <c r="Z133" s="146"/>
      <c r="AA133" s="146"/>
      <c r="AB133" s="146"/>
      <c r="AD133" s="2826"/>
      <c r="AE133" s="2826"/>
      <c r="AF133" s="2826"/>
      <c r="AG133" s="2826"/>
      <c r="AH133" s="2826"/>
      <c r="AI133" s="2826"/>
      <c r="AJ133" s="2826"/>
      <c r="AK133" s="2826"/>
      <c r="AL133" s="2826"/>
      <c r="AM133" s="2826"/>
      <c r="AN133" s="2826"/>
    </row>
    <row r="134" spans="2:40" s="3021" customFormat="1" ht="1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146"/>
      <c r="M134" s="1676"/>
      <c r="N134" s="1286"/>
      <c r="O134" s="1284"/>
      <c r="P134" s="150"/>
      <c r="Q134" s="150"/>
      <c r="R134" s="1287"/>
      <c r="S134" s="1287"/>
      <c r="T134" s="142"/>
      <c r="U134" s="142"/>
      <c r="V134" s="146"/>
      <c r="W134" s="146"/>
      <c r="X134" s="146"/>
      <c r="Y134" s="146"/>
      <c r="Z134" s="146"/>
      <c r="AA134" s="146"/>
      <c r="AB134" s="146"/>
      <c r="AD134" s="2826"/>
      <c r="AE134" s="2826"/>
      <c r="AF134" s="2826"/>
      <c r="AG134" s="2826"/>
      <c r="AH134" s="2826"/>
      <c r="AI134" s="2826"/>
      <c r="AJ134" s="2826"/>
      <c r="AK134" s="2826"/>
      <c r="AL134" s="2826"/>
      <c r="AM134" s="2826"/>
      <c r="AN134" s="2826"/>
    </row>
    <row r="135" spans="2:40" s="3021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146"/>
      <c r="M135" s="1676"/>
      <c r="N135" s="1286"/>
      <c r="O135" s="1284"/>
      <c r="P135" s="150"/>
      <c r="Q135" s="150"/>
      <c r="R135" s="1287"/>
      <c r="S135" s="1287"/>
      <c r="T135" s="142"/>
      <c r="U135" s="142"/>
      <c r="V135" s="146"/>
      <c r="W135" s="146"/>
      <c r="X135" s="146"/>
      <c r="Y135" s="146"/>
      <c r="Z135" s="146"/>
      <c r="AA135" s="146"/>
      <c r="AB135" s="146"/>
      <c r="AD135" s="2826"/>
      <c r="AE135" s="2826"/>
      <c r="AF135" s="2826"/>
      <c r="AG135" s="2826"/>
      <c r="AH135" s="2826"/>
      <c r="AI135" s="2826"/>
      <c r="AJ135" s="2826"/>
      <c r="AK135" s="2826"/>
      <c r="AL135" s="2826"/>
      <c r="AM135" s="2826"/>
      <c r="AN135" s="2826"/>
    </row>
    <row r="136" spans="2:40" s="3021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146"/>
      <c r="M136" s="1676"/>
      <c r="N136" s="1286"/>
      <c r="O136" s="1284"/>
      <c r="P136" s="150"/>
      <c r="Q136" s="150"/>
      <c r="R136" s="1287"/>
      <c r="S136" s="1287"/>
      <c r="T136" s="142"/>
      <c r="U136" s="142"/>
      <c r="V136" s="146"/>
      <c r="W136" s="146"/>
      <c r="X136" s="146"/>
      <c r="Y136" s="146"/>
      <c r="Z136" s="146"/>
      <c r="AA136" s="146"/>
      <c r="AB136" s="146"/>
      <c r="AD136" s="2826"/>
      <c r="AE136" s="2826"/>
      <c r="AF136" s="2826"/>
      <c r="AG136" s="2826"/>
      <c r="AH136" s="2826"/>
      <c r="AI136" s="2826"/>
      <c r="AJ136" s="2826"/>
      <c r="AK136" s="2826"/>
      <c r="AL136" s="2826"/>
      <c r="AM136" s="2826"/>
      <c r="AN136" s="2826"/>
    </row>
    <row r="137" spans="2:40" s="3021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146"/>
      <c r="M137" s="1676"/>
      <c r="N137" s="1286"/>
      <c r="O137" s="1284"/>
      <c r="P137" s="150"/>
      <c r="Q137" s="150"/>
      <c r="R137" s="1287"/>
      <c r="S137" s="1287"/>
      <c r="T137" s="142"/>
      <c r="U137" s="142"/>
      <c r="V137" s="146"/>
      <c r="W137" s="146"/>
      <c r="X137" s="146"/>
      <c r="Y137" s="146"/>
      <c r="Z137" s="146"/>
      <c r="AA137" s="146"/>
      <c r="AB137" s="146"/>
      <c r="AD137" s="2826"/>
      <c r="AE137" s="2826"/>
      <c r="AF137" s="2826"/>
      <c r="AG137" s="2826"/>
      <c r="AH137" s="2826"/>
      <c r="AI137" s="2826"/>
      <c r="AJ137" s="2826"/>
      <c r="AK137" s="2826"/>
      <c r="AL137" s="2826"/>
      <c r="AM137" s="2826"/>
      <c r="AN137" s="2826"/>
    </row>
    <row r="138" spans="2:40" s="3021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146"/>
      <c r="M138" s="1676"/>
      <c r="N138" s="1286"/>
      <c r="O138" s="1284"/>
      <c r="P138" s="150"/>
      <c r="Q138" s="150"/>
      <c r="R138" s="1287"/>
      <c r="S138" s="1287"/>
      <c r="T138" s="142"/>
      <c r="U138" s="142"/>
      <c r="V138" s="146"/>
      <c r="W138" s="146"/>
      <c r="X138" s="146"/>
      <c r="Y138" s="146"/>
      <c r="Z138" s="146"/>
      <c r="AA138" s="146"/>
      <c r="AB138" s="146"/>
      <c r="AD138" s="2826"/>
      <c r="AE138" s="2826"/>
      <c r="AF138" s="2826"/>
      <c r="AG138" s="2826"/>
      <c r="AH138" s="2826"/>
      <c r="AI138" s="2826"/>
      <c r="AJ138" s="2826"/>
      <c r="AK138" s="2826"/>
      <c r="AL138" s="2826"/>
      <c r="AM138" s="2826"/>
      <c r="AN138" s="2826"/>
    </row>
    <row r="139" spans="2:40" s="3021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146"/>
      <c r="M139" s="1676"/>
      <c r="N139" s="1286"/>
      <c r="O139" s="1284"/>
      <c r="P139" s="150"/>
      <c r="Q139" s="150"/>
      <c r="R139" s="1287"/>
      <c r="S139" s="1287"/>
      <c r="T139" s="142"/>
      <c r="U139" s="142"/>
      <c r="V139" s="146"/>
      <c r="W139" s="146"/>
      <c r="X139" s="146"/>
      <c r="Y139" s="146"/>
      <c r="Z139" s="146"/>
      <c r="AA139" s="146"/>
      <c r="AB139" s="14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  <c r="AN139" s="2826"/>
    </row>
    <row r="140" spans="2:40" s="3021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146"/>
      <c r="M140" s="1676"/>
      <c r="N140" s="1286"/>
      <c r="O140" s="1284"/>
      <c r="P140" s="150"/>
      <c r="Q140" s="150"/>
      <c r="R140" s="1287"/>
      <c r="S140" s="1287"/>
      <c r="T140" s="142"/>
      <c r="U140" s="142"/>
      <c r="V140" s="146"/>
      <c r="W140" s="146"/>
      <c r="X140" s="146"/>
      <c r="Y140" s="146"/>
      <c r="Z140" s="146"/>
      <c r="AA140" s="146"/>
      <c r="AB140" s="146"/>
      <c r="AD140" s="2826"/>
      <c r="AE140" s="2826"/>
      <c r="AF140" s="2826"/>
      <c r="AG140" s="2826"/>
      <c r="AH140" s="2826"/>
      <c r="AI140" s="2826"/>
      <c r="AJ140" s="2826"/>
      <c r="AK140" s="2826"/>
      <c r="AL140" s="2826"/>
      <c r="AM140" s="2826"/>
      <c r="AN140" s="2826"/>
    </row>
    <row r="141" spans="2:40" s="3021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46"/>
      <c r="M141" s="1676"/>
      <c r="N141" s="1286"/>
      <c r="O141" s="1284"/>
      <c r="P141" s="150"/>
      <c r="Q141" s="150"/>
      <c r="R141" s="1287"/>
      <c r="S141" s="1287"/>
      <c r="T141" s="142"/>
      <c r="U141" s="142"/>
      <c r="V141" s="146"/>
      <c r="W141" s="146"/>
      <c r="X141" s="146"/>
      <c r="Y141" s="146"/>
      <c r="Z141" s="146"/>
      <c r="AA141" s="146"/>
      <c r="AB141" s="14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  <c r="AN141" s="2826"/>
    </row>
    <row r="142" spans="2:40" s="3021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1676"/>
      <c r="N142" s="1286"/>
      <c r="O142" s="1284"/>
      <c r="P142" s="150"/>
      <c r="Q142" s="150"/>
      <c r="R142" s="1287"/>
      <c r="S142" s="1287"/>
      <c r="T142" s="142"/>
      <c r="U142" s="142"/>
      <c r="V142" s="146"/>
      <c r="W142" s="146"/>
      <c r="X142" s="146"/>
      <c r="Y142" s="146"/>
      <c r="Z142" s="146"/>
      <c r="AA142" s="146"/>
      <c r="AB142" s="14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  <c r="AN142" s="2826"/>
    </row>
    <row r="143" spans="2:40" s="3021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1676"/>
      <c r="N143" s="1286"/>
      <c r="O143" s="1284"/>
      <c r="P143" s="150"/>
      <c r="Q143" s="150"/>
      <c r="R143" s="1287"/>
      <c r="S143" s="1287"/>
      <c r="T143" s="142"/>
      <c r="U143" s="142"/>
      <c r="V143" s="146"/>
      <c r="W143" s="146"/>
      <c r="X143" s="146"/>
      <c r="Y143" s="146"/>
      <c r="Z143" s="146"/>
      <c r="AA143" s="146"/>
      <c r="AB143" s="14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  <c r="AN143" s="2826"/>
    </row>
    <row r="144" spans="2:40" s="3021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1676"/>
      <c r="N144" s="1286"/>
      <c r="O144" s="1284"/>
      <c r="P144" s="150"/>
      <c r="Q144" s="150"/>
      <c r="R144" s="1287"/>
      <c r="S144" s="1287"/>
      <c r="T144" s="142"/>
      <c r="U144" s="142"/>
      <c r="V144" s="146"/>
      <c r="W144" s="146"/>
      <c r="X144" s="146"/>
      <c r="Y144" s="146"/>
      <c r="Z144" s="146"/>
      <c r="AA144" s="146"/>
      <c r="AB144" s="14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  <c r="AN144" s="2826"/>
    </row>
    <row r="145" spans="2:40" s="3021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1676"/>
      <c r="N145" s="1286"/>
      <c r="O145" s="1284"/>
      <c r="P145" s="150"/>
      <c r="Q145" s="150"/>
      <c r="R145" s="1287"/>
      <c r="S145" s="1287"/>
      <c r="T145" s="142"/>
      <c r="U145" s="142"/>
      <c r="V145" s="146"/>
      <c r="W145" s="146"/>
      <c r="X145" s="146"/>
      <c r="Y145" s="146"/>
      <c r="Z145" s="146"/>
      <c r="AA145" s="146"/>
      <c r="AB145" s="14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  <c r="AN145" s="2826"/>
    </row>
    <row r="146" spans="2:40" s="3021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1676"/>
      <c r="N146" s="1286"/>
      <c r="O146" s="1284"/>
      <c r="P146" s="150"/>
      <c r="Q146" s="150"/>
      <c r="R146" s="1287"/>
      <c r="S146" s="1287"/>
      <c r="T146" s="142"/>
      <c r="U146" s="142"/>
      <c r="V146" s="146"/>
      <c r="W146" s="146"/>
      <c r="X146" s="146"/>
      <c r="Y146" s="146"/>
      <c r="Z146" s="146"/>
      <c r="AA146" s="146"/>
      <c r="AB146" s="14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  <c r="AN146" s="2826"/>
    </row>
    <row r="147" spans="2:40" s="3021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1676"/>
      <c r="N147" s="1286"/>
      <c r="O147" s="1284"/>
      <c r="P147" s="150"/>
      <c r="Q147" s="150"/>
      <c r="R147" s="1287"/>
      <c r="S147" s="1287"/>
      <c r="T147" s="142"/>
      <c r="U147" s="142"/>
      <c r="V147" s="146"/>
      <c r="W147" s="146"/>
      <c r="X147" s="146"/>
      <c r="Y147" s="146"/>
      <c r="Z147" s="146"/>
      <c r="AA147" s="146"/>
      <c r="AB147" s="14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  <c r="AN147" s="2826"/>
    </row>
    <row r="148" spans="2:40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1676"/>
      <c r="N148" s="1286"/>
      <c r="O148" s="1284"/>
      <c r="P148" s="150"/>
      <c r="Q148" s="150"/>
      <c r="R148" s="1287"/>
      <c r="S148" s="1287"/>
      <c r="T148" s="142"/>
      <c r="U148" s="142"/>
      <c r="V148" s="146"/>
      <c r="W148" s="146"/>
      <c r="X148" s="146"/>
      <c r="Y148" s="146"/>
      <c r="Z148" s="146"/>
      <c r="AA148" s="146"/>
      <c r="AB148" s="14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  <c r="AN148" s="2826"/>
    </row>
    <row r="149" spans="2:40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1676"/>
      <c r="N149" s="1286"/>
      <c r="O149" s="1284"/>
      <c r="P149" s="150"/>
      <c r="Q149" s="150"/>
      <c r="R149" s="1287"/>
      <c r="S149" s="1287"/>
      <c r="T149" s="142"/>
      <c r="U149" s="142"/>
      <c r="V149" s="146"/>
      <c r="W149" s="146"/>
      <c r="X149" s="146"/>
      <c r="Y149" s="146"/>
      <c r="Z149" s="146"/>
      <c r="AA149" s="146"/>
      <c r="AB149" s="14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  <c r="AN149" s="2826"/>
    </row>
    <row r="150" spans="2:40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1676"/>
      <c r="N150" s="1286"/>
      <c r="O150" s="1284"/>
      <c r="P150" s="150"/>
      <c r="Q150" s="150"/>
      <c r="R150" s="1287"/>
      <c r="S150" s="1287"/>
      <c r="T150" s="142"/>
      <c r="U150" s="142"/>
      <c r="V150" s="146"/>
      <c r="W150" s="146"/>
      <c r="X150" s="146"/>
      <c r="Y150" s="146"/>
      <c r="Z150" s="146"/>
      <c r="AA150" s="146"/>
      <c r="AB150" s="14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  <c r="AN150" s="2826"/>
    </row>
    <row r="151" spans="2:40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1676"/>
      <c r="N151" s="1286"/>
      <c r="O151" s="1284"/>
      <c r="P151" s="150"/>
      <c r="Q151" s="150"/>
      <c r="R151" s="1287"/>
      <c r="S151" s="1287"/>
      <c r="T151" s="142"/>
      <c r="U151" s="142"/>
      <c r="V151" s="146"/>
      <c r="W151" s="146"/>
      <c r="X151" s="146"/>
      <c r="Y151" s="146"/>
      <c r="Z151" s="146"/>
      <c r="AA151" s="146"/>
      <c r="AB151" s="14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  <c r="AN151" s="2826"/>
    </row>
    <row r="152" spans="2:40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1676"/>
      <c r="N152" s="1286"/>
      <c r="O152" s="1284"/>
      <c r="P152" s="150"/>
      <c r="Q152" s="150"/>
      <c r="R152" s="1287"/>
      <c r="S152" s="1287"/>
      <c r="T152" s="142"/>
      <c r="U152" s="142"/>
      <c r="V152" s="146"/>
      <c r="W152" s="146"/>
      <c r="X152" s="146"/>
      <c r="Y152" s="146"/>
      <c r="Z152" s="146"/>
      <c r="AA152" s="146"/>
      <c r="AB152" s="14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  <c r="AN152" s="2826"/>
    </row>
    <row r="153" spans="2:40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1676"/>
      <c r="N153" s="1286"/>
      <c r="O153" s="1284"/>
      <c r="P153" s="150"/>
      <c r="Q153" s="150"/>
      <c r="R153" s="1287"/>
      <c r="S153" s="1287"/>
      <c r="T153" s="142"/>
      <c r="U153" s="142"/>
      <c r="V153" s="146"/>
      <c r="W153" s="146"/>
      <c r="X153" s="146"/>
      <c r="Y153" s="146"/>
      <c r="Z153" s="146"/>
      <c r="AA153" s="146"/>
      <c r="AB153" s="146"/>
      <c r="AC153" s="3021">
        <f>SUBTOTAL(9,AC111:AC152)</f>
        <v>0</v>
      </c>
      <c r="AD153" s="2826">
        <f>SUBTOTAL(9,AD111:AD152)</f>
        <v>0</v>
      </c>
      <c r="AE153" s="2826">
        <f>SUBTOTAL(9,AE111:AE152)</f>
        <v>0</v>
      </c>
      <c r="AF153" s="2826"/>
      <c r="AG153" s="2826"/>
      <c r="AH153" s="2826"/>
      <c r="AI153" s="2826"/>
      <c r="AJ153" s="2826"/>
      <c r="AK153" s="2826"/>
      <c r="AL153" s="2826"/>
      <c r="AM153" s="2826"/>
      <c r="AN153" s="2826"/>
    </row>
    <row r="154" spans="2:40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1676"/>
      <c r="N154" s="1286"/>
      <c r="O154" s="1284"/>
      <c r="P154" s="150"/>
      <c r="Q154" s="150"/>
      <c r="R154" s="1287"/>
      <c r="S154" s="1287"/>
      <c r="T154" s="142"/>
      <c r="U154" s="142"/>
      <c r="V154" s="146"/>
      <c r="W154" s="146"/>
      <c r="X154" s="146"/>
      <c r="Y154" s="146"/>
      <c r="Z154" s="146"/>
      <c r="AA154" s="146"/>
      <c r="AB154" s="146"/>
      <c r="AC154" s="3021">
        <v>0</v>
      </c>
      <c r="AD154" s="2826">
        <v>0</v>
      </c>
      <c r="AE154" s="2826">
        <v>0</v>
      </c>
      <c r="AF154" s="2826"/>
      <c r="AG154" s="2826"/>
      <c r="AH154" s="2826"/>
      <c r="AI154" s="2826"/>
      <c r="AJ154" s="2826"/>
      <c r="AK154" s="2826"/>
      <c r="AL154" s="2826"/>
      <c r="AM154" s="2826"/>
      <c r="AN154" s="2826"/>
    </row>
    <row r="155" spans="2:40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1676"/>
      <c r="N155" s="1286"/>
      <c r="O155" s="1284"/>
      <c r="P155" s="150"/>
      <c r="Q155" s="150"/>
      <c r="R155" s="1287"/>
      <c r="S155" s="1287"/>
      <c r="T155" s="142"/>
      <c r="U155" s="142"/>
      <c r="V155" s="146"/>
      <c r="W155" s="146"/>
      <c r="X155" s="146"/>
      <c r="Y155" s="146"/>
      <c r="Z155" s="146"/>
      <c r="AA155" s="146"/>
      <c r="AB155" s="146"/>
      <c r="AC155" s="3021">
        <v>0</v>
      </c>
      <c r="AD155" s="2826">
        <v>0</v>
      </c>
      <c r="AE155" s="2826">
        <v>0</v>
      </c>
      <c r="AF155" s="2826"/>
      <c r="AG155" s="2826"/>
      <c r="AH155" s="2826"/>
      <c r="AI155" s="2826"/>
      <c r="AJ155" s="2826"/>
      <c r="AK155" s="2826"/>
      <c r="AL155" s="2826"/>
      <c r="AM155" s="2826"/>
      <c r="AN155" s="2826"/>
    </row>
    <row r="156" spans="2:40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1676"/>
      <c r="N156" s="1286"/>
      <c r="O156" s="1284"/>
      <c r="P156" s="150"/>
      <c r="Q156" s="150"/>
      <c r="R156" s="1287"/>
      <c r="S156" s="1287"/>
      <c r="T156" s="142"/>
      <c r="U156" s="142"/>
      <c r="V156" s="146"/>
      <c r="W156" s="146"/>
      <c r="X156" s="146"/>
      <c r="Y156" s="146"/>
      <c r="Z156" s="146"/>
      <c r="AA156" s="146"/>
      <c r="AB156" s="146"/>
      <c r="AC156" s="3021">
        <v>0</v>
      </c>
      <c r="AD156" s="2826">
        <v>0</v>
      </c>
      <c r="AE156" s="2826">
        <v>0</v>
      </c>
      <c r="AF156" s="2826"/>
      <c r="AG156" s="2826"/>
      <c r="AH156" s="2826"/>
      <c r="AI156" s="2826"/>
      <c r="AJ156" s="2826"/>
      <c r="AK156" s="2826"/>
      <c r="AL156" s="2826"/>
      <c r="AM156" s="2826"/>
      <c r="AN156" s="2826"/>
    </row>
    <row r="157" spans="2:40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1676"/>
      <c r="N157" s="1286"/>
      <c r="O157" s="1284"/>
      <c r="P157" s="150"/>
      <c r="Q157" s="150"/>
      <c r="R157" s="1287"/>
      <c r="S157" s="1287"/>
      <c r="T157" s="142"/>
      <c r="U157" s="142"/>
      <c r="V157" s="146"/>
      <c r="W157" s="146"/>
      <c r="X157" s="146"/>
      <c r="Y157" s="146"/>
      <c r="Z157" s="146"/>
      <c r="AA157" s="146"/>
      <c r="AB157" s="146"/>
      <c r="AC157" s="3021">
        <v>0</v>
      </c>
      <c r="AD157" s="2826">
        <v>0</v>
      </c>
      <c r="AE157" s="2826">
        <v>0</v>
      </c>
      <c r="AF157" s="2826"/>
      <c r="AG157" s="2826"/>
      <c r="AH157" s="2826"/>
      <c r="AI157" s="2826"/>
      <c r="AJ157" s="2826"/>
      <c r="AK157" s="2826"/>
      <c r="AL157" s="2826"/>
      <c r="AM157" s="2826"/>
      <c r="AN157" s="2826"/>
    </row>
    <row r="158" spans="2:40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1676"/>
      <c r="N158" s="1286"/>
      <c r="O158" s="1284"/>
      <c r="P158" s="150"/>
      <c r="Q158" s="150"/>
      <c r="R158" s="1287"/>
      <c r="S158" s="1287"/>
      <c r="T158" s="142"/>
      <c r="U158" s="142"/>
      <c r="V158" s="146"/>
      <c r="W158" s="146"/>
      <c r="X158" s="146"/>
      <c r="Y158" s="146"/>
      <c r="Z158" s="146"/>
      <c r="AA158" s="146"/>
      <c r="AB158" s="146"/>
      <c r="AC158" s="3021">
        <v>0</v>
      </c>
      <c r="AD158" s="2826">
        <v>0</v>
      </c>
      <c r="AE158" s="2826">
        <v>0</v>
      </c>
      <c r="AF158" s="2826"/>
      <c r="AG158" s="2826"/>
      <c r="AH158" s="2826"/>
      <c r="AI158" s="2826"/>
      <c r="AJ158" s="2826"/>
      <c r="AK158" s="2826"/>
      <c r="AL158" s="2826"/>
      <c r="AM158" s="2826"/>
      <c r="AN158" s="2826"/>
    </row>
    <row r="159" spans="2:40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1676"/>
      <c r="N159" s="1286"/>
      <c r="O159" s="1284"/>
      <c r="P159" s="150"/>
      <c r="Q159" s="150"/>
      <c r="R159" s="1287"/>
      <c r="S159" s="1287"/>
      <c r="T159" s="142"/>
      <c r="U159" s="142"/>
      <c r="V159" s="146"/>
      <c r="W159" s="146"/>
      <c r="X159" s="146"/>
      <c r="Y159" s="146"/>
      <c r="Z159" s="146"/>
      <c r="AA159" s="146"/>
      <c r="AB159" s="146"/>
      <c r="AC159" s="3021">
        <v>0</v>
      </c>
      <c r="AD159" s="2826">
        <v>0</v>
      </c>
      <c r="AE159" s="2826">
        <v>0</v>
      </c>
      <c r="AF159" s="2826"/>
      <c r="AG159" s="2826"/>
      <c r="AH159" s="2826"/>
      <c r="AI159" s="2826"/>
      <c r="AJ159" s="2826"/>
      <c r="AK159" s="2826"/>
      <c r="AL159" s="2826"/>
      <c r="AM159" s="2826"/>
      <c r="AN159" s="2826"/>
    </row>
    <row r="160" spans="2:40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1676"/>
      <c r="N160" s="1286"/>
      <c r="O160" s="1284"/>
      <c r="P160" s="150"/>
      <c r="Q160" s="150"/>
      <c r="R160" s="1287"/>
      <c r="S160" s="1287"/>
      <c r="T160" s="142"/>
      <c r="U160" s="142"/>
      <c r="V160" s="146"/>
      <c r="W160" s="146"/>
      <c r="X160" s="146"/>
      <c r="Y160" s="146"/>
      <c r="Z160" s="146"/>
      <c r="AA160" s="146"/>
      <c r="AB160" s="146"/>
      <c r="AC160" s="3021">
        <v>0</v>
      </c>
      <c r="AD160" s="2826">
        <v>0</v>
      </c>
      <c r="AE160" s="2826">
        <v>0</v>
      </c>
      <c r="AF160" s="2826"/>
      <c r="AG160" s="2826"/>
      <c r="AH160" s="2826"/>
      <c r="AI160" s="2826"/>
      <c r="AJ160" s="2826"/>
      <c r="AK160" s="2826"/>
      <c r="AL160" s="2826"/>
      <c r="AM160" s="2826"/>
      <c r="AN160" s="2826"/>
    </row>
    <row r="161" spans="2:42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1676"/>
      <c r="N161" s="1286"/>
      <c r="O161" s="1284"/>
      <c r="P161" s="150"/>
      <c r="Q161" s="150"/>
      <c r="R161" s="1287"/>
      <c r="S161" s="1287"/>
      <c r="T161" s="142"/>
      <c r="U161" s="142"/>
      <c r="V161" s="146"/>
      <c r="W161" s="146"/>
      <c r="X161" s="146"/>
      <c r="Y161" s="146"/>
      <c r="Z161" s="146"/>
      <c r="AA161" s="146"/>
      <c r="AB161" s="146"/>
      <c r="AC161" s="3021">
        <v>0</v>
      </c>
      <c r="AD161" s="2826">
        <v>0</v>
      </c>
      <c r="AE161" s="2826">
        <v>0</v>
      </c>
      <c r="AF161" s="2826"/>
      <c r="AG161" s="2826"/>
      <c r="AH161" s="2826"/>
      <c r="AI161" s="2826"/>
      <c r="AJ161" s="2826"/>
      <c r="AK161" s="2826"/>
      <c r="AL161" s="2826"/>
      <c r="AM161" s="2826"/>
      <c r="AN161" s="2826"/>
    </row>
    <row r="162" spans="2:42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1676"/>
      <c r="N162" s="1286"/>
      <c r="O162" s="1284"/>
      <c r="P162" s="150"/>
      <c r="Q162" s="150"/>
      <c r="R162" s="1287"/>
      <c r="S162" s="1287"/>
      <c r="T162" s="142"/>
      <c r="U162" s="142"/>
      <c r="V162" s="146"/>
      <c r="W162" s="146"/>
      <c r="X162" s="146"/>
      <c r="Y162" s="146"/>
      <c r="Z162" s="146"/>
      <c r="AA162" s="146"/>
      <c r="AB162" s="146"/>
      <c r="AC162" s="3021">
        <v>0</v>
      </c>
      <c r="AD162" s="2826">
        <v>0</v>
      </c>
      <c r="AE162" s="2826">
        <v>0</v>
      </c>
      <c r="AF162" s="2826"/>
      <c r="AG162" s="2826"/>
      <c r="AH162" s="2826"/>
      <c r="AI162" s="2826"/>
      <c r="AJ162" s="2826"/>
      <c r="AK162" s="2826"/>
      <c r="AL162" s="2826"/>
      <c r="AM162" s="2826"/>
      <c r="AN162" s="2826"/>
    </row>
    <row r="163" spans="2:42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1676"/>
      <c r="N163" s="1286"/>
      <c r="O163" s="1284"/>
      <c r="P163" s="150"/>
      <c r="Q163" s="150"/>
      <c r="R163" s="1287"/>
      <c r="S163" s="1287"/>
      <c r="T163" s="142"/>
      <c r="U163" s="142"/>
      <c r="V163" s="146"/>
      <c r="W163" s="146"/>
      <c r="X163" s="146"/>
      <c r="Y163" s="146"/>
      <c r="Z163" s="146"/>
      <c r="AA163" s="146"/>
      <c r="AB163" s="146"/>
      <c r="AC163" s="3021">
        <v>0</v>
      </c>
      <c r="AD163" s="2826">
        <v>0</v>
      </c>
      <c r="AE163" s="2826">
        <v>0</v>
      </c>
      <c r="AF163" s="2826"/>
      <c r="AG163" s="2826"/>
      <c r="AH163" s="2826"/>
      <c r="AI163" s="2826"/>
      <c r="AJ163" s="2826"/>
      <c r="AK163" s="2826"/>
      <c r="AL163" s="2826"/>
      <c r="AM163" s="2826"/>
      <c r="AN163" s="2826"/>
    </row>
    <row r="164" spans="2:42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1676"/>
      <c r="N164" s="1286"/>
      <c r="O164" s="1284"/>
      <c r="P164" s="150"/>
      <c r="Q164" s="150"/>
      <c r="R164" s="1287"/>
      <c r="S164" s="1287"/>
      <c r="T164" s="142"/>
      <c r="U164" s="142"/>
      <c r="V164" s="146">
        <f>SUBTOTAL(9,V122:V163)</f>
        <v>0</v>
      </c>
      <c r="W164" s="146">
        <f t="shared" ref="W164:AB164" si="91">SUBTOTAL(9,W122:W163)</f>
        <v>0</v>
      </c>
      <c r="X164" s="146">
        <f t="shared" si="91"/>
        <v>0</v>
      </c>
      <c r="Y164" s="146">
        <f t="shared" si="91"/>
        <v>0</v>
      </c>
      <c r="Z164" s="146">
        <f t="shared" si="91"/>
        <v>0</v>
      </c>
      <c r="AA164" s="146">
        <f t="shared" si="91"/>
        <v>0</v>
      </c>
      <c r="AB164" s="146">
        <f t="shared" si="91"/>
        <v>0</v>
      </c>
      <c r="AC164" s="3021">
        <v>0</v>
      </c>
      <c r="AD164" s="2826">
        <v>0</v>
      </c>
      <c r="AE164" s="2826">
        <v>0</v>
      </c>
      <c r="AF164" s="2826"/>
      <c r="AG164" s="2826"/>
      <c r="AH164" s="2826"/>
      <c r="AI164" s="2826"/>
      <c r="AJ164" s="2826"/>
      <c r="AK164" s="2826"/>
      <c r="AL164" s="2826"/>
      <c r="AM164" s="2826"/>
      <c r="AN164" s="2826"/>
    </row>
    <row r="165" spans="2:42" s="2825" customFormat="1" ht="14" thickBot="1">
      <c r="B165" s="139"/>
      <c r="C165" s="138"/>
      <c r="D165" s="908"/>
      <c r="E165" s="138"/>
      <c r="F165" s="140"/>
      <c r="G165" s="141"/>
      <c r="H165" s="141"/>
      <c r="I165" s="141"/>
      <c r="J165" s="141"/>
      <c r="K165" s="141"/>
      <c r="L165" s="141"/>
      <c r="M165" s="1676"/>
      <c r="N165" s="1286"/>
      <c r="O165" s="1284"/>
      <c r="P165" s="150"/>
      <c r="Q165" s="150"/>
      <c r="R165" s="1287"/>
      <c r="S165" s="1287"/>
      <c r="T165" s="149"/>
      <c r="U165" s="149"/>
      <c r="V165" s="150"/>
      <c r="W165" s="150"/>
      <c r="X165" s="150"/>
      <c r="Y165" s="150"/>
      <c r="Z165" s="150"/>
      <c r="AA165" s="150"/>
      <c r="AB165" s="150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  <c r="AN165" s="2826"/>
    </row>
    <row r="166" spans="2:42" s="2825" customFormat="1" ht="15" thickTop="1" thickBot="1">
      <c r="B166" s="139"/>
      <c r="C166" s="138"/>
      <c r="D166" s="908"/>
      <c r="E166" s="138"/>
      <c r="F166" s="140"/>
      <c r="G166" s="141"/>
      <c r="H166" s="141"/>
      <c r="I166" s="141"/>
      <c r="J166" s="141"/>
      <c r="K166" s="141"/>
      <c r="L166" s="141"/>
      <c r="M166" s="1676"/>
      <c r="N166" s="1286"/>
      <c r="O166" s="1284"/>
      <c r="P166" s="150"/>
      <c r="Q166" s="150"/>
      <c r="R166" s="1287"/>
      <c r="S166" s="1287"/>
      <c r="T166" s="148"/>
      <c r="U166" s="149"/>
      <c r="V166" s="151"/>
      <c r="W166" s="152"/>
      <c r="X166" s="153"/>
      <c r="Y166" s="153"/>
      <c r="Z166" s="153"/>
      <c r="AA166" s="153"/>
      <c r="AB166" s="154"/>
      <c r="AC166" s="3022"/>
      <c r="AD166" s="3022"/>
      <c r="AF166" s="2826"/>
      <c r="AG166" s="2826"/>
      <c r="AH166" s="2826"/>
      <c r="AI166" s="2826"/>
      <c r="AJ166" s="2826"/>
      <c r="AK166" s="2826"/>
      <c r="AL166" s="2826"/>
      <c r="AM166" s="2826"/>
      <c r="AN166" s="2826"/>
      <c r="AO166" s="2826"/>
      <c r="AP166" s="2826"/>
    </row>
    <row r="167" spans="2:42" s="3021" customFormat="1" ht="12" thickTop="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1676"/>
      <c r="N167" s="1286"/>
      <c r="O167" s="1284"/>
      <c r="P167" s="150"/>
      <c r="Q167" s="150"/>
      <c r="R167" s="1287"/>
      <c r="S167" s="1287"/>
      <c r="T167" s="142"/>
      <c r="U167" s="142"/>
      <c r="V167" s="146"/>
      <c r="W167" s="146"/>
      <c r="X167" s="146"/>
      <c r="Y167" s="146"/>
      <c r="Z167" s="146"/>
      <c r="AA167" s="146"/>
      <c r="AB167" s="14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  <c r="AN167" s="2826"/>
    </row>
    <row r="168" spans="2:42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1676"/>
      <c r="N168" s="1286"/>
      <c r="O168" s="1284"/>
      <c r="P168" s="150"/>
      <c r="Q168" s="150"/>
      <c r="R168" s="1287"/>
      <c r="S168" s="1287"/>
      <c r="T168" s="142"/>
      <c r="U168" s="142"/>
      <c r="V168" s="146"/>
      <c r="W168" s="146"/>
      <c r="X168" s="146"/>
      <c r="Y168" s="146"/>
      <c r="Z168" s="146"/>
      <c r="AA168" s="146"/>
      <c r="AB168" s="14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  <c r="AN168" s="2826"/>
    </row>
    <row r="169" spans="2:42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1676"/>
      <c r="N169" s="1286"/>
      <c r="O169" s="1284"/>
      <c r="P169" s="150"/>
      <c r="Q169" s="150"/>
      <c r="R169" s="1287"/>
      <c r="S169" s="1287"/>
      <c r="T169" s="142"/>
      <c r="U169" s="142"/>
      <c r="V169" s="146"/>
      <c r="W169" s="146"/>
      <c r="X169" s="146"/>
      <c r="Y169" s="146"/>
      <c r="Z169" s="146"/>
      <c r="AA169" s="146"/>
      <c r="AB169" s="14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  <c r="AN169" s="2826"/>
    </row>
    <row r="170" spans="2:42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1676"/>
      <c r="N170" s="1286"/>
      <c r="O170" s="1284"/>
      <c r="P170" s="150"/>
      <c r="Q170" s="150"/>
      <c r="R170" s="1287"/>
      <c r="S170" s="1287"/>
      <c r="T170" s="142"/>
      <c r="U170" s="142"/>
      <c r="V170" s="146"/>
      <c r="W170" s="146"/>
      <c r="X170" s="146"/>
      <c r="Y170" s="146"/>
      <c r="Z170" s="146"/>
      <c r="AA170" s="146"/>
      <c r="AB170" s="14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  <c r="AN170" s="2826"/>
    </row>
    <row r="171" spans="2:42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1676"/>
      <c r="N171" s="1286"/>
      <c r="O171" s="1284"/>
      <c r="P171" s="150"/>
      <c r="Q171" s="150"/>
      <c r="R171" s="1287"/>
      <c r="S171" s="1287"/>
      <c r="T171" s="142"/>
      <c r="U171" s="142"/>
      <c r="V171" s="146"/>
      <c r="W171" s="146"/>
      <c r="X171" s="146"/>
      <c r="Y171" s="146"/>
      <c r="Z171" s="146"/>
      <c r="AA171" s="146"/>
      <c r="AB171" s="14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  <c r="AN171" s="2826"/>
    </row>
    <row r="172" spans="2:42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1676"/>
      <c r="N172" s="1286"/>
      <c r="O172" s="1284"/>
      <c r="P172" s="150"/>
      <c r="Q172" s="150"/>
      <c r="R172" s="1287"/>
      <c r="S172" s="1287"/>
      <c r="T172" s="142"/>
      <c r="U172" s="142"/>
      <c r="V172" s="146"/>
      <c r="W172" s="146"/>
      <c r="X172" s="146"/>
      <c r="Y172" s="146"/>
      <c r="Z172" s="146"/>
      <c r="AA172" s="146"/>
      <c r="AB172" s="14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  <c r="AN172" s="2826"/>
    </row>
    <row r="173" spans="2:42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1676"/>
      <c r="N173" s="1286"/>
      <c r="O173" s="1284"/>
      <c r="P173" s="150"/>
      <c r="Q173" s="150"/>
      <c r="R173" s="1287"/>
      <c r="S173" s="1287"/>
      <c r="T173" s="142"/>
      <c r="U173" s="142"/>
      <c r="V173" s="146"/>
      <c r="W173" s="146"/>
      <c r="X173" s="146"/>
      <c r="Y173" s="146"/>
      <c r="Z173" s="146"/>
      <c r="AA173" s="146"/>
      <c r="AB173" s="14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  <c r="AN173" s="2826"/>
    </row>
    <row r="174" spans="2:42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1676"/>
      <c r="N174" s="1286"/>
      <c r="O174" s="1284"/>
      <c r="P174" s="150"/>
      <c r="Q174" s="150"/>
      <c r="R174" s="1287"/>
      <c r="S174" s="1287"/>
      <c r="T174" s="142"/>
      <c r="U174" s="142"/>
      <c r="V174" s="146"/>
      <c r="W174" s="146"/>
      <c r="X174" s="146"/>
      <c r="Y174" s="146"/>
      <c r="Z174" s="146"/>
      <c r="AA174" s="146"/>
      <c r="AB174" s="146"/>
      <c r="AD174" s="2826"/>
      <c r="AE174" s="2826"/>
      <c r="AF174" s="2826"/>
      <c r="AG174" s="2826"/>
      <c r="AH174" s="2826"/>
      <c r="AI174" s="2826"/>
      <c r="AJ174" s="2826"/>
      <c r="AK174" s="2826"/>
      <c r="AL174" s="2826"/>
      <c r="AM174" s="2826"/>
      <c r="AN174" s="2826"/>
    </row>
    <row r="175" spans="2:42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1676"/>
      <c r="N175" s="1286"/>
      <c r="O175" s="1284"/>
      <c r="P175" s="150"/>
      <c r="Q175" s="150"/>
      <c r="R175" s="1287"/>
      <c r="S175" s="1287"/>
      <c r="T175" s="142"/>
      <c r="U175" s="142"/>
      <c r="V175" s="146"/>
      <c r="W175" s="146"/>
      <c r="X175" s="146"/>
      <c r="Y175" s="146"/>
      <c r="Z175" s="146"/>
      <c r="AA175" s="146"/>
      <c r="AB175" s="146"/>
      <c r="AD175" s="2826"/>
      <c r="AE175" s="2826"/>
      <c r="AF175" s="2826"/>
      <c r="AG175" s="2826"/>
      <c r="AH175" s="2826"/>
      <c r="AI175" s="2826"/>
      <c r="AJ175" s="2826"/>
      <c r="AK175" s="2826"/>
      <c r="AL175" s="2826"/>
      <c r="AM175" s="2826"/>
      <c r="AN175" s="2826"/>
    </row>
    <row r="176" spans="2:42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1676"/>
      <c r="N176" s="1286"/>
      <c r="O176" s="1284"/>
      <c r="P176" s="150"/>
      <c r="Q176" s="150"/>
      <c r="R176" s="1287"/>
      <c r="S176" s="1287"/>
      <c r="T176" s="142"/>
      <c r="U176" s="142"/>
      <c r="V176" s="146"/>
      <c r="W176" s="146"/>
      <c r="X176" s="146"/>
      <c r="Y176" s="146"/>
      <c r="Z176" s="146"/>
      <c r="AA176" s="146"/>
      <c r="AB176" s="14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  <c r="AN176" s="2826"/>
    </row>
    <row r="177" spans="2:40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1676"/>
      <c r="N177" s="1286"/>
      <c r="O177" s="1284"/>
      <c r="P177" s="150"/>
      <c r="Q177" s="150"/>
      <c r="R177" s="1287"/>
      <c r="S177" s="1287"/>
      <c r="T177" s="142"/>
      <c r="U177" s="142"/>
      <c r="V177" s="146"/>
      <c r="W177" s="146"/>
      <c r="X177" s="146"/>
      <c r="Y177" s="146"/>
      <c r="Z177" s="146"/>
      <c r="AA177" s="146"/>
      <c r="AB177" s="14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  <c r="AN177" s="2826"/>
    </row>
    <row r="178" spans="2:40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1676"/>
      <c r="N178" s="1286"/>
      <c r="O178" s="1284"/>
      <c r="P178" s="150"/>
      <c r="Q178" s="150"/>
      <c r="R178" s="1287"/>
      <c r="S178" s="1287"/>
      <c r="T178" s="142"/>
      <c r="U178" s="142"/>
      <c r="V178" s="146"/>
      <c r="W178" s="146"/>
      <c r="X178" s="146"/>
      <c r="Y178" s="146"/>
      <c r="Z178" s="146"/>
      <c r="AA178" s="146"/>
      <c r="AB178" s="14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  <c r="AN178" s="2826"/>
    </row>
    <row r="179" spans="2:40" s="3021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1676"/>
      <c r="N179" s="1286"/>
      <c r="O179" s="1284"/>
      <c r="P179" s="150"/>
      <c r="Q179" s="150"/>
      <c r="R179" s="1287"/>
      <c r="S179" s="1287"/>
      <c r="T179" s="142"/>
      <c r="U179" s="142"/>
      <c r="V179" s="146"/>
      <c r="W179" s="146"/>
      <c r="X179" s="146"/>
      <c r="Y179" s="146"/>
      <c r="Z179" s="146"/>
      <c r="AA179" s="146"/>
      <c r="AB179" s="14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  <c r="AN179" s="2826"/>
    </row>
    <row r="180" spans="2:40" s="3021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1676"/>
      <c r="N180" s="1286"/>
      <c r="O180" s="1284"/>
      <c r="P180" s="150"/>
      <c r="Q180" s="150"/>
      <c r="R180" s="1287"/>
      <c r="S180" s="1287"/>
      <c r="T180" s="142"/>
      <c r="U180" s="142"/>
      <c r="V180" s="146"/>
      <c r="W180" s="146"/>
      <c r="X180" s="146"/>
      <c r="Y180" s="146"/>
      <c r="Z180" s="146"/>
      <c r="AA180" s="146"/>
      <c r="AB180" s="14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  <c r="AN180" s="2826"/>
    </row>
    <row r="181" spans="2:40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1676"/>
      <c r="N181" s="1286"/>
      <c r="O181" s="1284"/>
      <c r="P181" s="150"/>
      <c r="Q181" s="150"/>
      <c r="R181" s="1287"/>
      <c r="S181" s="1287"/>
      <c r="T181" s="142"/>
      <c r="U181" s="142"/>
      <c r="V181" s="146"/>
      <c r="W181" s="146"/>
      <c r="X181" s="146"/>
      <c r="Y181" s="146"/>
      <c r="Z181" s="146"/>
      <c r="AA181" s="146"/>
      <c r="AB181" s="14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  <c r="AN181" s="2826"/>
    </row>
    <row r="182" spans="2:40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1676"/>
      <c r="N182" s="1286"/>
      <c r="O182" s="1284"/>
      <c r="P182" s="150"/>
      <c r="Q182" s="150"/>
      <c r="R182" s="1287"/>
      <c r="S182" s="1287"/>
      <c r="T182" s="142"/>
      <c r="U182" s="142"/>
      <c r="V182" s="146"/>
      <c r="W182" s="146"/>
      <c r="X182" s="146"/>
      <c r="Y182" s="146"/>
      <c r="Z182" s="146"/>
      <c r="AA182" s="146"/>
      <c r="AB182" s="14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  <c r="AN182" s="2826"/>
    </row>
    <row r="183" spans="2:40" s="3021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1676"/>
      <c r="N183" s="1286"/>
      <c r="O183" s="1284"/>
      <c r="P183" s="150"/>
      <c r="Q183" s="150"/>
      <c r="R183" s="1287"/>
      <c r="S183" s="1287"/>
      <c r="T183" s="142"/>
      <c r="U183" s="142"/>
      <c r="V183" s="146"/>
      <c r="W183" s="146"/>
      <c r="X183" s="146"/>
      <c r="Y183" s="146"/>
      <c r="Z183" s="146"/>
      <c r="AA183" s="146"/>
      <c r="AB183" s="14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  <c r="AN183" s="2826"/>
    </row>
    <row r="184" spans="2:40" s="3021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1676"/>
      <c r="N184" s="1286"/>
      <c r="O184" s="1284"/>
      <c r="P184" s="150"/>
      <c r="Q184" s="150"/>
      <c r="R184" s="1287"/>
      <c r="S184" s="1287"/>
      <c r="T184" s="142"/>
      <c r="U184" s="142"/>
      <c r="V184" s="146"/>
      <c r="W184" s="146"/>
      <c r="X184" s="146"/>
      <c r="Y184" s="146"/>
      <c r="Z184" s="146"/>
      <c r="AA184" s="146"/>
      <c r="AB184" s="14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  <c r="AN184" s="2826"/>
    </row>
    <row r="185" spans="2:40" s="3021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1676"/>
      <c r="N185" s="1286"/>
      <c r="O185" s="1284"/>
      <c r="P185" s="150"/>
      <c r="Q185" s="150"/>
      <c r="R185" s="1287"/>
      <c r="S185" s="1287"/>
      <c r="T185" s="142"/>
      <c r="U185" s="142"/>
      <c r="V185" s="146"/>
      <c r="W185" s="146"/>
      <c r="X185" s="146"/>
      <c r="Y185" s="146"/>
      <c r="Z185" s="146"/>
      <c r="AA185" s="146"/>
      <c r="AB185" s="14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  <c r="AN185" s="2826"/>
    </row>
    <row r="186" spans="2:40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1676"/>
      <c r="N186" s="1286"/>
      <c r="O186" s="1284"/>
      <c r="P186" s="150"/>
      <c r="Q186" s="150"/>
      <c r="R186" s="1287"/>
      <c r="S186" s="1287"/>
      <c r="T186" s="142"/>
      <c r="U186" s="142"/>
      <c r="V186" s="146"/>
      <c r="W186" s="146"/>
      <c r="X186" s="146"/>
      <c r="Y186" s="146"/>
      <c r="Z186" s="146"/>
      <c r="AA186" s="146"/>
      <c r="AB186" s="14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  <c r="AN186" s="2826"/>
    </row>
    <row r="187" spans="2:40" s="3021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1676"/>
      <c r="N187" s="1286"/>
      <c r="O187" s="1284"/>
      <c r="P187" s="150"/>
      <c r="Q187" s="150"/>
      <c r="R187" s="1287"/>
      <c r="S187" s="1287"/>
      <c r="T187" s="142"/>
      <c r="U187" s="142"/>
      <c r="V187" s="146"/>
      <c r="W187" s="146"/>
      <c r="X187" s="146"/>
      <c r="Y187" s="146"/>
      <c r="Z187" s="146"/>
      <c r="AA187" s="146"/>
      <c r="AB187" s="14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  <c r="AN187" s="2826"/>
    </row>
    <row r="188" spans="2:40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1676"/>
      <c r="N188" s="1286"/>
      <c r="O188" s="1284"/>
      <c r="P188" s="150"/>
      <c r="Q188" s="150"/>
      <c r="R188" s="1287"/>
      <c r="S188" s="1287"/>
      <c r="T188" s="142"/>
      <c r="U188" s="142"/>
      <c r="V188" s="146"/>
      <c r="W188" s="146"/>
      <c r="X188" s="146"/>
      <c r="Y188" s="146"/>
      <c r="Z188" s="146"/>
      <c r="AA188" s="146"/>
      <c r="AB188" s="14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  <c r="AN188" s="2826"/>
    </row>
    <row r="189" spans="2:40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1676"/>
      <c r="N189" s="1286"/>
      <c r="O189" s="1284"/>
      <c r="P189" s="150"/>
      <c r="Q189" s="150"/>
      <c r="R189" s="1287"/>
      <c r="S189" s="1287"/>
      <c r="T189" s="142"/>
      <c r="U189" s="142"/>
      <c r="V189" s="146"/>
      <c r="W189" s="146"/>
      <c r="X189" s="146"/>
      <c r="Y189" s="146"/>
      <c r="Z189" s="146"/>
      <c r="AA189" s="146"/>
      <c r="AB189" s="14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  <c r="AN189" s="2826"/>
    </row>
    <row r="190" spans="2:40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1676"/>
      <c r="N190" s="1286"/>
      <c r="O190" s="1284"/>
      <c r="P190" s="150"/>
      <c r="Q190" s="150"/>
      <c r="R190" s="1287"/>
      <c r="S190" s="1287"/>
      <c r="T190" s="142"/>
      <c r="U190" s="142"/>
      <c r="V190" s="146"/>
      <c r="W190" s="146"/>
      <c r="X190" s="146"/>
      <c r="Y190" s="146"/>
      <c r="Z190" s="146"/>
      <c r="AA190" s="146"/>
      <c r="AB190" s="14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  <c r="AN190" s="2826"/>
    </row>
    <row r="191" spans="2:40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1676"/>
      <c r="N191" s="1286"/>
      <c r="O191" s="1284"/>
      <c r="P191" s="150"/>
      <c r="Q191" s="150"/>
      <c r="R191" s="1287"/>
      <c r="S191" s="1287"/>
      <c r="T191" s="142"/>
      <c r="U191" s="142"/>
      <c r="V191" s="146"/>
      <c r="W191" s="146"/>
      <c r="X191" s="146"/>
      <c r="Y191" s="146"/>
      <c r="Z191" s="146"/>
      <c r="AA191" s="146"/>
      <c r="AB191" s="14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  <c r="AN191" s="2826"/>
    </row>
    <row r="192" spans="2:40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1676"/>
      <c r="N192" s="1286"/>
      <c r="O192" s="1284"/>
      <c r="P192" s="150"/>
      <c r="Q192" s="150"/>
      <c r="R192" s="1287"/>
      <c r="S192" s="1287"/>
      <c r="T192" s="142"/>
      <c r="U192" s="142"/>
      <c r="V192" s="146"/>
      <c r="W192" s="146"/>
      <c r="X192" s="146"/>
      <c r="Y192" s="146"/>
      <c r="Z192" s="146"/>
      <c r="AA192" s="146"/>
      <c r="AB192" s="14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  <c r="AN192" s="2826"/>
    </row>
    <row r="193" spans="2:40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1676"/>
      <c r="N193" s="1286"/>
      <c r="O193" s="1284"/>
      <c r="P193" s="150"/>
      <c r="Q193" s="150"/>
      <c r="R193" s="1287"/>
      <c r="S193" s="1287"/>
      <c r="T193" s="142"/>
      <c r="U193" s="142"/>
      <c r="V193" s="146"/>
      <c r="W193" s="146"/>
      <c r="X193" s="146"/>
      <c r="Y193" s="146"/>
      <c r="Z193" s="146"/>
      <c r="AA193" s="146"/>
      <c r="AB193" s="14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  <c r="AN193" s="2826"/>
    </row>
    <row r="194" spans="2:40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1676"/>
      <c r="N194" s="1286"/>
      <c r="O194" s="1284"/>
      <c r="P194" s="150"/>
      <c r="Q194" s="150"/>
      <c r="R194" s="1287"/>
      <c r="S194" s="1287"/>
      <c r="T194" s="142"/>
      <c r="U194" s="142"/>
      <c r="V194" s="146"/>
      <c r="W194" s="146"/>
      <c r="X194" s="146"/>
      <c r="Y194" s="146"/>
      <c r="Z194" s="146"/>
      <c r="AA194" s="146"/>
      <c r="AB194" s="14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  <c r="AN194" s="2826"/>
    </row>
    <row r="195" spans="2:40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1676"/>
      <c r="N195" s="1286"/>
      <c r="O195" s="1284"/>
      <c r="P195" s="150"/>
      <c r="Q195" s="150"/>
      <c r="R195" s="1287"/>
      <c r="S195" s="1287"/>
      <c r="T195" s="142"/>
      <c r="U195" s="142"/>
      <c r="V195" s="146"/>
      <c r="W195" s="146"/>
      <c r="X195" s="146"/>
      <c r="Y195" s="146"/>
      <c r="Z195" s="146"/>
      <c r="AA195" s="146"/>
      <c r="AB195" s="14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  <c r="AN195" s="2826"/>
    </row>
    <row r="196" spans="2:40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1676"/>
      <c r="N196" s="1286"/>
      <c r="O196" s="1284"/>
      <c r="P196" s="150"/>
      <c r="Q196" s="150"/>
      <c r="R196" s="1287"/>
      <c r="S196" s="1287"/>
      <c r="T196" s="142"/>
      <c r="U196" s="142"/>
      <c r="V196" s="146"/>
      <c r="W196" s="146"/>
      <c r="X196" s="146"/>
      <c r="Y196" s="146"/>
      <c r="Z196" s="146"/>
      <c r="AA196" s="146"/>
      <c r="AB196" s="14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  <c r="AN196" s="2826"/>
    </row>
    <row r="197" spans="2:40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1676"/>
      <c r="N197" s="1286"/>
      <c r="O197" s="1284"/>
      <c r="P197" s="150"/>
      <c r="Q197" s="150"/>
      <c r="R197" s="1287"/>
      <c r="S197" s="1287"/>
      <c r="T197" s="142"/>
      <c r="U197" s="142"/>
      <c r="V197" s="146"/>
      <c r="W197" s="146"/>
      <c r="X197" s="146"/>
      <c r="Y197" s="146"/>
      <c r="Z197" s="146"/>
      <c r="AA197" s="146"/>
      <c r="AB197" s="14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  <c r="AN197" s="2826"/>
    </row>
    <row r="198" spans="2:40" s="3021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1676"/>
      <c r="N198" s="1286"/>
      <c r="O198" s="1284"/>
      <c r="P198" s="150"/>
      <c r="Q198" s="150"/>
      <c r="R198" s="1287"/>
      <c r="S198" s="1287"/>
      <c r="T198" s="142"/>
      <c r="U198" s="142"/>
      <c r="V198" s="146"/>
      <c r="W198" s="146"/>
      <c r="X198" s="146"/>
      <c r="Y198" s="146"/>
      <c r="Z198" s="146"/>
      <c r="AA198" s="146"/>
      <c r="AB198" s="14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  <c r="AN198" s="2826"/>
    </row>
    <row r="199" spans="2:40" s="3021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1676"/>
      <c r="N199" s="1286"/>
      <c r="O199" s="1284"/>
      <c r="P199" s="150"/>
      <c r="Q199" s="150"/>
      <c r="R199" s="1287"/>
      <c r="S199" s="1287"/>
      <c r="T199" s="142"/>
      <c r="U199" s="142"/>
      <c r="V199" s="146"/>
      <c r="W199" s="146"/>
      <c r="X199" s="146"/>
      <c r="Y199" s="146"/>
      <c r="Z199" s="146"/>
      <c r="AA199" s="146"/>
      <c r="AB199" s="14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  <c r="AN199" s="2826"/>
    </row>
    <row r="200" spans="2:40" s="3021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1676"/>
      <c r="N200" s="1286"/>
      <c r="O200" s="1284"/>
      <c r="P200" s="150"/>
      <c r="Q200" s="150"/>
      <c r="R200" s="1287"/>
      <c r="S200" s="1287"/>
      <c r="T200" s="142"/>
      <c r="U200" s="142"/>
      <c r="V200" s="146"/>
      <c r="W200" s="146"/>
      <c r="X200" s="146"/>
      <c r="Y200" s="146"/>
      <c r="Z200" s="146"/>
      <c r="AA200" s="146"/>
      <c r="AB200" s="14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  <c r="AN200" s="2826"/>
    </row>
    <row r="201" spans="2:40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1676"/>
      <c r="N201" s="1286"/>
      <c r="O201" s="1284"/>
      <c r="P201" s="150"/>
      <c r="Q201" s="150"/>
      <c r="R201" s="1287"/>
      <c r="S201" s="1287"/>
      <c r="T201" s="142"/>
      <c r="U201" s="142"/>
      <c r="V201" s="146"/>
      <c r="W201" s="146"/>
      <c r="X201" s="146"/>
      <c r="Y201" s="146"/>
      <c r="Z201" s="146"/>
      <c r="AA201" s="146"/>
      <c r="AB201" s="14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  <c r="AN201" s="2826"/>
    </row>
    <row r="202" spans="2:40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1676"/>
      <c r="N202" s="1286"/>
      <c r="O202" s="1284"/>
      <c r="P202" s="150"/>
      <c r="Q202" s="150"/>
      <c r="R202" s="1287"/>
      <c r="S202" s="1287"/>
      <c r="T202" s="142"/>
      <c r="U202" s="142"/>
      <c r="V202" s="146"/>
      <c r="W202" s="146"/>
      <c r="X202" s="146"/>
      <c r="Y202" s="146"/>
      <c r="Z202" s="146"/>
      <c r="AA202" s="146"/>
      <c r="AB202" s="14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  <c r="AN202" s="2826"/>
    </row>
    <row r="203" spans="2:40" s="3021" customFormat="1" ht="11">
      <c r="B203" s="3159"/>
      <c r="D203" s="3160"/>
      <c r="F203" s="3023"/>
      <c r="G203" s="3024"/>
      <c r="H203" s="3024"/>
      <c r="I203" s="3024"/>
      <c r="J203" s="3024"/>
      <c r="K203" s="3024"/>
      <c r="L203" s="3024"/>
      <c r="M203" s="3517"/>
      <c r="N203" s="3518"/>
      <c r="O203" s="3519"/>
      <c r="P203" s="150"/>
      <c r="Q203" s="150"/>
      <c r="R203" s="1287"/>
      <c r="S203" s="1287"/>
      <c r="T203" s="142"/>
      <c r="U203" s="142"/>
      <c r="V203" s="146"/>
      <c r="W203" s="146"/>
      <c r="X203" s="146"/>
      <c r="Y203" s="146"/>
      <c r="Z203" s="146"/>
      <c r="AA203" s="146"/>
      <c r="AB203" s="14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  <c r="AN203" s="2826"/>
    </row>
    <row r="204" spans="2:40" s="3021" customFormat="1" ht="11">
      <c r="B204" s="3159"/>
      <c r="D204" s="3160"/>
      <c r="F204" s="3023"/>
      <c r="G204" s="3024"/>
      <c r="H204" s="3024"/>
      <c r="I204" s="3024"/>
      <c r="J204" s="3024"/>
      <c r="K204" s="3024"/>
      <c r="L204" s="3024"/>
      <c r="M204" s="3517"/>
      <c r="N204" s="3518"/>
      <c r="O204" s="3519"/>
      <c r="P204" s="150"/>
      <c r="Q204" s="150"/>
      <c r="R204" s="1287"/>
      <c r="S204" s="1287"/>
      <c r="T204" s="142"/>
      <c r="U204" s="142"/>
      <c r="V204" s="146"/>
      <c r="W204" s="146"/>
      <c r="X204" s="146"/>
      <c r="Y204" s="146"/>
      <c r="Z204" s="146"/>
      <c r="AA204" s="146"/>
      <c r="AB204" s="14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  <c r="AN204" s="2826"/>
    </row>
    <row r="205" spans="2:40" s="3021" customFormat="1" ht="11">
      <c r="B205" s="3159"/>
      <c r="D205" s="3160"/>
      <c r="F205" s="3023"/>
      <c r="G205" s="3024"/>
      <c r="H205" s="3024"/>
      <c r="I205" s="3024"/>
      <c r="J205" s="3024"/>
      <c r="K205" s="3024"/>
      <c r="L205" s="3024"/>
      <c r="M205" s="3517"/>
      <c r="N205" s="3518"/>
      <c r="O205" s="3519"/>
      <c r="P205" s="150"/>
      <c r="Q205" s="150"/>
      <c r="R205" s="1287"/>
      <c r="S205" s="1287"/>
      <c r="T205" s="142"/>
      <c r="U205" s="142"/>
      <c r="V205" s="146"/>
      <c r="W205" s="146"/>
      <c r="X205" s="146"/>
      <c r="Y205" s="146"/>
      <c r="Z205" s="146"/>
      <c r="AA205" s="146"/>
      <c r="AB205" s="14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  <c r="AN205" s="2826"/>
    </row>
    <row r="206" spans="2:40" s="3021" customFormat="1" ht="11">
      <c r="B206" s="3159"/>
      <c r="D206" s="3160"/>
      <c r="F206" s="3023"/>
      <c r="G206" s="3024"/>
      <c r="H206" s="3024"/>
      <c r="I206" s="3024"/>
      <c r="J206" s="3024"/>
      <c r="K206" s="3024"/>
      <c r="L206" s="3024"/>
      <c r="M206" s="3517"/>
      <c r="N206" s="3518"/>
      <c r="O206" s="3519"/>
      <c r="P206" s="150"/>
      <c r="Q206" s="150"/>
      <c r="R206" s="1287"/>
      <c r="S206" s="1287"/>
      <c r="T206" s="142"/>
      <c r="U206" s="142"/>
      <c r="V206" s="146"/>
      <c r="W206" s="146"/>
      <c r="X206" s="146"/>
      <c r="Y206" s="146"/>
      <c r="Z206" s="146"/>
      <c r="AA206" s="146"/>
      <c r="AB206" s="14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  <c r="AN206" s="2826"/>
    </row>
    <row r="207" spans="2:40" s="3021" customFormat="1" ht="11">
      <c r="B207" s="3159"/>
      <c r="D207" s="3160"/>
      <c r="F207" s="3023"/>
      <c r="G207" s="3024"/>
      <c r="H207" s="3024"/>
      <c r="I207" s="3024"/>
      <c r="J207" s="3024"/>
      <c r="K207" s="3024"/>
      <c r="L207" s="3024"/>
      <c r="M207" s="3517"/>
      <c r="N207" s="3518"/>
      <c r="O207" s="3519"/>
      <c r="P207" s="150"/>
      <c r="Q207" s="150"/>
      <c r="R207" s="1287"/>
      <c r="S207" s="1287"/>
      <c r="T207" s="142"/>
      <c r="U207" s="142"/>
      <c r="V207" s="146">
        <f>SUBTOTAL(9,V165:V206)</f>
        <v>0</v>
      </c>
      <c r="W207" s="146">
        <f t="shared" ref="W207:AB207" si="92">SUBTOTAL(9,W165:W206)</f>
        <v>0</v>
      </c>
      <c r="X207" s="146">
        <f t="shared" si="92"/>
        <v>0</v>
      </c>
      <c r="Y207" s="146">
        <f t="shared" si="92"/>
        <v>0</v>
      </c>
      <c r="Z207" s="146">
        <f t="shared" si="92"/>
        <v>0</v>
      </c>
      <c r="AA207" s="146">
        <f t="shared" si="92"/>
        <v>0</v>
      </c>
      <c r="AB207" s="146">
        <f t="shared" si="92"/>
        <v>0</v>
      </c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  <c r="AN207" s="2826"/>
    </row>
    <row r="208" spans="2:40" s="2825" customFormat="1" ht="14" thickBot="1">
      <c r="B208" s="2935"/>
      <c r="D208" s="3161"/>
      <c r="F208" s="3026"/>
      <c r="G208" s="3027"/>
      <c r="H208" s="3027"/>
      <c r="I208" s="3027"/>
      <c r="J208" s="3027"/>
      <c r="K208" s="3027"/>
      <c r="L208" s="3027"/>
      <c r="M208" s="3517"/>
      <c r="N208" s="3518"/>
      <c r="O208" s="3519"/>
      <c r="P208" s="150"/>
      <c r="Q208" s="150"/>
      <c r="R208" s="1287"/>
      <c r="S208" s="1287"/>
      <c r="T208" s="149"/>
      <c r="U208" s="149"/>
      <c r="V208" s="150"/>
      <c r="W208" s="150"/>
      <c r="X208" s="150"/>
      <c r="Y208" s="150"/>
      <c r="Z208" s="150"/>
      <c r="AA208" s="150"/>
      <c r="AB208" s="150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  <c r="AN208" s="2826"/>
    </row>
    <row r="209" spans="2:42" s="2825" customFormat="1" ht="15" thickTop="1" thickBot="1">
      <c r="B209" s="2935"/>
      <c r="D209" s="3161"/>
      <c r="F209" s="3026"/>
      <c r="G209" s="3027"/>
      <c r="H209" s="3027"/>
      <c r="I209" s="3027"/>
      <c r="J209" s="3027"/>
      <c r="K209" s="3027"/>
      <c r="L209" s="3027"/>
      <c r="M209" s="3517"/>
      <c r="N209" s="3518"/>
      <c r="O209" s="3519"/>
      <c r="P209" s="150"/>
      <c r="Q209" s="150"/>
      <c r="R209" s="1287"/>
      <c r="S209" s="1287"/>
      <c r="T209" s="148"/>
      <c r="U209" s="148"/>
      <c r="V209" s="151">
        <f>SUBTOTAL(9,V167:V208)</f>
        <v>0</v>
      </c>
      <c r="W209" s="152">
        <f t="shared" ref="W209:AB209" si="93">SUBTOTAL(9,W167:W208)</f>
        <v>0</v>
      </c>
      <c r="X209" s="153">
        <f t="shared" si="93"/>
        <v>0</v>
      </c>
      <c r="Y209" s="153">
        <f t="shared" si="93"/>
        <v>0</v>
      </c>
      <c r="Z209" s="153">
        <f t="shared" si="93"/>
        <v>0</v>
      </c>
      <c r="AA209" s="153">
        <f t="shared" si="93"/>
        <v>0</v>
      </c>
      <c r="AB209" s="154">
        <f t="shared" si="93"/>
        <v>0</v>
      </c>
      <c r="AC209" s="3022"/>
      <c r="AD209" s="3022"/>
      <c r="AF209" s="2826"/>
      <c r="AG209" s="2826"/>
      <c r="AH209" s="2826"/>
      <c r="AI209" s="2826"/>
      <c r="AJ209" s="2826"/>
      <c r="AK209" s="2826"/>
      <c r="AL209" s="2826"/>
      <c r="AM209" s="2826"/>
      <c r="AN209" s="2826"/>
      <c r="AO209" s="2826"/>
      <c r="AP209" s="2826"/>
    </row>
    <row r="210" spans="2:42" s="2825" customFormat="1" ht="14" thickTop="1">
      <c r="B210" s="2935"/>
      <c r="D210" s="3161"/>
      <c r="F210" s="3026"/>
      <c r="G210" s="3027"/>
      <c r="H210" s="3027"/>
      <c r="I210" s="3027"/>
      <c r="J210" s="3027"/>
      <c r="K210" s="3027"/>
      <c r="L210" s="3027"/>
      <c r="M210" s="3517"/>
      <c r="N210" s="3518"/>
      <c r="O210" s="3519"/>
      <c r="P210" s="150"/>
      <c r="Q210" s="150"/>
      <c r="R210" s="1287"/>
      <c r="S210" s="1287"/>
      <c r="T210" s="149"/>
      <c r="U210" s="149"/>
      <c r="V210" s="150"/>
      <c r="W210" s="150"/>
      <c r="X210" s="150"/>
      <c r="Y210" s="150"/>
      <c r="Z210" s="150"/>
      <c r="AA210" s="150"/>
      <c r="AB210" s="150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  <c r="AN210" s="2826"/>
    </row>
    <row r="211" spans="2:42" s="2825" customFormat="1">
      <c r="B211" s="2935"/>
      <c r="D211" s="3161"/>
      <c r="F211" s="3026"/>
      <c r="G211" s="3027"/>
      <c r="H211" s="3027"/>
      <c r="I211" s="3027"/>
      <c r="J211" s="3027"/>
      <c r="K211" s="3027"/>
      <c r="L211" s="3027"/>
      <c r="M211" s="3517"/>
      <c r="N211" s="3518"/>
      <c r="O211" s="3519"/>
      <c r="P211" s="150"/>
      <c r="Q211" s="150"/>
      <c r="R211" s="1287"/>
      <c r="S211" s="1287"/>
      <c r="T211" s="149"/>
      <c r="U211" s="149"/>
      <c r="V211" s="150"/>
      <c r="W211" s="150"/>
      <c r="X211" s="150"/>
      <c r="Y211" s="150"/>
      <c r="Z211" s="150"/>
      <c r="AA211" s="150"/>
      <c r="AB211" s="150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  <c r="AN211" s="2826"/>
    </row>
    <row r="212" spans="2:42" s="2825" customFormat="1">
      <c r="B212" s="2935"/>
      <c r="D212" s="3161"/>
      <c r="F212" s="3026"/>
      <c r="G212" s="3027"/>
      <c r="H212" s="3027"/>
      <c r="I212" s="3027"/>
      <c r="J212" s="3027"/>
      <c r="K212" s="3027"/>
      <c r="L212" s="3027"/>
      <c r="M212" s="3517"/>
      <c r="N212" s="3518"/>
      <c r="O212" s="3519"/>
      <c r="P212" s="150"/>
      <c r="Q212" s="150"/>
      <c r="R212" s="1287"/>
      <c r="S212" s="1287"/>
      <c r="T212" s="149"/>
      <c r="U212" s="149"/>
      <c r="V212" s="150"/>
      <c r="W212" s="150"/>
      <c r="X212" s="150"/>
      <c r="Y212" s="150"/>
      <c r="Z212" s="150"/>
      <c r="AA212" s="150"/>
      <c r="AB212" s="150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  <c r="AN212" s="2826"/>
    </row>
    <row r="213" spans="2:42" s="2825" customFormat="1">
      <c r="B213" s="2935"/>
      <c r="D213" s="3161"/>
      <c r="F213" s="3026"/>
      <c r="G213" s="3027"/>
      <c r="H213" s="3027"/>
      <c r="I213" s="3027"/>
      <c r="J213" s="3027"/>
      <c r="K213" s="3027"/>
      <c r="L213" s="3027"/>
      <c r="M213" s="3517"/>
      <c r="N213" s="3518"/>
      <c r="O213" s="3519"/>
      <c r="P213" s="150"/>
      <c r="Q213" s="150"/>
      <c r="R213" s="1287"/>
      <c r="S213" s="1287"/>
      <c r="T213" s="149"/>
      <c r="U213" s="149"/>
      <c r="V213" s="150"/>
      <c r="W213" s="150"/>
      <c r="X213" s="150"/>
      <c r="Y213" s="150"/>
      <c r="Z213" s="150"/>
      <c r="AA213" s="150"/>
      <c r="AB213" s="150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  <c r="AN213" s="2826"/>
    </row>
    <row r="214" spans="2:42" s="2825" customFormat="1">
      <c r="B214" s="2935"/>
      <c r="D214" s="3161"/>
      <c r="F214" s="3026"/>
      <c r="G214" s="3027"/>
      <c r="H214" s="3027"/>
      <c r="I214" s="3027"/>
      <c r="J214" s="3027"/>
      <c r="K214" s="3027"/>
      <c r="L214" s="3027"/>
      <c r="M214" s="3517"/>
      <c r="N214" s="3518"/>
      <c r="O214" s="3519"/>
      <c r="P214" s="150"/>
      <c r="Q214" s="150"/>
      <c r="R214" s="1287"/>
      <c r="S214" s="1287"/>
      <c r="T214" s="149"/>
      <c r="U214" s="149"/>
      <c r="V214" s="150"/>
      <c r="W214" s="150"/>
      <c r="X214" s="150"/>
      <c r="Y214" s="150"/>
      <c r="Z214" s="150"/>
      <c r="AA214" s="150"/>
      <c r="AB214" s="150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  <c r="AN214" s="2826"/>
    </row>
    <row r="215" spans="2:42" s="2825" customFormat="1">
      <c r="B215" s="2935"/>
      <c r="D215" s="3161"/>
      <c r="F215" s="3026"/>
      <c r="G215" s="3027"/>
      <c r="H215" s="3027"/>
      <c r="I215" s="3027"/>
      <c r="J215" s="3027"/>
      <c r="K215" s="3027"/>
      <c r="L215" s="3027"/>
      <c r="M215" s="3517"/>
      <c r="N215" s="3518"/>
      <c r="O215" s="3519"/>
      <c r="P215" s="150"/>
      <c r="Q215" s="150"/>
      <c r="R215" s="1287"/>
      <c r="S215" s="1287"/>
      <c r="T215" s="149"/>
      <c r="U215" s="149"/>
      <c r="V215" s="150"/>
      <c r="W215" s="150"/>
      <c r="X215" s="150"/>
      <c r="Y215" s="150"/>
      <c r="Z215" s="150"/>
      <c r="AA215" s="150"/>
      <c r="AB215" s="150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  <c r="AN215" s="2826"/>
    </row>
    <row r="216" spans="2:42" s="2825" customFormat="1">
      <c r="B216" s="2935"/>
      <c r="D216" s="3161"/>
      <c r="F216" s="3026"/>
      <c r="G216" s="3027"/>
      <c r="H216" s="3027"/>
      <c r="I216" s="3027"/>
      <c r="J216" s="3027"/>
      <c r="K216" s="3027"/>
      <c r="L216" s="3027"/>
      <c r="M216" s="3517"/>
      <c r="N216" s="3518"/>
      <c r="O216" s="3519"/>
      <c r="P216" s="150"/>
      <c r="Q216" s="150"/>
      <c r="R216" s="1287"/>
      <c r="S216" s="1287"/>
      <c r="T216" s="149"/>
      <c r="U216" s="149"/>
      <c r="V216" s="150"/>
      <c r="W216" s="150"/>
      <c r="X216" s="150"/>
      <c r="Y216" s="150"/>
      <c r="Z216" s="150"/>
      <c r="AA216" s="150"/>
      <c r="AB216" s="150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  <c r="AN216" s="2826"/>
    </row>
    <row r="217" spans="2:42" s="2825" customFormat="1">
      <c r="B217" s="2935"/>
      <c r="D217" s="3161"/>
      <c r="F217" s="3026"/>
      <c r="G217" s="3027"/>
      <c r="H217" s="3027"/>
      <c r="I217" s="3027"/>
      <c r="J217" s="3027"/>
      <c r="K217" s="3027"/>
      <c r="L217" s="3027"/>
      <c r="M217" s="3517"/>
      <c r="N217" s="3518"/>
      <c r="O217" s="3519"/>
      <c r="P217" s="150"/>
      <c r="Q217" s="150"/>
      <c r="R217" s="1287"/>
      <c r="S217" s="1287"/>
      <c r="T217" s="149"/>
      <c r="U217" s="149"/>
      <c r="V217" s="150"/>
      <c r="W217" s="150"/>
      <c r="X217" s="150"/>
      <c r="Y217" s="150"/>
      <c r="Z217" s="150"/>
      <c r="AA217" s="150"/>
      <c r="AB217" s="150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  <c r="AN217" s="2826"/>
    </row>
    <row r="218" spans="2:42" s="2825" customFormat="1">
      <c r="B218" s="2935"/>
      <c r="D218" s="3161"/>
      <c r="F218" s="3026"/>
      <c r="G218" s="3027"/>
      <c r="H218" s="3027"/>
      <c r="I218" s="3027"/>
      <c r="J218" s="3027"/>
      <c r="K218" s="3027"/>
      <c r="L218" s="3027"/>
      <c r="M218" s="3517"/>
      <c r="N218" s="3518"/>
      <c r="O218" s="3519"/>
      <c r="P218" s="150"/>
      <c r="Q218" s="150"/>
      <c r="R218" s="1287"/>
      <c r="S218" s="1287"/>
      <c r="T218" s="149"/>
      <c r="U218" s="149"/>
      <c r="V218" s="150"/>
      <c r="W218" s="150"/>
      <c r="X218" s="150"/>
      <c r="Y218" s="150"/>
      <c r="Z218" s="150"/>
      <c r="AA218" s="150"/>
      <c r="AB218" s="150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  <c r="AN218" s="2826"/>
    </row>
    <row r="219" spans="2:42" s="2825" customFormat="1">
      <c r="B219" s="2935"/>
      <c r="D219" s="3161"/>
      <c r="F219" s="3026"/>
      <c r="G219" s="3027"/>
      <c r="H219" s="3027"/>
      <c r="I219" s="3027"/>
      <c r="J219" s="3027"/>
      <c r="K219" s="3027"/>
      <c r="L219" s="3027"/>
      <c r="M219" s="3517"/>
      <c r="N219" s="3518"/>
      <c r="O219" s="3519"/>
      <c r="P219" s="150"/>
      <c r="Q219" s="150"/>
      <c r="R219" s="1287"/>
      <c r="S219" s="1287"/>
      <c r="T219" s="149"/>
      <c r="U219" s="149"/>
      <c r="V219" s="150"/>
      <c r="W219" s="150"/>
      <c r="X219" s="150"/>
      <c r="Y219" s="150"/>
      <c r="Z219" s="150"/>
      <c r="AA219" s="150"/>
      <c r="AB219" s="150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  <c r="AN219" s="2826"/>
    </row>
    <row r="220" spans="2:42" s="2825" customFormat="1">
      <c r="B220" s="2935"/>
      <c r="D220" s="3161"/>
      <c r="F220" s="3026"/>
      <c r="G220" s="3027"/>
      <c r="H220" s="3027"/>
      <c r="I220" s="3027"/>
      <c r="J220" s="3027"/>
      <c r="K220" s="3027"/>
      <c r="L220" s="3027"/>
      <c r="M220" s="3517"/>
      <c r="N220" s="3518"/>
      <c r="O220" s="3519"/>
      <c r="P220" s="150"/>
      <c r="Q220" s="150"/>
      <c r="R220" s="1287"/>
      <c r="S220" s="1287"/>
      <c r="T220" s="149"/>
      <c r="U220" s="149"/>
      <c r="V220" s="150"/>
      <c r="W220" s="150"/>
      <c r="X220" s="150"/>
      <c r="Y220" s="150"/>
      <c r="Z220" s="150"/>
      <c r="AA220" s="150"/>
      <c r="AB220" s="150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  <c r="AN220" s="2826"/>
    </row>
    <row r="221" spans="2:42" s="2825" customFormat="1">
      <c r="B221" s="2935"/>
      <c r="D221" s="3161"/>
      <c r="F221" s="3026"/>
      <c r="G221" s="3027"/>
      <c r="H221" s="3027"/>
      <c r="I221" s="3027"/>
      <c r="J221" s="3027"/>
      <c r="K221" s="3027"/>
      <c r="L221" s="3027"/>
      <c r="M221" s="3517"/>
      <c r="N221" s="3518"/>
      <c r="O221" s="3519"/>
      <c r="P221" s="150"/>
      <c r="Q221" s="150"/>
      <c r="R221" s="1287"/>
      <c r="S221" s="1287"/>
      <c r="T221" s="149"/>
      <c r="U221" s="149"/>
      <c r="V221" s="150"/>
      <c r="W221" s="150"/>
      <c r="X221" s="150"/>
      <c r="Y221" s="150"/>
      <c r="Z221" s="150"/>
      <c r="AA221" s="150"/>
      <c r="AB221" s="150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  <c r="AN221" s="2826"/>
    </row>
    <row r="222" spans="2:42" s="2825" customFormat="1">
      <c r="B222" s="2935"/>
      <c r="D222" s="3161"/>
      <c r="F222" s="3026"/>
      <c r="G222" s="3027"/>
      <c r="H222" s="3027"/>
      <c r="I222" s="3027"/>
      <c r="J222" s="3027"/>
      <c r="K222" s="3027"/>
      <c r="L222" s="3027"/>
      <c r="M222" s="3517"/>
      <c r="N222" s="3518"/>
      <c r="O222" s="3519"/>
      <c r="P222" s="150"/>
      <c r="Q222" s="150"/>
      <c r="R222" s="1287"/>
      <c r="S222" s="1287"/>
      <c r="T222" s="149"/>
      <c r="U222" s="149"/>
      <c r="V222" s="150"/>
      <c r="W222" s="150"/>
      <c r="X222" s="150"/>
      <c r="Y222" s="150"/>
      <c r="Z222" s="150"/>
      <c r="AA222" s="150"/>
      <c r="AB222" s="150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  <c r="AN222" s="2826"/>
    </row>
    <row r="223" spans="2:42" s="2825" customFormat="1">
      <c r="B223" s="2935"/>
      <c r="D223" s="3161"/>
      <c r="F223" s="3026"/>
      <c r="G223" s="3027"/>
      <c r="H223" s="3027"/>
      <c r="I223" s="3027"/>
      <c r="J223" s="3027"/>
      <c r="K223" s="3027"/>
      <c r="L223" s="3027"/>
      <c r="M223" s="3517"/>
      <c r="N223" s="3518"/>
      <c r="O223" s="3519"/>
      <c r="P223" s="150"/>
      <c r="Q223" s="150"/>
      <c r="R223" s="1287"/>
      <c r="S223" s="1287"/>
      <c r="T223" s="149"/>
      <c r="U223" s="149"/>
      <c r="V223" s="150"/>
      <c r="W223" s="150"/>
      <c r="X223" s="150"/>
      <c r="Y223" s="150"/>
      <c r="Z223" s="150"/>
      <c r="AA223" s="150"/>
      <c r="AB223" s="150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  <c r="AN223" s="2826"/>
    </row>
    <row r="224" spans="2:42" s="2825" customFormat="1">
      <c r="B224" s="2935"/>
      <c r="D224" s="3161"/>
      <c r="F224" s="3026"/>
      <c r="G224" s="3027"/>
      <c r="H224" s="3027"/>
      <c r="I224" s="3027"/>
      <c r="J224" s="3027"/>
      <c r="K224" s="3027"/>
      <c r="L224" s="3027"/>
      <c r="M224" s="3517"/>
      <c r="N224" s="3518"/>
      <c r="O224" s="3519"/>
      <c r="P224" s="150"/>
      <c r="Q224" s="150"/>
      <c r="R224" s="1287"/>
      <c r="S224" s="1287"/>
      <c r="T224" s="149"/>
      <c r="U224" s="149"/>
      <c r="V224" s="150"/>
      <c r="W224" s="150"/>
      <c r="X224" s="150"/>
      <c r="Y224" s="150"/>
      <c r="Z224" s="150"/>
      <c r="AA224" s="150"/>
      <c r="AB224" s="150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  <c r="AN224" s="2826"/>
    </row>
    <row r="225" spans="2:40" s="2825" customFormat="1">
      <c r="B225" s="2935"/>
      <c r="D225" s="3161"/>
      <c r="F225" s="3026"/>
      <c r="G225" s="3027"/>
      <c r="H225" s="3027"/>
      <c r="I225" s="3027"/>
      <c r="J225" s="3027"/>
      <c r="K225" s="3027"/>
      <c r="L225" s="3027"/>
      <c r="M225" s="3517"/>
      <c r="N225" s="3518"/>
      <c r="O225" s="3519"/>
      <c r="P225" s="150"/>
      <c r="Q225" s="150"/>
      <c r="R225" s="1287"/>
      <c r="S225" s="1287"/>
      <c r="T225" s="149"/>
      <c r="U225" s="149"/>
      <c r="V225" s="150"/>
      <c r="W225" s="150"/>
      <c r="X225" s="150"/>
      <c r="Y225" s="150"/>
      <c r="Z225" s="150"/>
      <c r="AA225" s="150"/>
      <c r="AB225" s="150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  <c r="AN225" s="2826"/>
    </row>
    <row r="226" spans="2:40" s="2825" customFormat="1">
      <c r="B226" s="2935"/>
      <c r="D226" s="3161"/>
      <c r="F226" s="3026"/>
      <c r="G226" s="3027"/>
      <c r="H226" s="3027"/>
      <c r="I226" s="3027"/>
      <c r="J226" s="3027"/>
      <c r="K226" s="3027"/>
      <c r="L226" s="3027"/>
      <c r="M226" s="3517"/>
      <c r="N226" s="3518"/>
      <c r="O226" s="3519"/>
      <c r="P226" s="150"/>
      <c r="Q226" s="150"/>
      <c r="R226" s="1287"/>
      <c r="S226" s="1287"/>
      <c r="T226" s="149"/>
      <c r="U226" s="149"/>
      <c r="V226" s="150"/>
      <c r="W226" s="150"/>
      <c r="X226" s="150"/>
      <c r="Y226" s="150"/>
      <c r="Z226" s="150"/>
      <c r="AA226" s="150"/>
      <c r="AB226" s="150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  <c r="AN226" s="2826"/>
    </row>
    <row r="227" spans="2:40" s="2825" customFormat="1">
      <c r="B227" s="2935"/>
      <c r="D227" s="3161"/>
      <c r="F227" s="3026"/>
      <c r="G227" s="3027"/>
      <c r="H227" s="3027"/>
      <c r="I227" s="3027"/>
      <c r="J227" s="3027"/>
      <c r="K227" s="3027"/>
      <c r="L227" s="3027"/>
      <c r="M227" s="3517"/>
      <c r="N227" s="3518"/>
      <c r="O227" s="3519"/>
      <c r="P227" s="150"/>
      <c r="Q227" s="150"/>
      <c r="R227" s="1287"/>
      <c r="S227" s="1287"/>
      <c r="T227" s="149"/>
      <c r="U227" s="149"/>
      <c r="V227" s="150"/>
      <c r="W227" s="150"/>
      <c r="X227" s="150"/>
      <c r="Y227" s="150"/>
      <c r="Z227" s="150"/>
      <c r="AA227" s="150"/>
      <c r="AB227" s="150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  <c r="AN227" s="2826"/>
    </row>
    <row r="228" spans="2:40" s="2825" customFormat="1">
      <c r="B228" s="2935"/>
      <c r="D228" s="3161"/>
      <c r="F228" s="3026"/>
      <c r="G228" s="3027"/>
      <c r="H228" s="3027"/>
      <c r="I228" s="3027"/>
      <c r="J228" s="3027"/>
      <c r="K228" s="3027"/>
      <c r="L228" s="3027"/>
      <c r="M228" s="3517"/>
      <c r="N228" s="3518"/>
      <c r="O228" s="3519"/>
      <c r="P228" s="150"/>
      <c r="Q228" s="150"/>
      <c r="R228" s="1287"/>
      <c r="S228" s="1287"/>
      <c r="T228" s="149"/>
      <c r="U228" s="149"/>
      <c r="V228" s="150"/>
      <c r="W228" s="150"/>
      <c r="X228" s="150"/>
      <c r="Y228" s="150"/>
      <c r="Z228" s="150"/>
      <c r="AA228" s="150"/>
      <c r="AB228" s="150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  <c r="AN228" s="2826"/>
    </row>
    <row r="229" spans="2:40" s="2825" customFormat="1">
      <c r="B229" s="2935"/>
      <c r="D229" s="3161"/>
      <c r="F229" s="3026"/>
      <c r="G229" s="3027"/>
      <c r="H229" s="3027"/>
      <c r="I229" s="3027"/>
      <c r="J229" s="3027"/>
      <c r="K229" s="3027"/>
      <c r="L229" s="3027"/>
      <c r="M229" s="3517"/>
      <c r="N229" s="3518"/>
      <c r="O229" s="3519"/>
      <c r="P229" s="150"/>
      <c r="Q229" s="150"/>
      <c r="R229" s="1287"/>
      <c r="S229" s="1287"/>
      <c r="T229" s="149"/>
      <c r="U229" s="149"/>
      <c r="V229" s="150"/>
      <c r="W229" s="150"/>
      <c r="X229" s="150"/>
      <c r="Y229" s="150"/>
      <c r="Z229" s="150"/>
      <c r="AA229" s="150"/>
      <c r="AB229" s="150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  <c r="AN229" s="2826"/>
    </row>
    <row r="230" spans="2:40" s="2825" customFormat="1">
      <c r="B230" s="2935"/>
      <c r="D230" s="3161"/>
      <c r="F230" s="3026"/>
      <c r="G230" s="3027"/>
      <c r="H230" s="3027"/>
      <c r="I230" s="3027"/>
      <c r="J230" s="3027"/>
      <c r="K230" s="3027"/>
      <c r="L230" s="3027"/>
      <c r="M230" s="3517"/>
      <c r="N230" s="3518"/>
      <c r="O230" s="3519"/>
      <c r="P230" s="150"/>
      <c r="Q230" s="150"/>
      <c r="R230" s="1287"/>
      <c r="S230" s="1287"/>
      <c r="T230" s="149"/>
      <c r="U230" s="149"/>
      <c r="V230" s="150"/>
      <c r="W230" s="150"/>
      <c r="X230" s="150"/>
      <c r="Y230" s="150"/>
      <c r="Z230" s="150"/>
      <c r="AA230" s="150"/>
      <c r="AB230" s="150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  <c r="AN230" s="2826"/>
    </row>
    <row r="231" spans="2:40" s="2825" customFormat="1">
      <c r="B231" s="2935"/>
      <c r="D231" s="3161"/>
      <c r="F231" s="3026"/>
      <c r="G231" s="3027"/>
      <c r="H231" s="3027"/>
      <c r="I231" s="3027"/>
      <c r="J231" s="3027"/>
      <c r="K231" s="3027"/>
      <c r="L231" s="3027"/>
      <c r="M231" s="3517"/>
      <c r="N231" s="3518"/>
      <c r="O231" s="3519"/>
      <c r="P231" s="150"/>
      <c r="Q231" s="150"/>
      <c r="R231" s="1287"/>
      <c r="S231" s="1287"/>
      <c r="T231" s="149"/>
      <c r="U231" s="149"/>
      <c r="V231" s="150"/>
      <c r="W231" s="150"/>
      <c r="X231" s="150"/>
      <c r="Y231" s="150"/>
      <c r="Z231" s="150"/>
      <c r="AA231" s="150"/>
      <c r="AB231" s="150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  <c r="AN231" s="2826"/>
    </row>
    <row r="232" spans="2:40" s="2825" customFormat="1">
      <c r="B232" s="2935"/>
      <c r="D232" s="3161"/>
      <c r="F232" s="3026"/>
      <c r="G232" s="3027"/>
      <c r="H232" s="3027"/>
      <c r="I232" s="3027"/>
      <c r="J232" s="3027"/>
      <c r="K232" s="3027"/>
      <c r="L232" s="3027"/>
      <c r="M232" s="3517"/>
      <c r="N232" s="3518"/>
      <c r="O232" s="3519"/>
      <c r="P232" s="150"/>
      <c r="Q232" s="150"/>
      <c r="R232" s="1287"/>
      <c r="S232" s="1287"/>
      <c r="T232" s="149"/>
      <c r="U232" s="149"/>
      <c r="V232" s="150"/>
      <c r="W232" s="150"/>
      <c r="X232" s="150"/>
      <c r="Y232" s="150"/>
      <c r="Z232" s="150"/>
      <c r="AA232" s="150"/>
      <c r="AB232" s="150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  <c r="AN232" s="2826"/>
    </row>
    <row r="233" spans="2:40" s="2825" customFormat="1">
      <c r="B233" s="2935"/>
      <c r="D233" s="3161"/>
      <c r="F233" s="3026"/>
      <c r="G233" s="3027"/>
      <c r="H233" s="3027"/>
      <c r="I233" s="3027"/>
      <c r="J233" s="3027"/>
      <c r="K233" s="3027"/>
      <c r="L233" s="3027"/>
      <c r="M233" s="3517"/>
      <c r="N233" s="3518"/>
      <c r="O233" s="3519"/>
      <c r="P233" s="150"/>
      <c r="Q233" s="150"/>
      <c r="R233" s="1287"/>
      <c r="S233" s="1287"/>
      <c r="T233" s="149"/>
      <c r="U233" s="149"/>
      <c r="V233" s="150"/>
      <c r="W233" s="150"/>
      <c r="X233" s="150"/>
      <c r="Y233" s="150"/>
      <c r="Z233" s="150"/>
      <c r="AA233" s="150"/>
      <c r="AB233" s="150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  <c r="AN233" s="2826"/>
    </row>
    <row r="234" spans="2:40" s="2825" customFormat="1">
      <c r="B234" s="2935"/>
      <c r="D234" s="3161"/>
      <c r="F234" s="3026"/>
      <c r="G234" s="3027"/>
      <c r="H234" s="3027"/>
      <c r="I234" s="3027"/>
      <c r="J234" s="3027"/>
      <c r="K234" s="3027"/>
      <c r="L234" s="3027"/>
      <c r="M234" s="3517"/>
      <c r="N234" s="3518"/>
      <c r="O234" s="3519"/>
      <c r="P234" s="150"/>
      <c r="Q234" s="150"/>
      <c r="R234" s="1287"/>
      <c r="S234" s="1287"/>
      <c r="T234" s="149"/>
      <c r="U234" s="149"/>
      <c r="V234" s="150"/>
      <c r="W234" s="150"/>
      <c r="X234" s="150"/>
      <c r="Y234" s="150"/>
      <c r="Z234" s="150"/>
      <c r="AA234" s="150"/>
      <c r="AB234" s="150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  <c r="AN234" s="2826"/>
    </row>
    <row r="235" spans="2:40" s="2825" customFormat="1">
      <c r="B235" s="2935"/>
      <c r="D235" s="3161"/>
      <c r="F235" s="3026"/>
      <c r="G235" s="3027"/>
      <c r="H235" s="3027"/>
      <c r="I235" s="3027"/>
      <c r="J235" s="3027"/>
      <c r="K235" s="3027"/>
      <c r="L235" s="3027"/>
      <c r="M235" s="3517"/>
      <c r="N235" s="3518"/>
      <c r="O235" s="3519"/>
      <c r="P235" s="150"/>
      <c r="Q235" s="150"/>
      <c r="R235" s="1287"/>
      <c r="S235" s="1287"/>
      <c r="T235" s="149"/>
      <c r="U235" s="149"/>
      <c r="V235" s="150"/>
      <c r="W235" s="150"/>
      <c r="X235" s="150"/>
      <c r="Y235" s="150"/>
      <c r="Z235" s="150"/>
      <c r="AA235" s="150"/>
      <c r="AB235" s="150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  <c r="AN235" s="2826"/>
    </row>
    <row r="236" spans="2:40" s="2825" customFormat="1">
      <c r="B236" s="2935"/>
      <c r="D236" s="3161"/>
      <c r="F236" s="3026"/>
      <c r="G236" s="3027"/>
      <c r="H236" s="3027"/>
      <c r="I236" s="3027"/>
      <c r="J236" s="3027"/>
      <c r="K236" s="3027"/>
      <c r="L236" s="3027"/>
      <c r="M236" s="3517"/>
      <c r="N236" s="3518"/>
      <c r="O236" s="3519"/>
      <c r="P236" s="150"/>
      <c r="Q236" s="150"/>
      <c r="R236" s="1287"/>
      <c r="S236" s="1287"/>
      <c r="T236" s="149"/>
      <c r="U236" s="149"/>
      <c r="V236" s="150"/>
      <c r="W236" s="150"/>
      <c r="X236" s="150"/>
      <c r="Y236" s="150"/>
      <c r="Z236" s="150"/>
      <c r="AA236" s="150"/>
      <c r="AB236" s="150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  <c r="AN236" s="2826"/>
    </row>
    <row r="237" spans="2:40" s="2825" customFormat="1">
      <c r="B237" s="2935"/>
      <c r="D237" s="3161"/>
      <c r="F237" s="3026"/>
      <c r="G237" s="3027"/>
      <c r="H237" s="3027"/>
      <c r="I237" s="3027"/>
      <c r="J237" s="3027"/>
      <c r="K237" s="3027"/>
      <c r="L237" s="3027"/>
      <c r="M237" s="3517"/>
      <c r="N237" s="3518"/>
      <c r="O237" s="3519"/>
      <c r="P237" s="150"/>
      <c r="Q237" s="150"/>
      <c r="R237" s="1287"/>
      <c r="S237" s="1287"/>
      <c r="T237" s="149"/>
      <c r="U237" s="149"/>
      <c r="V237" s="150"/>
      <c r="W237" s="150"/>
      <c r="X237" s="150"/>
      <c r="Y237" s="150"/>
      <c r="Z237" s="150"/>
      <c r="AA237" s="150"/>
      <c r="AB237" s="150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  <c r="AN237" s="2826"/>
    </row>
    <row r="238" spans="2:40" s="2825" customFormat="1">
      <c r="B238" s="2935"/>
      <c r="D238" s="3161"/>
      <c r="F238" s="3026"/>
      <c r="G238" s="3027"/>
      <c r="H238" s="3027"/>
      <c r="I238" s="3027"/>
      <c r="J238" s="3027"/>
      <c r="K238" s="3027"/>
      <c r="L238" s="3027"/>
      <c r="M238" s="3517"/>
      <c r="N238" s="3518"/>
      <c r="O238" s="3519"/>
      <c r="P238" s="150"/>
      <c r="Q238" s="150"/>
      <c r="R238" s="1287"/>
      <c r="S238" s="1287"/>
      <c r="T238" s="149"/>
      <c r="U238" s="149"/>
      <c r="V238" s="150"/>
      <c r="W238" s="150"/>
      <c r="X238" s="150"/>
      <c r="Y238" s="150"/>
      <c r="Z238" s="150"/>
      <c r="AA238" s="150"/>
      <c r="AB238" s="150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  <c r="AN238" s="2826"/>
    </row>
    <row r="239" spans="2:40" s="2825" customFormat="1">
      <c r="B239" s="2935"/>
      <c r="D239" s="3161"/>
      <c r="F239" s="3026"/>
      <c r="G239" s="3027"/>
      <c r="H239" s="3027"/>
      <c r="I239" s="3027"/>
      <c r="J239" s="3027"/>
      <c r="K239" s="3027"/>
      <c r="L239" s="3027"/>
      <c r="M239" s="3517"/>
      <c r="N239" s="3518"/>
      <c r="O239" s="3519"/>
      <c r="P239" s="150"/>
      <c r="Q239" s="150"/>
      <c r="R239" s="1287"/>
      <c r="S239" s="1287"/>
      <c r="T239" s="149"/>
      <c r="U239" s="149"/>
      <c r="V239" s="150"/>
      <c r="W239" s="150"/>
      <c r="X239" s="150"/>
      <c r="Y239" s="150"/>
      <c r="Z239" s="150"/>
      <c r="AA239" s="150"/>
      <c r="AB239" s="150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  <c r="AN239" s="2826"/>
    </row>
    <row r="240" spans="2:40" s="2825" customFormat="1">
      <c r="B240" s="2935"/>
      <c r="D240" s="3161"/>
      <c r="F240" s="3026"/>
      <c r="G240" s="3027"/>
      <c r="H240" s="3027"/>
      <c r="I240" s="3027"/>
      <c r="J240" s="3027"/>
      <c r="K240" s="3027"/>
      <c r="L240" s="3027"/>
      <c r="M240" s="3517"/>
      <c r="N240" s="3518"/>
      <c r="O240" s="3519"/>
      <c r="P240" s="150"/>
      <c r="Q240" s="150"/>
      <c r="R240" s="1287"/>
      <c r="S240" s="1287"/>
      <c r="T240" s="149"/>
      <c r="U240" s="149"/>
      <c r="V240" s="150"/>
      <c r="W240" s="150"/>
      <c r="X240" s="150"/>
      <c r="Y240" s="150"/>
      <c r="Z240" s="150"/>
      <c r="AA240" s="150"/>
      <c r="AB240" s="150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  <c r="AN240" s="2826"/>
    </row>
    <row r="241" spans="1:41">
      <c r="A241" s="1"/>
      <c r="P241" s="1215"/>
      <c r="Q241" s="1215"/>
      <c r="R241" s="1293"/>
      <c r="S241" s="1293"/>
      <c r="T241" s="251"/>
      <c r="U241" s="251"/>
      <c r="V241" s="1132"/>
      <c r="W241" s="1132"/>
      <c r="X241" s="1132"/>
      <c r="Y241" s="1132"/>
      <c r="Z241" s="1132"/>
      <c r="AA241" s="1132"/>
      <c r="AB241" s="1132"/>
      <c r="AO241" s="1"/>
    </row>
    <row r="242" spans="1:41">
      <c r="A242" s="1"/>
      <c r="P242" s="1215"/>
      <c r="Q242" s="1215"/>
      <c r="R242" s="1293"/>
      <c r="S242" s="1293"/>
      <c r="T242" s="251"/>
      <c r="U242" s="251"/>
      <c r="V242" s="1132"/>
      <c r="W242" s="1132"/>
      <c r="X242" s="1132"/>
      <c r="Y242" s="1132"/>
      <c r="Z242" s="1132"/>
      <c r="AA242" s="1132"/>
      <c r="AB242" s="1132"/>
      <c r="AO242" s="1"/>
    </row>
    <row r="243" spans="1:41">
      <c r="A243" s="1"/>
      <c r="P243" s="1215"/>
      <c r="Q243" s="1215"/>
      <c r="R243" s="1293"/>
      <c r="S243" s="1293"/>
      <c r="T243" s="251"/>
      <c r="U243" s="251"/>
      <c r="V243" s="1132"/>
      <c r="W243" s="1132"/>
      <c r="X243" s="1132"/>
      <c r="Y243" s="1132"/>
      <c r="Z243" s="1132"/>
      <c r="AA243" s="1132"/>
      <c r="AB243" s="1132"/>
      <c r="AO243" s="1"/>
    </row>
    <row r="244" spans="1:41">
      <c r="A244" s="1"/>
      <c r="P244" s="1215"/>
      <c r="Q244" s="1215"/>
      <c r="R244" s="1293"/>
      <c r="S244" s="1293"/>
      <c r="T244" s="251"/>
      <c r="U244" s="251"/>
      <c r="V244" s="1132"/>
      <c r="W244" s="1132"/>
      <c r="X244" s="1132"/>
      <c r="Y244" s="1132"/>
      <c r="Z244" s="1132"/>
      <c r="AA244" s="1132"/>
      <c r="AB244" s="1132"/>
      <c r="AO244" s="1"/>
    </row>
    <row r="245" spans="1:41">
      <c r="A245" s="1"/>
      <c r="P245" s="1215"/>
      <c r="Q245" s="1215"/>
      <c r="R245" s="1293"/>
      <c r="S245" s="1293"/>
      <c r="T245" s="251"/>
      <c r="U245" s="251"/>
      <c r="V245" s="1132"/>
      <c r="W245" s="1132"/>
      <c r="X245" s="1132"/>
      <c r="Y245" s="1132"/>
      <c r="Z245" s="1132"/>
      <c r="AA245" s="1132"/>
      <c r="AB245" s="1132"/>
      <c r="AO245" s="1"/>
    </row>
    <row r="246" spans="1:41">
      <c r="A246" s="1"/>
      <c r="P246" s="1215"/>
      <c r="Q246" s="1215"/>
      <c r="R246" s="1293"/>
      <c r="S246" s="1293"/>
      <c r="T246" s="251"/>
      <c r="U246" s="251"/>
      <c r="V246" s="1132"/>
      <c r="W246" s="1132"/>
      <c r="X246" s="1132"/>
      <c r="Y246" s="1132"/>
      <c r="Z246" s="1132"/>
      <c r="AA246" s="1132"/>
      <c r="AB246" s="1132"/>
      <c r="AO246" s="1"/>
    </row>
    <row r="247" spans="1:41">
      <c r="A247" s="1"/>
      <c r="B247" s="1"/>
      <c r="D247" s="1"/>
      <c r="F247" s="1"/>
      <c r="G247" s="1"/>
      <c r="H247" s="1"/>
      <c r="I247" s="1"/>
      <c r="J247" s="1"/>
      <c r="K247" s="1"/>
      <c r="L247" s="1"/>
      <c r="M247" s="3521"/>
      <c r="N247" s="2914"/>
      <c r="O247" s="2914"/>
      <c r="P247" s="1215"/>
      <c r="Q247" s="1215"/>
      <c r="R247" s="1293"/>
      <c r="S247" s="1293"/>
      <c r="T247" s="251"/>
      <c r="U247" s="251"/>
      <c r="V247" s="1132"/>
      <c r="W247" s="1132"/>
      <c r="X247" s="1132"/>
      <c r="Y247" s="1132"/>
      <c r="Z247" s="1132"/>
      <c r="AA247" s="1132"/>
      <c r="AB247" s="1132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1:41">
      <c r="A248" s="1"/>
      <c r="B248" s="1"/>
      <c r="D248" s="1"/>
      <c r="F248" s="1"/>
      <c r="G248" s="1"/>
      <c r="H248" s="1"/>
      <c r="I248" s="1"/>
      <c r="J248" s="1"/>
      <c r="K248" s="1"/>
      <c r="L248" s="1"/>
      <c r="M248" s="3521"/>
      <c r="N248" s="2914"/>
      <c r="O248" s="2914"/>
      <c r="P248" s="1215"/>
      <c r="Q248" s="1215"/>
      <c r="R248" s="1293"/>
      <c r="S248" s="1293"/>
      <c r="T248" s="251"/>
      <c r="U248" s="251"/>
      <c r="V248" s="1132"/>
      <c r="W248" s="1132"/>
      <c r="X248" s="1132"/>
      <c r="Y248" s="1132"/>
      <c r="Z248" s="1132"/>
      <c r="AA248" s="1132"/>
      <c r="AB248" s="1132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1:41">
      <c r="A249" s="1"/>
      <c r="B249" s="1"/>
      <c r="D249" s="1"/>
      <c r="F249" s="1"/>
      <c r="G249" s="1"/>
      <c r="H249" s="1"/>
      <c r="I249" s="1"/>
      <c r="J249" s="1"/>
      <c r="K249" s="1"/>
      <c r="L249" s="1"/>
      <c r="M249" s="3521"/>
      <c r="N249" s="2914"/>
      <c r="O249" s="2914"/>
      <c r="P249" s="1215"/>
      <c r="Q249" s="1215"/>
      <c r="R249" s="1293"/>
      <c r="S249" s="1293"/>
      <c r="T249" s="251"/>
      <c r="U249" s="251"/>
      <c r="V249" s="1132"/>
      <c r="W249" s="1132"/>
      <c r="X249" s="1132"/>
      <c r="Y249" s="1132"/>
      <c r="Z249" s="1132"/>
      <c r="AA249" s="1132"/>
      <c r="AB249" s="1132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1:41">
      <c r="A250" s="1"/>
      <c r="B250" s="1"/>
      <c r="D250" s="1"/>
      <c r="F250" s="1"/>
      <c r="G250" s="1"/>
      <c r="H250" s="1"/>
      <c r="I250" s="1"/>
      <c r="J250" s="1"/>
      <c r="K250" s="1"/>
      <c r="L250" s="1"/>
      <c r="M250" s="3521"/>
      <c r="N250" s="2914"/>
      <c r="O250" s="2914"/>
      <c r="P250" s="1215"/>
      <c r="Q250" s="1215"/>
      <c r="R250" s="1293"/>
      <c r="S250" s="1293"/>
      <c r="T250" s="251"/>
      <c r="U250" s="251"/>
      <c r="V250" s="1132"/>
      <c r="W250" s="1132"/>
      <c r="X250" s="1132"/>
      <c r="Y250" s="1132"/>
      <c r="Z250" s="1132"/>
      <c r="AA250" s="1132"/>
      <c r="AB250" s="1132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1:41">
      <c r="A251" s="1"/>
      <c r="B251" s="1"/>
      <c r="D251" s="1"/>
      <c r="F251" s="1"/>
      <c r="G251" s="1"/>
      <c r="H251" s="1"/>
      <c r="I251" s="1"/>
      <c r="J251" s="1"/>
      <c r="K251" s="1"/>
      <c r="L251" s="1"/>
      <c r="M251" s="3521"/>
      <c r="N251" s="2914"/>
      <c r="O251" s="2914"/>
      <c r="P251" s="1215"/>
      <c r="Q251" s="1215"/>
      <c r="R251" s="1293"/>
      <c r="S251" s="1293"/>
      <c r="T251" s="251"/>
      <c r="U251" s="251"/>
      <c r="V251" s="1132"/>
      <c r="W251" s="1132"/>
      <c r="X251" s="1132"/>
      <c r="Y251" s="1132"/>
      <c r="Z251" s="1132"/>
      <c r="AA251" s="1132"/>
      <c r="AB251" s="1132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1:41">
      <c r="A252" s="1"/>
      <c r="B252" s="1"/>
      <c r="D252" s="1"/>
      <c r="F252" s="1"/>
      <c r="G252" s="1"/>
      <c r="H252" s="1"/>
      <c r="I252" s="1"/>
      <c r="J252" s="1"/>
      <c r="K252" s="1"/>
      <c r="L252" s="1"/>
      <c r="M252" s="3521"/>
      <c r="N252" s="2914"/>
      <c r="O252" s="2914"/>
      <c r="P252" s="1215"/>
      <c r="Q252" s="1215"/>
      <c r="R252" s="1293"/>
      <c r="S252" s="1293"/>
      <c r="T252" s="251"/>
      <c r="U252" s="251"/>
      <c r="V252" s="1132"/>
      <c r="W252" s="1132"/>
      <c r="X252" s="1132"/>
      <c r="Y252" s="1132"/>
      <c r="Z252" s="1132"/>
      <c r="AA252" s="1132"/>
      <c r="AB252" s="1132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1:41">
      <c r="A253" s="1"/>
      <c r="B253" s="1"/>
      <c r="D253" s="1"/>
      <c r="F253" s="1"/>
      <c r="G253" s="1"/>
      <c r="H253" s="1"/>
      <c r="I253" s="1"/>
      <c r="J253" s="1"/>
      <c r="K253" s="1"/>
      <c r="L253" s="1"/>
      <c r="M253" s="3521"/>
      <c r="N253" s="2914"/>
      <c r="O253" s="2914"/>
      <c r="P253" s="1215"/>
      <c r="Q253" s="1215"/>
      <c r="R253" s="1293"/>
      <c r="S253" s="1293"/>
      <c r="T253" s="251"/>
      <c r="U253" s="251"/>
      <c r="V253" s="1132"/>
      <c r="W253" s="1132"/>
      <c r="X253" s="1132"/>
      <c r="Y253" s="1132"/>
      <c r="Z253" s="1132"/>
      <c r="AA253" s="1132"/>
      <c r="AB253" s="1132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</row>
  </sheetData>
  <mergeCells count="1">
    <mergeCell ref="R80:S80"/>
  </mergeCells>
  <conditionalFormatting sqref="H8 H10">
    <cfRule type="cellIs" dxfId="173" priority="6" stopIfTrue="1" operator="equal">
      <formula>1</formula>
    </cfRule>
  </conditionalFormatting>
  <conditionalFormatting sqref="F8:G8 D8 D10 F10:G10 I8:L8 I10:L10">
    <cfRule type="cellIs" dxfId="172" priority="7" stopIfTrue="1" operator="equal">
      <formula>1</formula>
    </cfRule>
  </conditionalFormatting>
  <conditionalFormatting sqref="H22">
    <cfRule type="cellIs" dxfId="171" priority="4" stopIfTrue="1" operator="equal">
      <formula>1</formula>
    </cfRule>
  </conditionalFormatting>
  <conditionalFormatting sqref="D22 F22:G22 I22:L22">
    <cfRule type="cellIs" dxfId="170" priority="5" stopIfTrue="1" operator="equal">
      <formula>1</formula>
    </cfRule>
  </conditionalFormatting>
  <conditionalFormatting sqref="I24:L24">
    <cfRule type="cellIs" dxfId="169" priority="2" stopIfTrue="1" operator="equal">
      <formula>1</formula>
    </cfRule>
  </conditionalFormatting>
  <conditionalFormatting sqref="D24 F24:G24">
    <cfRule type="cellIs" dxfId="168" priority="3" stopIfTrue="1" operator="equal">
      <formula>1</formula>
    </cfRule>
  </conditionalFormatting>
  <conditionalFormatting sqref="H24">
    <cfRule type="cellIs" dxfId="167" priority="1" stopIfTrue="1" operator="equal">
      <formula>1</formula>
    </cfRule>
  </conditionalFormatting>
  <printOptions horizontalCentered="1" verticalCentered="1"/>
  <pageMargins left="0" right="0" top="0.39370078740157483" bottom="0" header="0.19685039370078741" footer="0"/>
  <pageSetup paperSize="9" scale="91" fitToHeight="2" orientation="landscape" horizontalDpi="0" verticalDpi="0"/>
  <headerFooter>
    <oddHeader>&amp;L&amp;K000000&amp;Z&amp;F&amp;F&amp;A</oddHeader>
  </headerFooter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9696-D92F-304F-9453-3BE8E395E120}">
  <sheetPr codeName="Hoja47"/>
  <dimension ref="A1:AO298"/>
  <sheetViews>
    <sheetView topLeftCell="J64" zoomScale="270" zoomScaleNormal="180" workbookViewId="0">
      <selection activeCell="F72" sqref="F72"/>
    </sheetView>
  </sheetViews>
  <sheetFormatPr baseColWidth="10" defaultColWidth="11.5" defaultRowHeight="14" customHeight="1"/>
  <cols>
    <col min="1" max="1" width="2.83203125" style="5007" customWidth="1"/>
    <col min="2" max="2" width="2.83203125" style="5008" customWidth="1"/>
    <col min="3" max="3" width="1.83203125" style="4995" customWidth="1"/>
    <col min="4" max="4" width="1.6640625" style="5009" customWidth="1"/>
    <col min="5" max="5" width="0.83203125" style="5143" customWidth="1"/>
    <col min="6" max="6" width="3" style="4998" customWidth="1"/>
    <col min="7" max="7" width="2.83203125" style="4999" customWidth="1"/>
    <col min="8" max="8" width="4.33203125" style="4999" customWidth="1"/>
    <col min="9" max="9" width="6" style="4999" customWidth="1"/>
    <col min="10" max="10" width="7.1640625" style="4999" customWidth="1"/>
    <col min="11" max="11" width="7" style="4999" customWidth="1"/>
    <col min="12" max="12" width="34.1640625" style="4999" customWidth="1"/>
    <col min="13" max="13" width="7.1640625" style="4999" customWidth="1"/>
    <col min="14" max="14" width="1" style="5000" customWidth="1"/>
    <col min="15" max="15" width="7.1640625" style="4998" customWidth="1"/>
    <col min="16" max="16" width="1" style="4999" customWidth="1"/>
    <col min="17" max="17" width="9" style="4999" customWidth="1"/>
    <col min="18" max="18" width="7.5" style="5001" customWidth="1"/>
    <col min="19" max="19" width="8.33203125" style="5001" customWidth="1"/>
    <col min="20" max="20" width="1.33203125" style="5002" customWidth="1"/>
    <col min="21" max="21" width="0.5" style="5002" customWidth="1"/>
    <col min="22" max="22" width="5.5" style="5003" customWidth="1"/>
    <col min="23" max="23" width="5.6640625" style="5003" customWidth="1"/>
    <col min="24" max="24" width="6.33203125" style="5003" customWidth="1"/>
    <col min="25" max="25" width="5.5" style="5003" customWidth="1"/>
    <col min="26" max="26" width="6" style="5003" customWidth="1"/>
    <col min="27" max="28" width="5.5" style="5003" customWidth="1"/>
    <col min="29" max="33" width="4.5" style="5006" customWidth="1"/>
    <col min="34" max="34" width="6.5" style="5006" customWidth="1"/>
    <col min="35" max="39" width="5.5" style="5006" customWidth="1"/>
    <col min="40" max="40" width="11.5" style="5005"/>
    <col min="41" max="16384" width="11.5" style="4995"/>
  </cols>
  <sheetData>
    <row r="1" spans="1:41" ht="17.25" customHeight="1">
      <c r="A1" s="4994" t="s">
        <v>2088</v>
      </c>
      <c r="B1" s="4995"/>
      <c r="C1" s="4996"/>
      <c r="D1" s="4997"/>
      <c r="E1" s="5142"/>
      <c r="W1" s="5004"/>
      <c r="AI1" s="5005"/>
      <c r="AJ1" s="5005"/>
      <c r="AK1" s="5005"/>
      <c r="AL1" s="5005"/>
      <c r="AM1" s="5005"/>
    </row>
    <row r="2" spans="1:41" ht="14" customHeight="1" thickBot="1">
      <c r="F2" s="5010"/>
      <c r="G2" s="1569"/>
      <c r="H2" s="1569"/>
      <c r="I2" s="1569"/>
      <c r="J2" s="1569"/>
      <c r="K2" s="5011"/>
      <c r="L2" s="5012">
        <v>44627</v>
      </c>
      <c r="M2" s="5012"/>
      <c r="V2" s="5013" t="s">
        <v>345</v>
      </c>
      <c r="AI2" s="5005"/>
      <c r="AJ2" s="5005"/>
      <c r="AK2" s="5005"/>
      <c r="AL2" s="5005"/>
      <c r="AM2" s="5005"/>
    </row>
    <row r="3" spans="1:41" s="5034" customFormat="1" ht="63.75" customHeight="1" thickTop="1" thickBot="1">
      <c r="A3" s="5014" t="s">
        <v>346</v>
      </c>
      <c r="B3" s="5015" t="s">
        <v>347</v>
      </c>
      <c r="C3" s="5016" t="s">
        <v>348</v>
      </c>
      <c r="D3" s="5017"/>
      <c r="E3" s="5144" t="s">
        <v>349</v>
      </c>
      <c r="F3" s="5018" t="s">
        <v>350</v>
      </c>
      <c r="G3" s="4966" t="s">
        <v>1448</v>
      </c>
      <c r="H3" s="3042" t="s">
        <v>1449</v>
      </c>
      <c r="I3" s="4967" t="s">
        <v>2067</v>
      </c>
      <c r="J3" s="5019" t="s">
        <v>352</v>
      </c>
      <c r="K3" s="5018" t="s">
        <v>353</v>
      </c>
      <c r="L3" s="5019" t="s">
        <v>354</v>
      </c>
      <c r="M3" s="5019"/>
      <c r="N3" s="5020" t="s">
        <v>355</v>
      </c>
      <c r="O3" s="5019" t="s">
        <v>445</v>
      </c>
      <c r="P3" s="5016" t="s">
        <v>446</v>
      </c>
      <c r="Q3" s="5016" t="s">
        <v>447</v>
      </c>
      <c r="R3" s="5021" t="s">
        <v>448</v>
      </c>
      <c r="S3" s="5022" t="s">
        <v>371</v>
      </c>
      <c r="T3" s="5023" t="s">
        <v>449</v>
      </c>
      <c r="U3" s="5023" t="s">
        <v>450</v>
      </c>
      <c r="V3" s="5024" t="s">
        <v>451</v>
      </c>
      <c r="W3" s="5025" t="s">
        <v>452</v>
      </c>
      <c r="X3" s="5026" t="s">
        <v>453</v>
      </c>
      <c r="Y3" s="5027" t="s">
        <v>454</v>
      </c>
      <c r="Z3" s="5028" t="s">
        <v>455</v>
      </c>
      <c r="AA3" s="5029" t="s">
        <v>456</v>
      </c>
      <c r="AB3" s="5030" t="s">
        <v>457</v>
      </c>
      <c r="AC3" s="5032"/>
      <c r="AD3" s="5033"/>
      <c r="AE3" s="5033"/>
      <c r="AF3" s="5033"/>
      <c r="AG3" s="5033"/>
      <c r="AH3" s="5033"/>
      <c r="AI3" s="5031"/>
      <c r="AJ3" s="5031"/>
      <c r="AK3" s="5031"/>
      <c r="AL3" s="5031"/>
      <c r="AM3" s="5031"/>
      <c r="AN3" s="5031"/>
    </row>
    <row r="4" spans="1:41" s="5034" customFormat="1" ht="5.25" customHeight="1" thickBot="1">
      <c r="A4" s="5035"/>
      <c r="B4" s="5036"/>
      <c r="C4" s="5037"/>
      <c r="D4" s="5038"/>
      <c r="E4" s="5145"/>
      <c r="F4" s="5039"/>
      <c r="G4" s="5037"/>
      <c r="H4" s="5037"/>
      <c r="I4" s="5037"/>
      <c r="J4" s="5037"/>
      <c r="K4" s="5039"/>
      <c r="L4" s="5037"/>
      <c r="M4" s="5037"/>
      <c r="N4" s="5040"/>
      <c r="O4" s="5037"/>
      <c r="P4" s="5037"/>
      <c r="Q4" s="5037"/>
      <c r="R4" s="5041"/>
      <c r="S4" s="5042"/>
      <c r="T4" s="5043"/>
      <c r="U4" s="5043"/>
      <c r="V4" s="2843">
        <f>[9]Test!$D$29</f>
        <v>9.1523857526881758E-4</v>
      </c>
      <c r="W4" s="2843">
        <f>[9]Test!$D$31</f>
        <v>8.7635030864197572E-4</v>
      </c>
      <c r="X4" s="2843">
        <f>[9]Test!$D$33</f>
        <v>8.4888763197586746E-4</v>
      </c>
      <c r="Y4" s="2843">
        <f>[9]Test!$D$35</f>
        <v>8.0990657955066516E-4</v>
      </c>
      <c r="Z4" s="2843">
        <f>[9]Test!$D$37</f>
        <v>7.5735749690210676E-4</v>
      </c>
      <c r="AA4" s="2843">
        <f>[9]Test!$D$39</f>
        <v>7.2916666666666692E-4</v>
      </c>
      <c r="AB4" s="3043">
        <f>[9]Test!$D$41</f>
        <v>7.0729166666666694E-4</v>
      </c>
      <c r="AC4" s="5032"/>
      <c r="AD4" s="5033"/>
      <c r="AE4" s="5033"/>
      <c r="AF4" s="5033"/>
      <c r="AG4" s="5033"/>
      <c r="AH4" s="5033"/>
      <c r="AI4" s="5031"/>
      <c r="AJ4" s="5031"/>
      <c r="AK4" s="5031"/>
      <c r="AL4" s="5031"/>
      <c r="AM4" s="5031"/>
      <c r="AN4" s="5031"/>
    </row>
    <row r="5" spans="1:41" s="5057" customFormat="1" ht="10.5" customHeight="1" thickBot="1">
      <c r="A5" s="5044"/>
      <c r="B5" s="5045"/>
      <c r="C5" s="5046"/>
      <c r="D5" s="5047"/>
      <c r="E5" s="5146"/>
      <c r="F5" s="5048"/>
      <c r="G5" s="5049"/>
      <c r="H5" s="5049"/>
      <c r="I5" s="5049"/>
      <c r="J5" s="5049"/>
      <c r="K5" s="5048"/>
      <c r="L5" s="5049"/>
      <c r="M5" s="5049"/>
      <c r="N5" s="5050"/>
      <c r="O5" s="5049"/>
      <c r="P5" s="5046"/>
      <c r="Q5" s="5046"/>
      <c r="R5" s="5046"/>
      <c r="S5" s="5051"/>
      <c r="T5" s="5052"/>
      <c r="U5" s="5052"/>
      <c r="V5" s="5053">
        <f>V4/4</f>
        <v>2.2880964381720439E-4</v>
      </c>
      <c r="W5" s="5053">
        <f t="shared" ref="W5:AB5" si="0">W4/4</f>
        <v>2.1908757716049393E-4</v>
      </c>
      <c r="X5" s="5053">
        <f t="shared" si="0"/>
        <v>2.1222190799396687E-4</v>
      </c>
      <c r="Y5" s="5053">
        <f t="shared" si="0"/>
        <v>2.0247664488766629E-4</v>
      </c>
      <c r="Z5" s="5053">
        <f t="shared" si="0"/>
        <v>1.8933937422552669E-4</v>
      </c>
      <c r="AA5" s="5053">
        <f t="shared" si="0"/>
        <v>1.8229166666666673E-4</v>
      </c>
      <c r="AB5" s="5053">
        <f t="shared" si="0"/>
        <v>1.7682291666666674E-4</v>
      </c>
      <c r="AC5" s="5055"/>
      <c r="AD5" s="5056"/>
      <c r="AE5" s="5056"/>
      <c r="AF5" s="5056"/>
      <c r="AG5" s="5056"/>
      <c r="AH5" s="5056"/>
      <c r="AI5" s="5054"/>
      <c r="AJ5" s="5054"/>
      <c r="AK5" s="5054"/>
      <c r="AL5" s="5054"/>
      <c r="AM5" s="5054"/>
      <c r="AN5" s="5054"/>
    </row>
    <row r="6" spans="1:41" ht="15" customHeight="1" thickTop="1" thickBot="1">
      <c r="A6" s="5058" t="s">
        <v>214</v>
      </c>
      <c r="B6" s="5059" t="s">
        <v>461</v>
      </c>
      <c r="C6" s="5060">
        <f>IF(D6=1,V$5,IF(D6=2,W$5,IF(D6=3,X$5,IF(D6=4,Y$5,IF(D6=5,Z$5,IF(D6=6,AA$5,IF(D6=7,AB$5,0)))))))</f>
        <v>2.2880964381720439E-4</v>
      </c>
      <c r="D6" s="5061">
        <v>1</v>
      </c>
      <c r="E6" s="5147">
        <v>1</v>
      </c>
      <c r="F6" s="5062">
        <v>6</v>
      </c>
      <c r="G6" s="5063">
        <f>(H6*25/C6)*N6</f>
        <v>151.75156799755234</v>
      </c>
      <c r="H6" s="5064">
        <v>1.3888888888888889E-3</v>
      </c>
      <c r="I6" s="4935">
        <f>IF(D6=1,29,IF(D6=2,34,IF(D6=3,39,IF(D6=4,44,IF(D6=5,49,IF(D6=6,54,IF(D6=7,59,0)))))))</f>
        <v>29</v>
      </c>
      <c r="J6" s="5064">
        <v>1.7361111111111112E-4</v>
      </c>
      <c r="K6" s="5064">
        <v>1.3888888888888889E-3</v>
      </c>
      <c r="L6" s="5065" t="s">
        <v>2078</v>
      </c>
      <c r="M6" s="5066">
        <v>0.68055555555555547</v>
      </c>
      <c r="N6" s="5067">
        <v>1</v>
      </c>
      <c r="O6" s="5064">
        <f t="shared" ref="O6:O10" si="1">Q6*E6*F6+J6*E6*F6+K6*E6</f>
        <v>1.0763888888888889E-2</v>
      </c>
      <c r="P6" s="5068">
        <f t="shared" ref="P6:P10" si="2">C6*(G6/25)</f>
        <v>1.3888888888888889E-3</v>
      </c>
      <c r="Q6" s="5068">
        <f t="shared" ref="Q6:Q10" si="3">P6*N6</f>
        <v>1.3888888888888889E-3</v>
      </c>
      <c r="R6" s="5069">
        <v>146</v>
      </c>
      <c r="S6" s="5070">
        <f t="shared" ref="S6:S10" si="4">E6*F6*G6</f>
        <v>910.50940798531406</v>
      </c>
      <c r="T6" s="5071">
        <f t="shared" ref="T6:T11" si="5">E6*F6*G6/1000</f>
        <v>0.9105094079853141</v>
      </c>
      <c r="U6" s="5072">
        <f t="shared" ref="U6:U11" si="6">E6*F6*P6*4</f>
        <v>3.3333333333333333E-2</v>
      </c>
      <c r="V6" s="1701">
        <f t="shared" ref="V6:V11" si="7">IF(C6*4&gt;=$V$4,T6,0)</f>
        <v>0.9105094079853141</v>
      </c>
      <c r="W6" s="5073">
        <f t="shared" ref="W6:W11" si="8">IF(AND(C6*4&gt;=$W$4,C6*4&lt;$V$4),T6,0)</f>
        <v>0</v>
      </c>
      <c r="X6" s="5074">
        <f t="shared" ref="X6:X11" si="9">IF(AND(C6*4&gt;=$X$4,C6*4&lt;$W$4),T6,0)</f>
        <v>0</v>
      </c>
      <c r="Y6" s="5075">
        <f t="shared" ref="Y6:Y11" si="10">IF(AND(C6*4&gt;=$Y$4,C6*4&lt;$X$4),T6,0)</f>
        <v>0</v>
      </c>
      <c r="Z6" s="5076">
        <f t="shared" ref="Z6:Z11" si="11">IF(AND(C6*4&gt;=$Z$4,C6*4&lt;$Y$4),T6,0)</f>
        <v>0</v>
      </c>
      <c r="AA6" s="5077">
        <f t="shared" ref="AA6:AA11" si="12">IF(AND(C6*4&gt;=$AA$4,C6*4&lt;$Z$4),T6,0)</f>
        <v>0</v>
      </c>
      <c r="AB6" s="5078">
        <f t="shared" ref="AB6:AB11" si="13">IF(AND(C6*4&gt;=$AB$4,C6*4&lt;$AA$4),T6,0)</f>
        <v>0</v>
      </c>
      <c r="AC6" s="5079"/>
      <c r="AD6" s="5079"/>
      <c r="AE6" s="5079"/>
      <c r="AF6" s="5079"/>
      <c r="AG6" s="5079"/>
      <c r="AH6" s="5079"/>
      <c r="AI6" s="5005"/>
      <c r="AJ6" s="5005"/>
      <c r="AK6" s="5005"/>
      <c r="AL6" s="5005"/>
      <c r="AM6" s="5005"/>
    </row>
    <row r="7" spans="1:41" ht="15" customHeight="1" thickBot="1">
      <c r="A7" s="5058" t="s">
        <v>459</v>
      </c>
      <c r="B7" s="5059" t="s">
        <v>461</v>
      </c>
      <c r="C7" s="5060">
        <f>IF(D7=1,V$5,IF(D7=2,W$5,IF(D7=3,X$5,IF(D7=4,Y$5,IF(D7=5,Z$5,IF(D7=6,AA$5,IF(D7=7,AB$5,0)))))))</f>
        <v>2.1908757716049393E-4</v>
      </c>
      <c r="D7" s="5080">
        <v>2</v>
      </c>
      <c r="E7" s="5148">
        <v>1</v>
      </c>
      <c r="F7" s="5081">
        <v>4</v>
      </c>
      <c r="G7" s="5063">
        <f t="shared" ref="G7:G10" si="14">(H7*25/C7)*N7</f>
        <v>237.72837332159355</v>
      </c>
      <c r="H7" s="4961">
        <v>2.0833333333333333E-3</v>
      </c>
      <c r="I7" s="4935">
        <f t="shared" ref="I7:I10" si="15">IF(D7=1,29,IF(D7=2,34,IF(D7=3,39,IF(D7=4,44,IF(D7=5,49,IF(D7=6,54,IF(D7=7,59,0)))))))</f>
        <v>34</v>
      </c>
      <c r="J7" s="4961">
        <v>1.7361111111111112E-4</v>
      </c>
      <c r="K7" s="4961">
        <v>1.3888888888888889E-3</v>
      </c>
      <c r="L7" s="5082" t="s">
        <v>2079</v>
      </c>
      <c r="M7" s="5083">
        <f t="shared" ref="M7:M8" si="16">M6+O6</f>
        <v>0.69131944444444438</v>
      </c>
      <c r="N7" s="5084">
        <v>1</v>
      </c>
      <c r="O7" s="4961">
        <f t="shared" si="1"/>
        <v>1.0416666666666666E-2</v>
      </c>
      <c r="P7" s="5085">
        <f t="shared" si="2"/>
        <v>2.0833333333333333E-3</v>
      </c>
      <c r="Q7" s="5085">
        <f t="shared" si="3"/>
        <v>2.0833333333333333E-3</v>
      </c>
      <c r="R7" s="5086">
        <v>146</v>
      </c>
      <c r="S7" s="5087">
        <f t="shared" si="4"/>
        <v>950.91349328637421</v>
      </c>
      <c r="T7" s="5071">
        <f t="shared" si="5"/>
        <v>0.9509134932863742</v>
      </c>
      <c r="U7" s="5072">
        <f t="shared" si="6"/>
        <v>3.3333333333333333E-2</v>
      </c>
      <c r="V7" s="1701">
        <f t="shared" si="7"/>
        <v>0</v>
      </c>
      <c r="W7" s="5073">
        <f t="shared" si="8"/>
        <v>0.9509134932863742</v>
      </c>
      <c r="X7" s="5074">
        <f t="shared" si="9"/>
        <v>0</v>
      </c>
      <c r="Y7" s="5075">
        <f t="shared" si="10"/>
        <v>0</v>
      </c>
      <c r="Z7" s="5076">
        <f t="shared" si="11"/>
        <v>0</v>
      </c>
      <c r="AA7" s="5077">
        <f t="shared" si="12"/>
        <v>0</v>
      </c>
      <c r="AB7" s="5078">
        <f t="shared" si="13"/>
        <v>0</v>
      </c>
      <c r="AC7" s="5079"/>
      <c r="AD7" s="5079"/>
      <c r="AE7" s="5079"/>
      <c r="AF7" s="5079"/>
      <c r="AG7" s="5079"/>
      <c r="AH7" s="5079"/>
      <c r="AI7" s="5005"/>
      <c r="AJ7" s="5005"/>
      <c r="AK7" s="5005"/>
      <c r="AL7" s="5005"/>
      <c r="AM7" s="5005"/>
    </row>
    <row r="8" spans="1:41" ht="15" customHeight="1" thickBot="1">
      <c r="A8" s="5058" t="s">
        <v>460</v>
      </c>
      <c r="B8" s="5059" t="s">
        <v>461</v>
      </c>
      <c r="C8" s="5060">
        <f>IF(D8=1,V$5,IF(D8=2,W$5,IF(D8=3,X$5,IF(D8=4,Y$5,IF(D8=5,Z$5,IF(D8=6,AA$5,IF(D8=7,AB$5,0)))))))</f>
        <v>2.1222190799396687E-4</v>
      </c>
      <c r="D8" s="5088">
        <v>3</v>
      </c>
      <c r="E8" s="5149">
        <v>1</v>
      </c>
      <c r="F8" s="5089">
        <v>3</v>
      </c>
      <c r="G8" s="5063">
        <f t="shared" si="14"/>
        <v>294.50305385896718</v>
      </c>
      <c r="H8" s="4962">
        <v>2.7777777777777779E-3</v>
      </c>
      <c r="I8" s="4935">
        <f t="shared" si="15"/>
        <v>39</v>
      </c>
      <c r="J8" s="4962">
        <v>1.7361111111111112E-4</v>
      </c>
      <c r="K8" s="4962">
        <v>1.3888888888888889E-3</v>
      </c>
      <c r="L8" s="5090" t="s">
        <v>2080</v>
      </c>
      <c r="M8" s="5091">
        <f t="shared" si="16"/>
        <v>0.70173611111111101</v>
      </c>
      <c r="N8" s="5092">
        <v>0.9</v>
      </c>
      <c r="O8" s="4962">
        <f t="shared" si="1"/>
        <v>8.6597222222222232E-3</v>
      </c>
      <c r="P8" s="5093">
        <f t="shared" si="2"/>
        <v>2.5000000000000001E-3</v>
      </c>
      <c r="Q8" s="5093">
        <f t="shared" si="3"/>
        <v>2.2500000000000003E-3</v>
      </c>
      <c r="R8" s="5094">
        <v>164</v>
      </c>
      <c r="S8" s="5095">
        <f t="shared" si="4"/>
        <v>883.50916157690153</v>
      </c>
      <c r="T8" s="5071">
        <f t="shared" si="5"/>
        <v>0.88350916157690151</v>
      </c>
      <c r="U8" s="5072">
        <f t="shared" si="6"/>
        <v>0.03</v>
      </c>
      <c r="V8" s="1701">
        <f t="shared" si="7"/>
        <v>0</v>
      </c>
      <c r="W8" s="5073">
        <f t="shared" si="8"/>
        <v>0</v>
      </c>
      <c r="X8" s="5074">
        <f t="shared" si="9"/>
        <v>0.88350916157690151</v>
      </c>
      <c r="Y8" s="5075">
        <f t="shared" si="10"/>
        <v>0</v>
      </c>
      <c r="Z8" s="5076">
        <f t="shared" si="11"/>
        <v>0</v>
      </c>
      <c r="AA8" s="5077">
        <f t="shared" si="12"/>
        <v>0</v>
      </c>
      <c r="AB8" s="5078">
        <f t="shared" si="13"/>
        <v>0</v>
      </c>
      <c r="AC8" s="5079"/>
      <c r="AD8" s="5079"/>
      <c r="AE8" s="5079"/>
      <c r="AF8" s="5079"/>
      <c r="AG8" s="5079"/>
      <c r="AH8" s="5079"/>
      <c r="AI8" s="5005"/>
      <c r="AJ8" s="5005"/>
      <c r="AK8" s="5005"/>
      <c r="AL8" s="5005"/>
      <c r="AM8" s="5005"/>
    </row>
    <row r="9" spans="1:41" ht="15" customHeight="1" thickBot="1">
      <c r="A9" s="5058" t="s">
        <v>219</v>
      </c>
      <c r="B9" s="5059" t="s">
        <v>461</v>
      </c>
      <c r="C9" s="5060">
        <f>IF(D9=1,V$5,IF(D9=2,W$5,IF(D9=3,X$5,IF(D9=4,Y$5,IF(D9=5,Z$5,IF(D9=6,AA$5,IF(D9=7,AB$5,0)))))))</f>
        <v>1.7682291666666674E-4</v>
      </c>
      <c r="D9" s="4009">
        <v>7</v>
      </c>
      <c r="E9" s="5150">
        <v>1</v>
      </c>
      <c r="F9" s="4010">
        <v>4</v>
      </c>
      <c r="G9" s="5063">
        <f t="shared" si="14"/>
        <v>25.03681885125183</v>
      </c>
      <c r="H9" s="4888">
        <v>1.7708333333333335E-4</v>
      </c>
      <c r="I9" s="4935">
        <f t="shared" si="15"/>
        <v>59</v>
      </c>
      <c r="J9" s="4888">
        <v>4.6296296296296293E-4</v>
      </c>
      <c r="K9" s="4012">
        <v>6.9444444444444447E-4</v>
      </c>
      <c r="L9" s="5096" t="s">
        <v>2081</v>
      </c>
      <c r="M9" s="5097">
        <f>M8+O8</f>
        <v>0.71039583333333323</v>
      </c>
      <c r="N9" s="4014">
        <v>1</v>
      </c>
      <c r="O9" s="4012">
        <f t="shared" si="1"/>
        <v>3.2546296296296295E-3</v>
      </c>
      <c r="P9" s="5098">
        <f t="shared" si="2"/>
        <v>1.7708333333333332E-4</v>
      </c>
      <c r="Q9" s="3074">
        <f t="shared" si="3"/>
        <v>1.7708333333333332E-4</v>
      </c>
      <c r="R9" s="4016" t="s">
        <v>274</v>
      </c>
      <c r="S9" s="5099">
        <f t="shared" si="4"/>
        <v>100.14727540500732</v>
      </c>
      <c r="T9" s="5071">
        <f t="shared" si="5"/>
        <v>0.10014727540500733</v>
      </c>
      <c r="U9" s="5072">
        <f t="shared" si="6"/>
        <v>2.8333333333333331E-3</v>
      </c>
      <c r="V9" s="1701">
        <f t="shared" si="7"/>
        <v>0</v>
      </c>
      <c r="W9" s="5073">
        <f t="shared" si="8"/>
        <v>0</v>
      </c>
      <c r="X9" s="5074">
        <f t="shared" si="9"/>
        <v>0</v>
      </c>
      <c r="Y9" s="5075">
        <f t="shared" si="10"/>
        <v>0</v>
      </c>
      <c r="Z9" s="5076">
        <f t="shared" si="11"/>
        <v>0</v>
      </c>
      <c r="AA9" s="5077">
        <f t="shared" si="12"/>
        <v>0</v>
      </c>
      <c r="AB9" s="5078">
        <f t="shared" si="13"/>
        <v>0.10014727540500733</v>
      </c>
      <c r="AC9" s="5079"/>
      <c r="AD9" s="5079"/>
      <c r="AE9" s="5079"/>
      <c r="AF9" s="5079"/>
      <c r="AG9" s="5079"/>
      <c r="AH9" s="5079"/>
      <c r="AI9" s="5005"/>
      <c r="AJ9" s="5005"/>
      <c r="AK9" s="5005"/>
      <c r="AL9" s="5005"/>
      <c r="AM9" s="5005"/>
    </row>
    <row r="10" spans="1:41" ht="27" customHeight="1">
      <c r="A10" s="5058"/>
      <c r="B10" s="5059" t="s">
        <v>461</v>
      </c>
      <c r="C10" s="5060">
        <f>IF(D10=1,V$5,IF(D10=2,W$5,IF(D10=3,X$5,IF(D10=4,Y$5,IF(D10=5,Z$5,IF(D10=6,AA$5,IF(D10=7,AB$5,0)))))))</f>
        <v>1.7682291666666674E-4</v>
      </c>
      <c r="D10" s="5100">
        <v>7</v>
      </c>
      <c r="E10" s="5151">
        <v>1</v>
      </c>
      <c r="F10" s="5101">
        <v>12</v>
      </c>
      <c r="G10" s="5063">
        <f t="shared" si="14"/>
        <v>25.03681885125183</v>
      </c>
      <c r="H10" s="4888">
        <v>1.7708333333333335E-4</v>
      </c>
      <c r="I10" s="4935">
        <f t="shared" si="15"/>
        <v>59</v>
      </c>
      <c r="J10" s="4964">
        <v>4.6296296296296293E-4</v>
      </c>
      <c r="K10" s="4964">
        <v>2.0833333333333333E-3</v>
      </c>
      <c r="L10" s="5096" t="s">
        <v>2082</v>
      </c>
      <c r="M10" s="5097">
        <f t="shared" ref="M10:M11" si="17">M9+O9</f>
        <v>0.71365046296296286</v>
      </c>
      <c r="N10" s="5102">
        <v>1</v>
      </c>
      <c r="O10" s="4964">
        <f t="shared" si="1"/>
        <v>9.7638888888888879E-3</v>
      </c>
      <c r="P10" s="5098">
        <f t="shared" si="2"/>
        <v>1.7708333333333332E-4</v>
      </c>
      <c r="Q10" s="3074">
        <f t="shared" si="3"/>
        <v>1.7708333333333332E-4</v>
      </c>
      <c r="R10" s="5103" t="s">
        <v>316</v>
      </c>
      <c r="S10" s="5099">
        <f t="shared" si="4"/>
        <v>300.44182621502193</v>
      </c>
      <c r="T10" s="5071">
        <f t="shared" si="5"/>
        <v>0.30044182621502191</v>
      </c>
      <c r="U10" s="5072">
        <f t="shared" si="6"/>
        <v>8.4999999999999989E-3</v>
      </c>
      <c r="V10" s="1701">
        <f t="shared" si="7"/>
        <v>0</v>
      </c>
      <c r="W10" s="5073">
        <f t="shared" si="8"/>
        <v>0</v>
      </c>
      <c r="X10" s="5074">
        <f t="shared" si="9"/>
        <v>0</v>
      </c>
      <c r="Y10" s="5075">
        <f t="shared" si="10"/>
        <v>0</v>
      </c>
      <c r="Z10" s="5076">
        <f t="shared" si="11"/>
        <v>0</v>
      </c>
      <c r="AA10" s="5077">
        <f t="shared" si="12"/>
        <v>0</v>
      </c>
      <c r="AB10" s="5078">
        <f t="shared" si="13"/>
        <v>0.30044182621502191</v>
      </c>
      <c r="AC10" s="5079"/>
      <c r="AD10" s="5079"/>
      <c r="AE10" s="5079"/>
      <c r="AF10" s="5079"/>
      <c r="AG10" s="5079"/>
      <c r="AH10" s="5079"/>
      <c r="AI10" s="5005"/>
      <c r="AJ10" s="5005"/>
      <c r="AK10" s="5005"/>
      <c r="AL10" s="5005"/>
      <c r="AM10" s="5005"/>
    </row>
    <row r="11" spans="1:41" ht="15" customHeight="1" thickBot="1">
      <c r="A11" s="5125"/>
      <c r="B11" s="5112" t="s">
        <v>215</v>
      </c>
      <c r="C11" s="5106"/>
      <c r="D11" s="2801"/>
      <c r="E11" s="5152"/>
      <c r="F11" s="1554"/>
      <c r="G11" s="5107"/>
      <c r="H11" s="5108"/>
      <c r="I11" s="5109"/>
      <c r="J11" s="1554"/>
      <c r="K11" s="1554"/>
      <c r="L11" s="1554"/>
      <c r="M11" s="3076">
        <f t="shared" si="17"/>
        <v>0.72341435185185177</v>
      </c>
      <c r="N11" s="1555"/>
      <c r="O11" s="4017">
        <f>SUM(O6:O10)</f>
        <v>4.2858796296296298E-2</v>
      </c>
      <c r="P11" s="1554"/>
      <c r="Q11" s="1554"/>
      <c r="R11" s="1554"/>
      <c r="S11" s="5110">
        <f>SUM(S6:S10)</f>
        <v>3145.5211644686192</v>
      </c>
      <c r="T11" s="5071">
        <f t="shared" si="5"/>
        <v>0</v>
      </c>
      <c r="U11" s="5072">
        <f t="shared" si="6"/>
        <v>0</v>
      </c>
      <c r="V11" s="1701">
        <f t="shared" si="7"/>
        <v>0</v>
      </c>
      <c r="W11" s="5073">
        <f t="shared" si="8"/>
        <v>0</v>
      </c>
      <c r="X11" s="5074">
        <f t="shared" si="9"/>
        <v>0</v>
      </c>
      <c r="Y11" s="5075">
        <f t="shared" si="10"/>
        <v>0</v>
      </c>
      <c r="Z11" s="5076">
        <f t="shared" si="11"/>
        <v>0</v>
      </c>
      <c r="AA11" s="5077">
        <f t="shared" si="12"/>
        <v>0</v>
      </c>
      <c r="AB11" s="5078">
        <f t="shared" si="13"/>
        <v>0</v>
      </c>
      <c r="AC11" s="5079"/>
      <c r="AD11" s="5079"/>
      <c r="AE11" s="5079"/>
      <c r="AF11" s="5079"/>
      <c r="AG11" s="5079"/>
      <c r="AH11" s="5079"/>
      <c r="AI11" s="5005"/>
      <c r="AJ11" s="5005"/>
      <c r="AK11" s="5005"/>
      <c r="AL11" s="5005"/>
      <c r="AM11" s="5005"/>
    </row>
    <row r="12" spans="1:41" ht="63" customHeight="1" thickTop="1" thickBot="1">
      <c r="B12" s="3084" t="s">
        <v>346</v>
      </c>
      <c r="C12" s="3085" t="s">
        <v>347</v>
      </c>
      <c r="D12" s="3086" t="s">
        <v>348</v>
      </c>
      <c r="E12" s="5153"/>
      <c r="F12" s="3086" t="s">
        <v>349</v>
      </c>
      <c r="G12" s="3088" t="s">
        <v>350</v>
      </c>
      <c r="H12" s="3089" t="s">
        <v>351</v>
      </c>
      <c r="I12" s="3089" t="s">
        <v>624</v>
      </c>
      <c r="J12" s="3089" t="s">
        <v>352</v>
      </c>
      <c r="K12" s="3588" t="s">
        <v>353</v>
      </c>
      <c r="L12" s="3089" t="s">
        <v>354</v>
      </c>
      <c r="M12" s="3393" t="s">
        <v>355</v>
      </c>
      <c r="N12" s="3089" t="s">
        <v>445</v>
      </c>
      <c r="O12" s="3086" t="s">
        <v>446</v>
      </c>
      <c r="P12" s="3086" t="s">
        <v>447</v>
      </c>
      <c r="Q12" s="3091" t="s">
        <v>448</v>
      </c>
      <c r="R12" s="3092" t="s">
        <v>371</v>
      </c>
      <c r="S12" s="3092" t="s">
        <v>371</v>
      </c>
      <c r="T12" s="2828" t="s">
        <v>449</v>
      </c>
      <c r="U12" s="2828" t="s">
        <v>450</v>
      </c>
      <c r="V12" s="2829" t="s">
        <v>451</v>
      </c>
      <c r="W12" s="2830" t="s">
        <v>452</v>
      </c>
      <c r="X12" s="2831" t="s">
        <v>453</v>
      </c>
      <c r="Y12" s="2832" t="s">
        <v>454</v>
      </c>
      <c r="Z12" s="2833" t="s">
        <v>455</v>
      </c>
      <c r="AA12" s="2834" t="s">
        <v>456</v>
      </c>
      <c r="AB12" s="2835" t="s">
        <v>457</v>
      </c>
      <c r="AC12" s="5005"/>
      <c r="AD12" s="5079"/>
      <c r="AE12" s="5079"/>
      <c r="AF12" s="5079"/>
      <c r="AG12" s="5079"/>
      <c r="AH12" s="5079"/>
      <c r="AI12" s="5079"/>
      <c r="AJ12" s="5005"/>
      <c r="AK12" s="5005"/>
      <c r="AL12" s="5005"/>
      <c r="AM12" s="5005"/>
      <c r="AO12" s="5005"/>
    </row>
    <row r="13" spans="1:41" ht="15" customHeight="1" thickTop="1" thickBot="1">
      <c r="A13" s="5126"/>
      <c r="B13" s="5111"/>
      <c r="C13" s="5112" t="s">
        <v>461</v>
      </c>
      <c r="D13" s="629">
        <f t="shared" ref="D13:D70" si="18">IF(E13=1,V$5,IF(E13=2,W$5,IF(E13=3,X$5,IF(E13=4,Y$5,IF(E13=5,Z$5,IF(E13=6,AA$5,IF(E13=7,AB$5,0)))))))</f>
        <v>2.2880964381720439E-4</v>
      </c>
      <c r="E13" s="5154">
        <v>1</v>
      </c>
      <c r="F13" s="3413">
        <v>1</v>
      </c>
      <c r="G13" s="3413">
        <v>2</v>
      </c>
      <c r="H13" s="3413">
        <v>200</v>
      </c>
      <c r="I13" s="7997" t="s">
        <v>1628</v>
      </c>
      <c r="J13" s="2715">
        <v>1.1574074074074073E-4</v>
      </c>
      <c r="K13" s="2715">
        <v>6.9444444444444447E-4</v>
      </c>
      <c r="L13" s="2865" t="s">
        <v>581</v>
      </c>
      <c r="M13" s="1143">
        <v>0.79861111111111116</v>
      </c>
      <c r="N13" s="2397">
        <v>1</v>
      </c>
      <c r="O13" s="1453">
        <f>Q13*F13*G13+J13*F13*G13+K13*F13</f>
        <v>4.7333183990442076E-3</v>
      </c>
      <c r="P13" s="1175">
        <f>D13*(H13/25)*1.04</f>
        <v>1.9036962365591406E-3</v>
      </c>
      <c r="Q13" s="1175">
        <f>P13*N13</f>
        <v>1.9036962365591406E-3</v>
      </c>
      <c r="R13" s="3653">
        <v>0.7</v>
      </c>
      <c r="S13" s="2398">
        <f>F13*G13*H13</f>
        <v>400</v>
      </c>
      <c r="T13" s="5071">
        <f>H13*F13*G13/1000</f>
        <v>0.4</v>
      </c>
      <c r="U13" s="5072">
        <f>H13*F13*P13*4</f>
        <v>1.5229569892473125</v>
      </c>
      <c r="V13" s="1701">
        <f>IF(D13*4&gt;=$V$4,T13,0)</f>
        <v>0.4</v>
      </c>
      <c r="W13" s="5073">
        <f>IF(AND(D13*4&gt;=$W$4,D13*4&lt;$V$4),T13,0)</f>
        <v>0</v>
      </c>
      <c r="X13" s="5074">
        <f>IF(AND(D13*4&gt;=$X$4,D13*4&lt;$W$4),T13,0)</f>
        <v>0</v>
      </c>
      <c r="Y13" s="5075">
        <f>IF(AND(D13*4&gt;=$Y$4,D13*4&lt;$X$4),T13,0)</f>
        <v>0</v>
      </c>
      <c r="Z13" s="5076">
        <f>IF(AND(D13*4&gt;=$Z$4,D13*4&lt;$Y$4),T13,0)</f>
        <v>0</v>
      </c>
      <c r="AA13" s="5077">
        <f>IF(AND(D13*4&gt;=$AA$4,D13*4&lt;$Z$4),T13,0)</f>
        <v>0</v>
      </c>
      <c r="AB13" s="5078">
        <f>IF(AND(D13*4&gt;=$AB$4,D13*4&lt;$AA$4),T13,0)</f>
        <v>0</v>
      </c>
      <c r="AC13" s="5005"/>
      <c r="AD13" s="5079"/>
      <c r="AE13" s="5079"/>
      <c r="AF13" s="5079"/>
      <c r="AG13" s="5079"/>
      <c r="AH13" s="5079"/>
      <c r="AI13" s="5079"/>
      <c r="AJ13" s="5005"/>
      <c r="AK13" s="5005"/>
      <c r="AL13" s="5005"/>
      <c r="AM13" s="5005"/>
      <c r="AO13" s="5005"/>
    </row>
    <row r="14" spans="1:41" ht="15" customHeight="1" thickBot="1">
      <c r="A14" s="5126"/>
      <c r="B14" s="5111"/>
      <c r="C14" s="5112" t="s">
        <v>461</v>
      </c>
      <c r="D14" s="629">
        <f t="shared" si="18"/>
        <v>2.1908757716049393E-4</v>
      </c>
      <c r="E14" s="5155">
        <v>2</v>
      </c>
      <c r="F14" s="3551">
        <v>1</v>
      </c>
      <c r="G14" s="3551">
        <v>8</v>
      </c>
      <c r="H14" s="3551">
        <v>50</v>
      </c>
      <c r="I14" s="7998"/>
      <c r="J14" s="3552">
        <v>1.3888888888888889E-4</v>
      </c>
      <c r="K14" s="3552">
        <v>6.9444444444444447E-4</v>
      </c>
      <c r="L14" s="2870" t="s">
        <v>670</v>
      </c>
      <c r="M14" s="3642">
        <f>M13+O13</f>
        <v>0.80334442951015539</v>
      </c>
      <c r="N14" s="3416">
        <v>1.2</v>
      </c>
      <c r="O14" s="3417">
        <f>Q14*F14*G14+J14*F14*G14+K14*F14</f>
        <v>6.1802962962962983E-3</v>
      </c>
      <c r="P14" s="3418">
        <f>D14*(H14/25)*1.04</f>
        <v>4.5570216049382737E-4</v>
      </c>
      <c r="Q14" s="3418">
        <f>P14*N14</f>
        <v>5.468425925925928E-4</v>
      </c>
      <c r="R14" s="3653">
        <v>0.75</v>
      </c>
      <c r="S14" s="3654">
        <f>F14*G14*H14</f>
        <v>400</v>
      </c>
      <c r="T14" s="5071">
        <f t="shared" ref="T14:T70" si="19">H14*F14*G14/1000</f>
        <v>0.4</v>
      </c>
      <c r="U14" s="5072">
        <f t="shared" ref="U14:U70" si="20">H14*F14*P14*4</f>
        <v>9.1140432098765475E-2</v>
      </c>
      <c r="V14" s="1701">
        <f t="shared" ref="V14:V70" si="21">IF(D14*4&gt;=$V$4,T14,0)</f>
        <v>0</v>
      </c>
      <c r="W14" s="5073">
        <f t="shared" ref="W14:W70" si="22">IF(AND(D14*4&gt;=$W$4,D14*4&lt;$V$4),T14,0)</f>
        <v>0.4</v>
      </c>
      <c r="X14" s="5074">
        <f t="shared" ref="X14:X70" si="23">IF(AND(D14*4&gt;=$X$4,D14*4&lt;$W$4),T14,0)</f>
        <v>0</v>
      </c>
      <c r="Y14" s="5075">
        <f t="shared" ref="Y14:Y70" si="24">IF(AND(D14*4&gt;=$Y$4,D14*4&lt;$X$4),T14,0)</f>
        <v>0</v>
      </c>
      <c r="Z14" s="5076">
        <f t="shared" ref="Z14:Z70" si="25">IF(AND(D14*4&gt;=$Z$4,D14*4&lt;$Y$4),T14,0)</f>
        <v>0</v>
      </c>
      <c r="AA14" s="5077">
        <f t="shared" ref="AA14:AA70" si="26">IF(AND(D14*4&gt;=$AA$4,D14*4&lt;$Z$4),T14,0)</f>
        <v>0</v>
      </c>
      <c r="AB14" s="5078">
        <f t="shared" ref="AB14:AB70" si="27">IF(AND(D14*4&gt;=$AB$4,D14*4&lt;$AA$4),T14,0)</f>
        <v>0</v>
      </c>
      <c r="AC14" s="5005"/>
      <c r="AD14" s="5079"/>
      <c r="AE14" s="5079"/>
      <c r="AF14" s="5079"/>
      <c r="AG14" s="5079"/>
      <c r="AH14" s="5079"/>
      <c r="AI14" s="5079"/>
      <c r="AJ14" s="5005"/>
      <c r="AK14" s="5005"/>
      <c r="AL14" s="5005"/>
      <c r="AM14" s="5005"/>
      <c r="AO14" s="5005"/>
    </row>
    <row r="15" spans="1:41" ht="15" customHeight="1" thickBot="1">
      <c r="A15" s="5126"/>
      <c r="B15" s="5111" t="s">
        <v>215</v>
      </c>
      <c r="C15" s="5112" t="s">
        <v>461</v>
      </c>
      <c r="D15" s="629">
        <f t="shared" si="18"/>
        <v>2.1222190799396687E-4</v>
      </c>
      <c r="E15" s="5156">
        <v>3</v>
      </c>
      <c r="F15" s="3431">
        <v>2</v>
      </c>
      <c r="G15" s="3431">
        <v>4</v>
      </c>
      <c r="H15" s="3431">
        <v>50</v>
      </c>
      <c r="I15" s="7999"/>
      <c r="J15" s="3428">
        <v>4.6296296296296293E-4</v>
      </c>
      <c r="K15" s="3428">
        <v>6.9444444444444447E-4</v>
      </c>
      <c r="L15" s="3424" t="s">
        <v>1688</v>
      </c>
      <c r="M15" s="1147">
        <f t="shared" ref="M15:M22" si="28">M14+O14</f>
        <v>0.80952472580645174</v>
      </c>
      <c r="N15" s="3426">
        <v>1</v>
      </c>
      <c r="O15" s="3427">
        <f t="shared" ref="O15:O22" si="29">Q15*F15*G15+J15*F15*G15+K15*F15</f>
        <v>8.6239651416122019E-3</v>
      </c>
      <c r="P15" s="3428">
        <f t="shared" ref="P15:P21" si="30">D15*(H15/25)*1.04</f>
        <v>4.4142156862745112E-4</v>
      </c>
      <c r="Q15" s="3429">
        <f t="shared" ref="Q15:Q22" si="31">P15*N15</f>
        <v>4.4142156862745112E-4</v>
      </c>
      <c r="R15" s="3652">
        <v>0.85</v>
      </c>
      <c r="S15" s="3655">
        <f t="shared" ref="S15:S21" si="32">F15*G15*H15</f>
        <v>400</v>
      </c>
      <c r="T15" s="5071">
        <f t="shared" si="19"/>
        <v>0.4</v>
      </c>
      <c r="U15" s="5072">
        <f t="shared" si="20"/>
        <v>0.17656862745098045</v>
      </c>
      <c r="V15" s="1701">
        <f t="shared" si="21"/>
        <v>0</v>
      </c>
      <c r="W15" s="5073">
        <f t="shared" si="22"/>
        <v>0</v>
      </c>
      <c r="X15" s="5074">
        <f t="shared" si="23"/>
        <v>0.4</v>
      </c>
      <c r="Y15" s="5075">
        <f t="shared" si="24"/>
        <v>0</v>
      </c>
      <c r="Z15" s="5076">
        <f t="shared" si="25"/>
        <v>0</v>
      </c>
      <c r="AA15" s="5077">
        <f t="shared" si="26"/>
        <v>0</v>
      </c>
      <c r="AB15" s="5078">
        <f t="shared" si="27"/>
        <v>0</v>
      </c>
      <c r="AC15" s="5005"/>
      <c r="AD15" s="5079"/>
      <c r="AE15" s="5079"/>
      <c r="AF15" s="5079"/>
      <c r="AG15" s="5079"/>
      <c r="AH15" s="5079"/>
      <c r="AI15" s="5079"/>
      <c r="AJ15" s="5005"/>
      <c r="AK15" s="5005"/>
      <c r="AL15" s="5005"/>
      <c r="AM15" s="5005"/>
      <c r="AO15" s="5005"/>
    </row>
    <row r="16" spans="1:41" ht="15" customHeight="1" thickBot="1">
      <c r="A16" s="5126"/>
      <c r="B16" s="5111" t="s">
        <v>138</v>
      </c>
      <c r="C16" s="5112" t="s">
        <v>461</v>
      </c>
      <c r="D16" s="629">
        <f t="shared" si="18"/>
        <v>1.7682291666666674E-4</v>
      </c>
      <c r="E16" s="5157">
        <v>7</v>
      </c>
      <c r="F16" s="1201">
        <v>4</v>
      </c>
      <c r="G16" s="1201">
        <v>5</v>
      </c>
      <c r="H16" s="1201">
        <v>20</v>
      </c>
      <c r="I16" s="1201"/>
      <c r="J16" s="1051">
        <v>6.9444444444444447E-4</v>
      </c>
      <c r="K16" s="1051">
        <v>1.3888888888888889E-3</v>
      </c>
      <c r="L16" s="442" t="s">
        <v>1695</v>
      </c>
      <c r="M16" s="1954">
        <f t="shared" si="28"/>
        <v>0.81814869094806397</v>
      </c>
      <c r="N16" s="3206">
        <v>0.9</v>
      </c>
      <c r="O16" s="1954">
        <f t="shared" si="29"/>
        <v>2.2092544444444449E-2</v>
      </c>
      <c r="P16" s="1954">
        <f t="shared" si="30"/>
        <v>1.4711666666666673E-4</v>
      </c>
      <c r="Q16" s="1191">
        <f t="shared" si="31"/>
        <v>1.3240500000000007E-4</v>
      </c>
      <c r="R16" s="3651">
        <v>1</v>
      </c>
      <c r="S16" s="2419">
        <f t="shared" si="32"/>
        <v>400</v>
      </c>
      <c r="T16" s="5071">
        <f t="shared" si="19"/>
        <v>0.4</v>
      </c>
      <c r="U16" s="5072">
        <f t="shared" si="20"/>
        <v>4.7077333333333353E-2</v>
      </c>
      <c r="V16" s="1701">
        <f t="shared" si="21"/>
        <v>0</v>
      </c>
      <c r="W16" s="5073">
        <f t="shared" si="22"/>
        <v>0</v>
      </c>
      <c r="X16" s="5074">
        <f t="shared" si="23"/>
        <v>0</v>
      </c>
      <c r="Y16" s="5075">
        <f t="shared" si="24"/>
        <v>0</v>
      </c>
      <c r="Z16" s="5076">
        <f t="shared" si="25"/>
        <v>0</v>
      </c>
      <c r="AA16" s="5077">
        <f t="shared" si="26"/>
        <v>0</v>
      </c>
      <c r="AB16" s="5078">
        <f t="shared" si="27"/>
        <v>0.4</v>
      </c>
      <c r="AC16" s="5005"/>
      <c r="AD16" s="5079"/>
      <c r="AE16" s="5079"/>
      <c r="AF16" s="5079"/>
      <c r="AG16" s="5079"/>
      <c r="AH16" s="5079"/>
      <c r="AI16" s="5079"/>
      <c r="AJ16" s="5005"/>
      <c r="AK16" s="5005"/>
      <c r="AL16" s="5005"/>
      <c r="AM16" s="5005"/>
      <c r="AO16" s="5005"/>
    </row>
    <row r="17" spans="1:41" ht="15" customHeight="1" thickBot="1">
      <c r="A17" s="5126"/>
      <c r="B17" s="5111" t="s">
        <v>462</v>
      </c>
      <c r="C17" s="5112" t="s">
        <v>461</v>
      </c>
      <c r="D17" s="629">
        <f t="shared" si="18"/>
        <v>1.8229166666666673E-4</v>
      </c>
      <c r="E17" s="5158">
        <v>6</v>
      </c>
      <c r="F17" s="3444">
        <v>2</v>
      </c>
      <c r="G17" s="3444">
        <v>3</v>
      </c>
      <c r="H17" s="3444">
        <v>20</v>
      </c>
      <c r="I17" s="5141" t="s">
        <v>2083</v>
      </c>
      <c r="J17" s="3142">
        <v>3.4722222222222224E-4</v>
      </c>
      <c r="K17" s="3142">
        <v>6.9444444444444447E-4</v>
      </c>
      <c r="L17" s="3438" t="s">
        <v>1689</v>
      </c>
      <c r="M17" s="3643">
        <f t="shared" si="28"/>
        <v>0.84024123539250839</v>
      </c>
      <c r="N17" s="3440">
        <v>0.9</v>
      </c>
      <c r="O17" s="3441">
        <f t="shared" si="29"/>
        <v>4.2912222222222223E-3</v>
      </c>
      <c r="P17" s="3145">
        <f t="shared" si="30"/>
        <v>1.5166666666666673E-4</v>
      </c>
      <c r="Q17" s="3442">
        <f t="shared" si="31"/>
        <v>1.3650000000000007E-4</v>
      </c>
      <c r="R17" s="3443" t="s">
        <v>278</v>
      </c>
      <c r="S17" s="3443">
        <f t="shared" si="32"/>
        <v>120</v>
      </c>
      <c r="T17" s="5071">
        <f t="shared" si="19"/>
        <v>0.12</v>
      </c>
      <c r="U17" s="5072">
        <f t="shared" si="20"/>
        <v>2.4266666666666676E-2</v>
      </c>
      <c r="V17" s="1701">
        <f t="shared" si="21"/>
        <v>0</v>
      </c>
      <c r="W17" s="5073">
        <f t="shared" si="22"/>
        <v>0</v>
      </c>
      <c r="X17" s="5074">
        <f t="shared" si="23"/>
        <v>0</v>
      </c>
      <c r="Y17" s="5075">
        <f t="shared" si="24"/>
        <v>0</v>
      </c>
      <c r="Z17" s="5076">
        <f t="shared" si="25"/>
        <v>0</v>
      </c>
      <c r="AA17" s="5077">
        <f t="shared" si="26"/>
        <v>0.12</v>
      </c>
      <c r="AB17" s="5078">
        <f t="shared" si="27"/>
        <v>0</v>
      </c>
      <c r="AC17" s="5005"/>
      <c r="AD17" s="5079"/>
      <c r="AE17" s="5079"/>
      <c r="AF17" s="5079"/>
      <c r="AG17" s="5079"/>
      <c r="AH17" s="5079"/>
      <c r="AI17" s="5079"/>
      <c r="AJ17" s="5005"/>
      <c r="AK17" s="5005"/>
      <c r="AL17" s="5005"/>
      <c r="AM17" s="5005"/>
      <c r="AO17" s="5005"/>
    </row>
    <row r="18" spans="1:41" ht="14" customHeight="1" thickBot="1">
      <c r="A18" s="5126"/>
      <c r="B18" s="5111" t="s">
        <v>461</v>
      </c>
      <c r="C18" s="5112" t="s">
        <v>461</v>
      </c>
      <c r="D18" s="629">
        <f t="shared" si="18"/>
        <v>1.8229166666666673E-4</v>
      </c>
      <c r="E18" s="5158">
        <v>6</v>
      </c>
      <c r="F18" s="3444">
        <v>2</v>
      </c>
      <c r="G18" s="3444">
        <v>3</v>
      </c>
      <c r="H18" s="3444">
        <v>10</v>
      </c>
      <c r="I18" s="5140" t="s">
        <v>2084</v>
      </c>
      <c r="J18" s="3142">
        <v>3.4722222222222224E-4</v>
      </c>
      <c r="K18" s="3142">
        <v>6.9444444444444447E-4</v>
      </c>
      <c r="L18" s="3438" t="s">
        <v>1690</v>
      </c>
      <c r="M18" s="3643">
        <f t="shared" si="28"/>
        <v>0.84453245761473061</v>
      </c>
      <c r="N18" s="3440">
        <v>0.9</v>
      </c>
      <c r="O18" s="3441">
        <f t="shared" si="29"/>
        <v>3.8817222222222222E-3</v>
      </c>
      <c r="P18" s="3145">
        <f t="shared" si="30"/>
        <v>7.5833333333333365E-5</v>
      </c>
      <c r="Q18" s="3442">
        <f t="shared" si="31"/>
        <v>6.8250000000000033E-5</v>
      </c>
      <c r="R18" s="3443" t="s">
        <v>278</v>
      </c>
      <c r="S18" s="3443">
        <f t="shared" si="32"/>
        <v>60</v>
      </c>
      <c r="T18" s="5071">
        <f t="shared" si="19"/>
        <v>0.06</v>
      </c>
      <c r="U18" s="5072">
        <f t="shared" si="20"/>
        <v>6.066666666666669E-3</v>
      </c>
      <c r="V18" s="1701">
        <f t="shared" si="21"/>
        <v>0</v>
      </c>
      <c r="W18" s="5073">
        <f t="shared" si="22"/>
        <v>0</v>
      </c>
      <c r="X18" s="5074">
        <f t="shared" si="23"/>
        <v>0</v>
      </c>
      <c r="Y18" s="5075">
        <f t="shared" si="24"/>
        <v>0</v>
      </c>
      <c r="Z18" s="5076">
        <f t="shared" si="25"/>
        <v>0</v>
      </c>
      <c r="AA18" s="5077">
        <f t="shared" si="26"/>
        <v>0.06</v>
      </c>
      <c r="AB18" s="5078">
        <f t="shared" si="27"/>
        <v>0</v>
      </c>
      <c r="AC18" s="5005"/>
      <c r="AD18" s="5079"/>
      <c r="AE18" s="5079"/>
      <c r="AF18" s="5079"/>
      <c r="AG18" s="5079"/>
      <c r="AH18" s="5079"/>
      <c r="AI18" s="5079"/>
      <c r="AJ18" s="5005"/>
      <c r="AK18" s="5005"/>
      <c r="AL18" s="5005"/>
      <c r="AM18" s="5005"/>
      <c r="AO18" s="5005"/>
    </row>
    <row r="19" spans="1:41" ht="14" customHeight="1" thickBot="1">
      <c r="A19" s="5126"/>
      <c r="B19" s="5111" t="s">
        <v>458</v>
      </c>
      <c r="C19" s="5112" t="s">
        <v>461</v>
      </c>
      <c r="D19" s="629">
        <f t="shared" si="18"/>
        <v>1.8229166666666673E-4</v>
      </c>
      <c r="E19" s="5158">
        <v>6</v>
      </c>
      <c r="F19" s="3444">
        <v>2</v>
      </c>
      <c r="G19" s="3444">
        <v>3</v>
      </c>
      <c r="H19" s="3444">
        <v>10</v>
      </c>
      <c r="I19" s="5140" t="s">
        <v>2085</v>
      </c>
      <c r="J19" s="3142">
        <v>3.4722222222222224E-4</v>
      </c>
      <c r="K19" s="3142">
        <v>6.9444444444444447E-4</v>
      </c>
      <c r="L19" s="3438" t="s">
        <v>1691</v>
      </c>
      <c r="M19" s="3643">
        <f t="shared" si="28"/>
        <v>0.84841417983695289</v>
      </c>
      <c r="N19" s="3440">
        <v>0.9</v>
      </c>
      <c r="O19" s="3441">
        <f t="shared" si="29"/>
        <v>3.8817222222222222E-3</v>
      </c>
      <c r="P19" s="3145">
        <f t="shared" si="30"/>
        <v>7.5833333333333365E-5</v>
      </c>
      <c r="Q19" s="3442">
        <f t="shared" si="31"/>
        <v>6.8250000000000033E-5</v>
      </c>
      <c r="R19" s="3443" t="s">
        <v>278</v>
      </c>
      <c r="S19" s="3443">
        <f t="shared" si="32"/>
        <v>60</v>
      </c>
      <c r="T19" s="5071">
        <f t="shared" si="19"/>
        <v>0.06</v>
      </c>
      <c r="U19" s="5072">
        <f t="shared" si="20"/>
        <v>6.066666666666669E-3</v>
      </c>
      <c r="V19" s="1701">
        <f t="shared" si="21"/>
        <v>0</v>
      </c>
      <c r="W19" s="5073">
        <f t="shared" si="22"/>
        <v>0</v>
      </c>
      <c r="X19" s="5074">
        <f t="shared" si="23"/>
        <v>0</v>
      </c>
      <c r="Y19" s="5075">
        <f t="shared" si="24"/>
        <v>0</v>
      </c>
      <c r="Z19" s="5076">
        <f t="shared" si="25"/>
        <v>0</v>
      </c>
      <c r="AA19" s="5077">
        <f t="shared" si="26"/>
        <v>0.06</v>
      </c>
      <c r="AB19" s="5078">
        <f t="shared" si="27"/>
        <v>0</v>
      </c>
      <c r="AC19" s="5005"/>
      <c r="AD19" s="5079"/>
      <c r="AE19" s="5079"/>
      <c r="AF19" s="5079"/>
      <c r="AG19" s="5079"/>
      <c r="AH19" s="5079"/>
      <c r="AI19" s="5079"/>
      <c r="AJ19" s="5005"/>
      <c r="AK19" s="5005"/>
      <c r="AL19" s="5005"/>
      <c r="AM19" s="5005"/>
      <c r="AO19" s="5005"/>
    </row>
    <row r="20" spans="1:41" ht="14" customHeight="1" thickBot="1">
      <c r="A20" s="5126"/>
      <c r="B20" s="5111" t="s">
        <v>219</v>
      </c>
      <c r="C20" s="5112" t="s">
        <v>461</v>
      </c>
      <c r="D20" s="629">
        <f t="shared" si="18"/>
        <v>1.8229166666666673E-4</v>
      </c>
      <c r="E20" s="5158">
        <v>6</v>
      </c>
      <c r="F20" s="3444">
        <v>2</v>
      </c>
      <c r="G20" s="3444">
        <v>3</v>
      </c>
      <c r="H20" s="3444">
        <v>10</v>
      </c>
      <c r="I20" s="4993" t="s">
        <v>2086</v>
      </c>
      <c r="J20" s="3142">
        <v>3.4722222222222224E-4</v>
      </c>
      <c r="K20" s="3142">
        <v>6.9444444444444447E-4</v>
      </c>
      <c r="L20" s="3438" t="s">
        <v>1692</v>
      </c>
      <c r="M20" s="3643">
        <f t="shared" si="28"/>
        <v>0.85229590205917516</v>
      </c>
      <c r="N20" s="3440">
        <v>0.9</v>
      </c>
      <c r="O20" s="3441">
        <f t="shared" si="29"/>
        <v>3.8817222222222222E-3</v>
      </c>
      <c r="P20" s="3145">
        <f t="shared" si="30"/>
        <v>7.5833333333333365E-5</v>
      </c>
      <c r="Q20" s="3442">
        <f t="shared" si="31"/>
        <v>6.8250000000000033E-5</v>
      </c>
      <c r="R20" s="3443" t="s">
        <v>278</v>
      </c>
      <c r="S20" s="3443">
        <f t="shared" si="32"/>
        <v>60</v>
      </c>
      <c r="T20" s="5071">
        <f t="shared" si="19"/>
        <v>0.06</v>
      </c>
      <c r="U20" s="5072">
        <f t="shared" si="20"/>
        <v>6.066666666666669E-3</v>
      </c>
      <c r="V20" s="1701">
        <f t="shared" si="21"/>
        <v>0</v>
      </c>
      <c r="W20" s="5073">
        <f t="shared" si="22"/>
        <v>0</v>
      </c>
      <c r="X20" s="5074">
        <f t="shared" si="23"/>
        <v>0</v>
      </c>
      <c r="Y20" s="5075">
        <f t="shared" si="24"/>
        <v>0</v>
      </c>
      <c r="Z20" s="5076">
        <f t="shared" si="25"/>
        <v>0</v>
      </c>
      <c r="AA20" s="5077">
        <f t="shared" si="26"/>
        <v>0.06</v>
      </c>
      <c r="AB20" s="5078">
        <f t="shared" si="27"/>
        <v>0</v>
      </c>
      <c r="AC20" s="5005"/>
      <c r="AD20" s="5079"/>
      <c r="AE20" s="5079"/>
      <c r="AF20" s="5079"/>
      <c r="AG20" s="5079"/>
      <c r="AH20" s="5079"/>
      <c r="AI20" s="5079"/>
      <c r="AJ20" s="5005"/>
      <c r="AK20" s="5005"/>
      <c r="AL20" s="5005"/>
      <c r="AM20" s="5005"/>
    </row>
    <row r="21" spans="1:41" ht="12.75" customHeight="1" thickBot="1">
      <c r="A21" s="5126"/>
      <c r="B21" s="5111"/>
      <c r="C21" s="5112" t="s">
        <v>461</v>
      </c>
      <c r="D21" s="629">
        <f t="shared" si="18"/>
        <v>1.8229166666666673E-4</v>
      </c>
      <c r="E21" s="5158">
        <v>6</v>
      </c>
      <c r="F21" s="3444">
        <v>2</v>
      </c>
      <c r="G21" s="3444">
        <v>3</v>
      </c>
      <c r="H21" s="3444">
        <v>15</v>
      </c>
      <c r="I21" s="5140"/>
      <c r="J21" s="3142">
        <v>3.4722222222222224E-4</v>
      </c>
      <c r="K21" s="3142">
        <v>6.9444444444444447E-4</v>
      </c>
      <c r="L21" s="3438" t="s">
        <v>932</v>
      </c>
      <c r="M21" s="3643">
        <f t="shared" si="28"/>
        <v>0.85617762428139743</v>
      </c>
      <c r="N21" s="3440">
        <v>0.9</v>
      </c>
      <c r="O21" s="3441">
        <f t="shared" si="29"/>
        <v>4.0864722222222222E-3</v>
      </c>
      <c r="P21" s="3145">
        <f t="shared" si="30"/>
        <v>1.1375000000000004E-4</v>
      </c>
      <c r="Q21" s="3442">
        <f t="shared" si="31"/>
        <v>1.0237500000000004E-4</v>
      </c>
      <c r="R21" s="3443" t="s">
        <v>278</v>
      </c>
      <c r="S21" s="3443">
        <f t="shared" si="32"/>
        <v>90</v>
      </c>
      <c r="T21" s="5071">
        <f t="shared" si="19"/>
        <v>0.09</v>
      </c>
      <c r="U21" s="5072">
        <f t="shared" si="20"/>
        <v>1.3650000000000004E-2</v>
      </c>
      <c r="V21" s="1701">
        <f t="shared" si="21"/>
        <v>0</v>
      </c>
      <c r="W21" s="5073">
        <f t="shared" si="22"/>
        <v>0</v>
      </c>
      <c r="X21" s="5074">
        <f t="shared" si="23"/>
        <v>0</v>
      </c>
      <c r="Y21" s="5075">
        <f t="shared" si="24"/>
        <v>0</v>
      </c>
      <c r="Z21" s="5076">
        <f t="shared" si="25"/>
        <v>0</v>
      </c>
      <c r="AA21" s="5077">
        <f t="shared" si="26"/>
        <v>0.09</v>
      </c>
      <c r="AB21" s="5078">
        <f t="shared" si="27"/>
        <v>0</v>
      </c>
      <c r="AC21" s="5005"/>
      <c r="AD21" s="5079"/>
      <c r="AE21" s="5079"/>
      <c r="AF21" s="5079"/>
      <c r="AG21" s="5079"/>
      <c r="AH21" s="5079"/>
      <c r="AI21" s="5079"/>
      <c r="AJ21" s="5005"/>
      <c r="AK21" s="5005"/>
      <c r="AL21" s="5005"/>
      <c r="AM21" s="5005"/>
    </row>
    <row r="22" spans="1:41" ht="15" customHeight="1" thickBot="1">
      <c r="A22" s="5126"/>
      <c r="B22" s="5111"/>
      <c r="C22" s="5112"/>
      <c r="D22" s="629">
        <f t="shared" si="18"/>
        <v>1.7682291666666674E-4</v>
      </c>
      <c r="E22" s="5157">
        <v>7</v>
      </c>
      <c r="F22" s="1201">
        <v>1</v>
      </c>
      <c r="G22" s="1201">
        <v>6</v>
      </c>
      <c r="H22" s="1201">
        <v>25</v>
      </c>
      <c r="I22" s="1201"/>
      <c r="J22" s="1051">
        <v>1.7361111111111112E-4</v>
      </c>
      <c r="K22" s="1051">
        <v>6.9444444444444447E-4</v>
      </c>
      <c r="L22" s="442" t="s">
        <v>413</v>
      </c>
      <c r="M22" s="2392">
        <f t="shared" si="28"/>
        <v>0.86026409650361968</v>
      </c>
      <c r="N22" s="3206">
        <v>1</v>
      </c>
      <c r="O22" s="2392">
        <f t="shared" si="29"/>
        <v>2.7970486111111117E-3</v>
      </c>
      <c r="P22" s="2392">
        <f t="shared" ref="P22" si="33">D22*(H22/25)</f>
        <v>1.7682291666666674E-4</v>
      </c>
      <c r="Q22" s="2392">
        <f t="shared" si="31"/>
        <v>1.7682291666666674E-4</v>
      </c>
      <c r="R22" s="789" t="s">
        <v>1697</v>
      </c>
      <c r="S22" s="2402">
        <f>F22*G22*H22</f>
        <v>150</v>
      </c>
      <c r="T22" s="5071">
        <f t="shared" si="19"/>
        <v>0.15</v>
      </c>
      <c r="U22" s="5072">
        <f t="shared" si="20"/>
        <v>1.7682291666666673E-2</v>
      </c>
      <c r="V22" s="1701">
        <f t="shared" si="21"/>
        <v>0</v>
      </c>
      <c r="W22" s="5073">
        <f t="shared" si="22"/>
        <v>0</v>
      </c>
      <c r="X22" s="5074">
        <f t="shared" si="23"/>
        <v>0</v>
      </c>
      <c r="Y22" s="5075">
        <f t="shared" si="24"/>
        <v>0</v>
      </c>
      <c r="Z22" s="5076">
        <f t="shared" si="25"/>
        <v>0</v>
      </c>
      <c r="AA22" s="5077">
        <f t="shared" si="26"/>
        <v>0</v>
      </c>
      <c r="AB22" s="5078">
        <f t="shared" si="27"/>
        <v>0.15</v>
      </c>
      <c r="AC22" s="5005"/>
      <c r="AD22" s="5079"/>
      <c r="AE22" s="5079"/>
      <c r="AF22" s="5079"/>
      <c r="AG22" s="5079"/>
      <c r="AH22" s="5079"/>
      <c r="AI22" s="5079"/>
      <c r="AJ22" s="5005"/>
      <c r="AK22" s="5005"/>
      <c r="AL22" s="5005"/>
      <c r="AM22" s="5005"/>
    </row>
    <row r="23" spans="1:41" ht="15" customHeight="1" thickBot="1">
      <c r="A23" s="5126"/>
      <c r="B23" s="5113" t="s">
        <v>215</v>
      </c>
      <c r="C23" s="5059" t="s">
        <v>215</v>
      </c>
      <c r="D23" s="629">
        <f t="shared" si="18"/>
        <v>0</v>
      </c>
      <c r="E23" s="5159"/>
      <c r="F23" s="3454"/>
      <c r="G23" s="3454"/>
      <c r="H23" s="3454"/>
      <c r="I23" s="3454"/>
      <c r="J23" s="3454"/>
      <c r="K23" s="3454"/>
      <c r="L23" s="3454"/>
      <c r="M23" s="3173">
        <f>M22+O22</f>
        <v>0.86306114511473075</v>
      </c>
      <c r="N23" s="3455"/>
      <c r="O23" s="2329"/>
      <c r="P23" s="3454"/>
      <c r="Q23" s="3454"/>
      <c r="R23" s="3454"/>
      <c r="S23" s="3656">
        <f>SUM(S13:S22)</f>
        <v>2140</v>
      </c>
      <c r="T23" s="5071">
        <f t="shared" si="19"/>
        <v>0</v>
      </c>
      <c r="U23" s="5072">
        <f t="shared" si="20"/>
        <v>0</v>
      </c>
      <c r="V23" s="1701">
        <f t="shared" si="21"/>
        <v>0</v>
      </c>
      <c r="W23" s="5073">
        <f t="shared" si="22"/>
        <v>0</v>
      </c>
      <c r="X23" s="5074">
        <f t="shared" si="23"/>
        <v>0</v>
      </c>
      <c r="Y23" s="5075">
        <f t="shared" si="24"/>
        <v>0</v>
      </c>
      <c r="Z23" s="5076">
        <f t="shared" si="25"/>
        <v>0</v>
      </c>
      <c r="AA23" s="5077">
        <f t="shared" si="26"/>
        <v>0</v>
      </c>
      <c r="AB23" s="5078">
        <f t="shared" si="27"/>
        <v>0</v>
      </c>
      <c r="AC23" s="5005"/>
      <c r="AD23" s="5079"/>
      <c r="AE23" s="5079"/>
      <c r="AF23" s="5079"/>
      <c r="AG23" s="5079"/>
      <c r="AH23" s="5079"/>
      <c r="AI23" s="5079"/>
      <c r="AJ23" s="5005"/>
      <c r="AK23" s="5005"/>
      <c r="AL23" s="5005"/>
      <c r="AM23" s="5005"/>
    </row>
    <row r="24" spans="1:41" ht="15" customHeight="1" thickBot="1">
      <c r="A24" s="5126"/>
      <c r="B24" s="5058" t="s">
        <v>139</v>
      </c>
      <c r="C24" s="5059" t="s">
        <v>215</v>
      </c>
      <c r="D24" s="629">
        <f t="shared" si="18"/>
        <v>2.1908757716049393E-4</v>
      </c>
      <c r="E24" s="1920">
        <v>2</v>
      </c>
      <c r="F24" s="1173">
        <v>1</v>
      </c>
      <c r="G24" s="1173">
        <v>4</v>
      </c>
      <c r="H24" s="1173">
        <v>100</v>
      </c>
      <c r="I24" s="1173"/>
      <c r="J24" s="299">
        <v>1.7361111111111112E-4</v>
      </c>
      <c r="K24" s="299">
        <v>1.3888888888888889E-3</v>
      </c>
      <c r="L24" s="1123" t="s">
        <v>970</v>
      </c>
      <c r="M24" s="1143">
        <v>0.34027777777777773</v>
      </c>
      <c r="N24" s="2397">
        <v>1.1000000000000001</v>
      </c>
      <c r="O24" s="1453">
        <f t="shared" ref="O24:O29" si="34">Q24*F24*G24+J24*F24*G24+K24*F24</f>
        <v>5.9392746913580268E-3</v>
      </c>
      <c r="P24" s="1175">
        <f t="shared" ref="P24:P38" si="35">D24*(H24/25)</f>
        <v>8.7635030864197572E-4</v>
      </c>
      <c r="Q24" s="1175">
        <f>P24*N24</f>
        <v>9.6398533950617339E-4</v>
      </c>
      <c r="R24" s="550">
        <v>129</v>
      </c>
      <c r="S24" s="2398">
        <f>F24*G24*H24</f>
        <v>400</v>
      </c>
      <c r="T24" s="5071">
        <f t="shared" si="19"/>
        <v>0.4</v>
      </c>
      <c r="U24" s="5072">
        <f t="shared" si="20"/>
        <v>0.35054012345679031</v>
      </c>
      <c r="V24" s="1701">
        <f t="shared" si="21"/>
        <v>0</v>
      </c>
      <c r="W24" s="5073">
        <f t="shared" si="22"/>
        <v>0.4</v>
      </c>
      <c r="X24" s="5074">
        <f t="shared" si="23"/>
        <v>0</v>
      </c>
      <c r="Y24" s="5075">
        <f t="shared" si="24"/>
        <v>0</v>
      </c>
      <c r="Z24" s="5076">
        <f t="shared" si="25"/>
        <v>0</v>
      </c>
      <c r="AA24" s="5077">
        <f t="shared" si="26"/>
        <v>0</v>
      </c>
      <c r="AB24" s="5078">
        <f t="shared" si="27"/>
        <v>0</v>
      </c>
      <c r="AC24" s="5005"/>
      <c r="AD24" s="5079"/>
      <c r="AE24" s="5079"/>
      <c r="AF24" s="5079"/>
      <c r="AG24" s="5079"/>
      <c r="AH24" s="5079"/>
      <c r="AI24" s="5079"/>
      <c r="AJ24" s="5005"/>
      <c r="AK24" s="5005"/>
      <c r="AL24" s="5005"/>
      <c r="AM24" s="5005"/>
    </row>
    <row r="25" spans="1:41" ht="15" customHeight="1" thickBot="1">
      <c r="A25" s="5126"/>
      <c r="B25" s="5058" t="s">
        <v>458</v>
      </c>
      <c r="C25" s="5059" t="s">
        <v>215</v>
      </c>
      <c r="D25" s="629">
        <f t="shared" si="18"/>
        <v>2.1222190799396687E-4</v>
      </c>
      <c r="E25" s="5160">
        <v>3</v>
      </c>
      <c r="F25" s="1161">
        <v>3</v>
      </c>
      <c r="G25" s="1161">
        <v>2</v>
      </c>
      <c r="H25" s="1161">
        <v>50</v>
      </c>
      <c r="I25" s="1161"/>
      <c r="J25" s="1163">
        <v>8.1018518518518516E-5</v>
      </c>
      <c r="K25" s="1163">
        <v>1.3888888888888889E-3</v>
      </c>
      <c r="L25" s="1074" t="s">
        <v>969</v>
      </c>
      <c r="M25" s="1147">
        <f t="shared" ref="M25:M39" si="36">M24+O24</f>
        <v>0.34621705246913576</v>
      </c>
      <c r="N25" s="3212">
        <v>1.1000000000000001</v>
      </c>
      <c r="O25" s="2710">
        <f t="shared" si="34"/>
        <v>7.4541069632981412E-3</v>
      </c>
      <c r="P25" s="1600">
        <f t="shared" si="35"/>
        <v>4.2444381598793373E-4</v>
      </c>
      <c r="Q25" s="1600">
        <f>P25*N25</f>
        <v>4.6688819758672714E-4</v>
      </c>
      <c r="R25" s="843">
        <v>165</v>
      </c>
      <c r="S25" s="3213">
        <f>F25*G25*H25</f>
        <v>300</v>
      </c>
      <c r="T25" s="5071">
        <f t="shared" si="19"/>
        <v>0.3</v>
      </c>
      <c r="U25" s="5072">
        <f t="shared" si="20"/>
        <v>0.25466628959276022</v>
      </c>
      <c r="V25" s="1701">
        <f t="shared" si="21"/>
        <v>0</v>
      </c>
      <c r="W25" s="5073">
        <f t="shared" si="22"/>
        <v>0</v>
      </c>
      <c r="X25" s="5074">
        <f t="shared" si="23"/>
        <v>0.3</v>
      </c>
      <c r="Y25" s="5075">
        <f t="shared" si="24"/>
        <v>0</v>
      </c>
      <c r="Z25" s="5076">
        <f t="shared" si="25"/>
        <v>0</v>
      </c>
      <c r="AA25" s="5077">
        <f t="shared" si="26"/>
        <v>0</v>
      </c>
      <c r="AB25" s="5078">
        <f t="shared" si="27"/>
        <v>0</v>
      </c>
      <c r="AC25" s="5005"/>
      <c r="AD25" s="5079"/>
      <c r="AE25" s="5079"/>
      <c r="AF25" s="5079"/>
      <c r="AG25" s="5079"/>
      <c r="AH25" s="5079"/>
      <c r="AI25" s="5079"/>
      <c r="AJ25" s="5005"/>
      <c r="AK25" s="5005"/>
      <c r="AL25" s="5005"/>
      <c r="AM25" s="5005"/>
    </row>
    <row r="26" spans="1:41" ht="15" customHeight="1" thickBot="1">
      <c r="A26" s="5126"/>
      <c r="B26" s="5058" t="s">
        <v>140</v>
      </c>
      <c r="C26" s="5059" t="s">
        <v>215</v>
      </c>
      <c r="D26" s="629">
        <f t="shared" si="18"/>
        <v>1.8229166666666673E-4</v>
      </c>
      <c r="E26" s="5161">
        <v>6</v>
      </c>
      <c r="F26" s="5130">
        <v>1</v>
      </c>
      <c r="G26" s="5131">
        <v>8</v>
      </c>
      <c r="H26" s="5131">
        <v>75</v>
      </c>
      <c r="I26" s="5131" t="s">
        <v>2045</v>
      </c>
      <c r="J26" s="5132">
        <v>1.3888888888888889E-3</v>
      </c>
      <c r="K26" s="5133">
        <v>2.0833333333333333E-3</v>
      </c>
      <c r="L26" s="5134" t="s">
        <v>2047</v>
      </c>
      <c r="M26" s="5132">
        <v>0.36366898148148147</v>
      </c>
      <c r="N26" s="5135"/>
      <c r="O26" s="5132">
        <v>1.8101851851851852E-2</v>
      </c>
      <c r="P26" s="5136"/>
      <c r="Q26" s="5137">
        <v>6.1354166666666664E-4</v>
      </c>
      <c r="R26" s="5138">
        <v>177</v>
      </c>
      <c r="S26" s="5131">
        <v>600</v>
      </c>
      <c r="T26" s="5071">
        <f t="shared" si="19"/>
        <v>0.6</v>
      </c>
      <c r="U26" s="5072">
        <f t="shared" si="20"/>
        <v>0</v>
      </c>
      <c r="V26" s="1701">
        <f t="shared" si="21"/>
        <v>0</v>
      </c>
      <c r="W26" s="5073">
        <f t="shared" si="22"/>
        <v>0</v>
      </c>
      <c r="X26" s="5074">
        <f t="shared" si="23"/>
        <v>0</v>
      </c>
      <c r="Y26" s="5075">
        <f t="shared" si="24"/>
        <v>0</v>
      </c>
      <c r="Z26" s="5076">
        <f t="shared" si="25"/>
        <v>0</v>
      </c>
      <c r="AA26" s="5077">
        <f t="shared" si="26"/>
        <v>0.6</v>
      </c>
      <c r="AB26" s="5078">
        <f t="shared" si="27"/>
        <v>0</v>
      </c>
      <c r="AC26" s="5005"/>
      <c r="AD26" s="5079"/>
      <c r="AE26" s="5079"/>
      <c r="AF26" s="5079"/>
      <c r="AG26" s="5079"/>
      <c r="AH26" s="5079"/>
      <c r="AI26" s="5079"/>
      <c r="AJ26" s="5005"/>
      <c r="AK26" s="5005"/>
      <c r="AL26" s="5005"/>
      <c r="AM26" s="5005"/>
    </row>
    <row r="27" spans="1:41" ht="15" customHeight="1" thickBot="1">
      <c r="A27" s="5126"/>
      <c r="B27" s="5058" t="s">
        <v>674</v>
      </c>
      <c r="C27" s="5059" t="s">
        <v>215</v>
      </c>
      <c r="D27" s="629">
        <f t="shared" si="18"/>
        <v>1.8933937422552669E-4</v>
      </c>
      <c r="E27" s="5162">
        <v>5</v>
      </c>
      <c r="F27" s="1248">
        <v>3</v>
      </c>
      <c r="G27" s="3190">
        <v>1</v>
      </c>
      <c r="H27" s="1249">
        <v>100</v>
      </c>
      <c r="I27" s="3191" t="s">
        <v>1456</v>
      </c>
      <c r="J27" s="1250">
        <v>3.4722222222222224E-4</v>
      </c>
      <c r="K27" s="1250">
        <v>1.3888888888888889E-3</v>
      </c>
      <c r="L27" s="1035" t="s">
        <v>1540</v>
      </c>
      <c r="M27" s="1456">
        <f>M26+O26</f>
        <v>0.38177083333333334</v>
      </c>
      <c r="N27" s="2399">
        <v>1.05</v>
      </c>
      <c r="O27" s="1456">
        <f t="shared" si="34"/>
        <v>7.5940094485749694E-3</v>
      </c>
      <c r="P27" s="1253">
        <f t="shared" si="35"/>
        <v>7.5735749690210676E-4</v>
      </c>
      <c r="Q27" s="1254">
        <f t="shared" ref="Q27:Q29" si="37">P27*N27</f>
        <v>7.9522537174721211E-4</v>
      </c>
      <c r="R27" s="1255" t="s">
        <v>267</v>
      </c>
      <c r="S27" s="1255">
        <f t="shared" ref="S27" si="38">F27*G27*H27</f>
        <v>300</v>
      </c>
      <c r="T27" s="5071">
        <f t="shared" si="19"/>
        <v>0.3</v>
      </c>
      <c r="U27" s="5072">
        <f t="shared" si="20"/>
        <v>0.90882899628252811</v>
      </c>
      <c r="V27" s="1701">
        <f t="shared" si="21"/>
        <v>0</v>
      </c>
      <c r="W27" s="5073">
        <f t="shared" si="22"/>
        <v>0</v>
      </c>
      <c r="X27" s="5074">
        <f t="shared" si="23"/>
        <v>0</v>
      </c>
      <c r="Y27" s="5075">
        <f t="shared" si="24"/>
        <v>0</v>
      </c>
      <c r="Z27" s="5076">
        <f t="shared" si="25"/>
        <v>0.3</v>
      </c>
      <c r="AA27" s="5077">
        <f t="shared" si="26"/>
        <v>0</v>
      </c>
      <c r="AB27" s="5078">
        <f t="shared" si="27"/>
        <v>0</v>
      </c>
      <c r="AC27" s="5005"/>
      <c r="AD27" s="5079"/>
      <c r="AE27" s="5079"/>
      <c r="AF27" s="5079"/>
      <c r="AG27" s="5079"/>
      <c r="AH27" s="5079"/>
      <c r="AI27" s="5079"/>
      <c r="AJ27" s="5005"/>
      <c r="AK27" s="5005"/>
      <c r="AL27" s="5005"/>
      <c r="AM27" s="5005"/>
    </row>
    <row r="28" spans="1:41" ht="13" customHeight="1" thickBot="1">
      <c r="A28" s="5126"/>
      <c r="B28" s="5058" t="s">
        <v>214</v>
      </c>
      <c r="C28" s="5059" t="s">
        <v>215</v>
      </c>
      <c r="D28" s="629">
        <f t="shared" si="18"/>
        <v>1.7682291666666674E-4</v>
      </c>
      <c r="E28" s="5157">
        <v>7</v>
      </c>
      <c r="F28" s="1201">
        <v>4</v>
      </c>
      <c r="G28" s="1201">
        <v>5</v>
      </c>
      <c r="H28" s="1201">
        <v>10</v>
      </c>
      <c r="I28" s="1201"/>
      <c r="J28" s="1051">
        <v>1.7361111111111112E-4</v>
      </c>
      <c r="K28" s="1051">
        <v>6.9444444444444447E-4</v>
      </c>
      <c r="L28" s="442" t="s">
        <v>1696</v>
      </c>
      <c r="M28" s="2392">
        <f t="shared" si="36"/>
        <v>0.3893648427819083</v>
      </c>
      <c r="N28" s="3206">
        <v>1</v>
      </c>
      <c r="O28" s="2392">
        <f t="shared" si="34"/>
        <v>7.664583333333334E-3</v>
      </c>
      <c r="P28" s="2392">
        <f t="shared" si="35"/>
        <v>7.0729166666666694E-5</v>
      </c>
      <c r="Q28" s="2392">
        <f t="shared" si="37"/>
        <v>7.0729166666666694E-5</v>
      </c>
      <c r="R28" s="789" t="s">
        <v>1697</v>
      </c>
      <c r="S28" s="2402">
        <f>F28*G28*H28</f>
        <v>200</v>
      </c>
      <c r="T28" s="5071">
        <f t="shared" si="19"/>
        <v>0.2</v>
      </c>
      <c r="U28" s="5072">
        <f t="shared" si="20"/>
        <v>1.1316666666666671E-2</v>
      </c>
      <c r="V28" s="1701">
        <f t="shared" si="21"/>
        <v>0</v>
      </c>
      <c r="W28" s="5073">
        <f t="shared" si="22"/>
        <v>0</v>
      </c>
      <c r="X28" s="5074">
        <f t="shared" si="23"/>
        <v>0</v>
      </c>
      <c r="Y28" s="5075">
        <f t="shared" si="24"/>
        <v>0</v>
      </c>
      <c r="Z28" s="5076">
        <f t="shared" si="25"/>
        <v>0</v>
      </c>
      <c r="AA28" s="5077">
        <f t="shared" si="26"/>
        <v>0</v>
      </c>
      <c r="AB28" s="5078">
        <f t="shared" si="27"/>
        <v>0.2</v>
      </c>
      <c r="AC28" s="5005"/>
      <c r="AD28" s="5079"/>
      <c r="AE28" s="5079"/>
      <c r="AF28" s="5079"/>
      <c r="AG28" s="5079"/>
      <c r="AH28" s="5079"/>
      <c r="AI28" s="5079"/>
      <c r="AJ28" s="5005"/>
      <c r="AK28" s="5005"/>
      <c r="AL28" s="5005"/>
      <c r="AM28" s="5005"/>
    </row>
    <row r="29" spans="1:41" ht="14" customHeight="1" thickBot="1">
      <c r="A29" s="5126"/>
      <c r="B29" s="5058" t="s">
        <v>458</v>
      </c>
      <c r="C29" s="5059" t="s">
        <v>215</v>
      </c>
      <c r="D29" s="629">
        <f t="shared" si="18"/>
        <v>1.7682291666666674E-4</v>
      </c>
      <c r="E29" s="5157">
        <v>7</v>
      </c>
      <c r="F29" s="1201">
        <v>1</v>
      </c>
      <c r="G29" s="1201">
        <v>6</v>
      </c>
      <c r="H29" s="1201">
        <v>25</v>
      </c>
      <c r="I29" s="1201"/>
      <c r="J29" s="1051">
        <v>1.7361111111111112E-4</v>
      </c>
      <c r="K29" s="1051">
        <v>6.9444444444444447E-4</v>
      </c>
      <c r="L29" s="442" t="s">
        <v>413</v>
      </c>
      <c r="M29" s="2392">
        <f t="shared" si="36"/>
        <v>0.39702942611524161</v>
      </c>
      <c r="N29" s="3206">
        <v>1</v>
      </c>
      <c r="O29" s="2392">
        <f t="shared" si="34"/>
        <v>2.7970486111111117E-3</v>
      </c>
      <c r="P29" s="2392">
        <f t="shared" si="35"/>
        <v>1.7682291666666674E-4</v>
      </c>
      <c r="Q29" s="2392">
        <f t="shared" si="37"/>
        <v>1.7682291666666674E-4</v>
      </c>
      <c r="R29" s="789" t="s">
        <v>1697</v>
      </c>
      <c r="S29" s="2402">
        <f>F29*G29*H29</f>
        <v>150</v>
      </c>
      <c r="T29" s="5071">
        <f t="shared" si="19"/>
        <v>0.15</v>
      </c>
      <c r="U29" s="5072">
        <f t="shared" si="20"/>
        <v>1.7682291666666673E-2</v>
      </c>
      <c r="V29" s="1701">
        <f t="shared" si="21"/>
        <v>0</v>
      </c>
      <c r="W29" s="5073">
        <f t="shared" si="22"/>
        <v>0</v>
      </c>
      <c r="X29" s="5074">
        <f t="shared" si="23"/>
        <v>0</v>
      </c>
      <c r="Y29" s="5075">
        <f t="shared" si="24"/>
        <v>0</v>
      </c>
      <c r="Z29" s="5076">
        <f t="shared" si="25"/>
        <v>0</v>
      </c>
      <c r="AA29" s="5077">
        <f t="shared" si="26"/>
        <v>0</v>
      </c>
      <c r="AB29" s="5078">
        <f t="shared" si="27"/>
        <v>0.15</v>
      </c>
      <c r="AC29" s="5005"/>
      <c r="AD29" s="5079"/>
      <c r="AE29" s="5079"/>
      <c r="AF29" s="5079"/>
      <c r="AG29" s="5079"/>
      <c r="AH29" s="5079"/>
      <c r="AI29" s="5079"/>
      <c r="AJ29" s="5005"/>
      <c r="AK29" s="5005"/>
      <c r="AL29" s="5005"/>
      <c r="AM29" s="5005"/>
    </row>
    <row r="30" spans="1:41" ht="14" customHeight="1" thickBot="1">
      <c r="A30" s="5126"/>
      <c r="B30" s="5058" t="s">
        <v>219</v>
      </c>
      <c r="C30" s="5059"/>
      <c r="D30" s="629">
        <f t="shared" si="18"/>
        <v>2.2880964381720439E-4</v>
      </c>
      <c r="E30" s="5163">
        <v>1</v>
      </c>
      <c r="F30" s="1021"/>
      <c r="G30" s="336"/>
      <c r="H30" s="336"/>
      <c r="I30" s="336"/>
      <c r="J30" s="336"/>
      <c r="K30" s="336"/>
      <c r="L30" s="336"/>
      <c r="M30" s="3169">
        <f>M28+O28</f>
        <v>0.39702942611524161</v>
      </c>
      <c r="N30" s="3201">
        <v>0.9</v>
      </c>
      <c r="O30" s="2711"/>
      <c r="P30" s="2714">
        <f t="shared" si="35"/>
        <v>0</v>
      </c>
      <c r="Q30" s="2711"/>
      <c r="R30" s="3202"/>
      <c r="S30" s="3203">
        <f>SUM(S24:S28)</f>
        <v>1800</v>
      </c>
      <c r="T30" s="5071">
        <f t="shared" si="19"/>
        <v>0</v>
      </c>
      <c r="U30" s="5072">
        <f t="shared" si="20"/>
        <v>0</v>
      </c>
      <c r="V30" s="1701">
        <f t="shared" si="21"/>
        <v>0</v>
      </c>
      <c r="W30" s="5073">
        <f t="shared" si="22"/>
        <v>0</v>
      </c>
      <c r="X30" s="5074">
        <f t="shared" si="23"/>
        <v>0</v>
      </c>
      <c r="Y30" s="5075">
        <f t="shared" si="24"/>
        <v>0</v>
      </c>
      <c r="Z30" s="5076">
        <f t="shared" si="25"/>
        <v>0</v>
      </c>
      <c r="AA30" s="5077">
        <f t="shared" si="26"/>
        <v>0</v>
      </c>
      <c r="AB30" s="5078">
        <f t="shared" si="27"/>
        <v>0</v>
      </c>
      <c r="AC30" s="5005"/>
      <c r="AD30" s="5079"/>
      <c r="AE30" s="5079"/>
      <c r="AF30" s="5079"/>
      <c r="AG30" s="5079"/>
      <c r="AH30" s="5079"/>
      <c r="AI30" s="5079"/>
      <c r="AJ30" s="5005"/>
      <c r="AK30" s="5005"/>
      <c r="AL30" s="5005"/>
      <c r="AM30" s="5005"/>
    </row>
    <row r="31" spans="1:41" ht="13" customHeight="1" thickBot="1">
      <c r="A31" s="5126"/>
      <c r="B31" s="5104"/>
      <c r="C31" s="5105" t="s">
        <v>461</v>
      </c>
      <c r="D31" s="629">
        <f t="shared" si="18"/>
        <v>2.2880964381720439E-4</v>
      </c>
      <c r="E31" s="5164">
        <v>1</v>
      </c>
      <c r="F31" s="1194">
        <v>1</v>
      </c>
      <c r="G31" s="1194">
        <v>1</v>
      </c>
      <c r="H31" s="1194">
        <v>300</v>
      </c>
      <c r="I31" s="274"/>
      <c r="J31" s="274">
        <v>1.1574074074074073E-4</v>
      </c>
      <c r="K31" s="274">
        <v>6.9444444444444447E-4</v>
      </c>
      <c r="L31" s="312" t="s">
        <v>925</v>
      </c>
      <c r="M31" s="3173">
        <v>0.79861111111111116</v>
      </c>
      <c r="N31" s="2395">
        <v>1</v>
      </c>
      <c r="O31" s="1667">
        <f>Q31*F31*G31+J31*F31*G31+K31*F31</f>
        <v>3.5559009109916383E-3</v>
      </c>
      <c r="P31" s="1196">
        <f t="shared" si="35"/>
        <v>2.7457157258064528E-3</v>
      </c>
      <c r="Q31" s="1196">
        <f t="shared" ref="Q31:Q38" si="39">P31*N31</f>
        <v>2.7457157258064528E-3</v>
      </c>
      <c r="R31" s="548">
        <v>129</v>
      </c>
      <c r="S31" s="2384">
        <f t="shared" ref="S31:S38" si="40">F31*G31*H31</f>
        <v>300</v>
      </c>
      <c r="T31" s="5071">
        <f t="shared" si="19"/>
        <v>0.3</v>
      </c>
      <c r="U31" s="5072">
        <f t="shared" si="20"/>
        <v>3.2948588709677433</v>
      </c>
      <c r="V31" s="1701">
        <f t="shared" si="21"/>
        <v>0.3</v>
      </c>
      <c r="W31" s="5073">
        <f t="shared" si="22"/>
        <v>0</v>
      </c>
      <c r="X31" s="5074">
        <f t="shared" si="23"/>
        <v>0</v>
      </c>
      <c r="Y31" s="5075">
        <f t="shared" si="24"/>
        <v>0</v>
      </c>
      <c r="Z31" s="5076">
        <f t="shared" si="25"/>
        <v>0</v>
      </c>
      <c r="AA31" s="5077">
        <f t="shared" si="26"/>
        <v>0</v>
      </c>
      <c r="AB31" s="5078">
        <f t="shared" si="27"/>
        <v>0</v>
      </c>
      <c r="AC31" s="5005"/>
      <c r="AD31" s="5079"/>
      <c r="AE31" s="5079"/>
      <c r="AF31" s="5079"/>
      <c r="AG31" s="5079"/>
      <c r="AH31" s="5079"/>
      <c r="AI31" s="5079"/>
      <c r="AJ31" s="5005"/>
      <c r="AK31" s="5005"/>
      <c r="AL31" s="5005"/>
      <c r="AM31" s="5005"/>
    </row>
    <row r="32" spans="1:41" ht="13" customHeight="1" thickBot="1">
      <c r="A32" s="5126"/>
      <c r="B32" s="5113" t="s">
        <v>215</v>
      </c>
      <c r="C32" s="5105" t="s">
        <v>461</v>
      </c>
      <c r="D32" s="629">
        <f t="shared" si="18"/>
        <v>2.1908757716049393E-4</v>
      </c>
      <c r="E32" s="5165">
        <v>2</v>
      </c>
      <c r="F32" s="1173">
        <v>1</v>
      </c>
      <c r="G32" s="1173">
        <v>1</v>
      </c>
      <c r="H32" s="1173">
        <v>200</v>
      </c>
      <c r="I32" s="299"/>
      <c r="J32" s="299">
        <v>1.3888888888888889E-4</v>
      </c>
      <c r="K32" s="299">
        <v>6.9444444444444447E-4</v>
      </c>
      <c r="L32" s="1123" t="s">
        <v>926</v>
      </c>
      <c r="M32" s="1453">
        <f t="shared" si="36"/>
        <v>0.80216701202210283</v>
      </c>
      <c r="N32" s="2397">
        <v>1</v>
      </c>
      <c r="O32" s="1453">
        <f t="shared" ref="O32:O38" si="41">Q32*F32*G32+J32*G32*F32+K32*F32</f>
        <v>2.5860339506172847E-3</v>
      </c>
      <c r="P32" s="1453">
        <f t="shared" si="35"/>
        <v>1.7527006172839514E-3</v>
      </c>
      <c r="Q32" s="1175">
        <f t="shared" si="39"/>
        <v>1.7527006172839514E-3</v>
      </c>
      <c r="R32" s="550">
        <v>144</v>
      </c>
      <c r="S32" s="2398">
        <f t="shared" si="40"/>
        <v>200</v>
      </c>
      <c r="T32" s="5071">
        <f t="shared" si="19"/>
        <v>0.2</v>
      </c>
      <c r="U32" s="5072">
        <f t="shared" si="20"/>
        <v>1.4021604938271612</v>
      </c>
      <c r="V32" s="1701">
        <f t="shared" si="21"/>
        <v>0</v>
      </c>
      <c r="W32" s="5073">
        <f t="shared" si="22"/>
        <v>0.2</v>
      </c>
      <c r="X32" s="5074">
        <f t="shared" si="23"/>
        <v>0</v>
      </c>
      <c r="Y32" s="5075">
        <f t="shared" si="24"/>
        <v>0</v>
      </c>
      <c r="Z32" s="5076">
        <f t="shared" si="25"/>
        <v>0</v>
      </c>
      <c r="AA32" s="5077">
        <f t="shared" si="26"/>
        <v>0</v>
      </c>
      <c r="AB32" s="5078">
        <f t="shared" si="27"/>
        <v>0</v>
      </c>
      <c r="AC32" s="5005"/>
      <c r="AD32" s="5079"/>
      <c r="AE32" s="5079"/>
      <c r="AF32" s="5079"/>
      <c r="AG32" s="5079"/>
      <c r="AH32" s="5079"/>
      <c r="AI32" s="5079"/>
      <c r="AJ32" s="5005"/>
      <c r="AK32" s="5005"/>
      <c r="AL32" s="5005"/>
      <c r="AM32" s="5005"/>
    </row>
    <row r="33" spans="1:41" ht="13" customHeight="1" thickBot="1">
      <c r="A33" s="5126"/>
      <c r="B33" s="5058" t="s">
        <v>139</v>
      </c>
      <c r="C33" s="5105" t="s">
        <v>461</v>
      </c>
      <c r="D33" s="629">
        <f t="shared" si="18"/>
        <v>2.1908757716049393E-4</v>
      </c>
      <c r="E33" s="5165">
        <v>2</v>
      </c>
      <c r="F33" s="1173">
        <v>1</v>
      </c>
      <c r="G33" s="1173">
        <v>1</v>
      </c>
      <c r="H33" s="1173">
        <v>300</v>
      </c>
      <c r="I33" s="299"/>
      <c r="J33" s="299">
        <v>2.3148148148148146E-4</v>
      </c>
      <c r="K33" s="299">
        <v>6.9444444444444447E-4</v>
      </c>
      <c r="L33" s="1123" t="s">
        <v>558</v>
      </c>
      <c r="M33" s="1453">
        <f t="shared" si="36"/>
        <v>0.80475304597272013</v>
      </c>
      <c r="N33" s="2397">
        <v>1</v>
      </c>
      <c r="O33" s="1453">
        <f t="shared" si="41"/>
        <v>3.554976851851853E-3</v>
      </c>
      <c r="P33" s="1453">
        <f t="shared" si="35"/>
        <v>2.629050925925927E-3</v>
      </c>
      <c r="Q33" s="1175">
        <f t="shared" si="39"/>
        <v>2.629050925925927E-3</v>
      </c>
      <c r="R33" s="550">
        <v>145</v>
      </c>
      <c r="S33" s="2398">
        <f t="shared" si="40"/>
        <v>300</v>
      </c>
      <c r="T33" s="5071">
        <f t="shared" si="19"/>
        <v>0.3</v>
      </c>
      <c r="U33" s="5072">
        <f t="shared" si="20"/>
        <v>3.1548611111111127</v>
      </c>
      <c r="V33" s="1701">
        <f t="shared" si="21"/>
        <v>0</v>
      </c>
      <c r="W33" s="5073">
        <f t="shared" si="22"/>
        <v>0.3</v>
      </c>
      <c r="X33" s="5074">
        <f t="shared" si="23"/>
        <v>0</v>
      </c>
      <c r="Y33" s="5075">
        <f t="shared" si="24"/>
        <v>0</v>
      </c>
      <c r="Z33" s="5076">
        <f t="shared" si="25"/>
        <v>0</v>
      </c>
      <c r="AA33" s="5077">
        <f t="shared" si="26"/>
        <v>0</v>
      </c>
      <c r="AB33" s="5078">
        <f t="shared" si="27"/>
        <v>0</v>
      </c>
      <c r="AC33" s="5005"/>
      <c r="AD33" s="5079"/>
      <c r="AE33" s="5079"/>
      <c r="AF33" s="5079"/>
      <c r="AG33" s="5079"/>
      <c r="AH33" s="5079"/>
      <c r="AI33" s="5079"/>
      <c r="AJ33" s="5005"/>
      <c r="AK33" s="5005"/>
      <c r="AL33" s="5005"/>
      <c r="AM33" s="5005"/>
    </row>
    <row r="34" spans="1:41" ht="13" customHeight="1" thickBot="1">
      <c r="A34" s="5126"/>
      <c r="B34" s="5058" t="s">
        <v>458</v>
      </c>
      <c r="C34" s="5105" t="s">
        <v>461</v>
      </c>
      <c r="D34" s="629">
        <f t="shared" si="18"/>
        <v>2.1908757716049393E-4</v>
      </c>
      <c r="E34" s="5166">
        <v>2</v>
      </c>
      <c r="F34" s="1201">
        <v>1</v>
      </c>
      <c r="G34" s="1201">
        <v>10</v>
      </c>
      <c r="H34" s="1201">
        <v>20</v>
      </c>
      <c r="I34" s="1051"/>
      <c r="J34" s="1051">
        <v>2.8935185185185189E-4</v>
      </c>
      <c r="K34" s="1051">
        <v>1.3888888888888889E-3</v>
      </c>
      <c r="L34" s="1201" t="s">
        <v>927</v>
      </c>
      <c r="M34" s="1954">
        <f t="shared" si="36"/>
        <v>0.80830802282457193</v>
      </c>
      <c r="N34" s="3206">
        <v>2</v>
      </c>
      <c r="O34" s="1954">
        <f t="shared" si="41"/>
        <v>7.7878086419753108E-3</v>
      </c>
      <c r="P34" s="1954">
        <f t="shared" si="35"/>
        <v>1.7527006172839515E-4</v>
      </c>
      <c r="Q34" s="1191">
        <f t="shared" si="39"/>
        <v>3.505401234567903E-4</v>
      </c>
      <c r="R34" s="789"/>
      <c r="S34" s="2419">
        <f t="shared" si="40"/>
        <v>200</v>
      </c>
      <c r="T34" s="5071">
        <f t="shared" si="19"/>
        <v>0.2</v>
      </c>
      <c r="U34" s="5072">
        <f t="shared" si="20"/>
        <v>1.4021604938271611E-2</v>
      </c>
      <c r="V34" s="1701">
        <f t="shared" si="21"/>
        <v>0</v>
      </c>
      <c r="W34" s="5073">
        <f t="shared" si="22"/>
        <v>0.2</v>
      </c>
      <c r="X34" s="5074">
        <f t="shared" si="23"/>
        <v>0</v>
      </c>
      <c r="Y34" s="5075">
        <f t="shared" si="24"/>
        <v>0</v>
      </c>
      <c r="Z34" s="5076">
        <f t="shared" si="25"/>
        <v>0</v>
      </c>
      <c r="AA34" s="5077">
        <f t="shared" si="26"/>
        <v>0</v>
      </c>
      <c r="AB34" s="5078">
        <f t="shared" si="27"/>
        <v>0</v>
      </c>
      <c r="AC34" s="5005"/>
      <c r="AD34" s="5079"/>
      <c r="AE34" s="5079"/>
      <c r="AF34" s="5079"/>
      <c r="AG34" s="5079"/>
      <c r="AH34" s="5079"/>
      <c r="AI34" s="5079"/>
      <c r="AJ34" s="5005"/>
      <c r="AK34" s="5005"/>
      <c r="AL34" s="5005"/>
      <c r="AM34" s="5005"/>
    </row>
    <row r="35" spans="1:41" ht="13" customHeight="1" thickBot="1">
      <c r="A35" s="5126"/>
      <c r="B35" s="5058" t="s">
        <v>140</v>
      </c>
      <c r="C35" s="5105" t="s">
        <v>461</v>
      </c>
      <c r="D35" s="629">
        <f t="shared" si="18"/>
        <v>2.1908757716049393E-4</v>
      </c>
      <c r="E35" s="5167">
        <v>2</v>
      </c>
      <c r="F35" s="1173">
        <v>1</v>
      </c>
      <c r="G35" s="1173">
        <v>10</v>
      </c>
      <c r="H35" s="1173">
        <v>150</v>
      </c>
      <c r="I35" s="299"/>
      <c r="J35" s="299">
        <v>2.8935185185185189E-4</v>
      </c>
      <c r="K35" s="299">
        <v>2.8935185185185189E-4</v>
      </c>
      <c r="L35" s="1123" t="s">
        <v>1698</v>
      </c>
      <c r="M35" s="1453">
        <f t="shared" si="36"/>
        <v>0.81609583146654718</v>
      </c>
      <c r="N35" s="2397">
        <v>1</v>
      </c>
      <c r="O35" s="1453">
        <f t="shared" si="41"/>
        <v>1.6328125000000006E-2</v>
      </c>
      <c r="P35" s="1453">
        <f t="shared" si="35"/>
        <v>1.3145254629629635E-3</v>
      </c>
      <c r="Q35" s="1175">
        <f t="shared" si="39"/>
        <v>1.3145254629629635E-3</v>
      </c>
      <c r="R35" s="550">
        <v>144</v>
      </c>
      <c r="S35" s="2398">
        <f t="shared" si="40"/>
        <v>1500</v>
      </c>
      <c r="T35" s="5071">
        <f t="shared" si="19"/>
        <v>1.5</v>
      </c>
      <c r="U35" s="5072">
        <f t="shared" si="20"/>
        <v>0.78871527777777817</v>
      </c>
      <c r="V35" s="1701">
        <f t="shared" si="21"/>
        <v>0</v>
      </c>
      <c r="W35" s="5073">
        <f t="shared" si="22"/>
        <v>1.5</v>
      </c>
      <c r="X35" s="5074">
        <f t="shared" si="23"/>
        <v>0</v>
      </c>
      <c r="Y35" s="5075">
        <f t="shared" si="24"/>
        <v>0</v>
      </c>
      <c r="Z35" s="5076">
        <f t="shared" si="25"/>
        <v>0</v>
      </c>
      <c r="AA35" s="5077">
        <f t="shared" si="26"/>
        <v>0</v>
      </c>
      <c r="AB35" s="5078">
        <f t="shared" si="27"/>
        <v>0</v>
      </c>
      <c r="AC35" s="5005"/>
      <c r="AD35" s="5079"/>
      <c r="AE35" s="5079"/>
      <c r="AF35" s="5079"/>
      <c r="AG35" s="5079"/>
      <c r="AH35" s="5079"/>
      <c r="AI35" s="5079"/>
      <c r="AJ35" s="5005"/>
      <c r="AK35" s="5005"/>
      <c r="AL35" s="5005"/>
      <c r="AM35" s="5005"/>
    </row>
    <row r="36" spans="1:41" ht="13" customHeight="1" thickBot="1">
      <c r="A36" s="5126"/>
      <c r="B36" s="5058" t="s">
        <v>674</v>
      </c>
      <c r="C36" s="5105" t="s">
        <v>461</v>
      </c>
      <c r="D36" s="629">
        <f t="shared" si="18"/>
        <v>2.1222190799396687E-4</v>
      </c>
      <c r="E36" s="5168">
        <v>3</v>
      </c>
      <c r="F36" s="1161">
        <v>1</v>
      </c>
      <c r="G36" s="1161">
        <v>10</v>
      </c>
      <c r="H36" s="1161">
        <v>25</v>
      </c>
      <c r="I36" s="3204"/>
      <c r="J36" s="3204">
        <v>1.7361111111111112E-4</v>
      </c>
      <c r="K36" s="3204">
        <v>1.3888888888888889E-3</v>
      </c>
      <c r="L36" s="1075" t="s">
        <v>1538</v>
      </c>
      <c r="M36" s="1454">
        <f t="shared" si="36"/>
        <v>0.83242395646654721</v>
      </c>
      <c r="N36" s="2396">
        <v>1</v>
      </c>
      <c r="O36" s="1454">
        <f t="shared" si="41"/>
        <v>5.2472190799396686E-3</v>
      </c>
      <c r="P36" s="1454">
        <f t="shared" si="35"/>
        <v>2.1222190799396687E-4</v>
      </c>
      <c r="Q36" s="1165">
        <f t="shared" si="39"/>
        <v>2.1222190799396687E-4</v>
      </c>
      <c r="R36" s="333">
        <v>160</v>
      </c>
      <c r="S36" s="2385">
        <f t="shared" si="40"/>
        <v>250</v>
      </c>
      <c r="T36" s="5071">
        <f t="shared" si="19"/>
        <v>0.25</v>
      </c>
      <c r="U36" s="5072">
        <f t="shared" si="20"/>
        <v>2.1222190799396686E-2</v>
      </c>
      <c r="V36" s="1701">
        <f t="shared" si="21"/>
        <v>0</v>
      </c>
      <c r="W36" s="5073">
        <f t="shared" si="22"/>
        <v>0</v>
      </c>
      <c r="X36" s="5074">
        <f t="shared" si="23"/>
        <v>0.25</v>
      </c>
      <c r="Y36" s="5075">
        <f t="shared" si="24"/>
        <v>0</v>
      </c>
      <c r="Z36" s="5076">
        <f t="shared" si="25"/>
        <v>0</v>
      </c>
      <c r="AA36" s="5077">
        <f t="shared" si="26"/>
        <v>0</v>
      </c>
      <c r="AB36" s="5078">
        <f t="shared" si="27"/>
        <v>0</v>
      </c>
      <c r="AC36" s="5005"/>
      <c r="AD36" s="5079"/>
      <c r="AE36" s="5079"/>
      <c r="AF36" s="5079"/>
      <c r="AG36" s="5079"/>
      <c r="AH36" s="5079"/>
      <c r="AI36" s="5079"/>
      <c r="AJ36" s="5005"/>
      <c r="AK36" s="5005"/>
      <c r="AL36" s="5005"/>
      <c r="AM36" s="5005"/>
    </row>
    <row r="37" spans="1:41" ht="12.75" customHeight="1" thickBot="1">
      <c r="A37" s="5126"/>
      <c r="B37" s="5058" t="s">
        <v>214</v>
      </c>
      <c r="C37" s="5105" t="s">
        <v>461</v>
      </c>
      <c r="D37" s="629">
        <f t="shared" si="18"/>
        <v>1.7682291666666674E-4</v>
      </c>
      <c r="E37" s="5169">
        <v>7</v>
      </c>
      <c r="F37" s="1187">
        <v>1</v>
      </c>
      <c r="G37" s="1187">
        <v>3</v>
      </c>
      <c r="H37" s="1187">
        <v>15</v>
      </c>
      <c r="I37" s="8000" t="s">
        <v>1699</v>
      </c>
      <c r="J37" s="1051">
        <v>3.4722222222222224E-4</v>
      </c>
      <c r="K37" s="1188">
        <v>1.3888888888888889E-3</v>
      </c>
      <c r="L37" s="1187" t="s">
        <v>526</v>
      </c>
      <c r="M37" s="1954">
        <f t="shared" si="36"/>
        <v>0.83767117554648685</v>
      </c>
      <c r="N37" s="3206">
        <v>1</v>
      </c>
      <c r="O37" s="1954">
        <f t="shared" si="41"/>
        <v>2.7488368055555556E-3</v>
      </c>
      <c r="P37" s="1954">
        <f t="shared" si="35"/>
        <v>1.0609375000000004E-4</v>
      </c>
      <c r="Q37" s="1191">
        <f t="shared" si="39"/>
        <v>1.0609375000000004E-4</v>
      </c>
      <c r="R37" s="789"/>
      <c r="S37" s="2419">
        <f t="shared" si="40"/>
        <v>45</v>
      </c>
      <c r="T37" s="5071">
        <f t="shared" si="19"/>
        <v>4.4999999999999998E-2</v>
      </c>
      <c r="U37" s="5072">
        <f t="shared" si="20"/>
        <v>6.3656250000000024E-3</v>
      </c>
      <c r="V37" s="1701">
        <f t="shared" si="21"/>
        <v>0</v>
      </c>
      <c r="W37" s="5073">
        <f t="shared" si="22"/>
        <v>0</v>
      </c>
      <c r="X37" s="5074">
        <f t="shared" si="23"/>
        <v>0</v>
      </c>
      <c r="Y37" s="5075">
        <f t="shared" si="24"/>
        <v>0</v>
      </c>
      <c r="Z37" s="5076">
        <f t="shared" si="25"/>
        <v>0</v>
      </c>
      <c r="AA37" s="5077">
        <f t="shared" si="26"/>
        <v>0</v>
      </c>
      <c r="AB37" s="5078">
        <f t="shared" si="27"/>
        <v>4.4999999999999998E-2</v>
      </c>
      <c r="AC37" s="5005"/>
      <c r="AD37" s="5079"/>
      <c r="AE37" s="5079"/>
      <c r="AF37" s="5079"/>
      <c r="AG37" s="5079"/>
      <c r="AH37" s="5079"/>
      <c r="AI37" s="5079"/>
      <c r="AJ37" s="5005"/>
      <c r="AK37" s="5005"/>
      <c r="AL37" s="5005"/>
      <c r="AM37" s="5005"/>
    </row>
    <row r="38" spans="1:41" ht="13" customHeight="1" thickBot="1">
      <c r="A38" s="5126"/>
      <c r="B38" s="5104" t="s">
        <v>458</v>
      </c>
      <c r="C38" s="5105" t="s">
        <v>461</v>
      </c>
      <c r="D38" s="629">
        <f t="shared" si="18"/>
        <v>1.7682291666666674E-4</v>
      </c>
      <c r="E38" s="5169">
        <v>7</v>
      </c>
      <c r="F38" s="1187">
        <v>1</v>
      </c>
      <c r="G38" s="1187">
        <v>6</v>
      </c>
      <c r="H38" s="1187">
        <v>15</v>
      </c>
      <c r="I38" s="8001"/>
      <c r="J38" s="1051">
        <v>3.4722222222222224E-4</v>
      </c>
      <c r="K38" s="1188">
        <v>1.3888888888888889E-3</v>
      </c>
      <c r="L38" s="1187" t="s">
        <v>900</v>
      </c>
      <c r="M38" s="1954">
        <f t="shared" si="36"/>
        <v>0.84042001235204244</v>
      </c>
      <c r="N38" s="3206">
        <v>1</v>
      </c>
      <c r="O38" s="1954">
        <f t="shared" si="41"/>
        <v>4.1087847222222229E-3</v>
      </c>
      <c r="P38" s="1954">
        <f t="shared" si="35"/>
        <v>1.0609375000000004E-4</v>
      </c>
      <c r="Q38" s="1191">
        <f t="shared" si="39"/>
        <v>1.0609375000000004E-4</v>
      </c>
      <c r="R38" s="789"/>
      <c r="S38" s="2419">
        <f t="shared" si="40"/>
        <v>90</v>
      </c>
      <c r="T38" s="5071">
        <f t="shared" si="19"/>
        <v>0.09</v>
      </c>
      <c r="U38" s="5072">
        <f t="shared" si="20"/>
        <v>6.3656250000000024E-3</v>
      </c>
      <c r="V38" s="1701">
        <f t="shared" si="21"/>
        <v>0</v>
      </c>
      <c r="W38" s="5073">
        <f t="shared" si="22"/>
        <v>0</v>
      </c>
      <c r="X38" s="5074">
        <f t="shared" si="23"/>
        <v>0</v>
      </c>
      <c r="Y38" s="5075">
        <f t="shared" si="24"/>
        <v>0</v>
      </c>
      <c r="Z38" s="5076">
        <f t="shared" si="25"/>
        <v>0</v>
      </c>
      <c r="AA38" s="5077">
        <f t="shared" si="26"/>
        <v>0</v>
      </c>
      <c r="AB38" s="5078">
        <f t="shared" si="27"/>
        <v>0.09</v>
      </c>
      <c r="AC38" s="5005"/>
      <c r="AD38" s="5079"/>
      <c r="AE38" s="5079"/>
      <c r="AF38" s="5079"/>
      <c r="AG38" s="5079"/>
      <c r="AH38" s="5079"/>
      <c r="AI38" s="5079"/>
      <c r="AJ38" s="5005"/>
      <c r="AK38" s="5005"/>
      <c r="AL38" s="5005"/>
      <c r="AM38" s="5005"/>
    </row>
    <row r="39" spans="1:41" ht="13" customHeight="1" thickBot="1">
      <c r="A39" s="5126"/>
      <c r="B39" s="5104" t="s">
        <v>219</v>
      </c>
      <c r="C39" s="5105"/>
      <c r="D39" s="629">
        <f t="shared" si="18"/>
        <v>0</v>
      </c>
      <c r="E39" s="5170"/>
      <c r="F39" s="3209"/>
      <c r="G39" s="3209"/>
      <c r="H39" s="3209"/>
      <c r="I39" s="3208"/>
      <c r="J39" s="3208"/>
      <c r="K39" s="3208"/>
      <c r="L39" s="3210"/>
      <c r="M39" s="3169">
        <f t="shared" si="36"/>
        <v>0.84452879707426465</v>
      </c>
      <c r="N39" s="3201"/>
      <c r="O39" s="2711"/>
      <c r="P39" s="2714"/>
      <c r="Q39" s="2711"/>
      <c r="R39" s="3202"/>
      <c r="S39" s="3203">
        <f>SUM(S31:S38)</f>
        <v>2885</v>
      </c>
      <c r="T39" s="5071">
        <f t="shared" si="19"/>
        <v>0</v>
      </c>
      <c r="U39" s="5072">
        <f t="shared" si="20"/>
        <v>0</v>
      </c>
      <c r="V39" s="1701">
        <f t="shared" si="21"/>
        <v>0</v>
      </c>
      <c r="W39" s="5073">
        <f t="shared" si="22"/>
        <v>0</v>
      </c>
      <c r="X39" s="5074">
        <f t="shared" si="23"/>
        <v>0</v>
      </c>
      <c r="Y39" s="5075">
        <f t="shared" si="24"/>
        <v>0</v>
      </c>
      <c r="Z39" s="5076">
        <f t="shared" si="25"/>
        <v>0</v>
      </c>
      <c r="AA39" s="5077">
        <f t="shared" si="26"/>
        <v>0</v>
      </c>
      <c r="AB39" s="5078">
        <f t="shared" si="27"/>
        <v>0</v>
      </c>
      <c r="AC39" s="5005"/>
      <c r="AD39" s="5079"/>
      <c r="AE39" s="5079"/>
      <c r="AF39" s="5079"/>
      <c r="AG39" s="5079"/>
      <c r="AH39" s="5079"/>
      <c r="AI39" s="5079"/>
      <c r="AJ39" s="5005"/>
      <c r="AK39" s="5005"/>
      <c r="AL39" s="5005"/>
      <c r="AM39" s="5005"/>
    </row>
    <row r="40" spans="1:41" ht="13" customHeight="1" thickBot="1">
      <c r="A40" s="5126"/>
      <c r="B40" s="3556"/>
      <c r="C40" s="3557" t="s">
        <v>215</v>
      </c>
      <c r="D40" s="629">
        <f t="shared" si="18"/>
        <v>2.2880964381720439E-4</v>
      </c>
      <c r="E40" s="5171">
        <v>1</v>
      </c>
      <c r="F40" s="2427">
        <v>1</v>
      </c>
      <c r="G40" s="2427">
        <v>1</v>
      </c>
      <c r="H40" s="2427">
        <v>200</v>
      </c>
      <c r="I40" s="2256" t="s">
        <v>1628</v>
      </c>
      <c r="J40" s="2256">
        <v>1.1574074074074073E-4</v>
      </c>
      <c r="K40" s="2256">
        <v>1.3888888888888889E-3</v>
      </c>
      <c r="L40" s="2338" t="s">
        <v>581</v>
      </c>
      <c r="M40" s="3644">
        <v>0.34375</v>
      </c>
      <c r="N40" s="2339">
        <v>1</v>
      </c>
      <c r="O40" s="2329">
        <f t="shared" ref="O40:O51" si="42">Q40*F40*G40+J40*F40*G40+K40*F40</f>
        <v>3.4083258661887703E-3</v>
      </c>
      <c r="P40" s="2256">
        <f>D40*(H40/25)*1.04</f>
        <v>1.9036962365591406E-3</v>
      </c>
      <c r="Q40" s="2340">
        <f t="shared" ref="Q40:Q51" si="43">P40*N40</f>
        <v>1.9036962365591406E-3</v>
      </c>
      <c r="R40" s="2341"/>
      <c r="S40" s="3657">
        <f t="shared" ref="S40:S50" si="44">F40*G40*H40</f>
        <v>200</v>
      </c>
      <c r="T40" s="5071">
        <f t="shared" si="19"/>
        <v>0.2</v>
      </c>
      <c r="U40" s="5072">
        <f t="shared" si="20"/>
        <v>1.5229569892473125</v>
      </c>
      <c r="V40" s="1701">
        <f t="shared" si="21"/>
        <v>0.2</v>
      </c>
      <c r="W40" s="5073">
        <f t="shared" si="22"/>
        <v>0</v>
      </c>
      <c r="X40" s="5074">
        <f t="shared" si="23"/>
        <v>0</v>
      </c>
      <c r="Y40" s="5075">
        <f t="shared" si="24"/>
        <v>0</v>
      </c>
      <c r="Z40" s="5076">
        <f t="shared" si="25"/>
        <v>0</v>
      </c>
      <c r="AA40" s="5077">
        <f t="shared" si="26"/>
        <v>0</v>
      </c>
      <c r="AB40" s="5078">
        <f t="shared" si="27"/>
        <v>0</v>
      </c>
      <c r="AC40" s="5005"/>
      <c r="AD40" s="5079"/>
      <c r="AE40" s="5079"/>
      <c r="AF40" s="5079"/>
      <c r="AG40" s="5079"/>
      <c r="AH40" s="5079"/>
      <c r="AI40" s="5079"/>
      <c r="AJ40" s="5005"/>
      <c r="AK40" s="5005"/>
      <c r="AL40" s="5005"/>
      <c r="AM40" s="5005"/>
    </row>
    <row r="41" spans="1:41" ht="13" customHeight="1" thickBot="1">
      <c r="A41" s="5126"/>
      <c r="B41" s="3556" t="s">
        <v>217</v>
      </c>
      <c r="C41" s="3557" t="s">
        <v>215</v>
      </c>
      <c r="D41" s="629">
        <f t="shared" si="18"/>
        <v>2.1908757716049393E-4</v>
      </c>
      <c r="E41" s="5172">
        <v>2</v>
      </c>
      <c r="F41" s="2923">
        <v>1</v>
      </c>
      <c r="G41" s="2923">
        <v>12</v>
      </c>
      <c r="H41" s="2923">
        <v>50</v>
      </c>
      <c r="I41" s="2256" t="s">
        <v>1628</v>
      </c>
      <c r="J41" s="2324">
        <v>1.3888888888888889E-4</v>
      </c>
      <c r="K41" s="2324">
        <v>1.3888888888888889E-3</v>
      </c>
      <c r="L41" s="2278" t="s">
        <v>670</v>
      </c>
      <c r="M41" s="3645">
        <f t="shared" ref="M41:M51" si="45">M40+O40</f>
        <v>0.34715832586618878</v>
      </c>
      <c r="N41" s="2305">
        <v>1.2</v>
      </c>
      <c r="O41" s="2306">
        <f t="shared" si="42"/>
        <v>9.6176666666666702E-3</v>
      </c>
      <c r="P41" s="2307">
        <f>D41*(H41/25)*1.04</f>
        <v>4.5570216049382737E-4</v>
      </c>
      <c r="Q41" s="2307">
        <f t="shared" si="43"/>
        <v>5.468425925925928E-4</v>
      </c>
      <c r="R41" s="2282"/>
      <c r="S41" s="3658">
        <f t="shared" si="44"/>
        <v>600</v>
      </c>
      <c r="T41" s="5071">
        <f t="shared" si="19"/>
        <v>0.6</v>
      </c>
      <c r="U41" s="5072">
        <f t="shared" si="20"/>
        <v>9.1140432098765475E-2</v>
      </c>
      <c r="V41" s="1701">
        <f t="shared" si="21"/>
        <v>0</v>
      </c>
      <c r="W41" s="5073">
        <f t="shared" si="22"/>
        <v>0.6</v>
      </c>
      <c r="X41" s="5074">
        <f t="shared" si="23"/>
        <v>0</v>
      </c>
      <c r="Y41" s="5075">
        <f t="shared" si="24"/>
        <v>0</v>
      </c>
      <c r="Z41" s="5076">
        <f t="shared" si="25"/>
        <v>0</v>
      </c>
      <c r="AA41" s="5077">
        <f t="shared" si="26"/>
        <v>0</v>
      </c>
      <c r="AB41" s="5078">
        <f t="shared" si="27"/>
        <v>0</v>
      </c>
      <c r="AC41" s="5005"/>
      <c r="AD41" s="5079"/>
      <c r="AE41" s="5079"/>
      <c r="AF41" s="5079"/>
      <c r="AG41" s="5079"/>
      <c r="AH41" s="5079"/>
      <c r="AI41" s="5079"/>
      <c r="AJ41" s="5005"/>
      <c r="AK41" s="5005"/>
      <c r="AL41" s="5005"/>
      <c r="AM41" s="5005"/>
      <c r="AO41" s="5005"/>
    </row>
    <row r="42" spans="1:41" ht="18" customHeight="1" thickBot="1">
      <c r="A42" s="5126"/>
      <c r="B42" s="3556" t="s">
        <v>459</v>
      </c>
      <c r="C42" s="3557" t="s">
        <v>215</v>
      </c>
      <c r="D42" s="629">
        <f t="shared" si="18"/>
        <v>2.1222190799396687E-4</v>
      </c>
      <c r="E42" s="5173">
        <v>3</v>
      </c>
      <c r="F42" s="3499">
        <v>1</v>
      </c>
      <c r="G42" s="3499">
        <v>4</v>
      </c>
      <c r="H42" s="3499">
        <v>50</v>
      </c>
      <c r="I42" s="2256" t="s">
        <v>1628</v>
      </c>
      <c r="J42" s="2314">
        <v>4.6296296296296293E-4</v>
      </c>
      <c r="K42" s="2314">
        <v>2.0833333333333333E-3</v>
      </c>
      <c r="L42" s="2310" t="s">
        <v>703</v>
      </c>
      <c r="M42" s="3646">
        <f t="shared" si="45"/>
        <v>0.35677599253285547</v>
      </c>
      <c r="N42" s="2312">
        <v>1</v>
      </c>
      <c r="O42" s="2313">
        <f t="shared" si="42"/>
        <v>5.7008714596949901E-3</v>
      </c>
      <c r="P42" s="2314">
        <f>D42*(H42/25)*1.04</f>
        <v>4.4142156862745112E-4</v>
      </c>
      <c r="Q42" s="2315">
        <f t="shared" si="43"/>
        <v>4.4142156862745112E-4</v>
      </c>
      <c r="R42" s="2274"/>
      <c r="S42" s="3659">
        <f t="shared" si="44"/>
        <v>200</v>
      </c>
      <c r="T42" s="5071">
        <f t="shared" si="19"/>
        <v>0.2</v>
      </c>
      <c r="U42" s="5072">
        <f t="shared" si="20"/>
        <v>8.8284313725490227E-2</v>
      </c>
      <c r="V42" s="1701">
        <f t="shared" si="21"/>
        <v>0</v>
      </c>
      <c r="W42" s="5073">
        <f t="shared" si="22"/>
        <v>0</v>
      </c>
      <c r="X42" s="5074">
        <f t="shared" si="23"/>
        <v>0.2</v>
      </c>
      <c r="Y42" s="5075">
        <f t="shared" si="24"/>
        <v>0</v>
      </c>
      <c r="Z42" s="5076">
        <f t="shared" si="25"/>
        <v>0</v>
      </c>
      <c r="AA42" s="5077">
        <f t="shared" si="26"/>
        <v>0</v>
      </c>
      <c r="AB42" s="5078">
        <f t="shared" si="27"/>
        <v>0</v>
      </c>
      <c r="AC42" s="5005"/>
      <c r="AD42" s="5079"/>
      <c r="AE42" s="5079"/>
      <c r="AF42" s="5079"/>
      <c r="AG42" s="5079"/>
      <c r="AH42" s="5079"/>
      <c r="AI42" s="5079"/>
      <c r="AJ42" s="5005"/>
      <c r="AK42" s="5005"/>
      <c r="AL42" s="5005"/>
      <c r="AM42" s="5005"/>
      <c r="AO42" s="5005"/>
    </row>
    <row r="43" spans="1:41" ht="14" customHeight="1" thickBot="1">
      <c r="A43" s="5126"/>
      <c r="B43" s="3556" t="s">
        <v>458</v>
      </c>
      <c r="C43" s="3557" t="s">
        <v>215</v>
      </c>
      <c r="D43" s="629">
        <f t="shared" si="18"/>
        <v>2.1222190799396687E-4</v>
      </c>
      <c r="E43" s="5173">
        <v>3</v>
      </c>
      <c r="F43" s="3499">
        <v>1</v>
      </c>
      <c r="G43" s="3499">
        <v>2</v>
      </c>
      <c r="H43" s="3499">
        <v>50</v>
      </c>
      <c r="I43" s="3625" t="s">
        <v>1675</v>
      </c>
      <c r="J43" s="2314">
        <v>2.3148148148148146E-4</v>
      </c>
      <c r="K43" s="2314">
        <v>3.4722222222222224E-4</v>
      </c>
      <c r="L43" s="2310" t="s">
        <v>1700</v>
      </c>
      <c r="M43" s="3646">
        <f>M42+O42</f>
        <v>0.36247686399255047</v>
      </c>
      <c r="N43" s="2312">
        <v>1.05</v>
      </c>
      <c r="O43" s="2313">
        <f t="shared" si="42"/>
        <v>1.7015171987598461E-3</v>
      </c>
      <c r="P43" s="2314">
        <f>D43*(H43/25)</f>
        <v>4.2444381598793373E-4</v>
      </c>
      <c r="Q43" s="2315">
        <f t="shared" si="43"/>
        <v>4.4566600678733046E-4</v>
      </c>
      <c r="R43" s="2274"/>
      <c r="S43" s="3659">
        <f t="shared" si="44"/>
        <v>100</v>
      </c>
      <c r="T43" s="5071">
        <f t="shared" si="19"/>
        <v>0.1</v>
      </c>
      <c r="U43" s="5072">
        <f t="shared" si="20"/>
        <v>8.4888763197586745E-2</v>
      </c>
      <c r="V43" s="1701">
        <f t="shared" si="21"/>
        <v>0</v>
      </c>
      <c r="W43" s="5073">
        <f t="shared" si="22"/>
        <v>0</v>
      </c>
      <c r="X43" s="5074">
        <f t="shared" si="23"/>
        <v>0.1</v>
      </c>
      <c r="Y43" s="5075">
        <f t="shared" si="24"/>
        <v>0</v>
      </c>
      <c r="Z43" s="5076">
        <f t="shared" si="25"/>
        <v>0</v>
      </c>
      <c r="AA43" s="5077">
        <f t="shared" si="26"/>
        <v>0</v>
      </c>
      <c r="AB43" s="5078">
        <f t="shared" si="27"/>
        <v>0</v>
      </c>
      <c r="AC43" s="5005"/>
      <c r="AD43" s="5079"/>
      <c r="AE43" s="5079"/>
      <c r="AF43" s="5079"/>
      <c r="AG43" s="5079"/>
      <c r="AH43" s="5079"/>
      <c r="AI43" s="5079"/>
      <c r="AJ43" s="5005"/>
      <c r="AK43" s="5005"/>
      <c r="AL43" s="5005"/>
      <c r="AM43" s="5005"/>
      <c r="AO43" s="5005"/>
    </row>
    <row r="44" spans="1:41" thickBot="1">
      <c r="A44" s="5126"/>
      <c r="B44" s="3556" t="s">
        <v>218</v>
      </c>
      <c r="C44" s="3557" t="s">
        <v>215</v>
      </c>
      <c r="D44" s="629">
        <f t="shared" si="18"/>
        <v>2.0247664488766629E-4</v>
      </c>
      <c r="E44" s="5174">
        <v>4</v>
      </c>
      <c r="F44" s="3504">
        <v>1</v>
      </c>
      <c r="G44" s="3504">
        <v>2</v>
      </c>
      <c r="H44" s="3504">
        <v>50</v>
      </c>
      <c r="I44" s="3626"/>
      <c r="J44" s="3505">
        <v>4.6296296296296293E-4</v>
      </c>
      <c r="K44" s="3505">
        <v>5.7870370370370378E-4</v>
      </c>
      <c r="L44" s="3506" t="s">
        <v>1654</v>
      </c>
      <c r="M44" s="3647">
        <f>M43+O43</f>
        <v>0.3641783811913103</v>
      </c>
      <c r="N44" s="3508">
        <v>1</v>
      </c>
      <c r="O44" s="3509">
        <f t="shared" si="42"/>
        <v>2.3469324723623215E-3</v>
      </c>
      <c r="P44" s="3510">
        <f>D44*(H44/25)*1.04</f>
        <v>4.2115142136634587E-4</v>
      </c>
      <c r="Q44" s="3510">
        <f t="shared" si="43"/>
        <v>4.2115142136634587E-4</v>
      </c>
      <c r="R44" s="3511"/>
      <c r="S44" s="3660">
        <f t="shared" si="44"/>
        <v>100</v>
      </c>
      <c r="T44" s="5071">
        <f t="shared" si="19"/>
        <v>0.1</v>
      </c>
      <c r="U44" s="5072">
        <f t="shared" si="20"/>
        <v>8.4230284273269174E-2</v>
      </c>
      <c r="V44" s="1701">
        <f t="shared" si="21"/>
        <v>0</v>
      </c>
      <c r="W44" s="5073">
        <f t="shared" si="22"/>
        <v>0</v>
      </c>
      <c r="X44" s="5074">
        <f t="shared" si="23"/>
        <v>0</v>
      </c>
      <c r="Y44" s="5075">
        <f t="shared" si="24"/>
        <v>0.1</v>
      </c>
      <c r="Z44" s="5076">
        <f t="shared" si="25"/>
        <v>0</v>
      </c>
      <c r="AA44" s="5077">
        <f t="shared" si="26"/>
        <v>0</v>
      </c>
      <c r="AB44" s="5078">
        <f t="shared" si="27"/>
        <v>0</v>
      </c>
      <c r="AC44" s="5005"/>
      <c r="AD44" s="5079"/>
      <c r="AE44" s="5079"/>
      <c r="AF44" s="5079"/>
      <c r="AG44" s="5079"/>
      <c r="AH44" s="5079"/>
      <c r="AI44" s="5079"/>
      <c r="AJ44" s="5005"/>
      <c r="AK44" s="5005"/>
      <c r="AL44" s="5005"/>
      <c r="AM44" s="5005"/>
      <c r="AO44" s="5005"/>
    </row>
    <row r="45" spans="1:41" thickBot="1">
      <c r="A45" s="5126"/>
      <c r="B45" s="3556" t="s">
        <v>458</v>
      </c>
      <c r="C45" s="3557" t="s">
        <v>215</v>
      </c>
      <c r="D45" s="629">
        <f t="shared" si="18"/>
        <v>1.8229166666666673E-4</v>
      </c>
      <c r="E45" s="5161">
        <v>6</v>
      </c>
      <c r="F45" s="5130">
        <v>1</v>
      </c>
      <c r="G45" s="5131">
        <v>8</v>
      </c>
      <c r="H45" s="5131">
        <v>75</v>
      </c>
      <c r="I45" s="5131" t="s">
        <v>2045</v>
      </c>
      <c r="J45" s="5132">
        <v>1.3888888888888889E-3</v>
      </c>
      <c r="K45" s="5133">
        <v>2.0833333333333333E-3</v>
      </c>
      <c r="L45" s="5134" t="s">
        <v>2047</v>
      </c>
      <c r="M45" s="5132">
        <v>0.36366898148148147</v>
      </c>
      <c r="N45" s="5135"/>
      <c r="O45" s="5132">
        <v>1.8101851851851852E-2</v>
      </c>
      <c r="P45" s="5136"/>
      <c r="Q45" s="5137">
        <v>6.1354166666666664E-4</v>
      </c>
      <c r="R45" s="5138">
        <v>177</v>
      </c>
      <c r="S45" s="5131">
        <v>600</v>
      </c>
      <c r="T45" s="5071">
        <f t="shared" si="19"/>
        <v>0.6</v>
      </c>
      <c r="U45" s="5072">
        <f t="shared" si="20"/>
        <v>0</v>
      </c>
      <c r="V45" s="1701">
        <f t="shared" si="21"/>
        <v>0</v>
      </c>
      <c r="W45" s="5073">
        <f t="shared" si="22"/>
        <v>0</v>
      </c>
      <c r="X45" s="5074">
        <f t="shared" si="23"/>
        <v>0</v>
      </c>
      <c r="Y45" s="5075">
        <f t="shared" si="24"/>
        <v>0</v>
      </c>
      <c r="Z45" s="5076">
        <f t="shared" si="25"/>
        <v>0</v>
      </c>
      <c r="AA45" s="5077">
        <f t="shared" si="26"/>
        <v>0.6</v>
      </c>
      <c r="AB45" s="5078">
        <f t="shared" si="27"/>
        <v>0</v>
      </c>
      <c r="AC45"/>
      <c r="AD45" s="5005"/>
      <c r="AE45" s="5005"/>
      <c r="AF45" s="5033"/>
      <c r="AG45" s="5033"/>
      <c r="AH45" s="5033"/>
      <c r="AI45" s="5033"/>
      <c r="AJ45" s="5033"/>
      <c r="AK45" s="5005"/>
      <c r="AL45" s="5005"/>
      <c r="AM45" s="5005"/>
      <c r="AO45" s="5005"/>
    </row>
    <row r="46" spans="1:41" s="5115" customFormat="1" thickBot="1">
      <c r="A46" s="5127"/>
      <c r="B46" s="3556" t="s">
        <v>219</v>
      </c>
      <c r="C46" s="3557" t="s">
        <v>215</v>
      </c>
      <c r="D46" s="629">
        <f t="shared" si="18"/>
        <v>1.7682291666666674E-4</v>
      </c>
      <c r="E46" s="5175">
        <v>7</v>
      </c>
      <c r="F46" s="3561">
        <v>1</v>
      </c>
      <c r="G46" s="3561">
        <v>1</v>
      </c>
      <c r="H46" s="3561">
        <v>50</v>
      </c>
      <c r="I46" s="3627"/>
      <c r="J46" s="3562">
        <v>0</v>
      </c>
      <c r="K46" s="3562">
        <v>1.3888888888888889E-3</v>
      </c>
      <c r="L46" s="2514" t="s">
        <v>1701</v>
      </c>
      <c r="M46" s="3648">
        <f>M45+O45</f>
        <v>0.38177083333333334</v>
      </c>
      <c r="N46" s="3493">
        <v>0.9</v>
      </c>
      <c r="O46" s="3494">
        <f t="shared" si="42"/>
        <v>1.7294498263888891E-3</v>
      </c>
      <c r="P46" s="3495">
        <f>D46*(H46/25)*1.07</f>
        <v>3.7840104166666686E-4</v>
      </c>
      <c r="Q46" s="3496">
        <f t="shared" si="43"/>
        <v>3.4056093750000016E-4</v>
      </c>
      <c r="R46" s="3130"/>
      <c r="S46" s="3661">
        <f t="shared" si="44"/>
        <v>50</v>
      </c>
      <c r="T46" s="5071">
        <f t="shared" si="19"/>
        <v>0.05</v>
      </c>
      <c r="U46" s="5072">
        <f t="shared" si="20"/>
        <v>7.5680208333333374E-2</v>
      </c>
      <c r="V46" s="1701">
        <f t="shared" si="21"/>
        <v>0</v>
      </c>
      <c r="W46" s="5073">
        <f t="shared" si="22"/>
        <v>0</v>
      </c>
      <c r="X46" s="5074">
        <f t="shared" si="23"/>
        <v>0</v>
      </c>
      <c r="Y46" s="5075">
        <f t="shared" si="24"/>
        <v>0</v>
      </c>
      <c r="Z46" s="5076">
        <f t="shared" si="25"/>
        <v>0</v>
      </c>
      <c r="AA46" s="5077">
        <f t="shared" si="26"/>
        <v>0</v>
      </c>
      <c r="AB46" s="5078">
        <f t="shared" si="27"/>
        <v>0.05</v>
      </c>
      <c r="AC46"/>
      <c r="AD46" s="5006"/>
      <c r="AE46" s="5006"/>
      <c r="AF46" s="5033"/>
      <c r="AG46" s="5033"/>
      <c r="AH46" s="5033"/>
      <c r="AI46" s="5033"/>
      <c r="AJ46" s="5033"/>
      <c r="AK46" s="5006"/>
      <c r="AL46" s="5006"/>
      <c r="AM46" s="5006"/>
      <c r="AN46" s="5006"/>
      <c r="AO46" s="5114"/>
    </row>
    <row r="47" spans="1:41" thickBot="1">
      <c r="A47" s="5126"/>
      <c r="B47" s="3556"/>
      <c r="C47" s="3557" t="s">
        <v>215</v>
      </c>
      <c r="D47" s="629">
        <f t="shared" si="18"/>
        <v>1.8933937422552669E-4</v>
      </c>
      <c r="E47" s="5176">
        <v>5</v>
      </c>
      <c r="F47" s="3452">
        <v>1</v>
      </c>
      <c r="G47" s="3452">
        <v>1</v>
      </c>
      <c r="H47" s="3452">
        <v>50</v>
      </c>
      <c r="I47" s="3512" t="s">
        <v>1637</v>
      </c>
      <c r="J47" s="3450">
        <v>0</v>
      </c>
      <c r="K47" s="3450">
        <v>6.9444444444444447E-4</v>
      </c>
      <c r="L47" s="3513" t="s">
        <v>1657</v>
      </c>
      <c r="M47" s="3649">
        <f>M46+O46</f>
        <v>0.38350028315972223</v>
      </c>
      <c r="N47" s="3448">
        <v>0.97</v>
      </c>
      <c r="O47" s="3449">
        <f t="shared" si="42"/>
        <v>1.0617628304419662E-3</v>
      </c>
      <c r="P47" s="3450">
        <f>D47*(H47/25)</f>
        <v>3.7867874845105338E-4</v>
      </c>
      <c r="Q47" s="3451">
        <f t="shared" si="43"/>
        <v>3.6731838599752176E-4</v>
      </c>
      <c r="R47" s="3452"/>
      <c r="S47" s="3662">
        <f t="shared" si="44"/>
        <v>50</v>
      </c>
      <c r="T47" s="5071">
        <f t="shared" si="19"/>
        <v>0.05</v>
      </c>
      <c r="U47" s="5072">
        <f t="shared" si="20"/>
        <v>7.5735749690210671E-2</v>
      </c>
      <c r="V47" s="1701">
        <f t="shared" si="21"/>
        <v>0</v>
      </c>
      <c r="W47" s="5073">
        <f t="shared" si="22"/>
        <v>0</v>
      </c>
      <c r="X47" s="5074">
        <f t="shared" si="23"/>
        <v>0</v>
      </c>
      <c r="Y47" s="5075">
        <f t="shared" si="24"/>
        <v>0</v>
      </c>
      <c r="Z47" s="5076">
        <f t="shared" si="25"/>
        <v>0.05</v>
      </c>
      <c r="AA47" s="5077">
        <f t="shared" si="26"/>
        <v>0</v>
      </c>
      <c r="AB47" s="5078">
        <f t="shared" si="27"/>
        <v>0</v>
      </c>
      <c r="AC47"/>
      <c r="AF47" s="5033"/>
      <c r="AG47" s="5033"/>
      <c r="AH47" s="5033"/>
      <c r="AI47" s="5033"/>
      <c r="AJ47" s="5033"/>
      <c r="AN47" s="5006"/>
      <c r="AO47" s="5005"/>
    </row>
    <row r="48" spans="1:41" thickBot="1">
      <c r="A48" s="5126"/>
      <c r="B48" s="3556"/>
      <c r="C48" s="3557" t="s">
        <v>215</v>
      </c>
      <c r="D48" s="629">
        <f t="shared" si="18"/>
        <v>1.8933937422552669E-4</v>
      </c>
      <c r="E48" s="5176">
        <v>5</v>
      </c>
      <c r="F48" s="3452">
        <v>1</v>
      </c>
      <c r="G48" s="3452">
        <v>1</v>
      </c>
      <c r="H48" s="3452">
        <v>50</v>
      </c>
      <c r="I48" s="3512" t="s">
        <v>1638</v>
      </c>
      <c r="J48" s="3450">
        <v>0</v>
      </c>
      <c r="K48" s="3450">
        <v>5.2083333333333333E-4</v>
      </c>
      <c r="L48" s="3513" t="s">
        <v>1658</v>
      </c>
      <c r="M48" s="3649">
        <f t="shared" si="45"/>
        <v>0.38456204599016419</v>
      </c>
      <c r="N48" s="3448">
        <v>1</v>
      </c>
      <c r="O48" s="3449">
        <f t="shared" si="42"/>
        <v>8.9951208178438665E-4</v>
      </c>
      <c r="P48" s="3450">
        <f>D48*(H48/25)*1</f>
        <v>3.7867874845105338E-4</v>
      </c>
      <c r="Q48" s="3451">
        <f t="shared" si="43"/>
        <v>3.7867874845105338E-4</v>
      </c>
      <c r="R48" s="3452"/>
      <c r="S48" s="3662">
        <f t="shared" si="44"/>
        <v>50</v>
      </c>
      <c r="T48" s="5071">
        <f t="shared" si="19"/>
        <v>0.05</v>
      </c>
      <c r="U48" s="5072">
        <f t="shared" si="20"/>
        <v>7.5735749690210671E-2</v>
      </c>
      <c r="V48" s="1701">
        <f t="shared" si="21"/>
        <v>0</v>
      </c>
      <c r="W48" s="5073">
        <f t="shared" si="22"/>
        <v>0</v>
      </c>
      <c r="X48" s="5074">
        <f t="shared" si="23"/>
        <v>0</v>
      </c>
      <c r="Y48" s="5075">
        <f t="shared" si="24"/>
        <v>0</v>
      </c>
      <c r="Z48" s="5076">
        <f t="shared" si="25"/>
        <v>0.05</v>
      </c>
      <c r="AA48" s="5077">
        <f t="shared" si="26"/>
        <v>0</v>
      </c>
      <c r="AB48" s="5078">
        <f t="shared" si="27"/>
        <v>0</v>
      </c>
      <c r="AC48"/>
      <c r="AN48" s="5006"/>
      <c r="AO48" s="5005"/>
    </row>
    <row r="49" spans="1:41" thickBot="1">
      <c r="A49" s="5126"/>
      <c r="B49" s="3556"/>
      <c r="C49" s="3557" t="s">
        <v>215</v>
      </c>
      <c r="D49" s="629">
        <f t="shared" si="18"/>
        <v>1.8933937422552669E-4</v>
      </c>
      <c r="E49" s="5176">
        <v>5</v>
      </c>
      <c r="F49" s="3452">
        <v>1</v>
      </c>
      <c r="G49" s="3452">
        <v>1</v>
      </c>
      <c r="H49" s="3452">
        <v>50</v>
      </c>
      <c r="I49" s="3512" t="s">
        <v>112</v>
      </c>
      <c r="J49" s="3450">
        <v>0</v>
      </c>
      <c r="K49" s="3450">
        <v>4.0509259259259258E-4</v>
      </c>
      <c r="L49" s="3513" t="s">
        <v>1657</v>
      </c>
      <c r="M49" s="3649">
        <f t="shared" si="45"/>
        <v>0.3854615580719486</v>
      </c>
      <c r="N49" s="3448">
        <v>0.97</v>
      </c>
      <c r="O49" s="3449">
        <f t="shared" si="42"/>
        <v>7.7241097859011439E-4</v>
      </c>
      <c r="P49" s="3450">
        <f>D49*(H49/25)</f>
        <v>3.7867874845105338E-4</v>
      </c>
      <c r="Q49" s="3451">
        <f t="shared" si="43"/>
        <v>3.6731838599752176E-4</v>
      </c>
      <c r="R49" s="3452"/>
      <c r="S49" s="3662">
        <f t="shared" si="44"/>
        <v>50</v>
      </c>
      <c r="T49" s="5071">
        <f t="shared" si="19"/>
        <v>0.05</v>
      </c>
      <c r="U49" s="5072">
        <f t="shared" si="20"/>
        <v>7.5735749690210671E-2</v>
      </c>
      <c r="V49" s="1701">
        <f t="shared" si="21"/>
        <v>0</v>
      </c>
      <c r="W49" s="5073">
        <f t="shared" si="22"/>
        <v>0</v>
      </c>
      <c r="X49" s="5074">
        <f t="shared" si="23"/>
        <v>0</v>
      </c>
      <c r="Y49" s="5075">
        <f t="shared" si="24"/>
        <v>0</v>
      </c>
      <c r="Z49" s="5076">
        <f t="shared" si="25"/>
        <v>0.05</v>
      </c>
      <c r="AA49" s="5077">
        <f t="shared" si="26"/>
        <v>0</v>
      </c>
      <c r="AB49" s="5078">
        <f t="shared" si="27"/>
        <v>0</v>
      </c>
      <c r="AC49"/>
      <c r="AD49" s="5032"/>
      <c r="AE49" s="5033"/>
      <c r="AF49" s="5033"/>
      <c r="AG49" s="5033"/>
      <c r="AH49" s="5033"/>
      <c r="AI49" s="5033"/>
      <c r="AJ49" s="5031"/>
      <c r="AN49" s="5006"/>
      <c r="AO49" s="5005"/>
    </row>
    <row r="50" spans="1:41" thickBot="1">
      <c r="A50" s="5126"/>
      <c r="B50" s="3556"/>
      <c r="C50" s="3557" t="s">
        <v>215</v>
      </c>
      <c r="D50" s="629">
        <f t="shared" si="18"/>
        <v>1.8933937422552669E-4</v>
      </c>
      <c r="E50" s="5176">
        <v>5</v>
      </c>
      <c r="F50" s="3452">
        <v>1</v>
      </c>
      <c r="G50" s="3452">
        <v>1</v>
      </c>
      <c r="H50" s="3452">
        <v>50</v>
      </c>
      <c r="I50" s="3512" t="s">
        <v>1659</v>
      </c>
      <c r="J50" s="3450">
        <v>0</v>
      </c>
      <c r="K50" s="3450">
        <v>1.3888888888888889E-3</v>
      </c>
      <c r="L50" s="3513" t="s">
        <v>1658</v>
      </c>
      <c r="M50" s="3649">
        <f t="shared" si="45"/>
        <v>0.38623396905053869</v>
      </c>
      <c r="N50" s="3448">
        <v>1</v>
      </c>
      <c r="O50" s="3449">
        <f t="shared" si="42"/>
        <v>1.7675676373399424E-3</v>
      </c>
      <c r="P50" s="3450">
        <f>D50*(H50/25)</f>
        <v>3.7867874845105338E-4</v>
      </c>
      <c r="Q50" s="3451">
        <f t="shared" si="43"/>
        <v>3.7867874845105338E-4</v>
      </c>
      <c r="R50" s="3452"/>
      <c r="S50" s="3662">
        <f t="shared" si="44"/>
        <v>50</v>
      </c>
      <c r="T50" s="5071">
        <f t="shared" si="19"/>
        <v>0.05</v>
      </c>
      <c r="U50" s="5072">
        <f t="shared" si="20"/>
        <v>7.5735749690210671E-2</v>
      </c>
      <c r="V50" s="1701">
        <f t="shared" si="21"/>
        <v>0</v>
      </c>
      <c r="W50" s="5073">
        <f t="shared" si="22"/>
        <v>0</v>
      </c>
      <c r="X50" s="5074">
        <f t="shared" si="23"/>
        <v>0</v>
      </c>
      <c r="Y50" s="5075">
        <f t="shared" si="24"/>
        <v>0</v>
      </c>
      <c r="Z50" s="5076">
        <f t="shared" si="25"/>
        <v>0.05</v>
      </c>
      <c r="AA50" s="5077">
        <f t="shared" si="26"/>
        <v>0</v>
      </c>
      <c r="AB50" s="5078">
        <f t="shared" si="27"/>
        <v>0</v>
      </c>
      <c r="AC50"/>
      <c r="AD50" s="5032"/>
      <c r="AE50" s="5033"/>
      <c r="AF50" s="5033"/>
      <c r="AG50" s="5033"/>
      <c r="AH50" s="5033"/>
      <c r="AI50" s="5033"/>
      <c r="AJ50" s="5031"/>
      <c r="AN50" s="5006"/>
      <c r="AO50" s="5005"/>
    </row>
    <row r="51" spans="1:41" thickBot="1">
      <c r="A51" s="5126"/>
      <c r="B51" s="3556"/>
      <c r="C51" s="3557" t="s">
        <v>215</v>
      </c>
      <c r="D51" s="629">
        <f t="shared" si="18"/>
        <v>1.7682291666666674E-4</v>
      </c>
      <c r="E51" s="5157">
        <v>7</v>
      </c>
      <c r="F51" s="1201">
        <v>1</v>
      </c>
      <c r="G51" s="1201">
        <v>6</v>
      </c>
      <c r="H51" s="1201">
        <v>25</v>
      </c>
      <c r="I51" s="1201"/>
      <c r="J51" s="1051">
        <v>1.7361111111111112E-4</v>
      </c>
      <c r="K51" s="1051">
        <v>6.9444444444444447E-4</v>
      </c>
      <c r="L51" s="442" t="s">
        <v>413</v>
      </c>
      <c r="M51" s="2392">
        <f t="shared" si="45"/>
        <v>0.38800153668787862</v>
      </c>
      <c r="N51" s="3206">
        <v>1</v>
      </c>
      <c r="O51" s="2392">
        <f t="shared" si="42"/>
        <v>2.7970486111111117E-3</v>
      </c>
      <c r="P51" s="2392">
        <f t="shared" ref="P51" si="46">D51*(H51/25)</f>
        <v>1.7682291666666674E-4</v>
      </c>
      <c r="Q51" s="2392">
        <f t="shared" si="43"/>
        <v>1.7682291666666674E-4</v>
      </c>
      <c r="R51" s="789" t="s">
        <v>1697</v>
      </c>
      <c r="S51" s="2402">
        <f>F51*G51*H51</f>
        <v>150</v>
      </c>
      <c r="T51" s="5071">
        <f t="shared" si="19"/>
        <v>0.15</v>
      </c>
      <c r="U51" s="5072">
        <f t="shared" si="20"/>
        <v>1.7682291666666673E-2</v>
      </c>
      <c r="V51" s="1701">
        <f t="shared" si="21"/>
        <v>0</v>
      </c>
      <c r="W51" s="5073">
        <f t="shared" si="22"/>
        <v>0</v>
      </c>
      <c r="X51" s="5074">
        <f t="shared" si="23"/>
        <v>0</v>
      </c>
      <c r="Y51" s="5075">
        <f t="shared" si="24"/>
        <v>0</v>
      </c>
      <c r="Z51" s="5076">
        <f t="shared" si="25"/>
        <v>0</v>
      </c>
      <c r="AA51" s="5077">
        <f t="shared" si="26"/>
        <v>0</v>
      </c>
      <c r="AB51" s="5078">
        <f t="shared" si="27"/>
        <v>0.15</v>
      </c>
      <c r="AC51"/>
      <c r="AD51" s="5032"/>
      <c r="AE51" s="5033"/>
      <c r="AF51" s="5033"/>
      <c r="AG51" s="5033"/>
      <c r="AH51" s="5033"/>
      <c r="AI51" s="5033"/>
      <c r="AJ51" s="5031"/>
      <c r="AN51" s="5006"/>
      <c r="AO51" s="5005"/>
    </row>
    <row r="52" spans="1:41" thickBot="1">
      <c r="A52" s="5126"/>
      <c r="B52" s="3556"/>
      <c r="C52" s="3557"/>
      <c r="D52" s="629">
        <f t="shared" si="18"/>
        <v>0</v>
      </c>
      <c r="E52" s="5159"/>
      <c r="F52" s="3454"/>
      <c r="G52" s="3454"/>
      <c r="H52" s="3454"/>
      <c r="I52" s="3454"/>
      <c r="J52" s="3454"/>
      <c r="K52" s="3454"/>
      <c r="L52" s="3454"/>
      <c r="M52" s="3644">
        <f>M51+O51</f>
        <v>0.39079858529898975</v>
      </c>
      <c r="N52" s="3455"/>
      <c r="O52" s="2329">
        <f>SUM(O40:O51)</f>
        <v>4.9904917481180859E-2</v>
      </c>
      <c r="P52" s="3454"/>
      <c r="Q52" s="3454"/>
      <c r="R52" s="3454"/>
      <c r="S52" s="3656">
        <f>SUM(S40:S51)</f>
        <v>2200</v>
      </c>
      <c r="T52" s="5071">
        <f t="shared" si="19"/>
        <v>0</v>
      </c>
      <c r="U52" s="5072">
        <f t="shared" si="20"/>
        <v>0</v>
      </c>
      <c r="V52" s="1701">
        <f t="shared" si="21"/>
        <v>0</v>
      </c>
      <c r="W52" s="5073">
        <f t="shared" si="22"/>
        <v>0</v>
      </c>
      <c r="X52" s="5074">
        <f t="shared" si="23"/>
        <v>0</v>
      </c>
      <c r="Y52" s="5075">
        <f t="shared" si="24"/>
        <v>0</v>
      </c>
      <c r="Z52" s="5076">
        <f t="shared" si="25"/>
        <v>0</v>
      </c>
      <c r="AA52" s="5077">
        <f t="shared" si="26"/>
        <v>0</v>
      </c>
      <c r="AB52" s="5078">
        <f t="shared" si="27"/>
        <v>0</v>
      </c>
      <c r="AC52"/>
      <c r="AD52" s="5032"/>
      <c r="AE52" s="5033"/>
      <c r="AF52" s="5033"/>
      <c r="AG52" s="5033"/>
      <c r="AH52" s="5033"/>
      <c r="AI52" s="5033"/>
      <c r="AJ52" s="5031"/>
      <c r="AN52" s="5006"/>
      <c r="AO52" s="5005"/>
    </row>
    <row r="53" spans="1:41" thickBot="1">
      <c r="A53" s="5126"/>
      <c r="B53" s="3556" t="s">
        <v>217</v>
      </c>
      <c r="C53" s="3563" t="s">
        <v>461</v>
      </c>
      <c r="D53" s="629">
        <f t="shared" si="18"/>
        <v>2.1222190799396687E-4</v>
      </c>
      <c r="E53" s="5173">
        <v>3</v>
      </c>
      <c r="F53" s="3499">
        <v>1</v>
      </c>
      <c r="G53" s="3499">
        <v>2</v>
      </c>
      <c r="H53" s="3499">
        <v>50</v>
      </c>
      <c r="I53" s="8002" t="s">
        <v>1652</v>
      </c>
      <c r="J53" s="2314">
        <v>2.3148148148148146E-4</v>
      </c>
      <c r="K53" s="2314">
        <v>3.4722222222222224E-4</v>
      </c>
      <c r="L53" s="2310" t="s">
        <v>1454</v>
      </c>
      <c r="M53" s="3646">
        <v>0.80555555555555547</v>
      </c>
      <c r="N53" s="2312">
        <v>1.05</v>
      </c>
      <c r="O53" s="2313">
        <f t="shared" ref="O53:O63" si="47">Q53*F53*G53+J53*F53*G53+K53*F53</f>
        <v>1.7015171987598461E-3</v>
      </c>
      <c r="P53" s="2314">
        <f>D53*(H53/25)</f>
        <v>4.2444381598793373E-4</v>
      </c>
      <c r="Q53" s="2315">
        <f t="shared" ref="Q53:Q63" si="48">P53*N53</f>
        <v>4.4566600678733046E-4</v>
      </c>
      <c r="R53" s="2274"/>
      <c r="S53" s="3659">
        <f t="shared" ref="S53:S62" si="49">F53*G53*H53</f>
        <v>100</v>
      </c>
      <c r="T53" s="5071">
        <f t="shared" si="19"/>
        <v>0.1</v>
      </c>
      <c r="U53" s="5072">
        <f t="shared" si="20"/>
        <v>8.4888763197586745E-2</v>
      </c>
      <c r="V53" s="1701">
        <f t="shared" si="21"/>
        <v>0</v>
      </c>
      <c r="W53" s="5073">
        <f t="shared" si="22"/>
        <v>0</v>
      </c>
      <c r="X53" s="5074">
        <f t="shared" si="23"/>
        <v>0.1</v>
      </c>
      <c r="Y53" s="5075">
        <f t="shared" si="24"/>
        <v>0</v>
      </c>
      <c r="Z53" s="5076">
        <f t="shared" si="25"/>
        <v>0</v>
      </c>
      <c r="AA53" s="5077">
        <f t="shared" si="26"/>
        <v>0</v>
      </c>
      <c r="AB53" s="5078">
        <f t="shared" si="27"/>
        <v>0</v>
      </c>
      <c r="AC53"/>
      <c r="AD53" s="5032"/>
      <c r="AE53" s="5033"/>
      <c r="AF53" s="5033"/>
      <c r="AG53" s="5033"/>
      <c r="AH53" s="5033"/>
      <c r="AI53" s="5033"/>
      <c r="AJ53" s="5031"/>
      <c r="AN53" s="5006"/>
      <c r="AO53" s="5005"/>
    </row>
    <row r="54" spans="1:41" thickBot="1">
      <c r="A54" s="5126"/>
      <c r="B54" s="3556" t="s">
        <v>459</v>
      </c>
      <c r="C54" s="3563" t="s">
        <v>461</v>
      </c>
      <c r="D54" s="629">
        <f t="shared" si="18"/>
        <v>2.0247664488766629E-4</v>
      </c>
      <c r="E54" s="5174">
        <v>4</v>
      </c>
      <c r="F54" s="3504">
        <v>1</v>
      </c>
      <c r="G54" s="3504">
        <v>2</v>
      </c>
      <c r="H54" s="3504">
        <v>50</v>
      </c>
      <c r="I54" s="8003"/>
      <c r="J54" s="3505">
        <v>4.6296296296296293E-4</v>
      </c>
      <c r="K54" s="3505">
        <v>5.7870370370370378E-4</v>
      </c>
      <c r="L54" s="3506" t="s">
        <v>1454</v>
      </c>
      <c r="M54" s="3647">
        <f>M53+O53</f>
        <v>0.80725707275431535</v>
      </c>
      <c r="N54" s="3508">
        <v>1</v>
      </c>
      <c r="O54" s="3509">
        <f t="shared" si="47"/>
        <v>2.3469324723623215E-3</v>
      </c>
      <c r="P54" s="3510">
        <f>D54*(H54/25)*1.04</f>
        <v>4.2115142136634587E-4</v>
      </c>
      <c r="Q54" s="3510">
        <f t="shared" si="48"/>
        <v>4.2115142136634587E-4</v>
      </c>
      <c r="R54" s="3511"/>
      <c r="S54" s="3660">
        <f t="shared" si="49"/>
        <v>100</v>
      </c>
      <c r="T54" s="5071">
        <f t="shared" si="19"/>
        <v>0.1</v>
      </c>
      <c r="U54" s="5072">
        <f t="shared" si="20"/>
        <v>8.4230284273269174E-2</v>
      </c>
      <c r="V54" s="1701">
        <f t="shared" si="21"/>
        <v>0</v>
      </c>
      <c r="W54" s="5073">
        <f t="shared" si="22"/>
        <v>0</v>
      </c>
      <c r="X54" s="5074">
        <f t="shared" si="23"/>
        <v>0</v>
      </c>
      <c r="Y54" s="5075">
        <f t="shared" si="24"/>
        <v>0.1</v>
      </c>
      <c r="Z54" s="5076">
        <f t="shared" si="25"/>
        <v>0</v>
      </c>
      <c r="AA54" s="5077">
        <f t="shared" si="26"/>
        <v>0</v>
      </c>
      <c r="AB54" s="5078">
        <f t="shared" si="27"/>
        <v>0</v>
      </c>
      <c r="AC54"/>
      <c r="AD54" s="5032"/>
      <c r="AE54" s="5033"/>
      <c r="AF54" s="5033"/>
      <c r="AG54" s="5033"/>
      <c r="AH54" s="5033"/>
      <c r="AI54" s="5033"/>
      <c r="AJ54" s="5031"/>
      <c r="AN54" s="5006"/>
      <c r="AO54" s="5005"/>
    </row>
    <row r="55" spans="1:41" thickBot="1">
      <c r="A55" s="5126"/>
      <c r="B55" s="3556" t="s">
        <v>458</v>
      </c>
      <c r="C55" s="3563" t="s">
        <v>461</v>
      </c>
      <c r="D55" s="629">
        <f t="shared" si="18"/>
        <v>1.8229166666666673E-4</v>
      </c>
      <c r="E55" s="5177">
        <v>6</v>
      </c>
      <c r="F55" s="3444">
        <v>1</v>
      </c>
      <c r="G55" s="3444">
        <v>2</v>
      </c>
      <c r="H55" s="3444">
        <v>50</v>
      </c>
      <c r="I55" s="8003"/>
      <c r="J55" s="3142">
        <v>6.9444444444444447E-4</v>
      </c>
      <c r="K55" s="3142">
        <v>1.0416666666666667E-3</v>
      </c>
      <c r="L55" s="3438" t="s">
        <v>1454</v>
      </c>
      <c r="M55" s="3643">
        <f>M54+O54</f>
        <v>0.80960400522667764</v>
      </c>
      <c r="N55" s="3440">
        <v>1.08</v>
      </c>
      <c r="O55" s="3441">
        <f t="shared" si="47"/>
        <v>3.2180555555555556E-3</v>
      </c>
      <c r="P55" s="3145">
        <f>D55*(H55/25)</f>
        <v>3.6458333333333346E-4</v>
      </c>
      <c r="Q55" s="3442">
        <f t="shared" si="48"/>
        <v>3.9375000000000017E-4</v>
      </c>
      <c r="R55" s="3443"/>
      <c r="S55" s="3443">
        <f t="shared" si="49"/>
        <v>100</v>
      </c>
      <c r="T55" s="5071">
        <f t="shared" si="19"/>
        <v>0.1</v>
      </c>
      <c r="U55" s="5072">
        <f t="shared" si="20"/>
        <v>7.2916666666666685E-2</v>
      </c>
      <c r="V55" s="1701">
        <f t="shared" si="21"/>
        <v>0</v>
      </c>
      <c r="W55" s="5073">
        <f t="shared" si="22"/>
        <v>0</v>
      </c>
      <c r="X55" s="5074">
        <f t="shared" si="23"/>
        <v>0</v>
      </c>
      <c r="Y55" s="5075">
        <f t="shared" si="24"/>
        <v>0</v>
      </c>
      <c r="Z55" s="5076">
        <f t="shared" si="25"/>
        <v>0</v>
      </c>
      <c r="AA55" s="5077">
        <f t="shared" si="26"/>
        <v>0.1</v>
      </c>
      <c r="AB55" s="5078">
        <f t="shared" si="27"/>
        <v>0</v>
      </c>
      <c r="AC55"/>
      <c r="AD55" s="5032"/>
      <c r="AE55" s="5033"/>
      <c r="AF55" s="5033"/>
      <c r="AG55" s="5033"/>
      <c r="AH55" s="5033"/>
      <c r="AI55" s="5033"/>
      <c r="AJ55" s="5031"/>
      <c r="AN55" s="5006"/>
      <c r="AO55" s="5005"/>
    </row>
    <row r="56" spans="1:41" thickBot="1">
      <c r="A56" s="5126"/>
      <c r="B56" s="3556" t="s">
        <v>218</v>
      </c>
      <c r="C56" s="3563" t="s">
        <v>461</v>
      </c>
      <c r="D56" s="629">
        <f t="shared" si="18"/>
        <v>1.7682291666666674E-4</v>
      </c>
      <c r="E56" s="5175">
        <v>7</v>
      </c>
      <c r="F56" s="3561">
        <v>1</v>
      </c>
      <c r="G56" s="3561">
        <v>1</v>
      </c>
      <c r="H56" s="3561">
        <v>50</v>
      </c>
      <c r="I56" s="8004"/>
      <c r="J56" s="3562">
        <v>0</v>
      </c>
      <c r="K56" s="3562">
        <v>1.3888888888888889E-3</v>
      </c>
      <c r="L56" s="2514" t="s">
        <v>1454</v>
      </c>
      <c r="M56" s="3648">
        <f>M55+O55</f>
        <v>0.81282206078223318</v>
      </c>
      <c r="N56" s="3493">
        <v>1</v>
      </c>
      <c r="O56" s="3494">
        <f t="shared" si="47"/>
        <v>1.7672899305555558E-3</v>
      </c>
      <c r="P56" s="3495">
        <f>D56*(H56/25)*1.07</f>
        <v>3.7840104166666686E-4</v>
      </c>
      <c r="Q56" s="3496">
        <f t="shared" si="48"/>
        <v>3.7840104166666686E-4</v>
      </c>
      <c r="R56" s="3130"/>
      <c r="S56" s="3661">
        <f t="shared" si="49"/>
        <v>50</v>
      </c>
      <c r="T56" s="5071">
        <f t="shared" si="19"/>
        <v>0.05</v>
      </c>
      <c r="U56" s="5072">
        <f t="shared" si="20"/>
        <v>7.5680208333333374E-2</v>
      </c>
      <c r="V56" s="1701">
        <f t="shared" si="21"/>
        <v>0</v>
      </c>
      <c r="W56" s="5073">
        <f t="shared" si="22"/>
        <v>0</v>
      </c>
      <c r="X56" s="5074">
        <f t="shared" si="23"/>
        <v>0</v>
      </c>
      <c r="Y56" s="5075">
        <f t="shared" si="24"/>
        <v>0</v>
      </c>
      <c r="Z56" s="5076">
        <f t="shared" si="25"/>
        <v>0</v>
      </c>
      <c r="AA56" s="5077">
        <f t="shared" si="26"/>
        <v>0</v>
      </c>
      <c r="AB56" s="5078">
        <f t="shared" si="27"/>
        <v>0.05</v>
      </c>
      <c r="AC56"/>
      <c r="AD56" s="5032"/>
      <c r="AE56" s="5033"/>
      <c r="AF56" s="5033"/>
      <c r="AG56" s="5033"/>
      <c r="AH56" s="5033"/>
      <c r="AI56" s="5033"/>
      <c r="AJ56" s="5031"/>
      <c r="AN56" s="5006"/>
      <c r="AO56" s="5005"/>
    </row>
    <row r="57" spans="1:41" thickBot="1">
      <c r="A57" s="5126"/>
      <c r="B57" s="3556" t="s">
        <v>458</v>
      </c>
      <c r="C57" s="3563" t="s">
        <v>461</v>
      </c>
      <c r="D57" s="629">
        <f t="shared" si="18"/>
        <v>1.8933937422552669E-4</v>
      </c>
      <c r="E57" s="5176">
        <v>5</v>
      </c>
      <c r="F57" s="3452">
        <v>1</v>
      </c>
      <c r="G57" s="3452">
        <v>1</v>
      </c>
      <c r="H57" s="3452">
        <v>50</v>
      </c>
      <c r="I57" s="3512" t="s">
        <v>1637</v>
      </c>
      <c r="J57" s="3450">
        <v>0</v>
      </c>
      <c r="K57" s="3450">
        <v>6.9444444444444447E-4</v>
      </c>
      <c r="L57" s="3513" t="s">
        <v>1660</v>
      </c>
      <c r="M57" s="3649">
        <f t="shared" ref="M57:M64" si="50">M56+O56</f>
        <v>0.81458935071278871</v>
      </c>
      <c r="N57" s="3448">
        <v>0.95</v>
      </c>
      <c r="O57" s="3449">
        <f t="shared" si="47"/>
        <v>1.0541892554729452E-3</v>
      </c>
      <c r="P57" s="3450">
        <f>D57*(H57/25)</f>
        <v>3.7867874845105338E-4</v>
      </c>
      <c r="Q57" s="3451">
        <f t="shared" si="48"/>
        <v>3.5974481102850071E-4</v>
      </c>
      <c r="R57" s="3452"/>
      <c r="S57" s="3662">
        <f t="shared" si="49"/>
        <v>50</v>
      </c>
      <c r="T57" s="5071">
        <f t="shared" si="19"/>
        <v>0.05</v>
      </c>
      <c r="U57" s="5072">
        <f t="shared" si="20"/>
        <v>7.5735749690210671E-2</v>
      </c>
      <c r="V57" s="1701">
        <f t="shared" si="21"/>
        <v>0</v>
      </c>
      <c r="W57" s="5073">
        <f t="shared" si="22"/>
        <v>0</v>
      </c>
      <c r="X57" s="5074">
        <f t="shared" si="23"/>
        <v>0</v>
      </c>
      <c r="Y57" s="5075">
        <f t="shared" si="24"/>
        <v>0</v>
      </c>
      <c r="Z57" s="5076">
        <f t="shared" si="25"/>
        <v>0.05</v>
      </c>
      <c r="AA57" s="5077">
        <f t="shared" si="26"/>
        <v>0</v>
      </c>
      <c r="AB57" s="5078">
        <f t="shared" si="27"/>
        <v>0</v>
      </c>
      <c r="AC57"/>
      <c r="AD57" s="5032"/>
      <c r="AE57" s="5033"/>
      <c r="AF57" s="5033"/>
      <c r="AG57" s="5033"/>
      <c r="AH57" s="5033"/>
      <c r="AI57" s="5033"/>
      <c r="AJ57" s="5031"/>
      <c r="AN57" s="5006"/>
      <c r="AO57" s="5005"/>
    </row>
    <row r="58" spans="1:41" thickBot="1">
      <c r="A58" s="5126"/>
      <c r="B58" s="3556" t="s">
        <v>219</v>
      </c>
      <c r="C58" s="3563" t="s">
        <v>461</v>
      </c>
      <c r="D58" s="629">
        <f t="shared" si="18"/>
        <v>1.8933937422552669E-4</v>
      </c>
      <c r="E58" s="5176">
        <v>5</v>
      </c>
      <c r="F58" s="3452">
        <v>1</v>
      </c>
      <c r="G58" s="3452">
        <v>1</v>
      </c>
      <c r="H58" s="3452">
        <v>50</v>
      </c>
      <c r="I58" s="3512" t="s">
        <v>1638</v>
      </c>
      <c r="J58" s="3450">
        <v>0</v>
      </c>
      <c r="K58" s="3450">
        <v>5.2083333333333333E-4</v>
      </c>
      <c r="L58" s="3513" t="s">
        <v>1661</v>
      </c>
      <c r="M58" s="3649">
        <f t="shared" si="50"/>
        <v>0.81564353996826167</v>
      </c>
      <c r="N58" s="3448">
        <v>1</v>
      </c>
      <c r="O58" s="3449">
        <f t="shared" si="47"/>
        <v>8.9951208178438665E-4</v>
      </c>
      <c r="P58" s="3450">
        <f>D58*(H58/25)*1</f>
        <v>3.7867874845105338E-4</v>
      </c>
      <c r="Q58" s="3451">
        <f t="shared" si="48"/>
        <v>3.7867874845105338E-4</v>
      </c>
      <c r="R58" s="3452"/>
      <c r="S58" s="3662">
        <f t="shared" si="49"/>
        <v>50</v>
      </c>
      <c r="T58" s="5071">
        <f t="shared" si="19"/>
        <v>0.05</v>
      </c>
      <c r="U58" s="5072">
        <f t="shared" si="20"/>
        <v>7.5735749690210671E-2</v>
      </c>
      <c r="V58" s="1701">
        <f t="shared" si="21"/>
        <v>0</v>
      </c>
      <c r="W58" s="5073">
        <f t="shared" si="22"/>
        <v>0</v>
      </c>
      <c r="X58" s="5074">
        <f t="shared" si="23"/>
        <v>0</v>
      </c>
      <c r="Y58" s="5075">
        <f t="shared" si="24"/>
        <v>0</v>
      </c>
      <c r="Z58" s="5076">
        <f t="shared" si="25"/>
        <v>0.05</v>
      </c>
      <c r="AA58" s="5077">
        <f t="shared" si="26"/>
        <v>0</v>
      </c>
      <c r="AB58" s="5078">
        <f t="shared" si="27"/>
        <v>0</v>
      </c>
      <c r="AC58"/>
      <c r="AD58" s="5032"/>
      <c r="AE58" s="5033"/>
      <c r="AF58" s="5033"/>
      <c r="AG58" s="5033"/>
      <c r="AH58" s="5033"/>
      <c r="AI58" s="5033"/>
      <c r="AJ58" s="5031"/>
      <c r="AN58" s="5006"/>
      <c r="AO58" s="5005"/>
    </row>
    <row r="59" spans="1:41" thickBot="1">
      <c r="A59" s="5126"/>
      <c r="B59" s="3556"/>
      <c r="C59" s="3563" t="s">
        <v>461</v>
      </c>
      <c r="D59" s="629">
        <f t="shared" si="18"/>
        <v>1.8933937422552669E-4</v>
      </c>
      <c r="E59" s="5176">
        <v>5</v>
      </c>
      <c r="F59" s="3452">
        <v>1</v>
      </c>
      <c r="G59" s="3452">
        <v>1</v>
      </c>
      <c r="H59" s="3452">
        <v>50</v>
      </c>
      <c r="I59" s="3512" t="s">
        <v>112</v>
      </c>
      <c r="J59" s="3450">
        <v>0</v>
      </c>
      <c r="K59" s="3450">
        <v>4.0509259259259258E-4</v>
      </c>
      <c r="L59" s="3513" t="s">
        <v>1662</v>
      </c>
      <c r="M59" s="3649">
        <f t="shared" si="50"/>
        <v>0.81654305205004607</v>
      </c>
      <c r="N59" s="3448">
        <v>0.95</v>
      </c>
      <c r="O59" s="3449">
        <f t="shared" si="47"/>
        <v>7.6483740362109334E-4</v>
      </c>
      <c r="P59" s="3450">
        <f>D59*(H59/25)</f>
        <v>3.7867874845105338E-4</v>
      </c>
      <c r="Q59" s="3451">
        <f t="shared" si="48"/>
        <v>3.5974481102850071E-4</v>
      </c>
      <c r="R59" s="3452"/>
      <c r="S59" s="3662">
        <f t="shared" si="49"/>
        <v>50</v>
      </c>
      <c r="T59" s="5071">
        <f t="shared" si="19"/>
        <v>0.05</v>
      </c>
      <c r="U59" s="5072">
        <f t="shared" si="20"/>
        <v>7.5735749690210671E-2</v>
      </c>
      <c r="V59" s="1701">
        <f t="shared" si="21"/>
        <v>0</v>
      </c>
      <c r="W59" s="5073">
        <f t="shared" si="22"/>
        <v>0</v>
      </c>
      <c r="X59" s="5074">
        <f t="shared" si="23"/>
        <v>0</v>
      </c>
      <c r="Y59" s="5075">
        <f t="shared" si="24"/>
        <v>0</v>
      </c>
      <c r="Z59" s="5076">
        <f t="shared" si="25"/>
        <v>0.05</v>
      </c>
      <c r="AA59" s="5077">
        <f t="shared" si="26"/>
        <v>0</v>
      </c>
      <c r="AB59" s="5078">
        <f t="shared" si="27"/>
        <v>0</v>
      </c>
      <c r="AC59"/>
      <c r="AD59" s="5032"/>
      <c r="AE59" s="5033"/>
      <c r="AF59" s="5033"/>
      <c r="AG59" s="5033"/>
      <c r="AH59" s="5033"/>
      <c r="AI59" s="5033"/>
      <c r="AJ59" s="5031"/>
      <c r="AN59" s="5006"/>
      <c r="AO59" s="5005"/>
    </row>
    <row r="60" spans="1:41" thickBot="1">
      <c r="A60" s="5126"/>
      <c r="B60" s="3556"/>
      <c r="C60" s="3563" t="s">
        <v>461</v>
      </c>
      <c r="D60" s="629">
        <f t="shared" si="18"/>
        <v>1.8933937422552669E-4</v>
      </c>
      <c r="E60" s="5176">
        <v>5</v>
      </c>
      <c r="F60" s="3452">
        <v>1</v>
      </c>
      <c r="G60" s="3452">
        <v>1</v>
      </c>
      <c r="H60" s="3452">
        <v>50</v>
      </c>
      <c r="I60" s="3512" t="s">
        <v>1639</v>
      </c>
      <c r="J60" s="3450">
        <v>0</v>
      </c>
      <c r="K60" s="3450">
        <v>1.3888888888888889E-3</v>
      </c>
      <c r="L60" s="3513" t="s">
        <v>1702</v>
      </c>
      <c r="M60" s="3649">
        <f t="shared" si="50"/>
        <v>0.81730788945366717</v>
      </c>
      <c r="N60" s="3448">
        <v>1</v>
      </c>
      <c r="O60" s="3449">
        <f t="shared" si="47"/>
        <v>1.7675676373399424E-3</v>
      </c>
      <c r="P60" s="3450">
        <f>D60*(H60/25)</f>
        <v>3.7867874845105338E-4</v>
      </c>
      <c r="Q60" s="3451">
        <f t="shared" si="48"/>
        <v>3.7867874845105338E-4</v>
      </c>
      <c r="R60" s="3452"/>
      <c r="S60" s="3662">
        <f t="shared" si="49"/>
        <v>50</v>
      </c>
      <c r="T60" s="5071">
        <f t="shared" si="19"/>
        <v>0.05</v>
      </c>
      <c r="U60" s="5072">
        <f t="shared" si="20"/>
        <v>7.5735749690210671E-2</v>
      </c>
      <c r="V60" s="1701">
        <f t="shared" si="21"/>
        <v>0</v>
      </c>
      <c r="W60" s="5073">
        <f t="shared" si="22"/>
        <v>0</v>
      </c>
      <c r="X60" s="5074">
        <f t="shared" si="23"/>
        <v>0</v>
      </c>
      <c r="Y60" s="5075">
        <f t="shared" si="24"/>
        <v>0</v>
      </c>
      <c r="Z60" s="5076">
        <f t="shared" si="25"/>
        <v>0.05</v>
      </c>
      <c r="AA60" s="5077">
        <f t="shared" si="26"/>
        <v>0</v>
      </c>
      <c r="AB60" s="5078">
        <f t="shared" si="27"/>
        <v>0</v>
      </c>
      <c r="AC60"/>
      <c r="AD60" s="5032"/>
      <c r="AE60" s="5033"/>
      <c r="AF60" s="5033"/>
      <c r="AG60" s="5033"/>
      <c r="AH60" s="5033"/>
      <c r="AI60" s="5033"/>
      <c r="AJ60" s="5031"/>
      <c r="AN60" s="5006"/>
      <c r="AO60" s="5005"/>
    </row>
    <row r="61" spans="1:41" thickBot="1">
      <c r="A61" s="5126"/>
      <c r="B61" s="3556"/>
      <c r="C61" s="3563" t="s">
        <v>461</v>
      </c>
      <c r="D61" s="629">
        <f t="shared" si="18"/>
        <v>1.8933937422552669E-4</v>
      </c>
      <c r="E61" s="5176">
        <v>5</v>
      </c>
      <c r="F61" s="3452">
        <v>1</v>
      </c>
      <c r="G61" s="3452">
        <v>2</v>
      </c>
      <c r="H61" s="3452">
        <v>50</v>
      </c>
      <c r="I61" s="3512" t="s">
        <v>1640</v>
      </c>
      <c r="J61" s="3450">
        <v>4.6296296296296293E-4</v>
      </c>
      <c r="K61" s="3450">
        <v>1.3888888888888889E-3</v>
      </c>
      <c r="L61" s="2327" t="s">
        <v>1663</v>
      </c>
      <c r="M61" s="3649">
        <f t="shared" si="50"/>
        <v>0.81907545709100715</v>
      </c>
      <c r="N61" s="3448">
        <v>0.97</v>
      </c>
      <c r="O61" s="3449">
        <f t="shared" si="47"/>
        <v>3.0494515868098584E-3</v>
      </c>
      <c r="P61" s="3450">
        <f>D61*(H61/25)</f>
        <v>3.7867874845105338E-4</v>
      </c>
      <c r="Q61" s="3451">
        <f t="shared" si="48"/>
        <v>3.6731838599752176E-4</v>
      </c>
      <c r="R61" s="3452"/>
      <c r="S61" s="3662">
        <f t="shared" si="49"/>
        <v>100</v>
      </c>
      <c r="T61" s="5071">
        <f t="shared" si="19"/>
        <v>0.1</v>
      </c>
      <c r="U61" s="5072">
        <f t="shared" si="20"/>
        <v>7.5735749690210671E-2</v>
      </c>
      <c r="V61" s="1701">
        <f t="shared" si="21"/>
        <v>0</v>
      </c>
      <c r="W61" s="5073">
        <f t="shared" si="22"/>
        <v>0</v>
      </c>
      <c r="X61" s="5074">
        <f t="shared" si="23"/>
        <v>0</v>
      </c>
      <c r="Y61" s="5075">
        <f t="shared" si="24"/>
        <v>0</v>
      </c>
      <c r="Z61" s="5076">
        <f t="shared" si="25"/>
        <v>0.1</v>
      </c>
      <c r="AA61" s="5077">
        <f t="shared" si="26"/>
        <v>0</v>
      </c>
      <c r="AB61" s="5078">
        <f t="shared" si="27"/>
        <v>0</v>
      </c>
      <c r="AC61"/>
      <c r="AD61" s="5032"/>
      <c r="AE61" s="5033"/>
      <c r="AF61" s="5033"/>
      <c r="AG61" s="5033"/>
      <c r="AH61" s="5033"/>
      <c r="AI61" s="5033"/>
      <c r="AJ61" s="5031"/>
      <c r="AN61" s="5006"/>
      <c r="AO61" s="5005"/>
    </row>
    <row r="62" spans="1:41" thickBot="1">
      <c r="A62" s="5126"/>
      <c r="B62" s="3556"/>
      <c r="C62" s="3563" t="s">
        <v>461</v>
      </c>
      <c r="D62" s="629">
        <f t="shared" si="18"/>
        <v>1.8933937422552669E-4</v>
      </c>
      <c r="E62" s="5176">
        <v>5</v>
      </c>
      <c r="F62" s="3452">
        <v>1</v>
      </c>
      <c r="G62" s="3452">
        <v>3</v>
      </c>
      <c r="H62" s="3452">
        <v>50</v>
      </c>
      <c r="I62" s="3512" t="s">
        <v>1641</v>
      </c>
      <c r="J62" s="3450">
        <v>6.9444444444444447E-4</v>
      </c>
      <c r="K62" s="3450">
        <v>1.3888888888888889E-3</v>
      </c>
      <c r="L62" s="2327" t="s">
        <v>1642</v>
      </c>
      <c r="M62" s="3649">
        <f t="shared" si="50"/>
        <v>0.82212490867781696</v>
      </c>
      <c r="N62" s="3448">
        <v>1.05</v>
      </c>
      <c r="O62" s="3449">
        <f t="shared" si="47"/>
        <v>4.6650602798430406E-3</v>
      </c>
      <c r="P62" s="3450">
        <f>D62*(H62/25)</f>
        <v>3.7867874845105338E-4</v>
      </c>
      <c r="Q62" s="3451">
        <f t="shared" si="48"/>
        <v>3.9761268587360605E-4</v>
      </c>
      <c r="R62" s="3452"/>
      <c r="S62" s="3662">
        <f t="shared" si="49"/>
        <v>150</v>
      </c>
      <c r="T62" s="5071">
        <f t="shared" si="19"/>
        <v>0.15</v>
      </c>
      <c r="U62" s="5072">
        <f t="shared" si="20"/>
        <v>7.5735749690210671E-2</v>
      </c>
      <c r="V62" s="1701">
        <f t="shared" si="21"/>
        <v>0</v>
      </c>
      <c r="W62" s="5073">
        <f t="shared" si="22"/>
        <v>0</v>
      </c>
      <c r="X62" s="5074">
        <f t="shared" si="23"/>
        <v>0</v>
      </c>
      <c r="Y62" s="5075">
        <f t="shared" si="24"/>
        <v>0</v>
      </c>
      <c r="Z62" s="5076">
        <f t="shared" si="25"/>
        <v>0.15</v>
      </c>
      <c r="AA62" s="5077">
        <f t="shared" si="26"/>
        <v>0</v>
      </c>
      <c r="AB62" s="5078">
        <f t="shared" si="27"/>
        <v>0</v>
      </c>
      <c r="AC62"/>
      <c r="AD62" s="5032"/>
      <c r="AE62" s="5033"/>
      <c r="AF62" s="5033"/>
      <c r="AG62" s="5033"/>
      <c r="AH62" s="5033"/>
      <c r="AI62" s="5033"/>
      <c r="AJ62" s="5031"/>
      <c r="AN62" s="5006"/>
      <c r="AO62" s="5005"/>
    </row>
    <row r="63" spans="1:41" thickBot="1">
      <c r="A63" s="5126"/>
      <c r="B63" s="3556"/>
      <c r="C63" s="3563" t="s">
        <v>461</v>
      </c>
      <c r="D63" s="629">
        <f t="shared" si="18"/>
        <v>1.7682291666666674E-4</v>
      </c>
      <c r="E63" s="5157">
        <v>7</v>
      </c>
      <c r="F63" s="1201">
        <v>1</v>
      </c>
      <c r="G63" s="1201">
        <v>6</v>
      </c>
      <c r="H63" s="1201">
        <v>25</v>
      </c>
      <c r="I63" s="1201"/>
      <c r="J63" s="1051">
        <v>1.7361111111111112E-4</v>
      </c>
      <c r="K63" s="1051">
        <v>6.9444444444444447E-4</v>
      </c>
      <c r="L63" s="442" t="s">
        <v>413</v>
      </c>
      <c r="M63" s="2392">
        <f t="shared" si="50"/>
        <v>0.82678996895765999</v>
      </c>
      <c r="N63" s="3206">
        <v>1</v>
      </c>
      <c r="O63" s="2392">
        <f t="shared" si="47"/>
        <v>2.7970486111111117E-3</v>
      </c>
      <c r="P63" s="2392">
        <f t="shared" ref="P63" si="51">D63*(H63/25)</f>
        <v>1.7682291666666674E-4</v>
      </c>
      <c r="Q63" s="2392">
        <f t="shared" si="48"/>
        <v>1.7682291666666674E-4</v>
      </c>
      <c r="R63" s="789" t="s">
        <v>1697</v>
      </c>
      <c r="S63" s="2402">
        <f>F63*G63*H63</f>
        <v>150</v>
      </c>
      <c r="T63" s="5071">
        <f t="shared" si="19"/>
        <v>0.15</v>
      </c>
      <c r="U63" s="5072">
        <f t="shared" si="20"/>
        <v>1.7682291666666673E-2</v>
      </c>
      <c r="V63" s="1701">
        <f t="shared" si="21"/>
        <v>0</v>
      </c>
      <c r="W63" s="5073">
        <f t="shared" si="22"/>
        <v>0</v>
      </c>
      <c r="X63" s="5074">
        <f t="shared" si="23"/>
        <v>0</v>
      </c>
      <c r="Y63" s="5075">
        <f t="shared" si="24"/>
        <v>0</v>
      </c>
      <c r="Z63" s="5076">
        <f t="shared" si="25"/>
        <v>0</v>
      </c>
      <c r="AA63" s="5077">
        <f t="shared" si="26"/>
        <v>0</v>
      </c>
      <c r="AB63" s="5078">
        <f t="shared" si="27"/>
        <v>0.15</v>
      </c>
      <c r="AC63"/>
      <c r="AD63" s="5032"/>
      <c r="AE63" s="5033"/>
      <c r="AF63" s="5033"/>
      <c r="AG63" s="5033"/>
      <c r="AH63" s="5033"/>
      <c r="AI63" s="5033"/>
      <c r="AJ63" s="5031"/>
      <c r="AN63" s="5006"/>
      <c r="AO63" s="5005"/>
    </row>
    <row r="64" spans="1:41" thickBot="1">
      <c r="A64" s="5126"/>
      <c r="B64" s="1278"/>
      <c r="C64" s="1278"/>
      <c r="D64" s="629">
        <f t="shared" si="18"/>
        <v>0</v>
      </c>
      <c r="E64" s="5159"/>
      <c r="F64" s="3454"/>
      <c r="G64" s="3454"/>
      <c r="H64" s="3454"/>
      <c r="I64" s="3454"/>
      <c r="J64" s="3454"/>
      <c r="K64" s="3454"/>
      <c r="L64" s="3454"/>
      <c r="M64" s="3644">
        <f t="shared" si="50"/>
        <v>0.82958701756877107</v>
      </c>
      <c r="N64" s="3455"/>
      <c r="O64" s="2329">
        <f>SUM(O61:O63)</f>
        <v>1.051156047776401E-2</v>
      </c>
      <c r="P64" s="3454"/>
      <c r="Q64" s="3454"/>
      <c r="R64" s="3454"/>
      <c r="S64" s="3656">
        <f>SUM(S53:S63)</f>
        <v>950</v>
      </c>
      <c r="T64" s="5071">
        <f t="shared" si="19"/>
        <v>0</v>
      </c>
      <c r="U64" s="5072">
        <f t="shared" si="20"/>
        <v>0</v>
      </c>
      <c r="V64" s="1701">
        <f t="shared" si="21"/>
        <v>0</v>
      </c>
      <c r="W64" s="5073">
        <f t="shared" si="22"/>
        <v>0</v>
      </c>
      <c r="X64" s="5074">
        <f t="shared" si="23"/>
        <v>0</v>
      </c>
      <c r="Y64" s="5075">
        <f t="shared" si="24"/>
        <v>0</v>
      </c>
      <c r="Z64" s="5076">
        <f t="shared" si="25"/>
        <v>0</v>
      </c>
      <c r="AA64" s="5077">
        <f t="shared" si="26"/>
        <v>0</v>
      </c>
      <c r="AB64" s="5078">
        <f t="shared" si="27"/>
        <v>0</v>
      </c>
      <c r="AC64"/>
      <c r="AD64" s="5032"/>
      <c r="AE64" s="5033"/>
      <c r="AF64" s="5033"/>
      <c r="AG64" s="5033"/>
      <c r="AH64" s="5033"/>
      <c r="AI64" s="5033"/>
      <c r="AJ64" s="5031"/>
      <c r="AN64" s="5006"/>
      <c r="AO64" s="5005"/>
    </row>
    <row r="65" spans="1:41" ht="15" thickTop="1" thickBot="1">
      <c r="A65" s="5126"/>
      <c r="B65" s="3565" t="s">
        <v>218</v>
      </c>
      <c r="C65" s="3566" t="s">
        <v>459</v>
      </c>
      <c r="D65" s="629">
        <f t="shared" si="18"/>
        <v>2.2880964381720439E-4</v>
      </c>
      <c r="E65" s="5171">
        <v>1</v>
      </c>
      <c r="F65" s="2427">
        <v>1</v>
      </c>
      <c r="G65" s="2427">
        <v>1</v>
      </c>
      <c r="H65" s="2427">
        <v>800</v>
      </c>
      <c r="I65" s="7997" t="s">
        <v>1628</v>
      </c>
      <c r="J65" s="2256">
        <v>1.1574074074074073E-4</v>
      </c>
      <c r="K65" s="2256">
        <v>1.3888888888888889E-3</v>
      </c>
      <c r="L65" s="2338" t="s">
        <v>581</v>
      </c>
      <c r="M65" s="3644">
        <v>0.79861111111111116</v>
      </c>
      <c r="N65" s="2339">
        <v>1</v>
      </c>
      <c r="O65" s="2329">
        <f>Q65*F65*G65+J65*F65*G65+K65*F65</f>
        <v>9.1194145758661926E-3</v>
      </c>
      <c r="P65" s="2256">
        <f>D65*(H65/25)*1.04</f>
        <v>7.6147849462365625E-3</v>
      </c>
      <c r="Q65" s="2340">
        <f>P65*N65</f>
        <v>7.6147849462365625E-3</v>
      </c>
      <c r="R65" s="2341" t="s">
        <v>278</v>
      </c>
      <c r="S65" s="3657">
        <f>F65*G65*H65</f>
        <v>800</v>
      </c>
      <c r="T65" s="5071">
        <f t="shared" si="19"/>
        <v>0.8</v>
      </c>
      <c r="U65" s="5072">
        <f t="shared" si="20"/>
        <v>24.367311827957</v>
      </c>
      <c r="V65" s="1701">
        <f t="shared" si="21"/>
        <v>0.8</v>
      </c>
      <c r="W65" s="5073">
        <f t="shared" si="22"/>
        <v>0</v>
      </c>
      <c r="X65" s="5074">
        <f t="shared" si="23"/>
        <v>0</v>
      </c>
      <c r="Y65" s="5075">
        <f t="shared" si="24"/>
        <v>0</v>
      </c>
      <c r="Z65" s="5076">
        <f t="shared" si="25"/>
        <v>0</v>
      </c>
      <c r="AA65" s="5077">
        <f t="shared" si="26"/>
        <v>0</v>
      </c>
      <c r="AB65" s="5078">
        <f t="shared" si="27"/>
        <v>0</v>
      </c>
      <c r="AC65"/>
      <c r="AD65" s="5032"/>
      <c r="AE65" s="5033"/>
      <c r="AF65" s="5033"/>
      <c r="AG65" s="5033"/>
      <c r="AH65" s="5033"/>
      <c r="AI65" s="5033"/>
      <c r="AJ65" s="5031"/>
      <c r="AN65" s="5006"/>
      <c r="AO65" s="5005"/>
    </row>
    <row r="66" spans="1:41" thickBot="1">
      <c r="A66" s="5126"/>
      <c r="B66" s="3567" t="s">
        <v>139</v>
      </c>
      <c r="C66" s="3566" t="s">
        <v>459</v>
      </c>
      <c r="D66" s="629">
        <f t="shared" si="18"/>
        <v>2.1908757716049393E-4</v>
      </c>
      <c r="E66" s="5172">
        <v>2</v>
      </c>
      <c r="F66" s="2923">
        <v>1</v>
      </c>
      <c r="G66" s="2923">
        <v>12</v>
      </c>
      <c r="H66" s="2923">
        <v>50</v>
      </c>
      <c r="I66" s="7998"/>
      <c r="J66" s="2324">
        <v>1.3888888888888889E-4</v>
      </c>
      <c r="K66" s="2324">
        <v>1.3888888888888889E-3</v>
      </c>
      <c r="L66" s="2278" t="s">
        <v>670</v>
      </c>
      <c r="M66" s="3645">
        <f>M65+O65</f>
        <v>0.80773052568697734</v>
      </c>
      <c r="N66" s="2305">
        <v>1.2</v>
      </c>
      <c r="O66" s="2306">
        <f>Q66*F66*G66+J66*F66*G66+K66*F66</f>
        <v>9.6176666666666702E-3</v>
      </c>
      <c r="P66" s="2307">
        <f>D66*(H66/25)*1.04</f>
        <v>4.5570216049382737E-4</v>
      </c>
      <c r="Q66" s="2307">
        <f>P66*N66</f>
        <v>5.468425925925928E-4</v>
      </c>
      <c r="R66" s="2282" t="s">
        <v>278</v>
      </c>
      <c r="S66" s="3658">
        <f>F66*G66*H66</f>
        <v>600</v>
      </c>
      <c r="T66" s="5071">
        <f t="shared" si="19"/>
        <v>0.6</v>
      </c>
      <c r="U66" s="5072">
        <f t="shared" si="20"/>
        <v>9.1140432098765475E-2</v>
      </c>
      <c r="V66" s="1701">
        <f t="shared" si="21"/>
        <v>0</v>
      </c>
      <c r="W66" s="5073">
        <f t="shared" si="22"/>
        <v>0.6</v>
      </c>
      <c r="X66" s="5074">
        <f t="shared" si="23"/>
        <v>0</v>
      </c>
      <c r="Y66" s="5075">
        <f t="shared" si="24"/>
        <v>0</v>
      </c>
      <c r="Z66" s="5076">
        <f t="shared" si="25"/>
        <v>0</v>
      </c>
      <c r="AA66" s="5077">
        <f t="shared" si="26"/>
        <v>0</v>
      </c>
      <c r="AB66" s="5078">
        <f t="shared" si="27"/>
        <v>0</v>
      </c>
      <c r="AC66"/>
      <c r="AD66" s="5032"/>
      <c r="AE66" s="5033"/>
      <c r="AF66" s="5033"/>
      <c r="AG66" s="5033"/>
      <c r="AH66" s="5033"/>
      <c r="AI66" s="5033"/>
      <c r="AJ66" s="5031"/>
      <c r="AN66" s="5006"/>
      <c r="AO66" s="5005"/>
    </row>
    <row r="67" spans="1:41" thickBot="1">
      <c r="A67" s="5126"/>
      <c r="B67" s="3567" t="s">
        <v>458</v>
      </c>
      <c r="C67" s="3566" t="s">
        <v>459</v>
      </c>
      <c r="D67" s="629">
        <f t="shared" si="18"/>
        <v>2.1222190799396687E-4</v>
      </c>
      <c r="E67" s="5173">
        <v>3</v>
      </c>
      <c r="F67" s="3499">
        <v>2</v>
      </c>
      <c r="G67" s="3499">
        <v>10</v>
      </c>
      <c r="H67" s="3499">
        <v>50</v>
      </c>
      <c r="I67" s="7999"/>
      <c r="J67" s="2314">
        <v>4.6296296296296293E-4</v>
      </c>
      <c r="K67" s="2314">
        <v>2.0833333333333333E-3</v>
      </c>
      <c r="L67" s="2310" t="s">
        <v>1664</v>
      </c>
      <c r="M67" s="3646">
        <f>M66+O66</f>
        <v>0.81734819235364398</v>
      </c>
      <c r="N67" s="2312">
        <v>1</v>
      </c>
      <c r="O67" s="2313">
        <f>Q67*F67*G67+J67*F67*G67+K67*F67</f>
        <v>2.2254357298474949E-2</v>
      </c>
      <c r="P67" s="2314">
        <f>D67*(H67/25)*1.04</f>
        <v>4.4142156862745112E-4</v>
      </c>
      <c r="Q67" s="2315">
        <f>P67*N67</f>
        <v>4.4142156862745112E-4</v>
      </c>
      <c r="R67" s="2274" t="s">
        <v>278</v>
      </c>
      <c r="S67" s="3659">
        <f>F67*G67*H67</f>
        <v>1000</v>
      </c>
      <c r="T67" s="5071">
        <f t="shared" si="19"/>
        <v>1</v>
      </c>
      <c r="U67" s="5072">
        <f t="shared" si="20"/>
        <v>0.17656862745098045</v>
      </c>
      <c r="V67" s="1701">
        <f t="shared" si="21"/>
        <v>0</v>
      </c>
      <c r="W67" s="5073">
        <f t="shared" si="22"/>
        <v>0</v>
      </c>
      <c r="X67" s="5074">
        <f t="shared" si="23"/>
        <v>1</v>
      </c>
      <c r="Y67" s="5075">
        <f t="shared" si="24"/>
        <v>0</v>
      </c>
      <c r="Z67" s="5076">
        <f t="shared" si="25"/>
        <v>0</v>
      </c>
      <c r="AA67" s="5077">
        <f t="shared" si="26"/>
        <v>0</v>
      </c>
      <c r="AB67" s="5078">
        <f t="shared" si="27"/>
        <v>0</v>
      </c>
      <c r="AC67"/>
      <c r="AD67" s="5032"/>
      <c r="AE67" s="5033"/>
      <c r="AF67" s="5033"/>
      <c r="AG67" s="5033"/>
      <c r="AH67" s="5033"/>
      <c r="AI67" s="5033"/>
      <c r="AJ67" s="5031"/>
      <c r="AN67" s="5006"/>
      <c r="AO67" s="5005"/>
    </row>
    <row r="68" spans="1:41" ht="14" customHeight="1" thickBot="1">
      <c r="A68" s="5126"/>
      <c r="B68" s="3567" t="s">
        <v>462</v>
      </c>
      <c r="C68" s="3566" t="s">
        <v>459</v>
      </c>
      <c r="D68" s="629">
        <f t="shared" si="18"/>
        <v>1.8229166666666673E-4</v>
      </c>
      <c r="E68" s="5178">
        <v>6</v>
      </c>
      <c r="F68" s="4683">
        <v>1</v>
      </c>
      <c r="G68" s="4683">
        <v>8</v>
      </c>
      <c r="H68" s="4683">
        <v>75</v>
      </c>
      <c r="I68" s="4683" t="s">
        <v>2045</v>
      </c>
      <c r="J68" s="4684">
        <v>1.3888888888888889E-3</v>
      </c>
      <c r="K68" s="4684">
        <v>2.0833333333333333E-3</v>
      </c>
      <c r="L68" s="4561" t="s">
        <v>2048</v>
      </c>
      <c r="M68" s="4684">
        <f>M67+O67</f>
        <v>0.83960254965211889</v>
      </c>
      <c r="N68" s="4685">
        <v>1.1000000000000001</v>
      </c>
      <c r="O68" s="4684">
        <f t="shared" ref="O68" si="52">Q68*F68*G68+J68*F68*G68+K68*F68</f>
        <v>1.8103194444444446E-2</v>
      </c>
      <c r="P68" s="4586">
        <f t="shared" ref="P68" si="53">D68*(H68/25)*1.02</f>
        <v>5.5781250000000015E-4</v>
      </c>
      <c r="Q68" s="4686">
        <f t="shared" ref="Q68" si="54">P68*N68</f>
        <v>6.1359375000000021E-4</v>
      </c>
      <c r="R68" s="4687">
        <v>177</v>
      </c>
      <c r="S68" s="4683">
        <f t="shared" ref="S68" si="55">F68*G68*H68</f>
        <v>600</v>
      </c>
      <c r="T68" s="5071">
        <f t="shared" si="19"/>
        <v>0.6</v>
      </c>
      <c r="U68" s="5072">
        <f t="shared" si="20"/>
        <v>0.16734375000000004</v>
      </c>
      <c r="V68" s="1701">
        <f t="shared" si="21"/>
        <v>0</v>
      </c>
      <c r="W68" s="5073">
        <f t="shared" si="22"/>
        <v>0</v>
      </c>
      <c r="X68" s="5074">
        <f t="shared" si="23"/>
        <v>0</v>
      </c>
      <c r="Y68" s="5075">
        <f t="shared" si="24"/>
        <v>0</v>
      </c>
      <c r="Z68" s="5076">
        <f t="shared" si="25"/>
        <v>0</v>
      </c>
      <c r="AA68" s="5077">
        <f t="shared" si="26"/>
        <v>0.6</v>
      </c>
      <c r="AB68" s="5078">
        <f t="shared" si="27"/>
        <v>0</v>
      </c>
      <c r="AC68"/>
      <c r="AD68" s="5032"/>
      <c r="AE68" s="5033"/>
      <c r="AF68" s="5033"/>
      <c r="AG68" s="5033"/>
      <c r="AH68" s="5033"/>
      <c r="AI68" s="5033"/>
      <c r="AJ68" s="5031"/>
      <c r="AN68" s="5006"/>
      <c r="AO68" s="5005"/>
    </row>
    <row r="69" spans="1:41" ht="14" customHeight="1" thickBot="1">
      <c r="A69" s="5126"/>
      <c r="B69" s="3567" t="s">
        <v>460</v>
      </c>
      <c r="C69" s="3566" t="s">
        <v>459</v>
      </c>
      <c r="D69" s="629">
        <f t="shared" si="18"/>
        <v>1.7682291666666674E-4</v>
      </c>
      <c r="E69" s="5175">
        <v>7</v>
      </c>
      <c r="F69" s="3561">
        <v>1</v>
      </c>
      <c r="G69" s="3561">
        <v>6</v>
      </c>
      <c r="H69" s="3561">
        <v>20</v>
      </c>
      <c r="I69" s="3562"/>
      <c r="J69" s="3562">
        <v>3.4722222222222224E-4</v>
      </c>
      <c r="K69" s="3562">
        <v>0</v>
      </c>
      <c r="L69" s="2514" t="s">
        <v>2087</v>
      </c>
      <c r="M69" s="3648">
        <f>M68+O68</f>
        <v>0.85770574409656331</v>
      </c>
      <c r="N69" s="3493">
        <v>1</v>
      </c>
      <c r="O69" s="3494">
        <f>Q69*F69*G69+J69*F69*G69+K69*F69</f>
        <v>2.9660333333333339E-3</v>
      </c>
      <c r="P69" s="3495">
        <f>D69*(H69/25)*1.04</f>
        <v>1.4711666666666673E-4</v>
      </c>
      <c r="Q69" s="3496">
        <f>P69*N69</f>
        <v>1.4711666666666673E-4</v>
      </c>
      <c r="R69" s="3130" t="s">
        <v>278</v>
      </c>
      <c r="S69" s="3661">
        <f>F69*G69*H69</f>
        <v>120</v>
      </c>
      <c r="T69" s="5071">
        <f t="shared" si="19"/>
        <v>0.12</v>
      </c>
      <c r="U69" s="5072">
        <f t="shared" si="20"/>
        <v>1.1769333333333338E-2</v>
      </c>
      <c r="V69" s="1701">
        <f t="shared" si="21"/>
        <v>0</v>
      </c>
      <c r="W69" s="5073">
        <f t="shared" si="22"/>
        <v>0</v>
      </c>
      <c r="X69" s="5074">
        <f t="shared" si="23"/>
        <v>0</v>
      </c>
      <c r="Y69" s="5075">
        <f t="shared" si="24"/>
        <v>0</v>
      </c>
      <c r="Z69" s="5076">
        <f t="shared" si="25"/>
        <v>0</v>
      </c>
      <c r="AA69" s="5077">
        <f t="shared" si="26"/>
        <v>0</v>
      </c>
      <c r="AB69" s="5078">
        <f t="shared" si="27"/>
        <v>0.12</v>
      </c>
      <c r="AC69"/>
      <c r="AD69" s="5032"/>
      <c r="AE69" s="5033"/>
      <c r="AF69" s="5033"/>
      <c r="AG69" s="5033"/>
      <c r="AH69" s="5033"/>
      <c r="AI69" s="5033"/>
      <c r="AJ69" s="5031"/>
      <c r="AN69" s="5006"/>
      <c r="AO69" s="5005"/>
    </row>
    <row r="70" spans="1:41" ht="14" customHeight="1" thickBot="1">
      <c r="A70" s="5126"/>
      <c r="B70" s="5129" t="s">
        <v>458</v>
      </c>
      <c r="C70" s="5129" t="s">
        <v>459</v>
      </c>
      <c r="D70" s="629">
        <f t="shared" si="18"/>
        <v>1.7682291666666674E-4</v>
      </c>
      <c r="E70" s="5175">
        <v>7</v>
      </c>
      <c r="F70" s="3561">
        <v>1</v>
      </c>
      <c r="G70" s="3561">
        <v>6</v>
      </c>
      <c r="H70" s="3561">
        <v>20</v>
      </c>
      <c r="I70" s="3562"/>
      <c r="J70" s="3562">
        <v>3.4722222222222224E-4</v>
      </c>
      <c r="K70" s="3562">
        <v>0</v>
      </c>
      <c r="L70" s="2514" t="s">
        <v>900</v>
      </c>
      <c r="M70" s="3648">
        <f>M69+O69</f>
        <v>0.86067177742989665</v>
      </c>
      <c r="N70" s="3493">
        <v>1</v>
      </c>
      <c r="O70" s="3494">
        <f>Q70*F70*G70+J70*F70*G70+K70*F70</f>
        <v>2.9660333333333339E-3</v>
      </c>
      <c r="P70" s="3495">
        <f>D70*(H70/25)*1.04</f>
        <v>1.4711666666666673E-4</v>
      </c>
      <c r="Q70" s="3496">
        <f>P70*N70</f>
        <v>1.4711666666666673E-4</v>
      </c>
      <c r="R70" s="3130" t="s">
        <v>278</v>
      </c>
      <c r="S70" s="3661">
        <f>F70*G70*H70</f>
        <v>120</v>
      </c>
      <c r="T70" s="5071">
        <f t="shared" si="19"/>
        <v>0.12</v>
      </c>
      <c r="U70" s="5072">
        <f t="shared" si="20"/>
        <v>1.1769333333333338E-2</v>
      </c>
      <c r="V70" s="1701">
        <f t="shared" si="21"/>
        <v>0</v>
      </c>
      <c r="W70" s="5073">
        <f t="shared" si="22"/>
        <v>0</v>
      </c>
      <c r="X70" s="5074">
        <f t="shared" si="23"/>
        <v>0</v>
      </c>
      <c r="Y70" s="5075">
        <f t="shared" si="24"/>
        <v>0</v>
      </c>
      <c r="Z70" s="5076">
        <f t="shared" si="25"/>
        <v>0</v>
      </c>
      <c r="AA70" s="5077">
        <f t="shared" si="26"/>
        <v>0</v>
      </c>
      <c r="AB70" s="5078">
        <f t="shared" si="27"/>
        <v>0.12</v>
      </c>
      <c r="AC70"/>
      <c r="AD70" s="5032"/>
      <c r="AE70" s="5033"/>
      <c r="AF70" s="5033"/>
      <c r="AG70" s="5033"/>
      <c r="AH70" s="5033"/>
      <c r="AI70" s="5033"/>
      <c r="AJ70" s="5031"/>
      <c r="AN70" s="5006"/>
      <c r="AO70" s="5005"/>
    </row>
    <row r="71" spans="1:41" ht="14" customHeight="1" thickBot="1">
      <c r="A71" s="5126"/>
      <c r="B71" s="5129"/>
      <c r="C71" s="5129"/>
      <c r="D71" s="629"/>
      <c r="E71" s="5159"/>
      <c r="F71" s="3454"/>
      <c r="G71" s="3454"/>
      <c r="H71" s="3454"/>
      <c r="I71" s="3454"/>
      <c r="J71" s="3454"/>
      <c r="K71" s="3454"/>
      <c r="L71" s="3454"/>
      <c r="M71" s="3644">
        <f t="shared" ref="M71" si="56">M70+O70</f>
        <v>0.86363781076322998</v>
      </c>
      <c r="N71" s="3455"/>
      <c r="O71" s="2329">
        <f>SUM(O68:O70)</f>
        <v>2.4035261111111112E-2</v>
      </c>
      <c r="P71" s="3454"/>
      <c r="Q71" s="3454"/>
      <c r="R71" s="3454"/>
      <c r="S71" s="3656">
        <f>SUM(S65:S70)</f>
        <v>3240</v>
      </c>
      <c r="T71" s="3078">
        <f>SUM(W71:AB71)</f>
        <v>11.665000000000003</v>
      </c>
      <c r="U71" s="2168"/>
      <c r="V71" s="2169">
        <f t="shared" ref="V71:AB71" si="57">SUM(V13:V70)</f>
        <v>1.7</v>
      </c>
      <c r="W71" s="2169">
        <f t="shared" si="57"/>
        <v>4.2</v>
      </c>
      <c r="X71" s="2169">
        <f t="shared" si="57"/>
        <v>2.35</v>
      </c>
      <c r="Y71" s="2169">
        <f t="shared" si="57"/>
        <v>0.2</v>
      </c>
      <c r="Z71" s="2169">
        <f t="shared" si="57"/>
        <v>0.95000000000000007</v>
      </c>
      <c r="AA71" s="2169">
        <f t="shared" si="57"/>
        <v>2.29</v>
      </c>
      <c r="AB71" s="2169">
        <f t="shared" si="57"/>
        <v>1.6750000000000003</v>
      </c>
      <c r="AC71" s="5139">
        <f>SUM(V71:AB71)+S11/1000</f>
        <v>16.510521164468617</v>
      </c>
      <c r="AD71" s="5032"/>
      <c r="AE71" s="5033"/>
      <c r="AF71" s="5033"/>
      <c r="AG71" s="5033"/>
      <c r="AH71" s="5033"/>
      <c r="AI71" s="5033"/>
      <c r="AJ71" s="5031"/>
      <c r="AN71" s="5006"/>
      <c r="AO71" s="5005"/>
    </row>
    <row r="72" spans="1:41" ht="14" customHeight="1" thickBot="1">
      <c r="A72" s="5126"/>
      <c r="B72"/>
      <c r="C72"/>
      <c r="D72" s="144"/>
      <c r="E72" s="4444"/>
      <c r="F72" s="4594">
        <f>V71*100000/$R$72</f>
        <v>10.296464800023855</v>
      </c>
      <c r="G72" s="4594">
        <f t="shared" ref="G72:L72" si="58">W71*100000/$R$72</f>
        <v>25.43832480005894</v>
      </c>
      <c r="H72" s="4594">
        <f t="shared" si="58"/>
        <v>14.233348400032977</v>
      </c>
      <c r="I72" s="4594">
        <f t="shared" si="58"/>
        <v>1.2113488000028065</v>
      </c>
      <c r="J72" s="4594">
        <f t="shared" si="58"/>
        <v>5.7539068000133309</v>
      </c>
      <c r="K72" s="4594">
        <f t="shared" si="58"/>
        <v>13.869943760032136</v>
      </c>
      <c r="L72" s="4595">
        <f t="shared" si="58"/>
        <v>10.145046200023508</v>
      </c>
      <c r="M72" s="4378" t="s">
        <v>1922</v>
      </c>
      <c r="N72" s="1278"/>
      <c r="O72" s="1278"/>
      <c r="P72" s="1278"/>
      <c r="Q72" s="1278"/>
      <c r="R72" s="7881">
        <f>AC71*1000</f>
        <v>16510.521164468617</v>
      </c>
      <c r="S72" s="7882"/>
      <c r="T72" s="4995"/>
      <c r="U72" s="4995"/>
      <c r="V72" s="4995"/>
      <c r="W72" s="4995"/>
      <c r="X72" s="4995"/>
      <c r="Y72" s="4995"/>
      <c r="Z72" s="4995"/>
      <c r="AA72" s="4995"/>
      <c r="AB72" s="4995"/>
      <c r="AC72" s="4995"/>
      <c r="AD72" s="5079" t="s">
        <v>193</v>
      </c>
      <c r="AE72" s="5056"/>
      <c r="AF72" s="5056"/>
      <c r="AG72" s="5056"/>
      <c r="AH72" s="5056"/>
      <c r="AI72" s="5056"/>
      <c r="AJ72" s="5054"/>
      <c r="AN72" s="5006"/>
      <c r="AO72" s="5005"/>
    </row>
    <row r="73" spans="1:41" thickBot="1">
      <c r="A73" s="5128"/>
      <c r="B73"/>
      <c r="C73"/>
      <c r="D73" s="144"/>
      <c r="E73" s="4444"/>
      <c r="F73" s="4521">
        <f>F72*15/100</f>
        <v>1.5444697200035784</v>
      </c>
      <c r="G73" s="4522">
        <f t="shared" ref="G73:L73" si="59">G72*15/100</f>
        <v>3.8157487200088411</v>
      </c>
      <c r="H73" s="4523">
        <f t="shared" si="59"/>
        <v>2.1350022600049465</v>
      </c>
      <c r="I73" s="4524">
        <f t="shared" si="59"/>
        <v>0.18170232000042097</v>
      </c>
      <c r="J73" s="4525">
        <f t="shared" si="59"/>
        <v>0.86308602000199963</v>
      </c>
      <c r="K73" s="4526">
        <f t="shared" si="59"/>
        <v>2.0804915640048205</v>
      </c>
      <c r="L73" s="4527">
        <f t="shared" si="59"/>
        <v>1.5217569300035263</v>
      </c>
      <c r="M73" s="4378" t="s">
        <v>1252</v>
      </c>
      <c r="N73" s="144"/>
      <c r="O73" s="144"/>
      <c r="P73" s="144"/>
      <c r="Q73" s="144"/>
      <c r="R73" s="144"/>
      <c r="S73" s="144"/>
      <c r="T73"/>
      <c r="U73"/>
      <c r="V73" s="2167">
        <f t="shared" ref="V73:AA73" si="60">IF(W71&gt;0,W71,W49)</f>
        <v>4.2</v>
      </c>
      <c r="W73" s="2167">
        <f t="shared" si="60"/>
        <v>2.35</v>
      </c>
      <c r="X73" s="2167">
        <f t="shared" si="60"/>
        <v>0.2</v>
      </c>
      <c r="Y73" s="2167">
        <f t="shared" si="60"/>
        <v>0.95000000000000007</v>
      </c>
      <c r="Z73" s="2167">
        <f t="shared" si="60"/>
        <v>2.29</v>
      </c>
      <c r="AA73" s="2167">
        <f t="shared" si="60"/>
        <v>1.6750000000000003</v>
      </c>
      <c r="AB73" s="2167" t="e">
        <f>IF(#REF!&gt;0,#REF!,#REF!)</f>
        <v>#REF!</v>
      </c>
      <c r="AC73" s="5079">
        <v>0</v>
      </c>
      <c r="AD73" s="5079">
        <v>0</v>
      </c>
      <c r="AE73" s="5079">
        <v>0</v>
      </c>
      <c r="AF73" s="5079">
        <v>0</v>
      </c>
      <c r="AG73" s="5079">
        <v>0</v>
      </c>
      <c r="AH73" s="5079">
        <v>0</v>
      </c>
      <c r="AI73" s="5054"/>
    </row>
    <row r="74" spans="1:41" ht="13">
      <c r="A74" s="5128"/>
      <c r="B74"/>
      <c r="C74"/>
      <c r="D74"/>
      <c r="E74" s="483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 s="2167">
        <f t="shared" ref="V74:AA74" si="61">IF(V73&gt;0,V73,W71)</f>
        <v>4.2</v>
      </c>
      <c r="W74" s="2167">
        <f t="shared" si="61"/>
        <v>2.35</v>
      </c>
      <c r="X74" s="2167">
        <f t="shared" si="61"/>
        <v>0.2</v>
      </c>
      <c r="Y74" s="2167">
        <f t="shared" si="61"/>
        <v>0.95000000000000007</v>
      </c>
      <c r="Z74" s="2167">
        <f t="shared" si="61"/>
        <v>2.29</v>
      </c>
      <c r="AA74" s="2167">
        <f t="shared" si="61"/>
        <v>1.6750000000000003</v>
      </c>
      <c r="AB74" s="2167" t="e">
        <f>IF(AB73&gt;0,AB73,#REF!)</f>
        <v>#REF!</v>
      </c>
      <c r="AC74" s="5079"/>
      <c r="AD74" s="5079"/>
      <c r="AE74" s="5079"/>
      <c r="AF74" s="5079"/>
      <c r="AG74" s="5079"/>
      <c r="AH74" s="5079"/>
      <c r="AI74" s="5054"/>
    </row>
    <row r="75" spans="1:41" ht="13">
      <c r="A75" s="5128"/>
      <c r="B75"/>
      <c r="C75"/>
      <c r="D75"/>
      <c r="E75" s="483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 s="2167">
        <f t="shared" ref="V75:AB89" si="62">IF(V74&gt;0,V74,V73)</f>
        <v>4.2</v>
      </c>
      <c r="W75" s="2167">
        <f t="shared" si="62"/>
        <v>2.35</v>
      </c>
      <c r="X75" s="2167">
        <f t="shared" si="62"/>
        <v>0.2</v>
      </c>
      <c r="Y75" s="2167">
        <f t="shared" si="62"/>
        <v>0.95000000000000007</v>
      </c>
      <c r="Z75" s="2167">
        <f t="shared" si="62"/>
        <v>2.29</v>
      </c>
      <c r="AA75" s="2167">
        <f t="shared" si="62"/>
        <v>1.6750000000000003</v>
      </c>
      <c r="AB75" s="2167" t="e">
        <f t="shared" si="62"/>
        <v>#REF!</v>
      </c>
      <c r="AC75" s="5079"/>
      <c r="AD75" s="5079"/>
      <c r="AE75" s="5079"/>
      <c r="AF75" s="5079"/>
      <c r="AG75" s="5079"/>
      <c r="AH75" s="5079"/>
      <c r="AI75" s="5054"/>
    </row>
    <row r="76" spans="1:41" ht="13">
      <c r="A76" s="5128"/>
      <c r="B76"/>
      <c r="C76"/>
      <c r="D76"/>
      <c r="E76" s="483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 s="2167">
        <f t="shared" si="62"/>
        <v>4.2</v>
      </c>
      <c r="W76" s="2167">
        <f t="shared" si="62"/>
        <v>2.35</v>
      </c>
      <c r="X76" s="2167">
        <f t="shared" si="62"/>
        <v>0.2</v>
      </c>
      <c r="Y76" s="2167">
        <f t="shared" si="62"/>
        <v>0.95000000000000007</v>
      </c>
      <c r="Z76" s="2167">
        <f t="shared" si="62"/>
        <v>2.29</v>
      </c>
      <c r="AA76" s="2167">
        <f t="shared" si="62"/>
        <v>1.6750000000000003</v>
      </c>
      <c r="AB76" s="2167" t="e">
        <f t="shared" si="62"/>
        <v>#REF!</v>
      </c>
      <c r="AC76" s="5079">
        <v>0</v>
      </c>
      <c r="AD76" s="5079">
        <v>0</v>
      </c>
      <c r="AE76" s="5079">
        <v>0</v>
      </c>
      <c r="AF76" s="5079">
        <v>0</v>
      </c>
      <c r="AG76" s="5079">
        <v>0</v>
      </c>
      <c r="AH76" s="5079">
        <v>0</v>
      </c>
      <c r="AI76" s="5054"/>
      <c r="AJ76" s="4995"/>
      <c r="AK76" s="4995"/>
      <c r="AL76" s="4995"/>
      <c r="AM76" s="4995"/>
      <c r="AN76" s="4995"/>
    </row>
    <row r="77" spans="1:41" ht="13">
      <c r="A77" s="5128"/>
      <c r="B77"/>
      <c r="C77"/>
      <c r="D77"/>
      <c r="E77" s="483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 s="2167">
        <f t="shared" si="62"/>
        <v>4.2</v>
      </c>
      <c r="W77" s="2167">
        <f t="shared" si="62"/>
        <v>2.35</v>
      </c>
      <c r="X77" s="2167">
        <f t="shared" si="62"/>
        <v>0.2</v>
      </c>
      <c r="Y77" s="2167">
        <f t="shared" si="62"/>
        <v>0.95000000000000007</v>
      </c>
      <c r="Z77" s="2167">
        <f t="shared" si="62"/>
        <v>2.29</v>
      </c>
      <c r="AA77" s="2167">
        <f t="shared" si="62"/>
        <v>1.6750000000000003</v>
      </c>
      <c r="AB77" s="2167" t="e">
        <f t="shared" si="62"/>
        <v>#REF!</v>
      </c>
      <c r="AC77" s="5079">
        <v>0</v>
      </c>
      <c r="AD77" s="5079">
        <v>0</v>
      </c>
      <c r="AE77" s="5079">
        <v>0</v>
      </c>
      <c r="AF77" s="5079">
        <v>0</v>
      </c>
      <c r="AG77" s="5079">
        <v>0</v>
      </c>
      <c r="AH77" s="5079">
        <v>0</v>
      </c>
      <c r="AI77" s="5005"/>
      <c r="AJ77" s="4995"/>
      <c r="AK77" s="4995"/>
      <c r="AL77" s="4995"/>
      <c r="AM77" s="4995"/>
      <c r="AN77" s="4995"/>
    </row>
    <row r="78" spans="1:41" ht="13">
      <c r="A78" s="5128"/>
      <c r="B78"/>
      <c r="C78"/>
      <c r="D78"/>
      <c r="E78" s="483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 s="2167">
        <f t="shared" si="62"/>
        <v>4.2</v>
      </c>
      <c r="W78" s="2167">
        <f t="shared" si="62"/>
        <v>2.35</v>
      </c>
      <c r="X78" s="2167">
        <f t="shared" si="62"/>
        <v>0.2</v>
      </c>
      <c r="Y78" s="2167">
        <f t="shared" si="62"/>
        <v>0.95000000000000007</v>
      </c>
      <c r="Z78" s="2167">
        <f t="shared" si="62"/>
        <v>2.29</v>
      </c>
      <c r="AA78" s="2167">
        <f t="shared" si="62"/>
        <v>1.6750000000000003</v>
      </c>
      <c r="AB78" s="2167" t="e">
        <f t="shared" si="62"/>
        <v>#REF!</v>
      </c>
      <c r="AC78" s="5079"/>
      <c r="AD78" s="5079"/>
      <c r="AE78" s="5079"/>
      <c r="AF78" s="5079"/>
      <c r="AG78" s="5079"/>
      <c r="AH78" s="5079"/>
      <c r="AI78" s="5005"/>
      <c r="AJ78" s="4995"/>
      <c r="AK78" s="4995"/>
      <c r="AL78" s="4995"/>
      <c r="AM78" s="4995"/>
      <c r="AN78" s="4995"/>
    </row>
    <row r="79" spans="1:41" ht="13">
      <c r="A79" s="5128"/>
      <c r="B79"/>
      <c r="C79"/>
      <c r="D79"/>
      <c r="E79" s="483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 s="2167">
        <f t="shared" si="62"/>
        <v>4.2</v>
      </c>
      <c r="W79" s="2167">
        <f t="shared" si="62"/>
        <v>2.35</v>
      </c>
      <c r="X79" s="2167">
        <f t="shared" si="62"/>
        <v>0.2</v>
      </c>
      <c r="Y79" s="2167">
        <f t="shared" si="62"/>
        <v>0.95000000000000007</v>
      </c>
      <c r="Z79" s="2167">
        <f t="shared" si="62"/>
        <v>2.29</v>
      </c>
      <c r="AA79" s="2167">
        <f t="shared" si="62"/>
        <v>1.6750000000000003</v>
      </c>
      <c r="AB79" s="2167" t="e">
        <f t="shared" si="62"/>
        <v>#REF!</v>
      </c>
      <c r="AC79" s="5079"/>
      <c r="AD79" s="5079"/>
      <c r="AE79" s="5079"/>
      <c r="AF79" s="5079"/>
      <c r="AG79" s="5079"/>
      <c r="AH79" s="5079"/>
      <c r="AI79" s="5005"/>
      <c r="AJ79" s="4995"/>
      <c r="AK79" s="4995"/>
      <c r="AL79" s="4995"/>
      <c r="AM79" s="4995"/>
      <c r="AN79" s="4995"/>
    </row>
    <row r="80" spans="1:41" ht="13">
      <c r="A80" s="5128"/>
      <c r="B80"/>
      <c r="C80"/>
      <c r="D80"/>
      <c r="E80" s="483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 s="2167">
        <f t="shared" si="62"/>
        <v>4.2</v>
      </c>
      <c r="W80" s="2167">
        <f t="shared" si="62"/>
        <v>2.35</v>
      </c>
      <c r="X80" s="2167">
        <f t="shared" si="62"/>
        <v>0.2</v>
      </c>
      <c r="Y80" s="2167">
        <f t="shared" si="62"/>
        <v>0.95000000000000007</v>
      </c>
      <c r="Z80" s="2167">
        <f t="shared" si="62"/>
        <v>2.29</v>
      </c>
      <c r="AA80" s="2167">
        <f t="shared" si="62"/>
        <v>1.6750000000000003</v>
      </c>
      <c r="AB80" s="2167" t="e">
        <f t="shared" si="62"/>
        <v>#REF!</v>
      </c>
      <c r="AC80" s="5079">
        <v>0</v>
      </c>
      <c r="AD80" s="5079">
        <v>0</v>
      </c>
      <c r="AE80" s="5079">
        <v>0</v>
      </c>
      <c r="AF80" s="5079">
        <v>0</v>
      </c>
      <c r="AG80" s="5079">
        <v>0</v>
      </c>
      <c r="AH80" s="5079">
        <v>0</v>
      </c>
      <c r="AI80" s="5005"/>
      <c r="AJ80" s="4995"/>
      <c r="AK80" s="4995"/>
      <c r="AL80" s="4995"/>
      <c r="AM80" s="4995"/>
      <c r="AN80" s="4995"/>
    </row>
    <row r="81" spans="1:40" ht="13">
      <c r="A81" s="5128"/>
      <c r="B81"/>
      <c r="C81"/>
      <c r="D81"/>
      <c r="E81" s="483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 s="2167">
        <f t="shared" si="62"/>
        <v>4.2</v>
      </c>
      <c r="W81" s="2167">
        <f t="shared" si="62"/>
        <v>2.35</v>
      </c>
      <c r="X81" s="2167">
        <f t="shared" si="62"/>
        <v>0.2</v>
      </c>
      <c r="Y81" s="2167">
        <f t="shared" si="62"/>
        <v>0.95000000000000007</v>
      </c>
      <c r="Z81" s="2167">
        <f t="shared" si="62"/>
        <v>2.29</v>
      </c>
      <c r="AA81" s="2167">
        <f t="shared" si="62"/>
        <v>1.6750000000000003</v>
      </c>
      <c r="AB81" s="2167" t="e">
        <f t="shared" si="62"/>
        <v>#REF!</v>
      </c>
      <c r="AC81" s="5079">
        <v>0</v>
      </c>
      <c r="AD81" s="5079">
        <v>0</v>
      </c>
      <c r="AE81" s="5079">
        <v>0</v>
      </c>
      <c r="AF81" s="5079">
        <v>0</v>
      </c>
      <c r="AG81" s="5079">
        <v>0</v>
      </c>
      <c r="AH81" s="5079">
        <v>0</v>
      </c>
      <c r="AI81" s="5005"/>
      <c r="AJ81" s="4995"/>
      <c r="AK81" s="4995"/>
      <c r="AL81" s="4995"/>
      <c r="AM81" s="4995"/>
      <c r="AN81" s="4995"/>
    </row>
    <row r="82" spans="1:40" ht="13">
      <c r="A82" s="5128"/>
      <c r="B82"/>
      <c r="C82"/>
      <c r="D82"/>
      <c r="E82" s="483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 s="2167">
        <f t="shared" si="62"/>
        <v>4.2</v>
      </c>
      <c r="W82" s="2167">
        <f t="shared" si="62"/>
        <v>2.35</v>
      </c>
      <c r="X82" s="2167">
        <f t="shared" si="62"/>
        <v>0.2</v>
      </c>
      <c r="Y82" s="2167">
        <f t="shared" si="62"/>
        <v>0.95000000000000007</v>
      </c>
      <c r="Z82" s="2167">
        <f t="shared" si="62"/>
        <v>2.29</v>
      </c>
      <c r="AA82" s="2167">
        <f t="shared" si="62"/>
        <v>1.6750000000000003</v>
      </c>
      <c r="AB82" s="2167" t="e">
        <f t="shared" si="62"/>
        <v>#REF!</v>
      </c>
      <c r="AC82" s="5079">
        <v>0</v>
      </c>
      <c r="AD82" s="5079">
        <v>0</v>
      </c>
      <c r="AE82" s="5079">
        <v>0</v>
      </c>
      <c r="AF82" s="5079">
        <v>0</v>
      </c>
      <c r="AG82" s="5079">
        <v>0</v>
      </c>
      <c r="AH82" s="5079">
        <v>0</v>
      </c>
      <c r="AI82" s="5005"/>
      <c r="AJ82" s="4995"/>
      <c r="AK82" s="4995"/>
      <c r="AL82" s="4995"/>
      <c r="AM82" s="4995"/>
      <c r="AN82" s="4995"/>
    </row>
    <row r="83" spans="1:40" ht="13">
      <c r="A83" s="5128"/>
      <c r="B83"/>
      <c r="C83"/>
      <c r="D83"/>
      <c r="E83" s="4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 s="2167">
        <f t="shared" si="62"/>
        <v>4.2</v>
      </c>
      <c r="W83" s="2167">
        <f t="shared" si="62"/>
        <v>2.35</v>
      </c>
      <c r="X83" s="2167">
        <f t="shared" si="62"/>
        <v>0.2</v>
      </c>
      <c r="Y83" s="2167">
        <f t="shared" si="62"/>
        <v>0.95000000000000007</v>
      </c>
      <c r="Z83" s="2167">
        <f t="shared" si="62"/>
        <v>2.29</v>
      </c>
      <c r="AA83" s="2167">
        <f t="shared" si="62"/>
        <v>1.6750000000000003</v>
      </c>
      <c r="AB83" s="2167" t="e">
        <f t="shared" si="62"/>
        <v>#REF!</v>
      </c>
      <c r="AC83" s="5079">
        <v>0</v>
      </c>
      <c r="AD83" s="5079">
        <v>0</v>
      </c>
      <c r="AE83" s="5079">
        <v>0</v>
      </c>
      <c r="AF83" s="5079">
        <v>0</v>
      </c>
      <c r="AG83" s="5079">
        <v>0</v>
      </c>
      <c r="AH83" s="5079">
        <v>0</v>
      </c>
      <c r="AI83" s="5005"/>
      <c r="AJ83" s="4995"/>
      <c r="AK83" s="4995"/>
      <c r="AL83" s="4995"/>
      <c r="AM83" s="4995"/>
      <c r="AN83" s="4995"/>
    </row>
    <row r="84" spans="1:40" ht="13">
      <c r="A84" s="5128"/>
      <c r="B84"/>
      <c r="C84"/>
      <c r="D84"/>
      <c r="E84" s="483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 s="2167">
        <f t="shared" si="62"/>
        <v>4.2</v>
      </c>
      <c r="W84" s="2167">
        <f t="shared" si="62"/>
        <v>2.35</v>
      </c>
      <c r="X84" s="2167">
        <f t="shared" si="62"/>
        <v>0.2</v>
      </c>
      <c r="Y84" s="2167">
        <f t="shared" si="62"/>
        <v>0.95000000000000007</v>
      </c>
      <c r="Z84" s="2167">
        <f t="shared" si="62"/>
        <v>2.29</v>
      </c>
      <c r="AA84" s="2167">
        <f t="shared" si="62"/>
        <v>1.6750000000000003</v>
      </c>
      <c r="AB84" s="2167" t="e">
        <f t="shared" si="62"/>
        <v>#REF!</v>
      </c>
      <c r="AC84" s="5079"/>
      <c r="AD84" s="5079"/>
      <c r="AE84" s="5079"/>
      <c r="AF84" s="5079"/>
      <c r="AG84" s="5079"/>
      <c r="AH84" s="5079"/>
      <c r="AI84" s="5005"/>
      <c r="AJ84" s="4995"/>
      <c r="AK84" s="4995"/>
      <c r="AL84" s="4995"/>
      <c r="AM84" s="4995"/>
      <c r="AN84" s="4995"/>
    </row>
    <row r="85" spans="1:40" ht="13">
      <c r="A85" s="5128"/>
      <c r="B85"/>
      <c r="C85"/>
      <c r="D85"/>
      <c r="E85" s="483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 s="2167">
        <f t="shared" si="62"/>
        <v>4.2</v>
      </c>
      <c r="W85" s="2167">
        <f t="shared" si="62"/>
        <v>2.35</v>
      </c>
      <c r="X85" s="2167">
        <f t="shared" si="62"/>
        <v>0.2</v>
      </c>
      <c r="Y85" s="2167">
        <f t="shared" si="62"/>
        <v>0.95000000000000007</v>
      </c>
      <c r="Z85" s="2167">
        <f t="shared" si="62"/>
        <v>2.29</v>
      </c>
      <c r="AA85" s="2167">
        <f t="shared" si="62"/>
        <v>1.6750000000000003</v>
      </c>
      <c r="AB85" s="2167" t="e">
        <f t="shared" si="62"/>
        <v>#REF!</v>
      </c>
      <c r="AC85" s="5079"/>
      <c r="AD85" s="5079"/>
      <c r="AE85" s="5079"/>
      <c r="AF85" s="5079"/>
      <c r="AG85" s="5079"/>
      <c r="AH85" s="5079"/>
      <c r="AI85" s="5005"/>
      <c r="AJ85" s="4995"/>
      <c r="AK85" s="4995"/>
      <c r="AL85" s="4995"/>
      <c r="AM85" s="4995"/>
      <c r="AN85" s="4995"/>
    </row>
    <row r="86" spans="1:40" ht="13">
      <c r="A86" s="5128"/>
      <c r="B86"/>
      <c r="C86"/>
      <c r="D86"/>
      <c r="E86" s="483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 s="2167">
        <f t="shared" si="62"/>
        <v>4.2</v>
      </c>
      <c r="W86" s="2167">
        <f t="shared" si="62"/>
        <v>2.35</v>
      </c>
      <c r="X86" s="2167">
        <f t="shared" si="62"/>
        <v>0.2</v>
      </c>
      <c r="Y86" s="2167">
        <f t="shared" si="62"/>
        <v>0.95000000000000007</v>
      </c>
      <c r="Z86" s="2167">
        <f t="shared" si="62"/>
        <v>2.29</v>
      </c>
      <c r="AA86" s="2167">
        <f t="shared" si="62"/>
        <v>1.6750000000000003</v>
      </c>
      <c r="AB86" s="2167" t="e">
        <f t="shared" si="62"/>
        <v>#REF!</v>
      </c>
      <c r="AC86" s="5079">
        <v>0</v>
      </c>
      <c r="AD86" s="5079">
        <v>0</v>
      </c>
      <c r="AE86" s="5079">
        <v>0</v>
      </c>
      <c r="AF86" s="5079">
        <v>0</v>
      </c>
      <c r="AG86" s="5079">
        <v>0</v>
      </c>
      <c r="AH86" s="5079">
        <v>0</v>
      </c>
      <c r="AI86" s="5005"/>
      <c r="AJ86" s="4995"/>
      <c r="AK86" s="4995"/>
      <c r="AL86" s="4995"/>
      <c r="AM86" s="4995"/>
      <c r="AN86" s="4995"/>
    </row>
    <row r="87" spans="1:40" ht="13">
      <c r="A87" s="5128"/>
      <c r="B87"/>
      <c r="C87"/>
      <c r="D87"/>
      <c r="E87" s="483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 s="2167">
        <f t="shared" si="62"/>
        <v>4.2</v>
      </c>
      <c r="W87" s="2167">
        <f t="shared" si="62"/>
        <v>2.35</v>
      </c>
      <c r="X87" s="2167">
        <f t="shared" si="62"/>
        <v>0.2</v>
      </c>
      <c r="Y87" s="2167">
        <f t="shared" si="62"/>
        <v>0.95000000000000007</v>
      </c>
      <c r="Z87" s="2167">
        <f t="shared" si="62"/>
        <v>2.29</v>
      </c>
      <c r="AA87" s="2167">
        <f t="shared" si="62"/>
        <v>1.6750000000000003</v>
      </c>
      <c r="AB87" s="2167" t="e">
        <f t="shared" si="62"/>
        <v>#REF!</v>
      </c>
      <c r="AC87" s="5079">
        <v>0</v>
      </c>
      <c r="AD87" s="5079">
        <v>0</v>
      </c>
      <c r="AE87" s="5079">
        <v>0</v>
      </c>
      <c r="AF87" s="5079">
        <v>0</v>
      </c>
      <c r="AG87" s="5079">
        <v>0</v>
      </c>
      <c r="AH87" s="5079">
        <v>0</v>
      </c>
      <c r="AI87" s="5005"/>
      <c r="AJ87" s="4995"/>
      <c r="AK87" s="4995"/>
      <c r="AL87" s="4995"/>
      <c r="AM87" s="4995"/>
      <c r="AN87" s="4995"/>
    </row>
    <row r="88" spans="1:40" ht="13">
      <c r="A88" s="5128"/>
      <c r="B88"/>
      <c r="C88"/>
      <c r="D88"/>
      <c r="E88" s="483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 s="2167">
        <f t="shared" si="62"/>
        <v>4.2</v>
      </c>
      <c r="W88" s="2167">
        <f t="shared" si="62"/>
        <v>2.35</v>
      </c>
      <c r="X88" s="2167">
        <f t="shared" si="62"/>
        <v>0.2</v>
      </c>
      <c r="Y88" s="2167">
        <f t="shared" si="62"/>
        <v>0.95000000000000007</v>
      </c>
      <c r="Z88" s="2167">
        <f t="shared" si="62"/>
        <v>2.29</v>
      </c>
      <c r="AA88" s="2167">
        <f t="shared" si="62"/>
        <v>1.6750000000000003</v>
      </c>
      <c r="AB88" s="2167" t="e">
        <f t="shared" si="62"/>
        <v>#REF!</v>
      </c>
      <c r="AC88" s="5079">
        <v>0</v>
      </c>
      <c r="AD88" s="5079">
        <v>0</v>
      </c>
      <c r="AE88" s="5079">
        <v>0</v>
      </c>
      <c r="AF88" s="5079">
        <v>0</v>
      </c>
      <c r="AG88" s="5079">
        <v>0</v>
      </c>
      <c r="AH88" s="5079">
        <v>0</v>
      </c>
      <c r="AI88" s="5005"/>
      <c r="AJ88" s="4995"/>
      <c r="AK88" s="4995"/>
      <c r="AL88" s="4995"/>
      <c r="AM88" s="4995"/>
      <c r="AN88" s="4995"/>
    </row>
    <row r="89" spans="1:40" ht="13">
      <c r="A89" s="5128"/>
      <c r="B89"/>
      <c r="C89"/>
      <c r="D89"/>
      <c r="E89" s="483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 s="2167">
        <f t="shared" si="62"/>
        <v>4.2</v>
      </c>
      <c r="W89" s="2167">
        <f t="shared" si="62"/>
        <v>2.35</v>
      </c>
      <c r="X89" s="2167">
        <f t="shared" si="62"/>
        <v>0.2</v>
      </c>
      <c r="Y89" s="2167">
        <f t="shared" si="62"/>
        <v>0.95000000000000007</v>
      </c>
      <c r="Z89" s="2167">
        <f t="shared" si="62"/>
        <v>2.29</v>
      </c>
      <c r="AA89" s="2167">
        <f t="shared" si="62"/>
        <v>1.6750000000000003</v>
      </c>
      <c r="AB89" s="2167" t="e">
        <f t="shared" si="62"/>
        <v>#REF!</v>
      </c>
      <c r="AC89" s="5079"/>
      <c r="AD89" s="5079"/>
      <c r="AE89" s="5079"/>
      <c r="AF89" s="5079"/>
      <c r="AG89" s="5079"/>
      <c r="AH89" s="5079"/>
      <c r="AI89" s="5005"/>
      <c r="AJ89" s="4995"/>
      <c r="AK89" s="4995"/>
      <c r="AL89" s="4995"/>
      <c r="AM89" s="4995"/>
      <c r="AN89" s="4995"/>
    </row>
    <row r="90" spans="1:40" ht="13">
      <c r="A90" s="5128"/>
      <c r="B90"/>
      <c r="C90"/>
      <c r="D90"/>
      <c r="E90" s="483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 s="2167">
        <f t="shared" ref="V90:AB105" si="63">IF(V89&gt;0,V89,V88)</f>
        <v>4.2</v>
      </c>
      <c r="W90" s="2167">
        <f t="shared" si="63"/>
        <v>2.35</v>
      </c>
      <c r="X90" s="2167">
        <f t="shared" si="63"/>
        <v>0.2</v>
      </c>
      <c r="Y90" s="2167">
        <f t="shared" si="63"/>
        <v>0.95000000000000007</v>
      </c>
      <c r="Z90" s="2167">
        <f t="shared" si="63"/>
        <v>2.29</v>
      </c>
      <c r="AA90" s="2167">
        <f t="shared" si="63"/>
        <v>1.6750000000000003</v>
      </c>
      <c r="AB90" s="2167" t="e">
        <f t="shared" si="63"/>
        <v>#REF!</v>
      </c>
      <c r="AC90" s="5079"/>
      <c r="AD90" s="5079"/>
      <c r="AE90" s="5079"/>
      <c r="AF90" s="5079"/>
      <c r="AG90" s="5079"/>
      <c r="AH90" s="5079"/>
      <c r="AI90" s="5005"/>
      <c r="AJ90" s="4995"/>
      <c r="AK90" s="4995"/>
      <c r="AL90" s="4995"/>
      <c r="AM90" s="4995"/>
      <c r="AN90" s="4995"/>
    </row>
    <row r="91" spans="1:40" ht="13">
      <c r="A91" s="5128"/>
      <c r="B91"/>
      <c r="C91"/>
      <c r="D91"/>
      <c r="E91" s="483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 s="2167">
        <f t="shared" si="63"/>
        <v>4.2</v>
      </c>
      <c r="W91" s="2167">
        <f t="shared" si="63"/>
        <v>2.35</v>
      </c>
      <c r="X91" s="2167">
        <f t="shared" si="63"/>
        <v>0.2</v>
      </c>
      <c r="Y91" s="2167">
        <f t="shared" si="63"/>
        <v>0.95000000000000007</v>
      </c>
      <c r="Z91" s="2167">
        <f t="shared" si="63"/>
        <v>2.29</v>
      </c>
      <c r="AA91" s="2167">
        <f t="shared" si="63"/>
        <v>1.6750000000000003</v>
      </c>
      <c r="AB91" s="2167" t="e">
        <f t="shared" si="63"/>
        <v>#REF!</v>
      </c>
      <c r="AC91" s="5079">
        <v>0</v>
      </c>
      <c r="AD91" s="5079">
        <v>0</v>
      </c>
      <c r="AE91" s="5079">
        <v>0</v>
      </c>
      <c r="AF91" s="5079">
        <v>0</v>
      </c>
      <c r="AG91" s="5079">
        <v>0</v>
      </c>
      <c r="AH91" s="5079">
        <v>0</v>
      </c>
      <c r="AI91" s="5005"/>
      <c r="AJ91" s="4995"/>
      <c r="AK91" s="4995"/>
      <c r="AL91" s="4995"/>
      <c r="AM91" s="4995"/>
      <c r="AN91" s="4995"/>
    </row>
    <row r="92" spans="1:40" ht="13">
      <c r="A92" s="5128"/>
      <c r="B92"/>
      <c r="C92"/>
      <c r="D92"/>
      <c r="E92" s="483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 s="2167">
        <f t="shared" si="63"/>
        <v>4.2</v>
      </c>
      <c r="W92" s="2167">
        <f t="shared" si="63"/>
        <v>2.35</v>
      </c>
      <c r="X92" s="2167">
        <f t="shared" si="63"/>
        <v>0.2</v>
      </c>
      <c r="Y92" s="2167">
        <f t="shared" si="63"/>
        <v>0.95000000000000007</v>
      </c>
      <c r="Z92" s="2167">
        <f t="shared" si="63"/>
        <v>2.29</v>
      </c>
      <c r="AA92" s="2167">
        <f t="shared" si="63"/>
        <v>1.6750000000000003</v>
      </c>
      <c r="AB92" s="2167" t="e">
        <f t="shared" si="63"/>
        <v>#REF!</v>
      </c>
      <c r="AC92" s="5079">
        <v>0</v>
      </c>
      <c r="AD92" s="5079">
        <v>0</v>
      </c>
      <c r="AE92" s="5079">
        <v>0</v>
      </c>
      <c r="AF92" s="5079">
        <v>0</v>
      </c>
      <c r="AG92" s="5079">
        <v>0</v>
      </c>
      <c r="AH92" s="5079">
        <v>0</v>
      </c>
      <c r="AI92" s="5005"/>
      <c r="AJ92" s="4995"/>
      <c r="AK92" s="4995"/>
      <c r="AL92" s="4995"/>
      <c r="AM92" s="4995"/>
      <c r="AN92" s="4995"/>
    </row>
    <row r="93" spans="1:40" ht="13">
      <c r="A93" s="5128"/>
      <c r="B93"/>
      <c r="C93"/>
      <c r="D93"/>
      <c r="E93" s="48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 s="2167">
        <f t="shared" si="63"/>
        <v>4.2</v>
      </c>
      <c r="W93" s="2167">
        <f t="shared" si="63"/>
        <v>2.35</v>
      </c>
      <c r="X93" s="2167">
        <f t="shared" si="63"/>
        <v>0.2</v>
      </c>
      <c r="Y93" s="2167">
        <f t="shared" si="63"/>
        <v>0.95000000000000007</v>
      </c>
      <c r="Z93" s="2167">
        <f t="shared" si="63"/>
        <v>2.29</v>
      </c>
      <c r="AA93" s="2167">
        <f t="shared" si="63"/>
        <v>1.6750000000000003</v>
      </c>
      <c r="AB93" s="2167" t="e">
        <f t="shared" si="63"/>
        <v>#REF!</v>
      </c>
      <c r="AC93" s="5079">
        <v>0</v>
      </c>
      <c r="AD93" s="5079">
        <v>0</v>
      </c>
      <c r="AE93" s="5079">
        <v>0</v>
      </c>
      <c r="AF93" s="5079">
        <v>0</v>
      </c>
      <c r="AG93" s="5079">
        <v>0</v>
      </c>
      <c r="AH93" s="5079">
        <v>0</v>
      </c>
      <c r="AI93" s="5005"/>
      <c r="AJ93" s="4995"/>
      <c r="AK93" s="4995"/>
      <c r="AL93" s="4995"/>
      <c r="AM93" s="4995"/>
      <c r="AN93" s="4995"/>
    </row>
    <row r="94" spans="1:40" ht="13">
      <c r="A94" s="5128"/>
      <c r="B94"/>
      <c r="C94"/>
      <c r="D94"/>
      <c r="E94" s="483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s="2167">
        <f t="shared" si="63"/>
        <v>4.2</v>
      </c>
      <c r="W94" s="2167">
        <f t="shared" si="63"/>
        <v>2.35</v>
      </c>
      <c r="X94" s="2167">
        <f t="shared" si="63"/>
        <v>0.2</v>
      </c>
      <c r="Y94" s="2167">
        <f t="shared" si="63"/>
        <v>0.95000000000000007</v>
      </c>
      <c r="Z94" s="2167">
        <f t="shared" si="63"/>
        <v>2.29</v>
      </c>
      <c r="AA94" s="2167">
        <f t="shared" si="63"/>
        <v>1.6750000000000003</v>
      </c>
      <c r="AB94" s="2167" t="e">
        <f t="shared" si="63"/>
        <v>#REF!</v>
      </c>
      <c r="AC94" s="5079"/>
      <c r="AD94" s="5079"/>
      <c r="AE94" s="5079"/>
      <c r="AF94" s="5079"/>
      <c r="AG94" s="5079"/>
      <c r="AH94" s="5079"/>
      <c r="AI94" s="5005"/>
      <c r="AJ94" s="4995"/>
      <c r="AK94" s="4995"/>
      <c r="AL94" s="4995"/>
      <c r="AM94" s="4995"/>
      <c r="AN94" s="4995"/>
    </row>
    <row r="95" spans="1:40" ht="13">
      <c r="A95" s="5128"/>
      <c r="B95"/>
      <c r="C95"/>
      <c r="D95"/>
      <c r="E95" s="483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s="2167">
        <f t="shared" si="63"/>
        <v>4.2</v>
      </c>
      <c r="W95" s="2167">
        <f t="shared" si="63"/>
        <v>2.35</v>
      </c>
      <c r="X95" s="2167">
        <f t="shared" si="63"/>
        <v>0.2</v>
      </c>
      <c r="Y95" s="2167">
        <f t="shared" si="63"/>
        <v>0.95000000000000007</v>
      </c>
      <c r="Z95" s="2167">
        <f t="shared" si="63"/>
        <v>2.29</v>
      </c>
      <c r="AA95" s="2167">
        <f t="shared" si="63"/>
        <v>1.6750000000000003</v>
      </c>
      <c r="AB95" s="2167" t="e">
        <f t="shared" si="63"/>
        <v>#REF!</v>
      </c>
      <c r="AC95" s="5079"/>
      <c r="AD95" s="5079"/>
      <c r="AE95" s="5079"/>
      <c r="AF95" s="5079"/>
      <c r="AG95" s="5079"/>
      <c r="AH95" s="5079"/>
      <c r="AI95" s="5005"/>
      <c r="AJ95" s="4995"/>
      <c r="AK95" s="4995"/>
      <c r="AL95" s="4995"/>
      <c r="AM95" s="4995"/>
      <c r="AN95" s="4995"/>
    </row>
    <row r="96" spans="1:40" ht="13">
      <c r="A96" s="5128"/>
      <c r="B96"/>
      <c r="C96"/>
      <c r="D96"/>
      <c r="E96" s="483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 s="2167">
        <f t="shared" si="63"/>
        <v>4.2</v>
      </c>
      <c r="W96" s="2167">
        <f t="shared" si="63"/>
        <v>2.35</v>
      </c>
      <c r="X96" s="2167">
        <f t="shared" si="63"/>
        <v>0.2</v>
      </c>
      <c r="Y96" s="2167">
        <f t="shared" si="63"/>
        <v>0.95000000000000007</v>
      </c>
      <c r="Z96" s="2167">
        <f t="shared" si="63"/>
        <v>2.29</v>
      </c>
      <c r="AA96" s="2167">
        <f t="shared" si="63"/>
        <v>1.6750000000000003</v>
      </c>
      <c r="AB96" s="2167" t="e">
        <f t="shared" si="63"/>
        <v>#REF!</v>
      </c>
      <c r="AC96" s="5079">
        <v>0</v>
      </c>
      <c r="AD96" s="5079">
        <v>0</v>
      </c>
      <c r="AE96" s="5079">
        <v>0</v>
      </c>
      <c r="AF96" s="5079">
        <v>0</v>
      </c>
      <c r="AG96" s="5079">
        <v>0</v>
      </c>
      <c r="AH96" s="5079">
        <v>0</v>
      </c>
      <c r="AI96" s="5005"/>
      <c r="AJ96" s="4995"/>
      <c r="AK96" s="4995"/>
      <c r="AL96" s="4995"/>
      <c r="AM96" s="4995"/>
      <c r="AN96" s="4995"/>
    </row>
    <row r="97" spans="1:40" ht="13">
      <c r="A97" s="5128"/>
      <c r="B97"/>
      <c r="C97"/>
      <c r="D97"/>
      <c r="E97" s="483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 s="2167">
        <f t="shared" si="63"/>
        <v>4.2</v>
      </c>
      <c r="W97" s="2167">
        <f t="shared" si="63"/>
        <v>2.35</v>
      </c>
      <c r="X97" s="2167">
        <f t="shared" si="63"/>
        <v>0.2</v>
      </c>
      <c r="Y97" s="2167">
        <f t="shared" si="63"/>
        <v>0.95000000000000007</v>
      </c>
      <c r="Z97" s="2167">
        <f t="shared" si="63"/>
        <v>2.29</v>
      </c>
      <c r="AA97" s="2167">
        <f t="shared" si="63"/>
        <v>1.6750000000000003</v>
      </c>
      <c r="AB97" s="2167" t="e">
        <f t="shared" si="63"/>
        <v>#REF!</v>
      </c>
      <c r="AC97" s="5079">
        <v>0</v>
      </c>
      <c r="AD97" s="5079">
        <v>0</v>
      </c>
      <c r="AE97" s="5079">
        <v>0</v>
      </c>
      <c r="AF97" s="5079">
        <v>0</v>
      </c>
      <c r="AG97" s="5079">
        <v>0</v>
      </c>
      <c r="AH97" s="5079">
        <v>0</v>
      </c>
      <c r="AI97" s="5005"/>
      <c r="AJ97" s="4995"/>
      <c r="AK97" s="4995"/>
      <c r="AL97" s="4995"/>
      <c r="AM97" s="4995"/>
      <c r="AN97" s="4995"/>
    </row>
    <row r="98" spans="1:40" ht="13">
      <c r="A98" s="5128"/>
      <c r="B98"/>
      <c r="C98"/>
      <c r="D98"/>
      <c r="E98" s="483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 s="2167">
        <f t="shared" si="63"/>
        <v>4.2</v>
      </c>
      <c r="W98" s="2167">
        <f t="shared" si="63"/>
        <v>2.35</v>
      </c>
      <c r="X98" s="2167">
        <f t="shared" si="63"/>
        <v>0.2</v>
      </c>
      <c r="Y98" s="2167">
        <f t="shared" si="63"/>
        <v>0.95000000000000007</v>
      </c>
      <c r="Z98" s="2167">
        <f t="shared" si="63"/>
        <v>2.29</v>
      </c>
      <c r="AA98" s="2167">
        <f t="shared" si="63"/>
        <v>1.6750000000000003</v>
      </c>
      <c r="AB98" s="2167" t="e">
        <f t="shared" si="63"/>
        <v>#REF!</v>
      </c>
      <c r="AC98" s="5079"/>
      <c r="AD98" s="5079"/>
      <c r="AE98" s="5079"/>
      <c r="AF98" s="5079"/>
      <c r="AG98" s="5079"/>
      <c r="AH98" s="5079"/>
      <c r="AI98" s="5005"/>
      <c r="AJ98" s="4995"/>
      <c r="AK98" s="4995"/>
      <c r="AL98" s="4995"/>
      <c r="AM98" s="4995"/>
      <c r="AN98" s="4995"/>
    </row>
    <row r="99" spans="1:40" ht="13">
      <c r="A99" s="5128"/>
      <c r="B99"/>
      <c r="C99"/>
      <c r="D99"/>
      <c r="E99" s="483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 s="2167">
        <f t="shared" si="63"/>
        <v>4.2</v>
      </c>
      <c r="W99" s="2167">
        <f t="shared" si="63"/>
        <v>2.35</v>
      </c>
      <c r="X99" s="2167">
        <f t="shared" si="63"/>
        <v>0.2</v>
      </c>
      <c r="Y99" s="2167">
        <f t="shared" si="63"/>
        <v>0.95000000000000007</v>
      </c>
      <c r="Z99" s="2167">
        <f t="shared" si="63"/>
        <v>2.29</v>
      </c>
      <c r="AA99" s="2167">
        <f t="shared" si="63"/>
        <v>1.6750000000000003</v>
      </c>
      <c r="AB99" s="2167" t="e">
        <f t="shared" si="63"/>
        <v>#REF!</v>
      </c>
      <c r="AC99" s="5079"/>
      <c r="AD99" s="5079"/>
      <c r="AE99" s="5079"/>
      <c r="AF99" s="5079"/>
      <c r="AG99" s="5079"/>
      <c r="AH99" s="5079"/>
      <c r="AI99" s="5005"/>
      <c r="AJ99" s="4995"/>
      <c r="AK99" s="4995"/>
      <c r="AL99" s="4995"/>
      <c r="AM99" s="4995"/>
      <c r="AN99" s="4995"/>
    </row>
    <row r="100" spans="1:40" ht="13">
      <c r="A100" s="5128"/>
      <c r="B100"/>
      <c r="C100"/>
      <c r="D100"/>
      <c r="E100" s="483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s="2167">
        <f t="shared" si="63"/>
        <v>4.2</v>
      </c>
      <c r="W100" s="2167">
        <f t="shared" si="63"/>
        <v>2.35</v>
      </c>
      <c r="X100" s="2167">
        <f t="shared" si="63"/>
        <v>0.2</v>
      </c>
      <c r="Y100" s="2167">
        <f t="shared" si="63"/>
        <v>0.95000000000000007</v>
      </c>
      <c r="Z100" s="2167">
        <f t="shared" si="63"/>
        <v>2.29</v>
      </c>
      <c r="AA100" s="2167">
        <f t="shared" si="63"/>
        <v>1.6750000000000003</v>
      </c>
      <c r="AB100" s="2167" t="e">
        <f t="shared" si="63"/>
        <v>#REF!</v>
      </c>
      <c r="AC100" s="5079">
        <v>0</v>
      </c>
      <c r="AD100" s="5079">
        <v>0</v>
      </c>
      <c r="AE100" s="5079">
        <v>0</v>
      </c>
      <c r="AF100" s="5079">
        <v>0</v>
      </c>
      <c r="AG100" s="5079">
        <v>0</v>
      </c>
      <c r="AH100" s="5079">
        <v>0</v>
      </c>
      <c r="AI100" s="5005"/>
      <c r="AJ100" s="4995"/>
      <c r="AK100" s="4995"/>
      <c r="AL100" s="4995"/>
      <c r="AM100" s="4995"/>
      <c r="AN100" s="4995"/>
    </row>
    <row r="101" spans="1:40" ht="13">
      <c r="A101" s="5128"/>
      <c r="B101"/>
      <c r="C101"/>
      <c r="D101"/>
      <c r="E101" s="483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s="2167">
        <f t="shared" si="63"/>
        <v>4.2</v>
      </c>
      <c r="W101" s="2167">
        <f t="shared" si="63"/>
        <v>2.35</v>
      </c>
      <c r="X101" s="2167">
        <f t="shared" si="63"/>
        <v>0.2</v>
      </c>
      <c r="Y101" s="2167">
        <f t="shared" si="63"/>
        <v>0.95000000000000007</v>
      </c>
      <c r="Z101" s="2167">
        <f t="shared" si="63"/>
        <v>2.29</v>
      </c>
      <c r="AA101" s="2167">
        <f t="shared" si="63"/>
        <v>1.6750000000000003</v>
      </c>
      <c r="AB101" s="2167" t="e">
        <f t="shared" si="63"/>
        <v>#REF!</v>
      </c>
      <c r="AC101" s="5079">
        <v>0</v>
      </c>
      <c r="AD101" s="5079">
        <v>0</v>
      </c>
      <c r="AE101" s="5079">
        <v>0</v>
      </c>
      <c r="AF101" s="5079">
        <v>0</v>
      </c>
      <c r="AG101" s="5079">
        <v>0</v>
      </c>
      <c r="AH101" s="5079">
        <v>0</v>
      </c>
      <c r="AI101" s="5005"/>
      <c r="AJ101" s="4995"/>
      <c r="AK101" s="4995"/>
      <c r="AL101" s="4995"/>
      <c r="AM101" s="4995"/>
      <c r="AN101" s="4995"/>
    </row>
    <row r="102" spans="1:40" ht="13">
      <c r="A102" s="5128"/>
      <c r="B102"/>
      <c r="C102"/>
      <c r="D102"/>
      <c r="E102" s="483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s="2167">
        <f t="shared" si="63"/>
        <v>4.2</v>
      </c>
      <c r="W102" s="2167">
        <f t="shared" si="63"/>
        <v>2.35</v>
      </c>
      <c r="X102" s="2167">
        <f t="shared" si="63"/>
        <v>0.2</v>
      </c>
      <c r="Y102" s="2167">
        <f t="shared" si="63"/>
        <v>0.95000000000000007</v>
      </c>
      <c r="Z102" s="2167">
        <f t="shared" si="63"/>
        <v>2.29</v>
      </c>
      <c r="AA102" s="2167">
        <f t="shared" si="63"/>
        <v>1.6750000000000003</v>
      </c>
      <c r="AB102" s="2167" t="e">
        <f t="shared" si="63"/>
        <v>#REF!</v>
      </c>
      <c r="AC102" s="5079">
        <v>0</v>
      </c>
      <c r="AD102" s="5079">
        <v>0</v>
      </c>
      <c r="AE102" s="5079">
        <v>0</v>
      </c>
      <c r="AF102" s="5079">
        <v>0</v>
      </c>
      <c r="AG102" s="5079">
        <v>0</v>
      </c>
      <c r="AH102" s="5079">
        <v>0</v>
      </c>
      <c r="AI102" s="5005"/>
      <c r="AJ102" s="4995"/>
      <c r="AK102" s="4995"/>
      <c r="AL102" s="4995"/>
      <c r="AM102" s="4995"/>
      <c r="AN102" s="4995"/>
    </row>
    <row r="103" spans="1:40" ht="13">
      <c r="A103" s="5128"/>
      <c r="B103"/>
      <c r="C103"/>
      <c r="D103"/>
      <c r="E103" s="48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s="2167">
        <f t="shared" si="63"/>
        <v>4.2</v>
      </c>
      <c r="W103" s="2167">
        <f t="shared" si="63"/>
        <v>2.35</v>
      </c>
      <c r="X103" s="2167">
        <f t="shared" si="63"/>
        <v>0.2</v>
      </c>
      <c r="Y103" s="2167">
        <f t="shared" si="63"/>
        <v>0.95000000000000007</v>
      </c>
      <c r="Z103" s="2167">
        <f t="shared" si="63"/>
        <v>2.29</v>
      </c>
      <c r="AA103" s="2167">
        <f t="shared" si="63"/>
        <v>1.6750000000000003</v>
      </c>
      <c r="AB103" s="2167" t="e">
        <f t="shared" si="63"/>
        <v>#REF!</v>
      </c>
      <c r="AC103" s="5079">
        <v>0</v>
      </c>
      <c r="AD103" s="5079">
        <v>0</v>
      </c>
      <c r="AE103" s="5079">
        <v>0</v>
      </c>
      <c r="AF103" s="5079">
        <v>0</v>
      </c>
      <c r="AG103" s="5079">
        <v>0</v>
      </c>
      <c r="AH103" s="5079">
        <v>0</v>
      </c>
      <c r="AI103" s="5005"/>
      <c r="AJ103" s="4995"/>
      <c r="AK103" s="4995"/>
      <c r="AL103" s="4995"/>
      <c r="AM103" s="4995"/>
      <c r="AN103" s="4995"/>
    </row>
    <row r="104" spans="1:40" ht="13">
      <c r="A104" s="5128"/>
      <c r="B104"/>
      <c r="C104"/>
      <c r="D104"/>
      <c r="E104" s="483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 s="2167">
        <f t="shared" si="63"/>
        <v>4.2</v>
      </c>
      <c r="W104" s="2167">
        <f t="shared" si="63"/>
        <v>2.35</v>
      </c>
      <c r="X104" s="2167">
        <f t="shared" si="63"/>
        <v>0.2</v>
      </c>
      <c r="Y104" s="2167">
        <f t="shared" si="63"/>
        <v>0.95000000000000007</v>
      </c>
      <c r="Z104" s="2167">
        <f t="shared" si="63"/>
        <v>2.29</v>
      </c>
      <c r="AA104" s="2167">
        <f t="shared" si="63"/>
        <v>1.6750000000000003</v>
      </c>
      <c r="AB104" s="2167" t="e">
        <f t="shared" si="63"/>
        <v>#REF!</v>
      </c>
      <c r="AC104" s="5079"/>
      <c r="AD104" s="5079"/>
      <c r="AE104" s="5079"/>
      <c r="AF104" s="5079"/>
      <c r="AG104" s="5079"/>
      <c r="AH104" s="5079"/>
      <c r="AI104" s="5005"/>
      <c r="AJ104" s="4995"/>
      <c r="AK104" s="4995"/>
      <c r="AL104" s="4995"/>
      <c r="AM104" s="4995"/>
      <c r="AN104" s="4995"/>
    </row>
    <row r="105" spans="1:40" ht="13">
      <c r="A105" s="5128"/>
      <c r="B105"/>
      <c r="C105"/>
      <c r="D105"/>
      <c r="E105" s="483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s="2167">
        <f t="shared" si="63"/>
        <v>4.2</v>
      </c>
      <c r="W105" s="2167">
        <f t="shared" si="63"/>
        <v>2.35</v>
      </c>
      <c r="X105" s="2167">
        <f t="shared" si="63"/>
        <v>0.2</v>
      </c>
      <c r="Y105" s="2167">
        <f t="shared" si="63"/>
        <v>0.95000000000000007</v>
      </c>
      <c r="Z105" s="2167">
        <f t="shared" si="63"/>
        <v>2.29</v>
      </c>
      <c r="AA105" s="2167">
        <f t="shared" si="63"/>
        <v>1.6750000000000003</v>
      </c>
      <c r="AB105" s="2167" t="e">
        <f t="shared" si="63"/>
        <v>#REF!</v>
      </c>
      <c r="AC105" s="5079">
        <v>0</v>
      </c>
      <c r="AD105" s="5079">
        <v>0</v>
      </c>
      <c r="AE105" s="5079">
        <v>0</v>
      </c>
      <c r="AF105" s="5079">
        <v>0</v>
      </c>
      <c r="AG105" s="5079">
        <v>0</v>
      </c>
      <c r="AH105" s="5079">
        <v>0</v>
      </c>
      <c r="AI105" s="5005"/>
      <c r="AJ105" s="4995"/>
      <c r="AK105" s="4995"/>
      <c r="AL105" s="4995"/>
      <c r="AM105" s="4995"/>
      <c r="AN105" s="4995"/>
    </row>
    <row r="106" spans="1:40" ht="13">
      <c r="A106" s="5128"/>
      <c r="B106"/>
      <c r="C106"/>
      <c r="D106"/>
      <c r="E106" s="483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 s="2167">
        <f t="shared" ref="V106:AB121" si="64">IF(V105&gt;0,V105,V104)</f>
        <v>4.2</v>
      </c>
      <c r="W106" s="2167">
        <f t="shared" si="64"/>
        <v>2.35</v>
      </c>
      <c r="X106" s="2167">
        <f t="shared" si="64"/>
        <v>0.2</v>
      </c>
      <c r="Y106" s="2167">
        <f t="shared" si="64"/>
        <v>0.95000000000000007</v>
      </c>
      <c r="Z106" s="2167">
        <f t="shared" si="64"/>
        <v>2.29</v>
      </c>
      <c r="AA106" s="2167">
        <f t="shared" si="64"/>
        <v>1.6750000000000003</v>
      </c>
      <c r="AB106" s="2167" t="e">
        <f t="shared" si="64"/>
        <v>#REF!</v>
      </c>
      <c r="AC106" s="5079">
        <v>0</v>
      </c>
      <c r="AD106" s="5079">
        <v>0</v>
      </c>
      <c r="AE106" s="5079">
        <v>0</v>
      </c>
      <c r="AF106" s="5079">
        <v>0</v>
      </c>
      <c r="AG106" s="5079">
        <v>0</v>
      </c>
      <c r="AH106" s="5079">
        <v>0</v>
      </c>
      <c r="AI106" s="5005"/>
      <c r="AJ106" s="4995"/>
      <c r="AK106" s="4995"/>
      <c r="AL106" s="4995"/>
      <c r="AM106" s="4995"/>
      <c r="AN106" s="4995"/>
    </row>
    <row r="107" spans="1:40" ht="13">
      <c r="A107"/>
      <c r="B107"/>
      <c r="C107"/>
      <c r="D107"/>
      <c r="E107" s="483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 s="2167">
        <f t="shared" si="64"/>
        <v>4.2</v>
      </c>
      <c r="W107" s="2167">
        <f t="shared" si="64"/>
        <v>2.35</v>
      </c>
      <c r="X107" s="2167">
        <f t="shared" si="64"/>
        <v>0.2</v>
      </c>
      <c r="Y107" s="2167">
        <f t="shared" si="64"/>
        <v>0.95000000000000007</v>
      </c>
      <c r="Z107" s="2167">
        <f t="shared" si="64"/>
        <v>2.29</v>
      </c>
      <c r="AA107" s="2167">
        <f t="shared" si="64"/>
        <v>1.6750000000000003</v>
      </c>
      <c r="AB107" s="2167" t="e">
        <f t="shared" si="64"/>
        <v>#REF!</v>
      </c>
      <c r="AC107" s="5079"/>
      <c r="AD107" s="5079"/>
      <c r="AE107" s="5079"/>
      <c r="AF107" s="5079"/>
      <c r="AG107" s="5079"/>
      <c r="AH107" s="5079"/>
      <c r="AI107" s="5005"/>
      <c r="AJ107" s="4995"/>
      <c r="AK107" s="4995"/>
      <c r="AL107" s="4995"/>
      <c r="AM107" s="4995"/>
      <c r="AN107" s="4995"/>
    </row>
    <row r="108" spans="1:40" ht="13">
      <c r="A108"/>
      <c r="B108"/>
      <c r="C108"/>
      <c r="D108"/>
      <c r="E108" s="483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 s="2167">
        <f t="shared" si="64"/>
        <v>4.2</v>
      </c>
      <c r="W108" s="2167">
        <f t="shared" si="64"/>
        <v>2.35</v>
      </c>
      <c r="X108" s="2167">
        <f t="shared" si="64"/>
        <v>0.2</v>
      </c>
      <c r="Y108" s="2167">
        <f t="shared" si="64"/>
        <v>0.95000000000000007</v>
      </c>
      <c r="Z108" s="2167">
        <f t="shared" si="64"/>
        <v>2.29</v>
      </c>
      <c r="AA108" s="2167">
        <f t="shared" si="64"/>
        <v>1.6750000000000003</v>
      </c>
      <c r="AB108" s="2167" t="e">
        <f t="shared" si="64"/>
        <v>#REF!</v>
      </c>
      <c r="AC108" s="5079"/>
      <c r="AD108" s="5079"/>
      <c r="AE108" s="5079"/>
      <c r="AF108" s="5079"/>
      <c r="AG108" s="5079"/>
      <c r="AH108" s="5079"/>
      <c r="AI108" s="5005"/>
      <c r="AJ108" s="4995"/>
      <c r="AK108" s="4995"/>
      <c r="AL108" s="4995"/>
      <c r="AM108" s="4995"/>
      <c r="AN108" s="4995"/>
    </row>
    <row r="109" spans="1:40" ht="13">
      <c r="A109"/>
      <c r="B109"/>
      <c r="C109"/>
      <c r="D109"/>
      <c r="E109" s="483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 s="2167">
        <f t="shared" si="64"/>
        <v>4.2</v>
      </c>
      <c r="W109" s="2167">
        <f t="shared" si="64"/>
        <v>2.35</v>
      </c>
      <c r="X109" s="2167">
        <f t="shared" si="64"/>
        <v>0.2</v>
      </c>
      <c r="Y109" s="2167">
        <f t="shared" si="64"/>
        <v>0.95000000000000007</v>
      </c>
      <c r="Z109" s="2167">
        <f t="shared" si="64"/>
        <v>2.29</v>
      </c>
      <c r="AA109" s="2167">
        <f t="shared" si="64"/>
        <v>1.6750000000000003</v>
      </c>
      <c r="AB109" s="2167" t="e">
        <f t="shared" si="64"/>
        <v>#REF!</v>
      </c>
      <c r="AC109" s="5079">
        <v>0</v>
      </c>
      <c r="AD109" s="5079">
        <v>0</v>
      </c>
      <c r="AE109" s="5079">
        <v>0</v>
      </c>
      <c r="AF109" s="5079">
        <v>0</v>
      </c>
      <c r="AG109" s="5079">
        <v>0</v>
      </c>
      <c r="AH109" s="5079">
        <v>0</v>
      </c>
      <c r="AI109" s="5005"/>
      <c r="AJ109" s="4995"/>
      <c r="AK109" s="4995"/>
      <c r="AL109" s="4995"/>
      <c r="AM109" s="4995"/>
      <c r="AN109" s="4995"/>
    </row>
    <row r="110" spans="1:40" ht="13">
      <c r="A110"/>
      <c r="B110"/>
      <c r="C110"/>
      <c r="D110"/>
      <c r="E110" s="483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 s="2167">
        <f t="shared" si="64"/>
        <v>4.2</v>
      </c>
      <c r="W110" s="2167">
        <f t="shared" si="64"/>
        <v>2.35</v>
      </c>
      <c r="X110" s="2167">
        <f t="shared" si="64"/>
        <v>0.2</v>
      </c>
      <c r="Y110" s="2167">
        <f t="shared" si="64"/>
        <v>0.95000000000000007</v>
      </c>
      <c r="Z110" s="2167">
        <f t="shared" si="64"/>
        <v>2.29</v>
      </c>
      <c r="AA110" s="2167">
        <f t="shared" si="64"/>
        <v>1.6750000000000003</v>
      </c>
      <c r="AB110" s="2167" t="e">
        <f t="shared" si="64"/>
        <v>#REF!</v>
      </c>
      <c r="AC110" s="5079">
        <v>0</v>
      </c>
      <c r="AD110" s="5079">
        <v>0</v>
      </c>
      <c r="AE110" s="5079">
        <v>0</v>
      </c>
      <c r="AF110" s="5079">
        <v>0</v>
      </c>
      <c r="AG110" s="5079">
        <v>0</v>
      </c>
      <c r="AH110" s="5079">
        <v>0</v>
      </c>
      <c r="AI110" s="5005"/>
      <c r="AJ110" s="4995"/>
      <c r="AK110" s="4995"/>
      <c r="AL110" s="4995"/>
      <c r="AM110" s="4995"/>
      <c r="AN110" s="4995"/>
    </row>
    <row r="111" spans="1:40" ht="13">
      <c r="A111"/>
      <c r="B111"/>
      <c r="C111"/>
      <c r="D111"/>
      <c r="E111" s="483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 s="2167">
        <f t="shared" si="64"/>
        <v>4.2</v>
      </c>
      <c r="W111" s="2167">
        <f t="shared" si="64"/>
        <v>2.35</v>
      </c>
      <c r="X111" s="2167">
        <f t="shared" si="64"/>
        <v>0.2</v>
      </c>
      <c r="Y111" s="2167">
        <f t="shared" si="64"/>
        <v>0.95000000000000007</v>
      </c>
      <c r="Z111" s="2167">
        <f t="shared" si="64"/>
        <v>2.29</v>
      </c>
      <c r="AA111" s="2167">
        <f t="shared" si="64"/>
        <v>1.6750000000000003</v>
      </c>
      <c r="AB111" s="2167" t="e">
        <f t="shared" si="64"/>
        <v>#REF!</v>
      </c>
      <c r="AC111" s="5079">
        <v>0</v>
      </c>
      <c r="AD111" s="5079">
        <v>0</v>
      </c>
      <c r="AE111" s="5079">
        <v>0</v>
      </c>
      <c r="AF111" s="5079">
        <v>0</v>
      </c>
      <c r="AG111" s="5079">
        <v>0</v>
      </c>
      <c r="AH111" s="5079">
        <v>0</v>
      </c>
      <c r="AI111" s="5005"/>
      <c r="AJ111" s="4995"/>
      <c r="AK111" s="4995"/>
      <c r="AL111" s="4995"/>
      <c r="AM111" s="4995"/>
      <c r="AN111" s="4995"/>
    </row>
    <row r="112" spans="1:40" ht="13">
      <c r="A112"/>
      <c r="B112"/>
      <c r="C112"/>
      <c r="D112"/>
      <c r="E112" s="483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 s="2167">
        <f t="shared" si="64"/>
        <v>4.2</v>
      </c>
      <c r="W112" s="2167">
        <f t="shared" si="64"/>
        <v>2.35</v>
      </c>
      <c r="X112" s="2167">
        <f t="shared" si="64"/>
        <v>0.2</v>
      </c>
      <c r="Y112" s="2167">
        <f t="shared" si="64"/>
        <v>0.95000000000000007</v>
      </c>
      <c r="Z112" s="2167">
        <f t="shared" si="64"/>
        <v>2.29</v>
      </c>
      <c r="AA112" s="2167">
        <f t="shared" si="64"/>
        <v>1.6750000000000003</v>
      </c>
      <c r="AB112" s="2167" t="e">
        <f t="shared" si="64"/>
        <v>#REF!</v>
      </c>
      <c r="AC112" s="5079"/>
      <c r="AD112" s="5079"/>
      <c r="AE112" s="5079"/>
      <c r="AF112" s="5079"/>
      <c r="AG112" s="5079"/>
      <c r="AH112" s="5079"/>
      <c r="AI112" s="5005"/>
      <c r="AJ112" s="4995"/>
      <c r="AK112" s="4995"/>
      <c r="AL112" s="4995"/>
      <c r="AM112" s="4995"/>
      <c r="AN112" s="4995"/>
    </row>
    <row r="113" spans="1:40" ht="13">
      <c r="A113"/>
      <c r="B113"/>
      <c r="C113"/>
      <c r="D113"/>
      <c r="E113" s="48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 s="2167">
        <f t="shared" si="64"/>
        <v>4.2</v>
      </c>
      <c r="W113" s="2167">
        <f t="shared" si="64"/>
        <v>2.35</v>
      </c>
      <c r="X113" s="2167">
        <f t="shared" si="64"/>
        <v>0.2</v>
      </c>
      <c r="Y113" s="2167">
        <f t="shared" si="64"/>
        <v>0.95000000000000007</v>
      </c>
      <c r="Z113" s="2167">
        <f t="shared" si="64"/>
        <v>2.29</v>
      </c>
      <c r="AA113" s="2167">
        <f t="shared" si="64"/>
        <v>1.6750000000000003</v>
      </c>
      <c r="AB113" s="2167" t="e">
        <f t="shared" si="64"/>
        <v>#REF!</v>
      </c>
      <c r="AC113" s="5079"/>
      <c r="AD113" s="5079"/>
      <c r="AE113" s="5079"/>
      <c r="AF113" s="5079"/>
      <c r="AG113" s="5079"/>
      <c r="AH113" s="5079"/>
      <c r="AI113" s="5005"/>
      <c r="AJ113" s="4995"/>
      <c r="AK113" s="4995"/>
      <c r="AL113" s="4995"/>
      <c r="AM113" s="4995"/>
      <c r="AN113" s="4995"/>
    </row>
    <row r="114" spans="1:40" ht="13">
      <c r="A114"/>
      <c r="B114"/>
      <c r="C114"/>
      <c r="D114"/>
      <c r="E114" s="483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 s="2167">
        <f t="shared" si="64"/>
        <v>4.2</v>
      </c>
      <c r="W114" s="2167">
        <f t="shared" si="64"/>
        <v>2.35</v>
      </c>
      <c r="X114" s="2167">
        <f t="shared" si="64"/>
        <v>0.2</v>
      </c>
      <c r="Y114" s="2167">
        <f t="shared" si="64"/>
        <v>0.95000000000000007</v>
      </c>
      <c r="Z114" s="2167">
        <f t="shared" si="64"/>
        <v>2.29</v>
      </c>
      <c r="AA114" s="2167">
        <f t="shared" si="64"/>
        <v>1.6750000000000003</v>
      </c>
      <c r="AB114" s="2167" t="e">
        <f t="shared" si="64"/>
        <v>#REF!</v>
      </c>
      <c r="AC114" s="5079">
        <v>0</v>
      </c>
      <c r="AD114" s="5079">
        <v>0</v>
      </c>
      <c r="AE114" s="5079">
        <v>0</v>
      </c>
      <c r="AF114" s="5079">
        <v>0</v>
      </c>
      <c r="AG114" s="5079">
        <v>0</v>
      </c>
      <c r="AH114" s="5079">
        <v>0</v>
      </c>
      <c r="AI114" s="5005"/>
      <c r="AJ114" s="4995"/>
      <c r="AK114" s="4995"/>
      <c r="AL114" s="4995"/>
      <c r="AM114" s="4995"/>
      <c r="AN114" s="4995"/>
    </row>
    <row r="115" spans="1:40" ht="13">
      <c r="A115"/>
      <c r="B115"/>
      <c r="C115"/>
      <c r="D115"/>
      <c r="E115" s="483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 s="2167">
        <f t="shared" si="64"/>
        <v>4.2</v>
      </c>
      <c r="W115" s="2167">
        <f t="shared" si="64"/>
        <v>2.35</v>
      </c>
      <c r="X115" s="2167">
        <f t="shared" si="64"/>
        <v>0.2</v>
      </c>
      <c r="Y115" s="2167">
        <f t="shared" si="64"/>
        <v>0.95000000000000007</v>
      </c>
      <c r="Z115" s="2167">
        <f t="shared" si="64"/>
        <v>2.29</v>
      </c>
      <c r="AA115" s="2167">
        <f t="shared" si="64"/>
        <v>1.6750000000000003</v>
      </c>
      <c r="AB115" s="2167" t="e">
        <f t="shared" si="64"/>
        <v>#REF!</v>
      </c>
      <c r="AC115" s="5079">
        <v>0</v>
      </c>
      <c r="AD115" s="5079">
        <v>0</v>
      </c>
      <c r="AE115" s="5079">
        <v>0</v>
      </c>
      <c r="AF115" s="5079">
        <v>0</v>
      </c>
      <c r="AG115" s="5079">
        <v>0</v>
      </c>
      <c r="AH115" s="5079">
        <v>0</v>
      </c>
      <c r="AI115" s="5005"/>
      <c r="AJ115" s="4995"/>
      <c r="AK115" s="4995"/>
      <c r="AL115" s="4995"/>
      <c r="AM115" s="4995"/>
      <c r="AN115" s="4995"/>
    </row>
    <row r="116" spans="1:40" ht="13">
      <c r="A116"/>
      <c r="B116"/>
      <c r="C116"/>
      <c r="D116"/>
      <c r="E116" s="483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 s="2167">
        <f t="shared" si="64"/>
        <v>4.2</v>
      </c>
      <c r="W116" s="2167">
        <f t="shared" si="64"/>
        <v>2.35</v>
      </c>
      <c r="X116" s="2167">
        <f t="shared" si="64"/>
        <v>0.2</v>
      </c>
      <c r="Y116" s="2167">
        <f t="shared" si="64"/>
        <v>0.95000000000000007</v>
      </c>
      <c r="Z116" s="2167">
        <f t="shared" si="64"/>
        <v>2.29</v>
      </c>
      <c r="AA116" s="2167">
        <f t="shared" si="64"/>
        <v>1.6750000000000003</v>
      </c>
      <c r="AB116" s="2167" t="e">
        <f t="shared" si="64"/>
        <v>#REF!</v>
      </c>
      <c r="AC116" s="5079">
        <v>0</v>
      </c>
      <c r="AD116" s="5079">
        <v>0</v>
      </c>
      <c r="AE116" s="5079">
        <v>0</v>
      </c>
      <c r="AF116" s="5079">
        <v>0</v>
      </c>
      <c r="AG116" s="5079">
        <v>0</v>
      </c>
      <c r="AH116" s="5079">
        <v>0</v>
      </c>
      <c r="AI116" s="5005"/>
      <c r="AJ116" s="4995"/>
      <c r="AK116" s="4995"/>
      <c r="AL116" s="4995"/>
      <c r="AM116" s="4995"/>
      <c r="AN116" s="4995"/>
    </row>
    <row r="117" spans="1:40" ht="15" customHeight="1">
      <c r="A117"/>
      <c r="B117"/>
      <c r="C117"/>
      <c r="D117"/>
      <c r="E117" s="483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 s="2167">
        <f t="shared" si="64"/>
        <v>4.2</v>
      </c>
      <c r="W117" s="2167">
        <f t="shared" si="64"/>
        <v>2.35</v>
      </c>
      <c r="X117" s="2167">
        <f t="shared" si="64"/>
        <v>0.2</v>
      </c>
      <c r="Y117" s="2167">
        <f t="shared" si="64"/>
        <v>0.95000000000000007</v>
      </c>
      <c r="Z117" s="2167">
        <f t="shared" si="64"/>
        <v>2.29</v>
      </c>
      <c r="AA117" s="2167">
        <f t="shared" si="64"/>
        <v>1.6750000000000003</v>
      </c>
      <c r="AB117" s="2167" t="e">
        <f t="shared" si="64"/>
        <v>#REF!</v>
      </c>
      <c r="AC117" s="5079"/>
      <c r="AD117" s="5079"/>
      <c r="AE117" s="5079"/>
      <c r="AF117" s="5079"/>
      <c r="AG117" s="5079"/>
      <c r="AH117" s="5079"/>
      <c r="AI117" s="5005"/>
      <c r="AJ117" s="4995"/>
      <c r="AK117" s="4995"/>
      <c r="AL117" s="4995"/>
      <c r="AM117" s="4995"/>
      <c r="AN117" s="4995"/>
    </row>
    <row r="118" spans="1:40" ht="13">
      <c r="A118"/>
      <c r="B118"/>
      <c r="C118"/>
      <c r="D118"/>
      <c r="E118" s="483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 s="2167">
        <f t="shared" si="64"/>
        <v>4.2</v>
      </c>
      <c r="W118" s="2167">
        <f t="shared" si="64"/>
        <v>2.35</v>
      </c>
      <c r="X118" s="2167">
        <f t="shared" si="64"/>
        <v>0.2</v>
      </c>
      <c r="Y118" s="2167">
        <f t="shared" si="64"/>
        <v>0.95000000000000007</v>
      </c>
      <c r="Z118" s="2167">
        <f t="shared" si="64"/>
        <v>2.29</v>
      </c>
      <c r="AA118" s="2167">
        <f t="shared" si="64"/>
        <v>1.6750000000000003</v>
      </c>
      <c r="AB118" s="2167" t="e">
        <f t="shared" si="64"/>
        <v>#REF!</v>
      </c>
      <c r="AC118" s="5079"/>
      <c r="AD118" s="5079"/>
      <c r="AE118" s="5079"/>
      <c r="AF118" s="5079"/>
      <c r="AG118" s="5079"/>
      <c r="AH118" s="5079"/>
      <c r="AI118" s="5005"/>
      <c r="AJ118" s="4995"/>
      <c r="AK118" s="4995"/>
      <c r="AL118" s="4995"/>
      <c r="AM118" s="4995"/>
      <c r="AN118" s="4995"/>
    </row>
    <row r="119" spans="1:40" ht="13">
      <c r="A119"/>
      <c r="B119"/>
      <c r="C119"/>
      <c r="D119"/>
      <c r="E119" s="483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 s="2167">
        <f t="shared" si="64"/>
        <v>4.2</v>
      </c>
      <c r="W119" s="2167">
        <f t="shared" si="64"/>
        <v>2.35</v>
      </c>
      <c r="X119" s="2167">
        <f t="shared" si="64"/>
        <v>0.2</v>
      </c>
      <c r="Y119" s="2167">
        <f t="shared" si="64"/>
        <v>0.95000000000000007</v>
      </c>
      <c r="Z119" s="2167">
        <f t="shared" si="64"/>
        <v>2.29</v>
      </c>
      <c r="AA119" s="2167">
        <f t="shared" si="64"/>
        <v>1.6750000000000003</v>
      </c>
      <c r="AB119" s="2167" t="e">
        <f t="shared" si="64"/>
        <v>#REF!</v>
      </c>
      <c r="AC119" s="5079">
        <v>0</v>
      </c>
      <c r="AD119" s="5079">
        <v>0</v>
      </c>
      <c r="AE119" s="5079">
        <v>0</v>
      </c>
      <c r="AF119" s="5079">
        <v>0</v>
      </c>
      <c r="AG119" s="5079">
        <v>0</v>
      </c>
      <c r="AH119" s="5079">
        <v>0</v>
      </c>
      <c r="AI119" s="5005"/>
      <c r="AJ119" s="4995"/>
      <c r="AK119" s="4995"/>
      <c r="AL119" s="4995"/>
      <c r="AM119" s="4995"/>
      <c r="AN119" s="4995"/>
    </row>
    <row r="120" spans="1:40" ht="13">
      <c r="A120"/>
      <c r="B120"/>
      <c r="C120"/>
      <c r="D120"/>
      <c r="E120" s="483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 s="2167">
        <f t="shared" si="64"/>
        <v>4.2</v>
      </c>
      <c r="W120" s="2167">
        <f t="shared" si="64"/>
        <v>2.35</v>
      </c>
      <c r="X120" s="2167">
        <f t="shared" si="64"/>
        <v>0.2</v>
      </c>
      <c r="Y120" s="2167">
        <f t="shared" si="64"/>
        <v>0.95000000000000007</v>
      </c>
      <c r="Z120" s="2167">
        <f t="shared" si="64"/>
        <v>2.29</v>
      </c>
      <c r="AA120" s="2167">
        <f t="shared" si="64"/>
        <v>1.6750000000000003</v>
      </c>
      <c r="AB120" s="2167" t="e">
        <f t="shared" si="64"/>
        <v>#REF!</v>
      </c>
      <c r="AC120" s="5079">
        <v>0</v>
      </c>
      <c r="AD120" s="5079">
        <v>0</v>
      </c>
      <c r="AE120" s="5079">
        <v>0</v>
      </c>
      <c r="AF120" s="5079">
        <v>0</v>
      </c>
      <c r="AG120" s="5079">
        <v>0</v>
      </c>
      <c r="AH120" s="5079">
        <v>0</v>
      </c>
      <c r="AI120" s="5005"/>
      <c r="AJ120" s="4995"/>
      <c r="AK120" s="4995"/>
      <c r="AL120" s="4995"/>
      <c r="AM120" s="4995"/>
      <c r="AN120" s="4995"/>
    </row>
    <row r="121" spans="1:40" ht="13">
      <c r="A121"/>
      <c r="B121"/>
      <c r="C121"/>
      <c r="D121"/>
      <c r="E121" s="483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 s="2167">
        <f t="shared" si="64"/>
        <v>4.2</v>
      </c>
      <c r="W121" s="2167">
        <f t="shared" si="64"/>
        <v>2.35</v>
      </c>
      <c r="X121" s="2167">
        <f t="shared" si="64"/>
        <v>0.2</v>
      </c>
      <c r="Y121" s="2167">
        <f t="shared" si="64"/>
        <v>0.95000000000000007</v>
      </c>
      <c r="Z121" s="2167">
        <f t="shared" si="64"/>
        <v>2.29</v>
      </c>
      <c r="AA121" s="2167">
        <f t="shared" si="64"/>
        <v>1.6750000000000003</v>
      </c>
      <c r="AB121" s="2167" t="e">
        <f t="shared" si="64"/>
        <v>#REF!</v>
      </c>
      <c r="AC121" s="5079">
        <v>0</v>
      </c>
      <c r="AD121" s="5079">
        <v>0</v>
      </c>
      <c r="AE121" s="5079">
        <v>0</v>
      </c>
      <c r="AF121" s="5079">
        <v>0</v>
      </c>
      <c r="AG121" s="5079">
        <v>0</v>
      </c>
      <c r="AH121" s="5079">
        <v>0</v>
      </c>
      <c r="AI121" s="5005"/>
      <c r="AJ121" s="4995"/>
      <c r="AK121" s="4995"/>
      <c r="AL121" s="4995"/>
      <c r="AM121" s="4995"/>
      <c r="AN121" s="4995"/>
    </row>
    <row r="122" spans="1:40" ht="13">
      <c r="A122"/>
      <c r="B122"/>
      <c r="C122"/>
      <c r="D122"/>
      <c r="E122" s="483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 s="2167">
        <f>IF(V121&gt;0,V121,V120)</f>
        <v>4.2</v>
      </c>
      <c r="W122" s="2167">
        <f t="shared" ref="W122:AB122" si="65">IF(W121&gt;0,W121,W120)</f>
        <v>2.35</v>
      </c>
      <c r="X122" s="2167">
        <f t="shared" si="65"/>
        <v>0.2</v>
      </c>
      <c r="Y122" s="2167">
        <f t="shared" si="65"/>
        <v>0.95000000000000007</v>
      </c>
      <c r="Z122" s="2167">
        <f t="shared" si="65"/>
        <v>2.29</v>
      </c>
      <c r="AA122" s="2167">
        <f t="shared" si="65"/>
        <v>1.6750000000000003</v>
      </c>
      <c r="AB122" s="2167" t="e">
        <f t="shared" si="65"/>
        <v>#REF!</v>
      </c>
      <c r="AC122" s="5079"/>
      <c r="AD122" s="5079"/>
      <c r="AE122" s="5079"/>
      <c r="AF122" s="5079"/>
      <c r="AG122" s="5079"/>
      <c r="AH122" s="5079"/>
      <c r="AI122" s="5005"/>
      <c r="AJ122" s="4995"/>
      <c r="AK122" s="4995"/>
      <c r="AL122" s="4995"/>
      <c r="AM122" s="4995"/>
      <c r="AN122" s="4995"/>
    </row>
    <row r="123" spans="1:40" ht="13">
      <c r="A123"/>
      <c r="B123"/>
      <c r="C123"/>
      <c r="D123"/>
      <c r="E123" s="48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 s="5033"/>
      <c r="W123" s="5033"/>
      <c r="X123" s="5033"/>
      <c r="Y123" s="5033"/>
      <c r="Z123" s="5033"/>
      <c r="AA123" s="5033"/>
      <c r="AB123" s="5033"/>
      <c r="AC123" s="5079"/>
      <c r="AD123" s="5079"/>
      <c r="AE123" s="5079"/>
      <c r="AF123" s="5079"/>
      <c r="AG123" s="5079"/>
      <c r="AH123" s="5079"/>
      <c r="AI123" s="5005"/>
      <c r="AJ123" s="4995"/>
      <c r="AK123" s="4995"/>
      <c r="AL123" s="4995"/>
      <c r="AM123" s="4995"/>
      <c r="AN123" s="4995"/>
    </row>
    <row r="124" spans="1:40" ht="13">
      <c r="A124"/>
      <c r="B124"/>
      <c r="C124"/>
      <c r="D124"/>
      <c r="E124" s="483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 s="5033"/>
      <c r="W124" s="5033"/>
      <c r="X124" s="5033"/>
      <c r="Y124" s="5033"/>
      <c r="Z124" s="5033"/>
      <c r="AA124" s="5033"/>
      <c r="AB124" s="5033"/>
      <c r="AC124" s="5079">
        <v>0</v>
      </c>
      <c r="AD124" s="5079">
        <v>0</v>
      </c>
      <c r="AE124" s="5079">
        <v>0</v>
      </c>
      <c r="AF124" s="5079">
        <v>0</v>
      </c>
      <c r="AG124" s="5079">
        <v>0</v>
      </c>
      <c r="AH124" s="5079">
        <v>0</v>
      </c>
      <c r="AI124" s="5005"/>
      <c r="AN124" s="4995"/>
    </row>
    <row r="125" spans="1:40" ht="13">
      <c r="A125"/>
      <c r="B125"/>
      <c r="C125"/>
      <c r="D125"/>
      <c r="E125" s="483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 s="5033"/>
      <c r="W125" s="5033"/>
      <c r="X125" s="5033"/>
      <c r="Y125" s="5033"/>
      <c r="Z125" s="5033"/>
      <c r="AA125" s="5033"/>
      <c r="AB125" s="5033"/>
      <c r="AC125" s="5079"/>
      <c r="AD125" s="5079"/>
      <c r="AE125" s="5079"/>
      <c r="AF125" s="5079"/>
      <c r="AG125" s="5079"/>
      <c r="AH125" s="5079"/>
      <c r="AN125" s="4995"/>
    </row>
    <row r="126" spans="1:40" ht="13">
      <c r="A126"/>
      <c r="B126"/>
      <c r="C126"/>
      <c r="D126"/>
      <c r="E126" s="483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 s="5033"/>
      <c r="W126" s="5033"/>
      <c r="X126" s="5033"/>
      <c r="Y126" s="5033"/>
      <c r="Z126" s="5033"/>
      <c r="AA126" s="5033"/>
      <c r="AB126" s="5033"/>
      <c r="AN126" s="4995"/>
    </row>
    <row r="127" spans="1:40" ht="13">
      <c r="A127"/>
      <c r="B127"/>
      <c r="C127"/>
      <c r="D127"/>
      <c r="E127" s="483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 s="5033"/>
      <c r="W127" s="5033"/>
      <c r="X127" s="5033"/>
      <c r="Y127" s="5033"/>
      <c r="Z127" s="5033"/>
      <c r="AA127" s="5033"/>
      <c r="AB127" s="5033"/>
      <c r="AN127" s="4995"/>
    </row>
    <row r="128" spans="1:40" ht="13">
      <c r="A128"/>
      <c r="B128"/>
      <c r="C128"/>
      <c r="D128"/>
      <c r="E128" s="483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 s="5033"/>
      <c r="W128" s="5033"/>
      <c r="X128" s="5033"/>
      <c r="Y128" s="5033"/>
      <c r="Z128" s="5033"/>
      <c r="AA128" s="5033"/>
      <c r="AB128" s="5033"/>
      <c r="AN128" s="4995"/>
    </row>
    <row r="129" spans="1:40" ht="13">
      <c r="A129"/>
      <c r="B129"/>
      <c r="C129"/>
      <c r="D129"/>
      <c r="E129" s="483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 s="5033"/>
      <c r="W129" s="5033"/>
      <c r="X129" s="5033"/>
      <c r="Y129" s="5033"/>
      <c r="Z129" s="5033"/>
      <c r="AA129" s="5033"/>
      <c r="AB129" s="5033"/>
      <c r="AN129" s="4995"/>
    </row>
    <row r="130" spans="1:40" ht="13">
      <c r="A130"/>
      <c r="B130"/>
      <c r="C130"/>
      <c r="D130"/>
      <c r="E130" s="483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 s="5033"/>
      <c r="W130" s="5033"/>
      <c r="X130" s="5033"/>
      <c r="Y130" s="5033"/>
      <c r="Z130" s="5033"/>
      <c r="AA130" s="5033"/>
      <c r="AB130" s="5033"/>
      <c r="AN130" s="4995"/>
    </row>
    <row r="131" spans="1:40" ht="13">
      <c r="A131"/>
      <c r="B131"/>
      <c r="C131"/>
      <c r="D131"/>
      <c r="E131" s="483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 s="5033"/>
      <c r="W131" s="5033"/>
      <c r="X131" s="5033"/>
      <c r="Y131" s="5033"/>
      <c r="Z131" s="5033"/>
      <c r="AA131" s="5033"/>
      <c r="AB131" s="5033"/>
      <c r="AN131" s="4995"/>
    </row>
    <row r="132" spans="1:40" ht="13">
      <c r="A132"/>
      <c r="B132"/>
      <c r="C132"/>
      <c r="D132"/>
      <c r="E132" s="483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 s="5033"/>
      <c r="W132" s="5033"/>
      <c r="X132" s="5033"/>
      <c r="Y132" s="5033"/>
      <c r="Z132" s="5033"/>
      <c r="AA132" s="5033"/>
      <c r="AB132" s="5033"/>
      <c r="AN132" s="4995"/>
    </row>
    <row r="133" spans="1:40" ht="13">
      <c r="A133"/>
      <c r="B133"/>
      <c r="C133"/>
      <c r="D133"/>
      <c r="E133" s="48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 s="5033"/>
      <c r="W133" s="5033"/>
      <c r="X133" s="5033"/>
      <c r="Y133" s="5033"/>
      <c r="Z133" s="5033"/>
      <c r="AA133" s="5033"/>
      <c r="AB133" s="5033"/>
      <c r="AN133" s="4995"/>
    </row>
    <row r="134" spans="1:40" ht="13">
      <c r="A134"/>
      <c r="B134"/>
      <c r="C134"/>
      <c r="D134"/>
      <c r="E134" s="483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 s="5033"/>
      <c r="W134" s="5033"/>
      <c r="X134" s="5033"/>
      <c r="Y134" s="5033"/>
      <c r="Z134" s="5033"/>
      <c r="AA134" s="5033"/>
      <c r="AB134" s="5033"/>
      <c r="AN134" s="4995"/>
    </row>
    <row r="135" spans="1:40" ht="13">
      <c r="A135"/>
      <c r="B135"/>
      <c r="C135"/>
      <c r="D135"/>
      <c r="E135" s="483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 s="5033"/>
      <c r="W135" s="5033"/>
      <c r="X135" s="5033"/>
      <c r="Y135" s="5033"/>
      <c r="Z135" s="5033"/>
      <c r="AA135" s="5033"/>
      <c r="AB135" s="5033"/>
      <c r="AN135" s="4995"/>
    </row>
    <row r="136" spans="1:40" ht="13">
      <c r="A136"/>
      <c r="B136"/>
      <c r="C136"/>
      <c r="D136"/>
      <c r="E136" s="483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 s="5033"/>
      <c r="W136" s="5033"/>
      <c r="X136" s="5033"/>
      <c r="Y136" s="5033"/>
      <c r="Z136" s="5033"/>
      <c r="AA136" s="5033"/>
      <c r="AB136" s="5033"/>
      <c r="AN136" s="4995"/>
    </row>
    <row r="137" spans="1:40" ht="13">
      <c r="A137"/>
      <c r="B137"/>
      <c r="C137"/>
      <c r="D137"/>
      <c r="E137" s="483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 s="5033"/>
      <c r="W137" s="5033"/>
      <c r="X137" s="5033"/>
      <c r="Y137" s="5033"/>
      <c r="Z137" s="5033"/>
      <c r="AA137" s="5033"/>
      <c r="AB137" s="5033"/>
      <c r="AC137" s="5005"/>
      <c r="AD137" s="5005"/>
      <c r="AE137" s="5005"/>
      <c r="AF137" s="5005"/>
      <c r="AG137" s="5005"/>
      <c r="AH137" s="5005"/>
      <c r="AI137" s="5005"/>
      <c r="AJ137" s="5005"/>
      <c r="AK137" s="5005"/>
      <c r="AL137" s="5005"/>
      <c r="AM137" s="5005"/>
      <c r="AN137" s="4995"/>
    </row>
    <row r="138" spans="1:40" s="5116" customFormat="1" ht="13">
      <c r="A138"/>
      <c r="B138"/>
      <c r="C138"/>
      <c r="D138"/>
      <c r="E138" s="483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 s="5033"/>
      <c r="W138" s="5033"/>
      <c r="X138" s="5033"/>
      <c r="Y138" s="5033"/>
      <c r="Z138" s="5033"/>
      <c r="AA138" s="5033"/>
      <c r="AB138" s="5033"/>
      <c r="AC138" s="5006"/>
      <c r="AD138" s="5006"/>
      <c r="AE138" s="5006"/>
      <c r="AF138" s="5006"/>
      <c r="AG138" s="5006"/>
      <c r="AH138" s="5006"/>
      <c r="AI138" s="5006"/>
      <c r="AJ138" s="5006"/>
      <c r="AK138" s="5006"/>
      <c r="AL138" s="5006"/>
      <c r="AM138" s="5006"/>
    </row>
    <row r="139" spans="1:40" s="5116" customFormat="1" ht="13">
      <c r="A139"/>
      <c r="B139"/>
      <c r="C139"/>
      <c r="D139"/>
      <c r="E139" s="483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 s="5033"/>
      <c r="W139" s="5033"/>
      <c r="X139" s="5033"/>
      <c r="Y139" s="5033"/>
      <c r="Z139" s="5033"/>
      <c r="AA139" s="5033"/>
      <c r="AB139" s="5033"/>
      <c r="AC139" s="5006"/>
      <c r="AD139" s="5006"/>
      <c r="AE139" s="5006"/>
      <c r="AF139" s="5006"/>
      <c r="AG139" s="5006"/>
      <c r="AH139" s="5006"/>
      <c r="AI139" s="5006"/>
      <c r="AJ139" s="5006"/>
      <c r="AK139" s="5006"/>
      <c r="AL139" s="5006"/>
      <c r="AM139" s="5006"/>
    </row>
    <row r="140" spans="1:40" s="5116" customFormat="1" ht="13">
      <c r="A140"/>
      <c r="B140"/>
      <c r="C140"/>
      <c r="D140"/>
      <c r="E140" s="483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 s="5033"/>
      <c r="W140" s="5033"/>
      <c r="X140" s="5033"/>
      <c r="Y140" s="5033"/>
      <c r="Z140" s="5033"/>
      <c r="AA140" s="5033"/>
      <c r="AB140" s="5033"/>
      <c r="AC140" s="5006"/>
      <c r="AD140" s="5006"/>
      <c r="AE140" s="5006"/>
      <c r="AF140" s="5006"/>
      <c r="AG140" s="5006"/>
      <c r="AH140" s="5006"/>
      <c r="AI140" s="5006"/>
      <c r="AJ140" s="5006"/>
      <c r="AK140" s="5006"/>
      <c r="AL140" s="5006"/>
      <c r="AM140" s="5006"/>
    </row>
    <row r="141" spans="1:40" s="5116" customFormat="1" ht="13">
      <c r="A141"/>
      <c r="B141"/>
      <c r="C141"/>
      <c r="D141"/>
      <c r="E141" s="483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 s="5033"/>
      <c r="W141" s="5033"/>
      <c r="X141" s="5033"/>
      <c r="Y141" s="5033"/>
      <c r="Z141" s="5033"/>
      <c r="AA141" s="5033"/>
      <c r="AB141" s="5033"/>
      <c r="AC141" s="5006"/>
      <c r="AD141" s="5006"/>
      <c r="AE141" s="5006"/>
      <c r="AF141" s="5006"/>
      <c r="AG141" s="5006"/>
      <c r="AH141" s="5006"/>
      <c r="AI141" s="5006"/>
      <c r="AJ141" s="5006"/>
      <c r="AK141" s="5006"/>
      <c r="AL141" s="5006"/>
      <c r="AM141" s="5006"/>
    </row>
    <row r="142" spans="1:40" s="5116" customFormat="1" ht="13">
      <c r="B142"/>
      <c r="C142"/>
      <c r="D142"/>
      <c r="E142" s="483"/>
      <c r="F142"/>
      <c r="G142" s="1562"/>
      <c r="H142" s="1562"/>
      <c r="I142" s="1562"/>
      <c r="J142" s="1562"/>
      <c r="K142" s="1562"/>
      <c r="L142" s="1562"/>
      <c r="M142" s="1562"/>
      <c r="N142"/>
      <c r="O142"/>
      <c r="P142" s="1562"/>
      <c r="Q142" s="1562"/>
      <c r="R142"/>
      <c r="S142"/>
      <c r="T142" s="1563"/>
      <c r="U142" s="1563"/>
      <c r="V142" s="5033"/>
      <c r="W142" s="5033"/>
      <c r="X142" s="5033"/>
      <c r="Y142" s="5033"/>
      <c r="Z142" s="5033"/>
      <c r="AA142" s="5033"/>
      <c r="AB142" s="5033"/>
      <c r="AC142" s="5006"/>
      <c r="AD142" s="5006"/>
      <c r="AE142" s="5006"/>
      <c r="AF142" s="5006"/>
      <c r="AG142" s="5006"/>
      <c r="AH142" s="5006"/>
      <c r="AI142" s="5006"/>
      <c r="AJ142" s="5006"/>
      <c r="AK142" s="5006"/>
      <c r="AL142" s="5006"/>
      <c r="AM142" s="5006"/>
    </row>
    <row r="143" spans="1:40" s="5116" customFormat="1" ht="13">
      <c r="B143"/>
      <c r="C143"/>
      <c r="D143"/>
      <c r="E143" s="483"/>
      <c r="F143"/>
      <c r="G143" s="1562"/>
      <c r="H143" s="1562"/>
      <c r="I143" s="1562"/>
      <c r="J143" s="1562"/>
      <c r="K143" s="1562"/>
      <c r="L143" s="1562"/>
      <c r="M143" s="1562"/>
      <c r="N143"/>
      <c r="O143"/>
      <c r="P143" s="1562"/>
      <c r="Q143" s="1562"/>
      <c r="R143"/>
      <c r="S143"/>
      <c r="T143" s="1563"/>
      <c r="U143" s="1563"/>
      <c r="V143" s="5033"/>
      <c r="W143" s="5033"/>
      <c r="X143" s="5033"/>
      <c r="Y143" s="5033"/>
      <c r="Z143" s="5033"/>
      <c r="AA143" s="5033"/>
      <c r="AB143" s="5033"/>
      <c r="AC143" s="5006"/>
      <c r="AD143" s="5006"/>
      <c r="AE143" s="5006"/>
      <c r="AF143" s="5006"/>
      <c r="AG143" s="5006"/>
      <c r="AH143" s="5006"/>
      <c r="AI143" s="5006"/>
      <c r="AJ143" s="5006"/>
      <c r="AK143" s="5006"/>
      <c r="AL143" s="5006"/>
      <c r="AM143" s="5006"/>
    </row>
    <row r="144" spans="1:40" s="5116" customFormat="1" ht="13">
      <c r="B144"/>
      <c r="C144"/>
      <c r="D144"/>
      <c r="E144" s="483"/>
      <c r="F144"/>
      <c r="G144" s="1562"/>
      <c r="H144" s="1562"/>
      <c r="I144" s="1562"/>
      <c r="J144" s="1562"/>
      <c r="K144" s="1562"/>
      <c r="L144" s="1562"/>
      <c r="M144" s="1562"/>
      <c r="N144"/>
      <c r="O144"/>
      <c r="P144" s="1562"/>
      <c r="Q144" s="1562"/>
      <c r="R144"/>
      <c r="S144"/>
      <c r="T144" s="1563"/>
      <c r="U144" s="1563"/>
      <c r="V144" s="5033"/>
      <c r="W144" s="5033"/>
      <c r="X144" s="5033"/>
      <c r="Y144" s="5033"/>
      <c r="Z144" s="5033"/>
      <c r="AA144" s="5033"/>
      <c r="AB144" s="5033"/>
      <c r="AC144" s="5006"/>
      <c r="AD144" s="5006"/>
      <c r="AE144" s="5006"/>
      <c r="AF144" s="5006"/>
      <c r="AG144" s="5006"/>
      <c r="AH144" s="5006"/>
      <c r="AI144" s="5006"/>
      <c r="AJ144" s="5006"/>
      <c r="AK144" s="5006"/>
      <c r="AL144" s="5006"/>
      <c r="AM144" s="5006"/>
    </row>
    <row r="145" spans="2:39" s="5116" customFormat="1" ht="13">
      <c r="B145"/>
      <c r="C145"/>
      <c r="D145"/>
      <c r="E145" s="483"/>
      <c r="F145"/>
      <c r="G145" s="1562"/>
      <c r="H145" s="1562"/>
      <c r="I145" s="1562"/>
      <c r="J145" s="1562"/>
      <c r="K145" s="1562"/>
      <c r="L145" s="1562"/>
      <c r="M145" s="1562"/>
      <c r="N145"/>
      <c r="O145"/>
      <c r="P145" s="1562"/>
      <c r="Q145" s="1562"/>
      <c r="R145"/>
      <c r="S145"/>
      <c r="T145" s="1563"/>
      <c r="U145" s="1563"/>
      <c r="V145" s="5033"/>
      <c r="W145" s="5033"/>
      <c r="X145" s="5033"/>
      <c r="Y145" s="5033"/>
      <c r="Z145" s="5033"/>
      <c r="AA145" s="5033"/>
      <c r="AB145" s="5033"/>
      <c r="AC145" s="5006"/>
      <c r="AD145" s="5006"/>
      <c r="AE145" s="5006"/>
      <c r="AF145" s="5006"/>
      <c r="AG145" s="5006"/>
      <c r="AH145" s="5006"/>
      <c r="AI145" s="5006"/>
      <c r="AJ145" s="5006"/>
      <c r="AK145" s="5006"/>
      <c r="AL145" s="5006"/>
      <c r="AM145" s="5006"/>
    </row>
    <row r="146" spans="2:39" s="5116" customFormat="1" ht="13">
      <c r="B146"/>
      <c r="C146"/>
      <c r="D146"/>
      <c r="E146" s="483"/>
      <c r="F146"/>
      <c r="G146" s="1562"/>
      <c r="H146" s="1562"/>
      <c r="I146" s="1562"/>
      <c r="J146" s="1562"/>
      <c r="K146" s="1562"/>
      <c r="L146" s="1562"/>
      <c r="M146" s="1562"/>
      <c r="N146"/>
      <c r="O146"/>
      <c r="P146" s="1562"/>
      <c r="Q146" s="1562"/>
      <c r="R146"/>
      <c r="S146"/>
      <c r="T146" s="1563"/>
      <c r="U146" s="1563"/>
      <c r="V146" s="1562"/>
      <c r="W146" s="1562"/>
      <c r="X146" s="1562"/>
      <c r="Y146" s="1562"/>
      <c r="Z146" s="1562"/>
      <c r="AA146" s="1562"/>
      <c r="AB146" s="1562"/>
      <c r="AC146" s="5006"/>
      <c r="AD146" s="5006"/>
      <c r="AE146" s="5006"/>
      <c r="AF146" s="5006"/>
      <c r="AG146" s="5006"/>
      <c r="AH146" s="5006"/>
      <c r="AI146" s="5006"/>
      <c r="AJ146" s="5006"/>
      <c r="AK146" s="5006"/>
      <c r="AL146" s="5006"/>
      <c r="AM146" s="5006"/>
    </row>
    <row r="147" spans="2:39" s="5116" customFormat="1" ht="13">
      <c r="B147"/>
      <c r="C147"/>
      <c r="D147"/>
      <c r="E147" s="483"/>
      <c r="F147"/>
      <c r="G147" s="1562"/>
      <c r="H147" s="1562"/>
      <c r="I147" s="1562"/>
      <c r="J147" s="1562"/>
      <c r="K147" s="1562"/>
      <c r="L147" s="1562"/>
      <c r="M147" s="1562"/>
      <c r="N147"/>
      <c r="O147"/>
      <c r="P147" s="1562"/>
      <c r="Q147" s="1562"/>
      <c r="R147"/>
      <c r="S147"/>
      <c r="T147" s="1563"/>
      <c r="U147" s="1563"/>
      <c r="V147" s="1562"/>
      <c r="W147" s="1562"/>
      <c r="X147" s="1562"/>
      <c r="Y147" s="1562"/>
      <c r="Z147" s="1562"/>
      <c r="AA147" s="1562"/>
      <c r="AB147" s="1562"/>
      <c r="AC147" s="5006"/>
      <c r="AD147" s="5006"/>
      <c r="AE147" s="5006"/>
      <c r="AF147" s="5006"/>
      <c r="AG147" s="5006"/>
      <c r="AH147" s="5006"/>
      <c r="AI147" s="5006"/>
      <c r="AJ147" s="5006"/>
      <c r="AK147" s="5006"/>
      <c r="AL147" s="5006"/>
      <c r="AM147" s="5006"/>
    </row>
    <row r="148" spans="2:39" s="5116" customFormat="1" ht="13">
      <c r="B148"/>
      <c r="C148"/>
      <c r="D148"/>
      <c r="E148" s="483"/>
      <c r="F148"/>
      <c r="G148" s="1562"/>
      <c r="H148" s="1562"/>
      <c r="I148" s="1562"/>
      <c r="J148" s="1562"/>
      <c r="K148" s="1562"/>
      <c r="L148" s="1562"/>
      <c r="M148" s="1562"/>
      <c r="N148"/>
      <c r="O148"/>
      <c r="P148" s="1562"/>
      <c r="Q148" s="1562"/>
      <c r="R148"/>
      <c r="S148"/>
      <c r="T148" s="1563"/>
      <c r="U148" s="1563"/>
      <c r="V148" s="1562"/>
      <c r="W148" s="1562"/>
      <c r="X148" s="1562"/>
      <c r="Y148" s="1562"/>
      <c r="Z148" s="1562"/>
      <c r="AA148" s="1562"/>
      <c r="AB148" s="1562"/>
      <c r="AC148" s="5006"/>
      <c r="AD148" s="5006"/>
      <c r="AE148" s="5006"/>
      <c r="AF148" s="5006"/>
      <c r="AG148" s="5006"/>
      <c r="AH148" s="5006"/>
      <c r="AI148" s="5006"/>
      <c r="AJ148" s="5006"/>
      <c r="AK148" s="5006"/>
      <c r="AL148" s="5006"/>
      <c r="AM148" s="5006"/>
    </row>
    <row r="149" spans="2:39" s="5116" customFormat="1" ht="13">
      <c r="B149"/>
      <c r="C149"/>
      <c r="D149"/>
      <c r="E149" s="483"/>
      <c r="F149"/>
      <c r="G149" s="1562"/>
      <c r="H149" s="1562"/>
      <c r="I149" s="1562"/>
      <c r="J149" s="1562"/>
      <c r="K149" s="1562"/>
      <c r="L149" s="1562"/>
      <c r="M149" s="1562"/>
      <c r="N149"/>
      <c r="O149"/>
      <c r="P149" s="1562"/>
      <c r="Q149" s="1562"/>
      <c r="R149"/>
      <c r="S149"/>
      <c r="T149" s="1563"/>
      <c r="U149" s="1563"/>
      <c r="V149" s="1562"/>
      <c r="W149" s="1562"/>
      <c r="X149" s="1562"/>
      <c r="Y149" s="1562"/>
      <c r="Z149" s="1562"/>
      <c r="AA149" s="1562"/>
      <c r="AB149" s="1562"/>
      <c r="AC149" s="5006"/>
      <c r="AD149" s="5006"/>
      <c r="AE149" s="5006"/>
      <c r="AF149" s="5006"/>
      <c r="AG149" s="5006"/>
      <c r="AH149" s="5006"/>
      <c r="AI149" s="5006"/>
      <c r="AJ149" s="5006"/>
      <c r="AK149" s="5006"/>
      <c r="AL149" s="5006"/>
      <c r="AM149" s="5006"/>
    </row>
    <row r="150" spans="2:39" s="5116" customFormat="1" ht="13">
      <c r="B150"/>
      <c r="C150"/>
      <c r="D150"/>
      <c r="E150" s="483"/>
      <c r="F150"/>
      <c r="G150" s="1562"/>
      <c r="H150" s="1562"/>
      <c r="I150" s="1562"/>
      <c r="J150" s="1562"/>
      <c r="K150" s="1562"/>
      <c r="L150" s="1562"/>
      <c r="M150" s="1562"/>
      <c r="N150"/>
      <c r="O150"/>
      <c r="P150" s="1562"/>
      <c r="Q150" s="1562"/>
      <c r="R150"/>
      <c r="S150"/>
      <c r="T150" s="1563"/>
      <c r="U150" s="1563"/>
      <c r="V150" s="1562"/>
      <c r="W150" s="1562"/>
      <c r="X150" s="1562"/>
      <c r="Y150" s="1562"/>
      <c r="Z150" s="1562"/>
      <c r="AA150" s="1562"/>
      <c r="AB150" s="1562"/>
      <c r="AC150" s="5006"/>
      <c r="AD150" s="5006"/>
      <c r="AE150" s="5006"/>
      <c r="AF150" s="5006"/>
      <c r="AG150" s="5006"/>
      <c r="AH150" s="5006"/>
      <c r="AI150" s="5006"/>
      <c r="AJ150" s="5006"/>
      <c r="AK150" s="5006"/>
      <c r="AL150" s="5006"/>
      <c r="AM150" s="5006"/>
    </row>
    <row r="151" spans="2:39" s="5116" customFormat="1" ht="13">
      <c r="B151"/>
      <c r="C151"/>
      <c r="D151"/>
      <c r="E151" s="483"/>
      <c r="F151"/>
      <c r="G151" s="1562"/>
      <c r="H151" s="1562"/>
      <c r="I151" s="1562"/>
      <c r="J151" s="1562"/>
      <c r="K151" s="1562"/>
      <c r="L151" s="1562"/>
      <c r="M151" s="1562"/>
      <c r="N151"/>
      <c r="O151"/>
      <c r="P151" s="1562"/>
      <c r="Q151" s="1562"/>
      <c r="R151"/>
      <c r="S151"/>
      <c r="T151" s="1563"/>
      <c r="U151" s="1563"/>
      <c r="V151" s="1562"/>
      <c r="W151" s="1562"/>
      <c r="X151" s="1562"/>
      <c r="Y151" s="1562"/>
      <c r="Z151" s="1562"/>
      <c r="AA151" s="1562"/>
      <c r="AB151" s="1562"/>
      <c r="AC151" s="5006"/>
      <c r="AD151" s="5006"/>
      <c r="AE151" s="5006"/>
      <c r="AF151" s="5006"/>
      <c r="AG151" s="5006"/>
      <c r="AH151" s="5006"/>
      <c r="AI151" s="5006"/>
      <c r="AJ151" s="5006"/>
      <c r="AK151" s="5006"/>
      <c r="AL151" s="5006"/>
      <c r="AM151" s="5006"/>
    </row>
    <row r="152" spans="2:39" s="5116" customFormat="1" ht="13">
      <c r="B152"/>
      <c r="C152"/>
      <c r="D152"/>
      <c r="E152" s="483"/>
      <c r="F152"/>
      <c r="G152" s="1562"/>
      <c r="H152" s="1562"/>
      <c r="I152" s="1562"/>
      <c r="J152" s="1562"/>
      <c r="K152" s="1562"/>
      <c r="L152" s="1562"/>
      <c r="M152" s="1562"/>
      <c r="N152"/>
      <c r="O152"/>
      <c r="P152" s="1562"/>
      <c r="Q152" s="1562"/>
      <c r="R152"/>
      <c r="S152"/>
      <c r="T152" s="1563"/>
      <c r="U152" s="1563"/>
      <c r="V152" s="1562"/>
      <c r="W152" s="1562"/>
      <c r="X152" s="1562"/>
      <c r="Y152" s="1562"/>
      <c r="Z152" s="1562"/>
      <c r="AA152" s="1562"/>
      <c r="AB152" s="1562"/>
      <c r="AC152" s="5006"/>
      <c r="AD152" s="5006"/>
      <c r="AE152" s="5006"/>
      <c r="AF152" s="5006"/>
      <c r="AG152" s="5006"/>
      <c r="AH152" s="5006"/>
      <c r="AI152" s="5006"/>
      <c r="AJ152" s="5006"/>
      <c r="AK152" s="5006"/>
      <c r="AL152" s="5006"/>
      <c r="AM152" s="5006"/>
    </row>
    <row r="153" spans="2:39" s="5116" customFormat="1" ht="13">
      <c r="B153"/>
      <c r="C153"/>
      <c r="D153"/>
      <c r="E153" s="483"/>
      <c r="F153"/>
      <c r="G153" s="1562"/>
      <c r="H153" s="1562"/>
      <c r="I153" s="1562"/>
      <c r="J153" s="1562"/>
      <c r="K153" s="1562"/>
      <c r="L153" s="1562"/>
      <c r="M153" s="1562"/>
      <c r="N153"/>
      <c r="O153"/>
      <c r="P153" s="1562"/>
      <c r="Q153" s="1562"/>
      <c r="R153"/>
      <c r="S153"/>
      <c r="T153" s="1563"/>
      <c r="U153" s="1563"/>
      <c r="V153" s="1562"/>
      <c r="W153" s="1562"/>
      <c r="X153" s="1562"/>
      <c r="Y153" s="1562"/>
      <c r="Z153" s="1562"/>
      <c r="AA153" s="1562"/>
      <c r="AB153" s="1562"/>
      <c r="AC153" s="5006"/>
      <c r="AD153" s="5006"/>
      <c r="AE153" s="5006"/>
      <c r="AF153" s="5006"/>
      <c r="AG153" s="5006"/>
      <c r="AH153" s="5006"/>
      <c r="AI153" s="5006"/>
      <c r="AJ153" s="5006"/>
      <c r="AK153" s="5006"/>
      <c r="AL153" s="5006"/>
      <c r="AM153" s="5006"/>
    </row>
    <row r="154" spans="2:39" s="5116" customFormat="1" ht="13">
      <c r="B154"/>
      <c r="C154"/>
      <c r="D154"/>
      <c r="E154" s="483"/>
      <c r="F154"/>
      <c r="G154" s="1562"/>
      <c r="H154" s="1562"/>
      <c r="I154" s="1562"/>
      <c r="J154" s="1562"/>
      <c r="K154" s="1562"/>
      <c r="L154" s="1562"/>
      <c r="M154" s="1562"/>
      <c r="N154"/>
      <c r="O154"/>
      <c r="P154" s="1562"/>
      <c r="Q154" s="1562"/>
      <c r="R154"/>
      <c r="S154"/>
      <c r="T154" s="1563"/>
      <c r="U154" s="1563"/>
      <c r="V154" s="1562"/>
      <c r="W154" s="1562"/>
      <c r="X154" s="1562"/>
      <c r="Y154" s="1562"/>
      <c r="Z154" s="1562"/>
      <c r="AA154" s="1562"/>
      <c r="AB154" s="1562"/>
      <c r="AC154" s="5006"/>
      <c r="AD154" s="5006"/>
      <c r="AE154" s="5006"/>
      <c r="AF154" s="5006"/>
      <c r="AG154" s="5006"/>
      <c r="AH154" s="5006"/>
      <c r="AI154" s="5006"/>
      <c r="AJ154" s="5006"/>
      <c r="AK154" s="5006"/>
      <c r="AL154" s="5006"/>
      <c r="AM154" s="5006"/>
    </row>
    <row r="155" spans="2:39" s="5116" customFormat="1" ht="13">
      <c r="B155"/>
      <c r="C155"/>
      <c r="D155"/>
      <c r="E155" s="483"/>
      <c r="F155"/>
      <c r="G155" s="1562"/>
      <c r="H155" s="1562"/>
      <c r="I155" s="1562"/>
      <c r="J155" s="1562"/>
      <c r="K155" s="1562"/>
      <c r="L155" s="1562"/>
      <c r="M155" s="1562"/>
      <c r="N155"/>
      <c r="O155"/>
      <c r="P155" s="1562"/>
      <c r="Q155" s="1562"/>
      <c r="R155"/>
      <c r="S155"/>
      <c r="T155" s="1563"/>
      <c r="U155" s="1563"/>
      <c r="V155" s="1562"/>
      <c r="W155" s="1562"/>
      <c r="X155" s="1562"/>
      <c r="Y155" s="1562"/>
      <c r="Z155" s="1562"/>
      <c r="AA155" s="1562"/>
      <c r="AB155" s="1562"/>
      <c r="AC155" s="5006"/>
      <c r="AD155" s="5006"/>
      <c r="AE155" s="5006"/>
      <c r="AF155" s="5006"/>
      <c r="AG155" s="5006"/>
      <c r="AH155" s="5006"/>
      <c r="AI155" s="5006"/>
      <c r="AJ155" s="5006"/>
      <c r="AK155" s="5006"/>
      <c r="AL155" s="5006"/>
      <c r="AM155" s="5006"/>
    </row>
    <row r="156" spans="2:39" s="5116" customFormat="1" ht="13">
      <c r="B156"/>
      <c r="C156"/>
      <c r="D156"/>
      <c r="E156" s="483"/>
      <c r="F156"/>
      <c r="G156" s="1562"/>
      <c r="H156" s="1562"/>
      <c r="I156" s="1562"/>
      <c r="J156" s="1562"/>
      <c r="K156" s="1562"/>
      <c r="L156" s="1562"/>
      <c r="M156" s="1562"/>
      <c r="N156"/>
      <c r="O156"/>
      <c r="P156" s="1562"/>
      <c r="Q156" s="1562"/>
      <c r="R156"/>
      <c r="S156"/>
      <c r="T156" s="1563"/>
      <c r="U156" s="1563"/>
      <c r="V156" s="1562"/>
      <c r="W156" s="1562"/>
      <c r="X156" s="1562"/>
      <c r="Y156" s="1562"/>
      <c r="Z156" s="1562"/>
      <c r="AA156" s="1562"/>
      <c r="AB156" s="1562"/>
      <c r="AC156" s="5006"/>
      <c r="AD156" s="5006"/>
      <c r="AE156" s="5006"/>
      <c r="AF156" s="5006"/>
      <c r="AG156" s="5006"/>
      <c r="AH156" s="5006"/>
      <c r="AI156" s="5006"/>
      <c r="AJ156" s="5006"/>
      <c r="AK156" s="5006"/>
      <c r="AL156" s="5006"/>
      <c r="AM156" s="5006"/>
    </row>
    <row r="157" spans="2:39" s="5116" customFormat="1" ht="13">
      <c r="B157"/>
      <c r="C157"/>
      <c r="D157"/>
      <c r="E157" s="483"/>
      <c r="F157"/>
      <c r="G157" s="1562"/>
      <c r="H157" s="1562"/>
      <c r="I157" s="1562"/>
      <c r="J157" s="1562"/>
      <c r="K157" s="1562"/>
      <c r="L157" s="1562"/>
      <c r="M157" s="1562"/>
      <c r="N157"/>
      <c r="O157"/>
      <c r="P157" s="1562"/>
      <c r="Q157" s="1562"/>
      <c r="R157"/>
      <c r="S157"/>
      <c r="T157" s="1563"/>
      <c r="U157" s="1563"/>
      <c r="V157" s="1562"/>
      <c r="W157" s="1562"/>
      <c r="X157" s="1562"/>
      <c r="Y157" s="1562"/>
      <c r="Z157" s="1562"/>
      <c r="AA157" s="1562"/>
      <c r="AB157" s="1562"/>
      <c r="AC157" s="5006"/>
      <c r="AD157" s="5006"/>
      <c r="AE157" s="5006"/>
      <c r="AF157" s="5006"/>
      <c r="AG157" s="5006"/>
      <c r="AH157" s="5006"/>
      <c r="AI157" s="5006"/>
      <c r="AJ157" s="5006"/>
      <c r="AK157" s="5006"/>
      <c r="AL157" s="5006"/>
      <c r="AM157" s="5006"/>
    </row>
    <row r="158" spans="2:39" s="5116" customFormat="1" ht="13">
      <c r="B158"/>
      <c r="C158"/>
      <c r="D158"/>
      <c r="E158" s="483"/>
      <c r="F158"/>
      <c r="G158" s="1562"/>
      <c r="H158" s="1562"/>
      <c r="I158" s="1562"/>
      <c r="J158" s="1562"/>
      <c r="K158" s="1562"/>
      <c r="L158" s="1562"/>
      <c r="M158" s="1562"/>
      <c r="N158"/>
      <c r="O158"/>
      <c r="P158" s="1562"/>
      <c r="Q158" s="1562"/>
      <c r="R158"/>
      <c r="S158"/>
      <c r="T158" s="1563"/>
      <c r="U158" s="1563"/>
      <c r="V158" s="1562"/>
      <c r="W158" s="1562"/>
      <c r="X158" s="1562"/>
      <c r="Y158" s="1562"/>
      <c r="Z158" s="1562"/>
      <c r="AA158" s="1562"/>
      <c r="AB158" s="1562"/>
      <c r="AC158" s="5006"/>
      <c r="AD158" s="5006"/>
      <c r="AE158" s="5006"/>
      <c r="AF158" s="5006"/>
      <c r="AG158" s="5006"/>
      <c r="AH158" s="5006"/>
      <c r="AI158" s="5006"/>
      <c r="AJ158" s="5006"/>
      <c r="AK158" s="5006"/>
      <c r="AL158" s="5006"/>
      <c r="AM158" s="5006"/>
    </row>
    <row r="159" spans="2:39" s="5116" customFormat="1" ht="13">
      <c r="B159"/>
      <c r="C159"/>
      <c r="D159"/>
      <c r="E159" s="483"/>
      <c r="F159"/>
      <c r="G159" s="1562"/>
      <c r="H159" s="1562"/>
      <c r="I159" s="1562"/>
      <c r="J159" s="1562"/>
      <c r="K159" s="1562"/>
      <c r="L159" s="1562"/>
      <c r="M159" s="1562"/>
      <c r="N159"/>
      <c r="O159"/>
      <c r="P159" s="1562"/>
      <c r="Q159" s="1562"/>
      <c r="R159"/>
      <c r="S159"/>
      <c r="T159" s="1563"/>
      <c r="U159" s="1563"/>
      <c r="V159" s="1562"/>
      <c r="W159" s="1562"/>
      <c r="X159" s="1562"/>
      <c r="Y159" s="1562"/>
      <c r="Z159" s="1562"/>
      <c r="AA159" s="1562"/>
      <c r="AB159" s="1562"/>
      <c r="AC159" s="5006"/>
      <c r="AD159" s="5006"/>
      <c r="AE159" s="5006"/>
      <c r="AF159" s="5006"/>
      <c r="AG159" s="5006"/>
      <c r="AH159" s="5006"/>
      <c r="AI159" s="5006"/>
      <c r="AJ159" s="5006"/>
      <c r="AK159" s="5006"/>
      <c r="AL159" s="5006"/>
      <c r="AM159" s="5006"/>
    </row>
    <row r="160" spans="2:39" s="5116" customFormat="1" ht="13">
      <c r="B160"/>
      <c r="C160"/>
      <c r="D160"/>
      <c r="E160" s="483"/>
      <c r="F160"/>
      <c r="G160" s="1562"/>
      <c r="H160" s="1562"/>
      <c r="I160" s="1562"/>
      <c r="J160" s="1562"/>
      <c r="K160" s="1562"/>
      <c r="L160" s="1562"/>
      <c r="M160" s="1562"/>
      <c r="N160"/>
      <c r="O160"/>
      <c r="P160" s="1562"/>
      <c r="Q160" s="1562"/>
      <c r="R160"/>
      <c r="S160"/>
      <c r="T160" s="1563"/>
      <c r="U160" s="1563"/>
      <c r="V160" s="1562"/>
      <c r="W160" s="1562"/>
      <c r="X160" s="1562"/>
      <c r="Y160" s="1562"/>
      <c r="Z160" s="1562"/>
      <c r="AA160" s="1562"/>
      <c r="AB160" s="1562"/>
      <c r="AC160" s="5006"/>
      <c r="AD160" s="5006"/>
      <c r="AE160" s="5006"/>
      <c r="AF160" s="5006"/>
      <c r="AG160" s="5006"/>
      <c r="AH160" s="5006"/>
      <c r="AI160" s="5006"/>
      <c r="AJ160" s="5006"/>
      <c r="AK160" s="5006"/>
      <c r="AL160" s="5006"/>
      <c r="AM160" s="5006"/>
    </row>
    <row r="161" spans="2:39" s="5116" customFormat="1" ht="13">
      <c r="B161"/>
      <c r="C161"/>
      <c r="D161"/>
      <c r="E161" s="483"/>
      <c r="F161"/>
      <c r="G161" s="1562"/>
      <c r="H161" s="1562"/>
      <c r="I161" s="1562"/>
      <c r="J161" s="1562"/>
      <c r="K161" s="1562"/>
      <c r="L161" s="1562"/>
      <c r="M161" s="1562"/>
      <c r="N161"/>
      <c r="O161"/>
      <c r="P161" s="1562"/>
      <c r="Q161" s="1562"/>
      <c r="R161"/>
      <c r="S161"/>
      <c r="T161" s="1563"/>
      <c r="U161" s="1563"/>
      <c r="V161" s="1562"/>
      <c r="W161" s="1562"/>
      <c r="X161" s="1562"/>
      <c r="Y161" s="1562"/>
      <c r="Z161" s="1562"/>
      <c r="AA161" s="1562"/>
      <c r="AB161" s="1562"/>
      <c r="AC161" s="5006"/>
      <c r="AD161" s="5006"/>
      <c r="AE161" s="5006"/>
      <c r="AF161" s="5006"/>
      <c r="AG161" s="5006"/>
      <c r="AH161" s="5006"/>
      <c r="AI161" s="5006"/>
      <c r="AJ161" s="5006"/>
      <c r="AK161" s="5006"/>
      <c r="AL161" s="5006"/>
      <c r="AM161" s="5006"/>
    </row>
    <row r="162" spans="2:39" s="5116" customFormat="1" ht="13">
      <c r="B162"/>
      <c r="C162"/>
      <c r="D162"/>
      <c r="E162" s="483"/>
      <c r="F162"/>
      <c r="G162" s="1562"/>
      <c r="H162" s="1562"/>
      <c r="I162" s="1562"/>
      <c r="J162" s="1562"/>
      <c r="K162" s="1562"/>
      <c r="L162" s="1562"/>
      <c r="M162" s="1562"/>
      <c r="N162"/>
      <c r="O162"/>
      <c r="P162" s="1562"/>
      <c r="Q162" s="1562"/>
      <c r="R162"/>
      <c r="S162"/>
      <c r="T162" s="1563"/>
      <c r="U162" s="1563"/>
      <c r="V162" s="1562"/>
      <c r="W162" s="1562"/>
      <c r="X162" s="1562"/>
      <c r="Y162" s="1562"/>
      <c r="Z162" s="1562"/>
      <c r="AA162" s="1562"/>
      <c r="AB162" s="1562"/>
      <c r="AC162" s="5006"/>
      <c r="AD162" s="5006"/>
      <c r="AE162" s="5006"/>
      <c r="AF162" s="5006"/>
      <c r="AG162" s="5006"/>
      <c r="AH162" s="5006"/>
      <c r="AI162" s="5006"/>
      <c r="AJ162" s="5006"/>
      <c r="AK162" s="5006"/>
      <c r="AL162" s="5006"/>
      <c r="AM162" s="5006"/>
    </row>
    <row r="163" spans="2:39" s="5116" customFormat="1" ht="13">
      <c r="B163"/>
      <c r="C163"/>
      <c r="D163"/>
      <c r="E163" s="483"/>
      <c r="F163"/>
      <c r="G163" s="1562"/>
      <c r="H163" s="1562"/>
      <c r="I163" s="1562"/>
      <c r="J163" s="1562"/>
      <c r="K163" s="1562"/>
      <c r="L163" s="1562"/>
      <c r="M163" s="1562"/>
      <c r="N163"/>
      <c r="O163"/>
      <c r="P163" s="1562"/>
      <c r="Q163" s="1562"/>
      <c r="R163"/>
      <c r="S163"/>
      <c r="T163" s="1563"/>
      <c r="U163" s="1563"/>
      <c r="V163" s="1562"/>
      <c r="W163" s="1562"/>
      <c r="X163" s="1562"/>
      <c r="Y163" s="1562"/>
      <c r="Z163" s="1562"/>
      <c r="AA163" s="1562"/>
      <c r="AB163" s="1562"/>
      <c r="AC163" s="5006"/>
      <c r="AD163" s="5006"/>
      <c r="AE163" s="5006"/>
      <c r="AF163" s="5006"/>
      <c r="AG163" s="5006"/>
      <c r="AH163" s="5006"/>
      <c r="AI163" s="5006"/>
      <c r="AJ163" s="5006"/>
      <c r="AK163" s="5006"/>
      <c r="AL163" s="5006"/>
      <c r="AM163" s="5006"/>
    </row>
    <row r="164" spans="2:39" s="5116" customFormat="1" ht="13">
      <c r="B164"/>
      <c r="C164"/>
      <c r="D164"/>
      <c r="E164" s="483"/>
      <c r="F164"/>
      <c r="G164" s="1562"/>
      <c r="H164" s="1562"/>
      <c r="I164" s="1562"/>
      <c r="J164" s="1562"/>
      <c r="K164" s="1562"/>
      <c r="L164" s="1562"/>
      <c r="M164" s="1562"/>
      <c r="N164"/>
      <c r="O164"/>
      <c r="P164" s="1562"/>
      <c r="Q164" s="1562"/>
      <c r="R164"/>
      <c r="S164"/>
      <c r="T164" s="1563"/>
      <c r="U164" s="1563"/>
      <c r="V164" s="1562"/>
      <c r="W164" s="1562"/>
      <c r="X164" s="1562"/>
      <c r="Y164" s="1562"/>
      <c r="Z164" s="1562"/>
      <c r="AA164" s="1562"/>
      <c r="AB164" s="1562"/>
      <c r="AC164" s="5006"/>
      <c r="AD164" s="5006"/>
      <c r="AE164" s="5006"/>
      <c r="AF164" s="5006"/>
      <c r="AG164" s="5006"/>
      <c r="AH164" s="5006"/>
      <c r="AI164" s="5006"/>
      <c r="AJ164" s="5006"/>
      <c r="AK164" s="5006"/>
      <c r="AL164" s="5006"/>
      <c r="AM164" s="5006"/>
    </row>
    <row r="165" spans="2:39" s="5116" customFormat="1" ht="13">
      <c r="B165"/>
      <c r="C165"/>
      <c r="D165"/>
      <c r="E165" s="483"/>
      <c r="F165"/>
      <c r="G165" s="1562"/>
      <c r="H165" s="1562"/>
      <c r="I165" s="1562"/>
      <c r="J165" s="1562"/>
      <c r="K165" s="1562"/>
      <c r="L165" s="1562"/>
      <c r="M165" s="1562"/>
      <c r="N165"/>
      <c r="O165"/>
      <c r="P165" s="1562"/>
      <c r="Q165" s="1562"/>
      <c r="R165"/>
      <c r="S165"/>
      <c r="T165" s="1563"/>
      <c r="U165" s="1563"/>
      <c r="V165" s="1562"/>
      <c r="W165" s="1562"/>
      <c r="X165" s="1562"/>
      <c r="Y165" s="1562"/>
      <c r="Z165" s="1562"/>
      <c r="AA165" s="1562"/>
      <c r="AB165" s="1562"/>
      <c r="AC165" s="5006"/>
      <c r="AD165" s="5006"/>
      <c r="AE165" s="5006"/>
      <c r="AF165" s="5006"/>
      <c r="AG165" s="5006"/>
      <c r="AH165" s="5006"/>
      <c r="AI165" s="5006"/>
      <c r="AJ165" s="5006"/>
      <c r="AK165" s="5006"/>
      <c r="AL165" s="5006"/>
      <c r="AM165" s="5006"/>
    </row>
    <row r="166" spans="2:39" s="5116" customFormat="1" ht="13">
      <c r="B166"/>
      <c r="C166"/>
      <c r="D166"/>
      <c r="E166" s="483"/>
      <c r="F166"/>
      <c r="G166" s="1562"/>
      <c r="H166" s="1562"/>
      <c r="I166" s="1562"/>
      <c r="J166" s="1562"/>
      <c r="K166" s="1562"/>
      <c r="L166" s="1562"/>
      <c r="M166" s="1562"/>
      <c r="N166"/>
      <c r="O166"/>
      <c r="P166" s="1562"/>
      <c r="Q166" s="1562"/>
      <c r="R166"/>
      <c r="S166"/>
      <c r="T166" s="1563"/>
      <c r="U166" s="1563"/>
      <c r="V166" s="1562"/>
      <c r="W166" s="1562"/>
      <c r="X166" s="1562"/>
      <c r="Y166" s="1562"/>
      <c r="Z166" s="1562"/>
      <c r="AA166" s="1562"/>
      <c r="AB166" s="1562"/>
      <c r="AC166" s="5006"/>
      <c r="AD166" s="5006"/>
      <c r="AE166" s="5006"/>
      <c r="AF166" s="5006"/>
      <c r="AG166" s="5006"/>
      <c r="AH166" s="5006"/>
      <c r="AI166" s="5006"/>
      <c r="AJ166" s="5006"/>
      <c r="AK166" s="5006"/>
      <c r="AL166" s="5006"/>
      <c r="AM166" s="5006"/>
    </row>
    <row r="167" spans="2:39" s="5116" customFormat="1" ht="13">
      <c r="B167"/>
      <c r="C167"/>
      <c r="D167"/>
      <c r="E167" s="483"/>
      <c r="F167"/>
      <c r="G167" s="1562"/>
      <c r="H167" s="1562"/>
      <c r="I167" s="1562"/>
      <c r="J167" s="1562"/>
      <c r="K167" s="1562"/>
      <c r="L167" s="1562"/>
      <c r="M167" s="1562"/>
      <c r="N167"/>
      <c r="O167"/>
      <c r="P167" s="1562"/>
      <c r="Q167" s="1562"/>
      <c r="R167"/>
      <c r="S167"/>
      <c r="T167" s="1563"/>
      <c r="U167" s="1563"/>
      <c r="V167" s="1562"/>
      <c r="W167" s="1562"/>
      <c r="X167" s="1562"/>
      <c r="Y167" s="1562"/>
      <c r="Z167" s="1562"/>
      <c r="AA167" s="1562"/>
      <c r="AB167" s="1562"/>
      <c r="AC167" s="5006">
        <f>SUBTOTAL(9,AC125:AC166)</f>
        <v>0</v>
      </c>
      <c r="AD167" s="5006">
        <f>SUBTOTAL(9,AD125:AD166)</f>
        <v>0</v>
      </c>
      <c r="AE167" s="5006"/>
      <c r="AF167" s="5006"/>
      <c r="AG167" s="5006"/>
      <c r="AH167" s="5006"/>
      <c r="AI167" s="5006"/>
      <c r="AJ167" s="5006"/>
      <c r="AK167" s="5006"/>
      <c r="AL167" s="5006"/>
      <c r="AM167" s="5006"/>
    </row>
    <row r="168" spans="2:39" s="5116" customFormat="1" ht="13">
      <c r="B168"/>
      <c r="C168"/>
      <c r="D168"/>
      <c r="E168" s="483"/>
      <c r="F168"/>
      <c r="G168" s="1562"/>
      <c r="H168" s="1562"/>
      <c r="I168" s="1562"/>
      <c r="J168" s="1562"/>
      <c r="K168" s="1562"/>
      <c r="L168" s="1562"/>
      <c r="M168" s="1562"/>
      <c r="N168"/>
      <c r="O168"/>
      <c r="P168" s="1562"/>
      <c r="Q168" s="1562"/>
      <c r="R168"/>
      <c r="S168"/>
      <c r="T168" s="1563"/>
      <c r="U168" s="1563"/>
      <c r="V168" s="1562"/>
      <c r="W168" s="1562"/>
      <c r="X168" s="1562"/>
      <c r="Y168" s="1562"/>
      <c r="Z168" s="1562"/>
      <c r="AA168" s="1562"/>
      <c r="AB168" s="1562"/>
      <c r="AC168" s="5006">
        <v>0</v>
      </c>
      <c r="AD168" s="5006">
        <v>0</v>
      </c>
      <c r="AE168" s="5006"/>
      <c r="AF168" s="5006"/>
      <c r="AG168" s="5006"/>
      <c r="AH168" s="5006"/>
      <c r="AI168" s="5006"/>
      <c r="AJ168" s="5006"/>
      <c r="AK168" s="5006"/>
      <c r="AL168" s="5006"/>
      <c r="AM168" s="5006"/>
    </row>
    <row r="169" spans="2:39" s="5116" customFormat="1" ht="14" customHeight="1">
      <c r="B169"/>
      <c r="C169"/>
      <c r="D169"/>
      <c r="E169" s="483"/>
      <c r="F169"/>
      <c r="G169" s="1562"/>
      <c r="H169" s="1562"/>
      <c r="I169" s="1562"/>
      <c r="J169" s="1562"/>
      <c r="K169" s="1562"/>
      <c r="L169" s="1562"/>
      <c r="M169" s="1562"/>
      <c r="N169"/>
      <c r="O169"/>
      <c r="P169" s="1562"/>
      <c r="Q169" s="1562"/>
      <c r="R169"/>
      <c r="S169"/>
      <c r="T169" s="1563"/>
      <c r="U169" s="1563"/>
      <c r="V169" s="1562"/>
      <c r="W169" s="1562"/>
      <c r="X169" s="1562"/>
      <c r="Y169" s="1562"/>
      <c r="Z169" s="1562"/>
      <c r="AA169" s="1562"/>
      <c r="AB169" s="1562"/>
      <c r="AC169" s="5006">
        <v>0</v>
      </c>
      <c r="AD169" s="5006">
        <v>0</v>
      </c>
      <c r="AE169" s="5006"/>
      <c r="AF169" s="5006"/>
      <c r="AG169" s="5006"/>
      <c r="AH169" s="5006"/>
      <c r="AI169" s="5006"/>
      <c r="AJ169" s="5006"/>
      <c r="AK169" s="5006"/>
      <c r="AL169" s="5006"/>
      <c r="AM169" s="5006"/>
    </row>
    <row r="170" spans="2:39" s="5116" customFormat="1" ht="14" customHeight="1">
      <c r="B170"/>
      <c r="C170"/>
      <c r="D170"/>
      <c r="E170" s="483"/>
      <c r="F170"/>
      <c r="G170" s="1562"/>
      <c r="H170" s="1562"/>
      <c r="I170" s="1562"/>
      <c r="J170" s="1562"/>
      <c r="K170" s="1562"/>
      <c r="L170" s="1562"/>
      <c r="M170" s="1562"/>
      <c r="N170"/>
      <c r="O170"/>
      <c r="P170" s="1562"/>
      <c r="Q170" s="1562"/>
      <c r="R170"/>
      <c r="S170"/>
      <c r="T170" s="1563"/>
      <c r="U170" s="1563"/>
      <c r="V170" s="1562"/>
      <c r="W170" s="1562"/>
      <c r="X170" s="1562"/>
      <c r="Y170" s="1562"/>
      <c r="Z170" s="1562"/>
      <c r="AA170" s="1562"/>
      <c r="AB170" s="1562"/>
      <c r="AC170" s="5006">
        <v>0</v>
      </c>
      <c r="AD170" s="5006">
        <v>0</v>
      </c>
      <c r="AE170" s="5006"/>
      <c r="AF170" s="5006"/>
      <c r="AG170" s="5006"/>
      <c r="AH170" s="5006"/>
      <c r="AI170" s="5006"/>
      <c r="AJ170" s="5006"/>
      <c r="AK170" s="5006"/>
      <c r="AL170" s="5006"/>
      <c r="AM170" s="5006"/>
    </row>
    <row r="171" spans="2:39" s="5116" customFormat="1" ht="14" customHeight="1">
      <c r="B171"/>
      <c r="C171"/>
      <c r="D171"/>
      <c r="E171" s="483"/>
      <c r="F171"/>
      <c r="G171" s="1562"/>
      <c r="H171" s="1562"/>
      <c r="I171" s="1562"/>
      <c r="J171" s="1562"/>
      <c r="K171" s="1562"/>
      <c r="L171" s="1562"/>
      <c r="M171" s="1562"/>
      <c r="N171"/>
      <c r="O171"/>
      <c r="P171" s="1562"/>
      <c r="Q171" s="1562"/>
      <c r="R171"/>
      <c r="S171"/>
      <c r="T171" s="1563"/>
      <c r="U171" s="1563"/>
      <c r="V171" s="1562"/>
      <c r="W171" s="1562"/>
      <c r="X171" s="1562"/>
      <c r="Y171" s="1562"/>
      <c r="Z171" s="1562"/>
      <c r="AA171" s="1562"/>
      <c r="AB171" s="1562"/>
      <c r="AC171" s="5006">
        <v>0</v>
      </c>
      <c r="AD171" s="5006">
        <v>0</v>
      </c>
      <c r="AE171" s="5006"/>
      <c r="AF171" s="5006"/>
      <c r="AG171" s="5006"/>
      <c r="AH171" s="5006"/>
      <c r="AI171" s="5006"/>
      <c r="AJ171" s="5006"/>
      <c r="AK171" s="5006"/>
      <c r="AL171" s="5006"/>
      <c r="AM171" s="5006"/>
    </row>
    <row r="172" spans="2:39" s="5116" customFormat="1" ht="14" customHeight="1">
      <c r="B172"/>
      <c r="C172"/>
      <c r="D172"/>
      <c r="E172" s="483"/>
      <c r="F172"/>
      <c r="G172" s="1562"/>
      <c r="H172" s="1562"/>
      <c r="I172" s="1562"/>
      <c r="J172" s="1562"/>
      <c r="K172" s="1562"/>
      <c r="L172" s="1562"/>
      <c r="M172" s="1562"/>
      <c r="N172"/>
      <c r="O172"/>
      <c r="P172" s="1562"/>
      <c r="Q172" s="1562"/>
      <c r="R172"/>
      <c r="S172"/>
      <c r="T172" s="1563"/>
      <c r="U172" s="1563"/>
      <c r="V172" s="1562"/>
      <c r="W172" s="1562"/>
      <c r="X172" s="1562"/>
      <c r="Y172" s="1562"/>
      <c r="Z172" s="1562"/>
      <c r="AA172" s="1562"/>
      <c r="AB172" s="1562"/>
      <c r="AC172" s="5006">
        <v>0</v>
      </c>
      <c r="AD172" s="5006">
        <v>0</v>
      </c>
      <c r="AE172" s="5006"/>
      <c r="AF172" s="5006"/>
      <c r="AG172" s="5006"/>
      <c r="AH172" s="5006"/>
      <c r="AI172" s="5006"/>
      <c r="AJ172" s="5006"/>
      <c r="AK172" s="5006"/>
      <c r="AL172" s="5006"/>
      <c r="AM172" s="5006"/>
    </row>
    <row r="173" spans="2:39" s="5116" customFormat="1" ht="14" customHeight="1">
      <c r="B173"/>
      <c r="C173"/>
      <c r="D173"/>
      <c r="E173" s="483"/>
      <c r="F173"/>
      <c r="G173" s="1562"/>
      <c r="H173" s="1562"/>
      <c r="I173" s="1562"/>
      <c r="J173" s="1562"/>
      <c r="K173" s="1562"/>
      <c r="L173" s="1562"/>
      <c r="M173" s="1562"/>
      <c r="N173"/>
      <c r="O173"/>
      <c r="P173" s="1562"/>
      <c r="Q173" s="1562"/>
      <c r="R173"/>
      <c r="S173"/>
      <c r="T173" s="1563"/>
      <c r="U173" s="1563"/>
      <c r="V173" s="1562"/>
      <c r="W173" s="1562"/>
      <c r="X173" s="1562"/>
      <c r="Y173" s="1562"/>
      <c r="Z173" s="1562"/>
      <c r="AA173" s="1562"/>
      <c r="AB173" s="1562"/>
      <c r="AC173" s="5006">
        <v>0</v>
      </c>
      <c r="AD173" s="5006">
        <v>0</v>
      </c>
      <c r="AE173" s="5006"/>
      <c r="AF173" s="5006"/>
      <c r="AG173" s="5006"/>
      <c r="AH173" s="5006"/>
      <c r="AI173" s="5006"/>
      <c r="AJ173" s="5006"/>
      <c r="AK173" s="5006"/>
      <c r="AL173" s="5006"/>
      <c r="AM173" s="5006"/>
    </row>
    <row r="174" spans="2:39" s="5116" customFormat="1" ht="14" customHeight="1">
      <c r="B174"/>
      <c r="C174"/>
      <c r="D174"/>
      <c r="E174" s="483"/>
      <c r="F174"/>
      <c r="G174" s="1562"/>
      <c r="H174" s="1562"/>
      <c r="I174" s="1562"/>
      <c r="J174" s="1562"/>
      <c r="K174" s="1562"/>
      <c r="L174" s="1562"/>
      <c r="M174" s="1562"/>
      <c r="N174"/>
      <c r="O174"/>
      <c r="P174" s="1562"/>
      <c r="Q174" s="1562"/>
      <c r="R174"/>
      <c r="S174"/>
      <c r="T174" s="1563"/>
      <c r="U174" s="1563"/>
      <c r="V174" s="1562"/>
      <c r="W174" s="1562"/>
      <c r="X174" s="1562"/>
      <c r="Y174" s="1562"/>
      <c r="Z174" s="1562"/>
      <c r="AA174" s="1562"/>
      <c r="AB174" s="1562"/>
      <c r="AC174" s="5006">
        <v>0</v>
      </c>
      <c r="AD174" s="5006">
        <v>0</v>
      </c>
      <c r="AE174" s="5006"/>
      <c r="AF174" s="5006"/>
      <c r="AG174" s="5006"/>
      <c r="AH174" s="5006"/>
      <c r="AI174" s="5006"/>
      <c r="AJ174" s="5006"/>
      <c r="AK174" s="5006"/>
      <c r="AL174" s="5006"/>
      <c r="AM174" s="5006"/>
    </row>
    <row r="175" spans="2:39" s="5116" customFormat="1" ht="14" customHeight="1">
      <c r="B175"/>
      <c r="C175"/>
      <c r="D175"/>
      <c r="E175" s="483"/>
      <c r="F175"/>
      <c r="G175" s="1562"/>
      <c r="H175" s="1562"/>
      <c r="I175" s="1562"/>
      <c r="J175" s="1562"/>
      <c r="K175" s="1562"/>
      <c r="L175" s="1562"/>
      <c r="M175" s="1562"/>
      <c r="N175"/>
      <c r="O175"/>
      <c r="P175" s="1562"/>
      <c r="Q175" s="1562"/>
      <c r="R175"/>
      <c r="S175"/>
      <c r="T175" s="1563"/>
      <c r="U175" s="1563"/>
      <c r="V175" s="1562"/>
      <c r="W175" s="1562"/>
      <c r="X175" s="1562"/>
      <c r="Y175" s="1562"/>
      <c r="Z175" s="1562"/>
      <c r="AA175" s="1562"/>
      <c r="AB175" s="1562"/>
      <c r="AC175" s="5006">
        <v>0</v>
      </c>
      <c r="AD175" s="5006">
        <v>0</v>
      </c>
      <c r="AE175" s="5006"/>
      <c r="AF175" s="5006"/>
      <c r="AG175" s="5006"/>
      <c r="AH175" s="5006"/>
      <c r="AI175" s="5006"/>
      <c r="AJ175" s="5006"/>
      <c r="AK175" s="5006"/>
      <c r="AL175" s="5006"/>
      <c r="AM175" s="5006"/>
    </row>
    <row r="176" spans="2:39" s="5116" customFormat="1" ht="14" customHeight="1">
      <c r="B176"/>
      <c r="C176"/>
      <c r="D176"/>
      <c r="E176" s="483"/>
      <c r="F176"/>
      <c r="G176" s="1562"/>
      <c r="H176" s="1562"/>
      <c r="I176" s="1562"/>
      <c r="J176" s="1562"/>
      <c r="K176" s="1562"/>
      <c r="L176" s="1562"/>
      <c r="M176" s="1562"/>
      <c r="N176"/>
      <c r="O176"/>
      <c r="P176" s="1562"/>
      <c r="Q176" s="1562"/>
      <c r="R176"/>
      <c r="S176"/>
      <c r="T176" s="1563"/>
      <c r="U176" s="1563"/>
      <c r="V176" s="1562"/>
      <c r="W176" s="1562"/>
      <c r="X176" s="1562"/>
      <c r="Y176" s="1562"/>
      <c r="Z176" s="1562"/>
      <c r="AA176" s="1562"/>
      <c r="AB176" s="1562"/>
      <c r="AC176" s="5006">
        <v>0</v>
      </c>
      <c r="AD176" s="5006">
        <v>0</v>
      </c>
      <c r="AE176" s="5006"/>
      <c r="AF176" s="5006"/>
      <c r="AG176" s="5006"/>
      <c r="AH176" s="5006"/>
      <c r="AI176" s="5006"/>
      <c r="AJ176" s="5006"/>
      <c r="AK176" s="5006"/>
      <c r="AL176" s="5006"/>
      <c r="AM176" s="5006"/>
    </row>
    <row r="177" spans="2:41" s="5116" customFormat="1" ht="14" customHeight="1">
      <c r="B177"/>
      <c r="C177"/>
      <c r="D177"/>
      <c r="E177" s="483"/>
      <c r="F177"/>
      <c r="G177" s="1562"/>
      <c r="H177" s="1562"/>
      <c r="I177" s="1562"/>
      <c r="J177" s="1562"/>
      <c r="K177" s="1562"/>
      <c r="L177" s="1562"/>
      <c r="M177" s="1562"/>
      <c r="N177"/>
      <c r="O177"/>
      <c r="P177" s="1562"/>
      <c r="Q177" s="1562"/>
      <c r="R177"/>
      <c r="S177"/>
      <c r="T177" s="1563"/>
      <c r="U177" s="1563"/>
      <c r="V177" s="1562"/>
      <c r="W177" s="1562"/>
      <c r="X177" s="1562"/>
      <c r="Y177" s="1562"/>
      <c r="Z177" s="1562"/>
      <c r="AA177" s="1562"/>
      <c r="AB177" s="1562"/>
      <c r="AC177" s="5006">
        <v>0</v>
      </c>
      <c r="AD177" s="5006">
        <v>0</v>
      </c>
      <c r="AE177" s="5006"/>
      <c r="AF177" s="5006"/>
      <c r="AG177" s="5006"/>
      <c r="AH177" s="5006"/>
      <c r="AI177" s="5006"/>
      <c r="AJ177" s="5006"/>
      <c r="AK177" s="5006"/>
      <c r="AL177" s="5006"/>
      <c r="AM177" s="5006"/>
    </row>
    <row r="178" spans="2:41" s="5116" customFormat="1" ht="14" customHeight="1">
      <c r="B178"/>
      <c r="C178"/>
      <c r="D178"/>
      <c r="E178" s="483"/>
      <c r="F178"/>
      <c r="G178" s="1562"/>
      <c r="H178" s="1562"/>
      <c r="I178" s="1562"/>
      <c r="J178" s="1562"/>
      <c r="K178" s="1562"/>
      <c r="L178" s="1562"/>
      <c r="M178" s="1562"/>
      <c r="N178"/>
      <c r="O178"/>
      <c r="P178" s="1562"/>
      <c r="Q178" s="1562"/>
      <c r="R178"/>
      <c r="S178"/>
      <c r="T178" s="1563"/>
      <c r="U178" s="1563"/>
      <c r="V178" s="1562">
        <f>SUBTOTAL(9,V136:V177)</f>
        <v>0</v>
      </c>
      <c r="W178" s="1562">
        <f t="shared" ref="W178:AB178" si="66">SUBTOTAL(9,W136:W177)</f>
        <v>0</v>
      </c>
      <c r="X178" s="1562">
        <f t="shared" si="66"/>
        <v>0</v>
      </c>
      <c r="Y178" s="1562">
        <f t="shared" si="66"/>
        <v>0</v>
      </c>
      <c r="Z178" s="1562">
        <f t="shared" si="66"/>
        <v>0</v>
      </c>
      <c r="AA178" s="1562">
        <f t="shared" si="66"/>
        <v>0</v>
      </c>
      <c r="AB178" s="1562">
        <f t="shared" si="66"/>
        <v>0</v>
      </c>
      <c r="AC178" s="5006">
        <v>0</v>
      </c>
      <c r="AD178" s="5006">
        <v>0</v>
      </c>
      <c r="AE178" s="5006"/>
      <c r="AF178" s="5006"/>
      <c r="AG178" s="5006"/>
      <c r="AH178" s="5006"/>
      <c r="AI178" s="5006"/>
      <c r="AJ178" s="5006"/>
      <c r="AK178" s="5006"/>
      <c r="AL178" s="5006"/>
      <c r="AM178" s="5006"/>
    </row>
    <row r="179" spans="2:41" s="5005" customFormat="1" ht="14" customHeight="1">
      <c r="B179"/>
      <c r="C179"/>
      <c r="D179"/>
      <c r="E179" s="483"/>
      <c r="F179"/>
      <c r="G179" s="1566"/>
      <c r="H179" s="1566"/>
      <c r="I179" s="1566"/>
      <c r="J179" s="1566"/>
      <c r="K179" s="1566"/>
      <c r="L179" s="1566"/>
      <c r="M179" s="1566"/>
      <c r="N179"/>
      <c r="O179"/>
      <c r="P179" s="1566"/>
      <c r="Q179" s="1566"/>
      <c r="R179" s="1567"/>
      <c r="S179" s="1567"/>
      <c r="T179" s="1568"/>
      <c r="U179" s="1568"/>
      <c r="V179"/>
      <c r="W179"/>
      <c r="X179"/>
      <c r="Y179"/>
      <c r="Z179"/>
      <c r="AA179"/>
      <c r="AB179"/>
      <c r="AC179" s="5006"/>
      <c r="AD179" s="5006"/>
      <c r="AE179" s="5006"/>
      <c r="AF179" s="5006"/>
      <c r="AG179" s="5006"/>
      <c r="AH179" s="5006"/>
      <c r="AI179" s="5006"/>
      <c r="AJ179" s="5006"/>
      <c r="AK179" s="5006"/>
      <c r="AL179" s="5006"/>
      <c r="AM179" s="5006"/>
    </row>
    <row r="180" spans="2:41" s="5005" customFormat="1" ht="14" customHeight="1">
      <c r="B180"/>
      <c r="C180"/>
      <c r="D180"/>
      <c r="E180" s="483"/>
      <c r="F180"/>
      <c r="G180" s="1566"/>
      <c r="H180" s="1566"/>
      <c r="I180" s="1566"/>
      <c r="J180" s="1566"/>
      <c r="K180" s="1566"/>
      <c r="L180" s="1566"/>
      <c r="M180" s="1566"/>
      <c r="N180"/>
      <c r="O180"/>
      <c r="P180" s="1566"/>
      <c r="Q180" s="1566"/>
      <c r="R180" s="1567"/>
      <c r="S180" s="1567"/>
      <c r="T180" s="1567"/>
      <c r="U180" s="1568"/>
      <c r="V180"/>
      <c r="W180"/>
      <c r="X180"/>
      <c r="Y180"/>
      <c r="Z180"/>
      <c r="AA180"/>
      <c r="AB180"/>
      <c r="AC180" s="5117"/>
      <c r="AE180" s="5006"/>
      <c r="AF180" s="5006"/>
      <c r="AG180" s="5006"/>
      <c r="AH180" s="5006"/>
      <c r="AI180" s="5006"/>
      <c r="AJ180" s="5006"/>
      <c r="AK180" s="5006"/>
      <c r="AL180" s="5006"/>
      <c r="AM180" s="5006"/>
      <c r="AN180" s="5006"/>
      <c r="AO180" s="5006"/>
    </row>
    <row r="181" spans="2:41" s="5116" customFormat="1" ht="14" customHeight="1">
      <c r="B181"/>
      <c r="C181"/>
      <c r="D181"/>
      <c r="E181" s="483"/>
      <c r="F181"/>
      <c r="G181" s="1562"/>
      <c r="H181" s="1562"/>
      <c r="I181" s="1562"/>
      <c r="J181" s="1562"/>
      <c r="K181" s="1562"/>
      <c r="L181" s="1562"/>
      <c r="M181" s="1562"/>
      <c r="N181"/>
      <c r="O181"/>
      <c r="P181" s="1562"/>
      <c r="Q181" s="1562"/>
      <c r="R181"/>
      <c r="S181"/>
      <c r="T181" s="1563"/>
      <c r="U181" s="1563"/>
      <c r="V181" s="1562"/>
      <c r="W181" s="1562"/>
      <c r="X181" s="1562"/>
      <c r="Y181" s="1562"/>
      <c r="Z181" s="1562"/>
      <c r="AA181" s="1562"/>
      <c r="AB181" s="1562"/>
      <c r="AC181" s="5006"/>
      <c r="AD181" s="5006"/>
      <c r="AE181" s="5006"/>
      <c r="AF181" s="5006"/>
      <c r="AG181" s="5006"/>
      <c r="AH181" s="5006"/>
      <c r="AI181" s="5006"/>
      <c r="AJ181" s="5006"/>
      <c r="AK181" s="5006"/>
      <c r="AL181" s="5006"/>
      <c r="AM181" s="5006"/>
    </row>
    <row r="182" spans="2:41" s="5116" customFormat="1" ht="14" customHeight="1">
      <c r="B182"/>
      <c r="C182"/>
      <c r="D182"/>
      <c r="E182" s="483"/>
      <c r="F182"/>
      <c r="G182" s="1562"/>
      <c r="H182" s="1562"/>
      <c r="I182" s="1562"/>
      <c r="J182" s="1562"/>
      <c r="K182" s="1562"/>
      <c r="L182" s="1562"/>
      <c r="M182" s="1562"/>
      <c r="N182"/>
      <c r="O182"/>
      <c r="P182" s="1562"/>
      <c r="Q182" s="1562"/>
      <c r="R182"/>
      <c r="S182"/>
      <c r="T182" s="1563"/>
      <c r="U182" s="1563"/>
      <c r="V182" s="1562"/>
      <c r="W182" s="1562"/>
      <c r="X182" s="1562"/>
      <c r="Y182" s="1562"/>
      <c r="Z182" s="1562"/>
      <c r="AA182" s="1562"/>
      <c r="AB182" s="1562"/>
      <c r="AC182" s="5006"/>
      <c r="AD182" s="5006"/>
      <c r="AE182" s="5006"/>
      <c r="AF182" s="5006"/>
      <c r="AG182" s="5006"/>
      <c r="AH182" s="5006"/>
      <c r="AI182" s="5006"/>
      <c r="AJ182" s="5006"/>
      <c r="AK182" s="5006"/>
      <c r="AL182" s="5006"/>
      <c r="AM182" s="5006"/>
    </row>
    <row r="183" spans="2:41" s="5116" customFormat="1" ht="14" customHeight="1">
      <c r="B183"/>
      <c r="C183"/>
      <c r="D183"/>
      <c r="E183" s="483"/>
      <c r="F183"/>
      <c r="G183" s="1562"/>
      <c r="H183" s="1562"/>
      <c r="I183" s="1562"/>
      <c r="J183" s="1562"/>
      <c r="K183" s="1562"/>
      <c r="L183" s="1562"/>
      <c r="M183" s="1562"/>
      <c r="N183"/>
      <c r="O183"/>
      <c r="P183" s="1562"/>
      <c r="Q183" s="1562"/>
      <c r="R183"/>
      <c r="S183"/>
      <c r="T183" s="1563"/>
      <c r="U183" s="1563"/>
      <c r="V183" s="1562"/>
      <c r="W183" s="1562"/>
      <c r="X183" s="1562"/>
      <c r="Y183" s="1562"/>
      <c r="Z183" s="1562"/>
      <c r="AA183" s="1562"/>
      <c r="AB183" s="1562"/>
      <c r="AC183" s="5006"/>
      <c r="AD183" s="5006"/>
      <c r="AE183" s="5006"/>
      <c r="AF183" s="5006"/>
      <c r="AG183" s="5006"/>
      <c r="AH183" s="5006"/>
      <c r="AI183" s="5006"/>
      <c r="AJ183" s="5006"/>
      <c r="AK183" s="5006"/>
      <c r="AL183" s="5006"/>
      <c r="AM183" s="5006"/>
    </row>
    <row r="184" spans="2:41" s="5116" customFormat="1" ht="14" customHeight="1">
      <c r="B184"/>
      <c r="C184"/>
      <c r="D184"/>
      <c r="E184" s="483"/>
      <c r="F184"/>
      <c r="G184" s="1562"/>
      <c r="H184" s="1562"/>
      <c r="I184" s="1562"/>
      <c r="J184" s="1562"/>
      <c r="K184" s="1562"/>
      <c r="L184" s="1562"/>
      <c r="M184" s="1562"/>
      <c r="N184"/>
      <c r="O184"/>
      <c r="P184" s="1562"/>
      <c r="Q184" s="1562"/>
      <c r="R184"/>
      <c r="S184"/>
      <c r="T184" s="1563"/>
      <c r="U184" s="1563"/>
      <c r="V184" s="1562"/>
      <c r="W184" s="1562"/>
      <c r="X184" s="1562"/>
      <c r="Y184" s="1562"/>
      <c r="Z184" s="1562"/>
      <c r="AA184" s="1562"/>
      <c r="AB184" s="1562"/>
      <c r="AC184" s="5006"/>
      <c r="AD184" s="5006"/>
      <c r="AE184" s="5006"/>
      <c r="AF184" s="5006"/>
      <c r="AG184" s="5006"/>
      <c r="AH184" s="5006"/>
      <c r="AI184" s="5006"/>
      <c r="AJ184" s="5006"/>
      <c r="AK184" s="5006"/>
      <c r="AL184" s="5006"/>
      <c r="AM184" s="5006"/>
    </row>
    <row r="185" spans="2:41" s="5116" customFormat="1" ht="13">
      <c r="B185"/>
      <c r="C185"/>
      <c r="D185"/>
      <c r="E185" s="483"/>
      <c r="F185"/>
      <c r="G185" s="1562"/>
      <c r="H185" s="1562"/>
      <c r="I185" s="1562"/>
      <c r="J185" s="1562"/>
      <c r="K185" s="1562"/>
      <c r="L185" s="1562"/>
      <c r="M185" s="1562"/>
      <c r="N185"/>
      <c r="O185"/>
      <c r="P185" s="1562"/>
      <c r="Q185" s="1562"/>
      <c r="R185"/>
      <c r="S185"/>
      <c r="T185" s="1563"/>
      <c r="U185" s="1563"/>
      <c r="V185" s="1562"/>
      <c r="W185" s="1562"/>
      <c r="X185" s="1562"/>
      <c r="Y185" s="1562"/>
      <c r="Z185" s="1562"/>
      <c r="AA185" s="1562"/>
      <c r="AB185" s="1562"/>
      <c r="AC185" s="5006"/>
      <c r="AD185" s="5006"/>
      <c r="AE185" s="5006"/>
      <c r="AF185" s="5006"/>
      <c r="AG185" s="5006"/>
      <c r="AH185" s="5006"/>
      <c r="AI185" s="5006"/>
      <c r="AJ185" s="5006"/>
      <c r="AK185" s="5006"/>
      <c r="AL185" s="5006"/>
      <c r="AM185" s="5006"/>
    </row>
    <row r="186" spans="2:41" s="5116" customFormat="1" ht="13">
      <c r="B186"/>
      <c r="C186"/>
      <c r="D186"/>
      <c r="E186" s="483"/>
      <c r="F186"/>
      <c r="G186" s="1562"/>
      <c r="H186" s="1562"/>
      <c r="I186" s="1562"/>
      <c r="J186" s="1562"/>
      <c r="K186" s="1562"/>
      <c r="L186" s="1562"/>
      <c r="M186" s="1562"/>
      <c r="N186"/>
      <c r="O186"/>
      <c r="P186" s="1562"/>
      <c r="Q186" s="1562"/>
      <c r="R186"/>
      <c r="S186"/>
      <c r="T186" s="1563"/>
      <c r="U186" s="1563"/>
      <c r="V186" s="1562"/>
      <c r="W186" s="1562"/>
      <c r="X186" s="1562"/>
      <c r="Y186" s="1562"/>
      <c r="Z186" s="1562"/>
      <c r="AA186" s="1562"/>
      <c r="AB186" s="1562"/>
      <c r="AC186" s="5006"/>
      <c r="AD186" s="5006"/>
      <c r="AE186" s="5006"/>
      <c r="AF186" s="5006"/>
      <c r="AG186" s="5006"/>
      <c r="AH186" s="5006"/>
      <c r="AI186" s="5006"/>
      <c r="AJ186" s="5006"/>
      <c r="AK186" s="5006"/>
      <c r="AL186" s="5006"/>
      <c r="AM186" s="5006"/>
    </row>
    <row r="187" spans="2:41" s="5116" customFormat="1" ht="13">
      <c r="B187"/>
      <c r="C187"/>
      <c r="D187"/>
      <c r="E187" s="483"/>
      <c r="F187"/>
      <c r="G187" s="1562"/>
      <c r="H187" s="1562"/>
      <c r="I187" s="1562"/>
      <c r="J187" s="1562"/>
      <c r="K187" s="1562"/>
      <c r="L187" s="1562"/>
      <c r="M187" s="1562"/>
      <c r="N187"/>
      <c r="O187"/>
      <c r="P187" s="1562"/>
      <c r="Q187" s="1562"/>
      <c r="R187"/>
      <c r="S187"/>
      <c r="T187" s="1563"/>
      <c r="U187" s="1563"/>
      <c r="V187" s="1562"/>
      <c r="W187" s="1562"/>
      <c r="X187" s="1562"/>
      <c r="Y187" s="1562"/>
      <c r="Z187" s="1562"/>
      <c r="AA187" s="1562"/>
      <c r="AB187" s="1562"/>
      <c r="AC187" s="5006"/>
      <c r="AD187" s="5006"/>
      <c r="AE187" s="5006"/>
      <c r="AF187" s="5006"/>
      <c r="AG187" s="5006"/>
      <c r="AH187" s="5006"/>
      <c r="AI187" s="5006"/>
      <c r="AJ187" s="5006"/>
      <c r="AK187" s="5006"/>
      <c r="AL187" s="5006"/>
      <c r="AM187" s="5006"/>
    </row>
    <row r="188" spans="2:41" s="5116" customFormat="1" ht="13">
      <c r="B188"/>
      <c r="C188"/>
      <c r="D188"/>
      <c r="E188" s="483"/>
      <c r="F188"/>
      <c r="G188" s="1562"/>
      <c r="H188" s="1562"/>
      <c r="I188" s="1562"/>
      <c r="J188" s="1562"/>
      <c r="K188" s="1562"/>
      <c r="L188" s="1562"/>
      <c r="M188" s="1562"/>
      <c r="N188"/>
      <c r="O188"/>
      <c r="P188" s="1562"/>
      <c r="Q188" s="1562"/>
      <c r="R188"/>
      <c r="S188"/>
      <c r="T188" s="1563"/>
      <c r="U188" s="1563"/>
      <c r="V188" s="1562"/>
      <c r="W188" s="1562"/>
      <c r="X188" s="1562"/>
      <c r="Y188" s="1562"/>
      <c r="Z188" s="1562"/>
      <c r="AA188" s="1562"/>
      <c r="AB188" s="1562"/>
      <c r="AC188" s="5006"/>
      <c r="AD188" s="5006"/>
      <c r="AE188" s="5006"/>
      <c r="AF188" s="5006"/>
      <c r="AG188" s="5006"/>
      <c r="AH188" s="5006"/>
      <c r="AI188" s="5006"/>
      <c r="AJ188" s="5006"/>
      <c r="AK188" s="5006"/>
      <c r="AL188" s="5006"/>
      <c r="AM188" s="5006"/>
    </row>
    <row r="189" spans="2:41" s="5116" customFormat="1" ht="13">
      <c r="B189"/>
      <c r="C189"/>
      <c r="D189"/>
      <c r="E189" s="483"/>
      <c r="F189"/>
      <c r="G189" s="1562"/>
      <c r="H189" s="1562"/>
      <c r="I189" s="1562"/>
      <c r="J189" s="1562"/>
      <c r="K189" s="1562"/>
      <c r="L189" s="1562"/>
      <c r="M189" s="1562"/>
      <c r="N189"/>
      <c r="O189"/>
      <c r="P189" s="1562"/>
      <c r="Q189" s="1562"/>
      <c r="R189"/>
      <c r="S189"/>
      <c r="T189" s="1563"/>
      <c r="U189" s="1563"/>
      <c r="V189" s="1562"/>
      <c r="W189" s="1562"/>
      <c r="X189" s="1562"/>
      <c r="Y189" s="1562"/>
      <c r="Z189" s="1562"/>
      <c r="AA189" s="1562"/>
      <c r="AB189" s="1562"/>
      <c r="AC189" s="5006"/>
      <c r="AD189" s="5006"/>
      <c r="AE189" s="5006"/>
      <c r="AF189" s="5006"/>
      <c r="AG189" s="5006"/>
      <c r="AH189" s="5006"/>
      <c r="AI189" s="5006"/>
      <c r="AJ189" s="5006"/>
      <c r="AK189" s="5006"/>
      <c r="AL189" s="5006"/>
      <c r="AM189" s="5006"/>
    </row>
    <row r="190" spans="2:41" s="5116" customFormat="1" ht="13">
      <c r="B190"/>
      <c r="C190"/>
      <c r="D190"/>
      <c r="E190" s="483"/>
      <c r="F190"/>
      <c r="G190" s="1562"/>
      <c r="H190" s="1562"/>
      <c r="I190" s="1562"/>
      <c r="J190" s="1562"/>
      <c r="K190" s="1562"/>
      <c r="L190" s="1562"/>
      <c r="M190" s="1562"/>
      <c r="N190"/>
      <c r="O190"/>
      <c r="P190" s="1562"/>
      <c r="Q190" s="1562"/>
      <c r="R190"/>
      <c r="S190"/>
      <c r="T190" s="1563"/>
      <c r="U190" s="1563"/>
      <c r="V190" s="1562"/>
      <c r="W190" s="1562"/>
      <c r="X190" s="1562"/>
      <c r="Y190" s="1562"/>
      <c r="Z190" s="1562"/>
      <c r="AA190" s="1562"/>
      <c r="AB190" s="1562"/>
      <c r="AC190" s="5006"/>
      <c r="AD190" s="5006"/>
      <c r="AE190" s="5006"/>
      <c r="AF190" s="5006"/>
      <c r="AG190" s="5006"/>
      <c r="AH190" s="5006"/>
      <c r="AI190" s="5006"/>
      <c r="AJ190" s="5006"/>
      <c r="AK190" s="5006"/>
      <c r="AL190" s="5006"/>
      <c r="AM190" s="5006"/>
    </row>
    <row r="191" spans="2:41" s="5116" customFormat="1" ht="13">
      <c r="B191"/>
      <c r="C191"/>
      <c r="D191"/>
      <c r="E191" s="483"/>
      <c r="F191"/>
      <c r="G191" s="1562"/>
      <c r="H191" s="1562"/>
      <c r="I191" s="1562"/>
      <c r="J191" s="1562"/>
      <c r="K191" s="1562"/>
      <c r="L191" s="1562"/>
      <c r="M191" s="1562"/>
      <c r="N191"/>
      <c r="O191"/>
      <c r="P191" s="1562"/>
      <c r="Q191" s="1562"/>
      <c r="R191"/>
      <c r="S191"/>
      <c r="T191" s="1563"/>
      <c r="U191" s="1563"/>
      <c r="V191" s="1562"/>
      <c r="W191" s="1562"/>
      <c r="X191" s="1562"/>
      <c r="Y191" s="1562"/>
      <c r="Z191" s="1562"/>
      <c r="AA191" s="1562"/>
      <c r="AB191" s="1562"/>
      <c r="AC191" s="5006"/>
      <c r="AD191" s="5006"/>
      <c r="AE191" s="5006"/>
      <c r="AF191" s="5006"/>
      <c r="AG191" s="5006"/>
      <c r="AH191" s="5006"/>
      <c r="AI191" s="5006"/>
      <c r="AJ191" s="5006"/>
      <c r="AK191" s="5006"/>
      <c r="AL191" s="5006"/>
      <c r="AM191" s="5006"/>
    </row>
    <row r="192" spans="2:41" s="5116" customFormat="1" ht="13">
      <c r="B192"/>
      <c r="C192"/>
      <c r="D192"/>
      <c r="E192" s="483"/>
      <c r="F192"/>
      <c r="G192" s="1562"/>
      <c r="H192" s="1562"/>
      <c r="I192" s="1562"/>
      <c r="J192" s="1562"/>
      <c r="K192" s="1562"/>
      <c r="L192" s="1562"/>
      <c r="M192" s="1562"/>
      <c r="N192"/>
      <c r="O192"/>
      <c r="P192" s="1562"/>
      <c r="Q192" s="1562"/>
      <c r="R192"/>
      <c r="S192"/>
      <c r="T192" s="1563"/>
      <c r="U192" s="1563"/>
      <c r="V192" s="1562"/>
      <c r="W192" s="1562"/>
      <c r="X192" s="1562"/>
      <c r="Y192" s="1562"/>
      <c r="Z192" s="1562"/>
      <c r="AA192" s="1562"/>
      <c r="AB192" s="1562"/>
      <c r="AC192" s="5006"/>
      <c r="AD192" s="5006"/>
      <c r="AE192" s="5006"/>
      <c r="AF192" s="5006"/>
      <c r="AG192" s="5006"/>
      <c r="AH192" s="5006"/>
      <c r="AI192" s="5006"/>
      <c r="AJ192" s="5006"/>
      <c r="AK192" s="5006"/>
      <c r="AL192" s="5006"/>
      <c r="AM192" s="5006"/>
    </row>
    <row r="193" spans="2:39" s="5116" customFormat="1" ht="13">
      <c r="B193"/>
      <c r="C193"/>
      <c r="D193"/>
      <c r="E193" s="483"/>
      <c r="F193"/>
      <c r="G193" s="1562"/>
      <c r="H193" s="1562"/>
      <c r="I193" s="1562"/>
      <c r="J193" s="1562"/>
      <c r="K193" s="1562"/>
      <c r="L193" s="1562"/>
      <c r="M193" s="1562"/>
      <c r="N193"/>
      <c r="O193"/>
      <c r="P193" s="1562"/>
      <c r="Q193" s="1562"/>
      <c r="R193"/>
      <c r="S193"/>
      <c r="T193" s="1563"/>
      <c r="U193" s="1563"/>
      <c r="V193" s="1562"/>
      <c r="W193" s="1562"/>
      <c r="X193" s="1562"/>
      <c r="Y193" s="1562"/>
      <c r="Z193" s="1562"/>
      <c r="AA193" s="1562"/>
      <c r="AB193" s="1562"/>
      <c r="AC193" s="5006"/>
      <c r="AD193" s="5006"/>
      <c r="AE193" s="5006"/>
      <c r="AF193" s="5006"/>
      <c r="AG193" s="5006"/>
      <c r="AH193" s="5006"/>
      <c r="AI193" s="5006"/>
      <c r="AJ193" s="5006"/>
      <c r="AK193" s="5006"/>
      <c r="AL193" s="5006"/>
      <c r="AM193" s="5006"/>
    </row>
    <row r="194" spans="2:39" s="5116" customFormat="1" ht="13">
      <c r="B194"/>
      <c r="C194"/>
      <c r="D194"/>
      <c r="E194" s="483"/>
      <c r="F194"/>
      <c r="G194" s="1562"/>
      <c r="H194" s="1562"/>
      <c r="I194" s="1562"/>
      <c r="J194" s="1562"/>
      <c r="K194" s="1562"/>
      <c r="L194" s="1562"/>
      <c r="M194" s="1562"/>
      <c r="N194"/>
      <c r="O194"/>
      <c r="P194" s="1562"/>
      <c r="Q194" s="1562"/>
      <c r="R194"/>
      <c r="S194"/>
      <c r="T194" s="1563"/>
      <c r="U194" s="1563"/>
      <c r="V194" s="1562"/>
      <c r="W194" s="1562"/>
      <c r="X194" s="1562"/>
      <c r="Y194" s="1562"/>
      <c r="Z194" s="1562"/>
      <c r="AA194" s="1562"/>
      <c r="AB194" s="1562"/>
      <c r="AC194" s="5006"/>
      <c r="AD194" s="5006"/>
      <c r="AE194" s="5006"/>
      <c r="AF194" s="5006"/>
      <c r="AG194" s="5006"/>
      <c r="AH194" s="5006"/>
      <c r="AI194" s="5006"/>
      <c r="AJ194" s="5006"/>
      <c r="AK194" s="5006"/>
      <c r="AL194" s="5006"/>
      <c r="AM194" s="5006"/>
    </row>
    <row r="195" spans="2:39" s="5116" customFormat="1" ht="13">
      <c r="B195"/>
      <c r="C195"/>
      <c r="D195"/>
      <c r="E195" s="483"/>
      <c r="F195"/>
      <c r="G195" s="1562"/>
      <c r="H195" s="1562"/>
      <c r="I195" s="1562"/>
      <c r="J195" s="1562"/>
      <c r="K195" s="1562"/>
      <c r="L195" s="1562"/>
      <c r="M195" s="1562"/>
      <c r="N195"/>
      <c r="O195"/>
      <c r="P195" s="1562"/>
      <c r="Q195" s="1562"/>
      <c r="R195"/>
      <c r="S195"/>
      <c r="T195" s="1563"/>
      <c r="U195" s="1563"/>
      <c r="V195" s="1562"/>
      <c r="W195" s="1562"/>
      <c r="X195" s="1562"/>
      <c r="Y195" s="1562"/>
      <c r="Z195" s="1562"/>
      <c r="AA195" s="1562"/>
      <c r="AB195" s="1562"/>
      <c r="AC195" s="5006"/>
      <c r="AD195" s="5006"/>
      <c r="AE195" s="5006"/>
      <c r="AF195" s="5006"/>
      <c r="AG195" s="5006"/>
      <c r="AH195" s="5006"/>
      <c r="AI195" s="5006"/>
      <c r="AJ195" s="5006"/>
      <c r="AK195" s="5006"/>
      <c r="AL195" s="5006"/>
      <c r="AM195" s="5006"/>
    </row>
    <row r="196" spans="2:39" s="5116" customFormat="1" ht="13">
      <c r="B196"/>
      <c r="C196"/>
      <c r="D196"/>
      <c r="E196" s="483"/>
      <c r="F196"/>
      <c r="G196" s="1562"/>
      <c r="H196" s="1562"/>
      <c r="I196" s="1562"/>
      <c r="J196" s="1562"/>
      <c r="K196" s="1562"/>
      <c r="L196" s="1562"/>
      <c r="M196" s="1562"/>
      <c r="N196"/>
      <c r="O196"/>
      <c r="P196" s="1562"/>
      <c r="Q196" s="1562"/>
      <c r="R196"/>
      <c r="S196"/>
      <c r="T196" s="1563"/>
      <c r="U196" s="1563"/>
      <c r="V196" s="1562"/>
      <c r="W196" s="1562"/>
      <c r="X196" s="1562"/>
      <c r="Y196" s="1562"/>
      <c r="Z196" s="1562"/>
      <c r="AA196" s="1562"/>
      <c r="AB196" s="1562"/>
      <c r="AC196" s="5006"/>
      <c r="AD196" s="5006"/>
      <c r="AE196" s="5006"/>
      <c r="AF196" s="5006"/>
      <c r="AG196" s="5006"/>
      <c r="AH196" s="5006"/>
      <c r="AI196" s="5006"/>
      <c r="AJ196" s="5006"/>
      <c r="AK196" s="5006"/>
      <c r="AL196" s="5006"/>
      <c r="AM196" s="5006"/>
    </row>
    <row r="197" spans="2:39" s="5116" customFormat="1" ht="13">
      <c r="B197"/>
      <c r="C197"/>
      <c r="D197"/>
      <c r="E197" s="483"/>
      <c r="F197"/>
      <c r="G197" s="1562"/>
      <c r="H197" s="1562"/>
      <c r="I197" s="1562"/>
      <c r="J197" s="1562"/>
      <c r="K197" s="1562"/>
      <c r="L197" s="1562"/>
      <c r="M197" s="1562"/>
      <c r="N197"/>
      <c r="O197"/>
      <c r="P197" s="1562"/>
      <c r="Q197" s="1562"/>
      <c r="R197"/>
      <c r="S197"/>
      <c r="T197" s="1563"/>
      <c r="U197" s="1563"/>
      <c r="V197" s="1562"/>
      <c r="W197" s="1562"/>
      <c r="X197" s="1562"/>
      <c r="Y197" s="1562"/>
      <c r="Z197" s="1562"/>
      <c r="AA197" s="1562"/>
      <c r="AB197" s="1562"/>
      <c r="AC197" s="5006"/>
      <c r="AD197" s="5006"/>
      <c r="AE197" s="5006"/>
      <c r="AF197" s="5006"/>
      <c r="AG197" s="5006"/>
      <c r="AH197" s="5006"/>
      <c r="AI197" s="5006"/>
      <c r="AJ197" s="5006"/>
      <c r="AK197" s="5006"/>
      <c r="AL197" s="5006"/>
      <c r="AM197" s="5006"/>
    </row>
    <row r="198" spans="2:39" s="5116" customFormat="1" ht="13">
      <c r="B198"/>
      <c r="C198"/>
      <c r="D198"/>
      <c r="E198" s="483"/>
      <c r="F198"/>
      <c r="G198" s="1562"/>
      <c r="H198" s="1562"/>
      <c r="I198" s="1562"/>
      <c r="J198" s="1562"/>
      <c r="K198" s="1562"/>
      <c r="L198" s="1562"/>
      <c r="M198" s="1562"/>
      <c r="N198"/>
      <c r="O198"/>
      <c r="P198" s="1562"/>
      <c r="Q198" s="1562"/>
      <c r="R198"/>
      <c r="S198"/>
      <c r="T198" s="1563"/>
      <c r="U198" s="1563"/>
      <c r="V198" s="1562"/>
      <c r="W198" s="1562"/>
      <c r="X198" s="1562"/>
      <c r="Y198" s="1562"/>
      <c r="Z198" s="1562"/>
      <c r="AA198" s="1562"/>
      <c r="AB198" s="1562"/>
      <c r="AC198" s="5006"/>
      <c r="AD198" s="5006"/>
      <c r="AE198" s="5006"/>
      <c r="AF198" s="5006"/>
      <c r="AG198" s="5006"/>
      <c r="AH198" s="5006"/>
      <c r="AI198" s="5006"/>
      <c r="AJ198" s="5006"/>
      <c r="AK198" s="5006"/>
      <c r="AL198" s="5006"/>
      <c r="AM198" s="5006"/>
    </row>
    <row r="199" spans="2:39" s="5116" customFormat="1" ht="13">
      <c r="B199"/>
      <c r="C199"/>
      <c r="D199"/>
      <c r="E199" s="483"/>
      <c r="F199"/>
      <c r="G199" s="1562"/>
      <c r="H199" s="1562"/>
      <c r="I199" s="1562"/>
      <c r="J199" s="1562"/>
      <c r="K199" s="1562"/>
      <c r="L199" s="1562"/>
      <c r="M199" s="1562"/>
      <c r="N199"/>
      <c r="O199"/>
      <c r="P199" s="1562"/>
      <c r="Q199" s="1562"/>
      <c r="R199"/>
      <c r="S199"/>
      <c r="T199" s="1563"/>
      <c r="U199" s="1563"/>
      <c r="V199" s="1562"/>
      <c r="W199" s="1562"/>
      <c r="X199" s="1562"/>
      <c r="Y199" s="1562"/>
      <c r="Z199" s="1562"/>
      <c r="AA199" s="1562"/>
      <c r="AB199" s="1562"/>
      <c r="AC199" s="5006"/>
      <c r="AD199" s="5006"/>
      <c r="AE199" s="5006"/>
      <c r="AF199" s="5006"/>
      <c r="AG199" s="5006"/>
      <c r="AH199" s="5006"/>
      <c r="AI199" s="5006"/>
      <c r="AJ199" s="5006"/>
      <c r="AK199" s="5006"/>
      <c r="AL199" s="5006"/>
      <c r="AM199" s="5006"/>
    </row>
    <row r="200" spans="2:39" s="5116" customFormat="1" ht="13">
      <c r="B200"/>
      <c r="C200"/>
      <c r="D200"/>
      <c r="E200" s="483"/>
      <c r="F200"/>
      <c r="G200" s="1562"/>
      <c r="H200" s="1562"/>
      <c r="I200" s="1562"/>
      <c r="J200" s="1562"/>
      <c r="K200" s="1562"/>
      <c r="L200" s="1562"/>
      <c r="M200" s="1562"/>
      <c r="N200"/>
      <c r="O200"/>
      <c r="P200" s="1562"/>
      <c r="Q200" s="1562"/>
      <c r="R200"/>
      <c r="S200"/>
      <c r="T200" s="1563"/>
      <c r="U200" s="1563"/>
      <c r="V200" s="1562"/>
      <c r="W200" s="1562"/>
      <c r="X200" s="1562"/>
      <c r="Y200" s="1562"/>
      <c r="Z200" s="1562"/>
      <c r="AA200" s="1562"/>
      <c r="AB200" s="1562"/>
      <c r="AC200" s="5006"/>
      <c r="AD200" s="5006"/>
      <c r="AE200" s="5006"/>
      <c r="AF200" s="5006"/>
      <c r="AG200" s="5006"/>
      <c r="AH200" s="5006"/>
      <c r="AI200" s="5006"/>
      <c r="AJ200" s="5006"/>
      <c r="AK200" s="5006"/>
      <c r="AL200" s="5006"/>
      <c r="AM200" s="5006"/>
    </row>
    <row r="201" spans="2:39" s="5116" customFormat="1" ht="14" customHeight="1">
      <c r="B201"/>
      <c r="C201"/>
      <c r="D201"/>
      <c r="E201" s="483"/>
      <c r="F201"/>
      <c r="G201" s="1562"/>
      <c r="H201" s="1562"/>
      <c r="I201" s="1562"/>
      <c r="J201" s="1562"/>
      <c r="K201" s="1562"/>
      <c r="L201" s="1562"/>
      <c r="M201" s="1562"/>
      <c r="N201"/>
      <c r="O201"/>
      <c r="P201" s="1562"/>
      <c r="Q201" s="1562"/>
      <c r="R201"/>
      <c r="S201"/>
      <c r="T201" s="1563"/>
      <c r="U201" s="1563"/>
      <c r="V201" s="1562"/>
      <c r="W201" s="1562"/>
      <c r="X201" s="1562"/>
      <c r="Y201" s="1562"/>
      <c r="Z201" s="1562"/>
      <c r="AA201" s="1562"/>
      <c r="AB201" s="1562"/>
      <c r="AC201" s="5006"/>
      <c r="AD201" s="5006"/>
      <c r="AE201" s="5006"/>
      <c r="AF201" s="5006"/>
      <c r="AG201" s="5006"/>
      <c r="AH201" s="5006"/>
      <c r="AI201" s="5006"/>
      <c r="AJ201" s="5006"/>
      <c r="AK201" s="5006"/>
      <c r="AL201" s="5006"/>
      <c r="AM201" s="5006"/>
    </row>
    <row r="202" spans="2:39" s="5116" customFormat="1" ht="14" customHeight="1">
      <c r="B202"/>
      <c r="C202"/>
      <c r="D202"/>
      <c r="E202" s="483"/>
      <c r="F202"/>
      <c r="G202" s="1562"/>
      <c r="H202" s="1562"/>
      <c r="I202" s="1562"/>
      <c r="J202" s="1562"/>
      <c r="K202" s="1562"/>
      <c r="L202" s="1562"/>
      <c r="M202" s="1562"/>
      <c r="N202"/>
      <c r="O202"/>
      <c r="P202" s="1562"/>
      <c r="Q202" s="1562"/>
      <c r="R202"/>
      <c r="S202"/>
      <c r="T202" s="1563"/>
      <c r="U202" s="1563"/>
      <c r="V202" s="1562"/>
      <c r="W202" s="1562"/>
      <c r="X202" s="1562"/>
      <c r="Y202" s="1562"/>
      <c r="Z202" s="1562"/>
      <c r="AA202" s="1562"/>
      <c r="AB202" s="1562"/>
      <c r="AC202" s="5006"/>
      <c r="AD202" s="5006"/>
      <c r="AE202" s="5006"/>
      <c r="AF202" s="5006"/>
      <c r="AG202" s="5006"/>
      <c r="AH202" s="5006"/>
      <c r="AI202" s="5006"/>
      <c r="AJ202" s="5006"/>
      <c r="AK202" s="5006"/>
      <c r="AL202" s="5006"/>
      <c r="AM202" s="5006"/>
    </row>
    <row r="203" spans="2:39" s="5116" customFormat="1" ht="14" customHeight="1">
      <c r="B203"/>
      <c r="C203"/>
      <c r="D203"/>
      <c r="E203" s="483"/>
      <c r="F203"/>
      <c r="G203" s="1562"/>
      <c r="H203" s="1562"/>
      <c r="I203" s="1562"/>
      <c r="J203" s="1562"/>
      <c r="K203" s="1562"/>
      <c r="L203" s="1562"/>
      <c r="M203" s="1562"/>
      <c r="N203"/>
      <c r="O203"/>
      <c r="P203" s="1562"/>
      <c r="Q203" s="1562"/>
      <c r="R203"/>
      <c r="S203"/>
      <c r="T203" s="1563"/>
      <c r="U203" s="1563"/>
      <c r="V203" s="1562"/>
      <c r="W203" s="1562"/>
      <c r="X203" s="1562"/>
      <c r="Y203" s="1562"/>
      <c r="Z203" s="1562"/>
      <c r="AA203" s="1562"/>
      <c r="AB203" s="1562"/>
      <c r="AC203" s="5006"/>
      <c r="AD203" s="5006"/>
      <c r="AE203" s="5006"/>
      <c r="AF203" s="5006"/>
      <c r="AG203" s="5006"/>
      <c r="AH203" s="5006"/>
      <c r="AI203" s="5006"/>
      <c r="AJ203" s="5006"/>
      <c r="AK203" s="5006"/>
      <c r="AL203" s="5006"/>
      <c r="AM203" s="5006"/>
    </row>
    <row r="204" spans="2:39" s="5116" customFormat="1" ht="14" customHeight="1">
      <c r="B204"/>
      <c r="C204"/>
      <c r="D204"/>
      <c r="E204" s="483"/>
      <c r="F204"/>
      <c r="G204" s="1562"/>
      <c r="H204" s="1562"/>
      <c r="I204" s="1562"/>
      <c r="J204" s="1562"/>
      <c r="K204" s="1562"/>
      <c r="L204" s="1562"/>
      <c r="M204" s="1562"/>
      <c r="N204"/>
      <c r="O204"/>
      <c r="P204" s="1562"/>
      <c r="Q204" s="1562"/>
      <c r="R204"/>
      <c r="S204"/>
      <c r="T204" s="1563"/>
      <c r="U204" s="1563"/>
      <c r="V204" s="1562"/>
      <c r="W204" s="1562"/>
      <c r="X204" s="1562"/>
      <c r="Y204" s="1562"/>
      <c r="Z204" s="1562"/>
      <c r="AA204" s="1562"/>
      <c r="AB204" s="1562"/>
      <c r="AC204" s="5006"/>
      <c r="AD204" s="5006"/>
      <c r="AE204" s="5006"/>
      <c r="AF204" s="5006"/>
      <c r="AG204" s="5006"/>
      <c r="AH204" s="5006"/>
      <c r="AI204" s="5006"/>
      <c r="AJ204" s="5006"/>
      <c r="AK204" s="5006"/>
      <c r="AL204" s="5006"/>
      <c r="AM204" s="5006"/>
    </row>
    <row r="205" spans="2:39" s="5116" customFormat="1" ht="14" customHeight="1">
      <c r="B205"/>
      <c r="C205"/>
      <c r="D205"/>
      <c r="E205" s="483"/>
      <c r="F205"/>
      <c r="G205" s="1562"/>
      <c r="H205" s="1562"/>
      <c r="I205" s="1562"/>
      <c r="J205" s="1562"/>
      <c r="K205" s="1562"/>
      <c r="L205" s="1562"/>
      <c r="M205" s="1562"/>
      <c r="N205"/>
      <c r="O205"/>
      <c r="P205" s="1562"/>
      <c r="Q205" s="1562"/>
      <c r="R205"/>
      <c r="S205"/>
      <c r="T205" s="1563"/>
      <c r="U205" s="1563"/>
      <c r="V205" s="1562"/>
      <c r="W205" s="1562"/>
      <c r="X205" s="1562"/>
      <c r="Y205" s="1562"/>
      <c r="Z205" s="1562"/>
      <c r="AA205" s="1562"/>
      <c r="AB205" s="1562"/>
      <c r="AC205" s="5006"/>
      <c r="AD205" s="5006"/>
      <c r="AE205" s="5006"/>
      <c r="AF205" s="5006"/>
      <c r="AG205" s="5006"/>
      <c r="AH205" s="5006"/>
      <c r="AI205" s="5006"/>
      <c r="AJ205" s="5006"/>
      <c r="AK205" s="5006"/>
      <c r="AL205" s="5006"/>
      <c r="AM205" s="5006"/>
    </row>
    <row r="206" spans="2:39" s="5116" customFormat="1" ht="14" customHeight="1">
      <c r="B206"/>
      <c r="C206"/>
      <c r="D206"/>
      <c r="E206" s="483"/>
      <c r="F206"/>
      <c r="G206" s="1562"/>
      <c r="H206" s="1562"/>
      <c r="I206" s="1562"/>
      <c r="J206" s="1562"/>
      <c r="K206" s="1562"/>
      <c r="L206" s="1562"/>
      <c r="M206" s="1562"/>
      <c r="N206"/>
      <c r="O206"/>
      <c r="P206" s="1562"/>
      <c r="Q206" s="1562"/>
      <c r="R206"/>
      <c r="S206"/>
      <c r="T206" s="1563"/>
      <c r="U206" s="1563"/>
      <c r="V206" s="1562"/>
      <c r="W206" s="1562"/>
      <c r="X206" s="1562"/>
      <c r="Y206" s="1562"/>
      <c r="Z206" s="1562"/>
      <c r="AA206" s="1562"/>
      <c r="AB206" s="1562"/>
      <c r="AC206" s="5006"/>
      <c r="AD206" s="5006"/>
      <c r="AE206" s="5006"/>
      <c r="AF206" s="5006"/>
      <c r="AG206" s="5006"/>
      <c r="AH206" s="5006"/>
      <c r="AI206" s="5006"/>
      <c r="AJ206" s="5006"/>
      <c r="AK206" s="5006"/>
      <c r="AL206" s="5006"/>
      <c r="AM206" s="5006"/>
    </row>
    <row r="207" spans="2:39" s="5116" customFormat="1" ht="14" customHeight="1">
      <c r="B207"/>
      <c r="C207"/>
      <c r="D207"/>
      <c r="E207" s="483"/>
      <c r="F207"/>
      <c r="G207" s="1562"/>
      <c r="H207" s="1562"/>
      <c r="I207" s="1562"/>
      <c r="J207" s="1562"/>
      <c r="K207" s="1562"/>
      <c r="L207" s="1562"/>
      <c r="M207" s="1562"/>
      <c r="N207"/>
      <c r="O207"/>
      <c r="P207" s="1562"/>
      <c r="Q207" s="1562"/>
      <c r="R207"/>
      <c r="S207"/>
      <c r="T207" s="1563"/>
      <c r="U207" s="1563"/>
      <c r="V207" s="1562"/>
      <c r="W207" s="1562"/>
      <c r="X207" s="1562"/>
      <c r="Y207" s="1562"/>
      <c r="Z207" s="1562"/>
      <c r="AA207" s="1562"/>
      <c r="AB207" s="1562"/>
      <c r="AC207" s="5006"/>
      <c r="AD207" s="5006"/>
      <c r="AE207" s="5006"/>
      <c r="AF207" s="5006"/>
      <c r="AG207" s="5006"/>
      <c r="AH207" s="5006"/>
      <c r="AI207" s="5006"/>
      <c r="AJ207" s="5006"/>
      <c r="AK207" s="5006"/>
      <c r="AL207" s="5006"/>
      <c r="AM207" s="5006"/>
    </row>
    <row r="208" spans="2:39" s="5116" customFormat="1" ht="14" customHeight="1">
      <c r="B208"/>
      <c r="C208"/>
      <c r="D208"/>
      <c r="E208" s="483"/>
      <c r="F208"/>
      <c r="G208" s="1562"/>
      <c r="H208" s="1562"/>
      <c r="I208" s="1562"/>
      <c r="J208" s="1562"/>
      <c r="K208" s="1562"/>
      <c r="L208" s="1562"/>
      <c r="M208" s="1562"/>
      <c r="N208"/>
      <c r="O208"/>
      <c r="P208" s="1562"/>
      <c r="Q208" s="1562"/>
      <c r="R208"/>
      <c r="S208"/>
      <c r="T208" s="1563"/>
      <c r="U208" s="1563"/>
      <c r="V208" s="1562"/>
      <c r="W208" s="1562"/>
      <c r="X208" s="1562"/>
      <c r="Y208" s="1562"/>
      <c r="Z208" s="1562"/>
      <c r="AA208" s="1562"/>
      <c r="AB208" s="1562"/>
      <c r="AC208" s="5006"/>
      <c r="AD208" s="5006"/>
      <c r="AE208" s="5006"/>
      <c r="AF208" s="5006"/>
      <c r="AG208" s="5006"/>
      <c r="AH208" s="5006"/>
      <c r="AI208" s="5006"/>
      <c r="AJ208" s="5006"/>
      <c r="AK208" s="5006"/>
      <c r="AL208" s="5006"/>
      <c r="AM208" s="5006"/>
    </row>
    <row r="209" spans="2:41" s="5116" customFormat="1" ht="14" customHeight="1">
      <c r="B209"/>
      <c r="C209"/>
      <c r="D209"/>
      <c r="E209" s="483"/>
      <c r="F209"/>
      <c r="G209" s="1562"/>
      <c r="H209" s="1562"/>
      <c r="I209" s="1562"/>
      <c r="J209" s="1562"/>
      <c r="K209" s="1562"/>
      <c r="L209" s="1562"/>
      <c r="M209" s="1562"/>
      <c r="N209"/>
      <c r="O209"/>
      <c r="P209" s="1562"/>
      <c r="Q209" s="1562"/>
      <c r="R209"/>
      <c r="S209"/>
      <c r="T209" s="1563"/>
      <c r="U209" s="1563"/>
      <c r="V209" s="1562"/>
      <c r="W209" s="1562"/>
      <c r="X209" s="1562"/>
      <c r="Y209" s="1562"/>
      <c r="Z209" s="1562"/>
      <c r="AA209" s="1562"/>
      <c r="AB209" s="1562"/>
      <c r="AC209" s="5006"/>
      <c r="AD209" s="5006"/>
      <c r="AE209" s="5006"/>
      <c r="AF209" s="5006"/>
      <c r="AG209" s="5006"/>
      <c r="AH209" s="5006"/>
      <c r="AI209" s="5006"/>
      <c r="AJ209" s="5006"/>
      <c r="AK209" s="5006"/>
      <c r="AL209" s="5006"/>
      <c r="AM209" s="5006"/>
    </row>
    <row r="210" spans="2:41" s="5116" customFormat="1" ht="14" customHeight="1">
      <c r="B210"/>
      <c r="C210"/>
      <c r="D210"/>
      <c r="E210" s="483"/>
      <c r="F210"/>
      <c r="G210" s="1562"/>
      <c r="H210" s="1562"/>
      <c r="I210" s="1562"/>
      <c r="J210" s="1562"/>
      <c r="K210" s="1562"/>
      <c r="L210" s="1562"/>
      <c r="M210" s="1562"/>
      <c r="N210"/>
      <c r="O210"/>
      <c r="P210" s="1562"/>
      <c r="Q210" s="1562"/>
      <c r="R210"/>
      <c r="S210"/>
      <c r="T210" s="1563"/>
      <c r="U210" s="1563"/>
      <c r="V210" s="1562"/>
      <c r="W210" s="1562"/>
      <c r="X210" s="1562"/>
      <c r="Y210" s="1562"/>
      <c r="Z210" s="1562"/>
      <c r="AA210" s="1562"/>
      <c r="AB210" s="1562"/>
      <c r="AC210" s="5006"/>
      <c r="AD210" s="5006"/>
      <c r="AE210" s="5006"/>
      <c r="AF210" s="5006"/>
      <c r="AG210" s="5006"/>
      <c r="AH210" s="5006"/>
      <c r="AI210" s="5006"/>
      <c r="AJ210" s="5006"/>
      <c r="AK210" s="5006"/>
      <c r="AL210" s="5006"/>
      <c r="AM210" s="5006"/>
    </row>
    <row r="211" spans="2:41" s="5116" customFormat="1" ht="14" customHeight="1">
      <c r="B211"/>
      <c r="C211"/>
      <c r="D211"/>
      <c r="E211" s="483"/>
      <c r="F211"/>
      <c r="G211" s="1562"/>
      <c r="H211" s="1562"/>
      <c r="I211" s="1562"/>
      <c r="J211" s="1562"/>
      <c r="K211" s="1562"/>
      <c r="L211" s="1562"/>
      <c r="M211" s="1562"/>
      <c r="N211"/>
      <c r="O211"/>
      <c r="P211" s="1562"/>
      <c r="Q211" s="1562"/>
      <c r="R211"/>
      <c r="S211"/>
      <c r="T211" s="1563"/>
      <c r="U211" s="1563"/>
      <c r="V211" s="1562"/>
      <c r="W211" s="1562"/>
      <c r="X211" s="1562"/>
      <c r="Y211" s="1562"/>
      <c r="Z211" s="1562"/>
      <c r="AA211" s="1562"/>
      <c r="AB211" s="1562"/>
      <c r="AC211" s="5006"/>
      <c r="AD211" s="5006"/>
      <c r="AE211" s="5006"/>
      <c r="AF211" s="5006"/>
      <c r="AG211" s="5006"/>
      <c r="AH211" s="5006"/>
      <c r="AI211" s="5006"/>
      <c r="AJ211" s="5006"/>
      <c r="AK211" s="5006"/>
      <c r="AL211" s="5006"/>
      <c r="AM211" s="5006"/>
    </row>
    <row r="212" spans="2:41" s="5116" customFormat="1" ht="14" customHeight="1">
      <c r="B212"/>
      <c r="C212"/>
      <c r="D212"/>
      <c r="E212" s="483"/>
      <c r="F212"/>
      <c r="G212" s="1562"/>
      <c r="H212" s="1562"/>
      <c r="I212" s="1562"/>
      <c r="J212" s="1562"/>
      <c r="K212" s="1562"/>
      <c r="L212" s="1562"/>
      <c r="M212" s="1562"/>
      <c r="N212"/>
      <c r="O212"/>
      <c r="P212" s="1562"/>
      <c r="Q212" s="1562"/>
      <c r="R212"/>
      <c r="S212"/>
      <c r="T212" s="1563"/>
      <c r="U212" s="1563"/>
      <c r="V212" s="1562"/>
      <c r="W212" s="1562"/>
      <c r="X212" s="1562"/>
      <c r="Y212" s="1562"/>
      <c r="Z212" s="1562"/>
      <c r="AA212" s="1562"/>
      <c r="AB212" s="1562"/>
      <c r="AC212" s="5006"/>
      <c r="AD212" s="5006"/>
      <c r="AE212" s="5006"/>
      <c r="AF212" s="5006"/>
      <c r="AG212" s="5006"/>
      <c r="AH212" s="5006"/>
      <c r="AI212" s="5006"/>
      <c r="AJ212" s="5006"/>
      <c r="AK212" s="5006"/>
      <c r="AL212" s="5006"/>
      <c r="AM212" s="5006"/>
    </row>
    <row r="213" spans="2:41" s="5116" customFormat="1" ht="14" customHeight="1">
      <c r="B213"/>
      <c r="C213"/>
      <c r="D213"/>
      <c r="E213" s="483"/>
      <c r="F213"/>
      <c r="G213" s="1562"/>
      <c r="H213" s="1562"/>
      <c r="I213" s="1562"/>
      <c r="J213" s="1562"/>
      <c r="K213" s="1562"/>
      <c r="L213" s="1562"/>
      <c r="M213" s="1562"/>
      <c r="N213"/>
      <c r="O213"/>
      <c r="P213" s="1562"/>
      <c r="Q213" s="1562"/>
      <c r="R213"/>
      <c r="S213"/>
      <c r="T213" s="1563"/>
      <c r="U213" s="1563"/>
      <c r="V213" s="1562"/>
      <c r="W213" s="1562"/>
      <c r="X213" s="1562"/>
      <c r="Y213" s="1562"/>
      <c r="Z213" s="1562"/>
      <c r="AA213" s="1562"/>
      <c r="AB213" s="1562"/>
      <c r="AC213" s="5006"/>
      <c r="AD213" s="5006"/>
      <c r="AE213" s="5006"/>
      <c r="AF213" s="5006"/>
      <c r="AG213" s="5006"/>
      <c r="AH213" s="5006"/>
      <c r="AI213" s="5006"/>
      <c r="AJ213" s="5006"/>
      <c r="AK213" s="5006"/>
      <c r="AL213" s="5006"/>
      <c r="AM213" s="5006"/>
    </row>
    <row r="214" spans="2:41" s="5116" customFormat="1" ht="14" customHeight="1">
      <c r="B214"/>
      <c r="C214"/>
      <c r="D214"/>
      <c r="E214" s="483"/>
      <c r="F214"/>
      <c r="G214" s="1562"/>
      <c r="H214" s="1562"/>
      <c r="I214" s="1562"/>
      <c r="J214" s="1562"/>
      <c r="K214" s="1562"/>
      <c r="L214" s="1562"/>
      <c r="M214" s="1562"/>
      <c r="N214"/>
      <c r="O214"/>
      <c r="P214" s="1562"/>
      <c r="Q214" s="1562"/>
      <c r="R214"/>
      <c r="S214"/>
      <c r="T214" s="1563"/>
      <c r="U214" s="1563"/>
      <c r="V214" s="1562"/>
      <c r="W214" s="1562"/>
      <c r="X214" s="1562"/>
      <c r="Y214" s="1562"/>
      <c r="Z214" s="1562"/>
      <c r="AA214" s="1562"/>
      <c r="AB214" s="1562"/>
      <c r="AC214" s="5006"/>
      <c r="AD214" s="5006"/>
      <c r="AE214" s="5006"/>
      <c r="AF214" s="5006"/>
      <c r="AG214" s="5006"/>
      <c r="AH214" s="5006"/>
      <c r="AI214" s="5006"/>
      <c r="AJ214" s="5006"/>
      <c r="AK214" s="5006"/>
      <c r="AL214" s="5006"/>
      <c r="AM214" s="5006"/>
    </row>
    <row r="215" spans="2:41" s="5116" customFormat="1" ht="14" customHeight="1">
      <c r="B215"/>
      <c r="C215"/>
      <c r="D215"/>
      <c r="E215" s="483"/>
      <c r="F215"/>
      <c r="G215" s="1562"/>
      <c r="H215" s="1562"/>
      <c r="I215" s="1562"/>
      <c r="J215" s="1562"/>
      <c r="K215" s="1562"/>
      <c r="L215" s="1562"/>
      <c r="M215" s="1562"/>
      <c r="N215"/>
      <c r="O215"/>
      <c r="P215" s="1562"/>
      <c r="Q215" s="1562"/>
      <c r="R215"/>
      <c r="S215"/>
      <c r="T215" s="1563"/>
      <c r="U215" s="1563"/>
      <c r="V215" s="1562"/>
      <c r="W215" s="1562"/>
      <c r="X215" s="1562"/>
      <c r="Y215" s="1562"/>
      <c r="Z215" s="1562"/>
      <c r="AA215" s="1562"/>
      <c r="AB215" s="1562"/>
      <c r="AC215" s="5006"/>
      <c r="AD215" s="5006"/>
      <c r="AE215" s="5006"/>
      <c r="AF215" s="5006"/>
      <c r="AG215" s="5006"/>
      <c r="AH215" s="5006"/>
      <c r="AI215" s="5006"/>
      <c r="AJ215" s="5006"/>
      <c r="AK215" s="5006"/>
      <c r="AL215" s="5006"/>
      <c r="AM215" s="5006"/>
    </row>
    <row r="216" spans="2:41" s="5116" customFormat="1" ht="14" customHeight="1">
      <c r="B216"/>
      <c r="C216"/>
      <c r="D216"/>
      <c r="E216" s="483"/>
      <c r="F216"/>
      <c r="G216" s="1562"/>
      <c r="H216" s="1562"/>
      <c r="I216" s="1562"/>
      <c r="J216" s="1562"/>
      <c r="K216" s="1562"/>
      <c r="L216" s="1562"/>
      <c r="M216" s="1562"/>
      <c r="N216"/>
      <c r="O216"/>
      <c r="P216" s="1562"/>
      <c r="Q216" s="1562"/>
      <c r="R216"/>
      <c r="S216"/>
      <c r="T216" s="1563"/>
      <c r="U216" s="1563"/>
      <c r="V216" s="1562"/>
      <c r="W216" s="1562"/>
      <c r="X216" s="1562"/>
      <c r="Y216" s="1562"/>
      <c r="Z216" s="1562"/>
      <c r="AA216" s="1562"/>
      <c r="AB216" s="1562"/>
      <c r="AC216" s="5006"/>
      <c r="AD216" s="5006"/>
      <c r="AE216" s="5006"/>
      <c r="AF216" s="5006"/>
      <c r="AG216" s="5006"/>
      <c r="AH216" s="5006"/>
      <c r="AI216" s="5006"/>
      <c r="AJ216" s="5006"/>
      <c r="AK216" s="5006"/>
      <c r="AL216" s="5006"/>
      <c r="AM216" s="5006"/>
    </row>
    <row r="217" spans="2:41" s="5116" customFormat="1" ht="14" customHeight="1">
      <c r="B217"/>
      <c r="D217" s="5118"/>
      <c r="E217" s="5179"/>
      <c r="F217" s="5119"/>
      <c r="G217" s="5120"/>
      <c r="H217" s="5120"/>
      <c r="I217" s="5120"/>
      <c r="J217" s="5120"/>
      <c r="K217" s="5120"/>
      <c r="L217" s="5120"/>
      <c r="M217" s="5120"/>
      <c r="N217" s="5121"/>
      <c r="O217" s="5119"/>
      <c r="P217" s="1562"/>
      <c r="Q217" s="1562"/>
      <c r="R217"/>
      <c r="S217"/>
      <c r="T217" s="1563"/>
      <c r="U217" s="1563"/>
      <c r="V217" s="1562"/>
      <c r="W217" s="1562"/>
      <c r="X217" s="1562"/>
      <c r="Y217" s="1562"/>
      <c r="Z217" s="1562"/>
      <c r="AA217" s="1562"/>
      <c r="AB217" s="1562"/>
      <c r="AC217" s="5006"/>
      <c r="AD217" s="5006"/>
      <c r="AE217" s="5006"/>
      <c r="AF217" s="5006"/>
      <c r="AG217" s="5006"/>
      <c r="AH217" s="5006"/>
      <c r="AI217" s="5006"/>
      <c r="AJ217" s="5006"/>
      <c r="AK217" s="5006"/>
      <c r="AL217" s="5006"/>
      <c r="AM217" s="5006"/>
    </row>
    <row r="218" spans="2:41" s="5116" customFormat="1" ht="14" customHeight="1">
      <c r="B218"/>
      <c r="D218" s="5118"/>
      <c r="E218" s="5179"/>
      <c r="F218" s="5119"/>
      <c r="G218" s="5120"/>
      <c r="H218" s="5120"/>
      <c r="I218" s="5120"/>
      <c r="J218" s="5120"/>
      <c r="K218" s="5120"/>
      <c r="L218" s="5120"/>
      <c r="M218" s="5120"/>
      <c r="N218" s="5121"/>
      <c r="O218" s="5119"/>
      <c r="P218" s="1562"/>
      <c r="Q218" s="1562"/>
      <c r="R218"/>
      <c r="S218"/>
      <c r="T218" s="1563"/>
      <c r="U218" s="1563"/>
      <c r="V218" s="1562"/>
      <c r="W218" s="1562"/>
      <c r="X218" s="1562"/>
      <c r="Y218" s="1562"/>
      <c r="Z218" s="1562"/>
      <c r="AA218" s="1562"/>
      <c r="AB218" s="1562"/>
      <c r="AC218" s="5006"/>
      <c r="AD218" s="5006"/>
      <c r="AE218" s="5006"/>
      <c r="AF218" s="5006"/>
      <c r="AG218" s="5006"/>
      <c r="AH218" s="5006"/>
      <c r="AI218" s="5006"/>
      <c r="AJ218" s="5006"/>
      <c r="AK218" s="5006"/>
      <c r="AL218" s="5006"/>
      <c r="AM218" s="5006"/>
    </row>
    <row r="219" spans="2:41" s="5116" customFormat="1" ht="14" customHeight="1">
      <c r="B219"/>
      <c r="D219" s="5118"/>
      <c r="E219" s="5179"/>
      <c r="F219" s="5119"/>
      <c r="G219" s="5120"/>
      <c r="H219" s="5120"/>
      <c r="I219" s="5120"/>
      <c r="J219" s="5120"/>
      <c r="K219" s="5120"/>
      <c r="L219" s="5120"/>
      <c r="M219" s="5120"/>
      <c r="N219" s="5121"/>
      <c r="O219" s="5119"/>
      <c r="P219" s="1562"/>
      <c r="Q219" s="1562"/>
      <c r="R219"/>
      <c r="S219"/>
      <c r="T219" s="1563"/>
      <c r="U219" s="1563"/>
      <c r="V219" s="1562"/>
      <c r="W219" s="1562"/>
      <c r="X219" s="1562"/>
      <c r="Y219" s="1562"/>
      <c r="Z219" s="1562"/>
      <c r="AA219" s="1562"/>
      <c r="AB219" s="1562"/>
      <c r="AC219" s="5006"/>
      <c r="AD219" s="5006"/>
      <c r="AE219" s="5006"/>
      <c r="AF219" s="5006"/>
      <c r="AG219" s="5006"/>
      <c r="AH219" s="5006"/>
      <c r="AI219" s="5006"/>
      <c r="AJ219" s="5006"/>
      <c r="AK219" s="5006"/>
      <c r="AL219" s="5006"/>
      <c r="AM219" s="5006"/>
    </row>
    <row r="220" spans="2:41" s="5116" customFormat="1" ht="14" customHeight="1">
      <c r="B220"/>
      <c r="D220" s="5118"/>
      <c r="E220" s="5179"/>
      <c r="F220" s="5119"/>
      <c r="G220" s="5120"/>
      <c r="H220" s="5120"/>
      <c r="I220" s="5120"/>
      <c r="J220" s="5120"/>
      <c r="K220" s="5120"/>
      <c r="L220" s="5120"/>
      <c r="M220" s="5120"/>
      <c r="N220" s="5121"/>
      <c r="O220" s="5119"/>
      <c r="P220" s="1562"/>
      <c r="Q220" s="1562"/>
      <c r="R220"/>
      <c r="S220"/>
      <c r="T220" s="1563"/>
      <c r="U220" s="1563"/>
      <c r="V220" s="1562"/>
      <c r="W220" s="1562"/>
      <c r="X220" s="1562"/>
      <c r="Y220" s="1562"/>
      <c r="Z220" s="1562"/>
      <c r="AA220" s="1562"/>
      <c r="AB220" s="1562"/>
      <c r="AC220" s="5006"/>
      <c r="AD220" s="5006"/>
      <c r="AE220" s="5006"/>
      <c r="AF220" s="5006"/>
      <c r="AG220" s="5006"/>
      <c r="AH220" s="5006"/>
      <c r="AI220" s="5006"/>
      <c r="AJ220" s="5006"/>
      <c r="AK220" s="5006"/>
      <c r="AL220" s="5006"/>
      <c r="AM220" s="5006"/>
    </row>
    <row r="221" spans="2:41" s="5116" customFormat="1" ht="14" customHeight="1">
      <c r="B221"/>
      <c r="D221" s="5118"/>
      <c r="E221" s="5179"/>
      <c r="F221" s="5119"/>
      <c r="G221" s="5120"/>
      <c r="H221" s="5120"/>
      <c r="I221" s="5120"/>
      <c r="J221" s="5120"/>
      <c r="K221" s="5120"/>
      <c r="L221" s="5120"/>
      <c r="M221" s="5120"/>
      <c r="N221" s="5121"/>
      <c r="O221" s="5119"/>
      <c r="P221" s="1562"/>
      <c r="Q221" s="1562"/>
      <c r="R221"/>
      <c r="S221"/>
      <c r="T221" s="1563"/>
      <c r="U221" s="1563"/>
      <c r="V221" s="1562">
        <f>SUBTOTAL(9,V179:V220)</f>
        <v>0</v>
      </c>
      <c r="W221" s="1562">
        <f t="shared" ref="W221:AB221" si="67">SUBTOTAL(9,W179:W220)</f>
        <v>0</v>
      </c>
      <c r="X221" s="1562">
        <f t="shared" si="67"/>
        <v>0</v>
      </c>
      <c r="Y221" s="1562">
        <f t="shared" si="67"/>
        <v>0</v>
      </c>
      <c r="Z221" s="1562">
        <f t="shared" si="67"/>
        <v>0</v>
      </c>
      <c r="AA221" s="1562">
        <f t="shared" si="67"/>
        <v>0</v>
      </c>
      <c r="AB221" s="1562">
        <f t="shared" si="67"/>
        <v>0</v>
      </c>
      <c r="AC221" s="5006"/>
      <c r="AD221" s="5006"/>
      <c r="AE221" s="5006"/>
      <c r="AF221" s="5006"/>
      <c r="AG221" s="5006"/>
      <c r="AH221" s="5006"/>
      <c r="AI221" s="5006"/>
      <c r="AJ221" s="5006"/>
      <c r="AK221" s="5006"/>
      <c r="AL221" s="5006"/>
      <c r="AM221" s="5006"/>
    </row>
    <row r="222" spans="2:41" s="5005" customFormat="1" ht="14" customHeight="1">
      <c r="B222" s="5054"/>
      <c r="D222" s="5122"/>
      <c r="E222" s="5180"/>
      <c r="F222" s="5123"/>
      <c r="G222" s="5124"/>
      <c r="H222" s="5124"/>
      <c r="I222" s="5124"/>
      <c r="J222" s="5124"/>
      <c r="K222" s="5124"/>
      <c r="L222" s="5124"/>
      <c r="M222" s="5124"/>
      <c r="N222" s="5121"/>
      <c r="O222" s="5123"/>
      <c r="P222" s="1566"/>
      <c r="Q222" s="1566"/>
      <c r="R222" s="1567"/>
      <c r="S222" s="1567"/>
      <c r="T222" s="1568"/>
      <c r="U222" s="1568"/>
      <c r="V222"/>
      <c r="W222"/>
      <c r="X222"/>
      <c r="Y222"/>
      <c r="Z222"/>
      <c r="AA222"/>
      <c r="AB222"/>
      <c r="AC222" s="5006"/>
      <c r="AD222" s="5006"/>
      <c r="AE222" s="5006"/>
      <c r="AF222" s="5006"/>
      <c r="AG222" s="5006"/>
      <c r="AH222" s="5006"/>
      <c r="AI222" s="5006"/>
      <c r="AJ222" s="5006"/>
      <c r="AK222" s="5006"/>
      <c r="AL222" s="5006"/>
      <c r="AM222" s="5006"/>
    </row>
    <row r="223" spans="2:41" s="5005" customFormat="1" ht="14" customHeight="1">
      <c r="B223" s="5054"/>
      <c r="D223" s="5122"/>
      <c r="E223" s="5180"/>
      <c r="F223" s="5123"/>
      <c r="G223" s="5124"/>
      <c r="H223" s="5124"/>
      <c r="I223" s="5124"/>
      <c r="J223" s="5124"/>
      <c r="K223" s="5124"/>
      <c r="L223" s="5124"/>
      <c r="M223" s="5124"/>
      <c r="N223" s="5121"/>
      <c r="O223" s="5123"/>
      <c r="P223" s="1566"/>
      <c r="Q223" s="1566"/>
      <c r="R223" s="1567"/>
      <c r="S223" s="1567"/>
      <c r="T223" s="1567"/>
      <c r="U223" s="1567"/>
      <c r="V223">
        <f>SUBTOTAL(9,V181:V222)</f>
        <v>0</v>
      </c>
      <c r="W223">
        <f t="shared" ref="W223:AB223" si="68">SUBTOTAL(9,W181:W222)</f>
        <v>0</v>
      </c>
      <c r="X223">
        <f t="shared" si="68"/>
        <v>0</v>
      </c>
      <c r="Y223">
        <f t="shared" si="68"/>
        <v>0</v>
      </c>
      <c r="Z223">
        <f t="shared" si="68"/>
        <v>0</v>
      </c>
      <c r="AA223">
        <f t="shared" si="68"/>
        <v>0</v>
      </c>
      <c r="AB223">
        <f t="shared" si="68"/>
        <v>0</v>
      </c>
      <c r="AC223" s="5117"/>
      <c r="AE223" s="5006"/>
      <c r="AF223" s="5006"/>
      <c r="AG223" s="5006"/>
      <c r="AH223" s="5006"/>
      <c r="AI223" s="5006"/>
      <c r="AJ223" s="5006"/>
      <c r="AK223" s="5006"/>
      <c r="AL223" s="5006"/>
      <c r="AM223" s="5006"/>
      <c r="AN223" s="5006"/>
      <c r="AO223" s="5006"/>
    </row>
    <row r="224" spans="2:41" s="5005" customFormat="1" ht="14" customHeight="1">
      <c r="B224" s="5054"/>
      <c r="D224" s="5122"/>
      <c r="E224" s="5180"/>
      <c r="F224" s="5123"/>
      <c r="G224" s="5124"/>
      <c r="H224" s="5124"/>
      <c r="I224" s="5124"/>
      <c r="J224" s="5124"/>
      <c r="K224" s="5124"/>
      <c r="L224" s="5124"/>
      <c r="M224" s="5124"/>
      <c r="N224" s="5121"/>
      <c r="O224" s="5123"/>
      <c r="P224" s="1566"/>
      <c r="Q224" s="1566"/>
      <c r="R224" s="1567"/>
      <c r="S224" s="1567"/>
      <c r="T224" s="1568"/>
      <c r="U224" s="1568"/>
      <c r="V224"/>
      <c r="W224"/>
      <c r="X224"/>
      <c r="Y224"/>
      <c r="Z224"/>
      <c r="AA224"/>
      <c r="AB224"/>
      <c r="AC224" s="5006"/>
      <c r="AD224" s="5006"/>
      <c r="AE224" s="5006"/>
      <c r="AF224" s="5006"/>
      <c r="AG224" s="5006"/>
      <c r="AH224" s="5006"/>
      <c r="AI224" s="5006"/>
      <c r="AJ224" s="5006"/>
      <c r="AK224" s="5006"/>
      <c r="AL224" s="5006"/>
      <c r="AM224" s="5006"/>
    </row>
    <row r="225" spans="2:39" s="5005" customFormat="1" ht="14" customHeight="1">
      <c r="B225" s="5054"/>
      <c r="D225" s="5122"/>
      <c r="E225" s="5180"/>
      <c r="F225" s="5123"/>
      <c r="G225" s="5124"/>
      <c r="H225" s="5124"/>
      <c r="I225" s="5124"/>
      <c r="J225" s="5124"/>
      <c r="K225" s="5124"/>
      <c r="L225" s="5124"/>
      <c r="M225" s="5124"/>
      <c r="N225" s="5121"/>
      <c r="O225" s="5123"/>
      <c r="P225" s="1566"/>
      <c r="Q225" s="1566"/>
      <c r="R225" s="1567"/>
      <c r="S225" s="1567"/>
      <c r="T225" s="1568"/>
      <c r="U225" s="1568"/>
      <c r="V225"/>
      <c r="W225"/>
      <c r="X225"/>
      <c r="Y225"/>
      <c r="Z225"/>
      <c r="AA225"/>
      <c r="AB225"/>
      <c r="AC225" s="5006"/>
      <c r="AD225" s="5006"/>
      <c r="AE225" s="5006"/>
      <c r="AF225" s="5006"/>
      <c r="AG225" s="5006"/>
      <c r="AH225" s="5006"/>
      <c r="AI225" s="5006"/>
      <c r="AJ225" s="5006"/>
      <c r="AK225" s="5006"/>
      <c r="AL225" s="5006"/>
      <c r="AM225" s="5006"/>
    </row>
    <row r="226" spans="2:39" s="5005" customFormat="1" ht="14" customHeight="1">
      <c r="B226" s="5054"/>
      <c r="D226" s="5122"/>
      <c r="E226" s="5180"/>
      <c r="F226" s="5123"/>
      <c r="G226" s="5124"/>
      <c r="H226" s="5124"/>
      <c r="I226" s="5124"/>
      <c r="J226" s="5124"/>
      <c r="K226" s="5124"/>
      <c r="L226" s="5124"/>
      <c r="M226" s="5124"/>
      <c r="N226" s="5121"/>
      <c r="O226" s="5123"/>
      <c r="P226" s="1566"/>
      <c r="Q226" s="1566"/>
      <c r="R226" s="1567"/>
      <c r="S226" s="1567"/>
      <c r="T226" s="1568"/>
      <c r="U226" s="1568"/>
      <c r="V226"/>
      <c r="W226"/>
      <c r="X226"/>
      <c r="Y226"/>
      <c r="Z226"/>
      <c r="AA226"/>
      <c r="AB226"/>
      <c r="AC226" s="5006"/>
      <c r="AD226" s="5006"/>
      <c r="AE226" s="5006"/>
      <c r="AF226" s="5006"/>
      <c r="AG226" s="5006"/>
      <c r="AH226" s="5006"/>
      <c r="AI226" s="5006"/>
      <c r="AJ226" s="5006"/>
      <c r="AK226" s="5006"/>
      <c r="AL226" s="5006"/>
      <c r="AM226" s="5006"/>
    </row>
    <row r="227" spans="2:39" s="5005" customFormat="1" ht="14" customHeight="1">
      <c r="B227" s="5054"/>
      <c r="D227" s="5122"/>
      <c r="E227" s="5180"/>
      <c r="F227" s="5123"/>
      <c r="G227" s="5124"/>
      <c r="H227" s="5124"/>
      <c r="I227" s="5124"/>
      <c r="J227" s="5124"/>
      <c r="K227" s="5124"/>
      <c r="L227" s="5124"/>
      <c r="M227" s="5124"/>
      <c r="N227" s="5121"/>
      <c r="O227" s="5123"/>
      <c r="P227" s="1566"/>
      <c r="Q227" s="1566"/>
      <c r="R227" s="1567"/>
      <c r="S227" s="1567"/>
      <c r="T227" s="1568"/>
      <c r="U227" s="1568"/>
      <c r="V227"/>
      <c r="W227"/>
      <c r="X227"/>
      <c r="Y227"/>
      <c r="Z227"/>
      <c r="AA227"/>
      <c r="AB227"/>
      <c r="AC227" s="5006"/>
      <c r="AD227" s="5006"/>
      <c r="AE227" s="5006"/>
      <c r="AF227" s="5006"/>
      <c r="AG227" s="5006"/>
      <c r="AH227" s="5006"/>
      <c r="AI227" s="5006"/>
      <c r="AJ227" s="5006"/>
      <c r="AK227" s="5006"/>
      <c r="AL227" s="5006"/>
      <c r="AM227" s="5006"/>
    </row>
    <row r="228" spans="2:39" s="5005" customFormat="1" ht="14" customHeight="1">
      <c r="B228" s="5054"/>
      <c r="D228" s="5122"/>
      <c r="E228" s="5180"/>
      <c r="F228" s="5123"/>
      <c r="G228" s="5124"/>
      <c r="H228" s="5124"/>
      <c r="I228" s="5124"/>
      <c r="J228" s="5124"/>
      <c r="K228" s="5124"/>
      <c r="L228" s="5124"/>
      <c r="M228" s="5124"/>
      <c r="N228" s="5121"/>
      <c r="O228" s="5123"/>
      <c r="P228" s="1566"/>
      <c r="Q228" s="1566"/>
      <c r="R228" s="1567"/>
      <c r="S228" s="1567"/>
      <c r="T228" s="1568"/>
      <c r="U228" s="1568"/>
      <c r="V228"/>
      <c r="W228"/>
      <c r="X228"/>
      <c r="Y228"/>
      <c r="Z228"/>
      <c r="AA228"/>
      <c r="AB228"/>
      <c r="AC228" s="5006"/>
      <c r="AD228" s="5006"/>
      <c r="AE228" s="5006"/>
      <c r="AF228" s="5006"/>
      <c r="AG228" s="5006"/>
      <c r="AH228" s="5006"/>
      <c r="AI228" s="5006"/>
      <c r="AJ228" s="5006"/>
      <c r="AK228" s="5006"/>
      <c r="AL228" s="5006"/>
      <c r="AM228" s="5006"/>
    </row>
    <row r="229" spans="2:39" s="5005" customFormat="1" ht="14" customHeight="1">
      <c r="B229" s="5054"/>
      <c r="D229" s="5122"/>
      <c r="E229" s="5180"/>
      <c r="F229" s="5123"/>
      <c r="G229" s="5124"/>
      <c r="H229" s="5124"/>
      <c r="I229" s="5124"/>
      <c r="J229" s="5124"/>
      <c r="K229" s="5124"/>
      <c r="L229" s="5124"/>
      <c r="M229" s="5124"/>
      <c r="N229" s="5121"/>
      <c r="O229" s="5123"/>
      <c r="P229" s="1566"/>
      <c r="Q229" s="1566"/>
      <c r="R229" s="1567"/>
      <c r="S229" s="1567"/>
      <c r="T229" s="1568"/>
      <c r="U229" s="1568"/>
      <c r="V229"/>
      <c r="W229"/>
      <c r="X229"/>
      <c r="Y229"/>
      <c r="Z229"/>
      <c r="AA229"/>
      <c r="AB229"/>
      <c r="AC229" s="5006"/>
      <c r="AD229" s="5006"/>
      <c r="AE229" s="5006"/>
      <c r="AF229" s="5006"/>
      <c r="AG229" s="5006"/>
      <c r="AH229" s="5006"/>
      <c r="AI229" s="5006"/>
      <c r="AJ229" s="5006"/>
      <c r="AK229" s="5006"/>
      <c r="AL229" s="5006"/>
      <c r="AM229" s="5006"/>
    </row>
    <row r="230" spans="2:39" s="5005" customFormat="1" ht="14" customHeight="1">
      <c r="B230" s="5054"/>
      <c r="D230" s="5122"/>
      <c r="E230" s="5180"/>
      <c r="F230" s="5123"/>
      <c r="G230" s="5124"/>
      <c r="H230" s="5124"/>
      <c r="I230" s="5124"/>
      <c r="J230" s="5124"/>
      <c r="K230" s="5124"/>
      <c r="L230" s="5124"/>
      <c r="M230" s="5124"/>
      <c r="N230" s="5121"/>
      <c r="O230" s="5123"/>
      <c r="P230" s="1566"/>
      <c r="Q230" s="1566"/>
      <c r="R230" s="1567"/>
      <c r="S230" s="1567"/>
      <c r="T230" s="1568"/>
      <c r="U230" s="1568"/>
      <c r="V230"/>
      <c r="W230"/>
      <c r="X230"/>
      <c r="Y230"/>
      <c r="Z230"/>
      <c r="AA230"/>
      <c r="AB230"/>
      <c r="AC230" s="5006"/>
      <c r="AD230" s="5006"/>
      <c r="AE230" s="5006"/>
      <c r="AF230" s="5006"/>
      <c r="AG230" s="5006"/>
      <c r="AH230" s="5006"/>
      <c r="AI230" s="5006"/>
      <c r="AJ230" s="5006"/>
      <c r="AK230" s="5006"/>
      <c r="AL230" s="5006"/>
      <c r="AM230" s="5006"/>
    </row>
    <row r="231" spans="2:39" s="5005" customFormat="1" ht="14" customHeight="1">
      <c r="B231" s="5054"/>
      <c r="D231" s="5122"/>
      <c r="E231" s="5180"/>
      <c r="F231" s="5123"/>
      <c r="G231" s="5124"/>
      <c r="H231" s="5124"/>
      <c r="I231" s="5124"/>
      <c r="J231" s="5124"/>
      <c r="K231" s="5124"/>
      <c r="L231" s="5124"/>
      <c r="M231" s="5124"/>
      <c r="N231" s="5121"/>
      <c r="O231" s="5123"/>
      <c r="P231" s="1566"/>
      <c r="Q231" s="1566"/>
      <c r="R231" s="1567"/>
      <c r="S231" s="1567"/>
      <c r="T231" s="1568"/>
      <c r="U231" s="1568"/>
      <c r="V231"/>
      <c r="W231"/>
      <c r="X231"/>
      <c r="Y231"/>
      <c r="Z231"/>
      <c r="AA231"/>
      <c r="AB231"/>
      <c r="AC231" s="5006"/>
      <c r="AD231" s="5006"/>
      <c r="AE231" s="5006"/>
      <c r="AF231" s="5006"/>
      <c r="AG231" s="5006"/>
      <c r="AH231" s="5006"/>
      <c r="AI231" s="5006"/>
      <c r="AJ231" s="5006"/>
      <c r="AK231" s="5006"/>
      <c r="AL231" s="5006"/>
      <c r="AM231" s="5006"/>
    </row>
    <row r="232" spans="2:39" s="5005" customFormat="1" ht="14" customHeight="1">
      <c r="B232" s="5054"/>
      <c r="D232" s="5122"/>
      <c r="E232" s="5180"/>
      <c r="F232" s="5123"/>
      <c r="G232" s="5124"/>
      <c r="H232" s="5124"/>
      <c r="I232" s="5124"/>
      <c r="J232" s="5124"/>
      <c r="K232" s="5124"/>
      <c r="L232" s="5124"/>
      <c r="M232" s="5124"/>
      <c r="N232" s="5121"/>
      <c r="O232" s="5123"/>
      <c r="P232" s="1566"/>
      <c r="Q232" s="1566"/>
      <c r="R232" s="1567"/>
      <c r="S232" s="1567"/>
      <c r="T232" s="1568"/>
      <c r="U232" s="1568"/>
      <c r="V232"/>
      <c r="W232"/>
      <c r="X232"/>
      <c r="Y232"/>
      <c r="Z232"/>
      <c r="AA232"/>
      <c r="AB232"/>
      <c r="AC232" s="5006"/>
      <c r="AD232" s="5006"/>
      <c r="AE232" s="5006"/>
      <c r="AF232" s="5006"/>
      <c r="AG232" s="5006"/>
      <c r="AH232" s="5006"/>
      <c r="AI232" s="5006"/>
      <c r="AJ232" s="5006"/>
      <c r="AK232" s="5006"/>
      <c r="AL232" s="5006"/>
      <c r="AM232" s="5006"/>
    </row>
    <row r="233" spans="2:39" s="5005" customFormat="1" ht="13">
      <c r="B233" s="5054"/>
      <c r="D233" s="5122"/>
      <c r="E233" s="5180"/>
      <c r="F233" s="5123"/>
      <c r="G233" s="5124"/>
      <c r="H233" s="5124"/>
      <c r="I233" s="5124"/>
      <c r="J233" s="5124"/>
      <c r="K233" s="5124"/>
      <c r="L233" s="5124"/>
      <c r="M233" s="5124"/>
      <c r="N233" s="5121"/>
      <c r="O233" s="5123"/>
      <c r="P233" s="1566"/>
      <c r="Q233" s="1566"/>
      <c r="R233" s="1567"/>
      <c r="S233" s="1567"/>
      <c r="T233" s="1568"/>
      <c r="U233" s="1568"/>
      <c r="V233"/>
      <c r="W233"/>
      <c r="X233"/>
      <c r="Y233"/>
      <c r="Z233"/>
      <c r="AA233"/>
      <c r="AB233"/>
      <c r="AC233" s="5006"/>
      <c r="AD233" s="5006"/>
      <c r="AE233" s="5006"/>
      <c r="AF233" s="5006"/>
      <c r="AG233" s="5006"/>
      <c r="AH233" s="5006"/>
      <c r="AI233" s="5006"/>
      <c r="AJ233" s="5006"/>
      <c r="AK233" s="5006"/>
      <c r="AL233" s="5006"/>
      <c r="AM233" s="5006"/>
    </row>
    <row r="234" spans="2:39" s="5005" customFormat="1" ht="13">
      <c r="B234" s="5054"/>
      <c r="D234" s="5122"/>
      <c r="E234" s="5180"/>
      <c r="F234" s="5123"/>
      <c r="G234" s="5124"/>
      <c r="H234" s="5124"/>
      <c r="I234" s="5124"/>
      <c r="J234" s="5124"/>
      <c r="K234" s="5124"/>
      <c r="L234" s="5124"/>
      <c r="M234" s="5124"/>
      <c r="N234" s="5121"/>
      <c r="O234" s="5123"/>
      <c r="P234" s="1566"/>
      <c r="Q234" s="1566"/>
      <c r="R234" s="1567"/>
      <c r="S234" s="1567"/>
      <c r="T234" s="1568"/>
      <c r="U234" s="1568"/>
      <c r="V234"/>
      <c r="W234"/>
      <c r="X234"/>
      <c r="Y234"/>
      <c r="Z234"/>
      <c r="AA234"/>
      <c r="AB234"/>
      <c r="AC234" s="5006"/>
      <c r="AD234" s="5006"/>
      <c r="AE234" s="5006"/>
      <c r="AF234" s="5006"/>
      <c r="AG234" s="5006"/>
      <c r="AH234" s="5006"/>
      <c r="AI234" s="5006"/>
      <c r="AJ234" s="5006"/>
      <c r="AK234" s="5006"/>
      <c r="AL234" s="5006"/>
      <c r="AM234" s="5006"/>
    </row>
    <row r="235" spans="2:39" s="5005" customFormat="1" ht="13">
      <c r="B235" s="5054"/>
      <c r="D235" s="5122"/>
      <c r="E235" s="5180"/>
      <c r="F235" s="5123"/>
      <c r="G235" s="5124"/>
      <c r="H235" s="5124"/>
      <c r="I235" s="5124"/>
      <c r="J235" s="5124"/>
      <c r="K235" s="5124"/>
      <c r="L235" s="5124"/>
      <c r="M235" s="5124"/>
      <c r="N235" s="5121"/>
      <c r="O235" s="5123"/>
      <c r="P235" s="1566"/>
      <c r="Q235" s="1566"/>
      <c r="R235" s="1567"/>
      <c r="S235" s="1567"/>
      <c r="T235" s="1568"/>
      <c r="U235" s="1568"/>
      <c r="V235"/>
      <c r="W235"/>
      <c r="X235"/>
      <c r="Y235"/>
      <c r="Z235"/>
      <c r="AA235"/>
      <c r="AB235"/>
      <c r="AC235" s="5006"/>
      <c r="AD235" s="5006"/>
      <c r="AE235" s="5006"/>
      <c r="AF235" s="5006"/>
      <c r="AG235" s="5006"/>
      <c r="AH235" s="5006"/>
      <c r="AI235" s="5006"/>
      <c r="AJ235" s="5006"/>
      <c r="AK235" s="5006"/>
      <c r="AL235" s="5006"/>
      <c r="AM235" s="5006"/>
    </row>
    <row r="236" spans="2:39" s="5005" customFormat="1" ht="13">
      <c r="B236" s="5054"/>
      <c r="D236" s="5122"/>
      <c r="E236" s="5180"/>
      <c r="F236" s="5123"/>
      <c r="G236" s="5124"/>
      <c r="H236" s="5124"/>
      <c r="I236" s="5124"/>
      <c r="J236" s="5124"/>
      <c r="K236" s="5124"/>
      <c r="L236" s="5124"/>
      <c r="M236" s="5124"/>
      <c r="N236" s="5121"/>
      <c r="O236" s="5123"/>
      <c r="P236" s="1566"/>
      <c r="Q236" s="1566"/>
      <c r="R236" s="1567"/>
      <c r="S236" s="1567"/>
      <c r="T236" s="1568"/>
      <c r="U236" s="1568"/>
      <c r="V236"/>
      <c r="W236"/>
      <c r="X236"/>
      <c r="Y236"/>
      <c r="Z236"/>
      <c r="AA236"/>
      <c r="AB236"/>
      <c r="AC236" s="5006"/>
      <c r="AD236" s="5006"/>
      <c r="AE236" s="5006"/>
      <c r="AF236" s="5006"/>
      <c r="AG236" s="5006"/>
      <c r="AH236" s="5006"/>
      <c r="AI236" s="5006"/>
      <c r="AJ236" s="5006"/>
      <c r="AK236" s="5006"/>
      <c r="AL236" s="5006"/>
      <c r="AM236" s="5006"/>
    </row>
    <row r="237" spans="2:39" s="5005" customFormat="1" ht="13">
      <c r="B237" s="5054"/>
      <c r="D237" s="5122"/>
      <c r="E237" s="5180"/>
      <c r="F237" s="5123"/>
      <c r="G237" s="5124"/>
      <c r="H237" s="5124"/>
      <c r="I237" s="5124"/>
      <c r="J237" s="5124"/>
      <c r="K237" s="5124"/>
      <c r="L237" s="5124"/>
      <c r="M237" s="5124"/>
      <c r="N237" s="5121"/>
      <c r="O237" s="5123"/>
      <c r="P237" s="1566"/>
      <c r="Q237" s="1566"/>
      <c r="R237" s="1567"/>
      <c r="S237" s="1567"/>
      <c r="T237" s="1568"/>
      <c r="U237" s="1568"/>
      <c r="V237"/>
      <c r="W237"/>
      <c r="X237"/>
      <c r="Y237"/>
      <c r="Z237"/>
      <c r="AA237"/>
      <c r="AB237"/>
      <c r="AC237" s="5006"/>
      <c r="AD237" s="5006"/>
      <c r="AE237" s="5006"/>
      <c r="AF237" s="5006"/>
      <c r="AG237" s="5006"/>
      <c r="AH237" s="5006"/>
      <c r="AI237" s="5006"/>
      <c r="AJ237" s="5006"/>
      <c r="AK237" s="5006"/>
      <c r="AL237" s="5006"/>
      <c r="AM237" s="5006"/>
    </row>
    <row r="238" spans="2:39" s="5005" customFormat="1" ht="13">
      <c r="B238" s="5054"/>
      <c r="D238" s="5122"/>
      <c r="E238" s="5180"/>
      <c r="F238" s="5123"/>
      <c r="G238" s="5124"/>
      <c r="H238" s="5124"/>
      <c r="I238" s="5124"/>
      <c r="J238" s="5124"/>
      <c r="K238" s="5124"/>
      <c r="L238" s="5124"/>
      <c r="M238" s="5124"/>
      <c r="N238" s="5121"/>
      <c r="O238" s="5123"/>
      <c r="P238" s="1566"/>
      <c r="Q238" s="1566"/>
      <c r="R238" s="1567"/>
      <c r="S238" s="1567"/>
      <c r="T238" s="1568"/>
      <c r="U238" s="1568"/>
      <c r="V238"/>
      <c r="W238"/>
      <c r="X238"/>
      <c r="Y238"/>
      <c r="Z238"/>
      <c r="AA238"/>
      <c r="AB238"/>
      <c r="AC238" s="5006"/>
      <c r="AD238" s="5006"/>
      <c r="AE238" s="5006"/>
      <c r="AF238" s="5006"/>
      <c r="AG238" s="5006"/>
      <c r="AH238" s="5006"/>
      <c r="AI238" s="5006"/>
      <c r="AJ238" s="5006"/>
      <c r="AK238" s="5006"/>
      <c r="AL238" s="5006"/>
      <c r="AM238" s="5006"/>
    </row>
    <row r="239" spans="2:39" s="5005" customFormat="1" ht="13">
      <c r="B239" s="5054"/>
      <c r="D239" s="5122"/>
      <c r="E239" s="5180"/>
      <c r="F239" s="5123"/>
      <c r="G239" s="5124"/>
      <c r="H239" s="5124"/>
      <c r="I239" s="5124"/>
      <c r="J239" s="5124"/>
      <c r="K239" s="5124"/>
      <c r="L239" s="5124"/>
      <c r="M239" s="5124"/>
      <c r="N239" s="5121"/>
      <c r="O239" s="5123"/>
      <c r="P239" s="1566"/>
      <c r="Q239" s="1566"/>
      <c r="R239" s="1567"/>
      <c r="S239" s="1567"/>
      <c r="T239" s="1568"/>
      <c r="U239" s="1568"/>
      <c r="V239"/>
      <c r="W239"/>
      <c r="X239"/>
      <c r="Y239"/>
      <c r="Z239"/>
      <c r="AA239"/>
      <c r="AB239"/>
      <c r="AC239" s="5006"/>
      <c r="AD239" s="5006"/>
      <c r="AE239" s="5006"/>
      <c r="AF239" s="5006"/>
      <c r="AG239" s="5006"/>
      <c r="AH239" s="5006"/>
      <c r="AI239" s="5006"/>
      <c r="AJ239" s="5006"/>
      <c r="AK239" s="5006"/>
      <c r="AL239" s="5006"/>
      <c r="AM239" s="5006"/>
    </row>
    <row r="240" spans="2:39" s="5005" customFormat="1" ht="13">
      <c r="B240" s="5054"/>
      <c r="D240" s="5122"/>
      <c r="E240" s="5180"/>
      <c r="F240" s="5123"/>
      <c r="G240" s="5124"/>
      <c r="H240" s="5124"/>
      <c r="I240" s="5124"/>
      <c r="J240" s="5124"/>
      <c r="K240" s="5124"/>
      <c r="L240" s="5124"/>
      <c r="M240" s="5124"/>
      <c r="N240" s="5121"/>
      <c r="O240" s="5123"/>
      <c r="P240" s="1566"/>
      <c r="Q240" s="1566"/>
      <c r="R240" s="1567"/>
      <c r="S240" s="1567"/>
      <c r="T240" s="1568"/>
      <c r="U240" s="1568"/>
      <c r="V240"/>
      <c r="W240"/>
      <c r="X240"/>
      <c r="Y240"/>
      <c r="Z240"/>
      <c r="AA240"/>
      <c r="AB240"/>
      <c r="AC240" s="5006"/>
      <c r="AD240" s="5006"/>
      <c r="AE240" s="5006"/>
      <c r="AF240" s="5006"/>
      <c r="AG240" s="5006"/>
      <c r="AH240" s="5006"/>
      <c r="AI240" s="5006"/>
      <c r="AJ240" s="5006"/>
      <c r="AK240" s="5006"/>
      <c r="AL240" s="5006"/>
      <c r="AM240" s="5006"/>
    </row>
    <row r="241" spans="1:40" s="5005" customFormat="1" ht="13">
      <c r="B241" s="5054"/>
      <c r="D241" s="5122"/>
      <c r="E241" s="5180"/>
      <c r="F241" s="5123"/>
      <c r="G241" s="5124"/>
      <c r="H241" s="5124"/>
      <c r="I241" s="5124"/>
      <c r="J241" s="5124"/>
      <c r="K241" s="5124"/>
      <c r="L241" s="5124"/>
      <c r="M241" s="5124"/>
      <c r="N241" s="5121"/>
      <c r="O241" s="5123"/>
      <c r="P241" s="1566"/>
      <c r="Q241" s="1566"/>
      <c r="R241" s="1567"/>
      <c r="S241" s="1567"/>
      <c r="T241" s="1568"/>
      <c r="U241" s="1568"/>
      <c r="V241"/>
      <c r="W241"/>
      <c r="X241"/>
      <c r="Y241"/>
      <c r="Z241"/>
      <c r="AA241"/>
      <c r="AB241"/>
      <c r="AC241" s="5006"/>
      <c r="AD241" s="5006"/>
      <c r="AE241" s="5006"/>
      <c r="AF241" s="5006"/>
      <c r="AG241" s="5006"/>
      <c r="AH241" s="5006"/>
      <c r="AI241" s="5006"/>
      <c r="AJ241" s="5006"/>
      <c r="AK241" s="5006"/>
      <c r="AL241" s="5006"/>
      <c r="AM241" s="5006"/>
    </row>
    <row r="242" spans="1:40" s="5005" customFormat="1" ht="13">
      <c r="B242" s="5054"/>
      <c r="D242" s="5122"/>
      <c r="E242" s="5180"/>
      <c r="F242" s="5123"/>
      <c r="G242" s="5124"/>
      <c r="H242" s="5124"/>
      <c r="I242" s="5124"/>
      <c r="J242" s="5124"/>
      <c r="K242" s="5124"/>
      <c r="L242" s="5124"/>
      <c r="M242" s="5124"/>
      <c r="N242" s="5121"/>
      <c r="O242" s="5123"/>
      <c r="P242" s="1566"/>
      <c r="Q242" s="1566"/>
      <c r="R242" s="1567"/>
      <c r="S242" s="1567"/>
      <c r="T242" s="1568"/>
      <c r="U242" s="1568"/>
      <c r="V242"/>
      <c r="W242"/>
      <c r="X242"/>
      <c r="Y242"/>
      <c r="Z242"/>
      <c r="AA242"/>
      <c r="AB242"/>
      <c r="AC242" s="5006"/>
      <c r="AD242" s="5006"/>
      <c r="AE242" s="5006"/>
      <c r="AF242" s="5006"/>
      <c r="AG242" s="5006"/>
      <c r="AH242" s="5006"/>
      <c r="AI242" s="5006"/>
      <c r="AJ242" s="5006"/>
      <c r="AK242" s="5006"/>
      <c r="AL242" s="5006"/>
      <c r="AM242" s="5006"/>
    </row>
    <row r="243" spans="1:40" s="5005" customFormat="1" ht="13">
      <c r="B243" s="5054"/>
      <c r="D243" s="5122"/>
      <c r="E243" s="5180"/>
      <c r="F243" s="5123"/>
      <c r="G243" s="5124"/>
      <c r="H243" s="5124"/>
      <c r="I243" s="5124"/>
      <c r="J243" s="5124"/>
      <c r="K243" s="5124"/>
      <c r="L243" s="5124"/>
      <c r="M243" s="5124"/>
      <c r="N243" s="5121"/>
      <c r="O243" s="5123"/>
      <c r="P243" s="1566"/>
      <c r="Q243" s="1566"/>
      <c r="R243" s="1567"/>
      <c r="S243" s="1567"/>
      <c r="T243" s="1568"/>
      <c r="U243" s="1568"/>
      <c r="V243"/>
      <c r="W243"/>
      <c r="X243"/>
      <c r="Y243"/>
      <c r="Z243"/>
      <c r="AA243"/>
      <c r="AB243"/>
      <c r="AC243" s="5006"/>
      <c r="AD243" s="5006"/>
      <c r="AE243" s="5006"/>
      <c r="AF243" s="5006"/>
      <c r="AG243" s="5006"/>
      <c r="AH243" s="5006"/>
      <c r="AI243" s="5006"/>
      <c r="AJ243" s="5006"/>
      <c r="AK243" s="5006"/>
      <c r="AL243" s="5006"/>
      <c r="AM243" s="5006"/>
    </row>
    <row r="244" spans="1:40" s="5005" customFormat="1" ht="13">
      <c r="B244" s="5054"/>
      <c r="D244" s="5122"/>
      <c r="E244" s="5180"/>
      <c r="F244" s="5123"/>
      <c r="G244" s="5124"/>
      <c r="H244" s="5124"/>
      <c r="I244" s="5124"/>
      <c r="J244" s="5124"/>
      <c r="K244" s="5124"/>
      <c r="L244" s="5124"/>
      <c r="M244" s="5124"/>
      <c r="N244" s="5121"/>
      <c r="O244" s="5123"/>
      <c r="P244" s="1566"/>
      <c r="Q244" s="1566"/>
      <c r="R244" s="1567"/>
      <c r="S244" s="1567"/>
      <c r="T244" s="1568"/>
      <c r="U244" s="1568"/>
      <c r="V244"/>
      <c r="W244"/>
      <c r="X244"/>
      <c r="Y244"/>
      <c r="Z244"/>
      <c r="AA244"/>
      <c r="AB244"/>
      <c r="AC244" s="5006"/>
      <c r="AD244" s="5006"/>
      <c r="AE244" s="5006"/>
      <c r="AF244" s="5006"/>
      <c r="AG244" s="5006"/>
      <c r="AH244" s="5006"/>
      <c r="AI244" s="5006"/>
      <c r="AJ244" s="5006"/>
      <c r="AK244" s="5006"/>
      <c r="AL244" s="5006"/>
      <c r="AM244" s="5006"/>
    </row>
    <row r="245" spans="1:40" s="5005" customFormat="1" ht="13">
      <c r="B245" s="5054"/>
      <c r="D245" s="5122"/>
      <c r="E245" s="5180"/>
      <c r="F245" s="5123"/>
      <c r="G245" s="5124"/>
      <c r="H245" s="5124"/>
      <c r="I245" s="5124"/>
      <c r="J245" s="5124"/>
      <c r="K245" s="5124"/>
      <c r="L245" s="5124"/>
      <c r="M245" s="5124"/>
      <c r="N245" s="5121"/>
      <c r="O245" s="5123"/>
      <c r="P245" s="1566"/>
      <c r="Q245" s="1566"/>
      <c r="R245" s="1567"/>
      <c r="S245" s="1567"/>
      <c r="T245" s="1568"/>
      <c r="U245" s="1568"/>
      <c r="V245"/>
      <c r="W245"/>
      <c r="X245"/>
      <c r="Y245"/>
      <c r="Z245"/>
      <c r="AA245"/>
      <c r="AB245"/>
      <c r="AC245" s="5006"/>
      <c r="AD245" s="5006"/>
      <c r="AE245" s="5006"/>
      <c r="AF245" s="5006"/>
      <c r="AG245" s="5006"/>
      <c r="AH245" s="5006"/>
      <c r="AI245" s="5006"/>
      <c r="AJ245" s="5006"/>
      <c r="AK245" s="5006"/>
      <c r="AL245" s="5006"/>
      <c r="AM245" s="5006"/>
    </row>
    <row r="246" spans="1:40" s="5005" customFormat="1" ht="13">
      <c r="B246" s="5054"/>
      <c r="D246" s="5122"/>
      <c r="E246" s="5180"/>
      <c r="F246" s="5123"/>
      <c r="G246" s="5124"/>
      <c r="H246" s="5124"/>
      <c r="I246" s="5124"/>
      <c r="J246" s="5124"/>
      <c r="K246" s="5124"/>
      <c r="L246" s="5124"/>
      <c r="M246" s="5124"/>
      <c r="N246" s="5121"/>
      <c r="O246" s="5123"/>
      <c r="P246" s="1566"/>
      <c r="Q246" s="1566"/>
      <c r="R246" s="1567"/>
      <c r="S246" s="1567"/>
      <c r="T246" s="1568"/>
      <c r="U246" s="1568"/>
      <c r="V246"/>
      <c r="W246"/>
      <c r="X246"/>
      <c r="Y246"/>
      <c r="Z246"/>
      <c r="AA246"/>
      <c r="AB246"/>
      <c r="AC246" s="5006"/>
      <c r="AD246" s="5006"/>
      <c r="AE246" s="5006"/>
      <c r="AF246" s="5006"/>
      <c r="AG246" s="5006"/>
      <c r="AH246" s="5006"/>
      <c r="AI246" s="5006"/>
      <c r="AJ246" s="5006"/>
      <c r="AK246" s="5006"/>
      <c r="AL246" s="5006"/>
      <c r="AM246" s="5006"/>
    </row>
    <row r="247" spans="1:40" s="5005" customFormat="1" ht="13">
      <c r="B247" s="5054"/>
      <c r="D247" s="5122"/>
      <c r="E247" s="5180"/>
      <c r="F247" s="5123"/>
      <c r="G247" s="5124"/>
      <c r="H247" s="5124"/>
      <c r="I247" s="5124"/>
      <c r="J247" s="5124"/>
      <c r="K247" s="5124"/>
      <c r="L247" s="5124"/>
      <c r="M247" s="5124"/>
      <c r="N247" s="5121"/>
      <c r="O247" s="5123"/>
      <c r="P247" s="1566"/>
      <c r="Q247" s="1566"/>
      <c r="R247" s="1567"/>
      <c r="S247" s="1567"/>
      <c r="T247" s="1568"/>
      <c r="U247" s="1568"/>
      <c r="V247"/>
      <c r="W247"/>
      <c r="X247"/>
      <c r="Y247"/>
      <c r="Z247"/>
      <c r="AA247"/>
      <c r="AB247"/>
      <c r="AC247" s="5006"/>
      <c r="AD247" s="5006"/>
      <c r="AE247" s="5006"/>
      <c r="AF247" s="5006"/>
      <c r="AG247" s="5006"/>
      <c r="AH247" s="5006"/>
      <c r="AI247" s="5006"/>
      <c r="AJ247" s="5006"/>
      <c r="AK247" s="5006"/>
      <c r="AL247" s="5006"/>
      <c r="AM247" s="5006"/>
    </row>
    <row r="248" spans="1:40" s="5005" customFormat="1" ht="13">
      <c r="B248" s="5054"/>
      <c r="D248" s="5122"/>
      <c r="E248" s="5180"/>
      <c r="F248" s="5123"/>
      <c r="G248" s="5124"/>
      <c r="H248" s="5124"/>
      <c r="I248" s="5124"/>
      <c r="J248" s="5124"/>
      <c r="K248" s="5124"/>
      <c r="L248" s="5124"/>
      <c r="M248" s="5124"/>
      <c r="N248" s="5121"/>
      <c r="O248" s="5123"/>
      <c r="P248" s="1566"/>
      <c r="Q248" s="1566"/>
      <c r="R248" s="1567"/>
      <c r="S248" s="1567"/>
      <c r="T248" s="1568"/>
      <c r="U248" s="1568"/>
      <c r="V248"/>
      <c r="W248"/>
      <c r="X248"/>
      <c r="Y248"/>
      <c r="Z248"/>
      <c r="AA248"/>
      <c r="AB248"/>
      <c r="AC248" s="5006"/>
      <c r="AD248" s="5006"/>
      <c r="AE248" s="5006"/>
      <c r="AF248" s="5006"/>
      <c r="AG248" s="5006"/>
      <c r="AH248" s="5006"/>
      <c r="AI248" s="5006"/>
      <c r="AJ248" s="5006"/>
      <c r="AK248" s="5006"/>
      <c r="AL248" s="5006"/>
      <c r="AM248" s="5006"/>
    </row>
    <row r="249" spans="1:40" s="5005" customFormat="1" ht="13">
      <c r="B249" s="5054"/>
      <c r="D249" s="5122"/>
      <c r="E249" s="5180"/>
      <c r="F249" s="5123"/>
      <c r="G249" s="5124"/>
      <c r="H249" s="5124"/>
      <c r="I249" s="5124"/>
      <c r="J249" s="5124"/>
      <c r="K249" s="5124"/>
      <c r="L249" s="5124"/>
      <c r="M249" s="5124"/>
      <c r="N249" s="5121"/>
      <c r="O249" s="5123"/>
      <c r="P249" s="1566"/>
      <c r="Q249" s="1566"/>
      <c r="R249" s="1567"/>
      <c r="S249" s="1567"/>
      <c r="T249" s="1568"/>
      <c r="U249" s="1568"/>
      <c r="V249"/>
      <c r="W249"/>
      <c r="X249"/>
      <c r="Y249"/>
      <c r="Z249"/>
      <c r="AA249"/>
      <c r="AB249"/>
      <c r="AC249" s="5006"/>
      <c r="AD249" s="5006"/>
      <c r="AE249" s="5006"/>
      <c r="AF249" s="5006"/>
      <c r="AG249" s="5006"/>
      <c r="AH249" s="5006"/>
      <c r="AI249" s="5006"/>
      <c r="AJ249" s="5006"/>
      <c r="AK249" s="5006"/>
      <c r="AL249" s="5006"/>
      <c r="AM249" s="5006"/>
    </row>
    <row r="250" spans="1:40" s="5005" customFormat="1" ht="13">
      <c r="B250" s="5054"/>
      <c r="D250" s="5122"/>
      <c r="E250" s="5180"/>
      <c r="F250" s="5123"/>
      <c r="G250" s="5124"/>
      <c r="H250" s="5124"/>
      <c r="I250" s="5124"/>
      <c r="J250" s="5124"/>
      <c r="K250" s="5124"/>
      <c r="L250" s="5124"/>
      <c r="M250" s="5124"/>
      <c r="N250" s="5121"/>
      <c r="O250" s="5123"/>
      <c r="P250" s="1566"/>
      <c r="Q250" s="1566"/>
      <c r="R250" s="1567"/>
      <c r="S250" s="1567"/>
      <c r="T250" s="1568"/>
      <c r="U250" s="1568"/>
      <c r="V250"/>
      <c r="W250"/>
      <c r="X250"/>
      <c r="Y250"/>
      <c r="Z250"/>
      <c r="AA250"/>
      <c r="AB250"/>
      <c r="AC250" s="5006"/>
      <c r="AD250" s="5006"/>
      <c r="AE250" s="5006"/>
      <c r="AF250" s="5006"/>
      <c r="AG250" s="5006"/>
      <c r="AH250" s="5006"/>
      <c r="AI250" s="5006"/>
      <c r="AJ250" s="5006"/>
      <c r="AK250" s="5006"/>
      <c r="AL250" s="5006"/>
      <c r="AM250" s="5006"/>
    </row>
    <row r="251" spans="1:40" s="5005" customFormat="1" ht="13">
      <c r="B251" s="5054"/>
      <c r="D251" s="5122"/>
      <c r="E251" s="5180"/>
      <c r="F251" s="5123"/>
      <c r="G251" s="5124"/>
      <c r="H251" s="5124"/>
      <c r="I251" s="5124"/>
      <c r="J251" s="5124"/>
      <c r="K251" s="5124"/>
      <c r="L251" s="5124"/>
      <c r="M251" s="5124"/>
      <c r="N251" s="5121"/>
      <c r="O251" s="5123"/>
      <c r="P251" s="1566"/>
      <c r="Q251" s="1566"/>
      <c r="R251" s="1567"/>
      <c r="S251" s="1567"/>
      <c r="T251" s="1568"/>
      <c r="U251" s="1568"/>
      <c r="V251"/>
      <c r="W251"/>
      <c r="X251"/>
      <c r="Y251"/>
      <c r="Z251"/>
      <c r="AA251"/>
      <c r="AB251"/>
      <c r="AC251" s="5006"/>
      <c r="AD251" s="5006"/>
      <c r="AE251" s="5006"/>
      <c r="AF251" s="5006"/>
      <c r="AG251" s="5006"/>
      <c r="AH251" s="5006"/>
      <c r="AI251" s="5006"/>
      <c r="AJ251" s="5006"/>
      <c r="AK251" s="5006"/>
      <c r="AL251" s="5006"/>
      <c r="AM251" s="5006"/>
    </row>
    <row r="252" spans="1:40" s="5005" customFormat="1" ht="13">
      <c r="B252" s="5054"/>
      <c r="D252" s="5122"/>
      <c r="E252" s="5180"/>
      <c r="F252" s="5123"/>
      <c r="G252" s="5124"/>
      <c r="H252" s="5124"/>
      <c r="I252" s="5124"/>
      <c r="J252" s="5124"/>
      <c r="K252" s="5124"/>
      <c r="L252" s="5124"/>
      <c r="M252" s="5124"/>
      <c r="N252" s="5121"/>
      <c r="O252" s="5123"/>
      <c r="P252" s="1566"/>
      <c r="Q252" s="1566"/>
      <c r="R252" s="1567"/>
      <c r="S252" s="1567"/>
      <c r="T252" s="1568"/>
      <c r="U252" s="1568"/>
      <c r="V252"/>
      <c r="W252"/>
      <c r="X252"/>
      <c r="Y252"/>
      <c r="Z252"/>
      <c r="AA252"/>
      <c r="AB252"/>
      <c r="AC252" s="5006"/>
      <c r="AD252" s="5006"/>
      <c r="AE252" s="5006"/>
      <c r="AF252" s="5006"/>
      <c r="AG252" s="5006"/>
      <c r="AH252" s="5006"/>
      <c r="AI252" s="5006"/>
      <c r="AJ252" s="5006"/>
      <c r="AK252" s="5006"/>
      <c r="AL252" s="5006"/>
      <c r="AM252" s="5006"/>
    </row>
    <row r="253" spans="1:40" s="5005" customFormat="1" ht="13">
      <c r="B253" s="5054"/>
      <c r="D253" s="5122"/>
      <c r="E253" s="5180"/>
      <c r="F253" s="5123"/>
      <c r="G253" s="5124"/>
      <c r="H253" s="5124"/>
      <c r="I253" s="5124"/>
      <c r="J253" s="5124"/>
      <c r="K253" s="5124"/>
      <c r="L253" s="5124"/>
      <c r="M253" s="5124"/>
      <c r="N253" s="5121"/>
      <c r="O253" s="5123"/>
      <c r="P253" s="1566"/>
      <c r="Q253" s="1566"/>
      <c r="R253" s="1567"/>
      <c r="S253" s="1567"/>
      <c r="T253" s="1568"/>
      <c r="U253" s="1568"/>
      <c r="V253"/>
      <c r="W253"/>
      <c r="X253"/>
      <c r="Y253"/>
      <c r="Z253"/>
      <c r="AA253"/>
      <c r="AB253"/>
      <c r="AC253" s="5006"/>
      <c r="AD253" s="5006"/>
      <c r="AE253" s="5006"/>
      <c r="AF253" s="5006"/>
      <c r="AG253" s="5006"/>
      <c r="AH253" s="5006"/>
      <c r="AI253" s="5006"/>
      <c r="AJ253" s="5006"/>
      <c r="AK253" s="5006"/>
      <c r="AL253" s="5006"/>
      <c r="AM253" s="5006"/>
    </row>
    <row r="254" spans="1:40" s="5005" customFormat="1" ht="13">
      <c r="B254" s="5054"/>
      <c r="D254" s="5122"/>
      <c r="E254" s="5180"/>
      <c r="F254" s="5123"/>
      <c r="G254" s="5124"/>
      <c r="H254" s="5124"/>
      <c r="I254" s="5124"/>
      <c r="J254" s="5124"/>
      <c r="K254" s="5124"/>
      <c r="L254" s="5124"/>
      <c r="M254" s="5124"/>
      <c r="N254" s="5121"/>
      <c r="O254" s="5123"/>
      <c r="P254" s="1566"/>
      <c r="Q254" s="1566"/>
      <c r="R254" s="1567"/>
      <c r="S254" s="1567"/>
      <c r="T254" s="1568"/>
      <c r="U254" s="1568"/>
      <c r="V254"/>
      <c r="W254"/>
      <c r="X254"/>
      <c r="Y254"/>
      <c r="Z254"/>
      <c r="AA254"/>
      <c r="AB254"/>
      <c r="AC254" s="5006"/>
      <c r="AD254" s="5006"/>
      <c r="AE254" s="5006"/>
      <c r="AF254" s="5006"/>
      <c r="AG254" s="5006"/>
      <c r="AH254" s="5006"/>
      <c r="AI254" s="5006"/>
      <c r="AJ254" s="5006"/>
      <c r="AK254" s="5006"/>
      <c r="AL254" s="5006"/>
      <c r="AM254" s="5006"/>
    </row>
    <row r="255" spans="1:40" ht="13">
      <c r="A255" s="4995"/>
      <c r="P255" s="1569"/>
      <c r="Q255" s="1569"/>
      <c r="R255"/>
      <c r="S255"/>
      <c r="T255" s="1570"/>
      <c r="U255" s="1570"/>
      <c r="V255"/>
      <c r="W255"/>
      <c r="X255"/>
      <c r="Y255"/>
      <c r="Z255"/>
      <c r="AA255"/>
      <c r="AB255"/>
      <c r="AN255" s="4995"/>
    </row>
    <row r="256" spans="1:40" ht="13">
      <c r="A256" s="4995"/>
      <c r="P256" s="1569"/>
      <c r="Q256" s="1569"/>
      <c r="R256"/>
      <c r="S256"/>
      <c r="T256" s="1570"/>
      <c r="U256" s="1570"/>
      <c r="V256"/>
      <c r="W256"/>
      <c r="X256"/>
      <c r="Y256"/>
      <c r="Z256"/>
      <c r="AA256"/>
      <c r="AB256"/>
      <c r="AN256" s="4995"/>
    </row>
    <row r="257" spans="1:40" ht="13">
      <c r="A257" s="4995"/>
      <c r="P257" s="1569"/>
      <c r="Q257" s="1569"/>
      <c r="R257"/>
      <c r="S257"/>
      <c r="T257" s="1570"/>
      <c r="U257" s="1570"/>
      <c r="V257"/>
      <c r="W257"/>
      <c r="X257"/>
      <c r="Y257"/>
      <c r="Z257"/>
      <c r="AA257"/>
      <c r="AB257"/>
      <c r="AN257" s="4995"/>
    </row>
    <row r="258" spans="1:40" ht="13">
      <c r="A258" s="4995"/>
      <c r="P258" s="1569"/>
      <c r="Q258" s="1569"/>
      <c r="R258"/>
      <c r="S258"/>
      <c r="T258" s="1570"/>
      <c r="U258" s="1570"/>
      <c r="V258"/>
      <c r="W258"/>
      <c r="X258"/>
      <c r="Y258"/>
      <c r="Z258"/>
      <c r="AA258"/>
      <c r="AB258"/>
      <c r="AN258" s="4995"/>
    </row>
    <row r="259" spans="1:40" ht="13">
      <c r="A259" s="4995"/>
      <c r="P259" s="1569"/>
      <c r="Q259" s="1569"/>
      <c r="R259"/>
      <c r="S259"/>
      <c r="T259" s="1570"/>
      <c r="U259" s="1570"/>
      <c r="V259"/>
      <c r="W259"/>
      <c r="X259"/>
      <c r="Y259"/>
      <c r="Z259"/>
      <c r="AA259"/>
      <c r="AB259"/>
      <c r="AN259" s="4995"/>
    </row>
    <row r="260" spans="1:40" ht="13">
      <c r="A260" s="4995"/>
      <c r="P260" s="1569"/>
      <c r="Q260" s="1569"/>
      <c r="R260"/>
      <c r="S260"/>
      <c r="T260" s="1570"/>
      <c r="U260" s="1570"/>
      <c r="V260"/>
      <c r="W260"/>
      <c r="X260"/>
      <c r="Y260"/>
      <c r="Z260"/>
      <c r="AA260"/>
      <c r="AB260"/>
      <c r="AN260" s="4995"/>
    </row>
    <row r="261" spans="1:40" ht="13">
      <c r="A261" s="4995"/>
      <c r="P261" s="1569"/>
      <c r="Q261" s="1569"/>
      <c r="R261"/>
      <c r="S261"/>
      <c r="T261" s="1570"/>
      <c r="U261" s="1570"/>
      <c r="V261"/>
      <c r="W261"/>
      <c r="X261"/>
      <c r="Y261"/>
      <c r="Z261"/>
      <c r="AA261"/>
      <c r="AB261"/>
      <c r="AN261" s="4995"/>
    </row>
    <row r="262" spans="1:40" ht="13">
      <c r="A262" s="4995"/>
      <c r="P262" s="1569"/>
      <c r="Q262" s="1569"/>
      <c r="R262"/>
      <c r="S262"/>
      <c r="T262" s="1570"/>
      <c r="U262" s="1570"/>
      <c r="V262"/>
      <c r="W262"/>
      <c r="X262"/>
      <c r="Y262"/>
      <c r="Z262"/>
      <c r="AA262"/>
      <c r="AB262"/>
      <c r="AN262" s="4995"/>
    </row>
    <row r="263" spans="1:40" ht="13">
      <c r="A263" s="4995"/>
      <c r="P263" s="1569"/>
      <c r="Q263" s="1569"/>
      <c r="R263"/>
      <c r="S263"/>
      <c r="T263" s="1570"/>
      <c r="U263" s="1570"/>
      <c r="V263"/>
      <c r="W263"/>
      <c r="X263"/>
      <c r="Y263"/>
      <c r="Z263"/>
      <c r="AA263"/>
      <c r="AB263"/>
      <c r="AN263" s="4995"/>
    </row>
    <row r="264" spans="1:40" ht="13">
      <c r="A264" s="4995"/>
      <c r="P264" s="1569"/>
      <c r="Q264" s="1569"/>
      <c r="R264"/>
      <c r="S264"/>
      <c r="T264" s="1570"/>
      <c r="U264" s="1570"/>
      <c r="V264"/>
      <c r="W264"/>
      <c r="X264"/>
      <c r="Y264"/>
      <c r="Z264"/>
      <c r="AA264"/>
      <c r="AB264"/>
      <c r="AN264" s="4995"/>
    </row>
    <row r="265" spans="1:40" ht="13">
      <c r="A265" s="4995"/>
      <c r="P265" s="1569"/>
      <c r="Q265" s="1569"/>
      <c r="R265"/>
      <c r="S265"/>
      <c r="T265" s="1570"/>
      <c r="U265" s="1570"/>
      <c r="V265"/>
      <c r="W265"/>
      <c r="X265"/>
      <c r="Y265"/>
      <c r="Z265"/>
      <c r="AA265"/>
      <c r="AB265"/>
      <c r="AN265" s="4995"/>
    </row>
    <row r="266" spans="1:40" ht="13">
      <c r="A266" s="4995"/>
      <c r="P266" s="1569"/>
      <c r="Q266" s="1569"/>
      <c r="R266"/>
      <c r="S266"/>
      <c r="T266" s="1570"/>
      <c r="U266" s="1570"/>
      <c r="V266"/>
      <c r="W266"/>
      <c r="X266"/>
      <c r="Y266"/>
      <c r="Z266"/>
      <c r="AA266"/>
      <c r="AB266"/>
      <c r="AN266" s="4995"/>
    </row>
    <row r="267" spans="1:40" ht="13">
      <c r="A267" s="4995"/>
      <c r="P267" s="1569"/>
      <c r="Q267" s="1569"/>
      <c r="R267"/>
      <c r="S267"/>
      <c r="T267" s="1570"/>
      <c r="U267" s="1570"/>
      <c r="V267"/>
      <c r="W267"/>
      <c r="X267"/>
      <c r="Y267"/>
      <c r="Z267"/>
      <c r="AA267"/>
      <c r="AB267"/>
      <c r="AN267" s="4995"/>
    </row>
    <row r="268" spans="1:40" ht="13">
      <c r="A268" s="4995"/>
      <c r="B268" s="4995"/>
      <c r="D268" s="4995"/>
      <c r="F268" s="4995"/>
      <c r="G268" s="4995"/>
      <c r="H268" s="4995"/>
      <c r="I268" s="4995"/>
      <c r="J268" s="4995"/>
      <c r="K268" s="4995"/>
      <c r="L268" s="4995"/>
      <c r="M268" s="4995"/>
      <c r="N268" s="4995"/>
      <c r="O268" s="4995"/>
      <c r="P268" s="4995"/>
      <c r="Q268" s="4995"/>
      <c r="R268" s="4995"/>
      <c r="S268" s="4995"/>
      <c r="T268" s="4995"/>
      <c r="U268" s="4995"/>
      <c r="V268" s="4995"/>
      <c r="W268" s="4995"/>
      <c r="X268" s="4995"/>
      <c r="Y268" s="4995"/>
    </row>
    <row r="269" spans="1:40" ht="13">
      <c r="A269" s="4995"/>
      <c r="B269" s="4995"/>
      <c r="D269" s="4995"/>
      <c r="F269" s="4995"/>
      <c r="G269" s="4995"/>
      <c r="H269" s="4995"/>
      <c r="I269" s="4995"/>
      <c r="J269" s="4995"/>
      <c r="K269" s="4995"/>
      <c r="L269" s="4995"/>
      <c r="M269" s="4995"/>
      <c r="N269" s="4995"/>
      <c r="O269" s="4995"/>
      <c r="P269" s="4995"/>
      <c r="Q269" s="4995"/>
      <c r="R269" s="4995"/>
      <c r="S269" s="4995"/>
      <c r="T269" s="4995"/>
      <c r="U269" s="4995"/>
      <c r="V269" s="4995"/>
      <c r="W269" s="4995"/>
      <c r="X269" s="4995"/>
      <c r="Y269" s="4995"/>
    </row>
    <row r="270" spans="1:40" ht="13">
      <c r="A270" s="4995"/>
      <c r="B270" s="4995"/>
      <c r="D270" s="4995"/>
      <c r="F270" s="4995"/>
      <c r="G270" s="4995"/>
      <c r="H270" s="4995"/>
      <c r="I270" s="4995"/>
      <c r="J270" s="4995"/>
      <c r="K270" s="4995"/>
      <c r="L270" s="4995"/>
      <c r="M270" s="4995"/>
      <c r="N270" s="4995"/>
      <c r="O270" s="4995"/>
      <c r="P270" s="4995"/>
      <c r="Q270" s="4995"/>
      <c r="R270" s="4995"/>
      <c r="S270" s="4995"/>
      <c r="T270" s="4995"/>
      <c r="U270" s="4995"/>
      <c r="V270" s="4995"/>
      <c r="W270" s="4995"/>
      <c r="X270" s="4995"/>
      <c r="Y270" s="4995"/>
    </row>
    <row r="271" spans="1:40" ht="13">
      <c r="A271" s="4995"/>
      <c r="B271" s="4995"/>
      <c r="D271" s="4995"/>
      <c r="F271" s="4995"/>
      <c r="G271" s="4995"/>
      <c r="H271" s="4995"/>
      <c r="I271" s="4995"/>
      <c r="J271" s="4995"/>
      <c r="K271" s="4995"/>
      <c r="L271" s="4995"/>
      <c r="M271" s="4995"/>
      <c r="N271" s="4995"/>
      <c r="O271" s="4995"/>
      <c r="P271" s="4995"/>
      <c r="Q271" s="4995"/>
      <c r="R271" s="4995"/>
      <c r="S271" s="4995"/>
      <c r="T271" s="4995"/>
      <c r="U271" s="4995"/>
      <c r="V271" s="4995"/>
      <c r="W271" s="4995"/>
      <c r="X271" s="4995"/>
      <c r="Y271" s="4995"/>
    </row>
    <row r="272" spans="1:40" ht="13">
      <c r="A272" s="4995"/>
      <c r="B272" s="4995"/>
      <c r="D272" s="4995"/>
      <c r="F272" s="4995"/>
      <c r="G272" s="4995"/>
      <c r="H272" s="4995"/>
      <c r="I272" s="4995"/>
      <c r="J272" s="4995"/>
      <c r="K272" s="4995"/>
      <c r="L272" s="4995"/>
      <c r="M272" s="4995"/>
      <c r="N272" s="4995"/>
      <c r="O272" s="4995"/>
      <c r="P272" s="4995"/>
      <c r="Q272" s="4995"/>
      <c r="R272" s="4995"/>
      <c r="S272" s="4995"/>
      <c r="T272" s="4995"/>
      <c r="U272" s="4995"/>
      <c r="V272" s="4995"/>
      <c r="W272" s="4995"/>
      <c r="X272" s="4995"/>
      <c r="Y272" s="4995"/>
    </row>
    <row r="273" spans="1:40" ht="13">
      <c r="A273" s="4995"/>
      <c r="B273" s="4995"/>
      <c r="D273" s="4995"/>
      <c r="F273" s="4995"/>
      <c r="G273" s="4995"/>
      <c r="H273" s="4995"/>
      <c r="I273" s="4995"/>
      <c r="J273" s="4995"/>
      <c r="K273" s="4995"/>
      <c r="L273" s="4995"/>
      <c r="M273" s="4995"/>
      <c r="N273" s="4995"/>
      <c r="O273" s="4995"/>
      <c r="P273" s="4995"/>
      <c r="Q273" s="4995"/>
      <c r="R273" s="4995"/>
      <c r="S273" s="4995"/>
      <c r="T273" s="4995"/>
      <c r="U273" s="4995"/>
      <c r="V273" s="4995"/>
      <c r="W273" s="4995"/>
      <c r="X273" s="4995"/>
      <c r="Y273" s="4995"/>
    </row>
    <row r="274" spans="1:40" ht="13">
      <c r="A274" s="4995"/>
      <c r="B274" s="4995"/>
      <c r="D274" s="4995"/>
      <c r="F274" s="4995"/>
      <c r="G274" s="4995"/>
      <c r="H274" s="4995"/>
      <c r="I274" s="4995"/>
      <c r="J274" s="4995"/>
      <c r="K274" s="4995"/>
      <c r="L274" s="4995"/>
      <c r="M274" s="4995"/>
      <c r="N274" s="4995"/>
      <c r="O274" s="4995"/>
      <c r="P274" s="4995"/>
      <c r="Q274" s="4995"/>
      <c r="R274" s="4995"/>
      <c r="S274" s="4995"/>
      <c r="T274" s="4995"/>
      <c r="U274" s="4995"/>
      <c r="V274" s="4995"/>
      <c r="W274" s="4995"/>
      <c r="X274" s="4995"/>
      <c r="Y274" s="4995"/>
    </row>
    <row r="275" spans="1:40" ht="13">
      <c r="A275" s="4995"/>
      <c r="B275" s="4995"/>
      <c r="D275" s="4995"/>
      <c r="F275" s="4995"/>
      <c r="G275" s="4995"/>
      <c r="H275" s="4995"/>
      <c r="I275" s="4995"/>
      <c r="J275" s="4995"/>
      <c r="K275" s="4995"/>
      <c r="L275" s="4995"/>
      <c r="M275" s="4995"/>
      <c r="N275" s="4995"/>
      <c r="O275" s="4995"/>
      <c r="P275" s="4995"/>
      <c r="Q275" s="4995"/>
      <c r="R275" s="4995"/>
      <c r="S275" s="4995"/>
      <c r="T275" s="4995"/>
      <c r="U275" s="4995"/>
      <c r="V275" s="4995"/>
      <c r="W275" s="4995"/>
      <c r="X275" s="4995"/>
      <c r="Y275" s="4995"/>
    </row>
    <row r="276" spans="1:40" ht="13">
      <c r="A276" s="4995"/>
      <c r="B276" s="4995"/>
      <c r="D276" s="4995"/>
      <c r="F276" s="4995"/>
      <c r="G276" s="4995"/>
      <c r="H276" s="4995"/>
      <c r="I276" s="4995"/>
      <c r="J276" s="4995"/>
      <c r="K276" s="4995"/>
      <c r="L276" s="4995"/>
      <c r="M276" s="4995"/>
      <c r="N276" s="4995"/>
      <c r="O276" s="4995"/>
      <c r="P276" s="4995"/>
      <c r="Q276" s="4995"/>
      <c r="R276" s="4995"/>
      <c r="S276" s="4995"/>
      <c r="T276" s="4995"/>
      <c r="U276" s="4995"/>
      <c r="V276" s="4995"/>
      <c r="W276" s="4995"/>
      <c r="X276" s="4995"/>
      <c r="Y276" s="4995"/>
    </row>
    <row r="277" spans="1:40" ht="13">
      <c r="A277" s="4995"/>
      <c r="B277" s="4995"/>
      <c r="D277" s="4995"/>
      <c r="F277" s="4995"/>
      <c r="G277" s="4995"/>
      <c r="H277" s="4995"/>
      <c r="I277" s="4995"/>
      <c r="J277" s="4995"/>
      <c r="K277" s="4995"/>
      <c r="L277" s="4995"/>
      <c r="M277" s="4995"/>
      <c r="N277" s="4995"/>
      <c r="O277" s="4995"/>
      <c r="P277" s="4995"/>
      <c r="Q277" s="4995"/>
      <c r="R277" s="4995"/>
      <c r="S277" s="4995"/>
      <c r="T277" s="4995"/>
      <c r="U277" s="4995"/>
      <c r="V277" s="4995"/>
      <c r="W277" s="4995"/>
      <c r="X277" s="4995"/>
      <c r="Y277" s="4995"/>
    </row>
    <row r="278" spans="1:40" ht="13">
      <c r="A278" s="4995"/>
      <c r="B278" s="4995"/>
      <c r="D278" s="4995"/>
      <c r="F278" s="4995"/>
      <c r="G278" s="4995"/>
      <c r="H278" s="4995"/>
      <c r="I278" s="4995"/>
      <c r="J278" s="4995"/>
      <c r="K278" s="4995"/>
      <c r="L278" s="4995"/>
      <c r="M278" s="4995"/>
      <c r="N278" s="4995"/>
      <c r="O278" s="4995"/>
      <c r="P278" s="4995"/>
      <c r="Q278" s="4995"/>
      <c r="R278" s="4995"/>
      <c r="S278" s="4995"/>
      <c r="T278" s="4995"/>
      <c r="U278" s="4995"/>
      <c r="V278" s="4995"/>
      <c r="W278" s="4995"/>
      <c r="X278" s="4995"/>
      <c r="Y278" s="4995"/>
    </row>
    <row r="279" spans="1:40" ht="13">
      <c r="A279" s="4995"/>
      <c r="B279" s="4995"/>
      <c r="D279" s="4995"/>
      <c r="F279" s="4995"/>
      <c r="G279" s="4995"/>
      <c r="H279" s="4995"/>
      <c r="I279" s="4995"/>
      <c r="J279" s="4995"/>
      <c r="K279" s="4995"/>
      <c r="L279" s="4995"/>
      <c r="M279" s="4995"/>
      <c r="N279" s="4995"/>
      <c r="O279" s="4995"/>
      <c r="P279" s="4995"/>
      <c r="Q279" s="4995"/>
      <c r="R279" s="4995"/>
      <c r="S279" s="4995"/>
      <c r="T279" s="4995"/>
      <c r="U279" s="4995"/>
      <c r="V279" s="4995"/>
      <c r="W279" s="4995"/>
      <c r="X279" s="4995"/>
      <c r="Y279" s="4995"/>
    </row>
    <row r="280" spans="1:40" ht="13">
      <c r="A280" s="4995"/>
      <c r="B280" s="4995"/>
      <c r="D280" s="4995"/>
      <c r="F280" s="4995"/>
      <c r="G280" s="4995"/>
      <c r="H280" s="4995"/>
      <c r="I280" s="4995"/>
      <c r="J280" s="4995"/>
      <c r="K280" s="4995"/>
      <c r="L280" s="4995"/>
      <c r="M280" s="4995"/>
      <c r="N280" s="4995"/>
      <c r="O280" s="4995"/>
      <c r="P280" s="4995"/>
      <c r="Q280" s="4995"/>
      <c r="R280" s="4995"/>
      <c r="S280" s="4995"/>
      <c r="T280" s="4995"/>
      <c r="U280" s="4995"/>
      <c r="V280" s="4995"/>
      <c r="W280" s="4995"/>
      <c r="X280" s="4995"/>
      <c r="Y280" s="4995"/>
    </row>
    <row r="281" spans="1:40" ht="13">
      <c r="A281" s="4995"/>
      <c r="B281" s="4995"/>
      <c r="D281" s="4995"/>
      <c r="F281" s="4995"/>
      <c r="G281" s="4995"/>
      <c r="H281" s="4995"/>
      <c r="I281" s="4995"/>
      <c r="J281" s="4995"/>
      <c r="K281" s="4995"/>
      <c r="L281" s="4995"/>
      <c r="M281" s="4995"/>
      <c r="N281" s="4995"/>
      <c r="O281" s="4995"/>
      <c r="P281" s="4995"/>
      <c r="Q281" s="4995"/>
      <c r="R281" s="4995"/>
      <c r="S281" s="4995"/>
      <c r="T281" s="4995"/>
      <c r="U281" s="4995"/>
      <c r="V281" s="4995"/>
      <c r="W281" s="4995"/>
      <c r="X281" s="4995"/>
      <c r="Y281" s="4995"/>
      <c r="Z281" s="4995"/>
      <c r="AA281" s="4995"/>
      <c r="AB281" s="4995"/>
      <c r="AC281" s="4995"/>
      <c r="AD281" s="4995"/>
      <c r="AE281" s="4995"/>
      <c r="AF281" s="4995"/>
      <c r="AG281" s="4995"/>
      <c r="AH281" s="4995"/>
      <c r="AI281" s="4995"/>
      <c r="AJ281" s="4995"/>
      <c r="AK281" s="4995"/>
      <c r="AL281" s="4995"/>
      <c r="AM281" s="4995"/>
      <c r="AN281" s="4995"/>
    </row>
    <row r="282" spans="1:40" ht="13">
      <c r="A282" s="4995"/>
      <c r="B282" s="4995"/>
      <c r="D282" s="4995"/>
      <c r="F282" s="4995"/>
      <c r="G282" s="4995"/>
      <c r="H282" s="4995"/>
      <c r="I282" s="4995"/>
      <c r="J282" s="4995"/>
      <c r="K282" s="4995"/>
      <c r="L282" s="4995"/>
      <c r="M282" s="4995"/>
      <c r="N282" s="4995"/>
      <c r="O282" s="4995"/>
      <c r="P282" s="4995"/>
      <c r="Q282" s="4995"/>
      <c r="R282" s="4995"/>
      <c r="S282" s="4995"/>
      <c r="T282" s="4995"/>
      <c r="U282" s="4995"/>
      <c r="V282" s="4995"/>
      <c r="W282" s="4995"/>
      <c r="X282" s="4995"/>
      <c r="Y282" s="4995"/>
      <c r="Z282" s="4995"/>
      <c r="AA282" s="4995"/>
      <c r="AB282" s="4995"/>
      <c r="AC282" s="4995"/>
      <c r="AD282" s="4995"/>
      <c r="AE282" s="4995"/>
      <c r="AF282" s="4995"/>
      <c r="AG282" s="4995"/>
      <c r="AH282" s="4995"/>
      <c r="AI282" s="4995"/>
      <c r="AJ282" s="4995"/>
      <c r="AK282" s="4995"/>
      <c r="AL282" s="4995"/>
      <c r="AM282" s="4995"/>
      <c r="AN282" s="4995"/>
    </row>
    <row r="283" spans="1:40" ht="13">
      <c r="A283" s="4995"/>
      <c r="B283" s="4995"/>
      <c r="D283" s="4995"/>
      <c r="F283" s="4995"/>
      <c r="G283" s="4995"/>
      <c r="H283" s="4995"/>
      <c r="I283" s="4995"/>
      <c r="J283" s="4995"/>
      <c r="K283" s="4995"/>
      <c r="L283" s="4995"/>
      <c r="M283" s="4995"/>
      <c r="N283" s="4995"/>
      <c r="O283" s="4995"/>
      <c r="P283" s="4995"/>
      <c r="Q283" s="4995"/>
      <c r="R283" s="4995"/>
      <c r="S283" s="4995"/>
      <c r="T283" s="4995"/>
      <c r="U283" s="4995"/>
      <c r="V283" s="4995"/>
      <c r="W283" s="4995"/>
      <c r="X283" s="4995"/>
      <c r="Y283" s="4995"/>
      <c r="Z283" s="4995"/>
      <c r="AA283" s="4995"/>
      <c r="AB283" s="4995"/>
      <c r="AC283" s="4995"/>
      <c r="AD283" s="4995"/>
      <c r="AE283" s="4995"/>
      <c r="AF283" s="4995"/>
      <c r="AG283" s="4995"/>
      <c r="AH283" s="4995"/>
      <c r="AI283" s="4995"/>
      <c r="AJ283" s="4995"/>
      <c r="AK283" s="4995"/>
      <c r="AL283" s="4995"/>
      <c r="AM283" s="4995"/>
      <c r="AN283" s="4995"/>
    </row>
    <row r="284" spans="1:40" ht="13">
      <c r="A284" s="4995"/>
      <c r="B284" s="4995"/>
      <c r="D284" s="4995"/>
      <c r="F284" s="4995"/>
      <c r="G284" s="4995"/>
      <c r="H284" s="4995"/>
      <c r="I284" s="4995"/>
      <c r="J284" s="4995"/>
      <c r="K284" s="4995"/>
      <c r="L284" s="4995"/>
      <c r="M284" s="4995"/>
      <c r="N284" s="4995"/>
      <c r="O284" s="4995"/>
      <c r="P284" s="4995"/>
      <c r="Q284" s="4995"/>
      <c r="R284" s="4995"/>
      <c r="S284" s="4995"/>
      <c r="T284" s="4995"/>
      <c r="U284" s="4995"/>
      <c r="V284" s="4995"/>
      <c r="W284" s="4995"/>
      <c r="X284" s="4995"/>
      <c r="Y284" s="4995"/>
      <c r="Z284" s="4995"/>
      <c r="AA284" s="4995"/>
      <c r="AB284" s="4995"/>
      <c r="AC284" s="4995"/>
      <c r="AD284" s="4995"/>
      <c r="AE284" s="4995"/>
      <c r="AF284" s="4995"/>
      <c r="AG284" s="4995"/>
      <c r="AH284" s="4995"/>
      <c r="AI284" s="4995"/>
      <c r="AJ284" s="4995"/>
      <c r="AK284" s="4995"/>
      <c r="AL284" s="4995"/>
      <c r="AM284" s="4995"/>
      <c r="AN284" s="4995"/>
    </row>
    <row r="285" spans="1:40" ht="13">
      <c r="A285" s="4995"/>
      <c r="B285" s="4995"/>
      <c r="D285" s="4995"/>
      <c r="F285" s="4995"/>
      <c r="G285" s="4995"/>
      <c r="H285" s="4995"/>
      <c r="I285" s="4995"/>
      <c r="J285" s="4995"/>
      <c r="K285" s="4995"/>
      <c r="L285" s="4995"/>
      <c r="M285" s="4995"/>
      <c r="N285" s="4995"/>
      <c r="O285" s="4995"/>
      <c r="P285" s="4995"/>
      <c r="Q285" s="4995"/>
      <c r="R285" s="4995"/>
      <c r="S285" s="4995"/>
      <c r="T285" s="4995"/>
      <c r="U285" s="4995"/>
      <c r="V285" s="4995"/>
      <c r="W285" s="4995"/>
      <c r="X285" s="4995"/>
      <c r="Y285" s="4995"/>
      <c r="Z285" s="4995"/>
      <c r="AA285" s="4995"/>
      <c r="AB285" s="4995"/>
      <c r="AC285" s="4995"/>
      <c r="AD285" s="4995"/>
      <c r="AE285" s="4995"/>
      <c r="AF285" s="4995"/>
      <c r="AG285" s="4995"/>
      <c r="AH285" s="4995"/>
      <c r="AI285" s="4995"/>
      <c r="AJ285" s="4995"/>
      <c r="AK285" s="4995"/>
      <c r="AL285" s="4995"/>
      <c r="AM285" s="4995"/>
      <c r="AN285" s="4995"/>
    </row>
    <row r="286" spans="1:40" ht="13">
      <c r="A286" s="4995"/>
      <c r="B286" s="4995"/>
      <c r="D286" s="4995"/>
      <c r="F286" s="4995"/>
      <c r="G286" s="4995"/>
      <c r="H286" s="4995"/>
      <c r="I286" s="4995"/>
      <c r="J286" s="4995"/>
      <c r="K286" s="4995"/>
      <c r="L286" s="4995"/>
      <c r="M286" s="4995"/>
      <c r="N286" s="4995"/>
      <c r="O286" s="4995"/>
      <c r="P286" s="4995"/>
      <c r="Q286" s="4995"/>
      <c r="R286" s="4995"/>
      <c r="S286" s="4995"/>
      <c r="T286" s="4995"/>
      <c r="U286" s="4995"/>
      <c r="V286" s="4995"/>
      <c r="W286" s="4995"/>
      <c r="X286" s="4995"/>
      <c r="Y286" s="4995"/>
      <c r="Z286" s="4995"/>
      <c r="AA286" s="4995"/>
      <c r="AB286" s="4995"/>
      <c r="AC286" s="4995"/>
      <c r="AD286" s="4995"/>
      <c r="AE286" s="4995"/>
      <c r="AF286" s="4995"/>
      <c r="AG286" s="4995"/>
      <c r="AH286" s="4995"/>
      <c r="AI286" s="4995"/>
      <c r="AJ286" s="4995"/>
      <c r="AK286" s="4995"/>
      <c r="AL286" s="4995"/>
      <c r="AM286" s="4995"/>
      <c r="AN286" s="4995"/>
    </row>
    <row r="287" spans="1:40" ht="13">
      <c r="A287" s="4995"/>
      <c r="B287" s="4995"/>
      <c r="D287" s="4995"/>
      <c r="F287" s="4995"/>
      <c r="G287" s="4995"/>
      <c r="H287" s="4995"/>
      <c r="I287" s="4995"/>
      <c r="J287" s="4995"/>
      <c r="K287" s="4995"/>
      <c r="L287" s="4995"/>
      <c r="M287" s="4995"/>
      <c r="N287" s="4995"/>
      <c r="O287" s="4995"/>
      <c r="P287" s="4995"/>
      <c r="Q287" s="4995"/>
      <c r="R287" s="4995"/>
      <c r="S287" s="4995"/>
      <c r="T287" s="4995"/>
      <c r="U287" s="4995"/>
      <c r="V287" s="4995"/>
      <c r="W287" s="4995"/>
      <c r="X287" s="4995"/>
      <c r="Y287" s="4995"/>
      <c r="Z287" s="4995"/>
      <c r="AA287" s="4995"/>
      <c r="AB287" s="4995"/>
      <c r="AC287" s="4995"/>
      <c r="AD287" s="4995"/>
      <c r="AE287" s="4995"/>
      <c r="AF287" s="4995"/>
      <c r="AG287" s="4995"/>
      <c r="AH287" s="4995"/>
      <c r="AI287" s="4995"/>
      <c r="AJ287" s="4995"/>
      <c r="AK287" s="4995"/>
      <c r="AL287" s="4995"/>
      <c r="AM287" s="4995"/>
      <c r="AN287" s="4995"/>
    </row>
    <row r="288" spans="1:40" ht="13">
      <c r="A288" s="4995"/>
      <c r="B288" s="4995"/>
      <c r="D288" s="4995"/>
      <c r="F288" s="4995"/>
      <c r="G288" s="4995"/>
      <c r="H288" s="4995"/>
      <c r="I288" s="4995"/>
      <c r="J288" s="4995"/>
      <c r="K288" s="4995"/>
      <c r="L288" s="4995"/>
      <c r="M288" s="4995"/>
      <c r="N288" s="4995"/>
      <c r="O288" s="4995"/>
      <c r="P288" s="4995"/>
      <c r="Q288" s="4995"/>
      <c r="R288" s="4995"/>
      <c r="S288" s="4995"/>
      <c r="T288" s="4995"/>
      <c r="U288" s="4995"/>
      <c r="V288" s="4995"/>
      <c r="W288" s="4995"/>
      <c r="X288" s="4995"/>
      <c r="Y288" s="4995"/>
      <c r="Z288" s="4995"/>
      <c r="AA288" s="4995"/>
      <c r="AB288" s="4995"/>
      <c r="AC288" s="4995"/>
      <c r="AD288" s="4995"/>
      <c r="AE288" s="4995"/>
      <c r="AF288" s="4995"/>
      <c r="AG288" s="4995"/>
      <c r="AH288" s="4995"/>
      <c r="AI288" s="4995"/>
      <c r="AJ288" s="4995"/>
      <c r="AK288" s="4995"/>
      <c r="AL288" s="4995"/>
      <c r="AM288" s="4995"/>
      <c r="AN288" s="4995"/>
    </row>
    <row r="289" spans="1:40" ht="13">
      <c r="A289" s="4995"/>
      <c r="B289" s="4995"/>
      <c r="D289" s="4995"/>
      <c r="F289" s="4995"/>
      <c r="G289" s="4995"/>
      <c r="H289" s="4995"/>
      <c r="I289" s="4995"/>
      <c r="J289" s="4995"/>
      <c r="K289" s="4995"/>
      <c r="L289" s="4995"/>
      <c r="M289" s="4995"/>
      <c r="N289" s="4995"/>
      <c r="O289" s="4995"/>
      <c r="P289" s="4995"/>
      <c r="Q289" s="4995"/>
      <c r="R289" s="4995"/>
      <c r="S289" s="4995"/>
      <c r="T289" s="4995"/>
      <c r="U289" s="4995"/>
      <c r="V289" s="4995"/>
      <c r="W289" s="4995"/>
      <c r="X289" s="4995"/>
      <c r="Y289" s="4995"/>
      <c r="Z289" s="4995"/>
      <c r="AA289" s="4995"/>
      <c r="AB289" s="4995"/>
      <c r="AC289" s="4995"/>
      <c r="AD289" s="4995"/>
      <c r="AE289" s="4995"/>
      <c r="AF289" s="4995"/>
      <c r="AG289" s="4995"/>
      <c r="AH289" s="4995"/>
      <c r="AI289" s="4995"/>
      <c r="AJ289" s="4995"/>
      <c r="AK289" s="4995"/>
      <c r="AL289" s="4995"/>
      <c r="AM289" s="4995"/>
      <c r="AN289" s="4995"/>
    </row>
    <row r="290" spans="1:40" ht="13">
      <c r="A290" s="4995"/>
      <c r="B290" s="4995"/>
      <c r="D290" s="4995"/>
      <c r="F290" s="4995"/>
      <c r="G290" s="4995"/>
      <c r="H290" s="4995"/>
      <c r="I290" s="4995"/>
      <c r="J290" s="4995"/>
      <c r="K290" s="4995"/>
      <c r="L290" s="4995"/>
      <c r="M290" s="4995"/>
      <c r="N290" s="4995"/>
      <c r="O290" s="4995"/>
      <c r="P290" s="4995"/>
      <c r="Q290" s="4995"/>
      <c r="R290" s="4995"/>
      <c r="S290" s="4995"/>
      <c r="T290" s="4995"/>
      <c r="U290" s="4995"/>
      <c r="V290" s="4995"/>
      <c r="W290" s="4995"/>
      <c r="X290" s="4995"/>
      <c r="Y290" s="4995"/>
      <c r="Z290" s="4995"/>
      <c r="AA290" s="4995"/>
      <c r="AB290" s="4995"/>
      <c r="AC290" s="4995"/>
      <c r="AD290" s="4995"/>
      <c r="AE290" s="4995"/>
      <c r="AF290" s="4995"/>
      <c r="AG290" s="4995"/>
      <c r="AH290" s="4995"/>
      <c r="AI290" s="4995"/>
      <c r="AJ290" s="4995"/>
      <c r="AK290" s="4995"/>
      <c r="AL290" s="4995"/>
      <c r="AM290" s="4995"/>
      <c r="AN290" s="4995"/>
    </row>
    <row r="291" spans="1:40" ht="13">
      <c r="A291" s="4995"/>
      <c r="B291" s="4995"/>
      <c r="D291" s="4995"/>
      <c r="F291" s="4995"/>
      <c r="G291" s="4995"/>
      <c r="H291" s="4995"/>
      <c r="I291" s="4995"/>
      <c r="J291" s="4995"/>
      <c r="K291" s="4995"/>
      <c r="L291" s="4995"/>
      <c r="M291" s="4995"/>
      <c r="N291" s="4995"/>
      <c r="O291" s="4995"/>
      <c r="P291" s="4995"/>
      <c r="Q291" s="4995"/>
      <c r="R291" s="4995"/>
      <c r="S291" s="4995"/>
      <c r="T291" s="4995"/>
      <c r="U291" s="4995"/>
      <c r="V291" s="4995"/>
      <c r="W291" s="4995"/>
      <c r="X291" s="4995"/>
      <c r="Y291" s="4995"/>
      <c r="Z291" s="4995"/>
      <c r="AA291" s="4995"/>
      <c r="AB291" s="4995"/>
      <c r="AC291" s="4995"/>
      <c r="AD291" s="4995"/>
      <c r="AE291" s="4995"/>
      <c r="AF291" s="4995"/>
      <c r="AG291" s="4995"/>
      <c r="AH291" s="4995"/>
      <c r="AI291" s="4995"/>
      <c r="AJ291" s="4995"/>
      <c r="AK291" s="4995"/>
      <c r="AL291" s="4995"/>
      <c r="AM291" s="4995"/>
      <c r="AN291" s="4995"/>
    </row>
    <row r="292" spans="1:40" ht="13">
      <c r="A292" s="4995"/>
      <c r="B292" s="4995"/>
      <c r="D292" s="4995"/>
      <c r="F292" s="4995"/>
      <c r="G292" s="4995"/>
      <c r="H292" s="4995"/>
      <c r="I292" s="4995"/>
      <c r="J292" s="4995"/>
      <c r="K292" s="4995"/>
      <c r="L292" s="4995"/>
      <c r="M292" s="4995"/>
      <c r="N292" s="4995"/>
      <c r="O292" s="4995"/>
      <c r="P292" s="4995"/>
      <c r="Q292" s="4995"/>
      <c r="R292" s="4995"/>
      <c r="S292" s="4995"/>
      <c r="T292" s="4995"/>
      <c r="U292" s="4995"/>
      <c r="V292" s="4995"/>
      <c r="W292" s="4995"/>
      <c r="X292" s="4995"/>
      <c r="Y292" s="4995"/>
      <c r="Z292" s="4995"/>
      <c r="AA292" s="4995"/>
      <c r="AB292" s="4995"/>
      <c r="AC292" s="4995"/>
      <c r="AD292" s="4995"/>
      <c r="AE292" s="4995"/>
      <c r="AF292" s="4995"/>
      <c r="AG292" s="4995"/>
      <c r="AH292" s="4995"/>
      <c r="AI292" s="4995"/>
      <c r="AJ292" s="4995"/>
      <c r="AK292" s="4995"/>
      <c r="AL292" s="4995"/>
      <c r="AM292" s="4995"/>
      <c r="AN292" s="4995"/>
    </row>
    <row r="293" spans="1:40" ht="13">
      <c r="A293" s="4995"/>
      <c r="B293" s="4995"/>
      <c r="D293" s="4995"/>
      <c r="F293" s="4995"/>
      <c r="G293" s="4995"/>
      <c r="H293" s="4995"/>
      <c r="I293" s="4995"/>
      <c r="J293" s="4995"/>
      <c r="K293" s="4995"/>
      <c r="L293" s="4995"/>
      <c r="M293" s="4995"/>
      <c r="N293" s="4995"/>
      <c r="O293" s="4995"/>
      <c r="P293" s="4995"/>
      <c r="Q293" s="4995"/>
      <c r="R293" s="4995"/>
      <c r="S293" s="4995"/>
      <c r="T293" s="4995"/>
      <c r="U293" s="4995"/>
      <c r="V293" s="4995"/>
      <c r="W293" s="4995"/>
      <c r="X293" s="4995"/>
      <c r="Y293" s="4995"/>
      <c r="Z293" s="4995"/>
      <c r="AA293" s="4995"/>
      <c r="AB293" s="4995"/>
      <c r="AC293" s="4995"/>
      <c r="AD293" s="4995"/>
      <c r="AE293" s="4995"/>
      <c r="AF293" s="4995"/>
      <c r="AG293" s="4995"/>
      <c r="AH293" s="4995"/>
      <c r="AI293" s="4995"/>
      <c r="AJ293" s="4995"/>
      <c r="AK293" s="4995"/>
      <c r="AL293" s="4995"/>
      <c r="AM293" s="4995"/>
      <c r="AN293" s="4995"/>
    </row>
    <row r="294" spans="1:40" ht="13">
      <c r="A294" s="4995"/>
      <c r="B294" s="4995"/>
      <c r="D294" s="4995"/>
      <c r="F294" s="4995"/>
      <c r="G294" s="4995"/>
      <c r="H294" s="4995"/>
      <c r="I294" s="4995"/>
      <c r="J294" s="4995"/>
      <c r="K294" s="4995"/>
      <c r="L294" s="4995"/>
      <c r="M294" s="4995"/>
      <c r="N294" s="4995"/>
      <c r="O294" s="4995"/>
      <c r="P294" s="4995"/>
      <c r="Q294" s="4995"/>
      <c r="R294" s="4995"/>
      <c r="S294" s="4995"/>
      <c r="T294" s="4995"/>
      <c r="U294" s="4995"/>
      <c r="V294" s="4995"/>
      <c r="W294" s="4995"/>
      <c r="X294" s="4995"/>
      <c r="Y294" s="4995"/>
      <c r="Z294" s="4995"/>
      <c r="AA294" s="4995"/>
      <c r="AB294" s="4995"/>
      <c r="AC294" s="4995"/>
      <c r="AD294" s="4995"/>
      <c r="AE294" s="4995"/>
      <c r="AF294" s="4995"/>
      <c r="AG294" s="4995"/>
      <c r="AH294" s="4995"/>
      <c r="AI294" s="4995"/>
      <c r="AJ294" s="4995"/>
      <c r="AK294" s="4995"/>
      <c r="AL294" s="4995"/>
      <c r="AM294" s="4995"/>
      <c r="AN294" s="4995"/>
    </row>
    <row r="295" spans="1:40" ht="13">
      <c r="A295" s="4995"/>
      <c r="B295" s="4995"/>
      <c r="D295" s="4995"/>
      <c r="F295" s="4995"/>
      <c r="G295" s="4995"/>
      <c r="H295" s="4995"/>
      <c r="I295" s="4995"/>
      <c r="J295" s="4995"/>
      <c r="K295" s="4995"/>
      <c r="L295" s="4995"/>
      <c r="M295" s="4995"/>
      <c r="N295" s="4995"/>
      <c r="O295" s="4995"/>
      <c r="P295" s="4995"/>
      <c r="Q295" s="4995"/>
      <c r="R295" s="4995"/>
      <c r="S295" s="4995"/>
      <c r="T295" s="4995"/>
      <c r="U295" s="4995"/>
      <c r="V295" s="4995"/>
      <c r="W295" s="4995"/>
      <c r="X295" s="4995"/>
      <c r="Y295" s="4995"/>
      <c r="Z295" s="4995"/>
      <c r="AA295" s="4995"/>
      <c r="AB295" s="4995"/>
      <c r="AC295" s="4995"/>
      <c r="AD295" s="4995"/>
      <c r="AE295" s="4995"/>
      <c r="AF295" s="4995"/>
      <c r="AG295" s="4995"/>
      <c r="AH295" s="4995"/>
      <c r="AI295" s="4995"/>
      <c r="AJ295" s="4995"/>
      <c r="AK295" s="4995"/>
      <c r="AL295" s="4995"/>
      <c r="AM295" s="4995"/>
      <c r="AN295" s="4995"/>
    </row>
    <row r="296" spans="1:40" ht="13">
      <c r="A296" s="4995"/>
      <c r="B296" s="4995"/>
      <c r="D296" s="4995"/>
      <c r="F296" s="4995"/>
      <c r="G296" s="4995"/>
      <c r="H296" s="4995"/>
      <c r="I296" s="4995"/>
      <c r="J296" s="4995"/>
      <c r="K296" s="4995"/>
      <c r="L296" s="4995"/>
      <c r="M296" s="4995"/>
      <c r="N296" s="4995"/>
      <c r="O296" s="4995"/>
      <c r="P296" s="4995"/>
      <c r="Q296" s="4995"/>
      <c r="R296" s="4995"/>
      <c r="S296" s="4995"/>
      <c r="T296" s="4995"/>
      <c r="U296" s="4995"/>
      <c r="V296" s="4995"/>
      <c r="W296" s="4995"/>
      <c r="X296" s="4995"/>
      <c r="Y296" s="4995"/>
      <c r="Z296" s="4995"/>
      <c r="AA296" s="4995"/>
      <c r="AB296" s="4995"/>
      <c r="AC296" s="4995"/>
      <c r="AD296" s="4995"/>
      <c r="AE296" s="4995"/>
      <c r="AF296" s="4995"/>
      <c r="AG296" s="4995"/>
      <c r="AH296" s="4995"/>
      <c r="AI296" s="4995"/>
      <c r="AJ296" s="4995"/>
      <c r="AK296" s="4995"/>
      <c r="AL296" s="4995"/>
      <c r="AM296" s="4995"/>
      <c r="AN296" s="4995"/>
    </row>
    <row r="297" spans="1:40" ht="13">
      <c r="A297" s="4995"/>
      <c r="B297" s="4995"/>
      <c r="D297" s="4995"/>
      <c r="F297" s="4995"/>
      <c r="G297" s="4995"/>
      <c r="H297" s="4995"/>
      <c r="I297" s="4995"/>
      <c r="J297" s="4995"/>
      <c r="K297" s="4995"/>
      <c r="L297" s="4995"/>
      <c r="M297" s="4995"/>
      <c r="N297" s="4995"/>
      <c r="O297" s="4995"/>
      <c r="P297" s="4995"/>
      <c r="Q297" s="4995"/>
      <c r="R297" s="4995"/>
      <c r="S297" s="4995"/>
      <c r="T297" s="4995"/>
      <c r="U297" s="4995"/>
      <c r="V297" s="4995"/>
      <c r="W297" s="4995"/>
      <c r="X297" s="4995"/>
      <c r="Y297" s="4995"/>
      <c r="Z297" s="4995"/>
      <c r="AA297" s="4995"/>
      <c r="AB297" s="4995"/>
      <c r="AC297" s="4995"/>
      <c r="AD297" s="4995"/>
      <c r="AE297" s="4995"/>
      <c r="AF297" s="4995"/>
      <c r="AG297" s="4995"/>
      <c r="AH297" s="4995"/>
      <c r="AI297" s="4995"/>
      <c r="AJ297" s="4995"/>
      <c r="AK297" s="4995"/>
      <c r="AL297" s="4995"/>
      <c r="AM297" s="4995"/>
      <c r="AN297" s="4995"/>
    </row>
    <row r="298" spans="1:40" ht="13">
      <c r="A298" s="4995"/>
      <c r="B298" s="4995"/>
      <c r="D298" s="4995"/>
      <c r="F298" s="4995"/>
      <c r="G298" s="4995"/>
      <c r="H298" s="4995"/>
      <c r="I298" s="4995"/>
      <c r="J298" s="4995"/>
      <c r="K298" s="4995"/>
      <c r="L298" s="4995"/>
      <c r="M298" s="4995"/>
      <c r="N298" s="4995"/>
      <c r="O298" s="4995"/>
      <c r="P298" s="4995"/>
      <c r="Q298" s="4995"/>
      <c r="R298" s="4995"/>
      <c r="S298" s="4995"/>
      <c r="T298" s="4995"/>
      <c r="U298" s="4995"/>
      <c r="V298" s="4995"/>
      <c r="W298" s="4995"/>
      <c r="X298" s="4995"/>
      <c r="Y298" s="4995"/>
      <c r="Z298" s="4995"/>
      <c r="AA298" s="4995"/>
      <c r="AB298" s="4995"/>
      <c r="AC298" s="4995"/>
      <c r="AD298" s="4995"/>
      <c r="AE298" s="4995"/>
      <c r="AF298" s="4995"/>
      <c r="AG298" s="4995"/>
      <c r="AH298" s="4995"/>
      <c r="AI298" s="4995"/>
      <c r="AJ298" s="4995"/>
      <c r="AK298" s="4995"/>
      <c r="AL298" s="4995"/>
      <c r="AM298" s="4995"/>
      <c r="AN298" s="4995"/>
    </row>
  </sheetData>
  <mergeCells count="5">
    <mergeCell ref="I65:I67"/>
    <mergeCell ref="R72:S72"/>
    <mergeCell ref="I13:I15"/>
    <mergeCell ref="I37:I38"/>
    <mergeCell ref="I53:I56"/>
  </mergeCells>
  <conditionalFormatting sqref="E68 G68:H68 J68:L68">
    <cfRule type="cellIs" dxfId="166" priority="2" stopIfTrue="1" operator="equal">
      <formula>1</formula>
    </cfRule>
  </conditionalFormatting>
  <conditionalFormatting sqref="I68">
    <cfRule type="cellIs" dxfId="165" priority="1" stopIfTrue="1" operator="equal">
      <formula>1</formula>
    </cfRule>
  </conditionalFormatting>
  <pageMargins left="0" right="0" top="0.94488188976377963" bottom="0.15748031496062992" header="0.70866141732283472" footer="0"/>
  <pageSetup paperSize="9" scale="112" orientation="landscape" horizontalDpi="0" verticalDpi="0"/>
  <headerFooter>
    <oddHeader>&amp;L&amp;K000000&amp;Z&amp;F</oddHeader>
  </headerFooter>
  <drawing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2F15-2385-9A48-BE58-2ECC0D2F00FC}">
  <sheetPr codeName="Hoja48">
    <pageSetUpPr fitToPage="1"/>
  </sheetPr>
  <dimension ref="A1:AO280"/>
  <sheetViews>
    <sheetView zoomScale="165" zoomScaleNormal="165" workbookViewId="0">
      <selection activeCell="B12" sqref="B12:R21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83203125" style="1" customWidth="1"/>
    <col min="4" max="4" width="0.83203125" style="3082" customWidth="1"/>
    <col min="5" max="5" width="3.6640625" style="1" customWidth="1"/>
    <col min="6" max="6" width="3.6640625" style="2818" customWidth="1"/>
    <col min="7" max="7" width="4.33203125" style="780" customWidth="1"/>
    <col min="8" max="8" width="6.33203125" style="780" customWidth="1"/>
    <col min="9" max="9" width="8.83203125" style="780" customWidth="1"/>
    <col min="10" max="10" width="8" style="780" customWidth="1"/>
    <col min="11" max="11" width="37.1640625" style="780" customWidth="1"/>
    <col min="12" max="12" width="8.1640625" style="780" customWidth="1"/>
    <col min="13" max="13" width="1.1640625" style="2820" customWidth="1"/>
    <col min="14" max="14" width="9.1640625" style="2818" customWidth="1"/>
    <col min="15" max="15" width="0.83203125" style="780" customWidth="1"/>
    <col min="16" max="16" width="8.83203125" style="780" customWidth="1"/>
    <col min="17" max="17" width="5.5" style="2821" customWidth="1"/>
    <col min="18" max="18" width="5" style="2821" customWidth="1"/>
    <col min="19" max="19" width="1.33203125" style="2822" customWidth="1"/>
    <col min="20" max="20" width="0.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5" style="2823" customWidth="1"/>
    <col min="25" max="25" width="6" style="2823" customWidth="1"/>
    <col min="26" max="27" width="5.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5" style="2826" customWidth="1"/>
    <col min="40" max="40" width="11.5" style="2825"/>
    <col min="41" max="16384" width="11.5" style="1"/>
  </cols>
  <sheetData>
    <row r="1" spans="1:40" ht="21" customHeight="1">
      <c r="A1" s="3080" t="s">
        <v>344</v>
      </c>
      <c r="B1" s="1"/>
      <c r="C1" s="2816"/>
      <c r="D1" s="3081"/>
      <c r="E1" s="2817"/>
      <c r="M1" s="3583"/>
      <c r="V1" s="2824"/>
      <c r="AI1" s="2825"/>
      <c r="AJ1" s="2825"/>
      <c r="AK1" s="2825"/>
      <c r="AL1" s="2825"/>
      <c r="AM1" s="2825"/>
    </row>
    <row r="2" spans="1:40" ht="15.75" customHeight="1" thickBot="1">
      <c r="F2" s="527"/>
      <c r="G2" s="155"/>
      <c r="H2" s="155"/>
      <c r="I2" s="155"/>
      <c r="J2" s="3083"/>
      <c r="K2" s="527">
        <v>44634</v>
      </c>
      <c r="L2" s="2372"/>
      <c r="U2" s="2827" t="s">
        <v>345</v>
      </c>
      <c r="AI2" s="2825"/>
      <c r="AJ2" s="2825"/>
      <c r="AK2" s="2825"/>
      <c r="AL2" s="2825"/>
      <c r="AM2" s="2825"/>
    </row>
    <row r="3" spans="1:40" s="3603" customFormat="1" ht="36" customHeight="1" thickTop="1" thickBot="1">
      <c r="A3" s="3584" t="s">
        <v>346</v>
      </c>
      <c r="B3" s="3585" t="s">
        <v>347</v>
      </c>
      <c r="C3" s="3586" t="s">
        <v>348</v>
      </c>
      <c r="D3" s="3587"/>
      <c r="E3" s="3586" t="s">
        <v>349</v>
      </c>
      <c r="F3" s="3588" t="s">
        <v>350</v>
      </c>
      <c r="G3" s="3042" t="s">
        <v>351</v>
      </c>
      <c r="H3" s="3042" t="s">
        <v>624</v>
      </c>
      <c r="I3" s="3042" t="s">
        <v>352</v>
      </c>
      <c r="J3" s="3588" t="s">
        <v>353</v>
      </c>
      <c r="K3" s="3042" t="s">
        <v>354</v>
      </c>
      <c r="L3" s="3042"/>
      <c r="M3" s="3589" t="s">
        <v>355</v>
      </c>
      <c r="N3" s="3042" t="s">
        <v>445</v>
      </c>
      <c r="O3" s="3586" t="s">
        <v>446</v>
      </c>
      <c r="P3" s="3586" t="s">
        <v>447</v>
      </c>
      <c r="Q3" s="3590" t="s">
        <v>448</v>
      </c>
      <c r="R3" s="3591" t="s">
        <v>371</v>
      </c>
      <c r="S3" s="3592" t="s">
        <v>449</v>
      </c>
      <c r="T3" s="3592" t="s">
        <v>450</v>
      </c>
      <c r="U3" s="3593" t="s">
        <v>451</v>
      </c>
      <c r="V3" s="3594" t="s">
        <v>452</v>
      </c>
      <c r="W3" s="3595" t="s">
        <v>453</v>
      </c>
      <c r="X3" s="3596" t="s">
        <v>454</v>
      </c>
      <c r="Y3" s="3597" t="s">
        <v>455</v>
      </c>
      <c r="Z3" s="3598" t="s">
        <v>456</v>
      </c>
      <c r="AA3" s="3599" t="s">
        <v>457</v>
      </c>
      <c r="AB3" s="3600"/>
      <c r="AC3" s="3601"/>
      <c r="AD3" s="3602"/>
      <c r="AE3" s="3602"/>
      <c r="AF3" s="3602"/>
      <c r="AG3" s="3602"/>
      <c r="AH3" s="3602"/>
      <c r="AI3" s="3600"/>
      <c r="AJ3" s="3600"/>
      <c r="AK3" s="3600"/>
      <c r="AL3" s="3600"/>
      <c r="AM3" s="3600"/>
      <c r="AN3" s="3600"/>
    </row>
    <row r="4" spans="1:40" s="63" customFormat="1" ht="3" customHeight="1" thickBot="1">
      <c r="A4" s="3604"/>
      <c r="B4" s="3605"/>
      <c r="C4" s="3396"/>
      <c r="D4" s="3397"/>
      <c r="E4" s="3396"/>
      <c r="F4" s="3398"/>
      <c r="G4" s="3399"/>
      <c r="H4" s="3399"/>
      <c r="I4" s="3399"/>
      <c r="J4" s="3398"/>
      <c r="K4" s="3399"/>
      <c r="L4" s="3095"/>
      <c r="M4" s="3606"/>
      <c r="N4" s="3399"/>
      <c r="O4" s="3396"/>
      <c r="P4" s="3396"/>
      <c r="Q4" s="3396"/>
      <c r="R4" s="3607"/>
      <c r="S4" s="3404"/>
      <c r="T4" s="3404"/>
      <c r="U4" s="2843">
        <f>[8]Test!$D$29</f>
        <v>9.1523857526881758E-4</v>
      </c>
      <c r="V4" s="2843">
        <f>[8]Test!$D$31</f>
        <v>8.7635030864197572E-4</v>
      </c>
      <c r="W4" s="2843">
        <f>[8]Test!$D$33</f>
        <v>8.4888763197586746E-4</v>
      </c>
      <c r="X4" s="2843">
        <f>[8]Test!$D$35</f>
        <v>8.0990657955066516E-4</v>
      </c>
      <c r="Y4" s="2843">
        <f>[8]Test!$D$37</f>
        <v>7.5735749690210676E-4</v>
      </c>
      <c r="Z4" s="2843">
        <f>[8]Test!$D$39</f>
        <v>7.2916666666666692E-4</v>
      </c>
      <c r="AA4" s="3043">
        <f>[8]Test!$D$41</f>
        <v>7.0729166666666694E-4</v>
      </c>
      <c r="AB4" s="2935"/>
      <c r="AC4" s="2936"/>
      <c r="AD4" s="2937"/>
      <c r="AE4" s="2937"/>
      <c r="AF4" s="2937"/>
      <c r="AG4" s="2937"/>
      <c r="AH4" s="2937"/>
      <c r="AI4" s="2935"/>
      <c r="AJ4" s="2935"/>
      <c r="AK4" s="2935"/>
      <c r="AL4" s="2935"/>
      <c r="AM4" s="2935"/>
      <c r="AN4" s="2935"/>
    </row>
    <row r="5" spans="1:40" s="63" customFormat="1" ht="4" customHeight="1" thickTop="1" thickBot="1">
      <c r="A5" s="3608"/>
      <c r="B5" s="3608"/>
      <c r="C5" s="3103"/>
      <c r="D5" s="3104"/>
      <c r="E5" s="3103"/>
      <c r="F5" s="3105"/>
      <c r="G5" s="3106"/>
      <c r="H5" s="3106"/>
      <c r="I5" s="3106"/>
      <c r="J5" s="3105"/>
      <c r="K5" s="3106"/>
      <c r="L5" s="3641"/>
      <c r="M5" s="3107"/>
      <c r="N5" s="3106"/>
      <c r="O5" s="3103"/>
      <c r="P5" s="3103"/>
      <c r="Q5" s="3103"/>
      <c r="R5" s="3609"/>
      <c r="S5" s="3610"/>
      <c r="T5" s="3610"/>
      <c r="U5" s="2843">
        <f>U4/4</f>
        <v>2.2880964381720439E-4</v>
      </c>
      <c r="V5" s="2843">
        <f t="shared" ref="V5:AA5" si="0">V4/4</f>
        <v>2.1908757716049393E-4</v>
      </c>
      <c r="W5" s="2843">
        <f t="shared" si="0"/>
        <v>2.1222190799396687E-4</v>
      </c>
      <c r="X5" s="2843">
        <f t="shared" si="0"/>
        <v>2.0247664488766629E-4</v>
      </c>
      <c r="Y5" s="2843">
        <f t="shared" si="0"/>
        <v>1.8933937422552669E-4</v>
      </c>
      <c r="Z5" s="2843">
        <f t="shared" si="0"/>
        <v>1.8229166666666673E-4</v>
      </c>
      <c r="AA5" s="2843">
        <f t="shared" si="0"/>
        <v>1.7682291666666674E-4</v>
      </c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s="63" customFormat="1" ht="12.75" customHeight="1" thickTop="1" thickBot="1">
      <c r="A6" s="3611" t="s">
        <v>214</v>
      </c>
      <c r="B6" s="3110" t="s">
        <v>215</v>
      </c>
      <c r="C6" s="2256">
        <f>IF(D6=1,U$5,IF(D6=2,V$5,IF(D6=3,W$5,IF(D6=4,X$5,IF(D6=5,Y$5,IF(D6=6,Z$5,IF(D6=7,AA$5,0)))))))</f>
        <v>2.2880964381720439E-4</v>
      </c>
      <c r="D6" s="2335">
        <v>1</v>
      </c>
      <c r="E6" s="2336">
        <v>1</v>
      </c>
      <c r="F6" s="2336">
        <v>3</v>
      </c>
      <c r="G6" s="2336">
        <v>200</v>
      </c>
      <c r="H6" s="2337"/>
      <c r="I6" s="2337">
        <v>3.4722222222222224E-4</v>
      </c>
      <c r="J6" s="2337">
        <v>1.3888888888888889E-3</v>
      </c>
      <c r="K6" s="2338" t="s">
        <v>707</v>
      </c>
      <c r="L6" s="5185">
        <v>0.2986111111111111</v>
      </c>
      <c r="M6" s="2502">
        <v>1</v>
      </c>
      <c r="N6" s="2337">
        <f>P6*E6*F6+I6*E6*F6+J6*E6</f>
        <v>7.9219870071684604E-3</v>
      </c>
      <c r="O6" s="2359">
        <f t="shared" ref="O6:O67" si="1">C6*(G6/25)</f>
        <v>1.8304771505376352E-3</v>
      </c>
      <c r="P6" s="2359">
        <f>O6*M6</f>
        <v>1.8304771505376352E-3</v>
      </c>
      <c r="Q6" s="2341">
        <v>129</v>
      </c>
      <c r="R6" s="2336">
        <f>E6*F6*G6</f>
        <v>600</v>
      </c>
      <c r="S6" s="2844">
        <f>E6*F6*G6/1000</f>
        <v>0.6</v>
      </c>
      <c r="T6" s="2845">
        <f>E6*F6*O6*4</f>
        <v>2.1965725806451623E-2</v>
      </c>
      <c r="U6" s="374">
        <f>IF(C6*4&gt;=$U$4,S6,0)</f>
        <v>0.6</v>
      </c>
      <c r="V6" s="2846">
        <f>IF(AND(C6*4&gt;=$V$4,C6*4&lt;$U$4),S6,0)</f>
        <v>0</v>
      </c>
      <c r="W6" s="2847">
        <f>IF(AND(C6*4&gt;=$W$4,C6*4&lt;$V$4),S6,0)</f>
        <v>0</v>
      </c>
      <c r="X6" s="2848">
        <f>IF(AND(C6*4&gt;=$X$4,C6*4&lt;$W$4),S6,0)</f>
        <v>0</v>
      </c>
      <c r="Y6" s="2849">
        <f>IF(AND(C6*4&gt;=$Y$4,C6*4&lt;$X$4),S6,0)</f>
        <v>0</v>
      </c>
      <c r="Z6" s="2850">
        <f>IF(AND(C6*4&gt;=$Z$4,C6*4&lt;$Y$4),S6,0)</f>
        <v>0</v>
      </c>
      <c r="AA6" s="2851">
        <f>IF(AND(C6*4&gt;=$AA$4,C6*4&lt;$Z$4),S6,0)</f>
        <v>0</v>
      </c>
      <c r="AB6" s="2935"/>
      <c r="AC6" s="2936"/>
      <c r="AD6" s="2937"/>
      <c r="AE6" s="2937"/>
      <c r="AF6" s="2937"/>
      <c r="AG6" s="2937"/>
      <c r="AH6" s="2937"/>
      <c r="AI6" s="2935"/>
      <c r="AJ6" s="2935"/>
      <c r="AK6" s="2935"/>
      <c r="AL6" s="2935"/>
      <c r="AM6" s="2935"/>
      <c r="AN6" s="2935"/>
    </row>
    <row r="7" spans="1:40" s="63" customFormat="1" ht="16" customHeight="1" thickBot="1">
      <c r="A7" s="3611" t="s">
        <v>459</v>
      </c>
      <c r="B7" s="3110" t="s">
        <v>215</v>
      </c>
      <c r="C7" s="2256">
        <f>IF(D7=1,U$5,IF(D7=2,V$5,IF(D7=3,W$5,IF(D7=4,X$5,IF(D7=5,Y$5,IF(D7=6,Z$5,IF(D7=7,AA$5,0)))))))</f>
        <v>1.8229166666666673E-4</v>
      </c>
      <c r="D7" s="2309">
        <v>6</v>
      </c>
      <c r="E7" s="4559">
        <v>2</v>
      </c>
      <c r="F7" s="4559">
        <v>8</v>
      </c>
      <c r="G7" s="4559">
        <v>50</v>
      </c>
      <c r="H7" s="4559"/>
      <c r="I7" s="4560">
        <v>6.9444444444444447E-4</v>
      </c>
      <c r="J7" s="4560">
        <v>3.472222222222222E-3</v>
      </c>
      <c r="K7" s="4561" t="s">
        <v>974</v>
      </c>
      <c r="L7" s="5186">
        <f>L5+N5</f>
        <v>0</v>
      </c>
      <c r="M7" s="4562">
        <v>1</v>
      </c>
      <c r="N7" s="4560">
        <f t="shared" ref="N7" si="2">P7*E7*F7+I7*E7*F7+J7*E7</f>
        <v>2.4005555555555558E-2</v>
      </c>
      <c r="O7" s="4563">
        <f>C7*(G7/25)*1.02</f>
        <v>3.7187500000000014E-4</v>
      </c>
      <c r="P7" s="5184">
        <f t="shared" ref="P7" si="3">O7*M7</f>
        <v>3.7187500000000014E-4</v>
      </c>
      <c r="Q7" s="4565">
        <v>177</v>
      </c>
      <c r="R7" s="4559">
        <f t="shared" ref="R7" si="4">E7*F7*G7</f>
        <v>800</v>
      </c>
      <c r="S7" s="2844">
        <f t="shared" ref="S7:S72" si="5">E7*F7*G7/1000</f>
        <v>0.8</v>
      </c>
      <c r="T7" s="2845">
        <f t="shared" ref="T7:T72" si="6">E7*F7*O7*4</f>
        <v>2.3800000000000009E-2</v>
      </c>
      <c r="U7" s="374">
        <f t="shared" ref="U7:U69" si="7">IF(C7*4&gt;=$U$4,S7,0)</f>
        <v>0</v>
      </c>
      <c r="V7" s="2846">
        <f t="shared" ref="V7:V69" si="8">IF(AND(C7*4&gt;=$V$4,C7*4&lt;$U$4),S7,0)</f>
        <v>0</v>
      </c>
      <c r="W7" s="2847">
        <f t="shared" ref="W7:W69" si="9">IF(AND(C7*4&gt;=$W$4,C7*4&lt;$V$4),S7,0)</f>
        <v>0</v>
      </c>
      <c r="X7" s="2848">
        <f t="shared" ref="X7:X69" si="10">IF(AND(C7*4&gt;=$X$4,C7*4&lt;$W$4),S7,0)</f>
        <v>0</v>
      </c>
      <c r="Y7" s="2849">
        <f t="shared" ref="Y7:Y69" si="11">IF(AND(C7*4&gt;=$Y$4,C7*4&lt;$X$4),S7,0)</f>
        <v>0</v>
      </c>
      <c r="Z7" s="2850">
        <f t="shared" ref="Z7:Z69" si="12">IF(AND(C7*4&gt;=$Z$4,C7*4&lt;$Y$4),S7,0)</f>
        <v>0.8</v>
      </c>
      <c r="AA7" s="2851">
        <f t="shared" ref="AA7:AA69" si="13">IF(AND(C7*4&gt;=$AA$4,C7*4&lt;$Z$4),S7,0)</f>
        <v>0</v>
      </c>
      <c r="AB7" s="2935"/>
      <c r="AC7" s="2936"/>
      <c r="AD7" s="2937"/>
      <c r="AE7" s="2937"/>
      <c r="AF7" s="2937"/>
      <c r="AG7" s="2937"/>
      <c r="AH7" s="2937"/>
      <c r="AI7" s="2935"/>
      <c r="AJ7" s="2935"/>
      <c r="AK7" s="2935"/>
      <c r="AL7" s="2935"/>
      <c r="AM7" s="2935"/>
      <c r="AN7" s="2935"/>
    </row>
    <row r="8" spans="1:40" s="63" customFormat="1" ht="14" customHeight="1" thickBot="1">
      <c r="A8" s="3611" t="s">
        <v>460</v>
      </c>
      <c r="B8" s="3110" t="s">
        <v>215</v>
      </c>
      <c r="C8" s="2256">
        <f>IF(D8=1,U$5,IF(D8=2,V$5,IF(D8=3,W$5,IF(D8=4,X$5,IF(D8=5,Y$5,IF(D8=6,Z$5,IF(D8=7,AA$5,0)))))))</f>
        <v>1.8933937422552669E-4</v>
      </c>
      <c r="D8" s="2505">
        <v>5</v>
      </c>
      <c r="E8" s="3445">
        <v>1</v>
      </c>
      <c r="F8" s="3445">
        <v>20</v>
      </c>
      <c r="G8" s="3445">
        <v>25</v>
      </c>
      <c r="H8" s="2264"/>
      <c r="I8" s="2264">
        <v>5.7870370370370366E-5</v>
      </c>
      <c r="J8" s="2264">
        <v>1.3888888888888889E-3</v>
      </c>
      <c r="K8" s="3466" t="s">
        <v>289</v>
      </c>
      <c r="L8" s="5187">
        <f>L7+N7</f>
        <v>2.4005555555555558E-2</v>
      </c>
      <c r="M8" s="2509">
        <v>1</v>
      </c>
      <c r="N8" s="2264">
        <f>P8*E8*F8+I8*E8*F8+J8*E8</f>
        <v>6.3330837808068304E-3</v>
      </c>
      <c r="O8" s="2265">
        <f t="shared" si="1"/>
        <v>1.8933937422552669E-4</v>
      </c>
      <c r="P8" s="2185">
        <f>O8*M8</f>
        <v>1.8933937422552669E-4</v>
      </c>
      <c r="Q8" s="3467">
        <v>173</v>
      </c>
      <c r="R8" s="3468">
        <f>E8*F8*G8</f>
        <v>500</v>
      </c>
      <c r="S8" s="2844">
        <f t="shared" si="5"/>
        <v>0.5</v>
      </c>
      <c r="T8" s="2845">
        <f t="shared" si="6"/>
        <v>1.5147149938042136E-2</v>
      </c>
      <c r="U8" s="374">
        <f t="shared" si="7"/>
        <v>0</v>
      </c>
      <c r="V8" s="2846">
        <f t="shared" si="8"/>
        <v>0</v>
      </c>
      <c r="W8" s="2847">
        <f t="shared" si="9"/>
        <v>0</v>
      </c>
      <c r="X8" s="2848">
        <f t="shared" si="10"/>
        <v>0</v>
      </c>
      <c r="Y8" s="2849">
        <f t="shared" si="11"/>
        <v>0.5</v>
      </c>
      <c r="Z8" s="2850">
        <f t="shared" si="12"/>
        <v>0</v>
      </c>
      <c r="AA8" s="2851">
        <f t="shared" si="13"/>
        <v>0</v>
      </c>
      <c r="AB8" s="2935"/>
      <c r="AC8" s="2936"/>
      <c r="AD8" s="2937"/>
      <c r="AE8" s="2937"/>
      <c r="AF8" s="2937"/>
      <c r="AG8" s="2937"/>
      <c r="AH8" s="2937"/>
      <c r="AI8" s="2935"/>
      <c r="AJ8" s="2935"/>
      <c r="AK8" s="2935"/>
      <c r="AL8" s="2935"/>
      <c r="AM8" s="2935"/>
      <c r="AN8" s="2935"/>
    </row>
    <row r="9" spans="1:40" s="63" customFormat="1" ht="14" customHeight="1" thickBot="1">
      <c r="A9" s="3611" t="s">
        <v>458</v>
      </c>
      <c r="B9" s="3110" t="s">
        <v>215</v>
      </c>
      <c r="C9" s="2256">
        <f>IF(D9=1,U$5,IF(D9=2,V$5,IF(D9=3,W$5,IF(D9=4,X$5,IF(D9=5,Y$5,IF(D9=6,Z$5,IF(D9=7,AA$5,0)))))))</f>
        <v>1.7682291666666674E-4</v>
      </c>
      <c r="D9" s="2318">
        <v>7</v>
      </c>
      <c r="E9" s="2512">
        <v>1</v>
      </c>
      <c r="F9" s="2512">
        <v>20</v>
      </c>
      <c r="G9" s="3612">
        <v>15</v>
      </c>
      <c r="H9" s="2270"/>
      <c r="I9" s="2270">
        <v>3.4722222222222224E-4</v>
      </c>
      <c r="J9" s="2270">
        <v>1.3888888888888889E-3</v>
      </c>
      <c r="K9" s="3125" t="s">
        <v>1667</v>
      </c>
      <c r="L9" s="5188">
        <f>L8+N8</f>
        <v>3.033863933636239E-2</v>
      </c>
      <c r="M9" s="3469">
        <v>1</v>
      </c>
      <c r="N9" s="2270">
        <f>P9*E9*F9+I9*E9*F9+J9*E9</f>
        <v>1.0455208333333335E-2</v>
      </c>
      <c r="O9" s="2271">
        <f t="shared" si="1"/>
        <v>1.0609375000000004E-4</v>
      </c>
      <c r="P9" s="2517">
        <f>O9*M9</f>
        <v>1.0609375000000004E-4</v>
      </c>
      <c r="Q9" s="3130" t="s">
        <v>316</v>
      </c>
      <c r="R9" s="3470">
        <f>E9*F9*G9</f>
        <v>300</v>
      </c>
      <c r="S9" s="2844">
        <f t="shared" si="5"/>
        <v>0.3</v>
      </c>
      <c r="T9" s="2845">
        <f t="shared" si="6"/>
        <v>8.4875000000000037E-3</v>
      </c>
      <c r="U9" s="374">
        <f t="shared" si="7"/>
        <v>0</v>
      </c>
      <c r="V9" s="2846">
        <f t="shared" si="8"/>
        <v>0</v>
      </c>
      <c r="W9" s="2847">
        <f t="shared" si="9"/>
        <v>0</v>
      </c>
      <c r="X9" s="2848">
        <f t="shared" si="10"/>
        <v>0</v>
      </c>
      <c r="Y9" s="2849">
        <f t="shared" si="11"/>
        <v>0</v>
      </c>
      <c r="Z9" s="2850">
        <f t="shared" si="12"/>
        <v>0</v>
      </c>
      <c r="AA9" s="2851">
        <f t="shared" si="13"/>
        <v>0.3</v>
      </c>
      <c r="AB9" s="2935"/>
      <c r="AC9" s="2936"/>
      <c r="AD9" s="2937"/>
      <c r="AE9" s="2937"/>
      <c r="AF9" s="2937"/>
      <c r="AG9" s="2937"/>
      <c r="AH9" s="2937"/>
      <c r="AI9" s="2935"/>
      <c r="AJ9" s="2935"/>
      <c r="AK9" s="2935"/>
      <c r="AL9" s="2935"/>
      <c r="AM9" s="2935"/>
      <c r="AN9" s="2935"/>
    </row>
    <row r="10" spans="1:40" s="63" customFormat="1" ht="14" customHeight="1" thickBot="1">
      <c r="A10" s="3611" t="s">
        <v>219</v>
      </c>
      <c r="B10" s="3110" t="s">
        <v>215</v>
      </c>
      <c r="C10" s="2256">
        <f>IF(D10=1,U$5,IF(D10=2,V$5,IF(D10=3,W$5,IF(D10=4,X$5,IF(D10=5,Y$5,IF(D10=6,Z$5,IF(D10=7,AA$5,0)))))))</f>
        <v>1.7682291666666674E-4</v>
      </c>
      <c r="D10" s="2318">
        <v>7</v>
      </c>
      <c r="E10" s="2512">
        <v>1</v>
      </c>
      <c r="F10" s="2512">
        <v>2</v>
      </c>
      <c r="G10" s="2512">
        <v>25</v>
      </c>
      <c r="H10" s="2270"/>
      <c r="I10" s="2270">
        <v>1.0416666666666667E-3</v>
      </c>
      <c r="J10" s="2270">
        <v>1.3888888888888889E-3</v>
      </c>
      <c r="K10" s="3125" t="s">
        <v>764</v>
      </c>
      <c r="L10" s="5188">
        <f>L9+N9</f>
        <v>4.0793847669695724E-2</v>
      </c>
      <c r="M10" s="3469">
        <v>1</v>
      </c>
      <c r="N10" s="2270">
        <f>P10*E10*F10+I10*E10*F10+J10*E10</f>
        <v>3.8258680555555554E-3</v>
      </c>
      <c r="O10" s="2271">
        <f t="shared" si="1"/>
        <v>1.7682291666666674E-4</v>
      </c>
      <c r="P10" s="2517">
        <f>O10*M10</f>
        <v>1.7682291666666674E-4</v>
      </c>
      <c r="Q10" s="3130" t="s">
        <v>316</v>
      </c>
      <c r="R10" s="3470">
        <f>E10*F10*G10</f>
        <v>50</v>
      </c>
      <c r="S10" s="2844">
        <f t="shared" si="5"/>
        <v>0.05</v>
      </c>
      <c r="T10" s="2845">
        <f t="shared" si="6"/>
        <v>1.4145833333333339E-3</v>
      </c>
      <c r="U10" s="374">
        <f t="shared" si="7"/>
        <v>0</v>
      </c>
      <c r="V10" s="2846">
        <f t="shared" si="8"/>
        <v>0</v>
      </c>
      <c r="W10" s="2847">
        <f t="shared" si="9"/>
        <v>0</v>
      </c>
      <c r="X10" s="2848">
        <f t="shared" si="10"/>
        <v>0</v>
      </c>
      <c r="Y10" s="2849">
        <f t="shared" si="11"/>
        <v>0</v>
      </c>
      <c r="Z10" s="2850">
        <f t="shared" si="12"/>
        <v>0</v>
      </c>
      <c r="AA10" s="2851">
        <f t="shared" si="13"/>
        <v>0.05</v>
      </c>
      <c r="AB10" s="2935"/>
      <c r="AC10" s="2936"/>
      <c r="AD10" s="2937"/>
      <c r="AE10" s="2937"/>
      <c r="AF10" s="2937"/>
      <c r="AG10" s="2937"/>
      <c r="AH10" s="2937"/>
      <c r="AI10" s="2935"/>
      <c r="AJ10" s="2935"/>
      <c r="AK10" s="2935"/>
      <c r="AL10" s="2935"/>
      <c r="AM10" s="2935"/>
      <c r="AN10" s="2935"/>
    </row>
    <row r="11" spans="1:40" s="63" customFormat="1" ht="12.75" customHeight="1" thickBot="1">
      <c r="A11" s="3611"/>
      <c r="B11" s="3110"/>
      <c r="C11" s="1460"/>
      <c r="D11" s="3116"/>
      <c r="E11" s="642"/>
      <c r="F11" s="642"/>
      <c r="G11" s="642"/>
      <c r="H11" s="642"/>
      <c r="I11" s="642"/>
      <c r="J11" s="642"/>
      <c r="K11" s="642"/>
      <c r="L11" s="2182">
        <f>L10+N10</f>
        <v>4.461971572525128E-2</v>
      </c>
      <c r="M11" s="643"/>
      <c r="N11" s="3471">
        <f>SUM(N6:N10)</f>
        <v>5.2541702732419739E-2</v>
      </c>
      <c r="O11" s="642">
        <f t="shared" si="1"/>
        <v>0</v>
      </c>
      <c r="P11" s="642"/>
      <c r="Q11" s="642"/>
      <c r="R11" s="3118">
        <f>SUM(R6:R10)</f>
        <v>2250</v>
      </c>
      <c r="S11" s="2844">
        <f t="shared" si="5"/>
        <v>0</v>
      </c>
      <c r="T11" s="2845">
        <f t="shared" si="6"/>
        <v>0</v>
      </c>
      <c r="U11" s="374">
        <f t="shared" si="7"/>
        <v>0</v>
      </c>
      <c r="V11" s="2846">
        <f t="shared" si="8"/>
        <v>0</v>
      </c>
      <c r="W11" s="2847">
        <f t="shared" si="9"/>
        <v>0</v>
      </c>
      <c r="X11" s="2848">
        <f t="shared" si="10"/>
        <v>0</v>
      </c>
      <c r="Y11" s="2849">
        <f t="shared" si="11"/>
        <v>0</v>
      </c>
      <c r="Z11" s="2850">
        <f t="shared" si="12"/>
        <v>0</v>
      </c>
      <c r="AA11" s="2851">
        <f t="shared" si="13"/>
        <v>0</v>
      </c>
      <c r="AB11" s="2935"/>
      <c r="AC11" s="2936"/>
      <c r="AD11" s="2937"/>
      <c r="AE11" s="2937"/>
      <c r="AF11" s="2937"/>
      <c r="AG11" s="2937"/>
      <c r="AH11" s="2937"/>
      <c r="AI11" s="2935"/>
      <c r="AJ11" s="2935"/>
      <c r="AK11" s="2935"/>
      <c r="AL11" s="2935"/>
      <c r="AM11" s="2935"/>
      <c r="AN11" s="2935"/>
    </row>
    <row r="12" spans="1:40" s="63" customFormat="1" ht="12.75" customHeight="1" thickBot="1">
      <c r="A12" s="3611" t="s">
        <v>214</v>
      </c>
      <c r="B12" s="3110" t="s">
        <v>461</v>
      </c>
      <c r="C12" s="2256">
        <f t="shared" ref="C12:C20" si="14">IF(D12=1,U$5,IF(D12=2,V$5,IF(D12=3,W$5,IF(D12=4,X$5,IF(D12=5,Y$5,IF(D12=6,Z$5,IF(D12=7,AA$5,0)))))))</f>
        <v>2.1908757716049393E-4</v>
      </c>
      <c r="D12" s="2302">
        <v>2</v>
      </c>
      <c r="E12" s="2276">
        <v>1</v>
      </c>
      <c r="F12" s="2276">
        <v>4</v>
      </c>
      <c r="G12" s="2276">
        <v>25</v>
      </c>
      <c r="H12" s="2277"/>
      <c r="I12" s="2277">
        <v>5.7870370370370366E-5</v>
      </c>
      <c r="J12" s="2277">
        <v>6.9444444444444447E-4</v>
      </c>
      <c r="K12" s="2278" t="s">
        <v>300</v>
      </c>
      <c r="L12" s="5189">
        <v>0.79861111111111116</v>
      </c>
      <c r="M12" s="2280">
        <v>1</v>
      </c>
      <c r="N12" s="2277">
        <f t="shared" ref="N12:N17" si="15">P12*E12*F12+I12*E12*F12+J12*E12</f>
        <v>1.8022762345679018E-3</v>
      </c>
      <c r="O12" s="2281">
        <f t="shared" si="1"/>
        <v>2.1908757716049393E-4</v>
      </c>
      <c r="P12" s="2281">
        <f t="shared" ref="P12:P17" si="16">O12*M12</f>
        <v>2.1908757716049393E-4</v>
      </c>
      <c r="Q12" s="2282">
        <v>164</v>
      </c>
      <c r="R12" s="2283">
        <f t="shared" ref="R12:R17" si="17">E12*F12*G12</f>
        <v>100</v>
      </c>
      <c r="S12" s="2844">
        <f t="shared" si="5"/>
        <v>0.1</v>
      </c>
      <c r="T12" s="2845">
        <f t="shared" si="6"/>
        <v>3.5054012345679029E-3</v>
      </c>
      <c r="U12" s="374">
        <f t="shared" si="7"/>
        <v>0</v>
      </c>
      <c r="V12" s="2846">
        <f t="shared" si="8"/>
        <v>0.1</v>
      </c>
      <c r="W12" s="2847">
        <f t="shared" si="9"/>
        <v>0</v>
      </c>
      <c r="X12" s="2848">
        <f t="shared" si="10"/>
        <v>0</v>
      </c>
      <c r="Y12" s="2849">
        <f t="shared" si="11"/>
        <v>0</v>
      </c>
      <c r="Z12" s="2850">
        <f t="shared" si="12"/>
        <v>0</v>
      </c>
      <c r="AA12" s="2851">
        <f t="shared" si="13"/>
        <v>0</v>
      </c>
      <c r="AB12" s="2935"/>
      <c r="AC12" s="2936"/>
      <c r="AD12" s="2937"/>
      <c r="AE12" s="2937"/>
      <c r="AF12" s="2937"/>
      <c r="AG12" s="2937"/>
      <c r="AH12" s="2937"/>
      <c r="AI12" s="2935"/>
      <c r="AJ12" s="2935"/>
      <c r="AK12" s="2935"/>
      <c r="AL12" s="2935"/>
      <c r="AM12" s="2935"/>
      <c r="AN12" s="2935"/>
    </row>
    <row r="13" spans="1:40" s="63" customFormat="1" ht="12.75" customHeight="1" thickBot="1">
      <c r="A13" s="3611" t="s">
        <v>459</v>
      </c>
      <c r="B13" s="3110" t="s">
        <v>461</v>
      </c>
      <c r="C13" s="2256">
        <f t="shared" si="14"/>
        <v>2.1222190799396687E-4</v>
      </c>
      <c r="D13" s="2309">
        <v>3</v>
      </c>
      <c r="E13" s="2257">
        <v>1</v>
      </c>
      <c r="F13" s="2257">
        <v>4</v>
      </c>
      <c r="G13" s="2257">
        <v>25</v>
      </c>
      <c r="H13" s="2258"/>
      <c r="I13" s="2258">
        <v>2.3148148148148146E-4</v>
      </c>
      <c r="J13" s="2258">
        <v>5.7870370370370378E-4</v>
      </c>
      <c r="K13" s="2259" t="s">
        <v>1192</v>
      </c>
      <c r="L13" s="5190">
        <f t="shared" ref="L13:L21" si="18">L12+N12</f>
        <v>0.80041338734567902</v>
      </c>
      <c r="M13" s="2326">
        <v>1.2</v>
      </c>
      <c r="N13" s="2258">
        <f t="shared" si="15"/>
        <v>2.5232947880006705E-3</v>
      </c>
      <c r="O13" s="2262">
        <f t="shared" si="1"/>
        <v>2.1222190799396687E-4</v>
      </c>
      <c r="P13" s="2262">
        <f t="shared" si="16"/>
        <v>2.5466628959276022E-4</v>
      </c>
      <c r="Q13" s="2274">
        <v>173</v>
      </c>
      <c r="R13" s="2257">
        <f t="shared" si="17"/>
        <v>100</v>
      </c>
      <c r="S13" s="2844">
        <f t="shared" si="5"/>
        <v>0.1</v>
      </c>
      <c r="T13" s="2845">
        <f t="shared" si="6"/>
        <v>3.3955505279034699E-3</v>
      </c>
      <c r="U13" s="374">
        <f t="shared" si="7"/>
        <v>0</v>
      </c>
      <c r="V13" s="2846">
        <f t="shared" si="8"/>
        <v>0</v>
      </c>
      <c r="W13" s="2847">
        <f t="shared" si="9"/>
        <v>0.1</v>
      </c>
      <c r="X13" s="2848">
        <f t="shared" si="10"/>
        <v>0</v>
      </c>
      <c r="Y13" s="2849">
        <f t="shared" si="11"/>
        <v>0</v>
      </c>
      <c r="Z13" s="2850">
        <f t="shared" si="12"/>
        <v>0</v>
      </c>
      <c r="AA13" s="2851">
        <f t="shared" si="13"/>
        <v>0</v>
      </c>
      <c r="AB13" s="2935"/>
      <c r="AC13" s="2936"/>
      <c r="AD13" s="2937"/>
      <c r="AE13" s="2937"/>
      <c r="AF13" s="2937"/>
      <c r="AG13" s="2937"/>
      <c r="AH13" s="2937"/>
      <c r="AI13" s="2935"/>
      <c r="AJ13" s="2935"/>
      <c r="AK13" s="2935"/>
      <c r="AL13" s="2935"/>
      <c r="AM13" s="2935"/>
      <c r="AN13" s="2935"/>
    </row>
    <row r="14" spans="1:40" s="63" customFormat="1" ht="12.75" customHeight="1" thickBot="1">
      <c r="A14" s="3611" t="s">
        <v>460</v>
      </c>
      <c r="B14" s="3110" t="s">
        <v>461</v>
      </c>
      <c r="C14" s="2256">
        <f t="shared" si="14"/>
        <v>2.1222190799396687E-4</v>
      </c>
      <c r="D14" s="2309">
        <v>3</v>
      </c>
      <c r="E14" s="2257">
        <v>1</v>
      </c>
      <c r="F14" s="2257">
        <v>4</v>
      </c>
      <c r="G14" s="2257">
        <v>25</v>
      </c>
      <c r="H14" s="2258"/>
      <c r="I14" s="2258">
        <v>2.3148148148148146E-4</v>
      </c>
      <c r="J14" s="2258">
        <v>4.6296296296296293E-4</v>
      </c>
      <c r="K14" s="2259" t="s">
        <v>1193</v>
      </c>
      <c r="L14" s="5190">
        <f t="shared" si="18"/>
        <v>0.80293668213367964</v>
      </c>
      <c r="M14" s="2326">
        <v>1.2</v>
      </c>
      <c r="N14" s="2258">
        <f t="shared" si="15"/>
        <v>2.4075540472599296E-3</v>
      </c>
      <c r="O14" s="2262">
        <f t="shared" si="1"/>
        <v>2.1222190799396687E-4</v>
      </c>
      <c r="P14" s="2262">
        <f t="shared" si="16"/>
        <v>2.5466628959276022E-4</v>
      </c>
      <c r="Q14" s="2274" t="s">
        <v>316</v>
      </c>
      <c r="R14" s="2257">
        <f t="shared" si="17"/>
        <v>100</v>
      </c>
      <c r="S14" s="2844">
        <f t="shared" si="5"/>
        <v>0.1</v>
      </c>
      <c r="T14" s="2845">
        <f t="shared" si="6"/>
        <v>3.3955505279034699E-3</v>
      </c>
      <c r="U14" s="374">
        <f t="shared" si="7"/>
        <v>0</v>
      </c>
      <c r="V14" s="2846">
        <f t="shared" si="8"/>
        <v>0</v>
      </c>
      <c r="W14" s="2847">
        <f t="shared" si="9"/>
        <v>0.1</v>
      </c>
      <c r="X14" s="2848">
        <f t="shared" si="10"/>
        <v>0</v>
      </c>
      <c r="Y14" s="2849">
        <f t="shared" si="11"/>
        <v>0</v>
      </c>
      <c r="Z14" s="2850">
        <f t="shared" si="12"/>
        <v>0</v>
      </c>
      <c r="AA14" s="2851">
        <f t="shared" si="13"/>
        <v>0</v>
      </c>
      <c r="AB14" s="2935"/>
      <c r="AC14" s="2936"/>
      <c r="AD14" s="2937"/>
      <c r="AE14" s="2937"/>
      <c r="AF14" s="2937"/>
      <c r="AG14" s="2937"/>
      <c r="AH14" s="2937"/>
      <c r="AI14" s="2935"/>
      <c r="AJ14" s="2935"/>
      <c r="AK14" s="2935"/>
      <c r="AL14" s="2935"/>
      <c r="AM14" s="2935"/>
      <c r="AN14" s="2935"/>
    </row>
    <row r="15" spans="1:40" s="63" customFormat="1" ht="12.75" customHeight="1" thickBot="1">
      <c r="A15" s="3611" t="s">
        <v>458</v>
      </c>
      <c r="B15" s="3110" t="s">
        <v>461</v>
      </c>
      <c r="C15" s="2256">
        <f t="shared" si="14"/>
        <v>2.1222190799396687E-4</v>
      </c>
      <c r="D15" s="2309">
        <v>3</v>
      </c>
      <c r="E15" s="2257">
        <v>1</v>
      </c>
      <c r="F15" s="2257">
        <v>4</v>
      </c>
      <c r="G15" s="2257">
        <v>25</v>
      </c>
      <c r="H15" s="2258"/>
      <c r="I15" s="2258">
        <v>2.3148148148148146E-4</v>
      </c>
      <c r="J15" s="2258">
        <v>3.4722222222222224E-4</v>
      </c>
      <c r="K15" s="2259" t="s">
        <v>1668</v>
      </c>
      <c r="L15" s="5190">
        <f t="shared" si="18"/>
        <v>0.80534423618093953</v>
      </c>
      <c r="M15" s="2326">
        <v>1</v>
      </c>
      <c r="N15" s="2258">
        <f t="shared" si="15"/>
        <v>2.1220357801240157E-3</v>
      </c>
      <c r="O15" s="2262">
        <f t="shared" si="1"/>
        <v>2.1222190799396687E-4</v>
      </c>
      <c r="P15" s="2262">
        <f t="shared" si="16"/>
        <v>2.1222190799396687E-4</v>
      </c>
      <c r="Q15" s="2274">
        <v>146</v>
      </c>
      <c r="R15" s="2257">
        <f t="shared" si="17"/>
        <v>100</v>
      </c>
      <c r="S15" s="2844">
        <f t="shared" si="5"/>
        <v>0.1</v>
      </c>
      <c r="T15" s="2845">
        <f t="shared" si="6"/>
        <v>3.3955505279034699E-3</v>
      </c>
      <c r="U15" s="374">
        <f t="shared" si="7"/>
        <v>0</v>
      </c>
      <c r="V15" s="2846">
        <f t="shared" si="8"/>
        <v>0</v>
      </c>
      <c r="W15" s="2847">
        <f t="shared" si="9"/>
        <v>0.1</v>
      </c>
      <c r="X15" s="2848">
        <f t="shared" si="10"/>
        <v>0</v>
      </c>
      <c r="Y15" s="2849">
        <f t="shared" si="11"/>
        <v>0</v>
      </c>
      <c r="Z15" s="2850">
        <f t="shared" si="12"/>
        <v>0</v>
      </c>
      <c r="AA15" s="2851">
        <f t="shared" si="13"/>
        <v>0</v>
      </c>
      <c r="AB15" s="2935"/>
      <c r="AC15" s="2867"/>
      <c r="AD15" s="2867"/>
      <c r="AE15" s="2867"/>
      <c r="AF15" s="2867"/>
      <c r="AG15" s="2867"/>
      <c r="AH15" s="2867"/>
      <c r="AI15" s="2935"/>
      <c r="AJ15" s="2935"/>
      <c r="AK15" s="2935"/>
      <c r="AL15" s="2935"/>
      <c r="AM15" s="2935"/>
      <c r="AN15" s="2935"/>
    </row>
    <row r="16" spans="1:40" s="63" customFormat="1" ht="12.75" customHeight="1" thickBot="1">
      <c r="A16" s="3611" t="s">
        <v>219</v>
      </c>
      <c r="B16" s="3110" t="s">
        <v>461</v>
      </c>
      <c r="C16" s="2256">
        <f t="shared" si="14"/>
        <v>2.1222190799396687E-4</v>
      </c>
      <c r="D16" s="2309">
        <v>3</v>
      </c>
      <c r="E16" s="2257">
        <v>1</v>
      </c>
      <c r="F16" s="2257">
        <v>4</v>
      </c>
      <c r="G16" s="2257">
        <v>25</v>
      </c>
      <c r="H16" s="2258"/>
      <c r="I16" s="2258">
        <v>2.3148148148148146E-4</v>
      </c>
      <c r="J16" s="2258">
        <v>2.3148148148148146E-4</v>
      </c>
      <c r="K16" s="2259" t="s">
        <v>1669</v>
      </c>
      <c r="L16" s="5190">
        <f t="shared" si="18"/>
        <v>0.80746627196106358</v>
      </c>
      <c r="M16" s="2326">
        <v>0.95</v>
      </c>
      <c r="N16" s="2258">
        <f t="shared" si="15"/>
        <v>1.9638506577844815E-3</v>
      </c>
      <c r="O16" s="2262">
        <f t="shared" si="1"/>
        <v>2.1222190799396687E-4</v>
      </c>
      <c r="P16" s="2262">
        <f t="shared" si="16"/>
        <v>2.016108125942685E-4</v>
      </c>
      <c r="Q16" s="2274">
        <v>164</v>
      </c>
      <c r="R16" s="2257">
        <f t="shared" si="17"/>
        <v>100</v>
      </c>
      <c r="S16" s="2844">
        <f t="shared" si="5"/>
        <v>0.1</v>
      </c>
      <c r="T16" s="2845">
        <f t="shared" si="6"/>
        <v>3.3955505279034699E-3</v>
      </c>
      <c r="U16" s="374">
        <f t="shared" si="7"/>
        <v>0</v>
      </c>
      <c r="V16" s="2846">
        <f t="shared" si="8"/>
        <v>0</v>
      </c>
      <c r="W16" s="2847">
        <f t="shared" si="9"/>
        <v>0.1</v>
      </c>
      <c r="X16" s="2848">
        <f t="shared" si="10"/>
        <v>0</v>
      </c>
      <c r="Y16" s="2849">
        <f t="shared" si="11"/>
        <v>0</v>
      </c>
      <c r="Z16" s="2850">
        <f t="shared" si="12"/>
        <v>0</v>
      </c>
      <c r="AA16" s="2851">
        <f t="shared" si="13"/>
        <v>0</v>
      </c>
      <c r="AB16" s="2935"/>
      <c r="AC16" s="2867"/>
      <c r="AD16" s="2867"/>
      <c r="AE16" s="2867"/>
      <c r="AF16" s="2867"/>
      <c r="AG16" s="2867"/>
      <c r="AH16" s="2867"/>
      <c r="AI16" s="2935"/>
      <c r="AJ16" s="2935"/>
      <c r="AK16" s="2935"/>
      <c r="AL16" s="2935"/>
      <c r="AM16" s="2935"/>
      <c r="AN16" s="2935"/>
    </row>
    <row r="17" spans="1:40" s="63" customFormat="1" ht="14" customHeight="1" thickBot="1">
      <c r="A17" s="3611"/>
      <c r="B17" s="3110" t="s">
        <v>461</v>
      </c>
      <c r="C17" s="2256">
        <f t="shared" si="14"/>
        <v>1.8933937422552669E-4</v>
      </c>
      <c r="D17" s="2505">
        <v>5</v>
      </c>
      <c r="E17" s="3613">
        <v>7</v>
      </c>
      <c r="F17" s="3468">
        <v>1</v>
      </c>
      <c r="G17" s="3445">
        <v>50</v>
      </c>
      <c r="H17" s="2264"/>
      <c r="I17" s="2264">
        <v>5.7870370370370366E-5</v>
      </c>
      <c r="J17" s="2264">
        <v>2.0833333333333333E-3</v>
      </c>
      <c r="K17" s="3466" t="s">
        <v>1670</v>
      </c>
      <c r="L17" s="5187">
        <f t="shared" si="18"/>
        <v>0.80943012261884806</v>
      </c>
      <c r="M17" s="2509">
        <v>0.9</v>
      </c>
      <c r="N17" s="2264">
        <f t="shared" si="15"/>
        <v>1.7374102041167561E-2</v>
      </c>
      <c r="O17" s="2265">
        <f t="shared" si="1"/>
        <v>3.7867874845105338E-4</v>
      </c>
      <c r="P17" s="2185">
        <f t="shared" si="16"/>
        <v>3.4081087360594804E-4</v>
      </c>
      <c r="Q17" s="3467">
        <v>173</v>
      </c>
      <c r="R17" s="3468">
        <f t="shared" si="17"/>
        <v>350</v>
      </c>
      <c r="S17" s="2844">
        <f t="shared" si="5"/>
        <v>0.35</v>
      </c>
      <c r="T17" s="2845">
        <f t="shared" si="6"/>
        <v>1.0603004956629495E-2</v>
      </c>
      <c r="U17" s="374">
        <f t="shared" si="7"/>
        <v>0</v>
      </c>
      <c r="V17" s="2846">
        <f t="shared" si="8"/>
        <v>0</v>
      </c>
      <c r="W17" s="2847">
        <f t="shared" si="9"/>
        <v>0</v>
      </c>
      <c r="X17" s="2848">
        <f t="shared" si="10"/>
        <v>0</v>
      </c>
      <c r="Y17" s="2849">
        <f t="shared" si="11"/>
        <v>0.35</v>
      </c>
      <c r="Z17" s="2850">
        <f t="shared" si="12"/>
        <v>0</v>
      </c>
      <c r="AA17" s="2851">
        <f t="shared" si="13"/>
        <v>0</v>
      </c>
      <c r="AB17" s="2935"/>
      <c r="AC17" s="2867"/>
      <c r="AD17" s="2867"/>
      <c r="AE17" s="2867"/>
      <c r="AF17" s="2867"/>
      <c r="AG17" s="2867"/>
      <c r="AH17" s="2867"/>
      <c r="AI17" s="2935"/>
      <c r="AJ17" s="2935"/>
      <c r="AK17" s="2935"/>
      <c r="AL17" s="2935"/>
      <c r="AM17" s="2935"/>
      <c r="AN17" s="2935"/>
    </row>
    <row r="18" spans="1:40" s="63" customFormat="1" ht="13" customHeight="1" thickBot="1">
      <c r="A18" s="3611"/>
      <c r="B18" s="3110"/>
      <c r="C18" s="2256">
        <f t="shared" si="14"/>
        <v>2.1222190799396687E-4</v>
      </c>
      <c r="D18" s="3614">
        <v>3</v>
      </c>
      <c r="E18" s="3615">
        <v>1</v>
      </c>
      <c r="F18" s="3615">
        <v>3</v>
      </c>
      <c r="G18" s="2257">
        <v>100</v>
      </c>
      <c r="H18" s="2258"/>
      <c r="I18" s="2258">
        <v>3.5879629629629635E-4</v>
      </c>
      <c r="J18" s="2258">
        <v>1.3888888888888889E-3</v>
      </c>
      <c r="K18" s="2259" t="s">
        <v>1671</v>
      </c>
      <c r="L18" s="5190">
        <f t="shared" si="18"/>
        <v>0.82680422466001557</v>
      </c>
      <c r="M18" s="2326">
        <v>1</v>
      </c>
      <c r="N18" s="2258">
        <f>P18*E18*F18+I18*E18*F18+J18*E18</f>
        <v>5.0119406737053809E-3</v>
      </c>
      <c r="O18" s="2262">
        <f>C18*(G18/25)</f>
        <v>8.4888763197586746E-4</v>
      </c>
      <c r="P18" s="2262">
        <f>O18*M18</f>
        <v>8.4888763197586746E-4</v>
      </c>
      <c r="Q18" s="2274">
        <v>173</v>
      </c>
      <c r="R18" s="2257">
        <f>E18*F18*G18</f>
        <v>300</v>
      </c>
      <c r="S18" s="2844">
        <f t="shared" si="5"/>
        <v>0.3</v>
      </c>
      <c r="T18" s="2845">
        <f t="shared" si="6"/>
        <v>1.018665158371041E-2</v>
      </c>
      <c r="U18" s="374">
        <f t="shared" si="7"/>
        <v>0</v>
      </c>
      <c r="V18" s="2846">
        <f t="shared" si="8"/>
        <v>0</v>
      </c>
      <c r="W18" s="2847">
        <f t="shared" si="9"/>
        <v>0.3</v>
      </c>
      <c r="X18" s="2848">
        <f t="shared" si="10"/>
        <v>0</v>
      </c>
      <c r="Y18" s="2849">
        <f t="shared" si="11"/>
        <v>0</v>
      </c>
      <c r="Z18" s="2850">
        <f t="shared" si="12"/>
        <v>0</v>
      </c>
      <c r="AA18" s="2851">
        <f t="shared" si="13"/>
        <v>0</v>
      </c>
      <c r="AB18" s="2935"/>
      <c r="AC18" s="2867"/>
      <c r="AD18" s="2867"/>
      <c r="AE18" s="2867"/>
      <c r="AF18" s="2867"/>
      <c r="AG18" s="2867"/>
      <c r="AH18" s="2867"/>
      <c r="AI18" s="2935"/>
      <c r="AJ18" s="2935"/>
      <c r="AK18" s="2935"/>
      <c r="AL18" s="2935"/>
      <c r="AM18" s="2935"/>
      <c r="AN18" s="2935"/>
    </row>
    <row r="19" spans="1:40" s="63" customFormat="1" ht="14" customHeight="1" thickBot="1">
      <c r="A19" s="3611"/>
      <c r="B19" s="3110"/>
      <c r="C19" s="2256">
        <f t="shared" si="14"/>
        <v>2.1908757716049393E-4</v>
      </c>
      <c r="D19" s="3616">
        <v>2</v>
      </c>
      <c r="E19" s="3617">
        <v>1</v>
      </c>
      <c r="F19" s="3617">
        <v>2</v>
      </c>
      <c r="G19" s="2276">
        <v>250</v>
      </c>
      <c r="H19" s="2277"/>
      <c r="I19" s="2258">
        <v>2.8935185185185189E-4</v>
      </c>
      <c r="J19" s="2258">
        <v>1.3888888888888889E-3</v>
      </c>
      <c r="K19" s="2278" t="s">
        <v>1672</v>
      </c>
      <c r="L19" s="5189">
        <f t="shared" si="18"/>
        <v>0.83181616533372094</v>
      </c>
      <c r="M19" s="2280">
        <v>0.85</v>
      </c>
      <c r="N19" s="2277">
        <f>P19*E19*F19+I19*E19*F19+J19*E19</f>
        <v>5.6920814043209898E-3</v>
      </c>
      <c r="O19" s="2281">
        <f>C19*(G19/25)</f>
        <v>2.1908757716049393E-3</v>
      </c>
      <c r="P19" s="2281">
        <f>O19*M19</f>
        <v>1.8622444058641985E-3</v>
      </c>
      <c r="Q19" s="2282">
        <v>173</v>
      </c>
      <c r="R19" s="2283">
        <f>E19*F19*G19</f>
        <v>500</v>
      </c>
      <c r="S19" s="2844">
        <f t="shared" si="5"/>
        <v>0.5</v>
      </c>
      <c r="T19" s="2845">
        <f t="shared" si="6"/>
        <v>1.7527006172839515E-2</v>
      </c>
      <c r="U19" s="374">
        <f t="shared" si="7"/>
        <v>0</v>
      </c>
      <c r="V19" s="2846">
        <f t="shared" si="8"/>
        <v>0.5</v>
      </c>
      <c r="W19" s="2847">
        <f t="shared" si="9"/>
        <v>0</v>
      </c>
      <c r="X19" s="2848">
        <f t="shared" si="10"/>
        <v>0</v>
      </c>
      <c r="Y19" s="2849">
        <f t="shared" si="11"/>
        <v>0</v>
      </c>
      <c r="Z19" s="2850">
        <f t="shared" si="12"/>
        <v>0</v>
      </c>
      <c r="AA19" s="2851">
        <f t="shared" si="13"/>
        <v>0</v>
      </c>
      <c r="AB19" s="2935"/>
      <c r="AC19" s="2867"/>
      <c r="AD19" s="2867"/>
      <c r="AE19" s="2867"/>
      <c r="AF19" s="2867"/>
      <c r="AG19" s="2867"/>
      <c r="AH19" s="2867"/>
      <c r="AI19" s="2935"/>
      <c r="AJ19" s="2935"/>
      <c r="AK19" s="2935"/>
      <c r="AL19" s="2935"/>
      <c r="AM19" s="2935"/>
      <c r="AN19" s="2935"/>
    </row>
    <row r="20" spans="1:40" s="63" customFormat="1" ht="14" customHeight="1" thickBot="1">
      <c r="A20" s="3611"/>
      <c r="B20" s="3110" t="s">
        <v>461</v>
      </c>
      <c r="C20" s="2256">
        <f t="shared" si="14"/>
        <v>1.7682291666666674E-4</v>
      </c>
      <c r="D20" s="2318">
        <v>7</v>
      </c>
      <c r="E20" s="3618">
        <v>2</v>
      </c>
      <c r="F20" s="2512">
        <v>6</v>
      </c>
      <c r="G20" s="2512">
        <v>25</v>
      </c>
      <c r="H20" s="2270"/>
      <c r="I20" s="2270">
        <v>3.4722222222222224E-4</v>
      </c>
      <c r="J20" s="2270">
        <v>0</v>
      </c>
      <c r="K20" s="3125" t="s">
        <v>413</v>
      </c>
      <c r="L20" s="5188">
        <f t="shared" si="18"/>
        <v>0.83750824673804192</v>
      </c>
      <c r="M20" s="3469">
        <v>0.85</v>
      </c>
      <c r="N20" s="2270">
        <f>P20*E20*F20+I20*E20*F20+J20*E20</f>
        <v>5.9702604166666671E-3</v>
      </c>
      <c r="O20" s="2271">
        <f>C20*(G20/25)</f>
        <v>1.7682291666666674E-4</v>
      </c>
      <c r="P20" s="2517">
        <f>O20*M20</f>
        <v>1.5029947916666672E-4</v>
      </c>
      <c r="Q20" s="3130">
        <v>173</v>
      </c>
      <c r="R20" s="3470">
        <f>E20*F20*G20</f>
        <v>300</v>
      </c>
      <c r="S20" s="2844">
        <f t="shared" si="5"/>
        <v>0.3</v>
      </c>
      <c r="T20" s="2845">
        <f t="shared" si="6"/>
        <v>8.4875000000000037E-3</v>
      </c>
      <c r="U20" s="374">
        <f t="shared" si="7"/>
        <v>0</v>
      </c>
      <c r="V20" s="2846">
        <f t="shared" si="8"/>
        <v>0</v>
      </c>
      <c r="W20" s="2847">
        <f t="shared" si="9"/>
        <v>0</v>
      </c>
      <c r="X20" s="2848">
        <f t="shared" si="10"/>
        <v>0</v>
      </c>
      <c r="Y20" s="2849">
        <f t="shared" si="11"/>
        <v>0</v>
      </c>
      <c r="Z20" s="2850">
        <f t="shared" si="12"/>
        <v>0</v>
      </c>
      <c r="AA20" s="2851">
        <f t="shared" si="13"/>
        <v>0.3</v>
      </c>
      <c r="AB20" s="2935"/>
      <c r="AC20" s="2867"/>
      <c r="AD20" s="2867"/>
      <c r="AE20" s="2867"/>
      <c r="AF20" s="2867"/>
      <c r="AG20" s="2867"/>
      <c r="AH20" s="2867"/>
      <c r="AI20" s="2935"/>
      <c r="AJ20" s="2935"/>
      <c r="AK20" s="2935"/>
      <c r="AL20" s="2935"/>
      <c r="AM20" s="2935"/>
      <c r="AN20" s="2935"/>
    </row>
    <row r="21" spans="1:40" s="63" customFormat="1" ht="12.75" customHeight="1" thickBot="1">
      <c r="A21" s="3611"/>
      <c r="B21" s="3110"/>
      <c r="C21" s="3619"/>
      <c r="D21" s="3365"/>
      <c r="E21" s="2855"/>
      <c r="F21" s="2855"/>
      <c r="G21" s="2855"/>
      <c r="H21" s="2855"/>
      <c r="I21" s="2855"/>
      <c r="J21" s="2855"/>
      <c r="K21" s="2855"/>
      <c r="L21" s="2182">
        <f t="shared" si="18"/>
        <v>0.84347850715470862</v>
      </c>
      <c r="M21" s="3620"/>
      <c r="N21" s="2528">
        <f>SUM(N12:N20)</f>
        <v>4.4867396043597595E-2</v>
      </c>
      <c r="O21" s="2855"/>
      <c r="P21" s="2855"/>
      <c r="Q21" s="2855"/>
      <c r="R21" s="3621">
        <f>SUM(R12:R20)</f>
        <v>1950</v>
      </c>
      <c r="S21" s="2844">
        <f t="shared" si="5"/>
        <v>0</v>
      </c>
      <c r="T21" s="2845">
        <f t="shared" si="6"/>
        <v>0</v>
      </c>
      <c r="U21" s="374">
        <f t="shared" si="7"/>
        <v>0</v>
      </c>
      <c r="V21" s="2846">
        <f t="shared" si="8"/>
        <v>0</v>
      </c>
      <c r="W21" s="2847">
        <f t="shared" si="9"/>
        <v>0</v>
      </c>
      <c r="X21" s="2848">
        <f t="shared" si="10"/>
        <v>0</v>
      </c>
      <c r="Y21" s="2849">
        <f t="shared" si="11"/>
        <v>0</v>
      </c>
      <c r="Z21" s="2850">
        <f t="shared" si="12"/>
        <v>0</v>
      </c>
      <c r="AA21" s="2851">
        <f t="shared" si="13"/>
        <v>0</v>
      </c>
      <c r="AB21" s="2935"/>
      <c r="AC21" s="2867">
        <v>0</v>
      </c>
      <c r="AD21" s="2867">
        <v>0</v>
      </c>
      <c r="AE21" s="2867">
        <v>0</v>
      </c>
      <c r="AF21" s="2867">
        <v>0</v>
      </c>
      <c r="AG21" s="2867">
        <v>0</v>
      </c>
      <c r="AH21" s="2867">
        <v>0</v>
      </c>
      <c r="AI21" s="2935"/>
      <c r="AJ21" s="2935"/>
      <c r="AK21" s="2935"/>
      <c r="AL21" s="2935"/>
      <c r="AM21" s="2935"/>
      <c r="AN21" s="2935"/>
    </row>
    <row r="22" spans="1:40" ht="12.75" customHeight="1">
      <c r="A22" s="3622"/>
      <c r="B22" s="3336" t="s">
        <v>215</v>
      </c>
      <c r="C22" s="2256">
        <f t="shared" ref="C22:C27" si="19">IF(D22=1,U$5,IF(D22=2,V$5,IF(D22=3,W$5,IF(D22=4,X$5,IF(D22=5,Y$5,IF(D22=6,Z$5,IF(D22=7,AA$5,0)))))))</f>
        <v>2.2880964381720439E-4</v>
      </c>
      <c r="D22" s="2335">
        <v>1</v>
      </c>
      <c r="E22" s="2336">
        <v>1</v>
      </c>
      <c r="F22" s="2336">
        <v>4</v>
      </c>
      <c r="G22" s="2336">
        <v>200</v>
      </c>
      <c r="H22" s="2337"/>
      <c r="I22" s="2337">
        <v>1.7361111111111112E-4</v>
      </c>
      <c r="J22" s="2337">
        <v>1.3888888888888889E-3</v>
      </c>
      <c r="K22" s="2338" t="s">
        <v>709</v>
      </c>
      <c r="L22" s="5185">
        <v>0.2986111111111111</v>
      </c>
      <c r="M22" s="2502">
        <v>1</v>
      </c>
      <c r="N22" s="2337">
        <f t="shared" ref="N22:N27" si="20">P22*E22*F22+I22*E22*F22+J22*E22</f>
        <v>9.4052419354838743E-3</v>
      </c>
      <c r="O22" s="2359">
        <f t="shared" si="1"/>
        <v>1.8304771505376352E-3</v>
      </c>
      <c r="P22" s="2359">
        <f t="shared" ref="P22:P27" si="21">O22*M22</f>
        <v>1.8304771505376352E-3</v>
      </c>
      <c r="Q22" s="2341">
        <v>129</v>
      </c>
      <c r="R22" s="2336">
        <f t="shared" ref="R22:R27" si="22">E22*F22*G22</f>
        <v>800</v>
      </c>
      <c r="S22" s="2844">
        <f t="shared" si="5"/>
        <v>0.8</v>
      </c>
      <c r="T22" s="2845">
        <f t="shared" si="6"/>
        <v>2.9287634408602162E-2</v>
      </c>
      <c r="U22" s="374">
        <f t="shared" si="7"/>
        <v>0.8</v>
      </c>
      <c r="V22" s="2846">
        <f t="shared" si="8"/>
        <v>0</v>
      </c>
      <c r="W22" s="2847">
        <f t="shared" si="9"/>
        <v>0</v>
      </c>
      <c r="X22" s="2848">
        <f t="shared" si="10"/>
        <v>0</v>
      </c>
      <c r="Y22" s="2849">
        <f t="shared" si="11"/>
        <v>0</v>
      </c>
      <c r="Z22" s="2850">
        <f t="shared" si="12"/>
        <v>0</v>
      </c>
      <c r="AA22" s="2851">
        <f t="shared" si="13"/>
        <v>0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</row>
    <row r="23" spans="1:40" ht="12.75" customHeight="1">
      <c r="A23" s="2183" t="s">
        <v>215</v>
      </c>
      <c r="B23" s="3336" t="s">
        <v>215</v>
      </c>
      <c r="C23" s="2256">
        <f t="shared" si="19"/>
        <v>1.8933937422552669E-4</v>
      </c>
      <c r="D23" s="2505">
        <v>5</v>
      </c>
      <c r="E23" s="3445">
        <v>5</v>
      </c>
      <c r="F23" s="3445">
        <v>2</v>
      </c>
      <c r="G23" s="3445">
        <v>12.5</v>
      </c>
      <c r="H23" s="2264"/>
      <c r="I23" s="2264">
        <v>5.7870370370370366E-5</v>
      </c>
      <c r="J23" s="2264">
        <v>1.3888888888888889E-3</v>
      </c>
      <c r="K23" s="3623" t="s">
        <v>1673</v>
      </c>
      <c r="L23" s="5187">
        <f t="shared" ref="L23:L30" si="23">L22+N22</f>
        <v>0.30801635304659497</v>
      </c>
      <c r="M23" s="3624">
        <v>1</v>
      </c>
      <c r="N23" s="2264">
        <f t="shared" si="20"/>
        <v>8.4698450192757825E-3</v>
      </c>
      <c r="O23" s="2265">
        <f t="shared" si="1"/>
        <v>9.4669687112763345E-5</v>
      </c>
      <c r="P23" s="2185">
        <f t="shared" si="21"/>
        <v>9.4669687112763345E-5</v>
      </c>
      <c r="Q23" s="3467">
        <v>173</v>
      </c>
      <c r="R23" s="3468">
        <f t="shared" si="22"/>
        <v>125</v>
      </c>
      <c r="S23" s="2844">
        <f t="shared" si="5"/>
        <v>0.125</v>
      </c>
      <c r="T23" s="2845">
        <f t="shared" si="6"/>
        <v>3.7867874845105339E-3</v>
      </c>
      <c r="U23" s="374">
        <f t="shared" si="7"/>
        <v>0</v>
      </c>
      <c r="V23" s="2846">
        <f t="shared" si="8"/>
        <v>0</v>
      </c>
      <c r="W23" s="2847">
        <f t="shared" si="9"/>
        <v>0</v>
      </c>
      <c r="X23" s="2848">
        <f t="shared" si="10"/>
        <v>0</v>
      </c>
      <c r="Y23" s="2849">
        <f t="shared" si="11"/>
        <v>0.125</v>
      </c>
      <c r="Z23" s="2850">
        <f t="shared" si="12"/>
        <v>0</v>
      </c>
      <c r="AA23" s="2851">
        <f t="shared" si="13"/>
        <v>0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</row>
    <row r="24" spans="1:40" ht="12.75" customHeight="1">
      <c r="A24" s="2183" t="s">
        <v>138</v>
      </c>
      <c r="B24" s="3336" t="s">
        <v>215</v>
      </c>
      <c r="C24" s="2256">
        <f t="shared" si="19"/>
        <v>2.2880964381720439E-4</v>
      </c>
      <c r="D24" s="2302">
        <v>1</v>
      </c>
      <c r="E24" s="2276">
        <v>1</v>
      </c>
      <c r="F24" s="2276">
        <v>4</v>
      </c>
      <c r="G24" s="2276">
        <v>200</v>
      </c>
      <c r="H24" s="2277"/>
      <c r="I24" s="2277">
        <v>2.3148148148148146E-4</v>
      </c>
      <c r="J24" s="2277">
        <v>1.3888888888888889E-3</v>
      </c>
      <c r="K24" s="2278" t="s">
        <v>920</v>
      </c>
      <c r="L24" s="5189">
        <f t="shared" si="23"/>
        <v>0.31648619806587075</v>
      </c>
      <c r="M24" s="2280">
        <v>1</v>
      </c>
      <c r="N24" s="2277">
        <f t="shared" si="20"/>
        <v>9.6367234169653562E-3</v>
      </c>
      <c r="O24" s="2281">
        <f t="shared" si="1"/>
        <v>1.8304771505376352E-3</v>
      </c>
      <c r="P24" s="2281">
        <f t="shared" si="21"/>
        <v>1.8304771505376352E-3</v>
      </c>
      <c r="Q24" s="2282">
        <v>129</v>
      </c>
      <c r="R24" s="2283">
        <f t="shared" si="22"/>
        <v>800</v>
      </c>
      <c r="S24" s="2844">
        <f t="shared" si="5"/>
        <v>0.8</v>
      </c>
      <c r="T24" s="2845">
        <f t="shared" si="6"/>
        <v>2.9287634408602162E-2</v>
      </c>
      <c r="U24" s="374">
        <f t="shared" si="7"/>
        <v>0.8</v>
      </c>
      <c r="V24" s="2846">
        <f t="shared" si="8"/>
        <v>0</v>
      </c>
      <c r="W24" s="2847">
        <f t="shared" si="9"/>
        <v>0</v>
      </c>
      <c r="X24" s="2848">
        <f t="shared" si="10"/>
        <v>0</v>
      </c>
      <c r="Y24" s="2849">
        <f t="shared" si="11"/>
        <v>0</v>
      </c>
      <c r="Z24" s="2850">
        <f t="shared" si="12"/>
        <v>0</v>
      </c>
      <c r="AA24" s="2851">
        <f t="shared" si="13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</row>
    <row r="25" spans="1:40" ht="12.75" customHeight="1">
      <c r="A25" s="2183" t="s">
        <v>462</v>
      </c>
      <c r="B25" s="3336" t="s">
        <v>215</v>
      </c>
      <c r="C25" s="2256">
        <f t="shared" si="19"/>
        <v>1.8933937422552669E-4</v>
      </c>
      <c r="D25" s="2505">
        <v>5</v>
      </c>
      <c r="E25" s="3445">
        <v>5</v>
      </c>
      <c r="F25" s="3445">
        <v>2</v>
      </c>
      <c r="G25" s="3445">
        <v>25</v>
      </c>
      <c r="H25" s="2264"/>
      <c r="I25" s="2264">
        <v>5.7870370370370366E-5</v>
      </c>
      <c r="J25" s="2264">
        <v>1.3888888888888889E-3</v>
      </c>
      <c r="K25" s="3623" t="s">
        <v>212</v>
      </c>
      <c r="L25" s="5187">
        <f t="shared" si="23"/>
        <v>0.32612292148283611</v>
      </c>
      <c r="M25" s="3624">
        <v>1</v>
      </c>
      <c r="N25" s="2264">
        <f t="shared" si="20"/>
        <v>9.4165418904034147E-3</v>
      </c>
      <c r="O25" s="2265">
        <f t="shared" si="1"/>
        <v>1.8933937422552669E-4</v>
      </c>
      <c r="P25" s="2185">
        <f t="shared" si="21"/>
        <v>1.8933937422552669E-4</v>
      </c>
      <c r="Q25" s="3467">
        <v>173</v>
      </c>
      <c r="R25" s="3468">
        <f t="shared" si="22"/>
        <v>250</v>
      </c>
      <c r="S25" s="2844">
        <f t="shared" si="5"/>
        <v>0.25</v>
      </c>
      <c r="T25" s="2845">
        <f t="shared" si="6"/>
        <v>7.5735749690210678E-3</v>
      </c>
      <c r="U25" s="374">
        <f t="shared" si="7"/>
        <v>0</v>
      </c>
      <c r="V25" s="2846">
        <f t="shared" si="8"/>
        <v>0</v>
      </c>
      <c r="W25" s="2847">
        <f t="shared" si="9"/>
        <v>0</v>
      </c>
      <c r="X25" s="2848">
        <f t="shared" si="10"/>
        <v>0</v>
      </c>
      <c r="Y25" s="2849">
        <f t="shared" si="11"/>
        <v>0.25</v>
      </c>
      <c r="Z25" s="2850">
        <f t="shared" si="12"/>
        <v>0</v>
      </c>
      <c r="AA25" s="2851">
        <f t="shared" si="13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</row>
    <row r="26" spans="1:40" ht="12.75" customHeight="1">
      <c r="A26" s="2183" t="s">
        <v>461</v>
      </c>
      <c r="B26" s="3336" t="s">
        <v>215</v>
      </c>
      <c r="C26" s="2256">
        <f t="shared" si="19"/>
        <v>2.2880964381720439E-4</v>
      </c>
      <c r="D26" s="2302">
        <v>1</v>
      </c>
      <c r="E26" s="2276">
        <v>1</v>
      </c>
      <c r="F26" s="2276">
        <v>4</v>
      </c>
      <c r="G26" s="2276">
        <v>200</v>
      </c>
      <c r="H26" s="2277"/>
      <c r="I26" s="2277">
        <v>2.3148148148148146E-4</v>
      </c>
      <c r="J26" s="2277">
        <v>1.3888888888888889E-3</v>
      </c>
      <c r="K26" s="2278" t="s">
        <v>920</v>
      </c>
      <c r="L26" s="5189">
        <f t="shared" si="23"/>
        <v>0.33553946337323953</v>
      </c>
      <c r="M26" s="2280">
        <v>1</v>
      </c>
      <c r="N26" s="2277">
        <f t="shared" si="20"/>
        <v>9.6367234169653562E-3</v>
      </c>
      <c r="O26" s="2281">
        <f t="shared" si="1"/>
        <v>1.8304771505376352E-3</v>
      </c>
      <c r="P26" s="2281">
        <f t="shared" si="21"/>
        <v>1.8304771505376352E-3</v>
      </c>
      <c r="Q26" s="2282">
        <v>129</v>
      </c>
      <c r="R26" s="2283">
        <f t="shared" si="22"/>
        <v>800</v>
      </c>
      <c r="S26" s="2844">
        <f t="shared" si="5"/>
        <v>0.8</v>
      </c>
      <c r="T26" s="2845">
        <f t="shared" si="6"/>
        <v>2.9287634408602162E-2</v>
      </c>
      <c r="U26" s="374">
        <f t="shared" si="7"/>
        <v>0.8</v>
      </c>
      <c r="V26" s="2846">
        <f t="shared" si="8"/>
        <v>0</v>
      </c>
      <c r="W26" s="2847">
        <f t="shared" si="9"/>
        <v>0</v>
      </c>
      <c r="X26" s="2848">
        <f t="shared" si="10"/>
        <v>0</v>
      </c>
      <c r="Y26" s="2849">
        <f t="shared" si="11"/>
        <v>0</v>
      </c>
      <c r="Z26" s="2850">
        <f t="shared" si="12"/>
        <v>0</v>
      </c>
      <c r="AA26" s="2851">
        <f t="shared" si="13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</row>
    <row r="27" spans="1:40" ht="12.75" customHeight="1">
      <c r="A27" s="2183" t="s">
        <v>458</v>
      </c>
      <c r="B27" s="3336" t="s">
        <v>215</v>
      </c>
      <c r="C27" s="2256">
        <f t="shared" si="19"/>
        <v>1.8933937422552669E-4</v>
      </c>
      <c r="D27" s="2505">
        <v>5</v>
      </c>
      <c r="E27" s="3445">
        <v>5</v>
      </c>
      <c r="F27" s="3445">
        <v>2</v>
      </c>
      <c r="G27" s="3445">
        <v>37.5</v>
      </c>
      <c r="H27" s="2264"/>
      <c r="I27" s="2264">
        <v>5.7870370370370366E-5</v>
      </c>
      <c r="J27" s="2264">
        <v>1.3888888888888889E-3</v>
      </c>
      <c r="K27" s="3623" t="s">
        <v>212</v>
      </c>
      <c r="L27" s="5187">
        <f t="shared" si="23"/>
        <v>0.3451761867902049</v>
      </c>
      <c r="M27" s="3624">
        <v>1</v>
      </c>
      <c r="N27" s="2264">
        <f t="shared" si="20"/>
        <v>1.0363238761531049E-2</v>
      </c>
      <c r="O27" s="2265">
        <f t="shared" si="1"/>
        <v>2.8400906133829002E-4</v>
      </c>
      <c r="P27" s="2185">
        <f t="shared" si="21"/>
        <v>2.8400906133829002E-4</v>
      </c>
      <c r="Q27" s="3467">
        <v>173</v>
      </c>
      <c r="R27" s="3468">
        <f t="shared" si="22"/>
        <v>375</v>
      </c>
      <c r="S27" s="2844">
        <f t="shared" si="5"/>
        <v>0.375</v>
      </c>
      <c r="T27" s="2845">
        <f t="shared" si="6"/>
        <v>1.13603624535316E-2</v>
      </c>
      <c r="U27" s="374">
        <f t="shared" si="7"/>
        <v>0</v>
      </c>
      <c r="V27" s="2846">
        <f t="shared" si="8"/>
        <v>0</v>
      </c>
      <c r="W27" s="2847">
        <f t="shared" si="9"/>
        <v>0</v>
      </c>
      <c r="X27" s="2848">
        <f t="shared" si="10"/>
        <v>0</v>
      </c>
      <c r="Y27" s="2849">
        <f t="shared" si="11"/>
        <v>0.375</v>
      </c>
      <c r="Z27" s="2850">
        <f t="shared" si="12"/>
        <v>0</v>
      </c>
      <c r="AA27" s="2851">
        <f t="shared" si="13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</row>
    <row r="28" spans="1:40" ht="12.75" customHeight="1">
      <c r="A28" s="2183" t="s">
        <v>219</v>
      </c>
      <c r="B28" s="3336" t="s">
        <v>215</v>
      </c>
      <c r="C28" s="2256">
        <f>IF(D28=1,U$5,IF(D28=2,V$5,IF(D28=3,W$5,IF(D28=4,X$5,IF(D28=5,Y$5,IF(D28=6,Z$5,IF(D28=7,AA$5,0)))))))</f>
        <v>1.7682291666666674E-4</v>
      </c>
      <c r="D28" s="2318">
        <v>7</v>
      </c>
      <c r="E28" s="2512">
        <v>1</v>
      </c>
      <c r="F28" s="2512">
        <v>10</v>
      </c>
      <c r="G28" s="2512">
        <v>20</v>
      </c>
      <c r="H28" s="2270"/>
      <c r="I28" s="2270">
        <v>3.4722222222222224E-4</v>
      </c>
      <c r="J28" s="2270">
        <v>0</v>
      </c>
      <c r="K28" s="3125" t="s">
        <v>413</v>
      </c>
      <c r="L28" s="5188">
        <f t="shared" si="23"/>
        <v>0.35553942555173595</v>
      </c>
      <c r="M28" s="3469">
        <v>1</v>
      </c>
      <c r="N28" s="2270">
        <f>P28*E28*F28+I28*E28*F28+J28*E28</f>
        <v>4.8868055555555566E-3</v>
      </c>
      <c r="O28" s="2271">
        <f>C28*(G28/25)</f>
        <v>1.4145833333333339E-4</v>
      </c>
      <c r="P28" s="2517">
        <f>O28*M28</f>
        <v>1.4145833333333339E-4</v>
      </c>
      <c r="Q28" s="3130" t="s">
        <v>316</v>
      </c>
      <c r="R28" s="3470">
        <f>E28*F28*G28</f>
        <v>200</v>
      </c>
      <c r="S28" s="2844">
        <f t="shared" si="5"/>
        <v>0.2</v>
      </c>
      <c r="T28" s="2845">
        <f t="shared" si="6"/>
        <v>5.6583333333333355E-3</v>
      </c>
      <c r="U28" s="374">
        <f t="shared" si="7"/>
        <v>0</v>
      </c>
      <c r="V28" s="2846">
        <f t="shared" si="8"/>
        <v>0</v>
      </c>
      <c r="W28" s="2847">
        <f t="shared" si="9"/>
        <v>0</v>
      </c>
      <c r="X28" s="2848">
        <f t="shared" si="10"/>
        <v>0</v>
      </c>
      <c r="Y28" s="2849">
        <f t="shared" si="11"/>
        <v>0</v>
      </c>
      <c r="Z28" s="2850">
        <f t="shared" si="12"/>
        <v>0</v>
      </c>
      <c r="AA28" s="2851">
        <f t="shared" si="13"/>
        <v>0.2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</row>
    <row r="29" spans="1:40" ht="12.75" customHeight="1">
      <c r="A29" s="2183"/>
      <c r="B29" s="3336" t="s">
        <v>215</v>
      </c>
      <c r="C29" s="2256">
        <f>IF(D29=1,U$5,IF(D29=2,V$5,IF(D29=3,W$5,IF(D29=4,X$5,IF(D29=5,Y$5,IF(D29=6,Z$5,IF(D29=7,AA$5,0)))))))</f>
        <v>1.7682291666666674E-4</v>
      </c>
      <c r="D29" s="2318">
        <v>7</v>
      </c>
      <c r="E29" s="2512">
        <v>1</v>
      </c>
      <c r="F29" s="2512">
        <v>2</v>
      </c>
      <c r="G29" s="2512">
        <v>25</v>
      </c>
      <c r="H29" s="2270"/>
      <c r="I29" s="2270">
        <v>1.0416666666666667E-3</v>
      </c>
      <c r="J29" s="2270">
        <v>0</v>
      </c>
      <c r="K29" s="3125" t="s">
        <v>764</v>
      </c>
      <c r="L29" s="5188">
        <f t="shared" si="23"/>
        <v>0.36042623110729149</v>
      </c>
      <c r="M29" s="3469">
        <v>1</v>
      </c>
      <c r="N29" s="2270">
        <f>P29*E29*F29+I29*E29*F29+J29*E29</f>
        <v>2.4369791666666667E-3</v>
      </c>
      <c r="O29" s="2271">
        <f>C29*(G29/25)</f>
        <v>1.7682291666666674E-4</v>
      </c>
      <c r="P29" s="2517">
        <f>O29*M29</f>
        <v>1.7682291666666674E-4</v>
      </c>
      <c r="Q29" s="3130" t="s">
        <v>316</v>
      </c>
      <c r="R29" s="3470">
        <f>E29*F29*G29</f>
        <v>50</v>
      </c>
      <c r="S29" s="2844">
        <f t="shared" si="5"/>
        <v>0.05</v>
      </c>
      <c r="T29" s="2845">
        <f t="shared" si="6"/>
        <v>1.4145833333333339E-3</v>
      </c>
      <c r="U29" s="374">
        <f t="shared" si="7"/>
        <v>0</v>
      </c>
      <c r="V29" s="2846">
        <f t="shared" si="8"/>
        <v>0</v>
      </c>
      <c r="W29" s="2847">
        <f t="shared" si="9"/>
        <v>0</v>
      </c>
      <c r="X29" s="2848">
        <f t="shared" si="10"/>
        <v>0</v>
      </c>
      <c r="Y29" s="2849">
        <f t="shared" si="11"/>
        <v>0</v>
      </c>
      <c r="Z29" s="2850">
        <f t="shared" si="12"/>
        <v>0</v>
      </c>
      <c r="AA29" s="2851">
        <f t="shared" si="13"/>
        <v>0.05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</row>
    <row r="30" spans="1:40" ht="12.75" customHeight="1" thickBot="1">
      <c r="A30" s="2183"/>
      <c r="B30" s="3336"/>
      <c r="C30" s="3619"/>
      <c r="D30" s="3365"/>
      <c r="E30" s="2855"/>
      <c r="F30" s="2855"/>
      <c r="G30" s="2855"/>
      <c r="H30" s="2855"/>
      <c r="I30" s="2855"/>
      <c r="J30" s="2855"/>
      <c r="K30" s="2855"/>
      <c r="L30" s="2182">
        <f t="shared" si="23"/>
        <v>0.36286321027395818</v>
      </c>
      <c r="M30" s="3620"/>
      <c r="N30" s="2528">
        <f>SUM(N22:N27)</f>
        <v>5.6928314440624836E-2</v>
      </c>
      <c r="O30" s="2855">
        <f t="shared" si="1"/>
        <v>0</v>
      </c>
      <c r="P30" s="2855"/>
      <c r="Q30" s="2855"/>
      <c r="R30" s="3621">
        <f>SUM(R22:R29)</f>
        <v>3400</v>
      </c>
      <c r="S30" s="2844">
        <f t="shared" si="5"/>
        <v>0</v>
      </c>
      <c r="T30" s="2845">
        <f t="shared" si="6"/>
        <v>0</v>
      </c>
      <c r="U30" s="374">
        <f t="shared" si="7"/>
        <v>0</v>
      </c>
      <c r="V30" s="2846">
        <f t="shared" si="8"/>
        <v>0</v>
      </c>
      <c r="W30" s="2847">
        <f t="shared" si="9"/>
        <v>0</v>
      </c>
      <c r="X30" s="2848">
        <f t="shared" si="10"/>
        <v>0</v>
      </c>
      <c r="Y30" s="2849">
        <f t="shared" si="11"/>
        <v>0</v>
      </c>
      <c r="Z30" s="2850">
        <f t="shared" si="12"/>
        <v>0</v>
      </c>
      <c r="AA30" s="2851">
        <f t="shared" si="13"/>
        <v>0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</row>
    <row r="31" spans="1:40" ht="12.75" customHeight="1" thickBot="1">
      <c r="A31" s="2183"/>
      <c r="B31" s="3336" t="s">
        <v>461</v>
      </c>
      <c r="C31" s="629">
        <f>IF(D31=1,U$5,IF(D31=2,V$5,IF(D31=3,W$5,IF(D31=4,X$5,IF(D31=5,Y$5,IF(D31=6,Z$5,IF(D31=7,AA$5,0)))))))</f>
        <v>2.2880964381720439E-4</v>
      </c>
      <c r="D31" s="2335">
        <v>1</v>
      </c>
      <c r="E31" s="2427">
        <v>1</v>
      </c>
      <c r="F31" s="2427">
        <v>1</v>
      </c>
      <c r="G31" s="2427">
        <v>200</v>
      </c>
      <c r="H31" s="2256" t="s">
        <v>1674</v>
      </c>
      <c r="I31" s="2256">
        <v>1.1574074074074073E-4</v>
      </c>
      <c r="J31" s="2256">
        <v>1.3888888888888889E-3</v>
      </c>
      <c r="K31" s="2338" t="s">
        <v>581</v>
      </c>
      <c r="L31" s="3644">
        <v>0.80902777777777779</v>
      </c>
      <c r="M31" s="2339">
        <v>1</v>
      </c>
      <c r="N31" s="2329">
        <f>P31*E31*F31+I31*E31*F31+J31*E31</f>
        <v>3.4083258661887703E-3</v>
      </c>
      <c r="O31" s="2256">
        <f>C31*(G31/25)*1.04</f>
        <v>1.9036962365591406E-3</v>
      </c>
      <c r="P31" s="2340">
        <f>O31*M31</f>
        <v>1.9036962365591406E-3</v>
      </c>
      <c r="Q31" s="2341"/>
      <c r="R31" s="2427">
        <f>E31*F31*G31</f>
        <v>200</v>
      </c>
      <c r="S31" s="2844">
        <f t="shared" si="5"/>
        <v>0.2</v>
      </c>
      <c r="T31" s="2845">
        <f t="shared" si="6"/>
        <v>7.6147849462365625E-3</v>
      </c>
      <c r="U31" s="374">
        <f t="shared" si="7"/>
        <v>0.2</v>
      </c>
      <c r="V31" s="2846">
        <f t="shared" si="8"/>
        <v>0</v>
      </c>
      <c r="W31" s="2847">
        <f t="shared" si="9"/>
        <v>0</v>
      </c>
      <c r="X31" s="2848">
        <f t="shared" si="10"/>
        <v>0</v>
      </c>
      <c r="Y31" s="2849">
        <f t="shared" si="11"/>
        <v>0</v>
      </c>
      <c r="Z31" s="2850">
        <f t="shared" si="12"/>
        <v>0</v>
      </c>
      <c r="AA31" s="2851">
        <f t="shared" si="13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</row>
    <row r="32" spans="1:40" ht="12.75" customHeight="1" thickBot="1">
      <c r="A32" s="3622"/>
      <c r="B32" s="3336" t="s">
        <v>461</v>
      </c>
      <c r="C32" s="629">
        <f>IF(D32=1,U$5,IF(D32=2,V$5,IF(D32=3,W$5,IF(D32=4,X$5,IF(D32=5,Y$5,IF(D32=6,Z$5,IF(D32=7,AA$5,0)))))))</f>
        <v>2.1908757716049393E-4</v>
      </c>
      <c r="D32" s="2302">
        <v>2</v>
      </c>
      <c r="E32" s="2923">
        <v>1</v>
      </c>
      <c r="F32" s="2923">
        <v>12</v>
      </c>
      <c r="G32" s="2923">
        <v>50</v>
      </c>
      <c r="H32" s="2256" t="s">
        <v>1674</v>
      </c>
      <c r="I32" s="2324">
        <v>1.3888888888888889E-4</v>
      </c>
      <c r="J32" s="2324">
        <v>1.3888888888888889E-3</v>
      </c>
      <c r="K32" s="2278" t="s">
        <v>670</v>
      </c>
      <c r="L32" s="3645">
        <f t="shared" ref="L32:L39" si="24">L31+N31</f>
        <v>0.81243610364396657</v>
      </c>
      <c r="M32" s="2305">
        <v>1.2</v>
      </c>
      <c r="N32" s="2306">
        <f>P32*E32*F32+I32*E32*F32+J32*E32</f>
        <v>9.6176666666666702E-3</v>
      </c>
      <c r="O32" s="2307">
        <f>C32*(G32/25)*1.04</f>
        <v>4.5570216049382737E-4</v>
      </c>
      <c r="P32" s="2307">
        <f>O32*M32</f>
        <v>5.468425925925928E-4</v>
      </c>
      <c r="Q32" s="2282"/>
      <c r="R32" s="2308">
        <f>E32*F32*G32</f>
        <v>600</v>
      </c>
      <c r="S32" s="2844">
        <f t="shared" si="5"/>
        <v>0.6</v>
      </c>
      <c r="T32" s="2845">
        <f t="shared" si="6"/>
        <v>2.1873703703703715E-2</v>
      </c>
      <c r="U32" s="374">
        <f t="shared" si="7"/>
        <v>0</v>
      </c>
      <c r="V32" s="2846">
        <f t="shared" si="8"/>
        <v>0.6</v>
      </c>
      <c r="W32" s="2847">
        <f t="shared" si="9"/>
        <v>0</v>
      </c>
      <c r="X32" s="2848">
        <f t="shared" si="10"/>
        <v>0</v>
      </c>
      <c r="Y32" s="2849">
        <f t="shared" si="11"/>
        <v>0</v>
      </c>
      <c r="Z32" s="2850">
        <f t="shared" si="12"/>
        <v>0</v>
      </c>
      <c r="AA32" s="2851">
        <f t="shared" si="13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</row>
    <row r="33" spans="1:39" ht="12.75" customHeight="1" thickBot="1">
      <c r="A33" s="2183" t="s">
        <v>215</v>
      </c>
      <c r="B33" s="3336" t="s">
        <v>461</v>
      </c>
      <c r="C33" s="629">
        <f>IF(D33=1,U$5,IF(D33=2,V$5,IF(D33=3,W$5,IF(D33=4,X$5,IF(D33=5,Y$5,IF(D33=6,Z$5,IF(D33=7,AA$5,0)))))))</f>
        <v>2.1222190799396687E-4</v>
      </c>
      <c r="D33" s="3559">
        <v>3</v>
      </c>
      <c r="E33" s="3499">
        <v>1</v>
      </c>
      <c r="F33" s="3499">
        <v>4</v>
      </c>
      <c r="G33" s="3499">
        <v>50</v>
      </c>
      <c r="H33" s="2256" t="s">
        <v>1674</v>
      </c>
      <c r="I33" s="2314">
        <v>4.6296296296296293E-4</v>
      </c>
      <c r="J33" s="2314">
        <v>2.0833333333333333E-3</v>
      </c>
      <c r="K33" s="2310" t="s">
        <v>703</v>
      </c>
      <c r="L33" s="3646">
        <f t="shared" si="24"/>
        <v>0.8220537703106332</v>
      </c>
      <c r="M33" s="2312">
        <v>1</v>
      </c>
      <c r="N33" s="2313">
        <f>P33*E33*F33+I33*E33*F33+J33*E33</f>
        <v>5.7008714596949901E-3</v>
      </c>
      <c r="O33" s="2314">
        <f>C33*(G33/25)*1.04</f>
        <v>4.4142156862745112E-4</v>
      </c>
      <c r="P33" s="2315">
        <f>O33*M33</f>
        <v>4.4142156862745112E-4</v>
      </c>
      <c r="Q33" s="2274"/>
      <c r="R33" s="3499">
        <f>E33*F33*G33</f>
        <v>200</v>
      </c>
      <c r="S33" s="2844">
        <f t="shared" si="5"/>
        <v>0.2</v>
      </c>
      <c r="T33" s="2845">
        <f t="shared" si="6"/>
        <v>7.0627450980392179E-3</v>
      </c>
      <c r="U33" s="374">
        <f t="shared" si="7"/>
        <v>0</v>
      </c>
      <c r="V33" s="2846">
        <f t="shared" si="8"/>
        <v>0</v>
      </c>
      <c r="W33" s="2847">
        <f t="shared" si="9"/>
        <v>0.2</v>
      </c>
      <c r="X33" s="2848">
        <f t="shared" si="10"/>
        <v>0</v>
      </c>
      <c r="Y33" s="2849">
        <f t="shared" si="11"/>
        <v>0</v>
      </c>
      <c r="Z33" s="2850">
        <f t="shared" si="12"/>
        <v>0</v>
      </c>
      <c r="AA33" s="2851">
        <f t="shared" si="13"/>
        <v>0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</row>
    <row r="34" spans="1:39" ht="12.75" customHeight="1" thickBot="1">
      <c r="A34" s="2183" t="s">
        <v>138</v>
      </c>
      <c r="B34" s="3336" t="s">
        <v>461</v>
      </c>
      <c r="C34" s="4904">
        <f>IF(D34=1,#REF!,IF(D34=2,#REF!,IF(D34=3,#REF!,IF(D34=4,#REF!,IF(D34=5,#REF!,IF(D34=6,#REF!,IF(D34=7,#REF!,0)))))))</f>
        <v>0</v>
      </c>
      <c r="D34" s="5197"/>
      <c r="E34" s="5198"/>
      <c r="F34" s="5198"/>
      <c r="G34" s="5198"/>
      <c r="H34" s="5198"/>
      <c r="I34" s="5198"/>
      <c r="J34" s="5198"/>
      <c r="K34" s="5198"/>
      <c r="L34" s="5199">
        <f t="shared" si="24"/>
        <v>0.8277546417703282</v>
      </c>
      <c r="M34" s="5200"/>
      <c r="N34" s="5201">
        <f>SUM(N31:N33)</f>
        <v>1.8726863992550431E-2</v>
      </c>
      <c r="O34" s="5198"/>
      <c r="P34" s="5198"/>
      <c r="Q34" s="5198"/>
      <c r="R34" s="5183">
        <f>SUM(R31:R33)</f>
        <v>1000</v>
      </c>
      <c r="S34" s="2844">
        <f t="shared" si="5"/>
        <v>0</v>
      </c>
      <c r="T34" s="2845">
        <f t="shared" si="6"/>
        <v>0</v>
      </c>
      <c r="U34" s="374">
        <f t="shared" si="7"/>
        <v>0</v>
      </c>
      <c r="V34" s="2846">
        <f t="shared" si="8"/>
        <v>0</v>
      </c>
      <c r="W34" s="2847">
        <f t="shared" si="9"/>
        <v>0</v>
      </c>
      <c r="X34" s="2848">
        <f t="shared" si="10"/>
        <v>0</v>
      </c>
      <c r="Y34" s="2849">
        <f t="shared" si="11"/>
        <v>0</v>
      </c>
      <c r="Z34" s="2850">
        <f t="shared" si="12"/>
        <v>0</v>
      </c>
      <c r="AA34" s="2851">
        <f t="shared" si="13"/>
        <v>0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</row>
    <row r="35" spans="1:39" ht="12.75" customHeight="1" thickBot="1">
      <c r="A35" s="2183" t="s">
        <v>462</v>
      </c>
      <c r="B35" s="3336" t="s">
        <v>461</v>
      </c>
      <c r="C35" s="629">
        <f>IF(D35=1,U$5,IF(D35=2,V$5,IF(D35=3,W$5,IF(D35=4,X$5,IF(D35=5,Y$5,IF(D35=6,Z$5,IF(D35=7,AA$5,0)))))))</f>
        <v>2.1222190799396687E-4</v>
      </c>
      <c r="D35" s="3559">
        <v>3</v>
      </c>
      <c r="E35" s="3499">
        <v>1</v>
      </c>
      <c r="F35" s="3499">
        <v>2</v>
      </c>
      <c r="G35" s="3499">
        <v>50</v>
      </c>
      <c r="H35" s="3625" t="s">
        <v>1675</v>
      </c>
      <c r="I35" s="2314">
        <v>2.3148148148148146E-4</v>
      </c>
      <c r="J35" s="2314">
        <v>3.4722222222222224E-4</v>
      </c>
      <c r="K35" s="2310" t="s">
        <v>1653</v>
      </c>
      <c r="L35" s="3646">
        <f>L34</f>
        <v>0.8277546417703282</v>
      </c>
      <c r="M35" s="2312">
        <v>1.05</v>
      </c>
      <c r="N35" s="2313">
        <f>P35*E35*F35+I35*E35*F35+J35*E35</f>
        <v>1.7015171987598461E-3</v>
      </c>
      <c r="O35" s="2314">
        <f>C35*(G35/25)</f>
        <v>4.2444381598793373E-4</v>
      </c>
      <c r="P35" s="2315">
        <f>O35*M35</f>
        <v>4.4566600678733046E-4</v>
      </c>
      <c r="Q35" s="2274"/>
      <c r="R35" s="3499">
        <f>E35*F35*G35</f>
        <v>100</v>
      </c>
      <c r="S35" s="2844">
        <f t="shared" si="5"/>
        <v>0.1</v>
      </c>
      <c r="T35" s="2845">
        <f t="shared" si="6"/>
        <v>3.3955505279034699E-3</v>
      </c>
      <c r="U35" s="374">
        <f t="shared" si="7"/>
        <v>0</v>
      </c>
      <c r="V35" s="2846">
        <f t="shared" si="8"/>
        <v>0</v>
      </c>
      <c r="W35" s="2847">
        <f t="shared" si="9"/>
        <v>0.1</v>
      </c>
      <c r="X35" s="2848">
        <f t="shared" si="10"/>
        <v>0</v>
      </c>
      <c r="Y35" s="2849">
        <f t="shared" si="11"/>
        <v>0</v>
      </c>
      <c r="Z35" s="2850">
        <f t="shared" si="12"/>
        <v>0</v>
      </c>
      <c r="AA35" s="2851">
        <f t="shared" si="13"/>
        <v>0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</row>
    <row r="36" spans="1:39" ht="12.75" customHeight="1" thickBot="1">
      <c r="A36" s="2183" t="s">
        <v>461</v>
      </c>
      <c r="B36" s="3336" t="s">
        <v>461</v>
      </c>
      <c r="C36" s="629">
        <f>IF(D36=1,U$5,IF(D36=2,V$5,IF(D36=3,W$5,IF(D36=4,X$5,IF(D36=5,Y$5,IF(D36=6,Z$5,IF(D36=7,AA$5,0)))))))</f>
        <v>2.0247664488766629E-4</v>
      </c>
      <c r="D36" s="2317">
        <v>4</v>
      </c>
      <c r="E36" s="3504">
        <v>1</v>
      </c>
      <c r="F36" s="3504">
        <v>2</v>
      </c>
      <c r="G36" s="3504">
        <v>50</v>
      </c>
      <c r="H36" s="3626"/>
      <c r="I36" s="3505">
        <v>4.6296296296296293E-4</v>
      </c>
      <c r="J36" s="3505">
        <v>5.7870370370370378E-4</v>
      </c>
      <c r="K36" s="3506" t="s">
        <v>1654</v>
      </c>
      <c r="L36" s="3647">
        <f>L35+N35</f>
        <v>0.82945615896908809</v>
      </c>
      <c r="M36" s="3508">
        <v>1</v>
      </c>
      <c r="N36" s="3509">
        <f>P36*E36*F36+I36*E36*F36+J36*E36</f>
        <v>2.3469324723623215E-3</v>
      </c>
      <c r="O36" s="3510">
        <f>C36*(G36/25)*1.04</f>
        <v>4.2115142136634587E-4</v>
      </c>
      <c r="P36" s="3510">
        <f>O36*M36</f>
        <v>4.2115142136634587E-4</v>
      </c>
      <c r="Q36" s="3511"/>
      <c r="R36" s="3504">
        <f>E36*F36*G36</f>
        <v>100</v>
      </c>
      <c r="S36" s="2844">
        <f t="shared" si="5"/>
        <v>0.1</v>
      </c>
      <c r="T36" s="2845">
        <f t="shared" si="6"/>
        <v>3.369211370930767E-3</v>
      </c>
      <c r="U36" s="374">
        <f t="shared" si="7"/>
        <v>0</v>
      </c>
      <c r="V36" s="2846">
        <f t="shared" si="8"/>
        <v>0</v>
      </c>
      <c r="W36" s="2847">
        <f t="shared" si="9"/>
        <v>0</v>
      </c>
      <c r="X36" s="2848">
        <f t="shared" si="10"/>
        <v>0.1</v>
      </c>
      <c r="Y36" s="2849">
        <f t="shared" si="11"/>
        <v>0</v>
      </c>
      <c r="Z36" s="2850">
        <f t="shared" si="12"/>
        <v>0</v>
      </c>
      <c r="AA36" s="2851">
        <f t="shared" si="13"/>
        <v>0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</row>
    <row r="37" spans="1:39" ht="12.75" customHeight="1" thickBot="1">
      <c r="A37" s="2183" t="s">
        <v>458</v>
      </c>
      <c r="B37" s="3336" t="s">
        <v>461</v>
      </c>
      <c r="C37" s="629">
        <f>IF(D37=1,U$5,IF(D37=2,V$5,IF(D37=3,W$5,IF(D37=4,X$5,IF(D37=5,Y$5,IF(D37=6,Z$5,IF(D37=7,AA$5,0)))))))</f>
        <v>1.8229166666666673E-4</v>
      </c>
      <c r="D37" s="3444">
        <v>6</v>
      </c>
      <c r="E37" s="3444">
        <v>1</v>
      </c>
      <c r="F37" s="3444">
        <v>2</v>
      </c>
      <c r="G37" s="3444">
        <v>50</v>
      </c>
      <c r="H37" s="3626"/>
      <c r="I37" s="3142">
        <v>6.9444444444444447E-4</v>
      </c>
      <c r="J37" s="3142">
        <v>1.0416666666666667E-3</v>
      </c>
      <c r="K37" s="3438" t="s">
        <v>1655</v>
      </c>
      <c r="L37" s="3643">
        <f>L36+N36</f>
        <v>0.83180309144145037</v>
      </c>
      <c r="M37" s="3440">
        <v>1.08</v>
      </c>
      <c r="N37" s="3441">
        <f>P37*E37*F37+I37*E37*F37+J37*E37</f>
        <v>3.2180555555555556E-3</v>
      </c>
      <c r="O37" s="3145">
        <f>C37*(G37/25)</f>
        <v>3.6458333333333346E-4</v>
      </c>
      <c r="P37" s="3442">
        <f>O37*M37</f>
        <v>3.9375000000000017E-4</v>
      </c>
      <c r="Q37" s="3443"/>
      <c r="R37" s="3444">
        <f>E37*F37*G37</f>
        <v>100</v>
      </c>
      <c r="S37" s="2844">
        <f t="shared" si="5"/>
        <v>0.1</v>
      </c>
      <c r="T37" s="2845">
        <f t="shared" si="6"/>
        <v>2.9166666666666677E-3</v>
      </c>
      <c r="U37" s="374">
        <f t="shared" si="7"/>
        <v>0</v>
      </c>
      <c r="V37" s="2846">
        <f t="shared" si="8"/>
        <v>0</v>
      </c>
      <c r="W37" s="2847">
        <f t="shared" si="9"/>
        <v>0</v>
      </c>
      <c r="X37" s="2848">
        <f t="shared" si="10"/>
        <v>0</v>
      </c>
      <c r="Y37" s="2849">
        <f t="shared" si="11"/>
        <v>0</v>
      </c>
      <c r="Z37" s="2850">
        <f t="shared" si="12"/>
        <v>0.1</v>
      </c>
      <c r="AA37" s="2851">
        <f t="shared" si="13"/>
        <v>0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</row>
    <row r="38" spans="1:39" ht="12.75" customHeight="1" thickBot="1">
      <c r="A38" s="2183" t="s">
        <v>219</v>
      </c>
      <c r="B38" s="3336" t="s">
        <v>461</v>
      </c>
      <c r="C38" s="629">
        <f>IF(D38=1,U$5,IF(D38=2,V$5,IF(D38=3,W$5,IF(D38=4,X$5,IF(D38=5,Y$5,IF(D38=6,Z$5,IF(D38=7,AA$5,0)))))))</f>
        <v>1.7682291666666674E-4</v>
      </c>
      <c r="D38" s="3560">
        <v>7</v>
      </c>
      <c r="E38" s="3561">
        <v>1</v>
      </c>
      <c r="F38" s="3561">
        <v>1</v>
      </c>
      <c r="G38" s="3561">
        <v>50</v>
      </c>
      <c r="H38" s="3627"/>
      <c r="I38" s="3562">
        <v>0</v>
      </c>
      <c r="J38" s="3562">
        <v>1.3888888888888889E-3</v>
      </c>
      <c r="K38" s="2514" t="s">
        <v>1656</v>
      </c>
      <c r="L38" s="3648">
        <f>L37+N37</f>
        <v>0.83502114699700591</v>
      </c>
      <c r="M38" s="3493">
        <v>1</v>
      </c>
      <c r="N38" s="3494">
        <f>P38*E38*F38+I38*E38*F38+J38*E38</f>
        <v>1.7672899305555558E-3</v>
      </c>
      <c r="O38" s="3495">
        <f>C38*(G38/25)*1.07</f>
        <v>3.7840104166666686E-4</v>
      </c>
      <c r="P38" s="3496">
        <f>O38*M38</f>
        <v>3.7840104166666686E-4</v>
      </c>
      <c r="Q38" s="3130"/>
      <c r="R38" s="3497">
        <f>E38*F38*G38</f>
        <v>50</v>
      </c>
      <c r="S38" s="2844">
        <f t="shared" si="5"/>
        <v>0.05</v>
      </c>
      <c r="T38" s="2845">
        <f t="shared" si="6"/>
        <v>1.5136041666666674E-3</v>
      </c>
      <c r="U38" s="374">
        <f t="shared" si="7"/>
        <v>0</v>
      </c>
      <c r="V38" s="2846">
        <f t="shared" si="8"/>
        <v>0</v>
      </c>
      <c r="W38" s="2847">
        <f t="shared" si="9"/>
        <v>0</v>
      </c>
      <c r="X38" s="2848">
        <f t="shared" si="10"/>
        <v>0</v>
      </c>
      <c r="Y38" s="2849">
        <f t="shared" si="11"/>
        <v>0</v>
      </c>
      <c r="Z38" s="2850">
        <f t="shared" si="12"/>
        <v>0</v>
      </c>
      <c r="AA38" s="2851">
        <f t="shared" si="13"/>
        <v>0.05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</row>
    <row r="39" spans="1:39" ht="12.75" customHeight="1" thickBot="1">
      <c r="A39" s="2183"/>
      <c r="B39" s="3336" t="s">
        <v>461</v>
      </c>
      <c r="C39" s="4904"/>
      <c r="D39" s="5197"/>
      <c r="E39" s="5198"/>
      <c r="F39" s="5198"/>
      <c r="G39" s="5198"/>
      <c r="H39" s="5198"/>
      <c r="I39" s="5198"/>
      <c r="J39" s="5198"/>
      <c r="K39" s="5198"/>
      <c r="L39" s="5199">
        <f t="shared" si="24"/>
        <v>0.83678843692756144</v>
      </c>
      <c r="M39" s="5200"/>
      <c r="N39" s="5201">
        <f>SUM(N35:N38)</f>
        <v>9.0337951572332792E-3</v>
      </c>
      <c r="O39" s="5198"/>
      <c r="P39" s="5198"/>
      <c r="Q39" s="5198"/>
      <c r="R39" s="5181">
        <f>SUM(R35:R38)</f>
        <v>350</v>
      </c>
      <c r="S39" s="2844">
        <f t="shared" si="5"/>
        <v>0</v>
      </c>
      <c r="T39" s="2845">
        <f t="shared" si="6"/>
        <v>0</v>
      </c>
      <c r="U39" s="374">
        <f t="shared" si="7"/>
        <v>0</v>
      </c>
      <c r="V39" s="2846">
        <f t="shared" si="8"/>
        <v>0</v>
      </c>
      <c r="W39" s="2847">
        <f t="shared" si="9"/>
        <v>0</v>
      </c>
      <c r="X39" s="2848">
        <f t="shared" si="10"/>
        <v>0</v>
      </c>
      <c r="Y39" s="2849">
        <f t="shared" si="11"/>
        <v>0</v>
      </c>
      <c r="Z39" s="2850">
        <f t="shared" si="12"/>
        <v>0</v>
      </c>
      <c r="AA39" s="2851">
        <f t="shared" si="13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</row>
    <row r="40" spans="1:39" ht="12.75" customHeight="1" thickBot="1">
      <c r="A40" s="2183"/>
      <c r="B40" s="3336"/>
      <c r="C40" s="629">
        <f>IF(D40=1,U$5,IF(D40=2,V$5,IF(D40=3,W$5,IF(D40=4,X$5,IF(D40=5,Y$5,IF(D40=6,Z$5,IF(D40=7,AA$5,0)))))))</f>
        <v>1.8933937422552669E-4</v>
      </c>
      <c r="D40" s="1433">
        <v>5</v>
      </c>
      <c r="E40" s="3452">
        <v>1</v>
      </c>
      <c r="F40" s="3452">
        <v>4</v>
      </c>
      <c r="G40" s="3452">
        <v>50</v>
      </c>
      <c r="H40" s="3512" t="s">
        <v>1637</v>
      </c>
      <c r="I40" s="3450">
        <v>1.2152777777777778E-3</v>
      </c>
      <c r="J40" s="3450">
        <v>6.9444444444444447E-4</v>
      </c>
      <c r="K40" s="3513" t="s">
        <v>1676</v>
      </c>
      <c r="L40" s="3649">
        <f>L39</f>
        <v>0.83678843692756144</v>
      </c>
      <c r="M40" s="3448">
        <v>0.97</v>
      </c>
      <c r="N40" s="3449">
        <f>P40*E40*F40+I40*E40*F40+J40*E40</f>
        <v>7.0248290995456432E-3</v>
      </c>
      <c r="O40" s="3450">
        <f>C40*(G40/25)</f>
        <v>3.7867874845105338E-4</v>
      </c>
      <c r="P40" s="3451">
        <f>O40*M40</f>
        <v>3.6731838599752176E-4</v>
      </c>
      <c r="Q40" s="3452"/>
      <c r="R40" s="3452">
        <f>E40*F40*G40</f>
        <v>200</v>
      </c>
      <c r="S40" s="2844">
        <f t="shared" si="5"/>
        <v>0.2</v>
      </c>
      <c r="T40" s="2845">
        <f t="shared" si="6"/>
        <v>6.0588599752168541E-3</v>
      </c>
      <c r="U40" s="374">
        <f t="shared" si="7"/>
        <v>0</v>
      </c>
      <c r="V40" s="2846">
        <f t="shared" si="8"/>
        <v>0</v>
      </c>
      <c r="W40" s="2847">
        <f t="shared" si="9"/>
        <v>0</v>
      </c>
      <c r="X40" s="2848">
        <f t="shared" si="10"/>
        <v>0</v>
      </c>
      <c r="Y40" s="2849">
        <f t="shared" si="11"/>
        <v>0.2</v>
      </c>
      <c r="Z40" s="2850">
        <f t="shared" si="12"/>
        <v>0</v>
      </c>
      <c r="AA40" s="2851">
        <f t="shared" si="13"/>
        <v>0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</row>
    <row r="41" spans="1:39" ht="12.75" customHeight="1" thickBot="1">
      <c r="A41" s="2183"/>
      <c r="B41" s="3336"/>
      <c r="C41" s="629">
        <f>IF(D41=1,U$5,IF(D41=2,V$5,IF(D41=3,W$5,IF(D41=4,X$5,IF(D41=5,Y$5,IF(D41=6,Z$5,IF(D41=7,AA$5,0)))))))</f>
        <v>1.8933937422552669E-4</v>
      </c>
      <c r="D41" s="1433">
        <v>5</v>
      </c>
      <c r="E41" s="3452">
        <v>1</v>
      </c>
      <c r="F41" s="3452">
        <v>3</v>
      </c>
      <c r="G41" s="3452">
        <v>50</v>
      </c>
      <c r="H41" s="3512" t="s">
        <v>1638</v>
      </c>
      <c r="I41" s="3450">
        <v>1.0416666666666667E-3</v>
      </c>
      <c r="J41" s="3450">
        <v>5.2083333333333333E-4</v>
      </c>
      <c r="K41" s="3513" t="s">
        <v>1677</v>
      </c>
      <c r="L41" s="3649">
        <f t="shared" ref="L41:L43" si="25">L40+N40</f>
        <v>0.84381326602710705</v>
      </c>
      <c r="M41" s="3448">
        <v>1</v>
      </c>
      <c r="N41" s="3449">
        <f>P41*E41*F41+I41*E41*F41+J41*E41</f>
        <v>4.7818695786864939E-3</v>
      </c>
      <c r="O41" s="3450">
        <f>C41*(G41/25)*1</f>
        <v>3.7867874845105338E-4</v>
      </c>
      <c r="P41" s="3451">
        <f>O41*M41</f>
        <v>3.7867874845105338E-4</v>
      </c>
      <c r="Q41" s="3452"/>
      <c r="R41" s="3452">
        <f>E41*F41*G41</f>
        <v>150</v>
      </c>
      <c r="S41" s="2844">
        <f t="shared" si="5"/>
        <v>0.15</v>
      </c>
      <c r="T41" s="2845">
        <f t="shared" si="6"/>
        <v>4.5441449814126404E-3</v>
      </c>
      <c r="U41" s="374">
        <f t="shared" si="7"/>
        <v>0</v>
      </c>
      <c r="V41" s="2846">
        <f t="shared" si="8"/>
        <v>0</v>
      </c>
      <c r="W41" s="2847">
        <f t="shared" si="9"/>
        <v>0</v>
      </c>
      <c r="X41" s="2848">
        <f t="shared" si="10"/>
        <v>0</v>
      </c>
      <c r="Y41" s="2849">
        <f t="shared" si="11"/>
        <v>0.15</v>
      </c>
      <c r="Z41" s="2850">
        <f t="shared" si="12"/>
        <v>0</v>
      </c>
      <c r="AA41" s="2851">
        <f t="shared" si="13"/>
        <v>0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</row>
    <row r="42" spans="1:39" ht="12.75" customHeight="1" thickBot="1">
      <c r="A42" s="2183"/>
      <c r="B42" s="3336"/>
      <c r="C42" s="629">
        <f>IF(D42=1,U$5,IF(D42=2,V$5,IF(D42=3,W$5,IF(D42=4,X$5,IF(D42=5,Y$5,IF(D42=6,Z$5,IF(D42=7,AA$5,0)))))))</f>
        <v>1.8933937422552669E-4</v>
      </c>
      <c r="D42" s="1433">
        <v>5</v>
      </c>
      <c r="E42" s="3452">
        <v>1</v>
      </c>
      <c r="F42" s="3452">
        <v>3</v>
      </c>
      <c r="G42" s="3452">
        <v>50</v>
      </c>
      <c r="H42" s="3512" t="s">
        <v>112</v>
      </c>
      <c r="I42" s="3450">
        <v>8.6805555555555551E-4</v>
      </c>
      <c r="J42" s="3450">
        <v>4.0509259259259258E-4</v>
      </c>
      <c r="K42" s="3513" t="s">
        <v>1678</v>
      </c>
      <c r="L42" s="3649">
        <f t="shared" si="25"/>
        <v>0.84859513560579358</v>
      </c>
      <c r="M42" s="3448">
        <v>0.97</v>
      </c>
      <c r="N42" s="3449">
        <f>P42*E42*F42+I42*E42*F42+J42*E42</f>
        <v>4.1112144172518244E-3</v>
      </c>
      <c r="O42" s="3450">
        <f>C42*(G42/25)</f>
        <v>3.7867874845105338E-4</v>
      </c>
      <c r="P42" s="3451">
        <f>O42*M42</f>
        <v>3.6731838599752176E-4</v>
      </c>
      <c r="Q42" s="3452"/>
      <c r="R42" s="3452">
        <f>E42*F42*G42</f>
        <v>150</v>
      </c>
      <c r="S42" s="2844">
        <f t="shared" si="5"/>
        <v>0.15</v>
      </c>
      <c r="T42" s="2845">
        <f t="shared" si="6"/>
        <v>4.5441449814126404E-3</v>
      </c>
      <c r="U42" s="374">
        <f t="shared" si="7"/>
        <v>0</v>
      </c>
      <c r="V42" s="2846">
        <f t="shared" si="8"/>
        <v>0</v>
      </c>
      <c r="W42" s="2847">
        <f t="shared" si="9"/>
        <v>0</v>
      </c>
      <c r="X42" s="2848">
        <f t="shared" si="10"/>
        <v>0</v>
      </c>
      <c r="Y42" s="2849">
        <f t="shared" si="11"/>
        <v>0.15</v>
      </c>
      <c r="Z42" s="2850">
        <f t="shared" si="12"/>
        <v>0</v>
      </c>
      <c r="AA42" s="2851">
        <f t="shared" si="13"/>
        <v>0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</row>
    <row r="43" spans="1:39" ht="12.75" customHeight="1">
      <c r="A43" s="2183"/>
      <c r="B43" s="3336"/>
      <c r="C43" s="629">
        <f>IF(D43=1,U$5,IF(D43=2,V$5,IF(D43=3,W$5,IF(D43=4,X$5,IF(D43=5,Y$5,IF(D43=6,Z$5,IF(D43=7,AA$5,0)))))))</f>
        <v>1.8933937422552669E-4</v>
      </c>
      <c r="D43" s="1433">
        <v>5</v>
      </c>
      <c r="E43" s="3452">
        <v>1</v>
      </c>
      <c r="F43" s="3452">
        <v>2</v>
      </c>
      <c r="G43" s="3452">
        <v>50</v>
      </c>
      <c r="H43" s="3512" t="s">
        <v>1659</v>
      </c>
      <c r="I43" s="3450">
        <v>6.9444444444444447E-4</v>
      </c>
      <c r="J43" s="3450">
        <v>1.3888888888888889E-3</v>
      </c>
      <c r="K43" s="3513" t="s">
        <v>1679</v>
      </c>
      <c r="L43" s="3649">
        <f t="shared" si="25"/>
        <v>0.8527063500230454</v>
      </c>
      <c r="M43" s="3448">
        <v>1</v>
      </c>
      <c r="N43" s="3449">
        <f>P43*E43*F43+I43*E43*F43+J43*E43</f>
        <v>3.5351352746798848E-3</v>
      </c>
      <c r="O43" s="3450">
        <f>C43*(G43/25)</f>
        <v>3.7867874845105338E-4</v>
      </c>
      <c r="P43" s="3451">
        <f>O43*M43</f>
        <v>3.7867874845105338E-4</v>
      </c>
      <c r="Q43" s="3452"/>
      <c r="R43" s="3452">
        <f>E43*F43*G43</f>
        <v>100</v>
      </c>
      <c r="S43" s="2844">
        <f t="shared" si="5"/>
        <v>0.1</v>
      </c>
      <c r="T43" s="2845">
        <f t="shared" si="6"/>
        <v>3.029429987608427E-3</v>
      </c>
      <c r="U43" s="374">
        <f t="shared" si="7"/>
        <v>0</v>
      </c>
      <c r="V43" s="2846">
        <f t="shared" si="8"/>
        <v>0</v>
      </c>
      <c r="W43" s="2847">
        <f t="shared" si="9"/>
        <v>0</v>
      </c>
      <c r="X43" s="2848">
        <f t="shared" si="10"/>
        <v>0</v>
      </c>
      <c r="Y43" s="2849">
        <f t="shared" si="11"/>
        <v>0.1</v>
      </c>
      <c r="Z43" s="2850">
        <f t="shared" si="12"/>
        <v>0</v>
      </c>
      <c r="AA43" s="2851">
        <f t="shared" si="13"/>
        <v>0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</row>
    <row r="44" spans="1:39" ht="14" customHeight="1" thickBot="1">
      <c r="A44" s="2183"/>
      <c r="B44" s="3336"/>
      <c r="C44" s="2256">
        <f>IF(D44=1,U$5,IF(D44=2,V$5,IF(D44=3,W$5,IF(D44=4,X$5,IF(D44=5,Y$5,IF(D44=6,Z$5,IF(D44=7,AA$5,0)))))))</f>
        <v>1.8229166666666673E-4</v>
      </c>
      <c r="D44" s="2309">
        <v>6</v>
      </c>
      <c r="E44" s="4559">
        <v>1</v>
      </c>
      <c r="F44" s="4559">
        <v>8</v>
      </c>
      <c r="G44" s="4559">
        <v>50</v>
      </c>
      <c r="H44" s="4559"/>
      <c r="I44" s="4560">
        <v>6.9444444444444447E-4</v>
      </c>
      <c r="J44" s="4560">
        <v>3.472222222222222E-3</v>
      </c>
      <c r="K44" s="4561" t="s">
        <v>974</v>
      </c>
      <c r="L44" s="5186">
        <f>L42+N42</f>
        <v>0.8527063500230454</v>
      </c>
      <c r="M44" s="4562">
        <v>1</v>
      </c>
      <c r="N44" s="4560">
        <f t="shared" ref="N44" si="26">P44*E44*F44+I44*E44*F44+J44*E44</f>
        <v>1.2002777777777779E-2</v>
      </c>
      <c r="O44" s="4563">
        <f>C44*(G44/25)*1.02</f>
        <v>3.7187500000000014E-4</v>
      </c>
      <c r="P44" s="5184">
        <f t="shared" ref="P44" si="27">O44*M44</f>
        <v>3.7187500000000014E-4</v>
      </c>
      <c r="Q44" s="4565">
        <v>177</v>
      </c>
      <c r="R44" s="4559">
        <f t="shared" ref="R44" si="28">E44*F44*G44</f>
        <v>400</v>
      </c>
      <c r="S44" s="2844">
        <f t="shared" si="5"/>
        <v>0.4</v>
      </c>
      <c r="T44" s="2845">
        <f t="shared" si="6"/>
        <v>1.1900000000000004E-2</v>
      </c>
      <c r="U44" s="374">
        <f t="shared" si="7"/>
        <v>0</v>
      </c>
      <c r="V44" s="2846">
        <f t="shared" si="8"/>
        <v>0</v>
      </c>
      <c r="W44" s="2847">
        <f t="shared" si="9"/>
        <v>0</v>
      </c>
      <c r="X44" s="2848">
        <f t="shared" si="10"/>
        <v>0</v>
      </c>
      <c r="Y44" s="2849">
        <f t="shared" si="11"/>
        <v>0</v>
      </c>
      <c r="Z44" s="2850">
        <f t="shared" si="12"/>
        <v>0.4</v>
      </c>
      <c r="AA44" s="2851">
        <f t="shared" si="13"/>
        <v>0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</row>
    <row r="45" spans="1:39" ht="12" customHeight="1" thickBot="1">
      <c r="A45" s="2183"/>
      <c r="B45" s="3336"/>
      <c r="C45" s="4904"/>
      <c r="D45" s="5197"/>
      <c r="E45" s="5198"/>
      <c r="F45" s="5198"/>
      <c r="G45" s="5198"/>
      <c r="H45" s="5198"/>
      <c r="I45" s="5198"/>
      <c r="J45" s="5198"/>
      <c r="K45" s="5198"/>
      <c r="L45" s="5199">
        <f t="shared" ref="L45" si="29">L44+N44</f>
        <v>0.86470912780082321</v>
      </c>
      <c r="M45" s="5200"/>
      <c r="N45" s="5201">
        <f>SUM(N40:N44)</f>
        <v>3.1455826147941623E-2</v>
      </c>
      <c r="O45" s="5198"/>
      <c r="P45" s="5198"/>
      <c r="Q45" s="5198"/>
      <c r="R45" s="5182">
        <f>SUM(R40:R44)</f>
        <v>1000</v>
      </c>
      <c r="S45" s="2844">
        <f t="shared" si="5"/>
        <v>0</v>
      </c>
      <c r="T45" s="2845">
        <f t="shared" si="6"/>
        <v>0</v>
      </c>
      <c r="U45" s="374">
        <f t="shared" si="7"/>
        <v>0</v>
      </c>
      <c r="V45" s="2846">
        <f t="shared" si="8"/>
        <v>0</v>
      </c>
      <c r="W45" s="2847">
        <f t="shared" si="9"/>
        <v>0</v>
      </c>
      <c r="X45" s="2848">
        <f t="shared" si="10"/>
        <v>0</v>
      </c>
      <c r="Y45" s="2849">
        <f t="shared" si="11"/>
        <v>0</v>
      </c>
      <c r="Z45" s="2850">
        <f t="shared" si="12"/>
        <v>0</v>
      </c>
      <c r="AA45" s="2851">
        <f t="shared" si="13"/>
        <v>0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</row>
    <row r="46" spans="1:39" ht="13" customHeight="1" thickBot="1">
      <c r="A46" s="2183"/>
      <c r="B46" s="3336"/>
      <c r="C46" s="3619"/>
      <c r="D46" s="3365"/>
      <c r="E46" s="2855"/>
      <c r="F46" s="2855"/>
      <c r="G46" s="2855"/>
      <c r="H46" s="2855"/>
      <c r="I46" s="2855"/>
      <c r="J46" s="2855"/>
      <c r="K46" s="2855"/>
      <c r="L46" s="2182"/>
      <c r="M46" s="3620"/>
      <c r="N46" s="2528"/>
      <c r="O46" s="2855"/>
      <c r="P46" s="2855"/>
      <c r="Q46" s="2855"/>
      <c r="R46" s="3621">
        <f>R34+R39+R45</f>
        <v>2350</v>
      </c>
      <c r="S46" s="2844">
        <f t="shared" si="5"/>
        <v>0</v>
      </c>
      <c r="T46" s="2845">
        <f t="shared" si="6"/>
        <v>0</v>
      </c>
      <c r="U46" s="374">
        <f t="shared" si="7"/>
        <v>0</v>
      </c>
      <c r="V46" s="2846">
        <f t="shared" si="8"/>
        <v>0</v>
      </c>
      <c r="W46" s="2847">
        <f t="shared" si="9"/>
        <v>0</v>
      </c>
      <c r="X46" s="2848">
        <f t="shared" si="10"/>
        <v>0</v>
      </c>
      <c r="Y46" s="2849">
        <f t="shared" si="11"/>
        <v>0</v>
      </c>
      <c r="Z46" s="2850">
        <f t="shared" si="12"/>
        <v>0</v>
      </c>
      <c r="AA46" s="2851">
        <f t="shared" si="13"/>
        <v>0</v>
      </c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</row>
    <row r="47" spans="1:39" ht="12.75" customHeight="1" thickBot="1">
      <c r="A47" s="3109" t="s">
        <v>215</v>
      </c>
      <c r="B47" s="3110" t="s">
        <v>215</v>
      </c>
      <c r="C47" s="2256">
        <f>IF(D47=1,U$5,IF(D47=2,V$5,IF(D47=3,W$5,IF(D47=4,X$5,IF(D47=5,Y$5,IF(D47=6,Z$5,IF(D47=7,AA$5,0)))))))</f>
        <v>2.2880964381720439E-4</v>
      </c>
      <c r="D47" s="2335">
        <v>1</v>
      </c>
      <c r="E47" s="2336">
        <v>1</v>
      </c>
      <c r="F47" s="2336">
        <v>2</v>
      </c>
      <c r="G47" s="2336">
        <v>100</v>
      </c>
      <c r="H47" s="2337"/>
      <c r="I47" s="2337">
        <v>1.1574074074074073E-4</v>
      </c>
      <c r="J47" s="2337">
        <v>1.3888888888888889E-3</v>
      </c>
      <c r="K47" s="2338" t="s">
        <v>707</v>
      </c>
      <c r="L47" s="5185">
        <v>0.2986111111111111</v>
      </c>
      <c r="M47" s="2502">
        <v>1</v>
      </c>
      <c r="N47" s="2337">
        <f>P47*E47*F47+I47*E47*F47+J47*E47</f>
        <v>3.4508475209080059E-3</v>
      </c>
      <c r="O47" s="2359">
        <f t="shared" si="1"/>
        <v>9.1523857526881758E-4</v>
      </c>
      <c r="P47" s="2359">
        <f>O47*M47</f>
        <v>9.1523857526881758E-4</v>
      </c>
      <c r="Q47" s="2341">
        <v>129</v>
      </c>
      <c r="R47" s="2336">
        <f>E47*F47*G47</f>
        <v>200</v>
      </c>
      <c r="S47" s="2844">
        <f t="shared" si="5"/>
        <v>0.2</v>
      </c>
      <c r="T47" s="2845">
        <f t="shared" si="6"/>
        <v>7.3219086021505406E-3</v>
      </c>
      <c r="U47" s="374">
        <f t="shared" si="7"/>
        <v>0.2</v>
      </c>
      <c r="V47" s="2846">
        <f t="shared" si="8"/>
        <v>0</v>
      </c>
      <c r="W47" s="2847">
        <f t="shared" si="9"/>
        <v>0</v>
      </c>
      <c r="X47" s="2848">
        <f t="shared" si="10"/>
        <v>0</v>
      </c>
      <c r="Y47" s="2849">
        <f t="shared" si="11"/>
        <v>0</v>
      </c>
      <c r="Z47" s="2850">
        <f t="shared" si="12"/>
        <v>0</v>
      </c>
      <c r="AA47" s="2851">
        <f t="shared" si="13"/>
        <v>0</v>
      </c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</row>
    <row r="48" spans="1:39" ht="12.75" customHeight="1" thickBot="1">
      <c r="A48" s="3109" t="s">
        <v>139</v>
      </c>
      <c r="B48" s="3110" t="s">
        <v>215</v>
      </c>
      <c r="C48" s="2256">
        <f>IF(D48=1,U$5,IF(D48=2,V$5,IF(D48=3,W$5,IF(D48=4,X$5,IF(D48=5,Y$5,IF(D48=6,Z$5,IF(D48=7,AA$5,0)))))))</f>
        <v>2.1222190799396687E-4</v>
      </c>
      <c r="D48" s="2309">
        <v>3</v>
      </c>
      <c r="E48" s="2257">
        <v>1</v>
      </c>
      <c r="F48" s="2257">
        <v>2</v>
      </c>
      <c r="G48" s="2257">
        <v>50</v>
      </c>
      <c r="H48" s="2258"/>
      <c r="I48" s="2258">
        <v>1.1574074074074073E-4</v>
      </c>
      <c r="J48" s="2258">
        <v>1.3888888888888889E-3</v>
      </c>
      <c r="K48" s="2355" t="s">
        <v>670</v>
      </c>
      <c r="L48" s="5190">
        <f>L47+N47</f>
        <v>0.30206195863201912</v>
      </c>
      <c r="M48" s="2326">
        <v>1</v>
      </c>
      <c r="N48" s="2258">
        <f>P48*E48*F48+I48*E48*F48+J48*E48</f>
        <v>2.469258002346238E-3</v>
      </c>
      <c r="O48" s="2262">
        <f t="shared" si="1"/>
        <v>4.2444381598793373E-4</v>
      </c>
      <c r="P48" s="2262">
        <f>O48*M48</f>
        <v>4.2444381598793373E-4</v>
      </c>
      <c r="Q48" s="2274">
        <v>164</v>
      </c>
      <c r="R48" s="2257">
        <f>E48*F48*G48</f>
        <v>100</v>
      </c>
      <c r="S48" s="2844">
        <f t="shared" si="5"/>
        <v>0.1</v>
      </c>
      <c r="T48" s="2845">
        <f t="shared" si="6"/>
        <v>3.3955505279034699E-3</v>
      </c>
      <c r="U48" s="374">
        <f t="shared" si="7"/>
        <v>0</v>
      </c>
      <c r="V48" s="2846">
        <f t="shared" si="8"/>
        <v>0</v>
      </c>
      <c r="W48" s="2847">
        <f t="shared" si="9"/>
        <v>0.1</v>
      </c>
      <c r="X48" s="2848">
        <f t="shared" si="10"/>
        <v>0</v>
      </c>
      <c r="Y48" s="2849">
        <f t="shared" si="11"/>
        <v>0</v>
      </c>
      <c r="Z48" s="2850">
        <f t="shared" si="12"/>
        <v>0</v>
      </c>
      <c r="AA48" s="2851">
        <f t="shared" si="13"/>
        <v>0</v>
      </c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</row>
    <row r="49" spans="1:40" ht="12.75" customHeight="1" thickBot="1">
      <c r="A49" s="3109" t="s">
        <v>458</v>
      </c>
      <c r="B49" s="3110" t="s">
        <v>215</v>
      </c>
      <c r="C49" s="2256">
        <f>IF(D49=1,U$5,IF(D49=2,V$5,IF(D49=3,W$5,IF(D49=4,X$5,IF(D49=5,Y$5,IF(D49=6,Z$5,IF(D49=7,AA$5,0)))))))</f>
        <v>1.8933937422552669E-4</v>
      </c>
      <c r="D49" s="2505">
        <v>5</v>
      </c>
      <c r="E49" s="3445">
        <v>4</v>
      </c>
      <c r="F49" s="3445">
        <v>1</v>
      </c>
      <c r="G49" s="3445">
        <v>50</v>
      </c>
      <c r="H49" s="2264"/>
      <c r="I49" s="2264">
        <v>5.7870370370370366E-5</v>
      </c>
      <c r="J49" s="2264">
        <v>2.0833333333333333E-3</v>
      </c>
      <c r="K49" s="3466" t="s">
        <v>282</v>
      </c>
      <c r="L49" s="5187">
        <f>L48+N48</f>
        <v>0.30453121663436539</v>
      </c>
      <c r="M49" s="2509">
        <v>1</v>
      </c>
      <c r="N49" s="2264">
        <f>P49*E49*F49+I49*E49*F49+J49*E49</f>
        <v>1.0079529808619028E-2</v>
      </c>
      <c r="O49" s="2265">
        <f t="shared" si="1"/>
        <v>3.7867874845105338E-4</v>
      </c>
      <c r="P49" s="2185">
        <f>O49*M49</f>
        <v>3.7867874845105338E-4</v>
      </c>
      <c r="Q49" s="3467">
        <v>173</v>
      </c>
      <c r="R49" s="3468">
        <f>E49*F49*G49</f>
        <v>200</v>
      </c>
      <c r="S49" s="2844">
        <f t="shared" si="5"/>
        <v>0.2</v>
      </c>
      <c r="T49" s="2845">
        <f t="shared" si="6"/>
        <v>6.0588599752168541E-3</v>
      </c>
      <c r="U49" s="374">
        <f t="shared" si="7"/>
        <v>0</v>
      </c>
      <c r="V49" s="2846">
        <f t="shared" si="8"/>
        <v>0</v>
      </c>
      <c r="W49" s="2847">
        <f t="shared" si="9"/>
        <v>0</v>
      </c>
      <c r="X49" s="2848">
        <f t="shared" si="10"/>
        <v>0</v>
      </c>
      <c r="Y49" s="2849">
        <f t="shared" si="11"/>
        <v>0.2</v>
      </c>
      <c r="Z49" s="2850">
        <f t="shared" si="12"/>
        <v>0</v>
      </c>
      <c r="AA49" s="2851">
        <f t="shared" si="13"/>
        <v>0</v>
      </c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  <c r="AN49" s="1"/>
    </row>
    <row r="50" spans="1:40" ht="12.75" customHeight="1" thickBot="1">
      <c r="A50" s="3109" t="s">
        <v>462</v>
      </c>
      <c r="B50" s="3110" t="s">
        <v>215</v>
      </c>
      <c r="C50" s="2256">
        <f>IF(D50=1,U$5,IF(D50=2,V$5,IF(D50=3,W$5,IF(D50=4,X$5,IF(D50=5,Y$5,IF(D50=6,Z$5,IF(D50=7,AA$5,0)))))))</f>
        <v>1.7682291666666674E-4</v>
      </c>
      <c r="D50" s="2318">
        <v>7</v>
      </c>
      <c r="E50" s="2512">
        <v>2</v>
      </c>
      <c r="F50" s="2512">
        <v>6</v>
      </c>
      <c r="G50" s="2512">
        <v>20</v>
      </c>
      <c r="H50" s="2270"/>
      <c r="I50" s="2270">
        <v>3.4722222222222224E-4</v>
      </c>
      <c r="J50" s="2270">
        <v>0</v>
      </c>
      <c r="K50" s="3125" t="s">
        <v>413</v>
      </c>
      <c r="L50" s="5188">
        <f>L49+N49</f>
        <v>0.31461074644298442</v>
      </c>
      <c r="M50" s="3469">
        <v>1</v>
      </c>
      <c r="N50" s="2270">
        <f>P50*E50*F50+I50*E50*F50+J50*E50</f>
        <v>5.8641666666666668E-3</v>
      </c>
      <c r="O50" s="2271">
        <f t="shared" si="1"/>
        <v>1.4145833333333339E-4</v>
      </c>
      <c r="P50" s="2517">
        <f>O50*M50</f>
        <v>1.4145833333333339E-4</v>
      </c>
      <c r="Q50" s="3130" t="s">
        <v>316</v>
      </c>
      <c r="R50" s="3470">
        <f>E50*F50*G50</f>
        <v>240</v>
      </c>
      <c r="S50" s="2844">
        <f t="shared" si="5"/>
        <v>0.24</v>
      </c>
      <c r="T50" s="2845">
        <f t="shared" si="6"/>
        <v>6.7900000000000026E-3</v>
      </c>
      <c r="U50" s="374">
        <f t="shared" si="7"/>
        <v>0</v>
      </c>
      <c r="V50" s="2846">
        <f t="shared" si="8"/>
        <v>0</v>
      </c>
      <c r="W50" s="2847">
        <f t="shared" si="9"/>
        <v>0</v>
      </c>
      <c r="X50" s="2848">
        <f t="shared" si="10"/>
        <v>0</v>
      </c>
      <c r="Y50" s="2849">
        <f t="shared" si="11"/>
        <v>0</v>
      </c>
      <c r="Z50" s="2850">
        <f t="shared" si="12"/>
        <v>0</v>
      </c>
      <c r="AA50" s="2851">
        <f t="shared" si="13"/>
        <v>0.24</v>
      </c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  <c r="AN50" s="1"/>
    </row>
    <row r="51" spans="1:40" ht="12.75" customHeight="1" thickBot="1">
      <c r="A51" s="3109" t="s">
        <v>140</v>
      </c>
      <c r="B51" s="3110" t="s">
        <v>215</v>
      </c>
      <c r="C51" s="2256">
        <f>IF(D51=1,U$5,IF(D51=2,V$5,IF(D51=3,W$5,IF(D51=4,X$5,IF(D51=5,Y$5,IF(D51=6,Z$5,IF(D51=7,AA$5,0)))))))</f>
        <v>1.7682291666666674E-4</v>
      </c>
      <c r="D51" s="2318">
        <v>7</v>
      </c>
      <c r="E51" s="2512">
        <v>1</v>
      </c>
      <c r="F51" s="2512">
        <v>4</v>
      </c>
      <c r="G51" s="2512">
        <v>25</v>
      </c>
      <c r="H51" s="2270"/>
      <c r="I51" s="2270">
        <v>1.0416666666666667E-3</v>
      </c>
      <c r="J51" s="2270">
        <v>0</v>
      </c>
      <c r="K51" s="3125" t="s">
        <v>764</v>
      </c>
      <c r="L51" s="5188">
        <f>L50+N50</f>
        <v>0.32047491310965109</v>
      </c>
      <c r="M51" s="3469">
        <v>1</v>
      </c>
      <c r="N51" s="2270">
        <f>P51*E51*F51+I51*E51*F51+J51*E51</f>
        <v>4.8739583333333334E-3</v>
      </c>
      <c r="O51" s="2271">
        <f t="shared" si="1"/>
        <v>1.7682291666666674E-4</v>
      </c>
      <c r="P51" s="2517">
        <f>O51*M51</f>
        <v>1.7682291666666674E-4</v>
      </c>
      <c r="Q51" s="3130" t="s">
        <v>316</v>
      </c>
      <c r="R51" s="3470">
        <f>E51*F51*G51</f>
        <v>100</v>
      </c>
      <c r="S51" s="2844">
        <f t="shared" si="5"/>
        <v>0.1</v>
      </c>
      <c r="T51" s="2845">
        <f t="shared" si="6"/>
        <v>2.8291666666666678E-3</v>
      </c>
      <c r="U51" s="374">
        <f t="shared" si="7"/>
        <v>0</v>
      </c>
      <c r="V51" s="2846">
        <f t="shared" si="8"/>
        <v>0</v>
      </c>
      <c r="W51" s="2847">
        <f t="shared" si="9"/>
        <v>0</v>
      </c>
      <c r="X51" s="2848">
        <f t="shared" si="10"/>
        <v>0</v>
      </c>
      <c r="Y51" s="2849">
        <f t="shared" si="11"/>
        <v>0</v>
      </c>
      <c r="Z51" s="2850">
        <f t="shared" si="12"/>
        <v>0</v>
      </c>
      <c r="AA51" s="2851">
        <f t="shared" si="13"/>
        <v>0.1</v>
      </c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  <c r="AN51" s="1"/>
    </row>
    <row r="52" spans="1:40" ht="12.75" customHeight="1" thickBot="1">
      <c r="A52" s="3109" t="s">
        <v>674</v>
      </c>
      <c r="B52" s="3110" t="s">
        <v>461</v>
      </c>
      <c r="C52" s="1460"/>
      <c r="D52" s="3116"/>
      <c r="E52" s="642"/>
      <c r="F52" s="642"/>
      <c r="G52" s="642"/>
      <c r="H52" s="642"/>
      <c r="I52" s="642"/>
      <c r="J52" s="642"/>
      <c r="K52" s="642"/>
      <c r="L52" s="2182">
        <f>L51+N51</f>
        <v>0.32534887144298441</v>
      </c>
      <c r="M52" s="643"/>
      <c r="N52" s="3471">
        <f>SUM(N47:N51)</f>
        <v>2.6737760331873271E-2</v>
      </c>
      <c r="O52" s="642">
        <f t="shared" si="1"/>
        <v>0</v>
      </c>
      <c r="P52" s="642"/>
      <c r="Q52" s="642"/>
      <c r="R52" s="3118">
        <f>SUM(R47:R51)</f>
        <v>840</v>
      </c>
      <c r="S52" s="2844">
        <f t="shared" si="5"/>
        <v>0</v>
      </c>
      <c r="T52" s="2845">
        <f t="shared" si="6"/>
        <v>0</v>
      </c>
      <c r="U52" s="374">
        <f t="shared" si="7"/>
        <v>0</v>
      </c>
      <c r="V52" s="2846">
        <f t="shared" si="8"/>
        <v>0</v>
      </c>
      <c r="W52" s="2847">
        <f t="shared" si="9"/>
        <v>0</v>
      </c>
      <c r="X52" s="2848">
        <f t="shared" si="10"/>
        <v>0</v>
      </c>
      <c r="Y52" s="2849">
        <f t="shared" si="11"/>
        <v>0</v>
      </c>
      <c r="Z52" s="2850">
        <f t="shared" si="12"/>
        <v>0</v>
      </c>
      <c r="AA52" s="2851">
        <f t="shared" si="13"/>
        <v>0</v>
      </c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  <c r="AN52" s="1"/>
    </row>
    <row r="53" spans="1:40" ht="12.75" customHeight="1" thickBot="1">
      <c r="A53" s="3109" t="s">
        <v>214</v>
      </c>
      <c r="B53" s="3110" t="s">
        <v>461</v>
      </c>
      <c r="C53" s="2256">
        <f t="shared" ref="C53:C58" si="30">IF(D53=1,U$5,IF(D53=2,V$5,IF(D53=3,W$5,IF(D53=4,X$5,IF(D53=5,Y$5,IF(D53=6,Z$5,IF(D53=7,AA$5,0)))))))</f>
        <v>2.2880964381720439E-4</v>
      </c>
      <c r="D53" s="2335">
        <v>1</v>
      </c>
      <c r="E53" s="2336">
        <v>1</v>
      </c>
      <c r="F53" s="2336">
        <v>1</v>
      </c>
      <c r="G53" s="2336">
        <v>200</v>
      </c>
      <c r="H53" s="2337"/>
      <c r="I53" s="2337">
        <v>0</v>
      </c>
      <c r="J53" s="2337">
        <v>1.1574074074074073E-4</v>
      </c>
      <c r="K53" s="2886" t="s">
        <v>777</v>
      </c>
      <c r="L53" s="5191">
        <v>0.79166666666666663</v>
      </c>
      <c r="M53" s="2502">
        <v>0.9</v>
      </c>
      <c r="N53" s="2337">
        <f t="shared" ref="N53:N58" si="31">P53*E53*F53+I53*E53*F53+J53*E53</f>
        <v>1.7631701762246123E-3</v>
      </c>
      <c r="O53" s="2359">
        <f t="shared" si="1"/>
        <v>1.8304771505376352E-3</v>
      </c>
      <c r="P53" s="2359">
        <f t="shared" ref="P53:P58" si="32">O53*M53</f>
        <v>1.6474294354838716E-3</v>
      </c>
      <c r="Q53" s="2341">
        <v>129</v>
      </c>
      <c r="R53" s="2336">
        <f t="shared" ref="R53:R58" si="33">E53*F53*G53</f>
        <v>200</v>
      </c>
      <c r="S53" s="2844">
        <f t="shared" si="5"/>
        <v>0.2</v>
      </c>
      <c r="T53" s="2845">
        <f t="shared" si="6"/>
        <v>7.3219086021505406E-3</v>
      </c>
      <c r="U53" s="374">
        <f t="shared" si="7"/>
        <v>0.2</v>
      </c>
      <c r="V53" s="2846">
        <f t="shared" si="8"/>
        <v>0</v>
      </c>
      <c r="W53" s="2847">
        <f t="shared" si="9"/>
        <v>0</v>
      </c>
      <c r="X53" s="2848">
        <f t="shared" si="10"/>
        <v>0</v>
      </c>
      <c r="Y53" s="2849">
        <f t="shared" si="11"/>
        <v>0</v>
      </c>
      <c r="Z53" s="2850">
        <f t="shared" si="12"/>
        <v>0</v>
      </c>
      <c r="AA53" s="2851">
        <f t="shared" si="13"/>
        <v>0</v>
      </c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  <c r="AN53" s="1"/>
    </row>
    <row r="54" spans="1:40" ht="12.75" customHeight="1" thickBot="1">
      <c r="A54" s="3109" t="s">
        <v>458</v>
      </c>
      <c r="B54" s="3110" t="s">
        <v>461</v>
      </c>
      <c r="C54" s="2256">
        <f t="shared" si="30"/>
        <v>2.1908757716049393E-4</v>
      </c>
      <c r="D54" s="2302">
        <v>2</v>
      </c>
      <c r="E54" s="2276">
        <v>1</v>
      </c>
      <c r="F54" s="2276">
        <v>4</v>
      </c>
      <c r="G54" s="2276">
        <v>100</v>
      </c>
      <c r="H54" s="2277" t="s">
        <v>1680</v>
      </c>
      <c r="I54" s="2277">
        <v>1.7361111111111112E-4</v>
      </c>
      <c r="J54" s="2277">
        <v>1.3888888888888889E-3</v>
      </c>
      <c r="K54" s="3628" t="s">
        <v>1681</v>
      </c>
      <c r="L54" s="5190">
        <f t="shared" ref="L54:L59" si="34">L53+N53</f>
        <v>0.79342983684289126</v>
      </c>
      <c r="M54" s="2326">
        <v>1.2</v>
      </c>
      <c r="N54" s="2258">
        <f t="shared" si="31"/>
        <v>6.2898148148148167E-3</v>
      </c>
      <c r="O54" s="2262">
        <f t="shared" si="1"/>
        <v>8.7635030864197572E-4</v>
      </c>
      <c r="P54" s="2262">
        <f t="shared" si="32"/>
        <v>1.0516203703703707E-3</v>
      </c>
      <c r="Q54" s="2274">
        <v>146</v>
      </c>
      <c r="R54" s="2257">
        <f t="shared" si="33"/>
        <v>400</v>
      </c>
      <c r="S54" s="2844">
        <f t="shared" si="5"/>
        <v>0.4</v>
      </c>
      <c r="T54" s="2845">
        <f t="shared" si="6"/>
        <v>1.4021604938271611E-2</v>
      </c>
      <c r="U54" s="374">
        <f t="shared" si="7"/>
        <v>0</v>
      </c>
      <c r="V54" s="2846">
        <f t="shared" si="8"/>
        <v>0.4</v>
      </c>
      <c r="W54" s="2847">
        <f t="shared" si="9"/>
        <v>0</v>
      </c>
      <c r="X54" s="2848">
        <f t="shared" si="10"/>
        <v>0</v>
      </c>
      <c r="Y54" s="2849">
        <f t="shared" si="11"/>
        <v>0</v>
      </c>
      <c r="Z54" s="2850">
        <f t="shared" si="12"/>
        <v>0</v>
      </c>
      <c r="AA54" s="2851">
        <f t="shared" si="13"/>
        <v>0</v>
      </c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  <c r="AN54" s="1"/>
    </row>
    <row r="55" spans="1:40" ht="13" customHeight="1" thickBot="1">
      <c r="A55" s="3109" t="s">
        <v>219</v>
      </c>
      <c r="B55" s="3110" t="s">
        <v>461</v>
      </c>
      <c r="C55" s="2256">
        <f t="shared" si="30"/>
        <v>2.1908757716049393E-4</v>
      </c>
      <c r="D55" s="2302">
        <v>2</v>
      </c>
      <c r="E55" s="2276">
        <v>1</v>
      </c>
      <c r="F55" s="2276">
        <v>4</v>
      </c>
      <c r="G55" s="2276">
        <v>100</v>
      </c>
      <c r="H55" s="2277" t="s">
        <v>1682</v>
      </c>
      <c r="I55" s="2277">
        <v>1.7361111111111112E-4</v>
      </c>
      <c r="J55" s="2277">
        <v>1.3888888888888889E-3</v>
      </c>
      <c r="K55" s="3628" t="s">
        <v>1681</v>
      </c>
      <c r="L55" s="5190">
        <f t="shared" si="34"/>
        <v>0.79971965165770609</v>
      </c>
      <c r="M55" s="2326">
        <v>0.9</v>
      </c>
      <c r="N55" s="2258">
        <f t="shared" si="31"/>
        <v>5.2381944444444464E-3</v>
      </c>
      <c r="O55" s="2262">
        <f t="shared" si="1"/>
        <v>8.7635030864197572E-4</v>
      </c>
      <c r="P55" s="2262">
        <f t="shared" si="32"/>
        <v>7.8871527777777816E-4</v>
      </c>
      <c r="Q55" s="2274">
        <v>164</v>
      </c>
      <c r="R55" s="2257">
        <f t="shared" si="33"/>
        <v>400</v>
      </c>
      <c r="S55" s="2844">
        <f t="shared" si="5"/>
        <v>0.4</v>
      </c>
      <c r="T55" s="2845">
        <f t="shared" si="6"/>
        <v>1.4021604938271611E-2</v>
      </c>
      <c r="U55" s="374">
        <f t="shared" si="7"/>
        <v>0</v>
      </c>
      <c r="V55" s="2846">
        <f t="shared" si="8"/>
        <v>0.4</v>
      </c>
      <c r="W55" s="2847">
        <f t="shared" si="9"/>
        <v>0</v>
      </c>
      <c r="X55" s="2848">
        <f t="shared" si="10"/>
        <v>0</v>
      </c>
      <c r="Y55" s="2849">
        <f t="shared" si="11"/>
        <v>0</v>
      </c>
      <c r="Z55" s="2850">
        <f t="shared" si="12"/>
        <v>0</v>
      </c>
      <c r="AA55" s="2851">
        <f t="shared" si="13"/>
        <v>0</v>
      </c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  <c r="AN55" s="1"/>
    </row>
    <row r="56" spans="1:40" ht="12.75" customHeight="1" thickBot="1">
      <c r="A56" s="3109"/>
      <c r="B56" s="3110" t="s">
        <v>461</v>
      </c>
      <c r="C56" s="2256">
        <f t="shared" si="30"/>
        <v>2.1222190799396687E-4</v>
      </c>
      <c r="D56" s="2309">
        <v>3</v>
      </c>
      <c r="E56" s="2257">
        <v>2</v>
      </c>
      <c r="F56" s="2257">
        <v>8</v>
      </c>
      <c r="G56" s="2257">
        <v>25</v>
      </c>
      <c r="H56" s="2258"/>
      <c r="I56" s="2258">
        <v>1.1574074074074073E-4</v>
      </c>
      <c r="J56" s="2258">
        <v>1.3888888888888889E-3</v>
      </c>
      <c r="K56" s="2259" t="s">
        <v>1683</v>
      </c>
      <c r="L56" s="5190">
        <f t="shared" si="34"/>
        <v>0.80495784610215049</v>
      </c>
      <c r="M56" s="2326">
        <v>1</v>
      </c>
      <c r="N56" s="3460">
        <f t="shared" si="31"/>
        <v>8.0251801575330992E-3</v>
      </c>
      <c r="O56" s="3464">
        <f t="shared" si="1"/>
        <v>2.1222190799396687E-4</v>
      </c>
      <c r="P56" s="3464">
        <f t="shared" si="32"/>
        <v>2.1222190799396687E-4</v>
      </c>
      <c r="Q56" s="3465">
        <v>173</v>
      </c>
      <c r="R56" s="3459">
        <f t="shared" si="33"/>
        <v>400</v>
      </c>
      <c r="S56" s="2844">
        <f t="shared" si="5"/>
        <v>0.4</v>
      </c>
      <c r="T56" s="2845">
        <f t="shared" si="6"/>
        <v>1.3582202111613879E-2</v>
      </c>
      <c r="U56" s="374">
        <f t="shared" si="7"/>
        <v>0</v>
      </c>
      <c r="V56" s="2846">
        <f t="shared" si="8"/>
        <v>0</v>
      </c>
      <c r="W56" s="2847">
        <f t="shared" si="9"/>
        <v>0.4</v>
      </c>
      <c r="X56" s="2848">
        <f t="shared" si="10"/>
        <v>0</v>
      </c>
      <c r="Y56" s="2849">
        <f t="shared" si="11"/>
        <v>0</v>
      </c>
      <c r="Z56" s="2850">
        <f t="shared" si="12"/>
        <v>0</v>
      </c>
      <c r="AA56" s="2851">
        <f t="shared" si="13"/>
        <v>0</v>
      </c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  <c r="AN56" s="1"/>
    </row>
    <row r="57" spans="1:40" ht="12.75" customHeight="1" thickBot="1">
      <c r="A57" s="3109"/>
      <c r="B57" s="3110" t="s">
        <v>461</v>
      </c>
      <c r="C57" s="2256">
        <f t="shared" si="30"/>
        <v>2.1222190799396687E-4</v>
      </c>
      <c r="D57" s="2302">
        <v>3</v>
      </c>
      <c r="E57" s="2276">
        <v>2</v>
      </c>
      <c r="F57" s="2276">
        <v>2</v>
      </c>
      <c r="G57" s="2276">
        <v>300</v>
      </c>
      <c r="H57" s="2277"/>
      <c r="I57" s="2258">
        <v>2.8935185185185189E-4</v>
      </c>
      <c r="J57" s="2258">
        <v>1.3888888888888889E-3</v>
      </c>
      <c r="K57" s="2278" t="s">
        <v>1194</v>
      </c>
      <c r="L57" s="5189">
        <f t="shared" si="34"/>
        <v>0.81298302625968355</v>
      </c>
      <c r="M57" s="2280">
        <v>2</v>
      </c>
      <c r="N57" s="2277">
        <f t="shared" si="31"/>
        <v>2.4308488352606007E-2</v>
      </c>
      <c r="O57" s="2281">
        <f>C57*(G57/25)</f>
        <v>2.5466628959276024E-3</v>
      </c>
      <c r="P57" s="2281">
        <f t="shared" si="32"/>
        <v>5.0933257918552048E-3</v>
      </c>
      <c r="Q57" s="2282">
        <v>174</v>
      </c>
      <c r="R57" s="2283">
        <f t="shared" si="33"/>
        <v>1200</v>
      </c>
      <c r="S57" s="2844">
        <f t="shared" si="5"/>
        <v>1.2</v>
      </c>
      <c r="T57" s="2845">
        <f t="shared" si="6"/>
        <v>4.0746606334841638E-2</v>
      </c>
      <c r="U57" s="374">
        <f t="shared" si="7"/>
        <v>0</v>
      </c>
      <c r="V57" s="2846">
        <f t="shared" si="8"/>
        <v>0</v>
      </c>
      <c r="W57" s="2847">
        <f t="shared" si="9"/>
        <v>1.2</v>
      </c>
      <c r="X57" s="2848">
        <f t="shared" si="10"/>
        <v>0</v>
      </c>
      <c r="Y57" s="2849">
        <f t="shared" si="11"/>
        <v>0</v>
      </c>
      <c r="Z57" s="2850">
        <f t="shared" si="12"/>
        <v>0</v>
      </c>
      <c r="AA57" s="2851">
        <f t="shared" si="13"/>
        <v>0</v>
      </c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  <c r="AN57" s="1"/>
    </row>
    <row r="58" spans="1:40" ht="12" customHeight="1" thickBot="1">
      <c r="A58" s="3109" t="s">
        <v>215</v>
      </c>
      <c r="B58" s="3110" t="s">
        <v>461</v>
      </c>
      <c r="C58" s="2256">
        <f t="shared" si="30"/>
        <v>1.7682291666666674E-4</v>
      </c>
      <c r="D58" s="2318">
        <v>7</v>
      </c>
      <c r="E58" s="2512">
        <v>1</v>
      </c>
      <c r="F58" s="2512">
        <v>10</v>
      </c>
      <c r="G58" s="2512">
        <v>20</v>
      </c>
      <c r="H58" s="2270"/>
      <c r="I58" s="2270">
        <v>3.4722222222222224E-4</v>
      </c>
      <c r="J58" s="2270">
        <v>0</v>
      </c>
      <c r="K58" s="3125" t="s">
        <v>413</v>
      </c>
      <c r="L58" s="5188">
        <f t="shared" si="34"/>
        <v>0.83729151461228957</v>
      </c>
      <c r="M58" s="3469">
        <v>1</v>
      </c>
      <c r="N58" s="2270">
        <f t="shared" si="31"/>
        <v>4.8868055555555566E-3</v>
      </c>
      <c r="O58" s="2271">
        <f t="shared" si="1"/>
        <v>1.4145833333333339E-4</v>
      </c>
      <c r="P58" s="2517">
        <f t="shared" si="32"/>
        <v>1.4145833333333339E-4</v>
      </c>
      <c r="Q58" s="3130" t="s">
        <v>316</v>
      </c>
      <c r="R58" s="3470">
        <f t="shared" si="33"/>
        <v>200</v>
      </c>
      <c r="S58" s="2844">
        <f t="shared" si="5"/>
        <v>0.2</v>
      </c>
      <c r="T58" s="2845">
        <f t="shared" si="6"/>
        <v>5.6583333333333355E-3</v>
      </c>
      <c r="U58" s="374">
        <f t="shared" si="7"/>
        <v>0</v>
      </c>
      <c r="V58" s="2846">
        <f t="shared" si="8"/>
        <v>0</v>
      </c>
      <c r="W58" s="2847">
        <f t="shared" si="9"/>
        <v>0</v>
      </c>
      <c r="X58" s="2848">
        <f t="shared" si="10"/>
        <v>0</v>
      </c>
      <c r="Y58" s="2849">
        <f t="shared" si="11"/>
        <v>0</v>
      </c>
      <c r="Z58" s="2850">
        <f t="shared" si="12"/>
        <v>0</v>
      </c>
      <c r="AA58" s="2851">
        <f t="shared" si="13"/>
        <v>0.2</v>
      </c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  <c r="AN58" s="1"/>
    </row>
    <row r="59" spans="1:40" ht="12.75" customHeight="1" thickBot="1">
      <c r="A59" s="3109"/>
      <c r="B59" s="3110"/>
      <c r="C59" s="3619"/>
      <c r="D59" s="3365"/>
      <c r="E59" s="2855"/>
      <c r="F59" s="2855"/>
      <c r="G59" s="2855"/>
      <c r="H59" s="2855"/>
      <c r="I59" s="2855"/>
      <c r="J59" s="2855"/>
      <c r="K59" s="3629" t="s">
        <v>2089</v>
      </c>
      <c r="L59" s="2182">
        <f t="shared" si="34"/>
        <v>0.84217832016784511</v>
      </c>
      <c r="M59" s="3620"/>
      <c r="N59" s="2528">
        <f>SUM(N53:N58)</f>
        <v>5.0511653501178533E-2</v>
      </c>
      <c r="O59" s="2855">
        <f t="shared" si="1"/>
        <v>0</v>
      </c>
      <c r="P59" s="2855"/>
      <c r="Q59" s="2855"/>
      <c r="R59" s="3621">
        <f>SUM(R53:R58)</f>
        <v>2800</v>
      </c>
      <c r="S59" s="2844">
        <f t="shared" si="5"/>
        <v>0</v>
      </c>
      <c r="T59" s="2845">
        <f t="shared" si="6"/>
        <v>0</v>
      </c>
      <c r="U59" s="374">
        <f t="shared" si="7"/>
        <v>0</v>
      </c>
      <c r="V59" s="2846">
        <f t="shared" si="8"/>
        <v>0</v>
      </c>
      <c r="W59" s="2847">
        <f t="shared" si="9"/>
        <v>0</v>
      </c>
      <c r="X59" s="2848">
        <f t="shared" si="10"/>
        <v>0</v>
      </c>
      <c r="Y59" s="2849">
        <f t="shared" si="11"/>
        <v>0</v>
      </c>
      <c r="Z59" s="2850">
        <f t="shared" si="12"/>
        <v>0</v>
      </c>
      <c r="AA59" s="2851">
        <f t="shared" si="13"/>
        <v>0</v>
      </c>
      <c r="AC59" s="2867"/>
      <c r="AD59" s="2867"/>
      <c r="AE59" s="2867"/>
      <c r="AF59" s="2867"/>
      <c r="AG59" s="2867"/>
      <c r="AH59" s="2867"/>
      <c r="AI59" s="2825"/>
      <c r="AJ59" s="2825"/>
      <c r="AK59" s="2825"/>
      <c r="AL59" s="2825"/>
      <c r="AM59" s="2825"/>
      <c r="AN59" s="1"/>
    </row>
    <row r="60" spans="1:40" ht="12.75" customHeight="1">
      <c r="A60" s="3622" t="s">
        <v>217</v>
      </c>
      <c r="B60" s="2530" t="s">
        <v>461</v>
      </c>
      <c r="C60" s="2256">
        <f t="shared" ref="C60:C65" si="35">IF(D60=1,U$5,IF(D60=2,V$5,IF(D60=3,W$5,IF(D60=4,X$5,IF(D60=5,Y$5,IF(D60=6,Z$5,IF(D60=7,AA$5,0)))))))</f>
        <v>2.2880964381720439E-4</v>
      </c>
      <c r="D60" s="2335">
        <v>1</v>
      </c>
      <c r="E60" s="2336">
        <v>1</v>
      </c>
      <c r="F60" s="2336">
        <v>2</v>
      </c>
      <c r="G60" s="2336">
        <v>400</v>
      </c>
      <c r="H60" s="2337"/>
      <c r="I60" s="2337">
        <v>1.1574074074074073E-4</v>
      </c>
      <c r="J60" s="2337">
        <v>1.3888888888888889E-3</v>
      </c>
      <c r="K60" s="2338" t="s">
        <v>709</v>
      </c>
      <c r="L60" s="5191">
        <v>0.79166666666666663</v>
      </c>
      <c r="M60" s="2502">
        <v>1</v>
      </c>
      <c r="N60" s="2337">
        <f t="shared" ref="N60:N65" si="36">P60*E60*F60+I60*E60*F60+J60*E60</f>
        <v>8.9422789725209107E-3</v>
      </c>
      <c r="O60" s="2359">
        <f t="shared" si="1"/>
        <v>3.6609543010752703E-3</v>
      </c>
      <c r="P60" s="2359">
        <f t="shared" ref="P60:P65" si="37">O60*M60</f>
        <v>3.6609543010752703E-3</v>
      </c>
      <c r="Q60" s="2341">
        <v>129</v>
      </c>
      <c r="R60" s="2336">
        <f t="shared" ref="R60:R65" si="38">E60*F60*G60</f>
        <v>800</v>
      </c>
      <c r="S60" s="2844">
        <f t="shared" si="5"/>
        <v>0.8</v>
      </c>
      <c r="T60" s="2845">
        <f t="shared" si="6"/>
        <v>2.9287634408602162E-2</v>
      </c>
      <c r="U60" s="374">
        <f t="shared" si="7"/>
        <v>0.8</v>
      </c>
      <c r="V60" s="2846">
        <f t="shared" si="8"/>
        <v>0</v>
      </c>
      <c r="W60" s="2847">
        <f t="shared" si="9"/>
        <v>0</v>
      </c>
      <c r="X60" s="2848">
        <f t="shared" si="10"/>
        <v>0</v>
      </c>
      <c r="Y60" s="2849">
        <f t="shared" si="11"/>
        <v>0</v>
      </c>
      <c r="Z60" s="2850">
        <f t="shared" si="12"/>
        <v>0</v>
      </c>
      <c r="AA60" s="2851">
        <f t="shared" si="13"/>
        <v>0</v>
      </c>
      <c r="AC60" s="2867"/>
      <c r="AD60" s="2867"/>
      <c r="AE60" s="2867"/>
      <c r="AF60" s="2867"/>
      <c r="AG60" s="2867"/>
      <c r="AH60" s="2867"/>
      <c r="AI60" s="2825"/>
      <c r="AJ60" s="2825"/>
      <c r="AK60" s="2825"/>
      <c r="AL60" s="2825"/>
      <c r="AM60" s="2825"/>
      <c r="AN60" s="1"/>
    </row>
    <row r="61" spans="1:40" ht="13" customHeight="1">
      <c r="A61" s="2183" t="s">
        <v>459</v>
      </c>
      <c r="B61" s="3336" t="s">
        <v>461</v>
      </c>
      <c r="C61" s="2256">
        <f t="shared" si="35"/>
        <v>1.8933937422552669E-4</v>
      </c>
      <c r="D61" s="2505">
        <v>5</v>
      </c>
      <c r="E61" s="3445">
        <v>4</v>
      </c>
      <c r="F61" s="3445">
        <v>2</v>
      </c>
      <c r="G61" s="3445">
        <v>12.5</v>
      </c>
      <c r="H61" s="2264"/>
      <c r="I61" s="2264">
        <v>5.7870370370370366E-5</v>
      </c>
      <c r="J61" s="2264">
        <v>1.3888888888888889E-3</v>
      </c>
      <c r="K61" s="3623" t="s">
        <v>212</v>
      </c>
      <c r="L61" s="5187">
        <f t="shared" ref="L61:L66" si="39">L60+N60</f>
        <v>0.8006089456391875</v>
      </c>
      <c r="M61" s="3624">
        <v>1</v>
      </c>
      <c r="N61" s="2264">
        <f t="shared" si="36"/>
        <v>6.775876015420625E-3</v>
      </c>
      <c r="O61" s="2265">
        <f t="shared" si="1"/>
        <v>9.4669687112763345E-5</v>
      </c>
      <c r="P61" s="2185">
        <f t="shared" si="37"/>
        <v>9.4669687112763345E-5</v>
      </c>
      <c r="Q61" s="3467">
        <v>173</v>
      </c>
      <c r="R61" s="3468">
        <f t="shared" si="38"/>
        <v>100</v>
      </c>
      <c r="S61" s="2844">
        <f t="shared" si="5"/>
        <v>0.1</v>
      </c>
      <c r="T61" s="2845">
        <f t="shared" si="6"/>
        <v>3.029429987608427E-3</v>
      </c>
      <c r="U61" s="374">
        <f t="shared" si="7"/>
        <v>0</v>
      </c>
      <c r="V61" s="2846">
        <f t="shared" si="8"/>
        <v>0</v>
      </c>
      <c r="W61" s="2847">
        <f t="shared" si="9"/>
        <v>0</v>
      </c>
      <c r="X61" s="2848">
        <f t="shared" si="10"/>
        <v>0</v>
      </c>
      <c r="Y61" s="2849">
        <f t="shared" si="11"/>
        <v>0.1</v>
      </c>
      <c r="Z61" s="2850">
        <f t="shared" si="12"/>
        <v>0</v>
      </c>
      <c r="AA61" s="2851">
        <f t="shared" si="13"/>
        <v>0</v>
      </c>
      <c r="AC61" s="2867"/>
      <c r="AD61" s="2867"/>
      <c r="AE61" s="2867"/>
      <c r="AF61" s="2867"/>
      <c r="AG61" s="2867"/>
      <c r="AH61" s="2867"/>
      <c r="AI61" s="2825"/>
      <c r="AJ61" s="2825"/>
      <c r="AK61" s="2825"/>
      <c r="AL61" s="2825"/>
      <c r="AM61" s="2825"/>
      <c r="AN61" s="1"/>
    </row>
    <row r="62" spans="1:40" ht="11" customHeight="1">
      <c r="A62" s="2183" t="s">
        <v>458</v>
      </c>
      <c r="B62" s="2184" t="s">
        <v>461</v>
      </c>
      <c r="C62" s="2256">
        <f t="shared" si="35"/>
        <v>2.2880964381720439E-4</v>
      </c>
      <c r="D62" s="2335">
        <v>1</v>
      </c>
      <c r="E62" s="2336">
        <v>1</v>
      </c>
      <c r="F62" s="2336">
        <v>1</v>
      </c>
      <c r="G62" s="2336">
        <v>200</v>
      </c>
      <c r="H62" s="2337"/>
      <c r="I62" s="2337">
        <v>1.1574074074074073E-4</v>
      </c>
      <c r="J62" s="2337">
        <v>1.3888888888888889E-3</v>
      </c>
      <c r="K62" s="2338" t="s">
        <v>1195</v>
      </c>
      <c r="L62" s="2182">
        <f t="shared" si="39"/>
        <v>0.80738482165460812</v>
      </c>
      <c r="M62" s="2502">
        <v>1</v>
      </c>
      <c r="N62" s="2337">
        <f t="shared" si="36"/>
        <v>3.335106780167265E-3</v>
      </c>
      <c r="O62" s="2359">
        <f t="shared" si="1"/>
        <v>1.8304771505376352E-3</v>
      </c>
      <c r="P62" s="2359">
        <f t="shared" si="37"/>
        <v>1.8304771505376352E-3</v>
      </c>
      <c r="Q62" s="2341">
        <v>129</v>
      </c>
      <c r="R62" s="2336">
        <f t="shared" si="38"/>
        <v>200</v>
      </c>
      <c r="S62" s="2844">
        <f t="shared" si="5"/>
        <v>0.2</v>
      </c>
      <c r="T62" s="2845">
        <f t="shared" si="6"/>
        <v>7.3219086021505406E-3</v>
      </c>
      <c r="U62" s="374">
        <f t="shared" si="7"/>
        <v>0.2</v>
      </c>
      <c r="V62" s="2846">
        <f t="shared" si="8"/>
        <v>0</v>
      </c>
      <c r="W62" s="2847">
        <f t="shared" si="9"/>
        <v>0</v>
      </c>
      <c r="X62" s="2848">
        <f t="shared" si="10"/>
        <v>0</v>
      </c>
      <c r="Y62" s="2849">
        <f t="shared" si="11"/>
        <v>0</v>
      </c>
      <c r="Z62" s="2850">
        <f t="shared" si="12"/>
        <v>0</v>
      </c>
      <c r="AA62" s="2851">
        <f t="shared" si="13"/>
        <v>0</v>
      </c>
      <c r="AC62" s="2867"/>
      <c r="AD62" s="2867"/>
      <c r="AE62" s="2867"/>
      <c r="AF62" s="2867"/>
      <c r="AG62" s="2867"/>
      <c r="AH62" s="2867"/>
      <c r="AI62" s="2825"/>
      <c r="AJ62" s="2825"/>
      <c r="AK62" s="2825"/>
      <c r="AL62" s="2825"/>
      <c r="AM62" s="2825"/>
      <c r="AN62" s="1"/>
    </row>
    <row r="63" spans="1:40" ht="13" customHeight="1" thickBot="1">
      <c r="A63" s="2183" t="s">
        <v>218</v>
      </c>
      <c r="B63" s="3336" t="s">
        <v>461</v>
      </c>
      <c r="C63" s="2256">
        <f t="shared" si="35"/>
        <v>1.8933937422552669E-4</v>
      </c>
      <c r="D63" s="2505">
        <v>5</v>
      </c>
      <c r="E63" s="3445">
        <v>4</v>
      </c>
      <c r="F63" s="3445">
        <v>2</v>
      </c>
      <c r="G63" s="3445">
        <v>25</v>
      </c>
      <c r="H63" s="2264"/>
      <c r="I63" s="2264">
        <v>5.7870370370370366E-5</v>
      </c>
      <c r="J63" s="2264">
        <v>1.3888888888888889E-3</v>
      </c>
      <c r="K63" s="3623" t="s">
        <v>212</v>
      </c>
      <c r="L63" s="5187">
        <f t="shared" si="39"/>
        <v>0.81071992843477536</v>
      </c>
      <c r="M63" s="3624">
        <v>1</v>
      </c>
      <c r="N63" s="2264">
        <f t="shared" si="36"/>
        <v>7.5332335123227323E-3</v>
      </c>
      <c r="O63" s="2265">
        <f t="shared" si="1"/>
        <v>1.8933937422552669E-4</v>
      </c>
      <c r="P63" s="2185">
        <f t="shared" si="37"/>
        <v>1.8933937422552669E-4</v>
      </c>
      <c r="Q63" s="3467">
        <v>173</v>
      </c>
      <c r="R63" s="3468">
        <f t="shared" si="38"/>
        <v>200</v>
      </c>
      <c r="S63" s="2844">
        <f t="shared" si="5"/>
        <v>0.2</v>
      </c>
      <c r="T63" s="2845">
        <f t="shared" si="6"/>
        <v>6.0588599752168541E-3</v>
      </c>
      <c r="U63" s="374">
        <f t="shared" si="7"/>
        <v>0</v>
      </c>
      <c r="V63" s="2846">
        <f t="shared" si="8"/>
        <v>0</v>
      </c>
      <c r="W63" s="2847">
        <f t="shared" si="9"/>
        <v>0</v>
      </c>
      <c r="X63" s="2848">
        <f t="shared" si="10"/>
        <v>0</v>
      </c>
      <c r="Y63" s="2849">
        <f t="shared" si="11"/>
        <v>0.2</v>
      </c>
      <c r="Z63" s="2850">
        <f t="shared" si="12"/>
        <v>0</v>
      </c>
      <c r="AA63" s="2851">
        <f t="shared" si="13"/>
        <v>0</v>
      </c>
      <c r="AC63" s="2867"/>
      <c r="AD63" s="2867"/>
      <c r="AE63" s="2867"/>
      <c r="AF63" s="2867"/>
      <c r="AG63" s="2867"/>
      <c r="AH63" s="2867"/>
      <c r="AI63" s="2825"/>
      <c r="AJ63" s="2825"/>
      <c r="AK63" s="2825"/>
      <c r="AL63" s="2825"/>
      <c r="AM63" s="2825"/>
      <c r="AN63" s="1"/>
    </row>
    <row r="64" spans="1:40" ht="14" customHeight="1">
      <c r="A64" s="3622" t="s">
        <v>458</v>
      </c>
      <c r="B64" s="3336" t="s">
        <v>461</v>
      </c>
      <c r="C64" s="2256">
        <f t="shared" si="35"/>
        <v>2.2880964381720439E-4</v>
      </c>
      <c r="D64" s="2335">
        <v>1</v>
      </c>
      <c r="E64" s="2336">
        <v>1</v>
      </c>
      <c r="F64" s="2336">
        <v>1</v>
      </c>
      <c r="G64" s="2336">
        <v>200</v>
      </c>
      <c r="H64" s="2337"/>
      <c r="I64" s="2337">
        <v>1.1574074074074073E-4</v>
      </c>
      <c r="J64" s="2337">
        <v>1.3888888888888889E-3</v>
      </c>
      <c r="K64" s="2338" t="s">
        <v>1196</v>
      </c>
      <c r="L64" s="2182">
        <f t="shared" si="39"/>
        <v>0.81825316194709807</v>
      </c>
      <c r="M64" s="2502">
        <v>1</v>
      </c>
      <c r="N64" s="2337">
        <f t="shared" si="36"/>
        <v>3.335106780167265E-3</v>
      </c>
      <c r="O64" s="2359">
        <f t="shared" si="1"/>
        <v>1.8304771505376352E-3</v>
      </c>
      <c r="P64" s="2359">
        <f t="shared" si="37"/>
        <v>1.8304771505376352E-3</v>
      </c>
      <c r="Q64" s="2341">
        <v>129</v>
      </c>
      <c r="R64" s="2336">
        <f t="shared" si="38"/>
        <v>200</v>
      </c>
      <c r="S64" s="2844">
        <f t="shared" si="5"/>
        <v>0.2</v>
      </c>
      <c r="T64" s="2845">
        <f t="shared" si="6"/>
        <v>7.3219086021505406E-3</v>
      </c>
      <c r="U64" s="374">
        <f t="shared" si="7"/>
        <v>0.2</v>
      </c>
      <c r="V64" s="2846">
        <f t="shared" si="8"/>
        <v>0</v>
      </c>
      <c r="W64" s="2847">
        <f t="shared" si="9"/>
        <v>0</v>
      </c>
      <c r="X64" s="2848">
        <f t="shared" si="10"/>
        <v>0</v>
      </c>
      <c r="Y64" s="2849">
        <f t="shared" si="11"/>
        <v>0</v>
      </c>
      <c r="Z64" s="2850">
        <f t="shared" si="12"/>
        <v>0</v>
      </c>
      <c r="AA64" s="2851">
        <f t="shared" si="13"/>
        <v>0</v>
      </c>
      <c r="AC64" s="2867"/>
      <c r="AD64" s="2867"/>
      <c r="AE64" s="2867"/>
      <c r="AF64" s="2867"/>
      <c r="AG64" s="2867"/>
      <c r="AH64" s="2867"/>
      <c r="AI64" s="2825"/>
      <c r="AJ64" s="2825"/>
      <c r="AK64" s="2825"/>
      <c r="AL64" s="2825"/>
      <c r="AM64" s="2825"/>
      <c r="AN64" s="1"/>
    </row>
    <row r="65" spans="1:40" ht="13" customHeight="1">
      <c r="A65" s="2183" t="s">
        <v>219</v>
      </c>
      <c r="B65" s="3336" t="s">
        <v>461</v>
      </c>
      <c r="C65" s="2256">
        <f t="shared" si="35"/>
        <v>1.8933937422552669E-4</v>
      </c>
      <c r="D65" s="2505">
        <v>5</v>
      </c>
      <c r="E65" s="3445">
        <v>4</v>
      </c>
      <c r="F65" s="3445">
        <v>2</v>
      </c>
      <c r="G65" s="3445">
        <v>37.5</v>
      </c>
      <c r="H65" s="2264"/>
      <c r="I65" s="2264">
        <v>5.7870370370370366E-5</v>
      </c>
      <c r="J65" s="2264">
        <v>1.3888888888888889E-3</v>
      </c>
      <c r="K65" s="3623" t="s">
        <v>212</v>
      </c>
      <c r="L65" s="5187">
        <f t="shared" si="39"/>
        <v>0.82158826872726531</v>
      </c>
      <c r="M65" s="3624">
        <v>1</v>
      </c>
      <c r="N65" s="2264">
        <f t="shared" si="36"/>
        <v>8.2905910092248396E-3</v>
      </c>
      <c r="O65" s="2265">
        <f t="shared" si="1"/>
        <v>2.8400906133829002E-4</v>
      </c>
      <c r="P65" s="2185">
        <f t="shared" si="37"/>
        <v>2.8400906133829002E-4</v>
      </c>
      <c r="Q65" s="3467">
        <v>173</v>
      </c>
      <c r="R65" s="3468">
        <f t="shared" si="38"/>
        <v>300</v>
      </c>
      <c r="S65" s="2844">
        <f t="shared" si="5"/>
        <v>0.3</v>
      </c>
      <c r="T65" s="2845">
        <f t="shared" si="6"/>
        <v>9.0882899628252807E-3</v>
      </c>
      <c r="U65" s="374">
        <f t="shared" si="7"/>
        <v>0</v>
      </c>
      <c r="V65" s="2846">
        <f t="shared" si="8"/>
        <v>0</v>
      </c>
      <c r="W65" s="2847">
        <f t="shared" si="9"/>
        <v>0</v>
      </c>
      <c r="X65" s="2848">
        <f t="shared" si="10"/>
        <v>0</v>
      </c>
      <c r="Y65" s="2849">
        <f t="shared" si="11"/>
        <v>0.3</v>
      </c>
      <c r="Z65" s="2850">
        <f t="shared" si="12"/>
        <v>0</v>
      </c>
      <c r="AA65" s="2851">
        <f t="shared" si="13"/>
        <v>0</v>
      </c>
      <c r="AC65" s="2867"/>
      <c r="AD65" s="2867"/>
      <c r="AE65" s="2867"/>
      <c r="AF65" s="2867"/>
      <c r="AG65" s="2867"/>
      <c r="AH65" s="2867"/>
      <c r="AI65" s="2825"/>
      <c r="AJ65" s="2825"/>
      <c r="AK65" s="2825"/>
      <c r="AL65" s="2825"/>
      <c r="AM65" s="2825"/>
      <c r="AN65" s="1"/>
    </row>
    <row r="66" spans="1:40">
      <c r="A66" s="2183"/>
      <c r="B66" s="3336"/>
      <c r="C66" s="2256">
        <f>IF(D66=1,U$5,IF(D66=2,V$5,IF(D66=3,W$5,IF(D66=4,X$5,IF(D66=5,Y$5,IF(D66=6,Z$5,IF(D66=7,AA$5,0)))))))</f>
        <v>1.7682291666666674E-4</v>
      </c>
      <c r="D66" s="2318">
        <v>7</v>
      </c>
      <c r="E66" s="2512">
        <v>2</v>
      </c>
      <c r="F66" s="2512">
        <v>12</v>
      </c>
      <c r="G66" s="2512">
        <v>20</v>
      </c>
      <c r="H66" s="2270"/>
      <c r="I66" s="2270">
        <v>3.4722222222222224E-4</v>
      </c>
      <c r="J66" s="2270">
        <v>1.3888888888888889E-3</v>
      </c>
      <c r="K66" s="3125" t="s">
        <v>413</v>
      </c>
      <c r="L66" s="5188">
        <f t="shared" si="39"/>
        <v>0.82987885973649012</v>
      </c>
      <c r="M66" s="3469">
        <v>1</v>
      </c>
      <c r="N66" s="2270">
        <f>P66*E66*F66+I66*E66*F66+J66*E66</f>
        <v>1.4506111111111112E-2</v>
      </c>
      <c r="O66" s="2271">
        <f>C66*(G66/25)</f>
        <v>1.4145833333333339E-4</v>
      </c>
      <c r="P66" s="2517">
        <f>O66*M66</f>
        <v>1.4145833333333339E-4</v>
      </c>
      <c r="Q66" s="3130" t="s">
        <v>316</v>
      </c>
      <c r="R66" s="3470">
        <f>E66*F66*G66</f>
        <v>480</v>
      </c>
      <c r="S66" s="2844">
        <f t="shared" si="5"/>
        <v>0.48</v>
      </c>
      <c r="T66" s="2845">
        <f t="shared" si="6"/>
        <v>1.3580000000000005E-2</v>
      </c>
      <c r="U66" s="374">
        <f t="shared" si="7"/>
        <v>0</v>
      </c>
      <c r="V66" s="2846">
        <f t="shared" si="8"/>
        <v>0</v>
      </c>
      <c r="W66" s="2847">
        <f t="shared" si="9"/>
        <v>0</v>
      </c>
      <c r="X66" s="2848">
        <f t="shared" si="10"/>
        <v>0</v>
      </c>
      <c r="Y66" s="2849">
        <f t="shared" si="11"/>
        <v>0</v>
      </c>
      <c r="Z66" s="2850">
        <f t="shared" si="12"/>
        <v>0</v>
      </c>
      <c r="AA66" s="2851">
        <f t="shared" si="13"/>
        <v>0.48</v>
      </c>
      <c r="AC66" s="2867"/>
      <c r="AD66" s="2867"/>
      <c r="AE66" s="2867"/>
      <c r="AF66" s="2867"/>
      <c r="AG66" s="2867"/>
      <c r="AH66" s="2867"/>
      <c r="AI66" s="2825"/>
      <c r="AJ66" s="2825"/>
      <c r="AK66" s="2825"/>
      <c r="AL66" s="2825"/>
      <c r="AM66" s="2825"/>
      <c r="AN66" s="1"/>
    </row>
    <row r="67" spans="1:40" ht="13" customHeight="1" thickBot="1">
      <c r="A67" s="2183"/>
      <c r="B67" s="3336"/>
      <c r="C67" s="3619"/>
      <c r="D67" s="3365"/>
      <c r="E67" s="2855"/>
      <c r="F67" s="2855"/>
      <c r="G67" s="2855"/>
      <c r="H67" s="2855"/>
      <c r="I67" s="2855"/>
      <c r="J67" s="2855"/>
      <c r="K67" s="2855"/>
      <c r="L67" s="2182">
        <f>L66+N66</f>
        <v>0.84438497084760122</v>
      </c>
      <c r="M67" s="3620"/>
      <c r="N67" s="2528">
        <f>SUM(N60:N66)</f>
        <v>5.2718304180934747E-2</v>
      </c>
      <c r="O67" s="2855">
        <f t="shared" si="1"/>
        <v>0</v>
      </c>
      <c r="P67" s="2855"/>
      <c r="Q67" s="2855"/>
      <c r="R67" s="3621">
        <f>SUM(R60:R66)</f>
        <v>2280</v>
      </c>
      <c r="S67" s="2844">
        <f t="shared" si="5"/>
        <v>0</v>
      </c>
      <c r="T67" s="2845">
        <f t="shared" si="6"/>
        <v>0</v>
      </c>
      <c r="U67" s="374">
        <f t="shared" si="7"/>
        <v>0</v>
      </c>
      <c r="V67" s="2846">
        <f t="shared" si="8"/>
        <v>0</v>
      </c>
      <c r="W67" s="2847">
        <f t="shared" si="9"/>
        <v>0</v>
      </c>
      <c r="X67" s="2848">
        <f t="shared" si="10"/>
        <v>0</v>
      </c>
      <c r="Y67" s="2849">
        <f t="shared" si="11"/>
        <v>0</v>
      </c>
      <c r="Z67" s="2850">
        <f t="shared" si="12"/>
        <v>0</v>
      </c>
      <c r="AA67" s="2851">
        <f t="shared" si="13"/>
        <v>0</v>
      </c>
      <c r="AC67" s="2867"/>
      <c r="AD67" s="2867"/>
      <c r="AE67" s="2867"/>
      <c r="AF67" s="2867"/>
      <c r="AG67" s="2867"/>
      <c r="AH67" s="2867"/>
      <c r="AI67" s="2825"/>
      <c r="AJ67" s="2825"/>
      <c r="AK67" s="2825"/>
      <c r="AL67" s="2825"/>
      <c r="AM67" s="2825"/>
      <c r="AN67" s="1"/>
    </row>
    <row r="68" spans="1:40" ht="12" customHeight="1" thickBot="1">
      <c r="A68" s="2183"/>
      <c r="B68" s="3336" t="s">
        <v>459</v>
      </c>
      <c r="C68" s="629">
        <f>IF(D68=1,U$5,IF(D68=2,V$5,IF(D68=3,W$5,IF(D68=4,X$5,IF(D68=5,Y$5,IF(D68=6,Z$5,IF(D68=7,AA$5,0)))))))</f>
        <v>2.2880964381720439E-4</v>
      </c>
      <c r="D68" s="2335">
        <v>1</v>
      </c>
      <c r="E68" s="2427">
        <v>1</v>
      </c>
      <c r="F68" s="2427">
        <v>1</v>
      </c>
      <c r="G68" s="2427">
        <v>200</v>
      </c>
      <c r="H68" s="2256" t="s">
        <v>1674</v>
      </c>
      <c r="I68" s="2256">
        <v>1.1574074074074073E-4</v>
      </c>
      <c r="J68" s="2256">
        <v>1.3888888888888889E-3</v>
      </c>
      <c r="K68" s="2338" t="s">
        <v>581</v>
      </c>
      <c r="L68" s="3644">
        <v>0.80902777777777779</v>
      </c>
      <c r="M68" s="2339">
        <v>1</v>
      </c>
      <c r="N68" s="2329">
        <f>P68*E68*F68+I68*E68*F68+J68*E68</f>
        <v>3.4083258661887703E-3</v>
      </c>
      <c r="O68" s="2256">
        <f>C68*(G68/25)*1.04</f>
        <v>1.9036962365591406E-3</v>
      </c>
      <c r="P68" s="2340">
        <f>O68*M68</f>
        <v>1.9036962365591406E-3</v>
      </c>
      <c r="Q68" s="2341"/>
      <c r="R68" s="2427">
        <f>E68*F68*G68</f>
        <v>200</v>
      </c>
      <c r="S68" s="2844">
        <f t="shared" si="5"/>
        <v>0.2</v>
      </c>
      <c r="T68" s="2845">
        <f t="shared" si="6"/>
        <v>7.6147849462365625E-3</v>
      </c>
      <c r="U68" s="374">
        <f t="shared" si="7"/>
        <v>0.2</v>
      </c>
      <c r="V68" s="2846">
        <f t="shared" si="8"/>
        <v>0</v>
      </c>
      <c r="W68" s="2847">
        <f t="shared" si="9"/>
        <v>0</v>
      </c>
      <c r="X68" s="2848">
        <f t="shared" si="10"/>
        <v>0</v>
      </c>
      <c r="Y68" s="2849">
        <f t="shared" si="11"/>
        <v>0</v>
      </c>
      <c r="Z68" s="2850">
        <f t="shared" si="12"/>
        <v>0</v>
      </c>
      <c r="AA68" s="2851">
        <f t="shared" si="13"/>
        <v>0</v>
      </c>
      <c r="AC68" s="2867"/>
      <c r="AD68" s="2867"/>
      <c r="AE68" s="2867"/>
      <c r="AF68" s="2867"/>
      <c r="AG68" s="2867"/>
      <c r="AH68" s="2867"/>
      <c r="AI68" s="2825"/>
      <c r="AJ68" s="2825"/>
      <c r="AK68" s="2825"/>
      <c r="AL68" s="2825"/>
      <c r="AM68" s="2825"/>
      <c r="AN68" s="1"/>
    </row>
    <row r="69" spans="1:40" ht="14" thickBot="1">
      <c r="A69" s="3622"/>
      <c r="B69" s="3336" t="s">
        <v>459</v>
      </c>
      <c r="C69" s="629">
        <f>IF(D69=1,U$5,IF(D69=2,V$5,IF(D69=3,W$5,IF(D69=4,X$5,IF(D69=5,Y$5,IF(D69=6,Z$5,IF(D69=7,AA$5,0)))))))</f>
        <v>2.1908757716049393E-4</v>
      </c>
      <c r="D69" s="2302">
        <v>2</v>
      </c>
      <c r="E69" s="2923">
        <v>1</v>
      </c>
      <c r="F69" s="2923">
        <v>12</v>
      </c>
      <c r="G69" s="2923">
        <v>50</v>
      </c>
      <c r="H69" s="2256" t="s">
        <v>1674</v>
      </c>
      <c r="I69" s="2324">
        <v>1.3888888888888889E-4</v>
      </c>
      <c r="J69" s="2324">
        <v>1.3888888888888889E-3</v>
      </c>
      <c r="K69" s="2278" t="s">
        <v>670</v>
      </c>
      <c r="L69" s="3645">
        <f t="shared" ref="L69:L71" si="40">L68+N68</f>
        <v>0.81243610364396657</v>
      </c>
      <c r="M69" s="2305">
        <v>1.2</v>
      </c>
      <c r="N69" s="2306">
        <f>P69*E69*F69+I69*E69*F69+J69*E69</f>
        <v>9.6176666666666702E-3</v>
      </c>
      <c r="O69" s="2307">
        <f>C69*(G69/25)*1.04</f>
        <v>4.5570216049382737E-4</v>
      </c>
      <c r="P69" s="2307">
        <f>O69*M69</f>
        <v>5.468425925925928E-4</v>
      </c>
      <c r="Q69" s="2282"/>
      <c r="R69" s="2308">
        <f>E69*F69*G69</f>
        <v>600</v>
      </c>
      <c r="S69" s="2844">
        <f t="shared" si="5"/>
        <v>0.6</v>
      </c>
      <c r="T69" s="2845">
        <f t="shared" si="6"/>
        <v>2.1873703703703715E-2</v>
      </c>
      <c r="U69" s="374">
        <f t="shared" si="7"/>
        <v>0</v>
      </c>
      <c r="V69" s="2846">
        <f t="shared" si="8"/>
        <v>0.6</v>
      </c>
      <c r="W69" s="2847">
        <f t="shared" si="9"/>
        <v>0</v>
      </c>
      <c r="X69" s="2848">
        <f t="shared" si="10"/>
        <v>0</v>
      </c>
      <c r="Y69" s="2849">
        <f t="shared" si="11"/>
        <v>0</v>
      </c>
      <c r="Z69" s="2850">
        <f t="shared" si="12"/>
        <v>0</v>
      </c>
      <c r="AA69" s="2851">
        <f t="shared" si="13"/>
        <v>0</v>
      </c>
      <c r="AB69" s="144"/>
      <c r="AC69" s="2867"/>
      <c r="AD69" s="2867"/>
      <c r="AE69" s="2867"/>
      <c r="AF69" s="2867"/>
      <c r="AG69" s="2867"/>
      <c r="AH69" s="2867"/>
      <c r="AI69" s="2935"/>
      <c r="AN69" s="1"/>
    </row>
    <row r="70" spans="1:40" ht="14" thickBot="1">
      <c r="A70" s="2183" t="s">
        <v>218</v>
      </c>
      <c r="B70" s="3336" t="s">
        <v>459</v>
      </c>
      <c r="C70" s="629">
        <f>IF(D70=1,U$5,IF(D70=2,V$5,IF(D70=3,W$5,IF(D70=4,X$5,IF(D70=5,Y$5,IF(D70=6,Z$5,IF(D70=7,AA$5,0)))))))</f>
        <v>2.1222190799396687E-4</v>
      </c>
      <c r="D70" s="3559">
        <v>3</v>
      </c>
      <c r="E70" s="3499">
        <v>1</v>
      </c>
      <c r="F70" s="3499">
        <v>4</v>
      </c>
      <c r="G70" s="3499">
        <v>50</v>
      </c>
      <c r="H70" s="2256" t="s">
        <v>1674</v>
      </c>
      <c r="I70" s="2314">
        <v>4.6296296296296293E-4</v>
      </c>
      <c r="J70" s="2314">
        <v>2.0833333333333333E-3</v>
      </c>
      <c r="K70" s="2310" t="s">
        <v>703</v>
      </c>
      <c r="L70" s="3646">
        <f t="shared" si="40"/>
        <v>0.8220537703106332</v>
      </c>
      <c r="M70" s="2312">
        <v>1</v>
      </c>
      <c r="N70" s="2313">
        <f>P70*E70*F70+I70*E70*F70+J70*E70</f>
        <v>5.7008714596949901E-3</v>
      </c>
      <c r="O70" s="2314">
        <f>C70*(G70/25)*1.04</f>
        <v>4.4142156862745112E-4</v>
      </c>
      <c r="P70" s="2315">
        <f>O70*M70</f>
        <v>4.4142156862745112E-4</v>
      </c>
      <c r="Q70" s="2274"/>
      <c r="R70" s="3499">
        <f>E70*F70*G70</f>
        <v>200</v>
      </c>
      <c r="S70" s="2844">
        <f t="shared" si="5"/>
        <v>0.2</v>
      </c>
      <c r="T70" s="2845">
        <f t="shared" si="6"/>
        <v>7.0627450980392179E-3</v>
      </c>
      <c r="U70" s="374">
        <f t="shared" ref="U70:U81" si="41">IF(C70*4&gt;=$U$4,S70,0)</f>
        <v>0</v>
      </c>
      <c r="V70" s="2846">
        <f t="shared" ref="V70:V81" si="42">IF(AND(C70*4&gt;=$V$4,C70*4&lt;$U$4),S70,0)</f>
        <v>0</v>
      </c>
      <c r="W70" s="2847">
        <f t="shared" ref="W70:W81" si="43">IF(AND(C70*4&gt;=$W$4,C70*4&lt;$V$4),S70,0)</f>
        <v>0.2</v>
      </c>
      <c r="X70" s="2848">
        <f t="shared" ref="X70:X81" si="44">IF(AND(C70*4&gt;=$X$4,C70*4&lt;$W$4),S70,0)</f>
        <v>0</v>
      </c>
      <c r="Y70" s="2849">
        <f t="shared" ref="Y70:Y81" si="45">IF(AND(C70*4&gt;=$Y$4,C70*4&lt;$X$4),S70,0)</f>
        <v>0</v>
      </c>
      <c r="Z70" s="2850">
        <f t="shared" ref="Z70:Z81" si="46">IF(AND(C70*4&gt;=$Z$4,C70*4&lt;$Y$4),S70,0)</f>
        <v>0</v>
      </c>
      <c r="AA70" s="2851">
        <f t="shared" ref="AA70:AA81" si="47">IF(AND(C70*4&gt;=$AA$4,C70*4&lt;$Z$4),S70,0)</f>
        <v>0</v>
      </c>
      <c r="AB70" s="144"/>
      <c r="AC70" s="2867"/>
      <c r="AD70" s="2867"/>
      <c r="AE70" s="2867"/>
      <c r="AF70" s="2867"/>
      <c r="AG70" s="2867"/>
      <c r="AH70" s="2867"/>
      <c r="AI70" s="2935"/>
      <c r="AN70" s="1"/>
    </row>
    <row r="71" spans="1:40" ht="14" thickBot="1">
      <c r="A71" s="2183" t="s">
        <v>139</v>
      </c>
      <c r="B71" s="3336" t="s">
        <v>459</v>
      </c>
      <c r="C71" s="629">
        <f>IF(D71=1,#REF!,IF(D71=2,#REF!,IF(D71=3,#REF!,IF(D71=4,#REF!,IF(D71=5,#REF!,IF(D71=6,#REF!,IF(D71=7,#REF!,0)))))))</f>
        <v>0</v>
      </c>
      <c r="D71" s="5197"/>
      <c r="E71" s="5198"/>
      <c r="F71" s="5198"/>
      <c r="G71" s="5198"/>
      <c r="H71" s="5198"/>
      <c r="I71" s="5198"/>
      <c r="J71" s="5198"/>
      <c r="K71" s="5198"/>
      <c r="L71" s="5199">
        <f t="shared" si="40"/>
        <v>0.8277546417703282</v>
      </c>
      <c r="M71" s="5200"/>
      <c r="N71" s="5201">
        <f>SUM(N68:N70)</f>
        <v>1.8726863992550431E-2</v>
      </c>
      <c r="O71" s="5198"/>
      <c r="P71" s="5198"/>
      <c r="Q71" s="5198"/>
      <c r="R71" s="5183">
        <f>SUM(R68:R70)</f>
        <v>1000</v>
      </c>
      <c r="S71" s="2844">
        <f t="shared" si="5"/>
        <v>0</v>
      </c>
      <c r="T71" s="2845">
        <f t="shared" si="6"/>
        <v>0</v>
      </c>
      <c r="U71" s="374">
        <f t="shared" si="41"/>
        <v>0</v>
      </c>
      <c r="V71" s="2846">
        <f t="shared" si="42"/>
        <v>0</v>
      </c>
      <c r="W71" s="2847">
        <f t="shared" si="43"/>
        <v>0</v>
      </c>
      <c r="X71" s="2848">
        <f t="shared" si="44"/>
        <v>0</v>
      </c>
      <c r="Y71" s="2849">
        <f t="shared" si="45"/>
        <v>0</v>
      </c>
      <c r="Z71" s="2850">
        <f t="shared" si="46"/>
        <v>0</v>
      </c>
      <c r="AA71" s="2851">
        <f t="shared" si="47"/>
        <v>0</v>
      </c>
      <c r="AB71" s="144"/>
      <c r="AC71" s="2867"/>
      <c r="AD71" s="2867"/>
      <c r="AE71" s="2867"/>
      <c r="AF71" s="2867"/>
      <c r="AG71" s="2867"/>
      <c r="AH71" s="2867"/>
      <c r="AI71" s="2935"/>
      <c r="AN71" s="1"/>
    </row>
    <row r="72" spans="1:40" ht="17" customHeight="1" thickBot="1">
      <c r="A72" s="2183" t="s">
        <v>458</v>
      </c>
      <c r="B72" s="3336" t="s">
        <v>459</v>
      </c>
      <c r="C72" s="629">
        <f>IF(D72=1,U$5,IF(D72=2,V$5,IF(D72=3,W$5,IF(D72=4,X$5,IF(D72=5,Y$5,IF(D72=6,Z$5,IF(D72=7,AA$5,0)))))))</f>
        <v>2.1222190799396687E-4</v>
      </c>
      <c r="D72" s="3559">
        <v>3</v>
      </c>
      <c r="E72" s="3499">
        <v>1</v>
      </c>
      <c r="F72" s="3499">
        <v>2</v>
      </c>
      <c r="G72" s="3499">
        <v>50</v>
      </c>
      <c r="H72" s="3625" t="s">
        <v>1684</v>
      </c>
      <c r="I72" s="2314">
        <v>2.3148148148148146E-4</v>
      </c>
      <c r="J72" s="2314">
        <v>3.4722222222222224E-4</v>
      </c>
      <c r="K72" s="2310" t="s">
        <v>1653</v>
      </c>
      <c r="L72" s="3646">
        <f>L71</f>
        <v>0.8277546417703282</v>
      </c>
      <c r="M72" s="2312">
        <v>1.05</v>
      </c>
      <c r="N72" s="2313">
        <f>P72*E72*F72+I72*E72*F72+J72*E72</f>
        <v>1.7015171987598461E-3</v>
      </c>
      <c r="O72" s="2314">
        <f>C72*(G72/25)</f>
        <v>4.2444381598793373E-4</v>
      </c>
      <c r="P72" s="2315">
        <f>O72*M72</f>
        <v>4.4566600678733046E-4</v>
      </c>
      <c r="Q72" s="2274"/>
      <c r="R72" s="3499">
        <f>E72*F72*G72</f>
        <v>100</v>
      </c>
      <c r="S72" s="2844">
        <f t="shared" si="5"/>
        <v>0.1</v>
      </c>
      <c r="T72" s="2845">
        <f t="shared" si="6"/>
        <v>3.3955505279034699E-3</v>
      </c>
      <c r="U72" s="374">
        <f t="shared" si="41"/>
        <v>0</v>
      </c>
      <c r="V72" s="2846">
        <f t="shared" si="42"/>
        <v>0</v>
      </c>
      <c r="W72" s="2847">
        <f t="shared" si="43"/>
        <v>0.1</v>
      </c>
      <c r="X72" s="2848">
        <f t="shared" si="44"/>
        <v>0</v>
      </c>
      <c r="Y72" s="2849">
        <f t="shared" si="45"/>
        <v>0</v>
      </c>
      <c r="Z72" s="2850">
        <f t="shared" si="46"/>
        <v>0</v>
      </c>
      <c r="AA72" s="2851">
        <f t="shared" si="47"/>
        <v>0</v>
      </c>
      <c r="AB72" s="144"/>
      <c r="AC72" s="2867"/>
      <c r="AD72" s="2867"/>
      <c r="AE72" s="2867"/>
      <c r="AF72" s="2867"/>
      <c r="AG72" s="2867"/>
      <c r="AH72" s="2867"/>
      <c r="AI72" s="2825"/>
      <c r="AN72" s="1"/>
    </row>
    <row r="73" spans="1:40" ht="14" thickBot="1">
      <c r="A73" s="2183" t="s">
        <v>462</v>
      </c>
      <c r="B73" s="3336" t="s">
        <v>459</v>
      </c>
      <c r="C73" s="629">
        <f>IF(D73=1,U$5,IF(D73=2,V$5,IF(D73=3,W$5,IF(D73=4,X$5,IF(D73=5,Y$5,IF(D73=6,Z$5,IF(D73=7,AA$5,0)))))))</f>
        <v>2.0247664488766629E-4</v>
      </c>
      <c r="D73" s="2317">
        <v>4</v>
      </c>
      <c r="E73" s="3504">
        <v>1</v>
      </c>
      <c r="F73" s="3504">
        <v>2</v>
      </c>
      <c r="G73" s="3504">
        <v>50</v>
      </c>
      <c r="H73" s="3626"/>
      <c r="I73" s="3505">
        <v>4.6296296296296293E-4</v>
      </c>
      <c r="J73" s="3505">
        <v>5.7870370370370378E-4</v>
      </c>
      <c r="K73" s="3506" t="s">
        <v>1654</v>
      </c>
      <c r="L73" s="3647">
        <f>L72+N72</f>
        <v>0.82945615896908809</v>
      </c>
      <c r="M73" s="3508">
        <v>1</v>
      </c>
      <c r="N73" s="3509">
        <f>P73*E73*F73+I73*E73*F73+J73*E73</f>
        <v>2.3469324723623215E-3</v>
      </c>
      <c r="O73" s="3510">
        <f>C73*(G73/25)*1.04</f>
        <v>4.2115142136634587E-4</v>
      </c>
      <c r="P73" s="3510">
        <f>O73*M73</f>
        <v>4.2115142136634587E-4</v>
      </c>
      <c r="Q73" s="3511"/>
      <c r="R73" s="3504">
        <f>E73*F73*G73</f>
        <v>100</v>
      </c>
      <c r="S73" s="2844">
        <f t="shared" ref="S73:S81" si="48">E73*F73*G73/1000</f>
        <v>0.1</v>
      </c>
      <c r="T73" s="2845">
        <f t="shared" ref="T73:T81" si="49">E73*F73*O73*4</f>
        <v>3.369211370930767E-3</v>
      </c>
      <c r="U73" s="374">
        <f t="shared" si="41"/>
        <v>0</v>
      </c>
      <c r="V73" s="2846">
        <f t="shared" si="42"/>
        <v>0</v>
      </c>
      <c r="W73" s="2847">
        <f t="shared" si="43"/>
        <v>0</v>
      </c>
      <c r="X73" s="2848">
        <f t="shared" si="44"/>
        <v>0.1</v>
      </c>
      <c r="Y73" s="2849">
        <f t="shared" si="45"/>
        <v>0</v>
      </c>
      <c r="Z73" s="2850">
        <f t="shared" si="46"/>
        <v>0</v>
      </c>
      <c r="AA73" s="2851">
        <f t="shared" si="47"/>
        <v>0</v>
      </c>
      <c r="AB73" s="144"/>
      <c r="AC73" s="2867"/>
      <c r="AD73" s="2867"/>
      <c r="AE73" s="2867"/>
      <c r="AF73" s="2867"/>
      <c r="AG73" s="2867"/>
      <c r="AH73" s="2867"/>
      <c r="AI73" s="2825"/>
      <c r="AN73" s="1"/>
    </row>
    <row r="74" spans="1:40" ht="14" thickBot="1">
      <c r="A74" s="2183" t="s">
        <v>460</v>
      </c>
      <c r="B74" s="3336" t="s">
        <v>459</v>
      </c>
      <c r="C74" s="629">
        <f>IF(D74=1,U$5,IF(D74=2,V$5,IF(D74=3,W$5,IF(D74=4,X$5,IF(D74=5,Y$5,IF(D74=6,Z$5,IF(D74=7,AA$5,0)))))))</f>
        <v>1.8229166666666673E-4</v>
      </c>
      <c r="D74" s="3444">
        <v>6</v>
      </c>
      <c r="E74" s="3444">
        <v>1</v>
      </c>
      <c r="F74" s="3444">
        <v>2</v>
      </c>
      <c r="G74" s="3444">
        <v>50</v>
      </c>
      <c r="H74" s="3626"/>
      <c r="I74" s="3142">
        <v>6.9444444444444447E-4</v>
      </c>
      <c r="J74" s="3142">
        <v>1.0416666666666667E-3</v>
      </c>
      <c r="K74" s="3438" t="s">
        <v>1655</v>
      </c>
      <c r="L74" s="3643">
        <f>L73+N73</f>
        <v>0.83180309144145037</v>
      </c>
      <c r="M74" s="3440">
        <v>1.08</v>
      </c>
      <c r="N74" s="3441">
        <f>P74*E74*F74+I74*E74*F74+J74*E74</f>
        <v>3.2180555555555556E-3</v>
      </c>
      <c r="O74" s="3145">
        <f>C74*(G74/25)</f>
        <v>3.6458333333333346E-4</v>
      </c>
      <c r="P74" s="3442">
        <f>O74*M74</f>
        <v>3.9375000000000017E-4</v>
      </c>
      <c r="Q74" s="3443"/>
      <c r="R74" s="3444">
        <f>E74*F74*G74</f>
        <v>100</v>
      </c>
      <c r="S74" s="2844">
        <f t="shared" si="48"/>
        <v>0.1</v>
      </c>
      <c r="T74" s="2845">
        <f t="shared" si="49"/>
        <v>2.9166666666666677E-3</v>
      </c>
      <c r="U74" s="374">
        <f t="shared" si="41"/>
        <v>0</v>
      </c>
      <c r="V74" s="2846">
        <f t="shared" si="42"/>
        <v>0</v>
      </c>
      <c r="W74" s="2847">
        <f t="shared" si="43"/>
        <v>0</v>
      </c>
      <c r="X74" s="2848">
        <f t="shared" si="44"/>
        <v>0</v>
      </c>
      <c r="Y74" s="2849">
        <f t="shared" si="45"/>
        <v>0</v>
      </c>
      <c r="Z74" s="2850">
        <f t="shared" si="46"/>
        <v>0.1</v>
      </c>
      <c r="AA74" s="2851">
        <f t="shared" si="47"/>
        <v>0</v>
      </c>
      <c r="AB74" s="3156">
        <f>SUM(U74:AA74)</f>
        <v>0.1</v>
      </c>
      <c r="AC74" s="2867">
        <v>0</v>
      </c>
      <c r="AD74" s="2867">
        <v>0</v>
      </c>
      <c r="AE74" s="2867">
        <v>0</v>
      </c>
      <c r="AF74" s="2867">
        <v>0</v>
      </c>
      <c r="AG74" s="2867">
        <v>0</v>
      </c>
      <c r="AH74" s="2867">
        <v>0</v>
      </c>
      <c r="AI74" s="2825"/>
      <c r="AN74" s="1"/>
    </row>
    <row r="75" spans="1:40" ht="14" thickBot="1">
      <c r="A75" s="2183" t="s">
        <v>458</v>
      </c>
      <c r="B75" s="3336" t="s">
        <v>459</v>
      </c>
      <c r="C75" s="629">
        <f>IF(D75=1,U$5,IF(D75=2,V$5,IF(D75=3,W$5,IF(D75=4,X$5,IF(D75=5,Y$5,IF(D75=6,Z$5,IF(D75=7,AA$5,0)))))))</f>
        <v>1.7682291666666674E-4</v>
      </c>
      <c r="D75" s="3560">
        <v>7</v>
      </c>
      <c r="E75" s="3561">
        <v>1</v>
      </c>
      <c r="F75" s="3561">
        <v>1</v>
      </c>
      <c r="G75" s="3561">
        <v>50</v>
      </c>
      <c r="H75" s="3627"/>
      <c r="I75" s="3562">
        <v>0</v>
      </c>
      <c r="J75" s="3562">
        <v>1.3888888888888889E-3</v>
      </c>
      <c r="K75" s="2514" t="s">
        <v>1656</v>
      </c>
      <c r="L75" s="3648">
        <f>L74+N74</f>
        <v>0.83502114699700591</v>
      </c>
      <c r="M75" s="3493">
        <v>1</v>
      </c>
      <c r="N75" s="3494">
        <f>P75*E75*F75+I75*E75*F75+J75*E75</f>
        <v>1.7672899305555558E-3</v>
      </c>
      <c r="O75" s="3495">
        <f>C75*(G75/25)*1.07</f>
        <v>3.7840104166666686E-4</v>
      </c>
      <c r="P75" s="3496">
        <f>O75*M75</f>
        <v>3.7840104166666686E-4</v>
      </c>
      <c r="Q75" s="3130"/>
      <c r="R75" s="3497">
        <f>E75*F75*G75</f>
        <v>50</v>
      </c>
      <c r="S75" s="2844">
        <f t="shared" si="48"/>
        <v>0.05</v>
      </c>
      <c r="T75" s="2845">
        <f t="shared" si="49"/>
        <v>1.5136041666666674E-3</v>
      </c>
      <c r="U75" s="374">
        <f t="shared" si="41"/>
        <v>0</v>
      </c>
      <c r="V75" s="2846">
        <f t="shared" si="42"/>
        <v>0</v>
      </c>
      <c r="W75" s="2847">
        <f t="shared" si="43"/>
        <v>0</v>
      </c>
      <c r="X75" s="2848">
        <f t="shared" si="44"/>
        <v>0</v>
      </c>
      <c r="Y75" s="2849">
        <f t="shared" si="45"/>
        <v>0</v>
      </c>
      <c r="Z75" s="2850">
        <f t="shared" si="46"/>
        <v>0</v>
      </c>
      <c r="AA75" s="2851">
        <f t="shared" si="47"/>
        <v>0.05</v>
      </c>
      <c r="AB75" s="144"/>
      <c r="AC75" s="2867"/>
      <c r="AD75" s="2867"/>
      <c r="AE75" s="2867"/>
      <c r="AF75" s="2867"/>
      <c r="AG75" s="2867"/>
      <c r="AH75" s="2867"/>
      <c r="AI75" s="2825"/>
      <c r="AN75" s="1"/>
    </row>
    <row r="76" spans="1:40" ht="14" thickBot="1">
      <c r="A76" s="2183" t="s">
        <v>219</v>
      </c>
      <c r="B76" s="3336" t="s">
        <v>459</v>
      </c>
      <c r="C76" s="629"/>
      <c r="D76" s="5197"/>
      <c r="E76" s="5198"/>
      <c r="F76" s="5198"/>
      <c r="G76" s="5198"/>
      <c r="H76" s="5198"/>
      <c r="I76" s="5198"/>
      <c r="J76" s="5198"/>
      <c r="K76" s="5198"/>
      <c r="L76" s="5199">
        <f t="shared" ref="L76" si="50">L75+N75</f>
        <v>0.83678843692756144</v>
      </c>
      <c r="M76" s="5200"/>
      <c r="N76" s="5201">
        <f>SUM(N72:N75)</f>
        <v>9.0337951572332792E-3</v>
      </c>
      <c r="O76" s="5198"/>
      <c r="P76" s="5198"/>
      <c r="Q76" s="5198"/>
      <c r="R76" s="5181">
        <f>SUM(R72:R75)</f>
        <v>350</v>
      </c>
      <c r="S76" s="2844">
        <f t="shared" si="48"/>
        <v>0</v>
      </c>
      <c r="T76" s="2845">
        <f t="shared" si="49"/>
        <v>0</v>
      </c>
      <c r="U76" s="374">
        <f t="shared" si="41"/>
        <v>0</v>
      </c>
      <c r="V76" s="2846">
        <f t="shared" si="42"/>
        <v>0</v>
      </c>
      <c r="W76" s="2847">
        <f t="shared" si="43"/>
        <v>0</v>
      </c>
      <c r="X76" s="2848">
        <f t="shared" si="44"/>
        <v>0</v>
      </c>
      <c r="Y76" s="2849">
        <f t="shared" si="45"/>
        <v>0</v>
      </c>
      <c r="Z76" s="2850">
        <f t="shared" si="46"/>
        <v>0</v>
      </c>
      <c r="AA76" s="2851">
        <f t="shared" si="47"/>
        <v>0</v>
      </c>
      <c r="AB76" s="144"/>
      <c r="AC76" s="2867"/>
      <c r="AD76" s="2867"/>
      <c r="AE76" s="2867"/>
      <c r="AF76" s="2867"/>
      <c r="AG76" s="2867"/>
      <c r="AH76" s="2867"/>
      <c r="AI76" s="2825"/>
      <c r="AN76" s="1"/>
    </row>
    <row r="77" spans="1:40" ht="14" thickBot="1">
      <c r="A77" s="2183"/>
      <c r="B77" s="3336" t="s">
        <v>459</v>
      </c>
      <c r="C77" s="629">
        <f t="shared" ref="C77:C88" si="51">IF(D77=1,U$5,IF(D77=2,V$5,IF(D77=3,W$5,IF(D77=4,X$5,IF(D77=5,Y$5,IF(D77=6,Z$5,IF(D77=7,AA$5,0)))))))</f>
        <v>1.8933937422552669E-4</v>
      </c>
      <c r="D77" s="1433">
        <v>5</v>
      </c>
      <c r="E77" s="3452">
        <v>1</v>
      </c>
      <c r="F77" s="3452">
        <v>2</v>
      </c>
      <c r="G77" s="3452">
        <v>50</v>
      </c>
      <c r="H77" s="3512" t="s">
        <v>1637</v>
      </c>
      <c r="I77" s="3450">
        <v>3.4722222222222224E-4</v>
      </c>
      <c r="J77" s="3450">
        <v>2.7777777777777779E-3</v>
      </c>
      <c r="K77" s="3513" t="s">
        <v>1665</v>
      </c>
      <c r="L77" s="3649">
        <f>L76</f>
        <v>0.83678843692756144</v>
      </c>
      <c r="M77" s="3448">
        <v>0.89</v>
      </c>
      <c r="N77" s="3449">
        <f>P77*E77*F77+I77*E77*F77+J77*E77</f>
        <v>4.1462703944650974E-3</v>
      </c>
      <c r="O77" s="3450">
        <f>C77*(G77/25)</f>
        <v>3.7867874845105338E-4</v>
      </c>
      <c r="P77" s="3451">
        <f>O77*M77</f>
        <v>3.3702408612143751E-4</v>
      </c>
      <c r="Q77" s="3452"/>
      <c r="R77" s="3452">
        <f>E77*F77*G77</f>
        <v>100</v>
      </c>
      <c r="S77" s="2844">
        <f t="shared" si="48"/>
        <v>0.1</v>
      </c>
      <c r="T77" s="2845">
        <f t="shared" si="49"/>
        <v>3.029429987608427E-3</v>
      </c>
      <c r="U77" s="374">
        <f t="shared" si="41"/>
        <v>0</v>
      </c>
      <c r="V77" s="2846">
        <f t="shared" si="42"/>
        <v>0</v>
      </c>
      <c r="W77" s="2847">
        <f t="shared" si="43"/>
        <v>0</v>
      </c>
      <c r="X77" s="2848">
        <f t="shared" si="44"/>
        <v>0</v>
      </c>
      <c r="Y77" s="2849">
        <f t="shared" si="45"/>
        <v>0.1</v>
      </c>
      <c r="Z77" s="2850">
        <f t="shared" si="46"/>
        <v>0</v>
      </c>
      <c r="AA77" s="2851">
        <f t="shared" si="47"/>
        <v>0</v>
      </c>
      <c r="AB77" s="144"/>
      <c r="AC77" s="2867">
        <v>0</v>
      </c>
      <c r="AD77" s="2867">
        <v>0</v>
      </c>
      <c r="AE77" s="2867">
        <v>0</v>
      </c>
      <c r="AF77" s="2867">
        <v>0</v>
      </c>
      <c r="AG77" s="2867">
        <v>0</v>
      </c>
      <c r="AH77" s="2867">
        <v>0</v>
      </c>
      <c r="AI77" s="2825"/>
      <c r="AN77" s="1"/>
    </row>
    <row r="78" spans="1:40" ht="14" thickBot="1">
      <c r="A78" s="2183"/>
      <c r="B78" s="3336" t="s">
        <v>459</v>
      </c>
      <c r="C78" s="629">
        <f t="shared" si="51"/>
        <v>1.8933937422552669E-4</v>
      </c>
      <c r="D78" s="1433">
        <v>5</v>
      </c>
      <c r="E78" s="3452">
        <v>1</v>
      </c>
      <c r="F78" s="3452">
        <v>2</v>
      </c>
      <c r="G78" s="3452">
        <v>50</v>
      </c>
      <c r="H78" s="3512" t="s">
        <v>1638</v>
      </c>
      <c r="I78" s="3450">
        <v>3.4722222222222224E-4</v>
      </c>
      <c r="J78" s="3450">
        <v>2.7777777777777779E-3</v>
      </c>
      <c r="K78" s="3513" t="s">
        <v>1190</v>
      </c>
      <c r="L78" s="3649">
        <f t="shared" ref="L78:L80" si="52">L77+N77</f>
        <v>0.84093470732202658</v>
      </c>
      <c r="M78" s="3448">
        <v>1</v>
      </c>
      <c r="N78" s="3449">
        <f>P78*E78*F78+I78*E78*F78+J78*E78</f>
        <v>4.2295797191243293E-3</v>
      </c>
      <c r="O78" s="3450">
        <f t="shared" ref="O78:O79" si="53">C78*(G78/25)</f>
        <v>3.7867874845105338E-4</v>
      </c>
      <c r="P78" s="3451">
        <f>O78*M78</f>
        <v>3.7867874845105338E-4</v>
      </c>
      <c r="Q78" s="3452"/>
      <c r="R78" s="3452">
        <f>E78*F78*G78</f>
        <v>100</v>
      </c>
      <c r="S78" s="2844">
        <f t="shared" si="48"/>
        <v>0.1</v>
      </c>
      <c r="T78" s="2845">
        <f t="shared" si="49"/>
        <v>3.029429987608427E-3</v>
      </c>
      <c r="U78" s="374">
        <f t="shared" si="41"/>
        <v>0</v>
      </c>
      <c r="V78" s="2846">
        <f t="shared" si="42"/>
        <v>0</v>
      </c>
      <c r="W78" s="2847">
        <f t="shared" si="43"/>
        <v>0</v>
      </c>
      <c r="X78" s="2848">
        <f t="shared" si="44"/>
        <v>0</v>
      </c>
      <c r="Y78" s="2849">
        <f t="shared" si="45"/>
        <v>0.1</v>
      </c>
      <c r="Z78" s="2850">
        <f t="shared" si="46"/>
        <v>0</v>
      </c>
      <c r="AA78" s="2851">
        <f t="shared" si="47"/>
        <v>0</v>
      </c>
      <c r="AB78" s="144"/>
      <c r="AC78" s="2867">
        <v>0</v>
      </c>
      <c r="AD78" s="2867">
        <v>0</v>
      </c>
      <c r="AE78" s="2867">
        <v>0</v>
      </c>
      <c r="AF78" s="2867">
        <v>0</v>
      </c>
      <c r="AG78" s="2867">
        <v>0</v>
      </c>
      <c r="AH78" s="2867">
        <v>0</v>
      </c>
      <c r="AI78" s="2825"/>
      <c r="AN78" s="1"/>
    </row>
    <row r="79" spans="1:40" ht="14" thickBot="1">
      <c r="A79" s="2183"/>
      <c r="B79" s="3336" t="s">
        <v>459</v>
      </c>
      <c r="C79" s="629">
        <f t="shared" si="51"/>
        <v>1.8933937422552669E-4</v>
      </c>
      <c r="D79" s="1433">
        <v>5</v>
      </c>
      <c r="E79" s="3452">
        <v>1</v>
      </c>
      <c r="F79" s="3452">
        <v>2</v>
      </c>
      <c r="G79" s="3452">
        <v>75</v>
      </c>
      <c r="H79" s="3512" t="s">
        <v>112</v>
      </c>
      <c r="I79" s="3450">
        <v>3.4722222222222224E-4</v>
      </c>
      <c r="J79" s="3450">
        <v>4.1666666666666666E-3</v>
      </c>
      <c r="K79" s="3513" t="s">
        <v>1197</v>
      </c>
      <c r="L79" s="3649">
        <f t="shared" si="52"/>
        <v>0.84516428704115087</v>
      </c>
      <c r="M79" s="3448">
        <v>0.9</v>
      </c>
      <c r="N79" s="3449">
        <f>P79*E79*F79+I79*E79*F79+J79*E79</f>
        <v>5.8835437319289547E-3</v>
      </c>
      <c r="O79" s="3450">
        <f t="shared" si="53"/>
        <v>5.6801812267658004E-4</v>
      </c>
      <c r="P79" s="3451">
        <f>O79*M79</f>
        <v>5.1121631040892208E-4</v>
      </c>
      <c r="Q79" s="3630" t="s">
        <v>1198</v>
      </c>
      <c r="R79" s="3452">
        <f>E79*F79*G79</f>
        <v>150</v>
      </c>
      <c r="S79" s="2844">
        <f t="shared" si="48"/>
        <v>0.15</v>
      </c>
      <c r="T79" s="2845">
        <f t="shared" si="49"/>
        <v>4.5441449814126404E-3</v>
      </c>
      <c r="U79" s="374">
        <f t="shared" si="41"/>
        <v>0</v>
      </c>
      <c r="V79" s="2846">
        <f t="shared" si="42"/>
        <v>0</v>
      </c>
      <c r="W79" s="2847">
        <f t="shared" si="43"/>
        <v>0</v>
      </c>
      <c r="X79" s="2848">
        <f t="shared" si="44"/>
        <v>0</v>
      </c>
      <c r="Y79" s="2849">
        <f t="shared" si="45"/>
        <v>0.15</v>
      </c>
      <c r="Z79" s="2850">
        <f t="shared" si="46"/>
        <v>0</v>
      </c>
      <c r="AA79" s="2851">
        <f t="shared" si="47"/>
        <v>0</v>
      </c>
      <c r="AB79" s="144"/>
      <c r="AC79" s="2867">
        <v>0</v>
      </c>
      <c r="AD79" s="2867">
        <v>0</v>
      </c>
      <c r="AE79" s="2867">
        <v>0</v>
      </c>
      <c r="AF79" s="2867">
        <v>0</v>
      </c>
      <c r="AG79" s="2867">
        <v>0</v>
      </c>
      <c r="AH79" s="2867">
        <v>0</v>
      </c>
      <c r="AI79" s="2825"/>
      <c r="AN79" s="1"/>
    </row>
    <row r="80" spans="1:40" ht="14" thickBot="1">
      <c r="A80" s="2183"/>
      <c r="B80" s="3336" t="s">
        <v>459</v>
      </c>
      <c r="C80" s="629">
        <f t="shared" si="51"/>
        <v>1.8933937422552669E-4</v>
      </c>
      <c r="D80" s="1433">
        <v>5</v>
      </c>
      <c r="E80" s="3452">
        <v>1</v>
      </c>
      <c r="F80" s="3452">
        <v>2</v>
      </c>
      <c r="G80" s="3452">
        <v>35</v>
      </c>
      <c r="H80" s="3512" t="s">
        <v>1639</v>
      </c>
      <c r="I80" s="3450">
        <v>0</v>
      </c>
      <c r="J80" s="3450">
        <v>3.472222222222222E-3</v>
      </c>
      <c r="K80" s="3513" t="s">
        <v>1191</v>
      </c>
      <c r="L80" s="3649">
        <f t="shared" si="52"/>
        <v>0.85104783077307988</v>
      </c>
      <c r="M80" s="3448">
        <v>0.8</v>
      </c>
      <c r="N80" s="3449">
        <f>P80*E80*F80+I80*E80*F80+J80*E80</f>
        <v>3.896342420487402E-3</v>
      </c>
      <c r="O80" s="3450">
        <f>C80*(G80/25)</f>
        <v>2.6507512391573735E-4</v>
      </c>
      <c r="P80" s="3451">
        <f>O80*M80</f>
        <v>2.1206009913258989E-4</v>
      </c>
      <c r="Q80" s="3452"/>
      <c r="R80" s="3452">
        <f>E80*F80*G80</f>
        <v>70</v>
      </c>
      <c r="S80" s="2844">
        <f t="shared" si="48"/>
        <v>7.0000000000000007E-2</v>
      </c>
      <c r="T80" s="2845">
        <f t="shared" si="49"/>
        <v>2.1206009913258988E-3</v>
      </c>
      <c r="U80" s="374">
        <f t="shared" si="41"/>
        <v>0</v>
      </c>
      <c r="V80" s="2846">
        <f t="shared" si="42"/>
        <v>0</v>
      </c>
      <c r="W80" s="2847">
        <f t="shared" si="43"/>
        <v>0</v>
      </c>
      <c r="X80" s="2848">
        <f t="shared" si="44"/>
        <v>0</v>
      </c>
      <c r="Y80" s="2849">
        <f t="shared" si="45"/>
        <v>7.0000000000000007E-2</v>
      </c>
      <c r="Z80" s="2850">
        <f t="shared" si="46"/>
        <v>0</v>
      </c>
      <c r="AA80" s="2851">
        <f t="shared" si="47"/>
        <v>0</v>
      </c>
      <c r="AB80" s="144"/>
      <c r="AC80" s="2867"/>
      <c r="AD80" s="2867"/>
      <c r="AE80" s="2867"/>
      <c r="AF80" s="2867"/>
      <c r="AG80" s="2867"/>
      <c r="AH80" s="2867"/>
      <c r="AI80" s="2825"/>
      <c r="AJ80" s="1"/>
      <c r="AK80" s="1"/>
      <c r="AL80" s="1"/>
      <c r="AM80" s="1"/>
      <c r="AN80" s="1"/>
    </row>
    <row r="81" spans="1:40" ht="14" thickBot="1">
      <c r="A81" s="2183"/>
      <c r="B81" s="3336" t="s">
        <v>459</v>
      </c>
      <c r="C81" s="629">
        <f t="shared" si="51"/>
        <v>1.7682291666666674E-4</v>
      </c>
      <c r="D81" s="3560">
        <v>7</v>
      </c>
      <c r="E81" s="3561">
        <v>1</v>
      </c>
      <c r="F81" s="3561">
        <v>12</v>
      </c>
      <c r="G81" s="3561">
        <v>25</v>
      </c>
      <c r="H81" s="3512"/>
      <c r="I81" s="3562">
        <v>0</v>
      </c>
      <c r="J81" s="3562">
        <v>6.9444444444444447E-4</v>
      </c>
      <c r="K81" s="2514" t="s">
        <v>1685</v>
      </c>
      <c r="L81" s="3648">
        <f>L80+N80</f>
        <v>0.8549441731935673</v>
      </c>
      <c r="M81" s="3493">
        <v>0.85</v>
      </c>
      <c r="N81" s="3494">
        <f>P81*E81*F81+I81*E81*F81+J81*E81</f>
        <v>2.6242897569444456E-3</v>
      </c>
      <c r="O81" s="3495">
        <f>C81*(G81/25)*1.07</f>
        <v>1.8920052083333343E-4</v>
      </c>
      <c r="P81" s="3496">
        <f>O81*M81</f>
        <v>1.6082044270833342E-4</v>
      </c>
      <c r="Q81" s="3130"/>
      <c r="R81" s="3497">
        <f>E81*F81*G81</f>
        <v>300</v>
      </c>
      <c r="S81" s="2844">
        <f t="shared" si="48"/>
        <v>0.3</v>
      </c>
      <c r="T81" s="2845">
        <f t="shared" si="49"/>
        <v>9.0816250000000046E-3</v>
      </c>
      <c r="U81" s="374">
        <f t="shared" si="41"/>
        <v>0</v>
      </c>
      <c r="V81" s="2846">
        <f t="shared" si="42"/>
        <v>0</v>
      </c>
      <c r="W81" s="2847">
        <f t="shared" si="43"/>
        <v>0</v>
      </c>
      <c r="X81" s="2848">
        <f t="shared" si="44"/>
        <v>0</v>
      </c>
      <c r="Y81" s="2849">
        <f t="shared" si="45"/>
        <v>0</v>
      </c>
      <c r="Z81" s="2850">
        <f t="shared" si="46"/>
        <v>0</v>
      </c>
      <c r="AA81" s="2851">
        <f t="shared" si="47"/>
        <v>0.3</v>
      </c>
      <c r="AB81" s="144"/>
      <c r="AC81" s="2867"/>
      <c r="AD81" s="2867"/>
      <c r="AE81" s="2867"/>
      <c r="AF81" s="2867"/>
      <c r="AG81" s="2867"/>
      <c r="AH81" s="2867"/>
      <c r="AI81" s="2825"/>
      <c r="AJ81" s="1"/>
      <c r="AK81" s="1"/>
      <c r="AL81" s="1"/>
      <c r="AM81" s="1"/>
      <c r="AN81" s="1"/>
    </row>
    <row r="82" spans="1:40" ht="14" thickBot="1">
      <c r="A82" s="2183"/>
      <c r="B82" s="3336"/>
      <c r="C82" s="629">
        <f t="shared" si="51"/>
        <v>0</v>
      </c>
      <c r="D82" s="4904"/>
      <c r="E82" s="5197"/>
      <c r="F82" s="5198"/>
      <c r="G82" s="5198"/>
      <c r="H82" s="5198"/>
      <c r="I82" s="5198"/>
      <c r="J82" s="5198"/>
      <c r="K82" s="5198"/>
      <c r="L82" s="5198"/>
      <c r="M82" s="5199"/>
      <c r="N82" s="5200"/>
      <c r="O82" s="5201"/>
      <c r="P82" s="5198"/>
      <c r="Q82" s="5198"/>
      <c r="R82" s="5195">
        <f>SUM(R77:R81)</f>
        <v>720</v>
      </c>
      <c r="S82" s="2844">
        <f t="shared" ref="S82:S89" si="54">E82*F82*G82/1000</f>
        <v>0</v>
      </c>
      <c r="T82" s="2845">
        <f t="shared" ref="T82:T89" si="55">E82*F82*O82*4</f>
        <v>0</v>
      </c>
      <c r="U82" s="374">
        <f t="shared" ref="U82" si="56">IF(C82*4&gt;=$U$4,S82,0)</f>
        <v>0</v>
      </c>
      <c r="V82" s="2846">
        <f t="shared" ref="V82" si="57">IF(AND(C82*4&gt;=$V$4,C82*4&lt;$U$4),S82,0)</f>
        <v>0</v>
      </c>
      <c r="W82" s="2847">
        <f t="shared" ref="W82" si="58">IF(AND(C82*4&gt;=$W$4,C82*4&lt;$V$4),S82,0)</f>
        <v>0</v>
      </c>
      <c r="X82" s="2848">
        <f t="shared" ref="X82" si="59">IF(AND(C82*4&gt;=$X$4,C82*4&lt;$W$4),S82,0)</f>
        <v>0</v>
      </c>
      <c r="Y82" s="2849">
        <f t="shared" ref="Y82" si="60">IF(AND(C82*4&gt;=$Y$4,C82*4&lt;$X$4),S82,0)</f>
        <v>0</v>
      </c>
      <c r="Z82" s="2850">
        <f t="shared" ref="Z82" si="61">IF(AND(C82*4&gt;=$Z$4,C82*4&lt;$Y$4),S82,0)</f>
        <v>0</v>
      </c>
      <c r="AA82" s="2851">
        <f t="shared" ref="AA82" si="62">IF(AND(C82*4&gt;=$AA$4,C82*4&lt;$Z$4),S82,0)</f>
        <v>0</v>
      </c>
      <c r="AB82" s="144"/>
      <c r="AC82" s="2867"/>
      <c r="AD82" s="2867"/>
      <c r="AE82" s="2867"/>
      <c r="AF82" s="2867"/>
      <c r="AG82" s="2867"/>
      <c r="AH82" s="2867"/>
      <c r="AI82" s="2825"/>
      <c r="AJ82" s="1"/>
      <c r="AK82" s="1"/>
      <c r="AL82" s="1"/>
      <c r="AM82" s="1"/>
      <c r="AN82" s="1"/>
    </row>
    <row r="83" spans="1:40" ht="14" thickBot="1">
      <c r="A83" s="2183"/>
      <c r="B83" s="3336"/>
      <c r="C83" s="629">
        <f t="shared" si="51"/>
        <v>0</v>
      </c>
      <c r="D83" s="856"/>
      <c r="E83" s="5193"/>
      <c r="F83" s="3755"/>
      <c r="G83" s="3755"/>
      <c r="H83" s="3755"/>
      <c r="I83" s="3755"/>
      <c r="J83" s="3755"/>
      <c r="K83" s="3755"/>
      <c r="L83" s="3755"/>
      <c r="M83" s="5194"/>
      <c r="N83" s="4052"/>
      <c r="O83" s="2707"/>
      <c r="P83" s="3755"/>
      <c r="Q83" s="3755"/>
      <c r="R83" s="5196">
        <f>R82+R76+R71</f>
        <v>2070</v>
      </c>
      <c r="S83" s="2844">
        <f t="shared" ref="S83:S88" si="63">E83*F83*G83/1000</f>
        <v>0</v>
      </c>
      <c r="T83" s="2845">
        <f t="shared" ref="T83:T88" si="64">E83*F83*O83*4</f>
        <v>0</v>
      </c>
      <c r="U83" s="374">
        <f t="shared" ref="U83:U88" si="65">IF(C83*4&gt;=$U$4,S83,0)</f>
        <v>0</v>
      </c>
      <c r="V83" s="2846">
        <f t="shared" ref="V83:V88" si="66">IF(AND(C83*4&gt;=$V$4,C83*4&lt;$U$4),S83,0)</f>
        <v>0</v>
      </c>
      <c r="W83" s="2847">
        <f t="shared" ref="W83:W88" si="67">IF(AND(C83*4&gt;=$W$4,C83*4&lt;$V$4),S83,0)</f>
        <v>0</v>
      </c>
      <c r="X83" s="2848">
        <f t="shared" ref="X83:X88" si="68">IF(AND(C83*4&gt;=$X$4,C83*4&lt;$W$4),S83,0)</f>
        <v>0</v>
      </c>
      <c r="Y83" s="2849">
        <f t="shared" ref="Y83:Y88" si="69">IF(AND(C83*4&gt;=$Y$4,C83*4&lt;$X$4),S83,0)</f>
        <v>0</v>
      </c>
      <c r="Z83" s="2850">
        <f t="shared" ref="Z83:Z88" si="70">IF(AND(C83*4&gt;=$Z$4,C83*4&lt;$Y$4),S83,0)</f>
        <v>0</v>
      </c>
      <c r="AA83" s="2851">
        <f t="shared" ref="AA83:AA88" si="71">IF(AND(C83*4&gt;=$AA$4,C83*4&lt;$Z$4),S83,0)</f>
        <v>0</v>
      </c>
      <c r="AB83" s="144"/>
      <c r="AC83" s="2867"/>
      <c r="AD83" s="2867"/>
      <c r="AE83" s="2867"/>
      <c r="AF83" s="2867"/>
      <c r="AG83" s="2867"/>
      <c r="AH83" s="2867"/>
      <c r="AI83" s="2825"/>
      <c r="AJ83" s="1"/>
      <c r="AK83" s="1"/>
      <c r="AL83" s="1"/>
      <c r="AM83" s="1"/>
      <c r="AN83" s="1"/>
    </row>
    <row r="84" spans="1:40" ht="14" thickBot="1">
      <c r="A84" s="2183"/>
      <c r="B84" s="3336"/>
      <c r="C84" s="629">
        <f t="shared" si="51"/>
        <v>2.1222190799396687E-4</v>
      </c>
      <c r="D84" s="2687">
        <v>3</v>
      </c>
      <c r="E84" s="1161">
        <v>1</v>
      </c>
      <c r="F84" s="1161">
        <v>4</v>
      </c>
      <c r="G84" s="1161">
        <v>800</v>
      </c>
      <c r="H84" s="2171"/>
      <c r="I84" s="1163">
        <v>1.7361111111111112E-4</v>
      </c>
      <c r="J84" s="1163">
        <v>1.3888888888888889E-3</v>
      </c>
      <c r="K84" s="1074" t="s">
        <v>1591</v>
      </c>
      <c r="L84" s="1148"/>
      <c r="M84" s="1164">
        <v>1.5</v>
      </c>
      <c r="N84" s="1163">
        <f>P84*E84*F84+I84*E84*F84+J84*E84</f>
        <v>4.2829939668174971E-2</v>
      </c>
      <c r="O84" s="1165">
        <f>C84*(G84/25)</f>
        <v>6.7911010558069397E-3</v>
      </c>
      <c r="P84" s="1165">
        <f t="shared" ref="P84" si="72">O84*M84</f>
        <v>1.018665158371041E-2</v>
      </c>
      <c r="Q84" s="333">
        <v>164</v>
      </c>
      <c r="R84" s="1161">
        <f>E84*F84*G84</f>
        <v>3200</v>
      </c>
      <c r="S84" s="2844">
        <f t="shared" si="63"/>
        <v>3.2</v>
      </c>
      <c r="T84" s="2845">
        <f t="shared" si="64"/>
        <v>0.10865761689291104</v>
      </c>
      <c r="U84" s="374">
        <f t="shared" si="65"/>
        <v>0</v>
      </c>
      <c r="V84" s="2846">
        <f t="shared" si="66"/>
        <v>0</v>
      </c>
      <c r="W84" s="2847">
        <f t="shared" si="67"/>
        <v>3.2</v>
      </c>
      <c r="X84" s="2848">
        <f t="shared" si="68"/>
        <v>0</v>
      </c>
      <c r="Y84" s="2849">
        <f t="shared" si="69"/>
        <v>0</v>
      </c>
      <c r="Z84" s="2850">
        <f t="shared" si="70"/>
        <v>0</v>
      </c>
      <c r="AA84" s="2851">
        <f t="shared" si="71"/>
        <v>0</v>
      </c>
      <c r="AB84" s="144"/>
      <c r="AC84" s="2867"/>
      <c r="AD84" s="2867"/>
      <c r="AE84" s="2867"/>
      <c r="AF84" s="2867"/>
      <c r="AG84" s="2867"/>
      <c r="AH84" s="2867"/>
      <c r="AI84" s="2825"/>
      <c r="AJ84" s="1"/>
      <c r="AK84" s="1"/>
      <c r="AL84" s="1"/>
      <c r="AM84" s="1"/>
      <c r="AN84" s="1"/>
    </row>
    <row r="85" spans="1:40" ht="14" thickBot="1">
      <c r="A85" s="2183"/>
      <c r="B85" s="3336"/>
      <c r="C85" s="629">
        <f t="shared" si="51"/>
        <v>1.7682291666666674E-4</v>
      </c>
      <c r="D85" s="4882">
        <v>7</v>
      </c>
      <c r="E85" s="441">
        <v>1</v>
      </c>
      <c r="F85" s="441">
        <v>1</v>
      </c>
      <c r="G85" s="441">
        <v>200</v>
      </c>
      <c r="H85" s="3369" t="s">
        <v>1385</v>
      </c>
      <c r="I85" s="436">
        <v>4.6296296296296293E-4</v>
      </c>
      <c r="J85" s="436">
        <v>1.3888888888888889E-3</v>
      </c>
      <c r="K85" s="443"/>
      <c r="L85" s="4917"/>
      <c r="M85" s="1542"/>
      <c r="N85" s="5203">
        <v>1.6538194444444445E-3</v>
      </c>
      <c r="O85" s="1528">
        <f>C85*(G85/25)</f>
        <v>1.4145833333333339E-3</v>
      </c>
      <c r="P85" s="5205" t="s">
        <v>2091</v>
      </c>
      <c r="Q85" s="3380"/>
      <c r="R85" s="5202">
        <v>200</v>
      </c>
      <c r="S85" s="2844">
        <f t="shared" si="63"/>
        <v>0.2</v>
      </c>
      <c r="T85" s="2845">
        <f t="shared" si="64"/>
        <v>5.6583333333333355E-3</v>
      </c>
      <c r="U85" s="374">
        <f t="shared" si="65"/>
        <v>0</v>
      </c>
      <c r="V85" s="2846">
        <f t="shared" si="66"/>
        <v>0</v>
      </c>
      <c r="W85" s="2847">
        <f t="shared" si="67"/>
        <v>0</v>
      </c>
      <c r="X85" s="2848">
        <f t="shared" si="68"/>
        <v>0</v>
      </c>
      <c r="Y85" s="2849">
        <f t="shared" si="69"/>
        <v>0</v>
      </c>
      <c r="Z85" s="2850">
        <f t="shared" si="70"/>
        <v>0</v>
      </c>
      <c r="AA85" s="2851">
        <f t="shared" si="71"/>
        <v>0.2</v>
      </c>
      <c r="AB85" s="144"/>
      <c r="AC85" s="2867"/>
      <c r="AD85" s="2867"/>
      <c r="AE85" s="2867"/>
      <c r="AF85" s="2867"/>
      <c r="AG85" s="2867"/>
      <c r="AH85" s="2867"/>
      <c r="AI85" s="2825"/>
      <c r="AJ85" s="1"/>
      <c r="AK85" s="1"/>
      <c r="AL85" s="1"/>
      <c r="AM85" s="1"/>
      <c r="AN85" s="1"/>
    </row>
    <row r="86" spans="1:40" ht="14" thickBot="1">
      <c r="A86" s="2183"/>
      <c r="B86" s="3336"/>
      <c r="C86" s="629">
        <f t="shared" si="51"/>
        <v>1.7682291666666674E-4</v>
      </c>
      <c r="D86" s="1539">
        <v>7</v>
      </c>
      <c r="E86" s="441">
        <v>1</v>
      </c>
      <c r="F86" s="441">
        <v>1</v>
      </c>
      <c r="G86" s="441">
        <v>100</v>
      </c>
      <c r="H86" s="3369" t="s">
        <v>1385</v>
      </c>
      <c r="I86" s="436">
        <v>4.6296296296296293E-4</v>
      </c>
      <c r="J86" s="436">
        <v>1.3888888888888889E-3</v>
      </c>
      <c r="K86" s="443"/>
      <c r="L86" s="4917"/>
      <c r="M86" s="1542"/>
      <c r="N86" s="5203">
        <v>7.1770833333333333E-4</v>
      </c>
      <c r="O86" s="1528">
        <f>C86*(G86/25)</f>
        <v>7.0729166666666694E-4</v>
      </c>
      <c r="P86" s="5205" t="s">
        <v>2091</v>
      </c>
      <c r="Q86" s="3380"/>
      <c r="R86" s="5202">
        <v>100</v>
      </c>
      <c r="S86" s="2844">
        <f t="shared" si="63"/>
        <v>0.1</v>
      </c>
      <c r="T86" s="2845">
        <f t="shared" si="64"/>
        <v>2.8291666666666678E-3</v>
      </c>
      <c r="U86" s="374">
        <f t="shared" si="65"/>
        <v>0</v>
      </c>
      <c r="V86" s="2846">
        <f t="shared" si="66"/>
        <v>0</v>
      </c>
      <c r="W86" s="2847">
        <f t="shared" si="67"/>
        <v>0</v>
      </c>
      <c r="X86" s="2848">
        <f t="shared" si="68"/>
        <v>0</v>
      </c>
      <c r="Y86" s="2849">
        <f t="shared" si="69"/>
        <v>0</v>
      </c>
      <c r="Z86" s="2850">
        <f t="shared" si="70"/>
        <v>0</v>
      </c>
      <c r="AA86" s="2851">
        <f t="shared" si="71"/>
        <v>0.1</v>
      </c>
      <c r="AB86" s="144"/>
      <c r="AC86" s="2867"/>
      <c r="AD86" s="2867"/>
      <c r="AE86" s="2867"/>
      <c r="AF86" s="2867"/>
      <c r="AG86" s="2867"/>
      <c r="AH86" s="2867"/>
      <c r="AI86" s="2825"/>
      <c r="AJ86" s="1"/>
      <c r="AK86" s="1"/>
      <c r="AL86" s="1"/>
      <c r="AM86" s="1"/>
      <c r="AN86" s="1"/>
    </row>
    <row r="87" spans="1:40" ht="14" thickBot="1">
      <c r="A87" s="2183"/>
      <c r="B87" s="3336"/>
      <c r="C87" s="629">
        <f t="shared" si="51"/>
        <v>1.7682291666666674E-4</v>
      </c>
      <c r="D87" s="1539">
        <v>7</v>
      </c>
      <c r="E87" s="441">
        <v>1</v>
      </c>
      <c r="F87" s="441">
        <v>1</v>
      </c>
      <c r="G87" s="441">
        <v>50</v>
      </c>
      <c r="H87" s="3369" t="s">
        <v>299</v>
      </c>
      <c r="I87" s="436">
        <v>4.6296296296296293E-4</v>
      </c>
      <c r="J87" s="436">
        <v>1.3888888888888889E-3</v>
      </c>
      <c r="K87" s="443"/>
      <c r="L87" s="4917"/>
      <c r="M87" s="1542"/>
      <c r="N87" s="5203">
        <v>4.1134259259259254E-4</v>
      </c>
      <c r="O87" s="1528">
        <f>C87*(G87/25)</f>
        <v>3.5364583333333347E-4</v>
      </c>
      <c r="P87" s="5204" t="s">
        <v>2090</v>
      </c>
      <c r="Q87" s="3380"/>
      <c r="R87" s="3381">
        <v>50</v>
      </c>
      <c r="S87" s="2844">
        <f t="shared" si="63"/>
        <v>0.05</v>
      </c>
      <c r="T87" s="2845">
        <f t="shared" si="64"/>
        <v>1.4145833333333339E-3</v>
      </c>
      <c r="U87" s="374">
        <f t="shared" si="65"/>
        <v>0</v>
      </c>
      <c r="V87" s="2846">
        <f t="shared" si="66"/>
        <v>0</v>
      </c>
      <c r="W87" s="2847">
        <f t="shared" si="67"/>
        <v>0</v>
      </c>
      <c r="X87" s="2848">
        <f t="shared" si="68"/>
        <v>0</v>
      </c>
      <c r="Y87" s="2849">
        <f t="shared" si="69"/>
        <v>0</v>
      </c>
      <c r="Z87" s="2850">
        <f t="shared" si="70"/>
        <v>0</v>
      </c>
      <c r="AA87" s="2851">
        <f t="shared" si="71"/>
        <v>0.05</v>
      </c>
      <c r="AB87" s="144"/>
      <c r="AC87" s="2867"/>
      <c r="AD87" s="2867"/>
      <c r="AE87" s="2867"/>
      <c r="AF87" s="2867"/>
      <c r="AG87" s="2867"/>
      <c r="AH87" s="2867"/>
      <c r="AI87" s="2825"/>
      <c r="AJ87" s="1"/>
      <c r="AK87" s="1"/>
      <c r="AL87" s="1"/>
      <c r="AM87" s="1"/>
      <c r="AN87" s="1"/>
    </row>
    <row r="88" spans="1:40" ht="14" thickBot="1">
      <c r="A88" s="2183"/>
      <c r="B88" s="3336"/>
      <c r="C88" s="629">
        <f t="shared" si="51"/>
        <v>1.7682291666666674E-4</v>
      </c>
      <c r="D88" s="1539">
        <v>7</v>
      </c>
      <c r="E88" s="441">
        <v>1</v>
      </c>
      <c r="F88" s="441">
        <v>1</v>
      </c>
      <c r="G88" s="441">
        <v>50</v>
      </c>
      <c r="H88" s="3369" t="s">
        <v>1385</v>
      </c>
      <c r="I88" s="436">
        <v>4.6296296296296293E-4</v>
      </c>
      <c r="J88" s="436">
        <v>1.3888888888888889E-3</v>
      </c>
      <c r="K88" s="443"/>
      <c r="L88" s="4917"/>
      <c r="M88" s="1542"/>
      <c r="N88" s="5203">
        <v>3.2418981481481486E-4</v>
      </c>
      <c r="O88" s="1528">
        <f>C88*(G88/25)</f>
        <v>3.5364583333333347E-4</v>
      </c>
      <c r="P88" s="5205" t="s">
        <v>2091</v>
      </c>
      <c r="Q88" s="3380"/>
      <c r="R88" s="5202">
        <v>50</v>
      </c>
      <c r="S88" s="2844">
        <f t="shared" si="63"/>
        <v>0.05</v>
      </c>
      <c r="T88" s="2845">
        <f t="shared" si="64"/>
        <v>1.4145833333333339E-3</v>
      </c>
      <c r="U88" s="374">
        <f t="shared" si="65"/>
        <v>0</v>
      </c>
      <c r="V88" s="2846">
        <f t="shared" si="66"/>
        <v>0</v>
      </c>
      <c r="W88" s="2847">
        <f t="shared" si="67"/>
        <v>0</v>
      </c>
      <c r="X88" s="2848">
        <f t="shared" si="68"/>
        <v>0</v>
      </c>
      <c r="Y88" s="2849">
        <f t="shared" si="69"/>
        <v>0</v>
      </c>
      <c r="Z88" s="2850">
        <f t="shared" si="70"/>
        <v>0</v>
      </c>
      <c r="AA88" s="2851">
        <f t="shared" si="71"/>
        <v>0.05</v>
      </c>
      <c r="AB88" s="144"/>
      <c r="AC88" s="2867"/>
      <c r="AD88" s="2867"/>
      <c r="AE88" s="2867"/>
      <c r="AF88" s="2867"/>
      <c r="AG88" s="2867"/>
      <c r="AH88" s="2867"/>
      <c r="AI88" s="2825"/>
      <c r="AJ88" s="1"/>
      <c r="AK88" s="1"/>
      <c r="AL88" s="1"/>
      <c r="AM88" s="1"/>
      <c r="AN88" s="1"/>
    </row>
    <row r="89" spans="1:40" ht="15" thickTop="1" thickBot="1">
      <c r="A89" s="2183"/>
      <c r="B89" s="3336"/>
      <c r="C89" s="1486"/>
      <c r="D89" s="1487"/>
      <c r="E89" s="1452"/>
      <c r="F89" s="1452"/>
      <c r="G89" s="1452"/>
      <c r="H89" s="1452"/>
      <c r="I89" s="1452"/>
      <c r="J89" s="1452"/>
      <c r="K89" s="1452"/>
      <c r="L89" s="1008">
        <f>L81+N81</f>
        <v>0.8575684629505117</v>
      </c>
      <c r="M89" s="1489">
        <v>1.1000000000000001</v>
      </c>
      <c r="N89" s="1008">
        <f>P89*E89*F89+I89*E89*F89+J89*E89</f>
        <v>0</v>
      </c>
      <c r="O89" s="1488"/>
      <c r="P89" s="1488"/>
      <c r="Q89" s="1488"/>
      <c r="R89" s="1666">
        <f>SUM(R84:R88)</f>
        <v>3600</v>
      </c>
      <c r="S89" s="2844">
        <f t="shared" si="54"/>
        <v>0</v>
      </c>
      <c r="T89" s="2845">
        <f t="shared" si="55"/>
        <v>0</v>
      </c>
      <c r="U89" s="3155">
        <f t="shared" ref="U89:AA89" si="73">SUM(U6:U88)</f>
        <v>5.0000000000000009</v>
      </c>
      <c r="V89" s="3155">
        <f t="shared" si="73"/>
        <v>2.6</v>
      </c>
      <c r="W89" s="3155">
        <f t="shared" si="73"/>
        <v>6.2000000000000011</v>
      </c>
      <c r="X89" s="3155">
        <f t="shared" si="73"/>
        <v>0.2</v>
      </c>
      <c r="Y89" s="3155">
        <f t="shared" si="73"/>
        <v>3.4200000000000004</v>
      </c>
      <c r="Z89" s="3155">
        <f t="shared" si="73"/>
        <v>1.4000000000000001</v>
      </c>
      <c r="AA89" s="3155">
        <f t="shared" si="73"/>
        <v>2.7199999999999998</v>
      </c>
      <c r="AB89" s="5192">
        <f>SUM(U89:AA89)</f>
        <v>21.54</v>
      </c>
      <c r="AC89" s="2867"/>
      <c r="AD89" s="2867"/>
      <c r="AE89" s="2867"/>
      <c r="AF89" s="2867"/>
      <c r="AG89" s="2867"/>
      <c r="AH89" s="2867"/>
      <c r="AI89" s="2825"/>
      <c r="AJ89" s="1"/>
      <c r="AK89" s="1"/>
      <c r="AL89" s="1"/>
      <c r="AM89" s="1"/>
      <c r="AN89" s="1"/>
    </row>
    <row r="90" spans="1:40" ht="15" thickTop="1" thickBot="1">
      <c r="A90" s="2183"/>
      <c r="B90" s="3563"/>
      <c r="C90" s="144"/>
      <c r="D90" s="4444"/>
      <c r="E90" s="4594">
        <f>U89*100000/$Q$90</f>
        <v>23.212627669452189</v>
      </c>
      <c r="F90" s="4594">
        <f t="shared" ref="F90:K90" si="74">V89*100000/$Q$90</f>
        <v>12.070566388115134</v>
      </c>
      <c r="G90" s="4594">
        <f t="shared" si="74"/>
        <v>28.78365831012071</v>
      </c>
      <c r="H90" s="4594">
        <f t="shared" si="74"/>
        <v>0.92850510677808729</v>
      </c>
      <c r="I90" s="4594">
        <f t="shared" si="74"/>
        <v>15.877437325905294</v>
      </c>
      <c r="J90" s="4594">
        <f t="shared" si="74"/>
        <v>6.4995357474466111</v>
      </c>
      <c r="K90" s="4595">
        <f t="shared" si="74"/>
        <v>12.627669452181987</v>
      </c>
      <c r="L90" s="4378" t="s">
        <v>1922</v>
      </c>
      <c r="M90" s="1278"/>
      <c r="N90" s="1278"/>
      <c r="O90" s="1278"/>
      <c r="P90" s="1278"/>
      <c r="Q90" s="7881">
        <f>AB89*1000</f>
        <v>21540</v>
      </c>
      <c r="R90" s="7882"/>
      <c r="S90" s="3631"/>
      <c r="T90" s="3154"/>
      <c r="U90" s="3157">
        <f t="shared" ref="U90:AA91" si="75">IF(U89&gt;0,U89,U80)</f>
        <v>5.0000000000000009</v>
      </c>
      <c r="V90" s="3157">
        <f t="shared" si="75"/>
        <v>2.6</v>
      </c>
      <c r="W90" s="3157">
        <f t="shared" si="75"/>
        <v>6.2000000000000011</v>
      </c>
      <c r="X90" s="3157">
        <f t="shared" si="75"/>
        <v>0.2</v>
      </c>
      <c r="Y90" s="3157">
        <f t="shared" si="75"/>
        <v>3.4200000000000004</v>
      </c>
      <c r="Z90" s="3157">
        <f t="shared" si="75"/>
        <v>1.4000000000000001</v>
      </c>
      <c r="AA90" s="3157">
        <f t="shared" si="75"/>
        <v>2.7199999999999998</v>
      </c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1"/>
      <c r="AK90" s="1"/>
      <c r="AL90" s="1"/>
      <c r="AM90" s="1"/>
      <c r="AN90" s="1"/>
    </row>
    <row r="91" spans="1:40" ht="14" thickBot="1">
      <c r="A91" s="2183"/>
      <c r="B91" s="3336"/>
      <c r="C91" s="144"/>
      <c r="D91" s="4444"/>
      <c r="E91" s="4521">
        <f>E90*15/100</f>
        <v>3.481894150417828</v>
      </c>
      <c r="F91" s="4522">
        <f t="shared" ref="F91:K91" si="76">F90*15/100</f>
        <v>1.8105849582172702</v>
      </c>
      <c r="G91" s="4523">
        <f t="shared" si="76"/>
        <v>4.3175487465181064</v>
      </c>
      <c r="H91" s="4524">
        <f t="shared" si="76"/>
        <v>0.1392757660167131</v>
      </c>
      <c r="I91" s="4525">
        <f t="shared" si="76"/>
        <v>2.3816155988857939</v>
      </c>
      <c r="J91" s="4526">
        <f t="shared" si="76"/>
        <v>0.97493036211699158</v>
      </c>
      <c r="K91" s="4527">
        <f t="shared" si="76"/>
        <v>1.8941504178272981</v>
      </c>
      <c r="L91" s="4378" t="s">
        <v>1252</v>
      </c>
      <c r="M91" s="144"/>
      <c r="N91" s="144"/>
      <c r="O91" s="144"/>
      <c r="P91" s="144"/>
      <c r="Q91" s="144"/>
      <c r="R91" s="144"/>
      <c r="S91" s="144"/>
      <c r="T91" s="144"/>
      <c r="U91" s="3157">
        <f t="shared" si="75"/>
        <v>5.0000000000000009</v>
      </c>
      <c r="V91" s="3157">
        <f t="shared" si="75"/>
        <v>2.6</v>
      </c>
      <c r="W91" s="3157">
        <f t="shared" si="75"/>
        <v>6.2000000000000011</v>
      </c>
      <c r="X91" s="3157">
        <f t="shared" si="75"/>
        <v>0.2</v>
      </c>
      <c r="Y91" s="3157">
        <f t="shared" si="75"/>
        <v>3.4200000000000004</v>
      </c>
      <c r="Z91" s="3157">
        <f t="shared" si="75"/>
        <v>1.4000000000000001</v>
      </c>
      <c r="AA91" s="3157">
        <f t="shared" si="75"/>
        <v>2.7199999999999998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6"/>
      <c r="M92" s="144"/>
      <c r="N92" s="144"/>
      <c r="O92" s="144"/>
      <c r="P92" s="144"/>
      <c r="Q92" s="144"/>
      <c r="R92" s="144"/>
      <c r="S92" s="144"/>
      <c r="T92" s="144"/>
      <c r="U92" s="3157">
        <f t="shared" ref="U92:AA106" si="77">IF(U91&gt;0,U91,U90)</f>
        <v>5.0000000000000009</v>
      </c>
      <c r="V92" s="3157">
        <f t="shared" si="77"/>
        <v>2.6</v>
      </c>
      <c r="W92" s="3157">
        <f t="shared" si="77"/>
        <v>6.2000000000000011</v>
      </c>
      <c r="X92" s="3157">
        <f t="shared" si="77"/>
        <v>0.2</v>
      </c>
      <c r="Y92" s="3157">
        <f t="shared" si="77"/>
        <v>3.4200000000000004</v>
      </c>
      <c r="Z92" s="3157">
        <f t="shared" si="77"/>
        <v>1.4000000000000001</v>
      </c>
      <c r="AA92" s="3157">
        <f t="shared" si="77"/>
        <v>2.7199999999999998</v>
      </c>
      <c r="AB92" s="144"/>
      <c r="AC92" s="2867">
        <v>0</v>
      </c>
      <c r="AD92" s="2867">
        <v>0</v>
      </c>
      <c r="AE92" s="2867">
        <v>0</v>
      </c>
      <c r="AF92" s="2867">
        <v>0</v>
      </c>
      <c r="AG92" s="2867">
        <v>0</v>
      </c>
      <c r="AH92" s="2867">
        <v>0</v>
      </c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6"/>
      <c r="M93" s="144"/>
      <c r="N93" s="144"/>
      <c r="O93" s="144"/>
      <c r="P93" s="144"/>
      <c r="Q93" s="144"/>
      <c r="R93" s="144"/>
      <c r="S93" s="144"/>
      <c r="T93" s="144"/>
      <c r="U93" s="3157">
        <f t="shared" si="77"/>
        <v>5.0000000000000009</v>
      </c>
      <c r="V93" s="3157">
        <f t="shared" si="77"/>
        <v>2.6</v>
      </c>
      <c r="W93" s="3157">
        <f t="shared" si="77"/>
        <v>6.2000000000000011</v>
      </c>
      <c r="X93" s="3157">
        <f t="shared" si="77"/>
        <v>0.2</v>
      </c>
      <c r="Y93" s="3157">
        <f t="shared" si="77"/>
        <v>3.4200000000000004</v>
      </c>
      <c r="Z93" s="3157">
        <f t="shared" si="77"/>
        <v>1.4000000000000001</v>
      </c>
      <c r="AA93" s="3157">
        <f t="shared" si="77"/>
        <v>2.7199999999999998</v>
      </c>
      <c r="AB93" s="144"/>
      <c r="AC93" s="2867"/>
      <c r="AD93" s="2867"/>
      <c r="AE93" s="2867"/>
      <c r="AF93" s="2867"/>
      <c r="AG93" s="2867"/>
      <c r="AH93" s="2867"/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6"/>
      <c r="M94" s="144"/>
      <c r="N94" s="144"/>
      <c r="O94" s="144"/>
      <c r="P94" s="144"/>
      <c r="Q94" s="144"/>
      <c r="R94" s="144"/>
      <c r="S94" s="144"/>
      <c r="T94" s="144"/>
      <c r="U94" s="3157">
        <f t="shared" si="77"/>
        <v>5.0000000000000009</v>
      </c>
      <c r="V94" s="3157">
        <f t="shared" si="77"/>
        <v>2.6</v>
      </c>
      <c r="W94" s="3157">
        <f t="shared" si="77"/>
        <v>6.2000000000000011</v>
      </c>
      <c r="X94" s="3157">
        <f t="shared" si="77"/>
        <v>0.2</v>
      </c>
      <c r="Y94" s="3157">
        <f t="shared" si="77"/>
        <v>3.4200000000000004</v>
      </c>
      <c r="Z94" s="3157">
        <f t="shared" si="77"/>
        <v>1.4000000000000001</v>
      </c>
      <c r="AA94" s="3157">
        <f t="shared" si="77"/>
        <v>2.7199999999999998</v>
      </c>
      <c r="AB94" s="144"/>
      <c r="AC94" s="2867"/>
      <c r="AD94" s="2867"/>
      <c r="AE94" s="2867"/>
      <c r="AF94" s="2867"/>
      <c r="AG94" s="2867"/>
      <c r="AH94" s="2867"/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6"/>
      <c r="M95" s="144"/>
      <c r="N95" s="144"/>
      <c r="O95" s="144"/>
      <c r="P95" s="144"/>
      <c r="Q95" s="144"/>
      <c r="R95" s="144"/>
      <c r="S95" s="144"/>
      <c r="T95" s="144"/>
      <c r="U95" s="3157">
        <f t="shared" si="77"/>
        <v>5.0000000000000009</v>
      </c>
      <c r="V95" s="3157">
        <f t="shared" si="77"/>
        <v>2.6</v>
      </c>
      <c r="W95" s="3157">
        <f t="shared" si="77"/>
        <v>6.2000000000000011</v>
      </c>
      <c r="X95" s="3157">
        <f t="shared" si="77"/>
        <v>0.2</v>
      </c>
      <c r="Y95" s="3157">
        <f t="shared" si="77"/>
        <v>3.4200000000000004</v>
      </c>
      <c r="Z95" s="3157">
        <f t="shared" si="77"/>
        <v>1.4000000000000001</v>
      </c>
      <c r="AA95" s="3157">
        <f t="shared" si="77"/>
        <v>2.7199999999999998</v>
      </c>
      <c r="AB95" s="144"/>
      <c r="AC95" s="2867">
        <v>0</v>
      </c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82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6"/>
      <c r="M96" s="144"/>
      <c r="N96" s="144"/>
      <c r="O96" s="144"/>
      <c r="P96" s="144"/>
      <c r="Q96" s="144"/>
      <c r="R96" s="144"/>
      <c r="S96" s="144"/>
      <c r="T96" s="144"/>
      <c r="U96" s="3157">
        <f t="shared" si="77"/>
        <v>5.0000000000000009</v>
      </c>
      <c r="V96" s="3157">
        <f t="shared" si="77"/>
        <v>2.6</v>
      </c>
      <c r="W96" s="3157">
        <f t="shared" si="77"/>
        <v>6.2000000000000011</v>
      </c>
      <c r="X96" s="3157">
        <f t="shared" si="77"/>
        <v>0.2</v>
      </c>
      <c r="Y96" s="3157">
        <f t="shared" si="77"/>
        <v>3.4200000000000004</v>
      </c>
      <c r="Z96" s="3157">
        <f t="shared" si="77"/>
        <v>1.4000000000000001</v>
      </c>
      <c r="AA96" s="3157">
        <f t="shared" si="77"/>
        <v>2.7199999999999998</v>
      </c>
      <c r="AB96" s="144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6"/>
      <c r="M97" s="144"/>
      <c r="N97" s="144"/>
      <c r="O97" s="144"/>
      <c r="P97" s="144"/>
      <c r="Q97" s="144"/>
      <c r="R97" s="144"/>
      <c r="S97" s="144"/>
      <c r="T97" s="144"/>
      <c r="U97" s="3157">
        <f t="shared" si="77"/>
        <v>5.0000000000000009</v>
      </c>
      <c r="V97" s="3157">
        <f t="shared" si="77"/>
        <v>2.6</v>
      </c>
      <c r="W97" s="3157">
        <f t="shared" si="77"/>
        <v>6.2000000000000011</v>
      </c>
      <c r="X97" s="3157">
        <f t="shared" si="77"/>
        <v>0.2</v>
      </c>
      <c r="Y97" s="3157">
        <f t="shared" si="77"/>
        <v>3.4200000000000004</v>
      </c>
      <c r="Z97" s="3157">
        <f t="shared" si="77"/>
        <v>1.4000000000000001</v>
      </c>
      <c r="AA97" s="3157">
        <f t="shared" si="77"/>
        <v>2.7199999999999998</v>
      </c>
      <c r="AB97" s="144"/>
      <c r="AC97" s="2867"/>
      <c r="AD97" s="2867"/>
      <c r="AE97" s="2867"/>
      <c r="AF97" s="2867"/>
      <c r="AG97" s="2867"/>
      <c r="AH97" s="2867"/>
      <c r="AI97" s="2825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6"/>
      <c r="M98" s="144"/>
      <c r="N98" s="144"/>
      <c r="O98" s="144"/>
      <c r="P98" s="144"/>
      <c r="Q98" s="144"/>
      <c r="R98" s="144"/>
      <c r="S98" s="144"/>
      <c r="T98" s="144"/>
      <c r="U98" s="3157">
        <f t="shared" si="77"/>
        <v>5.0000000000000009</v>
      </c>
      <c r="V98" s="3157">
        <f t="shared" si="77"/>
        <v>2.6</v>
      </c>
      <c r="W98" s="3157">
        <f t="shared" si="77"/>
        <v>6.2000000000000011</v>
      </c>
      <c r="X98" s="3157">
        <f t="shared" si="77"/>
        <v>0.2</v>
      </c>
      <c r="Y98" s="3157">
        <f t="shared" si="77"/>
        <v>3.4200000000000004</v>
      </c>
      <c r="Z98" s="3157">
        <f t="shared" si="77"/>
        <v>1.4000000000000001</v>
      </c>
      <c r="AA98" s="3157">
        <f t="shared" si="77"/>
        <v>2.7199999999999998</v>
      </c>
      <c r="AB98" s="144"/>
      <c r="AC98" s="2867"/>
      <c r="AD98" s="2867"/>
      <c r="AE98" s="2867"/>
      <c r="AF98" s="2867"/>
      <c r="AG98" s="2867"/>
      <c r="AH98" s="2867"/>
      <c r="AI98" s="2825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6"/>
      <c r="M99" s="144"/>
      <c r="N99" s="144"/>
      <c r="O99" s="144"/>
      <c r="P99" s="144"/>
      <c r="Q99" s="144"/>
      <c r="R99" s="144"/>
      <c r="S99" s="144"/>
      <c r="T99" s="144"/>
      <c r="U99" s="3157">
        <f t="shared" si="77"/>
        <v>5.0000000000000009</v>
      </c>
      <c r="V99" s="3157">
        <f t="shared" si="77"/>
        <v>2.6</v>
      </c>
      <c r="W99" s="3157">
        <f t="shared" si="77"/>
        <v>6.2000000000000011</v>
      </c>
      <c r="X99" s="3157">
        <f t="shared" si="77"/>
        <v>0.2</v>
      </c>
      <c r="Y99" s="3157">
        <f t="shared" si="77"/>
        <v>3.4200000000000004</v>
      </c>
      <c r="Z99" s="3157">
        <f t="shared" si="77"/>
        <v>1.4000000000000001</v>
      </c>
      <c r="AA99" s="3157">
        <f t="shared" si="77"/>
        <v>2.7199999999999998</v>
      </c>
      <c r="AB99" s="144"/>
      <c r="AC99" s="2867">
        <v>0</v>
      </c>
      <c r="AD99" s="2867">
        <v>0</v>
      </c>
      <c r="AE99" s="2867">
        <v>0</v>
      </c>
      <c r="AF99" s="2867">
        <v>0</v>
      </c>
      <c r="AG99" s="2867">
        <v>0</v>
      </c>
      <c r="AH99" s="2867">
        <v>0</v>
      </c>
      <c r="AI99" s="2825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6"/>
      <c r="M100" s="144"/>
      <c r="N100" s="144"/>
      <c r="O100" s="144"/>
      <c r="P100" s="144"/>
      <c r="Q100" s="144"/>
      <c r="R100" s="144"/>
      <c r="S100" s="144"/>
      <c r="T100" s="144"/>
      <c r="U100" s="3157">
        <f t="shared" si="77"/>
        <v>5.0000000000000009</v>
      </c>
      <c r="V100" s="3157">
        <f t="shared" si="77"/>
        <v>2.6</v>
      </c>
      <c r="W100" s="3157">
        <f t="shared" si="77"/>
        <v>6.2000000000000011</v>
      </c>
      <c r="X100" s="3157">
        <f t="shared" si="77"/>
        <v>0.2</v>
      </c>
      <c r="Y100" s="3157">
        <f t="shared" si="77"/>
        <v>3.4200000000000004</v>
      </c>
      <c r="Z100" s="3157">
        <f t="shared" si="77"/>
        <v>1.4000000000000001</v>
      </c>
      <c r="AA100" s="3157">
        <f t="shared" si="77"/>
        <v>2.7199999999999998</v>
      </c>
      <c r="AB100" s="144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6"/>
      <c r="M101" s="144"/>
      <c r="N101" s="144"/>
      <c r="O101" s="144"/>
      <c r="P101" s="144"/>
      <c r="Q101" s="144"/>
      <c r="R101" s="144"/>
      <c r="S101" s="144"/>
      <c r="T101" s="144"/>
      <c r="U101" s="3157">
        <f t="shared" si="77"/>
        <v>5.0000000000000009</v>
      </c>
      <c r="V101" s="3157">
        <f t="shared" si="77"/>
        <v>2.6</v>
      </c>
      <c r="W101" s="3157">
        <f t="shared" si="77"/>
        <v>6.2000000000000011</v>
      </c>
      <c r="X101" s="3157">
        <f t="shared" si="77"/>
        <v>0.2</v>
      </c>
      <c r="Y101" s="3157">
        <f t="shared" si="77"/>
        <v>3.4200000000000004</v>
      </c>
      <c r="Z101" s="3157">
        <f t="shared" si="77"/>
        <v>1.4000000000000001</v>
      </c>
      <c r="AA101" s="3157">
        <f t="shared" si="77"/>
        <v>2.7199999999999998</v>
      </c>
      <c r="AB101" s="144"/>
      <c r="AC101" s="2867">
        <v>0</v>
      </c>
      <c r="AD101" s="2867">
        <v>0</v>
      </c>
      <c r="AE101" s="2867">
        <v>0</v>
      </c>
      <c r="AF101" s="2867">
        <v>0</v>
      </c>
      <c r="AG101" s="2867">
        <v>0</v>
      </c>
      <c r="AH101" s="2867">
        <v>0</v>
      </c>
      <c r="AI101" s="2825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6"/>
      <c r="M102" s="144"/>
      <c r="N102" s="144"/>
      <c r="O102" s="144"/>
      <c r="P102" s="144"/>
      <c r="Q102" s="144"/>
      <c r="R102" s="144"/>
      <c r="S102" s="144"/>
      <c r="T102" s="144"/>
      <c r="U102" s="3157">
        <f t="shared" si="77"/>
        <v>5.0000000000000009</v>
      </c>
      <c r="V102" s="3157">
        <f t="shared" si="77"/>
        <v>2.6</v>
      </c>
      <c r="W102" s="3157">
        <f t="shared" si="77"/>
        <v>6.2000000000000011</v>
      </c>
      <c r="X102" s="3157">
        <f t="shared" si="77"/>
        <v>0.2</v>
      </c>
      <c r="Y102" s="3157">
        <f t="shared" si="77"/>
        <v>3.4200000000000004</v>
      </c>
      <c r="Z102" s="3157">
        <f t="shared" si="77"/>
        <v>1.4000000000000001</v>
      </c>
      <c r="AA102" s="3157">
        <f t="shared" si="77"/>
        <v>2.7199999999999998</v>
      </c>
      <c r="AB102" s="144"/>
      <c r="AC102" s="2867">
        <v>0</v>
      </c>
      <c r="AD102" s="2867">
        <v>0</v>
      </c>
      <c r="AE102" s="2867">
        <v>0</v>
      </c>
      <c r="AF102" s="2867">
        <v>0</v>
      </c>
      <c r="AG102" s="2867">
        <v>0</v>
      </c>
      <c r="AH102" s="2867">
        <v>0</v>
      </c>
      <c r="AI102" s="2825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6"/>
      <c r="M103" s="144"/>
      <c r="N103" s="144"/>
      <c r="O103" s="144"/>
      <c r="P103" s="144"/>
      <c r="Q103" s="144"/>
      <c r="R103" s="144"/>
      <c r="S103" s="144"/>
      <c r="T103" s="144"/>
      <c r="U103" s="3157">
        <f t="shared" si="77"/>
        <v>5.0000000000000009</v>
      </c>
      <c r="V103" s="3157">
        <f t="shared" si="77"/>
        <v>2.6</v>
      </c>
      <c r="W103" s="3157">
        <f t="shared" si="77"/>
        <v>6.2000000000000011</v>
      </c>
      <c r="X103" s="3157">
        <f t="shared" si="77"/>
        <v>0.2</v>
      </c>
      <c r="Y103" s="3157">
        <f t="shared" si="77"/>
        <v>3.4200000000000004</v>
      </c>
      <c r="Z103" s="3157">
        <f t="shared" si="77"/>
        <v>1.4000000000000001</v>
      </c>
      <c r="AA103" s="3157">
        <f t="shared" si="77"/>
        <v>2.7199999999999998</v>
      </c>
      <c r="AB103" s="144"/>
      <c r="AC103" s="2867"/>
      <c r="AD103" s="2867"/>
      <c r="AE103" s="2867"/>
      <c r="AF103" s="2867"/>
      <c r="AG103" s="2867"/>
      <c r="AH103" s="2867"/>
      <c r="AI103" s="2825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6"/>
      <c r="M104" s="144"/>
      <c r="N104" s="144"/>
      <c r="O104" s="144"/>
      <c r="P104" s="144"/>
      <c r="Q104" s="144"/>
      <c r="R104" s="144"/>
      <c r="S104" s="144"/>
      <c r="T104" s="144"/>
      <c r="U104" s="3157">
        <f t="shared" si="77"/>
        <v>5.0000000000000009</v>
      </c>
      <c r="V104" s="3157">
        <f t="shared" si="77"/>
        <v>2.6</v>
      </c>
      <c r="W104" s="3157">
        <f t="shared" si="77"/>
        <v>6.2000000000000011</v>
      </c>
      <c r="X104" s="3157">
        <f t="shared" si="77"/>
        <v>0.2</v>
      </c>
      <c r="Y104" s="3157">
        <f t="shared" si="77"/>
        <v>3.4200000000000004</v>
      </c>
      <c r="Z104" s="3157">
        <f t="shared" si="77"/>
        <v>1.4000000000000001</v>
      </c>
      <c r="AA104" s="3157">
        <f t="shared" si="77"/>
        <v>2.7199999999999998</v>
      </c>
      <c r="AB104" s="144"/>
      <c r="AC104" s="2867">
        <v>0</v>
      </c>
      <c r="AD104" s="2867">
        <v>0</v>
      </c>
      <c r="AE104" s="2867">
        <v>0</v>
      </c>
      <c r="AF104" s="2867">
        <v>0</v>
      </c>
      <c r="AG104" s="2867">
        <v>0</v>
      </c>
      <c r="AH104" s="2867">
        <v>0</v>
      </c>
      <c r="AI104" s="2825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6"/>
      <c r="M105" s="144"/>
      <c r="N105" s="144"/>
      <c r="O105" s="144"/>
      <c r="P105" s="144"/>
      <c r="Q105" s="144"/>
      <c r="R105" s="144"/>
      <c r="S105" s="144"/>
      <c r="T105" s="144"/>
      <c r="U105" s="3157">
        <f t="shared" si="77"/>
        <v>5.0000000000000009</v>
      </c>
      <c r="V105" s="3157">
        <f t="shared" si="77"/>
        <v>2.6</v>
      </c>
      <c r="W105" s="3157">
        <f t="shared" si="77"/>
        <v>6.2000000000000011</v>
      </c>
      <c r="X105" s="3157">
        <f t="shared" si="77"/>
        <v>0.2</v>
      </c>
      <c r="Y105" s="3157">
        <f t="shared" si="77"/>
        <v>3.4200000000000004</v>
      </c>
      <c r="Z105" s="3157">
        <f t="shared" si="77"/>
        <v>1.4000000000000001</v>
      </c>
      <c r="AA105" s="3157">
        <f t="shared" si="77"/>
        <v>2.7199999999999998</v>
      </c>
      <c r="AB105" s="144"/>
      <c r="AC105" s="2867">
        <v>0</v>
      </c>
      <c r="AD105" s="2867">
        <v>0</v>
      </c>
      <c r="AE105" s="2867">
        <v>0</v>
      </c>
      <c r="AF105" s="2867">
        <v>0</v>
      </c>
      <c r="AG105" s="2867">
        <v>0</v>
      </c>
      <c r="AH105" s="2867">
        <v>0</v>
      </c>
      <c r="AI105" s="2825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6"/>
      <c r="M106" s="144"/>
      <c r="N106" s="144"/>
      <c r="O106" s="144"/>
      <c r="P106" s="144"/>
      <c r="Q106" s="144"/>
      <c r="R106" s="144"/>
      <c r="S106" s="144"/>
      <c r="T106" s="144"/>
      <c r="U106" s="3157">
        <f t="shared" si="77"/>
        <v>5.0000000000000009</v>
      </c>
      <c r="V106" s="3157">
        <f t="shared" si="77"/>
        <v>2.6</v>
      </c>
      <c r="W106" s="3157">
        <f t="shared" si="77"/>
        <v>6.2000000000000011</v>
      </c>
      <c r="X106" s="3157">
        <f t="shared" si="77"/>
        <v>0.2</v>
      </c>
      <c r="Y106" s="3157">
        <f t="shared" si="77"/>
        <v>3.4200000000000004</v>
      </c>
      <c r="Z106" s="3157">
        <f t="shared" si="77"/>
        <v>1.4000000000000001</v>
      </c>
      <c r="AA106" s="3157">
        <f t="shared" si="77"/>
        <v>2.7199999999999998</v>
      </c>
      <c r="AB106" s="144"/>
      <c r="AC106" s="2867"/>
      <c r="AD106" s="2867"/>
      <c r="AE106" s="2867"/>
      <c r="AF106" s="2867"/>
      <c r="AG106" s="2867"/>
      <c r="AH106" s="2867"/>
      <c r="AI106" s="2825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6"/>
      <c r="M107" s="144"/>
      <c r="N107" s="144"/>
      <c r="O107" s="144"/>
      <c r="P107" s="144"/>
      <c r="Q107" s="144"/>
      <c r="R107" s="144"/>
      <c r="S107" s="144"/>
      <c r="T107" s="144"/>
      <c r="U107" s="3157">
        <f t="shared" ref="U107:AA121" si="78">IF(U106&gt;0,U106,U105)</f>
        <v>5.0000000000000009</v>
      </c>
      <c r="V107" s="3157">
        <f t="shared" si="78"/>
        <v>2.6</v>
      </c>
      <c r="W107" s="3157">
        <f t="shared" si="78"/>
        <v>6.2000000000000011</v>
      </c>
      <c r="X107" s="3157">
        <f t="shared" si="78"/>
        <v>0.2</v>
      </c>
      <c r="Y107" s="3157">
        <f t="shared" si="78"/>
        <v>3.4200000000000004</v>
      </c>
      <c r="Z107" s="3157">
        <f t="shared" si="78"/>
        <v>1.4000000000000001</v>
      </c>
      <c r="AA107" s="3157">
        <f t="shared" si="78"/>
        <v>2.7199999999999998</v>
      </c>
      <c r="AB107" s="144"/>
      <c r="AC107" s="2867"/>
      <c r="AD107" s="2867"/>
      <c r="AE107" s="2867"/>
      <c r="AF107" s="2867"/>
      <c r="AG107" s="2867"/>
      <c r="AH107" s="2867"/>
      <c r="AI107" s="2825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6"/>
      <c r="M108" s="144"/>
      <c r="N108" s="144"/>
      <c r="O108" s="144"/>
      <c r="P108" s="144"/>
      <c r="Q108" s="144"/>
      <c r="R108" s="144"/>
      <c r="S108" s="144"/>
      <c r="T108" s="144"/>
      <c r="U108" s="3157">
        <f t="shared" si="78"/>
        <v>5.0000000000000009</v>
      </c>
      <c r="V108" s="3157">
        <f t="shared" si="78"/>
        <v>2.6</v>
      </c>
      <c r="W108" s="3157">
        <f t="shared" si="78"/>
        <v>6.2000000000000011</v>
      </c>
      <c r="X108" s="3157">
        <f t="shared" si="78"/>
        <v>0.2</v>
      </c>
      <c r="Y108" s="3157">
        <f t="shared" si="78"/>
        <v>3.4200000000000004</v>
      </c>
      <c r="Z108" s="3157">
        <f t="shared" si="78"/>
        <v>1.4000000000000001</v>
      </c>
      <c r="AA108" s="3157">
        <f t="shared" si="78"/>
        <v>2.7199999999999998</v>
      </c>
      <c r="AB108" s="144"/>
      <c r="AC108" s="2867">
        <v>0</v>
      </c>
      <c r="AD108" s="2867">
        <v>0</v>
      </c>
      <c r="AE108" s="2867">
        <v>0</v>
      </c>
      <c r="AF108" s="2867">
        <v>0</v>
      </c>
      <c r="AG108" s="2867">
        <v>0</v>
      </c>
      <c r="AH108" s="2867">
        <v>0</v>
      </c>
      <c r="AI108" s="2825"/>
      <c r="AJ108" s="1"/>
      <c r="AK108" s="1"/>
      <c r="AL108" s="1"/>
      <c r="AM108" s="1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6"/>
      <c r="M109" s="144"/>
      <c r="N109" s="144"/>
      <c r="O109" s="144"/>
      <c r="P109" s="144"/>
      <c r="Q109" s="144"/>
      <c r="R109" s="144"/>
      <c r="S109" s="144"/>
      <c r="T109" s="144"/>
      <c r="U109" s="3157">
        <f t="shared" si="78"/>
        <v>5.0000000000000009</v>
      </c>
      <c r="V109" s="3157">
        <f t="shared" si="78"/>
        <v>2.6</v>
      </c>
      <c r="W109" s="3157">
        <f t="shared" si="78"/>
        <v>6.2000000000000011</v>
      </c>
      <c r="X109" s="3157">
        <f t="shared" si="78"/>
        <v>0.2</v>
      </c>
      <c r="Y109" s="3157">
        <f t="shared" si="78"/>
        <v>3.4200000000000004</v>
      </c>
      <c r="Z109" s="3157">
        <f t="shared" si="78"/>
        <v>1.4000000000000001</v>
      </c>
      <c r="AA109" s="3157">
        <f t="shared" si="78"/>
        <v>2.7199999999999998</v>
      </c>
      <c r="AB109" s="144"/>
      <c r="AC109" s="2867">
        <v>0</v>
      </c>
      <c r="AD109" s="2867">
        <v>0</v>
      </c>
      <c r="AE109" s="2867">
        <v>0</v>
      </c>
      <c r="AF109" s="2867">
        <v>0</v>
      </c>
      <c r="AG109" s="2867">
        <v>0</v>
      </c>
      <c r="AH109" s="2867">
        <v>0</v>
      </c>
      <c r="AI109" s="2825"/>
      <c r="AJ109" s="1"/>
      <c r="AK109" s="1"/>
      <c r="AL109" s="1"/>
      <c r="AM109" s="1"/>
      <c r="AN109" s="1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6"/>
      <c r="M110" s="144"/>
      <c r="N110" s="144"/>
      <c r="O110" s="144"/>
      <c r="P110" s="144"/>
      <c r="Q110" s="144"/>
      <c r="R110" s="144"/>
      <c r="S110" s="144"/>
      <c r="T110" s="144"/>
      <c r="U110" s="3157">
        <f t="shared" si="78"/>
        <v>5.0000000000000009</v>
      </c>
      <c r="V110" s="3157">
        <f t="shared" si="78"/>
        <v>2.6</v>
      </c>
      <c r="W110" s="3157">
        <f t="shared" si="78"/>
        <v>6.2000000000000011</v>
      </c>
      <c r="X110" s="3157">
        <f t="shared" si="78"/>
        <v>0.2</v>
      </c>
      <c r="Y110" s="3157">
        <f t="shared" si="78"/>
        <v>3.4200000000000004</v>
      </c>
      <c r="Z110" s="3157">
        <f t="shared" si="78"/>
        <v>1.4000000000000001</v>
      </c>
      <c r="AA110" s="3157">
        <f t="shared" si="78"/>
        <v>2.7199999999999998</v>
      </c>
      <c r="AB110" s="144"/>
      <c r="AC110" s="2867">
        <v>0</v>
      </c>
      <c r="AD110" s="2867">
        <v>0</v>
      </c>
      <c r="AE110" s="2867">
        <v>0</v>
      </c>
      <c r="AF110" s="2867">
        <v>0</v>
      </c>
      <c r="AG110" s="2867">
        <v>0</v>
      </c>
      <c r="AH110" s="2867">
        <v>0</v>
      </c>
      <c r="AI110" s="2825"/>
      <c r="AJ110" s="1"/>
      <c r="AK110" s="1"/>
      <c r="AL110" s="1"/>
      <c r="AM110" s="1"/>
      <c r="AN110" s="1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6"/>
      <c r="M111" s="144"/>
      <c r="N111" s="144"/>
      <c r="O111" s="144"/>
      <c r="P111" s="144"/>
      <c r="Q111" s="144"/>
      <c r="R111" s="144"/>
      <c r="S111" s="144"/>
      <c r="T111" s="144"/>
      <c r="U111" s="3157">
        <f t="shared" si="78"/>
        <v>5.0000000000000009</v>
      </c>
      <c r="V111" s="3157">
        <f t="shared" si="78"/>
        <v>2.6</v>
      </c>
      <c r="W111" s="3157">
        <f t="shared" si="78"/>
        <v>6.2000000000000011</v>
      </c>
      <c r="X111" s="3157">
        <f t="shared" si="78"/>
        <v>0.2</v>
      </c>
      <c r="Y111" s="3157">
        <f t="shared" si="78"/>
        <v>3.4200000000000004</v>
      </c>
      <c r="Z111" s="3157">
        <f t="shared" si="78"/>
        <v>1.4000000000000001</v>
      </c>
      <c r="AA111" s="3157">
        <f t="shared" si="78"/>
        <v>2.7199999999999998</v>
      </c>
      <c r="AB111" s="144"/>
      <c r="AC111" s="2867"/>
      <c r="AD111" s="2867"/>
      <c r="AE111" s="2867"/>
      <c r="AF111" s="2867"/>
      <c r="AG111" s="2867"/>
      <c r="AH111" s="2867"/>
      <c r="AI111" s="2825"/>
      <c r="AJ111" s="1"/>
      <c r="AK111" s="1"/>
      <c r="AL111" s="1"/>
      <c r="AM111" s="1"/>
      <c r="AN111" s="1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6"/>
      <c r="M112" s="144"/>
      <c r="N112" s="144"/>
      <c r="O112" s="144"/>
      <c r="P112" s="144"/>
      <c r="Q112" s="144"/>
      <c r="R112" s="144"/>
      <c r="S112" s="144"/>
      <c r="T112" s="144"/>
      <c r="U112" s="3157">
        <f t="shared" si="78"/>
        <v>5.0000000000000009</v>
      </c>
      <c r="V112" s="3157">
        <f t="shared" si="78"/>
        <v>2.6</v>
      </c>
      <c r="W112" s="3157">
        <f t="shared" si="78"/>
        <v>6.2000000000000011</v>
      </c>
      <c r="X112" s="3157">
        <f t="shared" si="78"/>
        <v>0.2</v>
      </c>
      <c r="Y112" s="3157">
        <f t="shared" si="78"/>
        <v>3.4200000000000004</v>
      </c>
      <c r="Z112" s="3157">
        <f t="shared" si="78"/>
        <v>1.4000000000000001</v>
      </c>
      <c r="AA112" s="3157">
        <f t="shared" si="78"/>
        <v>2.7199999999999998</v>
      </c>
      <c r="AB112" s="144"/>
      <c r="AC112" s="2867"/>
      <c r="AD112" s="2867"/>
      <c r="AE112" s="2867"/>
      <c r="AF112" s="2867"/>
      <c r="AG112" s="2867"/>
      <c r="AH112" s="2867"/>
      <c r="AI112" s="2825"/>
      <c r="AJ112" s="1"/>
      <c r="AK112" s="1"/>
      <c r="AL112" s="1"/>
      <c r="AM112" s="1"/>
      <c r="AN112" s="1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6"/>
      <c r="M113" s="144"/>
      <c r="N113" s="144"/>
      <c r="O113" s="144"/>
      <c r="P113" s="144"/>
      <c r="Q113" s="144"/>
      <c r="R113" s="144"/>
      <c r="S113" s="144"/>
      <c r="T113" s="144"/>
      <c r="U113" s="3157">
        <f t="shared" si="78"/>
        <v>5.0000000000000009</v>
      </c>
      <c r="V113" s="3157">
        <f t="shared" si="78"/>
        <v>2.6</v>
      </c>
      <c r="W113" s="3157">
        <f t="shared" si="78"/>
        <v>6.2000000000000011</v>
      </c>
      <c r="X113" s="3157">
        <f t="shared" si="78"/>
        <v>0.2</v>
      </c>
      <c r="Y113" s="3157">
        <f t="shared" si="78"/>
        <v>3.4200000000000004</v>
      </c>
      <c r="Z113" s="3157">
        <f t="shared" si="78"/>
        <v>1.4000000000000001</v>
      </c>
      <c r="AA113" s="3157">
        <f t="shared" si="78"/>
        <v>2.7199999999999998</v>
      </c>
      <c r="AB113" s="144"/>
      <c r="AC113" s="2867">
        <v>0</v>
      </c>
      <c r="AD113" s="2867">
        <v>0</v>
      </c>
      <c r="AE113" s="2867">
        <v>0</v>
      </c>
      <c r="AF113" s="2867">
        <v>0</v>
      </c>
      <c r="AG113" s="2867">
        <v>0</v>
      </c>
      <c r="AH113" s="2867">
        <v>0</v>
      </c>
      <c r="AI113" s="2825"/>
      <c r="AJ113" s="1"/>
      <c r="AK113" s="1"/>
      <c r="AL113" s="1"/>
      <c r="AM113" s="1"/>
      <c r="AN113" s="1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6"/>
      <c r="M114" s="144"/>
      <c r="N114" s="144"/>
      <c r="O114" s="144"/>
      <c r="P114" s="144"/>
      <c r="Q114" s="144"/>
      <c r="R114" s="144"/>
      <c r="S114" s="144"/>
      <c r="T114" s="144"/>
      <c r="U114" s="3157">
        <f t="shared" si="78"/>
        <v>5.0000000000000009</v>
      </c>
      <c r="V114" s="3157">
        <f t="shared" si="78"/>
        <v>2.6</v>
      </c>
      <c r="W114" s="3157">
        <f t="shared" si="78"/>
        <v>6.2000000000000011</v>
      </c>
      <c r="X114" s="3157">
        <f t="shared" si="78"/>
        <v>0.2</v>
      </c>
      <c r="Y114" s="3157">
        <f t="shared" si="78"/>
        <v>3.4200000000000004</v>
      </c>
      <c r="Z114" s="3157">
        <f t="shared" si="78"/>
        <v>1.4000000000000001</v>
      </c>
      <c r="AA114" s="3157">
        <f t="shared" si="78"/>
        <v>2.7199999999999998</v>
      </c>
      <c r="AB114" s="144"/>
      <c r="AC114" s="2867">
        <v>0</v>
      </c>
      <c r="AD114" s="2867">
        <v>0</v>
      </c>
      <c r="AE114" s="2867">
        <v>0</v>
      </c>
      <c r="AF114" s="2867">
        <v>0</v>
      </c>
      <c r="AG114" s="2867">
        <v>0</v>
      </c>
      <c r="AH114" s="2867">
        <v>0</v>
      </c>
      <c r="AI114" s="2825"/>
      <c r="AJ114" s="1"/>
      <c r="AK114" s="1"/>
      <c r="AL114" s="1"/>
      <c r="AM114" s="1"/>
      <c r="AN114" s="1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6"/>
      <c r="M115" s="144"/>
      <c r="N115" s="144"/>
      <c r="O115" s="144"/>
      <c r="P115" s="144"/>
      <c r="Q115" s="144"/>
      <c r="R115" s="144"/>
      <c r="S115" s="144"/>
      <c r="T115" s="144"/>
      <c r="U115" s="3157">
        <f t="shared" si="78"/>
        <v>5.0000000000000009</v>
      </c>
      <c r="V115" s="3157">
        <f t="shared" si="78"/>
        <v>2.6</v>
      </c>
      <c r="W115" s="3157">
        <f t="shared" si="78"/>
        <v>6.2000000000000011</v>
      </c>
      <c r="X115" s="3157">
        <f t="shared" si="78"/>
        <v>0.2</v>
      </c>
      <c r="Y115" s="3157">
        <f t="shared" si="78"/>
        <v>3.4200000000000004</v>
      </c>
      <c r="Z115" s="3157">
        <f t="shared" si="78"/>
        <v>1.4000000000000001</v>
      </c>
      <c r="AA115" s="3157">
        <f t="shared" si="78"/>
        <v>2.7199999999999998</v>
      </c>
      <c r="AB115" s="144"/>
      <c r="AC115" s="2867">
        <v>0</v>
      </c>
      <c r="AD115" s="2867">
        <v>0</v>
      </c>
      <c r="AE115" s="2867">
        <v>0</v>
      </c>
      <c r="AF115" s="2867">
        <v>0</v>
      </c>
      <c r="AG115" s="2867">
        <v>0</v>
      </c>
      <c r="AH115" s="2867">
        <v>0</v>
      </c>
      <c r="AI115" s="2825"/>
      <c r="AJ115" s="1"/>
      <c r="AK115" s="1"/>
      <c r="AL115" s="1"/>
      <c r="AM115" s="1"/>
      <c r="AN115" s="1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6"/>
      <c r="M116" s="144"/>
      <c r="N116" s="144"/>
      <c r="O116" s="144"/>
      <c r="P116" s="144"/>
      <c r="Q116" s="144"/>
      <c r="R116" s="144"/>
      <c r="S116" s="144"/>
      <c r="T116" s="144"/>
      <c r="U116" s="3157">
        <f t="shared" si="78"/>
        <v>5.0000000000000009</v>
      </c>
      <c r="V116" s="3157">
        <f t="shared" si="78"/>
        <v>2.6</v>
      </c>
      <c r="W116" s="3157">
        <f t="shared" si="78"/>
        <v>6.2000000000000011</v>
      </c>
      <c r="X116" s="3157">
        <f t="shared" si="78"/>
        <v>0.2</v>
      </c>
      <c r="Y116" s="3157">
        <f t="shared" si="78"/>
        <v>3.4200000000000004</v>
      </c>
      <c r="Z116" s="3157">
        <f t="shared" si="78"/>
        <v>1.4000000000000001</v>
      </c>
      <c r="AA116" s="3157">
        <f t="shared" si="78"/>
        <v>2.7199999999999998</v>
      </c>
      <c r="AB116" s="144"/>
      <c r="AC116" s="2867"/>
      <c r="AD116" s="2867"/>
      <c r="AE116" s="2867"/>
      <c r="AF116" s="2867"/>
      <c r="AG116" s="2867"/>
      <c r="AH116" s="2867"/>
      <c r="AI116" s="2825"/>
      <c r="AJ116" s="1"/>
      <c r="AK116" s="1"/>
      <c r="AL116" s="1"/>
      <c r="AM116" s="1"/>
      <c r="AN116" s="1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6"/>
      <c r="M117" s="144"/>
      <c r="N117" s="144"/>
      <c r="O117" s="144"/>
      <c r="P117" s="144"/>
      <c r="Q117" s="144"/>
      <c r="R117" s="144"/>
      <c r="S117" s="144"/>
      <c r="T117" s="144"/>
      <c r="U117" s="3157">
        <f t="shared" si="78"/>
        <v>5.0000000000000009</v>
      </c>
      <c r="V117" s="3157">
        <f t="shared" si="78"/>
        <v>2.6</v>
      </c>
      <c r="W117" s="3157">
        <f t="shared" si="78"/>
        <v>6.2000000000000011</v>
      </c>
      <c r="X117" s="3157">
        <f t="shared" si="78"/>
        <v>0.2</v>
      </c>
      <c r="Y117" s="3157">
        <f t="shared" si="78"/>
        <v>3.4200000000000004</v>
      </c>
      <c r="Z117" s="3157">
        <f t="shared" si="78"/>
        <v>1.4000000000000001</v>
      </c>
      <c r="AA117" s="3157">
        <f t="shared" si="78"/>
        <v>2.7199999999999998</v>
      </c>
      <c r="AB117" s="144"/>
      <c r="AC117" s="2867"/>
      <c r="AD117" s="2867"/>
      <c r="AE117" s="2867"/>
      <c r="AF117" s="2867"/>
      <c r="AG117" s="2867"/>
      <c r="AH117" s="2867"/>
      <c r="AI117" s="2825"/>
      <c r="AJ117" s="1"/>
      <c r="AK117" s="1"/>
      <c r="AL117" s="1"/>
      <c r="AM117" s="1"/>
      <c r="AN117" s="1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6"/>
      <c r="M118" s="144"/>
      <c r="N118" s="144"/>
      <c r="O118" s="144"/>
      <c r="P118" s="144"/>
      <c r="Q118" s="144"/>
      <c r="R118" s="144"/>
      <c r="S118" s="144"/>
      <c r="T118" s="144"/>
      <c r="U118" s="3157">
        <f t="shared" si="78"/>
        <v>5.0000000000000009</v>
      </c>
      <c r="V118" s="3157">
        <f t="shared" si="78"/>
        <v>2.6</v>
      </c>
      <c r="W118" s="3157">
        <f t="shared" si="78"/>
        <v>6.2000000000000011</v>
      </c>
      <c r="X118" s="3157">
        <f t="shared" si="78"/>
        <v>0.2</v>
      </c>
      <c r="Y118" s="3157">
        <f t="shared" si="78"/>
        <v>3.4200000000000004</v>
      </c>
      <c r="Z118" s="3157">
        <f t="shared" si="78"/>
        <v>1.4000000000000001</v>
      </c>
      <c r="AA118" s="3157">
        <f t="shared" si="78"/>
        <v>2.7199999999999998</v>
      </c>
      <c r="AB118" s="144"/>
      <c r="AC118" s="2867">
        <v>0</v>
      </c>
      <c r="AD118" s="2867">
        <v>0</v>
      </c>
      <c r="AE118" s="2867">
        <v>0</v>
      </c>
      <c r="AF118" s="2867">
        <v>0</v>
      </c>
      <c r="AG118" s="2867">
        <v>0</v>
      </c>
      <c r="AH118" s="2867">
        <v>0</v>
      </c>
      <c r="AI118" s="2825"/>
      <c r="AJ118" s="1"/>
      <c r="AK118" s="1"/>
      <c r="AL118" s="1"/>
      <c r="AM118" s="1"/>
      <c r="AN118" s="1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6"/>
      <c r="M119" s="144"/>
      <c r="N119" s="144"/>
      <c r="O119" s="144"/>
      <c r="P119" s="144"/>
      <c r="Q119" s="144"/>
      <c r="R119" s="144"/>
      <c r="S119" s="144"/>
      <c r="T119" s="144"/>
      <c r="U119" s="3157">
        <f t="shared" si="78"/>
        <v>5.0000000000000009</v>
      </c>
      <c r="V119" s="3157">
        <f t="shared" si="78"/>
        <v>2.6</v>
      </c>
      <c r="W119" s="3157">
        <f t="shared" si="78"/>
        <v>6.2000000000000011</v>
      </c>
      <c r="X119" s="3157">
        <f t="shared" si="78"/>
        <v>0.2</v>
      </c>
      <c r="Y119" s="3157">
        <f t="shared" si="78"/>
        <v>3.4200000000000004</v>
      </c>
      <c r="Z119" s="3157">
        <f t="shared" si="78"/>
        <v>1.4000000000000001</v>
      </c>
      <c r="AA119" s="3157">
        <f t="shared" si="78"/>
        <v>2.7199999999999998</v>
      </c>
      <c r="AB119" s="144"/>
      <c r="AC119" s="2867">
        <v>0</v>
      </c>
      <c r="AD119" s="2867">
        <v>0</v>
      </c>
      <c r="AE119" s="2867">
        <v>0</v>
      </c>
      <c r="AF119" s="2867">
        <v>0</v>
      </c>
      <c r="AG119" s="2867">
        <v>0</v>
      </c>
      <c r="AH119" s="2867">
        <v>0</v>
      </c>
      <c r="AI119" s="2825"/>
      <c r="AJ119" s="1"/>
      <c r="AK119" s="1"/>
      <c r="AL119" s="1"/>
      <c r="AM119" s="1"/>
      <c r="AN119" s="1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6"/>
      <c r="M120" s="144"/>
      <c r="N120" s="144"/>
      <c r="O120" s="144"/>
      <c r="P120" s="144"/>
      <c r="Q120" s="144"/>
      <c r="R120" s="144"/>
      <c r="S120" s="144"/>
      <c r="T120" s="144"/>
      <c r="U120" s="3157">
        <f t="shared" si="78"/>
        <v>5.0000000000000009</v>
      </c>
      <c r="V120" s="3157">
        <f t="shared" si="78"/>
        <v>2.6</v>
      </c>
      <c r="W120" s="3157">
        <f t="shared" si="78"/>
        <v>6.2000000000000011</v>
      </c>
      <c r="X120" s="3157">
        <f t="shared" si="78"/>
        <v>0.2</v>
      </c>
      <c r="Y120" s="3157">
        <f t="shared" si="78"/>
        <v>3.4200000000000004</v>
      </c>
      <c r="Z120" s="3157">
        <f t="shared" si="78"/>
        <v>1.4000000000000001</v>
      </c>
      <c r="AA120" s="3157">
        <f t="shared" si="78"/>
        <v>2.7199999999999998</v>
      </c>
      <c r="AB120" s="144"/>
      <c r="AC120" s="2867">
        <v>0</v>
      </c>
      <c r="AD120" s="2867">
        <v>0</v>
      </c>
      <c r="AE120" s="2867">
        <v>0</v>
      </c>
      <c r="AF120" s="2867">
        <v>0</v>
      </c>
      <c r="AG120" s="2867">
        <v>0</v>
      </c>
      <c r="AH120" s="2867">
        <v>0</v>
      </c>
      <c r="AI120" s="2825"/>
      <c r="AJ120" s="1"/>
      <c r="AK120" s="1"/>
      <c r="AL120" s="1"/>
      <c r="AM120" s="1"/>
      <c r="AN120" s="1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6"/>
      <c r="M121" s="144"/>
      <c r="N121" s="144"/>
      <c r="O121" s="144"/>
      <c r="P121" s="144"/>
      <c r="Q121" s="144"/>
      <c r="R121" s="144"/>
      <c r="S121" s="144"/>
      <c r="T121" s="144"/>
      <c r="U121" s="3158">
        <f>IF(U120&gt;0,U120,U119)</f>
        <v>5.0000000000000009</v>
      </c>
      <c r="V121" s="3158">
        <f t="shared" si="78"/>
        <v>2.6</v>
      </c>
      <c r="W121" s="3158">
        <f t="shared" si="78"/>
        <v>6.2000000000000011</v>
      </c>
      <c r="X121" s="3158">
        <f t="shared" si="78"/>
        <v>0.2</v>
      </c>
      <c r="Y121" s="3158">
        <f t="shared" si="78"/>
        <v>3.4200000000000004</v>
      </c>
      <c r="Z121" s="3158">
        <f t="shared" si="78"/>
        <v>1.4000000000000001</v>
      </c>
      <c r="AA121" s="3158">
        <f t="shared" si="78"/>
        <v>2.7199999999999998</v>
      </c>
      <c r="AB121" s="144"/>
      <c r="AC121" s="2867"/>
      <c r="AD121" s="2867"/>
      <c r="AE121" s="2867"/>
      <c r="AF121" s="2867"/>
      <c r="AG121" s="2867"/>
      <c r="AH121" s="2867"/>
      <c r="AI121" s="2825"/>
      <c r="AJ121" s="1"/>
      <c r="AK121" s="1"/>
      <c r="AL121" s="1"/>
      <c r="AM121" s="1"/>
      <c r="AN121" s="1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6"/>
      <c r="M122" s="144"/>
      <c r="N122" s="144"/>
      <c r="O122" s="144"/>
      <c r="P122" s="144"/>
      <c r="Q122" s="144"/>
      <c r="R122" s="144"/>
      <c r="S122" s="144"/>
      <c r="T122" s="144"/>
      <c r="U122" s="2838"/>
      <c r="V122" s="2838"/>
      <c r="W122" s="2838"/>
      <c r="X122" s="2838"/>
      <c r="Y122" s="2838"/>
      <c r="Z122" s="2838"/>
      <c r="AA122" s="2838"/>
      <c r="AB122" s="144"/>
      <c r="AC122" s="2867"/>
      <c r="AD122" s="2867"/>
      <c r="AE122" s="2867"/>
      <c r="AF122" s="2867"/>
      <c r="AG122" s="2867"/>
      <c r="AH122" s="2867"/>
      <c r="AI122" s="2825"/>
      <c r="AJ122" s="1"/>
      <c r="AK122" s="1"/>
      <c r="AL122" s="1"/>
      <c r="AM122" s="1"/>
      <c r="AN122" s="1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6"/>
      <c r="M123" s="144"/>
      <c r="N123" s="144"/>
      <c r="O123" s="144"/>
      <c r="P123" s="144"/>
      <c r="Q123" s="144"/>
      <c r="R123" s="144"/>
      <c r="S123" s="144"/>
      <c r="T123" s="144"/>
      <c r="U123" s="2838"/>
      <c r="V123" s="2838"/>
      <c r="W123" s="2838"/>
      <c r="X123" s="2838"/>
      <c r="Y123" s="2838"/>
      <c r="Z123" s="2838"/>
      <c r="AA123" s="2838"/>
      <c r="AB123" s="144"/>
      <c r="AC123" s="2867">
        <v>0</v>
      </c>
      <c r="AD123" s="2867">
        <v>0</v>
      </c>
      <c r="AE123" s="2867">
        <v>0</v>
      </c>
      <c r="AF123" s="2867">
        <v>0</v>
      </c>
      <c r="AG123" s="2867">
        <v>0</v>
      </c>
      <c r="AH123" s="2867">
        <v>0</v>
      </c>
      <c r="AI123" s="2825"/>
      <c r="AJ123" s="1"/>
      <c r="AK123" s="1"/>
      <c r="AL123" s="1"/>
      <c r="AM123" s="1"/>
      <c r="AN123" s="1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6"/>
      <c r="M124" s="144"/>
      <c r="N124" s="144"/>
      <c r="O124" s="144"/>
      <c r="P124" s="144"/>
      <c r="Q124" s="144"/>
      <c r="R124" s="144"/>
      <c r="S124" s="144"/>
      <c r="T124" s="144"/>
      <c r="U124" s="2838"/>
      <c r="V124" s="2838"/>
      <c r="W124" s="2838"/>
      <c r="X124" s="2838"/>
      <c r="Y124" s="2838"/>
      <c r="Z124" s="2838"/>
      <c r="AA124" s="2838"/>
      <c r="AB124" s="144"/>
      <c r="AC124" s="2867"/>
      <c r="AD124" s="2867"/>
      <c r="AE124" s="2867"/>
      <c r="AF124" s="2867"/>
      <c r="AG124" s="2867"/>
      <c r="AH124" s="2867"/>
      <c r="AJ124" s="1"/>
      <c r="AK124" s="1"/>
      <c r="AL124" s="1"/>
      <c r="AM124" s="1"/>
      <c r="AN124" s="1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6"/>
      <c r="M125" s="144"/>
      <c r="N125" s="144"/>
      <c r="O125" s="144"/>
      <c r="P125" s="144"/>
      <c r="Q125" s="144"/>
      <c r="R125" s="144"/>
      <c r="S125" s="144"/>
      <c r="T125" s="144"/>
      <c r="U125" s="2838"/>
      <c r="V125" s="2838"/>
      <c r="W125" s="2838"/>
      <c r="X125" s="2838"/>
      <c r="Y125" s="2838"/>
      <c r="Z125" s="2838"/>
      <c r="AA125" s="2838"/>
      <c r="AB125" s="144"/>
      <c r="AJ125" s="1"/>
      <c r="AK125" s="1"/>
      <c r="AL125" s="1"/>
      <c r="AM125" s="1"/>
      <c r="AN125" s="1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6"/>
      <c r="M126" s="144"/>
      <c r="N126" s="144"/>
      <c r="O126" s="144"/>
      <c r="P126" s="144"/>
      <c r="Q126" s="144"/>
      <c r="R126" s="144"/>
      <c r="S126" s="144"/>
      <c r="T126" s="144"/>
      <c r="U126" s="2838"/>
      <c r="V126" s="2838"/>
      <c r="W126" s="2838"/>
      <c r="X126" s="2838"/>
      <c r="Y126" s="2838"/>
      <c r="Z126" s="2838"/>
      <c r="AA126" s="2838"/>
      <c r="AB126" s="144"/>
      <c r="AJ126" s="1"/>
      <c r="AK126" s="1"/>
      <c r="AL126" s="1"/>
      <c r="AM126" s="1"/>
      <c r="AN126" s="1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6"/>
      <c r="M127" s="144"/>
      <c r="N127" s="144"/>
      <c r="O127" s="144"/>
      <c r="P127" s="144"/>
      <c r="Q127" s="144"/>
      <c r="R127" s="144"/>
      <c r="S127" s="144"/>
      <c r="T127" s="144"/>
      <c r="U127" s="2838"/>
      <c r="V127" s="2838"/>
      <c r="W127" s="2838"/>
      <c r="X127" s="2838"/>
      <c r="Y127" s="2838"/>
      <c r="Z127" s="2838"/>
      <c r="AA127" s="2838"/>
      <c r="AB127" s="144"/>
      <c r="AJ127" s="1"/>
      <c r="AK127" s="1"/>
      <c r="AL127" s="1"/>
      <c r="AM127" s="1"/>
      <c r="AN127" s="1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6"/>
      <c r="M128" s="144"/>
      <c r="N128" s="144"/>
      <c r="O128" s="144"/>
      <c r="P128" s="144"/>
      <c r="Q128" s="144"/>
      <c r="R128" s="144"/>
      <c r="S128" s="144"/>
      <c r="T128" s="144"/>
      <c r="U128" s="2838"/>
      <c r="V128" s="2838"/>
      <c r="W128" s="2838"/>
      <c r="X128" s="2838"/>
      <c r="Y128" s="2838"/>
      <c r="Z128" s="2838"/>
      <c r="AA128" s="2838"/>
      <c r="AB128" s="144"/>
      <c r="AJ128" s="1"/>
      <c r="AK128" s="1"/>
      <c r="AL128" s="1"/>
      <c r="AM128" s="1"/>
      <c r="AN128" s="1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6"/>
      <c r="M129" s="144"/>
      <c r="N129" s="144"/>
      <c r="O129" s="144"/>
      <c r="P129" s="144"/>
      <c r="Q129" s="144"/>
      <c r="R129" s="144"/>
      <c r="S129" s="144"/>
      <c r="T129" s="144"/>
      <c r="U129" s="2838"/>
      <c r="V129" s="2838"/>
      <c r="W129" s="2838"/>
      <c r="X129" s="2838"/>
      <c r="Y129" s="2838"/>
      <c r="Z129" s="2838"/>
      <c r="AA129" s="2838"/>
      <c r="AB129" s="144"/>
      <c r="AJ129" s="1"/>
      <c r="AK129" s="1"/>
      <c r="AL129" s="1"/>
      <c r="AM129" s="1"/>
      <c r="AN129" s="1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6"/>
      <c r="M130" s="144"/>
      <c r="N130" s="144"/>
      <c r="O130" s="144"/>
      <c r="P130" s="144"/>
      <c r="Q130" s="144"/>
      <c r="R130" s="144"/>
      <c r="S130" s="144"/>
      <c r="T130" s="144"/>
      <c r="U130" s="2838"/>
      <c r="V130" s="2838"/>
      <c r="W130" s="2838"/>
      <c r="X130" s="2838"/>
      <c r="Y130" s="2838"/>
      <c r="Z130" s="2838"/>
      <c r="AA130" s="2838"/>
      <c r="AB130" s="144"/>
      <c r="AJ130" s="1"/>
      <c r="AK130" s="1"/>
      <c r="AL130" s="1"/>
      <c r="AM130" s="1"/>
      <c r="AN130" s="1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6"/>
      <c r="M131" s="144"/>
      <c r="N131" s="144"/>
      <c r="O131" s="144"/>
      <c r="P131" s="144"/>
      <c r="Q131" s="144"/>
      <c r="R131" s="144"/>
      <c r="S131" s="144"/>
      <c r="T131" s="144"/>
      <c r="U131" s="2838"/>
      <c r="V131" s="2838"/>
      <c r="W131" s="2838"/>
      <c r="X131" s="2838"/>
      <c r="Y131" s="2838"/>
      <c r="Z131" s="2838"/>
      <c r="AA131" s="2838"/>
      <c r="AB131" s="144"/>
      <c r="AJ131" s="1"/>
      <c r="AK131" s="1"/>
      <c r="AL131" s="1"/>
      <c r="AM131" s="1"/>
      <c r="AN131" s="1"/>
    </row>
    <row r="132" spans="1:40" ht="15" customHeight="1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6"/>
      <c r="M132" s="144"/>
      <c r="N132" s="144"/>
      <c r="O132" s="144"/>
      <c r="P132" s="144"/>
      <c r="Q132" s="144"/>
      <c r="R132" s="144"/>
      <c r="S132" s="144"/>
      <c r="T132" s="144"/>
      <c r="U132" s="2838"/>
      <c r="V132" s="2838"/>
      <c r="W132" s="2838"/>
      <c r="X132" s="2838"/>
      <c r="Y132" s="2838"/>
      <c r="Z132" s="2838"/>
      <c r="AA132" s="2838"/>
      <c r="AB132" s="144"/>
      <c r="AJ132" s="1"/>
      <c r="AK132" s="1"/>
      <c r="AL132" s="1"/>
      <c r="AM132" s="1"/>
      <c r="AN132" s="1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6"/>
      <c r="M133" s="144"/>
      <c r="N133" s="144"/>
      <c r="O133" s="144"/>
      <c r="P133" s="144"/>
      <c r="Q133" s="144"/>
      <c r="R133" s="144"/>
      <c r="S133" s="144"/>
      <c r="T133" s="144"/>
      <c r="U133" s="2838"/>
      <c r="V133" s="2838"/>
      <c r="W133" s="2838"/>
      <c r="X133" s="2838"/>
      <c r="Y133" s="2838"/>
      <c r="Z133" s="2838"/>
      <c r="AA133" s="2838"/>
      <c r="AB133" s="144"/>
      <c r="AJ133" s="1"/>
      <c r="AK133" s="1"/>
      <c r="AL133" s="1"/>
      <c r="AM133" s="1"/>
      <c r="AN133" s="1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6"/>
      <c r="M134" s="144"/>
      <c r="N134" s="144"/>
      <c r="O134" s="144"/>
      <c r="P134" s="144"/>
      <c r="Q134" s="144"/>
      <c r="R134" s="144"/>
      <c r="S134" s="144"/>
      <c r="T134" s="144"/>
      <c r="U134" s="2838"/>
      <c r="V134" s="2838"/>
      <c r="W134" s="2838"/>
      <c r="X134" s="2838"/>
      <c r="Y134" s="2838"/>
      <c r="Z134" s="2838"/>
      <c r="AA134" s="2838"/>
      <c r="AB134" s="144"/>
      <c r="AJ134" s="1"/>
      <c r="AK134" s="1"/>
      <c r="AL134" s="1"/>
      <c r="AM134" s="1"/>
      <c r="AN134" s="1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6"/>
      <c r="M135" s="144"/>
      <c r="N135" s="144"/>
      <c r="O135" s="144"/>
      <c r="P135" s="144"/>
      <c r="Q135" s="144"/>
      <c r="R135" s="144"/>
      <c r="S135" s="144"/>
      <c r="T135" s="144"/>
      <c r="U135" s="2838"/>
      <c r="V135" s="2838"/>
      <c r="W135" s="2838"/>
      <c r="X135" s="2838"/>
      <c r="Y135" s="2838"/>
      <c r="Z135" s="2838"/>
      <c r="AA135" s="2838"/>
      <c r="AB135" s="144"/>
      <c r="AJ135" s="1"/>
      <c r="AK135" s="1"/>
      <c r="AL135" s="1"/>
      <c r="AM135" s="1"/>
      <c r="AN135" s="1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6"/>
      <c r="M136" s="144"/>
      <c r="N136" s="144"/>
      <c r="O136" s="144"/>
      <c r="P136" s="144"/>
      <c r="Q136" s="144"/>
      <c r="R136" s="144"/>
      <c r="S136" s="144"/>
      <c r="T136" s="144"/>
      <c r="U136" s="2838"/>
      <c r="V136" s="2838"/>
      <c r="W136" s="2838"/>
      <c r="X136" s="2838"/>
      <c r="Y136" s="2838"/>
      <c r="Z136" s="2838"/>
      <c r="AA136" s="2838"/>
      <c r="AB136" s="144"/>
      <c r="AC136" s="2825"/>
      <c r="AD136" s="2825"/>
      <c r="AE136" s="2825"/>
      <c r="AF136" s="2825"/>
      <c r="AG136" s="2825"/>
      <c r="AH136" s="2825"/>
      <c r="AI136" s="2825"/>
      <c r="AJ136" s="2825"/>
      <c r="AK136" s="2825"/>
      <c r="AL136" s="2825"/>
      <c r="AM136" s="2825"/>
      <c r="AN136" s="1"/>
    </row>
    <row r="137" spans="1:40" s="3021" customFormat="1" ht="11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6"/>
      <c r="M137" s="144"/>
      <c r="N137" s="144"/>
      <c r="O137" s="144"/>
      <c r="P137" s="144"/>
      <c r="Q137" s="144"/>
      <c r="R137" s="144"/>
      <c r="S137" s="144"/>
      <c r="T137" s="144"/>
      <c r="U137" s="2838"/>
      <c r="V137" s="2838"/>
      <c r="W137" s="2838"/>
      <c r="X137" s="2838"/>
      <c r="Y137" s="2838"/>
      <c r="Z137" s="2838"/>
      <c r="AA137" s="2838"/>
      <c r="AB137" s="144"/>
      <c r="AC137" s="2826"/>
      <c r="AD137" s="2826"/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1:40" s="3021" customFormat="1" ht="11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6"/>
      <c r="M138" s="144"/>
      <c r="N138" s="144"/>
      <c r="O138" s="144"/>
      <c r="P138" s="144"/>
      <c r="Q138" s="144"/>
      <c r="R138" s="144"/>
      <c r="S138" s="144"/>
      <c r="T138" s="144"/>
      <c r="U138" s="2838"/>
      <c r="V138" s="2838"/>
      <c r="W138" s="2838"/>
      <c r="X138" s="2838"/>
      <c r="Y138" s="2838"/>
      <c r="Z138" s="2838"/>
      <c r="AA138" s="2838"/>
      <c r="AB138" s="144"/>
      <c r="AC138" s="2826"/>
      <c r="AD138" s="2826"/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1:40" s="3021" customFormat="1" ht="11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6"/>
      <c r="M139" s="144"/>
      <c r="N139" s="144"/>
      <c r="O139" s="144"/>
      <c r="P139" s="144"/>
      <c r="Q139" s="144"/>
      <c r="R139" s="144"/>
      <c r="S139" s="144"/>
      <c r="T139" s="144"/>
      <c r="U139" s="2838"/>
      <c r="V139" s="2838"/>
      <c r="W139" s="2838"/>
      <c r="X139" s="2838"/>
      <c r="Y139" s="2838"/>
      <c r="Z139" s="2838"/>
      <c r="AA139" s="2838"/>
      <c r="AB139" s="144"/>
      <c r="AC139" s="282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1:40" s="3021" customFormat="1" ht="11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6"/>
      <c r="M140" s="144"/>
      <c r="N140" s="144"/>
      <c r="O140" s="144"/>
      <c r="P140" s="144"/>
      <c r="Q140" s="144"/>
      <c r="R140" s="144"/>
      <c r="S140" s="144"/>
      <c r="T140" s="144"/>
      <c r="U140" s="2838"/>
      <c r="V140" s="2838"/>
      <c r="W140" s="2838"/>
      <c r="X140" s="2838"/>
      <c r="Y140" s="2838"/>
      <c r="Z140" s="2838"/>
      <c r="AA140" s="2838"/>
      <c r="AB140" s="144"/>
      <c r="AC140" s="2826"/>
      <c r="AD140" s="2826"/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1:40" s="3021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45"/>
      <c r="O141" s="146"/>
      <c r="P141" s="146"/>
      <c r="Q141" s="147"/>
      <c r="R141" s="147"/>
      <c r="S141" s="142"/>
      <c r="T141" s="142"/>
      <c r="U141" s="2838"/>
      <c r="V141" s="2838"/>
      <c r="W141" s="2838"/>
      <c r="X141" s="2838"/>
      <c r="Y141" s="2838"/>
      <c r="Z141" s="2838"/>
      <c r="AA141" s="2838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1:40" s="3021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2838"/>
      <c r="V142" s="2838"/>
      <c r="W142" s="2838"/>
      <c r="X142" s="2838"/>
      <c r="Y142" s="2838"/>
      <c r="Z142" s="2838"/>
      <c r="AA142" s="2838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1:40" s="3021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2838"/>
      <c r="V143" s="2838"/>
      <c r="W143" s="2838"/>
      <c r="X143" s="2838"/>
      <c r="Y143" s="2838"/>
      <c r="Z143" s="2838"/>
      <c r="AA143" s="2838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1:40" s="3021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2838"/>
      <c r="V144" s="2838"/>
      <c r="W144" s="2838"/>
      <c r="X144" s="2838"/>
      <c r="Y144" s="2838"/>
      <c r="Z144" s="2838"/>
      <c r="AA144" s="2838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39" s="3021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39" s="3021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39" s="3021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39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39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39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39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39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39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39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39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39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39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39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39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39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B166" s="3021">
        <f>SUBTOTAL(9,AB124:AB165)</f>
        <v>0</v>
      </c>
      <c r="AC166" s="2826">
        <f>SUBTOTAL(9,AC124:AC165)</f>
        <v>0</v>
      </c>
      <c r="AD166" s="2826">
        <f>SUBTOTAL(9,AD124:AD165)</f>
        <v>0</v>
      </c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B167" s="3021">
        <v>0</v>
      </c>
      <c r="AC167" s="2826">
        <v>0</v>
      </c>
      <c r="AD167" s="2826">
        <v>0</v>
      </c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B168" s="3021">
        <v>0</v>
      </c>
      <c r="AC168" s="2826">
        <v>0</v>
      </c>
      <c r="AD168" s="2826">
        <v>0</v>
      </c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B169" s="3021">
        <v>0</v>
      </c>
      <c r="AC169" s="2826">
        <v>0</v>
      </c>
      <c r="AD169" s="2826">
        <v>0</v>
      </c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B170" s="3021">
        <v>0</v>
      </c>
      <c r="AC170" s="2826">
        <v>0</v>
      </c>
      <c r="AD170" s="2826">
        <v>0</v>
      </c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B171" s="3021">
        <v>0</v>
      </c>
      <c r="AC171" s="2826">
        <v>0</v>
      </c>
      <c r="AD171" s="2826">
        <v>0</v>
      </c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B172" s="3021">
        <v>0</v>
      </c>
      <c r="AC172" s="2826">
        <v>0</v>
      </c>
      <c r="AD172" s="2826">
        <v>0</v>
      </c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3021">
        <v>0</v>
      </c>
      <c r="AC173" s="2826">
        <v>0</v>
      </c>
      <c r="AD173" s="2826">
        <v>0</v>
      </c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3021">
        <v>0</v>
      </c>
      <c r="AC174" s="2826">
        <v>0</v>
      </c>
      <c r="AD174" s="2826">
        <v>0</v>
      </c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3021">
        <v>0</v>
      </c>
      <c r="AC175" s="2826">
        <v>0</v>
      </c>
      <c r="AD175" s="2826">
        <v>0</v>
      </c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B176" s="3021">
        <v>0</v>
      </c>
      <c r="AC176" s="2826">
        <v>0</v>
      </c>
      <c r="AD176" s="2826">
        <v>0</v>
      </c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>
        <f>SUBTOTAL(9,U135:U176)</f>
        <v>0</v>
      </c>
      <c r="V177" s="146">
        <f t="shared" ref="V177:AA177" si="79">SUBTOTAL(9,V135:V176)</f>
        <v>0</v>
      </c>
      <c r="W177" s="146">
        <f t="shared" si="79"/>
        <v>0</v>
      </c>
      <c r="X177" s="146">
        <f t="shared" si="79"/>
        <v>0</v>
      </c>
      <c r="Y177" s="146">
        <f t="shared" si="79"/>
        <v>0</v>
      </c>
      <c r="Z177" s="146">
        <f t="shared" si="79"/>
        <v>0</v>
      </c>
      <c r="AA177" s="146">
        <f t="shared" si="79"/>
        <v>0</v>
      </c>
      <c r="AB177" s="3021">
        <v>0</v>
      </c>
      <c r="AC177" s="2826">
        <v>0</v>
      </c>
      <c r="AD177" s="2826">
        <v>0</v>
      </c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2825" customFormat="1" ht="14" thickBot="1">
      <c r="B178" s="139"/>
      <c r="C178" s="138"/>
      <c r="D178" s="908"/>
      <c r="E178" s="138"/>
      <c r="F178" s="140"/>
      <c r="G178" s="141"/>
      <c r="H178" s="141"/>
      <c r="I178" s="141"/>
      <c r="J178" s="141"/>
      <c r="K178" s="141"/>
      <c r="L178" s="146"/>
      <c r="M178" s="458"/>
      <c r="N178" s="140"/>
      <c r="O178" s="141"/>
      <c r="P178" s="141"/>
      <c r="Q178" s="148"/>
      <c r="R178" s="148"/>
      <c r="S178" s="149"/>
      <c r="T178" s="149"/>
      <c r="U178" s="150"/>
      <c r="V178" s="150"/>
      <c r="W178" s="150"/>
      <c r="X178" s="150"/>
      <c r="Y178" s="150"/>
      <c r="Z178" s="150"/>
      <c r="AA178" s="150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41" s="2825" customFormat="1" ht="15" thickTop="1" thickBot="1">
      <c r="B179" s="139"/>
      <c r="C179" s="138"/>
      <c r="D179" s="908"/>
      <c r="E179" s="138"/>
      <c r="F179" s="140"/>
      <c r="G179" s="141"/>
      <c r="H179" s="141"/>
      <c r="I179" s="141"/>
      <c r="J179" s="141"/>
      <c r="K179" s="141"/>
      <c r="L179" s="146"/>
      <c r="M179" s="458"/>
      <c r="N179" s="140"/>
      <c r="O179" s="141"/>
      <c r="P179" s="141"/>
      <c r="Q179" s="148"/>
      <c r="R179" s="148"/>
      <c r="S179" s="148"/>
      <c r="T179" s="149"/>
      <c r="U179" s="151"/>
      <c r="V179" s="152"/>
      <c r="W179" s="153"/>
      <c r="X179" s="153"/>
      <c r="Y179" s="153"/>
      <c r="Z179" s="153"/>
      <c r="AA179" s="154"/>
      <c r="AB179" s="3022"/>
      <c r="AC179" s="3022"/>
      <c r="AE179" s="2826"/>
      <c r="AF179" s="2826"/>
      <c r="AG179" s="2826"/>
      <c r="AH179" s="2826"/>
      <c r="AI179" s="2826"/>
      <c r="AJ179" s="2826"/>
      <c r="AK179" s="2826"/>
      <c r="AL179" s="2826"/>
      <c r="AM179" s="2826"/>
      <c r="AN179" s="2826"/>
      <c r="AO179" s="2826"/>
    </row>
    <row r="180" spans="2:41" s="3021" customFormat="1" ht="12" thickTop="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41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41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3021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41" s="3021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41" s="3021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41" s="3021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41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41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3021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3021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3021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3021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3021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3021" customFormat="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1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3021" customFormat="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1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3021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3021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41" s="3021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41" s="3021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41" s="3021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41" s="3021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41" s="3021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41" s="3021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41" s="3021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41" s="3021" customFormat="1" ht="11">
      <c r="B216" s="3159"/>
      <c r="D216" s="3160"/>
      <c r="F216" s="3023"/>
      <c r="G216" s="3024"/>
      <c r="H216" s="3024"/>
      <c r="I216" s="3024"/>
      <c r="J216" s="3024"/>
      <c r="K216" s="3024"/>
      <c r="L216" s="146"/>
      <c r="M216" s="3025"/>
      <c r="N216" s="3023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41" s="3021" customFormat="1" ht="11">
      <c r="B217" s="3159"/>
      <c r="D217" s="3160"/>
      <c r="F217" s="3023"/>
      <c r="G217" s="3024"/>
      <c r="H217" s="3024"/>
      <c r="I217" s="3024"/>
      <c r="J217" s="3024"/>
      <c r="K217" s="3024"/>
      <c r="L217" s="146"/>
      <c r="M217" s="3025"/>
      <c r="N217" s="3023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41" s="3021" customFormat="1" ht="11">
      <c r="B218" s="3159"/>
      <c r="D218" s="3160"/>
      <c r="F218" s="3023"/>
      <c r="G218" s="3024"/>
      <c r="H218" s="3024"/>
      <c r="I218" s="3024"/>
      <c r="J218" s="3024"/>
      <c r="K218" s="3024"/>
      <c r="L218" s="146"/>
      <c r="M218" s="3025"/>
      <c r="N218" s="3023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41" s="3021" customFormat="1" ht="11">
      <c r="B219" s="3159"/>
      <c r="D219" s="3160"/>
      <c r="F219" s="3023"/>
      <c r="G219" s="3024"/>
      <c r="H219" s="3024"/>
      <c r="I219" s="3024"/>
      <c r="J219" s="3024"/>
      <c r="K219" s="3024"/>
      <c r="L219" s="146"/>
      <c r="M219" s="3025"/>
      <c r="N219" s="3023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41" s="3021" customFormat="1" ht="11">
      <c r="B220" s="3159"/>
      <c r="D220" s="3160"/>
      <c r="F220" s="3023"/>
      <c r="G220" s="3024"/>
      <c r="H220" s="3024"/>
      <c r="I220" s="3024"/>
      <c r="J220" s="3024"/>
      <c r="K220" s="3024"/>
      <c r="L220" s="146"/>
      <c r="M220" s="3025"/>
      <c r="N220" s="3023"/>
      <c r="O220" s="146"/>
      <c r="P220" s="146"/>
      <c r="Q220" s="147"/>
      <c r="R220" s="147"/>
      <c r="S220" s="142"/>
      <c r="T220" s="142"/>
      <c r="U220" s="146">
        <f>SUBTOTAL(9,U178:U219)</f>
        <v>0</v>
      </c>
      <c r="V220" s="146">
        <f t="shared" ref="V220:AA220" si="80">SUBTOTAL(9,V178:V219)</f>
        <v>0</v>
      </c>
      <c r="W220" s="146">
        <f t="shared" si="80"/>
        <v>0</v>
      </c>
      <c r="X220" s="146">
        <f t="shared" si="80"/>
        <v>0</v>
      </c>
      <c r="Y220" s="146">
        <f t="shared" si="80"/>
        <v>0</v>
      </c>
      <c r="Z220" s="146">
        <f t="shared" si="80"/>
        <v>0</v>
      </c>
      <c r="AA220" s="146">
        <f t="shared" si="80"/>
        <v>0</v>
      </c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41" s="2825" customFormat="1" ht="14" thickBot="1">
      <c r="B221" s="2935"/>
      <c r="D221" s="3161"/>
      <c r="F221" s="3026"/>
      <c r="G221" s="3027"/>
      <c r="H221" s="3027"/>
      <c r="I221" s="3027"/>
      <c r="J221" s="3027"/>
      <c r="K221" s="3027"/>
      <c r="L221" s="146"/>
      <c r="M221" s="3025"/>
      <c r="N221" s="3026"/>
      <c r="O221" s="141"/>
      <c r="P221" s="141"/>
      <c r="Q221" s="148"/>
      <c r="R221" s="148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41" s="2825" customFormat="1" ht="15" thickTop="1" thickBot="1">
      <c r="B222" s="2935"/>
      <c r="D222" s="3161"/>
      <c r="F222" s="3026"/>
      <c r="G222" s="3027"/>
      <c r="H222" s="3027"/>
      <c r="I222" s="3027"/>
      <c r="J222" s="3027"/>
      <c r="K222" s="3027"/>
      <c r="L222" s="146"/>
      <c r="M222" s="3025"/>
      <c r="N222" s="3026"/>
      <c r="O222" s="141"/>
      <c r="P222" s="141"/>
      <c r="Q222" s="148"/>
      <c r="R222" s="148"/>
      <c r="S222" s="148"/>
      <c r="T222" s="148"/>
      <c r="U222" s="151">
        <f>SUBTOTAL(9,U180:U221)</f>
        <v>0</v>
      </c>
      <c r="V222" s="152">
        <f t="shared" ref="V222:AA222" si="81">SUBTOTAL(9,V180:V221)</f>
        <v>0</v>
      </c>
      <c r="W222" s="153">
        <f t="shared" si="81"/>
        <v>0</v>
      </c>
      <c r="X222" s="153">
        <f t="shared" si="81"/>
        <v>0</v>
      </c>
      <c r="Y222" s="153">
        <f t="shared" si="81"/>
        <v>0</v>
      </c>
      <c r="Z222" s="153">
        <f t="shared" si="81"/>
        <v>0</v>
      </c>
      <c r="AA222" s="154">
        <f t="shared" si="81"/>
        <v>0</v>
      </c>
      <c r="AB222" s="3022"/>
      <c r="AC222" s="3022"/>
      <c r="AE222" s="2826"/>
      <c r="AF222" s="2826"/>
      <c r="AG222" s="2826"/>
      <c r="AH222" s="2826"/>
      <c r="AI222" s="2826"/>
      <c r="AJ222" s="2826"/>
      <c r="AK222" s="2826"/>
      <c r="AL222" s="2826"/>
      <c r="AM222" s="2826"/>
      <c r="AN222" s="2826"/>
      <c r="AO222" s="2826"/>
    </row>
    <row r="223" spans="2:41" s="2825" customFormat="1" ht="14" thickTop="1">
      <c r="B223" s="2935"/>
      <c r="D223" s="3161"/>
      <c r="F223" s="3026"/>
      <c r="G223" s="3027"/>
      <c r="H223" s="3027"/>
      <c r="I223" s="3027"/>
      <c r="J223" s="3027"/>
      <c r="K223" s="3027"/>
      <c r="L223" s="146"/>
      <c r="M223" s="3025"/>
      <c r="N223" s="3026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41" s="2825" customFormat="1">
      <c r="B224" s="2935"/>
      <c r="D224" s="3161"/>
      <c r="F224" s="3026"/>
      <c r="G224" s="3027"/>
      <c r="H224" s="3027"/>
      <c r="I224" s="3027"/>
      <c r="J224" s="3027"/>
      <c r="K224" s="3027"/>
      <c r="L224" s="146"/>
      <c r="M224" s="3025"/>
      <c r="N224" s="3026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2:39" s="2825" customFormat="1">
      <c r="B225" s="2935"/>
      <c r="D225" s="3161"/>
      <c r="F225" s="3026"/>
      <c r="G225" s="3027"/>
      <c r="H225" s="3027"/>
      <c r="I225" s="3027"/>
      <c r="J225" s="3027"/>
      <c r="K225" s="3027"/>
      <c r="L225" s="146"/>
      <c r="M225" s="3025"/>
      <c r="N225" s="3026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39" s="2825" customFormat="1">
      <c r="B226" s="2935"/>
      <c r="D226" s="3161"/>
      <c r="F226" s="3026"/>
      <c r="G226" s="3027"/>
      <c r="H226" s="3027"/>
      <c r="I226" s="3027"/>
      <c r="J226" s="3027"/>
      <c r="K226" s="3027"/>
      <c r="L226" s="146"/>
      <c r="M226" s="3025"/>
      <c r="N226" s="3026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2:39" s="2825" customFormat="1">
      <c r="B227" s="2935"/>
      <c r="D227" s="3161"/>
      <c r="F227" s="3026"/>
      <c r="G227" s="3027"/>
      <c r="H227" s="3027"/>
      <c r="I227" s="3027"/>
      <c r="J227" s="3027"/>
      <c r="K227" s="3027"/>
      <c r="L227" s="146"/>
      <c r="M227" s="3025"/>
      <c r="N227" s="3026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2:39" s="2825" customFormat="1">
      <c r="B228" s="2935"/>
      <c r="D228" s="3161"/>
      <c r="F228" s="3026"/>
      <c r="G228" s="3027"/>
      <c r="H228" s="3027"/>
      <c r="I228" s="3027"/>
      <c r="J228" s="3027"/>
      <c r="K228" s="3027"/>
      <c r="L228" s="146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39" s="2825" customFormat="1">
      <c r="B229" s="2935"/>
      <c r="D229" s="3161"/>
      <c r="F229" s="3026"/>
      <c r="G229" s="3027"/>
      <c r="H229" s="3027"/>
      <c r="I229" s="3027"/>
      <c r="J229" s="3027"/>
      <c r="K229" s="3027"/>
      <c r="L229" s="146"/>
      <c r="M229" s="3025"/>
      <c r="N229" s="3026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2:39" s="2825" customFormat="1">
      <c r="B230" s="2935"/>
      <c r="D230" s="3161"/>
      <c r="F230" s="3026"/>
      <c r="G230" s="3027"/>
      <c r="H230" s="3027"/>
      <c r="I230" s="3027"/>
      <c r="J230" s="3027"/>
      <c r="K230" s="3027"/>
      <c r="L230" s="146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39" s="2825" customFormat="1">
      <c r="B231" s="2935"/>
      <c r="D231" s="3161"/>
      <c r="F231" s="3026"/>
      <c r="G231" s="3027"/>
      <c r="H231" s="3027"/>
      <c r="I231" s="3027"/>
      <c r="J231" s="3027"/>
      <c r="K231" s="3027"/>
      <c r="L231" s="146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39" s="2825" customFormat="1">
      <c r="B232" s="2935"/>
      <c r="D232" s="3161"/>
      <c r="F232" s="3026"/>
      <c r="G232" s="3027"/>
      <c r="H232" s="3027"/>
      <c r="I232" s="3027"/>
      <c r="J232" s="3027"/>
      <c r="K232" s="3027"/>
      <c r="L232" s="146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39" s="2825" customFormat="1">
      <c r="B233" s="2935"/>
      <c r="D233" s="3161"/>
      <c r="F233" s="3026"/>
      <c r="G233" s="3027"/>
      <c r="H233" s="3027"/>
      <c r="I233" s="3027"/>
      <c r="J233" s="3027"/>
      <c r="K233" s="3027"/>
      <c r="L233" s="146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39" s="2825" customFormat="1">
      <c r="B234" s="2935"/>
      <c r="D234" s="3161"/>
      <c r="F234" s="3026"/>
      <c r="G234" s="3027"/>
      <c r="H234" s="3027"/>
      <c r="I234" s="3027"/>
      <c r="J234" s="3027"/>
      <c r="K234" s="3027"/>
      <c r="L234" s="146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39" s="2825" customFormat="1">
      <c r="B235" s="2935"/>
      <c r="D235" s="3161"/>
      <c r="F235" s="3026"/>
      <c r="G235" s="3027"/>
      <c r="H235" s="3027"/>
      <c r="I235" s="3027"/>
      <c r="J235" s="3027"/>
      <c r="K235" s="3027"/>
      <c r="L235" s="146"/>
      <c r="M235" s="3025"/>
      <c r="N235" s="3026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39" s="2825" customFormat="1">
      <c r="B236" s="2935"/>
      <c r="D236" s="3161"/>
      <c r="F236" s="3026"/>
      <c r="G236" s="3027"/>
      <c r="H236" s="3027"/>
      <c r="I236" s="3027"/>
      <c r="J236" s="3027"/>
      <c r="K236" s="3027"/>
      <c r="L236" s="146"/>
      <c r="M236" s="3025"/>
      <c r="N236" s="3026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39" s="2825" customFormat="1">
      <c r="B237" s="2935"/>
      <c r="D237" s="3161"/>
      <c r="F237" s="3026"/>
      <c r="G237" s="3027"/>
      <c r="H237" s="3027"/>
      <c r="I237" s="3027"/>
      <c r="J237" s="3027"/>
      <c r="K237" s="3027"/>
      <c r="L237" s="146"/>
      <c r="M237" s="3025"/>
      <c r="N237" s="3026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39" s="2825" customFormat="1">
      <c r="B238" s="2935"/>
      <c r="D238" s="3161"/>
      <c r="F238" s="3026"/>
      <c r="G238" s="3027"/>
      <c r="H238" s="3027"/>
      <c r="I238" s="3027"/>
      <c r="J238" s="3027"/>
      <c r="K238" s="3027"/>
      <c r="L238" s="146"/>
      <c r="M238" s="3025"/>
      <c r="N238" s="3026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39" s="2825" customFormat="1">
      <c r="B239" s="2935"/>
      <c r="D239" s="3161"/>
      <c r="F239" s="3026"/>
      <c r="G239" s="3027"/>
      <c r="H239" s="3027"/>
      <c r="I239" s="3027"/>
      <c r="J239" s="3027"/>
      <c r="K239" s="3027"/>
      <c r="L239" s="146"/>
      <c r="M239" s="3025"/>
      <c r="N239" s="3026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39" s="2825" customFormat="1">
      <c r="B240" s="2935"/>
      <c r="D240" s="3161"/>
      <c r="F240" s="3026"/>
      <c r="G240" s="3027"/>
      <c r="H240" s="3027"/>
      <c r="I240" s="3027"/>
      <c r="J240" s="3027"/>
      <c r="K240" s="3027"/>
      <c r="L240" s="146"/>
      <c r="M240" s="3025"/>
      <c r="N240" s="3026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1:40" s="2825" customFormat="1">
      <c r="B241" s="2935"/>
      <c r="D241" s="3161"/>
      <c r="F241" s="3026"/>
      <c r="G241" s="3027"/>
      <c r="H241" s="3027"/>
      <c r="I241" s="3027"/>
      <c r="J241" s="3027"/>
      <c r="K241" s="3027"/>
      <c r="L241" s="146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1:40" s="2825" customFormat="1">
      <c r="B242" s="2935"/>
      <c r="D242" s="3161"/>
      <c r="F242" s="3026"/>
      <c r="G242" s="3027"/>
      <c r="H242" s="3027"/>
      <c r="I242" s="3027"/>
      <c r="J242" s="3027"/>
      <c r="K242" s="3027"/>
      <c r="L242" s="146"/>
      <c r="M242" s="3025"/>
      <c r="N242" s="3026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826"/>
      <c r="AD242" s="2826"/>
      <c r="AE242" s="2826"/>
      <c r="AF242" s="2826"/>
      <c r="AG242" s="2826"/>
      <c r="AH242" s="2826"/>
      <c r="AI242" s="2826"/>
      <c r="AJ242" s="2826"/>
      <c r="AK242" s="2826"/>
      <c r="AL242" s="2826"/>
      <c r="AM242" s="2826"/>
    </row>
    <row r="243" spans="1:40" s="2825" customFormat="1">
      <c r="B243" s="2935"/>
      <c r="D243" s="3161"/>
      <c r="F243" s="3026"/>
      <c r="G243" s="3027"/>
      <c r="H243" s="3027"/>
      <c r="I243" s="3027"/>
      <c r="J243" s="3027"/>
      <c r="K243" s="3027"/>
      <c r="L243" s="3024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1:40" s="2825" customFormat="1">
      <c r="B244" s="2935"/>
      <c r="D244" s="3161"/>
      <c r="F244" s="3026"/>
      <c r="G244" s="3027"/>
      <c r="H244" s="3027"/>
      <c r="I244" s="3027"/>
      <c r="J244" s="3027"/>
      <c r="K244" s="3027"/>
      <c r="L244" s="3024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1:40" s="2825" customFormat="1">
      <c r="B245" s="2935"/>
      <c r="D245" s="3161"/>
      <c r="F245" s="3026"/>
      <c r="G245" s="3027"/>
      <c r="H245" s="3027"/>
      <c r="I245" s="3027"/>
      <c r="J245" s="3027"/>
      <c r="K245" s="3027"/>
      <c r="L245" s="3024"/>
      <c r="M245" s="3025"/>
      <c r="N245" s="3026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826"/>
      <c r="AD245" s="2826"/>
      <c r="AE245" s="2826"/>
      <c r="AF245" s="2826"/>
      <c r="AG245" s="2826"/>
      <c r="AH245" s="2826"/>
      <c r="AI245" s="2826"/>
      <c r="AJ245" s="2826"/>
      <c r="AK245" s="2826"/>
      <c r="AL245" s="2826"/>
      <c r="AM245" s="2826"/>
    </row>
    <row r="246" spans="1:40" s="2825" customFormat="1">
      <c r="B246" s="2935"/>
      <c r="D246" s="3161"/>
      <c r="F246" s="3026"/>
      <c r="G246" s="3027"/>
      <c r="H246" s="3027"/>
      <c r="I246" s="3027"/>
      <c r="J246" s="3027"/>
      <c r="K246" s="3027"/>
      <c r="L246" s="3024"/>
      <c r="M246" s="3025"/>
      <c r="N246" s="3026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826"/>
      <c r="AD246" s="2826"/>
      <c r="AE246" s="2826"/>
      <c r="AF246" s="2826"/>
      <c r="AG246" s="2826"/>
      <c r="AH246" s="2826"/>
      <c r="AI246" s="2826"/>
      <c r="AJ246" s="2826"/>
      <c r="AK246" s="2826"/>
      <c r="AL246" s="2826"/>
      <c r="AM246" s="2826"/>
    </row>
    <row r="247" spans="1:40" s="2825" customFormat="1">
      <c r="B247" s="2935"/>
      <c r="D247" s="3161"/>
      <c r="F247" s="3026"/>
      <c r="G247" s="3027"/>
      <c r="H247" s="3027"/>
      <c r="I247" s="3027"/>
      <c r="J247" s="3027"/>
      <c r="K247" s="3027"/>
      <c r="L247" s="3024"/>
      <c r="M247" s="3025"/>
      <c r="N247" s="3026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826"/>
      <c r="AD247" s="2826"/>
      <c r="AE247" s="2826"/>
      <c r="AF247" s="2826"/>
      <c r="AG247" s="2826"/>
      <c r="AH247" s="2826"/>
      <c r="AI247" s="2826"/>
      <c r="AJ247" s="2826"/>
      <c r="AK247" s="2826"/>
      <c r="AL247" s="2826"/>
      <c r="AM247" s="2826"/>
    </row>
    <row r="248" spans="1:40" s="2825" customFormat="1">
      <c r="B248" s="2935"/>
      <c r="D248" s="3161"/>
      <c r="F248" s="3026"/>
      <c r="G248" s="3027"/>
      <c r="H248" s="3027"/>
      <c r="I248" s="3027"/>
      <c r="J248" s="3027"/>
      <c r="K248" s="3027"/>
      <c r="L248" s="3027"/>
      <c r="M248" s="3025"/>
      <c r="N248" s="3026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826"/>
      <c r="AD248" s="2826"/>
      <c r="AE248" s="2826"/>
      <c r="AF248" s="2826"/>
      <c r="AG248" s="2826"/>
      <c r="AH248" s="2826"/>
      <c r="AI248" s="2826"/>
      <c r="AJ248" s="2826"/>
      <c r="AK248" s="2826"/>
      <c r="AL248" s="2826"/>
      <c r="AM248" s="2826"/>
    </row>
    <row r="249" spans="1:40" s="2825" customFormat="1">
      <c r="B249" s="2935"/>
      <c r="D249" s="3161"/>
      <c r="F249" s="3026"/>
      <c r="G249" s="3027"/>
      <c r="H249" s="3027"/>
      <c r="I249" s="3027"/>
      <c r="J249" s="3027"/>
      <c r="K249" s="3027"/>
      <c r="L249" s="3027"/>
      <c r="M249" s="3025"/>
      <c r="N249" s="3026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826"/>
      <c r="AD249" s="2826"/>
      <c r="AE249" s="2826"/>
      <c r="AF249" s="2826"/>
      <c r="AG249" s="2826"/>
      <c r="AH249" s="2826"/>
      <c r="AI249" s="2826"/>
      <c r="AJ249" s="2826"/>
      <c r="AK249" s="2826"/>
      <c r="AL249" s="2826"/>
      <c r="AM249" s="2826"/>
    </row>
    <row r="250" spans="1:40" s="2825" customFormat="1">
      <c r="B250" s="2935"/>
      <c r="D250" s="3161"/>
      <c r="F250" s="3026"/>
      <c r="G250" s="3027"/>
      <c r="H250" s="3027"/>
      <c r="I250" s="3027"/>
      <c r="J250" s="3027"/>
      <c r="K250" s="3027"/>
      <c r="L250" s="3027"/>
      <c r="M250" s="3025"/>
      <c r="N250" s="3026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826"/>
      <c r="AD250" s="2826"/>
      <c r="AE250" s="2826"/>
      <c r="AF250" s="2826"/>
      <c r="AG250" s="2826"/>
      <c r="AH250" s="2826"/>
      <c r="AI250" s="2826"/>
      <c r="AJ250" s="2826"/>
      <c r="AK250" s="2826"/>
      <c r="AL250" s="2826"/>
      <c r="AM250" s="2826"/>
    </row>
    <row r="251" spans="1:40" s="2825" customFormat="1">
      <c r="B251" s="2935"/>
      <c r="D251" s="3161"/>
      <c r="F251" s="3026"/>
      <c r="G251" s="3027"/>
      <c r="H251" s="3027"/>
      <c r="I251" s="3027"/>
      <c r="J251" s="3027"/>
      <c r="K251" s="3027"/>
      <c r="L251" s="3027"/>
      <c r="M251" s="3025"/>
      <c r="N251" s="3026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826"/>
      <c r="AD251" s="2826"/>
      <c r="AE251" s="2826"/>
      <c r="AF251" s="2826"/>
      <c r="AG251" s="2826"/>
      <c r="AH251" s="2826"/>
      <c r="AI251" s="2826"/>
      <c r="AJ251" s="2826"/>
      <c r="AK251" s="2826"/>
      <c r="AL251" s="2826"/>
      <c r="AM251" s="2826"/>
    </row>
    <row r="252" spans="1:40" s="2825" customFormat="1">
      <c r="B252" s="2935"/>
      <c r="D252" s="3161"/>
      <c r="F252" s="3026"/>
      <c r="G252" s="3027"/>
      <c r="H252" s="3027"/>
      <c r="I252" s="3027"/>
      <c r="J252" s="3027"/>
      <c r="K252" s="3027"/>
      <c r="L252" s="3027"/>
      <c r="M252" s="3025"/>
      <c r="N252" s="3026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826"/>
      <c r="AD252" s="2826"/>
      <c r="AE252" s="2826"/>
      <c r="AF252" s="2826"/>
      <c r="AG252" s="2826"/>
      <c r="AH252" s="2826"/>
      <c r="AI252" s="2826"/>
      <c r="AJ252" s="2826"/>
      <c r="AK252" s="2826"/>
      <c r="AL252" s="2826"/>
      <c r="AM252" s="2826"/>
    </row>
    <row r="253" spans="1:40" s="2825" customFormat="1">
      <c r="B253" s="2935"/>
      <c r="D253" s="3161"/>
      <c r="F253" s="3026"/>
      <c r="G253" s="3027"/>
      <c r="H253" s="3027"/>
      <c r="I253" s="3027"/>
      <c r="J253" s="3027"/>
      <c r="K253" s="3027"/>
      <c r="L253" s="3027"/>
      <c r="M253" s="3025"/>
      <c r="N253" s="3026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826"/>
      <c r="AD253" s="2826"/>
      <c r="AE253" s="2826"/>
      <c r="AF253" s="2826"/>
      <c r="AG253" s="2826"/>
      <c r="AH253" s="2826"/>
      <c r="AI253" s="2826"/>
      <c r="AJ253" s="2826"/>
      <c r="AK253" s="2826"/>
      <c r="AL253" s="2826"/>
      <c r="AM253" s="2826"/>
    </row>
    <row r="254" spans="1:40">
      <c r="A254" s="1"/>
      <c r="L254" s="3027"/>
      <c r="O254" s="155"/>
      <c r="P254" s="155"/>
      <c r="Q254" s="1131"/>
      <c r="R254" s="1131"/>
      <c r="S254" s="251"/>
      <c r="T254" s="251"/>
      <c r="U254" s="1132"/>
      <c r="V254" s="1132"/>
      <c r="W254" s="1132"/>
      <c r="X254" s="1132"/>
      <c r="Y254" s="1132"/>
      <c r="Z254" s="1132"/>
      <c r="AA254" s="1132"/>
      <c r="AN254" s="1"/>
    </row>
    <row r="255" spans="1:40">
      <c r="A255" s="1"/>
      <c r="L255" s="3027"/>
      <c r="O255" s="155"/>
      <c r="P255" s="155"/>
      <c r="Q255" s="1131"/>
      <c r="R255" s="1131"/>
      <c r="S255" s="251"/>
      <c r="T255" s="251"/>
      <c r="U255" s="1132"/>
      <c r="V255" s="1132"/>
      <c r="W255" s="1132"/>
      <c r="X255" s="1132"/>
      <c r="Y255" s="1132"/>
      <c r="Z255" s="1132"/>
      <c r="AA255" s="1132"/>
      <c r="AN255" s="1"/>
    </row>
    <row r="256" spans="1:40">
      <c r="A256" s="1"/>
      <c r="L256" s="3027"/>
      <c r="O256" s="155"/>
      <c r="P256" s="155"/>
      <c r="Q256" s="1131"/>
      <c r="R256" s="1131"/>
      <c r="S256" s="251"/>
      <c r="T256" s="251"/>
      <c r="U256" s="1132"/>
      <c r="V256" s="1132"/>
      <c r="W256" s="1132"/>
      <c r="X256" s="1132"/>
      <c r="Y256" s="1132"/>
      <c r="Z256" s="1132"/>
      <c r="AA256" s="1132"/>
      <c r="AN256" s="1"/>
    </row>
    <row r="257" spans="1:40">
      <c r="A257" s="1"/>
      <c r="L257" s="3027"/>
      <c r="O257" s="155"/>
      <c r="P257" s="155"/>
      <c r="Q257" s="1131"/>
      <c r="R257" s="1131"/>
      <c r="S257" s="251"/>
      <c r="T257" s="251"/>
      <c r="U257" s="1132"/>
      <c r="V257" s="1132"/>
      <c r="W257" s="1132"/>
      <c r="X257" s="1132"/>
      <c r="Y257" s="1132"/>
      <c r="Z257" s="1132"/>
      <c r="AA257" s="1132"/>
      <c r="AN257" s="1"/>
    </row>
    <row r="258" spans="1:40">
      <c r="A258" s="1"/>
      <c r="L258" s="3027"/>
      <c r="O258" s="155"/>
      <c r="P258" s="155"/>
      <c r="Q258" s="1131"/>
      <c r="R258" s="1131"/>
      <c r="S258" s="251"/>
      <c r="T258" s="251"/>
      <c r="U258" s="1132"/>
      <c r="V258" s="1132"/>
      <c r="W258" s="1132"/>
      <c r="X258" s="1132"/>
      <c r="Y258" s="1132"/>
      <c r="Z258" s="1132"/>
      <c r="AA258" s="1132"/>
      <c r="AN258" s="1"/>
    </row>
    <row r="259" spans="1:40">
      <c r="A259" s="1"/>
      <c r="L259" s="3027"/>
      <c r="O259" s="155"/>
      <c r="P259" s="155"/>
      <c r="Q259" s="1131"/>
      <c r="R259" s="1131"/>
      <c r="S259" s="251"/>
      <c r="T259" s="251"/>
      <c r="U259" s="1132"/>
      <c r="V259" s="1132"/>
      <c r="W259" s="1132"/>
      <c r="X259" s="1132"/>
      <c r="Y259" s="1132"/>
      <c r="Z259" s="1132"/>
      <c r="AA259" s="1132"/>
      <c r="AN259" s="1"/>
    </row>
    <row r="260" spans="1:40">
      <c r="A260" s="1"/>
      <c r="L260" s="3027"/>
      <c r="O260" s="155"/>
      <c r="P260" s="155"/>
      <c r="Q260" s="1131"/>
      <c r="R260" s="1131"/>
      <c r="S260" s="251"/>
      <c r="T260" s="251"/>
      <c r="U260" s="1132"/>
      <c r="V260" s="1132"/>
      <c r="W260" s="1132"/>
      <c r="X260" s="1132"/>
      <c r="Y260" s="1132"/>
      <c r="Z260" s="1132"/>
      <c r="AA260" s="1132"/>
      <c r="AN260" s="1"/>
    </row>
    <row r="261" spans="1:40">
      <c r="A261" s="1"/>
      <c r="L261" s="3027"/>
      <c r="O261" s="155"/>
      <c r="P261" s="155"/>
      <c r="Q261" s="1131"/>
      <c r="R261" s="1131"/>
      <c r="S261" s="251"/>
      <c r="T261" s="251"/>
      <c r="U261" s="1132"/>
      <c r="V261" s="1132"/>
      <c r="W261" s="1132"/>
      <c r="X261" s="1132"/>
      <c r="Y261" s="1132"/>
      <c r="Z261" s="1132"/>
      <c r="AA261" s="1132"/>
      <c r="AN261" s="1"/>
    </row>
    <row r="262" spans="1:40">
      <c r="A262" s="1"/>
      <c r="L262" s="3027"/>
      <c r="O262" s="155"/>
      <c r="P262" s="155"/>
      <c r="Q262" s="1131"/>
      <c r="R262" s="1131"/>
      <c r="S262" s="251"/>
      <c r="T262" s="251"/>
      <c r="U262" s="1132"/>
      <c r="V262" s="1132"/>
      <c r="W262" s="1132"/>
      <c r="X262" s="1132"/>
      <c r="Y262" s="1132"/>
      <c r="Z262" s="1132"/>
      <c r="AA262" s="1132"/>
      <c r="AN262" s="1"/>
    </row>
    <row r="263" spans="1:40">
      <c r="A263" s="1"/>
      <c r="L263" s="3027"/>
      <c r="O263" s="155"/>
      <c r="P263" s="155"/>
      <c r="Q263" s="1131"/>
      <c r="R263" s="1131"/>
      <c r="S263" s="251"/>
      <c r="T263" s="251"/>
      <c r="U263" s="1132"/>
      <c r="V263" s="1132"/>
      <c r="W263" s="1132"/>
      <c r="X263" s="1132"/>
      <c r="Y263" s="1132"/>
      <c r="Z263" s="1132"/>
      <c r="AA263" s="1132"/>
      <c r="AN263" s="1"/>
    </row>
    <row r="264" spans="1:40">
      <c r="A264" s="1"/>
      <c r="B264" s="1"/>
      <c r="D264" s="1"/>
      <c r="F264" s="1"/>
      <c r="G264" s="1"/>
      <c r="H264" s="1"/>
      <c r="I264" s="1"/>
      <c r="J264" s="1"/>
      <c r="K264" s="1"/>
      <c r="L264" s="3027"/>
      <c r="O264" s="155"/>
      <c r="P264" s="155"/>
      <c r="Q264" s="1131"/>
      <c r="R264" s="1131"/>
      <c r="S264" s="251"/>
      <c r="T264" s="251"/>
      <c r="U264" s="1132"/>
      <c r="V264" s="1132"/>
      <c r="W264" s="1132"/>
      <c r="X264" s="1132"/>
      <c r="Y264" s="1132"/>
      <c r="Z264" s="1132"/>
      <c r="AA264" s="1132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>
      <c r="A265" s="1"/>
      <c r="B265" s="1"/>
      <c r="D265" s="1"/>
      <c r="F265" s="1"/>
      <c r="G265" s="1"/>
      <c r="H265" s="1"/>
      <c r="I265" s="1"/>
      <c r="J265" s="1"/>
      <c r="K265" s="1"/>
      <c r="L265" s="3027"/>
      <c r="O265" s="155"/>
      <c r="P265" s="155"/>
      <c r="Q265" s="1131"/>
      <c r="R265" s="1131"/>
      <c r="S265" s="251"/>
      <c r="T265" s="251"/>
      <c r="U265" s="1132"/>
      <c r="V265" s="1132"/>
      <c r="W265" s="1132"/>
      <c r="X265" s="1132"/>
      <c r="Y265" s="1132"/>
      <c r="Z265" s="1132"/>
      <c r="AA265" s="1132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>
      <c r="A266" s="1"/>
      <c r="B266" s="1"/>
      <c r="D266" s="1"/>
      <c r="F266" s="1"/>
      <c r="G266" s="1"/>
      <c r="H266" s="1"/>
      <c r="I266" s="1"/>
      <c r="J266" s="1"/>
      <c r="K266" s="1"/>
      <c r="L266" s="3027"/>
      <c r="O266" s="155"/>
      <c r="P266" s="155"/>
      <c r="Q266" s="1131"/>
      <c r="R266" s="1131"/>
      <c r="S266" s="251"/>
      <c r="T266" s="251"/>
      <c r="U266" s="1132"/>
      <c r="V266" s="1132"/>
      <c r="W266" s="1132"/>
      <c r="X266" s="1132"/>
      <c r="Y266" s="1132"/>
      <c r="Z266" s="1132"/>
      <c r="AA266" s="1132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>
      <c r="A267" s="1"/>
      <c r="B267" s="1"/>
      <c r="D267" s="1"/>
      <c r="F267" s="1"/>
      <c r="G267" s="1"/>
      <c r="H267" s="1"/>
      <c r="I267" s="1"/>
      <c r="J267" s="1"/>
      <c r="K267" s="1"/>
      <c r="L267" s="3027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>
      <c r="A268" s="1"/>
      <c r="B268" s="1"/>
      <c r="D268" s="1"/>
      <c r="F268" s="1"/>
      <c r="G268" s="1"/>
      <c r="H268" s="1"/>
      <c r="I268" s="1"/>
      <c r="J268" s="1"/>
      <c r="K268" s="1"/>
      <c r="L268" s="3027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>
      <c r="A269" s="1"/>
      <c r="B269" s="1"/>
      <c r="D269" s="1"/>
      <c r="F269" s="1"/>
      <c r="G269" s="1"/>
      <c r="H269" s="1"/>
      <c r="I269" s="1"/>
      <c r="J269" s="1"/>
      <c r="K269" s="1"/>
      <c r="L269" s="3027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>
      <c r="A270" s="1"/>
      <c r="B270" s="1"/>
      <c r="D270" s="1"/>
      <c r="F270" s="1"/>
      <c r="G270" s="1"/>
      <c r="H270" s="1"/>
      <c r="I270" s="1"/>
      <c r="J270" s="1"/>
      <c r="K270" s="1"/>
      <c r="L270" s="3027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>
      <c r="A271" s="1"/>
      <c r="B271" s="1"/>
      <c r="D271" s="1"/>
      <c r="F271" s="1"/>
      <c r="G271" s="1"/>
      <c r="H271" s="1"/>
      <c r="I271" s="1"/>
      <c r="J271" s="1"/>
      <c r="K271" s="1"/>
      <c r="L271" s="3027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>
      <c r="A272" s="1"/>
      <c r="B272" s="1"/>
      <c r="D272" s="1"/>
      <c r="F272" s="1"/>
      <c r="G272" s="1"/>
      <c r="H272" s="1"/>
      <c r="I272" s="1"/>
      <c r="J272" s="1"/>
      <c r="K272" s="1"/>
      <c r="L272" s="3027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>
      <c r="A273" s="1"/>
      <c r="B273" s="1"/>
      <c r="D273" s="1"/>
      <c r="F273" s="1"/>
      <c r="G273" s="1"/>
      <c r="H273" s="1"/>
      <c r="I273" s="1"/>
      <c r="J273" s="1"/>
      <c r="K273" s="1"/>
      <c r="L273" s="3027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>
      <c r="A274" s="1"/>
      <c r="B274" s="1"/>
      <c r="D274" s="1"/>
      <c r="F274" s="1"/>
      <c r="G274" s="1"/>
      <c r="H274" s="1"/>
      <c r="I274" s="1"/>
      <c r="J274" s="1"/>
      <c r="K274" s="1"/>
      <c r="L274" s="3027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>
      <c r="A275" s="1"/>
      <c r="B275" s="1"/>
      <c r="D275" s="1"/>
      <c r="F275" s="1"/>
      <c r="G275" s="1"/>
      <c r="H275" s="1"/>
      <c r="I275" s="1"/>
      <c r="J275" s="1"/>
      <c r="K275" s="1"/>
      <c r="L275" s="3027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>
      <c r="A276" s="1"/>
      <c r="B276" s="1"/>
      <c r="D276" s="1"/>
      <c r="F276" s="1"/>
      <c r="G276" s="1"/>
      <c r="H276" s="1"/>
      <c r="I276" s="1"/>
      <c r="J276" s="1"/>
      <c r="K276" s="1"/>
      <c r="L276" s="3027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>
      <c r="A277" s="1"/>
      <c r="B277" s="1"/>
      <c r="D277" s="1"/>
      <c r="F277" s="1"/>
      <c r="G277" s="1"/>
      <c r="H277" s="1"/>
      <c r="I277" s="1"/>
      <c r="J277" s="1"/>
      <c r="K277" s="1"/>
      <c r="L277" s="3027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>
      <c r="A278" s="1"/>
      <c r="B278" s="1"/>
      <c r="D278" s="1"/>
      <c r="F278" s="1"/>
      <c r="G278" s="1"/>
      <c r="H278" s="1"/>
      <c r="I278" s="1"/>
      <c r="J278" s="1"/>
      <c r="K278" s="1"/>
      <c r="L278" s="3027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>
      <c r="A279" s="1"/>
      <c r="B279" s="1"/>
      <c r="D279" s="1"/>
      <c r="F279" s="1"/>
      <c r="G279" s="1"/>
      <c r="H279" s="1"/>
      <c r="I279" s="1"/>
      <c r="J279" s="1"/>
      <c r="K279" s="1"/>
      <c r="L279" s="3027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>
      <c r="A280" s="1"/>
      <c r="B280" s="1"/>
      <c r="D280" s="1"/>
      <c r="F280" s="1"/>
      <c r="G280" s="1"/>
      <c r="H280" s="1"/>
      <c r="I280" s="1"/>
      <c r="J280" s="1"/>
      <c r="K280" s="1"/>
      <c r="L280" s="302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</sheetData>
  <mergeCells count="1">
    <mergeCell ref="Q90:R90"/>
  </mergeCells>
  <conditionalFormatting sqref="H44">
    <cfRule type="cellIs" dxfId="164" priority="1" stopIfTrue="1" operator="equal">
      <formula>1</formula>
    </cfRule>
  </conditionalFormatting>
  <conditionalFormatting sqref="H7">
    <cfRule type="cellIs" dxfId="163" priority="3" stopIfTrue="1" operator="equal">
      <formula>1</formula>
    </cfRule>
  </conditionalFormatting>
  <conditionalFormatting sqref="F7:G7 I7:K7">
    <cfRule type="cellIs" dxfId="162" priority="4" stopIfTrue="1" operator="equal">
      <formula>1</formula>
    </cfRule>
  </conditionalFormatting>
  <conditionalFormatting sqref="F44:G44 I44:K44">
    <cfRule type="cellIs" dxfId="161" priority="2" stopIfTrue="1" operator="equal">
      <formula>1</formula>
    </cfRule>
  </conditionalFormatting>
  <printOptions horizontalCentered="1"/>
  <pageMargins left="0" right="0" top="0.78740157480314965" bottom="0" header="0.59055118110236227" footer="0"/>
  <pageSetup paperSize="9" scale="91" fitToHeight="2" orientation="landscape" horizontalDpi="0" verticalDpi="0"/>
  <headerFooter>
    <oddHeader>&amp;L&amp;K000000                 &amp;Z&amp;F             &amp;A</oddHeader>
  </headerFooter>
  <drawing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5F4F9-FB51-8B4A-B145-BABDC4475C2C}">
  <sheetPr codeName="Hoja49">
    <pageSetUpPr fitToPage="1"/>
  </sheetPr>
  <dimension ref="A1:R35"/>
  <sheetViews>
    <sheetView workbookViewId="0">
      <selection sqref="A1:XFD1048576"/>
    </sheetView>
  </sheetViews>
  <sheetFormatPr baseColWidth="10" defaultRowHeight="13"/>
  <cols>
    <col min="1" max="17" width="7.33203125" customWidth="1"/>
    <col min="18" max="18" width="12.1640625" customWidth="1"/>
  </cols>
  <sheetData>
    <row r="1" spans="1:18">
      <c r="A1" s="3633"/>
      <c r="B1" s="3633"/>
      <c r="C1" s="3633"/>
      <c r="D1" s="3633"/>
      <c r="E1" s="3633"/>
      <c r="F1" s="3633"/>
      <c r="G1" s="3633"/>
      <c r="H1" s="3633"/>
      <c r="I1" s="3633"/>
      <c r="J1" s="3633"/>
      <c r="K1" s="3633"/>
      <c r="L1" s="3633"/>
      <c r="M1" s="3633"/>
      <c r="N1" s="3633"/>
      <c r="O1" s="3633"/>
      <c r="P1" s="3633"/>
      <c r="Q1" s="3633"/>
      <c r="R1" s="3633"/>
    </row>
    <row r="2" spans="1:18">
      <c r="A2" s="3634">
        <v>15</v>
      </c>
      <c r="B2" s="3634">
        <v>20</v>
      </c>
      <c r="C2" s="3634">
        <v>25</v>
      </c>
      <c r="D2" s="3634">
        <v>30</v>
      </c>
      <c r="E2" s="3634">
        <v>35</v>
      </c>
      <c r="F2" s="3634">
        <v>40</v>
      </c>
      <c r="G2" s="3634">
        <v>45</v>
      </c>
      <c r="H2" s="3634">
        <v>50</v>
      </c>
      <c r="I2" s="3634">
        <v>60</v>
      </c>
      <c r="J2" s="3634">
        <v>65</v>
      </c>
      <c r="K2" s="3634">
        <v>70</v>
      </c>
      <c r="L2" s="3634">
        <v>75</v>
      </c>
      <c r="M2" s="3634">
        <v>80</v>
      </c>
      <c r="N2" s="3634">
        <v>85</v>
      </c>
      <c r="O2" s="3634">
        <v>90</v>
      </c>
      <c r="P2" s="3634">
        <v>95</v>
      </c>
      <c r="Q2" s="3634">
        <v>100</v>
      </c>
      <c r="R2" s="3634"/>
    </row>
    <row r="3" spans="1:18">
      <c r="A3" s="3635"/>
      <c r="B3" s="3635"/>
      <c r="C3" s="3635"/>
      <c r="D3" s="3635"/>
      <c r="E3" s="3635"/>
      <c r="F3" s="3635"/>
      <c r="G3" s="3635"/>
      <c r="H3" s="3635"/>
      <c r="I3" s="3635"/>
      <c r="J3" s="3635"/>
      <c r="K3" s="3635"/>
      <c r="L3" s="3635"/>
      <c r="M3" s="3635"/>
      <c r="N3" s="3635"/>
      <c r="O3" s="3635"/>
      <c r="P3" s="3635"/>
      <c r="Q3" s="3635"/>
      <c r="R3" s="3635"/>
    </row>
    <row r="4" spans="1:18">
      <c r="A4" s="3634">
        <v>7</v>
      </c>
      <c r="B4" s="3634">
        <v>2.94</v>
      </c>
      <c r="C4" s="3634">
        <v>2.9</v>
      </c>
      <c r="D4" s="3634">
        <v>2.94</v>
      </c>
      <c r="E4" s="3634">
        <v>3.45</v>
      </c>
      <c r="F4" s="3634">
        <v>3.29</v>
      </c>
      <c r="G4" s="3634">
        <v>3.43</v>
      </c>
      <c r="H4" s="3634">
        <v>3.25</v>
      </c>
      <c r="I4" s="3634">
        <v>5.25</v>
      </c>
      <c r="J4" s="3634">
        <v>3.45</v>
      </c>
      <c r="K4" s="3634">
        <v>3.98</v>
      </c>
      <c r="L4" s="3634">
        <v>3.05</v>
      </c>
      <c r="M4" s="3634">
        <v>3.15</v>
      </c>
      <c r="N4" s="3634">
        <v>3.51</v>
      </c>
      <c r="O4" s="3634">
        <v>3.37</v>
      </c>
      <c r="P4" s="3634">
        <v>3.5</v>
      </c>
      <c r="Q4" s="3634">
        <v>3.5</v>
      </c>
      <c r="R4" s="3634"/>
    </row>
    <row r="5" spans="1:18">
      <c r="A5" s="3634"/>
      <c r="B5" s="3634">
        <f>A4+B4</f>
        <v>9.94</v>
      </c>
      <c r="C5" s="3634">
        <f>B5+C4</f>
        <v>12.84</v>
      </c>
      <c r="D5" s="3634">
        <f t="shared" ref="D5:H5" si="0">C5+D4</f>
        <v>15.78</v>
      </c>
      <c r="E5" s="3634">
        <f t="shared" si="0"/>
        <v>19.23</v>
      </c>
      <c r="F5" s="3634">
        <f t="shared" si="0"/>
        <v>22.52</v>
      </c>
      <c r="G5" s="3634">
        <f t="shared" si="0"/>
        <v>25.95</v>
      </c>
      <c r="H5" s="3634">
        <f t="shared" si="0"/>
        <v>29.2</v>
      </c>
      <c r="I5" s="3634">
        <f t="shared" ref="I5" si="1">H5+I4</f>
        <v>34.450000000000003</v>
      </c>
      <c r="J5" s="3634">
        <f t="shared" ref="J5" si="2">I5+J4</f>
        <v>37.900000000000006</v>
      </c>
      <c r="K5" s="3634">
        <f t="shared" ref="K5" si="3">J5+K4</f>
        <v>41.88</v>
      </c>
      <c r="L5" s="3634">
        <f t="shared" ref="L5" si="4">K5+L4</f>
        <v>44.93</v>
      </c>
      <c r="M5" s="3634">
        <f t="shared" ref="M5" si="5">L5+M4</f>
        <v>48.08</v>
      </c>
      <c r="N5" s="3634">
        <f t="shared" ref="N5" si="6">M5+N4</f>
        <v>51.589999999999996</v>
      </c>
      <c r="O5" s="3634">
        <f t="shared" ref="O5" si="7">N5+O4</f>
        <v>54.959999999999994</v>
      </c>
      <c r="P5" s="3634">
        <f t="shared" ref="P5" si="8">O5+P4</f>
        <v>58.459999999999994</v>
      </c>
      <c r="Q5" s="3634">
        <f t="shared" ref="Q5" si="9">P5+Q4</f>
        <v>61.959999999999994</v>
      </c>
      <c r="R5" s="3634"/>
    </row>
    <row r="6" spans="1:18">
      <c r="A6" s="3634">
        <v>110</v>
      </c>
      <c r="B6" s="3634">
        <v>115</v>
      </c>
      <c r="C6" s="3634">
        <v>120</v>
      </c>
      <c r="D6" s="3634">
        <v>125</v>
      </c>
      <c r="E6" s="3634">
        <v>130</v>
      </c>
      <c r="F6" s="3634">
        <v>135</v>
      </c>
      <c r="G6" s="3634">
        <v>140</v>
      </c>
      <c r="H6" s="3634">
        <v>145</v>
      </c>
      <c r="I6" s="3634">
        <v>150</v>
      </c>
      <c r="J6" s="3634">
        <v>160</v>
      </c>
      <c r="K6" s="3634">
        <v>165</v>
      </c>
      <c r="L6" s="3634">
        <v>170</v>
      </c>
      <c r="M6" s="3634">
        <v>175</v>
      </c>
      <c r="N6" s="3634">
        <v>180</v>
      </c>
      <c r="O6" s="3634">
        <v>185</v>
      </c>
      <c r="P6" s="3634">
        <v>190</v>
      </c>
      <c r="Q6" s="3634">
        <v>195</v>
      </c>
      <c r="R6" s="3634">
        <v>200</v>
      </c>
    </row>
    <row r="7" spans="1:18">
      <c r="A7" s="3636"/>
      <c r="B7" s="3636"/>
      <c r="C7" s="3636"/>
      <c r="D7" s="3636"/>
      <c r="E7" s="3636"/>
      <c r="F7" s="3636"/>
      <c r="G7" s="3636"/>
      <c r="H7" s="3636"/>
      <c r="I7" s="3636"/>
      <c r="J7" s="3636"/>
      <c r="K7" s="3636"/>
      <c r="L7" s="3636"/>
      <c r="M7" s="3636"/>
      <c r="N7" s="3636"/>
      <c r="O7" s="3636"/>
      <c r="P7" s="3636"/>
      <c r="Q7" s="3636"/>
      <c r="R7" s="3637">
        <v>1.508564814814815E-3</v>
      </c>
    </row>
    <row r="8" spans="1:18">
      <c r="A8" s="3634">
        <v>6</v>
      </c>
      <c r="B8" s="3634">
        <v>3.94</v>
      </c>
      <c r="C8" s="3634">
        <v>3.87</v>
      </c>
      <c r="D8" s="3634">
        <v>4.01</v>
      </c>
      <c r="E8" s="3634">
        <v>3.39</v>
      </c>
      <c r="F8" s="3634">
        <v>4</v>
      </c>
      <c r="G8" s="3634">
        <v>4</v>
      </c>
      <c r="H8" s="3634">
        <v>4</v>
      </c>
      <c r="I8" s="3634">
        <v>4</v>
      </c>
      <c r="J8" s="3634">
        <v>5.93</v>
      </c>
      <c r="K8" s="3634">
        <v>2.97</v>
      </c>
      <c r="L8" s="3634">
        <v>2.89</v>
      </c>
      <c r="M8" s="3634">
        <v>2.98</v>
      </c>
      <c r="N8" s="3634">
        <v>3.3</v>
      </c>
      <c r="O8" s="3634">
        <v>3.3</v>
      </c>
      <c r="P8" s="3634">
        <v>3.3</v>
      </c>
      <c r="Q8" s="3634">
        <v>3.3</v>
      </c>
      <c r="R8" s="3634">
        <v>3.2</v>
      </c>
    </row>
    <row r="9" spans="1:18">
      <c r="A9" s="3634">
        <f>Q5+A8</f>
        <v>67.959999999999994</v>
      </c>
      <c r="B9" s="3634">
        <f>A9+B8</f>
        <v>71.899999999999991</v>
      </c>
      <c r="C9" s="3634">
        <f t="shared" ref="C9:I9" si="10">B9+C8</f>
        <v>75.77</v>
      </c>
      <c r="D9" s="3634">
        <f t="shared" si="10"/>
        <v>79.78</v>
      </c>
      <c r="E9" s="3634">
        <f t="shared" si="10"/>
        <v>83.17</v>
      </c>
      <c r="F9" s="3634">
        <f t="shared" si="10"/>
        <v>87.17</v>
      </c>
      <c r="G9" s="3634">
        <f t="shared" si="10"/>
        <v>91.17</v>
      </c>
      <c r="H9" s="3634">
        <f t="shared" si="10"/>
        <v>95.17</v>
      </c>
      <c r="I9" s="3634">
        <f t="shared" si="10"/>
        <v>99.17</v>
      </c>
      <c r="J9" s="3634">
        <f t="shared" ref="J9" si="11">I9+J8</f>
        <v>105.1</v>
      </c>
      <c r="K9" s="3634">
        <f t="shared" ref="K9" si="12">J9+K8</f>
        <v>108.07</v>
      </c>
      <c r="L9" s="3634">
        <f t="shared" ref="L9" si="13">K9+L8</f>
        <v>110.96</v>
      </c>
      <c r="M9" s="3634">
        <f t="shared" ref="M9" si="14">L9+M8</f>
        <v>113.94</v>
      </c>
      <c r="N9" s="3634">
        <f t="shared" ref="N9" si="15">M9+N8</f>
        <v>117.24</v>
      </c>
      <c r="O9" s="3634">
        <f t="shared" ref="O9" si="16">N9+O8</f>
        <v>120.53999999999999</v>
      </c>
      <c r="P9" s="3634">
        <f t="shared" ref="P9" si="17">O9+P8</f>
        <v>123.83999999999999</v>
      </c>
      <c r="Q9" s="3634">
        <f t="shared" ref="Q9" si="18">P9+Q8</f>
        <v>127.13999999999999</v>
      </c>
      <c r="R9" s="3634">
        <f t="shared" ref="R9" si="19">Q9+R8</f>
        <v>130.33999999999997</v>
      </c>
    </row>
    <row r="10" spans="1:18">
      <c r="A10" s="3633"/>
      <c r="B10" s="3633"/>
      <c r="C10" s="3633"/>
      <c r="D10" s="3633"/>
      <c r="E10" s="3633"/>
      <c r="F10" s="3633"/>
      <c r="G10" s="3633"/>
      <c r="H10" s="3633"/>
      <c r="I10" s="3633"/>
      <c r="J10" s="3633"/>
      <c r="K10" s="3633"/>
      <c r="L10" s="3633"/>
      <c r="M10" s="3633"/>
      <c r="N10" s="3633"/>
      <c r="O10" s="3633"/>
      <c r="P10" s="3633"/>
      <c r="Q10" s="3633"/>
      <c r="R10" s="3633"/>
    </row>
    <row r="11" spans="1:18">
      <c r="A11" s="3633"/>
      <c r="B11" s="3633"/>
      <c r="C11" s="3633"/>
      <c r="D11" s="3633"/>
      <c r="E11" s="3633"/>
      <c r="F11" s="3633"/>
      <c r="G11" s="3633"/>
      <c r="H11" s="3633"/>
      <c r="I11" s="3633"/>
      <c r="J11" s="3633"/>
      <c r="K11" s="3633"/>
      <c r="L11" s="3633"/>
      <c r="M11" s="3633"/>
      <c r="N11" s="3633"/>
      <c r="O11" s="3633"/>
      <c r="P11" s="3633"/>
      <c r="Q11" s="3633"/>
      <c r="R11" s="3633"/>
    </row>
    <row r="12" spans="1:18">
      <c r="A12" s="3634">
        <v>15</v>
      </c>
      <c r="B12" s="3634">
        <v>20</v>
      </c>
      <c r="C12" s="3634">
        <v>25</v>
      </c>
      <c r="D12" s="3634">
        <v>30</v>
      </c>
      <c r="E12" s="3634">
        <v>35</v>
      </c>
      <c r="F12" s="3634">
        <v>40</v>
      </c>
      <c r="G12" s="3634">
        <v>45</v>
      </c>
      <c r="H12" s="3634">
        <v>50</v>
      </c>
      <c r="I12" s="3634">
        <v>60</v>
      </c>
      <c r="J12" s="3634">
        <v>65</v>
      </c>
      <c r="K12" s="3634">
        <v>70</v>
      </c>
      <c r="L12" s="3634">
        <v>75</v>
      </c>
      <c r="M12" s="3634">
        <v>80</v>
      </c>
      <c r="N12" s="3634">
        <v>85</v>
      </c>
      <c r="O12" s="3634">
        <v>90</v>
      </c>
      <c r="P12" s="3634">
        <v>95</v>
      </c>
      <c r="Q12" s="3634">
        <v>100</v>
      </c>
      <c r="R12" s="3634"/>
    </row>
    <row r="13" spans="1:18">
      <c r="A13" s="3635"/>
      <c r="B13" s="3635"/>
      <c r="C13" s="3635"/>
      <c r="D13" s="3635"/>
      <c r="E13" s="3635"/>
      <c r="F13" s="3635"/>
      <c r="G13" s="3635"/>
      <c r="H13" s="3635"/>
      <c r="I13" s="3635"/>
      <c r="J13" s="3635"/>
      <c r="K13" s="3635"/>
      <c r="L13" s="3635"/>
      <c r="M13" s="3635"/>
      <c r="N13" s="3635"/>
      <c r="O13" s="3635"/>
      <c r="P13" s="3635"/>
      <c r="Q13" s="3635"/>
      <c r="R13" s="3635"/>
    </row>
    <row r="14" spans="1:18">
      <c r="A14" s="3634">
        <v>6.31</v>
      </c>
      <c r="B14" s="3634">
        <v>3.2</v>
      </c>
      <c r="C14" s="3634">
        <v>3.4</v>
      </c>
      <c r="D14" s="3634">
        <v>2.9</v>
      </c>
      <c r="E14" s="3634">
        <v>3.35</v>
      </c>
      <c r="F14" s="3634">
        <v>3.29</v>
      </c>
      <c r="G14" s="3634">
        <v>3.43</v>
      </c>
      <c r="H14" s="3634">
        <v>3.25</v>
      </c>
      <c r="I14" s="3634">
        <v>5.25</v>
      </c>
      <c r="J14" s="3634">
        <v>3.45</v>
      </c>
      <c r="K14" s="3634">
        <v>3.98</v>
      </c>
      <c r="L14" s="3634">
        <v>3.05</v>
      </c>
      <c r="M14" s="3634">
        <v>3.15</v>
      </c>
      <c r="N14" s="3634">
        <v>3.51</v>
      </c>
      <c r="O14" s="3634">
        <v>3.37</v>
      </c>
      <c r="P14" s="3634">
        <v>3.5</v>
      </c>
      <c r="Q14" s="3634">
        <v>3.5</v>
      </c>
      <c r="R14" s="3634"/>
    </row>
    <row r="15" spans="1:18">
      <c r="A15" s="3634"/>
      <c r="B15" s="3634">
        <f>A14+B14</f>
        <v>9.51</v>
      </c>
      <c r="C15" s="3634">
        <f>B15+C14</f>
        <v>12.91</v>
      </c>
      <c r="D15" s="3634">
        <f t="shared" ref="D15" si="20">C15+D14</f>
        <v>15.81</v>
      </c>
      <c r="E15" s="3634">
        <f t="shared" ref="E15" si="21">D15+E14</f>
        <v>19.16</v>
      </c>
      <c r="F15" s="3634">
        <f t="shared" ref="F15" si="22">E15+F14</f>
        <v>22.45</v>
      </c>
      <c r="G15" s="3634">
        <f t="shared" ref="G15" si="23">F15+G14</f>
        <v>25.88</v>
      </c>
      <c r="H15" s="3634">
        <f t="shared" ref="H15" si="24">G15+H14</f>
        <v>29.13</v>
      </c>
      <c r="I15" s="3634">
        <f t="shared" ref="I15" si="25">H15+I14</f>
        <v>34.379999999999995</v>
      </c>
      <c r="J15" s="3634">
        <f t="shared" ref="J15" si="26">I15+J14</f>
        <v>37.83</v>
      </c>
      <c r="K15" s="3634">
        <f t="shared" ref="K15" si="27">J15+K14</f>
        <v>41.809999999999995</v>
      </c>
      <c r="L15" s="3634">
        <f t="shared" ref="L15" si="28">K15+L14</f>
        <v>44.859999999999992</v>
      </c>
      <c r="M15" s="3634">
        <f t="shared" ref="M15" si="29">L15+M14</f>
        <v>48.009999999999991</v>
      </c>
      <c r="N15" s="3634">
        <f t="shared" ref="N15" si="30">M15+N14</f>
        <v>51.519999999999989</v>
      </c>
      <c r="O15" s="3634">
        <f t="shared" ref="O15" si="31">N15+O14</f>
        <v>54.889999999999986</v>
      </c>
      <c r="P15" s="3634">
        <f t="shared" ref="P15" si="32">O15+P14</f>
        <v>58.389999999999986</v>
      </c>
      <c r="Q15" s="3634">
        <f t="shared" ref="Q15" si="33">P15+Q14</f>
        <v>61.889999999999986</v>
      </c>
      <c r="R15" s="3634"/>
    </row>
    <row r="16" spans="1:18">
      <c r="A16" s="3634">
        <v>110</v>
      </c>
      <c r="B16" s="3634">
        <v>115</v>
      </c>
      <c r="C16" s="3634">
        <v>120</v>
      </c>
      <c r="D16" s="3634">
        <v>125</v>
      </c>
      <c r="E16" s="3634">
        <v>130</v>
      </c>
      <c r="F16" s="3634">
        <v>135</v>
      </c>
      <c r="G16" s="3634">
        <v>140</v>
      </c>
      <c r="H16" s="3634">
        <v>145</v>
      </c>
      <c r="I16" s="3634">
        <v>150</v>
      </c>
      <c r="J16" s="3634">
        <v>160</v>
      </c>
      <c r="K16" s="3634">
        <v>165</v>
      </c>
      <c r="L16" s="3634">
        <v>170</v>
      </c>
      <c r="M16" s="3634">
        <v>175</v>
      </c>
      <c r="N16" s="3634">
        <v>180</v>
      </c>
      <c r="O16" s="3634">
        <v>185</v>
      </c>
      <c r="P16" s="3634">
        <v>190</v>
      </c>
      <c r="Q16" s="3634">
        <v>195</v>
      </c>
      <c r="R16" s="3634">
        <v>200</v>
      </c>
    </row>
    <row r="17" spans="1:18">
      <c r="A17" s="3636"/>
      <c r="B17" s="3636"/>
      <c r="C17" s="3636"/>
      <c r="D17" s="3636"/>
      <c r="E17" s="3636"/>
      <c r="F17" s="3636"/>
      <c r="G17" s="3636"/>
      <c r="H17" s="3636"/>
      <c r="I17" s="3636"/>
      <c r="J17" s="3636"/>
      <c r="K17" s="3636"/>
      <c r="L17" s="3636"/>
      <c r="M17" s="3636"/>
      <c r="N17" s="3636"/>
      <c r="O17" s="3636"/>
      <c r="P17" s="3636"/>
      <c r="Q17" s="3636"/>
      <c r="R17" s="3637">
        <v>1.508564814814815E-3</v>
      </c>
    </row>
    <row r="18" spans="1:18">
      <c r="A18" s="3634">
        <v>6</v>
      </c>
      <c r="B18" s="3634">
        <v>3.94</v>
      </c>
      <c r="C18" s="3634">
        <v>3.87</v>
      </c>
      <c r="D18" s="3634">
        <v>4.01</v>
      </c>
      <c r="E18" s="3634">
        <v>3.39</v>
      </c>
      <c r="F18" s="3634">
        <v>4</v>
      </c>
      <c r="G18" s="3634">
        <v>4</v>
      </c>
      <c r="H18" s="3634">
        <v>4</v>
      </c>
      <c r="I18" s="3634">
        <v>4</v>
      </c>
      <c r="J18" s="3634">
        <v>5.93</v>
      </c>
      <c r="K18" s="3634">
        <v>2.97</v>
      </c>
      <c r="L18" s="3634">
        <v>2.89</v>
      </c>
      <c r="M18" s="3634">
        <v>2.98</v>
      </c>
      <c r="N18" s="3634">
        <v>3.3</v>
      </c>
      <c r="O18" s="3634">
        <v>3.3</v>
      </c>
      <c r="P18" s="3634">
        <v>3.3</v>
      </c>
      <c r="Q18" s="3634">
        <v>3.3</v>
      </c>
      <c r="R18" s="3634">
        <v>3.2</v>
      </c>
    </row>
    <row r="19" spans="1:18">
      <c r="A19" s="3634">
        <f>Q15+A18</f>
        <v>67.889999999999986</v>
      </c>
      <c r="B19" s="3634">
        <f>A19+B18</f>
        <v>71.829999999999984</v>
      </c>
      <c r="C19" s="3634">
        <f t="shared" ref="C19" si="34">B19+C18</f>
        <v>75.699999999999989</v>
      </c>
      <c r="D19" s="3634">
        <f t="shared" ref="D19" si="35">C19+D18</f>
        <v>79.709999999999994</v>
      </c>
      <c r="E19" s="3634">
        <f t="shared" ref="E19" si="36">D19+E18</f>
        <v>83.1</v>
      </c>
      <c r="F19" s="3634">
        <f t="shared" ref="F19" si="37">E19+F18</f>
        <v>87.1</v>
      </c>
      <c r="G19" s="3634">
        <f t="shared" ref="G19" si="38">F19+G18</f>
        <v>91.1</v>
      </c>
      <c r="H19" s="3634">
        <f t="shared" ref="H19" si="39">G19+H18</f>
        <v>95.1</v>
      </c>
      <c r="I19" s="3634">
        <f t="shared" ref="I19" si="40">H19+I18</f>
        <v>99.1</v>
      </c>
      <c r="J19" s="3634">
        <f t="shared" ref="J19" si="41">I19+J18</f>
        <v>105.03</v>
      </c>
      <c r="K19" s="3634">
        <f t="shared" ref="K19" si="42">J19+K18</f>
        <v>108</v>
      </c>
      <c r="L19" s="3634">
        <f t="shared" ref="L19" si="43">K19+L18</f>
        <v>110.89</v>
      </c>
      <c r="M19" s="3634">
        <f t="shared" ref="M19" si="44">L19+M18</f>
        <v>113.87</v>
      </c>
      <c r="N19" s="3634">
        <f t="shared" ref="N19" si="45">M19+N18</f>
        <v>117.17</v>
      </c>
      <c r="O19" s="3634">
        <f t="shared" ref="O19" si="46">N19+O18</f>
        <v>120.47</v>
      </c>
      <c r="P19" s="3634">
        <f t="shared" ref="P19" si="47">O19+P18</f>
        <v>123.77</v>
      </c>
      <c r="Q19" s="3634">
        <f t="shared" ref="Q19" si="48">P19+Q18</f>
        <v>127.07</v>
      </c>
      <c r="R19" s="3634">
        <f t="shared" ref="R19" si="49">Q19+R18</f>
        <v>130.26999999999998</v>
      </c>
    </row>
    <row r="20" spans="1:18">
      <c r="A20" s="3633"/>
      <c r="B20" s="3633"/>
      <c r="C20" s="3633"/>
      <c r="D20" s="3633"/>
      <c r="E20" s="3633"/>
      <c r="F20" s="3633"/>
      <c r="G20" s="3633"/>
      <c r="H20" s="3633"/>
      <c r="I20" s="3633"/>
      <c r="J20" s="3633"/>
      <c r="K20" s="3633"/>
      <c r="L20" s="3633"/>
      <c r="M20" s="3633"/>
      <c r="N20" s="3633"/>
      <c r="O20" s="3633"/>
      <c r="P20" s="3633"/>
      <c r="Q20" s="3633"/>
      <c r="R20" s="3633"/>
    </row>
    <row r="21" spans="1:18">
      <c r="A21" s="3633"/>
      <c r="B21" s="3633"/>
      <c r="C21" s="3633"/>
      <c r="D21" s="3633"/>
      <c r="E21" s="3633"/>
      <c r="F21" s="3633"/>
      <c r="G21" s="3633"/>
      <c r="H21" s="3633"/>
      <c r="I21" s="3633"/>
      <c r="J21" s="3633"/>
      <c r="K21" s="3633"/>
      <c r="L21" s="3633"/>
      <c r="M21" s="3633"/>
      <c r="N21" s="3633"/>
      <c r="O21" s="3633"/>
      <c r="P21" s="3633"/>
      <c r="Q21" s="3633"/>
      <c r="R21" s="3633"/>
    </row>
    <row r="22" spans="1:18">
      <c r="A22" s="3633"/>
      <c r="B22" s="3633"/>
      <c r="C22" s="3633"/>
      <c r="D22" s="3633"/>
      <c r="E22" s="3633"/>
      <c r="F22" s="3633"/>
      <c r="G22" s="3633"/>
      <c r="H22" s="3633"/>
      <c r="I22" s="3633"/>
      <c r="J22" s="3633"/>
      <c r="K22" s="3633"/>
      <c r="L22" s="3633"/>
      <c r="M22" s="3633"/>
      <c r="N22" s="3633"/>
      <c r="O22" s="3633"/>
      <c r="P22" s="3633"/>
      <c r="Q22" s="3633"/>
      <c r="R22" s="3633"/>
    </row>
    <row r="23" spans="1:18">
      <c r="A23" s="3633"/>
      <c r="B23" s="3633"/>
      <c r="C23" s="3633"/>
      <c r="D23" s="3633"/>
      <c r="E23" s="3633"/>
      <c r="F23" s="3633"/>
      <c r="G23" s="3633"/>
      <c r="H23" s="3633"/>
      <c r="I23" s="3633"/>
      <c r="J23" s="3633"/>
      <c r="K23" s="3633"/>
      <c r="L23" s="3633"/>
      <c r="M23" s="3633"/>
      <c r="N23" s="3633"/>
      <c r="O23" s="3633"/>
      <c r="P23" s="3633"/>
      <c r="Q23" s="3633"/>
      <c r="R23" s="3633"/>
    </row>
    <row r="24" spans="1:18">
      <c r="A24" s="3633"/>
      <c r="B24" s="3633"/>
      <c r="C24" s="3633"/>
      <c r="D24" s="3633"/>
      <c r="E24" s="3633"/>
      <c r="F24" s="3633"/>
      <c r="G24" s="3633"/>
      <c r="H24" s="3633"/>
      <c r="I24" s="3633"/>
      <c r="J24" s="3633"/>
      <c r="K24" s="3633"/>
      <c r="L24" s="3633"/>
      <c r="M24" s="3633"/>
      <c r="N24" s="3633"/>
      <c r="O24" s="3633"/>
      <c r="P24" s="3633"/>
      <c r="Q24" s="3633"/>
      <c r="R24" s="3633"/>
    </row>
    <row r="25" spans="1:18">
      <c r="A25" s="3633"/>
      <c r="B25" s="3633"/>
      <c r="C25" s="3633"/>
      <c r="D25" s="3633"/>
      <c r="E25" s="3633"/>
      <c r="F25" s="3633"/>
      <c r="G25" s="3633"/>
      <c r="H25" s="3633"/>
      <c r="I25" s="3633"/>
      <c r="J25" s="3633"/>
      <c r="K25" s="3633"/>
      <c r="L25" s="3633"/>
      <c r="M25" s="3633"/>
      <c r="N25" s="3633"/>
      <c r="O25" s="3633"/>
      <c r="P25" s="3633"/>
      <c r="Q25" s="3633"/>
      <c r="R25" s="3633"/>
    </row>
    <row r="26" spans="1:18">
      <c r="A26" s="3633"/>
      <c r="B26" s="3633"/>
      <c r="C26" s="3633"/>
      <c r="D26" s="3633"/>
      <c r="E26" s="3633"/>
      <c r="F26" s="3633"/>
      <c r="G26" s="3633"/>
      <c r="H26" s="3633"/>
      <c r="I26" s="3633"/>
      <c r="J26" s="3633"/>
      <c r="K26" s="3633"/>
      <c r="L26" s="3633"/>
      <c r="M26" s="3633"/>
      <c r="N26" s="3633"/>
      <c r="O26" s="3633"/>
      <c r="P26" s="3633"/>
      <c r="Q26" s="3633"/>
      <c r="R26" s="3633"/>
    </row>
    <row r="27" spans="1:18">
      <c r="A27" s="3633"/>
      <c r="B27" s="3633"/>
      <c r="C27" s="3633"/>
      <c r="D27" s="3633"/>
      <c r="E27" s="3633"/>
      <c r="F27" s="3633"/>
      <c r="G27" s="3633"/>
      <c r="H27" s="3633"/>
      <c r="I27" s="3633"/>
      <c r="J27" s="3633"/>
      <c r="K27" s="3633"/>
      <c r="L27" s="3633"/>
      <c r="M27" s="3633"/>
      <c r="N27" s="3633"/>
      <c r="O27" s="3633"/>
      <c r="P27" s="3633"/>
      <c r="Q27" s="3633"/>
      <c r="R27" s="3633"/>
    </row>
    <row r="28" spans="1:18">
      <c r="A28" s="3633"/>
      <c r="B28" s="3633"/>
      <c r="C28" s="3633"/>
      <c r="D28" s="3633"/>
      <c r="E28" s="3633"/>
      <c r="F28" s="3633"/>
      <c r="G28" s="3633"/>
      <c r="H28" s="3633"/>
      <c r="I28" s="3633"/>
      <c r="J28" s="3633"/>
      <c r="K28" s="3633"/>
      <c r="L28" s="3633"/>
      <c r="M28" s="3633"/>
      <c r="N28" s="3633"/>
      <c r="O28" s="3633"/>
      <c r="P28" s="3633"/>
      <c r="Q28" s="3633"/>
      <c r="R28" s="3633"/>
    </row>
    <row r="29" spans="1:18">
      <c r="A29" s="3633"/>
      <c r="B29" s="3633"/>
      <c r="C29" s="3633"/>
      <c r="D29" s="3633"/>
      <c r="E29" s="3633"/>
      <c r="F29" s="3633"/>
      <c r="G29" s="3633"/>
      <c r="H29" s="3633"/>
      <c r="I29" s="3633"/>
      <c r="J29" s="3633"/>
      <c r="K29" s="3633"/>
      <c r="L29" s="3633"/>
      <c r="M29" s="3633"/>
      <c r="N29" s="3633"/>
      <c r="O29" s="3633"/>
      <c r="P29" s="3633"/>
      <c r="Q29" s="3633"/>
      <c r="R29" s="3633"/>
    </row>
    <row r="30" spans="1:18">
      <c r="A30" s="3633"/>
      <c r="B30" s="3633"/>
      <c r="C30" s="3633"/>
      <c r="D30" s="3633"/>
      <c r="E30" s="3633"/>
      <c r="F30" s="3633"/>
      <c r="G30" s="3633"/>
      <c r="H30" s="3633"/>
      <c r="I30" s="3633"/>
      <c r="J30" s="3633"/>
      <c r="K30" s="3633"/>
      <c r="L30" s="3633"/>
      <c r="M30" s="3633"/>
      <c r="N30" s="3633"/>
      <c r="O30" s="3633"/>
      <c r="P30" s="3633"/>
      <c r="Q30" s="3633"/>
      <c r="R30" s="3633"/>
    </row>
    <row r="31" spans="1:18">
      <c r="A31" s="3633"/>
      <c r="B31" s="3633"/>
      <c r="C31" s="3633"/>
      <c r="D31" s="3633"/>
      <c r="E31" s="3633"/>
      <c r="F31" s="3633"/>
      <c r="G31" s="3633"/>
      <c r="H31" s="3633"/>
      <c r="I31" s="3633"/>
      <c r="J31" s="3633"/>
      <c r="K31" s="3633"/>
      <c r="L31" s="3633"/>
      <c r="M31" s="3633"/>
      <c r="N31" s="3633"/>
      <c r="O31" s="3633"/>
      <c r="P31" s="3633"/>
      <c r="Q31" s="3633"/>
      <c r="R31" s="3633"/>
    </row>
    <row r="32" spans="1:18">
      <c r="A32" s="3633"/>
      <c r="B32" s="3633"/>
      <c r="C32" s="3633"/>
      <c r="D32" s="3633"/>
      <c r="E32" s="3633"/>
      <c r="F32" s="3633"/>
      <c r="G32" s="3633"/>
      <c r="H32" s="3633"/>
      <c r="I32" s="3633"/>
      <c r="J32" s="3633"/>
      <c r="K32" s="3633"/>
      <c r="L32" s="3633"/>
      <c r="M32" s="3633"/>
      <c r="N32" s="3633"/>
      <c r="O32" s="3633"/>
      <c r="P32" s="3633"/>
      <c r="Q32" s="3633"/>
      <c r="R32" s="3633"/>
    </row>
    <row r="33" spans="1:18">
      <c r="A33" s="3633"/>
      <c r="B33" s="3633"/>
      <c r="C33" s="3633"/>
      <c r="D33" s="3633"/>
      <c r="E33" s="3633"/>
      <c r="F33" s="3633"/>
      <c r="G33" s="3633"/>
      <c r="H33" s="3633"/>
      <c r="I33" s="3633"/>
      <c r="J33" s="3633"/>
      <c r="K33" s="3633"/>
      <c r="L33" s="3633"/>
      <c r="M33" s="3633"/>
      <c r="N33" s="3633"/>
      <c r="O33" s="3633"/>
      <c r="P33" s="3633"/>
      <c r="Q33" s="3633"/>
      <c r="R33" s="3633"/>
    </row>
    <row r="34" spans="1:18">
      <c r="A34" s="3633"/>
      <c r="B34" s="3633"/>
      <c r="C34" s="3633"/>
      <c r="D34" s="3633"/>
      <c r="E34" s="3633"/>
      <c r="F34" s="3633"/>
      <c r="G34" s="3633"/>
      <c r="H34" s="3633"/>
      <c r="I34" s="3633"/>
      <c r="J34" s="3633"/>
      <c r="K34" s="3633"/>
      <c r="L34" s="3633"/>
      <c r="M34" s="3633"/>
      <c r="N34" s="3633"/>
      <c r="O34" s="3633"/>
      <c r="P34" s="3633"/>
      <c r="Q34" s="3633"/>
      <c r="R34" s="3633"/>
    </row>
    <row r="35" spans="1:18">
      <c r="A35" s="3633"/>
      <c r="B35" s="3633"/>
      <c r="C35" s="3633"/>
      <c r="D35" s="3633"/>
      <c r="E35" s="3633"/>
      <c r="F35" s="3633"/>
      <c r="G35" s="3633"/>
      <c r="H35" s="3633"/>
      <c r="I35" s="3633"/>
      <c r="J35" s="3633"/>
      <c r="K35" s="3633"/>
      <c r="L35" s="3633"/>
      <c r="M35" s="3633"/>
      <c r="N35" s="3633"/>
      <c r="O35" s="3633"/>
      <c r="P35" s="3633"/>
      <c r="Q35" s="3633"/>
      <c r="R35" s="3633"/>
    </row>
  </sheetData>
  <pageMargins left="0" right="0" top="0.74803149606299213" bottom="0" header="0.31496062992125984" footer="0"/>
  <pageSetup paperSize="9" scale="98" orientation="landscape" horizontalDpi="0" verticalDpi="0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00A8-5805-264B-91B7-A7756BB0DF29}">
  <sheetPr codeName="Hoja50"/>
  <dimension ref="A1:AO278"/>
  <sheetViews>
    <sheetView topLeftCell="A51" zoomScale="181" zoomScaleNormal="181" workbookViewId="0">
      <selection activeCell="D77" sqref="D77:R79"/>
    </sheetView>
  </sheetViews>
  <sheetFormatPr baseColWidth="10" defaultColWidth="11.5" defaultRowHeight="11"/>
  <cols>
    <col min="1" max="1" width="2.83203125" style="3540" customWidth="1"/>
    <col min="2" max="2" width="2.83203125" style="3541" customWidth="1"/>
    <col min="3" max="3" width="1.83203125" style="2914" customWidth="1"/>
    <col min="4" max="4" width="1.1640625" style="3542" customWidth="1"/>
    <col min="5" max="5" width="3.83203125" style="2914" customWidth="1"/>
    <col min="6" max="6" width="3.33203125" style="3390" customWidth="1"/>
    <col min="7" max="7" width="5" style="2819" customWidth="1"/>
    <col min="8" max="8" width="6.6640625" style="2819" customWidth="1"/>
    <col min="9" max="9" width="7.83203125" style="2819" customWidth="1"/>
    <col min="10" max="10" width="7.1640625" style="2819" customWidth="1"/>
    <col min="11" max="11" width="35" style="2819" customWidth="1"/>
    <col min="12" max="12" width="10.6640625" style="2819" customWidth="1"/>
    <col min="13" max="13" width="1.1640625" style="3389" customWidth="1"/>
    <col min="14" max="14" width="9.6640625" style="3390" customWidth="1"/>
    <col min="15" max="15" width="1" style="2819" customWidth="1"/>
    <col min="16" max="16" width="9" style="2819" customWidth="1"/>
    <col min="17" max="17" width="6.1640625" style="3391" customWidth="1"/>
    <col min="18" max="18" width="5" style="3391" customWidth="1"/>
    <col min="19" max="19" width="1.33203125" style="2822" customWidth="1"/>
    <col min="20" max="20" width="0.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5" style="2823" customWidth="1"/>
    <col min="25" max="25" width="6" style="2823" customWidth="1"/>
    <col min="26" max="27" width="5.5" style="2823" customWidth="1"/>
    <col min="28" max="28" width="7.6640625" style="2913" customWidth="1"/>
    <col min="29" max="33" width="4.5" style="3539" customWidth="1"/>
    <col min="34" max="34" width="6.5" style="3539" customWidth="1"/>
    <col min="35" max="39" width="5.5" style="3539" customWidth="1"/>
    <col min="40" max="40" width="11.5" style="2913"/>
    <col min="41" max="16384" width="11.5" style="2914"/>
  </cols>
  <sheetData>
    <row r="1" spans="1:40" ht="22" customHeight="1">
      <c r="A1" s="3537" t="s">
        <v>344</v>
      </c>
      <c r="B1" s="2914"/>
      <c r="C1" s="2816"/>
      <c r="D1" s="3081"/>
      <c r="E1" s="2817"/>
      <c r="V1" s="3538"/>
      <c r="AI1" s="2913"/>
      <c r="AJ1" s="2913"/>
      <c r="AK1" s="2913"/>
      <c r="AL1" s="2913"/>
      <c r="AM1" s="2913"/>
    </row>
    <row r="2" spans="1:40" ht="15.75" customHeight="1" thickBot="1">
      <c r="F2" s="1214"/>
      <c r="G2" s="1215"/>
      <c r="H2" s="1215"/>
      <c r="I2" s="1215"/>
      <c r="J2" s="3543"/>
      <c r="K2" s="1217">
        <v>44641</v>
      </c>
      <c r="L2" s="1497"/>
      <c r="U2" s="3544" t="s">
        <v>345</v>
      </c>
      <c r="AI2" s="2913"/>
      <c r="AJ2" s="2913"/>
      <c r="AK2" s="2913"/>
      <c r="AL2" s="2913"/>
      <c r="AM2" s="2913"/>
    </row>
    <row r="3" spans="1:40" s="2839" customFormat="1" ht="76.5" customHeight="1" thickTop="1" thickBot="1">
      <c r="A3" s="3084" t="s">
        <v>346</v>
      </c>
      <c r="B3" s="3085" t="s">
        <v>347</v>
      </c>
      <c r="C3" s="3086" t="s">
        <v>348</v>
      </c>
      <c r="D3" s="3087"/>
      <c r="E3" s="3086" t="s">
        <v>349</v>
      </c>
      <c r="F3" s="3088" t="s">
        <v>350</v>
      </c>
      <c r="G3" s="3089" t="s">
        <v>351</v>
      </c>
      <c r="H3" s="3089" t="s">
        <v>624</v>
      </c>
      <c r="I3" s="3089" t="s">
        <v>352</v>
      </c>
      <c r="J3" s="3588" t="s">
        <v>353</v>
      </c>
      <c r="K3" s="3089" t="s">
        <v>354</v>
      </c>
      <c r="L3" s="3089"/>
      <c r="M3" s="3393" t="s">
        <v>355</v>
      </c>
      <c r="N3" s="3089" t="s">
        <v>445</v>
      </c>
      <c r="O3" s="3086" t="s">
        <v>446</v>
      </c>
      <c r="P3" s="3086" t="s">
        <v>447</v>
      </c>
      <c r="Q3" s="3091" t="s">
        <v>448</v>
      </c>
      <c r="R3" s="3092" t="s">
        <v>371</v>
      </c>
      <c r="S3" s="2828" t="s">
        <v>449</v>
      </c>
      <c r="T3" s="2828" t="s">
        <v>450</v>
      </c>
      <c r="U3" s="2829" t="s">
        <v>451</v>
      </c>
      <c r="V3" s="2830" t="s">
        <v>452</v>
      </c>
      <c r="W3" s="2831" t="s">
        <v>453</v>
      </c>
      <c r="X3" s="2832" t="s">
        <v>454</v>
      </c>
      <c r="Y3" s="2833" t="s">
        <v>455</v>
      </c>
      <c r="Z3" s="2834" t="s">
        <v>456</v>
      </c>
      <c r="AA3" s="2835" t="s">
        <v>457</v>
      </c>
      <c r="AB3" s="2836"/>
      <c r="AC3" s="3545"/>
      <c r="AD3" s="3539"/>
      <c r="AE3" s="3539"/>
      <c r="AF3" s="3539"/>
      <c r="AG3" s="3539"/>
      <c r="AH3" s="3539"/>
      <c r="AI3" s="2836"/>
      <c r="AJ3" s="2836"/>
      <c r="AK3" s="2836"/>
      <c r="AL3" s="2836"/>
      <c r="AM3" s="2836"/>
      <c r="AN3" s="2836"/>
    </row>
    <row r="4" spans="1:40" s="2839" customFormat="1" ht="10.5" customHeight="1" thickBot="1">
      <c r="A4" s="3093"/>
      <c r="B4" s="3094"/>
      <c r="C4" s="3095"/>
      <c r="D4" s="3096"/>
      <c r="E4" s="3095"/>
      <c r="F4" s="3097"/>
      <c r="G4" s="3095"/>
      <c r="H4" s="3095"/>
      <c r="I4" s="3095"/>
      <c r="J4" s="3097"/>
      <c r="K4" s="3095"/>
      <c r="L4" s="3095"/>
      <c r="M4" s="3395"/>
      <c r="N4" s="3095"/>
      <c r="O4" s="3095"/>
      <c r="P4" s="3095"/>
      <c r="Q4" s="3099"/>
      <c r="R4" s="3100"/>
      <c r="S4" s="2840"/>
      <c r="T4" s="2840"/>
      <c r="U4" s="2843">
        <f>[8]Test!$D$29</f>
        <v>9.1523857526881758E-4</v>
      </c>
      <c r="V4" s="2843">
        <f>[8]Test!$D$31</f>
        <v>8.7635030864197572E-4</v>
      </c>
      <c r="W4" s="2843">
        <f>[8]Test!$D$33</f>
        <v>8.4888763197586746E-4</v>
      </c>
      <c r="X4" s="2843">
        <f>[8]Test!$D$35</f>
        <v>8.0990657955066516E-4</v>
      </c>
      <c r="Y4" s="2843">
        <f>[8]Test!$D$37</f>
        <v>7.5735749690210676E-4</v>
      </c>
      <c r="Z4" s="2843">
        <f>[8]Test!$D$39</f>
        <v>7.2916666666666692E-4</v>
      </c>
      <c r="AA4" s="3043">
        <f>[8]Test!$D$41</f>
        <v>7.0729166666666694E-4</v>
      </c>
      <c r="AB4" s="2836"/>
      <c r="AC4" s="3545"/>
      <c r="AD4" s="3539"/>
      <c r="AE4" s="3539"/>
      <c r="AF4" s="3539"/>
      <c r="AG4" s="3539"/>
      <c r="AH4" s="3539"/>
      <c r="AI4" s="2836"/>
      <c r="AJ4" s="2836"/>
      <c r="AK4" s="2836"/>
      <c r="AL4" s="2836"/>
      <c r="AM4" s="2836"/>
      <c r="AN4" s="2836"/>
    </row>
    <row r="5" spans="1:40" s="2839" customFormat="1" ht="12.75" customHeight="1" thickBot="1">
      <c r="A5" s="3093"/>
      <c r="B5" s="3094"/>
      <c r="C5" s="3402"/>
      <c r="D5" s="3546"/>
      <c r="E5" s="3402"/>
      <c r="F5" s="3398"/>
      <c r="G5" s="3399"/>
      <c r="H5" s="3399"/>
      <c r="I5" s="3399"/>
      <c r="J5" s="3398"/>
      <c r="K5" s="3399"/>
      <c r="L5" s="3641"/>
      <c r="M5" s="3401"/>
      <c r="N5" s="3641"/>
      <c r="O5" s="3402"/>
      <c r="P5" s="3402"/>
      <c r="Q5" s="3402"/>
      <c r="R5" s="3403"/>
      <c r="S5" s="3547"/>
      <c r="T5" s="3547"/>
      <c r="U5" s="2843">
        <f>U4/4</f>
        <v>2.2880964381720439E-4</v>
      </c>
      <c r="V5" s="2843">
        <f t="shared" ref="V5:AA5" si="0">V4/4</f>
        <v>2.1908757716049393E-4</v>
      </c>
      <c r="W5" s="2843">
        <f t="shared" si="0"/>
        <v>2.1222190799396687E-4</v>
      </c>
      <c r="X5" s="2843">
        <f t="shared" si="0"/>
        <v>2.0247664488766629E-4</v>
      </c>
      <c r="Y5" s="2843">
        <f t="shared" si="0"/>
        <v>1.8933937422552669E-4</v>
      </c>
      <c r="Z5" s="2843">
        <f t="shared" si="0"/>
        <v>1.8229166666666673E-4</v>
      </c>
      <c r="AA5" s="2843">
        <f t="shared" si="0"/>
        <v>1.7682291666666674E-4</v>
      </c>
      <c r="AB5" s="2836"/>
      <c r="AC5" s="3548"/>
      <c r="AD5" s="3549"/>
      <c r="AE5" s="3549"/>
      <c r="AF5" s="3549"/>
      <c r="AG5" s="3549"/>
      <c r="AH5" s="3549"/>
      <c r="AI5" s="2836"/>
      <c r="AJ5" s="2836"/>
      <c r="AK5" s="2836"/>
      <c r="AL5" s="2836"/>
      <c r="AM5" s="2836"/>
      <c r="AN5" s="2836"/>
    </row>
    <row r="6" spans="1:40" s="2839" customFormat="1" ht="12" customHeight="1" thickTop="1" thickBot="1">
      <c r="A6" s="3550"/>
      <c r="B6" s="3550" t="s">
        <v>461</v>
      </c>
      <c r="C6" s="629">
        <f t="shared" ref="C6:C13" si="1">IF(D6=1,U$5,IF(D6=2,V$5,IF(D6=3,W$5,IF(D6=4,X$5,IF(D6=5,Y$5,IF(D6=6,Z$5,IF(D6=7,AA$5,0)))))))</f>
        <v>2.2880964381720439E-4</v>
      </c>
      <c r="D6" s="3406">
        <v>1</v>
      </c>
      <c r="E6" s="3413">
        <v>1</v>
      </c>
      <c r="F6" s="3413">
        <v>2</v>
      </c>
      <c r="G6" s="3413">
        <v>200</v>
      </c>
      <c r="H6" s="5207"/>
      <c r="I6" s="2715">
        <v>1.1574074074074073E-4</v>
      </c>
      <c r="J6" s="2715">
        <v>6.9444444444444447E-4</v>
      </c>
      <c r="K6" s="2865" t="s">
        <v>581</v>
      </c>
      <c r="L6" s="1143">
        <v>0.79861111111111116</v>
      </c>
      <c r="M6" s="2397">
        <v>1</v>
      </c>
      <c r="N6" s="1453">
        <f>P6*E6*F6+I6*E6*F6+J6*E6</f>
        <v>4.7333183990442076E-3</v>
      </c>
      <c r="O6" s="1175">
        <f>C6*(G6/25)*1.04</f>
        <v>1.9036962365591406E-3</v>
      </c>
      <c r="P6" s="1175">
        <f>O6*M6</f>
        <v>1.9036962365591406E-3</v>
      </c>
      <c r="Q6" s="3653">
        <v>0.7</v>
      </c>
      <c r="R6" s="2398">
        <f>E6*F6*G6</f>
        <v>400</v>
      </c>
      <c r="S6" s="2844">
        <f>E6*F6*G6/1000</f>
        <v>0.4</v>
      </c>
      <c r="T6" s="2845">
        <f>E6*F6*O6*4</f>
        <v>1.5229569892473125E-2</v>
      </c>
      <c r="U6" s="374">
        <f>IF(C6*4&gt;=$U$4,S6,0)</f>
        <v>0.4</v>
      </c>
      <c r="V6" s="2846">
        <f>IF(AND(C6*4&gt;=$V$4,C6*4&lt;$U$4),S6,0)</f>
        <v>0</v>
      </c>
      <c r="W6" s="2847">
        <f>IF(AND(C6*4&gt;=$W$4,C6*4&lt;$V$4),S6,0)</f>
        <v>0</v>
      </c>
      <c r="X6" s="2848">
        <f>IF(AND(C6*4&gt;=$X$4,C6*4&lt;$W$4),S6,0)</f>
        <v>0</v>
      </c>
      <c r="Y6" s="2849">
        <f>IF(AND(C6*4&gt;=$Y$4,C6*4&lt;$X$4),S6,0)</f>
        <v>0</v>
      </c>
      <c r="Z6" s="2850">
        <f>IF(AND(C6*4&gt;=$Z$4,C6*4&lt;$Y$4),S6,0)</f>
        <v>0</v>
      </c>
      <c r="AA6" s="2851">
        <f>IF(AND(C6*4&gt;=$AA$4,C6*4&lt;$Z$4),S6,0)</f>
        <v>0</v>
      </c>
      <c r="AB6" s="2836"/>
      <c r="AC6" s="3548"/>
      <c r="AD6" s="3549"/>
      <c r="AE6" s="3549"/>
      <c r="AF6" s="3549"/>
      <c r="AG6" s="3549"/>
      <c r="AH6" s="3549"/>
      <c r="AI6" s="2836"/>
      <c r="AJ6" s="2836"/>
      <c r="AK6" s="2836"/>
      <c r="AL6" s="2836"/>
      <c r="AM6" s="2836"/>
      <c r="AN6" s="2836"/>
    </row>
    <row r="7" spans="1:40" s="2839" customFormat="1" ht="11" customHeight="1" thickBot="1">
      <c r="A7" s="3550" t="s">
        <v>214</v>
      </c>
      <c r="B7" s="3550" t="s">
        <v>461</v>
      </c>
      <c r="C7" s="629">
        <f t="shared" si="1"/>
        <v>2.1908757716049393E-4</v>
      </c>
      <c r="D7" s="3414">
        <v>2</v>
      </c>
      <c r="E7" s="3551">
        <v>1</v>
      </c>
      <c r="F7" s="3551">
        <v>8</v>
      </c>
      <c r="G7" s="3551">
        <v>50</v>
      </c>
      <c r="H7" s="5208"/>
      <c r="I7" s="3552">
        <v>1.3888888888888889E-4</v>
      </c>
      <c r="J7" s="3552">
        <v>6.9444444444444447E-4</v>
      </c>
      <c r="K7" s="2870" t="s">
        <v>670</v>
      </c>
      <c r="L7" s="3642">
        <f>L6+N6</f>
        <v>0.80334442951015539</v>
      </c>
      <c r="M7" s="3416">
        <v>1.2</v>
      </c>
      <c r="N7" s="5211">
        <f>P7*E7*F7+I7*E7*F7+J7*E7</f>
        <v>6.1802962962962983E-3</v>
      </c>
      <c r="O7" s="3418">
        <f>C7*(G7/25)*1.04</f>
        <v>4.5570216049382737E-4</v>
      </c>
      <c r="P7" s="3418">
        <f>O7*M7</f>
        <v>5.468425925925928E-4</v>
      </c>
      <c r="Q7" s="3653">
        <v>0.75</v>
      </c>
      <c r="R7" s="3654">
        <f>E7*F7*G7</f>
        <v>400</v>
      </c>
      <c r="S7" s="2844">
        <f t="shared" ref="S7:S70" si="2">E7*F7*G7/1000</f>
        <v>0.4</v>
      </c>
      <c r="T7" s="2845">
        <f t="shared" ref="T7:T70" si="3">E7*F7*O7*4</f>
        <v>1.4582469135802476E-2</v>
      </c>
      <c r="U7" s="374">
        <f t="shared" ref="U7:U70" si="4">IF(C7*4&gt;=$U$4,S7,0)</f>
        <v>0</v>
      </c>
      <c r="V7" s="2846">
        <f t="shared" ref="V7:V70" si="5">IF(AND(C7*4&gt;=$V$4,C7*4&lt;$U$4),S7,0)</f>
        <v>0.4</v>
      </c>
      <c r="W7" s="2847">
        <f t="shared" ref="W7:W70" si="6">IF(AND(C7*4&gt;=$W$4,C7*4&lt;$V$4),S7,0)</f>
        <v>0</v>
      </c>
      <c r="X7" s="2848">
        <f t="shared" ref="X7:X70" si="7">IF(AND(C7*4&gt;=$X$4,C7*4&lt;$W$4),S7,0)</f>
        <v>0</v>
      </c>
      <c r="Y7" s="2849">
        <f t="shared" ref="Y7:Y70" si="8">IF(AND(C7*4&gt;=$Y$4,C7*4&lt;$X$4),S7,0)</f>
        <v>0</v>
      </c>
      <c r="Z7" s="2850">
        <f t="shared" ref="Z7:Z70" si="9">IF(AND(C7*4&gt;=$Z$4,C7*4&lt;$Y$4),S7,0)</f>
        <v>0</v>
      </c>
      <c r="AA7" s="2851">
        <f t="shared" ref="AA7:AA70" si="10">IF(AND(C7*4&gt;=$AA$4,C7*4&lt;$Z$4),S7,0)</f>
        <v>0</v>
      </c>
      <c r="AB7" s="2836"/>
      <c r="AC7" s="3548"/>
      <c r="AD7" s="3549"/>
      <c r="AE7" s="3549"/>
      <c r="AF7" s="3549"/>
      <c r="AG7" s="3549"/>
      <c r="AH7" s="3549"/>
      <c r="AI7" s="2836"/>
      <c r="AJ7" s="2836"/>
      <c r="AK7" s="2836"/>
      <c r="AL7" s="2836"/>
      <c r="AM7" s="2836"/>
      <c r="AN7" s="2836"/>
    </row>
    <row r="8" spans="1:40" s="2839" customFormat="1" ht="11" customHeight="1" thickBot="1">
      <c r="A8" s="3550" t="s">
        <v>459</v>
      </c>
      <c r="B8" s="3550" t="s">
        <v>461</v>
      </c>
      <c r="C8" s="629">
        <f t="shared" si="1"/>
        <v>2.1222190799396687E-4</v>
      </c>
      <c r="D8" s="3553">
        <v>3</v>
      </c>
      <c r="E8" s="3431">
        <v>2</v>
      </c>
      <c r="F8" s="3431">
        <v>4</v>
      </c>
      <c r="G8" s="3431">
        <v>50</v>
      </c>
      <c r="H8" s="5209"/>
      <c r="I8" s="3428">
        <v>4.6296296296296293E-4</v>
      </c>
      <c r="J8" s="3428">
        <v>6.9444444444444447E-4</v>
      </c>
      <c r="K8" s="3424" t="s">
        <v>1688</v>
      </c>
      <c r="L8" s="1147">
        <f t="shared" ref="L8:L13" si="11">L7+N7</f>
        <v>0.80952472580645174</v>
      </c>
      <c r="M8" s="3426">
        <v>1</v>
      </c>
      <c r="N8" s="5212">
        <f t="shared" ref="N8:N13" si="12">P8*E8*F8+I8*E8*F8+J8*E8</f>
        <v>8.6239651416122019E-3</v>
      </c>
      <c r="O8" s="3428">
        <f t="shared" ref="O8:O13" si="13">C8*(G8/25)*1.04</f>
        <v>4.4142156862745112E-4</v>
      </c>
      <c r="P8" s="3429">
        <f t="shared" ref="P8:P13" si="14">O8*M8</f>
        <v>4.4142156862745112E-4</v>
      </c>
      <c r="Q8" s="3652">
        <v>0.85</v>
      </c>
      <c r="R8" s="3655">
        <f t="shared" ref="R8:R13" si="15">E8*F8*G8</f>
        <v>400</v>
      </c>
      <c r="S8" s="2844">
        <f t="shared" si="2"/>
        <v>0.4</v>
      </c>
      <c r="T8" s="2845">
        <f t="shared" si="3"/>
        <v>1.4125490196078436E-2</v>
      </c>
      <c r="U8" s="374">
        <f t="shared" si="4"/>
        <v>0</v>
      </c>
      <c r="V8" s="2846">
        <f t="shared" si="5"/>
        <v>0</v>
      </c>
      <c r="W8" s="2847">
        <f t="shared" si="6"/>
        <v>0.4</v>
      </c>
      <c r="X8" s="2848">
        <f t="shared" si="7"/>
        <v>0</v>
      </c>
      <c r="Y8" s="2849">
        <f t="shared" si="8"/>
        <v>0</v>
      </c>
      <c r="Z8" s="2850">
        <f t="shared" si="9"/>
        <v>0</v>
      </c>
      <c r="AA8" s="2851">
        <f t="shared" si="10"/>
        <v>0</v>
      </c>
      <c r="AB8" s="2836"/>
      <c r="AC8" s="3548"/>
      <c r="AD8" s="3549"/>
      <c r="AE8" s="3549"/>
      <c r="AF8" s="3549"/>
      <c r="AG8" s="3549"/>
      <c r="AH8" s="3549"/>
      <c r="AI8" s="2836"/>
      <c r="AJ8" s="2836"/>
      <c r="AK8" s="2836"/>
      <c r="AL8" s="2836"/>
      <c r="AM8" s="2836"/>
      <c r="AN8" s="2836"/>
    </row>
    <row r="9" spans="1:40" s="2839" customFormat="1" ht="12.75" customHeight="1" thickBot="1">
      <c r="A9" s="3550" t="s">
        <v>460</v>
      </c>
      <c r="B9" s="3550" t="s">
        <v>461</v>
      </c>
      <c r="C9" s="629">
        <f t="shared" si="1"/>
        <v>1.7682291666666674E-4</v>
      </c>
      <c r="D9" s="3214">
        <v>7</v>
      </c>
      <c r="E9" s="1201">
        <v>1</v>
      </c>
      <c r="F9" s="1201">
        <v>5</v>
      </c>
      <c r="G9" s="1201">
        <v>20</v>
      </c>
      <c r="H9" s="1201"/>
      <c r="I9" s="1051">
        <v>6.9444444444444447E-4</v>
      </c>
      <c r="J9" s="1051">
        <v>1.3888888888888889E-3</v>
      </c>
      <c r="K9" s="442" t="s">
        <v>1695</v>
      </c>
      <c r="L9" s="1954">
        <f t="shared" si="11"/>
        <v>0.81814869094806397</v>
      </c>
      <c r="M9" s="3206">
        <v>0.9</v>
      </c>
      <c r="N9" s="1954">
        <f t="shared" si="12"/>
        <v>5.5231361111111122E-3</v>
      </c>
      <c r="O9" s="1954">
        <f t="shared" si="13"/>
        <v>1.4711666666666673E-4</v>
      </c>
      <c r="P9" s="1191">
        <f t="shared" si="14"/>
        <v>1.3240500000000007E-4</v>
      </c>
      <c r="Q9" s="3651">
        <v>1</v>
      </c>
      <c r="R9" s="2419">
        <f t="shared" si="15"/>
        <v>100</v>
      </c>
      <c r="S9" s="2844">
        <f t="shared" si="2"/>
        <v>0.1</v>
      </c>
      <c r="T9" s="2845">
        <f t="shared" si="3"/>
        <v>2.9423333333333346E-3</v>
      </c>
      <c r="U9" s="374">
        <f t="shared" si="4"/>
        <v>0</v>
      </c>
      <c r="V9" s="2846">
        <f t="shared" si="5"/>
        <v>0</v>
      </c>
      <c r="W9" s="2847">
        <f t="shared" si="6"/>
        <v>0</v>
      </c>
      <c r="X9" s="2848">
        <f t="shared" si="7"/>
        <v>0</v>
      </c>
      <c r="Y9" s="2849">
        <f t="shared" si="8"/>
        <v>0</v>
      </c>
      <c r="Z9" s="2850">
        <f t="shared" si="9"/>
        <v>0</v>
      </c>
      <c r="AA9" s="2851">
        <f t="shared" si="10"/>
        <v>0.1</v>
      </c>
      <c r="AB9" s="2836"/>
      <c r="AC9" s="3548"/>
      <c r="AD9" s="3549"/>
      <c r="AE9" s="3549"/>
      <c r="AF9" s="3549"/>
      <c r="AG9" s="3549"/>
      <c r="AH9" s="3549"/>
      <c r="AI9" s="2836"/>
      <c r="AJ9" s="2836"/>
      <c r="AK9" s="2836"/>
      <c r="AL9" s="2836"/>
      <c r="AM9" s="2836"/>
      <c r="AN9" s="2836"/>
    </row>
    <row r="10" spans="1:40" s="2839" customFormat="1" ht="12.75" customHeight="1" thickBot="1">
      <c r="A10" s="3640" t="s">
        <v>458</v>
      </c>
      <c r="B10" s="3550" t="s">
        <v>461</v>
      </c>
      <c r="C10" s="629">
        <f t="shared" si="1"/>
        <v>1.8229166666666673E-4</v>
      </c>
      <c r="D10" s="3555">
        <v>6</v>
      </c>
      <c r="E10" s="3444">
        <v>2</v>
      </c>
      <c r="F10" s="3444">
        <v>3</v>
      </c>
      <c r="G10" s="3444">
        <v>20</v>
      </c>
      <c r="H10" s="5206"/>
      <c r="I10" s="3142">
        <v>3.4722222222222224E-4</v>
      </c>
      <c r="J10" s="3142">
        <v>6.9444444444444447E-4</v>
      </c>
      <c r="K10" s="3438" t="s">
        <v>2092</v>
      </c>
      <c r="L10" s="3643">
        <f t="shared" si="11"/>
        <v>0.82367182705917508</v>
      </c>
      <c r="M10" s="3440">
        <v>0.9</v>
      </c>
      <c r="N10" s="5213">
        <f t="shared" si="12"/>
        <v>4.2912222222222223E-3</v>
      </c>
      <c r="O10" s="3145">
        <f t="shared" si="13"/>
        <v>1.5166666666666673E-4</v>
      </c>
      <c r="P10" s="3442">
        <f t="shared" si="14"/>
        <v>1.3650000000000007E-4</v>
      </c>
      <c r="Q10" s="3443" t="s">
        <v>278</v>
      </c>
      <c r="R10" s="3443">
        <f t="shared" si="15"/>
        <v>120</v>
      </c>
      <c r="S10" s="2844">
        <f t="shared" si="2"/>
        <v>0.12</v>
      </c>
      <c r="T10" s="2845">
        <f t="shared" si="3"/>
        <v>3.6400000000000017E-3</v>
      </c>
      <c r="U10" s="374">
        <f t="shared" si="4"/>
        <v>0</v>
      </c>
      <c r="V10" s="2846">
        <f t="shared" si="5"/>
        <v>0</v>
      </c>
      <c r="W10" s="2847">
        <f t="shared" si="6"/>
        <v>0</v>
      </c>
      <c r="X10" s="2848">
        <f t="shared" si="7"/>
        <v>0</v>
      </c>
      <c r="Y10" s="2849">
        <f t="shared" si="8"/>
        <v>0</v>
      </c>
      <c r="Z10" s="2850">
        <f t="shared" si="9"/>
        <v>0.12</v>
      </c>
      <c r="AA10" s="2851">
        <f t="shared" si="10"/>
        <v>0</v>
      </c>
      <c r="AB10" s="2836"/>
      <c r="AC10" s="3548"/>
      <c r="AD10" s="3549"/>
      <c r="AE10" s="3549"/>
      <c r="AF10" s="3549"/>
      <c r="AG10" s="3549"/>
      <c r="AH10" s="3549"/>
      <c r="AI10" s="2836"/>
      <c r="AJ10" s="2836"/>
      <c r="AK10" s="2836"/>
      <c r="AL10" s="2836"/>
      <c r="AM10" s="2836"/>
      <c r="AN10" s="2836"/>
    </row>
    <row r="11" spans="1:40" s="2839" customFormat="1" ht="13" customHeight="1" thickBot="1">
      <c r="A11" s="3640" t="s">
        <v>219</v>
      </c>
      <c r="B11" s="3550" t="s">
        <v>461</v>
      </c>
      <c r="C11" s="629">
        <f t="shared" si="1"/>
        <v>1.8229166666666673E-4</v>
      </c>
      <c r="D11" s="2309">
        <v>6</v>
      </c>
      <c r="E11" s="4559">
        <v>1</v>
      </c>
      <c r="F11" s="4559">
        <v>8</v>
      </c>
      <c r="G11" s="4559">
        <v>50</v>
      </c>
      <c r="H11" s="5210" t="s">
        <v>2095</v>
      </c>
      <c r="I11" s="4560">
        <v>6.9444444444444447E-4</v>
      </c>
      <c r="J11" s="4560">
        <v>1.3888888888888889E-3</v>
      </c>
      <c r="K11" s="4561" t="s">
        <v>974</v>
      </c>
      <c r="L11" s="5186">
        <f>L10+N10</f>
        <v>0.8279630492813973</v>
      </c>
      <c r="M11" s="4562">
        <v>1</v>
      </c>
      <c r="N11" s="5186">
        <f t="shared" si="12"/>
        <v>9.919444444444446E-3</v>
      </c>
      <c r="O11" s="4563">
        <f>C11*(G11/25)*1.02</f>
        <v>3.7187500000000014E-4</v>
      </c>
      <c r="P11" s="5184">
        <f t="shared" si="14"/>
        <v>3.7187500000000014E-4</v>
      </c>
      <c r="Q11" s="4565">
        <v>177</v>
      </c>
      <c r="R11" s="4559">
        <f t="shared" si="15"/>
        <v>400</v>
      </c>
      <c r="S11" s="2844">
        <f t="shared" si="2"/>
        <v>0.4</v>
      </c>
      <c r="T11" s="2845">
        <f t="shared" si="3"/>
        <v>1.1900000000000004E-2</v>
      </c>
      <c r="U11" s="374">
        <f t="shared" si="4"/>
        <v>0</v>
      </c>
      <c r="V11" s="2846">
        <f t="shared" si="5"/>
        <v>0</v>
      </c>
      <c r="W11" s="2847">
        <f t="shared" si="6"/>
        <v>0</v>
      </c>
      <c r="X11" s="2848">
        <f t="shared" si="7"/>
        <v>0</v>
      </c>
      <c r="Y11" s="2849">
        <f t="shared" si="8"/>
        <v>0</v>
      </c>
      <c r="Z11" s="2850">
        <f t="shared" si="9"/>
        <v>0.4</v>
      </c>
      <c r="AA11" s="2851">
        <f t="shared" si="10"/>
        <v>0</v>
      </c>
      <c r="AB11" s="2836"/>
      <c r="AC11" s="3548"/>
      <c r="AD11" s="3549"/>
      <c r="AE11" s="3549"/>
      <c r="AF11" s="3549"/>
      <c r="AG11" s="3549"/>
      <c r="AH11" s="3549"/>
      <c r="AI11" s="2836"/>
      <c r="AJ11" s="2836"/>
      <c r="AK11" s="2836"/>
      <c r="AL11" s="2836"/>
      <c r="AM11" s="2836"/>
      <c r="AN11" s="2836"/>
    </row>
    <row r="12" spans="1:40" s="2839" customFormat="1" ht="12.75" customHeight="1" thickBot="1">
      <c r="A12" s="3640"/>
      <c r="B12" s="3550" t="s">
        <v>461</v>
      </c>
      <c r="C12" s="629">
        <f t="shared" ref="C12" si="16">IF(D12=1,U$5,IF(D12=2,V$5,IF(D12=3,W$5,IF(D12=4,X$5,IF(D12=5,Y$5,IF(D12=6,Z$5,IF(D12=7,AA$5,0)))))))</f>
        <v>2.1222190799396687E-4</v>
      </c>
      <c r="D12" s="3553">
        <v>3</v>
      </c>
      <c r="E12" s="3431">
        <v>1</v>
      </c>
      <c r="F12" s="3431">
        <v>4</v>
      </c>
      <c r="G12" s="3431">
        <v>75</v>
      </c>
      <c r="H12" s="5209"/>
      <c r="I12" s="3428">
        <v>4.6296296296296293E-4</v>
      </c>
      <c r="J12" s="3428">
        <v>6.9444444444444447E-4</v>
      </c>
      <c r="K12" s="3424" t="s">
        <v>2094</v>
      </c>
      <c r="L12" s="1147">
        <f t="shared" ref="L12" si="17">L11+N11</f>
        <v>0.83788249372584178</v>
      </c>
      <c r="M12" s="3426">
        <v>1</v>
      </c>
      <c r="N12" s="5212">
        <f t="shared" ref="N12" si="18">P12*E12*F12+I12*E12*F12+J12*E12</f>
        <v>5.1948257080610032E-3</v>
      </c>
      <c r="O12" s="3428">
        <f t="shared" ref="O12" si="19">C12*(G12/25)*1.04</f>
        <v>6.6213235294117667E-4</v>
      </c>
      <c r="P12" s="3429">
        <f t="shared" ref="P12" si="20">O12*M12</f>
        <v>6.6213235294117667E-4</v>
      </c>
      <c r="Q12" s="3652">
        <v>0.85</v>
      </c>
      <c r="R12" s="3655">
        <f t="shared" ref="R12" si="21">E12*F12*G12</f>
        <v>300</v>
      </c>
      <c r="S12" s="2844">
        <f t="shared" si="2"/>
        <v>0.3</v>
      </c>
      <c r="T12" s="2845">
        <f t="shared" si="3"/>
        <v>1.0594117647058827E-2</v>
      </c>
      <c r="U12" s="374">
        <f t="shared" si="4"/>
        <v>0</v>
      </c>
      <c r="V12" s="2846">
        <f t="shared" si="5"/>
        <v>0</v>
      </c>
      <c r="W12" s="2847">
        <f t="shared" si="6"/>
        <v>0.3</v>
      </c>
      <c r="X12" s="2848">
        <f t="shared" si="7"/>
        <v>0</v>
      </c>
      <c r="Y12" s="2849">
        <f t="shared" si="8"/>
        <v>0</v>
      </c>
      <c r="Z12" s="2850">
        <f t="shared" si="9"/>
        <v>0</v>
      </c>
      <c r="AA12" s="2851">
        <f t="shared" si="10"/>
        <v>0</v>
      </c>
      <c r="AB12" s="2836"/>
      <c r="AC12" s="3548"/>
      <c r="AD12" s="3549"/>
      <c r="AE12" s="3549"/>
      <c r="AF12" s="3549"/>
      <c r="AG12" s="3549"/>
      <c r="AH12" s="3549"/>
      <c r="AI12" s="2836"/>
      <c r="AJ12" s="2836"/>
      <c r="AK12" s="2836"/>
      <c r="AL12" s="2836"/>
      <c r="AM12" s="2836"/>
      <c r="AN12" s="2836"/>
    </row>
    <row r="13" spans="1:40" s="2839" customFormat="1" ht="12.75" customHeight="1" thickBot="1">
      <c r="A13" s="3640"/>
      <c r="B13" s="3550" t="s">
        <v>461</v>
      </c>
      <c r="C13" s="629">
        <f t="shared" si="1"/>
        <v>1.8229166666666673E-4</v>
      </c>
      <c r="D13" s="3555">
        <v>6</v>
      </c>
      <c r="E13" s="3444">
        <v>1</v>
      </c>
      <c r="F13" s="3444">
        <v>6</v>
      </c>
      <c r="G13" s="3444">
        <v>20</v>
      </c>
      <c r="H13" s="5140"/>
      <c r="I13" s="3142">
        <v>3.4722222222222224E-4</v>
      </c>
      <c r="J13" s="3142">
        <v>6.9444444444444447E-4</v>
      </c>
      <c r="K13" s="3438" t="s">
        <v>2093</v>
      </c>
      <c r="L13" s="3643">
        <f t="shared" si="11"/>
        <v>0.84307731943390274</v>
      </c>
      <c r="M13" s="3440">
        <v>0.9</v>
      </c>
      <c r="N13" s="5213">
        <f t="shared" si="12"/>
        <v>3.5967777777777782E-3</v>
      </c>
      <c r="O13" s="3145">
        <f t="shared" si="13"/>
        <v>1.5166666666666673E-4</v>
      </c>
      <c r="P13" s="3442">
        <f t="shared" si="14"/>
        <v>1.3650000000000007E-4</v>
      </c>
      <c r="Q13" s="3443" t="s">
        <v>278</v>
      </c>
      <c r="R13" s="3443">
        <f t="shared" si="15"/>
        <v>120</v>
      </c>
      <c r="S13" s="2844">
        <f t="shared" si="2"/>
        <v>0.12</v>
      </c>
      <c r="T13" s="2845">
        <f t="shared" si="3"/>
        <v>3.6400000000000017E-3</v>
      </c>
      <c r="U13" s="374">
        <f t="shared" si="4"/>
        <v>0</v>
      </c>
      <c r="V13" s="2846">
        <f t="shared" si="5"/>
        <v>0</v>
      </c>
      <c r="W13" s="2847">
        <f t="shared" si="6"/>
        <v>0</v>
      </c>
      <c r="X13" s="2848">
        <f t="shared" si="7"/>
        <v>0</v>
      </c>
      <c r="Y13" s="2849">
        <f t="shared" si="8"/>
        <v>0</v>
      </c>
      <c r="Z13" s="2850">
        <f t="shared" si="9"/>
        <v>0.12</v>
      </c>
      <c r="AA13" s="2851">
        <f t="shared" si="10"/>
        <v>0</v>
      </c>
      <c r="AB13" s="2836"/>
      <c r="AC13" s="3548"/>
      <c r="AD13" s="3549"/>
      <c r="AE13" s="3549"/>
      <c r="AF13" s="3549"/>
      <c r="AG13" s="3549"/>
      <c r="AH13" s="3549"/>
      <c r="AI13" s="2836"/>
      <c r="AJ13" s="2836"/>
      <c r="AK13" s="2836"/>
      <c r="AL13" s="2836"/>
      <c r="AM13" s="2836"/>
      <c r="AN13" s="2836"/>
    </row>
    <row r="14" spans="1:40" s="2839" customFormat="1" ht="12.75" customHeight="1" thickBot="1">
      <c r="A14" s="3640"/>
      <c r="B14" s="3550" t="s">
        <v>461</v>
      </c>
      <c r="C14" s="629">
        <f t="shared" ref="C14:C15" si="22">IF(D14=1,U$5,IF(D14=2,V$5,IF(D14=3,W$5,IF(D14=4,X$5,IF(D14=5,Y$5,IF(D14=6,Z$5,IF(D14=7,AA$5,0)))))))</f>
        <v>1.8229166666666673E-4</v>
      </c>
      <c r="D14" s="3555">
        <v>6</v>
      </c>
      <c r="E14" s="3444">
        <v>1</v>
      </c>
      <c r="F14" s="3444">
        <v>6</v>
      </c>
      <c r="G14" s="3444">
        <v>20</v>
      </c>
      <c r="H14" s="5140"/>
      <c r="I14" s="3142">
        <v>3.4722222222222224E-4</v>
      </c>
      <c r="J14" s="3142">
        <v>6.9444444444444447E-4</v>
      </c>
      <c r="K14" s="3438" t="s">
        <v>1691</v>
      </c>
      <c r="L14" s="3643">
        <f t="shared" ref="L14" si="23">L13+N13</f>
        <v>0.84667409721168052</v>
      </c>
      <c r="M14" s="3440">
        <v>0.9</v>
      </c>
      <c r="N14" s="5213">
        <f t="shared" ref="N14:N15" si="24">P14*E14*F14+I14*E14*F14+J14*E14</f>
        <v>3.5967777777777782E-3</v>
      </c>
      <c r="O14" s="3145">
        <f t="shared" ref="O14" si="25">C14*(G14/25)*1.04</f>
        <v>1.5166666666666673E-4</v>
      </c>
      <c r="P14" s="3442">
        <f t="shared" ref="P14:P15" si="26">O14*M14</f>
        <v>1.3650000000000007E-4</v>
      </c>
      <c r="Q14" s="3443" t="s">
        <v>278</v>
      </c>
      <c r="R14" s="3443">
        <f t="shared" ref="R14:R15" si="27">E14*F14*G14</f>
        <v>120</v>
      </c>
      <c r="S14" s="2844">
        <f t="shared" si="2"/>
        <v>0.12</v>
      </c>
      <c r="T14" s="2845">
        <f t="shared" si="3"/>
        <v>3.6400000000000017E-3</v>
      </c>
      <c r="U14" s="374">
        <f t="shared" si="4"/>
        <v>0</v>
      </c>
      <c r="V14" s="2846">
        <f t="shared" si="5"/>
        <v>0</v>
      </c>
      <c r="W14" s="2847">
        <f t="shared" si="6"/>
        <v>0</v>
      </c>
      <c r="X14" s="2848">
        <f t="shared" si="7"/>
        <v>0</v>
      </c>
      <c r="Y14" s="2849">
        <f t="shared" si="8"/>
        <v>0</v>
      </c>
      <c r="Z14" s="2850">
        <f t="shared" si="9"/>
        <v>0.12</v>
      </c>
      <c r="AA14" s="2851">
        <f t="shared" si="10"/>
        <v>0</v>
      </c>
      <c r="AB14" s="2836"/>
      <c r="AC14" s="3548"/>
      <c r="AD14" s="3549"/>
      <c r="AE14" s="3549"/>
      <c r="AF14" s="3549"/>
      <c r="AG14" s="3549"/>
      <c r="AH14" s="3549"/>
      <c r="AI14" s="2836"/>
      <c r="AJ14" s="2836"/>
      <c r="AK14" s="2836"/>
      <c r="AL14" s="2836"/>
      <c r="AM14" s="2836"/>
      <c r="AN14" s="2836"/>
    </row>
    <row r="15" spans="1:40" s="2839" customFormat="1" ht="13" customHeight="1" thickBot="1">
      <c r="A15" s="3550"/>
      <c r="B15" s="3550" t="s">
        <v>461</v>
      </c>
      <c r="C15" s="629">
        <f t="shared" si="22"/>
        <v>1.8229166666666673E-4</v>
      </c>
      <c r="D15" s="2309">
        <v>6</v>
      </c>
      <c r="E15" s="4559">
        <v>1</v>
      </c>
      <c r="F15" s="4559">
        <v>8</v>
      </c>
      <c r="G15" s="4559">
        <v>50</v>
      </c>
      <c r="H15" s="5210" t="s">
        <v>2095</v>
      </c>
      <c r="I15" s="4560">
        <v>6.9444444444444447E-4</v>
      </c>
      <c r="J15" s="4560">
        <v>1.3888888888888889E-3</v>
      </c>
      <c r="K15" s="4561" t="s">
        <v>974</v>
      </c>
      <c r="L15" s="5186">
        <f>L14+N14</f>
        <v>0.8502708749894583</v>
      </c>
      <c r="M15" s="4562">
        <v>1</v>
      </c>
      <c r="N15" s="5186">
        <f t="shared" si="24"/>
        <v>9.919444444444446E-3</v>
      </c>
      <c r="O15" s="4563">
        <f>C15*(G15/25)*1.02</f>
        <v>3.7187500000000014E-4</v>
      </c>
      <c r="P15" s="5184">
        <f t="shared" si="26"/>
        <v>3.7187500000000014E-4</v>
      </c>
      <c r="Q15" s="4565">
        <v>177</v>
      </c>
      <c r="R15" s="4559">
        <f t="shared" si="27"/>
        <v>400</v>
      </c>
      <c r="S15" s="2844">
        <f t="shared" si="2"/>
        <v>0.4</v>
      </c>
      <c r="T15" s="2845">
        <f t="shared" si="3"/>
        <v>1.1900000000000004E-2</v>
      </c>
      <c r="U15" s="374">
        <f t="shared" si="4"/>
        <v>0</v>
      </c>
      <c r="V15" s="2846">
        <f t="shared" si="5"/>
        <v>0</v>
      </c>
      <c r="W15" s="2847">
        <f t="shared" si="6"/>
        <v>0</v>
      </c>
      <c r="X15" s="2848">
        <f t="shared" si="7"/>
        <v>0</v>
      </c>
      <c r="Y15" s="2849">
        <f t="shared" si="8"/>
        <v>0</v>
      </c>
      <c r="Z15" s="2850">
        <f t="shared" si="9"/>
        <v>0.4</v>
      </c>
      <c r="AA15" s="2851">
        <f t="shared" si="10"/>
        <v>0</v>
      </c>
      <c r="AB15" s="2836"/>
      <c r="AC15" s="3548"/>
      <c r="AD15" s="3549"/>
      <c r="AE15" s="3549"/>
      <c r="AF15" s="3549"/>
      <c r="AG15" s="3549"/>
      <c r="AH15" s="3549"/>
      <c r="AI15" s="2836"/>
      <c r="AJ15" s="2836"/>
      <c r="AK15" s="2836"/>
      <c r="AL15" s="2836"/>
      <c r="AM15" s="2836"/>
      <c r="AN15" s="2836"/>
    </row>
    <row r="16" spans="1:40" ht="12.75" customHeight="1" thickBot="1">
      <c r="A16" s="3556"/>
      <c r="B16" s="3557"/>
      <c r="C16" s="629">
        <f>IF(D16=1,#REF!,IF(D16=2,#REF!,IF(D16=3,#REF!,IF(D16=4,#REF!,IF(D16=5,#REF!,IF(D16=6,#REF!,IF(D16=7,#REF!,0)))))))</f>
        <v>0</v>
      </c>
      <c r="D16" s="3558"/>
      <c r="E16" s="3454"/>
      <c r="F16" s="3454"/>
      <c r="G16" s="3454"/>
      <c r="H16" s="3454"/>
      <c r="I16" s="3454"/>
      <c r="J16" s="3454"/>
      <c r="K16" s="3454"/>
      <c r="L16" s="3173">
        <f>L15+N15</f>
        <v>0.86019031943390278</v>
      </c>
      <c r="M16" s="3455"/>
      <c r="N16" s="5214"/>
      <c r="O16" s="3454"/>
      <c r="P16" s="3454"/>
      <c r="Q16" s="3454"/>
      <c r="R16" s="3656">
        <f>SUM(R6:R15)</f>
        <v>2760</v>
      </c>
      <c r="S16" s="2844">
        <f t="shared" si="2"/>
        <v>0</v>
      </c>
      <c r="T16" s="2845">
        <f t="shared" si="3"/>
        <v>0</v>
      </c>
      <c r="U16" s="374">
        <f t="shared" si="4"/>
        <v>0</v>
      </c>
      <c r="V16" s="2846">
        <f t="shared" si="5"/>
        <v>0</v>
      </c>
      <c r="W16" s="2847">
        <f t="shared" si="6"/>
        <v>0</v>
      </c>
      <c r="X16" s="2848">
        <f t="shared" si="7"/>
        <v>0</v>
      </c>
      <c r="Y16" s="2849">
        <f t="shared" si="8"/>
        <v>0</v>
      </c>
      <c r="Z16" s="2850">
        <f t="shared" si="9"/>
        <v>0</v>
      </c>
      <c r="AA16" s="2851">
        <f t="shared" si="10"/>
        <v>0</v>
      </c>
      <c r="AC16" s="3518"/>
      <c r="AD16" s="3518"/>
      <c r="AE16" s="3518"/>
      <c r="AF16" s="3518"/>
      <c r="AG16" s="3518"/>
      <c r="AH16" s="3518"/>
      <c r="AI16" s="2913"/>
      <c r="AJ16" s="2913"/>
      <c r="AK16" s="2913"/>
      <c r="AL16" s="2913"/>
      <c r="AM16" s="2913"/>
    </row>
    <row r="17" spans="1:39" ht="12.75" customHeight="1">
      <c r="A17" s="1261" t="s">
        <v>215</v>
      </c>
      <c r="B17" s="1269" t="s">
        <v>215</v>
      </c>
      <c r="C17" s="629">
        <f t="shared" ref="C17:C27" si="28">IF(D17=1,U$5,IF(D17=2,V$5,IF(D17=3,W$5,IF(D17=4,X$5,IF(D17=5,Y$5,IF(D17=6,Z$5,IF(D17=7,AA$5,0)))))))</f>
        <v>2.1908757716049393E-4</v>
      </c>
      <c r="D17" s="920">
        <v>2</v>
      </c>
      <c r="E17" s="1173">
        <v>1</v>
      </c>
      <c r="F17" s="1173">
        <v>4</v>
      </c>
      <c r="G17" s="1173">
        <v>100</v>
      </c>
      <c r="H17" s="1173"/>
      <c r="I17" s="299">
        <v>1.7361111111111112E-4</v>
      </c>
      <c r="J17" s="299">
        <v>1.3888888888888889E-3</v>
      </c>
      <c r="K17" s="1123" t="s">
        <v>970</v>
      </c>
      <c r="L17" s="1143">
        <v>0.34027777777777773</v>
      </c>
      <c r="M17" s="2397">
        <v>1.1000000000000001</v>
      </c>
      <c r="N17" s="1453">
        <f t="shared" ref="N17:N22" si="29">P17*E17*F17+I17*E17*F17+J17*E17</f>
        <v>5.9392746913580268E-3</v>
      </c>
      <c r="O17" s="1175">
        <f t="shared" ref="O17:O31" si="30">C17*(G17/25)</f>
        <v>8.7635030864197572E-4</v>
      </c>
      <c r="P17" s="1175">
        <f>O17*M17</f>
        <v>9.6398533950617339E-4</v>
      </c>
      <c r="Q17" s="550">
        <v>129</v>
      </c>
      <c r="R17" s="2398">
        <f>E17*F17*G17</f>
        <v>400</v>
      </c>
      <c r="S17" s="2844">
        <f t="shared" si="2"/>
        <v>0.4</v>
      </c>
      <c r="T17" s="2845">
        <f t="shared" si="3"/>
        <v>1.4021604938271611E-2</v>
      </c>
      <c r="U17" s="374">
        <f t="shared" si="4"/>
        <v>0</v>
      </c>
      <c r="V17" s="2846">
        <f t="shared" si="5"/>
        <v>0.4</v>
      </c>
      <c r="W17" s="2847">
        <f t="shared" si="6"/>
        <v>0</v>
      </c>
      <c r="X17" s="2848">
        <f t="shared" si="7"/>
        <v>0</v>
      </c>
      <c r="Y17" s="2849">
        <f t="shared" si="8"/>
        <v>0</v>
      </c>
      <c r="Z17" s="2850">
        <f t="shared" si="9"/>
        <v>0</v>
      </c>
      <c r="AA17" s="2851">
        <f t="shared" si="10"/>
        <v>0</v>
      </c>
      <c r="AC17" s="3518"/>
      <c r="AD17" s="3518"/>
      <c r="AE17" s="3518"/>
      <c r="AF17" s="3518"/>
      <c r="AG17" s="3518"/>
      <c r="AH17" s="3518"/>
      <c r="AI17" s="2913"/>
      <c r="AJ17" s="2913"/>
      <c r="AK17" s="2913"/>
      <c r="AL17" s="2913"/>
      <c r="AM17" s="2913"/>
    </row>
    <row r="18" spans="1:39" ht="12.75" customHeight="1">
      <c r="A18" s="1261" t="s">
        <v>138</v>
      </c>
      <c r="B18" s="1269" t="s">
        <v>215</v>
      </c>
      <c r="C18" s="274">
        <f t="shared" si="28"/>
        <v>2.1222190799396687E-4</v>
      </c>
      <c r="D18" s="3211">
        <v>3</v>
      </c>
      <c r="E18" s="1161">
        <v>3</v>
      </c>
      <c r="F18" s="1161">
        <v>2</v>
      </c>
      <c r="G18" s="1161">
        <v>50</v>
      </c>
      <c r="H18" s="1161"/>
      <c r="I18" s="1163">
        <v>8.1018518518518516E-5</v>
      </c>
      <c r="J18" s="1163">
        <v>1.3888888888888889E-3</v>
      </c>
      <c r="K18" s="1074" t="s">
        <v>969</v>
      </c>
      <c r="L18" s="1147">
        <f t="shared" ref="L18:L32" si="31">L17+N17</f>
        <v>0.34621705246913576</v>
      </c>
      <c r="M18" s="3212">
        <v>1.1000000000000001</v>
      </c>
      <c r="N18" s="2710">
        <f t="shared" si="29"/>
        <v>7.4541069632981412E-3</v>
      </c>
      <c r="O18" s="1600">
        <f t="shared" si="30"/>
        <v>4.2444381598793373E-4</v>
      </c>
      <c r="P18" s="1600">
        <f>O18*M18</f>
        <v>4.6688819758672714E-4</v>
      </c>
      <c r="Q18" s="843">
        <v>165</v>
      </c>
      <c r="R18" s="3213">
        <f>E18*F18*G18</f>
        <v>300</v>
      </c>
      <c r="S18" s="2844">
        <f t="shared" si="2"/>
        <v>0.3</v>
      </c>
      <c r="T18" s="2845">
        <f t="shared" si="3"/>
        <v>1.018665158371041E-2</v>
      </c>
      <c r="U18" s="374">
        <f t="shared" si="4"/>
        <v>0</v>
      </c>
      <c r="V18" s="2846">
        <f t="shared" si="5"/>
        <v>0</v>
      </c>
      <c r="W18" s="2847">
        <f t="shared" si="6"/>
        <v>0.3</v>
      </c>
      <c r="X18" s="2848">
        <f t="shared" si="7"/>
        <v>0</v>
      </c>
      <c r="Y18" s="2849">
        <f t="shared" si="8"/>
        <v>0</v>
      </c>
      <c r="Z18" s="2850">
        <f t="shared" si="9"/>
        <v>0</v>
      </c>
      <c r="AA18" s="2851">
        <f t="shared" si="10"/>
        <v>0</v>
      </c>
      <c r="AC18" s="3518"/>
      <c r="AD18" s="3518"/>
      <c r="AE18" s="3518"/>
      <c r="AF18" s="3518"/>
      <c r="AG18" s="3518"/>
      <c r="AH18" s="3518"/>
      <c r="AI18" s="2913"/>
      <c r="AJ18" s="2913"/>
      <c r="AK18" s="2913"/>
      <c r="AL18" s="2913"/>
      <c r="AM18" s="2913"/>
    </row>
    <row r="19" spans="1:39" ht="12.75" customHeight="1">
      <c r="A19" s="1261" t="s">
        <v>462</v>
      </c>
      <c r="B19" s="1269" t="s">
        <v>215</v>
      </c>
      <c r="C19" s="274">
        <f t="shared" si="28"/>
        <v>2.2880964381720439E-4</v>
      </c>
      <c r="D19" s="890">
        <v>1</v>
      </c>
      <c r="E19" s="1194">
        <v>1</v>
      </c>
      <c r="F19" s="1194">
        <v>1</v>
      </c>
      <c r="G19" s="1194">
        <v>500</v>
      </c>
      <c r="H19" s="1194"/>
      <c r="I19" s="274">
        <v>1.1574074074074073E-4</v>
      </c>
      <c r="J19" s="274">
        <v>0</v>
      </c>
      <c r="K19" s="312" t="s">
        <v>971</v>
      </c>
      <c r="L19" s="1143">
        <f t="shared" si="31"/>
        <v>0.35367115943243388</v>
      </c>
      <c r="M19" s="2397">
        <v>1.25</v>
      </c>
      <c r="N19" s="1453">
        <f t="shared" si="29"/>
        <v>5.8359818361708509E-3</v>
      </c>
      <c r="O19" s="1175">
        <f t="shared" si="30"/>
        <v>4.5761928763440882E-3</v>
      </c>
      <c r="P19" s="1175">
        <f>O19*M19</f>
        <v>5.72024109543011E-3</v>
      </c>
      <c r="Q19" s="550">
        <v>147</v>
      </c>
      <c r="R19" s="2398">
        <f>E19*F19*G19</f>
        <v>500</v>
      </c>
      <c r="S19" s="2844">
        <f t="shared" si="2"/>
        <v>0.5</v>
      </c>
      <c r="T19" s="2845">
        <f t="shared" si="3"/>
        <v>1.8304771505376353E-2</v>
      </c>
      <c r="U19" s="374">
        <f t="shared" si="4"/>
        <v>0.5</v>
      </c>
      <c r="V19" s="2846">
        <f t="shared" si="5"/>
        <v>0</v>
      </c>
      <c r="W19" s="2847">
        <f t="shared" si="6"/>
        <v>0</v>
      </c>
      <c r="X19" s="2848">
        <f t="shared" si="7"/>
        <v>0</v>
      </c>
      <c r="Y19" s="2849">
        <f t="shared" si="8"/>
        <v>0</v>
      </c>
      <c r="Z19" s="2850">
        <f t="shared" si="9"/>
        <v>0</v>
      </c>
      <c r="AA19" s="2851">
        <f t="shared" si="10"/>
        <v>0</v>
      </c>
      <c r="AC19" s="3518"/>
      <c r="AD19" s="3518"/>
      <c r="AE19" s="3518"/>
      <c r="AF19" s="3518"/>
      <c r="AG19" s="3518"/>
      <c r="AH19" s="3518"/>
      <c r="AI19" s="2913"/>
      <c r="AJ19" s="2913"/>
      <c r="AK19" s="2913"/>
      <c r="AL19" s="2913"/>
      <c r="AM19" s="2913"/>
    </row>
    <row r="20" spans="1:39" ht="12.75" customHeight="1">
      <c r="A20" s="1261" t="s">
        <v>461</v>
      </c>
      <c r="B20" s="1269" t="s">
        <v>215</v>
      </c>
      <c r="C20" s="274">
        <f t="shared" si="28"/>
        <v>1.8933937422552669E-4</v>
      </c>
      <c r="D20" s="1203">
        <v>5</v>
      </c>
      <c r="E20" s="1248">
        <v>3</v>
      </c>
      <c r="F20" s="3190">
        <v>1</v>
      </c>
      <c r="G20" s="1249">
        <v>100</v>
      </c>
      <c r="H20" s="3191" t="s">
        <v>1456</v>
      </c>
      <c r="I20" s="1250">
        <v>3.4722222222222224E-4</v>
      </c>
      <c r="J20" s="1250">
        <v>1.3888888888888889E-3</v>
      </c>
      <c r="K20" s="1035" t="s">
        <v>1540</v>
      </c>
      <c r="L20" s="1456">
        <f>L19+N19</f>
        <v>0.35950714126860472</v>
      </c>
      <c r="M20" s="2399">
        <v>1.05</v>
      </c>
      <c r="N20" s="1456">
        <f t="shared" si="29"/>
        <v>7.5940094485749694E-3</v>
      </c>
      <c r="O20" s="1253">
        <f t="shared" si="30"/>
        <v>7.5735749690210676E-4</v>
      </c>
      <c r="P20" s="1254">
        <f t="shared" ref="P20:P21" si="32">O20*M20</f>
        <v>7.9522537174721211E-4</v>
      </c>
      <c r="Q20" s="1255" t="s">
        <v>267</v>
      </c>
      <c r="R20" s="1255">
        <f t="shared" ref="R20" si="33">E20*F20*G20</f>
        <v>300</v>
      </c>
      <c r="S20" s="2844">
        <f t="shared" si="2"/>
        <v>0.3</v>
      </c>
      <c r="T20" s="2845">
        <f t="shared" si="3"/>
        <v>9.0882899628252807E-3</v>
      </c>
      <c r="U20" s="374">
        <f t="shared" si="4"/>
        <v>0</v>
      </c>
      <c r="V20" s="2846">
        <f t="shared" si="5"/>
        <v>0</v>
      </c>
      <c r="W20" s="2847">
        <f t="shared" si="6"/>
        <v>0</v>
      </c>
      <c r="X20" s="2848">
        <f t="shared" si="7"/>
        <v>0</v>
      </c>
      <c r="Y20" s="2849">
        <f t="shared" si="8"/>
        <v>0.3</v>
      </c>
      <c r="Z20" s="2850">
        <f t="shared" si="9"/>
        <v>0</v>
      </c>
      <c r="AA20" s="2851">
        <f t="shared" si="10"/>
        <v>0</v>
      </c>
      <c r="AC20" s="3518"/>
      <c r="AD20" s="3518"/>
      <c r="AE20" s="3518"/>
      <c r="AF20" s="3518"/>
      <c r="AG20" s="3518"/>
      <c r="AH20" s="3518"/>
      <c r="AI20" s="2913"/>
      <c r="AJ20" s="2913"/>
      <c r="AK20" s="2913"/>
      <c r="AL20" s="2913"/>
      <c r="AM20" s="2913"/>
    </row>
    <row r="21" spans="1:39" ht="12.75" customHeight="1" thickBot="1">
      <c r="A21" s="1261" t="s">
        <v>458</v>
      </c>
      <c r="B21" s="1269" t="s">
        <v>215</v>
      </c>
      <c r="C21" s="274">
        <f t="shared" si="28"/>
        <v>1.7682291666666674E-4</v>
      </c>
      <c r="D21" s="3214">
        <v>7</v>
      </c>
      <c r="E21" s="1201">
        <v>4</v>
      </c>
      <c r="F21" s="1201">
        <v>5</v>
      </c>
      <c r="G21" s="1201">
        <v>10</v>
      </c>
      <c r="H21" s="1201"/>
      <c r="I21" s="1051">
        <v>1.7361111111111112E-4</v>
      </c>
      <c r="J21" s="1051">
        <v>6.9444444444444447E-4</v>
      </c>
      <c r="K21" s="442" t="s">
        <v>1696</v>
      </c>
      <c r="L21" s="2392">
        <f t="shared" si="31"/>
        <v>0.36710115071717969</v>
      </c>
      <c r="M21" s="3206">
        <v>1</v>
      </c>
      <c r="N21" s="2392">
        <f t="shared" si="29"/>
        <v>7.664583333333334E-3</v>
      </c>
      <c r="O21" s="2392">
        <f t="shared" si="30"/>
        <v>7.0729166666666694E-5</v>
      </c>
      <c r="P21" s="2392">
        <f t="shared" si="32"/>
        <v>7.0729166666666694E-5</v>
      </c>
      <c r="Q21" s="789" t="s">
        <v>1697</v>
      </c>
      <c r="R21" s="2402">
        <f>E21*F21*G21</f>
        <v>200</v>
      </c>
      <c r="S21" s="2844">
        <f t="shared" si="2"/>
        <v>0.2</v>
      </c>
      <c r="T21" s="2845">
        <f t="shared" si="3"/>
        <v>5.6583333333333355E-3</v>
      </c>
      <c r="U21" s="374">
        <f t="shared" si="4"/>
        <v>0</v>
      </c>
      <c r="V21" s="2846">
        <f t="shared" si="5"/>
        <v>0</v>
      </c>
      <c r="W21" s="2847">
        <f t="shared" si="6"/>
        <v>0</v>
      </c>
      <c r="X21" s="2848">
        <f t="shared" si="7"/>
        <v>0</v>
      </c>
      <c r="Y21" s="2849">
        <f t="shared" si="8"/>
        <v>0</v>
      </c>
      <c r="Z21" s="2850">
        <f t="shared" si="9"/>
        <v>0</v>
      </c>
      <c r="AA21" s="2851">
        <f t="shared" si="10"/>
        <v>0.2</v>
      </c>
      <c r="AC21" s="3518"/>
      <c r="AD21" s="3518"/>
      <c r="AE21" s="3518"/>
      <c r="AF21" s="3518"/>
      <c r="AG21" s="3518"/>
      <c r="AH21" s="3518"/>
      <c r="AI21" s="2913"/>
      <c r="AJ21" s="2913"/>
      <c r="AK21" s="2913"/>
      <c r="AL21" s="2913"/>
      <c r="AM21" s="2913"/>
    </row>
    <row r="22" spans="1:39" ht="12.75" customHeight="1" thickBot="1">
      <c r="A22" s="1261"/>
      <c r="B22" s="1269"/>
      <c r="C22" s="274">
        <f t="shared" ref="C22" si="34">IF(D22=1,U$5,IF(D22=2,V$5,IF(D22=3,W$5,IF(D22=4,X$5,IF(D22=5,Y$5,IF(D22=6,Z$5,IF(D22=7,AA$5,0)))))))</f>
        <v>1.7682291666666674E-4</v>
      </c>
      <c r="D22" s="3214">
        <v>7</v>
      </c>
      <c r="E22" s="1201">
        <v>1</v>
      </c>
      <c r="F22" s="1201">
        <v>6</v>
      </c>
      <c r="G22" s="1201">
        <v>25</v>
      </c>
      <c r="H22" s="1201"/>
      <c r="I22" s="1051">
        <v>1.7361111111111112E-4</v>
      </c>
      <c r="J22" s="1051">
        <v>6.9444444444444447E-4</v>
      </c>
      <c r="K22" s="442" t="s">
        <v>413</v>
      </c>
      <c r="L22" s="2392">
        <f t="shared" ref="L22" si="35">L21+N21</f>
        <v>0.374765734050513</v>
      </c>
      <c r="M22" s="3206">
        <v>1</v>
      </c>
      <c r="N22" s="2392">
        <f t="shared" si="29"/>
        <v>2.7970486111111117E-3</v>
      </c>
      <c r="O22" s="2392">
        <f t="shared" ref="O22" si="36">C22*(G22/25)</f>
        <v>1.7682291666666674E-4</v>
      </c>
      <c r="P22" s="2392">
        <f t="shared" ref="P22" si="37">O22*M22</f>
        <v>1.7682291666666674E-4</v>
      </c>
      <c r="Q22" s="789" t="s">
        <v>1697</v>
      </c>
      <c r="R22" s="2402">
        <f>E22*F22*G22</f>
        <v>150</v>
      </c>
      <c r="S22" s="2844">
        <f t="shared" si="2"/>
        <v>0.15</v>
      </c>
      <c r="T22" s="2845">
        <f t="shared" si="3"/>
        <v>4.2437500000000019E-3</v>
      </c>
      <c r="U22" s="374">
        <f t="shared" si="4"/>
        <v>0</v>
      </c>
      <c r="V22" s="2846">
        <f t="shared" si="5"/>
        <v>0</v>
      </c>
      <c r="W22" s="2847">
        <f t="shared" si="6"/>
        <v>0</v>
      </c>
      <c r="X22" s="2848">
        <f t="shared" si="7"/>
        <v>0</v>
      </c>
      <c r="Y22" s="2849">
        <f t="shared" si="8"/>
        <v>0</v>
      </c>
      <c r="Z22" s="2850">
        <f t="shared" si="9"/>
        <v>0</v>
      </c>
      <c r="AA22" s="2851">
        <f t="shared" si="10"/>
        <v>0.15</v>
      </c>
      <c r="AC22" s="3518"/>
      <c r="AD22" s="3518"/>
      <c r="AE22" s="3518"/>
      <c r="AF22" s="3518"/>
      <c r="AG22" s="3518"/>
      <c r="AH22" s="3518"/>
      <c r="AI22" s="2913"/>
      <c r="AJ22" s="2913"/>
      <c r="AK22" s="2913"/>
      <c r="AL22" s="2913"/>
      <c r="AM22" s="2913"/>
    </row>
    <row r="23" spans="1:39" ht="12.75" customHeight="1">
      <c r="A23" s="1261"/>
      <c r="B23" s="1269"/>
      <c r="C23" s="1457">
        <f t="shared" si="28"/>
        <v>2.2880964381720439E-4</v>
      </c>
      <c r="D23" s="3215">
        <v>1</v>
      </c>
      <c r="E23" s="1021"/>
      <c r="F23" s="336"/>
      <c r="G23" s="336"/>
      <c r="H23" s="336"/>
      <c r="I23" s="336"/>
      <c r="J23" s="336"/>
      <c r="K23" s="336"/>
      <c r="L23" s="3169">
        <f>L21+N21</f>
        <v>0.374765734050513</v>
      </c>
      <c r="M23" s="3201">
        <v>0.9</v>
      </c>
      <c r="N23" s="2711"/>
      <c r="O23" s="2714">
        <f t="shared" si="30"/>
        <v>0</v>
      </c>
      <c r="P23" s="2711"/>
      <c r="Q23" s="3202"/>
      <c r="R23" s="3203">
        <f>SUM(R17:R21)</f>
        <v>1700</v>
      </c>
      <c r="S23" s="2844">
        <f t="shared" si="2"/>
        <v>0</v>
      </c>
      <c r="T23" s="2845">
        <f t="shared" si="3"/>
        <v>0</v>
      </c>
      <c r="U23" s="374">
        <f t="shared" si="4"/>
        <v>0</v>
      </c>
      <c r="V23" s="2846">
        <f t="shared" si="5"/>
        <v>0</v>
      </c>
      <c r="W23" s="2847">
        <f t="shared" si="6"/>
        <v>0</v>
      </c>
      <c r="X23" s="2848">
        <f t="shared" si="7"/>
        <v>0</v>
      </c>
      <c r="Y23" s="2849">
        <f t="shared" si="8"/>
        <v>0</v>
      </c>
      <c r="Z23" s="2850">
        <f t="shared" si="9"/>
        <v>0</v>
      </c>
      <c r="AA23" s="2851">
        <f t="shared" si="10"/>
        <v>0</v>
      </c>
      <c r="AC23" s="3518"/>
      <c r="AD23" s="3518"/>
      <c r="AE23" s="3518"/>
      <c r="AF23" s="3518"/>
      <c r="AG23" s="3518"/>
      <c r="AH23" s="3518"/>
      <c r="AI23" s="2913"/>
      <c r="AJ23" s="2913"/>
      <c r="AK23" s="2913"/>
      <c r="AL23" s="2913"/>
      <c r="AM23" s="2913"/>
    </row>
    <row r="24" spans="1:39" ht="12.75" customHeight="1">
      <c r="A24" s="1261"/>
      <c r="B24" s="1269" t="s">
        <v>461</v>
      </c>
      <c r="C24" s="274">
        <f t="shared" si="28"/>
        <v>2.2880964381720439E-4</v>
      </c>
      <c r="D24" s="547">
        <v>1</v>
      </c>
      <c r="E24" s="1194">
        <v>1</v>
      </c>
      <c r="F24" s="1194">
        <v>1</v>
      </c>
      <c r="G24" s="1194">
        <v>300</v>
      </c>
      <c r="H24" s="274"/>
      <c r="I24" s="274">
        <v>1.1574074074074073E-4</v>
      </c>
      <c r="J24" s="274">
        <v>6.9444444444444447E-4</v>
      </c>
      <c r="K24" s="312" t="s">
        <v>925</v>
      </c>
      <c r="L24" s="3173">
        <v>0.79861111111111116</v>
      </c>
      <c r="M24" s="2395">
        <v>1</v>
      </c>
      <c r="N24" s="1667">
        <f>P24*E24*F24+I24*E24*F24+J24*E24</f>
        <v>3.5559009109916383E-3</v>
      </c>
      <c r="O24" s="1196">
        <f t="shared" si="30"/>
        <v>2.7457157258064528E-3</v>
      </c>
      <c r="P24" s="1196">
        <f t="shared" ref="P24:P31" si="38">O24*M24</f>
        <v>2.7457157258064528E-3</v>
      </c>
      <c r="Q24" s="548">
        <v>129</v>
      </c>
      <c r="R24" s="2384">
        <f t="shared" ref="R24:R31" si="39">E24*F24*G24</f>
        <v>300</v>
      </c>
      <c r="S24" s="2844">
        <f t="shared" si="2"/>
        <v>0.3</v>
      </c>
      <c r="T24" s="2845">
        <f t="shared" si="3"/>
        <v>1.0982862903225811E-2</v>
      </c>
      <c r="U24" s="374">
        <f t="shared" si="4"/>
        <v>0.3</v>
      </c>
      <c r="V24" s="2846">
        <f t="shared" si="5"/>
        <v>0</v>
      </c>
      <c r="W24" s="2847">
        <f t="shared" si="6"/>
        <v>0</v>
      </c>
      <c r="X24" s="2848">
        <f t="shared" si="7"/>
        <v>0</v>
      </c>
      <c r="Y24" s="2849">
        <f t="shared" si="8"/>
        <v>0</v>
      </c>
      <c r="Z24" s="2850">
        <f t="shared" si="9"/>
        <v>0</v>
      </c>
      <c r="AA24" s="2851">
        <f t="shared" si="10"/>
        <v>0</v>
      </c>
      <c r="AC24" s="3518"/>
      <c r="AD24" s="3518"/>
      <c r="AE24" s="3518"/>
      <c r="AF24" s="3518"/>
      <c r="AG24" s="3518"/>
      <c r="AH24" s="3518"/>
      <c r="AI24" s="2913"/>
      <c r="AJ24" s="2913"/>
      <c r="AK24" s="2913"/>
      <c r="AL24" s="2913"/>
      <c r="AM24" s="2913"/>
    </row>
    <row r="25" spans="1:39" ht="12.75" customHeight="1">
      <c r="A25" s="1281" t="s">
        <v>215</v>
      </c>
      <c r="B25" s="1269" t="s">
        <v>461</v>
      </c>
      <c r="C25" s="274">
        <f t="shared" si="28"/>
        <v>2.1908757716049393E-4</v>
      </c>
      <c r="D25" s="675">
        <v>2</v>
      </c>
      <c r="E25" s="1173">
        <v>1</v>
      </c>
      <c r="F25" s="1173">
        <v>1</v>
      </c>
      <c r="G25" s="1173">
        <v>200</v>
      </c>
      <c r="H25" s="299"/>
      <c r="I25" s="299">
        <v>1.3888888888888889E-4</v>
      </c>
      <c r="J25" s="299">
        <v>6.9444444444444447E-4</v>
      </c>
      <c r="K25" s="1123" t="s">
        <v>926</v>
      </c>
      <c r="L25" s="1453">
        <f t="shared" si="31"/>
        <v>0.80216701202210283</v>
      </c>
      <c r="M25" s="2397">
        <v>1</v>
      </c>
      <c r="N25" s="1453">
        <f t="shared" ref="N25:N31" si="40">P25*E25*F25+I25*F25*E25+J25*E25</f>
        <v>2.5860339506172847E-3</v>
      </c>
      <c r="O25" s="1453">
        <f t="shared" si="30"/>
        <v>1.7527006172839514E-3</v>
      </c>
      <c r="P25" s="1175">
        <f t="shared" si="38"/>
        <v>1.7527006172839514E-3</v>
      </c>
      <c r="Q25" s="550">
        <v>144</v>
      </c>
      <c r="R25" s="2398">
        <f t="shared" si="39"/>
        <v>200</v>
      </c>
      <c r="S25" s="2844">
        <f t="shared" si="2"/>
        <v>0.2</v>
      </c>
      <c r="T25" s="2845">
        <f t="shared" si="3"/>
        <v>7.0108024691358057E-3</v>
      </c>
      <c r="U25" s="374">
        <f t="shared" si="4"/>
        <v>0</v>
      </c>
      <c r="V25" s="2846">
        <f t="shared" si="5"/>
        <v>0.2</v>
      </c>
      <c r="W25" s="2847">
        <f t="shared" si="6"/>
        <v>0</v>
      </c>
      <c r="X25" s="2848">
        <f t="shared" si="7"/>
        <v>0</v>
      </c>
      <c r="Y25" s="2849">
        <f t="shared" si="8"/>
        <v>0</v>
      </c>
      <c r="Z25" s="2850">
        <f t="shared" si="9"/>
        <v>0</v>
      </c>
      <c r="AA25" s="2851">
        <f t="shared" si="10"/>
        <v>0</v>
      </c>
      <c r="AC25" s="3518"/>
      <c r="AD25" s="3518"/>
      <c r="AE25" s="3518"/>
      <c r="AF25" s="3518"/>
      <c r="AG25" s="3518"/>
      <c r="AH25" s="3518"/>
      <c r="AI25" s="2913"/>
      <c r="AJ25" s="2913"/>
      <c r="AK25" s="2913"/>
      <c r="AL25" s="2913"/>
      <c r="AM25" s="2913"/>
    </row>
    <row r="26" spans="1:39" ht="12.75" customHeight="1">
      <c r="A26" s="1261" t="s">
        <v>138</v>
      </c>
      <c r="B26" s="1269" t="s">
        <v>461</v>
      </c>
      <c r="C26" s="274">
        <f t="shared" si="28"/>
        <v>0</v>
      </c>
      <c r="D26" s="675">
        <v>2.0416666666666701</v>
      </c>
      <c r="E26" s="1173">
        <v>1</v>
      </c>
      <c r="F26" s="1173">
        <v>1</v>
      </c>
      <c r="G26" s="1173">
        <v>300</v>
      </c>
      <c r="H26" s="299"/>
      <c r="I26" s="299">
        <v>2.3148148148148146E-4</v>
      </c>
      <c r="J26" s="299">
        <v>6.9444444444444447E-4</v>
      </c>
      <c r="K26" s="1123" t="s">
        <v>558</v>
      </c>
      <c r="L26" s="1453">
        <f t="shared" si="31"/>
        <v>0.80475304597272013</v>
      </c>
      <c r="M26" s="2397">
        <v>2</v>
      </c>
      <c r="N26" s="1453">
        <f t="shared" si="40"/>
        <v>9.2592592592592596E-4</v>
      </c>
      <c r="O26" s="1453">
        <f t="shared" si="30"/>
        <v>0</v>
      </c>
      <c r="P26" s="1175">
        <f t="shared" si="38"/>
        <v>0</v>
      </c>
      <c r="Q26" s="550">
        <v>145</v>
      </c>
      <c r="R26" s="2398">
        <f t="shared" si="39"/>
        <v>300</v>
      </c>
      <c r="S26" s="2844">
        <f t="shared" si="2"/>
        <v>0.3</v>
      </c>
      <c r="T26" s="2845">
        <f t="shared" si="3"/>
        <v>0</v>
      </c>
      <c r="U26" s="374">
        <f t="shared" si="4"/>
        <v>0</v>
      </c>
      <c r="V26" s="2846">
        <f t="shared" si="5"/>
        <v>0</v>
      </c>
      <c r="W26" s="2847">
        <f t="shared" si="6"/>
        <v>0</v>
      </c>
      <c r="X26" s="2848">
        <f t="shared" si="7"/>
        <v>0</v>
      </c>
      <c r="Y26" s="2849">
        <f t="shared" si="8"/>
        <v>0</v>
      </c>
      <c r="Z26" s="2850">
        <f t="shared" si="9"/>
        <v>0</v>
      </c>
      <c r="AA26" s="2851">
        <f t="shared" si="10"/>
        <v>0</v>
      </c>
      <c r="AC26" s="3518"/>
      <c r="AD26" s="3518"/>
      <c r="AE26" s="3518"/>
      <c r="AF26" s="3518"/>
      <c r="AG26" s="3518"/>
      <c r="AH26" s="3518"/>
      <c r="AI26" s="2913"/>
      <c r="AJ26" s="2913"/>
      <c r="AK26" s="2913"/>
      <c r="AL26" s="2913"/>
      <c r="AM26" s="2913"/>
    </row>
    <row r="27" spans="1:39" ht="12.75" customHeight="1">
      <c r="A27" s="1261" t="s">
        <v>462</v>
      </c>
      <c r="B27" s="1269" t="s">
        <v>461</v>
      </c>
      <c r="C27" s="274">
        <f t="shared" si="28"/>
        <v>1.7682291666666674E-4</v>
      </c>
      <c r="D27" s="3216">
        <v>7</v>
      </c>
      <c r="E27" s="1201">
        <v>1</v>
      </c>
      <c r="F27" s="1201">
        <v>10</v>
      </c>
      <c r="G27" s="1201">
        <v>20</v>
      </c>
      <c r="H27" s="1051"/>
      <c r="I27" s="1051">
        <v>2.8935185185185189E-4</v>
      </c>
      <c r="J27" s="1051">
        <v>1.3888888888888889E-3</v>
      </c>
      <c r="K27" s="1201" t="s">
        <v>927</v>
      </c>
      <c r="L27" s="1954">
        <f t="shared" si="31"/>
        <v>0.80567897189864601</v>
      </c>
      <c r="M27" s="3206">
        <v>2</v>
      </c>
      <c r="N27" s="1954">
        <f t="shared" si="40"/>
        <v>7.1115740740740757E-3</v>
      </c>
      <c r="O27" s="1954">
        <f t="shared" si="30"/>
        <v>1.4145833333333339E-4</v>
      </c>
      <c r="P27" s="1191">
        <f t="shared" si="38"/>
        <v>2.8291666666666678E-4</v>
      </c>
      <c r="Q27" s="789"/>
      <c r="R27" s="2419">
        <f t="shared" si="39"/>
        <v>200</v>
      </c>
      <c r="S27" s="2844">
        <f t="shared" si="2"/>
        <v>0.2</v>
      </c>
      <c r="T27" s="2845">
        <f t="shared" si="3"/>
        <v>5.6583333333333355E-3</v>
      </c>
      <c r="U27" s="374">
        <f t="shared" si="4"/>
        <v>0</v>
      </c>
      <c r="V27" s="2846">
        <f t="shared" si="5"/>
        <v>0</v>
      </c>
      <c r="W27" s="2847">
        <f t="shared" si="6"/>
        <v>0</v>
      </c>
      <c r="X27" s="2848">
        <f t="shared" si="7"/>
        <v>0</v>
      </c>
      <c r="Y27" s="2849">
        <f t="shared" si="8"/>
        <v>0</v>
      </c>
      <c r="Z27" s="2850">
        <f t="shared" si="9"/>
        <v>0</v>
      </c>
      <c r="AA27" s="2851">
        <f t="shared" si="10"/>
        <v>0.2</v>
      </c>
      <c r="AC27" s="3518"/>
      <c r="AD27" s="3518"/>
      <c r="AE27" s="3518"/>
      <c r="AF27" s="3518"/>
      <c r="AG27" s="3518"/>
      <c r="AH27" s="3518"/>
      <c r="AI27" s="2913"/>
      <c r="AJ27" s="2913"/>
      <c r="AK27" s="2913"/>
      <c r="AL27" s="2913"/>
      <c r="AM27" s="2913"/>
    </row>
    <row r="28" spans="1:39" ht="12.75" customHeight="1">
      <c r="A28" s="1261" t="s">
        <v>458</v>
      </c>
      <c r="B28" s="1269" t="s">
        <v>461</v>
      </c>
      <c r="C28" s="274">
        <f>IF(D28=1,U$5,IF(D28=2,V$5,IF(D28=3,W$5,IF(D28=4,X$5,IF(D28=5,Y$5,IF(D28=6,Z$5,IF(D28=7,AA$5,0)))))))</f>
        <v>2.1908757716049393E-4</v>
      </c>
      <c r="D28" s="1173">
        <v>2</v>
      </c>
      <c r="E28" s="1173">
        <v>1</v>
      </c>
      <c r="F28" s="1173">
        <v>10</v>
      </c>
      <c r="G28" s="1173">
        <v>150</v>
      </c>
      <c r="H28" s="299"/>
      <c r="I28" s="299">
        <v>2.8935185185185189E-4</v>
      </c>
      <c r="J28" s="299">
        <v>2.8935185185185189E-4</v>
      </c>
      <c r="K28" s="1123" t="s">
        <v>1698</v>
      </c>
      <c r="L28" s="1453">
        <f t="shared" si="31"/>
        <v>0.81279054597272005</v>
      </c>
      <c r="M28" s="2397">
        <v>1</v>
      </c>
      <c r="N28" s="1453">
        <f t="shared" si="40"/>
        <v>1.6328125000000006E-2</v>
      </c>
      <c r="O28" s="1453">
        <f t="shared" si="30"/>
        <v>1.3145254629629635E-3</v>
      </c>
      <c r="P28" s="1175">
        <f t="shared" si="38"/>
        <v>1.3145254629629635E-3</v>
      </c>
      <c r="Q28" s="550">
        <v>144</v>
      </c>
      <c r="R28" s="2398">
        <f t="shared" si="39"/>
        <v>1500</v>
      </c>
      <c r="S28" s="2844">
        <f t="shared" si="2"/>
        <v>1.5</v>
      </c>
      <c r="T28" s="2845">
        <f t="shared" si="3"/>
        <v>5.2581018518518541E-2</v>
      </c>
      <c r="U28" s="374">
        <f t="shared" si="4"/>
        <v>0</v>
      </c>
      <c r="V28" s="2846">
        <f t="shared" si="5"/>
        <v>1.5</v>
      </c>
      <c r="W28" s="2847">
        <f t="shared" si="6"/>
        <v>0</v>
      </c>
      <c r="X28" s="2848">
        <f t="shared" si="7"/>
        <v>0</v>
      </c>
      <c r="Y28" s="2849">
        <f t="shared" si="8"/>
        <v>0</v>
      </c>
      <c r="Z28" s="2850">
        <f t="shared" si="9"/>
        <v>0</v>
      </c>
      <c r="AA28" s="2851">
        <f t="shared" si="10"/>
        <v>0</v>
      </c>
      <c r="AC28" s="3518"/>
      <c r="AD28" s="3518"/>
      <c r="AE28" s="3518"/>
      <c r="AF28" s="3518"/>
      <c r="AG28" s="3518"/>
      <c r="AH28" s="3518"/>
      <c r="AI28" s="2913"/>
      <c r="AJ28" s="2913"/>
      <c r="AK28" s="2913"/>
      <c r="AL28" s="2913"/>
      <c r="AM28" s="2913"/>
    </row>
    <row r="29" spans="1:39" ht="12.75" customHeight="1">
      <c r="A29" s="1261" t="s">
        <v>219</v>
      </c>
      <c r="B29" s="1269" t="s">
        <v>461</v>
      </c>
      <c r="C29" s="274">
        <f>IF(D29=1,U$5,IF(D29=2,V$5,IF(D29=3,W$5,IF(D29=4,X$5,IF(D29=5,Y$5,IF(D29=6,Z$5,IF(D29=7,AA$5,0)))))))</f>
        <v>2.1222190799396687E-4</v>
      </c>
      <c r="D29" s="1161">
        <v>3</v>
      </c>
      <c r="E29" s="1161">
        <v>1</v>
      </c>
      <c r="F29" s="1161">
        <v>10</v>
      </c>
      <c r="G29" s="1161">
        <v>25</v>
      </c>
      <c r="H29" s="3204"/>
      <c r="I29" s="3204">
        <v>1.7361111111111112E-4</v>
      </c>
      <c r="J29" s="3204">
        <v>1.3888888888888889E-3</v>
      </c>
      <c r="K29" s="1075" t="s">
        <v>1538</v>
      </c>
      <c r="L29" s="1454">
        <f t="shared" si="31"/>
        <v>0.82911867097272007</v>
      </c>
      <c r="M29" s="2396">
        <v>1</v>
      </c>
      <c r="N29" s="1454">
        <f t="shared" si="40"/>
        <v>5.2472190799396686E-3</v>
      </c>
      <c r="O29" s="1454">
        <f t="shared" si="30"/>
        <v>2.1222190799396687E-4</v>
      </c>
      <c r="P29" s="1165">
        <f t="shared" si="38"/>
        <v>2.1222190799396687E-4</v>
      </c>
      <c r="Q29" s="333">
        <v>160</v>
      </c>
      <c r="R29" s="2385">
        <f t="shared" si="39"/>
        <v>250</v>
      </c>
      <c r="S29" s="2844">
        <f t="shared" si="2"/>
        <v>0.25</v>
      </c>
      <c r="T29" s="2845">
        <f t="shared" si="3"/>
        <v>8.4888763197586738E-3</v>
      </c>
      <c r="U29" s="374">
        <f t="shared" si="4"/>
        <v>0</v>
      </c>
      <c r="V29" s="2846">
        <f t="shared" si="5"/>
        <v>0</v>
      </c>
      <c r="W29" s="2847">
        <f t="shared" si="6"/>
        <v>0.25</v>
      </c>
      <c r="X29" s="2848">
        <f t="shared" si="7"/>
        <v>0</v>
      </c>
      <c r="Y29" s="2849">
        <f t="shared" si="8"/>
        <v>0</v>
      </c>
      <c r="Z29" s="2850">
        <f t="shared" si="9"/>
        <v>0</v>
      </c>
      <c r="AA29" s="2851">
        <f t="shared" si="10"/>
        <v>0</v>
      </c>
      <c r="AC29" s="3518"/>
      <c r="AD29" s="3518"/>
      <c r="AE29" s="3518"/>
      <c r="AF29" s="3518"/>
      <c r="AG29" s="3518"/>
      <c r="AH29" s="3518"/>
      <c r="AI29" s="2913"/>
      <c r="AJ29" s="2913"/>
      <c r="AK29" s="2913"/>
      <c r="AL29" s="2913"/>
      <c r="AM29" s="2913"/>
    </row>
    <row r="30" spans="1:39" ht="12.75" customHeight="1">
      <c r="A30" s="1261"/>
      <c r="B30" s="1269" t="s">
        <v>461</v>
      </c>
      <c r="C30" s="274">
        <f t="shared" ref="C30:C32" si="41">IF(D30=1,U$5,IF(D30=2,V$5,IF(D30=3,W$5,IF(D30=4,X$5,IF(D30=5,Y$5,IF(D30=6,Z$5,IF(D30=7,AA$5,0)))))))</f>
        <v>1.7682291666666674E-4</v>
      </c>
      <c r="D30" s="3205">
        <v>7</v>
      </c>
      <c r="E30" s="1187">
        <v>1</v>
      </c>
      <c r="F30" s="1187">
        <v>3</v>
      </c>
      <c r="G30" s="1187">
        <v>15</v>
      </c>
      <c r="H30" s="8000" t="s">
        <v>1699</v>
      </c>
      <c r="I30" s="1051">
        <v>3.4722222222222224E-4</v>
      </c>
      <c r="J30" s="1188">
        <v>1.3888888888888889E-3</v>
      </c>
      <c r="K30" s="1187" t="s">
        <v>526</v>
      </c>
      <c r="L30" s="1954">
        <f t="shared" si="31"/>
        <v>0.83436589005265971</v>
      </c>
      <c r="M30" s="3206">
        <v>1</v>
      </c>
      <c r="N30" s="1954">
        <f t="shared" si="40"/>
        <v>2.7488368055555556E-3</v>
      </c>
      <c r="O30" s="1954">
        <f t="shared" si="30"/>
        <v>1.0609375000000004E-4</v>
      </c>
      <c r="P30" s="1191">
        <f t="shared" si="38"/>
        <v>1.0609375000000004E-4</v>
      </c>
      <c r="Q30" s="789"/>
      <c r="R30" s="2419">
        <f t="shared" si="39"/>
        <v>45</v>
      </c>
      <c r="S30" s="2844">
        <f t="shared" si="2"/>
        <v>4.4999999999999998E-2</v>
      </c>
      <c r="T30" s="2845">
        <f t="shared" si="3"/>
        <v>1.2731250000000004E-3</v>
      </c>
      <c r="U30" s="374">
        <f t="shared" si="4"/>
        <v>0</v>
      </c>
      <c r="V30" s="2846">
        <f t="shared" si="5"/>
        <v>0</v>
      </c>
      <c r="W30" s="2847">
        <f t="shared" si="6"/>
        <v>0</v>
      </c>
      <c r="X30" s="2848">
        <f t="shared" si="7"/>
        <v>0</v>
      </c>
      <c r="Y30" s="2849">
        <f t="shared" si="8"/>
        <v>0</v>
      </c>
      <c r="Z30" s="2850">
        <f t="shared" si="9"/>
        <v>0</v>
      </c>
      <c r="AA30" s="2851">
        <f t="shared" si="10"/>
        <v>4.4999999999999998E-2</v>
      </c>
      <c r="AC30" s="3518"/>
      <c r="AD30" s="3518"/>
      <c r="AE30" s="3518"/>
      <c r="AF30" s="3518"/>
      <c r="AG30" s="3518"/>
      <c r="AH30" s="3518"/>
      <c r="AI30" s="2913"/>
      <c r="AJ30" s="2913"/>
      <c r="AK30" s="2913"/>
      <c r="AL30" s="2913"/>
      <c r="AM30" s="2913"/>
    </row>
    <row r="31" spans="1:39" ht="12.75" customHeight="1">
      <c r="A31" s="1261"/>
      <c r="B31" s="1269" t="s">
        <v>461</v>
      </c>
      <c r="C31" s="274">
        <f t="shared" si="41"/>
        <v>1.7682291666666674E-4</v>
      </c>
      <c r="D31" s="3205">
        <v>7</v>
      </c>
      <c r="E31" s="1187">
        <v>1</v>
      </c>
      <c r="F31" s="1187">
        <v>6</v>
      </c>
      <c r="G31" s="1187">
        <v>15</v>
      </c>
      <c r="H31" s="8001"/>
      <c r="I31" s="1051">
        <v>3.4722222222222224E-4</v>
      </c>
      <c r="J31" s="1188">
        <v>1.3888888888888889E-3</v>
      </c>
      <c r="K31" s="1187" t="s">
        <v>527</v>
      </c>
      <c r="L31" s="1954">
        <f t="shared" si="31"/>
        <v>0.83711472685821531</v>
      </c>
      <c r="M31" s="3206">
        <v>1</v>
      </c>
      <c r="N31" s="1954">
        <f t="shared" si="40"/>
        <v>4.1087847222222229E-3</v>
      </c>
      <c r="O31" s="1954">
        <f t="shared" si="30"/>
        <v>1.0609375000000004E-4</v>
      </c>
      <c r="P31" s="1191">
        <f t="shared" si="38"/>
        <v>1.0609375000000004E-4</v>
      </c>
      <c r="Q31" s="789"/>
      <c r="R31" s="2419">
        <f t="shared" si="39"/>
        <v>90</v>
      </c>
      <c r="S31" s="2844">
        <f t="shared" si="2"/>
        <v>0.09</v>
      </c>
      <c r="T31" s="2845">
        <f t="shared" si="3"/>
        <v>2.5462500000000008E-3</v>
      </c>
      <c r="U31" s="374">
        <f t="shared" si="4"/>
        <v>0</v>
      </c>
      <c r="V31" s="2846">
        <f t="shared" si="5"/>
        <v>0</v>
      </c>
      <c r="W31" s="2847">
        <f t="shared" si="6"/>
        <v>0</v>
      </c>
      <c r="X31" s="2848">
        <f t="shared" si="7"/>
        <v>0</v>
      </c>
      <c r="Y31" s="2849">
        <f t="shared" si="8"/>
        <v>0</v>
      </c>
      <c r="Z31" s="2850">
        <f t="shared" si="9"/>
        <v>0</v>
      </c>
      <c r="AA31" s="2851">
        <f t="shared" si="10"/>
        <v>0.09</v>
      </c>
      <c r="AC31" s="3518"/>
      <c r="AD31" s="3518"/>
      <c r="AE31" s="3518"/>
      <c r="AF31" s="3518"/>
      <c r="AG31" s="3518"/>
      <c r="AH31" s="3518"/>
      <c r="AI31" s="2913"/>
      <c r="AJ31" s="2913"/>
      <c r="AK31" s="2913"/>
      <c r="AL31" s="2913"/>
      <c r="AM31" s="2913"/>
    </row>
    <row r="32" spans="1:39" ht="12.75" customHeight="1" thickBot="1">
      <c r="A32" s="3217"/>
      <c r="B32" s="3218"/>
      <c r="C32" s="3208">
        <f t="shared" si="41"/>
        <v>0</v>
      </c>
      <c r="D32" s="3208"/>
      <c r="E32" s="3209"/>
      <c r="F32" s="3209"/>
      <c r="G32" s="3209"/>
      <c r="H32" s="3208"/>
      <c r="I32" s="3208"/>
      <c r="J32" s="3208"/>
      <c r="K32" s="3210"/>
      <c r="L32" s="3169">
        <f t="shared" si="31"/>
        <v>0.84122351158043751</v>
      </c>
      <c r="M32" s="3201"/>
      <c r="N32" s="2711"/>
      <c r="O32" s="2714"/>
      <c r="P32" s="2711"/>
      <c r="Q32" s="3202"/>
      <c r="R32" s="3203">
        <f>SUM(R24:R31)</f>
        <v>2885</v>
      </c>
      <c r="S32" s="2844">
        <f t="shared" si="2"/>
        <v>0</v>
      </c>
      <c r="T32" s="2845">
        <f t="shared" si="3"/>
        <v>0</v>
      </c>
      <c r="U32" s="374">
        <f t="shared" si="4"/>
        <v>0</v>
      </c>
      <c r="V32" s="2846">
        <f t="shared" si="5"/>
        <v>0</v>
      </c>
      <c r="W32" s="2847">
        <f t="shared" si="6"/>
        <v>0</v>
      </c>
      <c r="X32" s="2848">
        <f t="shared" si="7"/>
        <v>0</v>
      </c>
      <c r="Y32" s="2849">
        <f t="shared" si="8"/>
        <v>0</v>
      </c>
      <c r="Z32" s="2850">
        <f t="shared" si="9"/>
        <v>0</v>
      </c>
      <c r="AA32" s="2851">
        <f t="shared" si="10"/>
        <v>0</v>
      </c>
      <c r="AC32" s="3518"/>
      <c r="AD32" s="3518"/>
      <c r="AE32" s="3518"/>
      <c r="AF32" s="3518"/>
      <c r="AG32" s="3518"/>
      <c r="AH32" s="3518"/>
      <c r="AI32" s="2913"/>
      <c r="AJ32" s="2913"/>
      <c r="AK32" s="2913"/>
      <c r="AL32" s="2913"/>
      <c r="AM32" s="2913"/>
    </row>
    <row r="33" spans="1:39" ht="12.75" customHeight="1" thickBot="1">
      <c r="A33" s="3556"/>
      <c r="B33" s="3557" t="s">
        <v>215</v>
      </c>
      <c r="C33" s="629">
        <f t="shared" ref="C33:C44" si="42">IF(D33=1,U$5,IF(D33=2,V$5,IF(D33=3,W$5,IF(D33=4,X$5,IF(D33=5,Y$5,IF(D33=6,Z$5,IF(D33=7,AA$5,0)))))))</f>
        <v>2.2880964381720439E-4</v>
      </c>
      <c r="D33" s="2335">
        <v>1</v>
      </c>
      <c r="E33" s="2427">
        <v>1</v>
      </c>
      <c r="F33" s="2427">
        <v>1</v>
      </c>
      <c r="G33" s="2427">
        <v>200</v>
      </c>
      <c r="H33" s="2256" t="s">
        <v>1628</v>
      </c>
      <c r="I33" s="2256">
        <v>1.1574074074074073E-4</v>
      </c>
      <c r="J33" s="2256">
        <v>1.3888888888888889E-3</v>
      </c>
      <c r="K33" s="2338" t="s">
        <v>581</v>
      </c>
      <c r="L33" s="3644">
        <v>0.30208333333333331</v>
      </c>
      <c r="M33" s="2339">
        <v>1</v>
      </c>
      <c r="N33" s="5214">
        <f t="shared" ref="N33:N44" si="43">P33*E33*F33+I33*E33*F33+J33*E33</f>
        <v>3.4083258661887703E-3</v>
      </c>
      <c r="O33" s="2256">
        <f>C33*(G33/25)*1.04</f>
        <v>1.9036962365591406E-3</v>
      </c>
      <c r="P33" s="2340">
        <f t="shared" ref="P33:P44" si="44">O33*M33</f>
        <v>1.9036962365591406E-3</v>
      </c>
      <c r="Q33" s="2341"/>
      <c r="R33" s="3657">
        <f t="shared" ref="R33:R44" si="45">E33*F33*G33</f>
        <v>200</v>
      </c>
      <c r="S33" s="2844">
        <f t="shared" si="2"/>
        <v>0.2</v>
      </c>
      <c r="T33" s="2845">
        <f t="shared" si="3"/>
        <v>7.6147849462365625E-3</v>
      </c>
      <c r="U33" s="374">
        <f t="shared" si="4"/>
        <v>0.2</v>
      </c>
      <c r="V33" s="2846">
        <f t="shared" si="5"/>
        <v>0</v>
      </c>
      <c r="W33" s="2847">
        <f t="shared" si="6"/>
        <v>0</v>
      </c>
      <c r="X33" s="2848">
        <f t="shared" si="7"/>
        <v>0</v>
      </c>
      <c r="Y33" s="2849">
        <f t="shared" si="8"/>
        <v>0</v>
      </c>
      <c r="Z33" s="2850">
        <f t="shared" si="9"/>
        <v>0</v>
      </c>
      <c r="AA33" s="2851">
        <f t="shared" si="10"/>
        <v>0</v>
      </c>
      <c r="AC33" s="3518"/>
      <c r="AD33" s="3518"/>
      <c r="AE33" s="3518"/>
      <c r="AF33" s="3518"/>
      <c r="AG33" s="3518"/>
      <c r="AH33" s="3518"/>
      <c r="AI33" s="2913"/>
      <c r="AJ33" s="2913"/>
      <c r="AK33" s="2913"/>
      <c r="AL33" s="2913"/>
      <c r="AM33" s="2913"/>
    </row>
    <row r="34" spans="1:39" ht="12.75" customHeight="1" thickBot="1">
      <c r="A34" s="3556" t="s">
        <v>139</v>
      </c>
      <c r="B34" s="3557" t="s">
        <v>215</v>
      </c>
      <c r="C34" s="629">
        <f t="shared" si="42"/>
        <v>2.1908757716049393E-4</v>
      </c>
      <c r="D34" s="2302">
        <v>2</v>
      </c>
      <c r="E34" s="2923">
        <v>1</v>
      </c>
      <c r="F34" s="2923">
        <v>12</v>
      </c>
      <c r="G34" s="2923">
        <v>50</v>
      </c>
      <c r="H34" s="2256"/>
      <c r="I34" s="2324">
        <v>1.3888888888888889E-4</v>
      </c>
      <c r="J34" s="2324">
        <v>1.3888888888888889E-3</v>
      </c>
      <c r="K34" s="2278" t="s">
        <v>670</v>
      </c>
      <c r="L34" s="3645">
        <f t="shared" ref="L34:L35" si="46">L33+N33</f>
        <v>0.30549165919952209</v>
      </c>
      <c r="M34" s="2305">
        <v>1.2</v>
      </c>
      <c r="N34" s="5215">
        <f t="shared" si="43"/>
        <v>9.6176666666666702E-3</v>
      </c>
      <c r="O34" s="2307">
        <f>C34*(G34/25)*1.04</f>
        <v>4.5570216049382737E-4</v>
      </c>
      <c r="P34" s="2307">
        <f t="shared" si="44"/>
        <v>5.468425925925928E-4</v>
      </c>
      <c r="Q34" s="2282"/>
      <c r="R34" s="3658">
        <f t="shared" si="45"/>
        <v>600</v>
      </c>
      <c r="S34" s="2844">
        <f t="shared" si="2"/>
        <v>0.6</v>
      </c>
      <c r="T34" s="2845">
        <f t="shared" si="3"/>
        <v>2.1873703703703715E-2</v>
      </c>
      <c r="U34" s="374">
        <f t="shared" si="4"/>
        <v>0</v>
      </c>
      <c r="V34" s="2846">
        <f t="shared" si="5"/>
        <v>0.6</v>
      </c>
      <c r="W34" s="2847">
        <f t="shared" si="6"/>
        <v>0</v>
      </c>
      <c r="X34" s="2848">
        <f t="shared" si="7"/>
        <v>0</v>
      </c>
      <c r="Y34" s="2849">
        <f t="shared" si="8"/>
        <v>0</v>
      </c>
      <c r="Z34" s="2850">
        <f t="shared" si="9"/>
        <v>0</v>
      </c>
      <c r="AA34" s="2851">
        <f t="shared" si="10"/>
        <v>0</v>
      </c>
      <c r="AC34" s="3518"/>
      <c r="AD34" s="3518"/>
      <c r="AE34" s="3518"/>
      <c r="AF34" s="3518"/>
      <c r="AG34" s="3518"/>
      <c r="AH34" s="3518"/>
      <c r="AI34" s="2913"/>
      <c r="AJ34" s="2913"/>
      <c r="AK34" s="2913"/>
      <c r="AL34" s="2913"/>
      <c r="AM34" s="2913"/>
    </row>
    <row r="35" spans="1:39" ht="12.75" customHeight="1" thickBot="1">
      <c r="A35" s="3556" t="s">
        <v>458</v>
      </c>
      <c r="B35" s="3557" t="s">
        <v>215</v>
      </c>
      <c r="C35" s="629">
        <f t="shared" si="42"/>
        <v>2.1222190799396687E-4</v>
      </c>
      <c r="D35" s="3559">
        <v>3</v>
      </c>
      <c r="E35" s="3499">
        <v>1</v>
      </c>
      <c r="F35" s="3499">
        <v>4</v>
      </c>
      <c r="G35" s="3499">
        <v>50</v>
      </c>
      <c r="H35" s="2256"/>
      <c r="I35" s="2314">
        <v>4.6296296296296293E-4</v>
      </c>
      <c r="J35" s="2314">
        <v>2.0833333333333333E-3</v>
      </c>
      <c r="K35" s="2310" t="s">
        <v>703</v>
      </c>
      <c r="L35" s="3646">
        <f t="shared" si="46"/>
        <v>0.31510932586618878</v>
      </c>
      <c r="M35" s="2312">
        <v>1</v>
      </c>
      <c r="N35" s="5216">
        <f t="shared" si="43"/>
        <v>5.7008714596949901E-3</v>
      </c>
      <c r="O35" s="2314">
        <f>C35*(G35/25)*1.04</f>
        <v>4.4142156862745112E-4</v>
      </c>
      <c r="P35" s="2315">
        <f t="shared" si="44"/>
        <v>4.4142156862745112E-4</v>
      </c>
      <c r="Q35" s="2274"/>
      <c r="R35" s="3659">
        <f t="shared" si="45"/>
        <v>200</v>
      </c>
      <c r="S35" s="2844">
        <f t="shared" si="2"/>
        <v>0.2</v>
      </c>
      <c r="T35" s="2845">
        <f t="shared" si="3"/>
        <v>7.0627450980392179E-3</v>
      </c>
      <c r="U35" s="374">
        <f t="shared" si="4"/>
        <v>0</v>
      </c>
      <c r="V35" s="2846">
        <f t="shared" si="5"/>
        <v>0</v>
      </c>
      <c r="W35" s="2847">
        <f t="shared" si="6"/>
        <v>0.2</v>
      </c>
      <c r="X35" s="2848">
        <f t="shared" si="7"/>
        <v>0</v>
      </c>
      <c r="Y35" s="2849">
        <f t="shared" si="8"/>
        <v>0</v>
      </c>
      <c r="Z35" s="2850">
        <f t="shared" si="9"/>
        <v>0</v>
      </c>
      <c r="AA35" s="2851">
        <f t="shared" si="10"/>
        <v>0</v>
      </c>
      <c r="AC35" s="3518"/>
      <c r="AD35" s="3518"/>
      <c r="AE35" s="3518"/>
      <c r="AF35" s="3518"/>
      <c r="AG35" s="3518"/>
      <c r="AH35" s="3518"/>
      <c r="AI35" s="2913"/>
      <c r="AJ35" s="2913"/>
      <c r="AK35" s="2913"/>
      <c r="AL35" s="2913"/>
      <c r="AM35" s="2913"/>
    </row>
    <row r="36" spans="1:39" ht="12.75" customHeight="1" thickBot="1">
      <c r="A36" s="3556" t="s">
        <v>140</v>
      </c>
      <c r="B36" s="3557" t="s">
        <v>215</v>
      </c>
      <c r="C36" s="629">
        <f t="shared" si="42"/>
        <v>2.1222190799396687E-4</v>
      </c>
      <c r="D36" s="3559">
        <v>3</v>
      </c>
      <c r="E36" s="3499">
        <v>1</v>
      </c>
      <c r="F36" s="3499">
        <v>2</v>
      </c>
      <c r="G36" s="3499">
        <v>50</v>
      </c>
      <c r="H36" s="3625" t="s">
        <v>1675</v>
      </c>
      <c r="I36" s="2314">
        <v>2.3148148148148146E-4</v>
      </c>
      <c r="J36" s="2314">
        <v>3.4722222222222224E-4</v>
      </c>
      <c r="K36" s="2310" t="s">
        <v>1700</v>
      </c>
      <c r="L36" s="3646">
        <f>L35+N35</f>
        <v>0.32081019732588378</v>
      </c>
      <c r="M36" s="2312">
        <v>1.05</v>
      </c>
      <c r="N36" s="5216">
        <f t="shared" si="43"/>
        <v>1.7015171987598461E-3</v>
      </c>
      <c r="O36" s="2314">
        <f>C36*(G36/25)</f>
        <v>4.2444381598793373E-4</v>
      </c>
      <c r="P36" s="2315">
        <f t="shared" si="44"/>
        <v>4.4566600678733046E-4</v>
      </c>
      <c r="Q36" s="2274"/>
      <c r="R36" s="3659">
        <f t="shared" si="45"/>
        <v>100</v>
      </c>
      <c r="S36" s="2844">
        <f t="shared" si="2"/>
        <v>0.1</v>
      </c>
      <c r="T36" s="2845">
        <f t="shared" si="3"/>
        <v>3.3955505279034699E-3</v>
      </c>
      <c r="U36" s="374">
        <f t="shared" si="4"/>
        <v>0</v>
      </c>
      <c r="V36" s="2846">
        <f t="shared" si="5"/>
        <v>0</v>
      </c>
      <c r="W36" s="2847">
        <f t="shared" si="6"/>
        <v>0.1</v>
      </c>
      <c r="X36" s="2848">
        <f t="shared" si="7"/>
        <v>0</v>
      </c>
      <c r="Y36" s="2849">
        <f t="shared" si="8"/>
        <v>0</v>
      </c>
      <c r="Z36" s="2850">
        <f t="shared" si="9"/>
        <v>0</v>
      </c>
      <c r="AA36" s="2851">
        <f t="shared" si="10"/>
        <v>0</v>
      </c>
      <c r="AC36" s="3518"/>
      <c r="AD36" s="3518"/>
      <c r="AE36" s="3518"/>
      <c r="AF36" s="3518"/>
      <c r="AG36" s="3518"/>
      <c r="AH36" s="3518"/>
      <c r="AI36" s="2913"/>
      <c r="AJ36" s="2913"/>
      <c r="AK36" s="2913"/>
      <c r="AL36" s="2913"/>
      <c r="AM36" s="2913"/>
    </row>
    <row r="37" spans="1:39" ht="12.75" customHeight="1" thickBot="1">
      <c r="A37" s="3556" t="s">
        <v>674</v>
      </c>
      <c r="B37" s="3557" t="s">
        <v>215</v>
      </c>
      <c r="C37" s="629">
        <f t="shared" si="42"/>
        <v>2.0247664488766629E-4</v>
      </c>
      <c r="D37" s="2317">
        <v>4</v>
      </c>
      <c r="E37" s="3504">
        <v>1</v>
      </c>
      <c r="F37" s="3504">
        <v>2</v>
      </c>
      <c r="G37" s="3504">
        <v>50</v>
      </c>
      <c r="H37" s="3626"/>
      <c r="I37" s="3505">
        <v>4.6296296296296293E-4</v>
      </c>
      <c r="J37" s="3505">
        <v>5.7870370370370378E-4</v>
      </c>
      <c r="K37" s="3506" t="s">
        <v>1654</v>
      </c>
      <c r="L37" s="3647">
        <f>L36+N36</f>
        <v>0.32251171452464361</v>
      </c>
      <c r="M37" s="3508">
        <v>1</v>
      </c>
      <c r="N37" s="5217">
        <f t="shared" si="43"/>
        <v>2.3469324723623215E-3</v>
      </c>
      <c r="O37" s="3510">
        <f>C37*(G37/25)*1.04</f>
        <v>4.2115142136634587E-4</v>
      </c>
      <c r="P37" s="3510">
        <f t="shared" si="44"/>
        <v>4.2115142136634587E-4</v>
      </c>
      <c r="Q37" s="3511"/>
      <c r="R37" s="3660">
        <f t="shared" si="45"/>
        <v>100</v>
      </c>
      <c r="S37" s="2844">
        <f t="shared" si="2"/>
        <v>0.1</v>
      </c>
      <c r="T37" s="2845">
        <f t="shared" si="3"/>
        <v>3.369211370930767E-3</v>
      </c>
      <c r="U37" s="374">
        <f t="shared" si="4"/>
        <v>0</v>
      </c>
      <c r="V37" s="2846">
        <f t="shared" si="5"/>
        <v>0</v>
      </c>
      <c r="W37" s="2847">
        <f t="shared" si="6"/>
        <v>0</v>
      </c>
      <c r="X37" s="2848">
        <f t="shared" si="7"/>
        <v>0.1</v>
      </c>
      <c r="Y37" s="2849">
        <f t="shared" si="8"/>
        <v>0</v>
      </c>
      <c r="Z37" s="2850">
        <f t="shared" si="9"/>
        <v>0</v>
      </c>
      <c r="AA37" s="2851">
        <f t="shared" si="10"/>
        <v>0</v>
      </c>
      <c r="AC37" s="3518"/>
      <c r="AD37" s="3518"/>
      <c r="AE37" s="3518"/>
      <c r="AF37" s="3518"/>
      <c r="AG37" s="3518"/>
      <c r="AH37" s="3518"/>
      <c r="AI37" s="2913"/>
      <c r="AJ37" s="2913"/>
      <c r="AK37" s="2913"/>
      <c r="AL37" s="2913"/>
      <c r="AM37" s="2913"/>
    </row>
    <row r="38" spans="1:39" ht="12.75" customHeight="1" thickBot="1">
      <c r="A38" s="3556" t="s">
        <v>214</v>
      </c>
      <c r="B38" s="3557" t="s">
        <v>215</v>
      </c>
      <c r="C38" s="629">
        <f t="shared" si="42"/>
        <v>1.8229166666666673E-4</v>
      </c>
      <c r="D38" s="3444">
        <v>6</v>
      </c>
      <c r="E38" s="3444">
        <v>1</v>
      </c>
      <c r="F38" s="3444">
        <v>2</v>
      </c>
      <c r="G38" s="3444">
        <v>50</v>
      </c>
      <c r="H38" s="3626"/>
      <c r="I38" s="3142">
        <v>6.9444444444444447E-4</v>
      </c>
      <c r="J38" s="3142">
        <v>1.0416666666666667E-3</v>
      </c>
      <c r="K38" s="3438" t="s">
        <v>1655</v>
      </c>
      <c r="L38" s="3643">
        <f>L37+N37</f>
        <v>0.32485864699700595</v>
      </c>
      <c r="M38" s="3440">
        <v>1.08</v>
      </c>
      <c r="N38" s="5213">
        <f t="shared" si="43"/>
        <v>3.2180555555555556E-3</v>
      </c>
      <c r="O38" s="3145">
        <f>C38*(G38/25)</f>
        <v>3.6458333333333346E-4</v>
      </c>
      <c r="P38" s="3442">
        <f t="shared" si="44"/>
        <v>3.9375000000000017E-4</v>
      </c>
      <c r="Q38" s="3443"/>
      <c r="R38" s="3443">
        <f t="shared" si="45"/>
        <v>100</v>
      </c>
      <c r="S38" s="2844">
        <f t="shared" si="2"/>
        <v>0.1</v>
      </c>
      <c r="T38" s="2845">
        <f t="shared" si="3"/>
        <v>2.9166666666666677E-3</v>
      </c>
      <c r="U38" s="374">
        <f t="shared" si="4"/>
        <v>0</v>
      </c>
      <c r="V38" s="2846">
        <f t="shared" si="5"/>
        <v>0</v>
      </c>
      <c r="W38" s="2847">
        <f t="shared" si="6"/>
        <v>0</v>
      </c>
      <c r="X38" s="2848">
        <f t="shared" si="7"/>
        <v>0</v>
      </c>
      <c r="Y38" s="2849">
        <f t="shared" si="8"/>
        <v>0</v>
      </c>
      <c r="Z38" s="2850">
        <f t="shared" si="9"/>
        <v>0.1</v>
      </c>
      <c r="AA38" s="2851">
        <f t="shared" si="10"/>
        <v>0</v>
      </c>
      <c r="AC38" s="3518"/>
      <c r="AD38" s="3518"/>
      <c r="AE38" s="3518"/>
      <c r="AF38" s="3518"/>
      <c r="AG38" s="3518"/>
      <c r="AH38" s="3518"/>
      <c r="AI38" s="2913"/>
      <c r="AJ38" s="2913"/>
      <c r="AK38" s="2913"/>
      <c r="AL38" s="2913"/>
      <c r="AM38" s="2913"/>
    </row>
    <row r="39" spans="1:39" ht="12.75" customHeight="1" thickBot="1">
      <c r="A39" s="3556" t="s">
        <v>458</v>
      </c>
      <c r="B39" s="3557" t="s">
        <v>215</v>
      </c>
      <c r="C39" s="629">
        <f t="shared" si="42"/>
        <v>1.7682291666666674E-4</v>
      </c>
      <c r="D39" s="3560">
        <v>7</v>
      </c>
      <c r="E39" s="3561">
        <v>1</v>
      </c>
      <c r="F39" s="3561">
        <v>1</v>
      </c>
      <c r="G39" s="3561">
        <v>50</v>
      </c>
      <c r="H39" s="3627"/>
      <c r="I39" s="3562">
        <v>0</v>
      </c>
      <c r="J39" s="3562">
        <v>1.3888888888888889E-3</v>
      </c>
      <c r="K39" s="2514" t="s">
        <v>1701</v>
      </c>
      <c r="L39" s="3648">
        <f>L38+N38</f>
        <v>0.32807670255256149</v>
      </c>
      <c r="M39" s="3493">
        <v>0.9</v>
      </c>
      <c r="N39" s="5218">
        <f t="shared" si="43"/>
        <v>1.7294498263888891E-3</v>
      </c>
      <c r="O39" s="3495">
        <f>C39*(G39/25)*1.07</f>
        <v>3.7840104166666686E-4</v>
      </c>
      <c r="P39" s="3496">
        <f t="shared" si="44"/>
        <v>3.4056093750000016E-4</v>
      </c>
      <c r="Q39" s="3130"/>
      <c r="R39" s="3661">
        <f t="shared" si="45"/>
        <v>50</v>
      </c>
      <c r="S39" s="2844">
        <f t="shared" si="2"/>
        <v>0.05</v>
      </c>
      <c r="T39" s="2845">
        <f t="shared" si="3"/>
        <v>1.5136041666666674E-3</v>
      </c>
      <c r="U39" s="374">
        <f t="shared" si="4"/>
        <v>0</v>
      </c>
      <c r="V39" s="2846">
        <f t="shared" si="5"/>
        <v>0</v>
      </c>
      <c r="W39" s="2847">
        <f t="shared" si="6"/>
        <v>0</v>
      </c>
      <c r="X39" s="2848">
        <f t="shared" si="7"/>
        <v>0</v>
      </c>
      <c r="Y39" s="2849">
        <f t="shared" si="8"/>
        <v>0</v>
      </c>
      <c r="Z39" s="2850">
        <f t="shared" si="9"/>
        <v>0</v>
      </c>
      <c r="AA39" s="2851">
        <f t="shared" si="10"/>
        <v>0.05</v>
      </c>
      <c r="AC39" s="3518"/>
      <c r="AD39" s="3518"/>
      <c r="AE39" s="3518"/>
      <c r="AF39" s="3518"/>
      <c r="AG39" s="3518"/>
      <c r="AH39" s="3518"/>
      <c r="AI39" s="2913"/>
      <c r="AJ39" s="2913"/>
      <c r="AK39" s="2913"/>
      <c r="AL39" s="2913"/>
      <c r="AM39" s="2913"/>
    </row>
    <row r="40" spans="1:39" ht="13" customHeight="1" thickBot="1">
      <c r="A40" s="3556"/>
      <c r="B40" s="3557" t="s">
        <v>215</v>
      </c>
      <c r="C40" s="629">
        <f t="shared" si="42"/>
        <v>1.8229166666666673E-4</v>
      </c>
      <c r="D40" s="2309">
        <v>6</v>
      </c>
      <c r="E40" s="4559">
        <v>1</v>
      </c>
      <c r="F40" s="4559">
        <v>8</v>
      </c>
      <c r="G40" s="4559">
        <v>50</v>
      </c>
      <c r="H40" s="5210" t="s">
        <v>2095</v>
      </c>
      <c r="I40" s="4560">
        <v>6.9444444444444447E-4</v>
      </c>
      <c r="J40" s="4560">
        <v>1.3888888888888889E-3</v>
      </c>
      <c r="K40" s="4561" t="s">
        <v>974</v>
      </c>
      <c r="L40" s="5186">
        <f>L39+N39</f>
        <v>0.32980615237895039</v>
      </c>
      <c r="M40" s="4562">
        <v>1</v>
      </c>
      <c r="N40" s="5186">
        <f t="shared" si="43"/>
        <v>9.919444444444446E-3</v>
      </c>
      <c r="O40" s="4563">
        <f>C40*(G40/25)*1.02</f>
        <v>3.7187500000000014E-4</v>
      </c>
      <c r="P40" s="5184">
        <f t="shared" si="44"/>
        <v>3.7187500000000014E-4</v>
      </c>
      <c r="Q40" s="4565">
        <v>177</v>
      </c>
      <c r="R40" s="4559">
        <f t="shared" si="45"/>
        <v>400</v>
      </c>
      <c r="S40" s="2844">
        <f t="shared" si="2"/>
        <v>0.4</v>
      </c>
      <c r="T40" s="2845">
        <f t="shared" si="3"/>
        <v>1.1900000000000004E-2</v>
      </c>
      <c r="U40" s="374">
        <f t="shared" si="4"/>
        <v>0</v>
      </c>
      <c r="V40" s="2846">
        <f t="shared" si="5"/>
        <v>0</v>
      </c>
      <c r="W40" s="2847">
        <f t="shared" si="6"/>
        <v>0</v>
      </c>
      <c r="X40" s="2848">
        <f t="shared" si="7"/>
        <v>0</v>
      </c>
      <c r="Y40" s="2849">
        <f t="shared" si="8"/>
        <v>0</v>
      </c>
      <c r="Z40" s="2850">
        <f t="shared" si="9"/>
        <v>0.4</v>
      </c>
      <c r="AA40" s="2851">
        <f t="shared" si="10"/>
        <v>0</v>
      </c>
      <c r="AC40" s="3518"/>
      <c r="AD40" s="3518"/>
      <c r="AE40" s="3518"/>
      <c r="AF40" s="3518"/>
      <c r="AG40" s="3518"/>
      <c r="AH40" s="3518"/>
      <c r="AI40" s="2913"/>
      <c r="AJ40" s="2913"/>
      <c r="AK40" s="2913"/>
      <c r="AL40" s="2913"/>
      <c r="AM40" s="2913"/>
    </row>
    <row r="41" spans="1:39" ht="13" customHeight="1" thickBot="1">
      <c r="A41" s="3556"/>
      <c r="B41" s="3557" t="s">
        <v>215</v>
      </c>
      <c r="C41" s="629">
        <f t="shared" si="42"/>
        <v>2.1222190799396687E-4</v>
      </c>
      <c r="D41" s="3553">
        <v>3</v>
      </c>
      <c r="E41" s="3431">
        <v>1</v>
      </c>
      <c r="F41" s="3431">
        <v>4</v>
      </c>
      <c r="G41" s="3431">
        <v>75</v>
      </c>
      <c r="H41" s="5209"/>
      <c r="I41" s="3428">
        <v>4.6296296296296293E-4</v>
      </c>
      <c r="J41" s="3428">
        <v>6.9444444444444447E-4</v>
      </c>
      <c r="K41" s="3424" t="s">
        <v>2094</v>
      </c>
      <c r="L41" s="1147">
        <f t="shared" ref="L41:L43" si="47">L40+N40</f>
        <v>0.33972559682339482</v>
      </c>
      <c r="M41" s="3426">
        <v>1</v>
      </c>
      <c r="N41" s="5212">
        <f t="shared" si="43"/>
        <v>5.1948257080610032E-3</v>
      </c>
      <c r="O41" s="3428">
        <f t="shared" ref="O41:O43" si="48">C41*(G41/25)*1.04</f>
        <v>6.6213235294117667E-4</v>
      </c>
      <c r="P41" s="3429">
        <f t="shared" si="44"/>
        <v>6.6213235294117667E-4</v>
      </c>
      <c r="Q41" s="3652">
        <v>0.85</v>
      </c>
      <c r="R41" s="3655">
        <f t="shared" si="45"/>
        <v>300</v>
      </c>
      <c r="S41" s="2844">
        <f t="shared" si="2"/>
        <v>0.3</v>
      </c>
      <c r="T41" s="2845">
        <f t="shared" si="3"/>
        <v>1.0594117647058827E-2</v>
      </c>
      <c r="U41" s="374">
        <f t="shared" si="4"/>
        <v>0</v>
      </c>
      <c r="V41" s="2846">
        <f t="shared" si="5"/>
        <v>0</v>
      </c>
      <c r="W41" s="2847">
        <f t="shared" si="6"/>
        <v>0.3</v>
      </c>
      <c r="X41" s="2848">
        <f t="shared" si="7"/>
        <v>0</v>
      </c>
      <c r="Y41" s="2849">
        <f t="shared" si="8"/>
        <v>0</v>
      </c>
      <c r="Z41" s="2850">
        <f t="shared" si="9"/>
        <v>0</v>
      </c>
      <c r="AA41" s="2851">
        <f t="shared" si="10"/>
        <v>0</v>
      </c>
      <c r="AC41" s="3518"/>
      <c r="AD41" s="3518"/>
      <c r="AE41" s="3518"/>
      <c r="AF41" s="3518"/>
      <c r="AG41" s="3518"/>
      <c r="AH41" s="3518"/>
      <c r="AI41" s="2913"/>
      <c r="AJ41" s="2913"/>
      <c r="AK41" s="2913"/>
      <c r="AL41" s="2913"/>
      <c r="AM41" s="2913"/>
    </row>
    <row r="42" spans="1:39" ht="15" customHeight="1" thickBot="1">
      <c r="A42" s="3556"/>
      <c r="B42" s="3557" t="s">
        <v>215</v>
      </c>
      <c r="C42" s="629">
        <f t="shared" si="42"/>
        <v>1.8229166666666673E-4</v>
      </c>
      <c r="D42" s="3555">
        <v>6</v>
      </c>
      <c r="E42" s="3444">
        <v>1</v>
      </c>
      <c r="F42" s="3444">
        <v>6</v>
      </c>
      <c r="G42" s="3444">
        <v>20</v>
      </c>
      <c r="H42" s="5140"/>
      <c r="I42" s="3142">
        <v>3.4722222222222224E-4</v>
      </c>
      <c r="J42" s="3142">
        <v>6.9444444444444447E-4</v>
      </c>
      <c r="K42" s="3438" t="s">
        <v>2093</v>
      </c>
      <c r="L42" s="3643">
        <f t="shared" si="47"/>
        <v>0.34492042253145583</v>
      </c>
      <c r="M42" s="3440">
        <v>0.9</v>
      </c>
      <c r="N42" s="5213">
        <f t="shared" si="43"/>
        <v>3.5967777777777782E-3</v>
      </c>
      <c r="O42" s="3145">
        <f t="shared" si="48"/>
        <v>1.5166666666666673E-4</v>
      </c>
      <c r="P42" s="3442">
        <f t="shared" si="44"/>
        <v>1.3650000000000007E-4</v>
      </c>
      <c r="Q42" s="3443" t="s">
        <v>278</v>
      </c>
      <c r="R42" s="3443">
        <f t="shared" si="45"/>
        <v>120</v>
      </c>
      <c r="S42" s="2844">
        <f t="shared" si="2"/>
        <v>0.12</v>
      </c>
      <c r="T42" s="2845">
        <f t="shared" si="3"/>
        <v>3.6400000000000017E-3</v>
      </c>
      <c r="U42" s="374">
        <f t="shared" si="4"/>
        <v>0</v>
      </c>
      <c r="V42" s="2846">
        <f t="shared" si="5"/>
        <v>0</v>
      </c>
      <c r="W42" s="2847">
        <f t="shared" si="6"/>
        <v>0</v>
      </c>
      <c r="X42" s="2848">
        <f t="shared" si="7"/>
        <v>0</v>
      </c>
      <c r="Y42" s="2849">
        <f t="shared" si="8"/>
        <v>0</v>
      </c>
      <c r="Z42" s="2850">
        <f t="shared" si="9"/>
        <v>0.12</v>
      </c>
      <c r="AA42" s="2851">
        <f t="shared" si="10"/>
        <v>0</v>
      </c>
      <c r="AC42" s="3518"/>
      <c r="AD42" s="3518"/>
      <c r="AE42" s="3518"/>
      <c r="AF42" s="3518"/>
      <c r="AG42" s="3518"/>
      <c r="AH42" s="3518"/>
      <c r="AI42" s="2913"/>
      <c r="AJ42" s="2913"/>
      <c r="AK42" s="2913"/>
      <c r="AL42" s="2913"/>
      <c r="AM42" s="2913"/>
    </row>
    <row r="43" spans="1:39" ht="12.75" customHeight="1" thickBot="1">
      <c r="A43" s="3556"/>
      <c r="B43" s="3557" t="s">
        <v>215</v>
      </c>
      <c r="C43" s="629">
        <f t="shared" si="42"/>
        <v>1.8229166666666673E-4</v>
      </c>
      <c r="D43" s="3555">
        <v>6</v>
      </c>
      <c r="E43" s="3444">
        <v>1</v>
      </c>
      <c r="F43" s="3444">
        <v>6</v>
      </c>
      <c r="G43" s="3444">
        <v>20</v>
      </c>
      <c r="H43" s="5140"/>
      <c r="I43" s="3142">
        <v>3.4722222222222224E-4</v>
      </c>
      <c r="J43" s="3142">
        <v>6.9444444444444447E-4</v>
      </c>
      <c r="K43" s="3438" t="s">
        <v>1691</v>
      </c>
      <c r="L43" s="3643">
        <f t="shared" si="47"/>
        <v>0.34851720030923361</v>
      </c>
      <c r="M43" s="3440">
        <v>0.9</v>
      </c>
      <c r="N43" s="5213">
        <f t="shared" si="43"/>
        <v>3.5967777777777782E-3</v>
      </c>
      <c r="O43" s="3145">
        <f t="shared" si="48"/>
        <v>1.5166666666666673E-4</v>
      </c>
      <c r="P43" s="3442">
        <f t="shared" si="44"/>
        <v>1.3650000000000007E-4</v>
      </c>
      <c r="Q43" s="3443" t="s">
        <v>278</v>
      </c>
      <c r="R43" s="3443">
        <f t="shared" si="45"/>
        <v>120</v>
      </c>
      <c r="S43" s="2844">
        <f t="shared" si="2"/>
        <v>0.12</v>
      </c>
      <c r="T43" s="2845">
        <f t="shared" si="3"/>
        <v>3.6400000000000017E-3</v>
      </c>
      <c r="U43" s="374">
        <f t="shared" si="4"/>
        <v>0</v>
      </c>
      <c r="V43" s="2846">
        <f t="shared" si="5"/>
        <v>0</v>
      </c>
      <c r="W43" s="2847">
        <f t="shared" si="6"/>
        <v>0</v>
      </c>
      <c r="X43" s="2848">
        <f t="shared" si="7"/>
        <v>0</v>
      </c>
      <c r="Y43" s="2849">
        <f t="shared" si="8"/>
        <v>0</v>
      </c>
      <c r="Z43" s="2850">
        <f t="shared" si="9"/>
        <v>0.12</v>
      </c>
      <c r="AA43" s="2851">
        <f t="shared" si="10"/>
        <v>0</v>
      </c>
      <c r="AC43" s="3518"/>
      <c r="AD43" s="3518"/>
      <c r="AE43" s="3518"/>
      <c r="AF43" s="3518"/>
      <c r="AG43" s="3518"/>
      <c r="AH43" s="3518"/>
      <c r="AI43" s="2913"/>
      <c r="AJ43" s="2913"/>
      <c r="AK43" s="2913"/>
      <c r="AL43" s="2913"/>
      <c r="AM43" s="2913"/>
    </row>
    <row r="44" spans="1:39" ht="13" customHeight="1" thickBot="1">
      <c r="A44" s="3556"/>
      <c r="B44" s="3557" t="s">
        <v>215</v>
      </c>
      <c r="C44" s="629">
        <f t="shared" si="42"/>
        <v>1.8229166666666673E-4</v>
      </c>
      <c r="D44" s="2309">
        <v>6</v>
      </c>
      <c r="E44" s="4559">
        <v>1</v>
      </c>
      <c r="F44" s="4559">
        <v>8</v>
      </c>
      <c r="G44" s="4559">
        <v>50</v>
      </c>
      <c r="H44" s="5210" t="s">
        <v>2095</v>
      </c>
      <c r="I44" s="4560">
        <v>6.9444444444444447E-4</v>
      </c>
      <c r="J44" s="4560">
        <v>1.3888888888888889E-3</v>
      </c>
      <c r="K44" s="4561" t="s">
        <v>974</v>
      </c>
      <c r="L44" s="5186">
        <f>L43+N43</f>
        <v>0.35211397808701139</v>
      </c>
      <c r="M44" s="4562">
        <v>1</v>
      </c>
      <c r="N44" s="5186">
        <f t="shared" si="43"/>
        <v>9.919444444444446E-3</v>
      </c>
      <c r="O44" s="4563">
        <f>C44*(G44/25)*1.02</f>
        <v>3.7187500000000014E-4</v>
      </c>
      <c r="P44" s="5184">
        <f t="shared" si="44"/>
        <v>3.7187500000000014E-4</v>
      </c>
      <c r="Q44" s="4565">
        <v>177</v>
      </c>
      <c r="R44" s="4559">
        <f t="shared" si="45"/>
        <v>400</v>
      </c>
      <c r="S44" s="2844">
        <f t="shared" si="2"/>
        <v>0.4</v>
      </c>
      <c r="T44" s="2845">
        <f t="shared" si="3"/>
        <v>1.1900000000000004E-2</v>
      </c>
      <c r="U44" s="374">
        <f t="shared" si="4"/>
        <v>0</v>
      </c>
      <c r="V44" s="2846">
        <f t="shared" si="5"/>
        <v>0</v>
      </c>
      <c r="W44" s="2847">
        <f t="shared" si="6"/>
        <v>0</v>
      </c>
      <c r="X44" s="2848">
        <f t="shared" si="7"/>
        <v>0</v>
      </c>
      <c r="Y44" s="2849">
        <f t="shared" si="8"/>
        <v>0</v>
      </c>
      <c r="Z44" s="2850">
        <f t="shared" si="9"/>
        <v>0.4</v>
      </c>
      <c r="AA44" s="2851">
        <f t="shared" si="10"/>
        <v>0</v>
      </c>
      <c r="AC44" s="3518"/>
      <c r="AD44" s="3518"/>
      <c r="AE44" s="3518"/>
      <c r="AF44" s="3518"/>
      <c r="AG44" s="3518"/>
      <c r="AH44" s="3518"/>
      <c r="AI44" s="2913"/>
      <c r="AJ44" s="2913"/>
      <c r="AK44" s="2913"/>
      <c r="AL44" s="2913"/>
      <c r="AM44" s="2913"/>
    </row>
    <row r="45" spans="1:39" ht="15" customHeight="1" thickBot="1">
      <c r="A45" s="3556"/>
      <c r="B45" s="3557"/>
      <c r="C45" s="629"/>
      <c r="D45" s="3558"/>
      <c r="E45" s="3454"/>
      <c r="F45" s="3454"/>
      <c r="G45" s="3454"/>
      <c r="H45" s="3454"/>
      <c r="I45" s="3454"/>
      <c r="J45" s="3454"/>
      <c r="K45" s="3454"/>
      <c r="L45" s="3644">
        <f>L44+N44</f>
        <v>0.36203342253145582</v>
      </c>
      <c r="M45" s="3455"/>
      <c r="N45" s="5214"/>
      <c r="O45" s="3454"/>
      <c r="P45" s="3454"/>
      <c r="Q45" s="3454"/>
      <c r="R45" s="3656">
        <f>SUM(R33:R44)</f>
        <v>2690</v>
      </c>
      <c r="S45" s="2844">
        <f t="shared" si="2"/>
        <v>0</v>
      </c>
      <c r="T45" s="2845">
        <f t="shared" si="3"/>
        <v>0</v>
      </c>
      <c r="U45" s="374">
        <f t="shared" si="4"/>
        <v>0</v>
      </c>
      <c r="V45" s="2846">
        <f t="shared" si="5"/>
        <v>0</v>
      </c>
      <c r="W45" s="2847">
        <f t="shared" si="6"/>
        <v>0</v>
      </c>
      <c r="X45" s="2848">
        <f t="shared" si="7"/>
        <v>0</v>
      </c>
      <c r="Y45" s="2849">
        <f t="shared" si="8"/>
        <v>0</v>
      </c>
      <c r="Z45" s="2850">
        <f t="shared" si="9"/>
        <v>0</v>
      </c>
      <c r="AA45" s="2851">
        <f t="shared" si="10"/>
        <v>0</v>
      </c>
      <c r="AC45" s="3518"/>
      <c r="AD45" s="3518"/>
      <c r="AE45" s="3518"/>
      <c r="AF45" s="3518"/>
      <c r="AG45" s="3518"/>
      <c r="AH45" s="3518"/>
      <c r="AI45" s="2913"/>
      <c r="AJ45" s="2913"/>
      <c r="AK45" s="2913"/>
      <c r="AL45" s="2913"/>
      <c r="AM45" s="2913"/>
    </row>
    <row r="46" spans="1:39" ht="12.75" customHeight="1" thickBot="1">
      <c r="A46" s="3556" t="s">
        <v>215</v>
      </c>
      <c r="B46" s="3563" t="s">
        <v>461</v>
      </c>
      <c r="C46" s="629">
        <f>IF(D46=1,U$5,IF(D46=2,V$5,IF(D46=3,W$5,IF(D46=4,X$5,IF(D46=5,Y$5,IF(D46=6,Z$5,IF(D46=7,AA$5,0)))))))</f>
        <v>2.1222190799396687E-4</v>
      </c>
      <c r="D46" s="3559">
        <v>3</v>
      </c>
      <c r="E46" s="3499">
        <v>1</v>
      </c>
      <c r="F46" s="3499">
        <v>2</v>
      </c>
      <c r="G46" s="3499">
        <v>50</v>
      </c>
      <c r="H46" s="8002" t="s">
        <v>1652</v>
      </c>
      <c r="I46" s="2314">
        <v>2.3148148148148146E-4</v>
      </c>
      <c r="J46" s="2314">
        <v>3.4722222222222224E-4</v>
      </c>
      <c r="K46" s="2310" t="s">
        <v>1454</v>
      </c>
      <c r="L46" s="3646">
        <v>0.80555555555555547</v>
      </c>
      <c r="M46" s="2312">
        <v>1.05</v>
      </c>
      <c r="N46" s="5216">
        <f t="shared" ref="N46:N56" si="49">P46*E46*F46+I46*E46*F46+J46*E46</f>
        <v>1.7015171987598461E-3</v>
      </c>
      <c r="O46" s="2314">
        <f>C46*(G46/25)</f>
        <v>4.2444381598793373E-4</v>
      </c>
      <c r="P46" s="2315">
        <f t="shared" ref="P46:P56" si="50">O46*M46</f>
        <v>4.4566600678733046E-4</v>
      </c>
      <c r="Q46" s="2274"/>
      <c r="R46" s="3659">
        <f t="shared" ref="R46:R56" si="51">E46*F46*G46</f>
        <v>100</v>
      </c>
      <c r="S46" s="2844">
        <f t="shared" si="2"/>
        <v>0.1</v>
      </c>
      <c r="T46" s="2845">
        <f t="shared" si="3"/>
        <v>3.3955505279034699E-3</v>
      </c>
      <c r="U46" s="374">
        <f t="shared" si="4"/>
        <v>0</v>
      </c>
      <c r="V46" s="2846">
        <f t="shared" si="5"/>
        <v>0</v>
      </c>
      <c r="W46" s="2847">
        <f t="shared" si="6"/>
        <v>0.1</v>
      </c>
      <c r="X46" s="2848">
        <f t="shared" si="7"/>
        <v>0</v>
      </c>
      <c r="Y46" s="2849">
        <f t="shared" si="8"/>
        <v>0</v>
      </c>
      <c r="Z46" s="2850">
        <f t="shared" si="9"/>
        <v>0</v>
      </c>
      <c r="AA46" s="2851">
        <f t="shared" si="10"/>
        <v>0</v>
      </c>
      <c r="AC46" s="3518"/>
      <c r="AD46" s="3518"/>
      <c r="AE46" s="3518"/>
      <c r="AF46" s="3518"/>
      <c r="AG46" s="3518"/>
      <c r="AH46" s="3518"/>
      <c r="AI46" s="2913"/>
      <c r="AJ46" s="2913"/>
      <c r="AK46" s="2913"/>
      <c r="AL46" s="2913"/>
      <c r="AM46" s="2913"/>
    </row>
    <row r="47" spans="1:39" ht="12" customHeight="1" thickBot="1">
      <c r="A47" s="3556" t="s">
        <v>139</v>
      </c>
      <c r="B47" s="3563" t="s">
        <v>461</v>
      </c>
      <c r="C47" s="629">
        <f>IF(D47=1,U$5,IF(D47=2,V$5,IF(D47=3,W$5,IF(D47=4,X$5,IF(D47=5,Y$5,IF(D47=6,Z$5,IF(D47=7,AA$5,0)))))))</f>
        <v>2.0247664488766629E-4</v>
      </c>
      <c r="D47" s="2317">
        <v>4</v>
      </c>
      <c r="E47" s="3504">
        <v>1</v>
      </c>
      <c r="F47" s="3504">
        <v>2</v>
      </c>
      <c r="G47" s="3504">
        <v>50</v>
      </c>
      <c r="H47" s="8003"/>
      <c r="I47" s="3505">
        <v>4.6296296296296293E-4</v>
      </c>
      <c r="J47" s="3505">
        <v>5.7870370370370378E-4</v>
      </c>
      <c r="K47" s="3506" t="s">
        <v>1454</v>
      </c>
      <c r="L47" s="3647">
        <f>L46+N46</f>
        <v>0.80725707275431535</v>
      </c>
      <c r="M47" s="3508">
        <v>1</v>
      </c>
      <c r="N47" s="5217">
        <f t="shared" si="49"/>
        <v>2.3469324723623215E-3</v>
      </c>
      <c r="O47" s="3510">
        <f>C47*(G47/25)*1.04</f>
        <v>4.2115142136634587E-4</v>
      </c>
      <c r="P47" s="3510">
        <f t="shared" si="50"/>
        <v>4.2115142136634587E-4</v>
      </c>
      <c r="Q47" s="3511"/>
      <c r="R47" s="3660">
        <f t="shared" si="51"/>
        <v>100</v>
      </c>
      <c r="S47" s="2844">
        <f t="shared" si="2"/>
        <v>0.1</v>
      </c>
      <c r="T47" s="2845">
        <f t="shared" si="3"/>
        <v>3.369211370930767E-3</v>
      </c>
      <c r="U47" s="374">
        <f t="shared" si="4"/>
        <v>0</v>
      </c>
      <c r="V47" s="2846">
        <f t="shared" si="5"/>
        <v>0</v>
      </c>
      <c r="W47" s="2847">
        <f t="shared" si="6"/>
        <v>0</v>
      </c>
      <c r="X47" s="2848">
        <f t="shared" si="7"/>
        <v>0.1</v>
      </c>
      <c r="Y47" s="2849">
        <f t="shared" si="8"/>
        <v>0</v>
      </c>
      <c r="Z47" s="2850">
        <f t="shared" si="9"/>
        <v>0</v>
      </c>
      <c r="AA47" s="2851">
        <f t="shared" si="10"/>
        <v>0</v>
      </c>
      <c r="AB47" s="3564">
        <f>SUM(U47:AA47)</f>
        <v>0.1</v>
      </c>
    </row>
    <row r="48" spans="1:39" ht="14" customHeight="1" thickBot="1">
      <c r="A48" s="3556" t="s">
        <v>458</v>
      </c>
      <c r="B48" s="3563" t="s">
        <v>461</v>
      </c>
      <c r="C48" s="629">
        <f>IF(D48=1,U$5,IF(D48=2,V$5,IF(D48=3,W$5,IF(D48=4,X$5,IF(D48=5,Y$5,IF(D48=6,Z$5,IF(D48=7,AA$5,0)))))))</f>
        <v>1.8229166666666673E-4</v>
      </c>
      <c r="D48" s="3444">
        <v>6</v>
      </c>
      <c r="E48" s="3444">
        <v>1</v>
      </c>
      <c r="F48" s="3444">
        <v>2</v>
      </c>
      <c r="G48" s="3444">
        <v>50</v>
      </c>
      <c r="H48" s="8003"/>
      <c r="I48" s="3142">
        <v>6.9444444444444447E-4</v>
      </c>
      <c r="J48" s="3142">
        <v>1.0416666666666667E-3</v>
      </c>
      <c r="K48" s="3438" t="s">
        <v>1454</v>
      </c>
      <c r="L48" s="3643">
        <f>L47+N47</f>
        <v>0.80960400522667764</v>
      </c>
      <c r="M48" s="3440">
        <v>1.08</v>
      </c>
      <c r="N48" s="5213">
        <f t="shared" si="49"/>
        <v>3.2180555555555556E-3</v>
      </c>
      <c r="O48" s="3145">
        <f>C48*(G48/25)</f>
        <v>3.6458333333333346E-4</v>
      </c>
      <c r="P48" s="3442">
        <f t="shared" si="50"/>
        <v>3.9375000000000017E-4</v>
      </c>
      <c r="Q48" s="3443"/>
      <c r="R48" s="3443">
        <f t="shared" si="51"/>
        <v>100</v>
      </c>
      <c r="S48" s="2844">
        <f t="shared" si="2"/>
        <v>0.1</v>
      </c>
      <c r="T48" s="2845">
        <f t="shared" si="3"/>
        <v>2.9166666666666677E-3</v>
      </c>
      <c r="U48" s="374">
        <f t="shared" si="4"/>
        <v>0</v>
      </c>
      <c r="V48" s="2846">
        <f t="shared" si="5"/>
        <v>0</v>
      </c>
      <c r="W48" s="2847">
        <f t="shared" si="6"/>
        <v>0</v>
      </c>
      <c r="X48" s="2848">
        <f t="shared" si="7"/>
        <v>0</v>
      </c>
      <c r="Y48" s="2849">
        <f t="shared" si="8"/>
        <v>0</v>
      </c>
      <c r="Z48" s="2850">
        <f t="shared" si="9"/>
        <v>0.1</v>
      </c>
      <c r="AA48" s="2851">
        <f t="shared" si="10"/>
        <v>0</v>
      </c>
      <c r="AB48" s="3564"/>
    </row>
    <row r="49" spans="1:40" ht="14" customHeight="1" thickBot="1">
      <c r="A49" s="3556" t="s">
        <v>462</v>
      </c>
      <c r="B49" s="3563" t="s">
        <v>461</v>
      </c>
      <c r="C49" s="629">
        <f>IF(D49=1,U$5,IF(D49=2,V$5,IF(D49=3,W$5,IF(D49=4,X$5,IF(D49=5,Y$5,IF(D49=6,Z$5,IF(D49=7,AA$5,0)))))))</f>
        <v>1.7682291666666674E-4</v>
      </c>
      <c r="D49" s="3560">
        <v>7</v>
      </c>
      <c r="E49" s="3561">
        <v>1</v>
      </c>
      <c r="F49" s="3561">
        <v>1</v>
      </c>
      <c r="G49" s="3561">
        <v>50</v>
      </c>
      <c r="H49" s="8004"/>
      <c r="I49" s="3562">
        <v>0</v>
      </c>
      <c r="J49" s="3562">
        <v>1.3888888888888889E-3</v>
      </c>
      <c r="K49" s="2514" t="s">
        <v>1454</v>
      </c>
      <c r="L49" s="3648">
        <f>L48+N48</f>
        <v>0.81282206078223318</v>
      </c>
      <c r="M49" s="3493">
        <v>1</v>
      </c>
      <c r="N49" s="5218">
        <f t="shared" si="49"/>
        <v>1.7672899305555558E-3</v>
      </c>
      <c r="O49" s="3495">
        <f>C49*(G49/25)*1.07</f>
        <v>3.7840104166666686E-4</v>
      </c>
      <c r="P49" s="3496">
        <f t="shared" si="50"/>
        <v>3.7840104166666686E-4</v>
      </c>
      <c r="Q49" s="3130"/>
      <c r="R49" s="3661">
        <f t="shared" si="51"/>
        <v>50</v>
      </c>
      <c r="S49" s="2844">
        <f t="shared" si="2"/>
        <v>0.05</v>
      </c>
      <c r="T49" s="2845">
        <f t="shared" si="3"/>
        <v>1.5136041666666674E-3</v>
      </c>
      <c r="U49" s="374">
        <f t="shared" si="4"/>
        <v>0</v>
      </c>
      <c r="V49" s="2846">
        <f t="shared" si="5"/>
        <v>0</v>
      </c>
      <c r="W49" s="2847">
        <f t="shared" si="6"/>
        <v>0</v>
      </c>
      <c r="X49" s="2848">
        <f t="shared" si="7"/>
        <v>0</v>
      </c>
      <c r="Y49" s="2849">
        <f t="shared" si="8"/>
        <v>0</v>
      </c>
      <c r="Z49" s="2850">
        <f t="shared" si="9"/>
        <v>0</v>
      </c>
      <c r="AA49" s="2851">
        <f t="shared" si="10"/>
        <v>0.05</v>
      </c>
      <c r="AB49" s="1278"/>
      <c r="AC49" s="3518" t="s">
        <v>193</v>
      </c>
      <c r="AD49" s="3549"/>
      <c r="AE49" s="3549"/>
      <c r="AF49" s="3549"/>
      <c r="AG49" s="3549"/>
      <c r="AH49" s="3549"/>
      <c r="AI49" s="2836"/>
      <c r="AJ49" s="2914"/>
      <c r="AK49" s="2914"/>
      <c r="AL49" s="2914"/>
      <c r="AM49" s="2914"/>
      <c r="AN49" s="2914"/>
    </row>
    <row r="50" spans="1:40" ht="12.75" customHeight="1" thickBot="1">
      <c r="A50" s="3556" t="s">
        <v>674</v>
      </c>
      <c r="B50" s="3563" t="s">
        <v>461</v>
      </c>
      <c r="C50" s="629">
        <f t="shared" ref="C50:C54" si="52">IF(D50=1,U$5,IF(D50=2,V$5,IF(D50=3,W$5,IF(D50=4,X$5,IF(D50=5,Y$5,IF(D50=6,Z$5,IF(D50=7,AA$5,0)))))))</f>
        <v>1.8933937422552669E-4</v>
      </c>
      <c r="D50" s="1433">
        <v>5</v>
      </c>
      <c r="E50" s="3452">
        <v>1</v>
      </c>
      <c r="F50" s="3452">
        <v>1</v>
      </c>
      <c r="G50" s="3452">
        <v>50</v>
      </c>
      <c r="H50" s="3512" t="s">
        <v>1637</v>
      </c>
      <c r="I50" s="3450">
        <v>0</v>
      </c>
      <c r="J50" s="3450">
        <v>6.9444444444444447E-4</v>
      </c>
      <c r="K50" s="3513" t="s">
        <v>1660</v>
      </c>
      <c r="L50" s="3649">
        <f t="shared" ref="L50:L57" si="53">L49+N49</f>
        <v>0.81458935071278871</v>
      </c>
      <c r="M50" s="3448">
        <v>0.95</v>
      </c>
      <c r="N50" s="5219">
        <f t="shared" si="49"/>
        <v>1.0541892554729452E-3</v>
      </c>
      <c r="O50" s="3450">
        <f>C50*(G50/25)</f>
        <v>3.7867874845105338E-4</v>
      </c>
      <c r="P50" s="3451">
        <f t="shared" si="50"/>
        <v>3.5974481102850071E-4</v>
      </c>
      <c r="Q50" s="3452"/>
      <c r="R50" s="3662">
        <f t="shared" si="51"/>
        <v>50</v>
      </c>
      <c r="S50" s="2844">
        <f t="shared" si="2"/>
        <v>0.05</v>
      </c>
      <c r="T50" s="2845">
        <f t="shared" si="3"/>
        <v>1.5147149938042135E-3</v>
      </c>
      <c r="U50" s="374">
        <f t="shared" si="4"/>
        <v>0</v>
      </c>
      <c r="V50" s="2846">
        <f t="shared" si="5"/>
        <v>0</v>
      </c>
      <c r="W50" s="2847">
        <f t="shared" si="6"/>
        <v>0</v>
      </c>
      <c r="X50" s="2848">
        <f t="shared" si="7"/>
        <v>0</v>
      </c>
      <c r="Y50" s="2849">
        <f t="shared" si="8"/>
        <v>0.05</v>
      </c>
      <c r="Z50" s="2850">
        <f t="shared" si="9"/>
        <v>0</v>
      </c>
      <c r="AA50" s="2851">
        <f t="shared" si="10"/>
        <v>0</v>
      </c>
      <c r="AB50" s="1278"/>
      <c r="AC50" s="3518">
        <v>0</v>
      </c>
      <c r="AD50" s="3518">
        <v>0</v>
      </c>
      <c r="AE50" s="3518">
        <v>0</v>
      </c>
      <c r="AF50" s="3518">
        <v>0</v>
      </c>
      <c r="AG50" s="3518">
        <v>0</v>
      </c>
      <c r="AH50" s="3518">
        <v>0</v>
      </c>
      <c r="AI50" s="2836"/>
      <c r="AJ50" s="2914"/>
      <c r="AK50" s="2914"/>
      <c r="AL50" s="2914"/>
      <c r="AM50" s="2914"/>
      <c r="AN50" s="2914"/>
    </row>
    <row r="51" spans="1:40" ht="15" customHeight="1" thickBot="1">
      <c r="A51" s="3556" t="s">
        <v>214</v>
      </c>
      <c r="B51" s="3563" t="s">
        <v>461</v>
      </c>
      <c r="C51" s="629">
        <f t="shared" si="52"/>
        <v>1.8933937422552669E-4</v>
      </c>
      <c r="D51" s="1433">
        <v>5</v>
      </c>
      <c r="E51" s="3452">
        <v>1</v>
      </c>
      <c r="F51" s="3452">
        <v>1</v>
      </c>
      <c r="G51" s="3452">
        <v>50</v>
      </c>
      <c r="H51" s="3512" t="s">
        <v>1638</v>
      </c>
      <c r="I51" s="3450">
        <v>0</v>
      </c>
      <c r="J51" s="3450">
        <v>5.2083333333333333E-4</v>
      </c>
      <c r="K51" s="3513" t="s">
        <v>1661</v>
      </c>
      <c r="L51" s="3649">
        <f t="shared" si="53"/>
        <v>0.81564353996826167</v>
      </c>
      <c r="M51" s="3448">
        <v>1</v>
      </c>
      <c r="N51" s="5219">
        <f t="shared" si="49"/>
        <v>8.9951208178438665E-4</v>
      </c>
      <c r="O51" s="3450">
        <f>C51*(G51/25)*1</f>
        <v>3.7867874845105338E-4</v>
      </c>
      <c r="P51" s="3451">
        <f t="shared" si="50"/>
        <v>3.7867874845105338E-4</v>
      </c>
      <c r="Q51" s="3452"/>
      <c r="R51" s="3662">
        <f t="shared" si="51"/>
        <v>50</v>
      </c>
      <c r="S51" s="2844">
        <f t="shared" si="2"/>
        <v>0.05</v>
      </c>
      <c r="T51" s="2845">
        <f t="shared" si="3"/>
        <v>1.5147149938042135E-3</v>
      </c>
      <c r="U51" s="374">
        <f t="shared" si="4"/>
        <v>0</v>
      </c>
      <c r="V51" s="2846">
        <f t="shared" si="5"/>
        <v>0</v>
      </c>
      <c r="W51" s="2847">
        <f t="shared" si="6"/>
        <v>0</v>
      </c>
      <c r="X51" s="2848">
        <f t="shared" si="7"/>
        <v>0</v>
      </c>
      <c r="Y51" s="2849">
        <f t="shared" si="8"/>
        <v>0.05</v>
      </c>
      <c r="Z51" s="2850">
        <f t="shared" si="9"/>
        <v>0</v>
      </c>
      <c r="AA51" s="2851">
        <f t="shared" si="10"/>
        <v>0</v>
      </c>
      <c r="AB51" s="1278"/>
      <c r="AC51" s="3518"/>
      <c r="AD51" s="3518"/>
      <c r="AE51" s="3518"/>
      <c r="AF51" s="3518"/>
      <c r="AG51" s="3518"/>
      <c r="AH51" s="3518"/>
      <c r="AI51" s="2836"/>
      <c r="AJ51" s="2914"/>
      <c r="AK51" s="2914"/>
      <c r="AL51" s="2914"/>
      <c r="AM51" s="2914"/>
      <c r="AN51" s="2914"/>
    </row>
    <row r="52" spans="1:40" ht="14" customHeight="1" thickBot="1">
      <c r="A52" s="3556" t="s">
        <v>458</v>
      </c>
      <c r="B52" s="3563" t="s">
        <v>461</v>
      </c>
      <c r="C52" s="629">
        <f t="shared" si="52"/>
        <v>1.8933937422552669E-4</v>
      </c>
      <c r="D52" s="1433">
        <v>5</v>
      </c>
      <c r="E52" s="3452">
        <v>1</v>
      </c>
      <c r="F52" s="3452">
        <v>1</v>
      </c>
      <c r="G52" s="3452">
        <v>50</v>
      </c>
      <c r="H52" s="3512" t="s">
        <v>112</v>
      </c>
      <c r="I52" s="3450">
        <v>0</v>
      </c>
      <c r="J52" s="3450">
        <v>4.0509259259259258E-4</v>
      </c>
      <c r="K52" s="3513" t="s">
        <v>1662</v>
      </c>
      <c r="L52" s="3649">
        <f t="shared" si="53"/>
        <v>0.81654305205004607</v>
      </c>
      <c r="M52" s="3448">
        <v>0.95</v>
      </c>
      <c r="N52" s="5219">
        <f t="shared" si="49"/>
        <v>7.6483740362109334E-4</v>
      </c>
      <c r="O52" s="3450">
        <f>C52*(G52/25)</f>
        <v>3.7867874845105338E-4</v>
      </c>
      <c r="P52" s="3451">
        <f t="shared" si="50"/>
        <v>3.5974481102850071E-4</v>
      </c>
      <c r="Q52" s="3452"/>
      <c r="R52" s="3662">
        <f t="shared" si="51"/>
        <v>50</v>
      </c>
      <c r="S52" s="2844">
        <f t="shared" si="2"/>
        <v>0.05</v>
      </c>
      <c r="T52" s="2845">
        <f t="shared" si="3"/>
        <v>1.5147149938042135E-3</v>
      </c>
      <c r="U52" s="374">
        <f t="shared" si="4"/>
        <v>0</v>
      </c>
      <c r="V52" s="2846">
        <f t="shared" si="5"/>
        <v>0</v>
      </c>
      <c r="W52" s="2847">
        <f t="shared" si="6"/>
        <v>0</v>
      </c>
      <c r="X52" s="2848">
        <f t="shared" si="7"/>
        <v>0</v>
      </c>
      <c r="Y52" s="2849">
        <f t="shared" si="8"/>
        <v>0.05</v>
      </c>
      <c r="Z52" s="2850">
        <f t="shared" si="9"/>
        <v>0</v>
      </c>
      <c r="AA52" s="2851">
        <f t="shared" si="10"/>
        <v>0</v>
      </c>
      <c r="AB52" s="1278"/>
      <c r="AC52" s="3518"/>
      <c r="AD52" s="3518"/>
      <c r="AE52" s="3518"/>
      <c r="AF52" s="3518"/>
      <c r="AG52" s="3518"/>
      <c r="AH52" s="3518"/>
      <c r="AI52" s="2836"/>
      <c r="AJ52" s="2914"/>
      <c r="AK52" s="2914"/>
      <c r="AL52" s="2914"/>
      <c r="AM52" s="2914"/>
      <c r="AN52" s="2914"/>
    </row>
    <row r="53" spans="1:40" ht="12.75" customHeight="1" thickBot="1">
      <c r="A53" s="3556" t="s">
        <v>219</v>
      </c>
      <c r="B53" s="3563" t="s">
        <v>461</v>
      </c>
      <c r="C53" s="629">
        <f t="shared" si="52"/>
        <v>1.8933937422552669E-4</v>
      </c>
      <c r="D53" s="1433">
        <v>5</v>
      </c>
      <c r="E53" s="3452">
        <v>1</v>
      </c>
      <c r="F53" s="3452">
        <v>1</v>
      </c>
      <c r="G53" s="3452">
        <v>50</v>
      </c>
      <c r="H53" s="3512" t="s">
        <v>1639</v>
      </c>
      <c r="I53" s="3450">
        <v>0</v>
      </c>
      <c r="J53" s="3450">
        <v>1.3888888888888889E-3</v>
      </c>
      <c r="K53" s="3513" t="s">
        <v>1702</v>
      </c>
      <c r="L53" s="3649">
        <f t="shared" si="53"/>
        <v>0.81730788945366717</v>
      </c>
      <c r="M53" s="3448">
        <v>1</v>
      </c>
      <c r="N53" s="5219">
        <f t="shared" si="49"/>
        <v>1.7675676373399424E-3</v>
      </c>
      <c r="O53" s="3450">
        <f>C53*(G53/25)</f>
        <v>3.7867874845105338E-4</v>
      </c>
      <c r="P53" s="3451">
        <f t="shared" si="50"/>
        <v>3.7867874845105338E-4</v>
      </c>
      <c r="Q53" s="3452"/>
      <c r="R53" s="3662">
        <f t="shared" si="51"/>
        <v>50</v>
      </c>
      <c r="S53" s="2844">
        <f t="shared" si="2"/>
        <v>0.05</v>
      </c>
      <c r="T53" s="2845">
        <f t="shared" si="3"/>
        <v>1.5147149938042135E-3</v>
      </c>
      <c r="U53" s="374">
        <f t="shared" si="4"/>
        <v>0</v>
      </c>
      <c r="V53" s="2846">
        <f t="shared" si="5"/>
        <v>0</v>
      </c>
      <c r="W53" s="2847">
        <f t="shared" si="6"/>
        <v>0</v>
      </c>
      <c r="X53" s="2848">
        <f t="shared" si="7"/>
        <v>0</v>
      </c>
      <c r="Y53" s="2849">
        <f t="shared" si="8"/>
        <v>0.05</v>
      </c>
      <c r="Z53" s="2850">
        <f t="shared" si="9"/>
        <v>0</v>
      </c>
      <c r="AA53" s="2851">
        <f t="shared" si="10"/>
        <v>0</v>
      </c>
      <c r="AB53" s="1278"/>
      <c r="AC53" s="3518"/>
      <c r="AD53" s="3518"/>
      <c r="AE53" s="3518"/>
      <c r="AF53" s="3518"/>
      <c r="AG53" s="3518"/>
      <c r="AH53" s="3518"/>
      <c r="AI53" s="2836"/>
      <c r="AJ53" s="2914"/>
      <c r="AK53" s="2914"/>
      <c r="AL53" s="2914"/>
      <c r="AM53" s="2914"/>
      <c r="AN53" s="2914"/>
    </row>
    <row r="54" spans="1:40" ht="15" customHeight="1" thickBot="1">
      <c r="A54" s="3556"/>
      <c r="B54" s="3563" t="s">
        <v>461</v>
      </c>
      <c r="C54" s="629">
        <f t="shared" si="52"/>
        <v>1.8933937422552669E-4</v>
      </c>
      <c r="D54" s="1433">
        <v>5</v>
      </c>
      <c r="E54" s="3452">
        <v>1</v>
      </c>
      <c r="F54" s="3452">
        <v>2</v>
      </c>
      <c r="G54" s="3452">
        <v>50</v>
      </c>
      <c r="H54" s="3512" t="s">
        <v>1640</v>
      </c>
      <c r="I54" s="3450">
        <v>4.6296296296296293E-4</v>
      </c>
      <c r="J54" s="3450">
        <v>1.3888888888888889E-3</v>
      </c>
      <c r="K54" s="2327" t="s">
        <v>1663</v>
      </c>
      <c r="L54" s="3649">
        <f t="shared" si="53"/>
        <v>0.81907545709100715</v>
      </c>
      <c r="M54" s="3448">
        <v>0.97</v>
      </c>
      <c r="N54" s="5219">
        <f t="shared" si="49"/>
        <v>3.0494515868098584E-3</v>
      </c>
      <c r="O54" s="3450">
        <f>C54*(G54/25)</f>
        <v>3.7867874845105338E-4</v>
      </c>
      <c r="P54" s="3451">
        <f t="shared" si="50"/>
        <v>3.6731838599752176E-4</v>
      </c>
      <c r="Q54" s="3452"/>
      <c r="R54" s="3662">
        <f t="shared" si="51"/>
        <v>100</v>
      </c>
      <c r="S54" s="2844">
        <f t="shared" si="2"/>
        <v>0.1</v>
      </c>
      <c r="T54" s="2845">
        <f t="shared" si="3"/>
        <v>3.029429987608427E-3</v>
      </c>
      <c r="U54" s="374">
        <f t="shared" si="4"/>
        <v>0</v>
      </c>
      <c r="V54" s="2846">
        <f t="shared" si="5"/>
        <v>0</v>
      </c>
      <c r="W54" s="2847">
        <f t="shared" si="6"/>
        <v>0</v>
      </c>
      <c r="X54" s="2848">
        <f t="shared" si="7"/>
        <v>0</v>
      </c>
      <c r="Y54" s="2849">
        <f t="shared" si="8"/>
        <v>0.1</v>
      </c>
      <c r="Z54" s="2850">
        <f t="shared" si="9"/>
        <v>0</v>
      </c>
      <c r="AA54" s="2851">
        <f t="shared" si="10"/>
        <v>0</v>
      </c>
      <c r="AB54" s="1278"/>
      <c r="AC54" s="3518"/>
      <c r="AD54" s="3518"/>
      <c r="AE54" s="3518"/>
      <c r="AF54" s="3518"/>
      <c r="AG54" s="3518"/>
      <c r="AH54" s="3518"/>
      <c r="AI54" s="2836"/>
      <c r="AJ54" s="2914"/>
      <c r="AK54" s="2914"/>
      <c r="AL54" s="2914"/>
      <c r="AM54" s="2914"/>
      <c r="AN54" s="2914"/>
    </row>
    <row r="55" spans="1:40" ht="17" customHeight="1" thickBot="1">
      <c r="A55" s="3556"/>
      <c r="B55" s="3563" t="s">
        <v>461</v>
      </c>
      <c r="C55" s="629">
        <f t="shared" ref="C55" si="54">IF(D55=1,U$5,IF(D55=2,V$5,IF(D55=3,W$5,IF(D55=4,X$5,IF(D55=5,Y$5,IF(D55=6,Z$5,IF(D55=7,AA$5,0)))))))</f>
        <v>1.8933937422552669E-4</v>
      </c>
      <c r="D55" s="1433">
        <v>5</v>
      </c>
      <c r="E55" s="3452">
        <v>1</v>
      </c>
      <c r="F55" s="3452">
        <v>3</v>
      </c>
      <c r="G55" s="3452">
        <v>50</v>
      </c>
      <c r="H55" s="3512" t="s">
        <v>1641</v>
      </c>
      <c r="I55" s="3450">
        <v>6.9444444444444447E-4</v>
      </c>
      <c r="J55" s="3450">
        <v>1.3888888888888889E-3</v>
      </c>
      <c r="K55" s="2327" t="s">
        <v>1642</v>
      </c>
      <c r="L55" s="3649">
        <f t="shared" si="53"/>
        <v>0.82212490867781696</v>
      </c>
      <c r="M55" s="3448">
        <v>1.05</v>
      </c>
      <c r="N55" s="5219">
        <f t="shared" si="49"/>
        <v>4.6650602798430406E-3</v>
      </c>
      <c r="O55" s="3450">
        <f>C55*(G55/25)</f>
        <v>3.7867874845105338E-4</v>
      </c>
      <c r="P55" s="3451">
        <f t="shared" si="50"/>
        <v>3.9761268587360605E-4</v>
      </c>
      <c r="Q55" s="3452"/>
      <c r="R55" s="3662">
        <f t="shared" si="51"/>
        <v>150</v>
      </c>
      <c r="S55" s="2844">
        <f t="shared" si="2"/>
        <v>0.15</v>
      </c>
      <c r="T55" s="2845">
        <f t="shared" si="3"/>
        <v>4.5441449814126404E-3</v>
      </c>
      <c r="U55" s="374">
        <f t="shared" si="4"/>
        <v>0</v>
      </c>
      <c r="V55" s="2846">
        <f t="shared" si="5"/>
        <v>0</v>
      </c>
      <c r="W55" s="2847">
        <f t="shared" si="6"/>
        <v>0</v>
      </c>
      <c r="X55" s="2848">
        <f t="shared" si="7"/>
        <v>0</v>
      </c>
      <c r="Y55" s="2849">
        <f t="shared" si="8"/>
        <v>0.15</v>
      </c>
      <c r="Z55" s="2850">
        <f t="shared" si="9"/>
        <v>0</v>
      </c>
      <c r="AA55" s="2851">
        <f t="shared" si="10"/>
        <v>0</v>
      </c>
      <c r="AB55" s="1278"/>
      <c r="AC55" s="3518"/>
      <c r="AD55" s="3518"/>
      <c r="AE55" s="3518"/>
      <c r="AF55" s="3518"/>
      <c r="AG55" s="3518"/>
      <c r="AH55" s="3518"/>
      <c r="AI55" s="2836"/>
      <c r="AJ55" s="2914"/>
      <c r="AK55" s="2914"/>
      <c r="AL55" s="2914"/>
      <c r="AM55" s="2914"/>
      <c r="AN55" s="2914"/>
    </row>
    <row r="56" spans="1:40" ht="16.5" customHeight="1" thickBot="1">
      <c r="A56" s="3556"/>
      <c r="B56" s="3563" t="s">
        <v>461</v>
      </c>
      <c r="C56" s="629">
        <f>IF(D56=1,U$5,IF(D56=2,V$5,IF(D56=3,W$5,IF(D56=4,X$5,IF(D56=5,Y$5,IF(D56=6,Z$5,IF(D56=7,AA$5,0)))))))</f>
        <v>1.8933937422552669E-4</v>
      </c>
      <c r="D56" s="1433">
        <v>5</v>
      </c>
      <c r="E56" s="3452">
        <v>1</v>
      </c>
      <c r="F56" s="3452">
        <v>1</v>
      </c>
      <c r="G56" s="3452">
        <v>50</v>
      </c>
      <c r="H56" s="3512" t="s">
        <v>1641</v>
      </c>
      <c r="I56" s="3450">
        <v>0</v>
      </c>
      <c r="J56" s="3450">
        <v>1.3888888888888889E-3</v>
      </c>
      <c r="K56" s="2327" t="s">
        <v>1642</v>
      </c>
      <c r="L56" s="3649">
        <f t="shared" si="53"/>
        <v>0.82678996895765999</v>
      </c>
      <c r="M56" s="3448">
        <v>0.97</v>
      </c>
      <c r="N56" s="5219">
        <f t="shared" si="49"/>
        <v>1.7562072748864106E-3</v>
      </c>
      <c r="O56" s="3450">
        <f>C56*(G56/25)</f>
        <v>3.7867874845105338E-4</v>
      </c>
      <c r="P56" s="3451">
        <f t="shared" si="50"/>
        <v>3.6731838599752176E-4</v>
      </c>
      <c r="Q56" s="3452"/>
      <c r="R56" s="3662">
        <f t="shared" si="51"/>
        <v>50</v>
      </c>
      <c r="S56" s="2844">
        <f t="shared" si="2"/>
        <v>0.05</v>
      </c>
      <c r="T56" s="2845">
        <f t="shared" si="3"/>
        <v>1.5147149938042135E-3</v>
      </c>
      <c r="U56" s="374">
        <f t="shared" si="4"/>
        <v>0</v>
      </c>
      <c r="V56" s="2846">
        <f t="shared" si="5"/>
        <v>0</v>
      </c>
      <c r="W56" s="2847">
        <f t="shared" si="6"/>
        <v>0</v>
      </c>
      <c r="X56" s="2848">
        <f t="shared" si="7"/>
        <v>0</v>
      </c>
      <c r="Y56" s="2849">
        <f t="shared" si="8"/>
        <v>0.05</v>
      </c>
      <c r="Z56" s="2850">
        <f t="shared" si="9"/>
        <v>0</v>
      </c>
      <c r="AA56" s="2851">
        <f t="shared" si="10"/>
        <v>0</v>
      </c>
      <c r="AB56" s="1278"/>
      <c r="AC56" s="3518">
        <v>0</v>
      </c>
      <c r="AD56" s="3518">
        <v>0</v>
      </c>
      <c r="AE56" s="3518">
        <v>0</v>
      </c>
      <c r="AF56" s="3518">
        <v>0</v>
      </c>
      <c r="AG56" s="3518">
        <v>0</v>
      </c>
      <c r="AH56" s="3518">
        <v>0</v>
      </c>
      <c r="AI56" s="2913"/>
      <c r="AJ56" s="2914"/>
      <c r="AK56" s="2914"/>
      <c r="AL56" s="2914"/>
      <c r="AM56" s="2914"/>
      <c r="AN56" s="2914"/>
    </row>
    <row r="57" spans="1:40" ht="15" customHeight="1" thickBot="1">
      <c r="A57" s="1278"/>
      <c r="B57" s="1278"/>
      <c r="C57" s="629"/>
      <c r="D57" s="3558"/>
      <c r="E57" s="3454"/>
      <c r="F57" s="3454"/>
      <c r="G57" s="3454"/>
      <c r="H57" s="3454"/>
      <c r="I57" s="3454"/>
      <c r="J57" s="3454"/>
      <c r="K57" s="3454"/>
      <c r="L57" s="3644">
        <f t="shared" si="53"/>
        <v>0.82854617623254645</v>
      </c>
      <c r="M57" s="3455"/>
      <c r="N57" s="5214">
        <f>SUM(N54:N56)</f>
        <v>9.4707191415393105E-3</v>
      </c>
      <c r="O57" s="3454"/>
      <c r="P57" s="3454"/>
      <c r="Q57" s="3454"/>
      <c r="R57" s="3656">
        <f>SUM(R46:R56)</f>
        <v>850</v>
      </c>
      <c r="S57" s="2844">
        <f t="shared" si="2"/>
        <v>0</v>
      </c>
      <c r="T57" s="2845">
        <f t="shared" si="3"/>
        <v>0</v>
      </c>
      <c r="U57" s="374">
        <f t="shared" si="4"/>
        <v>0</v>
      </c>
      <c r="V57" s="2846">
        <f t="shared" si="5"/>
        <v>0</v>
      </c>
      <c r="W57" s="2847">
        <f t="shared" si="6"/>
        <v>0</v>
      </c>
      <c r="X57" s="2848">
        <f t="shared" si="7"/>
        <v>0</v>
      </c>
      <c r="Y57" s="2849">
        <f t="shared" si="8"/>
        <v>0</v>
      </c>
      <c r="Z57" s="2850">
        <f t="shared" si="9"/>
        <v>0</v>
      </c>
      <c r="AA57" s="2851">
        <f t="shared" si="10"/>
        <v>0</v>
      </c>
      <c r="AB57" s="1278"/>
      <c r="AC57" s="3518"/>
      <c r="AD57" s="3518"/>
      <c r="AE57" s="3518"/>
      <c r="AF57" s="3518"/>
      <c r="AG57" s="3518"/>
      <c r="AH57" s="3518"/>
      <c r="AI57" s="2913"/>
      <c r="AJ57" s="2914"/>
      <c r="AK57" s="2914"/>
      <c r="AL57" s="2914"/>
      <c r="AM57" s="2914"/>
      <c r="AN57" s="2914"/>
    </row>
    <row r="58" spans="1:40" ht="13" thickTop="1" thickBot="1">
      <c r="A58" s="3565" t="s">
        <v>217</v>
      </c>
      <c r="B58" s="3566" t="s">
        <v>136</v>
      </c>
      <c r="C58" s="629">
        <f>IF(D58=1,U$5,IF(D58=2,V$5,IF(D58=3,W$5,IF(D58=4,X$5,IF(D58=5,Y$5,IF(D58=6,Z$5,IF(D58=7,AA$5,0)))))))</f>
        <v>2.2880964381720439E-4</v>
      </c>
      <c r="D58" s="2335">
        <v>1</v>
      </c>
      <c r="E58" s="2427">
        <v>1</v>
      </c>
      <c r="F58" s="2427">
        <v>1</v>
      </c>
      <c r="G58" s="2427">
        <v>400</v>
      </c>
      <c r="H58" s="7997" t="s">
        <v>1628</v>
      </c>
      <c r="I58" s="2256">
        <v>1.1574074074074073E-4</v>
      </c>
      <c r="J58" s="2256">
        <v>1.3888888888888889E-3</v>
      </c>
      <c r="K58" s="2338" t="s">
        <v>581</v>
      </c>
      <c r="L58" s="3644">
        <v>0.80555555555555547</v>
      </c>
      <c r="M58" s="2339">
        <v>1</v>
      </c>
      <c r="N58" s="5214">
        <f>P58*E58*F58+I58*E58*F58+J58*E58</f>
        <v>5.3120221027479113E-3</v>
      </c>
      <c r="O58" s="2256">
        <f>C58*(G58/25)*1.04</f>
        <v>3.8073924731182813E-3</v>
      </c>
      <c r="P58" s="2340">
        <f>O58*M58</f>
        <v>3.8073924731182813E-3</v>
      </c>
      <c r="Q58" s="2341" t="s">
        <v>278</v>
      </c>
      <c r="R58" s="3657">
        <f>E58*F58*G58</f>
        <v>400</v>
      </c>
      <c r="S58" s="2844">
        <f t="shared" si="2"/>
        <v>0.4</v>
      </c>
      <c r="T58" s="2845">
        <f t="shared" si="3"/>
        <v>1.5229569892473125E-2</v>
      </c>
      <c r="U58" s="374">
        <f t="shared" si="4"/>
        <v>0.4</v>
      </c>
      <c r="V58" s="2846">
        <f t="shared" si="5"/>
        <v>0</v>
      </c>
      <c r="W58" s="2847">
        <f t="shared" si="6"/>
        <v>0</v>
      </c>
      <c r="X58" s="2848">
        <f t="shared" si="7"/>
        <v>0</v>
      </c>
      <c r="Y58" s="2849">
        <f t="shared" si="8"/>
        <v>0</v>
      </c>
      <c r="Z58" s="2850">
        <f t="shared" si="9"/>
        <v>0</v>
      </c>
      <c r="AA58" s="2851">
        <f t="shared" si="10"/>
        <v>0</v>
      </c>
      <c r="AB58" s="1278"/>
      <c r="AC58" s="3518"/>
      <c r="AD58" s="3518"/>
      <c r="AE58" s="3518"/>
      <c r="AF58" s="3518"/>
      <c r="AG58" s="3518"/>
      <c r="AH58" s="3518"/>
      <c r="AI58" s="2913"/>
      <c r="AJ58" s="2914"/>
      <c r="AK58" s="2914"/>
      <c r="AL58" s="2914"/>
      <c r="AM58" s="2914"/>
      <c r="AN58" s="2914"/>
    </row>
    <row r="59" spans="1:40" ht="12" thickBot="1">
      <c r="A59" s="3567" t="s">
        <v>459</v>
      </c>
      <c r="B59" s="3566" t="s">
        <v>136</v>
      </c>
      <c r="C59" s="629">
        <f t="shared" ref="C59:C75" si="55">IF(D59=1,U$5,IF(D59=2,V$5,IF(D59=3,W$5,IF(D59=4,X$5,IF(D59=5,Y$5,IF(D59=6,Z$5,IF(D59=7,AA$5,0)))))))</f>
        <v>2.1908757716049393E-4</v>
      </c>
      <c r="D59" s="2302">
        <v>2</v>
      </c>
      <c r="E59" s="2923">
        <v>1</v>
      </c>
      <c r="F59" s="2923">
        <v>6</v>
      </c>
      <c r="G59" s="2923">
        <v>50</v>
      </c>
      <c r="H59" s="7998"/>
      <c r="I59" s="2324">
        <v>1.3888888888888889E-4</v>
      </c>
      <c r="J59" s="2324">
        <v>1.3888888888888889E-3</v>
      </c>
      <c r="K59" s="2278" t="s">
        <v>670</v>
      </c>
      <c r="L59" s="3645">
        <f t="shared" ref="L59:L75" si="56">L58+N58</f>
        <v>0.81086757765830342</v>
      </c>
      <c r="M59" s="2305">
        <v>1.2</v>
      </c>
      <c r="N59" s="5215">
        <f>P59*E59*F59+I59*E59*F59+J59*E59</f>
        <v>5.5032777777777797E-3</v>
      </c>
      <c r="O59" s="2307">
        <f>C59*(G59/25)*1.04</f>
        <v>4.5570216049382737E-4</v>
      </c>
      <c r="P59" s="2307">
        <f>O59*M59</f>
        <v>5.468425925925928E-4</v>
      </c>
      <c r="Q59" s="2282" t="s">
        <v>278</v>
      </c>
      <c r="R59" s="3658">
        <f>E59*F59*G59</f>
        <v>300</v>
      </c>
      <c r="S59" s="2844">
        <f t="shared" si="2"/>
        <v>0.3</v>
      </c>
      <c r="T59" s="2845">
        <f t="shared" si="3"/>
        <v>1.0936851851851857E-2</v>
      </c>
      <c r="U59" s="374">
        <f t="shared" si="4"/>
        <v>0</v>
      </c>
      <c r="V59" s="2846">
        <f t="shared" si="5"/>
        <v>0.3</v>
      </c>
      <c r="W59" s="2847">
        <f t="shared" si="6"/>
        <v>0</v>
      </c>
      <c r="X59" s="2848">
        <f t="shared" si="7"/>
        <v>0</v>
      </c>
      <c r="Y59" s="2849">
        <f t="shared" si="8"/>
        <v>0</v>
      </c>
      <c r="Z59" s="2850">
        <f t="shared" si="9"/>
        <v>0</v>
      </c>
      <c r="AA59" s="2851">
        <f t="shared" si="10"/>
        <v>0</v>
      </c>
      <c r="AB59" s="1278"/>
      <c r="AC59" s="3518"/>
      <c r="AD59" s="3518"/>
      <c r="AE59" s="3518"/>
      <c r="AF59" s="3518"/>
      <c r="AG59" s="3518"/>
      <c r="AH59" s="3518"/>
      <c r="AI59" s="2913"/>
      <c r="AJ59" s="2914"/>
      <c r="AK59" s="2914"/>
      <c r="AL59" s="2914"/>
      <c r="AM59" s="2914"/>
      <c r="AN59" s="2914"/>
    </row>
    <row r="60" spans="1:40" ht="12" thickBot="1">
      <c r="A60" s="3567" t="s">
        <v>458</v>
      </c>
      <c r="B60" s="3566" t="s">
        <v>136</v>
      </c>
      <c r="C60" s="629">
        <f t="shared" si="55"/>
        <v>2.1222190799396687E-4</v>
      </c>
      <c r="D60" s="3559">
        <v>3</v>
      </c>
      <c r="E60" s="3499">
        <v>1</v>
      </c>
      <c r="F60" s="3499">
        <v>4</v>
      </c>
      <c r="G60" s="3499">
        <v>50</v>
      </c>
      <c r="H60" s="7999"/>
      <c r="I60" s="2314">
        <v>4.6296296296296293E-4</v>
      </c>
      <c r="J60" s="2314">
        <v>2.0833333333333333E-3</v>
      </c>
      <c r="K60" s="2310" t="s">
        <v>2099</v>
      </c>
      <c r="L60" s="3646">
        <f t="shared" si="56"/>
        <v>0.81637085543608123</v>
      </c>
      <c r="M60" s="2312">
        <v>1</v>
      </c>
      <c r="N60" s="5216">
        <f>P60*E60*F60+I60*E60*F60+J60*E60</f>
        <v>5.7008714596949901E-3</v>
      </c>
      <c r="O60" s="2314">
        <f>C60*(G60/25)*1.04</f>
        <v>4.4142156862745112E-4</v>
      </c>
      <c r="P60" s="2315">
        <f>O60*M60</f>
        <v>4.4142156862745112E-4</v>
      </c>
      <c r="Q60" s="2274" t="s">
        <v>278</v>
      </c>
      <c r="R60" s="3659">
        <f>E60*F60*G60</f>
        <v>200</v>
      </c>
      <c r="S60" s="2844">
        <f t="shared" si="2"/>
        <v>0.2</v>
      </c>
      <c r="T60" s="2845">
        <f t="shared" si="3"/>
        <v>7.0627450980392179E-3</v>
      </c>
      <c r="U60" s="374">
        <f t="shared" si="4"/>
        <v>0</v>
      </c>
      <c r="V60" s="2846">
        <f t="shared" si="5"/>
        <v>0</v>
      </c>
      <c r="W60" s="2847">
        <f t="shared" si="6"/>
        <v>0.2</v>
      </c>
      <c r="X60" s="2848">
        <f t="shared" si="7"/>
        <v>0</v>
      </c>
      <c r="Y60" s="2849">
        <f t="shared" si="8"/>
        <v>0</v>
      </c>
      <c r="Z60" s="2850">
        <f t="shared" si="9"/>
        <v>0</v>
      </c>
      <c r="AA60" s="2851">
        <f t="shared" si="10"/>
        <v>0</v>
      </c>
      <c r="AB60" s="1278"/>
      <c r="AC60" s="3518"/>
      <c r="AD60" s="3518"/>
      <c r="AE60" s="3518"/>
      <c r="AF60" s="3518"/>
      <c r="AG60" s="3518"/>
      <c r="AH60" s="3518"/>
      <c r="AI60" s="2913"/>
      <c r="AJ60" s="2914"/>
      <c r="AK60" s="2914"/>
      <c r="AL60" s="2914"/>
      <c r="AM60" s="2914"/>
      <c r="AN60" s="2914"/>
    </row>
    <row r="61" spans="1:40" ht="14" thickBot="1">
      <c r="A61" s="3567" t="s">
        <v>218</v>
      </c>
      <c r="B61" s="3566"/>
      <c r="C61" s="629">
        <f t="shared" si="55"/>
        <v>1.8229166666666673E-4</v>
      </c>
      <c r="D61" s="4952">
        <v>6</v>
      </c>
      <c r="E61" s="5225">
        <v>1</v>
      </c>
      <c r="F61" s="5223">
        <v>1</v>
      </c>
      <c r="G61" s="4559">
        <v>35</v>
      </c>
      <c r="H61" s="5222">
        <v>0.95</v>
      </c>
      <c r="I61" s="4560">
        <v>1.3888888888888889E-3</v>
      </c>
      <c r="J61" s="4560">
        <v>0</v>
      </c>
      <c r="K61" s="4561" t="s">
        <v>2096</v>
      </c>
      <c r="L61" s="5186">
        <f t="shared" si="56"/>
        <v>0.82207172689577623</v>
      </c>
      <c r="M61" s="4562">
        <v>1</v>
      </c>
      <c r="N61" s="5186">
        <f t="shared" ref="N61" si="57">P61*E61*F61+I61*E61*F61+J61*E61</f>
        <v>1.6492013888888891E-3</v>
      </c>
      <c r="O61" s="4563">
        <f>C61*(G61/25)*1.02</f>
        <v>2.6031250000000007E-4</v>
      </c>
      <c r="P61" s="5184">
        <f t="shared" ref="P61" si="58">O61*M61</f>
        <v>2.6031250000000007E-4</v>
      </c>
      <c r="Q61" s="4565">
        <v>177</v>
      </c>
      <c r="R61" s="4559">
        <f t="shared" ref="R61" si="59">E61*F61*G61</f>
        <v>35</v>
      </c>
      <c r="S61" s="2844">
        <f t="shared" si="2"/>
        <v>3.5000000000000003E-2</v>
      </c>
      <c r="T61" s="2845">
        <f t="shared" si="3"/>
        <v>1.0412500000000003E-3</v>
      </c>
      <c r="U61" s="374">
        <f t="shared" si="4"/>
        <v>0</v>
      </c>
      <c r="V61" s="2846">
        <f t="shared" si="5"/>
        <v>0</v>
      </c>
      <c r="W61" s="2847">
        <f t="shared" si="6"/>
        <v>0</v>
      </c>
      <c r="X61" s="2848">
        <f t="shared" si="7"/>
        <v>0</v>
      </c>
      <c r="Y61" s="2849">
        <f t="shared" si="8"/>
        <v>0</v>
      </c>
      <c r="Z61" s="2850">
        <f t="shared" si="9"/>
        <v>3.5000000000000003E-2</v>
      </c>
      <c r="AA61" s="2851">
        <f t="shared" si="10"/>
        <v>0</v>
      </c>
      <c r="AB61" s="1278"/>
      <c r="AC61" s="3518"/>
      <c r="AD61" s="3518"/>
      <c r="AE61" s="3518"/>
      <c r="AF61" s="3518"/>
      <c r="AG61" s="3518"/>
      <c r="AH61" s="3518"/>
      <c r="AI61" s="2913"/>
      <c r="AJ61" s="2914"/>
      <c r="AK61" s="2914"/>
      <c r="AL61" s="2914"/>
      <c r="AM61" s="2914"/>
      <c r="AN61" s="2914"/>
    </row>
    <row r="62" spans="1:40" ht="14" thickBot="1">
      <c r="A62" s="3567" t="s">
        <v>458</v>
      </c>
      <c r="B62" s="3566" t="s">
        <v>214</v>
      </c>
      <c r="C62" s="629">
        <f t="shared" si="55"/>
        <v>1.8229166666666673E-4</v>
      </c>
      <c r="D62" s="4952">
        <v>6</v>
      </c>
      <c r="E62" s="5226">
        <v>1</v>
      </c>
      <c r="F62" s="5223">
        <v>1</v>
      </c>
      <c r="G62" s="4559">
        <v>25</v>
      </c>
      <c r="H62" s="5222">
        <v>0.95</v>
      </c>
      <c r="I62" s="4560">
        <v>3.4722222222222224E-4</v>
      </c>
      <c r="J62" s="4560">
        <v>0</v>
      </c>
      <c r="K62" s="4561" t="s">
        <v>2097</v>
      </c>
      <c r="L62" s="5186">
        <f t="shared" si="56"/>
        <v>0.82372092828466514</v>
      </c>
      <c r="M62" s="4562">
        <v>1</v>
      </c>
      <c r="N62" s="5186">
        <f t="shared" ref="N62" si="60">P62*E62*F62+I62*E62*F62+J62*E62</f>
        <v>5.331597222222223E-4</v>
      </c>
      <c r="O62" s="4563">
        <f>C62*(G62/25)*1.02</f>
        <v>1.8593750000000007E-4</v>
      </c>
      <c r="P62" s="5184">
        <f t="shared" ref="P62" si="61">O62*M62</f>
        <v>1.8593750000000007E-4</v>
      </c>
      <c r="Q62" s="4565">
        <v>177</v>
      </c>
      <c r="R62" s="4559">
        <f t="shared" ref="R62" si="62">E62*F62*G62</f>
        <v>25</v>
      </c>
      <c r="S62" s="2844">
        <f t="shared" si="2"/>
        <v>2.5000000000000001E-2</v>
      </c>
      <c r="T62" s="2845">
        <f t="shared" si="3"/>
        <v>7.4375000000000027E-4</v>
      </c>
      <c r="U62" s="374">
        <f t="shared" si="4"/>
        <v>0</v>
      </c>
      <c r="V62" s="2846">
        <f t="shared" si="5"/>
        <v>0</v>
      </c>
      <c r="W62" s="2847">
        <f t="shared" si="6"/>
        <v>0</v>
      </c>
      <c r="X62" s="2848">
        <f t="shared" si="7"/>
        <v>0</v>
      </c>
      <c r="Y62" s="2849">
        <f t="shared" si="8"/>
        <v>0</v>
      </c>
      <c r="Z62" s="2850">
        <f t="shared" si="9"/>
        <v>2.5000000000000001E-2</v>
      </c>
      <c r="AA62" s="2851">
        <f t="shared" si="10"/>
        <v>0</v>
      </c>
      <c r="AB62" s="1278"/>
      <c r="AC62" s="3518"/>
      <c r="AD62" s="3518"/>
      <c r="AE62" s="3518"/>
      <c r="AF62" s="3518"/>
      <c r="AG62" s="3518"/>
      <c r="AH62" s="3518"/>
      <c r="AI62" s="2913"/>
      <c r="AJ62" s="2914"/>
      <c r="AK62" s="2914"/>
      <c r="AL62" s="2914"/>
      <c r="AM62" s="2914"/>
      <c r="AN62" s="2914"/>
    </row>
    <row r="63" spans="1:40" ht="14" thickBot="1">
      <c r="A63" s="1278"/>
      <c r="B63" s="1278"/>
      <c r="C63" s="629">
        <f t="shared" si="55"/>
        <v>1.8229166666666673E-4</v>
      </c>
      <c r="D63" s="4952">
        <v>6</v>
      </c>
      <c r="E63" s="5227">
        <v>1</v>
      </c>
      <c r="F63" s="5223">
        <v>2</v>
      </c>
      <c r="G63" s="4559">
        <v>20</v>
      </c>
      <c r="H63" s="5222">
        <v>0.95</v>
      </c>
      <c r="I63" s="4560">
        <v>2.3148148148148146E-4</v>
      </c>
      <c r="J63" s="4560">
        <v>0</v>
      </c>
      <c r="K63" s="4561" t="s">
        <v>2098</v>
      </c>
      <c r="L63" s="5186">
        <f t="shared" si="56"/>
        <v>0.82425408800688738</v>
      </c>
      <c r="M63" s="4562">
        <v>1</v>
      </c>
      <c r="N63" s="5186">
        <f t="shared" ref="N63" si="63">P63*E63*F63+I63*E63*F63+J63*E63</f>
        <v>7.60462962962963E-4</v>
      </c>
      <c r="O63" s="4563">
        <f>C63*(G63/25)*1.02</f>
        <v>1.4875000000000006E-4</v>
      </c>
      <c r="P63" s="5184">
        <f t="shared" ref="P63" si="64">O63*M63</f>
        <v>1.4875000000000006E-4</v>
      </c>
      <c r="Q63" s="4565">
        <v>177</v>
      </c>
      <c r="R63" s="4559">
        <f t="shared" ref="R63" si="65">E63*F63*G63</f>
        <v>40</v>
      </c>
      <c r="S63" s="2844">
        <f t="shared" si="2"/>
        <v>0.04</v>
      </c>
      <c r="T63" s="2845">
        <f t="shared" si="3"/>
        <v>1.1900000000000005E-3</v>
      </c>
      <c r="U63" s="374">
        <f t="shared" si="4"/>
        <v>0</v>
      </c>
      <c r="V63" s="2846">
        <f t="shared" si="5"/>
        <v>0</v>
      </c>
      <c r="W63" s="2847">
        <f t="shared" si="6"/>
        <v>0</v>
      </c>
      <c r="X63" s="2848">
        <f t="shared" si="7"/>
        <v>0</v>
      </c>
      <c r="Y63" s="2849">
        <f t="shared" si="8"/>
        <v>0</v>
      </c>
      <c r="Z63" s="2850">
        <f t="shared" si="9"/>
        <v>0.04</v>
      </c>
      <c r="AA63" s="2851">
        <f t="shared" si="10"/>
        <v>0</v>
      </c>
      <c r="AB63" s="1278"/>
      <c r="AC63" s="3518"/>
      <c r="AD63" s="3518"/>
      <c r="AE63" s="3518"/>
      <c r="AF63" s="3518"/>
      <c r="AG63" s="3518"/>
      <c r="AH63" s="3518"/>
      <c r="AI63" s="2913"/>
      <c r="AJ63" s="2914"/>
      <c r="AK63" s="2914"/>
      <c r="AL63" s="2914"/>
      <c r="AM63" s="2914"/>
      <c r="AN63" s="2914"/>
    </row>
    <row r="64" spans="1:40" ht="12" thickBot="1">
      <c r="A64" s="1278"/>
      <c r="B64" s="1278"/>
      <c r="C64" s="629">
        <f t="shared" si="55"/>
        <v>2.1908757716049393E-4</v>
      </c>
      <c r="D64" s="2302">
        <v>2</v>
      </c>
      <c r="E64" s="5224">
        <v>1</v>
      </c>
      <c r="F64" s="2923">
        <v>6</v>
      </c>
      <c r="G64" s="2923">
        <v>50</v>
      </c>
      <c r="H64" s="5208"/>
      <c r="I64" s="2324">
        <v>1.3888888888888889E-4</v>
      </c>
      <c r="J64" s="2324">
        <v>1.3888888888888889E-3</v>
      </c>
      <c r="K64" s="2278" t="s">
        <v>670</v>
      </c>
      <c r="L64" s="3645">
        <f t="shared" si="56"/>
        <v>0.82501455096985032</v>
      </c>
      <c r="M64" s="2305">
        <v>1.2</v>
      </c>
      <c r="N64" s="5215">
        <f>P64*E64*F64+I64*E64*F64+J64*E64</f>
        <v>5.5032777777777797E-3</v>
      </c>
      <c r="O64" s="2307">
        <f>C64*(G64/25)*1.04</f>
        <v>4.5570216049382737E-4</v>
      </c>
      <c r="P64" s="2307">
        <f>O64*M64</f>
        <v>5.468425925925928E-4</v>
      </c>
      <c r="Q64" s="2282" t="s">
        <v>278</v>
      </c>
      <c r="R64" s="3658">
        <f>E64*F64*G64</f>
        <v>300</v>
      </c>
      <c r="S64" s="2844">
        <f t="shared" si="2"/>
        <v>0.3</v>
      </c>
      <c r="T64" s="2845">
        <f t="shared" si="3"/>
        <v>1.0936851851851857E-2</v>
      </c>
      <c r="U64" s="374">
        <f t="shared" si="4"/>
        <v>0</v>
      </c>
      <c r="V64" s="2846">
        <f t="shared" si="5"/>
        <v>0.3</v>
      </c>
      <c r="W64" s="2847">
        <f t="shared" si="6"/>
        <v>0</v>
      </c>
      <c r="X64" s="2848">
        <f t="shared" si="7"/>
        <v>0</v>
      </c>
      <c r="Y64" s="2849">
        <f t="shared" si="8"/>
        <v>0</v>
      </c>
      <c r="Z64" s="2850">
        <f t="shared" si="9"/>
        <v>0</v>
      </c>
      <c r="AA64" s="2851">
        <f t="shared" si="10"/>
        <v>0</v>
      </c>
      <c r="AB64" s="1278"/>
      <c r="AC64" s="3518"/>
      <c r="AD64" s="3518"/>
      <c r="AE64" s="3518"/>
      <c r="AF64" s="3518"/>
      <c r="AG64" s="3518"/>
      <c r="AH64" s="3518"/>
      <c r="AI64" s="2913"/>
      <c r="AJ64" s="2914"/>
      <c r="AK64" s="2914"/>
      <c r="AL64" s="2914"/>
      <c r="AM64" s="2914"/>
      <c r="AN64" s="2914"/>
    </row>
    <row r="65" spans="1:40" ht="13" customHeight="1" thickBot="1">
      <c r="A65" s="3565" t="s">
        <v>217</v>
      </c>
      <c r="B65" s="3566" t="s">
        <v>136</v>
      </c>
      <c r="C65" s="629">
        <f t="shared" si="55"/>
        <v>2.1222190799396687E-4</v>
      </c>
      <c r="D65" s="3559">
        <v>3</v>
      </c>
      <c r="E65" s="3499">
        <v>1</v>
      </c>
      <c r="F65" s="3499">
        <v>4</v>
      </c>
      <c r="G65" s="3499">
        <v>50</v>
      </c>
      <c r="H65" s="5209"/>
      <c r="I65" s="2314">
        <v>4.6296296296296293E-4</v>
      </c>
      <c r="J65" s="2314">
        <v>2.0833333333333333E-3</v>
      </c>
      <c r="K65" s="2310" t="s">
        <v>2100</v>
      </c>
      <c r="L65" s="3646">
        <f t="shared" si="56"/>
        <v>0.83051782874762814</v>
      </c>
      <c r="M65" s="2312">
        <v>1</v>
      </c>
      <c r="N65" s="5216">
        <f>P65*E65*F65+I65*E65*F65+J65*E65</f>
        <v>5.7008714596949901E-3</v>
      </c>
      <c r="O65" s="2314">
        <f>C65*(G65/25)*1.04</f>
        <v>4.4142156862745112E-4</v>
      </c>
      <c r="P65" s="2315">
        <f>O65*M65</f>
        <v>4.4142156862745112E-4</v>
      </c>
      <c r="Q65" s="2274" t="s">
        <v>278</v>
      </c>
      <c r="R65" s="3659">
        <f>E65*F65*G65</f>
        <v>200</v>
      </c>
      <c r="S65" s="2844">
        <f t="shared" si="2"/>
        <v>0.2</v>
      </c>
      <c r="T65" s="2845">
        <f t="shared" si="3"/>
        <v>7.0627450980392179E-3</v>
      </c>
      <c r="U65" s="374">
        <f t="shared" si="4"/>
        <v>0</v>
      </c>
      <c r="V65" s="2846">
        <f t="shared" si="5"/>
        <v>0</v>
      </c>
      <c r="W65" s="2847">
        <f t="shared" si="6"/>
        <v>0.2</v>
      </c>
      <c r="X65" s="2848">
        <f t="shared" si="7"/>
        <v>0</v>
      </c>
      <c r="Y65" s="2849">
        <f t="shared" si="8"/>
        <v>0</v>
      </c>
      <c r="Z65" s="2850">
        <f t="shared" si="9"/>
        <v>0</v>
      </c>
      <c r="AA65" s="2851">
        <f t="shared" si="10"/>
        <v>0</v>
      </c>
      <c r="AB65" s="1278"/>
      <c r="AC65" s="3518"/>
      <c r="AD65" s="3518"/>
      <c r="AE65" s="3518"/>
      <c r="AF65" s="3518"/>
      <c r="AG65" s="3518"/>
      <c r="AH65" s="3518"/>
      <c r="AI65" s="2913"/>
      <c r="AJ65" s="2914"/>
      <c r="AK65" s="2914"/>
      <c r="AL65" s="2914"/>
      <c r="AM65" s="2914"/>
      <c r="AN65" s="2914"/>
    </row>
    <row r="66" spans="1:40" ht="15" customHeight="1" thickBot="1">
      <c r="A66" s="3567" t="s">
        <v>459</v>
      </c>
      <c r="B66" s="3566" t="s">
        <v>136</v>
      </c>
      <c r="C66" s="629">
        <f t="shared" si="55"/>
        <v>1.8229166666666673E-4</v>
      </c>
      <c r="D66" s="4952">
        <v>6</v>
      </c>
      <c r="E66" s="5225">
        <v>1</v>
      </c>
      <c r="F66" s="5223">
        <v>1</v>
      </c>
      <c r="G66" s="4559">
        <v>35</v>
      </c>
      <c r="H66" s="5222">
        <v>0.95</v>
      </c>
      <c r="I66" s="4560">
        <v>6.9444444444444447E-4</v>
      </c>
      <c r="J66" s="4560">
        <v>0</v>
      </c>
      <c r="K66" s="4561" t="s">
        <v>2096</v>
      </c>
      <c r="L66" s="5186">
        <f t="shared" si="56"/>
        <v>0.83621870020732314</v>
      </c>
      <c r="M66" s="4562">
        <v>1</v>
      </c>
      <c r="N66" s="5186">
        <f t="shared" ref="N66:N68" si="66">P66*E66*F66+I66*E66*F66+J66*E66</f>
        <v>9.5475694444444449E-4</v>
      </c>
      <c r="O66" s="4563">
        <f>C66*(G66/25)*1.02</f>
        <v>2.6031250000000007E-4</v>
      </c>
      <c r="P66" s="5184">
        <f t="shared" ref="P66:P68" si="67">O66*M66</f>
        <v>2.6031250000000007E-4</v>
      </c>
      <c r="Q66" s="4565">
        <v>177</v>
      </c>
      <c r="R66" s="4559">
        <f t="shared" ref="R66:R68" si="68">E66*F66*G66</f>
        <v>35</v>
      </c>
      <c r="S66" s="2844">
        <f t="shared" si="2"/>
        <v>3.5000000000000003E-2</v>
      </c>
      <c r="T66" s="2845">
        <f t="shared" si="3"/>
        <v>1.0412500000000003E-3</v>
      </c>
      <c r="U66" s="374">
        <f t="shared" si="4"/>
        <v>0</v>
      </c>
      <c r="V66" s="2846">
        <f t="shared" si="5"/>
        <v>0</v>
      </c>
      <c r="W66" s="2847">
        <f t="shared" si="6"/>
        <v>0</v>
      </c>
      <c r="X66" s="2848">
        <f t="shared" si="7"/>
        <v>0</v>
      </c>
      <c r="Y66" s="2849">
        <f t="shared" si="8"/>
        <v>0</v>
      </c>
      <c r="Z66" s="2850">
        <f t="shared" si="9"/>
        <v>3.5000000000000003E-2</v>
      </c>
      <c r="AA66" s="2851">
        <f t="shared" si="10"/>
        <v>0</v>
      </c>
      <c r="AB66" s="1278"/>
      <c r="AC66" s="3518"/>
      <c r="AD66" s="3518"/>
      <c r="AE66" s="3518"/>
      <c r="AF66" s="3518"/>
      <c r="AG66" s="3518"/>
      <c r="AH66" s="3518"/>
      <c r="AI66" s="2913"/>
      <c r="AJ66" s="2914"/>
      <c r="AK66" s="2914"/>
      <c r="AL66" s="2914"/>
      <c r="AM66" s="2914"/>
      <c r="AN66" s="2914"/>
    </row>
    <row r="67" spans="1:40" ht="16" customHeight="1" thickBot="1">
      <c r="A67" s="3567" t="s">
        <v>458</v>
      </c>
      <c r="B67" s="3566" t="s">
        <v>136</v>
      </c>
      <c r="C67" s="629">
        <f t="shared" si="55"/>
        <v>1.8229166666666673E-4</v>
      </c>
      <c r="D67" s="4952">
        <v>6</v>
      </c>
      <c r="E67" s="5226">
        <v>1</v>
      </c>
      <c r="F67" s="5223">
        <v>1</v>
      </c>
      <c r="G67" s="4559">
        <v>25</v>
      </c>
      <c r="H67" s="5222">
        <v>0.95</v>
      </c>
      <c r="I67" s="4560">
        <v>3.4722222222222224E-4</v>
      </c>
      <c r="J67" s="4560">
        <v>0</v>
      </c>
      <c r="K67" s="4561" t="s">
        <v>2097</v>
      </c>
      <c r="L67" s="5186">
        <f t="shared" si="56"/>
        <v>0.83717345715176761</v>
      </c>
      <c r="M67" s="4562">
        <v>1</v>
      </c>
      <c r="N67" s="5186">
        <f t="shared" si="66"/>
        <v>5.331597222222223E-4</v>
      </c>
      <c r="O67" s="4563">
        <f>C67*(G67/25)*1.02</f>
        <v>1.8593750000000007E-4</v>
      </c>
      <c r="P67" s="5184">
        <f t="shared" si="67"/>
        <v>1.8593750000000007E-4</v>
      </c>
      <c r="Q67" s="4565">
        <v>177</v>
      </c>
      <c r="R67" s="4559">
        <f t="shared" si="68"/>
        <v>25</v>
      </c>
      <c r="S67" s="2844">
        <f t="shared" si="2"/>
        <v>2.5000000000000001E-2</v>
      </c>
      <c r="T67" s="2845">
        <f t="shared" si="3"/>
        <v>7.4375000000000027E-4</v>
      </c>
      <c r="U67" s="374">
        <f t="shared" si="4"/>
        <v>0</v>
      </c>
      <c r="V67" s="2846">
        <f t="shared" si="5"/>
        <v>0</v>
      </c>
      <c r="W67" s="2847">
        <f t="shared" si="6"/>
        <v>0</v>
      </c>
      <c r="X67" s="2848">
        <f t="shared" si="7"/>
        <v>0</v>
      </c>
      <c r="Y67" s="2849">
        <f t="shared" si="8"/>
        <v>0</v>
      </c>
      <c r="Z67" s="2850">
        <f t="shared" si="9"/>
        <v>2.5000000000000001E-2</v>
      </c>
      <c r="AA67" s="2851">
        <f t="shared" si="10"/>
        <v>0</v>
      </c>
      <c r="AB67" s="1278"/>
      <c r="AC67" s="3518"/>
      <c r="AD67" s="3518"/>
      <c r="AE67" s="3518"/>
      <c r="AF67" s="3518"/>
      <c r="AG67" s="3518"/>
      <c r="AH67" s="3518"/>
      <c r="AI67" s="2913"/>
      <c r="AJ67" s="2914"/>
      <c r="AK67" s="2914"/>
      <c r="AL67" s="2914"/>
      <c r="AM67" s="2914"/>
      <c r="AN67" s="2914"/>
    </row>
    <row r="68" spans="1:40" ht="13" customHeight="1" thickBot="1">
      <c r="A68" s="3567" t="s">
        <v>218</v>
      </c>
      <c r="B68" s="3566"/>
      <c r="C68" s="629">
        <f t="shared" si="55"/>
        <v>1.8229166666666673E-4</v>
      </c>
      <c r="D68" s="4952">
        <v>6</v>
      </c>
      <c r="E68" s="5227">
        <v>1</v>
      </c>
      <c r="F68" s="5223">
        <v>2</v>
      </c>
      <c r="G68" s="4559">
        <v>20</v>
      </c>
      <c r="H68" s="5222">
        <v>0.95</v>
      </c>
      <c r="I68" s="4560">
        <v>2.3148148148148146E-4</v>
      </c>
      <c r="J68" s="4560">
        <v>0</v>
      </c>
      <c r="K68" s="4561" t="s">
        <v>2098</v>
      </c>
      <c r="L68" s="5186">
        <f t="shared" si="56"/>
        <v>0.83770661687398984</v>
      </c>
      <c r="M68" s="4562">
        <v>1</v>
      </c>
      <c r="N68" s="5186">
        <f t="shared" si="66"/>
        <v>7.60462962962963E-4</v>
      </c>
      <c r="O68" s="4563">
        <f>C68*(G68/25)*1.02</f>
        <v>1.4875000000000006E-4</v>
      </c>
      <c r="P68" s="5184">
        <f t="shared" si="67"/>
        <v>1.4875000000000006E-4</v>
      </c>
      <c r="Q68" s="4565">
        <v>177</v>
      </c>
      <c r="R68" s="4559">
        <f t="shared" si="68"/>
        <v>40</v>
      </c>
      <c r="S68" s="2844">
        <f t="shared" si="2"/>
        <v>0.04</v>
      </c>
      <c r="T68" s="2845">
        <f t="shared" si="3"/>
        <v>1.1900000000000005E-3</v>
      </c>
      <c r="U68" s="374">
        <f t="shared" si="4"/>
        <v>0</v>
      </c>
      <c r="V68" s="2846">
        <f t="shared" si="5"/>
        <v>0</v>
      </c>
      <c r="W68" s="2847">
        <f t="shared" si="6"/>
        <v>0</v>
      </c>
      <c r="X68" s="2848">
        <f t="shared" si="7"/>
        <v>0</v>
      </c>
      <c r="Y68" s="2849">
        <f t="shared" si="8"/>
        <v>0</v>
      </c>
      <c r="Z68" s="2850">
        <f t="shared" si="9"/>
        <v>0.04</v>
      </c>
      <c r="AA68" s="2851">
        <f t="shared" si="10"/>
        <v>0</v>
      </c>
      <c r="AB68" s="1278"/>
      <c r="AC68" s="3518"/>
      <c r="AD68" s="3518"/>
      <c r="AE68" s="3518"/>
      <c r="AF68" s="3518"/>
      <c r="AG68" s="3518"/>
      <c r="AH68" s="3518"/>
      <c r="AI68" s="2913"/>
      <c r="AJ68" s="2914"/>
      <c r="AK68" s="2914"/>
      <c r="AL68" s="2914"/>
      <c r="AM68" s="2914"/>
      <c r="AN68" s="2914"/>
    </row>
    <row r="69" spans="1:40" ht="13" customHeight="1" thickBot="1">
      <c r="A69" s="3567"/>
      <c r="B69" s="3566"/>
      <c r="C69" s="629">
        <f t="shared" si="55"/>
        <v>2.1908757716049393E-4</v>
      </c>
      <c r="D69" s="2302">
        <v>2</v>
      </c>
      <c r="E69" s="5224">
        <v>1</v>
      </c>
      <c r="F69" s="2923">
        <v>6</v>
      </c>
      <c r="G69" s="2923">
        <v>50</v>
      </c>
      <c r="H69" s="5208"/>
      <c r="I69" s="2324">
        <v>1.3888888888888889E-4</v>
      </c>
      <c r="J69" s="2324">
        <v>1.3888888888888889E-3</v>
      </c>
      <c r="K69" s="2278" t="s">
        <v>670</v>
      </c>
      <c r="L69" s="3645">
        <f t="shared" si="56"/>
        <v>0.83846707983695279</v>
      </c>
      <c r="M69" s="2305">
        <v>1.2</v>
      </c>
      <c r="N69" s="5215">
        <f>P69*E69*F69+I69*E69*F69+J69*E69</f>
        <v>5.5032777777777797E-3</v>
      </c>
      <c r="O69" s="2307">
        <f>C69*(G69/25)*1.04</f>
        <v>4.5570216049382737E-4</v>
      </c>
      <c r="P69" s="2307">
        <f>O69*M69</f>
        <v>5.468425925925928E-4</v>
      </c>
      <c r="Q69" s="2282" t="s">
        <v>278</v>
      </c>
      <c r="R69" s="3658">
        <f>E69*F69*G69</f>
        <v>300</v>
      </c>
      <c r="S69" s="2844">
        <f t="shared" si="2"/>
        <v>0.3</v>
      </c>
      <c r="T69" s="2845">
        <f t="shared" si="3"/>
        <v>1.0936851851851857E-2</v>
      </c>
      <c r="U69" s="374">
        <f t="shared" si="4"/>
        <v>0</v>
      </c>
      <c r="V69" s="2846">
        <f t="shared" si="5"/>
        <v>0.3</v>
      </c>
      <c r="W69" s="2847">
        <f t="shared" si="6"/>
        <v>0</v>
      </c>
      <c r="X69" s="2848">
        <f t="shared" si="7"/>
        <v>0</v>
      </c>
      <c r="Y69" s="2849">
        <f t="shared" si="8"/>
        <v>0</v>
      </c>
      <c r="Z69" s="2850">
        <f t="shared" si="9"/>
        <v>0</v>
      </c>
      <c r="AA69" s="2851">
        <f t="shared" si="10"/>
        <v>0</v>
      </c>
      <c r="AB69" s="1278"/>
      <c r="AC69" s="3518"/>
      <c r="AD69" s="3518"/>
      <c r="AE69" s="3518"/>
      <c r="AF69" s="3518"/>
      <c r="AG69" s="3518"/>
      <c r="AH69" s="3518"/>
      <c r="AI69" s="2913"/>
      <c r="AJ69" s="2914"/>
      <c r="AK69" s="2914"/>
      <c r="AL69" s="2914"/>
      <c r="AM69" s="2914"/>
      <c r="AN69" s="2914"/>
    </row>
    <row r="70" spans="1:40" ht="13" customHeight="1" thickBot="1">
      <c r="A70" s="3567"/>
      <c r="B70" s="3566"/>
      <c r="C70" s="629">
        <f t="shared" si="55"/>
        <v>2.1222190799396687E-4</v>
      </c>
      <c r="D70" s="3559">
        <v>3</v>
      </c>
      <c r="E70" s="3499">
        <v>1</v>
      </c>
      <c r="F70" s="3499">
        <v>4</v>
      </c>
      <c r="G70" s="3499">
        <v>50</v>
      </c>
      <c r="H70" s="5209"/>
      <c r="I70" s="2314">
        <v>4.6296296296296293E-4</v>
      </c>
      <c r="J70" s="2314">
        <v>2.0833333333333333E-3</v>
      </c>
      <c r="K70" s="2310" t="s">
        <v>1219</v>
      </c>
      <c r="L70" s="3646">
        <f t="shared" si="56"/>
        <v>0.8439703576147306</v>
      </c>
      <c r="M70" s="2312">
        <v>1</v>
      </c>
      <c r="N70" s="5216">
        <f>P70*E70*F70+I70*E70*F70+J70*E70</f>
        <v>5.7008714596949901E-3</v>
      </c>
      <c r="O70" s="2314">
        <f>C70*(G70/25)*1.04</f>
        <v>4.4142156862745112E-4</v>
      </c>
      <c r="P70" s="2315">
        <f>O70*M70</f>
        <v>4.4142156862745112E-4</v>
      </c>
      <c r="Q70" s="2274" t="s">
        <v>278</v>
      </c>
      <c r="R70" s="3659">
        <f>E70*F70*G70</f>
        <v>200</v>
      </c>
      <c r="S70" s="2844">
        <f t="shared" si="2"/>
        <v>0.2</v>
      </c>
      <c r="T70" s="2845">
        <f t="shared" si="3"/>
        <v>7.0627450980392179E-3</v>
      </c>
      <c r="U70" s="374">
        <f t="shared" si="4"/>
        <v>0</v>
      </c>
      <c r="V70" s="2846">
        <f t="shared" si="5"/>
        <v>0</v>
      </c>
      <c r="W70" s="2847">
        <f t="shared" si="6"/>
        <v>0.2</v>
      </c>
      <c r="X70" s="2848">
        <f t="shared" si="7"/>
        <v>0</v>
      </c>
      <c r="Y70" s="2849">
        <f t="shared" si="8"/>
        <v>0</v>
      </c>
      <c r="Z70" s="2850">
        <f t="shared" si="9"/>
        <v>0</v>
      </c>
      <c r="AA70" s="2851">
        <f t="shared" si="10"/>
        <v>0</v>
      </c>
      <c r="AB70" s="1278"/>
      <c r="AC70" s="3518"/>
      <c r="AD70" s="3518"/>
      <c r="AE70" s="3518"/>
      <c r="AF70" s="3518"/>
      <c r="AG70" s="3518"/>
      <c r="AH70" s="3518"/>
      <c r="AI70" s="2913"/>
      <c r="AJ70" s="2914"/>
      <c r="AK70" s="2914"/>
      <c r="AL70" s="2914"/>
      <c r="AM70" s="2914"/>
      <c r="AN70" s="2914"/>
    </row>
    <row r="71" spans="1:40" ht="13" customHeight="1" thickBot="1">
      <c r="A71" s="3567"/>
      <c r="B71" s="3566"/>
      <c r="C71" s="629">
        <f t="shared" si="55"/>
        <v>1.8229166666666673E-4</v>
      </c>
      <c r="D71" s="4952">
        <v>6</v>
      </c>
      <c r="E71" s="5225">
        <v>1</v>
      </c>
      <c r="F71" s="5223">
        <v>1</v>
      </c>
      <c r="G71" s="4559">
        <v>35</v>
      </c>
      <c r="H71" s="5222">
        <v>1</v>
      </c>
      <c r="I71" s="4560">
        <v>1.3888888888888889E-3</v>
      </c>
      <c r="J71" s="4560">
        <v>0</v>
      </c>
      <c r="K71" s="4561" t="s">
        <v>2096</v>
      </c>
      <c r="L71" s="5186">
        <f t="shared" si="56"/>
        <v>0.8496712290744256</v>
      </c>
      <c r="M71" s="4562">
        <v>0.9</v>
      </c>
      <c r="N71" s="5186">
        <f t="shared" ref="N71:N73" si="69">P71*E71*F71+I71*E71*F71+J71*E71</f>
        <v>1.6231701388888891E-3</v>
      </c>
      <c r="O71" s="4563">
        <f>C71*(G71/25)*1.02</f>
        <v>2.6031250000000007E-4</v>
      </c>
      <c r="P71" s="5184">
        <f t="shared" ref="P71:P73" si="70">O71*M71</f>
        <v>2.3428125000000006E-4</v>
      </c>
      <c r="Q71" s="4565">
        <v>177</v>
      </c>
      <c r="R71" s="4559">
        <f t="shared" ref="R71:R73" si="71">E71*F71*G71</f>
        <v>35</v>
      </c>
      <c r="S71" s="2844">
        <f t="shared" ref="S71:S111" si="72">E71*F71*G71/1000</f>
        <v>3.5000000000000003E-2</v>
      </c>
      <c r="T71" s="2845">
        <f t="shared" ref="T71:T111" si="73">E71*F71*O71*4</f>
        <v>1.0412500000000003E-3</v>
      </c>
      <c r="U71" s="374">
        <f t="shared" ref="U71:U111" si="74">IF(C71*4&gt;=$U$4,S71,0)</f>
        <v>0</v>
      </c>
      <c r="V71" s="2846">
        <f t="shared" ref="V71:V111" si="75">IF(AND(C71*4&gt;=$V$4,C71*4&lt;$U$4),S71,0)</f>
        <v>0</v>
      </c>
      <c r="W71" s="2847">
        <f t="shared" ref="W71:W111" si="76">IF(AND(C71*4&gt;=$W$4,C71*4&lt;$V$4),S71,0)</f>
        <v>0</v>
      </c>
      <c r="X71" s="2848">
        <f t="shared" ref="X71:X111" si="77">IF(AND(C71*4&gt;=$X$4,C71*4&lt;$W$4),S71,0)</f>
        <v>0</v>
      </c>
      <c r="Y71" s="2849">
        <f t="shared" ref="Y71:Y111" si="78">IF(AND(C71*4&gt;=$Y$4,C71*4&lt;$X$4),S71,0)</f>
        <v>0</v>
      </c>
      <c r="Z71" s="2850">
        <f t="shared" ref="Z71:Z111" si="79">IF(AND(C71*4&gt;=$Z$4,C71*4&lt;$Y$4),S71,0)</f>
        <v>3.5000000000000003E-2</v>
      </c>
      <c r="AA71" s="2851">
        <f t="shared" ref="AA71:AA111" si="80">IF(AND(C71*4&gt;=$AA$4,C71*4&lt;$Z$4),S71,0)</f>
        <v>0</v>
      </c>
      <c r="AB71" s="1278"/>
      <c r="AC71" s="3518"/>
      <c r="AD71" s="3518"/>
      <c r="AE71" s="3518"/>
      <c r="AF71" s="3518"/>
      <c r="AG71" s="3518"/>
      <c r="AH71" s="3518"/>
      <c r="AI71" s="2913"/>
      <c r="AJ71" s="2914"/>
      <c r="AK71" s="2914"/>
      <c r="AL71" s="2914"/>
      <c r="AM71" s="2914"/>
      <c r="AN71" s="2914"/>
    </row>
    <row r="72" spans="1:40" ht="13" customHeight="1" thickBot="1">
      <c r="A72" s="3567"/>
      <c r="B72" s="3566"/>
      <c r="C72" s="629">
        <f t="shared" si="55"/>
        <v>1.8229166666666673E-4</v>
      </c>
      <c r="D72" s="4952">
        <v>6</v>
      </c>
      <c r="E72" s="5226">
        <v>1</v>
      </c>
      <c r="F72" s="5223">
        <v>1</v>
      </c>
      <c r="G72" s="4559">
        <v>25</v>
      </c>
      <c r="H72" s="5222">
        <v>1</v>
      </c>
      <c r="I72" s="4560">
        <v>3.4722222222222224E-4</v>
      </c>
      <c r="J72" s="4560">
        <v>0</v>
      </c>
      <c r="K72" s="4561" t="s">
        <v>2097</v>
      </c>
      <c r="L72" s="5186">
        <f t="shared" si="56"/>
        <v>0.85129439921331451</v>
      </c>
      <c r="M72" s="4562">
        <v>0.9</v>
      </c>
      <c r="N72" s="5186">
        <f t="shared" si="69"/>
        <v>5.1456597222222225E-4</v>
      </c>
      <c r="O72" s="4563">
        <f>C72*(G72/25)*1.02</f>
        <v>1.8593750000000007E-4</v>
      </c>
      <c r="P72" s="5184">
        <f t="shared" si="70"/>
        <v>1.6734375000000007E-4</v>
      </c>
      <c r="Q72" s="4565">
        <v>177</v>
      </c>
      <c r="R72" s="4559">
        <f t="shared" si="71"/>
        <v>25</v>
      </c>
      <c r="S72" s="2844">
        <f t="shared" si="72"/>
        <v>2.5000000000000001E-2</v>
      </c>
      <c r="T72" s="2845">
        <f t="shared" si="73"/>
        <v>7.4375000000000027E-4</v>
      </c>
      <c r="U72" s="374">
        <f t="shared" si="74"/>
        <v>0</v>
      </c>
      <c r="V72" s="2846">
        <f t="shared" si="75"/>
        <v>0</v>
      </c>
      <c r="W72" s="2847">
        <f t="shared" si="76"/>
        <v>0</v>
      </c>
      <c r="X72" s="2848">
        <f t="shared" si="77"/>
        <v>0</v>
      </c>
      <c r="Y72" s="2849">
        <f t="shared" si="78"/>
        <v>0</v>
      </c>
      <c r="Z72" s="2850">
        <f t="shared" si="79"/>
        <v>2.5000000000000001E-2</v>
      </c>
      <c r="AA72" s="2851">
        <f t="shared" si="80"/>
        <v>0</v>
      </c>
      <c r="AB72" s="1278"/>
      <c r="AC72" s="3518"/>
      <c r="AD72" s="3518"/>
      <c r="AE72" s="3518"/>
      <c r="AF72" s="3518"/>
      <c r="AG72" s="3518"/>
      <c r="AH72" s="3518"/>
      <c r="AI72" s="2913"/>
      <c r="AJ72" s="2914"/>
      <c r="AK72" s="2914"/>
      <c r="AL72" s="2914"/>
      <c r="AM72" s="2914"/>
      <c r="AN72" s="2914"/>
    </row>
    <row r="73" spans="1:40" ht="13" customHeight="1" thickBot="1">
      <c r="A73" s="3567"/>
      <c r="B73" s="3566"/>
      <c r="C73" s="629">
        <f t="shared" si="55"/>
        <v>1.8229166666666673E-4</v>
      </c>
      <c r="D73" s="4952">
        <v>6</v>
      </c>
      <c r="E73" s="5227">
        <v>1</v>
      </c>
      <c r="F73" s="5223">
        <v>2</v>
      </c>
      <c r="G73" s="4559">
        <v>20</v>
      </c>
      <c r="H73" s="5222">
        <v>1</v>
      </c>
      <c r="I73" s="4560">
        <v>2.3148148148148146E-4</v>
      </c>
      <c r="J73" s="4560">
        <v>0</v>
      </c>
      <c r="K73" s="4561" t="s">
        <v>2098</v>
      </c>
      <c r="L73" s="5186">
        <f t="shared" si="56"/>
        <v>0.85180896518553673</v>
      </c>
      <c r="M73" s="4562">
        <v>0.9</v>
      </c>
      <c r="N73" s="5186">
        <f t="shared" si="69"/>
        <v>7.3071296296296306E-4</v>
      </c>
      <c r="O73" s="4563">
        <f>C73*(G73/25)*1.02</f>
        <v>1.4875000000000006E-4</v>
      </c>
      <c r="P73" s="5184">
        <f t="shared" si="70"/>
        <v>1.3387500000000007E-4</v>
      </c>
      <c r="Q73" s="4565">
        <v>177</v>
      </c>
      <c r="R73" s="4559">
        <f t="shared" si="71"/>
        <v>40</v>
      </c>
      <c r="S73" s="2844">
        <f t="shared" si="72"/>
        <v>0.04</v>
      </c>
      <c r="T73" s="2845">
        <f t="shared" si="73"/>
        <v>1.1900000000000005E-3</v>
      </c>
      <c r="U73" s="374">
        <f t="shared" si="74"/>
        <v>0</v>
      </c>
      <c r="V73" s="2846">
        <f t="shared" si="75"/>
        <v>0</v>
      </c>
      <c r="W73" s="2847">
        <f t="shared" si="76"/>
        <v>0</v>
      </c>
      <c r="X73" s="2848">
        <f t="shared" si="77"/>
        <v>0</v>
      </c>
      <c r="Y73" s="2849">
        <f t="shared" si="78"/>
        <v>0</v>
      </c>
      <c r="Z73" s="2850">
        <f t="shared" si="79"/>
        <v>0.04</v>
      </c>
      <c r="AA73" s="2851">
        <f t="shared" si="80"/>
        <v>0</v>
      </c>
      <c r="AB73" s="1278"/>
      <c r="AC73" s="3518"/>
      <c r="AD73" s="3518"/>
      <c r="AE73" s="3518"/>
      <c r="AF73" s="3518"/>
      <c r="AG73" s="3518"/>
      <c r="AH73" s="3518"/>
      <c r="AI73" s="2913"/>
      <c r="AJ73" s="2914"/>
      <c r="AK73" s="2914"/>
      <c r="AL73" s="2914"/>
      <c r="AM73" s="2914"/>
      <c r="AN73" s="2914"/>
    </row>
    <row r="74" spans="1:40" ht="14" customHeight="1" thickBot="1">
      <c r="A74" s="3567" t="s">
        <v>458</v>
      </c>
      <c r="B74" s="3566" t="s">
        <v>214</v>
      </c>
      <c r="C74" s="629">
        <f t="shared" si="55"/>
        <v>1.7682291666666674E-4</v>
      </c>
      <c r="D74" s="3560">
        <v>7</v>
      </c>
      <c r="E74" s="3561">
        <v>1</v>
      </c>
      <c r="F74" s="3561">
        <v>6</v>
      </c>
      <c r="G74" s="3561">
        <v>20</v>
      </c>
      <c r="H74" s="3562"/>
      <c r="I74" s="3562">
        <v>3.4722222222222224E-4</v>
      </c>
      <c r="J74" s="3562">
        <v>0</v>
      </c>
      <c r="K74" s="2514" t="s">
        <v>900</v>
      </c>
      <c r="L74" s="3648">
        <f t="shared" si="56"/>
        <v>0.85253967814849974</v>
      </c>
      <c r="M74" s="3493">
        <v>1</v>
      </c>
      <c r="N74" s="5218">
        <f>P74*E74*F74+I74*E74*F74+J74*E74</f>
        <v>2.9660333333333339E-3</v>
      </c>
      <c r="O74" s="3495">
        <f>C74*(G74/25)*1.04</f>
        <v>1.4711666666666673E-4</v>
      </c>
      <c r="P74" s="3496">
        <f>O74*M74</f>
        <v>1.4711666666666673E-4</v>
      </c>
      <c r="Q74" s="3130" t="s">
        <v>278</v>
      </c>
      <c r="R74" s="3661">
        <f>E74*F74*G74</f>
        <v>120</v>
      </c>
      <c r="S74" s="2844">
        <f t="shared" si="72"/>
        <v>0.12</v>
      </c>
      <c r="T74" s="2845">
        <f t="shared" si="73"/>
        <v>3.5308000000000015E-3</v>
      </c>
      <c r="U74" s="374">
        <f t="shared" si="74"/>
        <v>0</v>
      </c>
      <c r="V74" s="2846">
        <f t="shared" si="75"/>
        <v>0</v>
      </c>
      <c r="W74" s="2847">
        <f t="shared" si="76"/>
        <v>0</v>
      </c>
      <c r="X74" s="2848">
        <f t="shared" si="77"/>
        <v>0</v>
      </c>
      <c r="Y74" s="2849">
        <f t="shared" si="78"/>
        <v>0</v>
      </c>
      <c r="Z74" s="2850">
        <f t="shared" si="79"/>
        <v>0</v>
      </c>
      <c r="AA74" s="2851">
        <f t="shared" si="80"/>
        <v>0.12</v>
      </c>
      <c r="AB74" s="1278"/>
      <c r="AC74" s="3518"/>
      <c r="AD74" s="3518"/>
      <c r="AE74" s="3518"/>
      <c r="AF74" s="3518"/>
      <c r="AG74" s="3518"/>
      <c r="AH74" s="3518"/>
      <c r="AI74" s="2913"/>
      <c r="AJ74" s="2914"/>
      <c r="AK74" s="2914"/>
      <c r="AL74" s="2914"/>
      <c r="AM74" s="2914"/>
      <c r="AN74" s="2914"/>
    </row>
    <row r="75" spans="1:40" ht="14" customHeight="1" thickBot="1">
      <c r="A75" s="3567" t="s">
        <v>219</v>
      </c>
      <c r="B75" s="3566" t="s">
        <v>214</v>
      </c>
      <c r="C75" s="629">
        <f t="shared" si="55"/>
        <v>0</v>
      </c>
      <c r="D75" s="3558"/>
      <c r="E75" s="3454"/>
      <c r="F75" s="3454"/>
      <c r="G75" s="3454"/>
      <c r="H75" s="3454"/>
      <c r="I75" s="3454"/>
      <c r="J75" s="3454"/>
      <c r="K75" s="3454"/>
      <c r="L75" s="3644">
        <f t="shared" si="56"/>
        <v>0.85550571148183308</v>
      </c>
      <c r="M75" s="3455"/>
      <c r="N75" s="5214"/>
      <c r="O75" s="3454"/>
      <c r="P75" s="3454"/>
      <c r="Q75" s="3454"/>
      <c r="R75" s="3656">
        <f>SUM(R58:R74)</f>
        <v>2320</v>
      </c>
      <c r="S75" s="2844">
        <f t="shared" si="72"/>
        <v>0</v>
      </c>
      <c r="T75" s="2845">
        <f t="shared" si="73"/>
        <v>0</v>
      </c>
      <c r="U75" s="374">
        <f t="shared" si="74"/>
        <v>0</v>
      </c>
      <c r="V75" s="2846">
        <f t="shared" si="75"/>
        <v>0</v>
      </c>
      <c r="W75" s="2847">
        <f t="shared" si="76"/>
        <v>0</v>
      </c>
      <c r="X75" s="2848">
        <f t="shared" si="77"/>
        <v>0</v>
      </c>
      <c r="Y75" s="2849">
        <f t="shared" si="78"/>
        <v>0</v>
      </c>
      <c r="Z75" s="2850">
        <f t="shared" si="79"/>
        <v>0</v>
      </c>
      <c r="AA75" s="2851">
        <f t="shared" si="80"/>
        <v>0</v>
      </c>
      <c r="AB75" s="1278"/>
      <c r="AC75" s="3518"/>
      <c r="AD75" s="3518"/>
      <c r="AE75" s="3518"/>
      <c r="AF75" s="3518"/>
      <c r="AG75" s="3518"/>
      <c r="AH75" s="3518"/>
      <c r="AI75" s="2913"/>
      <c r="AJ75" s="2914"/>
      <c r="AK75" s="2914"/>
      <c r="AL75" s="2914"/>
      <c r="AM75" s="2914"/>
      <c r="AN75" s="2914"/>
    </row>
    <row r="76" spans="1:40" ht="13" customHeight="1" thickBot="1">
      <c r="A76" s="3556"/>
      <c r="B76" s="3557"/>
      <c r="C76" s="629">
        <f t="shared" ref="C76:C82" si="81">IF(D76=1,U$5,IF(D76=2,V$5,IF(D76=3,W$5,IF(D76=4,X$5,IF(D76=5,Y$5,IF(D76=6,Z$5,IF(D76=7,AA$5,0)))))))</f>
        <v>2.2880964381720439E-4</v>
      </c>
      <c r="D76" s="2335">
        <v>1</v>
      </c>
      <c r="E76" s="2427">
        <v>1</v>
      </c>
      <c r="F76" s="2427">
        <v>1</v>
      </c>
      <c r="G76" s="2427">
        <v>200</v>
      </c>
      <c r="H76" s="2256" t="s">
        <v>1628</v>
      </c>
      <c r="I76" s="2256">
        <v>1.1574074074074073E-4</v>
      </c>
      <c r="J76" s="2256">
        <v>1.3888888888888889E-3</v>
      </c>
      <c r="K76" s="2338" t="s">
        <v>581</v>
      </c>
      <c r="L76" s="3644">
        <v>0.30902777777777779</v>
      </c>
      <c r="M76" s="2339">
        <v>1</v>
      </c>
      <c r="N76" s="5214">
        <f t="shared" ref="N76:N82" si="82">P76*E76*F76+I76*E76*F76+J76*E76</f>
        <v>3.4083258661887703E-3</v>
      </c>
      <c r="O76" s="2256">
        <f>C76*(G76/25)*1.04</f>
        <v>1.9036962365591406E-3</v>
      </c>
      <c r="P76" s="2340">
        <f t="shared" ref="P76:P82" si="83">O76*M76</f>
        <v>1.9036962365591406E-3</v>
      </c>
      <c r="Q76" s="2341"/>
      <c r="R76" s="3657">
        <f t="shared" ref="R76:R82" si="84">E76*F76*G76</f>
        <v>200</v>
      </c>
      <c r="S76" s="2844">
        <f t="shared" si="72"/>
        <v>0.2</v>
      </c>
      <c r="T76" s="2845">
        <f t="shared" si="73"/>
        <v>7.6147849462365625E-3</v>
      </c>
      <c r="U76" s="374">
        <f t="shared" si="74"/>
        <v>0.2</v>
      </c>
      <c r="V76" s="2846">
        <f t="shared" si="75"/>
        <v>0</v>
      </c>
      <c r="W76" s="2847">
        <f t="shared" si="76"/>
        <v>0</v>
      </c>
      <c r="X76" s="2848">
        <f t="shared" si="77"/>
        <v>0</v>
      </c>
      <c r="Y76" s="2849">
        <f t="shared" si="78"/>
        <v>0</v>
      </c>
      <c r="Z76" s="2850">
        <f t="shared" si="79"/>
        <v>0</v>
      </c>
      <c r="AA76" s="2851">
        <f t="shared" si="80"/>
        <v>0</v>
      </c>
      <c r="AB76" s="1278"/>
      <c r="AC76" s="3518"/>
      <c r="AD76" s="3518"/>
      <c r="AE76" s="3518"/>
      <c r="AF76" s="3518"/>
      <c r="AG76" s="3518"/>
      <c r="AH76" s="3518"/>
      <c r="AI76" s="2913"/>
      <c r="AJ76" s="2914"/>
      <c r="AK76" s="2914"/>
      <c r="AL76" s="2914"/>
      <c r="AM76" s="2914"/>
      <c r="AN76" s="2914"/>
    </row>
    <row r="77" spans="1:40" ht="12" customHeight="1" thickBot="1">
      <c r="A77" s="3556" t="s">
        <v>218</v>
      </c>
      <c r="B77" s="3557"/>
      <c r="C77" s="629">
        <f t="shared" si="81"/>
        <v>2.1908757716049393E-4</v>
      </c>
      <c r="D77" s="2302">
        <v>2</v>
      </c>
      <c r="E77" s="2923">
        <v>1</v>
      </c>
      <c r="F77" s="2923">
        <v>12</v>
      </c>
      <c r="G77" s="2923">
        <v>50</v>
      </c>
      <c r="H77" s="2256" t="s">
        <v>1628</v>
      </c>
      <c r="I77" s="2324">
        <v>1.3888888888888889E-4</v>
      </c>
      <c r="J77" s="2324">
        <v>1.3888888888888889E-3</v>
      </c>
      <c r="K77" s="2278" t="s">
        <v>670</v>
      </c>
      <c r="L77" s="3645">
        <f t="shared" ref="L77:L89" si="85">L76+N76</f>
        <v>0.31243610364396657</v>
      </c>
      <c r="M77" s="2305">
        <v>1.2</v>
      </c>
      <c r="N77" s="5215">
        <f t="shared" si="82"/>
        <v>9.6176666666666702E-3</v>
      </c>
      <c r="O77" s="2307">
        <f>C77*(G77/25)*1.04</f>
        <v>4.5570216049382737E-4</v>
      </c>
      <c r="P77" s="2307">
        <f t="shared" si="83"/>
        <v>5.468425925925928E-4</v>
      </c>
      <c r="Q77" s="2282"/>
      <c r="R77" s="3658">
        <f t="shared" si="84"/>
        <v>600</v>
      </c>
      <c r="S77" s="2844">
        <f t="shared" si="72"/>
        <v>0.6</v>
      </c>
      <c r="T77" s="2845">
        <f t="shared" si="73"/>
        <v>2.1873703703703715E-2</v>
      </c>
      <c r="U77" s="374">
        <f t="shared" si="74"/>
        <v>0</v>
      </c>
      <c r="V77" s="2846">
        <f t="shared" si="75"/>
        <v>0.6</v>
      </c>
      <c r="W77" s="2847">
        <f t="shared" si="76"/>
        <v>0</v>
      </c>
      <c r="X77" s="2848">
        <f t="shared" si="77"/>
        <v>0</v>
      </c>
      <c r="Y77" s="2849">
        <f t="shared" si="78"/>
        <v>0</v>
      </c>
      <c r="Z77" s="2850">
        <f t="shared" si="79"/>
        <v>0</v>
      </c>
      <c r="AA77" s="2851">
        <f t="shared" si="80"/>
        <v>0</v>
      </c>
      <c r="AB77" s="1278"/>
      <c r="AC77" s="3518"/>
      <c r="AD77" s="3518"/>
      <c r="AE77" s="3518"/>
      <c r="AF77" s="3518"/>
      <c r="AG77" s="3518"/>
      <c r="AH77" s="3518"/>
      <c r="AI77" s="2913"/>
      <c r="AJ77" s="2914"/>
      <c r="AK77" s="2914"/>
      <c r="AL77" s="2914"/>
      <c r="AM77" s="2914"/>
      <c r="AN77" s="2914"/>
    </row>
    <row r="78" spans="1:40" ht="13" customHeight="1" thickBot="1">
      <c r="A78" s="3556" t="s">
        <v>139</v>
      </c>
      <c r="B78" s="3557"/>
      <c r="C78" s="629">
        <f t="shared" si="81"/>
        <v>2.1222190799396687E-4</v>
      </c>
      <c r="D78" s="3559">
        <v>3</v>
      </c>
      <c r="E78" s="3499">
        <v>1</v>
      </c>
      <c r="F78" s="3499">
        <v>4</v>
      </c>
      <c r="G78" s="3499">
        <v>50</v>
      </c>
      <c r="H78" s="2256" t="s">
        <v>1628</v>
      </c>
      <c r="I78" s="2314">
        <v>4.6296296296296293E-4</v>
      </c>
      <c r="J78" s="2314">
        <v>2.0833333333333333E-3</v>
      </c>
      <c r="K78" s="2310" t="s">
        <v>703</v>
      </c>
      <c r="L78" s="3646">
        <f t="shared" si="85"/>
        <v>0.32205377031063326</v>
      </c>
      <c r="M78" s="2312">
        <v>1</v>
      </c>
      <c r="N78" s="5216">
        <f t="shared" si="82"/>
        <v>5.7008714596949901E-3</v>
      </c>
      <c r="O78" s="2314">
        <f>C78*(G78/25)*1.04</f>
        <v>4.4142156862745112E-4</v>
      </c>
      <c r="P78" s="2315">
        <f t="shared" si="83"/>
        <v>4.4142156862745112E-4</v>
      </c>
      <c r="Q78" s="2274"/>
      <c r="R78" s="3659">
        <f t="shared" si="84"/>
        <v>200</v>
      </c>
      <c r="S78" s="2844">
        <f t="shared" si="72"/>
        <v>0.2</v>
      </c>
      <c r="T78" s="2845">
        <f t="shared" si="73"/>
        <v>7.0627450980392179E-3</v>
      </c>
      <c r="U78" s="374">
        <f t="shared" si="74"/>
        <v>0</v>
      </c>
      <c r="V78" s="2846">
        <f t="shared" si="75"/>
        <v>0</v>
      </c>
      <c r="W78" s="2847">
        <f t="shared" si="76"/>
        <v>0.2</v>
      </c>
      <c r="X78" s="2848">
        <f t="shared" si="77"/>
        <v>0</v>
      </c>
      <c r="Y78" s="2849">
        <f t="shared" si="78"/>
        <v>0</v>
      </c>
      <c r="Z78" s="2850">
        <f t="shared" si="79"/>
        <v>0</v>
      </c>
      <c r="AA78" s="2851">
        <f t="shared" si="80"/>
        <v>0</v>
      </c>
      <c r="AB78" s="1278"/>
      <c r="AC78" s="3518"/>
      <c r="AD78" s="3518"/>
      <c r="AE78" s="3518"/>
      <c r="AF78" s="3518"/>
      <c r="AG78" s="3518"/>
      <c r="AH78" s="3518"/>
      <c r="AI78" s="2913"/>
      <c r="AJ78" s="2914"/>
      <c r="AK78" s="2914"/>
      <c r="AL78" s="2914"/>
      <c r="AM78" s="2914"/>
      <c r="AN78" s="2914"/>
    </row>
    <row r="79" spans="1:40" ht="12" customHeight="1" thickBot="1">
      <c r="A79" s="3556" t="s">
        <v>462</v>
      </c>
      <c r="B79" s="3557"/>
      <c r="C79" s="629">
        <f t="shared" si="81"/>
        <v>2.1222190799396687E-4</v>
      </c>
      <c r="D79" s="3559">
        <v>3</v>
      </c>
      <c r="E79" s="3499">
        <v>1</v>
      </c>
      <c r="F79" s="3499">
        <v>2</v>
      </c>
      <c r="G79" s="3499">
        <v>50</v>
      </c>
      <c r="H79" s="3625" t="s">
        <v>1652</v>
      </c>
      <c r="I79" s="2314">
        <v>4.6296296296296293E-4</v>
      </c>
      <c r="J79" s="2314">
        <v>3.4722222222222224E-4</v>
      </c>
      <c r="K79" s="2310" t="s">
        <v>1653</v>
      </c>
      <c r="L79" s="3646">
        <f t="shared" si="85"/>
        <v>0.32775464177032826</v>
      </c>
      <c r="M79" s="2312">
        <v>1.05</v>
      </c>
      <c r="N79" s="5216">
        <f t="shared" si="82"/>
        <v>2.1644801617228091E-3</v>
      </c>
      <c r="O79" s="2314">
        <f>C79*(G79/25)</f>
        <v>4.2444381598793373E-4</v>
      </c>
      <c r="P79" s="2315">
        <f t="shared" si="83"/>
        <v>4.4566600678733046E-4</v>
      </c>
      <c r="Q79" s="2274"/>
      <c r="R79" s="3659">
        <f t="shared" si="84"/>
        <v>100</v>
      </c>
      <c r="S79" s="2844">
        <f t="shared" si="72"/>
        <v>0.1</v>
      </c>
      <c r="T79" s="2845">
        <f t="shared" si="73"/>
        <v>3.3955505279034699E-3</v>
      </c>
      <c r="U79" s="374">
        <f t="shared" si="74"/>
        <v>0</v>
      </c>
      <c r="V79" s="2846">
        <f t="shared" si="75"/>
        <v>0</v>
      </c>
      <c r="W79" s="2847">
        <f t="shared" si="76"/>
        <v>0.1</v>
      </c>
      <c r="X79" s="2848">
        <f t="shared" si="77"/>
        <v>0</v>
      </c>
      <c r="Y79" s="2849">
        <f t="shared" si="78"/>
        <v>0</v>
      </c>
      <c r="Z79" s="2850">
        <f t="shared" si="79"/>
        <v>0</v>
      </c>
      <c r="AA79" s="2851">
        <f t="shared" si="80"/>
        <v>0</v>
      </c>
      <c r="AB79" s="1278"/>
      <c r="AC79" s="3518"/>
      <c r="AD79" s="3518"/>
      <c r="AE79" s="3518"/>
      <c r="AF79" s="3518"/>
      <c r="AG79" s="3518"/>
      <c r="AH79" s="3518"/>
      <c r="AI79" s="2913"/>
      <c r="AJ79" s="2914"/>
      <c r="AK79" s="2914"/>
      <c r="AL79" s="2914"/>
      <c r="AM79" s="2914"/>
      <c r="AN79" s="2914"/>
    </row>
    <row r="80" spans="1:40" ht="12" customHeight="1" thickBot="1">
      <c r="A80" s="3556" t="s">
        <v>460</v>
      </c>
      <c r="B80" s="3557"/>
      <c r="C80" s="629">
        <f t="shared" si="81"/>
        <v>2.0247664488766629E-4</v>
      </c>
      <c r="D80" s="2317">
        <v>4</v>
      </c>
      <c r="E80" s="3504">
        <v>1</v>
      </c>
      <c r="F80" s="3504">
        <v>2</v>
      </c>
      <c r="G80" s="3504">
        <v>50</v>
      </c>
      <c r="H80" s="3626"/>
      <c r="I80" s="3505">
        <v>4.6296296296296293E-4</v>
      </c>
      <c r="J80" s="3505">
        <v>5.7870370370370378E-4</v>
      </c>
      <c r="K80" s="3506" t="s">
        <v>1654</v>
      </c>
      <c r="L80" s="3647">
        <f t="shared" si="85"/>
        <v>0.32991912193205108</v>
      </c>
      <c r="M80" s="3508">
        <v>1</v>
      </c>
      <c r="N80" s="5217">
        <f t="shared" si="82"/>
        <v>2.3469324723623215E-3</v>
      </c>
      <c r="O80" s="3510">
        <f>C80*(G80/25)*1.04</f>
        <v>4.2115142136634587E-4</v>
      </c>
      <c r="P80" s="3510">
        <f t="shared" si="83"/>
        <v>4.2115142136634587E-4</v>
      </c>
      <c r="Q80" s="3511"/>
      <c r="R80" s="3660">
        <f t="shared" si="84"/>
        <v>100</v>
      </c>
      <c r="S80" s="2844">
        <f t="shared" si="72"/>
        <v>0.1</v>
      </c>
      <c r="T80" s="2845">
        <f t="shared" si="73"/>
        <v>3.369211370930767E-3</v>
      </c>
      <c r="U80" s="374">
        <f t="shared" si="74"/>
        <v>0</v>
      </c>
      <c r="V80" s="2846">
        <f t="shared" si="75"/>
        <v>0</v>
      </c>
      <c r="W80" s="2847">
        <f t="shared" si="76"/>
        <v>0</v>
      </c>
      <c r="X80" s="2848">
        <f t="shared" si="77"/>
        <v>0.1</v>
      </c>
      <c r="Y80" s="2849">
        <f t="shared" si="78"/>
        <v>0</v>
      </c>
      <c r="Z80" s="2850">
        <f t="shared" si="79"/>
        <v>0</v>
      </c>
      <c r="AA80" s="2851">
        <f t="shared" si="80"/>
        <v>0</v>
      </c>
      <c r="AB80" s="1278"/>
      <c r="AC80" s="3518"/>
      <c r="AD80" s="3518"/>
      <c r="AE80" s="3518"/>
      <c r="AF80" s="3518"/>
      <c r="AG80" s="3518"/>
      <c r="AH80" s="3518"/>
      <c r="AI80" s="2913"/>
      <c r="AJ80" s="2914"/>
      <c r="AK80" s="2914"/>
      <c r="AL80" s="2914"/>
      <c r="AM80" s="2914"/>
      <c r="AN80" s="2914"/>
    </row>
    <row r="81" spans="1:40" ht="11" customHeight="1" thickBot="1">
      <c r="A81" s="3556" t="s">
        <v>458</v>
      </c>
      <c r="B81" s="3557"/>
      <c r="C81" s="629">
        <f t="shared" si="81"/>
        <v>1.8229166666666673E-4</v>
      </c>
      <c r="D81" s="3444">
        <v>6</v>
      </c>
      <c r="E81" s="3444">
        <v>1</v>
      </c>
      <c r="F81" s="3444">
        <v>2</v>
      </c>
      <c r="G81" s="3444">
        <v>50</v>
      </c>
      <c r="H81" s="3626"/>
      <c r="I81" s="3142">
        <v>6.9444444444444447E-4</v>
      </c>
      <c r="J81" s="3142">
        <v>1.0416666666666667E-3</v>
      </c>
      <c r="K81" s="3438" t="s">
        <v>1655</v>
      </c>
      <c r="L81" s="3643">
        <f t="shared" si="85"/>
        <v>0.33226605440441342</v>
      </c>
      <c r="M81" s="3440">
        <v>1.08</v>
      </c>
      <c r="N81" s="5213">
        <f t="shared" si="82"/>
        <v>3.2180555555555556E-3</v>
      </c>
      <c r="O81" s="3145">
        <f>C81*(G81/25)</f>
        <v>3.6458333333333346E-4</v>
      </c>
      <c r="P81" s="3442">
        <f t="shared" si="83"/>
        <v>3.9375000000000017E-4</v>
      </c>
      <c r="Q81" s="3443"/>
      <c r="R81" s="3443">
        <f t="shared" si="84"/>
        <v>100</v>
      </c>
      <c r="S81" s="2844">
        <f t="shared" si="72"/>
        <v>0.1</v>
      </c>
      <c r="T81" s="2845">
        <f t="shared" si="73"/>
        <v>2.9166666666666677E-3</v>
      </c>
      <c r="U81" s="374">
        <f t="shared" si="74"/>
        <v>0</v>
      </c>
      <c r="V81" s="2846">
        <f t="shared" si="75"/>
        <v>0</v>
      </c>
      <c r="W81" s="2847">
        <f t="shared" si="76"/>
        <v>0</v>
      </c>
      <c r="X81" s="2848">
        <f t="shared" si="77"/>
        <v>0</v>
      </c>
      <c r="Y81" s="2849">
        <f t="shared" si="78"/>
        <v>0</v>
      </c>
      <c r="Z81" s="2850">
        <f t="shared" si="79"/>
        <v>0.1</v>
      </c>
      <c r="AA81" s="2851">
        <f t="shared" si="80"/>
        <v>0</v>
      </c>
      <c r="AB81" s="1278"/>
      <c r="AC81" s="3518"/>
      <c r="AD81" s="3518"/>
      <c r="AE81" s="3518"/>
      <c r="AF81" s="3518"/>
      <c r="AG81" s="3518"/>
      <c r="AH81" s="3518"/>
      <c r="AI81" s="2913"/>
      <c r="AJ81" s="2914"/>
      <c r="AK81" s="2914"/>
      <c r="AL81" s="2914"/>
      <c r="AM81" s="2914"/>
      <c r="AN81" s="2914"/>
    </row>
    <row r="82" spans="1:40" ht="13" customHeight="1" thickBot="1">
      <c r="A82" s="3556" t="s">
        <v>219</v>
      </c>
      <c r="B82" s="3557"/>
      <c r="C82" s="629">
        <f t="shared" si="81"/>
        <v>1.7682291666666674E-4</v>
      </c>
      <c r="D82" s="3560">
        <v>7</v>
      </c>
      <c r="E82" s="3561">
        <v>1</v>
      </c>
      <c r="F82" s="3561">
        <v>1</v>
      </c>
      <c r="G82" s="3561">
        <v>50</v>
      </c>
      <c r="H82" s="3627"/>
      <c r="I82" s="3562">
        <v>0</v>
      </c>
      <c r="J82" s="3562">
        <v>1.3888888888888889E-3</v>
      </c>
      <c r="K82" s="2514" t="s">
        <v>1656</v>
      </c>
      <c r="L82" s="3648">
        <f t="shared" si="85"/>
        <v>0.33548410995996897</v>
      </c>
      <c r="M82" s="3493">
        <v>1</v>
      </c>
      <c r="N82" s="5218">
        <f t="shared" si="82"/>
        <v>1.7672899305555558E-3</v>
      </c>
      <c r="O82" s="3495">
        <f>C82*(G82/25)*1.07</f>
        <v>3.7840104166666686E-4</v>
      </c>
      <c r="P82" s="3496">
        <f t="shared" si="83"/>
        <v>3.7840104166666686E-4</v>
      </c>
      <c r="Q82" s="3130"/>
      <c r="R82" s="3661">
        <f t="shared" si="84"/>
        <v>50</v>
      </c>
      <c r="S82" s="2844">
        <f t="shared" si="72"/>
        <v>0.05</v>
      </c>
      <c r="T82" s="2845">
        <f t="shared" si="73"/>
        <v>1.5136041666666674E-3</v>
      </c>
      <c r="U82" s="374">
        <f t="shared" si="74"/>
        <v>0</v>
      </c>
      <c r="V82" s="2846">
        <f t="shared" si="75"/>
        <v>0</v>
      </c>
      <c r="W82" s="2847">
        <f t="shared" si="76"/>
        <v>0</v>
      </c>
      <c r="X82" s="2848">
        <f t="shared" si="77"/>
        <v>0</v>
      </c>
      <c r="Y82" s="2849">
        <f t="shared" si="78"/>
        <v>0</v>
      </c>
      <c r="Z82" s="2850">
        <f t="shared" si="79"/>
        <v>0</v>
      </c>
      <c r="AA82" s="2851">
        <f t="shared" si="80"/>
        <v>0.05</v>
      </c>
      <c r="AB82" s="1278"/>
      <c r="AC82" s="3518"/>
      <c r="AD82" s="3518"/>
      <c r="AE82" s="3518"/>
      <c r="AF82" s="3518"/>
      <c r="AG82" s="3518"/>
      <c r="AH82" s="3518"/>
      <c r="AI82" s="2913"/>
      <c r="AJ82" s="2914"/>
      <c r="AK82" s="2914"/>
      <c r="AL82" s="2914"/>
      <c r="AM82" s="2914"/>
      <c r="AN82" s="2914"/>
    </row>
    <row r="83" spans="1:40" ht="13" customHeight="1" thickBot="1">
      <c r="A83" s="3556"/>
      <c r="B83" s="3557"/>
      <c r="C83" s="629">
        <f t="shared" ref="C83:C88" si="86">IF(D83=1,U$5,IF(D83=2,V$5,IF(D83=3,W$5,IF(D83=4,X$5,IF(D83=5,Y$5,IF(D83=6,Z$5,IF(D83=7,AA$5,0)))))))</f>
        <v>1.8229166666666673E-4</v>
      </c>
      <c r="D83" s="3555">
        <v>6</v>
      </c>
      <c r="E83" s="3444">
        <v>2</v>
      </c>
      <c r="F83" s="3444">
        <v>3</v>
      </c>
      <c r="G83" s="3444">
        <v>20</v>
      </c>
      <c r="H83" s="5206" t="s">
        <v>1694</v>
      </c>
      <c r="I83" s="3142">
        <v>3.4722222222222224E-4</v>
      </c>
      <c r="J83" s="3142">
        <v>6.9444444444444447E-4</v>
      </c>
      <c r="K83" s="3438" t="s">
        <v>1689</v>
      </c>
      <c r="L83" s="3643">
        <f t="shared" si="85"/>
        <v>0.33725139989052455</v>
      </c>
      <c r="M83" s="3440">
        <v>0.9</v>
      </c>
      <c r="N83" s="5213">
        <f t="shared" ref="N83:N88" si="87">P83*E83*F83+I83*E83*F83+J83*E83</f>
        <v>4.2912222222222223E-3</v>
      </c>
      <c r="O83" s="3145">
        <f t="shared" ref="O83:O88" si="88">C83*(G83/25)*1.04</f>
        <v>1.5166666666666673E-4</v>
      </c>
      <c r="P83" s="3442">
        <f t="shared" ref="P83:P88" si="89">O83*M83</f>
        <v>1.3650000000000007E-4</v>
      </c>
      <c r="Q83" s="3443" t="s">
        <v>278</v>
      </c>
      <c r="R83" s="3443">
        <f t="shared" ref="R83:R88" si="90">E83*F83*G83</f>
        <v>120</v>
      </c>
      <c r="S83" s="2844">
        <f t="shared" si="72"/>
        <v>0.12</v>
      </c>
      <c r="T83" s="2845">
        <f t="shared" si="73"/>
        <v>3.6400000000000017E-3</v>
      </c>
      <c r="U83" s="374">
        <f t="shared" si="74"/>
        <v>0</v>
      </c>
      <c r="V83" s="2846">
        <f t="shared" si="75"/>
        <v>0</v>
      </c>
      <c r="W83" s="2847">
        <f t="shared" si="76"/>
        <v>0</v>
      </c>
      <c r="X83" s="2848">
        <f t="shared" si="77"/>
        <v>0</v>
      </c>
      <c r="Y83" s="2849">
        <f t="shared" si="78"/>
        <v>0</v>
      </c>
      <c r="Z83" s="2850">
        <f t="shared" si="79"/>
        <v>0.12</v>
      </c>
      <c r="AA83" s="2851">
        <f t="shared" si="80"/>
        <v>0</v>
      </c>
      <c r="AB83" s="1278"/>
      <c r="AC83" s="3518"/>
      <c r="AD83" s="3518"/>
      <c r="AE83" s="3518"/>
      <c r="AF83" s="3518"/>
      <c r="AG83" s="3518"/>
      <c r="AH83" s="3518"/>
      <c r="AI83" s="2913"/>
      <c r="AJ83" s="2914"/>
      <c r="AK83" s="2914"/>
      <c r="AL83" s="2914"/>
      <c r="AM83" s="2914"/>
      <c r="AN83" s="2914"/>
    </row>
    <row r="84" spans="1:40" ht="13" customHeight="1" thickBot="1">
      <c r="A84" s="3556"/>
      <c r="B84" s="3557"/>
      <c r="C84" s="629">
        <f t="shared" si="86"/>
        <v>1.8229166666666673E-4</v>
      </c>
      <c r="D84" s="3555">
        <v>6</v>
      </c>
      <c r="E84" s="3444">
        <v>2</v>
      </c>
      <c r="F84" s="3444">
        <v>3</v>
      </c>
      <c r="G84" s="3444">
        <v>10</v>
      </c>
      <c r="H84" s="5140"/>
      <c r="I84" s="3142">
        <v>3.4722222222222224E-4</v>
      </c>
      <c r="J84" s="3142">
        <v>6.9444444444444447E-4</v>
      </c>
      <c r="K84" s="3438" t="s">
        <v>1690</v>
      </c>
      <c r="L84" s="3643">
        <f t="shared" si="85"/>
        <v>0.34154262211274677</v>
      </c>
      <c r="M84" s="3440">
        <v>0.9</v>
      </c>
      <c r="N84" s="5213">
        <f t="shared" si="87"/>
        <v>3.8817222222222222E-3</v>
      </c>
      <c r="O84" s="3145">
        <f t="shared" si="88"/>
        <v>7.5833333333333365E-5</v>
      </c>
      <c r="P84" s="3442">
        <f t="shared" si="89"/>
        <v>6.8250000000000033E-5</v>
      </c>
      <c r="Q84" s="3443" t="s">
        <v>278</v>
      </c>
      <c r="R84" s="3443">
        <f t="shared" si="90"/>
        <v>60</v>
      </c>
      <c r="S84" s="2844">
        <f t="shared" si="72"/>
        <v>0.06</v>
      </c>
      <c r="T84" s="2845">
        <f t="shared" si="73"/>
        <v>1.8200000000000009E-3</v>
      </c>
      <c r="U84" s="374">
        <f t="shared" si="74"/>
        <v>0</v>
      </c>
      <c r="V84" s="2846">
        <f t="shared" si="75"/>
        <v>0</v>
      </c>
      <c r="W84" s="2847">
        <f t="shared" si="76"/>
        <v>0</v>
      </c>
      <c r="X84" s="2848">
        <f t="shared" si="77"/>
        <v>0</v>
      </c>
      <c r="Y84" s="2849">
        <f t="shared" si="78"/>
        <v>0</v>
      </c>
      <c r="Z84" s="2850">
        <f t="shared" si="79"/>
        <v>0.06</v>
      </c>
      <c r="AA84" s="2851">
        <f t="shared" si="80"/>
        <v>0</v>
      </c>
      <c r="AB84" s="1278"/>
      <c r="AC84" s="3518"/>
      <c r="AD84" s="3518"/>
      <c r="AE84" s="3518"/>
      <c r="AF84" s="3518"/>
      <c r="AG84" s="3518"/>
      <c r="AH84" s="3518"/>
      <c r="AI84" s="2913"/>
      <c r="AJ84" s="2914"/>
      <c r="AK84" s="2914"/>
      <c r="AL84" s="2914"/>
      <c r="AM84" s="2914"/>
      <c r="AN84" s="2914"/>
    </row>
    <row r="85" spans="1:40" ht="13" customHeight="1" thickBot="1">
      <c r="A85" s="3556"/>
      <c r="B85" s="3557"/>
      <c r="C85" s="629">
        <f t="shared" si="86"/>
        <v>1.8229166666666673E-4</v>
      </c>
      <c r="D85" s="3555">
        <v>6</v>
      </c>
      <c r="E85" s="3444">
        <v>2</v>
      </c>
      <c r="F85" s="3444">
        <v>3</v>
      </c>
      <c r="G85" s="3444">
        <v>10</v>
      </c>
      <c r="H85" s="5140"/>
      <c r="I85" s="3142">
        <v>3.4722222222222224E-4</v>
      </c>
      <c r="J85" s="3142">
        <v>6.9444444444444447E-4</v>
      </c>
      <c r="K85" s="3438" t="s">
        <v>1691</v>
      </c>
      <c r="L85" s="3643">
        <f t="shared" si="85"/>
        <v>0.34542434433496899</v>
      </c>
      <c r="M85" s="3440">
        <v>0.9</v>
      </c>
      <c r="N85" s="5213">
        <f t="shared" si="87"/>
        <v>3.8817222222222222E-3</v>
      </c>
      <c r="O85" s="3145">
        <f t="shared" si="88"/>
        <v>7.5833333333333365E-5</v>
      </c>
      <c r="P85" s="3442">
        <f t="shared" si="89"/>
        <v>6.8250000000000033E-5</v>
      </c>
      <c r="Q85" s="3443" t="s">
        <v>278</v>
      </c>
      <c r="R85" s="3443">
        <f t="shared" si="90"/>
        <v>60</v>
      </c>
      <c r="S85" s="2844">
        <f t="shared" si="72"/>
        <v>0.06</v>
      </c>
      <c r="T85" s="2845">
        <f t="shared" si="73"/>
        <v>1.8200000000000009E-3</v>
      </c>
      <c r="U85" s="374">
        <f t="shared" si="74"/>
        <v>0</v>
      </c>
      <c r="V85" s="2846">
        <f t="shared" si="75"/>
        <v>0</v>
      </c>
      <c r="W85" s="2847">
        <f t="shared" si="76"/>
        <v>0</v>
      </c>
      <c r="X85" s="2848">
        <f t="shared" si="77"/>
        <v>0</v>
      </c>
      <c r="Y85" s="2849">
        <f t="shared" si="78"/>
        <v>0</v>
      </c>
      <c r="Z85" s="2850">
        <f t="shared" si="79"/>
        <v>0.06</v>
      </c>
      <c r="AA85" s="2851">
        <f t="shared" si="80"/>
        <v>0</v>
      </c>
      <c r="AB85" s="1278"/>
      <c r="AC85" s="3518"/>
      <c r="AD85" s="3518"/>
      <c r="AE85" s="3518"/>
      <c r="AF85" s="3518"/>
      <c r="AG85" s="3518"/>
      <c r="AH85" s="3518"/>
      <c r="AI85" s="2913"/>
      <c r="AJ85" s="2914"/>
      <c r="AK85" s="2914"/>
      <c r="AL85" s="2914"/>
      <c r="AM85" s="2914"/>
      <c r="AN85" s="2914"/>
    </row>
    <row r="86" spans="1:40" ht="14" customHeight="1" thickBot="1">
      <c r="A86" s="3556" t="s">
        <v>218</v>
      </c>
      <c r="B86" s="3557"/>
      <c r="C86" s="629">
        <f t="shared" si="86"/>
        <v>1.8229166666666673E-4</v>
      </c>
      <c r="D86" s="3555">
        <v>6</v>
      </c>
      <c r="E86" s="3444">
        <v>2</v>
      </c>
      <c r="F86" s="3444">
        <v>3</v>
      </c>
      <c r="G86" s="3444">
        <v>10</v>
      </c>
      <c r="H86" s="5140"/>
      <c r="I86" s="3142">
        <v>3.4722222222222224E-4</v>
      </c>
      <c r="J86" s="3142">
        <v>6.9444444444444447E-4</v>
      </c>
      <c r="K86" s="3438" t="s">
        <v>1692</v>
      </c>
      <c r="L86" s="3643">
        <f t="shared" si="85"/>
        <v>0.34930606655719121</v>
      </c>
      <c r="M86" s="3440">
        <v>0.9</v>
      </c>
      <c r="N86" s="5213">
        <f t="shared" si="87"/>
        <v>3.8817222222222222E-3</v>
      </c>
      <c r="O86" s="3145">
        <f t="shared" si="88"/>
        <v>7.5833333333333365E-5</v>
      </c>
      <c r="P86" s="3442">
        <f t="shared" si="89"/>
        <v>6.8250000000000033E-5</v>
      </c>
      <c r="Q86" s="3443" t="s">
        <v>278</v>
      </c>
      <c r="R86" s="3443">
        <f t="shared" si="90"/>
        <v>60</v>
      </c>
      <c r="S86" s="2844">
        <f t="shared" si="72"/>
        <v>0.06</v>
      </c>
      <c r="T86" s="2845">
        <f t="shared" si="73"/>
        <v>1.8200000000000009E-3</v>
      </c>
      <c r="U86" s="374">
        <f t="shared" si="74"/>
        <v>0</v>
      </c>
      <c r="V86" s="2846">
        <f t="shared" si="75"/>
        <v>0</v>
      </c>
      <c r="W86" s="2847">
        <f t="shared" si="76"/>
        <v>0</v>
      </c>
      <c r="X86" s="2848">
        <f t="shared" si="77"/>
        <v>0</v>
      </c>
      <c r="Y86" s="2849">
        <f t="shared" si="78"/>
        <v>0</v>
      </c>
      <c r="Z86" s="2850">
        <f t="shared" si="79"/>
        <v>0.06</v>
      </c>
      <c r="AA86" s="2851">
        <f t="shared" si="80"/>
        <v>0</v>
      </c>
      <c r="AB86" s="1278"/>
      <c r="AC86" s="3518"/>
      <c r="AD86" s="3518"/>
      <c r="AE86" s="3518"/>
      <c r="AF86" s="3518"/>
      <c r="AG86" s="3518"/>
      <c r="AH86" s="3518"/>
      <c r="AI86" s="2913"/>
      <c r="AJ86" s="2914"/>
      <c r="AK86" s="2914"/>
      <c r="AL86" s="2914"/>
      <c r="AM86" s="2914"/>
      <c r="AN86" s="2914"/>
    </row>
    <row r="87" spans="1:40" ht="12" customHeight="1" thickBot="1">
      <c r="A87" s="3556" t="s">
        <v>139</v>
      </c>
      <c r="B87" s="3557"/>
      <c r="C87" s="629">
        <f t="shared" si="86"/>
        <v>1.8229166666666673E-4</v>
      </c>
      <c r="D87" s="3555">
        <v>6</v>
      </c>
      <c r="E87" s="3444">
        <v>2</v>
      </c>
      <c r="F87" s="3444">
        <v>3</v>
      </c>
      <c r="G87" s="3444">
        <v>15</v>
      </c>
      <c r="H87" s="5140"/>
      <c r="I87" s="3142">
        <v>3.4722222222222224E-4</v>
      </c>
      <c r="J87" s="3142">
        <v>6.9444444444444447E-4</v>
      </c>
      <c r="K87" s="3438" t="s">
        <v>932</v>
      </c>
      <c r="L87" s="3643">
        <f t="shared" si="85"/>
        <v>0.35318778877941343</v>
      </c>
      <c r="M87" s="3440">
        <v>0.9</v>
      </c>
      <c r="N87" s="5213">
        <f t="shared" si="87"/>
        <v>4.0864722222222222E-3</v>
      </c>
      <c r="O87" s="3145">
        <f t="shared" si="88"/>
        <v>1.1375000000000004E-4</v>
      </c>
      <c r="P87" s="3442">
        <f t="shared" si="89"/>
        <v>1.0237500000000004E-4</v>
      </c>
      <c r="Q87" s="3443" t="s">
        <v>278</v>
      </c>
      <c r="R87" s="3443">
        <f t="shared" si="90"/>
        <v>90</v>
      </c>
      <c r="S87" s="2844">
        <f t="shared" si="72"/>
        <v>0.09</v>
      </c>
      <c r="T87" s="2845">
        <f t="shared" si="73"/>
        <v>2.7300000000000011E-3</v>
      </c>
      <c r="U87" s="374">
        <f t="shared" si="74"/>
        <v>0</v>
      </c>
      <c r="V87" s="2846">
        <f t="shared" si="75"/>
        <v>0</v>
      </c>
      <c r="W87" s="2847">
        <f t="shared" si="76"/>
        <v>0</v>
      </c>
      <c r="X87" s="2848">
        <f t="shared" si="77"/>
        <v>0</v>
      </c>
      <c r="Y87" s="2849">
        <f t="shared" si="78"/>
        <v>0</v>
      </c>
      <c r="Z87" s="2850">
        <f t="shared" si="79"/>
        <v>0.09</v>
      </c>
      <c r="AA87" s="2851">
        <f t="shared" si="80"/>
        <v>0</v>
      </c>
      <c r="AB87" s="1278"/>
      <c r="AC87" s="3518"/>
      <c r="AD87" s="3518"/>
      <c r="AE87" s="3518"/>
      <c r="AF87" s="3518"/>
      <c r="AG87" s="3518"/>
      <c r="AH87" s="3518"/>
      <c r="AI87" s="2913"/>
      <c r="AJ87" s="2914"/>
      <c r="AK87" s="2914"/>
      <c r="AL87" s="2914"/>
      <c r="AM87" s="2914"/>
      <c r="AN87" s="2914"/>
    </row>
    <row r="88" spans="1:40" ht="12" customHeight="1" thickBot="1">
      <c r="A88" s="3556" t="s">
        <v>458</v>
      </c>
      <c r="B88" s="3557"/>
      <c r="C88" s="629">
        <f t="shared" si="86"/>
        <v>1.8229166666666673E-4</v>
      </c>
      <c r="D88" s="3555">
        <v>6</v>
      </c>
      <c r="E88" s="3444">
        <v>2</v>
      </c>
      <c r="F88" s="3444">
        <v>3</v>
      </c>
      <c r="G88" s="3444">
        <v>10</v>
      </c>
      <c r="H88" s="5228"/>
      <c r="I88" s="3142">
        <v>3.4722222222222224E-4</v>
      </c>
      <c r="J88" s="3142">
        <v>6.9444444444444447E-4</v>
      </c>
      <c r="K88" s="3438" t="s">
        <v>1693</v>
      </c>
      <c r="L88" s="3643">
        <f t="shared" si="85"/>
        <v>0.35727426100163567</v>
      </c>
      <c r="M88" s="3440">
        <v>0.9</v>
      </c>
      <c r="N88" s="5213">
        <f t="shared" si="87"/>
        <v>3.8817222222222222E-3</v>
      </c>
      <c r="O88" s="3145">
        <f t="shared" si="88"/>
        <v>7.5833333333333365E-5</v>
      </c>
      <c r="P88" s="3442">
        <f t="shared" si="89"/>
        <v>6.8250000000000033E-5</v>
      </c>
      <c r="Q88" s="3443" t="s">
        <v>278</v>
      </c>
      <c r="R88" s="3443">
        <f t="shared" si="90"/>
        <v>60</v>
      </c>
      <c r="S88" s="2844">
        <f t="shared" si="72"/>
        <v>0.06</v>
      </c>
      <c r="T88" s="2845">
        <f t="shared" si="73"/>
        <v>1.8200000000000009E-3</v>
      </c>
      <c r="U88" s="374">
        <f t="shared" si="74"/>
        <v>0</v>
      </c>
      <c r="V88" s="2846">
        <f t="shared" si="75"/>
        <v>0</v>
      </c>
      <c r="W88" s="2847">
        <f t="shared" si="76"/>
        <v>0</v>
      </c>
      <c r="X88" s="2848">
        <f t="shared" si="77"/>
        <v>0</v>
      </c>
      <c r="Y88" s="2849">
        <f t="shared" si="78"/>
        <v>0</v>
      </c>
      <c r="Z88" s="2850">
        <f t="shared" si="79"/>
        <v>0.06</v>
      </c>
      <c r="AA88" s="2851">
        <f t="shared" si="80"/>
        <v>0</v>
      </c>
      <c r="AB88" s="1278"/>
      <c r="AC88" s="3518"/>
      <c r="AD88" s="3518"/>
      <c r="AE88" s="3518"/>
      <c r="AF88" s="3518"/>
      <c r="AG88" s="3518"/>
      <c r="AH88" s="3518"/>
      <c r="AI88" s="2913"/>
      <c r="AJ88" s="2914"/>
      <c r="AK88" s="2914"/>
      <c r="AL88" s="2914"/>
      <c r="AM88" s="2914"/>
      <c r="AN88" s="2914"/>
    </row>
    <row r="89" spans="1:40" ht="12" customHeight="1" thickBot="1">
      <c r="A89" s="3556"/>
      <c r="B89" s="3557"/>
      <c r="C89" s="629">
        <f>IF(D89=1,#REF!,IF(D89=2,#REF!,IF(D89=3,#REF!,IF(D89=4,#REF!,IF(D89=5,#REF!,IF(D89=6,#REF!,IF(D89=7,#REF!,0)))))))</f>
        <v>0</v>
      </c>
      <c r="D89" s="3558"/>
      <c r="E89" s="3454"/>
      <c r="F89" s="3454"/>
      <c r="G89" s="3454"/>
      <c r="H89" s="3454"/>
      <c r="I89" s="3454"/>
      <c r="J89" s="3454"/>
      <c r="K89" s="3454"/>
      <c r="L89" s="3644">
        <f t="shared" si="85"/>
        <v>0.36115598322385789</v>
      </c>
      <c r="M89" s="3455"/>
      <c r="N89" s="5214"/>
      <c r="O89" s="3454"/>
      <c r="P89" s="3454"/>
      <c r="Q89" s="3454"/>
      <c r="R89" s="3656">
        <f>SUM(R76:R88)</f>
        <v>1800</v>
      </c>
      <c r="S89" s="2844">
        <f t="shared" si="72"/>
        <v>0</v>
      </c>
      <c r="T89" s="2845">
        <f t="shared" si="73"/>
        <v>0</v>
      </c>
      <c r="U89" s="374">
        <f t="shared" si="74"/>
        <v>0</v>
      </c>
      <c r="V89" s="2846">
        <f t="shared" si="75"/>
        <v>0</v>
      </c>
      <c r="W89" s="2847">
        <f t="shared" si="76"/>
        <v>0</v>
      </c>
      <c r="X89" s="2848">
        <f t="shared" si="77"/>
        <v>0</v>
      </c>
      <c r="Y89" s="2849">
        <f t="shared" si="78"/>
        <v>0</v>
      </c>
      <c r="Z89" s="2850">
        <f t="shared" si="79"/>
        <v>0</v>
      </c>
      <c r="AA89" s="2851">
        <f t="shared" si="80"/>
        <v>0</v>
      </c>
      <c r="AB89" s="1278"/>
      <c r="AC89" s="3518"/>
      <c r="AD89" s="3518"/>
      <c r="AE89" s="3518"/>
      <c r="AF89" s="3518"/>
      <c r="AG89" s="3518"/>
      <c r="AH89" s="3518"/>
      <c r="AI89" s="2913"/>
      <c r="AJ89" s="2914"/>
      <c r="AK89" s="2914"/>
      <c r="AL89" s="2914"/>
      <c r="AM89" s="2914"/>
      <c r="AN89" s="2914"/>
    </row>
    <row r="90" spans="1:40" ht="13" customHeight="1" thickBot="1">
      <c r="A90" s="3556" t="s">
        <v>462</v>
      </c>
      <c r="B90" s="3557"/>
      <c r="C90" s="629">
        <f>IF(D90=1,U$5,IF(D90=2,V$5,IF(D90=3,W$5,IF(D90=4,X$5,IF(D90=5,Y$5,IF(D90=6,Z$5,IF(D90=7,AA$5,0)))))))</f>
        <v>2.1222190799396687E-4</v>
      </c>
      <c r="D90" s="3559">
        <v>3</v>
      </c>
      <c r="E90" s="3499">
        <v>1</v>
      </c>
      <c r="F90" s="3499">
        <v>2</v>
      </c>
      <c r="G90" s="3499">
        <v>50</v>
      </c>
      <c r="H90" s="8002" t="s">
        <v>1652</v>
      </c>
      <c r="I90" s="2314">
        <v>2.3148148148148146E-4</v>
      </c>
      <c r="J90" s="2314">
        <v>3.4722222222222224E-4</v>
      </c>
      <c r="K90" s="2310" t="s">
        <v>977</v>
      </c>
      <c r="L90" s="3646">
        <v>0.80555555555555547</v>
      </c>
      <c r="M90" s="2312">
        <v>1.05</v>
      </c>
      <c r="N90" s="5216">
        <f t="shared" ref="N90:N100" si="91">P90*E90*F90+I90*E90*F90+J90*E90</f>
        <v>1.7015171987598461E-3</v>
      </c>
      <c r="O90" s="2314">
        <f>C90*(G90/25)</f>
        <v>4.2444381598793373E-4</v>
      </c>
      <c r="P90" s="2315">
        <f t="shared" ref="P90:P100" si="92">O90*M90</f>
        <v>4.4566600678733046E-4</v>
      </c>
      <c r="Q90" s="2274"/>
      <c r="R90" s="3659">
        <f t="shared" ref="R90:R100" si="93">E90*F90*G90</f>
        <v>100</v>
      </c>
      <c r="S90" s="2844">
        <f t="shared" si="72"/>
        <v>0.1</v>
      </c>
      <c r="T90" s="2845">
        <f t="shared" si="73"/>
        <v>3.3955505279034699E-3</v>
      </c>
      <c r="U90" s="374">
        <f t="shared" si="74"/>
        <v>0</v>
      </c>
      <c r="V90" s="2846">
        <f t="shared" si="75"/>
        <v>0</v>
      </c>
      <c r="W90" s="2847">
        <f t="shared" si="76"/>
        <v>0.1</v>
      </c>
      <c r="X90" s="2848">
        <f t="shared" si="77"/>
        <v>0</v>
      </c>
      <c r="Y90" s="2849">
        <f t="shared" si="78"/>
        <v>0</v>
      </c>
      <c r="Z90" s="2850">
        <f t="shared" si="79"/>
        <v>0</v>
      </c>
      <c r="AA90" s="2851">
        <f t="shared" si="80"/>
        <v>0</v>
      </c>
      <c r="AB90" s="1278"/>
      <c r="AC90" s="3518"/>
      <c r="AD90" s="3518"/>
      <c r="AE90" s="3518"/>
      <c r="AF90" s="3518"/>
      <c r="AG90" s="3518"/>
      <c r="AH90" s="3518"/>
      <c r="AI90" s="2913"/>
      <c r="AJ90" s="2914"/>
      <c r="AK90" s="2914"/>
      <c r="AL90" s="2914"/>
      <c r="AM90" s="2914"/>
      <c r="AN90" s="2914"/>
    </row>
    <row r="91" spans="1:40" ht="13" customHeight="1" thickBot="1">
      <c r="A91" s="3556" t="s">
        <v>460</v>
      </c>
      <c r="B91" s="3563"/>
      <c r="C91" s="629">
        <f>IF(D91=1,U$5,IF(D91=2,V$5,IF(D91=3,W$5,IF(D91=4,X$5,IF(D91=5,Y$5,IF(D91=6,Z$5,IF(D91=7,AA$5,0)))))))</f>
        <v>2.0247664488766629E-4</v>
      </c>
      <c r="D91" s="2317">
        <v>4</v>
      </c>
      <c r="E91" s="3504">
        <v>1</v>
      </c>
      <c r="F91" s="3504">
        <v>2</v>
      </c>
      <c r="G91" s="3504">
        <v>50</v>
      </c>
      <c r="H91" s="8003"/>
      <c r="I91" s="3505">
        <v>4.6296296296296293E-4</v>
      </c>
      <c r="J91" s="3505">
        <v>5.7870370370370378E-4</v>
      </c>
      <c r="K91" s="3506" t="s">
        <v>1635</v>
      </c>
      <c r="L91" s="3647">
        <f>L90+N90</f>
        <v>0.80725707275431535</v>
      </c>
      <c r="M91" s="3508">
        <v>1</v>
      </c>
      <c r="N91" s="5217">
        <f t="shared" si="91"/>
        <v>2.3469324723623215E-3</v>
      </c>
      <c r="O91" s="3510">
        <f>C91*(G91/25)*1.04</f>
        <v>4.2115142136634587E-4</v>
      </c>
      <c r="P91" s="3510">
        <f t="shared" si="92"/>
        <v>4.2115142136634587E-4</v>
      </c>
      <c r="Q91" s="3511"/>
      <c r="R91" s="3660">
        <f t="shared" si="93"/>
        <v>100</v>
      </c>
      <c r="S91" s="2844">
        <f t="shared" si="72"/>
        <v>0.1</v>
      </c>
      <c r="T91" s="2845">
        <f t="shared" si="73"/>
        <v>3.369211370930767E-3</v>
      </c>
      <c r="U91" s="374">
        <f t="shared" si="74"/>
        <v>0</v>
      </c>
      <c r="V91" s="2846">
        <f t="shared" si="75"/>
        <v>0</v>
      </c>
      <c r="W91" s="2847">
        <f t="shared" si="76"/>
        <v>0</v>
      </c>
      <c r="X91" s="2848">
        <f t="shared" si="77"/>
        <v>0.1</v>
      </c>
      <c r="Y91" s="2849">
        <f t="shared" si="78"/>
        <v>0</v>
      </c>
      <c r="Z91" s="2850">
        <f t="shared" si="79"/>
        <v>0</v>
      </c>
      <c r="AA91" s="2851">
        <f t="shared" si="80"/>
        <v>0</v>
      </c>
      <c r="AB91" s="1278"/>
      <c r="AC91" s="3518"/>
      <c r="AD91" s="3518"/>
      <c r="AE91" s="3518"/>
      <c r="AF91" s="3518"/>
      <c r="AG91" s="3518"/>
      <c r="AH91" s="3518"/>
      <c r="AI91" s="2913"/>
      <c r="AJ91" s="2914"/>
      <c r="AK91" s="2914"/>
      <c r="AL91" s="2914"/>
      <c r="AM91" s="2914"/>
      <c r="AN91" s="2914"/>
    </row>
    <row r="92" spans="1:40" ht="14" customHeight="1" thickBot="1">
      <c r="A92" s="3556" t="s">
        <v>458</v>
      </c>
      <c r="B92" s="3563"/>
      <c r="C92" s="629">
        <f>IF(D92=1,U$5,IF(D92=2,V$5,IF(D92=3,W$5,IF(D92=4,X$5,IF(D92=5,Y$5,IF(D92=6,Z$5,IF(D92=7,AA$5,0)))))))</f>
        <v>1.8229166666666673E-4</v>
      </c>
      <c r="D92" s="3444">
        <v>6</v>
      </c>
      <c r="E92" s="3444">
        <v>1</v>
      </c>
      <c r="F92" s="3444">
        <v>2</v>
      </c>
      <c r="G92" s="3444">
        <v>50</v>
      </c>
      <c r="H92" s="8003"/>
      <c r="I92" s="3142">
        <v>6.9444444444444447E-4</v>
      </c>
      <c r="J92" s="3142">
        <v>1.0416666666666667E-3</v>
      </c>
      <c r="K92" s="3438" t="s">
        <v>1636</v>
      </c>
      <c r="L92" s="3643">
        <f>L91+N91</f>
        <v>0.80960400522667764</v>
      </c>
      <c r="M92" s="3440">
        <v>1.08</v>
      </c>
      <c r="N92" s="5213">
        <f t="shared" si="91"/>
        <v>3.2180555555555556E-3</v>
      </c>
      <c r="O92" s="3145">
        <f>C92*(G92/25)</f>
        <v>3.6458333333333346E-4</v>
      </c>
      <c r="P92" s="3442">
        <f t="shared" si="92"/>
        <v>3.9375000000000017E-4</v>
      </c>
      <c r="Q92" s="3443"/>
      <c r="R92" s="3443">
        <f t="shared" si="93"/>
        <v>100</v>
      </c>
      <c r="S92" s="2844">
        <f t="shared" si="72"/>
        <v>0.1</v>
      </c>
      <c r="T92" s="2845">
        <f t="shared" si="73"/>
        <v>2.9166666666666677E-3</v>
      </c>
      <c r="U92" s="374">
        <f t="shared" si="74"/>
        <v>0</v>
      </c>
      <c r="V92" s="2846">
        <f t="shared" si="75"/>
        <v>0</v>
      </c>
      <c r="W92" s="2847">
        <f t="shared" si="76"/>
        <v>0</v>
      </c>
      <c r="X92" s="2848">
        <f t="shared" si="77"/>
        <v>0</v>
      </c>
      <c r="Y92" s="2849">
        <f t="shared" si="78"/>
        <v>0</v>
      </c>
      <c r="Z92" s="2850">
        <f t="shared" si="79"/>
        <v>0.1</v>
      </c>
      <c r="AA92" s="2851">
        <f t="shared" si="80"/>
        <v>0</v>
      </c>
      <c r="AB92" s="1278"/>
      <c r="AC92" s="3518"/>
      <c r="AD92" s="3518"/>
      <c r="AE92" s="3518"/>
      <c r="AF92" s="3518"/>
      <c r="AG92" s="3518"/>
      <c r="AH92" s="3518"/>
      <c r="AI92" s="2913"/>
      <c r="AJ92" s="2914"/>
      <c r="AK92" s="2914"/>
      <c r="AL92" s="2914"/>
      <c r="AM92" s="2914"/>
      <c r="AN92" s="2914"/>
    </row>
    <row r="93" spans="1:40" ht="12" customHeight="1" thickBot="1">
      <c r="A93" s="3556" t="s">
        <v>219</v>
      </c>
      <c r="B93" s="3563"/>
      <c r="C93" s="629">
        <f>IF(D93=1,U$5,IF(D93=2,V$5,IF(D93=3,W$5,IF(D93=4,X$5,IF(D93=5,Y$5,IF(D93=6,Z$5,IF(D93=7,AA$5,0)))))))</f>
        <v>1.7682291666666674E-4</v>
      </c>
      <c r="D93" s="3560">
        <v>7</v>
      </c>
      <c r="E93" s="3561">
        <v>1</v>
      </c>
      <c r="F93" s="3561">
        <v>1</v>
      </c>
      <c r="G93" s="3561">
        <v>50</v>
      </c>
      <c r="H93" s="8004"/>
      <c r="I93" s="3562">
        <v>0</v>
      </c>
      <c r="J93" s="3562">
        <v>1.3888888888888889E-3</v>
      </c>
      <c r="K93" s="2514" t="s">
        <v>947</v>
      </c>
      <c r="L93" s="3648">
        <f>L92+N92</f>
        <v>0.81282206078223318</v>
      </c>
      <c r="M93" s="3493">
        <v>1</v>
      </c>
      <c r="N93" s="5218">
        <f t="shared" si="91"/>
        <v>1.7672899305555558E-3</v>
      </c>
      <c r="O93" s="3495">
        <f>C93*(G93/25)*1.07</f>
        <v>3.7840104166666686E-4</v>
      </c>
      <c r="P93" s="3496">
        <f t="shared" si="92"/>
        <v>3.7840104166666686E-4</v>
      </c>
      <c r="Q93" s="3130"/>
      <c r="R93" s="3661">
        <f t="shared" si="93"/>
        <v>50</v>
      </c>
      <c r="S93" s="2844">
        <f t="shared" si="72"/>
        <v>0.05</v>
      </c>
      <c r="T93" s="2845">
        <f t="shared" si="73"/>
        <v>1.5136041666666674E-3</v>
      </c>
      <c r="U93" s="374">
        <f t="shared" si="74"/>
        <v>0</v>
      </c>
      <c r="V93" s="2846">
        <f t="shared" si="75"/>
        <v>0</v>
      </c>
      <c r="W93" s="2847">
        <f t="shared" si="76"/>
        <v>0</v>
      </c>
      <c r="X93" s="2848">
        <f t="shared" si="77"/>
        <v>0</v>
      </c>
      <c r="Y93" s="2849">
        <f t="shared" si="78"/>
        <v>0</v>
      </c>
      <c r="Z93" s="2850">
        <f t="shared" si="79"/>
        <v>0</v>
      </c>
      <c r="AA93" s="2851">
        <f t="shared" si="80"/>
        <v>0.05</v>
      </c>
      <c r="AB93" s="1278"/>
      <c r="AC93" s="3518"/>
      <c r="AD93" s="3518"/>
      <c r="AE93" s="3518"/>
      <c r="AF93" s="3518"/>
      <c r="AG93" s="3518"/>
      <c r="AH93" s="3518"/>
      <c r="AI93" s="2913"/>
      <c r="AJ93" s="2914"/>
      <c r="AK93" s="2914"/>
      <c r="AL93" s="2914"/>
      <c r="AM93" s="2914"/>
      <c r="AN93" s="2914"/>
    </row>
    <row r="94" spans="1:40" ht="12" customHeight="1" thickBot="1">
      <c r="A94" s="3556"/>
      <c r="B94" s="3563"/>
      <c r="C94" s="629">
        <f t="shared" ref="C94:C98" si="94">IF(D94=1,U$5,IF(D94=2,V$5,IF(D94=3,W$5,IF(D94=4,X$5,IF(D94=5,Y$5,IF(D94=6,Z$5,IF(D94=7,AA$5,0)))))))</f>
        <v>1.8933937422552669E-4</v>
      </c>
      <c r="D94" s="1433">
        <v>5</v>
      </c>
      <c r="E94" s="3452">
        <v>2</v>
      </c>
      <c r="F94" s="3452">
        <v>2</v>
      </c>
      <c r="G94" s="3452">
        <v>25</v>
      </c>
      <c r="H94" s="3512" t="s">
        <v>1637</v>
      </c>
      <c r="I94" s="3450">
        <v>3.4722222222222224E-4</v>
      </c>
      <c r="J94" s="3450">
        <v>3.472222222222222E-3</v>
      </c>
      <c r="K94" s="3513" t="s">
        <v>1665</v>
      </c>
      <c r="L94" s="3649">
        <f t="shared" ref="L94:L101" si="95">L93+N93</f>
        <v>0.81458935071278871</v>
      </c>
      <c r="M94" s="3448">
        <v>0.8</v>
      </c>
      <c r="N94" s="5219">
        <f t="shared" si="91"/>
        <v>8.9392193308550187E-3</v>
      </c>
      <c r="O94" s="3450">
        <f>C94*(G94/25)</f>
        <v>1.8933937422552669E-4</v>
      </c>
      <c r="P94" s="3451">
        <f t="shared" si="92"/>
        <v>1.5147149938042137E-4</v>
      </c>
      <c r="Q94" s="3452"/>
      <c r="R94" s="3662">
        <f t="shared" si="93"/>
        <v>100</v>
      </c>
      <c r="S94" s="2844">
        <f t="shared" si="72"/>
        <v>0.1</v>
      </c>
      <c r="T94" s="2845">
        <f t="shared" si="73"/>
        <v>3.029429987608427E-3</v>
      </c>
      <c r="U94" s="374">
        <f t="shared" si="74"/>
        <v>0</v>
      </c>
      <c r="V94" s="2846">
        <f t="shared" si="75"/>
        <v>0</v>
      </c>
      <c r="W94" s="2847">
        <f t="shared" si="76"/>
        <v>0</v>
      </c>
      <c r="X94" s="2848">
        <f t="shared" si="77"/>
        <v>0</v>
      </c>
      <c r="Y94" s="2849">
        <f t="shared" si="78"/>
        <v>0.1</v>
      </c>
      <c r="Z94" s="2850">
        <f t="shared" si="79"/>
        <v>0</v>
      </c>
      <c r="AA94" s="2851">
        <f t="shared" si="80"/>
        <v>0</v>
      </c>
      <c r="AB94" s="1278"/>
      <c r="AC94" s="3518"/>
      <c r="AD94" s="3518"/>
      <c r="AE94" s="3518"/>
      <c r="AF94" s="3518"/>
      <c r="AG94" s="3518"/>
      <c r="AH94" s="3518"/>
      <c r="AI94" s="2913"/>
      <c r="AJ94" s="2914"/>
      <c r="AK94" s="2914"/>
      <c r="AL94" s="2914"/>
      <c r="AM94" s="2914"/>
      <c r="AN94" s="2914"/>
    </row>
    <row r="95" spans="1:40" ht="14" customHeight="1" thickBot="1">
      <c r="A95" s="3556"/>
      <c r="B95" s="3563"/>
      <c r="C95" s="629">
        <f t="shared" si="94"/>
        <v>1.8933937422552669E-4</v>
      </c>
      <c r="D95" s="1433">
        <v>5</v>
      </c>
      <c r="E95" s="3452">
        <v>2</v>
      </c>
      <c r="F95" s="3452">
        <v>2</v>
      </c>
      <c r="G95" s="3452">
        <v>25</v>
      </c>
      <c r="H95" s="3512" t="s">
        <v>1638</v>
      </c>
      <c r="I95" s="3450">
        <v>3.4722222222222224E-4</v>
      </c>
      <c r="J95" s="3450">
        <v>3.472222222222222E-3</v>
      </c>
      <c r="K95" s="3513" t="s">
        <v>1190</v>
      </c>
      <c r="L95" s="3649">
        <f t="shared" si="95"/>
        <v>0.82352857004364377</v>
      </c>
      <c r="M95" s="3448">
        <v>0.8</v>
      </c>
      <c r="N95" s="5219">
        <f t="shared" si="91"/>
        <v>8.9392193308550187E-3</v>
      </c>
      <c r="O95" s="3450">
        <f>C95*(G95/25)*1</f>
        <v>1.8933937422552669E-4</v>
      </c>
      <c r="P95" s="3451">
        <f t="shared" si="92"/>
        <v>1.5147149938042137E-4</v>
      </c>
      <c r="Q95" s="3452"/>
      <c r="R95" s="3662">
        <f t="shared" si="93"/>
        <v>100</v>
      </c>
      <c r="S95" s="2844">
        <f t="shared" si="72"/>
        <v>0.1</v>
      </c>
      <c r="T95" s="2845">
        <f t="shared" si="73"/>
        <v>3.029429987608427E-3</v>
      </c>
      <c r="U95" s="374">
        <f t="shared" si="74"/>
        <v>0</v>
      </c>
      <c r="V95" s="2846">
        <f t="shared" si="75"/>
        <v>0</v>
      </c>
      <c r="W95" s="2847">
        <f t="shared" si="76"/>
        <v>0</v>
      </c>
      <c r="X95" s="2848">
        <f t="shared" si="77"/>
        <v>0</v>
      </c>
      <c r="Y95" s="2849">
        <f t="shared" si="78"/>
        <v>0.1</v>
      </c>
      <c r="Z95" s="2850">
        <f t="shared" si="79"/>
        <v>0</v>
      </c>
      <c r="AA95" s="2851">
        <f t="shared" si="80"/>
        <v>0</v>
      </c>
      <c r="AB95" s="1278"/>
      <c r="AC95" s="3518"/>
      <c r="AD95" s="3518"/>
      <c r="AE95" s="3518"/>
      <c r="AF95" s="3518"/>
      <c r="AG95" s="3518"/>
      <c r="AH95" s="3518"/>
      <c r="AI95" s="2913"/>
      <c r="AJ95" s="2914"/>
      <c r="AK95" s="2914"/>
      <c r="AL95" s="2914"/>
      <c r="AM95" s="2914"/>
      <c r="AN95" s="2914"/>
    </row>
    <row r="96" spans="1:40" ht="12" customHeight="1" thickBot="1">
      <c r="A96" s="3556"/>
      <c r="B96" s="3563"/>
      <c r="C96" s="629">
        <f t="shared" si="94"/>
        <v>1.8933937422552669E-4</v>
      </c>
      <c r="D96" s="1433">
        <v>5</v>
      </c>
      <c r="E96" s="3452">
        <v>2</v>
      </c>
      <c r="F96" s="3452">
        <v>2</v>
      </c>
      <c r="G96" s="3452">
        <v>25</v>
      </c>
      <c r="H96" s="3512" t="s">
        <v>112</v>
      </c>
      <c r="I96" s="3450">
        <v>3.4722222222222224E-4</v>
      </c>
      <c r="J96" s="3450">
        <v>3.472222222222222E-3</v>
      </c>
      <c r="K96" s="3513" t="s">
        <v>1666</v>
      </c>
      <c r="L96" s="3649">
        <f t="shared" si="95"/>
        <v>0.83246778937449883</v>
      </c>
      <c r="M96" s="3448">
        <v>0.8</v>
      </c>
      <c r="N96" s="5219">
        <f t="shared" si="91"/>
        <v>8.9392193308550187E-3</v>
      </c>
      <c r="O96" s="3450">
        <f>C96*(G96/25)</f>
        <v>1.8933937422552669E-4</v>
      </c>
      <c r="P96" s="3451">
        <f t="shared" si="92"/>
        <v>1.5147149938042137E-4</v>
      </c>
      <c r="Q96" s="3452"/>
      <c r="R96" s="3662">
        <f t="shared" si="93"/>
        <v>100</v>
      </c>
      <c r="S96" s="2844">
        <f t="shared" si="72"/>
        <v>0.1</v>
      </c>
      <c r="T96" s="2845">
        <f t="shared" si="73"/>
        <v>3.029429987608427E-3</v>
      </c>
      <c r="U96" s="374">
        <f t="shared" si="74"/>
        <v>0</v>
      </c>
      <c r="V96" s="2846">
        <f t="shared" si="75"/>
        <v>0</v>
      </c>
      <c r="W96" s="2847">
        <f t="shared" si="76"/>
        <v>0</v>
      </c>
      <c r="X96" s="2848">
        <f t="shared" si="77"/>
        <v>0</v>
      </c>
      <c r="Y96" s="2849">
        <f t="shared" si="78"/>
        <v>0.1</v>
      </c>
      <c r="Z96" s="2850">
        <f t="shared" si="79"/>
        <v>0</v>
      </c>
      <c r="AA96" s="2851">
        <f t="shared" si="80"/>
        <v>0</v>
      </c>
      <c r="AB96" s="1278"/>
      <c r="AC96" s="3518"/>
      <c r="AD96" s="3518"/>
      <c r="AE96" s="3518"/>
      <c r="AF96" s="3518"/>
      <c r="AG96" s="3518"/>
      <c r="AH96" s="3518"/>
      <c r="AI96" s="2913"/>
      <c r="AJ96" s="2914"/>
      <c r="AK96" s="2914"/>
      <c r="AL96" s="2914"/>
      <c r="AM96" s="2914"/>
      <c r="AN96" s="2914"/>
    </row>
    <row r="97" spans="1:40" ht="14" customHeight="1" thickBot="1">
      <c r="A97" s="3556"/>
      <c r="B97" s="3563"/>
      <c r="C97" s="629">
        <f t="shared" si="94"/>
        <v>1.8933937422552669E-4</v>
      </c>
      <c r="D97" s="1433">
        <v>5</v>
      </c>
      <c r="E97" s="3452">
        <v>2</v>
      </c>
      <c r="F97" s="3452">
        <v>2</v>
      </c>
      <c r="G97" s="3452">
        <v>25</v>
      </c>
      <c r="H97" s="3512" t="s">
        <v>1639</v>
      </c>
      <c r="I97" s="3450">
        <v>3.4722222222222224E-4</v>
      </c>
      <c r="J97" s="3450">
        <v>6.9444444444444447E-4</v>
      </c>
      <c r="K97" s="3513" t="s">
        <v>1191</v>
      </c>
      <c r="L97" s="3649">
        <f t="shared" si="95"/>
        <v>0.8414070087053539</v>
      </c>
      <c r="M97" s="3448">
        <v>0.8</v>
      </c>
      <c r="N97" s="5219">
        <f t="shared" si="91"/>
        <v>3.3836637752994638E-3</v>
      </c>
      <c r="O97" s="3450">
        <f>C97*(G97/25)</f>
        <v>1.8933937422552669E-4</v>
      </c>
      <c r="P97" s="3451">
        <f t="shared" si="92"/>
        <v>1.5147149938042137E-4</v>
      </c>
      <c r="Q97" s="3452"/>
      <c r="R97" s="3662">
        <f t="shared" si="93"/>
        <v>100</v>
      </c>
      <c r="S97" s="2844">
        <f t="shared" si="72"/>
        <v>0.1</v>
      </c>
      <c r="T97" s="2845">
        <f t="shared" si="73"/>
        <v>3.029429987608427E-3</v>
      </c>
      <c r="U97" s="374">
        <f t="shared" si="74"/>
        <v>0</v>
      </c>
      <c r="V97" s="2846">
        <f t="shared" si="75"/>
        <v>0</v>
      </c>
      <c r="W97" s="2847">
        <f t="shared" si="76"/>
        <v>0</v>
      </c>
      <c r="X97" s="2848">
        <f t="shared" si="77"/>
        <v>0</v>
      </c>
      <c r="Y97" s="2849">
        <f t="shared" si="78"/>
        <v>0.1</v>
      </c>
      <c r="Z97" s="2850">
        <f t="shared" si="79"/>
        <v>0</v>
      </c>
      <c r="AA97" s="2851">
        <f t="shared" si="80"/>
        <v>0</v>
      </c>
      <c r="AB97" s="1278"/>
      <c r="AC97" s="3518"/>
      <c r="AD97" s="3518"/>
      <c r="AE97" s="3518"/>
      <c r="AF97" s="3518"/>
      <c r="AG97" s="3518"/>
      <c r="AH97" s="3518"/>
      <c r="AI97" s="2913"/>
      <c r="AJ97" s="2914"/>
      <c r="AK97" s="2914"/>
      <c r="AL97" s="2914"/>
      <c r="AM97" s="2914"/>
      <c r="AN97" s="2914"/>
    </row>
    <row r="98" spans="1:40" ht="13" customHeight="1" thickBot="1">
      <c r="A98" s="3556"/>
      <c r="B98" s="3563"/>
      <c r="C98" s="629">
        <f t="shared" si="94"/>
        <v>1.8933937422552669E-4</v>
      </c>
      <c r="D98" s="1433">
        <v>5</v>
      </c>
      <c r="E98" s="3452">
        <v>1</v>
      </c>
      <c r="F98" s="3452">
        <v>1</v>
      </c>
      <c r="G98" s="3452">
        <v>50</v>
      </c>
      <c r="H98" s="3512" t="s">
        <v>1640</v>
      </c>
      <c r="I98" s="3450">
        <v>3.4722222222222224E-4</v>
      </c>
      <c r="J98" s="3450">
        <v>1.3888888888888889E-3</v>
      </c>
      <c r="K98" s="2327" t="s">
        <v>1663</v>
      </c>
      <c r="L98" s="3649">
        <f t="shared" si="95"/>
        <v>0.84479067248065332</v>
      </c>
      <c r="M98" s="3448">
        <v>0.97</v>
      </c>
      <c r="N98" s="5219">
        <f t="shared" si="91"/>
        <v>2.1034294971086329E-3</v>
      </c>
      <c r="O98" s="3450">
        <f>C98*(G98/25)</f>
        <v>3.7867874845105338E-4</v>
      </c>
      <c r="P98" s="3451">
        <f t="shared" si="92"/>
        <v>3.6731838599752176E-4</v>
      </c>
      <c r="Q98" s="3452"/>
      <c r="R98" s="3662">
        <f t="shared" si="93"/>
        <v>50</v>
      </c>
      <c r="S98" s="2844">
        <f t="shared" si="72"/>
        <v>0.05</v>
      </c>
      <c r="T98" s="2845">
        <f t="shared" si="73"/>
        <v>1.5147149938042135E-3</v>
      </c>
      <c r="U98" s="374">
        <f t="shared" si="74"/>
        <v>0</v>
      </c>
      <c r="V98" s="2846">
        <f t="shared" si="75"/>
        <v>0</v>
      </c>
      <c r="W98" s="2847">
        <f t="shared" si="76"/>
        <v>0</v>
      </c>
      <c r="X98" s="2848">
        <f t="shared" si="77"/>
        <v>0</v>
      </c>
      <c r="Y98" s="2849">
        <f t="shared" si="78"/>
        <v>0.05</v>
      </c>
      <c r="Z98" s="2850">
        <f t="shared" si="79"/>
        <v>0</v>
      </c>
      <c r="AA98" s="2851">
        <f t="shared" si="80"/>
        <v>0</v>
      </c>
      <c r="AB98" s="1278"/>
      <c r="AC98" s="3518"/>
      <c r="AD98" s="3518"/>
      <c r="AE98" s="3518"/>
      <c r="AF98" s="3518"/>
      <c r="AG98" s="3518"/>
      <c r="AH98" s="3518"/>
      <c r="AI98" s="2913"/>
      <c r="AJ98" s="2914"/>
      <c r="AK98" s="2914"/>
      <c r="AL98" s="2914"/>
      <c r="AM98" s="2914"/>
      <c r="AN98" s="2914"/>
    </row>
    <row r="99" spans="1:40" ht="13" customHeight="1" thickBot="1">
      <c r="A99" s="3556"/>
      <c r="B99" s="3563"/>
      <c r="C99" s="629">
        <f t="shared" ref="C99" si="96">IF(D99=1,U$5,IF(D99=2,V$5,IF(D99=3,W$5,IF(D99=4,X$5,IF(D99=5,Y$5,IF(D99=6,Z$5,IF(D99=7,AA$5,0)))))))</f>
        <v>1.8933937422552669E-4</v>
      </c>
      <c r="D99" s="1433">
        <v>5</v>
      </c>
      <c r="E99" s="3452">
        <v>1</v>
      </c>
      <c r="F99" s="3452">
        <v>3</v>
      </c>
      <c r="G99" s="3452">
        <v>50</v>
      </c>
      <c r="H99" s="3512" t="s">
        <v>1641</v>
      </c>
      <c r="I99" s="3450">
        <v>6.9444444444444447E-4</v>
      </c>
      <c r="J99" s="3450">
        <v>1.3888888888888889E-3</v>
      </c>
      <c r="K99" s="2327" t="s">
        <v>1642</v>
      </c>
      <c r="L99" s="3649">
        <f t="shared" si="95"/>
        <v>0.84689410197776194</v>
      </c>
      <c r="M99" s="3448">
        <v>1.05</v>
      </c>
      <c r="N99" s="5219">
        <f t="shared" si="91"/>
        <v>4.6650602798430406E-3</v>
      </c>
      <c r="O99" s="3450">
        <f>C99*(G99/25)</f>
        <v>3.7867874845105338E-4</v>
      </c>
      <c r="P99" s="3451">
        <f t="shared" si="92"/>
        <v>3.9761268587360605E-4</v>
      </c>
      <c r="Q99" s="3452"/>
      <c r="R99" s="3662">
        <f t="shared" si="93"/>
        <v>150</v>
      </c>
      <c r="S99" s="2844">
        <f t="shared" si="72"/>
        <v>0.15</v>
      </c>
      <c r="T99" s="2845">
        <f t="shared" si="73"/>
        <v>4.5441449814126404E-3</v>
      </c>
      <c r="U99" s="374">
        <f t="shared" si="74"/>
        <v>0</v>
      </c>
      <c r="V99" s="2846">
        <f t="shared" si="75"/>
        <v>0</v>
      </c>
      <c r="W99" s="2847">
        <f t="shared" si="76"/>
        <v>0</v>
      </c>
      <c r="X99" s="2848">
        <f t="shared" si="77"/>
        <v>0</v>
      </c>
      <c r="Y99" s="2849">
        <f t="shared" si="78"/>
        <v>0.15</v>
      </c>
      <c r="Z99" s="2850">
        <f t="shared" si="79"/>
        <v>0</v>
      </c>
      <c r="AA99" s="2851">
        <f t="shared" si="80"/>
        <v>0</v>
      </c>
      <c r="AB99" s="1278"/>
      <c r="AC99" s="3518"/>
      <c r="AD99" s="3518"/>
      <c r="AE99" s="3518"/>
      <c r="AF99" s="3518"/>
      <c r="AG99" s="3518"/>
      <c r="AH99" s="3518"/>
      <c r="AI99" s="2913"/>
      <c r="AJ99" s="2914"/>
      <c r="AK99" s="2914"/>
      <c r="AL99" s="2914"/>
      <c r="AM99" s="2914"/>
      <c r="AN99" s="2914"/>
    </row>
    <row r="100" spans="1:40" ht="14" customHeight="1" thickBot="1">
      <c r="A100" s="3556"/>
      <c r="B100" s="3563"/>
      <c r="C100" s="629">
        <f>IF(D100=1,U$5,IF(D100=2,V$5,IF(D100=3,W$5,IF(D100=4,X$5,IF(D100=5,Y$5,IF(D100=6,Z$5,IF(D100=7,AA$5,0)))))))</f>
        <v>1.8933937422552669E-4</v>
      </c>
      <c r="D100" s="1433">
        <v>5</v>
      </c>
      <c r="E100" s="3452">
        <v>1</v>
      </c>
      <c r="F100" s="3452">
        <v>1</v>
      </c>
      <c r="G100" s="3452">
        <v>50</v>
      </c>
      <c r="H100" s="3512" t="s">
        <v>1641</v>
      </c>
      <c r="I100" s="3450">
        <v>0</v>
      </c>
      <c r="J100" s="3450">
        <v>1.3888888888888889E-3</v>
      </c>
      <c r="K100" s="2327" t="s">
        <v>1642</v>
      </c>
      <c r="L100" s="3649">
        <f t="shared" si="95"/>
        <v>0.85155916225760497</v>
      </c>
      <c r="M100" s="3448">
        <v>0.97</v>
      </c>
      <c r="N100" s="5219">
        <f t="shared" si="91"/>
        <v>1.7562072748864106E-3</v>
      </c>
      <c r="O100" s="3450">
        <f>C100*(G100/25)</f>
        <v>3.7867874845105338E-4</v>
      </c>
      <c r="P100" s="3451">
        <f t="shared" si="92"/>
        <v>3.6731838599752176E-4</v>
      </c>
      <c r="Q100" s="3452"/>
      <c r="R100" s="3662">
        <f t="shared" si="93"/>
        <v>50</v>
      </c>
      <c r="S100" s="2844">
        <f t="shared" si="72"/>
        <v>0.05</v>
      </c>
      <c r="T100" s="2845">
        <f t="shared" si="73"/>
        <v>1.5147149938042135E-3</v>
      </c>
      <c r="U100" s="374">
        <f t="shared" si="74"/>
        <v>0</v>
      </c>
      <c r="V100" s="2846">
        <f t="shared" si="75"/>
        <v>0</v>
      </c>
      <c r="W100" s="2847">
        <f t="shared" si="76"/>
        <v>0</v>
      </c>
      <c r="X100" s="2848">
        <f t="shared" si="77"/>
        <v>0</v>
      </c>
      <c r="Y100" s="2849">
        <f t="shared" si="78"/>
        <v>0.05</v>
      </c>
      <c r="Z100" s="2850">
        <f t="shared" si="79"/>
        <v>0</v>
      </c>
      <c r="AA100" s="2851">
        <f t="shared" si="80"/>
        <v>0</v>
      </c>
      <c r="AB100" s="1278"/>
      <c r="AC100" s="3518"/>
      <c r="AD100" s="3518"/>
      <c r="AE100" s="3518"/>
      <c r="AF100" s="3518"/>
      <c r="AG100" s="3518"/>
      <c r="AH100" s="3518"/>
      <c r="AI100" s="2913"/>
      <c r="AJ100" s="2914"/>
      <c r="AK100" s="2914"/>
      <c r="AL100" s="2914"/>
      <c r="AM100" s="2914"/>
      <c r="AN100" s="2914"/>
    </row>
    <row r="101" spans="1:40" ht="12" customHeight="1" thickBot="1">
      <c r="A101" s="3556"/>
      <c r="B101" s="3563"/>
      <c r="C101" s="629"/>
      <c r="D101" s="3558"/>
      <c r="E101" s="3454"/>
      <c r="F101" s="3454"/>
      <c r="G101" s="3454"/>
      <c r="H101" s="3454"/>
      <c r="I101" s="3454"/>
      <c r="J101" s="3454"/>
      <c r="K101" s="3454"/>
      <c r="L101" s="3644">
        <f t="shared" si="95"/>
        <v>0.85331536953249143</v>
      </c>
      <c r="M101" s="3455"/>
      <c r="N101" s="5214">
        <f>SUM(N98:N100)</f>
        <v>8.5246970518380837E-3</v>
      </c>
      <c r="O101" s="3454"/>
      <c r="P101" s="3454"/>
      <c r="Q101" s="3454"/>
      <c r="R101" s="3656">
        <f>SUM(R90:R100)</f>
        <v>1000</v>
      </c>
      <c r="S101" s="2844">
        <f t="shared" si="72"/>
        <v>0</v>
      </c>
      <c r="T101" s="2845">
        <f t="shared" si="73"/>
        <v>0</v>
      </c>
      <c r="U101" s="374">
        <f t="shared" si="74"/>
        <v>0</v>
      </c>
      <c r="V101" s="2846">
        <f t="shared" si="75"/>
        <v>0</v>
      </c>
      <c r="W101" s="2847">
        <f t="shared" si="76"/>
        <v>0</v>
      </c>
      <c r="X101" s="2848">
        <f t="shared" si="77"/>
        <v>0</v>
      </c>
      <c r="Y101" s="2849">
        <f t="shared" si="78"/>
        <v>0</v>
      </c>
      <c r="Z101" s="2850">
        <f t="shared" si="79"/>
        <v>0</v>
      </c>
      <c r="AA101" s="2851">
        <f t="shared" si="80"/>
        <v>0</v>
      </c>
      <c r="AB101" s="1278"/>
      <c r="AC101" s="3518"/>
      <c r="AD101" s="3518"/>
      <c r="AE101" s="3518"/>
      <c r="AF101" s="3518"/>
      <c r="AG101" s="3518"/>
      <c r="AH101" s="3518"/>
      <c r="AI101" s="2913"/>
      <c r="AJ101" s="2914"/>
      <c r="AK101" s="2914"/>
      <c r="AL101" s="2914"/>
      <c r="AM101" s="2914"/>
      <c r="AN101" s="2914"/>
    </row>
    <row r="102" spans="1:40" ht="10" customHeight="1" thickBot="1">
      <c r="A102" s="1278"/>
      <c r="B102" s="1278"/>
      <c r="C102" s="3568"/>
      <c r="D102" s="3554"/>
      <c r="E102" s="3433"/>
      <c r="F102" s="3433"/>
      <c r="G102" s="3433"/>
      <c r="H102" s="3433"/>
      <c r="I102" s="3433"/>
      <c r="J102" s="3433"/>
      <c r="K102" s="3433" t="s">
        <v>2101</v>
      </c>
      <c r="L102" s="3650"/>
      <c r="M102" s="3434"/>
      <c r="N102" s="5220"/>
      <c r="O102" s="3433"/>
      <c r="P102" s="3433"/>
      <c r="Q102" s="3433"/>
      <c r="R102" s="3663"/>
      <c r="S102" s="2844">
        <f t="shared" si="72"/>
        <v>0</v>
      </c>
      <c r="T102" s="2845">
        <f t="shared" si="73"/>
        <v>0</v>
      </c>
      <c r="U102" s="374">
        <f t="shared" si="74"/>
        <v>0</v>
      </c>
      <c r="V102" s="2846">
        <f t="shared" si="75"/>
        <v>0</v>
      </c>
      <c r="W102" s="2847">
        <f t="shared" si="76"/>
        <v>0</v>
      </c>
      <c r="X102" s="2848">
        <f t="shared" si="77"/>
        <v>0</v>
      </c>
      <c r="Y102" s="2849">
        <f t="shared" si="78"/>
        <v>0</v>
      </c>
      <c r="Z102" s="2850">
        <f t="shared" si="79"/>
        <v>0</v>
      </c>
      <c r="AA102" s="2851">
        <f t="shared" si="80"/>
        <v>0</v>
      </c>
      <c r="AB102" s="1278"/>
      <c r="AC102" s="3518"/>
      <c r="AD102" s="3518"/>
      <c r="AE102" s="3518"/>
      <c r="AF102" s="3518"/>
      <c r="AG102" s="3518"/>
      <c r="AH102" s="3518"/>
      <c r="AI102" s="2913"/>
      <c r="AJ102" s="2914"/>
      <c r="AK102" s="2914"/>
      <c r="AL102" s="2914"/>
      <c r="AM102" s="2914"/>
      <c r="AN102" s="2914"/>
    </row>
    <row r="103" spans="1:40" ht="14" thickBot="1">
      <c r="A103" s="3567">
        <v>23</v>
      </c>
      <c r="B103" s="3566"/>
      <c r="C103" s="274">
        <f>IF(D103=1,U$5,IF(D103=2,V$5,IF(D103=3,W$5,IF(D103=4,X$5,IF(D103=5,Y$5,IF(D103=6,Z$5,IF(D103=7,AA$5,0)))))))</f>
        <v>2.1222190799396687E-4</v>
      </c>
      <c r="D103" s="813">
        <v>3</v>
      </c>
      <c r="E103" s="347">
        <v>1</v>
      </c>
      <c r="F103" s="347">
        <v>1</v>
      </c>
      <c r="G103" s="347">
        <v>600</v>
      </c>
      <c r="H103" s="347"/>
      <c r="I103" s="348">
        <v>0</v>
      </c>
      <c r="J103" s="348">
        <v>1.3888888888888889E-3</v>
      </c>
      <c r="K103" s="1786" t="s">
        <v>2102</v>
      </c>
      <c r="L103" s="5229">
        <v>0.33906249999999999</v>
      </c>
      <c r="M103" s="824">
        <v>1</v>
      </c>
      <c r="N103" s="1389">
        <f>P103*E103*F103+I103*E103*F103+J103*E103</f>
        <v>6.4822146807440939E-3</v>
      </c>
      <c r="O103" s="1389">
        <f t="shared" ref="O103" si="97">C103*(G103/25)</f>
        <v>5.0933257918552048E-3</v>
      </c>
      <c r="P103" s="1389">
        <f>O103*M103</f>
        <v>5.0933257918552048E-3</v>
      </c>
      <c r="Q103" s="349">
        <v>129</v>
      </c>
      <c r="R103" s="1390">
        <f>E103*F103*G103</f>
        <v>600</v>
      </c>
      <c r="S103" s="2844">
        <f t="shared" si="72"/>
        <v>0.6</v>
      </c>
      <c r="T103" s="2845">
        <f t="shared" si="73"/>
        <v>2.0373303167420819E-2</v>
      </c>
      <c r="U103" s="374">
        <f t="shared" si="74"/>
        <v>0</v>
      </c>
      <c r="V103" s="2846">
        <f t="shared" si="75"/>
        <v>0</v>
      </c>
      <c r="W103" s="2847">
        <f t="shared" si="76"/>
        <v>0.6</v>
      </c>
      <c r="X103" s="2848">
        <f t="shared" si="77"/>
        <v>0</v>
      </c>
      <c r="Y103" s="2849">
        <f t="shared" si="78"/>
        <v>0</v>
      </c>
      <c r="Z103" s="2850">
        <f t="shared" si="79"/>
        <v>0</v>
      </c>
      <c r="AA103" s="2851">
        <f t="shared" si="80"/>
        <v>0</v>
      </c>
      <c r="AB103" s="1278"/>
      <c r="AC103" s="3518"/>
      <c r="AD103" s="3518"/>
      <c r="AE103" s="3518"/>
      <c r="AF103" s="3518"/>
      <c r="AG103" s="3518"/>
      <c r="AH103" s="3518"/>
      <c r="AI103" s="2913"/>
      <c r="AJ103" s="2914"/>
      <c r="AK103" s="2914"/>
      <c r="AL103" s="2914"/>
      <c r="AM103" s="2914"/>
      <c r="AN103" s="2914"/>
    </row>
    <row r="104" spans="1:40" ht="12" thickBot="1">
      <c r="A104" s="3567" t="s">
        <v>138</v>
      </c>
      <c r="B104" s="3566"/>
      <c r="C104" s="629">
        <f>IF(D104=1,U$5,IF(D104=2,V$5,IF(D104=3,W$5,IF(D104=4,X$5,IF(D104=5,Y$5,IF(D104=6,Z$5,IF(D104=7,AA$5,0)))))))</f>
        <v>1.8933937422552669E-4</v>
      </c>
      <c r="D104" s="1433">
        <v>5</v>
      </c>
      <c r="E104" s="3452">
        <v>1</v>
      </c>
      <c r="F104" s="3452">
        <v>3</v>
      </c>
      <c r="G104" s="3452">
        <v>50</v>
      </c>
      <c r="H104" s="3512" t="s">
        <v>112</v>
      </c>
      <c r="I104" s="3450">
        <v>8.6805555555555551E-4</v>
      </c>
      <c r="J104" s="3450">
        <v>4.0509259259259258E-4</v>
      </c>
      <c r="K104" s="3513" t="s">
        <v>1678</v>
      </c>
      <c r="L104" s="3649">
        <f t="shared" ref="L104:L105" si="98">L103+N103</f>
        <v>0.3455447146807441</v>
      </c>
      <c r="M104" s="3448">
        <v>0.97</v>
      </c>
      <c r="N104" s="3449">
        <f>P104*E104*F104+I104*E104*F104+J104*E104</f>
        <v>4.1112144172518244E-3</v>
      </c>
      <c r="O104" s="3450">
        <f>C104*(G104/25)</f>
        <v>3.7867874845105338E-4</v>
      </c>
      <c r="P104" s="3451">
        <f>O104*M104</f>
        <v>3.6731838599752176E-4</v>
      </c>
      <c r="Q104" s="3452"/>
      <c r="R104" s="3452">
        <f>E104*F104*G104</f>
        <v>150</v>
      </c>
      <c r="S104" s="2844">
        <f t="shared" si="72"/>
        <v>0.15</v>
      </c>
      <c r="T104" s="2845">
        <f t="shared" si="73"/>
        <v>4.5441449814126404E-3</v>
      </c>
      <c r="U104" s="374">
        <f t="shared" si="74"/>
        <v>0</v>
      </c>
      <c r="V104" s="2846">
        <f t="shared" si="75"/>
        <v>0</v>
      </c>
      <c r="W104" s="2847">
        <f t="shared" si="76"/>
        <v>0</v>
      </c>
      <c r="X104" s="2848">
        <f t="shared" si="77"/>
        <v>0</v>
      </c>
      <c r="Y104" s="2849">
        <f t="shared" si="78"/>
        <v>0.15</v>
      </c>
      <c r="Z104" s="2850">
        <f t="shared" si="79"/>
        <v>0</v>
      </c>
      <c r="AA104" s="2851">
        <f t="shared" si="80"/>
        <v>0</v>
      </c>
      <c r="AB104" s="1278"/>
      <c r="AC104" s="3518"/>
      <c r="AD104" s="3518"/>
      <c r="AE104" s="3518"/>
      <c r="AF104" s="3518"/>
      <c r="AG104" s="3518"/>
      <c r="AH104" s="3518"/>
      <c r="AI104" s="2913"/>
      <c r="AJ104" s="2914"/>
      <c r="AK104" s="2914"/>
      <c r="AL104" s="2914"/>
      <c r="AM104" s="2914"/>
      <c r="AN104" s="2914"/>
    </row>
    <row r="105" spans="1:40" ht="14" thickBot="1">
      <c r="A105" s="3567" t="s">
        <v>779</v>
      </c>
      <c r="B105" s="3566"/>
      <c r="C105" s="274">
        <f t="shared" ref="C105:C106" si="99">IF(D105=1,U$5,IF(D105=2,V$5,IF(D105=3,W$5,IF(D105=4,X$5,IF(D105=5,Y$5,IF(D105=6,Z$5,IF(D105=7,AA$5,0)))))))</f>
        <v>1.8229166666666673E-4</v>
      </c>
      <c r="D105" s="2309">
        <v>6</v>
      </c>
      <c r="E105" s="4559">
        <v>1</v>
      </c>
      <c r="F105" s="4559">
        <v>1</v>
      </c>
      <c r="G105" s="4559">
        <v>100</v>
      </c>
      <c r="H105" s="4559"/>
      <c r="I105" s="4560">
        <v>3.4722222222222224E-4</v>
      </c>
      <c r="J105" s="4560">
        <v>6.9444444444444441E-3</v>
      </c>
      <c r="K105" s="4561" t="s">
        <v>974</v>
      </c>
      <c r="L105" s="4560">
        <f t="shared" si="98"/>
        <v>0.34965592909799592</v>
      </c>
      <c r="M105" s="4562">
        <v>1.0900000000000001</v>
      </c>
      <c r="N105" s="4560">
        <f t="shared" ref="N105:N110" si="100">P105*E105*F105+I105*E105*F105+J105*E105</f>
        <v>8.0864583333333327E-3</v>
      </c>
      <c r="O105" s="4563">
        <f>C105*(G105/25)</f>
        <v>7.2916666666666692E-4</v>
      </c>
      <c r="P105" s="4564">
        <f t="shared" ref="P105:P110" si="101">O105*M105</f>
        <v>7.9479166666666695E-4</v>
      </c>
      <c r="Q105" s="4565">
        <v>177</v>
      </c>
      <c r="R105" s="4559">
        <f t="shared" ref="R105:R111" si="102">E105*F105*G105</f>
        <v>100</v>
      </c>
      <c r="S105" s="2844">
        <f t="shared" si="72"/>
        <v>0.1</v>
      </c>
      <c r="T105" s="2845">
        <f t="shared" si="73"/>
        <v>2.9166666666666677E-3</v>
      </c>
      <c r="U105" s="374">
        <f t="shared" si="74"/>
        <v>0</v>
      </c>
      <c r="V105" s="2846">
        <f t="shared" si="75"/>
        <v>0</v>
      </c>
      <c r="W105" s="2847">
        <f t="shared" si="76"/>
        <v>0</v>
      </c>
      <c r="X105" s="2848">
        <f t="shared" si="77"/>
        <v>0</v>
      </c>
      <c r="Y105" s="2849">
        <f t="shared" si="78"/>
        <v>0</v>
      </c>
      <c r="Z105" s="2850">
        <f t="shared" si="79"/>
        <v>0.1</v>
      </c>
      <c r="AA105" s="2851">
        <f t="shared" si="80"/>
        <v>0</v>
      </c>
      <c r="AB105" s="1278"/>
      <c r="AC105" s="3518"/>
      <c r="AD105" s="3518"/>
      <c r="AE105" s="3518"/>
      <c r="AF105" s="3518"/>
      <c r="AG105" s="3518"/>
      <c r="AH105" s="3518"/>
      <c r="AI105" s="2913"/>
      <c r="AJ105" s="2914"/>
      <c r="AK105" s="2914"/>
      <c r="AL105" s="2914"/>
      <c r="AM105" s="2914"/>
      <c r="AN105" s="2914"/>
    </row>
    <row r="106" spans="1:40" ht="14" thickBot="1">
      <c r="A106" s="3567" t="s">
        <v>138</v>
      </c>
      <c r="B106" s="3566"/>
      <c r="C106" s="274">
        <f t="shared" si="99"/>
        <v>1.8229166666666673E-4</v>
      </c>
      <c r="D106" s="2309">
        <v>6</v>
      </c>
      <c r="E106" s="4559">
        <v>1</v>
      </c>
      <c r="F106" s="4559">
        <v>1</v>
      </c>
      <c r="G106" s="4559">
        <v>75</v>
      </c>
      <c r="H106" s="4559"/>
      <c r="I106" s="4560">
        <v>6.9444444444444447E-4</v>
      </c>
      <c r="J106" s="4560">
        <v>3.472222222222222E-3</v>
      </c>
      <c r="K106" s="4561" t="s">
        <v>974</v>
      </c>
      <c r="L106" s="4560">
        <f>L104+N104</f>
        <v>0.34965592909799592</v>
      </c>
      <c r="M106" s="4562">
        <v>1.08</v>
      </c>
      <c r="N106" s="4560">
        <f t="shared" si="100"/>
        <v>4.7691041666666663E-3</v>
      </c>
      <c r="O106" s="4563">
        <f>C106*(G106/25)*1.02</f>
        <v>5.5781250000000015E-4</v>
      </c>
      <c r="P106" s="4564">
        <f t="shared" si="101"/>
        <v>6.0243750000000022E-4</v>
      </c>
      <c r="Q106" s="4565">
        <v>177</v>
      </c>
      <c r="R106" s="4559">
        <f t="shared" si="102"/>
        <v>75</v>
      </c>
      <c r="S106" s="2844">
        <f t="shared" si="72"/>
        <v>7.4999999999999997E-2</v>
      </c>
      <c r="T106" s="2845">
        <f t="shared" si="73"/>
        <v>2.2312500000000006E-3</v>
      </c>
      <c r="U106" s="374">
        <f t="shared" si="74"/>
        <v>0</v>
      </c>
      <c r="V106" s="2846">
        <f t="shared" si="75"/>
        <v>0</v>
      </c>
      <c r="W106" s="2847">
        <f t="shared" si="76"/>
        <v>0</v>
      </c>
      <c r="X106" s="2848">
        <f t="shared" si="77"/>
        <v>0</v>
      </c>
      <c r="Y106" s="2849">
        <f t="shared" si="78"/>
        <v>0</v>
      </c>
      <c r="Z106" s="2850">
        <f t="shared" si="79"/>
        <v>7.4999999999999997E-2</v>
      </c>
      <c r="AA106" s="2851">
        <f t="shared" si="80"/>
        <v>0</v>
      </c>
      <c r="AB106" s="1278"/>
      <c r="AC106" s="3518"/>
      <c r="AD106" s="3518"/>
      <c r="AE106" s="3518"/>
      <c r="AF106" s="3518"/>
      <c r="AG106" s="3518"/>
      <c r="AH106" s="3518"/>
      <c r="AI106" s="2913"/>
      <c r="AJ106" s="2914"/>
      <c r="AK106" s="2914"/>
      <c r="AL106" s="2914"/>
      <c r="AM106" s="2914"/>
      <c r="AN106" s="2914"/>
    </row>
    <row r="107" spans="1:40" ht="14" thickBot="1">
      <c r="A107" s="3567" t="s">
        <v>220</v>
      </c>
      <c r="B107" s="3566"/>
      <c r="C107" s="2256">
        <f>IF(D107=1,U$5,IF(D107=2,V$5,IF(D107=3,W$5,IF(D107=4,X$5,IF(D107=5,Y$5,IF(D107=6,Z$5,IF(D107=7,AA$5,0)))))))</f>
        <v>1.8229166666666673E-4</v>
      </c>
      <c r="D107" s="2309">
        <v>6</v>
      </c>
      <c r="E107" s="4559">
        <v>1</v>
      </c>
      <c r="F107" s="4559">
        <v>1</v>
      </c>
      <c r="G107" s="4559">
        <v>50</v>
      </c>
      <c r="H107" s="4559"/>
      <c r="I107" s="4560">
        <v>6.9444444444444447E-4</v>
      </c>
      <c r="J107" s="4560">
        <v>3.472222222222222E-3</v>
      </c>
      <c r="K107" s="4561" t="s">
        <v>974</v>
      </c>
      <c r="L107" s="5186">
        <f>L105+N105</f>
        <v>0.35774238743132925</v>
      </c>
      <c r="M107" s="4562">
        <v>1.07</v>
      </c>
      <c r="N107" s="4560">
        <f t="shared" si="100"/>
        <v>4.5645729166666664E-3</v>
      </c>
      <c r="O107" s="4563">
        <f>C107*(G107/25)*1.02</f>
        <v>3.7187500000000014E-4</v>
      </c>
      <c r="P107" s="5184">
        <f t="shared" si="101"/>
        <v>3.9790625000000015E-4</v>
      </c>
      <c r="Q107" s="4565">
        <v>177</v>
      </c>
      <c r="R107" s="4559">
        <f t="shared" si="102"/>
        <v>50</v>
      </c>
      <c r="S107" s="2844">
        <f t="shared" si="72"/>
        <v>0.05</v>
      </c>
      <c r="T107" s="2845">
        <f t="shared" si="73"/>
        <v>1.4875000000000005E-3</v>
      </c>
      <c r="U107" s="374">
        <f t="shared" si="74"/>
        <v>0</v>
      </c>
      <c r="V107" s="2846">
        <f t="shared" si="75"/>
        <v>0</v>
      </c>
      <c r="W107" s="2847">
        <f t="shared" si="76"/>
        <v>0</v>
      </c>
      <c r="X107" s="2848">
        <f t="shared" si="77"/>
        <v>0</v>
      </c>
      <c r="Y107" s="2849">
        <f t="shared" si="78"/>
        <v>0</v>
      </c>
      <c r="Z107" s="2850">
        <f t="shared" si="79"/>
        <v>0.05</v>
      </c>
      <c r="AA107" s="2851">
        <f t="shared" si="80"/>
        <v>0</v>
      </c>
      <c r="AB107" s="1278"/>
      <c r="AC107" s="3518"/>
      <c r="AD107" s="3518"/>
      <c r="AE107" s="3518"/>
      <c r="AF107" s="3518"/>
      <c r="AG107" s="3518"/>
      <c r="AH107" s="3518"/>
      <c r="AI107" s="2913"/>
      <c r="AJ107" s="2914"/>
      <c r="AK107" s="2914"/>
      <c r="AL107" s="2914"/>
      <c r="AM107" s="2914"/>
      <c r="AN107" s="2914"/>
    </row>
    <row r="108" spans="1:40" ht="14" thickBot="1">
      <c r="A108" s="3567"/>
      <c r="B108" s="3566"/>
      <c r="C108" s="629">
        <f t="shared" ref="C108:C110" si="103">IF(D108=1,U$5,IF(D108=2,V$5,IF(D108=3,W$5,IF(D108=4,X$5,IF(D108=5,Y$5,IF(D108=6,Z$5,IF(D108=7,AA$5,0)))))))</f>
        <v>1.8229166666666673E-4</v>
      </c>
      <c r="D108" s="5223">
        <v>6</v>
      </c>
      <c r="E108" s="5225">
        <v>1</v>
      </c>
      <c r="F108" s="5223">
        <v>1</v>
      </c>
      <c r="G108" s="4559">
        <v>35</v>
      </c>
      <c r="H108" s="5222">
        <v>1</v>
      </c>
      <c r="I108" s="4560">
        <v>1.3888888888888889E-3</v>
      </c>
      <c r="J108" s="4560">
        <v>0</v>
      </c>
      <c r="K108" s="4561" t="s">
        <v>2096</v>
      </c>
      <c r="L108" s="5186">
        <f t="shared" ref="L108:L110" si="104">L107+N107</f>
        <v>0.36230696034799592</v>
      </c>
      <c r="M108" s="4562">
        <v>0.9</v>
      </c>
      <c r="N108" s="5186">
        <f t="shared" si="100"/>
        <v>1.6231701388888891E-3</v>
      </c>
      <c r="O108" s="4563">
        <f>C108*(G108/25)*1.02</f>
        <v>2.6031250000000007E-4</v>
      </c>
      <c r="P108" s="5184">
        <f t="shared" si="101"/>
        <v>2.3428125000000006E-4</v>
      </c>
      <c r="Q108" s="4565">
        <v>177</v>
      </c>
      <c r="R108" s="4559">
        <f t="shared" si="102"/>
        <v>35</v>
      </c>
      <c r="S108" s="2844">
        <f t="shared" si="72"/>
        <v>3.5000000000000003E-2</v>
      </c>
      <c r="T108" s="2845">
        <f t="shared" si="73"/>
        <v>1.0412500000000003E-3</v>
      </c>
      <c r="U108" s="374">
        <f t="shared" si="74"/>
        <v>0</v>
      </c>
      <c r="V108" s="2846">
        <f t="shared" si="75"/>
        <v>0</v>
      </c>
      <c r="W108" s="2847">
        <f t="shared" si="76"/>
        <v>0</v>
      </c>
      <c r="X108" s="2848">
        <f t="shared" si="77"/>
        <v>0</v>
      </c>
      <c r="Y108" s="2849">
        <f t="shared" si="78"/>
        <v>0</v>
      </c>
      <c r="Z108" s="2850">
        <f t="shared" si="79"/>
        <v>3.5000000000000003E-2</v>
      </c>
      <c r="AA108" s="2851">
        <f t="shared" si="80"/>
        <v>0</v>
      </c>
      <c r="AB108" s="1278"/>
      <c r="AC108" s="3518"/>
      <c r="AD108" s="3518"/>
      <c r="AE108" s="3518"/>
      <c r="AF108" s="3518"/>
      <c r="AG108" s="3518"/>
      <c r="AH108" s="3518"/>
      <c r="AI108" s="2913"/>
      <c r="AJ108" s="2914"/>
      <c r="AK108" s="2914"/>
      <c r="AL108" s="2914"/>
      <c r="AM108" s="2914"/>
      <c r="AN108" s="2914"/>
    </row>
    <row r="109" spans="1:40" ht="14" thickBot="1">
      <c r="A109" s="3567"/>
      <c r="B109" s="3566"/>
      <c r="C109" s="629">
        <f t="shared" si="103"/>
        <v>1.8229166666666673E-4</v>
      </c>
      <c r="D109" s="5223">
        <v>6</v>
      </c>
      <c r="E109" s="5226">
        <v>1</v>
      </c>
      <c r="F109" s="5223">
        <v>1</v>
      </c>
      <c r="G109" s="4559">
        <v>25</v>
      </c>
      <c r="H109" s="5222">
        <v>1</v>
      </c>
      <c r="I109" s="4560">
        <v>3.4722222222222224E-4</v>
      </c>
      <c r="J109" s="4560">
        <v>0</v>
      </c>
      <c r="K109" s="4561" t="s">
        <v>2097</v>
      </c>
      <c r="L109" s="5186">
        <f t="shared" si="104"/>
        <v>0.36393013048688483</v>
      </c>
      <c r="M109" s="4562">
        <v>0.9</v>
      </c>
      <c r="N109" s="5186">
        <f t="shared" si="100"/>
        <v>5.1456597222222225E-4</v>
      </c>
      <c r="O109" s="4563">
        <f>C109*(G109/25)*1.02</f>
        <v>1.8593750000000007E-4</v>
      </c>
      <c r="P109" s="5184">
        <f t="shared" si="101"/>
        <v>1.6734375000000007E-4</v>
      </c>
      <c r="Q109" s="4565">
        <v>177</v>
      </c>
      <c r="R109" s="4559">
        <f t="shared" si="102"/>
        <v>25</v>
      </c>
      <c r="S109" s="2844">
        <f t="shared" si="72"/>
        <v>2.5000000000000001E-2</v>
      </c>
      <c r="T109" s="2845">
        <f t="shared" si="73"/>
        <v>7.4375000000000027E-4</v>
      </c>
      <c r="U109" s="374">
        <f t="shared" si="74"/>
        <v>0</v>
      </c>
      <c r="V109" s="2846">
        <f t="shared" si="75"/>
        <v>0</v>
      </c>
      <c r="W109" s="2847">
        <f t="shared" si="76"/>
        <v>0</v>
      </c>
      <c r="X109" s="2848">
        <f t="shared" si="77"/>
        <v>0</v>
      </c>
      <c r="Y109" s="2849">
        <f t="shared" si="78"/>
        <v>0</v>
      </c>
      <c r="Z109" s="2850">
        <f t="shared" si="79"/>
        <v>2.5000000000000001E-2</v>
      </c>
      <c r="AA109" s="2851">
        <f t="shared" si="80"/>
        <v>0</v>
      </c>
      <c r="AB109" s="1278"/>
      <c r="AC109" s="3518"/>
      <c r="AD109" s="3518"/>
      <c r="AE109" s="3518"/>
      <c r="AF109" s="3518"/>
      <c r="AG109" s="3518"/>
      <c r="AH109" s="3518"/>
      <c r="AI109" s="2913"/>
      <c r="AJ109" s="2914"/>
      <c r="AK109" s="2914"/>
      <c r="AL109" s="2914"/>
      <c r="AM109" s="2914"/>
      <c r="AN109" s="2914"/>
    </row>
    <row r="110" spans="1:40" ht="14" thickBot="1">
      <c r="A110" s="3567"/>
      <c r="B110" s="3566"/>
      <c r="C110" s="629">
        <f t="shared" si="103"/>
        <v>1.8229166666666673E-4</v>
      </c>
      <c r="D110" s="5223">
        <v>6</v>
      </c>
      <c r="E110" s="5227">
        <v>1</v>
      </c>
      <c r="F110" s="5223">
        <v>2</v>
      </c>
      <c r="G110" s="4559">
        <v>20</v>
      </c>
      <c r="H110" s="5222">
        <v>1</v>
      </c>
      <c r="I110" s="4560">
        <v>2.3148148148148146E-4</v>
      </c>
      <c r="J110" s="4560">
        <v>0</v>
      </c>
      <c r="K110" s="4561" t="s">
        <v>2098</v>
      </c>
      <c r="L110" s="5186">
        <f t="shared" si="104"/>
        <v>0.36444469645910704</v>
      </c>
      <c r="M110" s="4562">
        <v>0.9</v>
      </c>
      <c r="N110" s="5186">
        <f t="shared" si="100"/>
        <v>7.3071296296296306E-4</v>
      </c>
      <c r="O110" s="4563">
        <f>C110*(G110/25)*1.02</f>
        <v>1.4875000000000006E-4</v>
      </c>
      <c r="P110" s="5184">
        <f t="shared" si="101"/>
        <v>1.3387500000000007E-4</v>
      </c>
      <c r="Q110" s="4565">
        <v>177</v>
      </c>
      <c r="R110" s="4559">
        <f t="shared" si="102"/>
        <v>40</v>
      </c>
      <c r="S110" s="2844">
        <f t="shared" si="72"/>
        <v>0.04</v>
      </c>
      <c r="T110" s="2845">
        <f t="shared" si="73"/>
        <v>1.1900000000000005E-3</v>
      </c>
      <c r="U110" s="374">
        <f t="shared" si="74"/>
        <v>0</v>
      </c>
      <c r="V110" s="2846">
        <f t="shared" si="75"/>
        <v>0</v>
      </c>
      <c r="W110" s="2847">
        <f t="shared" si="76"/>
        <v>0</v>
      </c>
      <c r="X110" s="2848">
        <f t="shared" si="77"/>
        <v>0</v>
      </c>
      <c r="Y110" s="2849">
        <f t="shared" si="78"/>
        <v>0</v>
      </c>
      <c r="Z110" s="2850">
        <f t="shared" si="79"/>
        <v>0.04</v>
      </c>
      <c r="AA110" s="2851">
        <f t="shared" si="80"/>
        <v>0</v>
      </c>
      <c r="AB110" s="1278"/>
      <c r="AC110" s="3518"/>
      <c r="AD110" s="3518"/>
      <c r="AE110" s="3518"/>
      <c r="AF110" s="3518"/>
      <c r="AG110" s="3518"/>
      <c r="AH110" s="3518"/>
      <c r="AI110" s="2913"/>
      <c r="AJ110" s="2914"/>
      <c r="AK110" s="2914"/>
      <c r="AL110" s="2914"/>
      <c r="AM110" s="2914"/>
      <c r="AN110" s="2914"/>
    </row>
    <row r="111" spans="1:40" ht="14" thickBot="1">
      <c r="A111" s="3567">
        <v>0</v>
      </c>
      <c r="B111" s="3566"/>
      <c r="C111" s="3568"/>
      <c r="D111" s="3569">
        <v>7</v>
      </c>
      <c r="E111" s="3570">
        <v>1</v>
      </c>
      <c r="F111" s="3570">
        <v>6</v>
      </c>
      <c r="G111" s="3570">
        <v>15</v>
      </c>
      <c r="H111" s="3571"/>
      <c r="I111" s="3571">
        <v>1.1574074074074073E-4</v>
      </c>
      <c r="J111" s="3571">
        <v>2.3148148148148146E-4</v>
      </c>
      <c r="K111" s="5231" t="s">
        <v>2103</v>
      </c>
      <c r="L111" s="3637">
        <f>L110+N110</f>
        <v>0.36517540942207</v>
      </c>
      <c r="M111" s="3573">
        <v>1</v>
      </c>
      <c r="N111" s="5221"/>
      <c r="O111" s="3574">
        <v>2.4305555555555552E-4</v>
      </c>
      <c r="P111" s="2124">
        <v>2.4305555555555552E-4</v>
      </c>
      <c r="Q111" s="3575" t="s">
        <v>316</v>
      </c>
      <c r="R111" s="3661">
        <f t="shared" si="102"/>
        <v>90</v>
      </c>
      <c r="S111" s="2844">
        <f t="shared" si="72"/>
        <v>0.09</v>
      </c>
      <c r="T111" s="2845">
        <f t="shared" si="73"/>
        <v>5.8333333333333327E-3</v>
      </c>
      <c r="U111" s="374">
        <f t="shared" si="74"/>
        <v>0</v>
      </c>
      <c r="V111" s="2846">
        <f t="shared" si="75"/>
        <v>0</v>
      </c>
      <c r="W111" s="2847">
        <f t="shared" si="76"/>
        <v>0</v>
      </c>
      <c r="X111" s="2848">
        <f t="shared" si="77"/>
        <v>0</v>
      </c>
      <c r="Y111" s="2849">
        <f t="shared" si="78"/>
        <v>0</v>
      </c>
      <c r="Z111" s="2850">
        <f t="shared" si="79"/>
        <v>0</v>
      </c>
      <c r="AA111" s="2851">
        <f t="shared" si="80"/>
        <v>0</v>
      </c>
      <c r="AB111" s="1278"/>
      <c r="AC111" s="3518"/>
      <c r="AD111" s="3518"/>
      <c r="AE111" s="3518"/>
      <c r="AF111" s="3518"/>
      <c r="AG111" s="3518"/>
      <c r="AH111" s="3518"/>
      <c r="AI111" s="2913"/>
      <c r="AJ111" s="2914"/>
      <c r="AK111" s="2914"/>
      <c r="AL111" s="2914"/>
      <c r="AM111" s="2914"/>
      <c r="AN111" s="2914"/>
    </row>
    <row r="112" spans="1:40" ht="13" thickTop="1" thickBot="1">
      <c r="A112" s="1278"/>
      <c r="B112" s="1278"/>
      <c r="C112" s="1278"/>
      <c r="D112" s="1279"/>
      <c r="E112" s="1278"/>
      <c r="F112" s="1278"/>
      <c r="G112" s="1278"/>
      <c r="H112" s="1278"/>
      <c r="I112" s="1278"/>
      <c r="J112" s="1278"/>
      <c r="K112" s="1278"/>
      <c r="L112" s="5230">
        <f>L111+N111</f>
        <v>0.36517540942207</v>
      </c>
      <c r="M112" s="1278"/>
      <c r="N112" s="150"/>
      <c r="O112" s="1278"/>
      <c r="P112" s="1278"/>
      <c r="Q112" s="1278"/>
      <c r="R112" s="5232">
        <f>SUM(R103:R111)</f>
        <v>1165</v>
      </c>
      <c r="S112" s="1278"/>
      <c r="T112" s="3576"/>
      <c r="U112" s="3577">
        <f t="shared" ref="U112:AA112" si="105">SUM(U6:U111)</f>
        <v>1.9999999999999998</v>
      </c>
      <c r="V112" s="3577">
        <f t="shared" si="105"/>
        <v>4.5999999999999996</v>
      </c>
      <c r="W112" s="3577">
        <f t="shared" si="105"/>
        <v>3.5500000000000012</v>
      </c>
      <c r="X112" s="3577">
        <f t="shared" si="105"/>
        <v>0.4</v>
      </c>
      <c r="Y112" s="3577">
        <f t="shared" si="105"/>
        <v>1.6</v>
      </c>
      <c r="Z112" s="3577">
        <f t="shared" si="105"/>
        <v>3.6750000000000012</v>
      </c>
      <c r="AA112" s="3577">
        <f t="shared" si="105"/>
        <v>1.1050000000000004</v>
      </c>
      <c r="AB112" s="3578">
        <f>SUM(U112:AA112)</f>
        <v>16.93</v>
      </c>
      <c r="AC112" s="3518">
        <v>0</v>
      </c>
      <c r="AD112" s="3518">
        <v>0</v>
      </c>
      <c r="AE112" s="3518">
        <v>0</v>
      </c>
      <c r="AF112" s="3518">
        <v>0</v>
      </c>
      <c r="AG112" s="3518">
        <v>0</v>
      </c>
      <c r="AH112" s="3518">
        <v>0</v>
      </c>
      <c r="AI112" s="2913"/>
      <c r="AJ112" s="2914"/>
      <c r="AK112" s="2914"/>
      <c r="AL112" s="2914"/>
      <c r="AM112" s="2914"/>
      <c r="AN112" s="2914"/>
    </row>
    <row r="113" spans="1:40" ht="12" thickTop="1">
      <c r="A113" s="1278"/>
      <c r="B113" s="1278"/>
      <c r="C113" s="1278"/>
      <c r="D113" s="1279"/>
      <c r="E113" s="1278"/>
      <c r="F113" s="1278"/>
      <c r="G113" s="1278"/>
      <c r="H113" s="1278"/>
      <c r="I113" s="1278"/>
      <c r="J113" s="1278"/>
      <c r="K113" s="1278"/>
      <c r="L113" s="150"/>
      <c r="M113" s="1278"/>
      <c r="N113" s="150"/>
      <c r="O113" s="1278"/>
      <c r="P113" s="1278"/>
      <c r="Q113" s="1278"/>
      <c r="R113" s="150"/>
      <c r="S113" s="1278"/>
      <c r="T113" s="1278"/>
      <c r="U113" s="3539">
        <f>IF(U112&gt;0,U112,#REF!)</f>
        <v>1.9999999999999998</v>
      </c>
      <c r="V113" s="3539">
        <f>IF(V112&gt;0,V112,#REF!)</f>
        <v>4.5999999999999996</v>
      </c>
      <c r="W113" s="3539">
        <f>IF(W112&gt;0,W112,#REF!)</f>
        <v>3.5500000000000012</v>
      </c>
      <c r="X113" s="3539">
        <f>IF(X112&gt;0,X112,#REF!)</f>
        <v>0.4</v>
      </c>
      <c r="Y113" s="3539">
        <f>IF(Y112&gt;0,Y112,#REF!)</f>
        <v>1.6</v>
      </c>
      <c r="Z113" s="3539">
        <f>IF(Z112&gt;0,Z112,#REF!)</f>
        <v>3.6750000000000012</v>
      </c>
      <c r="AA113" s="3539">
        <f>IF(AA112&gt;0,AA112,#REF!)</f>
        <v>1.1050000000000004</v>
      </c>
      <c r="AB113" s="1278"/>
      <c r="AC113" s="3518">
        <v>0</v>
      </c>
      <c r="AD113" s="3518">
        <v>0</v>
      </c>
      <c r="AE113" s="3518">
        <v>0</v>
      </c>
      <c r="AF113" s="3518">
        <v>0</v>
      </c>
      <c r="AG113" s="3518">
        <v>0</v>
      </c>
      <c r="AH113" s="3518">
        <v>0</v>
      </c>
      <c r="AI113" s="2913"/>
      <c r="AJ113" s="2914"/>
      <c r="AK113" s="2914"/>
      <c r="AL113" s="2914"/>
      <c r="AM113" s="2914"/>
      <c r="AN113" s="2914"/>
    </row>
    <row r="114" spans="1:40">
      <c r="A114" s="1278"/>
      <c r="B114" s="1278"/>
      <c r="C114" s="1278"/>
      <c r="D114" s="1279"/>
      <c r="E114" s="1278"/>
      <c r="F114" s="1278"/>
      <c r="G114" s="1278"/>
      <c r="H114" s="1278"/>
      <c r="I114" s="1278"/>
      <c r="J114" s="1278"/>
      <c r="K114" s="1278"/>
      <c r="L114" s="150"/>
      <c r="M114" s="1278"/>
      <c r="N114" s="150"/>
      <c r="O114" s="1278"/>
      <c r="P114" s="1278"/>
      <c r="Q114" s="1278"/>
      <c r="R114" s="150"/>
      <c r="S114" s="1278"/>
      <c r="T114" s="1278"/>
      <c r="U114" s="3539">
        <f t="shared" ref="U114:AA129" si="106">IF(U113&gt;0,U113,U112)</f>
        <v>1.9999999999999998</v>
      </c>
      <c r="V114" s="3539">
        <f t="shared" si="106"/>
        <v>4.5999999999999996</v>
      </c>
      <c r="W114" s="3539">
        <f t="shared" si="106"/>
        <v>3.5500000000000012</v>
      </c>
      <c r="X114" s="3539">
        <f t="shared" si="106"/>
        <v>0.4</v>
      </c>
      <c r="Y114" s="3539">
        <f t="shared" si="106"/>
        <v>1.6</v>
      </c>
      <c r="Z114" s="3539">
        <f t="shared" si="106"/>
        <v>3.6750000000000012</v>
      </c>
      <c r="AA114" s="3539">
        <f t="shared" si="106"/>
        <v>1.1050000000000004</v>
      </c>
      <c r="AB114" s="1278"/>
      <c r="AC114" s="3518">
        <v>0</v>
      </c>
      <c r="AD114" s="3518">
        <v>0</v>
      </c>
      <c r="AE114" s="3518">
        <v>0</v>
      </c>
      <c r="AF114" s="3518">
        <v>0</v>
      </c>
      <c r="AG114" s="3518">
        <v>0</v>
      </c>
      <c r="AH114" s="3518">
        <v>0</v>
      </c>
      <c r="AI114" s="2913"/>
      <c r="AJ114" s="2914"/>
      <c r="AK114" s="2914"/>
      <c r="AL114" s="2914"/>
      <c r="AM114" s="2914"/>
      <c r="AN114" s="2914"/>
    </row>
    <row r="115" spans="1:40">
      <c r="A115" s="1278"/>
      <c r="B115" s="1278"/>
      <c r="C115" s="1278"/>
      <c r="D115" s="1279"/>
      <c r="E115" s="1278"/>
      <c r="F115" s="1278"/>
      <c r="G115" s="1278"/>
      <c r="H115" s="1278"/>
      <c r="I115" s="1278"/>
      <c r="J115" s="1278"/>
      <c r="K115" s="1278"/>
      <c r="L115" s="150"/>
      <c r="M115" s="1278"/>
      <c r="N115" s="150"/>
      <c r="O115" s="1278"/>
      <c r="P115" s="1278"/>
      <c r="Q115" s="1278"/>
      <c r="R115" s="150"/>
      <c r="S115" s="1278"/>
      <c r="T115" s="1278"/>
      <c r="U115" s="3539">
        <f t="shared" si="106"/>
        <v>1.9999999999999998</v>
      </c>
      <c r="V115" s="3539">
        <f t="shared" si="106"/>
        <v>4.5999999999999996</v>
      </c>
      <c r="W115" s="3539">
        <f t="shared" si="106"/>
        <v>3.5500000000000012</v>
      </c>
      <c r="X115" s="3539">
        <f t="shared" si="106"/>
        <v>0.4</v>
      </c>
      <c r="Y115" s="3539">
        <f t="shared" si="106"/>
        <v>1.6</v>
      </c>
      <c r="Z115" s="3539">
        <f t="shared" si="106"/>
        <v>3.6750000000000012</v>
      </c>
      <c r="AA115" s="3539">
        <f t="shared" si="106"/>
        <v>1.1050000000000004</v>
      </c>
      <c r="AB115" s="1278"/>
      <c r="AC115" s="3518"/>
      <c r="AD115" s="3518"/>
      <c r="AE115" s="3518"/>
      <c r="AF115" s="3518"/>
      <c r="AG115" s="3518"/>
      <c r="AH115" s="3518"/>
      <c r="AI115" s="2913"/>
      <c r="AJ115" s="2914"/>
      <c r="AK115" s="2914"/>
      <c r="AL115" s="2914"/>
      <c r="AM115" s="2914"/>
      <c r="AN115" s="2914"/>
    </row>
    <row r="116" spans="1:40">
      <c r="A116" s="1278"/>
      <c r="B116" s="1278"/>
      <c r="C116" s="1278"/>
      <c r="D116" s="1279"/>
      <c r="E116" s="1278"/>
      <c r="F116" s="1278"/>
      <c r="G116" s="1278"/>
      <c r="H116" s="1278"/>
      <c r="I116" s="1278"/>
      <c r="J116" s="1278"/>
      <c r="K116" s="1278"/>
      <c r="L116" s="150"/>
      <c r="M116" s="1278"/>
      <c r="N116" s="150"/>
      <c r="O116" s="1278"/>
      <c r="P116" s="1278"/>
      <c r="Q116" s="1278"/>
      <c r="R116" s="150"/>
      <c r="S116" s="1278"/>
      <c r="T116" s="1278"/>
      <c r="U116" s="3539">
        <f t="shared" si="106"/>
        <v>1.9999999999999998</v>
      </c>
      <c r="V116" s="3539">
        <f t="shared" si="106"/>
        <v>4.5999999999999996</v>
      </c>
      <c r="W116" s="3539">
        <f t="shared" si="106"/>
        <v>3.5500000000000012</v>
      </c>
      <c r="X116" s="3539">
        <f t="shared" si="106"/>
        <v>0.4</v>
      </c>
      <c r="Y116" s="3539">
        <f t="shared" si="106"/>
        <v>1.6</v>
      </c>
      <c r="Z116" s="3539">
        <f t="shared" si="106"/>
        <v>3.6750000000000012</v>
      </c>
      <c r="AA116" s="3539">
        <f t="shared" si="106"/>
        <v>1.1050000000000004</v>
      </c>
      <c r="AB116" s="1278"/>
      <c r="AC116" s="3518">
        <v>0</v>
      </c>
      <c r="AD116" s="3518">
        <v>0</v>
      </c>
      <c r="AE116" s="3518">
        <v>0</v>
      </c>
      <c r="AF116" s="3518">
        <v>0</v>
      </c>
      <c r="AG116" s="3518">
        <v>0</v>
      </c>
      <c r="AH116" s="3518">
        <v>0</v>
      </c>
      <c r="AI116" s="2913"/>
      <c r="AJ116" s="2914"/>
      <c r="AK116" s="2914"/>
      <c r="AL116" s="2914"/>
      <c r="AM116" s="2914"/>
      <c r="AN116" s="2914"/>
    </row>
    <row r="117" spans="1:40">
      <c r="A117" s="1278"/>
      <c r="B117" s="1278"/>
      <c r="C117" s="1278"/>
      <c r="D117" s="1279"/>
      <c r="E117" s="1278"/>
      <c r="F117" s="1278"/>
      <c r="G117" s="1278"/>
      <c r="H117" s="1278"/>
      <c r="I117" s="1278"/>
      <c r="J117" s="1278"/>
      <c r="K117" s="1278"/>
      <c r="L117" s="150"/>
      <c r="M117" s="1278"/>
      <c r="N117" s="150"/>
      <c r="O117" s="1278"/>
      <c r="P117" s="1278"/>
      <c r="Q117" s="1278"/>
      <c r="R117" s="150"/>
      <c r="S117" s="1278"/>
      <c r="T117" s="1278"/>
      <c r="U117" s="3539">
        <f t="shared" si="106"/>
        <v>1.9999999999999998</v>
      </c>
      <c r="V117" s="3539">
        <f t="shared" si="106"/>
        <v>4.5999999999999996</v>
      </c>
      <c r="W117" s="3539">
        <f t="shared" si="106"/>
        <v>3.5500000000000012</v>
      </c>
      <c r="X117" s="3539">
        <f t="shared" si="106"/>
        <v>0.4</v>
      </c>
      <c r="Y117" s="3539">
        <f t="shared" si="106"/>
        <v>1.6</v>
      </c>
      <c r="Z117" s="3539">
        <f t="shared" si="106"/>
        <v>3.6750000000000012</v>
      </c>
      <c r="AA117" s="3539">
        <f t="shared" si="106"/>
        <v>1.1050000000000004</v>
      </c>
      <c r="AB117" s="1278"/>
      <c r="AC117" s="3518">
        <v>0</v>
      </c>
      <c r="AD117" s="3518">
        <v>0</v>
      </c>
      <c r="AE117" s="3518">
        <v>0</v>
      </c>
      <c r="AF117" s="3518">
        <v>0</v>
      </c>
      <c r="AG117" s="3518">
        <v>0</v>
      </c>
      <c r="AH117" s="3518">
        <v>0</v>
      </c>
      <c r="AI117" s="2913"/>
      <c r="AJ117" s="2914"/>
      <c r="AK117" s="2914"/>
      <c r="AL117" s="2914"/>
      <c r="AM117" s="2914"/>
      <c r="AN117" s="2914"/>
    </row>
    <row r="118" spans="1:40">
      <c r="A118" s="1278"/>
      <c r="B118" s="1278"/>
      <c r="C118" s="1278"/>
      <c r="D118" s="1279"/>
      <c r="E118" s="1278"/>
      <c r="F118" s="1278"/>
      <c r="G118" s="1278"/>
      <c r="H118" s="1278"/>
      <c r="I118" s="1278"/>
      <c r="J118" s="1278"/>
      <c r="K118" s="1278"/>
      <c r="L118" s="150"/>
      <c r="M118" s="1278"/>
      <c r="N118" s="150"/>
      <c r="O118" s="1278"/>
      <c r="P118" s="1278"/>
      <c r="Q118" s="1278"/>
      <c r="R118" s="150"/>
      <c r="S118" s="1278"/>
      <c r="T118" s="1278"/>
      <c r="U118" s="3539">
        <f t="shared" si="106"/>
        <v>1.9999999999999998</v>
      </c>
      <c r="V118" s="3539">
        <f t="shared" si="106"/>
        <v>4.5999999999999996</v>
      </c>
      <c r="W118" s="3539">
        <f t="shared" si="106"/>
        <v>3.5500000000000012</v>
      </c>
      <c r="X118" s="3539">
        <f t="shared" si="106"/>
        <v>0.4</v>
      </c>
      <c r="Y118" s="3539">
        <f t="shared" si="106"/>
        <v>1.6</v>
      </c>
      <c r="Z118" s="3539">
        <f t="shared" si="106"/>
        <v>3.6750000000000012</v>
      </c>
      <c r="AA118" s="3539">
        <f t="shared" si="106"/>
        <v>1.1050000000000004</v>
      </c>
      <c r="AB118" s="1278"/>
      <c r="AC118" s="3518"/>
      <c r="AD118" s="3518"/>
      <c r="AE118" s="3518"/>
      <c r="AF118" s="3518"/>
      <c r="AG118" s="3518"/>
      <c r="AH118" s="3518"/>
      <c r="AI118" s="2913"/>
      <c r="AJ118" s="2914"/>
      <c r="AK118" s="2914"/>
      <c r="AL118" s="2914"/>
      <c r="AM118" s="2914"/>
      <c r="AN118" s="2914"/>
    </row>
    <row r="119" spans="1:40">
      <c r="A119" s="1278"/>
      <c r="B119" s="1278"/>
      <c r="C119" s="1278"/>
      <c r="D119" s="1279"/>
      <c r="E119" s="1278"/>
      <c r="F119" s="1278"/>
      <c r="G119" s="1278"/>
      <c r="H119" s="1278"/>
      <c r="I119" s="1278"/>
      <c r="J119" s="1278"/>
      <c r="K119" s="1278"/>
      <c r="L119" s="150"/>
      <c r="M119" s="1278"/>
      <c r="N119" s="150"/>
      <c r="O119" s="1278"/>
      <c r="P119" s="1278"/>
      <c r="Q119" s="1278"/>
      <c r="R119" s="150"/>
      <c r="S119" s="1278"/>
      <c r="T119" s="1278"/>
      <c r="U119" s="3539">
        <f t="shared" si="106"/>
        <v>1.9999999999999998</v>
      </c>
      <c r="V119" s="3539">
        <f t="shared" si="106"/>
        <v>4.5999999999999996</v>
      </c>
      <c r="W119" s="3539">
        <f t="shared" si="106"/>
        <v>3.5500000000000012</v>
      </c>
      <c r="X119" s="3539">
        <f t="shared" si="106"/>
        <v>0.4</v>
      </c>
      <c r="Y119" s="3539">
        <f t="shared" si="106"/>
        <v>1.6</v>
      </c>
      <c r="Z119" s="3539">
        <f t="shared" si="106"/>
        <v>3.6750000000000012</v>
      </c>
      <c r="AA119" s="3539">
        <f t="shared" si="106"/>
        <v>1.1050000000000004</v>
      </c>
      <c r="AB119" s="1278"/>
      <c r="AC119" s="3518"/>
      <c r="AD119" s="3518"/>
      <c r="AE119" s="3518"/>
      <c r="AF119" s="3518"/>
      <c r="AG119" s="3518"/>
      <c r="AH119" s="3518"/>
      <c r="AI119" s="2913"/>
      <c r="AJ119" s="2914"/>
      <c r="AK119" s="2914"/>
      <c r="AL119" s="2914"/>
      <c r="AM119" s="2914"/>
      <c r="AN119" s="2914"/>
    </row>
    <row r="120" spans="1:40">
      <c r="A120" s="1278"/>
      <c r="B120" s="1278"/>
      <c r="C120" s="1278"/>
      <c r="D120" s="1279"/>
      <c r="E120" s="1278"/>
      <c r="F120" s="1278"/>
      <c r="G120" s="1278"/>
      <c r="H120" s="1278"/>
      <c r="I120" s="1278"/>
      <c r="J120" s="1278"/>
      <c r="K120" s="1278"/>
      <c r="L120" s="150"/>
      <c r="M120" s="1278"/>
      <c r="N120" s="150"/>
      <c r="O120" s="1278"/>
      <c r="P120" s="1278"/>
      <c r="Q120" s="1278"/>
      <c r="R120" s="150"/>
      <c r="S120" s="1278"/>
      <c r="T120" s="1278"/>
      <c r="U120" s="3539">
        <f t="shared" si="106"/>
        <v>1.9999999999999998</v>
      </c>
      <c r="V120" s="3539">
        <f t="shared" si="106"/>
        <v>4.5999999999999996</v>
      </c>
      <c r="W120" s="3539">
        <f t="shared" si="106"/>
        <v>3.5500000000000012</v>
      </c>
      <c r="X120" s="3539">
        <f t="shared" si="106"/>
        <v>0.4</v>
      </c>
      <c r="Y120" s="3539">
        <f t="shared" si="106"/>
        <v>1.6</v>
      </c>
      <c r="Z120" s="3539">
        <f t="shared" si="106"/>
        <v>3.6750000000000012</v>
      </c>
      <c r="AA120" s="3539">
        <f t="shared" si="106"/>
        <v>1.1050000000000004</v>
      </c>
      <c r="AB120" s="1278"/>
      <c r="AC120" s="3518">
        <v>0</v>
      </c>
      <c r="AD120" s="3518">
        <v>0</v>
      </c>
      <c r="AE120" s="3518">
        <v>0</v>
      </c>
      <c r="AF120" s="3518">
        <v>0</v>
      </c>
      <c r="AG120" s="3518">
        <v>0</v>
      </c>
      <c r="AH120" s="3518">
        <v>0</v>
      </c>
      <c r="AI120" s="2913"/>
      <c r="AJ120" s="2914"/>
      <c r="AK120" s="2914"/>
      <c r="AL120" s="2914"/>
      <c r="AM120" s="2914"/>
      <c r="AN120" s="2914"/>
    </row>
    <row r="121" spans="1:40">
      <c r="A121" s="1278"/>
      <c r="B121" s="1278"/>
      <c r="C121" s="1278"/>
      <c r="D121" s="1279"/>
      <c r="E121" s="1278"/>
      <c r="F121" s="1278"/>
      <c r="G121" s="1278"/>
      <c r="H121" s="1278"/>
      <c r="I121" s="1278"/>
      <c r="J121" s="1278"/>
      <c r="K121" s="1278"/>
      <c r="L121" s="150"/>
      <c r="M121" s="1278"/>
      <c r="N121" s="150"/>
      <c r="O121" s="1278"/>
      <c r="P121" s="1278"/>
      <c r="Q121" s="1278"/>
      <c r="R121" s="150"/>
      <c r="S121" s="1278"/>
      <c r="T121" s="1278"/>
      <c r="U121" s="3539">
        <f t="shared" si="106"/>
        <v>1.9999999999999998</v>
      </c>
      <c r="V121" s="3539">
        <f t="shared" si="106"/>
        <v>4.5999999999999996</v>
      </c>
      <c r="W121" s="3539">
        <f t="shared" si="106"/>
        <v>3.5500000000000012</v>
      </c>
      <c r="X121" s="3539">
        <f t="shared" si="106"/>
        <v>0.4</v>
      </c>
      <c r="Y121" s="3539">
        <f t="shared" si="106"/>
        <v>1.6</v>
      </c>
      <c r="Z121" s="3539">
        <f t="shared" si="106"/>
        <v>3.6750000000000012</v>
      </c>
      <c r="AA121" s="3539">
        <f t="shared" si="106"/>
        <v>1.1050000000000004</v>
      </c>
      <c r="AB121" s="1278"/>
      <c r="AC121" s="3518">
        <v>0</v>
      </c>
      <c r="AD121" s="3518">
        <v>0</v>
      </c>
      <c r="AE121" s="3518">
        <v>0</v>
      </c>
      <c r="AF121" s="3518">
        <v>0</v>
      </c>
      <c r="AG121" s="3518">
        <v>0</v>
      </c>
      <c r="AH121" s="3518">
        <v>0</v>
      </c>
      <c r="AI121" s="2913"/>
      <c r="AJ121" s="2914"/>
      <c r="AK121" s="2914"/>
      <c r="AL121" s="2914"/>
      <c r="AM121" s="2914"/>
      <c r="AN121" s="2914"/>
    </row>
    <row r="122" spans="1:40">
      <c r="A122" s="1278"/>
      <c r="B122" s="1278"/>
      <c r="C122" s="1278"/>
      <c r="D122" s="1279"/>
      <c r="E122" s="1278"/>
      <c r="F122" s="1278"/>
      <c r="G122" s="1278"/>
      <c r="H122" s="1278"/>
      <c r="I122" s="1278"/>
      <c r="J122" s="1278"/>
      <c r="K122" s="1278"/>
      <c r="L122" s="150"/>
      <c r="M122" s="1278"/>
      <c r="N122" s="150"/>
      <c r="O122" s="1278"/>
      <c r="P122" s="1278"/>
      <c r="Q122" s="1278"/>
      <c r="R122" s="150"/>
      <c r="S122" s="1278"/>
      <c r="T122" s="1278"/>
      <c r="U122" s="3539">
        <f t="shared" si="106"/>
        <v>1.9999999999999998</v>
      </c>
      <c r="V122" s="3539">
        <f t="shared" si="106"/>
        <v>4.5999999999999996</v>
      </c>
      <c r="W122" s="3539">
        <f t="shared" si="106"/>
        <v>3.5500000000000012</v>
      </c>
      <c r="X122" s="3539">
        <f t="shared" si="106"/>
        <v>0.4</v>
      </c>
      <c r="Y122" s="3539">
        <f t="shared" si="106"/>
        <v>1.6</v>
      </c>
      <c r="Z122" s="3539">
        <f t="shared" si="106"/>
        <v>3.6750000000000012</v>
      </c>
      <c r="AA122" s="3539">
        <f t="shared" si="106"/>
        <v>1.1050000000000004</v>
      </c>
      <c r="AB122" s="1278"/>
      <c r="AC122" s="3518">
        <v>0</v>
      </c>
      <c r="AD122" s="3518">
        <v>0</v>
      </c>
      <c r="AE122" s="3518">
        <v>0</v>
      </c>
      <c r="AF122" s="3518">
        <v>0</v>
      </c>
      <c r="AG122" s="3518">
        <v>0</v>
      </c>
      <c r="AH122" s="3518">
        <v>0</v>
      </c>
      <c r="AI122" s="2913"/>
      <c r="AJ122" s="2914"/>
      <c r="AK122" s="2914"/>
      <c r="AL122" s="2914"/>
      <c r="AM122" s="2914"/>
      <c r="AN122" s="2914"/>
    </row>
    <row r="123" spans="1:40">
      <c r="A123" s="1278"/>
      <c r="B123" s="1278"/>
      <c r="C123" s="1278"/>
      <c r="D123" s="1279"/>
      <c r="E123" s="1278"/>
      <c r="F123" s="1278"/>
      <c r="G123" s="1278"/>
      <c r="H123" s="1278"/>
      <c r="I123" s="1278"/>
      <c r="J123" s="1278"/>
      <c r="K123" s="1278"/>
      <c r="L123" s="150"/>
      <c r="M123" s="1278"/>
      <c r="N123" s="150"/>
      <c r="O123" s="1278"/>
      <c r="P123" s="1278"/>
      <c r="Q123" s="1278"/>
      <c r="R123" s="150"/>
      <c r="S123" s="1278"/>
      <c r="T123" s="1278"/>
      <c r="U123" s="3539">
        <f t="shared" si="106"/>
        <v>1.9999999999999998</v>
      </c>
      <c r="V123" s="3539">
        <f t="shared" si="106"/>
        <v>4.5999999999999996</v>
      </c>
      <c r="W123" s="3539">
        <f t="shared" si="106"/>
        <v>3.5500000000000012</v>
      </c>
      <c r="X123" s="3539">
        <f t="shared" si="106"/>
        <v>0.4</v>
      </c>
      <c r="Y123" s="3539">
        <f t="shared" si="106"/>
        <v>1.6</v>
      </c>
      <c r="Z123" s="3539">
        <f t="shared" si="106"/>
        <v>3.6750000000000012</v>
      </c>
      <c r="AA123" s="3539">
        <f t="shared" si="106"/>
        <v>1.1050000000000004</v>
      </c>
      <c r="AB123" s="1278"/>
      <c r="AC123" s="3518"/>
      <c r="AD123" s="3518"/>
      <c r="AE123" s="3518"/>
      <c r="AF123" s="3518"/>
      <c r="AG123" s="3518"/>
      <c r="AH123" s="3518"/>
      <c r="AI123" s="2913"/>
      <c r="AJ123" s="2914"/>
      <c r="AK123" s="2914"/>
      <c r="AL123" s="2914"/>
      <c r="AM123" s="2914"/>
      <c r="AN123" s="2914"/>
    </row>
    <row r="124" spans="1:40">
      <c r="A124" s="1278"/>
      <c r="B124" s="1278"/>
      <c r="C124" s="1278"/>
      <c r="D124" s="1279"/>
      <c r="E124" s="1278"/>
      <c r="F124" s="1278"/>
      <c r="G124" s="1278"/>
      <c r="H124" s="1278"/>
      <c r="I124" s="1278"/>
      <c r="J124" s="1278"/>
      <c r="K124" s="1278"/>
      <c r="L124" s="150"/>
      <c r="M124" s="1278"/>
      <c r="N124" s="150"/>
      <c r="O124" s="1278"/>
      <c r="P124" s="1278"/>
      <c r="Q124" s="1278"/>
      <c r="R124" s="150"/>
      <c r="S124" s="1278"/>
      <c r="T124" s="1278"/>
      <c r="U124" s="3539">
        <f t="shared" si="106"/>
        <v>1.9999999999999998</v>
      </c>
      <c r="V124" s="3539">
        <f t="shared" si="106"/>
        <v>4.5999999999999996</v>
      </c>
      <c r="W124" s="3539">
        <f t="shared" si="106"/>
        <v>3.5500000000000012</v>
      </c>
      <c r="X124" s="3539">
        <f t="shared" si="106"/>
        <v>0.4</v>
      </c>
      <c r="Y124" s="3539">
        <f t="shared" si="106"/>
        <v>1.6</v>
      </c>
      <c r="Z124" s="3539">
        <f t="shared" si="106"/>
        <v>3.6750000000000012</v>
      </c>
      <c r="AA124" s="3539">
        <f t="shared" si="106"/>
        <v>1.1050000000000004</v>
      </c>
      <c r="AB124" s="1278"/>
      <c r="AC124" s="3518"/>
      <c r="AD124" s="3518"/>
      <c r="AE124" s="3518"/>
      <c r="AF124" s="3518"/>
      <c r="AG124" s="3518"/>
      <c r="AH124" s="3518"/>
      <c r="AI124" s="2913"/>
      <c r="AJ124" s="2914"/>
      <c r="AK124" s="2914"/>
      <c r="AL124" s="2914"/>
      <c r="AM124" s="2914"/>
      <c r="AN124" s="2914"/>
    </row>
    <row r="125" spans="1:40">
      <c r="A125" s="1278"/>
      <c r="B125" s="1278"/>
      <c r="C125" s="1278"/>
      <c r="D125" s="1279"/>
      <c r="E125" s="1278"/>
      <c r="F125" s="1278"/>
      <c r="G125" s="1278"/>
      <c r="H125" s="1278"/>
      <c r="I125" s="1278"/>
      <c r="J125" s="1278"/>
      <c r="K125" s="1278"/>
      <c r="L125" s="150"/>
      <c r="M125" s="1278"/>
      <c r="N125" s="150"/>
      <c r="O125" s="1278"/>
      <c r="P125" s="1278"/>
      <c r="Q125" s="1278"/>
      <c r="R125" s="150"/>
      <c r="S125" s="1278"/>
      <c r="T125" s="1278"/>
      <c r="U125" s="3539">
        <f t="shared" si="106"/>
        <v>1.9999999999999998</v>
      </c>
      <c r="V125" s="3539">
        <f t="shared" si="106"/>
        <v>4.5999999999999996</v>
      </c>
      <c r="W125" s="3539">
        <f t="shared" si="106"/>
        <v>3.5500000000000012</v>
      </c>
      <c r="X125" s="3539">
        <f t="shared" si="106"/>
        <v>0.4</v>
      </c>
      <c r="Y125" s="3539">
        <f t="shared" si="106"/>
        <v>1.6</v>
      </c>
      <c r="Z125" s="3539">
        <f t="shared" si="106"/>
        <v>3.6750000000000012</v>
      </c>
      <c r="AA125" s="3539">
        <f t="shared" si="106"/>
        <v>1.1050000000000004</v>
      </c>
      <c r="AB125" s="1278"/>
      <c r="AC125" s="3518">
        <v>0</v>
      </c>
      <c r="AD125" s="3518">
        <v>0</v>
      </c>
      <c r="AE125" s="3518">
        <v>0</v>
      </c>
      <c r="AF125" s="3518">
        <v>0</v>
      </c>
      <c r="AG125" s="3518">
        <v>0</v>
      </c>
      <c r="AH125" s="3518">
        <v>0</v>
      </c>
      <c r="AI125" s="2913"/>
      <c r="AJ125" s="2914"/>
      <c r="AK125" s="2914"/>
      <c r="AL125" s="2914"/>
      <c r="AM125" s="2914"/>
      <c r="AN125" s="2914"/>
    </row>
    <row r="126" spans="1:40">
      <c r="A126" s="1278"/>
      <c r="B126" s="1278"/>
      <c r="C126" s="1278"/>
      <c r="D126" s="1279"/>
      <c r="E126" s="1278"/>
      <c r="F126" s="1278"/>
      <c r="G126" s="1278"/>
      <c r="H126" s="1278"/>
      <c r="I126" s="1278"/>
      <c r="J126" s="1278"/>
      <c r="K126" s="1278"/>
      <c r="L126" s="150"/>
      <c r="M126" s="1278"/>
      <c r="N126" s="150"/>
      <c r="O126" s="1278"/>
      <c r="P126" s="1278"/>
      <c r="Q126" s="1278"/>
      <c r="R126" s="150"/>
      <c r="S126" s="1278"/>
      <c r="T126" s="1278"/>
      <c r="U126" s="3539">
        <f t="shared" si="106"/>
        <v>1.9999999999999998</v>
      </c>
      <c r="V126" s="3539">
        <f t="shared" si="106"/>
        <v>4.5999999999999996</v>
      </c>
      <c r="W126" s="3539">
        <f t="shared" si="106"/>
        <v>3.5500000000000012</v>
      </c>
      <c r="X126" s="3539">
        <f t="shared" si="106"/>
        <v>0.4</v>
      </c>
      <c r="Y126" s="3539">
        <f t="shared" si="106"/>
        <v>1.6</v>
      </c>
      <c r="Z126" s="3539">
        <f t="shared" si="106"/>
        <v>3.6750000000000012</v>
      </c>
      <c r="AA126" s="3539">
        <f t="shared" si="106"/>
        <v>1.1050000000000004</v>
      </c>
      <c r="AB126" s="1278"/>
      <c r="AC126" s="3518">
        <v>0</v>
      </c>
      <c r="AD126" s="3518">
        <v>0</v>
      </c>
      <c r="AE126" s="3518">
        <v>0</v>
      </c>
      <c r="AF126" s="3518">
        <v>0</v>
      </c>
      <c r="AG126" s="3518">
        <v>0</v>
      </c>
      <c r="AH126" s="3518">
        <v>0</v>
      </c>
      <c r="AI126" s="2913"/>
      <c r="AJ126" s="2914"/>
      <c r="AK126" s="2914"/>
      <c r="AL126" s="2914"/>
      <c r="AM126" s="2914"/>
      <c r="AN126" s="2914"/>
    </row>
    <row r="127" spans="1:40">
      <c r="A127" s="1278"/>
      <c r="B127" s="1278"/>
      <c r="C127" s="1278"/>
      <c r="D127" s="1279"/>
      <c r="E127" s="1278"/>
      <c r="F127" s="1278"/>
      <c r="G127" s="1278"/>
      <c r="H127" s="1278"/>
      <c r="I127" s="1278"/>
      <c r="J127" s="1278"/>
      <c r="K127" s="1278"/>
      <c r="L127" s="150"/>
      <c r="M127" s="1278"/>
      <c r="N127" s="150"/>
      <c r="O127" s="1278"/>
      <c r="P127" s="1278"/>
      <c r="Q127" s="1278"/>
      <c r="R127" s="150"/>
      <c r="S127" s="1278"/>
      <c r="T127" s="1278"/>
      <c r="U127" s="3539">
        <f t="shared" si="106"/>
        <v>1.9999999999999998</v>
      </c>
      <c r="V127" s="3539">
        <f t="shared" si="106"/>
        <v>4.5999999999999996</v>
      </c>
      <c r="W127" s="3539">
        <f t="shared" si="106"/>
        <v>3.5500000000000012</v>
      </c>
      <c r="X127" s="3539">
        <f t="shared" si="106"/>
        <v>0.4</v>
      </c>
      <c r="Y127" s="3539">
        <f t="shared" si="106"/>
        <v>1.6</v>
      </c>
      <c r="Z127" s="3539">
        <f t="shared" si="106"/>
        <v>3.6750000000000012</v>
      </c>
      <c r="AA127" s="3539">
        <f t="shared" si="106"/>
        <v>1.1050000000000004</v>
      </c>
      <c r="AB127" s="1278"/>
      <c r="AC127" s="3518">
        <v>0</v>
      </c>
      <c r="AD127" s="3518">
        <v>0</v>
      </c>
      <c r="AE127" s="3518">
        <v>0</v>
      </c>
      <c r="AF127" s="3518">
        <v>0</v>
      </c>
      <c r="AG127" s="3518">
        <v>0</v>
      </c>
      <c r="AH127" s="3518">
        <v>0</v>
      </c>
      <c r="AI127" s="2913"/>
      <c r="AJ127" s="2914"/>
      <c r="AK127" s="2914"/>
      <c r="AL127" s="2914"/>
      <c r="AM127" s="2914"/>
      <c r="AN127" s="2914"/>
    </row>
    <row r="128" spans="1:40">
      <c r="A128" s="1278"/>
      <c r="B128" s="1278"/>
      <c r="C128" s="1278"/>
      <c r="D128" s="1279"/>
      <c r="E128" s="1278"/>
      <c r="F128" s="1278"/>
      <c r="G128" s="1278"/>
      <c r="H128" s="1278"/>
      <c r="I128" s="1278"/>
      <c r="J128" s="1278"/>
      <c r="K128" s="1278"/>
      <c r="L128" s="150"/>
      <c r="M128" s="1278"/>
      <c r="N128" s="150"/>
      <c r="O128" s="1278"/>
      <c r="P128" s="1278"/>
      <c r="Q128" s="1278"/>
      <c r="R128" s="150"/>
      <c r="S128" s="1278"/>
      <c r="T128" s="1278"/>
      <c r="U128" s="3539">
        <f t="shared" si="106"/>
        <v>1.9999999999999998</v>
      </c>
      <c r="V128" s="3539">
        <f t="shared" si="106"/>
        <v>4.5999999999999996</v>
      </c>
      <c r="W128" s="3539">
        <f t="shared" si="106"/>
        <v>3.5500000000000012</v>
      </c>
      <c r="X128" s="3539">
        <f t="shared" si="106"/>
        <v>0.4</v>
      </c>
      <c r="Y128" s="3539">
        <f t="shared" si="106"/>
        <v>1.6</v>
      </c>
      <c r="Z128" s="3539">
        <f t="shared" si="106"/>
        <v>3.6750000000000012</v>
      </c>
      <c r="AA128" s="3539">
        <f t="shared" si="106"/>
        <v>1.1050000000000004</v>
      </c>
      <c r="AB128" s="1278"/>
      <c r="AC128" s="3518"/>
      <c r="AD128" s="3518"/>
      <c r="AE128" s="3518"/>
      <c r="AF128" s="3518"/>
      <c r="AG128" s="3518"/>
      <c r="AH128" s="3518"/>
      <c r="AI128" s="2913"/>
      <c r="AJ128" s="2914"/>
      <c r="AK128" s="2914"/>
      <c r="AL128" s="2914"/>
      <c r="AM128" s="2914"/>
      <c r="AN128" s="2914"/>
    </row>
    <row r="129" spans="1:40">
      <c r="A129" s="1278"/>
      <c r="B129" s="1278"/>
      <c r="C129" s="1278"/>
      <c r="D129" s="1279"/>
      <c r="E129" s="1278"/>
      <c r="F129" s="1278"/>
      <c r="G129" s="1278"/>
      <c r="H129" s="1278"/>
      <c r="I129" s="1278"/>
      <c r="J129" s="1278"/>
      <c r="K129" s="1278"/>
      <c r="L129" s="150"/>
      <c r="M129" s="1278"/>
      <c r="N129" s="150"/>
      <c r="O129" s="1278"/>
      <c r="P129" s="1278"/>
      <c r="Q129" s="1278"/>
      <c r="R129" s="150"/>
      <c r="S129" s="1278"/>
      <c r="T129" s="1278"/>
      <c r="U129" s="3539">
        <f t="shared" si="106"/>
        <v>1.9999999999999998</v>
      </c>
      <c r="V129" s="3539">
        <f t="shared" si="106"/>
        <v>4.5999999999999996</v>
      </c>
      <c r="W129" s="3539">
        <f t="shared" si="106"/>
        <v>3.5500000000000012</v>
      </c>
      <c r="X129" s="3539">
        <f t="shared" si="106"/>
        <v>0.4</v>
      </c>
      <c r="Y129" s="3539">
        <f t="shared" si="106"/>
        <v>1.6</v>
      </c>
      <c r="Z129" s="3539">
        <f t="shared" si="106"/>
        <v>3.6750000000000012</v>
      </c>
      <c r="AA129" s="3539">
        <f t="shared" si="106"/>
        <v>1.1050000000000004</v>
      </c>
      <c r="AB129" s="1278"/>
      <c r="AC129" s="3518"/>
      <c r="AD129" s="3518"/>
      <c r="AE129" s="3518"/>
      <c r="AF129" s="3518"/>
      <c r="AG129" s="3518"/>
      <c r="AH129" s="3518"/>
      <c r="AI129" s="2913"/>
      <c r="AJ129" s="2914"/>
      <c r="AK129" s="2914"/>
      <c r="AL129" s="2914"/>
      <c r="AM129" s="2914"/>
      <c r="AN129" s="2914"/>
    </row>
    <row r="130" spans="1:40">
      <c r="A130" s="1278"/>
      <c r="B130" s="1278"/>
      <c r="C130" s="1278"/>
      <c r="D130" s="1279"/>
      <c r="E130" s="1278"/>
      <c r="F130" s="1278"/>
      <c r="G130" s="1278"/>
      <c r="H130" s="1278"/>
      <c r="I130" s="1278"/>
      <c r="J130" s="1278"/>
      <c r="K130" s="1278"/>
      <c r="L130" s="150"/>
      <c r="M130" s="1278"/>
      <c r="N130" s="150"/>
      <c r="O130" s="1278"/>
      <c r="P130" s="1278"/>
      <c r="Q130" s="1278"/>
      <c r="R130" s="150"/>
      <c r="S130" s="1278"/>
      <c r="T130" s="1278"/>
      <c r="U130" s="3539">
        <f t="shared" ref="U130:AA133" si="107">IF(U129&gt;0,U129,U128)</f>
        <v>1.9999999999999998</v>
      </c>
      <c r="V130" s="3539">
        <f t="shared" si="107"/>
        <v>4.5999999999999996</v>
      </c>
      <c r="W130" s="3539">
        <f t="shared" si="107"/>
        <v>3.5500000000000012</v>
      </c>
      <c r="X130" s="3539">
        <f t="shared" si="107"/>
        <v>0.4</v>
      </c>
      <c r="Y130" s="3539">
        <f t="shared" si="107"/>
        <v>1.6</v>
      </c>
      <c r="Z130" s="3539">
        <f t="shared" si="107"/>
        <v>3.6750000000000012</v>
      </c>
      <c r="AA130" s="3539">
        <f t="shared" si="107"/>
        <v>1.1050000000000004</v>
      </c>
      <c r="AB130" s="1278"/>
      <c r="AC130" s="3518">
        <v>0</v>
      </c>
      <c r="AD130" s="3518">
        <v>0</v>
      </c>
      <c r="AE130" s="3518">
        <v>0</v>
      </c>
      <c r="AF130" s="3518">
        <v>0</v>
      </c>
      <c r="AG130" s="3518">
        <v>0</v>
      </c>
      <c r="AH130" s="3518">
        <v>0</v>
      </c>
      <c r="AI130" s="2913"/>
      <c r="AJ130" s="2914"/>
      <c r="AK130" s="2914"/>
      <c r="AL130" s="2914"/>
      <c r="AM130" s="2914"/>
      <c r="AN130" s="2914"/>
    </row>
    <row r="131" spans="1:40">
      <c r="A131" s="1278"/>
      <c r="B131" s="1278"/>
      <c r="C131" s="1278"/>
      <c r="D131" s="1279"/>
      <c r="E131" s="1278"/>
      <c r="F131" s="1278"/>
      <c r="G131" s="1278"/>
      <c r="H131" s="1278"/>
      <c r="I131" s="1278"/>
      <c r="J131" s="1278"/>
      <c r="K131" s="1278"/>
      <c r="L131" s="150"/>
      <c r="M131" s="1278"/>
      <c r="N131" s="150"/>
      <c r="O131" s="1278"/>
      <c r="P131" s="1278"/>
      <c r="Q131" s="1278"/>
      <c r="R131" s="150"/>
      <c r="S131" s="1278"/>
      <c r="T131" s="1278"/>
      <c r="U131" s="3539">
        <f t="shared" si="107"/>
        <v>1.9999999999999998</v>
      </c>
      <c r="V131" s="3539">
        <f t="shared" si="107"/>
        <v>4.5999999999999996</v>
      </c>
      <c r="W131" s="3539">
        <f t="shared" si="107"/>
        <v>3.5500000000000012</v>
      </c>
      <c r="X131" s="3539">
        <f t="shared" si="107"/>
        <v>0.4</v>
      </c>
      <c r="Y131" s="3539">
        <f t="shared" si="107"/>
        <v>1.6</v>
      </c>
      <c r="Z131" s="3539">
        <f t="shared" si="107"/>
        <v>3.6750000000000012</v>
      </c>
      <c r="AA131" s="3539">
        <f t="shared" si="107"/>
        <v>1.1050000000000004</v>
      </c>
      <c r="AB131" s="1278"/>
      <c r="AC131" s="3518">
        <v>0</v>
      </c>
      <c r="AD131" s="3518">
        <v>0</v>
      </c>
      <c r="AE131" s="3518">
        <v>0</v>
      </c>
      <c r="AF131" s="3518">
        <v>0</v>
      </c>
      <c r="AG131" s="3518">
        <v>0</v>
      </c>
      <c r="AH131" s="3518">
        <v>0</v>
      </c>
      <c r="AI131" s="2913"/>
      <c r="AJ131" s="2914"/>
      <c r="AK131" s="2914"/>
      <c r="AL131" s="2914"/>
      <c r="AM131" s="2914"/>
      <c r="AN131" s="2914"/>
    </row>
    <row r="132" spans="1:40">
      <c r="A132" s="1278"/>
      <c r="B132" s="1278"/>
      <c r="C132" s="1278"/>
      <c r="D132" s="1279"/>
      <c r="E132" s="1278"/>
      <c r="F132" s="1278"/>
      <c r="G132" s="1278"/>
      <c r="H132" s="1278"/>
      <c r="I132" s="1278"/>
      <c r="J132" s="1278"/>
      <c r="K132" s="1278"/>
      <c r="L132" s="150"/>
      <c r="M132" s="1278"/>
      <c r="N132" s="150"/>
      <c r="O132" s="1278"/>
      <c r="P132" s="1278"/>
      <c r="Q132" s="1278"/>
      <c r="R132" s="150"/>
      <c r="S132" s="1278"/>
      <c r="T132" s="1278"/>
      <c r="U132" s="3539">
        <f t="shared" si="107"/>
        <v>1.9999999999999998</v>
      </c>
      <c r="V132" s="3539">
        <f t="shared" si="107"/>
        <v>4.5999999999999996</v>
      </c>
      <c r="W132" s="3539">
        <f t="shared" si="107"/>
        <v>3.5500000000000012</v>
      </c>
      <c r="X132" s="3539">
        <f t="shared" si="107"/>
        <v>0.4</v>
      </c>
      <c r="Y132" s="3539">
        <f t="shared" si="107"/>
        <v>1.6</v>
      </c>
      <c r="Z132" s="3539">
        <f t="shared" si="107"/>
        <v>3.6750000000000012</v>
      </c>
      <c r="AA132" s="3539">
        <f t="shared" si="107"/>
        <v>1.1050000000000004</v>
      </c>
      <c r="AB132" s="1278"/>
      <c r="AC132" s="3518">
        <v>0</v>
      </c>
      <c r="AD132" s="3518">
        <v>0</v>
      </c>
      <c r="AE132" s="3518">
        <v>0</v>
      </c>
      <c r="AF132" s="3518">
        <v>0</v>
      </c>
      <c r="AG132" s="3518">
        <v>0</v>
      </c>
      <c r="AH132" s="3518">
        <v>0</v>
      </c>
      <c r="AI132" s="2913"/>
      <c r="AJ132" s="2914"/>
      <c r="AK132" s="2914"/>
      <c r="AL132" s="2914"/>
      <c r="AM132" s="2914"/>
      <c r="AN132" s="2914"/>
    </row>
    <row r="133" spans="1:40">
      <c r="A133" s="1278"/>
      <c r="B133" s="1278"/>
      <c r="C133" s="1278"/>
      <c r="D133" s="1279"/>
      <c r="E133" s="1278"/>
      <c r="F133" s="1278"/>
      <c r="G133" s="1278"/>
      <c r="H133" s="1278"/>
      <c r="I133" s="1278"/>
      <c r="J133" s="1278"/>
      <c r="K133" s="1278"/>
      <c r="L133" s="150"/>
      <c r="M133" s="1278"/>
      <c r="N133" s="150"/>
      <c r="O133" s="1278"/>
      <c r="P133" s="1278"/>
      <c r="Q133" s="1278"/>
      <c r="R133" s="150"/>
      <c r="S133" s="1278"/>
      <c r="T133" s="1278"/>
      <c r="U133" s="3579">
        <f>IF(U132&gt;0,U132,U131)</f>
        <v>1.9999999999999998</v>
      </c>
      <c r="V133" s="3579">
        <f t="shared" si="107"/>
        <v>4.5999999999999996</v>
      </c>
      <c r="W133" s="3579">
        <f t="shared" si="107"/>
        <v>3.5500000000000012</v>
      </c>
      <c r="X133" s="3579">
        <f t="shared" si="107"/>
        <v>0.4</v>
      </c>
      <c r="Y133" s="3579">
        <f t="shared" si="107"/>
        <v>1.6</v>
      </c>
      <c r="Z133" s="3579">
        <f t="shared" si="107"/>
        <v>3.6750000000000012</v>
      </c>
      <c r="AA133" s="3579">
        <f t="shared" si="107"/>
        <v>1.1050000000000004</v>
      </c>
      <c r="AB133" s="1278"/>
      <c r="AC133" s="3518"/>
      <c r="AD133" s="3518"/>
      <c r="AE133" s="3518"/>
      <c r="AF133" s="3518"/>
      <c r="AG133" s="3518"/>
      <c r="AH133" s="3518"/>
      <c r="AI133" s="2913"/>
      <c r="AJ133" s="2914"/>
      <c r="AK133" s="2914"/>
      <c r="AL133" s="2914"/>
      <c r="AM133" s="2914"/>
      <c r="AN133" s="2914"/>
    </row>
    <row r="134" spans="1:40">
      <c r="A134" s="1278"/>
      <c r="B134" s="1278"/>
      <c r="C134" s="1278"/>
      <c r="D134" s="1279"/>
      <c r="E134" s="1278"/>
      <c r="F134" s="1278"/>
      <c r="G134" s="1278"/>
      <c r="H134" s="1278"/>
      <c r="I134" s="1278"/>
      <c r="J134" s="1278"/>
      <c r="K134" s="1278"/>
      <c r="L134" s="150"/>
      <c r="M134" s="1278"/>
      <c r="N134" s="150"/>
      <c r="O134" s="1278"/>
      <c r="P134" s="1278"/>
      <c r="Q134" s="1278"/>
      <c r="R134" s="150"/>
      <c r="S134" s="1278"/>
      <c r="T134" s="1278"/>
      <c r="U134" s="3539"/>
      <c r="V134" s="3539"/>
      <c r="W134" s="3539"/>
      <c r="X134" s="3539"/>
      <c r="Y134" s="3539"/>
      <c r="Z134" s="3539"/>
      <c r="AA134" s="3539"/>
      <c r="AB134" s="1278"/>
      <c r="AC134" s="3518"/>
      <c r="AD134" s="3518"/>
      <c r="AE134" s="3518"/>
      <c r="AF134" s="3518"/>
      <c r="AG134" s="3518"/>
      <c r="AH134" s="3518"/>
      <c r="AI134" s="2913"/>
      <c r="AJ134" s="2914"/>
      <c r="AK134" s="2914"/>
      <c r="AL134" s="2914"/>
      <c r="AM134" s="2914"/>
      <c r="AN134" s="2914"/>
    </row>
    <row r="135" spans="1:40">
      <c r="A135" s="1278"/>
      <c r="B135" s="1278"/>
      <c r="C135" s="1278"/>
      <c r="D135" s="1279"/>
      <c r="E135" s="1278"/>
      <c r="F135" s="1278"/>
      <c r="G135" s="1278"/>
      <c r="H135" s="1278"/>
      <c r="I135" s="1278"/>
      <c r="J135" s="1278"/>
      <c r="K135" s="1278"/>
      <c r="L135" s="150"/>
      <c r="M135" s="1278"/>
      <c r="N135" s="150"/>
      <c r="O135" s="1278"/>
      <c r="P135" s="1278"/>
      <c r="Q135" s="1278"/>
      <c r="R135" s="150"/>
      <c r="S135" s="1278"/>
      <c r="T135" s="1278"/>
      <c r="U135" s="3539"/>
      <c r="V135" s="3539"/>
      <c r="W135" s="3539"/>
      <c r="X135" s="3539"/>
      <c r="Y135" s="3539"/>
      <c r="Z135" s="3539"/>
      <c r="AA135" s="3539"/>
      <c r="AB135" s="1278"/>
      <c r="AC135" s="3518">
        <v>0</v>
      </c>
      <c r="AD135" s="3518">
        <v>0</v>
      </c>
      <c r="AE135" s="3518">
        <v>0</v>
      </c>
      <c r="AF135" s="3518">
        <v>0</v>
      </c>
      <c r="AG135" s="3518">
        <v>0</v>
      </c>
      <c r="AH135" s="3518">
        <v>0</v>
      </c>
      <c r="AI135" s="2913"/>
      <c r="AJ135" s="2914"/>
      <c r="AK135" s="2914"/>
      <c r="AL135" s="2914"/>
      <c r="AM135" s="2914"/>
      <c r="AN135" s="2914"/>
    </row>
    <row r="136" spans="1:40">
      <c r="A136" s="1278"/>
      <c r="B136" s="1278"/>
      <c r="C136" s="1278"/>
      <c r="D136" s="1279"/>
      <c r="E136" s="1278"/>
      <c r="F136" s="1278"/>
      <c r="G136" s="1278"/>
      <c r="H136" s="1278"/>
      <c r="I136" s="1278"/>
      <c r="J136" s="1278"/>
      <c r="K136" s="1278"/>
      <c r="L136" s="150"/>
      <c r="M136" s="1278"/>
      <c r="N136" s="150"/>
      <c r="O136" s="1278"/>
      <c r="P136" s="1278"/>
      <c r="Q136" s="1278"/>
      <c r="R136" s="150"/>
      <c r="S136" s="1278"/>
      <c r="T136" s="1278"/>
      <c r="U136" s="3539"/>
      <c r="V136" s="3539"/>
      <c r="W136" s="3539"/>
      <c r="X136" s="3539"/>
      <c r="Y136" s="3539"/>
      <c r="Z136" s="3539"/>
      <c r="AA136" s="3539"/>
      <c r="AB136" s="1278"/>
      <c r="AC136" s="3518"/>
      <c r="AD136" s="3518"/>
      <c r="AE136" s="3518"/>
      <c r="AF136" s="3518"/>
      <c r="AG136" s="3518"/>
      <c r="AH136" s="3518"/>
      <c r="AJ136" s="2914"/>
      <c r="AK136" s="2914"/>
      <c r="AL136" s="2914"/>
      <c r="AM136" s="2914"/>
      <c r="AN136" s="2914"/>
    </row>
    <row r="137" spans="1:40">
      <c r="A137" s="1278"/>
      <c r="B137" s="1278"/>
      <c r="C137" s="1278"/>
      <c r="D137" s="1279"/>
      <c r="E137" s="1278"/>
      <c r="F137" s="1278"/>
      <c r="G137" s="1278"/>
      <c r="H137" s="1278"/>
      <c r="I137" s="1278"/>
      <c r="J137" s="1278"/>
      <c r="K137" s="1278"/>
      <c r="L137" s="150"/>
      <c r="M137" s="1278"/>
      <c r="N137" s="150"/>
      <c r="O137" s="1278"/>
      <c r="P137" s="1278"/>
      <c r="Q137" s="1278"/>
      <c r="R137" s="150"/>
      <c r="S137" s="1278"/>
      <c r="T137" s="1278"/>
      <c r="U137" s="3539"/>
      <c r="V137" s="3539"/>
      <c r="W137" s="3539"/>
      <c r="X137" s="3539"/>
      <c r="Y137" s="3539"/>
      <c r="Z137" s="3539"/>
      <c r="AA137" s="3539"/>
      <c r="AB137" s="1278"/>
      <c r="AJ137" s="2914"/>
      <c r="AK137" s="2914"/>
      <c r="AL137" s="2914"/>
      <c r="AM137" s="2914"/>
      <c r="AN137" s="2914"/>
    </row>
    <row r="138" spans="1:40">
      <c r="A138" s="1278"/>
      <c r="B138" s="1278"/>
      <c r="C138" s="1278"/>
      <c r="D138" s="1279"/>
      <c r="E138" s="1278"/>
      <c r="F138" s="1278"/>
      <c r="G138" s="1278"/>
      <c r="H138" s="1278"/>
      <c r="I138" s="1278"/>
      <c r="J138" s="1278"/>
      <c r="K138" s="1278"/>
      <c r="L138" s="150"/>
      <c r="M138" s="1278"/>
      <c r="N138" s="150"/>
      <c r="O138" s="1278"/>
      <c r="P138" s="1278"/>
      <c r="Q138" s="1278"/>
      <c r="R138" s="150"/>
      <c r="S138" s="1278"/>
      <c r="T138" s="1278"/>
      <c r="U138" s="3539"/>
      <c r="V138" s="3539"/>
      <c r="W138" s="3539"/>
      <c r="X138" s="3539"/>
      <c r="Y138" s="3539"/>
      <c r="Z138" s="3539"/>
      <c r="AA138" s="3539"/>
      <c r="AB138" s="1278"/>
      <c r="AJ138" s="2914"/>
      <c r="AK138" s="2914"/>
      <c r="AL138" s="2914"/>
      <c r="AM138" s="2914"/>
      <c r="AN138" s="2914"/>
    </row>
    <row r="139" spans="1:40">
      <c r="A139" s="1278"/>
      <c r="B139" s="1278"/>
      <c r="C139" s="1278"/>
      <c r="D139" s="1279"/>
      <c r="E139" s="1278"/>
      <c r="F139" s="1278"/>
      <c r="G139" s="1278"/>
      <c r="H139" s="1278"/>
      <c r="I139" s="1278"/>
      <c r="J139" s="1278"/>
      <c r="K139" s="1278"/>
      <c r="L139" s="150"/>
      <c r="M139" s="1278"/>
      <c r="N139" s="150"/>
      <c r="O139" s="1278"/>
      <c r="P139" s="1278"/>
      <c r="Q139" s="1278"/>
      <c r="R139" s="150"/>
      <c r="S139" s="1278"/>
      <c r="T139" s="1278"/>
      <c r="U139" s="3539"/>
      <c r="V139" s="3539"/>
      <c r="W139" s="3539"/>
      <c r="X139" s="3539"/>
      <c r="Y139" s="3539"/>
      <c r="Z139" s="3539"/>
      <c r="AA139" s="3539"/>
      <c r="AB139" s="1278"/>
      <c r="AJ139" s="2914"/>
      <c r="AK139" s="2914"/>
      <c r="AL139" s="2914"/>
      <c r="AM139" s="2914"/>
      <c r="AN139" s="2914"/>
    </row>
    <row r="140" spans="1:40">
      <c r="A140" s="1278"/>
      <c r="B140" s="1278"/>
      <c r="C140" s="1278"/>
      <c r="D140" s="1279"/>
      <c r="E140" s="1278"/>
      <c r="F140" s="1278"/>
      <c r="G140" s="1278"/>
      <c r="H140" s="1278"/>
      <c r="I140" s="1278"/>
      <c r="J140" s="1278"/>
      <c r="K140" s="1278"/>
      <c r="L140" s="150"/>
      <c r="M140" s="1278"/>
      <c r="N140" s="150"/>
      <c r="O140" s="1278"/>
      <c r="P140" s="1278"/>
      <c r="Q140" s="1278"/>
      <c r="R140" s="150"/>
      <c r="S140" s="1278"/>
      <c r="T140" s="1278"/>
      <c r="U140" s="3539"/>
      <c r="V140" s="3539"/>
      <c r="W140" s="3539"/>
      <c r="X140" s="3539"/>
      <c r="Y140" s="3539"/>
      <c r="Z140" s="3539"/>
      <c r="AA140" s="3539"/>
      <c r="AB140" s="1278"/>
      <c r="AJ140" s="2914"/>
      <c r="AK140" s="2914"/>
      <c r="AL140" s="2914"/>
      <c r="AM140" s="2914"/>
      <c r="AN140" s="2914"/>
    </row>
    <row r="141" spans="1:40">
      <c r="A141" s="1278"/>
      <c r="B141" s="1278"/>
      <c r="C141" s="1278"/>
      <c r="D141" s="1279"/>
      <c r="E141" s="1278"/>
      <c r="F141" s="1278"/>
      <c r="G141" s="1278"/>
      <c r="H141" s="1278"/>
      <c r="I141" s="1278"/>
      <c r="J141" s="1278"/>
      <c r="K141" s="1278"/>
      <c r="L141" s="150"/>
      <c r="M141" s="1278"/>
      <c r="N141" s="150"/>
      <c r="O141" s="1278"/>
      <c r="P141" s="1278"/>
      <c r="Q141" s="1278"/>
      <c r="R141" s="150"/>
      <c r="S141" s="1278"/>
      <c r="T141" s="1278"/>
      <c r="U141" s="3539"/>
      <c r="V141" s="3539"/>
      <c r="W141" s="3539"/>
      <c r="X141" s="3539"/>
      <c r="Y141" s="3539"/>
      <c r="Z141" s="3539"/>
      <c r="AA141" s="3539"/>
      <c r="AB141" s="1278"/>
      <c r="AJ141" s="2914"/>
      <c r="AK141" s="2914"/>
      <c r="AL141" s="2914"/>
      <c r="AM141" s="2914"/>
      <c r="AN141" s="2914"/>
    </row>
    <row r="142" spans="1:40">
      <c r="A142" s="1278"/>
      <c r="B142" s="1278"/>
      <c r="C142" s="1278"/>
      <c r="D142" s="1279"/>
      <c r="E142" s="1278"/>
      <c r="F142" s="1278"/>
      <c r="G142" s="1278"/>
      <c r="H142" s="1278"/>
      <c r="I142" s="1278"/>
      <c r="J142" s="1278"/>
      <c r="K142" s="1278"/>
      <c r="L142" s="150"/>
      <c r="M142" s="1278"/>
      <c r="N142" s="150"/>
      <c r="O142" s="1278"/>
      <c r="P142" s="1278"/>
      <c r="Q142" s="1278"/>
      <c r="R142" s="150"/>
      <c r="S142" s="1278"/>
      <c r="T142" s="1278"/>
      <c r="U142" s="3539"/>
      <c r="V142" s="3539"/>
      <c r="W142" s="3539"/>
      <c r="X142" s="3539"/>
      <c r="Y142" s="3539"/>
      <c r="Z142" s="3539"/>
      <c r="AA142" s="3539"/>
      <c r="AB142" s="1278"/>
      <c r="AJ142" s="2914"/>
      <c r="AK142" s="2914"/>
      <c r="AL142" s="2914"/>
      <c r="AM142" s="2914"/>
      <c r="AN142" s="2914"/>
    </row>
    <row r="143" spans="1:40">
      <c r="A143" s="1278"/>
      <c r="B143" s="1278"/>
      <c r="C143" s="1278"/>
      <c r="D143" s="1279"/>
      <c r="E143" s="1278"/>
      <c r="F143" s="1278"/>
      <c r="G143" s="1278"/>
      <c r="H143" s="1278"/>
      <c r="I143" s="1278"/>
      <c r="J143" s="1278"/>
      <c r="K143" s="1278"/>
      <c r="L143" s="150"/>
      <c r="M143" s="1278"/>
      <c r="N143" s="150"/>
      <c r="O143" s="1278"/>
      <c r="P143" s="1278"/>
      <c r="Q143" s="1278"/>
      <c r="R143" s="150"/>
      <c r="S143" s="1278"/>
      <c r="T143" s="1278"/>
      <c r="U143" s="3539"/>
      <c r="V143" s="3539"/>
      <c r="W143" s="3539"/>
      <c r="X143" s="3539"/>
      <c r="Y143" s="3539"/>
      <c r="Z143" s="3539"/>
      <c r="AA143" s="3539"/>
      <c r="AB143" s="1278"/>
      <c r="AJ143" s="2914"/>
      <c r="AK143" s="2914"/>
      <c r="AL143" s="2914"/>
      <c r="AM143" s="2914"/>
      <c r="AN143" s="2914"/>
    </row>
    <row r="144" spans="1:40">
      <c r="A144" s="1278"/>
      <c r="B144" s="1278"/>
      <c r="C144" s="1278"/>
      <c r="D144" s="1279"/>
      <c r="E144" s="1278"/>
      <c r="F144" s="1278"/>
      <c r="G144" s="1278"/>
      <c r="H144" s="1278"/>
      <c r="I144" s="1278"/>
      <c r="J144" s="1278"/>
      <c r="K144" s="1278"/>
      <c r="L144" s="150"/>
      <c r="M144" s="1278"/>
      <c r="N144" s="150"/>
      <c r="O144" s="1278"/>
      <c r="P144" s="1278"/>
      <c r="Q144" s="1278"/>
      <c r="R144" s="150"/>
      <c r="S144" s="1278"/>
      <c r="T144" s="1278"/>
      <c r="U144" s="3539"/>
      <c r="V144" s="3539"/>
      <c r="W144" s="3539"/>
      <c r="X144" s="3539"/>
      <c r="Y144" s="3539"/>
      <c r="Z144" s="3539"/>
      <c r="AA144" s="3539"/>
      <c r="AB144" s="1278"/>
      <c r="AN144" s="2914"/>
    </row>
    <row r="145" spans="1:40">
      <c r="A145" s="1278"/>
      <c r="B145" s="1278"/>
      <c r="C145" s="1278"/>
      <c r="D145" s="1279"/>
      <c r="E145" s="1278"/>
      <c r="F145" s="1278"/>
      <c r="G145" s="1278"/>
      <c r="H145" s="1278"/>
      <c r="I145" s="1278"/>
      <c r="J145" s="1278"/>
      <c r="K145" s="1278"/>
      <c r="L145" s="150"/>
      <c r="M145" s="1278"/>
      <c r="N145" s="150"/>
      <c r="O145" s="1278"/>
      <c r="P145" s="1278"/>
      <c r="Q145" s="1278"/>
      <c r="R145" s="150"/>
      <c r="S145" s="1278"/>
      <c r="T145" s="1278"/>
      <c r="U145" s="3539"/>
      <c r="V145" s="3539"/>
      <c r="W145" s="3539"/>
      <c r="X145" s="3539"/>
      <c r="Y145" s="3539"/>
      <c r="Z145" s="3539"/>
      <c r="AA145" s="3539"/>
      <c r="AB145" s="1278"/>
      <c r="AN145" s="2914"/>
    </row>
    <row r="146" spans="1:40">
      <c r="A146" s="1278"/>
      <c r="B146" s="1278"/>
      <c r="C146" s="1278"/>
      <c r="D146" s="1279"/>
      <c r="E146" s="1278"/>
      <c r="F146" s="1278"/>
      <c r="G146" s="1278"/>
      <c r="H146" s="1278"/>
      <c r="I146" s="1278"/>
      <c r="J146" s="1278"/>
      <c r="K146" s="1278"/>
      <c r="L146" s="150"/>
      <c r="M146" s="1278"/>
      <c r="N146" s="150"/>
      <c r="O146" s="1278"/>
      <c r="P146" s="1278"/>
      <c r="Q146" s="1278"/>
      <c r="R146" s="150"/>
      <c r="S146" s="1278"/>
      <c r="T146" s="1278"/>
      <c r="U146" s="3539"/>
      <c r="V146" s="3539"/>
      <c r="W146" s="3539"/>
      <c r="X146" s="3539"/>
      <c r="Y146" s="3539"/>
      <c r="Z146" s="3539"/>
      <c r="AA146" s="3539"/>
      <c r="AB146" s="1278"/>
      <c r="AN146" s="2914"/>
    </row>
    <row r="147" spans="1:40">
      <c r="A147" s="1278"/>
      <c r="B147" s="1278"/>
      <c r="C147" s="1278"/>
      <c r="D147" s="1279"/>
      <c r="E147" s="1278"/>
      <c r="F147" s="1278"/>
      <c r="G147" s="1278"/>
      <c r="H147" s="1278"/>
      <c r="I147" s="1278"/>
      <c r="J147" s="1278"/>
      <c r="K147" s="1278"/>
      <c r="L147" s="150"/>
      <c r="M147" s="1278"/>
      <c r="N147" s="150"/>
      <c r="O147" s="1278"/>
      <c r="P147" s="1278"/>
      <c r="Q147" s="1278"/>
      <c r="R147" s="150"/>
      <c r="S147" s="1278"/>
      <c r="T147" s="1278"/>
      <c r="U147" s="3539"/>
      <c r="V147" s="3539"/>
      <c r="W147" s="3539"/>
      <c r="X147" s="3539"/>
      <c r="Y147" s="3539"/>
      <c r="Z147" s="3539"/>
      <c r="AA147" s="3539"/>
      <c r="AB147" s="1278"/>
      <c r="AN147" s="2914"/>
    </row>
    <row r="148" spans="1:40" ht="15" customHeight="1">
      <c r="A148" s="1278"/>
      <c r="B148" s="1278"/>
      <c r="C148" s="1278"/>
      <c r="D148" s="1279"/>
      <c r="E148" s="1278"/>
      <c r="F148" s="1278"/>
      <c r="G148" s="1278"/>
      <c r="H148" s="1278"/>
      <c r="I148" s="1278"/>
      <c r="J148" s="1278"/>
      <c r="K148" s="1278"/>
      <c r="L148" s="150"/>
      <c r="M148" s="1278"/>
      <c r="N148" s="150"/>
      <c r="O148" s="1278"/>
      <c r="P148" s="1278"/>
      <c r="Q148" s="1278"/>
      <c r="R148" s="150"/>
      <c r="S148" s="1278"/>
      <c r="T148" s="1278"/>
      <c r="U148" s="3539"/>
      <c r="V148" s="3539"/>
      <c r="W148" s="3539"/>
      <c r="X148" s="3539"/>
      <c r="Y148" s="3539"/>
      <c r="Z148" s="3539"/>
      <c r="AA148" s="3539"/>
      <c r="AB148" s="1278"/>
      <c r="AC148" s="2913"/>
      <c r="AD148" s="2913"/>
      <c r="AE148" s="2913"/>
      <c r="AF148" s="2913"/>
      <c r="AG148" s="2913"/>
      <c r="AH148" s="2913"/>
      <c r="AI148" s="2913"/>
      <c r="AJ148" s="2913"/>
      <c r="AK148" s="2913"/>
      <c r="AL148" s="2913"/>
      <c r="AM148" s="2913"/>
      <c r="AN148" s="2914"/>
    </row>
    <row r="149" spans="1:40" s="2913" customFormat="1">
      <c r="A149" s="1278"/>
      <c r="B149" s="1278"/>
      <c r="C149" s="1278"/>
      <c r="D149" s="1279"/>
      <c r="E149" s="1278"/>
      <c r="F149" s="1278"/>
      <c r="G149" s="1278"/>
      <c r="H149" s="1278"/>
      <c r="I149" s="1278"/>
      <c r="J149" s="1278"/>
      <c r="K149" s="1278"/>
      <c r="L149" s="150"/>
      <c r="M149" s="1278"/>
      <c r="N149" s="150"/>
      <c r="O149" s="1278"/>
      <c r="P149" s="1278"/>
      <c r="Q149" s="1278"/>
      <c r="R149" s="150"/>
      <c r="S149" s="1278"/>
      <c r="T149" s="1278"/>
      <c r="U149" s="3539"/>
      <c r="V149" s="3539"/>
      <c r="W149" s="3539"/>
      <c r="X149" s="3539"/>
      <c r="Y149" s="3539"/>
      <c r="Z149" s="3539"/>
      <c r="AA149" s="3539"/>
      <c r="AB149" s="1278"/>
      <c r="AC149" s="3539"/>
      <c r="AD149" s="3539"/>
      <c r="AE149" s="3539"/>
      <c r="AF149" s="3539"/>
      <c r="AG149" s="3539"/>
      <c r="AH149" s="3539"/>
      <c r="AI149" s="3539"/>
      <c r="AJ149" s="3539"/>
      <c r="AK149" s="3539"/>
      <c r="AL149" s="3539"/>
      <c r="AM149" s="3539"/>
    </row>
    <row r="150" spans="1:40" s="2913" customFormat="1">
      <c r="A150" s="1278"/>
      <c r="B150" s="1278"/>
      <c r="C150" s="1278"/>
      <c r="D150" s="1279"/>
      <c r="E150" s="1278"/>
      <c r="F150" s="1278"/>
      <c r="G150" s="1278"/>
      <c r="H150" s="1278"/>
      <c r="I150" s="1278"/>
      <c r="J150" s="1278"/>
      <c r="K150" s="1278"/>
      <c r="L150" s="150"/>
      <c r="M150" s="1278"/>
      <c r="N150" s="150"/>
      <c r="O150" s="1278"/>
      <c r="P150" s="1278"/>
      <c r="Q150" s="1278"/>
      <c r="R150" s="150"/>
      <c r="S150" s="1278"/>
      <c r="T150" s="1278"/>
      <c r="U150" s="3539"/>
      <c r="V150" s="3539"/>
      <c r="W150" s="3539"/>
      <c r="X150" s="3539"/>
      <c r="Y150" s="3539"/>
      <c r="Z150" s="3539"/>
      <c r="AA150" s="3539"/>
      <c r="AB150" s="1278"/>
      <c r="AC150" s="3539"/>
      <c r="AD150" s="3539"/>
      <c r="AE150" s="3539"/>
      <c r="AF150" s="3539"/>
      <c r="AG150" s="3539"/>
      <c r="AH150" s="3539"/>
      <c r="AI150" s="3539"/>
      <c r="AJ150" s="3539"/>
      <c r="AK150" s="3539"/>
      <c r="AL150" s="3539"/>
      <c r="AM150" s="3539"/>
    </row>
    <row r="151" spans="1:40" s="2913" customFormat="1">
      <c r="A151" s="1278"/>
      <c r="B151" s="1278"/>
      <c r="C151" s="1278"/>
      <c r="D151" s="1279"/>
      <c r="E151" s="1278"/>
      <c r="F151" s="1278"/>
      <c r="G151" s="1278"/>
      <c r="H151" s="1278"/>
      <c r="I151" s="1278"/>
      <c r="J151" s="1278"/>
      <c r="K151" s="1278"/>
      <c r="L151" s="150"/>
      <c r="M151" s="1278"/>
      <c r="N151" s="150"/>
      <c r="O151" s="1278"/>
      <c r="P151" s="1278"/>
      <c r="Q151" s="1278"/>
      <c r="R151" s="150"/>
      <c r="S151" s="1278"/>
      <c r="T151" s="1278"/>
      <c r="U151" s="3539"/>
      <c r="V151" s="3539"/>
      <c r="W151" s="3539"/>
      <c r="X151" s="3539"/>
      <c r="Y151" s="3539"/>
      <c r="Z151" s="3539"/>
      <c r="AA151" s="3539"/>
      <c r="AB151" s="1278"/>
      <c r="AC151" s="3539"/>
      <c r="AD151" s="3539"/>
      <c r="AE151" s="3539"/>
      <c r="AF151" s="3539"/>
      <c r="AG151" s="3539"/>
      <c r="AH151" s="3539"/>
      <c r="AI151" s="3539"/>
      <c r="AJ151" s="3539"/>
      <c r="AK151" s="3539"/>
      <c r="AL151" s="3539"/>
      <c r="AM151" s="3539"/>
    </row>
    <row r="152" spans="1:40" s="2913" customFormat="1">
      <c r="A152" s="1278"/>
      <c r="B152" s="1278"/>
      <c r="C152" s="1278"/>
      <c r="D152" s="1279"/>
      <c r="E152" s="1278"/>
      <c r="F152" s="1278"/>
      <c r="G152" s="1278"/>
      <c r="H152" s="1278"/>
      <c r="I152" s="1278"/>
      <c r="J152" s="1278"/>
      <c r="K152" s="1278"/>
      <c r="L152" s="150"/>
      <c r="M152" s="1278"/>
      <c r="N152" s="150"/>
      <c r="O152" s="1278"/>
      <c r="P152" s="1278"/>
      <c r="Q152" s="1278"/>
      <c r="R152" s="150"/>
      <c r="S152" s="1278"/>
      <c r="T152" s="1278"/>
      <c r="U152" s="3539"/>
      <c r="V152" s="3539"/>
      <c r="W152" s="3539"/>
      <c r="X152" s="3539"/>
      <c r="Y152" s="3539"/>
      <c r="Z152" s="3539"/>
      <c r="AA152" s="3539"/>
      <c r="AB152" s="1278"/>
      <c r="AC152" s="3539"/>
      <c r="AD152" s="3539"/>
      <c r="AE152" s="3539"/>
      <c r="AF152" s="3539"/>
      <c r="AG152" s="3539"/>
      <c r="AH152" s="3539"/>
      <c r="AI152" s="3539"/>
      <c r="AJ152" s="3539"/>
      <c r="AK152" s="3539"/>
      <c r="AL152" s="3539"/>
      <c r="AM152" s="3539"/>
    </row>
    <row r="153" spans="1:40" s="2913" customFormat="1">
      <c r="B153" s="1278"/>
      <c r="C153" s="1282"/>
      <c r="D153" s="1283"/>
      <c r="E153" s="1282"/>
      <c r="F153" s="1284"/>
      <c r="G153" s="150"/>
      <c r="H153" s="150"/>
      <c r="I153" s="150"/>
      <c r="J153" s="150"/>
      <c r="K153" s="150"/>
      <c r="L153" s="150"/>
      <c r="M153" s="1286"/>
      <c r="N153" s="1284"/>
      <c r="O153" s="150"/>
      <c r="P153" s="150"/>
      <c r="Q153" s="1287"/>
      <c r="R153" s="1287"/>
      <c r="S153" s="149"/>
      <c r="T153" s="149"/>
      <c r="U153" s="3539"/>
      <c r="V153" s="3539"/>
      <c r="W153" s="3539"/>
      <c r="X153" s="3539"/>
      <c r="Y153" s="3539"/>
      <c r="Z153" s="3539"/>
      <c r="AA153" s="3539"/>
      <c r="AC153" s="3539"/>
      <c r="AD153" s="3539"/>
      <c r="AE153" s="3539"/>
      <c r="AF153" s="3539"/>
      <c r="AG153" s="3539"/>
      <c r="AH153" s="3539"/>
      <c r="AI153" s="3539"/>
      <c r="AJ153" s="3539"/>
      <c r="AK153" s="3539"/>
      <c r="AL153" s="3539"/>
      <c r="AM153" s="3539"/>
    </row>
    <row r="154" spans="1:40" s="2913" customFormat="1">
      <c r="B154" s="1278"/>
      <c r="C154" s="1282"/>
      <c r="D154" s="1283"/>
      <c r="E154" s="1282"/>
      <c r="F154" s="1284"/>
      <c r="G154" s="150"/>
      <c r="H154" s="150"/>
      <c r="I154" s="150"/>
      <c r="J154" s="150"/>
      <c r="K154" s="150"/>
      <c r="L154" s="150"/>
      <c r="M154" s="1286"/>
      <c r="N154" s="1284"/>
      <c r="O154" s="150"/>
      <c r="P154" s="150"/>
      <c r="Q154" s="1287"/>
      <c r="R154" s="1287"/>
      <c r="S154" s="149"/>
      <c r="T154" s="149"/>
      <c r="U154" s="3539"/>
      <c r="V154" s="3539"/>
      <c r="W154" s="3539"/>
      <c r="X154" s="3539"/>
      <c r="Y154" s="3539"/>
      <c r="Z154" s="3539"/>
      <c r="AA154" s="3539"/>
      <c r="AC154" s="3539"/>
      <c r="AD154" s="3539"/>
      <c r="AE154" s="3539"/>
      <c r="AF154" s="3539"/>
      <c r="AG154" s="3539"/>
      <c r="AH154" s="3539"/>
      <c r="AI154" s="3539"/>
      <c r="AJ154" s="3539"/>
      <c r="AK154" s="3539"/>
      <c r="AL154" s="3539"/>
      <c r="AM154" s="3539"/>
    </row>
    <row r="155" spans="1:40" s="2913" customFormat="1">
      <c r="B155" s="1278"/>
      <c r="C155" s="1282"/>
      <c r="D155" s="1283"/>
      <c r="E155" s="1282"/>
      <c r="F155" s="1284"/>
      <c r="G155" s="150"/>
      <c r="H155" s="150"/>
      <c r="I155" s="150"/>
      <c r="J155" s="150"/>
      <c r="K155" s="150"/>
      <c r="L155" s="150"/>
      <c r="M155" s="1286"/>
      <c r="N155" s="1284"/>
      <c r="O155" s="150"/>
      <c r="P155" s="150"/>
      <c r="Q155" s="1287"/>
      <c r="R155" s="1287"/>
      <c r="S155" s="149"/>
      <c r="T155" s="149"/>
      <c r="U155" s="3539"/>
      <c r="V155" s="3539"/>
      <c r="W155" s="3539"/>
      <c r="X155" s="3539"/>
      <c r="Y155" s="3539"/>
      <c r="Z155" s="3539"/>
      <c r="AA155" s="3539"/>
      <c r="AC155" s="3539"/>
      <c r="AD155" s="3539"/>
      <c r="AE155" s="3539"/>
      <c r="AF155" s="3539"/>
      <c r="AG155" s="3539"/>
      <c r="AH155" s="3539"/>
      <c r="AI155" s="3539"/>
      <c r="AJ155" s="3539"/>
      <c r="AK155" s="3539"/>
      <c r="AL155" s="3539"/>
      <c r="AM155" s="3539"/>
    </row>
    <row r="156" spans="1:40" s="2913" customFormat="1">
      <c r="B156" s="1278"/>
      <c r="C156" s="1282"/>
      <c r="D156" s="1283"/>
      <c r="E156" s="1282"/>
      <c r="F156" s="1284"/>
      <c r="G156" s="150"/>
      <c r="H156" s="150"/>
      <c r="I156" s="150"/>
      <c r="J156" s="150"/>
      <c r="K156" s="150"/>
      <c r="L156" s="150"/>
      <c r="M156" s="1286"/>
      <c r="N156" s="1284"/>
      <c r="O156" s="150"/>
      <c r="P156" s="150"/>
      <c r="Q156" s="1287"/>
      <c r="R156" s="1287"/>
      <c r="S156" s="149"/>
      <c r="T156" s="149"/>
      <c r="U156" s="3539"/>
      <c r="V156" s="3539"/>
      <c r="W156" s="3539"/>
      <c r="X156" s="3539"/>
      <c r="Y156" s="3539"/>
      <c r="Z156" s="3539"/>
      <c r="AA156" s="3539"/>
      <c r="AC156" s="3539"/>
      <c r="AD156" s="3539"/>
      <c r="AE156" s="3539"/>
      <c r="AF156" s="3539"/>
      <c r="AG156" s="3539"/>
      <c r="AH156" s="3539"/>
      <c r="AI156" s="3539"/>
      <c r="AJ156" s="3539"/>
      <c r="AK156" s="3539"/>
      <c r="AL156" s="3539"/>
      <c r="AM156" s="3539"/>
    </row>
    <row r="157" spans="1:40" s="2913" customFormat="1">
      <c r="B157" s="1278"/>
      <c r="C157" s="1282"/>
      <c r="D157" s="1283"/>
      <c r="E157" s="1282"/>
      <c r="F157" s="1284"/>
      <c r="G157" s="150"/>
      <c r="H157" s="150"/>
      <c r="I157" s="150"/>
      <c r="J157" s="150"/>
      <c r="K157" s="150"/>
      <c r="L157" s="150"/>
      <c r="M157" s="1286"/>
      <c r="N157" s="1284"/>
      <c r="O157" s="150"/>
      <c r="P157" s="150"/>
      <c r="Q157" s="1287"/>
      <c r="R157" s="1287"/>
      <c r="S157" s="149"/>
      <c r="T157" s="149"/>
      <c r="U157" s="150"/>
      <c r="V157" s="150"/>
      <c r="W157" s="150"/>
      <c r="X157" s="150"/>
      <c r="Y157" s="150"/>
      <c r="Z157" s="150"/>
      <c r="AA157" s="150"/>
      <c r="AC157" s="3539"/>
      <c r="AD157" s="3539"/>
      <c r="AE157" s="3539"/>
      <c r="AF157" s="3539"/>
      <c r="AG157" s="3539"/>
      <c r="AH157" s="3539"/>
      <c r="AI157" s="3539"/>
      <c r="AJ157" s="3539"/>
      <c r="AK157" s="3539"/>
      <c r="AL157" s="3539"/>
      <c r="AM157" s="3539"/>
    </row>
    <row r="158" spans="1:40" s="2913" customFormat="1">
      <c r="B158" s="1278"/>
      <c r="C158" s="1282"/>
      <c r="D158" s="1283"/>
      <c r="E158" s="1282"/>
      <c r="F158" s="1284"/>
      <c r="G158" s="150"/>
      <c r="H158" s="150"/>
      <c r="I158" s="150"/>
      <c r="J158" s="150"/>
      <c r="K158" s="150"/>
      <c r="L158" s="150"/>
      <c r="M158" s="1286"/>
      <c r="N158" s="1284"/>
      <c r="O158" s="150"/>
      <c r="P158" s="150"/>
      <c r="Q158" s="1287"/>
      <c r="R158" s="1287"/>
      <c r="S158" s="149"/>
      <c r="T158" s="149"/>
      <c r="U158" s="150"/>
      <c r="V158" s="150"/>
      <c r="W158" s="150"/>
      <c r="X158" s="150"/>
      <c r="Y158" s="150"/>
      <c r="Z158" s="150"/>
      <c r="AA158" s="150"/>
      <c r="AC158" s="3539"/>
      <c r="AD158" s="3539"/>
      <c r="AE158" s="3539"/>
      <c r="AF158" s="3539"/>
      <c r="AG158" s="3539"/>
      <c r="AH158" s="3539"/>
      <c r="AI158" s="3539"/>
      <c r="AJ158" s="3539"/>
      <c r="AK158" s="3539"/>
      <c r="AL158" s="3539"/>
      <c r="AM158" s="3539"/>
    </row>
    <row r="159" spans="1:40" s="2913" customFormat="1">
      <c r="B159" s="1278"/>
      <c r="C159" s="1282"/>
      <c r="D159" s="1283"/>
      <c r="E159" s="1282"/>
      <c r="F159" s="1284"/>
      <c r="G159" s="150"/>
      <c r="H159" s="150"/>
      <c r="I159" s="150"/>
      <c r="J159" s="150"/>
      <c r="K159" s="150"/>
      <c r="L159" s="150"/>
      <c r="M159" s="1286"/>
      <c r="N159" s="1284"/>
      <c r="O159" s="150"/>
      <c r="P159" s="150"/>
      <c r="Q159" s="1287"/>
      <c r="R159" s="1287"/>
      <c r="S159" s="149"/>
      <c r="T159" s="149"/>
      <c r="U159" s="150"/>
      <c r="V159" s="150"/>
      <c r="W159" s="150"/>
      <c r="X159" s="150"/>
      <c r="Y159" s="150"/>
      <c r="Z159" s="150"/>
      <c r="AA159" s="150"/>
      <c r="AC159" s="3539"/>
      <c r="AD159" s="3539"/>
      <c r="AE159" s="3539"/>
      <c r="AF159" s="3539"/>
      <c r="AG159" s="3539"/>
      <c r="AH159" s="3539"/>
      <c r="AI159" s="3539"/>
      <c r="AJ159" s="3539"/>
      <c r="AK159" s="3539"/>
      <c r="AL159" s="3539"/>
      <c r="AM159" s="3539"/>
    </row>
    <row r="160" spans="1:40" s="2913" customFormat="1">
      <c r="B160" s="1278"/>
      <c r="C160" s="1282"/>
      <c r="D160" s="1283"/>
      <c r="E160" s="1282"/>
      <c r="F160" s="1284"/>
      <c r="G160" s="150"/>
      <c r="H160" s="150"/>
      <c r="I160" s="150"/>
      <c r="J160" s="150"/>
      <c r="K160" s="150"/>
      <c r="L160" s="150"/>
      <c r="M160" s="1286"/>
      <c r="N160" s="1284"/>
      <c r="O160" s="150"/>
      <c r="P160" s="150"/>
      <c r="Q160" s="1287"/>
      <c r="R160" s="1287"/>
      <c r="S160" s="149"/>
      <c r="T160" s="149"/>
      <c r="U160" s="150"/>
      <c r="V160" s="150"/>
      <c r="W160" s="150"/>
      <c r="X160" s="150"/>
      <c r="Y160" s="150"/>
      <c r="Z160" s="150"/>
      <c r="AA160" s="150"/>
      <c r="AC160" s="3539"/>
      <c r="AD160" s="3539"/>
      <c r="AE160" s="3539"/>
      <c r="AF160" s="3539"/>
      <c r="AG160" s="3539"/>
      <c r="AH160" s="3539"/>
      <c r="AI160" s="3539"/>
      <c r="AJ160" s="3539"/>
      <c r="AK160" s="3539"/>
      <c r="AL160" s="3539"/>
      <c r="AM160" s="3539"/>
    </row>
    <row r="161" spans="2:39" s="2913" customFormat="1">
      <c r="B161" s="1278"/>
      <c r="C161" s="1282"/>
      <c r="D161" s="1283"/>
      <c r="E161" s="1282"/>
      <c r="F161" s="1284"/>
      <c r="G161" s="150"/>
      <c r="H161" s="150"/>
      <c r="I161" s="150"/>
      <c r="J161" s="150"/>
      <c r="K161" s="150"/>
      <c r="L161" s="150"/>
      <c r="M161" s="1286"/>
      <c r="N161" s="1284"/>
      <c r="O161" s="150"/>
      <c r="P161" s="150"/>
      <c r="Q161" s="1287"/>
      <c r="R161" s="1287"/>
      <c r="S161" s="149"/>
      <c r="T161" s="149"/>
      <c r="U161" s="150"/>
      <c r="V161" s="150"/>
      <c r="W161" s="150"/>
      <c r="X161" s="150"/>
      <c r="Y161" s="150"/>
      <c r="Z161" s="150"/>
      <c r="AA161" s="150"/>
      <c r="AC161" s="3539"/>
      <c r="AD161" s="3539"/>
      <c r="AE161" s="3539"/>
      <c r="AF161" s="3539"/>
      <c r="AG161" s="3539"/>
      <c r="AH161" s="3539"/>
      <c r="AI161" s="3539"/>
      <c r="AJ161" s="3539"/>
      <c r="AK161" s="3539"/>
      <c r="AL161" s="3539"/>
      <c r="AM161" s="3539"/>
    </row>
    <row r="162" spans="2:39" s="2913" customFormat="1">
      <c r="B162" s="1278"/>
      <c r="C162" s="1282"/>
      <c r="D162" s="1283"/>
      <c r="E162" s="1282"/>
      <c r="F162" s="1284"/>
      <c r="G162" s="150"/>
      <c r="H162" s="150"/>
      <c r="I162" s="150"/>
      <c r="J162" s="150"/>
      <c r="K162" s="150"/>
      <c r="L162" s="150"/>
      <c r="M162" s="1286"/>
      <c r="N162" s="1284"/>
      <c r="O162" s="150"/>
      <c r="P162" s="150"/>
      <c r="Q162" s="1287"/>
      <c r="R162" s="1287"/>
      <c r="S162" s="149"/>
      <c r="T162" s="149"/>
      <c r="U162" s="150"/>
      <c r="V162" s="150"/>
      <c r="W162" s="150"/>
      <c r="X162" s="150"/>
      <c r="Y162" s="150"/>
      <c r="Z162" s="150"/>
      <c r="AA162" s="150"/>
      <c r="AC162" s="3539"/>
      <c r="AD162" s="3539"/>
      <c r="AE162" s="3539"/>
      <c r="AF162" s="3539"/>
      <c r="AG162" s="3539"/>
      <c r="AH162" s="3539"/>
      <c r="AI162" s="3539"/>
      <c r="AJ162" s="3539"/>
      <c r="AK162" s="3539"/>
      <c r="AL162" s="3539"/>
      <c r="AM162" s="3539"/>
    </row>
    <row r="163" spans="2:39" s="2913" customFormat="1">
      <c r="B163" s="1278"/>
      <c r="C163" s="1282"/>
      <c r="D163" s="1283"/>
      <c r="E163" s="1282"/>
      <c r="F163" s="1284"/>
      <c r="G163" s="150"/>
      <c r="H163" s="150"/>
      <c r="I163" s="150"/>
      <c r="J163" s="150"/>
      <c r="K163" s="150"/>
      <c r="L163" s="150"/>
      <c r="M163" s="1286"/>
      <c r="N163" s="1284"/>
      <c r="O163" s="150"/>
      <c r="P163" s="150"/>
      <c r="Q163" s="1287"/>
      <c r="R163" s="1287"/>
      <c r="S163" s="149"/>
      <c r="T163" s="149"/>
      <c r="U163" s="150"/>
      <c r="V163" s="150"/>
      <c r="W163" s="150"/>
      <c r="X163" s="150"/>
      <c r="Y163" s="150"/>
      <c r="Z163" s="150"/>
      <c r="AA163" s="150"/>
      <c r="AC163" s="3539"/>
      <c r="AD163" s="3539"/>
      <c r="AE163" s="3539"/>
      <c r="AF163" s="3539"/>
      <c r="AG163" s="3539"/>
      <c r="AH163" s="3539"/>
      <c r="AI163" s="3539"/>
      <c r="AJ163" s="3539"/>
      <c r="AK163" s="3539"/>
      <c r="AL163" s="3539"/>
      <c r="AM163" s="3539"/>
    </row>
    <row r="164" spans="2:39" s="2913" customFormat="1">
      <c r="B164" s="1278"/>
      <c r="C164" s="1282"/>
      <c r="D164" s="1283"/>
      <c r="E164" s="1282"/>
      <c r="F164" s="1284"/>
      <c r="G164" s="150"/>
      <c r="H164" s="150"/>
      <c r="I164" s="150"/>
      <c r="J164" s="150"/>
      <c r="K164" s="150"/>
      <c r="L164" s="150"/>
      <c r="M164" s="1286"/>
      <c r="N164" s="1284"/>
      <c r="O164" s="150"/>
      <c r="P164" s="150"/>
      <c r="Q164" s="1287"/>
      <c r="R164" s="1287"/>
      <c r="S164" s="149"/>
      <c r="T164" s="149"/>
      <c r="U164" s="150"/>
      <c r="V164" s="150"/>
      <c r="W164" s="150"/>
      <c r="X164" s="150"/>
      <c r="Y164" s="150"/>
      <c r="Z164" s="150"/>
      <c r="AA164" s="150"/>
      <c r="AC164" s="3539"/>
      <c r="AD164" s="3539"/>
      <c r="AE164" s="3539"/>
      <c r="AF164" s="3539"/>
      <c r="AG164" s="3539"/>
      <c r="AH164" s="3539"/>
      <c r="AI164" s="3539"/>
      <c r="AJ164" s="3539"/>
      <c r="AK164" s="3539"/>
      <c r="AL164" s="3539"/>
      <c r="AM164" s="3539"/>
    </row>
    <row r="165" spans="2:39" s="2913" customFormat="1">
      <c r="B165" s="1278"/>
      <c r="C165" s="1282"/>
      <c r="D165" s="1283"/>
      <c r="E165" s="1282"/>
      <c r="F165" s="1284"/>
      <c r="G165" s="150"/>
      <c r="H165" s="150"/>
      <c r="I165" s="150"/>
      <c r="J165" s="150"/>
      <c r="K165" s="150"/>
      <c r="L165" s="150"/>
      <c r="M165" s="1286"/>
      <c r="N165" s="1284"/>
      <c r="O165" s="150"/>
      <c r="P165" s="150"/>
      <c r="Q165" s="1287"/>
      <c r="R165" s="1287"/>
      <c r="S165" s="149"/>
      <c r="T165" s="149"/>
      <c r="U165" s="150"/>
      <c r="V165" s="150"/>
      <c r="W165" s="150"/>
      <c r="X165" s="150"/>
      <c r="Y165" s="150"/>
      <c r="Z165" s="150"/>
      <c r="AA165" s="150"/>
      <c r="AC165" s="3539"/>
      <c r="AD165" s="3539"/>
      <c r="AE165" s="3539"/>
      <c r="AF165" s="3539"/>
      <c r="AG165" s="3539"/>
      <c r="AH165" s="3539"/>
      <c r="AI165" s="3539"/>
      <c r="AJ165" s="3539"/>
      <c r="AK165" s="3539"/>
      <c r="AL165" s="3539"/>
      <c r="AM165" s="3539"/>
    </row>
    <row r="166" spans="2:39" s="2913" customFormat="1">
      <c r="B166" s="1278"/>
      <c r="C166" s="1282"/>
      <c r="D166" s="1283"/>
      <c r="E166" s="1282"/>
      <c r="F166" s="1284"/>
      <c r="G166" s="150"/>
      <c r="H166" s="150"/>
      <c r="I166" s="150"/>
      <c r="J166" s="150"/>
      <c r="K166" s="150"/>
      <c r="L166" s="150"/>
      <c r="M166" s="1286"/>
      <c r="N166" s="1284"/>
      <c r="O166" s="150"/>
      <c r="P166" s="150"/>
      <c r="Q166" s="1287"/>
      <c r="R166" s="1287"/>
      <c r="S166" s="149"/>
      <c r="T166" s="149"/>
      <c r="U166" s="150"/>
      <c r="V166" s="150"/>
      <c r="W166" s="150"/>
      <c r="X166" s="150"/>
      <c r="Y166" s="150"/>
      <c r="Z166" s="150"/>
      <c r="AA166" s="150"/>
      <c r="AC166" s="3539"/>
      <c r="AD166" s="3539"/>
      <c r="AE166" s="3539"/>
      <c r="AF166" s="3539"/>
      <c r="AG166" s="3539"/>
      <c r="AH166" s="3539"/>
      <c r="AI166" s="3539"/>
      <c r="AJ166" s="3539"/>
      <c r="AK166" s="3539"/>
      <c r="AL166" s="3539"/>
      <c r="AM166" s="3539"/>
    </row>
    <row r="167" spans="2:39" s="2913" customFormat="1">
      <c r="B167" s="1278"/>
      <c r="C167" s="1282"/>
      <c r="D167" s="1283"/>
      <c r="E167" s="1282"/>
      <c r="F167" s="1284"/>
      <c r="G167" s="150"/>
      <c r="H167" s="150"/>
      <c r="I167" s="150"/>
      <c r="J167" s="150"/>
      <c r="K167" s="150"/>
      <c r="L167" s="150"/>
      <c r="M167" s="1286"/>
      <c r="N167" s="1284"/>
      <c r="O167" s="150"/>
      <c r="P167" s="150"/>
      <c r="Q167" s="1287"/>
      <c r="R167" s="1287"/>
      <c r="S167" s="149"/>
      <c r="T167" s="149"/>
      <c r="U167" s="150"/>
      <c r="V167" s="150"/>
      <c r="W167" s="150"/>
      <c r="X167" s="150"/>
      <c r="Y167" s="150"/>
      <c r="Z167" s="150"/>
      <c r="AA167" s="150"/>
      <c r="AC167" s="3539"/>
      <c r="AD167" s="3539"/>
      <c r="AE167" s="3539"/>
      <c r="AF167" s="3539"/>
      <c r="AG167" s="3539"/>
      <c r="AH167" s="3539"/>
      <c r="AI167" s="3539"/>
      <c r="AJ167" s="3539"/>
      <c r="AK167" s="3539"/>
      <c r="AL167" s="3539"/>
      <c r="AM167" s="3539"/>
    </row>
    <row r="168" spans="2:39" s="2913" customFormat="1">
      <c r="B168" s="1278"/>
      <c r="C168" s="1282"/>
      <c r="D168" s="1283"/>
      <c r="E168" s="1282"/>
      <c r="F168" s="1284"/>
      <c r="G168" s="150"/>
      <c r="H168" s="150"/>
      <c r="I168" s="150"/>
      <c r="J168" s="150"/>
      <c r="K168" s="150"/>
      <c r="L168" s="150"/>
      <c r="M168" s="1286"/>
      <c r="N168" s="1284"/>
      <c r="O168" s="150"/>
      <c r="P168" s="150"/>
      <c r="Q168" s="1287"/>
      <c r="R168" s="1287"/>
      <c r="S168" s="149"/>
      <c r="T168" s="149"/>
      <c r="U168" s="150"/>
      <c r="V168" s="150"/>
      <c r="W168" s="150"/>
      <c r="X168" s="150"/>
      <c r="Y168" s="150"/>
      <c r="Z168" s="150"/>
      <c r="AA168" s="150"/>
      <c r="AC168" s="3539"/>
      <c r="AD168" s="3539"/>
      <c r="AE168" s="3539"/>
      <c r="AF168" s="3539"/>
      <c r="AG168" s="3539"/>
      <c r="AH168" s="3539"/>
      <c r="AI168" s="3539"/>
      <c r="AJ168" s="3539"/>
      <c r="AK168" s="3539"/>
      <c r="AL168" s="3539"/>
      <c r="AM168" s="3539"/>
    </row>
    <row r="169" spans="2:39" s="2913" customFormat="1">
      <c r="B169" s="1278"/>
      <c r="C169" s="1282"/>
      <c r="D169" s="1283"/>
      <c r="E169" s="1282"/>
      <c r="F169" s="1284"/>
      <c r="G169" s="150"/>
      <c r="H169" s="150"/>
      <c r="I169" s="150"/>
      <c r="J169" s="150"/>
      <c r="K169" s="150"/>
      <c r="L169" s="150"/>
      <c r="M169" s="1286"/>
      <c r="N169" s="1284"/>
      <c r="O169" s="150"/>
      <c r="P169" s="150"/>
      <c r="Q169" s="1287"/>
      <c r="R169" s="1287"/>
      <c r="S169" s="149"/>
      <c r="T169" s="149"/>
      <c r="U169" s="150"/>
      <c r="V169" s="150"/>
      <c r="W169" s="150"/>
      <c r="X169" s="150"/>
      <c r="Y169" s="150"/>
      <c r="Z169" s="150"/>
      <c r="AA169" s="150"/>
      <c r="AC169" s="3539"/>
      <c r="AD169" s="3539"/>
      <c r="AE169" s="3539"/>
      <c r="AF169" s="3539"/>
      <c r="AG169" s="3539"/>
      <c r="AH169" s="3539"/>
      <c r="AI169" s="3539"/>
      <c r="AJ169" s="3539"/>
      <c r="AK169" s="3539"/>
      <c r="AL169" s="3539"/>
      <c r="AM169" s="3539"/>
    </row>
    <row r="170" spans="2:39" s="2913" customFormat="1">
      <c r="B170" s="1278"/>
      <c r="C170" s="1282"/>
      <c r="D170" s="1283"/>
      <c r="E170" s="1282"/>
      <c r="F170" s="1284"/>
      <c r="G170" s="150"/>
      <c r="H170" s="150"/>
      <c r="I170" s="150"/>
      <c r="J170" s="150"/>
      <c r="K170" s="150"/>
      <c r="L170" s="150"/>
      <c r="M170" s="1286"/>
      <c r="N170" s="1284"/>
      <c r="O170" s="150"/>
      <c r="P170" s="150"/>
      <c r="Q170" s="1287"/>
      <c r="R170" s="1287"/>
      <c r="S170" s="149"/>
      <c r="T170" s="149"/>
      <c r="U170" s="150"/>
      <c r="V170" s="150"/>
      <c r="W170" s="150"/>
      <c r="X170" s="150"/>
      <c r="Y170" s="150"/>
      <c r="Z170" s="150"/>
      <c r="AA170" s="150"/>
      <c r="AC170" s="3539"/>
      <c r="AD170" s="3539"/>
      <c r="AE170" s="3539"/>
      <c r="AF170" s="3539"/>
      <c r="AG170" s="3539"/>
      <c r="AH170" s="3539"/>
      <c r="AI170" s="3539"/>
      <c r="AJ170" s="3539"/>
      <c r="AK170" s="3539"/>
      <c r="AL170" s="3539"/>
      <c r="AM170" s="3539"/>
    </row>
    <row r="171" spans="2:39" s="2913" customFormat="1">
      <c r="B171" s="1278"/>
      <c r="C171" s="1282"/>
      <c r="D171" s="1283"/>
      <c r="E171" s="1282"/>
      <c r="F171" s="1284"/>
      <c r="G171" s="150"/>
      <c r="H171" s="150"/>
      <c r="I171" s="150"/>
      <c r="J171" s="150"/>
      <c r="K171" s="150"/>
      <c r="L171" s="150"/>
      <c r="M171" s="1286"/>
      <c r="N171" s="1284"/>
      <c r="O171" s="150"/>
      <c r="P171" s="150"/>
      <c r="Q171" s="1287"/>
      <c r="R171" s="1287"/>
      <c r="S171" s="149"/>
      <c r="T171" s="149"/>
      <c r="U171" s="150"/>
      <c r="V171" s="150"/>
      <c r="W171" s="150"/>
      <c r="X171" s="150"/>
      <c r="Y171" s="150"/>
      <c r="Z171" s="150"/>
      <c r="AA171" s="150"/>
      <c r="AC171" s="3539"/>
      <c r="AD171" s="3539"/>
      <c r="AE171" s="3539"/>
      <c r="AF171" s="3539"/>
      <c r="AG171" s="3539"/>
      <c r="AH171" s="3539"/>
      <c r="AI171" s="3539"/>
      <c r="AJ171" s="3539"/>
      <c r="AK171" s="3539"/>
      <c r="AL171" s="3539"/>
      <c r="AM171" s="3539"/>
    </row>
    <row r="172" spans="2:39" s="2913" customFormat="1">
      <c r="B172" s="1278"/>
      <c r="C172" s="1282"/>
      <c r="D172" s="1283"/>
      <c r="E172" s="1282"/>
      <c r="F172" s="1284"/>
      <c r="G172" s="150"/>
      <c r="H172" s="150"/>
      <c r="I172" s="150"/>
      <c r="J172" s="150"/>
      <c r="K172" s="150"/>
      <c r="L172" s="150"/>
      <c r="M172" s="1286"/>
      <c r="N172" s="1284"/>
      <c r="O172" s="150"/>
      <c r="P172" s="150"/>
      <c r="Q172" s="1287"/>
      <c r="R172" s="1287"/>
      <c r="S172" s="149"/>
      <c r="T172" s="149"/>
      <c r="U172" s="150"/>
      <c r="V172" s="150"/>
      <c r="W172" s="150"/>
      <c r="X172" s="150"/>
      <c r="Y172" s="150"/>
      <c r="Z172" s="150"/>
      <c r="AA172" s="150"/>
      <c r="AC172" s="3539"/>
      <c r="AD172" s="3539"/>
      <c r="AE172" s="3539"/>
      <c r="AF172" s="3539"/>
      <c r="AG172" s="3539"/>
      <c r="AH172" s="3539"/>
      <c r="AI172" s="3539"/>
      <c r="AJ172" s="3539"/>
      <c r="AK172" s="3539"/>
      <c r="AL172" s="3539"/>
      <c r="AM172" s="3539"/>
    </row>
    <row r="173" spans="2:39" s="2913" customFormat="1">
      <c r="B173" s="1278"/>
      <c r="C173" s="1282"/>
      <c r="D173" s="1283"/>
      <c r="E173" s="1282"/>
      <c r="F173" s="1284"/>
      <c r="G173" s="150"/>
      <c r="H173" s="150"/>
      <c r="I173" s="150"/>
      <c r="J173" s="150"/>
      <c r="K173" s="150"/>
      <c r="L173" s="150"/>
      <c r="M173" s="1286"/>
      <c r="N173" s="1284"/>
      <c r="O173" s="150"/>
      <c r="P173" s="150"/>
      <c r="Q173" s="1287"/>
      <c r="R173" s="1287"/>
      <c r="S173" s="149"/>
      <c r="T173" s="149"/>
      <c r="U173" s="150"/>
      <c r="V173" s="150"/>
      <c r="W173" s="150"/>
      <c r="X173" s="150"/>
      <c r="Y173" s="150"/>
      <c r="Z173" s="150"/>
      <c r="AA173" s="150"/>
      <c r="AC173" s="3539"/>
      <c r="AD173" s="3539"/>
      <c r="AE173" s="3539"/>
      <c r="AF173" s="3539"/>
      <c r="AG173" s="3539"/>
      <c r="AH173" s="3539"/>
      <c r="AI173" s="3539"/>
      <c r="AJ173" s="3539"/>
      <c r="AK173" s="3539"/>
      <c r="AL173" s="3539"/>
      <c r="AM173" s="3539"/>
    </row>
    <row r="174" spans="2:39" s="2913" customFormat="1">
      <c r="B174" s="1278"/>
      <c r="C174" s="1282"/>
      <c r="D174" s="1283"/>
      <c r="E174" s="1282"/>
      <c r="F174" s="1284"/>
      <c r="G174" s="150"/>
      <c r="H174" s="150"/>
      <c r="I174" s="150"/>
      <c r="J174" s="150"/>
      <c r="K174" s="150"/>
      <c r="L174" s="150"/>
      <c r="M174" s="1286"/>
      <c r="N174" s="1284"/>
      <c r="O174" s="150"/>
      <c r="P174" s="150"/>
      <c r="Q174" s="1287"/>
      <c r="R174" s="1287"/>
      <c r="S174" s="149"/>
      <c r="T174" s="149"/>
      <c r="U174" s="150"/>
      <c r="V174" s="150"/>
      <c r="W174" s="150"/>
      <c r="X174" s="150"/>
      <c r="Y174" s="150"/>
      <c r="Z174" s="150"/>
      <c r="AA174" s="150"/>
      <c r="AC174" s="3539"/>
      <c r="AD174" s="3539"/>
      <c r="AE174" s="3539"/>
      <c r="AF174" s="3539"/>
      <c r="AG174" s="3539"/>
      <c r="AH174" s="3539"/>
      <c r="AI174" s="3539"/>
      <c r="AJ174" s="3539"/>
      <c r="AK174" s="3539"/>
      <c r="AL174" s="3539"/>
      <c r="AM174" s="3539"/>
    </row>
    <row r="175" spans="2:39" s="2913" customFormat="1">
      <c r="B175" s="1278"/>
      <c r="C175" s="1282"/>
      <c r="D175" s="1283"/>
      <c r="E175" s="1282"/>
      <c r="F175" s="1284"/>
      <c r="G175" s="150"/>
      <c r="H175" s="150"/>
      <c r="I175" s="150"/>
      <c r="J175" s="150"/>
      <c r="K175" s="150"/>
      <c r="L175" s="150"/>
      <c r="M175" s="1286"/>
      <c r="N175" s="1284"/>
      <c r="O175" s="150"/>
      <c r="P175" s="150"/>
      <c r="Q175" s="1287"/>
      <c r="R175" s="1287"/>
      <c r="S175" s="149"/>
      <c r="T175" s="149"/>
      <c r="U175" s="150"/>
      <c r="V175" s="150"/>
      <c r="W175" s="150"/>
      <c r="X175" s="150"/>
      <c r="Y175" s="150"/>
      <c r="Z175" s="150"/>
      <c r="AA175" s="150"/>
      <c r="AC175" s="3539"/>
      <c r="AD175" s="3539"/>
      <c r="AE175" s="3539"/>
      <c r="AF175" s="3539"/>
      <c r="AG175" s="3539"/>
      <c r="AH175" s="3539"/>
      <c r="AI175" s="3539"/>
      <c r="AJ175" s="3539"/>
      <c r="AK175" s="3539"/>
      <c r="AL175" s="3539"/>
      <c r="AM175" s="3539"/>
    </row>
    <row r="176" spans="2:39" s="2913" customFormat="1">
      <c r="B176" s="1278"/>
      <c r="C176" s="1282"/>
      <c r="D176" s="1283"/>
      <c r="E176" s="1282"/>
      <c r="F176" s="1284"/>
      <c r="G176" s="150"/>
      <c r="H176" s="150"/>
      <c r="I176" s="150"/>
      <c r="J176" s="150"/>
      <c r="K176" s="150"/>
      <c r="L176" s="150"/>
      <c r="M176" s="1286"/>
      <c r="N176" s="1284"/>
      <c r="O176" s="150"/>
      <c r="P176" s="150"/>
      <c r="Q176" s="1287"/>
      <c r="R176" s="1287"/>
      <c r="S176" s="149"/>
      <c r="T176" s="149"/>
      <c r="U176" s="150"/>
      <c r="V176" s="150"/>
      <c r="W176" s="150"/>
      <c r="X176" s="150"/>
      <c r="Y176" s="150"/>
      <c r="Z176" s="150"/>
      <c r="AA176" s="150"/>
      <c r="AC176" s="3539"/>
      <c r="AD176" s="3539"/>
      <c r="AE176" s="3539"/>
      <c r="AF176" s="3539"/>
      <c r="AG176" s="3539"/>
      <c r="AH176" s="3539"/>
      <c r="AI176" s="3539"/>
      <c r="AJ176" s="3539"/>
      <c r="AK176" s="3539"/>
      <c r="AL176" s="3539"/>
      <c r="AM176" s="3539"/>
    </row>
    <row r="177" spans="2:41" s="2913" customFormat="1">
      <c r="B177" s="1278"/>
      <c r="C177" s="1282"/>
      <c r="D177" s="1283"/>
      <c r="E177" s="1282"/>
      <c r="F177" s="1284"/>
      <c r="G177" s="150"/>
      <c r="H177" s="150"/>
      <c r="I177" s="150"/>
      <c r="J177" s="150"/>
      <c r="K177" s="150"/>
      <c r="L177" s="150"/>
      <c r="M177" s="1286"/>
      <c r="N177" s="1284"/>
      <c r="O177" s="150"/>
      <c r="P177" s="150"/>
      <c r="Q177" s="1287"/>
      <c r="R177" s="1287"/>
      <c r="S177" s="149"/>
      <c r="T177" s="149"/>
      <c r="U177" s="150"/>
      <c r="V177" s="150"/>
      <c r="W177" s="150"/>
      <c r="X177" s="150"/>
      <c r="Y177" s="150"/>
      <c r="Z177" s="150"/>
      <c r="AA177" s="150"/>
      <c r="AC177" s="3539"/>
      <c r="AD177" s="3539"/>
      <c r="AE177" s="3539"/>
      <c r="AF177" s="3539"/>
      <c r="AG177" s="3539"/>
      <c r="AH177" s="3539"/>
      <c r="AI177" s="3539"/>
      <c r="AJ177" s="3539"/>
      <c r="AK177" s="3539"/>
      <c r="AL177" s="3539"/>
      <c r="AM177" s="3539"/>
    </row>
    <row r="178" spans="2:41" s="2913" customFormat="1">
      <c r="B178" s="1278"/>
      <c r="C178" s="1282"/>
      <c r="D178" s="1283"/>
      <c r="E178" s="1282"/>
      <c r="F178" s="1284"/>
      <c r="G178" s="150"/>
      <c r="H178" s="150"/>
      <c r="I178" s="150"/>
      <c r="J178" s="150"/>
      <c r="K178" s="150"/>
      <c r="L178" s="150"/>
      <c r="M178" s="1286"/>
      <c r="N178" s="1284"/>
      <c r="O178" s="150"/>
      <c r="P178" s="150"/>
      <c r="Q178" s="1287"/>
      <c r="R178" s="1287"/>
      <c r="S178" s="149"/>
      <c r="T178" s="149"/>
      <c r="U178" s="150"/>
      <c r="V178" s="150"/>
      <c r="W178" s="150"/>
      <c r="X178" s="150"/>
      <c r="Y178" s="150"/>
      <c r="Z178" s="150"/>
      <c r="AA178" s="150"/>
      <c r="AB178" s="2913">
        <f>SUBTOTAL(9,AB136:AB177)</f>
        <v>0</v>
      </c>
      <c r="AC178" s="3539">
        <f>SUBTOTAL(9,AC136:AC177)</f>
        <v>0</v>
      </c>
      <c r="AD178" s="3539">
        <f>SUBTOTAL(9,AD136:AD177)</f>
        <v>0</v>
      </c>
      <c r="AE178" s="3539"/>
      <c r="AF178" s="3539"/>
      <c r="AG178" s="3539"/>
      <c r="AH178" s="3539"/>
      <c r="AI178" s="3539"/>
      <c r="AJ178" s="3539"/>
      <c r="AK178" s="3539"/>
      <c r="AL178" s="3539"/>
      <c r="AM178" s="3539"/>
    </row>
    <row r="179" spans="2:41" s="2913" customFormat="1">
      <c r="B179" s="1278"/>
      <c r="C179" s="1282"/>
      <c r="D179" s="1283"/>
      <c r="E179" s="1282"/>
      <c r="F179" s="1284"/>
      <c r="G179" s="150"/>
      <c r="H179" s="150"/>
      <c r="I179" s="150"/>
      <c r="J179" s="150"/>
      <c r="K179" s="150"/>
      <c r="L179" s="150"/>
      <c r="M179" s="1286"/>
      <c r="N179" s="1284"/>
      <c r="O179" s="150"/>
      <c r="P179" s="150"/>
      <c r="Q179" s="1287"/>
      <c r="R179" s="1287"/>
      <c r="S179" s="149"/>
      <c r="T179" s="149"/>
      <c r="U179" s="150"/>
      <c r="V179" s="150"/>
      <c r="W179" s="150"/>
      <c r="X179" s="150"/>
      <c r="Y179" s="150"/>
      <c r="Z179" s="150"/>
      <c r="AA179" s="150"/>
      <c r="AB179" s="2913">
        <v>0</v>
      </c>
      <c r="AC179" s="3539">
        <v>0</v>
      </c>
      <c r="AD179" s="3539">
        <v>0</v>
      </c>
      <c r="AE179" s="3539"/>
      <c r="AF179" s="3539"/>
      <c r="AG179" s="3539"/>
      <c r="AH179" s="3539"/>
      <c r="AI179" s="3539"/>
      <c r="AJ179" s="3539"/>
      <c r="AK179" s="3539"/>
      <c r="AL179" s="3539"/>
      <c r="AM179" s="3539"/>
    </row>
    <row r="180" spans="2:41" s="2913" customFormat="1">
      <c r="B180" s="1278"/>
      <c r="C180" s="1282"/>
      <c r="D180" s="1283"/>
      <c r="E180" s="1282"/>
      <c r="F180" s="1284"/>
      <c r="G180" s="150"/>
      <c r="H180" s="150"/>
      <c r="I180" s="150"/>
      <c r="J180" s="150"/>
      <c r="K180" s="150"/>
      <c r="L180" s="150"/>
      <c r="M180" s="1286"/>
      <c r="N180" s="1284"/>
      <c r="O180" s="150"/>
      <c r="P180" s="150"/>
      <c r="Q180" s="1287"/>
      <c r="R180" s="1287"/>
      <c r="S180" s="149"/>
      <c r="T180" s="149"/>
      <c r="U180" s="150"/>
      <c r="V180" s="150"/>
      <c r="W180" s="150"/>
      <c r="X180" s="150"/>
      <c r="Y180" s="150"/>
      <c r="Z180" s="150"/>
      <c r="AA180" s="150"/>
      <c r="AB180" s="2913">
        <v>0</v>
      </c>
      <c r="AC180" s="3539">
        <v>0</v>
      </c>
      <c r="AD180" s="3539">
        <v>0</v>
      </c>
      <c r="AE180" s="3539"/>
      <c r="AF180" s="3539"/>
      <c r="AG180" s="3539"/>
      <c r="AH180" s="3539"/>
      <c r="AI180" s="3539"/>
      <c r="AJ180" s="3539"/>
      <c r="AK180" s="3539"/>
      <c r="AL180" s="3539"/>
      <c r="AM180" s="3539"/>
    </row>
    <row r="181" spans="2:41" s="2913" customFormat="1">
      <c r="B181" s="1278"/>
      <c r="C181" s="1282"/>
      <c r="D181" s="1283"/>
      <c r="E181" s="1282"/>
      <c r="F181" s="1284"/>
      <c r="G181" s="150"/>
      <c r="H181" s="150"/>
      <c r="I181" s="150"/>
      <c r="J181" s="150"/>
      <c r="K181" s="150"/>
      <c r="L181" s="150"/>
      <c r="M181" s="1286"/>
      <c r="N181" s="1284"/>
      <c r="O181" s="150"/>
      <c r="P181" s="150"/>
      <c r="Q181" s="1287"/>
      <c r="R181" s="1287"/>
      <c r="S181" s="149"/>
      <c r="T181" s="149"/>
      <c r="U181" s="150"/>
      <c r="V181" s="150"/>
      <c r="W181" s="150"/>
      <c r="X181" s="150"/>
      <c r="Y181" s="150"/>
      <c r="Z181" s="150"/>
      <c r="AA181" s="150"/>
      <c r="AB181" s="2913">
        <v>0</v>
      </c>
      <c r="AC181" s="3539">
        <v>0</v>
      </c>
      <c r="AD181" s="3539">
        <v>0</v>
      </c>
      <c r="AE181" s="3539"/>
      <c r="AF181" s="3539"/>
      <c r="AG181" s="3539"/>
      <c r="AH181" s="3539"/>
      <c r="AI181" s="3539"/>
      <c r="AJ181" s="3539"/>
      <c r="AK181" s="3539"/>
      <c r="AL181" s="3539"/>
      <c r="AM181" s="3539"/>
    </row>
    <row r="182" spans="2:41" s="2913" customFormat="1">
      <c r="B182" s="1278"/>
      <c r="C182" s="1282"/>
      <c r="D182" s="1283"/>
      <c r="E182" s="1282"/>
      <c r="F182" s="1284"/>
      <c r="G182" s="150"/>
      <c r="H182" s="150"/>
      <c r="I182" s="150"/>
      <c r="J182" s="150"/>
      <c r="K182" s="150"/>
      <c r="L182" s="150"/>
      <c r="M182" s="1286"/>
      <c r="N182" s="1284"/>
      <c r="O182" s="150"/>
      <c r="P182" s="150"/>
      <c r="Q182" s="1287"/>
      <c r="R182" s="1287"/>
      <c r="S182" s="149"/>
      <c r="T182" s="149"/>
      <c r="U182" s="150"/>
      <c r="V182" s="150"/>
      <c r="W182" s="150"/>
      <c r="X182" s="150"/>
      <c r="Y182" s="150"/>
      <c r="Z182" s="150"/>
      <c r="AA182" s="150"/>
      <c r="AB182" s="2913">
        <v>0</v>
      </c>
      <c r="AC182" s="3539">
        <v>0</v>
      </c>
      <c r="AD182" s="3539">
        <v>0</v>
      </c>
      <c r="AE182" s="3539"/>
      <c r="AF182" s="3539"/>
      <c r="AG182" s="3539"/>
      <c r="AH182" s="3539"/>
      <c r="AI182" s="3539"/>
      <c r="AJ182" s="3539"/>
      <c r="AK182" s="3539"/>
      <c r="AL182" s="3539"/>
      <c r="AM182" s="3539"/>
    </row>
    <row r="183" spans="2:41" s="2913" customFormat="1">
      <c r="B183" s="1278"/>
      <c r="C183" s="1282"/>
      <c r="D183" s="1283"/>
      <c r="E183" s="1282"/>
      <c r="F183" s="1284"/>
      <c r="G183" s="150"/>
      <c r="H183" s="150"/>
      <c r="I183" s="150"/>
      <c r="J183" s="150"/>
      <c r="K183" s="150"/>
      <c r="L183" s="150"/>
      <c r="M183" s="1286"/>
      <c r="N183" s="1284"/>
      <c r="O183" s="150"/>
      <c r="P183" s="150"/>
      <c r="Q183" s="1287"/>
      <c r="R183" s="1287"/>
      <c r="S183" s="149"/>
      <c r="T183" s="149"/>
      <c r="U183" s="150"/>
      <c r="V183" s="150"/>
      <c r="W183" s="150"/>
      <c r="X183" s="150"/>
      <c r="Y183" s="150"/>
      <c r="Z183" s="150"/>
      <c r="AA183" s="150"/>
      <c r="AB183" s="2913">
        <v>0</v>
      </c>
      <c r="AC183" s="3539">
        <v>0</v>
      </c>
      <c r="AD183" s="3539">
        <v>0</v>
      </c>
      <c r="AE183" s="3539"/>
      <c r="AF183" s="3539"/>
      <c r="AG183" s="3539"/>
      <c r="AH183" s="3539"/>
      <c r="AI183" s="3539"/>
      <c r="AJ183" s="3539"/>
      <c r="AK183" s="3539"/>
      <c r="AL183" s="3539"/>
      <c r="AM183" s="3539"/>
    </row>
    <row r="184" spans="2:41" s="2913" customFormat="1">
      <c r="B184" s="1278"/>
      <c r="C184" s="1282"/>
      <c r="D184" s="1283"/>
      <c r="E184" s="1282"/>
      <c r="F184" s="1284"/>
      <c r="G184" s="150"/>
      <c r="H184" s="150"/>
      <c r="I184" s="150"/>
      <c r="J184" s="150"/>
      <c r="K184" s="150"/>
      <c r="L184" s="150"/>
      <c r="M184" s="1286"/>
      <c r="N184" s="1284"/>
      <c r="O184" s="150"/>
      <c r="P184" s="150"/>
      <c r="Q184" s="1287"/>
      <c r="R184" s="1287"/>
      <c r="S184" s="149"/>
      <c r="T184" s="149"/>
      <c r="U184" s="150"/>
      <c r="V184" s="150"/>
      <c r="W184" s="150"/>
      <c r="X184" s="150"/>
      <c r="Y184" s="150"/>
      <c r="Z184" s="150"/>
      <c r="AA184" s="150"/>
      <c r="AB184" s="2913">
        <v>0</v>
      </c>
      <c r="AC184" s="3539">
        <v>0</v>
      </c>
      <c r="AD184" s="3539">
        <v>0</v>
      </c>
      <c r="AE184" s="3539"/>
      <c r="AF184" s="3539"/>
      <c r="AG184" s="3539"/>
      <c r="AH184" s="3539"/>
      <c r="AI184" s="3539"/>
      <c r="AJ184" s="3539"/>
      <c r="AK184" s="3539"/>
      <c r="AL184" s="3539"/>
      <c r="AM184" s="3539"/>
    </row>
    <row r="185" spans="2:41" s="2913" customFormat="1">
      <c r="B185" s="1278"/>
      <c r="C185" s="1282"/>
      <c r="D185" s="1283"/>
      <c r="E185" s="1282"/>
      <c r="F185" s="1284"/>
      <c r="G185" s="150"/>
      <c r="H185" s="150"/>
      <c r="I185" s="150"/>
      <c r="J185" s="150"/>
      <c r="K185" s="150"/>
      <c r="L185" s="150"/>
      <c r="M185" s="1286"/>
      <c r="N185" s="1284"/>
      <c r="O185" s="150"/>
      <c r="P185" s="150"/>
      <c r="Q185" s="1287"/>
      <c r="R185" s="1287"/>
      <c r="S185" s="149"/>
      <c r="T185" s="149"/>
      <c r="U185" s="150"/>
      <c r="V185" s="150"/>
      <c r="W185" s="150"/>
      <c r="X185" s="150"/>
      <c r="Y185" s="150"/>
      <c r="Z185" s="150"/>
      <c r="AA185" s="150"/>
      <c r="AB185" s="2913">
        <v>0</v>
      </c>
      <c r="AC185" s="3539">
        <v>0</v>
      </c>
      <c r="AD185" s="3539">
        <v>0</v>
      </c>
      <c r="AE185" s="3539"/>
      <c r="AF185" s="3539"/>
      <c r="AG185" s="3539"/>
      <c r="AH185" s="3539"/>
      <c r="AI185" s="3539"/>
      <c r="AJ185" s="3539"/>
      <c r="AK185" s="3539"/>
      <c r="AL185" s="3539"/>
      <c r="AM185" s="3539"/>
    </row>
    <row r="186" spans="2:41" s="2913" customFormat="1">
      <c r="B186" s="1278"/>
      <c r="C186" s="1282"/>
      <c r="D186" s="1283"/>
      <c r="E186" s="1282"/>
      <c r="F186" s="1284"/>
      <c r="G186" s="150"/>
      <c r="H186" s="150"/>
      <c r="I186" s="150"/>
      <c r="J186" s="150"/>
      <c r="K186" s="150"/>
      <c r="L186" s="150"/>
      <c r="M186" s="1286"/>
      <c r="N186" s="1284"/>
      <c r="O186" s="150"/>
      <c r="P186" s="150"/>
      <c r="Q186" s="1287"/>
      <c r="R186" s="1287"/>
      <c r="S186" s="149"/>
      <c r="T186" s="149"/>
      <c r="U186" s="150"/>
      <c r="V186" s="150"/>
      <c r="W186" s="150"/>
      <c r="X186" s="150"/>
      <c r="Y186" s="150"/>
      <c r="Z186" s="150"/>
      <c r="AA186" s="150"/>
      <c r="AB186" s="2913">
        <v>0</v>
      </c>
      <c r="AC186" s="3539">
        <v>0</v>
      </c>
      <c r="AD186" s="3539">
        <v>0</v>
      </c>
      <c r="AE186" s="3539"/>
      <c r="AF186" s="3539"/>
      <c r="AG186" s="3539"/>
      <c r="AH186" s="3539"/>
      <c r="AI186" s="3539"/>
      <c r="AJ186" s="3539"/>
      <c r="AK186" s="3539"/>
      <c r="AL186" s="3539"/>
      <c r="AM186" s="3539"/>
    </row>
    <row r="187" spans="2:41" s="2913" customFormat="1">
      <c r="B187" s="1278"/>
      <c r="C187" s="1282"/>
      <c r="D187" s="1283"/>
      <c r="E187" s="1282"/>
      <c r="F187" s="1284"/>
      <c r="G187" s="150"/>
      <c r="H187" s="150"/>
      <c r="I187" s="150"/>
      <c r="J187" s="150"/>
      <c r="K187" s="150"/>
      <c r="L187" s="150"/>
      <c r="M187" s="1286"/>
      <c r="N187" s="1284"/>
      <c r="O187" s="150"/>
      <c r="P187" s="150"/>
      <c r="Q187" s="1287"/>
      <c r="R187" s="1287"/>
      <c r="S187" s="149"/>
      <c r="T187" s="149"/>
      <c r="U187" s="150"/>
      <c r="V187" s="150"/>
      <c r="W187" s="150"/>
      <c r="X187" s="150"/>
      <c r="Y187" s="150"/>
      <c r="Z187" s="150"/>
      <c r="AA187" s="150"/>
      <c r="AB187" s="2913">
        <v>0</v>
      </c>
      <c r="AC187" s="3539">
        <v>0</v>
      </c>
      <c r="AD187" s="3539">
        <v>0</v>
      </c>
      <c r="AE187" s="3539"/>
      <c r="AF187" s="3539"/>
      <c r="AG187" s="3539"/>
      <c r="AH187" s="3539"/>
      <c r="AI187" s="3539"/>
      <c r="AJ187" s="3539"/>
      <c r="AK187" s="3539"/>
      <c r="AL187" s="3539"/>
      <c r="AM187" s="3539"/>
    </row>
    <row r="188" spans="2:41" s="2913" customFormat="1">
      <c r="B188" s="1278"/>
      <c r="C188" s="1282"/>
      <c r="D188" s="1283"/>
      <c r="E188" s="1282"/>
      <c r="F188" s="1284"/>
      <c r="G188" s="150"/>
      <c r="H188" s="150"/>
      <c r="I188" s="150"/>
      <c r="J188" s="150"/>
      <c r="K188" s="150"/>
      <c r="L188" s="150"/>
      <c r="M188" s="1286"/>
      <c r="N188" s="1284"/>
      <c r="O188" s="150"/>
      <c r="P188" s="150"/>
      <c r="Q188" s="1287"/>
      <c r="R188" s="1287"/>
      <c r="S188" s="149"/>
      <c r="T188" s="149"/>
      <c r="U188" s="150"/>
      <c r="V188" s="150"/>
      <c r="W188" s="150"/>
      <c r="X188" s="150"/>
      <c r="Y188" s="150"/>
      <c r="Z188" s="150"/>
      <c r="AA188" s="150"/>
      <c r="AB188" s="2913">
        <v>0</v>
      </c>
      <c r="AC188" s="3539">
        <v>0</v>
      </c>
      <c r="AD188" s="3539">
        <v>0</v>
      </c>
      <c r="AE188" s="3539"/>
      <c r="AF188" s="3539"/>
      <c r="AG188" s="3539"/>
      <c r="AH188" s="3539"/>
      <c r="AI188" s="3539"/>
      <c r="AJ188" s="3539"/>
      <c r="AK188" s="3539"/>
      <c r="AL188" s="3539"/>
      <c r="AM188" s="3539"/>
    </row>
    <row r="189" spans="2:41" s="2913" customFormat="1">
      <c r="B189" s="1278"/>
      <c r="C189" s="1282"/>
      <c r="D189" s="1283"/>
      <c r="E189" s="1282"/>
      <c r="F189" s="1284"/>
      <c r="G189" s="150"/>
      <c r="H189" s="150"/>
      <c r="I189" s="150"/>
      <c r="J189" s="150"/>
      <c r="K189" s="150"/>
      <c r="L189" s="150"/>
      <c r="M189" s="1286"/>
      <c r="N189" s="1284"/>
      <c r="O189" s="150"/>
      <c r="P189" s="150"/>
      <c r="Q189" s="1287"/>
      <c r="R189" s="1287"/>
      <c r="S189" s="149"/>
      <c r="T189" s="149"/>
      <c r="U189" s="150">
        <f>SUBTOTAL(9,U147:U188)</f>
        <v>0</v>
      </c>
      <c r="V189" s="150">
        <f t="shared" ref="V189:AA189" si="108">SUBTOTAL(9,V147:V188)</f>
        <v>0</v>
      </c>
      <c r="W189" s="150">
        <f t="shared" si="108"/>
        <v>0</v>
      </c>
      <c r="X189" s="150">
        <f t="shared" si="108"/>
        <v>0</v>
      </c>
      <c r="Y189" s="150">
        <f t="shared" si="108"/>
        <v>0</v>
      </c>
      <c r="Z189" s="150">
        <f t="shared" si="108"/>
        <v>0</v>
      </c>
      <c r="AA189" s="150">
        <f t="shared" si="108"/>
        <v>0</v>
      </c>
      <c r="AB189" s="2913">
        <v>0</v>
      </c>
      <c r="AC189" s="3539">
        <v>0</v>
      </c>
      <c r="AD189" s="3539">
        <v>0</v>
      </c>
      <c r="AE189" s="3539"/>
      <c r="AF189" s="3539"/>
      <c r="AG189" s="3539"/>
      <c r="AH189" s="3539"/>
      <c r="AI189" s="3539"/>
      <c r="AJ189" s="3539"/>
      <c r="AK189" s="3539"/>
      <c r="AL189" s="3539"/>
      <c r="AM189" s="3539"/>
    </row>
    <row r="190" spans="2:41" s="2913" customFormat="1" ht="12" thickBot="1">
      <c r="B190" s="1278"/>
      <c r="C190" s="1282"/>
      <c r="D190" s="1283"/>
      <c r="E190" s="1282"/>
      <c r="F190" s="1284"/>
      <c r="G190" s="150"/>
      <c r="H190" s="150"/>
      <c r="I190" s="150"/>
      <c r="J190" s="150"/>
      <c r="K190" s="150"/>
      <c r="L190" s="150"/>
      <c r="M190" s="1286"/>
      <c r="N190" s="1284"/>
      <c r="O190" s="150"/>
      <c r="P190" s="150"/>
      <c r="Q190" s="1287"/>
      <c r="R190" s="1287"/>
      <c r="S190" s="149"/>
      <c r="T190" s="149"/>
      <c r="U190" s="150"/>
      <c r="V190" s="150"/>
      <c r="W190" s="150"/>
      <c r="X190" s="150"/>
      <c r="Y190" s="150"/>
      <c r="Z190" s="150"/>
      <c r="AA190" s="150"/>
      <c r="AC190" s="3539"/>
      <c r="AD190" s="3539"/>
      <c r="AE190" s="3539"/>
      <c r="AF190" s="3539"/>
      <c r="AG190" s="3539"/>
      <c r="AH190" s="3539"/>
      <c r="AI190" s="3539"/>
      <c r="AJ190" s="3539"/>
      <c r="AK190" s="3539"/>
      <c r="AL190" s="3539"/>
      <c r="AM190" s="3539"/>
    </row>
    <row r="191" spans="2:41" s="2913" customFormat="1" ht="13" thickTop="1" thickBot="1">
      <c r="B191" s="1278"/>
      <c r="C191" s="1282"/>
      <c r="D191" s="1283"/>
      <c r="E191" s="1282"/>
      <c r="F191" s="1284"/>
      <c r="G191" s="150"/>
      <c r="H191" s="150"/>
      <c r="I191" s="150"/>
      <c r="J191" s="150"/>
      <c r="K191" s="150"/>
      <c r="L191" s="150"/>
      <c r="M191" s="1286"/>
      <c r="N191" s="1284"/>
      <c r="O191" s="150"/>
      <c r="P191" s="150"/>
      <c r="Q191" s="1287"/>
      <c r="R191" s="1287"/>
      <c r="S191" s="1287"/>
      <c r="T191" s="149"/>
      <c r="U191" s="151"/>
      <c r="V191" s="152"/>
      <c r="W191" s="153"/>
      <c r="X191" s="153"/>
      <c r="Y191" s="153"/>
      <c r="Z191" s="153"/>
      <c r="AA191" s="154"/>
      <c r="AB191" s="3580"/>
      <c r="AC191" s="3580"/>
      <c r="AE191" s="3539"/>
      <c r="AF191" s="3539"/>
      <c r="AG191" s="3539"/>
      <c r="AH191" s="3539"/>
      <c r="AI191" s="3539"/>
      <c r="AJ191" s="3539"/>
      <c r="AK191" s="3539"/>
      <c r="AL191" s="3539"/>
      <c r="AM191" s="3539"/>
      <c r="AN191" s="3539"/>
      <c r="AO191" s="3539"/>
    </row>
    <row r="192" spans="2:41" s="2913" customFormat="1" ht="12" thickTop="1">
      <c r="B192" s="1278"/>
      <c r="C192" s="1282"/>
      <c r="D192" s="1283"/>
      <c r="E192" s="1282"/>
      <c r="F192" s="1284"/>
      <c r="G192" s="150"/>
      <c r="H192" s="150"/>
      <c r="I192" s="150"/>
      <c r="J192" s="150"/>
      <c r="K192" s="150"/>
      <c r="L192" s="150"/>
      <c r="M192" s="1286"/>
      <c r="N192" s="1284"/>
      <c r="O192" s="150"/>
      <c r="P192" s="150"/>
      <c r="Q192" s="1287"/>
      <c r="R192" s="1287"/>
      <c r="S192" s="149"/>
      <c r="T192" s="149"/>
      <c r="U192" s="150"/>
      <c r="V192" s="150"/>
      <c r="W192" s="150"/>
      <c r="X192" s="150"/>
      <c r="Y192" s="150"/>
      <c r="Z192" s="150"/>
      <c r="AA192" s="150"/>
      <c r="AC192" s="3539"/>
      <c r="AD192" s="3539"/>
      <c r="AE192" s="3539"/>
      <c r="AF192" s="3539"/>
      <c r="AG192" s="3539"/>
      <c r="AH192" s="3539"/>
      <c r="AI192" s="3539"/>
      <c r="AJ192" s="3539"/>
      <c r="AK192" s="3539"/>
      <c r="AL192" s="3539"/>
      <c r="AM192" s="3539"/>
    </row>
    <row r="193" spans="2:39" s="2913" customFormat="1">
      <c r="B193" s="1278"/>
      <c r="C193" s="1282"/>
      <c r="D193" s="1283"/>
      <c r="E193" s="1282"/>
      <c r="F193" s="1284"/>
      <c r="G193" s="150"/>
      <c r="H193" s="150"/>
      <c r="I193" s="150"/>
      <c r="J193" s="150"/>
      <c r="K193" s="150"/>
      <c r="L193" s="150"/>
      <c r="M193" s="1286"/>
      <c r="N193" s="1284"/>
      <c r="O193" s="150"/>
      <c r="P193" s="150"/>
      <c r="Q193" s="1287"/>
      <c r="R193" s="1287"/>
      <c r="S193" s="149"/>
      <c r="T193" s="149"/>
      <c r="U193" s="150"/>
      <c r="V193" s="150"/>
      <c r="W193" s="150"/>
      <c r="X193" s="150"/>
      <c r="Y193" s="150"/>
      <c r="Z193" s="150"/>
      <c r="AA193" s="150"/>
      <c r="AC193" s="3539"/>
      <c r="AD193" s="3539"/>
      <c r="AE193" s="3539"/>
      <c r="AF193" s="3539"/>
      <c r="AG193" s="3539"/>
      <c r="AH193" s="3539"/>
      <c r="AI193" s="3539"/>
      <c r="AJ193" s="3539"/>
      <c r="AK193" s="3539"/>
      <c r="AL193" s="3539"/>
      <c r="AM193" s="3539"/>
    </row>
    <row r="194" spans="2:39" s="2913" customFormat="1">
      <c r="B194" s="1278"/>
      <c r="C194" s="1282"/>
      <c r="D194" s="1283"/>
      <c r="E194" s="1282"/>
      <c r="F194" s="1284"/>
      <c r="G194" s="150"/>
      <c r="H194" s="150"/>
      <c r="I194" s="150"/>
      <c r="J194" s="150"/>
      <c r="K194" s="150"/>
      <c r="L194" s="150"/>
      <c r="M194" s="1286"/>
      <c r="N194" s="1284"/>
      <c r="O194" s="150"/>
      <c r="P194" s="150"/>
      <c r="Q194" s="1287"/>
      <c r="R194" s="1287"/>
      <c r="S194" s="149"/>
      <c r="T194" s="149"/>
      <c r="U194" s="150"/>
      <c r="V194" s="150"/>
      <c r="W194" s="150"/>
      <c r="X194" s="150"/>
      <c r="Y194" s="150"/>
      <c r="Z194" s="150"/>
      <c r="AA194" s="150"/>
      <c r="AC194" s="3539"/>
      <c r="AD194" s="3539"/>
      <c r="AE194" s="3539"/>
      <c r="AF194" s="3539"/>
      <c r="AG194" s="3539"/>
      <c r="AH194" s="3539"/>
      <c r="AI194" s="3539"/>
      <c r="AJ194" s="3539"/>
      <c r="AK194" s="3539"/>
      <c r="AL194" s="3539"/>
      <c r="AM194" s="3539"/>
    </row>
    <row r="195" spans="2:39" s="2913" customFormat="1">
      <c r="B195" s="1278"/>
      <c r="C195" s="1282"/>
      <c r="D195" s="1283"/>
      <c r="E195" s="1282"/>
      <c r="F195" s="1284"/>
      <c r="G195" s="150"/>
      <c r="H195" s="150"/>
      <c r="I195" s="150"/>
      <c r="J195" s="150"/>
      <c r="K195" s="150"/>
      <c r="L195" s="150"/>
      <c r="M195" s="1286"/>
      <c r="N195" s="1284"/>
      <c r="O195" s="150"/>
      <c r="P195" s="150"/>
      <c r="Q195" s="1287"/>
      <c r="R195" s="1287"/>
      <c r="S195" s="149"/>
      <c r="T195" s="149"/>
      <c r="U195" s="150"/>
      <c r="V195" s="150"/>
      <c r="W195" s="150"/>
      <c r="X195" s="150"/>
      <c r="Y195" s="150"/>
      <c r="Z195" s="150"/>
      <c r="AA195" s="150"/>
      <c r="AC195" s="3539"/>
      <c r="AD195" s="3539"/>
      <c r="AE195" s="3539"/>
      <c r="AF195" s="3539"/>
      <c r="AG195" s="3539"/>
      <c r="AH195" s="3539"/>
      <c r="AI195" s="3539"/>
      <c r="AJ195" s="3539"/>
      <c r="AK195" s="3539"/>
      <c r="AL195" s="3539"/>
      <c r="AM195" s="3539"/>
    </row>
    <row r="196" spans="2:39" s="2913" customFormat="1">
      <c r="B196" s="1278"/>
      <c r="C196" s="1282"/>
      <c r="D196" s="1283"/>
      <c r="E196" s="1282"/>
      <c r="F196" s="1284"/>
      <c r="G196" s="150"/>
      <c r="H196" s="150"/>
      <c r="I196" s="150"/>
      <c r="J196" s="150"/>
      <c r="K196" s="150"/>
      <c r="L196" s="150"/>
      <c r="M196" s="1286"/>
      <c r="N196" s="1284"/>
      <c r="O196" s="150"/>
      <c r="P196" s="150"/>
      <c r="Q196" s="1287"/>
      <c r="R196" s="1287"/>
      <c r="S196" s="149"/>
      <c r="T196" s="149"/>
      <c r="U196" s="150"/>
      <c r="V196" s="150"/>
      <c r="W196" s="150"/>
      <c r="X196" s="150"/>
      <c r="Y196" s="150"/>
      <c r="Z196" s="150"/>
      <c r="AA196" s="150"/>
      <c r="AC196" s="3539"/>
      <c r="AD196" s="3539"/>
      <c r="AE196" s="3539"/>
      <c r="AF196" s="3539"/>
      <c r="AG196" s="3539"/>
      <c r="AH196" s="3539"/>
      <c r="AI196" s="3539"/>
      <c r="AJ196" s="3539"/>
      <c r="AK196" s="3539"/>
      <c r="AL196" s="3539"/>
      <c r="AM196" s="3539"/>
    </row>
    <row r="197" spans="2:39" s="2913" customFormat="1">
      <c r="B197" s="1278"/>
      <c r="C197" s="1282"/>
      <c r="D197" s="1283"/>
      <c r="E197" s="1282"/>
      <c r="F197" s="1284"/>
      <c r="G197" s="150"/>
      <c r="H197" s="150"/>
      <c r="I197" s="150"/>
      <c r="J197" s="150"/>
      <c r="K197" s="150"/>
      <c r="L197" s="150"/>
      <c r="M197" s="1286"/>
      <c r="N197" s="1284"/>
      <c r="O197" s="150"/>
      <c r="P197" s="150"/>
      <c r="Q197" s="1287"/>
      <c r="R197" s="1287"/>
      <c r="S197" s="149"/>
      <c r="T197" s="149"/>
      <c r="U197" s="150"/>
      <c r="V197" s="150"/>
      <c r="W197" s="150"/>
      <c r="X197" s="150"/>
      <c r="Y197" s="150"/>
      <c r="Z197" s="150"/>
      <c r="AA197" s="150"/>
      <c r="AC197" s="3539"/>
      <c r="AD197" s="3539"/>
      <c r="AE197" s="3539"/>
      <c r="AF197" s="3539"/>
      <c r="AG197" s="3539"/>
      <c r="AH197" s="3539"/>
      <c r="AI197" s="3539"/>
      <c r="AJ197" s="3539"/>
      <c r="AK197" s="3539"/>
      <c r="AL197" s="3539"/>
      <c r="AM197" s="3539"/>
    </row>
    <row r="198" spans="2:39" s="2913" customFormat="1">
      <c r="B198" s="1278"/>
      <c r="C198" s="1282"/>
      <c r="D198" s="1283"/>
      <c r="E198" s="1282"/>
      <c r="F198" s="1284"/>
      <c r="G198" s="150"/>
      <c r="H198" s="150"/>
      <c r="I198" s="150"/>
      <c r="J198" s="150"/>
      <c r="K198" s="150"/>
      <c r="L198" s="150"/>
      <c r="M198" s="1286"/>
      <c r="N198" s="1284"/>
      <c r="O198" s="150"/>
      <c r="P198" s="150"/>
      <c r="Q198" s="1287"/>
      <c r="R198" s="1287"/>
      <c r="S198" s="149"/>
      <c r="T198" s="149"/>
      <c r="U198" s="150"/>
      <c r="V198" s="150"/>
      <c r="W198" s="150"/>
      <c r="X198" s="150"/>
      <c r="Y198" s="150"/>
      <c r="Z198" s="150"/>
      <c r="AA198" s="150"/>
      <c r="AC198" s="3539"/>
      <c r="AD198" s="3539"/>
      <c r="AE198" s="3539"/>
      <c r="AF198" s="3539"/>
      <c r="AG198" s="3539"/>
      <c r="AH198" s="3539"/>
      <c r="AI198" s="3539"/>
      <c r="AJ198" s="3539"/>
      <c r="AK198" s="3539"/>
      <c r="AL198" s="3539"/>
      <c r="AM198" s="3539"/>
    </row>
    <row r="199" spans="2:39" s="2913" customFormat="1">
      <c r="B199" s="1278"/>
      <c r="C199" s="1282"/>
      <c r="D199" s="1283"/>
      <c r="E199" s="1282"/>
      <c r="F199" s="1284"/>
      <c r="G199" s="150"/>
      <c r="H199" s="150"/>
      <c r="I199" s="150"/>
      <c r="J199" s="150"/>
      <c r="K199" s="150"/>
      <c r="L199" s="150"/>
      <c r="M199" s="1286"/>
      <c r="N199" s="1284"/>
      <c r="O199" s="150"/>
      <c r="P199" s="150"/>
      <c r="Q199" s="1287"/>
      <c r="R199" s="1287"/>
      <c r="S199" s="149"/>
      <c r="T199" s="149"/>
      <c r="U199" s="150"/>
      <c r="V199" s="150"/>
      <c r="W199" s="150"/>
      <c r="X199" s="150"/>
      <c r="Y199" s="150"/>
      <c r="Z199" s="150"/>
      <c r="AA199" s="150"/>
      <c r="AC199" s="3539"/>
      <c r="AD199" s="3539"/>
      <c r="AE199" s="3539"/>
      <c r="AF199" s="3539"/>
      <c r="AG199" s="3539"/>
      <c r="AH199" s="3539"/>
      <c r="AI199" s="3539"/>
      <c r="AJ199" s="3539"/>
      <c r="AK199" s="3539"/>
      <c r="AL199" s="3539"/>
      <c r="AM199" s="3539"/>
    </row>
    <row r="200" spans="2:39" s="2913" customFormat="1">
      <c r="B200" s="1278"/>
      <c r="C200" s="1282"/>
      <c r="D200" s="1283"/>
      <c r="E200" s="1282"/>
      <c r="F200" s="1284"/>
      <c r="G200" s="150"/>
      <c r="H200" s="150"/>
      <c r="I200" s="150"/>
      <c r="J200" s="150"/>
      <c r="K200" s="150"/>
      <c r="L200" s="150"/>
      <c r="M200" s="1286"/>
      <c r="N200" s="1284"/>
      <c r="O200" s="150"/>
      <c r="P200" s="150"/>
      <c r="Q200" s="1287"/>
      <c r="R200" s="1287"/>
      <c r="S200" s="149"/>
      <c r="T200" s="149"/>
      <c r="U200" s="150"/>
      <c r="V200" s="150"/>
      <c r="W200" s="150"/>
      <c r="X200" s="150"/>
      <c r="Y200" s="150"/>
      <c r="Z200" s="150"/>
      <c r="AA200" s="150"/>
      <c r="AC200" s="3539"/>
      <c r="AD200" s="3539"/>
      <c r="AE200" s="3539"/>
      <c r="AF200" s="3539"/>
      <c r="AG200" s="3539"/>
      <c r="AH200" s="3539"/>
      <c r="AI200" s="3539"/>
      <c r="AJ200" s="3539"/>
      <c r="AK200" s="3539"/>
      <c r="AL200" s="3539"/>
      <c r="AM200" s="3539"/>
    </row>
    <row r="201" spans="2:39" s="2913" customFormat="1">
      <c r="B201" s="1278"/>
      <c r="C201" s="1282"/>
      <c r="D201" s="1283"/>
      <c r="E201" s="1282"/>
      <c r="F201" s="1284"/>
      <c r="G201" s="150"/>
      <c r="H201" s="150"/>
      <c r="I201" s="150"/>
      <c r="J201" s="150"/>
      <c r="K201" s="150"/>
      <c r="L201" s="150"/>
      <c r="M201" s="1286"/>
      <c r="N201" s="1284"/>
      <c r="O201" s="150"/>
      <c r="P201" s="150"/>
      <c r="Q201" s="1287"/>
      <c r="R201" s="1287"/>
      <c r="S201" s="149"/>
      <c r="T201" s="149"/>
      <c r="U201" s="150"/>
      <c r="V201" s="150"/>
      <c r="W201" s="150"/>
      <c r="X201" s="150"/>
      <c r="Y201" s="150"/>
      <c r="Z201" s="150"/>
      <c r="AA201" s="150"/>
      <c r="AC201" s="3539"/>
      <c r="AD201" s="3539"/>
      <c r="AE201" s="3539"/>
      <c r="AF201" s="3539"/>
      <c r="AG201" s="3539"/>
      <c r="AH201" s="3539"/>
      <c r="AI201" s="3539"/>
      <c r="AJ201" s="3539"/>
      <c r="AK201" s="3539"/>
      <c r="AL201" s="3539"/>
      <c r="AM201" s="3539"/>
    </row>
    <row r="202" spans="2:39" s="2913" customFormat="1">
      <c r="B202" s="1278"/>
      <c r="C202" s="1282"/>
      <c r="D202" s="1283"/>
      <c r="E202" s="1282"/>
      <c r="F202" s="1284"/>
      <c r="G202" s="150"/>
      <c r="H202" s="150"/>
      <c r="I202" s="150"/>
      <c r="J202" s="150"/>
      <c r="K202" s="150"/>
      <c r="L202" s="150"/>
      <c r="M202" s="1286"/>
      <c r="N202" s="1284"/>
      <c r="O202" s="150"/>
      <c r="P202" s="150"/>
      <c r="Q202" s="1287"/>
      <c r="R202" s="1287"/>
      <c r="S202" s="149"/>
      <c r="T202" s="149"/>
      <c r="U202" s="150"/>
      <c r="V202" s="150"/>
      <c r="W202" s="150"/>
      <c r="X202" s="150"/>
      <c r="Y202" s="150"/>
      <c r="Z202" s="150"/>
      <c r="AA202" s="150"/>
      <c r="AC202" s="3539"/>
      <c r="AD202" s="3539"/>
      <c r="AE202" s="3539"/>
      <c r="AF202" s="3539"/>
      <c r="AG202" s="3539"/>
      <c r="AH202" s="3539"/>
      <c r="AI202" s="3539"/>
      <c r="AJ202" s="3539"/>
      <c r="AK202" s="3539"/>
      <c r="AL202" s="3539"/>
      <c r="AM202" s="3539"/>
    </row>
    <row r="203" spans="2:39" s="2913" customFormat="1">
      <c r="B203" s="1278"/>
      <c r="C203" s="1282"/>
      <c r="D203" s="1283"/>
      <c r="E203" s="1282"/>
      <c r="F203" s="1284"/>
      <c r="G203" s="150"/>
      <c r="H203" s="150"/>
      <c r="I203" s="150"/>
      <c r="J203" s="150"/>
      <c r="K203" s="150"/>
      <c r="L203" s="150"/>
      <c r="M203" s="1286"/>
      <c r="N203" s="1284"/>
      <c r="O203" s="150"/>
      <c r="P203" s="150"/>
      <c r="Q203" s="1287"/>
      <c r="R203" s="1287"/>
      <c r="S203" s="149"/>
      <c r="T203" s="149"/>
      <c r="U203" s="150"/>
      <c r="V203" s="150"/>
      <c r="W203" s="150"/>
      <c r="X203" s="150"/>
      <c r="Y203" s="150"/>
      <c r="Z203" s="150"/>
      <c r="AA203" s="150"/>
      <c r="AC203" s="3539"/>
      <c r="AD203" s="3539"/>
      <c r="AE203" s="3539"/>
      <c r="AF203" s="3539"/>
      <c r="AG203" s="3539"/>
      <c r="AH203" s="3539"/>
      <c r="AI203" s="3539"/>
      <c r="AJ203" s="3539"/>
      <c r="AK203" s="3539"/>
      <c r="AL203" s="3539"/>
      <c r="AM203" s="3539"/>
    </row>
    <row r="204" spans="2:39" s="2913" customFormat="1">
      <c r="B204" s="1278"/>
      <c r="C204" s="1282"/>
      <c r="D204" s="1283"/>
      <c r="E204" s="1282"/>
      <c r="F204" s="1284"/>
      <c r="G204" s="150"/>
      <c r="H204" s="150"/>
      <c r="I204" s="150"/>
      <c r="J204" s="150"/>
      <c r="K204" s="150"/>
      <c r="L204" s="150"/>
      <c r="M204" s="1286"/>
      <c r="N204" s="1284"/>
      <c r="O204" s="150"/>
      <c r="P204" s="150"/>
      <c r="Q204" s="1287"/>
      <c r="R204" s="1287"/>
      <c r="S204" s="149"/>
      <c r="T204" s="149"/>
      <c r="U204" s="150"/>
      <c r="V204" s="150"/>
      <c r="W204" s="150"/>
      <c r="X204" s="150"/>
      <c r="Y204" s="150"/>
      <c r="Z204" s="150"/>
      <c r="AA204" s="150"/>
      <c r="AC204" s="3539"/>
      <c r="AD204" s="3539"/>
      <c r="AE204" s="3539"/>
      <c r="AF204" s="3539"/>
      <c r="AG204" s="3539"/>
      <c r="AH204" s="3539"/>
      <c r="AI204" s="3539"/>
      <c r="AJ204" s="3539"/>
      <c r="AK204" s="3539"/>
      <c r="AL204" s="3539"/>
      <c r="AM204" s="3539"/>
    </row>
    <row r="205" spans="2:39" s="2913" customFormat="1">
      <c r="B205" s="1278"/>
      <c r="C205" s="1282"/>
      <c r="D205" s="1283"/>
      <c r="E205" s="1282"/>
      <c r="F205" s="1284"/>
      <c r="G205" s="150"/>
      <c r="H205" s="150"/>
      <c r="I205" s="150"/>
      <c r="J205" s="150"/>
      <c r="K205" s="150"/>
      <c r="L205" s="150"/>
      <c r="M205" s="1286"/>
      <c r="N205" s="1284"/>
      <c r="O205" s="150"/>
      <c r="P205" s="150"/>
      <c r="Q205" s="1287"/>
      <c r="R205" s="1287"/>
      <c r="S205" s="149"/>
      <c r="T205" s="149"/>
      <c r="U205" s="150"/>
      <c r="V205" s="150"/>
      <c r="W205" s="150"/>
      <c r="X205" s="150"/>
      <c r="Y205" s="150"/>
      <c r="Z205" s="150"/>
      <c r="AA205" s="150"/>
      <c r="AC205" s="3539"/>
      <c r="AD205" s="3539"/>
      <c r="AE205" s="3539"/>
      <c r="AF205" s="3539"/>
      <c r="AG205" s="3539"/>
      <c r="AH205" s="3539"/>
      <c r="AI205" s="3539"/>
      <c r="AJ205" s="3539"/>
      <c r="AK205" s="3539"/>
      <c r="AL205" s="3539"/>
      <c r="AM205" s="3539"/>
    </row>
    <row r="206" spans="2:39" s="2913" customFormat="1">
      <c r="B206" s="1278"/>
      <c r="C206" s="1282"/>
      <c r="D206" s="1283"/>
      <c r="E206" s="1282"/>
      <c r="F206" s="1284"/>
      <c r="G206" s="150"/>
      <c r="H206" s="150"/>
      <c r="I206" s="150"/>
      <c r="J206" s="150"/>
      <c r="K206" s="150"/>
      <c r="L206" s="150"/>
      <c r="M206" s="1286"/>
      <c r="N206" s="1284"/>
      <c r="O206" s="150"/>
      <c r="P206" s="150"/>
      <c r="Q206" s="1287"/>
      <c r="R206" s="1287"/>
      <c r="S206" s="149"/>
      <c r="T206" s="149"/>
      <c r="U206" s="150"/>
      <c r="V206" s="150"/>
      <c r="W206" s="150"/>
      <c r="X206" s="150"/>
      <c r="Y206" s="150"/>
      <c r="Z206" s="150"/>
      <c r="AA206" s="150"/>
      <c r="AC206" s="3539"/>
      <c r="AD206" s="3539"/>
      <c r="AE206" s="3539"/>
      <c r="AF206" s="3539"/>
      <c r="AG206" s="3539"/>
      <c r="AH206" s="3539"/>
      <c r="AI206" s="3539"/>
      <c r="AJ206" s="3539"/>
      <c r="AK206" s="3539"/>
      <c r="AL206" s="3539"/>
      <c r="AM206" s="3539"/>
    </row>
    <row r="207" spans="2:39" s="2913" customFormat="1">
      <c r="B207" s="1278"/>
      <c r="C207" s="1282"/>
      <c r="D207" s="1283"/>
      <c r="E207" s="1282"/>
      <c r="F207" s="1284"/>
      <c r="G207" s="150"/>
      <c r="H207" s="150"/>
      <c r="I207" s="150"/>
      <c r="J207" s="150"/>
      <c r="K207" s="150"/>
      <c r="L207" s="150"/>
      <c r="M207" s="1286"/>
      <c r="N207" s="1284"/>
      <c r="O207" s="150"/>
      <c r="P207" s="150"/>
      <c r="Q207" s="1287"/>
      <c r="R207" s="1287"/>
      <c r="S207" s="149"/>
      <c r="T207" s="149"/>
      <c r="U207" s="150"/>
      <c r="V207" s="150"/>
      <c r="W207" s="150"/>
      <c r="X207" s="150"/>
      <c r="Y207" s="150"/>
      <c r="Z207" s="150"/>
      <c r="AA207" s="150"/>
      <c r="AC207" s="3539"/>
      <c r="AD207" s="3539"/>
      <c r="AE207" s="3539"/>
      <c r="AF207" s="3539"/>
      <c r="AG207" s="3539"/>
      <c r="AH207" s="3539"/>
      <c r="AI207" s="3539"/>
      <c r="AJ207" s="3539"/>
      <c r="AK207" s="3539"/>
      <c r="AL207" s="3539"/>
      <c r="AM207" s="3539"/>
    </row>
    <row r="208" spans="2:39" s="2913" customFormat="1">
      <c r="B208" s="1278"/>
      <c r="C208" s="1282"/>
      <c r="D208" s="1283"/>
      <c r="E208" s="1282"/>
      <c r="F208" s="1284"/>
      <c r="G208" s="150"/>
      <c r="H208" s="150"/>
      <c r="I208" s="150"/>
      <c r="J208" s="150"/>
      <c r="K208" s="150"/>
      <c r="L208" s="150"/>
      <c r="M208" s="1286"/>
      <c r="N208" s="1284"/>
      <c r="O208" s="150"/>
      <c r="P208" s="150"/>
      <c r="Q208" s="1287"/>
      <c r="R208" s="1287"/>
      <c r="S208" s="149"/>
      <c r="T208" s="149"/>
      <c r="U208" s="150"/>
      <c r="V208" s="150"/>
      <c r="W208" s="150"/>
      <c r="X208" s="150"/>
      <c r="Y208" s="150"/>
      <c r="Z208" s="150"/>
      <c r="AA208" s="150"/>
      <c r="AC208" s="3539"/>
      <c r="AD208" s="3539"/>
      <c r="AE208" s="3539"/>
      <c r="AF208" s="3539"/>
      <c r="AG208" s="3539"/>
      <c r="AH208" s="3539"/>
      <c r="AI208" s="3539"/>
      <c r="AJ208" s="3539"/>
      <c r="AK208" s="3539"/>
      <c r="AL208" s="3539"/>
      <c r="AM208" s="3539"/>
    </row>
    <row r="209" spans="2:39" s="2913" customFormat="1">
      <c r="B209" s="1278"/>
      <c r="C209" s="1282"/>
      <c r="D209" s="1283"/>
      <c r="E209" s="1282"/>
      <c r="F209" s="1284"/>
      <c r="G209" s="150"/>
      <c r="H209" s="150"/>
      <c r="I209" s="150"/>
      <c r="J209" s="150"/>
      <c r="K209" s="150"/>
      <c r="L209" s="150"/>
      <c r="M209" s="1286"/>
      <c r="N209" s="1284"/>
      <c r="O209" s="150"/>
      <c r="P209" s="150"/>
      <c r="Q209" s="1287"/>
      <c r="R209" s="1287"/>
      <c r="S209" s="149"/>
      <c r="T209" s="149"/>
      <c r="U209" s="150"/>
      <c r="V209" s="150"/>
      <c r="W209" s="150"/>
      <c r="X209" s="150"/>
      <c r="Y209" s="150"/>
      <c r="Z209" s="150"/>
      <c r="AA209" s="150"/>
      <c r="AC209" s="3539"/>
      <c r="AD209" s="3539"/>
      <c r="AE209" s="3539"/>
      <c r="AF209" s="3539"/>
      <c r="AG209" s="3539"/>
      <c r="AH209" s="3539"/>
      <c r="AI209" s="3539"/>
      <c r="AJ209" s="3539"/>
      <c r="AK209" s="3539"/>
      <c r="AL209" s="3539"/>
      <c r="AM209" s="3539"/>
    </row>
    <row r="210" spans="2:39" s="2913" customFormat="1">
      <c r="B210" s="1278"/>
      <c r="C210" s="1282"/>
      <c r="D210" s="1283"/>
      <c r="E210" s="1282"/>
      <c r="F210" s="1284"/>
      <c r="G210" s="150"/>
      <c r="H210" s="150"/>
      <c r="I210" s="150"/>
      <c r="J210" s="150"/>
      <c r="K210" s="150"/>
      <c r="L210" s="150"/>
      <c r="M210" s="1286"/>
      <c r="N210" s="1284"/>
      <c r="O210" s="150"/>
      <c r="P210" s="150"/>
      <c r="Q210" s="1287"/>
      <c r="R210" s="1287"/>
      <c r="S210" s="149"/>
      <c r="T210" s="149"/>
      <c r="U210" s="150"/>
      <c r="V210" s="150"/>
      <c r="W210" s="150"/>
      <c r="X210" s="150"/>
      <c r="Y210" s="150"/>
      <c r="Z210" s="150"/>
      <c r="AA210" s="150"/>
      <c r="AC210" s="3539"/>
      <c r="AD210" s="3539"/>
      <c r="AE210" s="3539"/>
      <c r="AF210" s="3539"/>
      <c r="AG210" s="3539"/>
      <c r="AH210" s="3539"/>
      <c r="AI210" s="3539"/>
      <c r="AJ210" s="3539"/>
      <c r="AK210" s="3539"/>
      <c r="AL210" s="3539"/>
      <c r="AM210" s="3539"/>
    </row>
    <row r="211" spans="2:39" s="2913" customFormat="1">
      <c r="B211" s="1278"/>
      <c r="C211" s="1282"/>
      <c r="D211" s="1283"/>
      <c r="E211" s="1282"/>
      <c r="F211" s="1284"/>
      <c r="G211" s="150"/>
      <c r="H211" s="150"/>
      <c r="I211" s="150"/>
      <c r="J211" s="150"/>
      <c r="K211" s="150"/>
      <c r="L211" s="150"/>
      <c r="M211" s="1286"/>
      <c r="N211" s="1284"/>
      <c r="O211" s="150"/>
      <c r="P211" s="150"/>
      <c r="Q211" s="1287"/>
      <c r="R211" s="1287"/>
      <c r="S211" s="149"/>
      <c r="T211" s="149"/>
      <c r="U211" s="150"/>
      <c r="V211" s="150"/>
      <c r="W211" s="150"/>
      <c r="X211" s="150"/>
      <c r="Y211" s="150"/>
      <c r="Z211" s="150"/>
      <c r="AA211" s="150"/>
      <c r="AC211" s="3539"/>
      <c r="AD211" s="3539"/>
      <c r="AE211" s="3539"/>
      <c r="AF211" s="3539"/>
      <c r="AG211" s="3539"/>
      <c r="AH211" s="3539"/>
      <c r="AI211" s="3539"/>
      <c r="AJ211" s="3539"/>
      <c r="AK211" s="3539"/>
      <c r="AL211" s="3539"/>
      <c r="AM211" s="3539"/>
    </row>
    <row r="212" spans="2:39" s="2913" customFormat="1">
      <c r="B212" s="1278"/>
      <c r="C212" s="1282"/>
      <c r="D212" s="1283"/>
      <c r="E212" s="1282"/>
      <c r="F212" s="1284"/>
      <c r="G212" s="150"/>
      <c r="H212" s="150"/>
      <c r="I212" s="150"/>
      <c r="J212" s="150"/>
      <c r="K212" s="150"/>
      <c r="L212" s="150"/>
      <c r="M212" s="1286"/>
      <c r="N212" s="1284"/>
      <c r="O212" s="150"/>
      <c r="P212" s="150"/>
      <c r="Q212" s="1287"/>
      <c r="R212" s="1287"/>
      <c r="S212" s="149"/>
      <c r="T212" s="149"/>
      <c r="U212" s="150"/>
      <c r="V212" s="150"/>
      <c r="W212" s="150"/>
      <c r="X212" s="150"/>
      <c r="Y212" s="150"/>
      <c r="Z212" s="150"/>
      <c r="AA212" s="150"/>
      <c r="AC212" s="3539"/>
      <c r="AD212" s="3539"/>
      <c r="AE212" s="3539"/>
      <c r="AF212" s="3539"/>
      <c r="AG212" s="3539"/>
      <c r="AH212" s="3539"/>
      <c r="AI212" s="3539"/>
      <c r="AJ212" s="3539"/>
      <c r="AK212" s="3539"/>
      <c r="AL212" s="3539"/>
      <c r="AM212" s="3539"/>
    </row>
    <row r="213" spans="2:39" s="2913" customFormat="1">
      <c r="B213" s="1278"/>
      <c r="C213" s="1282"/>
      <c r="D213" s="1283"/>
      <c r="E213" s="1282"/>
      <c r="F213" s="1284"/>
      <c r="G213" s="150"/>
      <c r="H213" s="150"/>
      <c r="I213" s="150"/>
      <c r="J213" s="150"/>
      <c r="K213" s="150"/>
      <c r="L213" s="150"/>
      <c r="M213" s="1286"/>
      <c r="N213" s="1284"/>
      <c r="O213" s="150"/>
      <c r="P213" s="150"/>
      <c r="Q213" s="1287"/>
      <c r="R213" s="1287"/>
      <c r="S213" s="149"/>
      <c r="T213" s="149"/>
      <c r="U213" s="150"/>
      <c r="V213" s="150"/>
      <c r="W213" s="150"/>
      <c r="X213" s="150"/>
      <c r="Y213" s="150"/>
      <c r="Z213" s="150"/>
      <c r="AA213" s="150"/>
      <c r="AC213" s="3539"/>
      <c r="AD213" s="3539"/>
      <c r="AE213" s="3539"/>
      <c r="AF213" s="3539"/>
      <c r="AG213" s="3539"/>
      <c r="AH213" s="3539"/>
      <c r="AI213" s="3539"/>
      <c r="AJ213" s="3539"/>
      <c r="AK213" s="3539"/>
      <c r="AL213" s="3539"/>
      <c r="AM213" s="3539"/>
    </row>
    <row r="214" spans="2:39" s="2913" customFormat="1">
      <c r="B214" s="1278"/>
      <c r="C214" s="1282"/>
      <c r="D214" s="1283"/>
      <c r="E214" s="1282"/>
      <c r="F214" s="1284"/>
      <c r="G214" s="150"/>
      <c r="H214" s="150"/>
      <c r="I214" s="150"/>
      <c r="J214" s="150"/>
      <c r="K214" s="150"/>
      <c r="L214" s="150"/>
      <c r="M214" s="1286"/>
      <c r="N214" s="1284"/>
      <c r="O214" s="150"/>
      <c r="P214" s="150"/>
      <c r="Q214" s="1287"/>
      <c r="R214" s="1287"/>
      <c r="S214" s="149"/>
      <c r="T214" s="149"/>
      <c r="U214" s="150"/>
      <c r="V214" s="150"/>
      <c r="W214" s="150"/>
      <c r="X214" s="150"/>
      <c r="Y214" s="150"/>
      <c r="Z214" s="150"/>
      <c r="AA214" s="150"/>
      <c r="AC214" s="3539"/>
      <c r="AD214" s="3539"/>
      <c r="AE214" s="3539"/>
      <c r="AF214" s="3539"/>
      <c r="AG214" s="3539"/>
      <c r="AH214" s="3539"/>
      <c r="AI214" s="3539"/>
      <c r="AJ214" s="3539"/>
      <c r="AK214" s="3539"/>
      <c r="AL214" s="3539"/>
      <c r="AM214" s="3539"/>
    </row>
    <row r="215" spans="2:39" s="2913" customFormat="1">
      <c r="B215" s="1278"/>
      <c r="C215" s="1282"/>
      <c r="D215" s="1283"/>
      <c r="E215" s="1282"/>
      <c r="F215" s="1284"/>
      <c r="G215" s="150"/>
      <c r="H215" s="150"/>
      <c r="I215" s="150"/>
      <c r="J215" s="150"/>
      <c r="K215" s="150"/>
      <c r="L215" s="150"/>
      <c r="M215" s="1286"/>
      <c r="N215" s="1284"/>
      <c r="O215" s="150"/>
      <c r="P215" s="150"/>
      <c r="Q215" s="1287"/>
      <c r="R215" s="1287"/>
      <c r="S215" s="149"/>
      <c r="T215" s="149"/>
      <c r="U215" s="150"/>
      <c r="V215" s="150"/>
      <c r="W215" s="150"/>
      <c r="X215" s="150"/>
      <c r="Y215" s="150"/>
      <c r="Z215" s="150"/>
      <c r="AA215" s="150"/>
      <c r="AC215" s="3539"/>
      <c r="AD215" s="3539"/>
      <c r="AE215" s="3539"/>
      <c r="AF215" s="3539"/>
      <c r="AG215" s="3539"/>
      <c r="AH215" s="3539"/>
      <c r="AI215" s="3539"/>
      <c r="AJ215" s="3539"/>
      <c r="AK215" s="3539"/>
      <c r="AL215" s="3539"/>
      <c r="AM215" s="3539"/>
    </row>
    <row r="216" spans="2:39" s="2913" customFormat="1">
      <c r="B216" s="1278"/>
      <c r="C216" s="1282"/>
      <c r="D216" s="1283"/>
      <c r="E216" s="1282"/>
      <c r="F216" s="1284"/>
      <c r="G216" s="150"/>
      <c r="H216" s="150"/>
      <c r="I216" s="150"/>
      <c r="J216" s="150"/>
      <c r="K216" s="150"/>
      <c r="L216" s="150"/>
      <c r="M216" s="1286"/>
      <c r="N216" s="1284"/>
      <c r="O216" s="150"/>
      <c r="P216" s="150"/>
      <c r="Q216" s="1287"/>
      <c r="R216" s="1287"/>
      <c r="S216" s="149"/>
      <c r="T216" s="149"/>
      <c r="U216" s="150"/>
      <c r="V216" s="150"/>
      <c r="W216" s="150"/>
      <c r="X216" s="150"/>
      <c r="Y216" s="150"/>
      <c r="Z216" s="150"/>
      <c r="AA216" s="150"/>
      <c r="AC216" s="3539"/>
      <c r="AD216" s="3539"/>
      <c r="AE216" s="3539"/>
      <c r="AF216" s="3539"/>
      <c r="AG216" s="3539"/>
      <c r="AH216" s="3539"/>
      <c r="AI216" s="3539"/>
      <c r="AJ216" s="3539"/>
      <c r="AK216" s="3539"/>
      <c r="AL216" s="3539"/>
      <c r="AM216" s="3539"/>
    </row>
    <row r="217" spans="2:39" s="2913" customFormat="1">
      <c r="B217" s="1278"/>
      <c r="C217" s="1282"/>
      <c r="D217" s="1283"/>
      <c r="E217" s="1282"/>
      <c r="F217" s="1284"/>
      <c r="G217" s="150"/>
      <c r="H217" s="150"/>
      <c r="I217" s="150"/>
      <c r="J217" s="150"/>
      <c r="K217" s="150"/>
      <c r="L217" s="150"/>
      <c r="M217" s="1286"/>
      <c r="N217" s="1284"/>
      <c r="O217" s="150"/>
      <c r="P217" s="150"/>
      <c r="Q217" s="1287"/>
      <c r="R217" s="1287"/>
      <c r="S217" s="149"/>
      <c r="T217" s="149"/>
      <c r="U217" s="150"/>
      <c r="V217" s="150"/>
      <c r="W217" s="150"/>
      <c r="X217" s="150"/>
      <c r="Y217" s="150"/>
      <c r="Z217" s="150"/>
      <c r="AA217" s="150"/>
      <c r="AC217" s="3539"/>
      <c r="AD217" s="3539"/>
      <c r="AE217" s="3539"/>
      <c r="AF217" s="3539"/>
      <c r="AG217" s="3539"/>
      <c r="AH217" s="3539"/>
      <c r="AI217" s="3539"/>
      <c r="AJ217" s="3539"/>
      <c r="AK217" s="3539"/>
      <c r="AL217" s="3539"/>
      <c r="AM217" s="3539"/>
    </row>
    <row r="218" spans="2:39" s="2913" customFormat="1">
      <c r="B218" s="1278"/>
      <c r="C218" s="1282"/>
      <c r="D218" s="1283"/>
      <c r="E218" s="1282"/>
      <c r="F218" s="1284"/>
      <c r="G218" s="150"/>
      <c r="H218" s="150"/>
      <c r="I218" s="150"/>
      <c r="J218" s="150"/>
      <c r="K218" s="150"/>
      <c r="L218" s="150"/>
      <c r="M218" s="1286"/>
      <c r="N218" s="1284"/>
      <c r="O218" s="150"/>
      <c r="P218" s="150"/>
      <c r="Q218" s="1287"/>
      <c r="R218" s="1287"/>
      <c r="S218" s="149"/>
      <c r="T218" s="149"/>
      <c r="U218" s="150"/>
      <c r="V218" s="150"/>
      <c r="W218" s="150"/>
      <c r="X218" s="150"/>
      <c r="Y218" s="150"/>
      <c r="Z218" s="150"/>
      <c r="AA218" s="150"/>
      <c r="AC218" s="3539"/>
      <c r="AD218" s="3539"/>
      <c r="AE218" s="3539"/>
      <c r="AF218" s="3539"/>
      <c r="AG218" s="3539"/>
      <c r="AH218" s="3539"/>
      <c r="AI218" s="3539"/>
      <c r="AJ218" s="3539"/>
      <c r="AK218" s="3539"/>
      <c r="AL218" s="3539"/>
      <c r="AM218" s="3539"/>
    </row>
    <row r="219" spans="2:39" s="2913" customFormat="1">
      <c r="B219" s="1278"/>
      <c r="C219" s="1282"/>
      <c r="D219" s="1283"/>
      <c r="E219" s="1282"/>
      <c r="F219" s="1284"/>
      <c r="G219" s="150"/>
      <c r="H219" s="150"/>
      <c r="I219" s="150"/>
      <c r="J219" s="150"/>
      <c r="K219" s="150"/>
      <c r="L219" s="150"/>
      <c r="M219" s="1286"/>
      <c r="N219" s="1284"/>
      <c r="O219" s="150"/>
      <c r="P219" s="150"/>
      <c r="Q219" s="1287"/>
      <c r="R219" s="1287"/>
      <c r="S219" s="149"/>
      <c r="T219" s="149"/>
      <c r="U219" s="150"/>
      <c r="V219" s="150"/>
      <c r="W219" s="150"/>
      <c r="X219" s="150"/>
      <c r="Y219" s="150"/>
      <c r="Z219" s="150"/>
      <c r="AA219" s="150"/>
      <c r="AC219" s="3539"/>
      <c r="AD219" s="3539"/>
      <c r="AE219" s="3539"/>
      <c r="AF219" s="3539"/>
      <c r="AG219" s="3539"/>
      <c r="AH219" s="3539"/>
      <c r="AI219" s="3539"/>
      <c r="AJ219" s="3539"/>
      <c r="AK219" s="3539"/>
      <c r="AL219" s="3539"/>
      <c r="AM219" s="3539"/>
    </row>
    <row r="220" spans="2:39" s="2913" customFormat="1">
      <c r="B220" s="1278"/>
      <c r="C220" s="1282"/>
      <c r="D220" s="1283"/>
      <c r="E220" s="1282"/>
      <c r="F220" s="1284"/>
      <c r="G220" s="150"/>
      <c r="H220" s="150"/>
      <c r="I220" s="150"/>
      <c r="J220" s="150"/>
      <c r="K220" s="150"/>
      <c r="L220" s="150"/>
      <c r="M220" s="1286"/>
      <c r="N220" s="1284"/>
      <c r="O220" s="150"/>
      <c r="P220" s="150"/>
      <c r="Q220" s="1287"/>
      <c r="R220" s="1287"/>
      <c r="S220" s="149"/>
      <c r="T220" s="149"/>
      <c r="U220" s="150"/>
      <c r="V220" s="150"/>
      <c r="W220" s="150"/>
      <c r="X220" s="150"/>
      <c r="Y220" s="150"/>
      <c r="Z220" s="150"/>
      <c r="AA220" s="150"/>
      <c r="AC220" s="3539"/>
      <c r="AD220" s="3539"/>
      <c r="AE220" s="3539"/>
      <c r="AF220" s="3539"/>
      <c r="AG220" s="3539"/>
      <c r="AH220" s="3539"/>
      <c r="AI220" s="3539"/>
      <c r="AJ220" s="3539"/>
      <c r="AK220" s="3539"/>
      <c r="AL220" s="3539"/>
      <c r="AM220" s="3539"/>
    </row>
    <row r="221" spans="2:39" s="2913" customFormat="1">
      <c r="B221" s="1278"/>
      <c r="C221" s="1282"/>
      <c r="D221" s="1283"/>
      <c r="E221" s="1282"/>
      <c r="F221" s="1284"/>
      <c r="G221" s="150"/>
      <c r="H221" s="150"/>
      <c r="I221" s="150"/>
      <c r="J221" s="150"/>
      <c r="K221" s="150"/>
      <c r="L221" s="150"/>
      <c r="M221" s="1286"/>
      <c r="N221" s="1284"/>
      <c r="O221" s="150"/>
      <c r="P221" s="150"/>
      <c r="Q221" s="1287"/>
      <c r="R221" s="1287"/>
      <c r="S221" s="149"/>
      <c r="T221" s="149"/>
      <c r="U221" s="150"/>
      <c r="V221" s="150"/>
      <c r="W221" s="150"/>
      <c r="X221" s="150"/>
      <c r="Y221" s="150"/>
      <c r="Z221" s="150"/>
      <c r="AA221" s="150"/>
      <c r="AC221" s="3539"/>
      <c r="AD221" s="3539"/>
      <c r="AE221" s="3539"/>
      <c r="AF221" s="3539"/>
      <c r="AG221" s="3539"/>
      <c r="AH221" s="3539"/>
      <c r="AI221" s="3539"/>
      <c r="AJ221" s="3539"/>
      <c r="AK221" s="3539"/>
      <c r="AL221" s="3539"/>
      <c r="AM221" s="3539"/>
    </row>
    <row r="222" spans="2:39" s="2913" customFormat="1">
      <c r="B222" s="1278"/>
      <c r="C222" s="1282"/>
      <c r="D222" s="1283"/>
      <c r="E222" s="1282"/>
      <c r="F222" s="1284"/>
      <c r="G222" s="150"/>
      <c r="H222" s="150"/>
      <c r="I222" s="150"/>
      <c r="J222" s="150"/>
      <c r="K222" s="150"/>
      <c r="L222" s="150"/>
      <c r="M222" s="1286"/>
      <c r="N222" s="1284"/>
      <c r="O222" s="150"/>
      <c r="P222" s="150"/>
      <c r="Q222" s="1287"/>
      <c r="R222" s="1287"/>
      <c r="S222" s="149"/>
      <c r="T222" s="149"/>
      <c r="U222" s="150"/>
      <c r="V222" s="150"/>
      <c r="W222" s="150"/>
      <c r="X222" s="150"/>
      <c r="Y222" s="150"/>
      <c r="Z222" s="150"/>
      <c r="AA222" s="150"/>
      <c r="AC222" s="3539"/>
      <c r="AD222" s="3539"/>
      <c r="AE222" s="3539"/>
      <c r="AF222" s="3539"/>
      <c r="AG222" s="3539"/>
      <c r="AH222" s="3539"/>
      <c r="AI222" s="3539"/>
      <c r="AJ222" s="3539"/>
      <c r="AK222" s="3539"/>
      <c r="AL222" s="3539"/>
      <c r="AM222" s="3539"/>
    </row>
    <row r="223" spans="2:39" s="2913" customFormat="1">
      <c r="B223" s="1278"/>
      <c r="C223" s="1282"/>
      <c r="D223" s="1283"/>
      <c r="E223" s="1282"/>
      <c r="F223" s="1284"/>
      <c r="G223" s="150"/>
      <c r="H223" s="150"/>
      <c r="I223" s="150"/>
      <c r="J223" s="150"/>
      <c r="K223" s="150"/>
      <c r="L223" s="150"/>
      <c r="M223" s="1286"/>
      <c r="N223" s="1284"/>
      <c r="O223" s="150"/>
      <c r="P223" s="150"/>
      <c r="Q223" s="1287"/>
      <c r="R223" s="1287"/>
      <c r="S223" s="149"/>
      <c r="T223" s="149"/>
      <c r="U223" s="150"/>
      <c r="V223" s="150"/>
      <c r="W223" s="150"/>
      <c r="X223" s="150"/>
      <c r="Y223" s="150"/>
      <c r="Z223" s="150"/>
      <c r="AA223" s="150"/>
      <c r="AC223" s="3539"/>
      <c r="AD223" s="3539"/>
      <c r="AE223" s="3539"/>
      <c r="AF223" s="3539"/>
      <c r="AG223" s="3539"/>
      <c r="AH223" s="3539"/>
      <c r="AI223" s="3539"/>
      <c r="AJ223" s="3539"/>
      <c r="AK223" s="3539"/>
      <c r="AL223" s="3539"/>
      <c r="AM223" s="3539"/>
    </row>
    <row r="224" spans="2:39" s="2913" customFormat="1">
      <c r="B224" s="1278"/>
      <c r="C224" s="1282"/>
      <c r="D224" s="1283"/>
      <c r="E224" s="1282"/>
      <c r="F224" s="1284"/>
      <c r="G224" s="150"/>
      <c r="H224" s="150"/>
      <c r="I224" s="150"/>
      <c r="J224" s="150"/>
      <c r="K224" s="150"/>
      <c r="L224" s="150"/>
      <c r="M224" s="1286"/>
      <c r="N224" s="1284"/>
      <c r="O224" s="150"/>
      <c r="P224" s="150"/>
      <c r="Q224" s="1287"/>
      <c r="R224" s="1287"/>
      <c r="S224" s="149"/>
      <c r="T224" s="149"/>
      <c r="U224" s="150"/>
      <c r="V224" s="150"/>
      <c r="W224" s="150"/>
      <c r="X224" s="150"/>
      <c r="Y224" s="150"/>
      <c r="Z224" s="150"/>
      <c r="AA224" s="150"/>
      <c r="AC224" s="3539"/>
      <c r="AD224" s="3539"/>
      <c r="AE224" s="3539"/>
      <c r="AF224" s="3539"/>
      <c r="AG224" s="3539"/>
      <c r="AH224" s="3539"/>
      <c r="AI224" s="3539"/>
      <c r="AJ224" s="3539"/>
      <c r="AK224" s="3539"/>
      <c r="AL224" s="3539"/>
      <c r="AM224" s="3539"/>
    </row>
    <row r="225" spans="2:41" s="2913" customFormat="1">
      <c r="B225" s="1278"/>
      <c r="C225" s="1282"/>
      <c r="D225" s="1283"/>
      <c r="E225" s="1282"/>
      <c r="F225" s="1284"/>
      <c r="G225" s="150"/>
      <c r="H225" s="150"/>
      <c r="I225" s="150"/>
      <c r="J225" s="150"/>
      <c r="K225" s="150"/>
      <c r="L225" s="150"/>
      <c r="M225" s="1286"/>
      <c r="N225" s="1284"/>
      <c r="O225" s="150"/>
      <c r="P225" s="150"/>
      <c r="Q225" s="1287"/>
      <c r="R225" s="1287"/>
      <c r="S225" s="149"/>
      <c r="T225" s="149"/>
      <c r="U225" s="150"/>
      <c r="V225" s="150"/>
      <c r="W225" s="150"/>
      <c r="X225" s="150"/>
      <c r="Y225" s="150"/>
      <c r="Z225" s="150"/>
      <c r="AA225" s="150"/>
      <c r="AC225" s="3539"/>
      <c r="AD225" s="3539"/>
      <c r="AE225" s="3539"/>
      <c r="AF225" s="3539"/>
      <c r="AG225" s="3539"/>
      <c r="AH225" s="3539"/>
      <c r="AI225" s="3539"/>
      <c r="AJ225" s="3539"/>
      <c r="AK225" s="3539"/>
      <c r="AL225" s="3539"/>
      <c r="AM225" s="3539"/>
    </row>
    <row r="226" spans="2:41" s="2913" customFormat="1">
      <c r="B226" s="1278"/>
      <c r="C226" s="1282"/>
      <c r="D226" s="1283"/>
      <c r="E226" s="1282"/>
      <c r="F226" s="1284"/>
      <c r="G226" s="150"/>
      <c r="H226" s="150"/>
      <c r="I226" s="150"/>
      <c r="J226" s="150"/>
      <c r="K226" s="150"/>
      <c r="L226" s="150"/>
      <c r="M226" s="1286"/>
      <c r="N226" s="1284"/>
      <c r="O226" s="150"/>
      <c r="P226" s="150"/>
      <c r="Q226" s="1287"/>
      <c r="R226" s="1287"/>
      <c r="S226" s="149"/>
      <c r="T226" s="149"/>
      <c r="U226" s="150"/>
      <c r="V226" s="150"/>
      <c r="W226" s="150"/>
      <c r="X226" s="150"/>
      <c r="Y226" s="150"/>
      <c r="Z226" s="150"/>
      <c r="AA226" s="150"/>
      <c r="AC226" s="3539"/>
      <c r="AD226" s="3539"/>
      <c r="AE226" s="3539"/>
      <c r="AF226" s="3539"/>
      <c r="AG226" s="3539"/>
      <c r="AH226" s="3539"/>
      <c r="AI226" s="3539"/>
      <c r="AJ226" s="3539"/>
      <c r="AK226" s="3539"/>
      <c r="AL226" s="3539"/>
      <c r="AM226" s="3539"/>
    </row>
    <row r="227" spans="2:41" s="2913" customFormat="1">
      <c r="B227" s="1278"/>
      <c r="C227" s="1282"/>
      <c r="D227" s="1283"/>
      <c r="E227" s="1282"/>
      <c r="F227" s="1284"/>
      <c r="G227" s="150"/>
      <c r="H227" s="150"/>
      <c r="I227" s="150"/>
      <c r="J227" s="150"/>
      <c r="K227" s="150"/>
      <c r="L227" s="150"/>
      <c r="M227" s="1286"/>
      <c r="N227" s="1284"/>
      <c r="O227" s="150"/>
      <c r="P227" s="150"/>
      <c r="Q227" s="1287"/>
      <c r="R227" s="1287"/>
      <c r="S227" s="149"/>
      <c r="T227" s="149"/>
      <c r="U227" s="150"/>
      <c r="V227" s="150"/>
      <c r="W227" s="150"/>
      <c r="X227" s="150"/>
      <c r="Y227" s="150"/>
      <c r="Z227" s="150"/>
      <c r="AA227" s="150"/>
      <c r="AC227" s="3539"/>
      <c r="AD227" s="3539"/>
      <c r="AE227" s="3539"/>
      <c r="AF227" s="3539"/>
      <c r="AG227" s="3539"/>
      <c r="AH227" s="3539"/>
      <c r="AI227" s="3539"/>
      <c r="AJ227" s="3539"/>
      <c r="AK227" s="3539"/>
      <c r="AL227" s="3539"/>
      <c r="AM227" s="3539"/>
    </row>
    <row r="228" spans="2:41" s="2913" customFormat="1">
      <c r="B228" s="2836"/>
      <c r="D228" s="3581"/>
      <c r="F228" s="3519"/>
      <c r="G228" s="3582"/>
      <c r="H228" s="3582"/>
      <c r="I228" s="3582"/>
      <c r="J228" s="3582"/>
      <c r="K228" s="3582"/>
      <c r="L228" s="3582"/>
      <c r="M228" s="3518"/>
      <c r="N228" s="3519"/>
      <c r="O228" s="150"/>
      <c r="P228" s="150"/>
      <c r="Q228" s="1287"/>
      <c r="R228" s="1287"/>
      <c r="S228" s="149"/>
      <c r="T228" s="149"/>
      <c r="U228" s="150"/>
      <c r="V228" s="150"/>
      <c r="W228" s="150"/>
      <c r="X228" s="150"/>
      <c r="Y228" s="150"/>
      <c r="Z228" s="150"/>
      <c r="AA228" s="150"/>
      <c r="AC228" s="3539"/>
      <c r="AD228" s="3539"/>
      <c r="AE228" s="3539"/>
      <c r="AF228" s="3539"/>
      <c r="AG228" s="3539"/>
      <c r="AH228" s="3539"/>
      <c r="AI228" s="3539"/>
      <c r="AJ228" s="3539"/>
      <c r="AK228" s="3539"/>
      <c r="AL228" s="3539"/>
      <c r="AM228" s="3539"/>
    </row>
    <row r="229" spans="2:41" s="2913" customFormat="1">
      <c r="B229" s="2836"/>
      <c r="D229" s="3581"/>
      <c r="F229" s="3519"/>
      <c r="G229" s="3582"/>
      <c r="H229" s="3582"/>
      <c r="I229" s="3582"/>
      <c r="J229" s="3582"/>
      <c r="K229" s="3582"/>
      <c r="L229" s="3582"/>
      <c r="M229" s="3518"/>
      <c r="N229" s="3519"/>
      <c r="O229" s="150"/>
      <c r="P229" s="150"/>
      <c r="Q229" s="1287"/>
      <c r="R229" s="1287"/>
      <c r="S229" s="149"/>
      <c r="T229" s="149"/>
      <c r="U229" s="150"/>
      <c r="V229" s="150"/>
      <c r="W229" s="150"/>
      <c r="X229" s="150"/>
      <c r="Y229" s="150"/>
      <c r="Z229" s="150"/>
      <c r="AA229" s="150"/>
      <c r="AC229" s="3539"/>
      <c r="AD229" s="3539"/>
      <c r="AE229" s="3539"/>
      <c r="AF229" s="3539"/>
      <c r="AG229" s="3539"/>
      <c r="AH229" s="3539"/>
      <c r="AI229" s="3539"/>
      <c r="AJ229" s="3539"/>
      <c r="AK229" s="3539"/>
      <c r="AL229" s="3539"/>
      <c r="AM229" s="3539"/>
    </row>
    <row r="230" spans="2:41" s="2913" customFormat="1">
      <c r="B230" s="2836"/>
      <c r="D230" s="3581"/>
      <c r="F230" s="3519"/>
      <c r="G230" s="3582"/>
      <c r="H230" s="3582"/>
      <c r="I230" s="3582"/>
      <c r="J230" s="3582"/>
      <c r="K230" s="3582"/>
      <c r="L230" s="3582"/>
      <c r="M230" s="3518"/>
      <c r="N230" s="3519"/>
      <c r="O230" s="150"/>
      <c r="P230" s="150"/>
      <c r="Q230" s="1287"/>
      <c r="R230" s="1287"/>
      <c r="S230" s="149"/>
      <c r="T230" s="149"/>
      <c r="U230" s="150"/>
      <c r="V230" s="150"/>
      <c r="W230" s="150"/>
      <c r="X230" s="150"/>
      <c r="Y230" s="150"/>
      <c r="Z230" s="150"/>
      <c r="AA230" s="150"/>
      <c r="AC230" s="3539"/>
      <c r="AD230" s="3539"/>
      <c r="AE230" s="3539"/>
      <c r="AF230" s="3539"/>
      <c r="AG230" s="3539"/>
      <c r="AH230" s="3539"/>
      <c r="AI230" s="3539"/>
      <c r="AJ230" s="3539"/>
      <c r="AK230" s="3539"/>
      <c r="AL230" s="3539"/>
      <c r="AM230" s="3539"/>
    </row>
    <row r="231" spans="2:41" s="2913" customFormat="1">
      <c r="B231" s="2836"/>
      <c r="D231" s="3581"/>
      <c r="F231" s="3519"/>
      <c r="G231" s="3582"/>
      <c r="H231" s="3582"/>
      <c r="I231" s="3582"/>
      <c r="J231" s="3582"/>
      <c r="K231" s="3582"/>
      <c r="L231" s="3582"/>
      <c r="M231" s="3518"/>
      <c r="N231" s="3519"/>
      <c r="O231" s="150"/>
      <c r="P231" s="150"/>
      <c r="Q231" s="1287"/>
      <c r="R231" s="1287"/>
      <c r="S231" s="149"/>
      <c r="T231" s="149"/>
      <c r="U231" s="150"/>
      <c r="V231" s="150"/>
      <c r="W231" s="150"/>
      <c r="X231" s="150"/>
      <c r="Y231" s="150"/>
      <c r="Z231" s="150"/>
      <c r="AA231" s="150"/>
      <c r="AC231" s="3539"/>
      <c r="AD231" s="3539"/>
      <c r="AE231" s="3539"/>
      <c r="AF231" s="3539"/>
      <c r="AG231" s="3539"/>
      <c r="AH231" s="3539"/>
      <c r="AI231" s="3539"/>
      <c r="AJ231" s="3539"/>
      <c r="AK231" s="3539"/>
      <c r="AL231" s="3539"/>
      <c r="AM231" s="3539"/>
    </row>
    <row r="232" spans="2:41" s="2913" customFormat="1">
      <c r="B232" s="2836"/>
      <c r="D232" s="3581"/>
      <c r="F232" s="3519"/>
      <c r="G232" s="3582"/>
      <c r="H232" s="3582"/>
      <c r="I232" s="3582"/>
      <c r="J232" s="3582"/>
      <c r="K232" s="3582"/>
      <c r="L232" s="3582"/>
      <c r="M232" s="3518"/>
      <c r="N232" s="3519"/>
      <c r="O232" s="150"/>
      <c r="P232" s="150"/>
      <c r="Q232" s="1287"/>
      <c r="R232" s="1287"/>
      <c r="S232" s="149"/>
      <c r="T232" s="149"/>
      <c r="U232" s="150">
        <f>SUBTOTAL(9,U190:U231)</f>
        <v>0</v>
      </c>
      <c r="V232" s="150">
        <f t="shared" ref="V232:AA232" si="109">SUBTOTAL(9,V190:V231)</f>
        <v>0</v>
      </c>
      <c r="W232" s="150">
        <f t="shared" si="109"/>
        <v>0</v>
      </c>
      <c r="X232" s="150">
        <f t="shared" si="109"/>
        <v>0</v>
      </c>
      <c r="Y232" s="150">
        <f t="shared" si="109"/>
        <v>0</v>
      </c>
      <c r="Z232" s="150">
        <f t="shared" si="109"/>
        <v>0</v>
      </c>
      <c r="AA232" s="150">
        <f t="shared" si="109"/>
        <v>0</v>
      </c>
      <c r="AC232" s="3539"/>
      <c r="AD232" s="3539"/>
      <c r="AE232" s="3539"/>
      <c r="AF232" s="3539"/>
      <c r="AG232" s="3539"/>
      <c r="AH232" s="3539"/>
      <c r="AI232" s="3539"/>
      <c r="AJ232" s="3539"/>
      <c r="AK232" s="3539"/>
      <c r="AL232" s="3539"/>
      <c r="AM232" s="3539"/>
    </row>
    <row r="233" spans="2:41" s="2913" customFormat="1" ht="12" thickBot="1">
      <c r="B233" s="2836"/>
      <c r="D233" s="3581"/>
      <c r="F233" s="3519"/>
      <c r="G233" s="3582"/>
      <c r="H233" s="3582"/>
      <c r="I233" s="3582"/>
      <c r="J233" s="3582"/>
      <c r="K233" s="3582"/>
      <c r="L233" s="3582"/>
      <c r="M233" s="3518"/>
      <c r="N233" s="3519"/>
      <c r="O233" s="150"/>
      <c r="P233" s="150"/>
      <c r="Q233" s="1287"/>
      <c r="R233" s="1287"/>
      <c r="S233" s="149"/>
      <c r="T233" s="149"/>
      <c r="U233" s="150"/>
      <c r="V233" s="150"/>
      <c r="W233" s="150"/>
      <c r="X233" s="150"/>
      <c r="Y233" s="150"/>
      <c r="Z233" s="150"/>
      <c r="AA233" s="150"/>
      <c r="AC233" s="3539"/>
      <c r="AD233" s="3539"/>
      <c r="AE233" s="3539"/>
      <c r="AF233" s="3539"/>
      <c r="AG233" s="3539"/>
      <c r="AH233" s="3539"/>
      <c r="AI233" s="3539"/>
      <c r="AJ233" s="3539"/>
      <c r="AK233" s="3539"/>
      <c r="AL233" s="3539"/>
      <c r="AM233" s="3539"/>
    </row>
    <row r="234" spans="2:41" s="2913" customFormat="1" ht="13" thickTop="1" thickBot="1">
      <c r="B234" s="2836"/>
      <c r="D234" s="3581"/>
      <c r="F234" s="3519"/>
      <c r="G234" s="3582"/>
      <c r="H234" s="3582"/>
      <c r="I234" s="3582"/>
      <c r="J234" s="3582"/>
      <c r="K234" s="3582"/>
      <c r="L234" s="3582"/>
      <c r="M234" s="3518"/>
      <c r="N234" s="3519"/>
      <c r="O234" s="150"/>
      <c r="P234" s="150"/>
      <c r="Q234" s="1287"/>
      <c r="R234" s="1287"/>
      <c r="S234" s="1287"/>
      <c r="T234" s="1287"/>
      <c r="U234" s="151">
        <f>SUBTOTAL(9,U192:U233)</f>
        <v>0</v>
      </c>
      <c r="V234" s="152">
        <f t="shared" ref="V234:AA234" si="110">SUBTOTAL(9,V192:V233)</f>
        <v>0</v>
      </c>
      <c r="W234" s="153">
        <f t="shared" si="110"/>
        <v>0</v>
      </c>
      <c r="X234" s="153">
        <f t="shared" si="110"/>
        <v>0</v>
      </c>
      <c r="Y234" s="153">
        <f t="shared" si="110"/>
        <v>0</v>
      </c>
      <c r="Z234" s="153">
        <f t="shared" si="110"/>
        <v>0</v>
      </c>
      <c r="AA234" s="154">
        <f t="shared" si="110"/>
        <v>0</v>
      </c>
      <c r="AB234" s="3580"/>
      <c r="AC234" s="3580"/>
      <c r="AE234" s="3539"/>
      <c r="AF234" s="3539"/>
      <c r="AG234" s="3539"/>
      <c r="AH234" s="3539"/>
      <c r="AI234" s="3539"/>
      <c r="AJ234" s="3539"/>
      <c r="AK234" s="3539"/>
      <c r="AL234" s="3539"/>
      <c r="AM234" s="3539"/>
      <c r="AN234" s="3539"/>
      <c r="AO234" s="3539"/>
    </row>
    <row r="235" spans="2:41" s="2913" customFormat="1" ht="12" thickTop="1">
      <c r="B235" s="2836"/>
      <c r="D235" s="3581"/>
      <c r="F235" s="3519"/>
      <c r="G235" s="3582"/>
      <c r="H235" s="3582"/>
      <c r="I235" s="3582"/>
      <c r="J235" s="3582"/>
      <c r="K235" s="3582"/>
      <c r="L235" s="3582"/>
      <c r="M235" s="3518"/>
      <c r="N235" s="3519"/>
      <c r="O235" s="150"/>
      <c r="P235" s="150"/>
      <c r="Q235" s="1287"/>
      <c r="R235" s="1287"/>
      <c r="S235" s="149"/>
      <c r="T235" s="149"/>
      <c r="U235" s="150"/>
      <c r="V235" s="150"/>
      <c r="W235" s="150"/>
      <c r="X235" s="150"/>
      <c r="Y235" s="150"/>
      <c r="Z235" s="150"/>
      <c r="AA235" s="150"/>
      <c r="AC235" s="3539"/>
      <c r="AD235" s="3539"/>
      <c r="AE235" s="3539"/>
      <c r="AF235" s="3539"/>
      <c r="AG235" s="3539"/>
      <c r="AH235" s="3539"/>
      <c r="AI235" s="3539"/>
      <c r="AJ235" s="3539"/>
      <c r="AK235" s="3539"/>
      <c r="AL235" s="3539"/>
      <c r="AM235" s="3539"/>
    </row>
    <row r="236" spans="2:41" s="2913" customFormat="1">
      <c r="B236" s="2836"/>
      <c r="D236" s="3581"/>
      <c r="F236" s="3519"/>
      <c r="G236" s="3582"/>
      <c r="H236" s="3582"/>
      <c r="I236" s="3582"/>
      <c r="J236" s="3582"/>
      <c r="K236" s="3582"/>
      <c r="L236" s="3582"/>
      <c r="M236" s="3518"/>
      <c r="N236" s="3519"/>
      <c r="O236" s="150"/>
      <c r="P236" s="150"/>
      <c r="Q236" s="1287"/>
      <c r="R236" s="1287"/>
      <c r="S236" s="149"/>
      <c r="T236" s="149"/>
      <c r="U236" s="150"/>
      <c r="V236" s="150"/>
      <c r="W236" s="150"/>
      <c r="X236" s="150"/>
      <c r="Y236" s="150"/>
      <c r="Z236" s="150"/>
      <c r="AA236" s="150"/>
      <c r="AC236" s="3539"/>
      <c r="AD236" s="3539"/>
      <c r="AE236" s="3539"/>
      <c r="AF236" s="3539"/>
      <c r="AG236" s="3539"/>
      <c r="AH236" s="3539"/>
      <c r="AI236" s="3539"/>
      <c r="AJ236" s="3539"/>
      <c r="AK236" s="3539"/>
      <c r="AL236" s="3539"/>
      <c r="AM236" s="3539"/>
    </row>
    <row r="237" spans="2:41" s="2913" customFormat="1">
      <c r="B237" s="2836"/>
      <c r="D237" s="3581"/>
      <c r="F237" s="3519"/>
      <c r="G237" s="3582"/>
      <c r="H237" s="3582"/>
      <c r="I237" s="3582"/>
      <c r="J237" s="3582"/>
      <c r="K237" s="3582"/>
      <c r="L237" s="3582"/>
      <c r="M237" s="3518"/>
      <c r="N237" s="3519"/>
      <c r="O237" s="150"/>
      <c r="P237" s="150"/>
      <c r="Q237" s="1287"/>
      <c r="R237" s="1287"/>
      <c r="S237" s="149"/>
      <c r="T237" s="149"/>
      <c r="U237" s="150"/>
      <c r="V237" s="150"/>
      <c r="W237" s="150"/>
      <c r="X237" s="150"/>
      <c r="Y237" s="150"/>
      <c r="Z237" s="150"/>
      <c r="AA237" s="150"/>
      <c r="AC237" s="3539"/>
      <c r="AD237" s="3539"/>
      <c r="AE237" s="3539"/>
      <c r="AF237" s="3539"/>
      <c r="AG237" s="3539"/>
      <c r="AH237" s="3539"/>
      <c r="AI237" s="3539"/>
      <c r="AJ237" s="3539"/>
      <c r="AK237" s="3539"/>
      <c r="AL237" s="3539"/>
      <c r="AM237" s="3539"/>
    </row>
    <row r="238" spans="2:41" s="2913" customFormat="1">
      <c r="B238" s="2836"/>
      <c r="D238" s="3581"/>
      <c r="F238" s="3519"/>
      <c r="G238" s="3582"/>
      <c r="H238" s="3582"/>
      <c r="I238" s="3582"/>
      <c r="J238" s="3582"/>
      <c r="K238" s="3582"/>
      <c r="L238" s="3582"/>
      <c r="M238" s="3518"/>
      <c r="N238" s="3519"/>
      <c r="O238" s="150"/>
      <c r="P238" s="150"/>
      <c r="Q238" s="1287"/>
      <c r="R238" s="1287"/>
      <c r="S238" s="149"/>
      <c r="T238" s="149"/>
      <c r="U238" s="150"/>
      <c r="V238" s="150"/>
      <c r="W238" s="150"/>
      <c r="X238" s="150"/>
      <c r="Y238" s="150"/>
      <c r="Z238" s="150"/>
      <c r="AA238" s="150"/>
      <c r="AC238" s="3539"/>
      <c r="AD238" s="3539"/>
      <c r="AE238" s="3539"/>
      <c r="AF238" s="3539"/>
      <c r="AG238" s="3539"/>
      <c r="AH238" s="3539"/>
      <c r="AI238" s="3539"/>
      <c r="AJ238" s="3539"/>
      <c r="AK238" s="3539"/>
      <c r="AL238" s="3539"/>
      <c r="AM238" s="3539"/>
    </row>
    <row r="239" spans="2:41" s="2913" customFormat="1">
      <c r="B239" s="2836"/>
      <c r="D239" s="3581"/>
      <c r="F239" s="3519"/>
      <c r="G239" s="3582"/>
      <c r="H239" s="3582"/>
      <c r="I239" s="3582"/>
      <c r="J239" s="3582"/>
      <c r="K239" s="3582"/>
      <c r="L239" s="3582"/>
      <c r="M239" s="3518"/>
      <c r="N239" s="3519"/>
      <c r="O239" s="150"/>
      <c r="P239" s="150"/>
      <c r="Q239" s="1287"/>
      <c r="R239" s="1287"/>
      <c r="S239" s="149"/>
      <c r="T239" s="149"/>
      <c r="U239" s="150"/>
      <c r="V239" s="150"/>
      <c r="W239" s="150"/>
      <c r="X239" s="150"/>
      <c r="Y239" s="150"/>
      <c r="Z239" s="150"/>
      <c r="AA239" s="150"/>
      <c r="AC239" s="3539"/>
      <c r="AD239" s="3539"/>
      <c r="AE239" s="3539"/>
      <c r="AF239" s="3539"/>
      <c r="AG239" s="3539"/>
      <c r="AH239" s="3539"/>
      <c r="AI239" s="3539"/>
      <c r="AJ239" s="3539"/>
      <c r="AK239" s="3539"/>
      <c r="AL239" s="3539"/>
      <c r="AM239" s="3539"/>
    </row>
    <row r="240" spans="2:41" s="2913" customFormat="1">
      <c r="B240" s="2836"/>
      <c r="D240" s="3581"/>
      <c r="F240" s="3519"/>
      <c r="G240" s="3582"/>
      <c r="H240" s="3582"/>
      <c r="I240" s="3582"/>
      <c r="J240" s="3582"/>
      <c r="K240" s="3582"/>
      <c r="L240" s="3582"/>
      <c r="M240" s="3518"/>
      <c r="N240" s="3519"/>
      <c r="O240" s="150"/>
      <c r="P240" s="150"/>
      <c r="Q240" s="1287"/>
      <c r="R240" s="1287"/>
      <c r="S240" s="149"/>
      <c r="T240" s="149"/>
      <c r="U240" s="150"/>
      <c r="V240" s="150"/>
      <c r="W240" s="150"/>
      <c r="X240" s="150"/>
      <c r="Y240" s="150"/>
      <c r="Z240" s="150"/>
      <c r="AA240" s="150"/>
      <c r="AC240" s="3539"/>
      <c r="AD240" s="3539"/>
      <c r="AE240" s="3539"/>
      <c r="AF240" s="3539"/>
      <c r="AG240" s="3539"/>
      <c r="AH240" s="3539"/>
      <c r="AI240" s="3539"/>
      <c r="AJ240" s="3539"/>
      <c r="AK240" s="3539"/>
      <c r="AL240" s="3539"/>
      <c r="AM240" s="3539"/>
    </row>
    <row r="241" spans="2:39" s="2913" customFormat="1">
      <c r="B241" s="2836"/>
      <c r="D241" s="3581"/>
      <c r="F241" s="3519"/>
      <c r="G241" s="3582"/>
      <c r="H241" s="3582"/>
      <c r="I241" s="3582"/>
      <c r="J241" s="3582"/>
      <c r="K241" s="3582"/>
      <c r="L241" s="3582"/>
      <c r="M241" s="3518"/>
      <c r="N241" s="3519"/>
      <c r="O241" s="150"/>
      <c r="P241" s="150"/>
      <c r="Q241" s="1287"/>
      <c r="R241" s="1287"/>
      <c r="S241" s="149"/>
      <c r="T241" s="149"/>
      <c r="U241" s="150"/>
      <c r="V241" s="150"/>
      <c r="W241" s="150"/>
      <c r="X241" s="150"/>
      <c r="Y241" s="150"/>
      <c r="Z241" s="150"/>
      <c r="AA241" s="150"/>
      <c r="AC241" s="3539"/>
      <c r="AD241" s="3539"/>
      <c r="AE241" s="3539"/>
      <c r="AF241" s="3539"/>
      <c r="AG241" s="3539"/>
      <c r="AH241" s="3539"/>
      <c r="AI241" s="3539"/>
      <c r="AJ241" s="3539"/>
      <c r="AK241" s="3539"/>
      <c r="AL241" s="3539"/>
      <c r="AM241" s="3539"/>
    </row>
    <row r="242" spans="2:39" s="2913" customFormat="1">
      <c r="B242" s="2836"/>
      <c r="D242" s="3581"/>
      <c r="F242" s="3519"/>
      <c r="G242" s="3582"/>
      <c r="H242" s="3582"/>
      <c r="I242" s="3582"/>
      <c r="J242" s="3582"/>
      <c r="K242" s="3582"/>
      <c r="L242" s="3582"/>
      <c r="M242" s="3518"/>
      <c r="N242" s="3519"/>
      <c r="O242" s="150"/>
      <c r="P242" s="150"/>
      <c r="Q242" s="1287"/>
      <c r="R242" s="1287"/>
      <c r="S242" s="149"/>
      <c r="T242" s="149"/>
      <c r="U242" s="150"/>
      <c r="V242" s="150"/>
      <c r="W242" s="150"/>
      <c r="X242" s="150"/>
      <c r="Y242" s="150"/>
      <c r="Z242" s="150"/>
      <c r="AA242" s="150"/>
      <c r="AC242" s="3539"/>
      <c r="AD242" s="3539"/>
      <c r="AE242" s="3539"/>
      <c r="AF242" s="3539"/>
      <c r="AG242" s="3539"/>
      <c r="AH242" s="3539"/>
      <c r="AI242" s="3539"/>
      <c r="AJ242" s="3539"/>
      <c r="AK242" s="3539"/>
      <c r="AL242" s="3539"/>
      <c r="AM242" s="3539"/>
    </row>
    <row r="243" spans="2:39" s="2913" customFormat="1">
      <c r="B243" s="2836"/>
      <c r="D243" s="3581"/>
      <c r="F243" s="3519"/>
      <c r="G243" s="3582"/>
      <c r="H243" s="3582"/>
      <c r="I243" s="3582"/>
      <c r="J243" s="3582"/>
      <c r="K243" s="3582"/>
      <c r="L243" s="3582"/>
      <c r="M243" s="3518"/>
      <c r="N243" s="3519"/>
      <c r="O243" s="150"/>
      <c r="P243" s="150"/>
      <c r="Q243" s="1287"/>
      <c r="R243" s="1287"/>
      <c r="S243" s="149"/>
      <c r="T243" s="149"/>
      <c r="U243" s="150"/>
      <c r="V243" s="150"/>
      <c r="W243" s="150"/>
      <c r="X243" s="150"/>
      <c r="Y243" s="150"/>
      <c r="Z243" s="150"/>
      <c r="AA243" s="150"/>
      <c r="AC243" s="3539"/>
      <c r="AD243" s="3539"/>
      <c r="AE243" s="3539"/>
      <c r="AF243" s="3539"/>
      <c r="AG243" s="3539"/>
      <c r="AH243" s="3539"/>
      <c r="AI243" s="3539"/>
      <c r="AJ243" s="3539"/>
      <c r="AK243" s="3539"/>
      <c r="AL243" s="3539"/>
      <c r="AM243" s="3539"/>
    </row>
    <row r="244" spans="2:39" s="2913" customFormat="1">
      <c r="B244" s="2836"/>
      <c r="D244" s="3581"/>
      <c r="F244" s="3519"/>
      <c r="G244" s="3582"/>
      <c r="H244" s="3582"/>
      <c r="I244" s="3582"/>
      <c r="J244" s="3582"/>
      <c r="K244" s="3582"/>
      <c r="L244" s="3582"/>
      <c r="M244" s="3518"/>
      <c r="N244" s="3519"/>
      <c r="O244" s="150"/>
      <c r="P244" s="150"/>
      <c r="Q244" s="1287"/>
      <c r="R244" s="1287"/>
      <c r="S244" s="149"/>
      <c r="T244" s="149"/>
      <c r="U244" s="150"/>
      <c r="V244" s="150"/>
      <c r="W244" s="150"/>
      <c r="X244" s="150"/>
      <c r="Y244" s="150"/>
      <c r="Z244" s="150"/>
      <c r="AA244" s="150"/>
      <c r="AC244" s="3539"/>
      <c r="AD244" s="3539"/>
      <c r="AE244" s="3539"/>
      <c r="AF244" s="3539"/>
      <c r="AG244" s="3539"/>
      <c r="AH244" s="3539"/>
      <c r="AI244" s="3539"/>
      <c r="AJ244" s="3539"/>
      <c r="AK244" s="3539"/>
      <c r="AL244" s="3539"/>
      <c r="AM244" s="3539"/>
    </row>
    <row r="245" spans="2:39" s="2913" customFormat="1">
      <c r="B245" s="2836"/>
      <c r="D245" s="3581"/>
      <c r="F245" s="3519"/>
      <c r="G245" s="3582"/>
      <c r="H245" s="3582"/>
      <c r="I245" s="3582"/>
      <c r="J245" s="3582"/>
      <c r="K245" s="3582"/>
      <c r="L245" s="3582"/>
      <c r="M245" s="3518"/>
      <c r="N245" s="3519"/>
      <c r="O245" s="150"/>
      <c r="P245" s="150"/>
      <c r="Q245" s="1287"/>
      <c r="R245" s="1287"/>
      <c r="S245" s="149"/>
      <c r="T245" s="149"/>
      <c r="U245" s="150"/>
      <c r="V245" s="150"/>
      <c r="W245" s="150"/>
      <c r="X245" s="150"/>
      <c r="Y245" s="150"/>
      <c r="Z245" s="150"/>
      <c r="AA245" s="150"/>
      <c r="AC245" s="3539"/>
      <c r="AD245" s="3539"/>
      <c r="AE245" s="3539"/>
      <c r="AF245" s="3539"/>
      <c r="AG245" s="3539"/>
      <c r="AH245" s="3539"/>
      <c r="AI245" s="3539"/>
      <c r="AJ245" s="3539"/>
      <c r="AK245" s="3539"/>
      <c r="AL245" s="3539"/>
      <c r="AM245" s="3539"/>
    </row>
    <row r="246" spans="2:39" s="2913" customFormat="1">
      <c r="B246" s="2836"/>
      <c r="D246" s="3581"/>
      <c r="F246" s="3519"/>
      <c r="G246" s="3582"/>
      <c r="H246" s="3582"/>
      <c r="I246" s="3582"/>
      <c r="J246" s="3582"/>
      <c r="K246" s="3582"/>
      <c r="L246" s="3582"/>
      <c r="M246" s="3518"/>
      <c r="N246" s="3519"/>
      <c r="O246" s="150"/>
      <c r="P246" s="150"/>
      <c r="Q246" s="1287"/>
      <c r="R246" s="1287"/>
      <c r="S246" s="149"/>
      <c r="T246" s="149"/>
      <c r="U246" s="150"/>
      <c r="V246" s="150"/>
      <c r="W246" s="150"/>
      <c r="X246" s="150"/>
      <c r="Y246" s="150"/>
      <c r="Z246" s="150"/>
      <c r="AA246" s="150"/>
      <c r="AC246" s="3539"/>
      <c r="AD246" s="3539"/>
      <c r="AE246" s="3539"/>
      <c r="AF246" s="3539"/>
      <c r="AG246" s="3539"/>
      <c r="AH246" s="3539"/>
      <c r="AI246" s="3539"/>
      <c r="AJ246" s="3539"/>
      <c r="AK246" s="3539"/>
      <c r="AL246" s="3539"/>
      <c r="AM246" s="3539"/>
    </row>
    <row r="247" spans="2:39" s="2913" customFormat="1">
      <c r="B247" s="2836"/>
      <c r="D247" s="3581"/>
      <c r="F247" s="3519"/>
      <c r="G247" s="3582"/>
      <c r="H247" s="3582"/>
      <c r="I247" s="3582"/>
      <c r="J247" s="3582"/>
      <c r="K247" s="3582"/>
      <c r="L247" s="3582"/>
      <c r="M247" s="3518"/>
      <c r="N247" s="3519"/>
      <c r="O247" s="150"/>
      <c r="P247" s="150"/>
      <c r="Q247" s="1287"/>
      <c r="R247" s="1287"/>
      <c r="S247" s="149"/>
      <c r="T247" s="149"/>
      <c r="U247" s="150"/>
      <c r="V247" s="150"/>
      <c r="W247" s="150"/>
      <c r="X247" s="150"/>
      <c r="Y247" s="150"/>
      <c r="Z247" s="150"/>
      <c r="AA247" s="150"/>
      <c r="AC247" s="3539"/>
      <c r="AD247" s="3539"/>
      <c r="AE247" s="3539"/>
      <c r="AF247" s="3539"/>
      <c r="AG247" s="3539"/>
      <c r="AH247" s="3539"/>
      <c r="AI247" s="3539"/>
      <c r="AJ247" s="3539"/>
      <c r="AK247" s="3539"/>
      <c r="AL247" s="3539"/>
      <c r="AM247" s="3539"/>
    </row>
    <row r="248" spans="2:39" s="2913" customFormat="1">
      <c r="B248" s="2836"/>
      <c r="D248" s="3581"/>
      <c r="F248" s="3519"/>
      <c r="G248" s="3582"/>
      <c r="H248" s="3582"/>
      <c r="I248" s="3582"/>
      <c r="J248" s="3582"/>
      <c r="K248" s="3582"/>
      <c r="L248" s="3582"/>
      <c r="M248" s="3518"/>
      <c r="N248" s="3519"/>
      <c r="O248" s="150"/>
      <c r="P248" s="150"/>
      <c r="Q248" s="1287"/>
      <c r="R248" s="1287"/>
      <c r="S248" s="149"/>
      <c r="T248" s="149"/>
      <c r="U248" s="150"/>
      <c r="V248" s="150"/>
      <c r="W248" s="150"/>
      <c r="X248" s="150"/>
      <c r="Y248" s="150"/>
      <c r="Z248" s="150"/>
      <c r="AA248" s="150"/>
      <c r="AC248" s="3539"/>
      <c r="AD248" s="3539"/>
      <c r="AE248" s="3539"/>
      <c r="AF248" s="3539"/>
      <c r="AG248" s="3539"/>
      <c r="AH248" s="3539"/>
      <c r="AI248" s="3539"/>
      <c r="AJ248" s="3539"/>
      <c r="AK248" s="3539"/>
      <c r="AL248" s="3539"/>
      <c r="AM248" s="3539"/>
    </row>
    <row r="249" spans="2:39" s="2913" customFormat="1">
      <c r="B249" s="2836"/>
      <c r="D249" s="3581"/>
      <c r="F249" s="3519"/>
      <c r="G249" s="3582"/>
      <c r="H249" s="3582"/>
      <c r="I249" s="3582"/>
      <c r="J249" s="3582"/>
      <c r="K249" s="3582"/>
      <c r="L249" s="3582"/>
      <c r="M249" s="3518"/>
      <c r="N249" s="3519"/>
      <c r="O249" s="150"/>
      <c r="P249" s="150"/>
      <c r="Q249" s="1287"/>
      <c r="R249" s="1287"/>
      <c r="S249" s="149"/>
      <c r="T249" s="149"/>
      <c r="U249" s="150"/>
      <c r="V249" s="150"/>
      <c r="W249" s="150"/>
      <c r="X249" s="150"/>
      <c r="Y249" s="150"/>
      <c r="Z249" s="150"/>
      <c r="AA249" s="150"/>
      <c r="AC249" s="3539"/>
      <c r="AD249" s="3539"/>
      <c r="AE249" s="3539"/>
      <c r="AF249" s="3539"/>
      <c r="AG249" s="3539"/>
      <c r="AH249" s="3539"/>
      <c r="AI249" s="3539"/>
      <c r="AJ249" s="3539"/>
      <c r="AK249" s="3539"/>
      <c r="AL249" s="3539"/>
      <c r="AM249" s="3539"/>
    </row>
    <row r="250" spans="2:39" s="2913" customFormat="1">
      <c r="B250" s="2836"/>
      <c r="D250" s="3581"/>
      <c r="F250" s="3519"/>
      <c r="G250" s="3582"/>
      <c r="H250" s="3582"/>
      <c r="I250" s="3582"/>
      <c r="J250" s="3582"/>
      <c r="K250" s="3582"/>
      <c r="L250" s="3582"/>
      <c r="M250" s="3518"/>
      <c r="N250" s="3519"/>
      <c r="O250" s="150"/>
      <c r="P250" s="150"/>
      <c r="Q250" s="1287"/>
      <c r="R250" s="1287"/>
      <c r="S250" s="149"/>
      <c r="T250" s="149"/>
      <c r="U250" s="150"/>
      <c r="V250" s="150"/>
      <c r="W250" s="150"/>
      <c r="X250" s="150"/>
      <c r="Y250" s="150"/>
      <c r="Z250" s="150"/>
      <c r="AA250" s="150"/>
      <c r="AC250" s="3539"/>
      <c r="AD250" s="3539"/>
      <c r="AE250" s="3539"/>
      <c r="AF250" s="3539"/>
      <c r="AG250" s="3539"/>
      <c r="AH250" s="3539"/>
      <c r="AI250" s="3539"/>
      <c r="AJ250" s="3539"/>
      <c r="AK250" s="3539"/>
      <c r="AL250" s="3539"/>
      <c r="AM250" s="3539"/>
    </row>
    <row r="251" spans="2:39" s="2913" customFormat="1">
      <c r="B251" s="2836"/>
      <c r="D251" s="3581"/>
      <c r="F251" s="3519"/>
      <c r="G251" s="3582"/>
      <c r="H251" s="3582"/>
      <c r="I251" s="3582"/>
      <c r="J251" s="3582"/>
      <c r="K251" s="3582"/>
      <c r="L251" s="3582"/>
      <c r="M251" s="3518"/>
      <c r="N251" s="3519"/>
      <c r="O251" s="150"/>
      <c r="P251" s="150"/>
      <c r="Q251" s="1287"/>
      <c r="R251" s="1287"/>
      <c r="S251" s="149"/>
      <c r="T251" s="149"/>
      <c r="U251" s="150"/>
      <c r="V251" s="150"/>
      <c r="W251" s="150"/>
      <c r="X251" s="150"/>
      <c r="Y251" s="150"/>
      <c r="Z251" s="150"/>
      <c r="AA251" s="150"/>
      <c r="AC251" s="3539"/>
      <c r="AD251" s="3539"/>
      <c r="AE251" s="3539"/>
      <c r="AF251" s="3539"/>
      <c r="AG251" s="3539"/>
      <c r="AH251" s="3539"/>
      <c r="AI251" s="3539"/>
      <c r="AJ251" s="3539"/>
      <c r="AK251" s="3539"/>
      <c r="AL251" s="3539"/>
      <c r="AM251" s="3539"/>
    </row>
    <row r="252" spans="2:39" s="2913" customFormat="1">
      <c r="B252" s="2836"/>
      <c r="D252" s="3581"/>
      <c r="F252" s="3519"/>
      <c r="G252" s="3582"/>
      <c r="H252" s="3582"/>
      <c r="I252" s="3582"/>
      <c r="J252" s="3582"/>
      <c r="K252" s="3582"/>
      <c r="L252" s="3582"/>
      <c r="M252" s="3518"/>
      <c r="N252" s="3519"/>
      <c r="O252" s="150"/>
      <c r="P252" s="150"/>
      <c r="Q252" s="1287"/>
      <c r="R252" s="1287"/>
      <c r="S252" s="149"/>
      <c r="T252" s="149"/>
      <c r="U252" s="150"/>
      <c r="V252" s="150"/>
      <c r="W252" s="150"/>
      <c r="X252" s="150"/>
      <c r="Y252" s="150"/>
      <c r="Z252" s="150"/>
      <c r="AA252" s="150"/>
      <c r="AC252" s="3539"/>
      <c r="AD252" s="3539"/>
      <c r="AE252" s="3539"/>
      <c r="AF252" s="3539"/>
      <c r="AG252" s="3539"/>
      <c r="AH252" s="3539"/>
      <c r="AI252" s="3539"/>
      <c r="AJ252" s="3539"/>
      <c r="AK252" s="3539"/>
      <c r="AL252" s="3539"/>
      <c r="AM252" s="3539"/>
    </row>
    <row r="253" spans="2:39" s="2913" customFormat="1">
      <c r="B253" s="2836"/>
      <c r="D253" s="3581"/>
      <c r="F253" s="3519"/>
      <c r="G253" s="3582"/>
      <c r="H253" s="3582"/>
      <c r="I253" s="3582"/>
      <c r="J253" s="3582"/>
      <c r="K253" s="3582"/>
      <c r="L253" s="3582"/>
      <c r="M253" s="3518"/>
      <c r="N253" s="3519"/>
      <c r="O253" s="150"/>
      <c r="P253" s="150"/>
      <c r="Q253" s="1287"/>
      <c r="R253" s="1287"/>
      <c r="S253" s="149"/>
      <c r="T253" s="149"/>
      <c r="U253" s="150"/>
      <c r="V253" s="150"/>
      <c r="W253" s="150"/>
      <c r="X253" s="150"/>
      <c r="Y253" s="150"/>
      <c r="Z253" s="150"/>
      <c r="AA253" s="150"/>
      <c r="AC253" s="3539"/>
      <c r="AD253" s="3539"/>
      <c r="AE253" s="3539"/>
      <c r="AF253" s="3539"/>
      <c r="AG253" s="3539"/>
      <c r="AH253" s="3539"/>
      <c r="AI253" s="3539"/>
      <c r="AJ253" s="3539"/>
      <c r="AK253" s="3539"/>
      <c r="AL253" s="3539"/>
      <c r="AM253" s="3539"/>
    </row>
    <row r="254" spans="2:39" s="2913" customFormat="1">
      <c r="B254" s="2836"/>
      <c r="D254" s="3581"/>
      <c r="F254" s="3519"/>
      <c r="G254" s="3582"/>
      <c r="H254" s="3582"/>
      <c r="I254" s="3582"/>
      <c r="J254" s="3582"/>
      <c r="K254" s="3582"/>
      <c r="L254" s="3582"/>
      <c r="M254" s="3518"/>
      <c r="N254" s="3519"/>
      <c r="O254" s="150"/>
      <c r="P254" s="150"/>
      <c r="Q254" s="1287"/>
      <c r="R254" s="1287"/>
      <c r="S254" s="149"/>
      <c r="T254" s="149"/>
      <c r="U254" s="150"/>
      <c r="V254" s="150"/>
      <c r="W254" s="150"/>
      <c r="X254" s="150"/>
      <c r="Y254" s="150"/>
      <c r="Z254" s="150"/>
      <c r="AA254" s="150"/>
      <c r="AC254" s="3539"/>
      <c r="AD254" s="3539"/>
      <c r="AE254" s="3539"/>
      <c r="AF254" s="3539"/>
      <c r="AG254" s="3539"/>
      <c r="AH254" s="3539"/>
      <c r="AI254" s="3539"/>
      <c r="AJ254" s="3539"/>
      <c r="AK254" s="3539"/>
      <c r="AL254" s="3539"/>
      <c r="AM254" s="3539"/>
    </row>
    <row r="255" spans="2:39" s="2913" customFormat="1">
      <c r="B255" s="2836"/>
      <c r="D255" s="3581"/>
      <c r="F255" s="3519"/>
      <c r="G255" s="3582"/>
      <c r="H255" s="3582"/>
      <c r="I255" s="3582"/>
      <c r="J255" s="3582"/>
      <c r="K255" s="3582"/>
      <c r="L255" s="3582"/>
      <c r="M255" s="3518"/>
      <c r="N255" s="3519"/>
      <c r="O255" s="150"/>
      <c r="P255" s="150"/>
      <c r="Q255" s="1287"/>
      <c r="R255" s="1287"/>
      <c r="S255" s="149"/>
      <c r="T255" s="149"/>
      <c r="U255" s="150"/>
      <c r="V255" s="150"/>
      <c r="W255" s="150"/>
      <c r="X255" s="150"/>
      <c r="Y255" s="150"/>
      <c r="Z255" s="150"/>
      <c r="AA255" s="150"/>
      <c r="AC255" s="3539"/>
      <c r="AD255" s="3539"/>
      <c r="AE255" s="3539"/>
      <c r="AF255" s="3539"/>
      <c r="AG255" s="3539"/>
      <c r="AH255" s="3539"/>
      <c r="AI255" s="3539"/>
      <c r="AJ255" s="3539"/>
      <c r="AK255" s="3539"/>
      <c r="AL255" s="3539"/>
      <c r="AM255" s="3539"/>
    </row>
    <row r="256" spans="2:39" s="2913" customFormat="1">
      <c r="B256" s="2836"/>
      <c r="D256" s="3581"/>
      <c r="F256" s="3519"/>
      <c r="G256" s="3582"/>
      <c r="H256" s="3582"/>
      <c r="I256" s="3582"/>
      <c r="J256" s="3582"/>
      <c r="K256" s="3582"/>
      <c r="L256" s="3582"/>
      <c r="M256" s="3518"/>
      <c r="N256" s="3519"/>
      <c r="O256" s="150"/>
      <c r="P256" s="150"/>
      <c r="Q256" s="1287"/>
      <c r="R256" s="1287"/>
      <c r="S256" s="149"/>
      <c r="T256" s="149"/>
      <c r="U256" s="150"/>
      <c r="V256" s="150"/>
      <c r="W256" s="150"/>
      <c r="X256" s="150"/>
      <c r="Y256" s="150"/>
      <c r="Z256" s="150"/>
      <c r="AA256" s="150"/>
      <c r="AC256" s="3539"/>
      <c r="AD256" s="3539"/>
      <c r="AE256" s="3539"/>
      <c r="AF256" s="3539"/>
      <c r="AG256" s="3539"/>
      <c r="AH256" s="3539"/>
      <c r="AI256" s="3539"/>
      <c r="AJ256" s="3539"/>
      <c r="AK256" s="3539"/>
      <c r="AL256" s="3539"/>
      <c r="AM256" s="3539"/>
    </row>
    <row r="257" spans="1:40" s="2913" customFormat="1">
      <c r="B257" s="2836"/>
      <c r="D257" s="3581"/>
      <c r="F257" s="3519"/>
      <c r="G257" s="3582"/>
      <c r="H257" s="3582"/>
      <c r="I257" s="3582"/>
      <c r="J257" s="3582"/>
      <c r="K257" s="3582"/>
      <c r="L257" s="3582"/>
      <c r="M257" s="3518"/>
      <c r="N257" s="3519"/>
      <c r="O257" s="150"/>
      <c r="P257" s="150"/>
      <c r="Q257" s="1287"/>
      <c r="R257" s="1287"/>
      <c r="S257" s="149"/>
      <c r="T257" s="149"/>
      <c r="U257" s="150"/>
      <c r="V257" s="150"/>
      <c r="W257" s="150"/>
      <c r="X257" s="150"/>
      <c r="Y257" s="150"/>
      <c r="Z257" s="150"/>
      <c r="AA257" s="150"/>
      <c r="AC257" s="3539"/>
      <c r="AD257" s="3539"/>
      <c r="AE257" s="3539"/>
      <c r="AF257" s="3539"/>
      <c r="AG257" s="3539"/>
      <c r="AH257" s="3539"/>
      <c r="AI257" s="3539"/>
      <c r="AJ257" s="3539"/>
      <c r="AK257" s="3539"/>
      <c r="AL257" s="3539"/>
      <c r="AM257" s="3539"/>
    </row>
    <row r="258" spans="1:40" s="2913" customFormat="1">
      <c r="B258" s="2836"/>
      <c r="D258" s="3581"/>
      <c r="F258" s="3519"/>
      <c r="G258" s="3582"/>
      <c r="H258" s="3582"/>
      <c r="I258" s="3582"/>
      <c r="J258" s="3582"/>
      <c r="K258" s="3582"/>
      <c r="L258" s="3582"/>
      <c r="M258" s="3518"/>
      <c r="N258" s="3519"/>
      <c r="O258" s="150"/>
      <c r="P258" s="150"/>
      <c r="Q258" s="1287"/>
      <c r="R258" s="1287"/>
      <c r="S258" s="149"/>
      <c r="T258" s="149"/>
      <c r="U258" s="150"/>
      <c r="V258" s="150"/>
      <c r="W258" s="150"/>
      <c r="X258" s="150"/>
      <c r="Y258" s="150"/>
      <c r="Z258" s="150"/>
      <c r="AA258" s="150"/>
      <c r="AC258" s="3539"/>
      <c r="AD258" s="3539"/>
      <c r="AE258" s="3539"/>
      <c r="AF258" s="3539"/>
      <c r="AG258" s="3539"/>
      <c r="AH258" s="3539"/>
      <c r="AI258" s="3539"/>
      <c r="AJ258" s="3539"/>
      <c r="AK258" s="3539"/>
      <c r="AL258" s="3539"/>
      <c r="AM258" s="3539"/>
    </row>
    <row r="259" spans="1:40" s="2913" customFormat="1">
      <c r="B259" s="2836"/>
      <c r="D259" s="3581"/>
      <c r="F259" s="3519"/>
      <c r="G259" s="3582"/>
      <c r="H259" s="3582"/>
      <c r="I259" s="3582"/>
      <c r="J259" s="3582"/>
      <c r="K259" s="3582"/>
      <c r="L259" s="3582"/>
      <c r="M259" s="3518"/>
      <c r="N259" s="3519"/>
      <c r="O259" s="150"/>
      <c r="P259" s="150"/>
      <c r="Q259" s="1287"/>
      <c r="R259" s="1287"/>
      <c r="S259" s="149"/>
      <c r="T259" s="149"/>
      <c r="U259" s="150"/>
      <c r="V259" s="150"/>
      <c r="W259" s="150"/>
      <c r="X259" s="150"/>
      <c r="Y259" s="150"/>
      <c r="Z259" s="150"/>
      <c r="AA259" s="150"/>
      <c r="AC259" s="3539"/>
      <c r="AD259" s="3539"/>
      <c r="AE259" s="3539"/>
      <c r="AF259" s="3539"/>
      <c r="AG259" s="3539"/>
      <c r="AH259" s="3539"/>
      <c r="AI259" s="3539"/>
      <c r="AJ259" s="3539"/>
      <c r="AK259" s="3539"/>
      <c r="AL259" s="3539"/>
      <c r="AM259" s="3539"/>
    </row>
    <row r="260" spans="1:40" s="2913" customFormat="1">
      <c r="B260" s="2836"/>
      <c r="D260" s="3581"/>
      <c r="F260" s="3519"/>
      <c r="G260" s="3582"/>
      <c r="H260" s="3582"/>
      <c r="I260" s="3582"/>
      <c r="J260" s="3582"/>
      <c r="K260" s="3582"/>
      <c r="L260" s="3582"/>
      <c r="M260" s="3518"/>
      <c r="N260" s="3519"/>
      <c r="O260" s="150"/>
      <c r="P260" s="150"/>
      <c r="Q260" s="1287"/>
      <c r="R260" s="1287"/>
      <c r="S260" s="149"/>
      <c r="T260" s="149"/>
      <c r="U260" s="150"/>
      <c r="V260" s="150"/>
      <c r="W260" s="150"/>
      <c r="X260" s="150"/>
      <c r="Y260" s="150"/>
      <c r="Z260" s="150"/>
      <c r="AA260" s="150"/>
      <c r="AC260" s="3539"/>
      <c r="AD260" s="3539"/>
      <c r="AE260" s="3539"/>
      <c r="AF260" s="3539"/>
      <c r="AG260" s="3539"/>
      <c r="AH260" s="3539"/>
      <c r="AI260" s="3539"/>
      <c r="AJ260" s="3539"/>
      <c r="AK260" s="3539"/>
      <c r="AL260" s="3539"/>
      <c r="AM260" s="3539"/>
    </row>
    <row r="261" spans="1:40" s="2913" customFormat="1">
      <c r="B261" s="2836"/>
      <c r="D261" s="3581"/>
      <c r="F261" s="3519"/>
      <c r="G261" s="3582"/>
      <c r="H261" s="3582"/>
      <c r="I261" s="3582"/>
      <c r="J261" s="3582"/>
      <c r="K261" s="3582"/>
      <c r="L261" s="3582"/>
      <c r="M261" s="3518"/>
      <c r="N261" s="3519"/>
      <c r="O261" s="150"/>
      <c r="P261" s="150"/>
      <c r="Q261" s="1287"/>
      <c r="R261" s="1287"/>
      <c r="S261" s="149"/>
      <c r="T261" s="149"/>
      <c r="U261" s="150"/>
      <c r="V261" s="150"/>
      <c r="W261" s="150"/>
      <c r="X261" s="150"/>
      <c r="Y261" s="150"/>
      <c r="Z261" s="150"/>
      <c r="AA261" s="150"/>
      <c r="AC261" s="3539"/>
      <c r="AD261" s="3539"/>
      <c r="AE261" s="3539"/>
      <c r="AF261" s="3539"/>
      <c r="AG261" s="3539"/>
      <c r="AH261" s="3539"/>
      <c r="AI261" s="3539"/>
      <c r="AJ261" s="3539"/>
      <c r="AK261" s="3539"/>
      <c r="AL261" s="3539"/>
      <c r="AM261" s="3539"/>
    </row>
    <row r="262" spans="1:40" s="2913" customFormat="1">
      <c r="B262" s="2836"/>
      <c r="D262" s="3581"/>
      <c r="F262" s="3519"/>
      <c r="G262" s="3582"/>
      <c r="H262" s="3582"/>
      <c r="I262" s="3582"/>
      <c r="J262" s="3582"/>
      <c r="K262" s="3582"/>
      <c r="L262" s="3582"/>
      <c r="M262" s="3518"/>
      <c r="N262" s="3519"/>
      <c r="O262" s="150"/>
      <c r="P262" s="150"/>
      <c r="Q262" s="1287"/>
      <c r="R262" s="1287"/>
      <c r="S262" s="149"/>
      <c r="T262" s="149"/>
      <c r="U262" s="150"/>
      <c r="V262" s="150"/>
      <c r="W262" s="150"/>
      <c r="X262" s="150"/>
      <c r="Y262" s="150"/>
      <c r="Z262" s="150"/>
      <c r="AA262" s="150"/>
      <c r="AC262" s="3539"/>
      <c r="AD262" s="3539"/>
      <c r="AE262" s="3539"/>
      <c r="AF262" s="3539"/>
      <c r="AG262" s="3539"/>
      <c r="AH262" s="3539"/>
      <c r="AI262" s="3539"/>
      <c r="AJ262" s="3539"/>
      <c r="AK262" s="3539"/>
      <c r="AL262" s="3539"/>
      <c r="AM262" s="3539"/>
    </row>
    <row r="263" spans="1:40" s="2913" customFormat="1">
      <c r="B263" s="2836"/>
      <c r="D263" s="3581"/>
      <c r="F263" s="3519"/>
      <c r="G263" s="3582"/>
      <c r="H263" s="3582"/>
      <c r="I263" s="3582"/>
      <c r="J263" s="3582"/>
      <c r="K263" s="3582"/>
      <c r="L263" s="3582"/>
      <c r="M263" s="3518"/>
      <c r="N263" s="3519"/>
      <c r="O263" s="150"/>
      <c r="P263" s="150"/>
      <c r="Q263" s="1287"/>
      <c r="R263" s="1287"/>
      <c r="S263" s="149"/>
      <c r="T263" s="149"/>
      <c r="U263" s="150"/>
      <c r="V263" s="150"/>
      <c r="W263" s="150"/>
      <c r="X263" s="150"/>
      <c r="Y263" s="150"/>
      <c r="Z263" s="150"/>
      <c r="AA263" s="150"/>
      <c r="AC263" s="3539"/>
      <c r="AD263" s="3539"/>
      <c r="AE263" s="3539"/>
      <c r="AF263" s="3539"/>
      <c r="AG263" s="3539"/>
      <c r="AH263" s="3539"/>
      <c r="AI263" s="3539"/>
      <c r="AJ263" s="3539"/>
      <c r="AK263" s="3539"/>
      <c r="AL263" s="3539"/>
      <c r="AM263" s="3539"/>
    </row>
    <row r="264" spans="1:40" s="2913" customFormat="1">
      <c r="B264" s="2836"/>
      <c r="D264" s="3581"/>
      <c r="F264" s="3519"/>
      <c r="G264" s="3582"/>
      <c r="H264" s="3582"/>
      <c r="I264" s="3582"/>
      <c r="J264" s="3582"/>
      <c r="K264" s="3582"/>
      <c r="L264" s="3582"/>
      <c r="M264" s="3518"/>
      <c r="N264" s="3519"/>
      <c r="O264" s="150"/>
      <c r="P264" s="150"/>
      <c r="Q264" s="1287"/>
      <c r="R264" s="1287"/>
      <c r="S264" s="149"/>
      <c r="T264" s="149"/>
      <c r="U264" s="150"/>
      <c r="V264" s="150"/>
      <c r="W264" s="150"/>
      <c r="X264" s="150"/>
      <c r="Y264" s="150"/>
      <c r="Z264" s="150"/>
      <c r="AA264" s="150"/>
      <c r="AC264" s="3539"/>
      <c r="AD264" s="3539"/>
      <c r="AE264" s="3539"/>
      <c r="AF264" s="3539"/>
      <c r="AG264" s="3539"/>
      <c r="AH264" s="3539"/>
      <c r="AI264" s="3539"/>
      <c r="AJ264" s="3539"/>
      <c r="AK264" s="3539"/>
      <c r="AL264" s="3539"/>
      <c r="AM264" s="3539"/>
    </row>
    <row r="265" spans="1:40" s="2913" customFormat="1">
      <c r="B265" s="2836"/>
      <c r="D265" s="3581"/>
      <c r="F265" s="3519"/>
      <c r="G265" s="3582"/>
      <c r="H265" s="3582"/>
      <c r="I265" s="3582"/>
      <c r="J265" s="3582"/>
      <c r="K265" s="3582"/>
      <c r="L265" s="3582"/>
      <c r="M265" s="3518"/>
      <c r="N265" s="3519"/>
      <c r="O265" s="150"/>
      <c r="P265" s="150"/>
      <c r="Q265" s="1287"/>
      <c r="R265" s="1287"/>
      <c r="S265" s="149"/>
      <c r="T265" s="149"/>
      <c r="U265" s="150"/>
      <c r="V265" s="150"/>
      <c r="W265" s="150"/>
      <c r="X265" s="150"/>
      <c r="Y265" s="150"/>
      <c r="Z265" s="150"/>
      <c r="AA265" s="150"/>
      <c r="AC265" s="3539"/>
      <c r="AD265" s="3539"/>
      <c r="AE265" s="3539"/>
      <c r="AF265" s="3539"/>
      <c r="AG265" s="3539"/>
      <c r="AH265" s="3539"/>
      <c r="AI265" s="3539"/>
      <c r="AJ265" s="3539"/>
      <c r="AK265" s="3539"/>
      <c r="AL265" s="3539"/>
      <c r="AM265" s="3539"/>
    </row>
    <row r="266" spans="1:40">
      <c r="A266" s="2914"/>
      <c r="O266" s="1215"/>
      <c r="P266" s="1215"/>
      <c r="Q266" s="1293"/>
      <c r="R266" s="1293"/>
      <c r="S266" s="251"/>
      <c r="T266" s="251"/>
      <c r="U266" s="1132"/>
      <c r="V266" s="1132"/>
      <c r="W266" s="1132"/>
      <c r="X266" s="1132"/>
      <c r="Y266" s="1132"/>
      <c r="Z266" s="1132"/>
      <c r="AA266" s="1132"/>
      <c r="AN266" s="2914"/>
    </row>
    <row r="267" spans="1:40">
      <c r="A267" s="2914"/>
      <c r="O267" s="1215"/>
      <c r="P267" s="1215"/>
      <c r="Q267" s="1293"/>
      <c r="R267" s="1293"/>
      <c r="S267" s="251"/>
      <c r="T267" s="251"/>
      <c r="U267" s="1132"/>
      <c r="V267" s="1132"/>
      <c r="W267" s="1132"/>
      <c r="X267" s="1132"/>
      <c r="Y267" s="1132"/>
      <c r="Z267" s="1132"/>
      <c r="AA267" s="1132"/>
      <c r="AN267" s="2914"/>
    </row>
    <row r="268" spans="1:40">
      <c r="A268" s="2914"/>
      <c r="O268" s="1215"/>
      <c r="P268" s="1215"/>
      <c r="Q268" s="1293"/>
      <c r="R268" s="1293"/>
      <c r="S268" s="251"/>
      <c r="T268" s="251"/>
      <c r="U268" s="1132"/>
      <c r="V268" s="1132"/>
      <c r="W268" s="1132"/>
      <c r="X268" s="1132"/>
      <c r="Y268" s="1132"/>
      <c r="Z268" s="1132"/>
      <c r="AA268" s="1132"/>
      <c r="AN268" s="2914"/>
    </row>
    <row r="269" spans="1:40">
      <c r="A269" s="2914"/>
      <c r="O269" s="1215"/>
      <c r="P269" s="1215"/>
      <c r="Q269" s="1293"/>
      <c r="R269" s="1293"/>
      <c r="S269" s="251"/>
      <c r="T269" s="251"/>
      <c r="U269" s="1132"/>
      <c r="V269" s="1132"/>
      <c r="W269" s="1132"/>
      <c r="X269" s="1132"/>
      <c r="Y269" s="1132"/>
      <c r="Z269" s="1132"/>
      <c r="AA269" s="1132"/>
      <c r="AN269" s="2914"/>
    </row>
    <row r="270" spans="1:40">
      <c r="A270" s="2914"/>
      <c r="O270" s="1215"/>
      <c r="P270" s="1215"/>
      <c r="Q270" s="1293"/>
      <c r="R270" s="1293"/>
      <c r="S270" s="251"/>
      <c r="T270" s="251"/>
      <c r="U270" s="1132"/>
      <c r="V270" s="1132"/>
      <c r="W270" s="1132"/>
      <c r="X270" s="1132"/>
      <c r="Y270" s="1132"/>
      <c r="Z270" s="1132"/>
      <c r="AA270" s="1132"/>
      <c r="AN270" s="2914"/>
    </row>
    <row r="271" spans="1:40">
      <c r="A271" s="2914"/>
      <c r="O271" s="1215"/>
      <c r="P271" s="1215"/>
      <c r="Q271" s="1293"/>
      <c r="R271" s="1293"/>
      <c r="S271" s="251"/>
      <c r="T271" s="251"/>
      <c r="U271" s="1132"/>
      <c r="V271" s="1132"/>
      <c r="W271" s="1132"/>
      <c r="X271" s="1132"/>
      <c r="Y271" s="1132"/>
      <c r="Z271" s="1132"/>
      <c r="AA271" s="1132"/>
      <c r="AN271" s="2914"/>
    </row>
    <row r="272" spans="1:40">
      <c r="A272" s="2914"/>
      <c r="B272" s="2914"/>
      <c r="D272" s="2914"/>
      <c r="F272" s="2914"/>
      <c r="G272" s="2914"/>
      <c r="H272" s="2914"/>
      <c r="I272" s="2914"/>
      <c r="J272" s="2914"/>
      <c r="K272" s="2914"/>
      <c r="L272" s="3579"/>
      <c r="M272" s="2914"/>
      <c r="N272" s="3579"/>
      <c r="O272" s="1215"/>
      <c r="P272" s="1215"/>
      <c r="Q272" s="1293"/>
      <c r="R272" s="1293"/>
      <c r="S272" s="251"/>
      <c r="T272" s="251"/>
      <c r="U272" s="1132"/>
      <c r="V272" s="1132"/>
      <c r="W272" s="1132"/>
      <c r="X272" s="1132"/>
      <c r="Y272" s="1132"/>
      <c r="Z272" s="1132"/>
      <c r="AA272" s="1132"/>
      <c r="AB272" s="2914"/>
      <c r="AC272" s="2914"/>
      <c r="AD272" s="2914"/>
      <c r="AE272" s="2914"/>
      <c r="AF272" s="2914"/>
      <c r="AG272" s="2914"/>
      <c r="AH272" s="2914"/>
      <c r="AI272" s="2914"/>
      <c r="AJ272" s="2914"/>
      <c r="AK272" s="2914"/>
      <c r="AL272" s="2914"/>
      <c r="AM272" s="2914"/>
      <c r="AN272" s="2914"/>
    </row>
    <row r="273" spans="1:40">
      <c r="A273" s="2914"/>
      <c r="B273" s="2914"/>
      <c r="D273" s="2914"/>
      <c r="F273" s="2914"/>
      <c r="G273" s="2914"/>
      <c r="H273" s="2914"/>
      <c r="I273" s="2914"/>
      <c r="J273" s="2914"/>
      <c r="K273" s="2914"/>
      <c r="L273" s="3579"/>
      <c r="M273" s="2914"/>
      <c r="N273" s="3579"/>
      <c r="O273" s="1215"/>
      <c r="P273" s="1215"/>
      <c r="Q273" s="1293"/>
      <c r="R273" s="1293"/>
      <c r="S273" s="251"/>
      <c r="T273" s="251"/>
      <c r="U273" s="1132"/>
      <c r="V273" s="1132"/>
      <c r="W273" s="1132"/>
      <c r="X273" s="1132"/>
      <c r="Y273" s="1132"/>
      <c r="Z273" s="1132"/>
      <c r="AA273" s="1132"/>
      <c r="AB273" s="2914"/>
      <c r="AC273" s="2914"/>
      <c r="AD273" s="2914"/>
      <c r="AE273" s="2914"/>
      <c r="AF273" s="2914"/>
      <c r="AG273" s="2914"/>
      <c r="AH273" s="2914"/>
      <c r="AI273" s="2914"/>
      <c r="AJ273" s="2914"/>
      <c r="AK273" s="2914"/>
      <c r="AL273" s="2914"/>
      <c r="AM273" s="2914"/>
      <c r="AN273" s="2914"/>
    </row>
    <row r="274" spans="1:40">
      <c r="A274" s="2914"/>
      <c r="B274" s="2914"/>
      <c r="D274" s="2914"/>
      <c r="F274" s="2914"/>
      <c r="G274" s="2914"/>
      <c r="H274" s="2914"/>
      <c r="I274" s="2914"/>
      <c r="J274" s="2914"/>
      <c r="K274" s="2914"/>
      <c r="L274" s="3579"/>
      <c r="M274" s="2914"/>
      <c r="N274" s="3579"/>
      <c r="O274" s="1215"/>
      <c r="P274" s="1215"/>
      <c r="Q274" s="1293"/>
      <c r="R274" s="1293"/>
      <c r="S274" s="251"/>
      <c r="T274" s="251"/>
      <c r="U274" s="1132"/>
      <c r="V274" s="1132"/>
      <c r="W274" s="1132"/>
      <c r="X274" s="1132"/>
      <c r="Y274" s="1132"/>
      <c r="Z274" s="1132"/>
      <c r="AA274" s="1132"/>
      <c r="AB274" s="2914"/>
      <c r="AC274" s="2914"/>
      <c r="AD274" s="2914"/>
      <c r="AE274" s="2914"/>
      <c r="AF274" s="2914"/>
      <c r="AG274" s="2914"/>
      <c r="AH274" s="2914"/>
      <c r="AI274" s="2914"/>
      <c r="AJ274" s="2914"/>
      <c r="AK274" s="2914"/>
      <c r="AL274" s="2914"/>
      <c r="AM274" s="2914"/>
      <c r="AN274" s="2914"/>
    </row>
    <row r="275" spans="1:40">
      <c r="A275" s="2914"/>
      <c r="B275" s="2914"/>
      <c r="D275" s="2914"/>
      <c r="F275" s="2914"/>
      <c r="G275" s="2914"/>
      <c r="H275" s="2914"/>
      <c r="I275" s="2914"/>
      <c r="J275" s="2914"/>
      <c r="K275" s="2914"/>
      <c r="L275" s="3579"/>
      <c r="M275" s="2914"/>
      <c r="N275" s="3579"/>
      <c r="O275" s="1215"/>
      <c r="P275" s="1215"/>
      <c r="Q275" s="1293"/>
      <c r="R275" s="1293"/>
      <c r="S275" s="251"/>
      <c r="T275" s="251"/>
      <c r="U275" s="1132"/>
      <c r="V275" s="1132"/>
      <c r="W275" s="1132"/>
      <c r="X275" s="1132"/>
      <c r="Y275" s="1132"/>
      <c r="Z275" s="1132"/>
      <c r="AA275" s="1132"/>
      <c r="AB275" s="2914"/>
      <c r="AC275" s="2914"/>
      <c r="AD275" s="2914"/>
      <c r="AE275" s="2914"/>
      <c r="AF275" s="2914"/>
      <c r="AG275" s="2914"/>
      <c r="AH275" s="2914"/>
      <c r="AI275" s="2914"/>
      <c r="AJ275" s="2914"/>
      <c r="AK275" s="2914"/>
      <c r="AL275" s="2914"/>
      <c r="AM275" s="2914"/>
      <c r="AN275" s="2914"/>
    </row>
    <row r="276" spans="1:40">
      <c r="A276" s="2914"/>
      <c r="B276" s="2914"/>
      <c r="D276" s="2914"/>
      <c r="F276" s="2914"/>
      <c r="G276" s="2914"/>
      <c r="H276" s="2914"/>
      <c r="I276" s="2914"/>
      <c r="J276" s="2914"/>
      <c r="K276" s="2914"/>
      <c r="L276" s="3579"/>
      <c r="M276" s="2914"/>
      <c r="N276" s="3579"/>
      <c r="O276" s="1215"/>
      <c r="P276" s="1215"/>
      <c r="Q276" s="1293"/>
      <c r="R276" s="1293"/>
      <c r="S276" s="251"/>
      <c r="T276" s="251"/>
      <c r="U276" s="1132"/>
      <c r="V276" s="1132"/>
      <c r="W276" s="1132"/>
      <c r="X276" s="1132"/>
      <c r="Y276" s="1132"/>
      <c r="Z276" s="1132"/>
      <c r="AA276" s="1132"/>
      <c r="AB276" s="2914"/>
      <c r="AC276" s="2914"/>
      <c r="AD276" s="2914"/>
      <c r="AE276" s="2914"/>
      <c r="AF276" s="2914"/>
      <c r="AG276" s="2914"/>
      <c r="AH276" s="2914"/>
      <c r="AI276" s="2914"/>
      <c r="AJ276" s="2914"/>
      <c r="AK276" s="2914"/>
      <c r="AL276" s="2914"/>
      <c r="AM276" s="2914"/>
      <c r="AN276" s="2914"/>
    </row>
    <row r="277" spans="1:40">
      <c r="A277" s="2914"/>
      <c r="B277" s="2914"/>
      <c r="D277" s="2914"/>
      <c r="F277" s="2914"/>
      <c r="G277" s="2914"/>
      <c r="H277" s="2914"/>
      <c r="I277" s="2914"/>
      <c r="J277" s="2914"/>
      <c r="K277" s="2914"/>
      <c r="L277" s="3579"/>
      <c r="M277" s="2914"/>
      <c r="N277" s="3579"/>
      <c r="O277" s="1215"/>
      <c r="P277" s="1215"/>
      <c r="Q277" s="1293"/>
      <c r="R277" s="1293"/>
      <c r="S277" s="251"/>
      <c r="T277" s="251"/>
      <c r="U277" s="1132"/>
      <c r="V277" s="1132"/>
      <c r="W277" s="1132"/>
      <c r="X277" s="1132"/>
      <c r="Y277" s="1132"/>
      <c r="Z277" s="1132"/>
      <c r="AA277" s="1132"/>
      <c r="AB277" s="2914"/>
      <c r="AC277" s="2914"/>
      <c r="AD277" s="2914"/>
      <c r="AE277" s="2914"/>
      <c r="AF277" s="2914"/>
      <c r="AG277" s="2914"/>
      <c r="AH277" s="2914"/>
      <c r="AI277" s="2914"/>
      <c r="AJ277" s="2914"/>
      <c r="AK277" s="2914"/>
      <c r="AL277" s="2914"/>
      <c r="AM277" s="2914"/>
      <c r="AN277" s="2914"/>
    </row>
    <row r="278" spans="1:40">
      <c r="A278" s="2914"/>
      <c r="B278" s="2914"/>
      <c r="D278" s="2914"/>
      <c r="F278" s="2914"/>
      <c r="G278" s="2914"/>
      <c r="H278" s="2914"/>
      <c r="I278" s="2914"/>
      <c r="J278" s="2914"/>
      <c r="K278" s="2914"/>
      <c r="L278" s="3579"/>
      <c r="M278" s="2914"/>
      <c r="N278" s="3579"/>
      <c r="O278" s="1215"/>
      <c r="P278" s="1215"/>
      <c r="Q278" s="1293"/>
      <c r="R278" s="1293"/>
      <c r="S278" s="251"/>
      <c r="T278" s="251"/>
      <c r="U278" s="1132"/>
      <c r="V278" s="1132"/>
      <c r="W278" s="1132"/>
      <c r="X278" s="1132"/>
      <c r="Y278" s="1132"/>
      <c r="Z278" s="1132"/>
      <c r="AA278" s="1132"/>
      <c r="AB278" s="2914"/>
      <c r="AC278" s="2914"/>
      <c r="AD278" s="2914"/>
      <c r="AE278" s="2914"/>
      <c r="AF278" s="2914"/>
      <c r="AG278" s="2914"/>
      <c r="AH278" s="2914"/>
      <c r="AI278" s="2914"/>
      <c r="AJ278" s="2914"/>
      <c r="AK278" s="2914"/>
      <c r="AL278" s="2914"/>
      <c r="AM278" s="2914"/>
      <c r="AN278" s="2914"/>
    </row>
  </sheetData>
  <mergeCells count="4">
    <mergeCell ref="H90:H93"/>
    <mergeCell ref="H30:H31"/>
    <mergeCell ref="H46:H49"/>
    <mergeCell ref="H58:H60"/>
  </mergeCells>
  <conditionalFormatting sqref="H11">
    <cfRule type="cellIs" dxfId="160" priority="70" stopIfTrue="1" operator="equal">
      <formula>1</formula>
    </cfRule>
  </conditionalFormatting>
  <conditionalFormatting sqref="F11:G11 I11:K11">
    <cfRule type="cellIs" dxfId="159" priority="71" stopIfTrue="1" operator="equal">
      <formula>1</formula>
    </cfRule>
  </conditionalFormatting>
  <conditionalFormatting sqref="H15">
    <cfRule type="cellIs" dxfId="158" priority="68" stopIfTrue="1" operator="equal">
      <formula>1</formula>
    </cfRule>
  </conditionalFormatting>
  <conditionalFormatting sqref="F15:G15 I15 K15">
    <cfRule type="cellIs" dxfId="157" priority="69" stopIfTrue="1" operator="equal">
      <formula>1</formula>
    </cfRule>
  </conditionalFormatting>
  <conditionalFormatting sqref="J15">
    <cfRule type="cellIs" dxfId="156" priority="67" stopIfTrue="1" operator="equal">
      <formula>1</formula>
    </cfRule>
  </conditionalFormatting>
  <conditionalFormatting sqref="H40">
    <cfRule type="cellIs" dxfId="155" priority="65" stopIfTrue="1" operator="equal">
      <formula>1</formula>
    </cfRule>
  </conditionalFormatting>
  <conditionalFormatting sqref="F40:G40 I40:K40">
    <cfRule type="cellIs" dxfId="154" priority="66" stopIfTrue="1" operator="equal">
      <formula>1</formula>
    </cfRule>
  </conditionalFormatting>
  <conditionalFormatting sqref="H44">
    <cfRule type="cellIs" dxfId="153" priority="63" stopIfTrue="1" operator="equal">
      <formula>1</formula>
    </cfRule>
  </conditionalFormatting>
  <conditionalFormatting sqref="F44:G44 I44 K44">
    <cfRule type="cellIs" dxfId="152" priority="64" stopIfTrue="1" operator="equal">
      <formula>1</formula>
    </cfRule>
  </conditionalFormatting>
  <conditionalFormatting sqref="J44">
    <cfRule type="cellIs" dxfId="151" priority="62" stopIfTrue="1" operator="equal">
      <formula>1</formula>
    </cfRule>
  </conditionalFormatting>
  <conditionalFormatting sqref="K63">
    <cfRule type="cellIs" dxfId="150" priority="50" stopIfTrue="1" operator="equal">
      <formula>1</formula>
    </cfRule>
  </conditionalFormatting>
  <conditionalFormatting sqref="H61">
    <cfRule type="cellIs" dxfId="149" priority="60" stopIfTrue="1" operator="equal">
      <formula>1</formula>
    </cfRule>
  </conditionalFormatting>
  <conditionalFormatting sqref="G61 I61 K61">
    <cfRule type="cellIs" dxfId="148" priority="61" stopIfTrue="1" operator="equal">
      <formula>1</formula>
    </cfRule>
  </conditionalFormatting>
  <conditionalFormatting sqref="J61">
    <cfRule type="cellIs" dxfId="147" priority="59" stopIfTrue="1" operator="equal">
      <formula>1</formula>
    </cfRule>
  </conditionalFormatting>
  <conditionalFormatting sqref="H62">
    <cfRule type="cellIs" dxfId="146" priority="56" stopIfTrue="1" operator="equal">
      <formula>1</formula>
    </cfRule>
  </conditionalFormatting>
  <conditionalFormatting sqref="G62 I62">
    <cfRule type="cellIs" dxfId="145" priority="57" stopIfTrue="1" operator="equal">
      <formula>1</formula>
    </cfRule>
  </conditionalFormatting>
  <conditionalFormatting sqref="J62">
    <cfRule type="cellIs" dxfId="144" priority="55" stopIfTrue="1" operator="equal">
      <formula>1</formula>
    </cfRule>
  </conditionalFormatting>
  <conditionalFormatting sqref="K62">
    <cfRule type="cellIs" dxfId="143" priority="54" stopIfTrue="1" operator="equal">
      <formula>1</formula>
    </cfRule>
  </conditionalFormatting>
  <conditionalFormatting sqref="H63">
    <cfRule type="cellIs" dxfId="142" priority="52" stopIfTrue="1" operator="equal">
      <formula>1</formula>
    </cfRule>
  </conditionalFormatting>
  <conditionalFormatting sqref="G63 I63">
    <cfRule type="cellIs" dxfId="141" priority="53" stopIfTrue="1" operator="equal">
      <formula>1</formula>
    </cfRule>
  </conditionalFormatting>
  <conditionalFormatting sqref="J63">
    <cfRule type="cellIs" dxfId="140" priority="51" stopIfTrue="1" operator="equal">
      <formula>1</formula>
    </cfRule>
  </conditionalFormatting>
  <conditionalFormatting sqref="K68">
    <cfRule type="cellIs" dxfId="139" priority="39" stopIfTrue="1" operator="equal">
      <formula>1</formula>
    </cfRule>
  </conditionalFormatting>
  <conditionalFormatting sqref="H66">
    <cfRule type="cellIs" dxfId="138" priority="48" stopIfTrue="1" operator="equal">
      <formula>1</formula>
    </cfRule>
  </conditionalFormatting>
  <conditionalFormatting sqref="G66 I66 K66">
    <cfRule type="cellIs" dxfId="137" priority="49" stopIfTrue="1" operator="equal">
      <formula>1</formula>
    </cfRule>
  </conditionalFormatting>
  <conditionalFormatting sqref="J66">
    <cfRule type="cellIs" dxfId="136" priority="47" stopIfTrue="1" operator="equal">
      <formula>1</formula>
    </cfRule>
  </conditionalFormatting>
  <conditionalFormatting sqref="H67">
    <cfRule type="cellIs" dxfId="135" priority="45" stopIfTrue="1" operator="equal">
      <formula>1</formula>
    </cfRule>
  </conditionalFormatting>
  <conditionalFormatting sqref="G67 I67">
    <cfRule type="cellIs" dxfId="134" priority="46" stopIfTrue="1" operator="equal">
      <formula>1</formula>
    </cfRule>
  </conditionalFormatting>
  <conditionalFormatting sqref="J67">
    <cfRule type="cellIs" dxfId="133" priority="44" stopIfTrue="1" operator="equal">
      <formula>1</formula>
    </cfRule>
  </conditionalFormatting>
  <conditionalFormatting sqref="K67">
    <cfRule type="cellIs" dxfId="132" priority="43" stopIfTrue="1" operator="equal">
      <formula>1</formula>
    </cfRule>
  </conditionalFormatting>
  <conditionalFormatting sqref="H68">
    <cfRule type="cellIs" dxfId="131" priority="41" stopIfTrue="1" operator="equal">
      <formula>1</formula>
    </cfRule>
  </conditionalFormatting>
  <conditionalFormatting sqref="G68 I68">
    <cfRule type="cellIs" dxfId="130" priority="42" stopIfTrue="1" operator="equal">
      <formula>1</formula>
    </cfRule>
  </conditionalFormatting>
  <conditionalFormatting sqref="J68">
    <cfRule type="cellIs" dxfId="129" priority="40" stopIfTrue="1" operator="equal">
      <formula>1</formula>
    </cfRule>
  </conditionalFormatting>
  <conditionalFormatting sqref="K73">
    <cfRule type="cellIs" dxfId="128" priority="28" stopIfTrue="1" operator="equal">
      <formula>1</formula>
    </cfRule>
  </conditionalFormatting>
  <conditionalFormatting sqref="G71 K71">
    <cfRule type="cellIs" dxfId="127" priority="38" stopIfTrue="1" operator="equal">
      <formula>1</formula>
    </cfRule>
  </conditionalFormatting>
  <conditionalFormatting sqref="G72">
    <cfRule type="cellIs" dxfId="126" priority="35" stopIfTrue="1" operator="equal">
      <formula>1</formula>
    </cfRule>
  </conditionalFormatting>
  <conditionalFormatting sqref="K72">
    <cfRule type="cellIs" dxfId="125" priority="32" stopIfTrue="1" operator="equal">
      <formula>1</formula>
    </cfRule>
  </conditionalFormatting>
  <conditionalFormatting sqref="G73">
    <cfRule type="cellIs" dxfId="124" priority="31" stopIfTrue="1" operator="equal">
      <formula>1</formula>
    </cfRule>
  </conditionalFormatting>
  <conditionalFormatting sqref="I71">
    <cfRule type="cellIs" dxfId="123" priority="27" stopIfTrue="1" operator="equal">
      <formula>1</formula>
    </cfRule>
  </conditionalFormatting>
  <conditionalFormatting sqref="J71">
    <cfRule type="cellIs" dxfId="122" priority="26" stopIfTrue="1" operator="equal">
      <formula>1</formula>
    </cfRule>
  </conditionalFormatting>
  <conditionalFormatting sqref="I72">
    <cfRule type="cellIs" dxfId="121" priority="25" stopIfTrue="1" operator="equal">
      <formula>1</formula>
    </cfRule>
  </conditionalFormatting>
  <conditionalFormatting sqref="J72">
    <cfRule type="cellIs" dxfId="120" priority="24" stopIfTrue="1" operator="equal">
      <formula>1</formula>
    </cfRule>
  </conditionalFormatting>
  <conditionalFormatting sqref="I73">
    <cfRule type="cellIs" dxfId="119" priority="23" stopIfTrue="1" operator="equal">
      <formula>1</formula>
    </cfRule>
  </conditionalFormatting>
  <conditionalFormatting sqref="J73">
    <cfRule type="cellIs" dxfId="118" priority="22" stopIfTrue="1" operator="equal">
      <formula>1</formula>
    </cfRule>
  </conditionalFormatting>
  <conditionalFormatting sqref="H71:H73">
    <cfRule type="cellIs" dxfId="117" priority="19" stopIfTrue="1" operator="equal">
      <formula>1</formula>
    </cfRule>
  </conditionalFormatting>
  <conditionalFormatting sqref="F105:G105 D105 I105:K105">
    <cfRule type="cellIs" dxfId="116" priority="18" stopIfTrue="1" operator="equal">
      <formula>1</formula>
    </cfRule>
  </conditionalFormatting>
  <conditionalFormatting sqref="H105">
    <cfRule type="cellIs" dxfId="115" priority="17" stopIfTrue="1" operator="equal">
      <formula>1</formula>
    </cfRule>
  </conditionalFormatting>
  <conditionalFormatting sqref="D106 F106:G106 I106:K106">
    <cfRule type="cellIs" dxfId="114" priority="16" stopIfTrue="1" operator="equal">
      <formula>1</formula>
    </cfRule>
  </conditionalFormatting>
  <conditionalFormatting sqref="H106">
    <cfRule type="cellIs" dxfId="113" priority="15" stopIfTrue="1" operator="equal">
      <formula>1</formula>
    </cfRule>
  </conditionalFormatting>
  <conditionalFormatting sqref="H107">
    <cfRule type="cellIs" dxfId="112" priority="13" stopIfTrue="1" operator="equal">
      <formula>1</formula>
    </cfRule>
  </conditionalFormatting>
  <conditionalFormatting sqref="F107:G107 I107:K107">
    <cfRule type="cellIs" dxfId="111" priority="14" stopIfTrue="1" operator="equal">
      <formula>1</formula>
    </cfRule>
  </conditionalFormatting>
  <conditionalFormatting sqref="K110">
    <cfRule type="cellIs" dxfId="110" priority="8" stopIfTrue="1" operator="equal">
      <formula>1</formula>
    </cfRule>
  </conditionalFormatting>
  <conditionalFormatting sqref="G108 K108">
    <cfRule type="cellIs" dxfId="109" priority="12" stopIfTrue="1" operator="equal">
      <formula>1</formula>
    </cfRule>
  </conditionalFormatting>
  <conditionalFormatting sqref="G109">
    <cfRule type="cellIs" dxfId="108" priority="11" stopIfTrue="1" operator="equal">
      <formula>1</formula>
    </cfRule>
  </conditionalFormatting>
  <conditionalFormatting sqref="K109">
    <cfRule type="cellIs" dxfId="107" priority="10" stopIfTrue="1" operator="equal">
      <formula>1</formula>
    </cfRule>
  </conditionalFormatting>
  <conditionalFormatting sqref="G110">
    <cfRule type="cellIs" dxfId="106" priority="9" stopIfTrue="1" operator="equal">
      <formula>1</formula>
    </cfRule>
  </conditionalFormatting>
  <conditionalFormatting sqref="I108">
    <cfRule type="cellIs" dxfId="105" priority="7" stopIfTrue="1" operator="equal">
      <formula>1</formula>
    </cfRule>
  </conditionalFormatting>
  <conditionalFormatting sqref="J108">
    <cfRule type="cellIs" dxfId="104" priority="6" stopIfTrue="1" operator="equal">
      <formula>1</formula>
    </cfRule>
  </conditionalFormatting>
  <conditionalFormatting sqref="I109">
    <cfRule type="cellIs" dxfId="103" priority="5" stopIfTrue="1" operator="equal">
      <formula>1</formula>
    </cfRule>
  </conditionalFormatting>
  <conditionalFormatting sqref="J109">
    <cfRule type="cellIs" dxfId="102" priority="4" stopIfTrue="1" operator="equal">
      <formula>1</formula>
    </cfRule>
  </conditionalFormatting>
  <conditionalFormatting sqref="I110">
    <cfRule type="cellIs" dxfId="101" priority="3" stopIfTrue="1" operator="equal">
      <formula>1</formula>
    </cfRule>
  </conditionalFormatting>
  <conditionalFormatting sqref="J110">
    <cfRule type="cellIs" dxfId="100" priority="2" stopIfTrue="1" operator="equal">
      <formula>1</formula>
    </cfRule>
  </conditionalFormatting>
  <conditionalFormatting sqref="H108:H110">
    <cfRule type="cellIs" dxfId="99" priority="1" stopIfTrue="1" operator="equal">
      <formula>1</formula>
    </cfRule>
  </conditionalFormatting>
  <pageMargins left="0" right="0" top="1.5748031496062993" bottom="1.3779527559055118" header="0.19685039370078741" footer="0"/>
  <pageSetup paperSize="9" scale="110" orientation="landscape" horizontalDpi="0" verticalDpi="0"/>
  <headerFooter>
    <oddHeader>&amp;C&amp;K000000&amp;F&amp;A</oddHeader>
  </headerFooter>
  <drawing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DAB16-BD38-5E4E-9FC6-046063EBC54E}">
  <sheetPr codeName="Hoja51"/>
  <dimension ref="A1:AO257"/>
  <sheetViews>
    <sheetView topLeftCell="A33" zoomScale="150" zoomScaleNormal="150" workbookViewId="0">
      <selection sqref="A1:XFD1048576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33203125" style="1" customWidth="1"/>
    <col min="4" max="4" width="0.83203125" style="3082" customWidth="1"/>
    <col min="5" max="5" width="2.6640625" style="1" customWidth="1"/>
    <col min="6" max="6" width="3.33203125" style="2818" customWidth="1"/>
    <col min="7" max="7" width="4.6640625" style="780" customWidth="1"/>
    <col min="8" max="8" width="6.33203125" style="780" customWidth="1"/>
    <col min="9" max="10" width="7.33203125" style="780" customWidth="1"/>
    <col min="11" max="11" width="35.5" style="780" customWidth="1"/>
    <col min="12" max="12" width="9.1640625" style="780" customWidth="1"/>
    <col min="13" max="13" width="1" style="2820" customWidth="1"/>
    <col min="14" max="14" width="7.83203125" style="2818" customWidth="1"/>
    <col min="15" max="15" width="0.83203125" style="780" customWidth="1"/>
    <col min="16" max="16" width="8.33203125" style="780" customWidth="1"/>
    <col min="17" max="17" width="5.6640625" style="2821" customWidth="1"/>
    <col min="18" max="18" width="6" style="2821" customWidth="1"/>
    <col min="19" max="19" width="1.33203125" style="2822" customWidth="1"/>
    <col min="20" max="20" width="0.3320312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33203125" style="2823" customWidth="1"/>
    <col min="25" max="25" width="6" style="2823" customWidth="1"/>
    <col min="26" max="27" width="5.3320312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33203125" style="2826" customWidth="1"/>
    <col min="40" max="40" width="11.5" style="2825"/>
    <col min="41" max="16384" width="11.5" style="1"/>
  </cols>
  <sheetData>
    <row r="1" spans="1:40" ht="20" customHeight="1" thickBot="1">
      <c r="A1" s="3080" t="s">
        <v>344</v>
      </c>
      <c r="F1" s="527"/>
      <c r="G1" s="155"/>
      <c r="H1" s="155"/>
      <c r="I1" s="155"/>
      <c r="J1" s="2561"/>
      <c r="K1" s="3779">
        <v>44648</v>
      </c>
      <c r="L1" s="2561" t="s">
        <v>2104</v>
      </c>
      <c r="M1" s="5233"/>
      <c r="N1" s="5234"/>
      <c r="O1" s="5235"/>
      <c r="P1" s="5235"/>
      <c r="Q1" s="5236"/>
      <c r="R1" s="5236"/>
      <c r="U1" s="2827" t="s">
        <v>345</v>
      </c>
      <c r="AI1" s="2825"/>
      <c r="AJ1" s="2825"/>
      <c r="AK1" s="2825"/>
      <c r="AL1" s="2825"/>
      <c r="AM1" s="2825"/>
    </row>
    <row r="2" spans="1:40" s="2839" customFormat="1" ht="72.75" customHeight="1" thickTop="1" thickBot="1">
      <c r="A2" s="3084" t="s">
        <v>346</v>
      </c>
      <c r="B2" s="3085" t="s">
        <v>347</v>
      </c>
      <c r="C2" s="3086" t="s">
        <v>348</v>
      </c>
      <c r="D2" s="3087"/>
      <c r="E2" s="4692" t="s">
        <v>349</v>
      </c>
      <c r="F2" s="3088" t="s">
        <v>350</v>
      </c>
      <c r="G2" s="3089" t="s">
        <v>351</v>
      </c>
      <c r="H2" s="3089" t="s">
        <v>624</v>
      </c>
      <c r="I2" s="3089" t="s">
        <v>352</v>
      </c>
      <c r="J2" s="3088" t="s">
        <v>353</v>
      </c>
      <c r="K2" s="3089" t="s">
        <v>354</v>
      </c>
      <c r="L2" s="3089"/>
      <c r="M2" s="3090" t="s">
        <v>355</v>
      </c>
      <c r="N2" s="3089" t="s">
        <v>445</v>
      </c>
      <c r="O2" s="3086" t="s">
        <v>446</v>
      </c>
      <c r="P2" s="3086" t="s">
        <v>447</v>
      </c>
      <c r="Q2" s="3091" t="s">
        <v>448</v>
      </c>
      <c r="R2" s="3092" t="s">
        <v>371</v>
      </c>
      <c r="S2" s="2828" t="s">
        <v>449</v>
      </c>
      <c r="T2" s="2828" t="s">
        <v>450</v>
      </c>
      <c r="U2" s="2829" t="s">
        <v>451</v>
      </c>
      <c r="V2" s="2830" t="s">
        <v>452</v>
      </c>
      <c r="W2" s="2831" t="s">
        <v>453</v>
      </c>
      <c r="X2" s="2832" t="s">
        <v>454</v>
      </c>
      <c r="Y2" s="2833" t="s">
        <v>455</v>
      </c>
      <c r="Z2" s="2834" t="s">
        <v>456</v>
      </c>
      <c r="AA2" s="2835" t="s">
        <v>457</v>
      </c>
      <c r="AB2" s="2836"/>
      <c r="AC2" s="2837"/>
      <c r="AD2" s="2838"/>
      <c r="AE2" s="2838"/>
      <c r="AF2" s="2838"/>
      <c r="AG2" s="2838"/>
      <c r="AH2" s="2838"/>
      <c r="AI2" s="2836"/>
      <c r="AJ2" s="2836"/>
      <c r="AK2" s="2836"/>
      <c r="AL2" s="2836"/>
      <c r="AM2" s="2836"/>
      <c r="AN2" s="2836"/>
    </row>
    <row r="3" spans="1:40" s="2839" customFormat="1" ht="12.75" customHeight="1" thickBot="1">
      <c r="A3" s="3093"/>
      <c r="B3" s="3912"/>
      <c r="C3" s="3913"/>
      <c r="D3" s="3913"/>
      <c r="E3" s="5237"/>
      <c r="F3" s="3913"/>
      <c r="G3" s="3913"/>
      <c r="H3" s="3913"/>
      <c r="I3" s="3913"/>
      <c r="J3" s="3913"/>
      <c r="K3" s="3913"/>
      <c r="L3" s="3913"/>
      <c r="M3" s="5238"/>
      <c r="N3" s="3913"/>
      <c r="O3" s="3913"/>
      <c r="P3" s="3913"/>
      <c r="Q3" s="3917"/>
      <c r="R3" s="5239"/>
      <c r="S3" s="3919"/>
      <c r="T3" s="3919"/>
      <c r="U3" s="2843">
        <f>[10]Test!$D$29</f>
        <v>8.8618338240314043E-4</v>
      </c>
      <c r="V3" s="2843">
        <f>[10]Test!$D$31</f>
        <v>8.4852966392318248E-4</v>
      </c>
      <c r="W3" s="2843">
        <f>[10]Test!$D$33</f>
        <v>8.2193881826234756E-4</v>
      </c>
      <c r="X3" s="2843">
        <f>[10]Test!$D$35</f>
        <v>7.8419525956492946E-4</v>
      </c>
      <c r="Y3" s="2843">
        <f>[10]Test!$D$37</f>
        <v>7.333144017623571E-4</v>
      </c>
      <c r="Z3" s="2843">
        <f>[10]Test!$D$39</f>
        <v>7.0601851851851847E-4</v>
      </c>
      <c r="AA3" s="3043">
        <f>[10]Test!$D$41</f>
        <v>6.8483796296296294E-4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63" customFormat="1" ht="3.75" customHeight="1" thickBot="1">
      <c r="A4" s="3101"/>
      <c r="B4" s="3923"/>
      <c r="C4" s="4696"/>
      <c r="D4" s="4697"/>
      <c r="E4" s="4696"/>
      <c r="F4" s="4698"/>
      <c r="G4" s="4699"/>
      <c r="H4" s="4699"/>
      <c r="I4" s="4699"/>
      <c r="J4" s="4698"/>
      <c r="K4" s="4699"/>
      <c r="L4" s="4699"/>
      <c r="M4" s="4700"/>
      <c r="N4" s="4701"/>
      <c r="O4" s="4696"/>
      <c r="P4" s="4696"/>
      <c r="Q4" s="4696"/>
      <c r="R4" s="4702"/>
      <c r="S4" s="2842"/>
      <c r="T4" s="2842"/>
      <c r="U4" s="2843">
        <f>U3/4</f>
        <v>2.2154584560078511E-4</v>
      </c>
      <c r="V4" s="2843">
        <f t="shared" ref="V4:AA4" si="0">V3/4</f>
        <v>2.1213241598079562E-4</v>
      </c>
      <c r="W4" s="2843">
        <f t="shared" si="0"/>
        <v>2.0548470456558689E-4</v>
      </c>
      <c r="X4" s="2843">
        <f t="shared" si="0"/>
        <v>1.9604881489123236E-4</v>
      </c>
      <c r="Y4" s="2843">
        <f t="shared" si="0"/>
        <v>1.8332860044058927E-4</v>
      </c>
      <c r="Z4" s="2843">
        <f t="shared" si="0"/>
        <v>1.7650462962962962E-4</v>
      </c>
      <c r="AA4" s="2843">
        <f t="shared" si="0"/>
        <v>1.7120949074074073E-4</v>
      </c>
      <c r="AB4" s="2935"/>
      <c r="AC4" s="2936"/>
      <c r="AD4" s="2937"/>
      <c r="AE4" s="2937"/>
      <c r="AF4" s="2937"/>
      <c r="AG4" s="2937"/>
      <c r="AH4" s="2937"/>
      <c r="AI4" s="2935"/>
      <c r="AJ4" s="2935"/>
      <c r="AK4" s="2935"/>
      <c r="AL4" s="2935"/>
      <c r="AM4" s="2935"/>
      <c r="AN4" s="2935"/>
    </row>
    <row r="5" spans="1:40" ht="12.75" customHeight="1" thickTop="1" thickBot="1">
      <c r="A5" s="5363" t="s">
        <v>214</v>
      </c>
      <c r="B5" s="5363" t="s">
        <v>461</v>
      </c>
      <c r="C5" s="629">
        <f t="shared" ref="C5:C58" si="1">IF(D5=1,U$4,IF(D5=2,V$4,IF(D5=3,W$4,IF(D5=4,X$4,IF(D5=5,Y$4,IF(D5=6,Z$4,IF(D5=7,AA$4,0)))))))</f>
        <v>2.2154584560078511E-4</v>
      </c>
      <c r="D5" s="920">
        <v>1</v>
      </c>
      <c r="E5" s="1979">
        <v>1</v>
      </c>
      <c r="F5" s="1979">
        <v>1</v>
      </c>
      <c r="G5" s="1979">
        <v>400</v>
      </c>
      <c r="H5" s="631"/>
      <c r="I5" s="631">
        <v>0</v>
      </c>
      <c r="J5" s="631">
        <v>1.1574074074074073E-4</v>
      </c>
      <c r="K5" s="632" t="s">
        <v>1531</v>
      </c>
      <c r="L5" s="4765">
        <v>0.80555555555555547</v>
      </c>
      <c r="M5" s="633">
        <v>1.2</v>
      </c>
      <c r="N5" s="631">
        <f>P5*E5*F5+I5*E5*F5+J5*E5</f>
        <v>4.3694209762758151E-3</v>
      </c>
      <c r="O5" s="634">
        <f t="shared" ref="O5:O10" si="2">C5*(G5/25)</f>
        <v>3.5447335296125617E-3</v>
      </c>
      <c r="P5" s="634">
        <f t="shared" ref="P5:P9" si="3">O5*M5</f>
        <v>4.2536802355350742E-3</v>
      </c>
      <c r="Q5" s="635">
        <v>129</v>
      </c>
      <c r="R5" s="4766">
        <f t="shared" ref="R5:R9" si="4">E5*F5*G5</f>
        <v>400</v>
      </c>
      <c r="S5" s="2844">
        <f t="shared" ref="S5" si="5">E5*F5*G5/1000</f>
        <v>0.4</v>
      </c>
      <c r="T5" s="2845">
        <f t="shared" ref="T5" si="6">E5*F5*O5*4</f>
        <v>1.4178934118450247E-2</v>
      </c>
      <c r="U5" s="374">
        <f t="shared" ref="U5" si="7">IF(C5*4&gt;=$U$3,S5,0)</f>
        <v>0.4</v>
      </c>
      <c r="V5" s="2846">
        <f t="shared" ref="V5" si="8">IF(AND(C5*4&gt;=$V$3,C5*4&lt;$U$3),S5,0)</f>
        <v>0</v>
      </c>
      <c r="W5" s="2847">
        <f t="shared" ref="W5" si="9">IF(AND(C5*4&gt;=$W$3,C5*4&lt;$V$3),S5,0)</f>
        <v>0</v>
      </c>
      <c r="X5" s="2848">
        <f t="shared" ref="X5" si="10">IF(AND(C5*4&gt;=$X$3,C5*4&lt;$W$3),S5,0)</f>
        <v>0</v>
      </c>
      <c r="Y5" s="2849">
        <f t="shared" ref="Y5" si="11">IF(AND(C5*4&gt;=$Y$3,C5*4&lt;$X$3),S5,0)</f>
        <v>0</v>
      </c>
      <c r="Z5" s="2850">
        <f t="shared" ref="Z5" si="12">IF(AND(C5*4&gt;=$Z$3,C5*4&lt;$Y$3),S5,0)</f>
        <v>0</v>
      </c>
      <c r="AA5" s="2851">
        <f t="shared" ref="AA5" si="13">IF(AND(C5*4&gt;=$AA$3,C5*4&lt;$Z$3),S5,0)</f>
        <v>0</v>
      </c>
      <c r="AC5" s="2867"/>
      <c r="AD5" s="2867"/>
      <c r="AE5" s="2867"/>
      <c r="AF5" s="2867"/>
      <c r="AG5" s="2867"/>
      <c r="AH5" s="2867"/>
      <c r="AI5" s="2825"/>
      <c r="AJ5" s="2825"/>
      <c r="AK5" s="2825"/>
      <c r="AL5" s="2825"/>
      <c r="AM5" s="2825"/>
    </row>
    <row r="6" spans="1:40" ht="13.25" customHeight="1" thickBot="1">
      <c r="A6" s="5363" t="s">
        <v>459</v>
      </c>
      <c r="B6" s="5363" t="s">
        <v>461</v>
      </c>
      <c r="C6" s="629">
        <f t="shared" si="1"/>
        <v>1.7650462962962962E-4</v>
      </c>
      <c r="D6" s="920">
        <v>6</v>
      </c>
      <c r="E6" s="5240">
        <v>1</v>
      </c>
      <c r="F6" s="5240">
        <v>8</v>
      </c>
      <c r="G6" s="5241">
        <v>50</v>
      </c>
      <c r="H6" s="5242"/>
      <c r="I6" s="5243">
        <v>3.4722222222222224E-4</v>
      </c>
      <c r="J6" s="5243">
        <v>6.9444444444444447E-4</v>
      </c>
      <c r="K6" s="4976" t="s">
        <v>1895</v>
      </c>
      <c r="L6" s="5244">
        <f t="shared" ref="L6:L9" si="14">L5+N5</f>
        <v>0.80992497653183126</v>
      </c>
      <c r="M6" s="5240">
        <v>1.05</v>
      </c>
      <c r="N6" s="5243">
        <f t="shared" ref="N6:N8" si="15">P6*E6*F6+I6*E6*F6+J6*E6</f>
        <v>6.4374999999999996E-3</v>
      </c>
      <c r="O6" s="634">
        <f t="shared" si="2"/>
        <v>3.5300925925925924E-4</v>
      </c>
      <c r="P6" s="3739">
        <f t="shared" si="3"/>
        <v>3.706597222222222E-4</v>
      </c>
      <c r="Q6" s="5245" t="s">
        <v>267</v>
      </c>
      <c r="R6" s="5246">
        <f t="shared" si="4"/>
        <v>400</v>
      </c>
      <c r="S6" s="2844">
        <f t="shared" ref="S6:S58" si="16">E6*F6*G6/1000</f>
        <v>0.4</v>
      </c>
      <c r="T6" s="2845">
        <f t="shared" ref="T6:T58" si="17">E6*F6*O6*4</f>
        <v>1.1296296296296296E-2</v>
      </c>
      <c r="U6" s="374">
        <f t="shared" ref="U6:U58" si="18">IF(C6*4&gt;=$U$3,S6,0)</f>
        <v>0</v>
      </c>
      <c r="V6" s="2846">
        <f t="shared" ref="V6:V58" si="19">IF(AND(C6*4&gt;=$V$3,C6*4&lt;$U$3),S6,0)</f>
        <v>0</v>
      </c>
      <c r="W6" s="2847">
        <f t="shared" ref="W6:W58" si="20">IF(AND(C6*4&gt;=$W$3,C6*4&lt;$V$3),S6,0)</f>
        <v>0</v>
      </c>
      <c r="X6" s="2848">
        <f t="shared" ref="X6:X58" si="21">IF(AND(C6*4&gt;=$X$3,C6*4&lt;$W$3),S6,0)</f>
        <v>0</v>
      </c>
      <c r="Y6" s="2849">
        <f t="shared" ref="Y6:Y58" si="22">IF(AND(C6*4&gt;=$Y$3,C6*4&lt;$X$3),S6,0)</f>
        <v>0</v>
      </c>
      <c r="Z6" s="2850">
        <f t="shared" ref="Z6:Z58" si="23">IF(AND(C6*4&gt;=$Z$3,C6*4&lt;$Y$3),S6,0)</f>
        <v>0.4</v>
      </c>
      <c r="AA6" s="2851">
        <f t="shared" ref="AA6:AA58" si="24">IF(AND(C6*4&gt;=$AA$3,C6*4&lt;$Z$3),S6,0)</f>
        <v>0</v>
      </c>
      <c r="AC6" s="2867"/>
      <c r="AD6" s="2867"/>
      <c r="AE6" s="2867"/>
      <c r="AF6" s="2867"/>
      <c r="AG6" s="2867"/>
      <c r="AH6" s="2867"/>
      <c r="AI6" s="2825"/>
      <c r="AJ6" s="2825"/>
      <c r="AK6" s="2825"/>
      <c r="AL6" s="2825"/>
      <c r="AM6" s="2825"/>
    </row>
    <row r="7" spans="1:40" ht="13.25" customHeight="1" thickBot="1">
      <c r="A7" s="5363" t="s">
        <v>460</v>
      </c>
      <c r="B7" s="5484">
        <v>14</v>
      </c>
      <c r="C7" s="629">
        <f t="shared" si="1"/>
        <v>1.7120949074074073E-4</v>
      </c>
      <c r="D7" s="920">
        <v>7</v>
      </c>
      <c r="E7" s="5247">
        <v>3</v>
      </c>
      <c r="F7" s="5248">
        <v>1</v>
      </c>
      <c r="G7" s="5249">
        <v>40</v>
      </c>
      <c r="H7" s="5481" t="s">
        <v>1368</v>
      </c>
      <c r="I7" s="5250">
        <v>6.9444444444444447E-4</v>
      </c>
      <c r="J7" s="5251">
        <v>1.3888888888888889E-3</v>
      </c>
      <c r="K7" s="5252" t="s">
        <v>2105</v>
      </c>
      <c r="L7" s="5253">
        <f t="shared" si="14"/>
        <v>0.81636247653183125</v>
      </c>
      <c r="M7" s="5254">
        <v>1</v>
      </c>
      <c r="N7" s="5251">
        <f t="shared" si="15"/>
        <v>7.0718055555555551E-3</v>
      </c>
      <c r="O7" s="634">
        <f t="shared" si="2"/>
        <v>2.7393518518518516E-4</v>
      </c>
      <c r="P7" s="2517">
        <f t="shared" si="3"/>
        <v>2.7393518518518516E-4</v>
      </c>
      <c r="Q7" s="5255" t="s">
        <v>316</v>
      </c>
      <c r="R7" s="4316">
        <f t="shared" si="4"/>
        <v>120</v>
      </c>
      <c r="S7" s="2844">
        <f t="shared" si="16"/>
        <v>0.12</v>
      </c>
      <c r="T7" s="2845">
        <f t="shared" si="17"/>
        <v>3.2872222222222218E-3</v>
      </c>
      <c r="U7" s="374">
        <f t="shared" si="18"/>
        <v>0</v>
      </c>
      <c r="V7" s="2846">
        <f t="shared" si="19"/>
        <v>0</v>
      </c>
      <c r="W7" s="2847">
        <f t="shared" si="20"/>
        <v>0</v>
      </c>
      <c r="X7" s="2848">
        <f t="shared" si="21"/>
        <v>0</v>
      </c>
      <c r="Y7" s="2849">
        <f t="shared" si="22"/>
        <v>0</v>
      </c>
      <c r="Z7" s="2850">
        <f t="shared" si="23"/>
        <v>0</v>
      </c>
      <c r="AA7" s="2851">
        <f t="shared" si="24"/>
        <v>0.12</v>
      </c>
      <c r="AC7" s="2867"/>
      <c r="AD7" s="2867"/>
      <c r="AE7" s="2867"/>
      <c r="AF7" s="2867"/>
      <c r="AG7" s="2867"/>
      <c r="AH7" s="2867"/>
      <c r="AI7" s="2825"/>
      <c r="AJ7" s="2825"/>
      <c r="AK7" s="2825"/>
      <c r="AL7" s="2825"/>
      <c r="AM7" s="2825"/>
    </row>
    <row r="8" spans="1:40" ht="16.25" customHeight="1" thickBot="1">
      <c r="A8" s="5363" t="s">
        <v>458</v>
      </c>
      <c r="B8" s="5363" t="s">
        <v>461</v>
      </c>
      <c r="C8" s="629">
        <f t="shared" si="1"/>
        <v>1.7120949074074073E-4</v>
      </c>
      <c r="D8" s="920">
        <v>7</v>
      </c>
      <c r="E8" s="5247">
        <v>1</v>
      </c>
      <c r="F8" s="5248">
        <v>5</v>
      </c>
      <c r="G8" s="5249">
        <v>60</v>
      </c>
      <c r="H8" s="5482" t="s">
        <v>1370</v>
      </c>
      <c r="I8" s="5250">
        <v>1.8518518518518517E-3</v>
      </c>
      <c r="J8" s="5251">
        <v>1.3888888888888889E-3</v>
      </c>
      <c r="K8" s="5252" t="s">
        <v>2106</v>
      </c>
      <c r="L8" s="5253">
        <f t="shared" si="14"/>
        <v>0.82343428208738678</v>
      </c>
      <c r="M8" s="5254">
        <v>1</v>
      </c>
      <c r="N8" s="5251">
        <f t="shared" si="15"/>
        <v>1.2702662037037037E-2</v>
      </c>
      <c r="O8" s="634">
        <f t="shared" si="2"/>
        <v>4.1090277777777777E-4</v>
      </c>
      <c r="P8" s="2517">
        <f t="shared" si="3"/>
        <v>4.1090277777777777E-4</v>
      </c>
      <c r="Q8" s="5255" t="s">
        <v>316</v>
      </c>
      <c r="R8" s="4316">
        <f t="shared" si="4"/>
        <v>300</v>
      </c>
      <c r="S8" s="2844">
        <f t="shared" si="16"/>
        <v>0.3</v>
      </c>
      <c r="T8" s="2845">
        <f t="shared" si="17"/>
        <v>8.2180555555555548E-3</v>
      </c>
      <c r="U8" s="374">
        <f t="shared" si="18"/>
        <v>0</v>
      </c>
      <c r="V8" s="2846">
        <f t="shared" si="19"/>
        <v>0</v>
      </c>
      <c r="W8" s="2847">
        <f t="shared" si="20"/>
        <v>0</v>
      </c>
      <c r="X8" s="2848">
        <f t="shared" si="21"/>
        <v>0</v>
      </c>
      <c r="Y8" s="2849">
        <f t="shared" si="22"/>
        <v>0</v>
      </c>
      <c r="Z8" s="2850">
        <f t="shared" si="23"/>
        <v>0</v>
      </c>
      <c r="AA8" s="2851">
        <f t="shared" si="24"/>
        <v>0.3</v>
      </c>
      <c r="AC8" s="2867"/>
      <c r="AD8" s="2867"/>
      <c r="AE8" s="2867"/>
      <c r="AF8" s="2867"/>
      <c r="AG8" s="2867"/>
      <c r="AH8" s="2867"/>
      <c r="AI8" s="2825"/>
      <c r="AJ8" s="2825"/>
      <c r="AK8" s="2825"/>
      <c r="AL8" s="2825"/>
      <c r="AM8" s="2825"/>
      <c r="AN8" s="1"/>
    </row>
    <row r="9" spans="1:40" ht="14" customHeight="1" thickBot="1">
      <c r="A9" s="5363" t="s">
        <v>219</v>
      </c>
      <c r="B9" s="5363" t="s">
        <v>461</v>
      </c>
      <c r="C9" s="629">
        <f t="shared" si="1"/>
        <v>2.0548470456558689E-4</v>
      </c>
      <c r="D9" s="5256">
        <v>3</v>
      </c>
      <c r="E9" s="5257">
        <v>1</v>
      </c>
      <c r="F9" s="5257">
        <v>1</v>
      </c>
      <c r="G9" s="5258">
        <v>400</v>
      </c>
      <c r="H9" s="5259"/>
      <c r="I9" s="5260">
        <v>1.7361111111111112E-4</v>
      </c>
      <c r="J9" s="5260">
        <v>1.3888888888888889E-3</v>
      </c>
      <c r="K9" s="5257" t="s">
        <v>1372</v>
      </c>
      <c r="L9" s="5261">
        <f t="shared" si="14"/>
        <v>0.83613694412442385</v>
      </c>
      <c r="M9" s="5262">
        <v>1.1000000000000001</v>
      </c>
      <c r="N9" s="5260">
        <f t="shared" ref="N9:N10" si="25">P9*E9*F9+I9*F9*E9+J9*E9</f>
        <v>5.1790308003543291E-3</v>
      </c>
      <c r="O9" s="634">
        <f t="shared" si="2"/>
        <v>3.2877552730493902E-3</v>
      </c>
      <c r="P9" s="5263">
        <f t="shared" si="3"/>
        <v>3.6165308003543294E-3</v>
      </c>
      <c r="Q9" s="5264">
        <v>160</v>
      </c>
      <c r="R9" s="5257">
        <f t="shared" si="4"/>
        <v>400</v>
      </c>
      <c r="S9" s="2844">
        <f t="shared" si="16"/>
        <v>0.4</v>
      </c>
      <c r="T9" s="2845">
        <f t="shared" si="17"/>
        <v>1.3151021092197561E-2</v>
      </c>
      <c r="U9" s="374">
        <f t="shared" si="18"/>
        <v>0</v>
      </c>
      <c r="V9" s="2846">
        <f t="shared" si="19"/>
        <v>0</v>
      </c>
      <c r="W9" s="2847">
        <f t="shared" si="20"/>
        <v>0.4</v>
      </c>
      <c r="X9" s="2848">
        <f t="shared" si="21"/>
        <v>0</v>
      </c>
      <c r="Y9" s="2849">
        <f t="shared" si="22"/>
        <v>0</v>
      </c>
      <c r="Z9" s="2850">
        <f t="shared" si="23"/>
        <v>0</v>
      </c>
      <c r="AA9" s="2851">
        <f t="shared" si="24"/>
        <v>0</v>
      </c>
      <c r="AC9" s="2867"/>
      <c r="AD9" s="2867"/>
      <c r="AE9" s="2867"/>
      <c r="AF9" s="2867"/>
      <c r="AG9" s="2867"/>
      <c r="AH9" s="2867"/>
      <c r="AI9" s="2825"/>
      <c r="AJ9" s="2825"/>
      <c r="AK9" s="2825"/>
      <c r="AL9" s="2825"/>
      <c r="AM9" s="2825"/>
      <c r="AN9" s="1"/>
    </row>
    <row r="10" spans="1:40" ht="14" customHeight="1" thickBot="1">
      <c r="A10" s="5363"/>
      <c r="B10" s="5363" t="s">
        <v>461</v>
      </c>
      <c r="C10" s="629">
        <f t="shared" si="1"/>
        <v>1.7120949074074073E-4</v>
      </c>
      <c r="D10" s="920">
        <v>7</v>
      </c>
      <c r="E10" s="5247">
        <v>1</v>
      </c>
      <c r="F10" s="5247">
        <v>6</v>
      </c>
      <c r="G10" s="5247">
        <v>15</v>
      </c>
      <c r="H10" s="5265"/>
      <c r="I10" s="5251">
        <v>2.4305555555555556E-3</v>
      </c>
      <c r="J10" s="5251">
        <v>6.9444444444444447E-4</v>
      </c>
      <c r="K10" s="5252" t="s">
        <v>2107</v>
      </c>
      <c r="L10" s="5253">
        <f>L9+N9</f>
        <v>0.84131597492477816</v>
      </c>
      <c r="M10" s="5254">
        <v>1</v>
      </c>
      <c r="N10" s="5251">
        <f t="shared" si="25"/>
        <v>1.5894131944444445E-2</v>
      </c>
      <c r="O10" s="634">
        <f t="shared" si="2"/>
        <v>1.0272569444444444E-4</v>
      </c>
      <c r="P10" s="2517">
        <f>O10*M10</f>
        <v>1.0272569444444444E-4</v>
      </c>
      <c r="Q10" s="5255"/>
      <c r="R10" s="4316">
        <f>E10*F10*G10</f>
        <v>90</v>
      </c>
      <c r="S10" s="2844">
        <f t="shared" si="16"/>
        <v>0.09</v>
      </c>
      <c r="T10" s="2845">
        <f t="shared" si="17"/>
        <v>2.4654166666666665E-3</v>
      </c>
      <c r="U10" s="374">
        <f t="shared" si="18"/>
        <v>0</v>
      </c>
      <c r="V10" s="2846">
        <f t="shared" si="19"/>
        <v>0</v>
      </c>
      <c r="W10" s="2847">
        <f t="shared" si="20"/>
        <v>0</v>
      </c>
      <c r="X10" s="2848">
        <f t="shared" si="21"/>
        <v>0</v>
      </c>
      <c r="Y10" s="2849">
        <f t="shared" si="22"/>
        <v>0</v>
      </c>
      <c r="Z10" s="2850">
        <f t="shared" si="23"/>
        <v>0</v>
      </c>
      <c r="AA10" s="2851">
        <f t="shared" si="24"/>
        <v>0.09</v>
      </c>
      <c r="AC10" s="2867"/>
      <c r="AD10" s="2867"/>
      <c r="AE10" s="2867"/>
      <c r="AF10" s="2867"/>
      <c r="AG10" s="2867"/>
      <c r="AH10" s="2867"/>
      <c r="AI10" s="2825"/>
      <c r="AJ10" s="2825"/>
      <c r="AK10" s="2825"/>
      <c r="AL10" s="2825"/>
      <c r="AM10" s="2825"/>
      <c r="AN10" s="1"/>
    </row>
    <row r="11" spans="1:40" ht="14" customHeight="1" thickBot="1">
      <c r="A11" s="4786"/>
      <c r="B11" s="4787"/>
      <c r="C11" s="629">
        <f t="shared" si="1"/>
        <v>0</v>
      </c>
      <c r="D11" s="920"/>
      <c r="E11" s="5266"/>
      <c r="F11" s="5266"/>
      <c r="G11" s="5266"/>
      <c r="H11" s="5267"/>
      <c r="I11" s="5267"/>
      <c r="J11" s="5267"/>
      <c r="K11" s="5268"/>
      <c r="L11" s="5269">
        <f>L10+N10</f>
        <v>0.85721010686922261</v>
      </c>
      <c r="M11" s="5270"/>
      <c r="N11" s="5271"/>
      <c r="O11" s="5267"/>
      <c r="P11" s="5271"/>
      <c r="Q11" s="5272"/>
      <c r="R11" s="5273">
        <f>SUM(R5:R10)</f>
        <v>1710</v>
      </c>
      <c r="S11" s="2844">
        <f t="shared" si="16"/>
        <v>0</v>
      </c>
      <c r="T11" s="2845">
        <f t="shared" si="17"/>
        <v>0</v>
      </c>
      <c r="U11" s="374">
        <f t="shared" si="18"/>
        <v>0</v>
      </c>
      <c r="V11" s="2846">
        <f t="shared" si="19"/>
        <v>0</v>
      </c>
      <c r="W11" s="2847">
        <f t="shared" si="20"/>
        <v>0</v>
      </c>
      <c r="X11" s="2848">
        <f t="shared" si="21"/>
        <v>0</v>
      </c>
      <c r="Y11" s="2849">
        <f t="shared" si="22"/>
        <v>0</v>
      </c>
      <c r="Z11" s="2850">
        <f t="shared" si="23"/>
        <v>0</v>
      </c>
      <c r="AA11" s="2851">
        <f t="shared" si="24"/>
        <v>0</v>
      </c>
      <c r="AC11" s="2867"/>
      <c r="AD11" s="2867"/>
      <c r="AE11" s="2867"/>
      <c r="AF11" s="2867"/>
      <c r="AG11" s="2867"/>
      <c r="AH11" s="2867"/>
      <c r="AI11" s="2825"/>
      <c r="AJ11" s="2825"/>
      <c r="AK11" s="2825"/>
      <c r="AL11" s="2825"/>
      <c r="AM11" s="2825"/>
      <c r="AN11" s="1"/>
    </row>
    <row r="12" spans="1:40" ht="12.75" customHeight="1" thickBot="1">
      <c r="A12" s="5274" t="s">
        <v>215</v>
      </c>
      <c r="B12" s="5275" t="s">
        <v>215</v>
      </c>
      <c r="C12" s="629">
        <f t="shared" si="1"/>
        <v>2.2154584560078511E-4</v>
      </c>
      <c r="D12" s="5276">
        <v>1</v>
      </c>
      <c r="E12" s="5277">
        <v>1</v>
      </c>
      <c r="F12" s="5277">
        <v>1</v>
      </c>
      <c r="G12" s="5277">
        <v>300</v>
      </c>
      <c r="H12" s="5278"/>
      <c r="I12" s="5278">
        <v>1.1574074074074073E-4</v>
      </c>
      <c r="J12" s="5278">
        <v>6.9444444444444447E-4</v>
      </c>
      <c r="K12" s="5279" t="s">
        <v>925</v>
      </c>
      <c r="L12" s="5280">
        <v>0.2986111111111111</v>
      </c>
      <c r="M12" s="5281">
        <v>1</v>
      </c>
      <c r="N12" s="5282">
        <f t="shared" ref="N12:N21" si="26">P12*E12*F12+I12*E12*F12+J12*E12</f>
        <v>3.4687353323946068E-3</v>
      </c>
      <c r="O12" s="5283">
        <f t="shared" ref="O12" si="27">C12*(G12/25)</f>
        <v>2.6585501472094213E-3</v>
      </c>
      <c r="P12" s="5283">
        <f t="shared" ref="P12:P21" si="28">O12*M12</f>
        <v>2.6585501472094213E-3</v>
      </c>
      <c r="Q12" s="5284">
        <v>129</v>
      </c>
      <c r="R12" s="5285">
        <f t="shared" ref="R12:R22" si="29">E12*F12*G12</f>
        <v>300</v>
      </c>
      <c r="S12" s="2844">
        <f t="shared" si="16"/>
        <v>0.3</v>
      </c>
      <c r="T12" s="2845">
        <f t="shared" si="17"/>
        <v>1.0634200588837685E-2</v>
      </c>
      <c r="U12" s="374">
        <f t="shared" si="18"/>
        <v>0.3</v>
      </c>
      <c r="V12" s="2846">
        <f t="shared" si="19"/>
        <v>0</v>
      </c>
      <c r="W12" s="2847">
        <f t="shared" si="20"/>
        <v>0</v>
      </c>
      <c r="X12" s="2848">
        <f t="shared" si="21"/>
        <v>0</v>
      </c>
      <c r="Y12" s="2849">
        <f t="shared" si="22"/>
        <v>0</v>
      </c>
      <c r="Z12" s="2850">
        <f t="shared" si="23"/>
        <v>0</v>
      </c>
      <c r="AA12" s="2851">
        <f t="shared" si="24"/>
        <v>0</v>
      </c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  <c r="AN12" s="1"/>
    </row>
    <row r="13" spans="1:40" ht="12.75" customHeight="1" thickBot="1">
      <c r="A13" s="5274"/>
      <c r="B13" s="5275" t="s">
        <v>215</v>
      </c>
      <c r="C13" s="629">
        <f t="shared" si="1"/>
        <v>2.1213241598079562E-4</v>
      </c>
      <c r="D13" s="2302">
        <v>2</v>
      </c>
      <c r="E13" s="2923">
        <v>1</v>
      </c>
      <c r="F13" s="2923">
        <v>12</v>
      </c>
      <c r="G13" s="2923">
        <v>50</v>
      </c>
      <c r="H13" s="2256" t="s">
        <v>1628</v>
      </c>
      <c r="I13" s="2324">
        <v>1.3888888888888889E-4</v>
      </c>
      <c r="J13" s="2324">
        <v>1.3888888888888889E-3</v>
      </c>
      <c r="K13" s="2278" t="s">
        <v>670</v>
      </c>
      <c r="L13" s="3645">
        <f t="shared" ref="L13:L15" si="30">L12+N12</f>
        <v>0.30207984644350572</v>
      </c>
      <c r="M13" s="2305">
        <v>1.2</v>
      </c>
      <c r="N13" s="5215">
        <f t="shared" si="26"/>
        <v>9.4093456790123459E-3</v>
      </c>
      <c r="O13" s="2307">
        <f>C13*(G13/25)*1.04</f>
        <v>4.4123542524005492E-4</v>
      </c>
      <c r="P13" s="2307">
        <f t="shared" si="28"/>
        <v>5.2948251028806588E-4</v>
      </c>
      <c r="Q13" s="2282"/>
      <c r="R13" s="3658">
        <f t="shared" si="29"/>
        <v>600</v>
      </c>
      <c r="S13" s="2844">
        <f t="shared" ref="S13:S15" si="31">E13*F13*G13/1000</f>
        <v>0.6</v>
      </c>
      <c r="T13" s="2845">
        <f t="shared" ref="T13:T15" si="32">E13*F13*O13*4</f>
        <v>2.1179300411522637E-2</v>
      </c>
      <c r="U13" s="374">
        <f t="shared" ref="U13:U15" si="33">IF(C13*4&gt;=$U$3,S13,0)</f>
        <v>0</v>
      </c>
      <c r="V13" s="2846">
        <f t="shared" ref="V13:V15" si="34">IF(AND(C13*4&gt;=$V$3,C13*4&lt;$U$3),S13,0)</f>
        <v>0.6</v>
      </c>
      <c r="W13" s="2847">
        <f t="shared" ref="W13:W15" si="35">IF(AND(C13*4&gt;=$W$3,C13*4&lt;$V$3),S13,0)</f>
        <v>0</v>
      </c>
      <c r="X13" s="2848">
        <f t="shared" ref="X13:X15" si="36">IF(AND(C13*4&gt;=$X$3,C13*4&lt;$W$3),S13,0)</f>
        <v>0</v>
      </c>
      <c r="Y13" s="2849">
        <f t="shared" ref="Y13:Y15" si="37">IF(AND(C13*4&gt;=$Y$3,C13*4&lt;$X$3),S13,0)</f>
        <v>0</v>
      </c>
      <c r="Z13" s="2850">
        <f t="shared" ref="Z13:Z15" si="38">IF(AND(C13*4&gt;=$Z$3,C13*4&lt;$Y$3),S13,0)</f>
        <v>0</v>
      </c>
      <c r="AA13" s="2851">
        <f t="shared" ref="AA13:AA15" si="39">IF(AND(C13*4&gt;=$AA$3,C13*4&lt;$Z$3),S13,0)</f>
        <v>0</v>
      </c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  <c r="AN13" s="1"/>
    </row>
    <row r="14" spans="1:40" ht="12.75" customHeight="1" thickBot="1">
      <c r="A14" s="5274"/>
      <c r="B14" s="5275" t="s">
        <v>215</v>
      </c>
      <c r="C14" s="629">
        <f t="shared" si="1"/>
        <v>2.0548470456558689E-4</v>
      </c>
      <c r="D14" s="3559">
        <v>3</v>
      </c>
      <c r="E14" s="3499">
        <v>1</v>
      </c>
      <c r="F14" s="3499">
        <v>4</v>
      </c>
      <c r="G14" s="3499">
        <v>50</v>
      </c>
      <c r="H14" s="2256" t="s">
        <v>1628</v>
      </c>
      <c r="I14" s="2314">
        <v>4.6296296296296293E-4</v>
      </c>
      <c r="J14" s="2314">
        <v>2.0833333333333333E-3</v>
      </c>
      <c r="K14" s="2310" t="s">
        <v>703</v>
      </c>
      <c r="L14" s="3646">
        <f t="shared" si="30"/>
        <v>0.31148919212251808</v>
      </c>
      <c r="M14" s="2312">
        <v>1</v>
      </c>
      <c r="N14" s="5216">
        <f t="shared" si="26"/>
        <v>5.6448179271708677E-3</v>
      </c>
      <c r="O14" s="2314">
        <f>C14*(G14/25)*1.04</f>
        <v>4.2740818549642074E-4</v>
      </c>
      <c r="P14" s="2315">
        <f t="shared" si="28"/>
        <v>4.2740818549642074E-4</v>
      </c>
      <c r="Q14" s="2274"/>
      <c r="R14" s="3659">
        <f t="shared" si="29"/>
        <v>200</v>
      </c>
      <c r="S14" s="2844">
        <f t="shared" si="31"/>
        <v>0.2</v>
      </c>
      <c r="T14" s="2845">
        <f t="shared" si="32"/>
        <v>6.8385309679427318E-3</v>
      </c>
      <c r="U14" s="374">
        <f t="shared" si="33"/>
        <v>0</v>
      </c>
      <c r="V14" s="2846">
        <f t="shared" si="34"/>
        <v>0</v>
      </c>
      <c r="W14" s="2847">
        <f t="shared" si="35"/>
        <v>0.2</v>
      </c>
      <c r="X14" s="2848">
        <f t="shared" si="36"/>
        <v>0</v>
      </c>
      <c r="Y14" s="2849">
        <f t="shared" si="37"/>
        <v>0</v>
      </c>
      <c r="Z14" s="2850">
        <f t="shared" si="38"/>
        <v>0</v>
      </c>
      <c r="AA14" s="2851">
        <f t="shared" si="39"/>
        <v>0</v>
      </c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  <c r="AN14" s="1"/>
    </row>
    <row r="15" spans="1:40" ht="12.75" customHeight="1" thickBot="1">
      <c r="A15" s="5274"/>
      <c r="B15" s="5275" t="s">
        <v>215</v>
      </c>
      <c r="C15" s="629">
        <f t="shared" si="1"/>
        <v>2.0548470456558689E-4</v>
      </c>
      <c r="D15" s="3559">
        <v>3</v>
      </c>
      <c r="E15" s="3499">
        <v>1</v>
      </c>
      <c r="F15" s="3499">
        <v>2</v>
      </c>
      <c r="G15" s="3499">
        <v>50</v>
      </c>
      <c r="H15" s="3625" t="s">
        <v>1652</v>
      </c>
      <c r="I15" s="2314">
        <v>4.6296296296296293E-4</v>
      </c>
      <c r="J15" s="2314">
        <v>3.4722222222222224E-4</v>
      </c>
      <c r="K15" s="2310" t="s">
        <v>1653</v>
      </c>
      <c r="L15" s="3646">
        <f t="shared" si="30"/>
        <v>0.31713401004968894</v>
      </c>
      <c r="M15" s="2312">
        <v>1.05</v>
      </c>
      <c r="N15" s="5216">
        <f t="shared" si="26"/>
        <v>2.1361839073236132E-3</v>
      </c>
      <c r="O15" s="2314">
        <f>C15*(G15/25)</f>
        <v>4.1096940913117378E-4</v>
      </c>
      <c r="P15" s="2315">
        <f t="shared" si="28"/>
        <v>4.3151787958773248E-4</v>
      </c>
      <c r="Q15" s="2274"/>
      <c r="R15" s="3659">
        <f t="shared" si="29"/>
        <v>100</v>
      </c>
      <c r="S15" s="2844">
        <f t="shared" si="31"/>
        <v>0.1</v>
      </c>
      <c r="T15" s="2845">
        <f t="shared" si="32"/>
        <v>3.2877552730493902E-3</v>
      </c>
      <c r="U15" s="374">
        <f t="shared" si="33"/>
        <v>0</v>
      </c>
      <c r="V15" s="2846">
        <f t="shared" si="34"/>
        <v>0</v>
      </c>
      <c r="W15" s="2847">
        <f t="shared" si="35"/>
        <v>0.1</v>
      </c>
      <c r="X15" s="2848">
        <f t="shared" si="36"/>
        <v>0</v>
      </c>
      <c r="Y15" s="2849">
        <f t="shared" si="37"/>
        <v>0</v>
      </c>
      <c r="Z15" s="2850">
        <f t="shared" si="38"/>
        <v>0</v>
      </c>
      <c r="AA15" s="2851">
        <f t="shared" si="39"/>
        <v>0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  <c r="AN15" s="1"/>
    </row>
    <row r="16" spans="1:40" ht="12.75" customHeight="1" thickBot="1">
      <c r="A16" s="5274" t="s">
        <v>138</v>
      </c>
      <c r="B16" s="5275" t="s">
        <v>215</v>
      </c>
      <c r="C16" s="629">
        <f t="shared" si="1"/>
        <v>1.7650462962962962E-4</v>
      </c>
      <c r="D16" s="2309">
        <v>6</v>
      </c>
      <c r="E16" s="4559">
        <v>1</v>
      </c>
      <c r="F16" s="4559">
        <v>1</v>
      </c>
      <c r="G16" s="4559">
        <v>100</v>
      </c>
      <c r="H16" s="4559"/>
      <c r="I16" s="4560">
        <v>3.4722222222222224E-4</v>
      </c>
      <c r="J16" s="4560">
        <v>6.9444444444444441E-3</v>
      </c>
      <c r="K16" s="4561" t="s">
        <v>974</v>
      </c>
      <c r="L16" s="4560">
        <f>L15+N16</f>
        <v>0.32519523690154079</v>
      </c>
      <c r="M16" s="4562">
        <v>1.0900000000000001</v>
      </c>
      <c r="N16" s="4560">
        <f t="shared" si="26"/>
        <v>8.0612268518518507E-3</v>
      </c>
      <c r="O16" s="4563">
        <f>C16*(G16/25)</f>
        <v>7.0601851851851847E-4</v>
      </c>
      <c r="P16" s="4686">
        <f t="shared" si="28"/>
        <v>7.6956018518518519E-4</v>
      </c>
      <c r="Q16" s="4565">
        <v>177</v>
      </c>
      <c r="R16" s="4559">
        <f t="shared" si="29"/>
        <v>100</v>
      </c>
      <c r="S16" s="2844">
        <f t="shared" si="16"/>
        <v>0.1</v>
      </c>
      <c r="T16" s="2845">
        <f t="shared" si="17"/>
        <v>2.8240740740740739E-3</v>
      </c>
      <c r="U16" s="374">
        <f t="shared" si="18"/>
        <v>0</v>
      </c>
      <c r="V16" s="2846">
        <f t="shared" si="19"/>
        <v>0</v>
      </c>
      <c r="W16" s="2847">
        <f t="shared" si="20"/>
        <v>0</v>
      </c>
      <c r="X16" s="2848">
        <f t="shared" si="21"/>
        <v>0</v>
      </c>
      <c r="Y16" s="2849">
        <f t="shared" si="22"/>
        <v>0</v>
      </c>
      <c r="Z16" s="2850">
        <f t="shared" si="23"/>
        <v>0.1</v>
      </c>
      <c r="AA16" s="2851">
        <f t="shared" si="24"/>
        <v>0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  <c r="AN16" s="1"/>
    </row>
    <row r="17" spans="1:40" ht="12.75" customHeight="1" thickBot="1">
      <c r="A17" s="5274" t="s">
        <v>462</v>
      </c>
      <c r="B17" s="5275" t="s">
        <v>215</v>
      </c>
      <c r="C17" s="629">
        <f t="shared" si="1"/>
        <v>1.7650462962962962E-4</v>
      </c>
      <c r="D17" s="2309">
        <v>6</v>
      </c>
      <c r="E17" s="4559">
        <v>1</v>
      </c>
      <c r="F17" s="4559">
        <v>1</v>
      </c>
      <c r="G17" s="4559">
        <v>75</v>
      </c>
      <c r="H17" s="4559"/>
      <c r="I17" s="4560">
        <v>6.9444444444444447E-4</v>
      </c>
      <c r="J17" s="4560">
        <v>3.472222222222222E-3</v>
      </c>
      <c r="K17" s="4561" t="s">
        <v>974</v>
      </c>
      <c r="L17" s="4560">
        <f>L12+N12</f>
        <v>0.30207984644350572</v>
      </c>
      <c r="M17" s="4562">
        <v>1.08</v>
      </c>
      <c r="N17" s="4560">
        <f t="shared" si="26"/>
        <v>4.7499791666666662E-3</v>
      </c>
      <c r="O17" s="4563">
        <f>C17*(G17/25)*1.02</f>
        <v>5.401041666666666E-4</v>
      </c>
      <c r="P17" s="4686">
        <f t="shared" si="28"/>
        <v>5.8331249999999996E-4</v>
      </c>
      <c r="Q17" s="4565">
        <v>177</v>
      </c>
      <c r="R17" s="4559">
        <f t="shared" si="29"/>
        <v>75</v>
      </c>
      <c r="S17" s="2844">
        <f t="shared" si="16"/>
        <v>7.4999999999999997E-2</v>
      </c>
      <c r="T17" s="2845">
        <f t="shared" si="17"/>
        <v>2.1604166666666664E-3</v>
      </c>
      <c r="U17" s="374">
        <f t="shared" si="18"/>
        <v>0</v>
      </c>
      <c r="V17" s="2846">
        <f t="shared" si="19"/>
        <v>0</v>
      </c>
      <c r="W17" s="2847">
        <f t="shared" si="20"/>
        <v>0</v>
      </c>
      <c r="X17" s="2848">
        <f t="shared" si="21"/>
        <v>0</v>
      </c>
      <c r="Y17" s="2849">
        <f t="shared" si="22"/>
        <v>0</v>
      </c>
      <c r="Z17" s="2850">
        <f t="shared" si="23"/>
        <v>7.4999999999999997E-2</v>
      </c>
      <c r="AA17" s="2851">
        <f t="shared" si="24"/>
        <v>0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  <c r="AN17" s="1"/>
    </row>
    <row r="18" spans="1:40" ht="12.75" customHeight="1" thickBot="1">
      <c r="A18" s="5274" t="s">
        <v>461</v>
      </c>
      <c r="B18" s="5483">
        <v>13</v>
      </c>
      <c r="C18" s="629">
        <f t="shared" si="1"/>
        <v>1.7650462962962962E-4</v>
      </c>
      <c r="D18" s="2309">
        <v>6</v>
      </c>
      <c r="E18" s="4559">
        <v>1</v>
      </c>
      <c r="F18" s="4559">
        <v>1</v>
      </c>
      <c r="G18" s="4559">
        <v>50</v>
      </c>
      <c r="H18" s="4559"/>
      <c r="I18" s="4560">
        <v>6.9444444444444447E-4</v>
      </c>
      <c r="J18" s="4560">
        <v>3.472222222222222E-3</v>
      </c>
      <c r="K18" s="4561" t="s">
        <v>974</v>
      </c>
      <c r="L18" s="5186">
        <f>L16+N16</f>
        <v>0.33325646375339263</v>
      </c>
      <c r="M18" s="4562">
        <v>1.07</v>
      </c>
      <c r="N18" s="4560">
        <f t="shared" si="26"/>
        <v>4.551940972222222E-3</v>
      </c>
      <c r="O18" s="4563">
        <f>C18*(G18/25)*1.02</f>
        <v>3.6006944444444443E-4</v>
      </c>
      <c r="P18" s="5184">
        <f t="shared" si="28"/>
        <v>3.8527430555555559E-4</v>
      </c>
      <c r="Q18" s="4565">
        <v>177</v>
      </c>
      <c r="R18" s="4559">
        <f t="shared" si="29"/>
        <v>50</v>
      </c>
      <c r="S18" s="2844">
        <f t="shared" si="16"/>
        <v>0.05</v>
      </c>
      <c r="T18" s="2845">
        <f t="shared" si="17"/>
        <v>1.4402777777777777E-3</v>
      </c>
      <c r="U18" s="374">
        <f t="shared" si="18"/>
        <v>0</v>
      </c>
      <c r="V18" s="2846">
        <f t="shared" si="19"/>
        <v>0</v>
      </c>
      <c r="W18" s="2847">
        <f t="shared" si="20"/>
        <v>0</v>
      </c>
      <c r="X18" s="2848">
        <f t="shared" si="21"/>
        <v>0</v>
      </c>
      <c r="Y18" s="2849">
        <f t="shared" si="22"/>
        <v>0</v>
      </c>
      <c r="Z18" s="2850">
        <f t="shared" si="23"/>
        <v>0.05</v>
      </c>
      <c r="AA18" s="2851">
        <f t="shared" si="24"/>
        <v>0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1"/>
    </row>
    <row r="19" spans="1:40" ht="12.75" customHeight="1" thickBot="1">
      <c r="A19" s="5274" t="s">
        <v>458</v>
      </c>
      <c r="B19" s="5275" t="s">
        <v>215</v>
      </c>
      <c r="C19" s="629">
        <f t="shared" si="1"/>
        <v>1.7650462962962962E-4</v>
      </c>
      <c r="D19" s="5223">
        <v>6</v>
      </c>
      <c r="E19" s="5225">
        <v>1</v>
      </c>
      <c r="F19" s="5223">
        <v>1</v>
      </c>
      <c r="G19" s="4559">
        <v>35</v>
      </c>
      <c r="H19" s="5222">
        <v>1</v>
      </c>
      <c r="I19" s="4560">
        <v>0</v>
      </c>
      <c r="J19" s="4560">
        <v>4.6296296296296293E-4</v>
      </c>
      <c r="K19" s="4561" t="s">
        <v>2096</v>
      </c>
      <c r="L19" s="5186">
        <f t="shared" ref="L19:L21" si="40">L18+N18</f>
        <v>0.33780840472561485</v>
      </c>
      <c r="M19" s="4562">
        <v>0.9</v>
      </c>
      <c r="N19" s="5186">
        <f t="shared" si="26"/>
        <v>6.8980671296296292E-4</v>
      </c>
      <c r="O19" s="4563">
        <f>C19*(G19/25)*1.02</f>
        <v>2.5204861111111109E-4</v>
      </c>
      <c r="P19" s="5184">
        <f t="shared" si="28"/>
        <v>2.2684374999999999E-4</v>
      </c>
      <c r="Q19" s="4565">
        <v>177</v>
      </c>
      <c r="R19" s="4559">
        <f t="shared" si="29"/>
        <v>35</v>
      </c>
      <c r="S19" s="2844">
        <f t="shared" si="16"/>
        <v>3.5000000000000003E-2</v>
      </c>
      <c r="T19" s="2845">
        <f t="shared" si="17"/>
        <v>1.0081944444444444E-3</v>
      </c>
      <c r="U19" s="374">
        <f t="shared" si="18"/>
        <v>0</v>
      </c>
      <c r="V19" s="2846">
        <f t="shared" si="19"/>
        <v>0</v>
      </c>
      <c r="W19" s="2847">
        <f t="shared" si="20"/>
        <v>0</v>
      </c>
      <c r="X19" s="2848">
        <f t="shared" si="21"/>
        <v>0</v>
      </c>
      <c r="Y19" s="2849">
        <f t="shared" si="22"/>
        <v>0</v>
      </c>
      <c r="Z19" s="2850">
        <f t="shared" si="23"/>
        <v>3.5000000000000003E-2</v>
      </c>
      <c r="AA19" s="2851">
        <f t="shared" si="24"/>
        <v>0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1"/>
    </row>
    <row r="20" spans="1:40" ht="12.75" customHeight="1" thickBot="1">
      <c r="A20" s="5274" t="s">
        <v>219</v>
      </c>
      <c r="B20" s="5275" t="s">
        <v>215</v>
      </c>
      <c r="C20" s="629">
        <f t="shared" si="1"/>
        <v>1.7650462962962962E-4</v>
      </c>
      <c r="D20" s="5223">
        <v>6</v>
      </c>
      <c r="E20" s="5226">
        <v>1</v>
      </c>
      <c r="F20" s="5223">
        <v>1</v>
      </c>
      <c r="G20" s="4559">
        <v>25</v>
      </c>
      <c r="H20" s="5222">
        <v>1</v>
      </c>
      <c r="I20" s="4560">
        <v>3.4722222222222224E-4</v>
      </c>
      <c r="J20" s="4560">
        <v>3.4722222222222224E-4</v>
      </c>
      <c r="K20" s="4561" t="s">
        <v>2097</v>
      </c>
      <c r="L20" s="5186">
        <f t="shared" si="40"/>
        <v>0.33849821143857783</v>
      </c>
      <c r="M20" s="4562">
        <v>0.9</v>
      </c>
      <c r="N20" s="5186">
        <f t="shared" si="26"/>
        <v>8.5647569444444443E-4</v>
      </c>
      <c r="O20" s="4563">
        <f>C20*(G20/25)*1.02</f>
        <v>1.8003472222222222E-4</v>
      </c>
      <c r="P20" s="5184">
        <f t="shared" si="28"/>
        <v>1.6203125000000001E-4</v>
      </c>
      <c r="Q20" s="4565">
        <v>177</v>
      </c>
      <c r="R20" s="4559">
        <f t="shared" si="29"/>
        <v>25</v>
      </c>
      <c r="S20" s="2844">
        <f t="shared" si="16"/>
        <v>2.5000000000000001E-2</v>
      </c>
      <c r="T20" s="2845">
        <f t="shared" si="17"/>
        <v>7.2013888888888887E-4</v>
      </c>
      <c r="U20" s="374">
        <f t="shared" si="18"/>
        <v>0</v>
      </c>
      <c r="V20" s="2846">
        <f t="shared" si="19"/>
        <v>0</v>
      </c>
      <c r="W20" s="2847">
        <f t="shared" si="20"/>
        <v>0</v>
      </c>
      <c r="X20" s="2848">
        <f t="shared" si="21"/>
        <v>0</v>
      </c>
      <c r="Y20" s="2849">
        <f t="shared" si="22"/>
        <v>0</v>
      </c>
      <c r="Z20" s="2850">
        <f t="shared" si="23"/>
        <v>2.5000000000000001E-2</v>
      </c>
      <c r="AA20" s="2851">
        <f t="shared" si="24"/>
        <v>0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1"/>
    </row>
    <row r="21" spans="1:40" ht="12.75" customHeight="1" thickBot="1">
      <c r="A21" s="5274"/>
      <c r="B21" s="5275" t="s">
        <v>215</v>
      </c>
      <c r="C21" s="629">
        <f t="shared" si="1"/>
        <v>1.7650462962962962E-4</v>
      </c>
      <c r="D21" s="5223">
        <v>6</v>
      </c>
      <c r="E21" s="5227">
        <v>1</v>
      </c>
      <c r="F21" s="5223">
        <v>2</v>
      </c>
      <c r="G21" s="4559">
        <v>20</v>
      </c>
      <c r="H21" s="5222">
        <v>1</v>
      </c>
      <c r="I21" s="4560">
        <v>2.3148148148148146E-4</v>
      </c>
      <c r="J21" s="4560">
        <v>1.3888888888888889E-3</v>
      </c>
      <c r="K21" s="4561" t="s">
        <v>2098</v>
      </c>
      <c r="L21" s="5186">
        <f t="shared" si="40"/>
        <v>0.3393546871330223</v>
      </c>
      <c r="M21" s="4562">
        <v>0.9</v>
      </c>
      <c r="N21" s="5186">
        <f t="shared" si="26"/>
        <v>2.1111018518518519E-3</v>
      </c>
      <c r="O21" s="4563">
        <f>C21*(G21/25)*1.02</f>
        <v>1.4402777777777778E-4</v>
      </c>
      <c r="P21" s="5184">
        <f t="shared" si="28"/>
        <v>1.2962499999999999E-4</v>
      </c>
      <c r="Q21" s="4565">
        <v>177</v>
      </c>
      <c r="R21" s="4559">
        <f t="shared" si="29"/>
        <v>40</v>
      </c>
      <c r="S21" s="2844">
        <f t="shared" si="16"/>
        <v>0.04</v>
      </c>
      <c r="T21" s="2845">
        <f t="shared" si="17"/>
        <v>1.1522222222222222E-3</v>
      </c>
      <c r="U21" s="374">
        <f t="shared" si="18"/>
        <v>0</v>
      </c>
      <c r="V21" s="2846">
        <f t="shared" si="19"/>
        <v>0</v>
      </c>
      <c r="W21" s="2847">
        <f t="shared" si="20"/>
        <v>0</v>
      </c>
      <c r="X21" s="2848">
        <f t="shared" si="21"/>
        <v>0</v>
      </c>
      <c r="Y21" s="2849">
        <f t="shared" si="22"/>
        <v>0</v>
      </c>
      <c r="Z21" s="2850">
        <f t="shared" si="23"/>
        <v>0.04</v>
      </c>
      <c r="AA21" s="2851">
        <f t="shared" si="24"/>
        <v>0</v>
      </c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1"/>
    </row>
    <row r="22" spans="1:40" ht="12.75" customHeight="1" thickBot="1">
      <c r="A22" s="5274" t="s">
        <v>215</v>
      </c>
      <c r="B22" s="5275" t="s">
        <v>215</v>
      </c>
      <c r="C22" s="3568"/>
      <c r="D22" s="3569">
        <v>7</v>
      </c>
      <c r="E22" s="3570">
        <v>1</v>
      </c>
      <c r="F22" s="3570">
        <v>6</v>
      </c>
      <c r="G22" s="3570">
        <v>15</v>
      </c>
      <c r="H22" s="3571"/>
      <c r="I22" s="3571">
        <v>1.1574074074074073E-4</v>
      </c>
      <c r="J22" s="3571">
        <v>2.3148148148148146E-4</v>
      </c>
      <c r="K22" s="5231" t="s">
        <v>2103</v>
      </c>
      <c r="L22" s="3637">
        <f>L21+N21</f>
        <v>0.34146578898487417</v>
      </c>
      <c r="M22" s="3573">
        <v>1</v>
      </c>
      <c r="N22" s="5221"/>
      <c r="O22" s="3574">
        <v>2.4305555555555552E-4</v>
      </c>
      <c r="P22" s="2124">
        <v>2.4305555555555552E-4</v>
      </c>
      <c r="Q22" s="3575" t="s">
        <v>316</v>
      </c>
      <c r="R22" s="3661">
        <f t="shared" si="29"/>
        <v>90</v>
      </c>
      <c r="S22" s="2844">
        <f t="shared" si="16"/>
        <v>0.09</v>
      </c>
      <c r="T22" s="2845">
        <f t="shared" si="17"/>
        <v>5.8333333333333327E-3</v>
      </c>
      <c r="U22" s="374">
        <f t="shared" si="18"/>
        <v>0</v>
      </c>
      <c r="V22" s="2846">
        <f t="shared" si="19"/>
        <v>0</v>
      </c>
      <c r="W22" s="2847">
        <f t="shared" si="20"/>
        <v>0</v>
      </c>
      <c r="X22" s="2848">
        <f t="shared" si="21"/>
        <v>0</v>
      </c>
      <c r="Y22" s="2849">
        <f t="shared" si="22"/>
        <v>0</v>
      </c>
      <c r="Z22" s="2850">
        <f t="shared" si="23"/>
        <v>0</v>
      </c>
      <c r="AA22" s="2851">
        <f t="shared" si="24"/>
        <v>0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1"/>
    </row>
    <row r="23" spans="1:40" ht="12.75" customHeight="1" thickBot="1">
      <c r="A23" s="5274" t="s">
        <v>138</v>
      </c>
      <c r="B23" s="5275"/>
      <c r="C23" s="629">
        <f t="shared" si="1"/>
        <v>0</v>
      </c>
      <c r="D23" s="5312"/>
      <c r="E23" s="5313"/>
      <c r="F23" s="5313"/>
      <c r="G23" s="5313"/>
      <c r="H23" s="5312"/>
      <c r="I23" s="5312"/>
      <c r="J23" s="5312"/>
      <c r="K23" s="5314"/>
      <c r="L23" s="5315">
        <f t="shared" ref="L23" si="41">L22+N22</f>
        <v>0.34146578898487417</v>
      </c>
      <c r="M23" s="5316"/>
      <c r="N23" s="5317">
        <f>SUM(N12:N22)</f>
        <v>4.1679614095901429E-2</v>
      </c>
      <c r="O23" s="5318"/>
      <c r="P23" s="5317"/>
      <c r="Q23" s="5319"/>
      <c r="R23" s="5320">
        <f>SUM(R12:R22)</f>
        <v>1615</v>
      </c>
      <c r="S23" s="2844">
        <f t="shared" si="16"/>
        <v>0</v>
      </c>
      <c r="T23" s="2845">
        <f t="shared" si="17"/>
        <v>0</v>
      </c>
      <c r="U23" s="374">
        <f t="shared" si="18"/>
        <v>0</v>
      </c>
      <c r="V23" s="2846">
        <f t="shared" si="19"/>
        <v>0</v>
      </c>
      <c r="W23" s="2847">
        <f t="shared" si="20"/>
        <v>0</v>
      </c>
      <c r="X23" s="2848">
        <f t="shared" si="21"/>
        <v>0</v>
      </c>
      <c r="Y23" s="2849">
        <f t="shared" si="22"/>
        <v>0</v>
      </c>
      <c r="Z23" s="2850">
        <f t="shared" si="23"/>
        <v>0</v>
      </c>
      <c r="AA23" s="2851">
        <f t="shared" si="24"/>
        <v>0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1"/>
    </row>
    <row r="24" spans="1:40" ht="12.75" customHeight="1" thickBot="1">
      <c r="A24" s="5274" t="s">
        <v>462</v>
      </c>
      <c r="B24" s="5275" t="s">
        <v>461</v>
      </c>
      <c r="C24" s="629">
        <f t="shared" si="1"/>
        <v>2.1213241598079562E-4</v>
      </c>
      <c r="D24" s="920">
        <v>2</v>
      </c>
      <c r="E24" s="5286">
        <v>1</v>
      </c>
      <c r="F24" s="5286">
        <v>4</v>
      </c>
      <c r="G24" s="5286">
        <v>100</v>
      </c>
      <c r="H24" s="5286"/>
      <c r="I24" s="5287">
        <v>1.7361111111111112E-4</v>
      </c>
      <c r="J24" s="5287">
        <v>1.3888888888888889E-3</v>
      </c>
      <c r="K24" s="5288" t="s">
        <v>970</v>
      </c>
      <c r="L24" s="5321">
        <v>0.63194444444444442</v>
      </c>
      <c r="M24" s="5290">
        <v>1.1000000000000001</v>
      </c>
      <c r="N24" s="5289">
        <f t="shared" ref="N24:N29" si="42">P24*E24*F24+I24*E24*F24+J24*E24</f>
        <v>5.8168638545953366E-3</v>
      </c>
      <c r="O24" s="5291">
        <f t="shared" ref="O24:O29" si="43">C24*(G24/25)</f>
        <v>8.4852966392318248E-4</v>
      </c>
      <c r="P24" s="5291">
        <f>O24*M24</f>
        <v>9.3338263031550082E-4</v>
      </c>
      <c r="Q24" s="5292">
        <v>129</v>
      </c>
      <c r="R24" s="5293">
        <f>E24*F24*G24</f>
        <v>400</v>
      </c>
      <c r="S24" s="2844">
        <f t="shared" si="16"/>
        <v>0.4</v>
      </c>
      <c r="T24" s="2845">
        <f t="shared" si="17"/>
        <v>1.357647462277092E-2</v>
      </c>
      <c r="U24" s="374">
        <f t="shared" si="18"/>
        <v>0</v>
      </c>
      <c r="V24" s="2846">
        <f t="shared" si="19"/>
        <v>0.4</v>
      </c>
      <c r="W24" s="2847">
        <f t="shared" si="20"/>
        <v>0</v>
      </c>
      <c r="X24" s="2848">
        <f t="shared" si="21"/>
        <v>0</v>
      </c>
      <c r="Y24" s="2849">
        <f t="shared" si="22"/>
        <v>0</v>
      </c>
      <c r="Z24" s="2850">
        <f t="shared" si="23"/>
        <v>0</v>
      </c>
      <c r="AA24" s="2851">
        <f t="shared" si="24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2.75" customHeight="1" thickBot="1">
      <c r="A25" s="5274" t="s">
        <v>461</v>
      </c>
      <c r="B25" s="5275" t="s">
        <v>461</v>
      </c>
      <c r="C25" s="629">
        <f t="shared" si="1"/>
        <v>2.0548470456558689E-4</v>
      </c>
      <c r="D25" s="5322">
        <v>3</v>
      </c>
      <c r="E25" s="5301">
        <v>3</v>
      </c>
      <c r="F25" s="5301">
        <v>2</v>
      </c>
      <c r="G25" s="5301">
        <v>50</v>
      </c>
      <c r="H25" s="5301"/>
      <c r="I25" s="5323">
        <v>8.1018518518518516E-5</v>
      </c>
      <c r="J25" s="5323">
        <v>1.3888888888888889E-3</v>
      </c>
      <c r="K25" s="5257" t="s">
        <v>969</v>
      </c>
      <c r="L25" s="5324">
        <f t="shared" ref="L25:L26" si="44">L24+N24</f>
        <v>0.63776130829903976</v>
      </c>
      <c r="M25" s="5325">
        <v>1.1000000000000001</v>
      </c>
      <c r="N25" s="5326">
        <f t="shared" si="42"/>
        <v>7.3651758780435249E-3</v>
      </c>
      <c r="O25" s="5327">
        <f t="shared" si="43"/>
        <v>4.1096940913117378E-4</v>
      </c>
      <c r="P25" s="5327">
        <f>O25*M25</f>
        <v>4.5206635004429118E-4</v>
      </c>
      <c r="Q25" s="5328">
        <v>165</v>
      </c>
      <c r="R25" s="5329">
        <f>E25*F25*G25</f>
        <v>300</v>
      </c>
      <c r="S25" s="2844">
        <f t="shared" si="16"/>
        <v>0.3</v>
      </c>
      <c r="T25" s="2845">
        <f t="shared" si="17"/>
        <v>9.8632658191481707E-3</v>
      </c>
      <c r="U25" s="374">
        <f t="shared" si="18"/>
        <v>0</v>
      </c>
      <c r="V25" s="2846">
        <f t="shared" si="19"/>
        <v>0</v>
      </c>
      <c r="W25" s="2847">
        <f t="shared" si="20"/>
        <v>0.3</v>
      </c>
      <c r="X25" s="2848">
        <f t="shared" si="21"/>
        <v>0</v>
      </c>
      <c r="Y25" s="2849">
        <f t="shared" si="22"/>
        <v>0</v>
      </c>
      <c r="Z25" s="2850">
        <f t="shared" si="23"/>
        <v>0</v>
      </c>
      <c r="AA25" s="2851">
        <f t="shared" si="24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2.75" customHeight="1" thickBot="1">
      <c r="A26" s="3579" t="s">
        <v>458</v>
      </c>
      <c r="B26" s="5483">
        <v>13</v>
      </c>
      <c r="C26" s="629">
        <f t="shared" si="1"/>
        <v>2.2154584560078511E-4</v>
      </c>
      <c r="D26" s="5330">
        <v>1</v>
      </c>
      <c r="E26" s="5277">
        <v>1</v>
      </c>
      <c r="F26" s="5277">
        <v>1</v>
      </c>
      <c r="G26" s="5277">
        <v>500</v>
      </c>
      <c r="H26" s="5277"/>
      <c r="I26" s="5278">
        <v>1.1574074074074073E-4</v>
      </c>
      <c r="J26" s="5278">
        <v>0</v>
      </c>
      <c r="K26" s="5279" t="s">
        <v>971</v>
      </c>
      <c r="L26" s="5321">
        <f t="shared" si="44"/>
        <v>0.64512648417708329</v>
      </c>
      <c r="M26" s="5290">
        <v>1.25</v>
      </c>
      <c r="N26" s="5289">
        <f t="shared" si="42"/>
        <v>5.6543868807603691E-3</v>
      </c>
      <c r="O26" s="5291">
        <f t="shared" si="43"/>
        <v>4.4309169120157026E-3</v>
      </c>
      <c r="P26" s="5291">
        <f>O26*M26</f>
        <v>5.5386461400196282E-3</v>
      </c>
      <c r="Q26" s="5292">
        <v>147</v>
      </c>
      <c r="R26" s="5293">
        <f>E26*F26*G26</f>
        <v>500</v>
      </c>
      <c r="S26" s="2844">
        <f t="shared" si="16"/>
        <v>0.5</v>
      </c>
      <c r="T26" s="2845">
        <f t="shared" si="17"/>
        <v>1.772366764806281E-2</v>
      </c>
      <c r="U26" s="374">
        <f t="shared" si="18"/>
        <v>0.5</v>
      </c>
      <c r="V26" s="2846">
        <f t="shared" si="19"/>
        <v>0</v>
      </c>
      <c r="W26" s="2847">
        <f t="shared" si="20"/>
        <v>0</v>
      </c>
      <c r="X26" s="2848">
        <f t="shared" si="21"/>
        <v>0</v>
      </c>
      <c r="Y26" s="2849">
        <f t="shared" si="22"/>
        <v>0</v>
      </c>
      <c r="Z26" s="2850">
        <f t="shared" si="23"/>
        <v>0</v>
      </c>
      <c r="AA26" s="2851">
        <f t="shared" si="24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2.75" customHeight="1" thickBot="1">
      <c r="A27" s="5274" t="s">
        <v>219</v>
      </c>
      <c r="B27" s="5275" t="s">
        <v>461</v>
      </c>
      <c r="C27" s="629">
        <f t="shared" si="1"/>
        <v>1.8332860044058927E-4</v>
      </c>
      <c r="D27" s="3555">
        <v>5</v>
      </c>
      <c r="E27" s="1433">
        <v>3</v>
      </c>
      <c r="F27" s="5331">
        <v>1</v>
      </c>
      <c r="G27" s="5332">
        <v>100</v>
      </c>
      <c r="H27" s="5333" t="s">
        <v>1456</v>
      </c>
      <c r="I27" s="5334">
        <v>3.4722222222222224E-4</v>
      </c>
      <c r="J27" s="5334">
        <v>1.3888888888888889E-3</v>
      </c>
      <c r="K27" s="5335" t="s">
        <v>1540</v>
      </c>
      <c r="L27" s="5336">
        <f>L26+N26</f>
        <v>0.65078087105784366</v>
      </c>
      <c r="M27" s="5337">
        <v>1.05</v>
      </c>
      <c r="N27" s="5336">
        <f t="shared" si="42"/>
        <v>7.518273698884758E-3</v>
      </c>
      <c r="O27" s="5338">
        <f t="shared" si="43"/>
        <v>7.333144017623571E-4</v>
      </c>
      <c r="P27" s="4148">
        <f t="shared" ref="P27:P29" si="45">O27*M27</f>
        <v>7.6998012185047499E-4</v>
      </c>
      <c r="Q27" s="5339" t="s">
        <v>267</v>
      </c>
      <c r="R27" s="5339">
        <f t="shared" ref="R27:R29" si="46">E27*F27*G27</f>
        <v>300</v>
      </c>
      <c r="S27" s="2844">
        <f t="shared" si="16"/>
        <v>0.3</v>
      </c>
      <c r="T27" s="2845">
        <f t="shared" si="17"/>
        <v>8.7997728211482856E-3</v>
      </c>
      <c r="U27" s="374">
        <f t="shared" si="18"/>
        <v>0</v>
      </c>
      <c r="V27" s="2846">
        <f t="shared" si="19"/>
        <v>0</v>
      </c>
      <c r="W27" s="2847">
        <f t="shared" si="20"/>
        <v>0</v>
      </c>
      <c r="X27" s="2848">
        <f t="shared" si="21"/>
        <v>0</v>
      </c>
      <c r="Y27" s="2849">
        <f t="shared" si="22"/>
        <v>0.3</v>
      </c>
      <c r="Z27" s="2850">
        <f t="shared" si="23"/>
        <v>0</v>
      </c>
      <c r="AA27" s="2851">
        <f t="shared" si="24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2.75" customHeight="1" thickBot="1">
      <c r="A28" s="5274"/>
      <c r="B28" s="5275" t="s">
        <v>461</v>
      </c>
      <c r="C28" s="629">
        <f t="shared" si="1"/>
        <v>1.7120949074074073E-4</v>
      </c>
      <c r="D28" s="3214">
        <v>7</v>
      </c>
      <c r="E28" s="5294">
        <v>3</v>
      </c>
      <c r="F28" s="5294">
        <v>5</v>
      </c>
      <c r="G28" s="5294">
        <v>10</v>
      </c>
      <c r="H28" s="5294"/>
      <c r="I28" s="5295">
        <v>2.3148148148148146E-4</v>
      </c>
      <c r="J28" s="5295">
        <v>1.3888888888888889E-3</v>
      </c>
      <c r="K28" s="5340" t="s">
        <v>314</v>
      </c>
      <c r="L28" s="5296">
        <f>L27+N27</f>
        <v>0.65829914475672846</v>
      </c>
      <c r="M28" s="5297">
        <v>1.05</v>
      </c>
      <c r="N28" s="5296">
        <f t="shared" si="42"/>
        <v>8.7175086805555552E-3</v>
      </c>
      <c r="O28" s="5296">
        <f t="shared" si="43"/>
        <v>6.8483796296296291E-5</v>
      </c>
      <c r="P28" s="5298">
        <f t="shared" si="45"/>
        <v>7.1907986111111104E-5</v>
      </c>
      <c r="Q28" s="5299" t="s">
        <v>267</v>
      </c>
      <c r="R28" s="5300">
        <f t="shared" si="46"/>
        <v>150</v>
      </c>
      <c r="S28" s="2844">
        <f t="shared" si="16"/>
        <v>0.15</v>
      </c>
      <c r="T28" s="2845">
        <f t="shared" si="17"/>
        <v>4.1090277777777774E-3</v>
      </c>
      <c r="U28" s="374">
        <f t="shared" si="18"/>
        <v>0</v>
      </c>
      <c r="V28" s="2846">
        <f t="shared" si="19"/>
        <v>0</v>
      </c>
      <c r="W28" s="2847">
        <f t="shared" si="20"/>
        <v>0</v>
      </c>
      <c r="X28" s="2848">
        <f t="shared" si="21"/>
        <v>0</v>
      </c>
      <c r="Y28" s="2849">
        <f t="shared" si="22"/>
        <v>0</v>
      </c>
      <c r="Z28" s="2850">
        <f t="shared" si="23"/>
        <v>0</v>
      </c>
      <c r="AA28" s="2851">
        <f t="shared" si="24"/>
        <v>0.15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2.75" customHeight="1" thickBot="1">
      <c r="A29" s="5274"/>
      <c r="B29" s="5275" t="s">
        <v>461</v>
      </c>
      <c r="C29" s="629">
        <f t="shared" si="1"/>
        <v>2.2154584560078511E-4</v>
      </c>
      <c r="D29" s="5276">
        <v>1</v>
      </c>
      <c r="E29" s="5277">
        <v>1</v>
      </c>
      <c r="F29" s="5277">
        <v>1</v>
      </c>
      <c r="G29" s="5277">
        <v>300</v>
      </c>
      <c r="H29" s="5278"/>
      <c r="I29" s="5278">
        <v>1.1574074074074073E-4</v>
      </c>
      <c r="J29" s="5278">
        <v>6.9444444444444447E-4</v>
      </c>
      <c r="K29" s="5279" t="s">
        <v>925</v>
      </c>
      <c r="L29" s="5280">
        <f t="shared" ref="L29" si="47">L28+N28</f>
        <v>0.667016653437284</v>
      </c>
      <c r="M29" s="5281">
        <v>1</v>
      </c>
      <c r="N29" s="5282">
        <f t="shared" si="42"/>
        <v>3.4687353323946068E-3</v>
      </c>
      <c r="O29" s="5283">
        <f t="shared" si="43"/>
        <v>2.6585501472094213E-3</v>
      </c>
      <c r="P29" s="5283">
        <f t="shared" si="45"/>
        <v>2.6585501472094213E-3</v>
      </c>
      <c r="Q29" s="5284">
        <v>129</v>
      </c>
      <c r="R29" s="5285">
        <f t="shared" si="46"/>
        <v>300</v>
      </c>
      <c r="S29" s="2844">
        <f t="shared" si="16"/>
        <v>0.3</v>
      </c>
      <c r="T29" s="2845">
        <f t="shared" si="17"/>
        <v>1.0634200588837685E-2</v>
      </c>
      <c r="U29" s="374">
        <f t="shared" si="18"/>
        <v>0.3</v>
      </c>
      <c r="V29" s="2846">
        <f t="shared" si="19"/>
        <v>0</v>
      </c>
      <c r="W29" s="2847">
        <f t="shared" si="20"/>
        <v>0</v>
      </c>
      <c r="X29" s="2848">
        <f t="shared" si="21"/>
        <v>0</v>
      </c>
      <c r="Y29" s="2849">
        <f t="shared" si="22"/>
        <v>0</v>
      </c>
      <c r="Z29" s="2850">
        <f t="shared" si="23"/>
        <v>0</v>
      </c>
      <c r="AA29" s="2851">
        <f t="shared" si="24"/>
        <v>0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3" customHeight="1" thickBot="1">
      <c r="A30" s="5341"/>
      <c r="B30" s="5342"/>
      <c r="C30" s="629">
        <f t="shared" si="1"/>
        <v>0</v>
      </c>
      <c r="D30" s="5343"/>
      <c r="E30" s="5344"/>
      <c r="F30" s="5344"/>
      <c r="G30" s="5344"/>
      <c r="H30" s="5343"/>
      <c r="I30" s="5343"/>
      <c r="J30" s="5343"/>
      <c r="K30" s="5268"/>
      <c r="L30" s="5345"/>
      <c r="M30" s="5346"/>
      <c r="N30" s="5347"/>
      <c r="O30" s="5348"/>
      <c r="P30" s="5347"/>
      <c r="Q30" s="5272"/>
      <c r="R30" s="5349">
        <f>SUM(R25:R29)</f>
        <v>1550</v>
      </c>
      <c r="S30" s="2844">
        <f t="shared" si="16"/>
        <v>0</v>
      </c>
      <c r="T30" s="2845">
        <f t="shared" si="17"/>
        <v>0</v>
      </c>
      <c r="U30" s="374">
        <f t="shared" si="18"/>
        <v>0</v>
      </c>
      <c r="V30" s="2846">
        <f t="shared" si="19"/>
        <v>0</v>
      </c>
      <c r="W30" s="2847">
        <f t="shared" si="20"/>
        <v>0</v>
      </c>
      <c r="X30" s="2848">
        <f t="shared" si="21"/>
        <v>0</v>
      </c>
      <c r="Y30" s="2849">
        <f t="shared" si="22"/>
        <v>0</v>
      </c>
      <c r="Z30" s="2850">
        <f t="shared" si="23"/>
        <v>0</v>
      </c>
      <c r="AA30" s="2851">
        <f t="shared" si="24"/>
        <v>0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4" thickBot="1">
      <c r="A31" s="5350"/>
      <c r="B31" s="5351" t="s">
        <v>215</v>
      </c>
      <c r="C31" s="629">
        <f t="shared" si="1"/>
        <v>0</v>
      </c>
      <c r="D31" s="5352"/>
      <c r="E31" s="5353"/>
      <c r="F31" s="5353"/>
      <c r="G31" s="5353"/>
      <c r="H31" s="5354"/>
      <c r="I31" s="5352"/>
      <c r="J31" s="5352"/>
      <c r="K31" s="5355" t="s">
        <v>151</v>
      </c>
      <c r="L31" s="5356"/>
      <c r="M31" s="5357"/>
      <c r="N31" s="5358"/>
      <c r="O31" s="5359"/>
      <c r="P31" s="5360"/>
      <c r="Q31" s="5361"/>
      <c r="R31" s="5362"/>
      <c r="S31" s="2844">
        <f t="shared" si="16"/>
        <v>0</v>
      </c>
      <c r="T31" s="2845">
        <f t="shared" si="17"/>
        <v>0</v>
      </c>
      <c r="U31" s="374">
        <f t="shared" si="18"/>
        <v>0</v>
      </c>
      <c r="V31" s="2846">
        <f t="shared" si="19"/>
        <v>0</v>
      </c>
      <c r="W31" s="2847">
        <f t="shared" si="20"/>
        <v>0</v>
      </c>
      <c r="X31" s="2848">
        <f t="shared" si="21"/>
        <v>0</v>
      </c>
      <c r="Y31" s="2849">
        <f t="shared" si="22"/>
        <v>0</v>
      </c>
      <c r="Z31" s="2850">
        <f t="shared" si="23"/>
        <v>0</v>
      </c>
      <c r="AA31" s="2851">
        <f t="shared" si="24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7" customHeight="1" thickBot="1">
      <c r="A32" s="5363" t="s">
        <v>215</v>
      </c>
      <c r="B32" s="5363" t="s">
        <v>461</v>
      </c>
      <c r="C32" s="629">
        <f t="shared" si="1"/>
        <v>2.2154584560078511E-4</v>
      </c>
      <c r="D32" s="5276">
        <v>1</v>
      </c>
      <c r="E32" s="5277">
        <v>1</v>
      </c>
      <c r="F32" s="5277">
        <v>1</v>
      </c>
      <c r="G32" s="5277">
        <v>700</v>
      </c>
      <c r="H32" s="5364" t="s">
        <v>139</v>
      </c>
      <c r="I32" s="5278">
        <v>0</v>
      </c>
      <c r="J32" s="5278">
        <v>1.1574074074074073E-4</v>
      </c>
      <c r="K32" s="5279" t="s">
        <v>171</v>
      </c>
      <c r="L32" s="5280">
        <v>0.34027777777777773</v>
      </c>
      <c r="M32" s="5281">
        <v>1.2</v>
      </c>
      <c r="N32" s="5282">
        <f>P32*E32*F32+I32*E32*F32+J32*E32</f>
        <v>7.5596811529271193E-3</v>
      </c>
      <c r="O32" s="5283">
        <f>C32*(G32/25)</f>
        <v>6.2032836768219825E-3</v>
      </c>
      <c r="P32" s="5283">
        <f t="shared" ref="P32:P38" si="48">O32*M32</f>
        <v>7.4439404121863784E-3</v>
      </c>
      <c r="Q32" s="5284">
        <v>129</v>
      </c>
      <c r="R32" s="5285">
        <f t="shared" ref="R32:R38" si="49">E32*F32*G32</f>
        <v>700</v>
      </c>
      <c r="S32" s="2844">
        <f t="shared" si="16"/>
        <v>0.7</v>
      </c>
      <c r="T32" s="2845">
        <f t="shared" si="17"/>
        <v>2.481313470728793E-2</v>
      </c>
      <c r="U32" s="374">
        <f t="shared" si="18"/>
        <v>0.7</v>
      </c>
      <c r="V32" s="2846">
        <f t="shared" si="19"/>
        <v>0</v>
      </c>
      <c r="W32" s="2847">
        <f t="shared" si="20"/>
        <v>0</v>
      </c>
      <c r="X32" s="2848">
        <f t="shared" si="21"/>
        <v>0</v>
      </c>
      <c r="Y32" s="2849">
        <f t="shared" si="22"/>
        <v>0</v>
      </c>
      <c r="Z32" s="2850">
        <f t="shared" si="23"/>
        <v>0</v>
      </c>
      <c r="AA32" s="2851">
        <f t="shared" si="24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5" customHeight="1" thickBot="1">
      <c r="A33" s="5363" t="s">
        <v>139</v>
      </c>
      <c r="B33" s="5363" t="s">
        <v>461</v>
      </c>
      <c r="C33" s="629">
        <f t="shared" si="1"/>
        <v>2.0548470456558689E-4</v>
      </c>
      <c r="D33" s="5256">
        <v>3</v>
      </c>
      <c r="E33" s="5301">
        <v>1</v>
      </c>
      <c r="F33" s="5301">
        <v>20</v>
      </c>
      <c r="G33" s="5301">
        <v>25</v>
      </c>
      <c r="H33" s="5365"/>
      <c r="I33" s="5323">
        <v>5.7870370370370366E-5</v>
      </c>
      <c r="J33" s="5323">
        <v>1.3888888888888889E-3</v>
      </c>
      <c r="K33" s="5257" t="s">
        <v>1064</v>
      </c>
      <c r="L33" s="5324">
        <f>L32+N32</f>
        <v>0.34783745893070483</v>
      </c>
      <c r="M33" s="5305">
        <v>1</v>
      </c>
      <c r="N33" s="5304">
        <f>P33*E33*F33+I33*E33*F33+J33*E33</f>
        <v>6.6559903876080347E-3</v>
      </c>
      <c r="O33" s="5263">
        <f>C33*(G33/25)</f>
        <v>2.0548470456558689E-4</v>
      </c>
      <c r="P33" s="5263">
        <f t="shared" si="48"/>
        <v>2.0548470456558689E-4</v>
      </c>
      <c r="Q33" s="5264">
        <v>160</v>
      </c>
      <c r="R33" s="5306">
        <f t="shared" si="49"/>
        <v>500</v>
      </c>
      <c r="S33" s="2844">
        <f t="shared" si="16"/>
        <v>0.5</v>
      </c>
      <c r="T33" s="2845">
        <f t="shared" si="17"/>
        <v>1.6438776365246953E-2</v>
      </c>
      <c r="U33" s="374">
        <f t="shared" si="18"/>
        <v>0</v>
      </c>
      <c r="V33" s="2846">
        <f t="shared" si="19"/>
        <v>0</v>
      </c>
      <c r="W33" s="2847">
        <f t="shared" si="20"/>
        <v>0.5</v>
      </c>
      <c r="X33" s="2848">
        <f t="shared" si="21"/>
        <v>0</v>
      </c>
      <c r="Y33" s="2849">
        <f t="shared" si="22"/>
        <v>0</v>
      </c>
      <c r="Z33" s="2850">
        <f t="shared" si="23"/>
        <v>0</v>
      </c>
      <c r="AA33" s="2851">
        <f t="shared" si="24"/>
        <v>0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7" customHeight="1" thickBot="1">
      <c r="A34" s="5363" t="s">
        <v>458</v>
      </c>
      <c r="B34" s="5484">
        <v>12</v>
      </c>
      <c r="C34" s="629">
        <f t="shared" si="1"/>
        <v>1.8332860044058927E-4</v>
      </c>
      <c r="D34" s="1433">
        <v>5</v>
      </c>
      <c r="E34" s="5331">
        <v>2</v>
      </c>
      <c r="F34" s="5332">
        <v>1</v>
      </c>
      <c r="G34" s="5331">
        <f>100+2*50</f>
        <v>200</v>
      </c>
      <c r="H34" s="5365"/>
      <c r="I34" s="5334">
        <v>5.7870370370370366E-5</v>
      </c>
      <c r="J34" s="5334">
        <v>2.0833333333333333E-3</v>
      </c>
      <c r="K34" s="5366" t="s">
        <v>1541</v>
      </c>
      <c r="L34" s="5367">
        <f t="shared" ref="L34:L39" si="50">L33+N33</f>
        <v>0.35449344931831289</v>
      </c>
      <c r="M34" s="5337">
        <v>1</v>
      </c>
      <c r="N34" s="5336">
        <f>P34*E34*F34+I34*E34*F34+J34*E34</f>
        <v>7.3916604708798017E-3</v>
      </c>
      <c r="O34" s="5338">
        <f>C34*(G34/25)*1.06</f>
        <v>1.5546265317361971E-3</v>
      </c>
      <c r="P34" s="4148">
        <f t="shared" si="48"/>
        <v>1.5546265317361971E-3</v>
      </c>
      <c r="Q34" s="5339">
        <v>173</v>
      </c>
      <c r="R34" s="5339">
        <f t="shared" si="49"/>
        <v>400</v>
      </c>
      <c r="S34" s="2844">
        <f t="shared" si="16"/>
        <v>0.4</v>
      </c>
      <c r="T34" s="2845">
        <f t="shared" si="17"/>
        <v>1.2437012253889577E-2</v>
      </c>
      <c r="U34" s="374">
        <f t="shared" si="18"/>
        <v>0</v>
      </c>
      <c r="V34" s="2846">
        <f t="shared" si="19"/>
        <v>0</v>
      </c>
      <c r="W34" s="2847">
        <f t="shared" si="20"/>
        <v>0</v>
      </c>
      <c r="X34" s="2848">
        <f t="shared" si="21"/>
        <v>0</v>
      </c>
      <c r="Y34" s="2849">
        <f t="shared" si="22"/>
        <v>0.4</v>
      </c>
      <c r="Z34" s="2850">
        <f t="shared" si="23"/>
        <v>0</v>
      </c>
      <c r="AA34" s="2851">
        <f t="shared" si="24"/>
        <v>0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4" customHeight="1" thickBot="1">
      <c r="A35" s="5363" t="s">
        <v>462</v>
      </c>
      <c r="B35" s="5368" t="s">
        <v>461</v>
      </c>
      <c r="C35" s="629">
        <f t="shared" si="1"/>
        <v>1.9604881489123236E-4</v>
      </c>
      <c r="D35" s="5369">
        <v>4</v>
      </c>
      <c r="E35" s="5370">
        <v>1</v>
      </c>
      <c r="F35" s="5370">
        <v>4</v>
      </c>
      <c r="G35" s="5370">
        <v>50</v>
      </c>
      <c r="H35" s="5365"/>
      <c r="I35" s="5371">
        <v>5.7870370370370366E-5</v>
      </c>
      <c r="J35" s="5371">
        <v>1.3888888888888889E-3</v>
      </c>
      <c r="K35" s="5372" t="s">
        <v>1898</v>
      </c>
      <c r="L35" s="5373">
        <f t="shared" si="50"/>
        <v>0.36188510978919269</v>
      </c>
      <c r="M35" s="5374">
        <v>1</v>
      </c>
      <c r="N35" s="5375">
        <f>P35*E35*F35+I35*E35*F35+J35*E35</f>
        <v>3.1887608895002292E-3</v>
      </c>
      <c r="O35" s="5376">
        <f>C35*(G35/25)</f>
        <v>3.9209762978246473E-4</v>
      </c>
      <c r="P35" s="5376">
        <f t="shared" si="48"/>
        <v>3.9209762978246473E-4</v>
      </c>
      <c r="Q35" s="5377">
        <v>166</v>
      </c>
      <c r="R35" s="5378">
        <f t="shared" si="49"/>
        <v>200</v>
      </c>
      <c r="S35" s="2844">
        <f t="shared" si="16"/>
        <v>0.2</v>
      </c>
      <c r="T35" s="2845">
        <f t="shared" si="17"/>
        <v>6.2735620765194356E-3</v>
      </c>
      <c r="U35" s="374">
        <f t="shared" si="18"/>
        <v>0</v>
      </c>
      <c r="V35" s="2846">
        <f t="shared" si="19"/>
        <v>0</v>
      </c>
      <c r="W35" s="2847">
        <f t="shared" si="20"/>
        <v>0</v>
      </c>
      <c r="X35" s="2848">
        <f t="shared" si="21"/>
        <v>0.2</v>
      </c>
      <c r="Y35" s="2849">
        <f t="shared" si="22"/>
        <v>0</v>
      </c>
      <c r="Z35" s="2850">
        <f t="shared" si="23"/>
        <v>0</v>
      </c>
      <c r="AA35" s="2851">
        <f t="shared" si="24"/>
        <v>0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4" thickBot="1">
      <c r="A36" s="5363" t="s">
        <v>140</v>
      </c>
      <c r="B36" s="5368" t="s">
        <v>461</v>
      </c>
      <c r="C36" s="629">
        <f t="shared" si="1"/>
        <v>2.0548470456558689E-4</v>
      </c>
      <c r="D36" s="5301">
        <v>3</v>
      </c>
      <c r="E36" s="5301">
        <v>1</v>
      </c>
      <c r="F36" s="5301">
        <v>15</v>
      </c>
      <c r="G36" s="5301">
        <v>100</v>
      </c>
      <c r="H36" s="5379"/>
      <c r="I36" s="5302">
        <v>2.3148148148148146E-4</v>
      </c>
      <c r="J36" s="5302">
        <v>2.3148148148148146E-4</v>
      </c>
      <c r="K36" s="5303" t="s">
        <v>928</v>
      </c>
      <c r="L36" s="5304">
        <f t="shared" si="50"/>
        <v>0.3650738706786929</v>
      </c>
      <c r="M36" s="5305">
        <v>1.4</v>
      </c>
      <c r="N36" s="5304">
        <f>P36*E36*F36+I36*F36*E36+J36*E36</f>
        <v>2.0964418887213E-2</v>
      </c>
      <c r="O36" s="5304">
        <f>C36*(G36/25)</f>
        <v>8.2193881826234756E-4</v>
      </c>
      <c r="P36" s="5263">
        <f t="shared" si="48"/>
        <v>1.1507143455672865E-3</v>
      </c>
      <c r="Q36" s="5264">
        <v>144</v>
      </c>
      <c r="R36" s="5306">
        <f t="shared" si="49"/>
        <v>1500</v>
      </c>
      <c r="S36" s="2844">
        <f t="shared" si="16"/>
        <v>1.5</v>
      </c>
      <c r="T36" s="2845">
        <f t="shared" si="17"/>
        <v>4.9316329095740852E-2</v>
      </c>
      <c r="U36" s="374">
        <f t="shared" si="18"/>
        <v>0</v>
      </c>
      <c r="V36" s="2846">
        <f t="shared" si="19"/>
        <v>0</v>
      </c>
      <c r="W36" s="2847">
        <f t="shared" si="20"/>
        <v>1.5</v>
      </c>
      <c r="X36" s="2848">
        <f t="shared" si="21"/>
        <v>0</v>
      </c>
      <c r="Y36" s="2849">
        <f t="shared" si="22"/>
        <v>0</v>
      </c>
      <c r="Z36" s="2850">
        <f t="shared" si="23"/>
        <v>0</v>
      </c>
      <c r="AA36" s="2851">
        <f t="shared" si="24"/>
        <v>0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4" customHeight="1" thickBot="1">
      <c r="A37" s="5363" t="s">
        <v>674</v>
      </c>
      <c r="B37" s="5363" t="s">
        <v>461</v>
      </c>
      <c r="C37" s="629">
        <f t="shared" si="1"/>
        <v>1.7120949074074073E-4</v>
      </c>
      <c r="D37" s="5307">
        <v>7</v>
      </c>
      <c r="E37" s="5308">
        <v>1</v>
      </c>
      <c r="F37" s="5308">
        <v>3</v>
      </c>
      <c r="G37" s="5308">
        <v>15</v>
      </c>
      <c r="H37" s="5309" t="s">
        <v>713</v>
      </c>
      <c r="I37" s="5295">
        <v>3.4722222222222224E-4</v>
      </c>
      <c r="J37" s="5310">
        <v>1.3888888888888889E-3</v>
      </c>
      <c r="K37" s="5308" t="s">
        <v>526</v>
      </c>
      <c r="L37" s="5296">
        <f t="shared" si="50"/>
        <v>0.38603828956590591</v>
      </c>
      <c r="M37" s="5297">
        <v>1</v>
      </c>
      <c r="N37" s="5296">
        <f>P37*E37*F37+I37*F37*E37+J37*E37</f>
        <v>2.7387326388888886E-3</v>
      </c>
      <c r="O37" s="5296">
        <f>C37*(G37/25)</f>
        <v>1.0272569444444444E-4</v>
      </c>
      <c r="P37" s="5298">
        <f t="shared" si="48"/>
        <v>1.0272569444444444E-4</v>
      </c>
      <c r="Q37" s="5299"/>
      <c r="R37" s="5300">
        <f t="shared" si="49"/>
        <v>45</v>
      </c>
      <c r="S37" s="2844">
        <f t="shared" si="16"/>
        <v>4.4999999999999998E-2</v>
      </c>
      <c r="T37" s="2845">
        <f t="shared" si="17"/>
        <v>1.2327083333333333E-3</v>
      </c>
      <c r="U37" s="374">
        <f t="shared" si="18"/>
        <v>0</v>
      </c>
      <c r="V37" s="2846">
        <f t="shared" si="19"/>
        <v>0</v>
      </c>
      <c r="W37" s="2847">
        <f t="shared" si="20"/>
        <v>0</v>
      </c>
      <c r="X37" s="2848">
        <f t="shared" si="21"/>
        <v>0</v>
      </c>
      <c r="Y37" s="2849">
        <f t="shared" si="22"/>
        <v>0</v>
      </c>
      <c r="Z37" s="2850">
        <f t="shared" si="23"/>
        <v>0</v>
      </c>
      <c r="AA37" s="2851">
        <f t="shared" si="24"/>
        <v>4.4999999999999998E-2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1"/>
    </row>
    <row r="38" spans="1:40" ht="15" customHeight="1" thickBot="1">
      <c r="A38" s="5363" t="s">
        <v>219</v>
      </c>
      <c r="B38" s="5368" t="s">
        <v>461</v>
      </c>
      <c r="C38" s="629">
        <f t="shared" si="1"/>
        <v>1.7120949074074073E-4</v>
      </c>
      <c r="D38" s="5307">
        <v>7</v>
      </c>
      <c r="E38" s="5308">
        <v>1</v>
      </c>
      <c r="F38" s="5308">
        <v>4</v>
      </c>
      <c r="G38" s="5308">
        <v>15</v>
      </c>
      <c r="H38" s="5311"/>
      <c r="I38" s="5295">
        <v>3.4722222222222224E-4</v>
      </c>
      <c r="J38" s="5310">
        <v>1.3888888888888889E-3</v>
      </c>
      <c r="K38" s="5308" t="s">
        <v>527</v>
      </c>
      <c r="L38" s="5296">
        <f t="shared" si="50"/>
        <v>0.38877702220479482</v>
      </c>
      <c r="M38" s="5297">
        <v>1</v>
      </c>
      <c r="N38" s="5296">
        <f>P38*E38*F38+I38*F38*E38+J38*E38</f>
        <v>3.1886805555555557E-3</v>
      </c>
      <c r="O38" s="5296">
        <f>C38*(G38/25)</f>
        <v>1.0272569444444444E-4</v>
      </c>
      <c r="P38" s="5298">
        <f t="shared" si="48"/>
        <v>1.0272569444444444E-4</v>
      </c>
      <c r="Q38" s="5299"/>
      <c r="R38" s="5300">
        <f t="shared" si="49"/>
        <v>60</v>
      </c>
      <c r="S38" s="2844">
        <f t="shared" si="16"/>
        <v>0.06</v>
      </c>
      <c r="T38" s="2845">
        <f t="shared" si="17"/>
        <v>1.6436111111111111E-3</v>
      </c>
      <c r="U38" s="374">
        <f t="shared" si="18"/>
        <v>0</v>
      </c>
      <c r="V38" s="2846">
        <f t="shared" si="19"/>
        <v>0</v>
      </c>
      <c r="W38" s="2847">
        <f t="shared" si="20"/>
        <v>0</v>
      </c>
      <c r="X38" s="2848">
        <f t="shared" si="21"/>
        <v>0</v>
      </c>
      <c r="Y38" s="2849">
        <f t="shared" si="22"/>
        <v>0</v>
      </c>
      <c r="Z38" s="2850">
        <f t="shared" si="23"/>
        <v>0</v>
      </c>
      <c r="AA38" s="2851">
        <f t="shared" si="24"/>
        <v>0.06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1"/>
    </row>
    <row r="39" spans="1:40" ht="14" thickBot="1">
      <c r="A39" s="5380" t="s">
        <v>215</v>
      </c>
      <c r="B39" s="5380" t="s">
        <v>215</v>
      </c>
      <c r="C39" s="629">
        <f t="shared" si="1"/>
        <v>0</v>
      </c>
      <c r="D39" s="5343"/>
      <c r="E39" s="5344"/>
      <c r="F39" s="5344"/>
      <c r="G39" s="5344"/>
      <c r="H39" s="5343"/>
      <c r="I39" s="5343"/>
      <c r="J39" s="5343"/>
      <c r="K39" s="5381"/>
      <c r="L39" s="5345">
        <f t="shared" si="50"/>
        <v>0.39196570276035037</v>
      </c>
      <c r="M39" s="5346"/>
      <c r="N39" s="5382"/>
      <c r="O39" s="5383"/>
      <c r="P39" s="5384"/>
      <c r="Q39" s="5385"/>
      <c r="R39" s="5386">
        <f>SUM(R32:R38)</f>
        <v>3405</v>
      </c>
      <c r="S39" s="2844">
        <f t="shared" si="16"/>
        <v>0</v>
      </c>
      <c r="T39" s="2845">
        <f t="shared" si="17"/>
        <v>0</v>
      </c>
      <c r="U39" s="374">
        <f t="shared" si="18"/>
        <v>0</v>
      </c>
      <c r="V39" s="2846">
        <f t="shared" si="19"/>
        <v>0</v>
      </c>
      <c r="W39" s="2847">
        <f t="shared" si="20"/>
        <v>0</v>
      </c>
      <c r="X39" s="2848">
        <f t="shared" si="21"/>
        <v>0</v>
      </c>
      <c r="Y39" s="2849">
        <f t="shared" si="22"/>
        <v>0</v>
      </c>
      <c r="Z39" s="2850">
        <f t="shared" si="23"/>
        <v>0</v>
      </c>
      <c r="AA39" s="2851">
        <f t="shared" si="24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1"/>
    </row>
    <row r="40" spans="1:40" ht="14" thickBot="1">
      <c r="A40" s="5274" t="s">
        <v>217</v>
      </c>
      <c r="B40" s="5275" t="s">
        <v>461</v>
      </c>
      <c r="C40" s="629">
        <f t="shared" si="1"/>
        <v>2.1213241598079562E-4</v>
      </c>
      <c r="D40" s="1441">
        <v>2</v>
      </c>
      <c r="E40" s="5387">
        <v>1</v>
      </c>
      <c r="F40" s="5387">
        <v>6</v>
      </c>
      <c r="G40" s="5387">
        <v>25</v>
      </c>
      <c r="H40" s="5388"/>
      <c r="I40" s="5388">
        <v>5.7870370370370366E-5</v>
      </c>
      <c r="J40" s="5388">
        <v>6.9444444444444447E-4</v>
      </c>
      <c r="K40" s="5387" t="s">
        <v>284</v>
      </c>
      <c r="L40" s="5389">
        <v>0.34027777777777773</v>
      </c>
      <c r="M40" s="5390">
        <v>1.17</v>
      </c>
      <c r="N40" s="5388">
        <f t="shared" ref="N40:N46" si="51">P40*E40*F40+I40*F40*E40+J40*E40</f>
        <v>2.5308362268518518E-3</v>
      </c>
      <c r="O40" s="5391">
        <f t="shared" ref="O40:O46" si="52">C40*(G40/25)</f>
        <v>2.1213241598079562E-4</v>
      </c>
      <c r="P40" s="5391">
        <f t="shared" ref="P40:P46" si="53">O40*M40</f>
        <v>2.4819492669753086E-4</v>
      </c>
      <c r="Q40" s="5392">
        <v>160</v>
      </c>
      <c r="R40" s="5393">
        <f t="shared" ref="R40:R46" si="54">E40*F40*G40</f>
        <v>150</v>
      </c>
      <c r="S40" s="2844">
        <f t="shared" si="16"/>
        <v>0.15</v>
      </c>
      <c r="T40" s="2845">
        <f t="shared" si="17"/>
        <v>5.0911779835390945E-3</v>
      </c>
      <c r="U40" s="374">
        <f t="shared" si="18"/>
        <v>0</v>
      </c>
      <c r="V40" s="2846">
        <f t="shared" si="19"/>
        <v>0.15</v>
      </c>
      <c r="W40" s="2847">
        <f t="shared" si="20"/>
        <v>0</v>
      </c>
      <c r="X40" s="2848">
        <f t="shared" si="21"/>
        <v>0</v>
      </c>
      <c r="Y40" s="2849">
        <f t="shared" si="22"/>
        <v>0</v>
      </c>
      <c r="Z40" s="2850">
        <f t="shared" si="23"/>
        <v>0</v>
      </c>
      <c r="AA40" s="2851">
        <f t="shared" si="24"/>
        <v>0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</row>
    <row r="41" spans="1:40" ht="14" thickBot="1">
      <c r="A41" s="5274" t="s">
        <v>459</v>
      </c>
      <c r="B41" s="5275" t="s">
        <v>461</v>
      </c>
      <c r="C41" s="629">
        <f t="shared" si="1"/>
        <v>1.7120949074074073E-4</v>
      </c>
      <c r="D41" s="1441">
        <v>7</v>
      </c>
      <c r="E41" s="5394">
        <v>1</v>
      </c>
      <c r="F41" s="5394">
        <v>4</v>
      </c>
      <c r="G41" s="5394">
        <v>25</v>
      </c>
      <c r="H41" s="5395"/>
      <c r="I41" s="5395">
        <v>4.6296296296296293E-4</v>
      </c>
      <c r="J41" s="5395">
        <v>1.3888888888888889E-3</v>
      </c>
      <c r="K41" s="3572" t="s">
        <v>284</v>
      </c>
      <c r="L41" s="4807">
        <f t="shared" ref="L41:L47" si="55">L40+N40</f>
        <v>0.34280861400462959</v>
      </c>
      <c r="M41" s="5396">
        <v>1.17</v>
      </c>
      <c r="N41" s="5395">
        <f t="shared" si="51"/>
        <v>4.0420011574074073E-3</v>
      </c>
      <c r="O41" s="3574">
        <f t="shared" si="52"/>
        <v>1.7120949074074073E-4</v>
      </c>
      <c r="P41" s="2124">
        <f t="shared" si="53"/>
        <v>2.0031510416666665E-4</v>
      </c>
      <c r="Q41" s="4810">
        <v>160</v>
      </c>
      <c r="R41" s="5397">
        <f t="shared" si="54"/>
        <v>100</v>
      </c>
      <c r="S41" s="2844">
        <f t="shared" si="16"/>
        <v>0.1</v>
      </c>
      <c r="T41" s="2845">
        <f t="shared" si="17"/>
        <v>2.7393518518518518E-3</v>
      </c>
      <c r="U41" s="374">
        <f t="shared" si="18"/>
        <v>0</v>
      </c>
      <c r="V41" s="2846">
        <f t="shared" si="19"/>
        <v>0</v>
      </c>
      <c r="W41" s="2847">
        <f t="shared" si="20"/>
        <v>0</v>
      </c>
      <c r="X41" s="2848">
        <f t="shared" si="21"/>
        <v>0</v>
      </c>
      <c r="Y41" s="2849">
        <f t="shared" si="22"/>
        <v>0</v>
      </c>
      <c r="Z41" s="2850">
        <f t="shared" si="23"/>
        <v>0</v>
      </c>
      <c r="AA41" s="2851">
        <f t="shared" si="24"/>
        <v>0.1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</row>
    <row r="42" spans="1:40" ht="14" thickBot="1">
      <c r="A42" s="5274" t="s">
        <v>458</v>
      </c>
      <c r="B42" s="5275" t="s">
        <v>461</v>
      </c>
      <c r="C42" s="629">
        <f t="shared" si="1"/>
        <v>2.0548470456558689E-4</v>
      </c>
      <c r="D42" s="1441">
        <v>3</v>
      </c>
      <c r="E42" s="4813">
        <v>1</v>
      </c>
      <c r="F42" s="4813">
        <v>6</v>
      </c>
      <c r="G42" s="4813">
        <v>25</v>
      </c>
      <c r="H42" s="5398"/>
      <c r="I42" s="5398">
        <v>2.8935185185185189E-4</v>
      </c>
      <c r="J42" s="5398">
        <v>1.3888888888888889E-3</v>
      </c>
      <c r="K42" s="4813" t="s">
        <v>974</v>
      </c>
      <c r="L42" s="4814">
        <f t="shared" si="55"/>
        <v>0.34685061516203697</v>
      </c>
      <c r="M42" s="5399">
        <v>1.17</v>
      </c>
      <c r="N42" s="5398">
        <f t="shared" si="51"/>
        <v>4.56750262605042E-3</v>
      </c>
      <c r="O42" s="5400">
        <f t="shared" si="52"/>
        <v>2.0548470456558689E-4</v>
      </c>
      <c r="P42" s="5401">
        <f t="shared" si="53"/>
        <v>2.4041710434173665E-4</v>
      </c>
      <c r="Q42" s="4818">
        <v>160</v>
      </c>
      <c r="R42" s="5402">
        <f t="shared" si="54"/>
        <v>150</v>
      </c>
      <c r="S42" s="2844">
        <f t="shared" si="16"/>
        <v>0.15</v>
      </c>
      <c r="T42" s="2845">
        <f t="shared" si="17"/>
        <v>4.9316329095740854E-3</v>
      </c>
      <c r="U42" s="374">
        <f t="shared" si="18"/>
        <v>0</v>
      </c>
      <c r="V42" s="2846">
        <f t="shared" si="19"/>
        <v>0</v>
      </c>
      <c r="W42" s="2847">
        <f t="shared" si="20"/>
        <v>0.15</v>
      </c>
      <c r="X42" s="2848">
        <f t="shared" si="21"/>
        <v>0</v>
      </c>
      <c r="Y42" s="2849">
        <f t="shared" si="22"/>
        <v>0</v>
      </c>
      <c r="Z42" s="2850">
        <f t="shared" si="23"/>
        <v>0</v>
      </c>
      <c r="AA42" s="2851">
        <f t="shared" si="24"/>
        <v>0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</row>
    <row r="43" spans="1:40" ht="14" thickBot="1">
      <c r="A43" s="5274" t="s">
        <v>218</v>
      </c>
      <c r="B43" s="5483">
        <v>11</v>
      </c>
      <c r="C43" s="629">
        <f t="shared" si="1"/>
        <v>1.7120949074074073E-4</v>
      </c>
      <c r="D43" s="1441">
        <v>7</v>
      </c>
      <c r="E43" s="5394">
        <v>1</v>
      </c>
      <c r="F43" s="5394">
        <v>1</v>
      </c>
      <c r="G43" s="5394">
        <v>100</v>
      </c>
      <c r="H43" s="5395"/>
      <c r="I43" s="5395">
        <v>2.3148148148148146E-4</v>
      </c>
      <c r="J43" s="5395">
        <v>1.3888888888888889E-3</v>
      </c>
      <c r="K43" s="3572" t="s">
        <v>284</v>
      </c>
      <c r="L43" s="4807">
        <f t="shared" si="55"/>
        <v>0.3514181177880874</v>
      </c>
      <c r="M43" s="5396">
        <v>1.17</v>
      </c>
      <c r="N43" s="5395">
        <f t="shared" si="51"/>
        <v>2.4216307870370372E-3</v>
      </c>
      <c r="O43" s="3574">
        <f t="shared" si="52"/>
        <v>6.8483796296296294E-4</v>
      </c>
      <c r="P43" s="2124">
        <f t="shared" si="53"/>
        <v>8.0126041666666659E-4</v>
      </c>
      <c r="Q43" s="4810">
        <v>160</v>
      </c>
      <c r="R43" s="5397">
        <f t="shared" si="54"/>
        <v>100</v>
      </c>
      <c r="S43" s="2844">
        <f t="shared" si="16"/>
        <v>0.1</v>
      </c>
      <c r="T43" s="2845">
        <f t="shared" si="17"/>
        <v>2.7393518518518518E-3</v>
      </c>
      <c r="U43" s="374">
        <f t="shared" si="18"/>
        <v>0</v>
      </c>
      <c r="V43" s="2846">
        <f t="shared" si="19"/>
        <v>0</v>
      </c>
      <c r="W43" s="2847">
        <f t="shared" si="20"/>
        <v>0</v>
      </c>
      <c r="X43" s="2848">
        <f t="shared" si="21"/>
        <v>0</v>
      </c>
      <c r="Y43" s="2849">
        <f t="shared" si="22"/>
        <v>0</v>
      </c>
      <c r="Z43" s="2850">
        <f t="shared" si="23"/>
        <v>0</v>
      </c>
      <c r="AA43" s="2851">
        <f t="shared" si="24"/>
        <v>0.1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</row>
    <row r="44" spans="1:40" ht="14" thickBot="1">
      <c r="A44" s="5274" t="s">
        <v>458</v>
      </c>
      <c r="B44" s="5275" t="s">
        <v>461</v>
      </c>
      <c r="C44" s="629">
        <f t="shared" si="1"/>
        <v>2.0548470456558689E-4</v>
      </c>
      <c r="D44" s="1441">
        <v>3</v>
      </c>
      <c r="E44" s="4813">
        <v>1</v>
      </c>
      <c r="F44" s="4813">
        <v>6</v>
      </c>
      <c r="G44" s="4813">
        <v>25</v>
      </c>
      <c r="H44" s="5398"/>
      <c r="I44" s="5398">
        <v>2.8935185185185189E-4</v>
      </c>
      <c r="J44" s="5398">
        <v>1.3888888888888889E-3</v>
      </c>
      <c r="K44" s="4813" t="s">
        <v>974</v>
      </c>
      <c r="L44" s="4814">
        <f t="shared" si="55"/>
        <v>0.35383974857512446</v>
      </c>
      <c r="M44" s="5399">
        <v>1.17</v>
      </c>
      <c r="N44" s="5398">
        <f t="shared" si="51"/>
        <v>4.56750262605042E-3</v>
      </c>
      <c r="O44" s="5400">
        <f t="shared" si="52"/>
        <v>2.0548470456558689E-4</v>
      </c>
      <c r="P44" s="5401">
        <f t="shared" si="53"/>
        <v>2.4041710434173665E-4</v>
      </c>
      <c r="Q44" s="4818">
        <v>160</v>
      </c>
      <c r="R44" s="5402">
        <f t="shared" si="54"/>
        <v>150</v>
      </c>
      <c r="S44" s="2844">
        <f t="shared" si="16"/>
        <v>0.15</v>
      </c>
      <c r="T44" s="2845">
        <f t="shared" si="17"/>
        <v>4.9316329095740854E-3</v>
      </c>
      <c r="U44" s="374">
        <f t="shared" si="18"/>
        <v>0</v>
      </c>
      <c r="V44" s="2846">
        <f t="shared" si="19"/>
        <v>0</v>
      </c>
      <c r="W44" s="2847">
        <f t="shared" si="20"/>
        <v>0.15</v>
      </c>
      <c r="X44" s="2848">
        <f t="shared" si="21"/>
        <v>0</v>
      </c>
      <c r="Y44" s="2849">
        <f t="shared" si="22"/>
        <v>0</v>
      </c>
      <c r="Z44" s="2850">
        <f t="shared" si="23"/>
        <v>0</v>
      </c>
      <c r="AA44" s="2851">
        <f t="shared" si="24"/>
        <v>0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</row>
    <row r="45" spans="1:40" ht="14" thickBot="1">
      <c r="A45" s="5274"/>
      <c r="B45" s="5275" t="s">
        <v>461</v>
      </c>
      <c r="C45" s="629">
        <f t="shared" si="1"/>
        <v>1.7650462962962962E-4</v>
      </c>
      <c r="D45" s="1441">
        <v>6</v>
      </c>
      <c r="E45" s="5403">
        <v>2</v>
      </c>
      <c r="F45" s="5403">
        <v>4</v>
      </c>
      <c r="G45" s="5403">
        <v>50</v>
      </c>
      <c r="H45" s="5404" t="s">
        <v>710</v>
      </c>
      <c r="I45" s="5405">
        <v>6.9444444444444447E-4</v>
      </c>
      <c r="J45" s="5405">
        <v>1.1574074074074073E-3</v>
      </c>
      <c r="K45" s="4820" t="s">
        <v>1542</v>
      </c>
      <c r="L45" s="5405">
        <f t="shared" si="55"/>
        <v>0.35840725120117489</v>
      </c>
      <c r="M45" s="5406">
        <v>1.17</v>
      </c>
      <c r="N45" s="5405">
        <f t="shared" si="51"/>
        <v>1.1174537037037037E-2</v>
      </c>
      <c r="O45" s="5405">
        <f t="shared" si="52"/>
        <v>3.5300925925925924E-4</v>
      </c>
      <c r="P45" s="5407">
        <f t="shared" si="53"/>
        <v>4.1302083333333327E-4</v>
      </c>
      <c r="Q45" s="4821">
        <v>160</v>
      </c>
      <c r="R45" s="5408">
        <f t="shared" si="54"/>
        <v>400</v>
      </c>
      <c r="S45" s="2844">
        <f t="shared" si="16"/>
        <v>0.4</v>
      </c>
      <c r="T45" s="2845">
        <f t="shared" si="17"/>
        <v>1.1296296296296296E-2</v>
      </c>
      <c r="U45" s="374">
        <f t="shared" si="18"/>
        <v>0</v>
      </c>
      <c r="V45" s="2846">
        <f t="shared" si="19"/>
        <v>0</v>
      </c>
      <c r="W45" s="2847">
        <f t="shared" si="20"/>
        <v>0</v>
      </c>
      <c r="X45" s="2848">
        <f t="shared" si="21"/>
        <v>0</v>
      </c>
      <c r="Y45" s="2849">
        <f t="shared" si="22"/>
        <v>0</v>
      </c>
      <c r="Z45" s="2850">
        <f t="shared" si="23"/>
        <v>0.4</v>
      </c>
      <c r="AA45" s="2851">
        <f t="shared" si="24"/>
        <v>0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</row>
    <row r="46" spans="1:40" ht="14" thickBot="1">
      <c r="A46" s="5274"/>
      <c r="B46" s="5275" t="s">
        <v>461</v>
      </c>
      <c r="C46" s="629">
        <f t="shared" si="1"/>
        <v>1.7650462962962962E-4</v>
      </c>
      <c r="D46" s="1441">
        <v>6</v>
      </c>
      <c r="E46" s="5403">
        <v>2</v>
      </c>
      <c r="F46" s="5403">
        <v>4</v>
      </c>
      <c r="G46" s="5403">
        <v>50</v>
      </c>
      <c r="H46" s="5379" t="s">
        <v>713</v>
      </c>
      <c r="I46" s="5405">
        <v>8.6805555555555551E-4</v>
      </c>
      <c r="J46" s="5405">
        <v>2.8935185185185189E-4</v>
      </c>
      <c r="K46" s="4820" t="s">
        <v>882</v>
      </c>
      <c r="L46" s="5405">
        <f t="shared" si="55"/>
        <v>0.36958178823821192</v>
      </c>
      <c r="M46" s="5406">
        <v>1.17</v>
      </c>
      <c r="N46" s="5405">
        <f t="shared" si="51"/>
        <v>1.0827314814814816E-2</v>
      </c>
      <c r="O46" s="5405">
        <f t="shared" si="52"/>
        <v>3.5300925925925924E-4</v>
      </c>
      <c r="P46" s="5407">
        <f t="shared" si="53"/>
        <v>4.1302083333333327E-4</v>
      </c>
      <c r="Q46" s="4821">
        <v>160</v>
      </c>
      <c r="R46" s="5409">
        <f t="shared" si="54"/>
        <v>400</v>
      </c>
      <c r="S46" s="2844">
        <f t="shared" si="16"/>
        <v>0.4</v>
      </c>
      <c r="T46" s="2845">
        <f t="shared" si="17"/>
        <v>1.1296296296296296E-2</v>
      </c>
      <c r="U46" s="374">
        <f t="shared" si="18"/>
        <v>0</v>
      </c>
      <c r="V46" s="2846">
        <f t="shared" si="19"/>
        <v>0</v>
      </c>
      <c r="W46" s="2847">
        <f t="shared" si="20"/>
        <v>0</v>
      </c>
      <c r="X46" s="2848">
        <f t="shared" si="21"/>
        <v>0</v>
      </c>
      <c r="Y46" s="2849">
        <f t="shared" si="22"/>
        <v>0</v>
      </c>
      <c r="Z46" s="2850">
        <f t="shared" si="23"/>
        <v>0.4</v>
      </c>
      <c r="AA46" s="2851">
        <f t="shared" si="24"/>
        <v>0</v>
      </c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</row>
    <row r="47" spans="1:40" ht="14" customHeight="1" thickBot="1">
      <c r="A47" s="5380" t="s">
        <v>215</v>
      </c>
      <c r="B47" s="5380" t="s">
        <v>215</v>
      </c>
      <c r="C47" s="629">
        <f t="shared" si="1"/>
        <v>0</v>
      </c>
      <c r="D47" s="5410"/>
      <c r="E47" s="5411"/>
      <c r="F47" s="5411"/>
      <c r="G47" s="5411"/>
      <c r="H47" s="5410"/>
      <c r="I47" s="5410"/>
      <c r="J47" s="5410"/>
      <c r="K47" s="5412"/>
      <c r="L47" s="5345">
        <f t="shared" si="55"/>
        <v>0.38040910305302672</v>
      </c>
      <c r="M47" s="5413"/>
      <c r="N47" s="5414"/>
      <c r="O47" s="5415"/>
      <c r="P47" s="5416"/>
      <c r="Q47" s="5417"/>
      <c r="R47" s="5386">
        <f>SUM(R40:R46)</f>
        <v>1450</v>
      </c>
      <c r="S47" s="2844">
        <f t="shared" si="16"/>
        <v>0</v>
      </c>
      <c r="T47" s="2845">
        <f t="shared" si="17"/>
        <v>0</v>
      </c>
      <c r="U47" s="374">
        <f t="shared" si="18"/>
        <v>0</v>
      </c>
      <c r="V47" s="2846">
        <f t="shared" si="19"/>
        <v>0</v>
      </c>
      <c r="W47" s="2847">
        <f t="shared" si="20"/>
        <v>0</v>
      </c>
      <c r="X47" s="2848">
        <f t="shared" si="21"/>
        <v>0</v>
      </c>
      <c r="Y47" s="2849">
        <f t="shared" si="22"/>
        <v>0</v>
      </c>
      <c r="Z47" s="2850">
        <f t="shared" si="23"/>
        <v>0</v>
      </c>
      <c r="AA47" s="2851">
        <f t="shared" si="24"/>
        <v>0</v>
      </c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</row>
    <row r="48" spans="1:40" ht="14" customHeight="1" thickBot="1">
      <c r="A48" s="5418" t="s">
        <v>218</v>
      </c>
      <c r="B48" s="5419" t="s">
        <v>461</v>
      </c>
      <c r="C48" s="629">
        <f t="shared" si="1"/>
        <v>2.2154584560078511E-4</v>
      </c>
      <c r="D48" s="4429">
        <v>1</v>
      </c>
      <c r="E48" s="5420">
        <v>1</v>
      </c>
      <c r="F48" s="5420">
        <v>3</v>
      </c>
      <c r="G48" s="5420">
        <v>500</v>
      </c>
      <c r="H48" s="5420"/>
      <c r="I48" s="5421">
        <v>1.9675925925925926E-4</v>
      </c>
      <c r="J48" s="5421">
        <v>2.3148148148148146E-4</v>
      </c>
      <c r="K48" s="5422" t="s">
        <v>1125</v>
      </c>
      <c r="L48" s="5421">
        <v>0.34027777777777773</v>
      </c>
      <c r="M48" s="5423">
        <v>1.2</v>
      </c>
      <c r="N48" s="5424">
        <f t="shared" ref="N48:N54" si="56">P48*E48*F48+I48*F48*E48+J48*E48</f>
        <v>1.6773060142515787E-2</v>
      </c>
      <c r="O48" s="5425">
        <f t="shared" ref="O48:O54" si="57">C48*(G48/25)</f>
        <v>4.4309169120157026E-3</v>
      </c>
      <c r="P48" s="5424">
        <f t="shared" ref="P48:P54" si="58">O48*M48</f>
        <v>5.3171002944188426E-3</v>
      </c>
      <c r="Q48" s="5426">
        <v>144</v>
      </c>
      <c r="R48" s="5427">
        <f t="shared" ref="R48:R54" si="59">E48*F48*G48</f>
        <v>1500</v>
      </c>
      <c r="S48" s="2844">
        <f t="shared" si="16"/>
        <v>1.5</v>
      </c>
      <c r="T48" s="2845">
        <f t="shared" si="17"/>
        <v>5.3171002944188431E-2</v>
      </c>
      <c r="U48" s="374">
        <f t="shared" si="18"/>
        <v>1.5</v>
      </c>
      <c r="V48" s="2846">
        <f t="shared" si="19"/>
        <v>0</v>
      </c>
      <c r="W48" s="2847">
        <f t="shared" si="20"/>
        <v>0</v>
      </c>
      <c r="X48" s="2848">
        <f t="shared" si="21"/>
        <v>0</v>
      </c>
      <c r="Y48" s="2849">
        <f t="shared" si="22"/>
        <v>0</v>
      </c>
      <c r="Z48" s="2850">
        <f t="shared" si="23"/>
        <v>0</v>
      </c>
      <c r="AA48" s="2851">
        <f t="shared" si="24"/>
        <v>0</v>
      </c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</row>
    <row r="49" spans="1:40" ht="14" customHeight="1" thickBot="1">
      <c r="A49" s="5418" t="s">
        <v>139</v>
      </c>
      <c r="B49" s="5419" t="s">
        <v>461</v>
      </c>
      <c r="C49" s="629">
        <f t="shared" si="1"/>
        <v>2.1213241598079562E-4</v>
      </c>
      <c r="D49" s="920">
        <v>2</v>
      </c>
      <c r="E49" s="5427">
        <v>1</v>
      </c>
      <c r="F49" s="5427">
        <v>1</v>
      </c>
      <c r="G49" s="5427">
        <v>200</v>
      </c>
      <c r="H49" s="5427"/>
      <c r="I49" s="5424">
        <v>0</v>
      </c>
      <c r="J49" s="5424">
        <v>3.4722222222222224E-4</v>
      </c>
      <c r="K49" s="5423" t="s">
        <v>1422</v>
      </c>
      <c r="L49" s="5424">
        <f t="shared" ref="L49:L55" si="60">L48+N48</f>
        <v>0.35705083792029352</v>
      </c>
      <c r="M49" s="5423">
        <v>1.1499999999999999</v>
      </c>
      <c r="N49" s="5424">
        <f t="shared" si="56"/>
        <v>2.2988404492455417E-3</v>
      </c>
      <c r="O49" s="5425">
        <f t="shared" si="57"/>
        <v>1.697059327846365E-3</v>
      </c>
      <c r="P49" s="5424">
        <f t="shared" si="58"/>
        <v>1.9516182270233196E-3</v>
      </c>
      <c r="Q49" s="5426">
        <v>160</v>
      </c>
      <c r="R49" s="5427">
        <f t="shared" si="59"/>
        <v>200</v>
      </c>
      <c r="S49" s="2844">
        <f t="shared" si="16"/>
        <v>0.2</v>
      </c>
      <c r="T49" s="2845">
        <f t="shared" si="17"/>
        <v>6.7882373113854599E-3</v>
      </c>
      <c r="U49" s="374">
        <f t="shared" si="18"/>
        <v>0</v>
      </c>
      <c r="V49" s="2846">
        <f t="shared" si="19"/>
        <v>0.2</v>
      </c>
      <c r="W49" s="2847">
        <f t="shared" si="20"/>
        <v>0</v>
      </c>
      <c r="X49" s="2848">
        <f t="shared" si="21"/>
        <v>0</v>
      </c>
      <c r="Y49" s="2849">
        <f t="shared" si="22"/>
        <v>0</v>
      </c>
      <c r="Z49" s="2850">
        <f t="shared" si="23"/>
        <v>0</v>
      </c>
      <c r="AA49" s="2851">
        <f t="shared" si="24"/>
        <v>0</v>
      </c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</row>
    <row r="50" spans="1:40" ht="14" customHeight="1" thickBot="1">
      <c r="A50" s="5418" t="s">
        <v>458</v>
      </c>
      <c r="B50" s="5419" t="s">
        <v>461</v>
      </c>
      <c r="C50" s="629">
        <f t="shared" si="1"/>
        <v>2.0548470456558689E-4</v>
      </c>
      <c r="D50" s="4794">
        <v>3</v>
      </c>
      <c r="E50" s="5428">
        <v>1</v>
      </c>
      <c r="F50" s="5428">
        <v>4</v>
      </c>
      <c r="G50" s="5428">
        <v>50</v>
      </c>
      <c r="H50" s="5428"/>
      <c r="I50" s="5429">
        <v>1.7361111111111112E-4</v>
      </c>
      <c r="J50" s="5429">
        <v>1.3888888888888889E-3</v>
      </c>
      <c r="K50" s="5430" t="s">
        <v>1423</v>
      </c>
      <c r="L50" s="5429">
        <f t="shared" si="60"/>
        <v>0.35934967836953907</v>
      </c>
      <c r="M50" s="5430">
        <v>1.1499999999999999</v>
      </c>
      <c r="N50" s="5429">
        <f t="shared" si="56"/>
        <v>3.9737926153367324E-3</v>
      </c>
      <c r="O50" s="5431">
        <f t="shared" si="57"/>
        <v>4.1096940913117378E-4</v>
      </c>
      <c r="P50" s="5429">
        <f t="shared" si="58"/>
        <v>4.7261482050084982E-4</v>
      </c>
      <c r="Q50" s="5432">
        <v>160</v>
      </c>
      <c r="R50" s="5428">
        <f t="shared" si="59"/>
        <v>200</v>
      </c>
      <c r="S50" s="2844">
        <f t="shared" si="16"/>
        <v>0.2</v>
      </c>
      <c r="T50" s="2845">
        <f t="shared" si="17"/>
        <v>6.5755105460987805E-3</v>
      </c>
      <c r="U50" s="374">
        <f t="shared" si="18"/>
        <v>0</v>
      </c>
      <c r="V50" s="2846">
        <f t="shared" si="19"/>
        <v>0</v>
      </c>
      <c r="W50" s="2847">
        <f t="shared" si="20"/>
        <v>0.2</v>
      </c>
      <c r="X50" s="2848">
        <f t="shared" si="21"/>
        <v>0</v>
      </c>
      <c r="Y50" s="2849">
        <f t="shared" si="22"/>
        <v>0</v>
      </c>
      <c r="Z50" s="2850">
        <f t="shared" si="23"/>
        <v>0</v>
      </c>
      <c r="AA50" s="2851">
        <f t="shared" si="24"/>
        <v>0</v>
      </c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</row>
    <row r="51" spans="1:40" ht="16.25" customHeight="1" thickBot="1">
      <c r="A51" s="5418" t="s">
        <v>462</v>
      </c>
      <c r="B51" s="5485">
        <v>10</v>
      </c>
      <c r="C51" s="629">
        <f t="shared" si="1"/>
        <v>2.1213241598079562E-4</v>
      </c>
      <c r="D51" s="4794">
        <v>2</v>
      </c>
      <c r="E51" s="5433">
        <v>1</v>
      </c>
      <c r="F51" s="5427">
        <v>1</v>
      </c>
      <c r="G51" s="5427">
        <v>250</v>
      </c>
      <c r="H51" s="5427"/>
      <c r="I51" s="5424">
        <v>2.8935185185185189E-4</v>
      </c>
      <c r="J51" s="5424">
        <v>1.3888888888888889E-3</v>
      </c>
      <c r="K51" s="5423" t="s">
        <v>1424</v>
      </c>
      <c r="L51" s="5424">
        <f t="shared" si="60"/>
        <v>0.36332347098487583</v>
      </c>
      <c r="M51" s="5423">
        <v>1.1499999999999999</v>
      </c>
      <c r="N51" s="5424">
        <f t="shared" si="56"/>
        <v>4.1177635245198902E-3</v>
      </c>
      <c r="O51" s="5425">
        <f t="shared" si="57"/>
        <v>2.1213241598079563E-3</v>
      </c>
      <c r="P51" s="5424">
        <f t="shared" si="58"/>
        <v>2.4395227837791496E-3</v>
      </c>
      <c r="Q51" s="5426">
        <v>160</v>
      </c>
      <c r="R51" s="5427">
        <f t="shared" si="59"/>
        <v>250</v>
      </c>
      <c r="S51" s="2844">
        <f t="shared" si="16"/>
        <v>0.25</v>
      </c>
      <c r="T51" s="2845">
        <f t="shared" si="17"/>
        <v>8.4852966392318253E-3</v>
      </c>
      <c r="U51" s="374">
        <f t="shared" si="18"/>
        <v>0</v>
      </c>
      <c r="V51" s="2846">
        <f t="shared" si="19"/>
        <v>0.25</v>
      </c>
      <c r="W51" s="2847">
        <f t="shared" si="20"/>
        <v>0</v>
      </c>
      <c r="X51" s="2848">
        <f t="shared" si="21"/>
        <v>0</v>
      </c>
      <c r="Y51" s="2849">
        <f t="shared" si="22"/>
        <v>0</v>
      </c>
      <c r="Z51" s="2850">
        <f t="shared" si="23"/>
        <v>0</v>
      </c>
      <c r="AA51" s="2851">
        <f t="shared" si="24"/>
        <v>0</v>
      </c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</row>
    <row r="52" spans="1:40" ht="15" customHeight="1" thickBot="1">
      <c r="A52" s="5418" t="s">
        <v>460</v>
      </c>
      <c r="B52" s="5419" t="s">
        <v>461</v>
      </c>
      <c r="C52" s="629">
        <f t="shared" si="1"/>
        <v>2.0548470456558689E-4</v>
      </c>
      <c r="D52" s="4794">
        <v>3</v>
      </c>
      <c r="E52" s="5434">
        <v>1</v>
      </c>
      <c r="F52" s="5434">
        <v>4</v>
      </c>
      <c r="G52" s="5428">
        <v>50</v>
      </c>
      <c r="H52" s="5428"/>
      <c r="I52" s="5429">
        <v>1.7361111111111112E-4</v>
      </c>
      <c r="J52" s="5429">
        <v>2.8935185185185189E-4</v>
      </c>
      <c r="K52" s="5430" t="s">
        <v>1423</v>
      </c>
      <c r="L52" s="5429">
        <f t="shared" si="60"/>
        <v>0.3674412345093957</v>
      </c>
      <c r="M52" s="5430">
        <v>1.1499999999999999</v>
      </c>
      <c r="N52" s="5429">
        <f t="shared" si="56"/>
        <v>2.8742555782996955E-3</v>
      </c>
      <c r="O52" s="5431">
        <f t="shared" si="57"/>
        <v>4.1096940913117378E-4</v>
      </c>
      <c r="P52" s="5429">
        <f t="shared" si="58"/>
        <v>4.7261482050084982E-4</v>
      </c>
      <c r="Q52" s="5432">
        <v>160</v>
      </c>
      <c r="R52" s="5428">
        <f t="shared" si="59"/>
        <v>200</v>
      </c>
      <c r="S52" s="2844">
        <f t="shared" si="16"/>
        <v>0.2</v>
      </c>
      <c r="T52" s="2845">
        <f t="shared" si="17"/>
        <v>6.5755105460987805E-3</v>
      </c>
      <c r="U52" s="374">
        <f t="shared" si="18"/>
        <v>0</v>
      </c>
      <c r="V52" s="2846">
        <f t="shared" si="19"/>
        <v>0</v>
      </c>
      <c r="W52" s="2847">
        <f t="shared" si="20"/>
        <v>0.2</v>
      </c>
      <c r="X52" s="2848">
        <f t="shared" si="21"/>
        <v>0</v>
      </c>
      <c r="Y52" s="2849">
        <f t="shared" si="22"/>
        <v>0</v>
      </c>
      <c r="Z52" s="2850">
        <f t="shared" si="23"/>
        <v>0</v>
      </c>
      <c r="AA52" s="2851">
        <f t="shared" si="24"/>
        <v>0</v>
      </c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  <c r="AN52" s="1"/>
    </row>
    <row r="53" spans="1:40" ht="14" thickBot="1">
      <c r="A53" s="5418" t="s">
        <v>458</v>
      </c>
      <c r="B53" s="5419" t="s">
        <v>461</v>
      </c>
      <c r="C53" s="629">
        <f t="shared" si="1"/>
        <v>2.0548470456558689E-4</v>
      </c>
      <c r="D53" s="4794">
        <v>3</v>
      </c>
      <c r="E53" s="5433">
        <v>1</v>
      </c>
      <c r="F53" s="5427">
        <v>1</v>
      </c>
      <c r="G53" s="5427">
        <v>1000</v>
      </c>
      <c r="H53" s="5427"/>
      <c r="I53" s="5424">
        <v>2.8935185185185189E-4</v>
      </c>
      <c r="J53" s="5424">
        <v>1.3888888888888889E-3</v>
      </c>
      <c r="K53" s="5423" t="s">
        <v>1162</v>
      </c>
      <c r="L53" s="5424">
        <f t="shared" si="60"/>
        <v>0.37031549008769538</v>
      </c>
      <c r="M53" s="5423">
        <v>1.1499999999999999</v>
      </c>
      <c r="N53" s="5424">
        <f t="shared" si="56"/>
        <v>1.1130537150757737E-2</v>
      </c>
      <c r="O53" s="5425">
        <f t="shared" si="57"/>
        <v>8.2193881826234765E-3</v>
      </c>
      <c r="P53" s="5424">
        <f t="shared" si="58"/>
        <v>9.4522964100169967E-3</v>
      </c>
      <c r="Q53" s="5426">
        <v>160</v>
      </c>
      <c r="R53" s="5427">
        <f t="shared" si="59"/>
        <v>1000</v>
      </c>
      <c r="S53" s="2844">
        <f t="shared" si="16"/>
        <v>1</v>
      </c>
      <c r="T53" s="2845">
        <f t="shared" si="17"/>
        <v>3.2877552730493906E-2</v>
      </c>
      <c r="U53" s="374">
        <f t="shared" si="18"/>
        <v>0</v>
      </c>
      <c r="V53" s="2846">
        <f t="shared" si="19"/>
        <v>0</v>
      </c>
      <c r="W53" s="2847">
        <f t="shared" si="20"/>
        <v>1</v>
      </c>
      <c r="X53" s="2848">
        <f t="shared" si="21"/>
        <v>0</v>
      </c>
      <c r="Y53" s="2849">
        <f t="shared" si="22"/>
        <v>0</v>
      </c>
      <c r="Z53" s="2850">
        <f t="shared" si="23"/>
        <v>0</v>
      </c>
      <c r="AA53" s="2851">
        <f t="shared" si="24"/>
        <v>0</v>
      </c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  <c r="AN53" s="1"/>
    </row>
    <row r="54" spans="1:40" ht="14" customHeight="1" thickBot="1">
      <c r="A54" s="5418" t="s">
        <v>219</v>
      </c>
      <c r="B54" s="5419" t="s">
        <v>461</v>
      </c>
      <c r="C54" s="629">
        <f t="shared" si="1"/>
        <v>1.9604881489123236E-4</v>
      </c>
      <c r="D54" s="4794">
        <v>4</v>
      </c>
      <c r="E54" s="5435">
        <v>1</v>
      </c>
      <c r="F54" s="5435">
        <v>1</v>
      </c>
      <c r="G54" s="5436">
        <v>300</v>
      </c>
      <c r="H54" s="5437"/>
      <c r="I54" s="5438">
        <v>0</v>
      </c>
      <c r="J54" s="5438">
        <v>2.0833333333333333E-3</v>
      </c>
      <c r="K54" s="5439" t="s">
        <v>1425</v>
      </c>
      <c r="L54" s="5440">
        <f t="shared" si="60"/>
        <v>0.38144602723845311</v>
      </c>
      <c r="M54" s="5441">
        <v>1.1000000000000001</v>
      </c>
      <c r="N54" s="5440">
        <f t="shared" si="56"/>
        <v>4.6711776898976012E-3</v>
      </c>
      <c r="O54" s="5442">
        <f t="shared" si="57"/>
        <v>2.3525857786947883E-3</v>
      </c>
      <c r="P54" s="5440">
        <f t="shared" si="58"/>
        <v>2.5878443565642674E-3</v>
      </c>
      <c r="Q54" s="5443">
        <v>175</v>
      </c>
      <c r="R54" s="5444">
        <f t="shared" si="59"/>
        <v>300</v>
      </c>
      <c r="S54" s="2844">
        <f t="shared" si="16"/>
        <v>0.3</v>
      </c>
      <c r="T54" s="2845">
        <f t="shared" si="17"/>
        <v>9.410343114779153E-3</v>
      </c>
      <c r="U54" s="374">
        <f t="shared" si="18"/>
        <v>0</v>
      </c>
      <c r="V54" s="2846">
        <f t="shared" si="19"/>
        <v>0</v>
      </c>
      <c r="W54" s="2847">
        <f t="shared" si="20"/>
        <v>0</v>
      </c>
      <c r="X54" s="2848">
        <f t="shared" si="21"/>
        <v>0.3</v>
      </c>
      <c r="Y54" s="2849">
        <f t="shared" si="22"/>
        <v>0</v>
      </c>
      <c r="Z54" s="2850">
        <f t="shared" si="23"/>
        <v>0</v>
      </c>
      <c r="AA54" s="2851">
        <f t="shared" si="24"/>
        <v>0</v>
      </c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  <c r="AN54" s="1"/>
    </row>
    <row r="55" spans="1:40" ht="14" customHeight="1" thickBot="1">
      <c r="A55" s="5274"/>
      <c r="B55" s="1278" t="s">
        <v>461</v>
      </c>
      <c r="C55" s="629">
        <f t="shared" si="1"/>
        <v>0</v>
      </c>
      <c r="D55" s="920"/>
      <c r="E55" s="3275"/>
      <c r="F55" s="5445"/>
      <c r="G55" s="5445"/>
      <c r="H55" s="5446"/>
      <c r="I55" s="5447"/>
      <c r="J55" s="5447"/>
      <c r="K55" s="5445"/>
      <c r="L55" s="5448">
        <f t="shared" si="60"/>
        <v>0.38611720492835072</v>
      </c>
      <c r="M55" s="5449">
        <v>0.78</v>
      </c>
      <c r="N55" s="5450">
        <f>SUM(N48:N54)</f>
        <v>4.5839427150572987E-2</v>
      </c>
      <c r="O55" s="5450"/>
      <c r="P55" s="5451"/>
      <c r="Q55" s="5452"/>
      <c r="R55" s="5453">
        <f>SUM(R48:R54)</f>
        <v>3650</v>
      </c>
      <c r="S55" s="2844">
        <f t="shared" si="16"/>
        <v>0</v>
      </c>
      <c r="T55" s="2845">
        <f t="shared" si="17"/>
        <v>0</v>
      </c>
      <c r="U55" s="374">
        <f t="shared" si="18"/>
        <v>0</v>
      </c>
      <c r="V55" s="2846">
        <f t="shared" si="19"/>
        <v>0</v>
      </c>
      <c r="W55" s="2847">
        <f t="shared" si="20"/>
        <v>0</v>
      </c>
      <c r="X55" s="2848">
        <f t="shared" si="21"/>
        <v>0</v>
      </c>
      <c r="Y55" s="2849">
        <f t="shared" si="22"/>
        <v>0</v>
      </c>
      <c r="Z55" s="2850">
        <f t="shared" si="23"/>
        <v>0</v>
      </c>
      <c r="AA55" s="2851">
        <f t="shared" si="24"/>
        <v>0</v>
      </c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  <c r="AN55" s="1"/>
    </row>
    <row r="56" spans="1:40" ht="14" customHeight="1" thickBot="1">
      <c r="A56" s="2914" t="s">
        <v>219</v>
      </c>
      <c r="B56" s="5368" t="s">
        <v>139</v>
      </c>
      <c r="C56" s="629">
        <f t="shared" si="1"/>
        <v>0</v>
      </c>
      <c r="D56" s="5454"/>
      <c r="E56" s="5455"/>
      <c r="F56" s="3242"/>
      <c r="G56" s="5456"/>
      <c r="H56" s="5457"/>
      <c r="I56" s="5457"/>
      <c r="J56" s="5456"/>
      <c r="K56" s="5458"/>
      <c r="L56" s="5459"/>
      <c r="M56" s="5460"/>
      <c r="N56" s="5461"/>
      <c r="O56" s="5456"/>
      <c r="P56" s="5456"/>
      <c r="Q56" s="5462"/>
      <c r="R56" s="5463"/>
      <c r="S56" s="2844">
        <f t="shared" si="16"/>
        <v>0</v>
      </c>
      <c r="T56" s="2845">
        <f t="shared" si="17"/>
        <v>0</v>
      </c>
      <c r="U56" s="374">
        <f t="shared" si="18"/>
        <v>0</v>
      </c>
      <c r="V56" s="2846">
        <f t="shared" si="19"/>
        <v>0</v>
      </c>
      <c r="W56" s="2847">
        <f t="shared" si="20"/>
        <v>0</v>
      </c>
      <c r="X56" s="2848">
        <f t="shared" si="21"/>
        <v>0</v>
      </c>
      <c r="Y56" s="2849">
        <f t="shared" si="22"/>
        <v>0</v>
      </c>
      <c r="Z56" s="2850">
        <f t="shared" si="23"/>
        <v>0</v>
      </c>
      <c r="AA56" s="2851">
        <f t="shared" si="24"/>
        <v>0</v>
      </c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  <c r="AN56" s="1"/>
    </row>
    <row r="57" spans="1:40" ht="13" customHeight="1" thickBot="1">
      <c r="A57" s="5464" t="s">
        <v>138</v>
      </c>
      <c r="B57" s="5486">
        <v>9</v>
      </c>
      <c r="C57" s="629">
        <f t="shared" si="1"/>
        <v>1.7120949074074073E-4</v>
      </c>
      <c r="D57" s="920">
        <v>7</v>
      </c>
      <c r="E57" s="5466">
        <v>4</v>
      </c>
      <c r="F57" s="5466">
        <v>8</v>
      </c>
      <c r="G57" s="5466">
        <v>25</v>
      </c>
      <c r="H57" s="4681"/>
      <c r="I57" s="5467">
        <v>2.8935185185185189E-4</v>
      </c>
      <c r="J57" s="5467">
        <v>1.3888888888888889E-3</v>
      </c>
      <c r="K57" s="5468" t="s">
        <v>1899</v>
      </c>
      <c r="L57" s="5469">
        <f t="shared" ref="L57:L58" si="61">L56+N56</f>
        <v>0</v>
      </c>
      <c r="M57" s="5470">
        <v>1.4</v>
      </c>
      <c r="N57" s="5467">
        <f t="shared" ref="N57:N58" si="62">P57*E57*F57+I57*F57*E57+J57*E57</f>
        <v>2.2485000000000002E-2</v>
      </c>
      <c r="O57" s="5467">
        <f t="shared" ref="O57" si="63">C57*(G57/25)</f>
        <v>1.7120949074074073E-4</v>
      </c>
      <c r="P57" s="5471">
        <f>O57*M57</f>
        <v>2.3969328703703701E-4</v>
      </c>
      <c r="Q57" s="5472"/>
      <c r="R57" s="5473">
        <f>E57*F57*G57</f>
        <v>800</v>
      </c>
      <c r="S57" s="2844">
        <f t="shared" si="16"/>
        <v>0.8</v>
      </c>
      <c r="T57" s="2845">
        <f t="shared" si="17"/>
        <v>2.1914814814814814E-2</v>
      </c>
      <c r="U57" s="374">
        <f t="shared" si="18"/>
        <v>0</v>
      </c>
      <c r="V57" s="2846">
        <f t="shared" si="19"/>
        <v>0</v>
      </c>
      <c r="W57" s="2847">
        <f t="shared" si="20"/>
        <v>0</v>
      </c>
      <c r="X57" s="2848">
        <f t="shared" si="21"/>
        <v>0</v>
      </c>
      <c r="Y57" s="2849">
        <f t="shared" si="22"/>
        <v>0</v>
      </c>
      <c r="Z57" s="2850">
        <f t="shared" si="23"/>
        <v>0</v>
      </c>
      <c r="AA57" s="2851">
        <f t="shared" si="24"/>
        <v>0.8</v>
      </c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  <c r="AN57" s="1"/>
    </row>
    <row r="58" spans="1:40" ht="14" thickBot="1">
      <c r="A58" s="5464" t="s">
        <v>779</v>
      </c>
      <c r="B58" s="5465" t="s">
        <v>215</v>
      </c>
      <c r="C58" s="629">
        <f t="shared" si="1"/>
        <v>2.0548470456558689E-4</v>
      </c>
      <c r="D58" s="920">
        <v>3</v>
      </c>
      <c r="E58" s="5474"/>
      <c r="F58" s="5474"/>
      <c r="G58" s="5474"/>
      <c r="H58" s="5475"/>
      <c r="I58" s="5476"/>
      <c r="J58" s="5476"/>
      <c r="K58" s="5445"/>
      <c r="L58" s="5450">
        <f t="shared" si="61"/>
        <v>2.2485000000000002E-2</v>
      </c>
      <c r="M58" s="5477">
        <v>2</v>
      </c>
      <c r="N58" s="5476">
        <f t="shared" si="62"/>
        <v>0</v>
      </c>
      <c r="O58" s="5476"/>
      <c r="P58" s="5478"/>
      <c r="Q58" s="5479"/>
      <c r="R58" s="5480">
        <v>2000</v>
      </c>
      <c r="S58" s="2844">
        <f t="shared" si="16"/>
        <v>0</v>
      </c>
      <c r="T58" s="2845">
        <f t="shared" si="17"/>
        <v>0</v>
      </c>
      <c r="U58" s="374">
        <f t="shared" si="18"/>
        <v>0</v>
      </c>
      <c r="V58" s="2846">
        <f t="shared" si="19"/>
        <v>0</v>
      </c>
      <c r="W58" s="2847">
        <f t="shared" si="20"/>
        <v>0</v>
      </c>
      <c r="X58" s="2848">
        <f t="shared" si="21"/>
        <v>0</v>
      </c>
      <c r="Y58" s="2849">
        <f t="shared" si="22"/>
        <v>0</v>
      </c>
      <c r="Z58" s="2850">
        <f t="shared" si="23"/>
        <v>0</v>
      </c>
      <c r="AA58" s="2851">
        <f t="shared" si="24"/>
        <v>0</v>
      </c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  <c r="AN58" s="1"/>
    </row>
    <row r="59" spans="1:40" ht="22" thickTop="1" thickBot="1">
      <c r="A59" s="144"/>
      <c r="B59" s="144"/>
      <c r="C59" s="4846"/>
      <c r="D59" s="1034"/>
      <c r="E59" s="4846"/>
      <c r="F59" s="4846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3153"/>
      <c r="T59" s="3154"/>
      <c r="U59" s="3155">
        <f t="shared" ref="U59:AA59" si="64">SUM(U5:U58)</f>
        <v>3.7</v>
      </c>
      <c r="V59" s="3155">
        <f t="shared" si="64"/>
        <v>1.5999999999999999</v>
      </c>
      <c r="W59" s="3155">
        <f t="shared" si="64"/>
        <v>4.7</v>
      </c>
      <c r="X59" s="3155">
        <f t="shared" si="64"/>
        <v>0.5</v>
      </c>
      <c r="Y59" s="3155">
        <f t="shared" si="64"/>
        <v>0.7</v>
      </c>
      <c r="Z59" s="3155">
        <f t="shared" si="64"/>
        <v>1.5249999999999999</v>
      </c>
      <c r="AA59" s="3155">
        <f t="shared" si="64"/>
        <v>1.7650000000000001</v>
      </c>
      <c r="AB59" s="3156">
        <f>SUM(U59:AA59)</f>
        <v>14.49</v>
      </c>
      <c r="AE59" s="2838"/>
      <c r="AF59" s="2838"/>
      <c r="AG59" s="2838"/>
      <c r="AH59" s="2838"/>
      <c r="AI59" s="2838"/>
    </row>
    <row r="60" spans="1:40" ht="21" thickTop="1">
      <c r="A60" s="144"/>
      <c r="B60" s="144"/>
      <c r="C60" s="144"/>
      <c r="D60" s="906"/>
      <c r="E60" s="4846"/>
      <c r="F60" s="4846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3157">
        <f>IF(U59&gt;0,U59,#REF!)</f>
        <v>3.7</v>
      </c>
      <c r="V60" s="3157">
        <f>IF(V59&gt;0,V59,#REF!)</f>
        <v>1.5999999999999999</v>
      </c>
      <c r="W60" s="3157">
        <f>IF(W59&gt;0,W59,#REF!)</f>
        <v>4.7</v>
      </c>
      <c r="X60" s="3157">
        <f>IF(X59&gt;0,X59,#REF!)</f>
        <v>0.5</v>
      </c>
      <c r="Y60" s="3157">
        <f>IF(Y59&gt;0,Y59,#REF!)</f>
        <v>0.7</v>
      </c>
      <c r="Z60" s="3157">
        <f>IF(Z59&gt;0,Z59,#REF!)</f>
        <v>1.5249999999999999</v>
      </c>
      <c r="AA60" s="3157">
        <f>IF(AA59&gt;0,AA59,#REF!)</f>
        <v>1.7650000000000001</v>
      </c>
      <c r="AB60" s="144"/>
    </row>
    <row r="61" spans="1:40" ht="20">
      <c r="A61" s="144"/>
      <c r="B61" s="144"/>
      <c r="C61" s="144"/>
      <c r="D61" s="906"/>
      <c r="E61" s="4846"/>
      <c r="F61" s="4846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3157">
        <f t="shared" ref="U61:AA76" si="65">IF(U60&gt;0,U60,U59)</f>
        <v>3.7</v>
      </c>
      <c r="V61" s="3157">
        <f t="shared" si="65"/>
        <v>1.5999999999999999</v>
      </c>
      <c r="W61" s="3157">
        <f t="shared" si="65"/>
        <v>4.7</v>
      </c>
      <c r="X61" s="3157">
        <f t="shared" si="65"/>
        <v>0.5</v>
      </c>
      <c r="Y61" s="3157">
        <f t="shared" si="65"/>
        <v>0.7</v>
      </c>
      <c r="Z61" s="3157">
        <f t="shared" si="65"/>
        <v>1.5249999999999999</v>
      </c>
      <c r="AA61" s="3157">
        <f t="shared" si="65"/>
        <v>1.7650000000000001</v>
      </c>
      <c r="AB61" s="144"/>
      <c r="AC61" s="2837"/>
      <c r="AD61" s="2838"/>
      <c r="AE61" s="2838"/>
      <c r="AF61" s="2838"/>
      <c r="AG61" s="2838"/>
      <c r="AH61" s="2838"/>
      <c r="AI61" s="2836"/>
    </row>
    <row r="62" spans="1:40">
      <c r="A62" s="144"/>
      <c r="B62" s="144"/>
      <c r="C62" s="144"/>
      <c r="D62" s="906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3157">
        <f t="shared" si="65"/>
        <v>3.7</v>
      </c>
      <c r="V62" s="3157">
        <f t="shared" si="65"/>
        <v>1.5999999999999999</v>
      </c>
      <c r="W62" s="3157">
        <f t="shared" si="65"/>
        <v>4.7</v>
      </c>
      <c r="X62" s="3157">
        <f t="shared" si="65"/>
        <v>0.5</v>
      </c>
      <c r="Y62" s="3157">
        <f t="shared" si="65"/>
        <v>0.7</v>
      </c>
      <c r="Z62" s="3157">
        <f t="shared" si="65"/>
        <v>1.5249999999999999</v>
      </c>
      <c r="AA62" s="3157">
        <f t="shared" si="65"/>
        <v>1.7650000000000001</v>
      </c>
      <c r="AB62" s="144"/>
      <c r="AC62" s="2867" t="s">
        <v>193</v>
      </c>
      <c r="AD62" s="2937"/>
      <c r="AE62" s="2937"/>
      <c r="AF62" s="2937"/>
      <c r="AG62" s="2937"/>
      <c r="AH62" s="2937"/>
      <c r="AI62" s="2935"/>
      <c r="AJ62" s="1"/>
      <c r="AK62" s="1"/>
      <c r="AL62" s="1"/>
      <c r="AM62" s="1"/>
      <c r="AN62" s="1"/>
    </row>
    <row r="63" spans="1:40">
      <c r="A63" s="144"/>
      <c r="B63" s="144"/>
      <c r="C63" s="144"/>
      <c r="D63" s="906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3157">
        <f t="shared" si="65"/>
        <v>3.7</v>
      </c>
      <c r="V63" s="3157">
        <f t="shared" si="65"/>
        <v>1.5999999999999999</v>
      </c>
      <c r="W63" s="3157">
        <f t="shared" si="65"/>
        <v>4.7</v>
      </c>
      <c r="X63" s="3157">
        <f t="shared" si="65"/>
        <v>0.5</v>
      </c>
      <c r="Y63" s="3157">
        <f t="shared" si="65"/>
        <v>0.7</v>
      </c>
      <c r="Z63" s="3157">
        <f t="shared" si="65"/>
        <v>1.5249999999999999</v>
      </c>
      <c r="AA63" s="3157">
        <f t="shared" si="65"/>
        <v>1.7650000000000001</v>
      </c>
      <c r="AB63" s="144"/>
      <c r="AC63" s="2867">
        <v>0</v>
      </c>
      <c r="AD63" s="2867">
        <v>0</v>
      </c>
      <c r="AE63" s="2867">
        <v>0</v>
      </c>
      <c r="AF63" s="2867">
        <v>0</v>
      </c>
      <c r="AG63" s="2867">
        <v>0</v>
      </c>
      <c r="AH63" s="2867">
        <v>0</v>
      </c>
      <c r="AI63" s="2935"/>
      <c r="AJ63" s="1"/>
      <c r="AK63" s="1"/>
      <c r="AL63" s="1"/>
      <c r="AM63" s="1"/>
      <c r="AN63" s="1"/>
    </row>
    <row r="64" spans="1:40">
      <c r="A64" s="144"/>
      <c r="B64" s="144"/>
      <c r="C64" s="144"/>
      <c r="D64" s="906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3157">
        <f t="shared" si="65"/>
        <v>3.7</v>
      </c>
      <c r="V64" s="3157">
        <f t="shared" si="65"/>
        <v>1.5999999999999999</v>
      </c>
      <c r="W64" s="3157">
        <f t="shared" si="65"/>
        <v>4.7</v>
      </c>
      <c r="X64" s="3157">
        <f t="shared" si="65"/>
        <v>0.5</v>
      </c>
      <c r="Y64" s="3157">
        <f t="shared" si="65"/>
        <v>0.7</v>
      </c>
      <c r="Z64" s="3157">
        <f t="shared" si="65"/>
        <v>1.5249999999999999</v>
      </c>
      <c r="AA64" s="3157">
        <f t="shared" si="65"/>
        <v>1.7650000000000001</v>
      </c>
      <c r="AB64" s="144"/>
      <c r="AC64" s="2867"/>
      <c r="AD64" s="2867"/>
      <c r="AE64" s="2867"/>
      <c r="AF64" s="2867"/>
      <c r="AG64" s="2867"/>
      <c r="AH64" s="2867"/>
      <c r="AI64" s="2935"/>
      <c r="AJ64" s="1"/>
      <c r="AK64" s="1"/>
      <c r="AL64" s="1"/>
      <c r="AM64" s="1"/>
      <c r="AN64" s="1"/>
    </row>
    <row r="65" spans="1:40">
      <c r="A65" s="144"/>
      <c r="B65" s="144"/>
      <c r="C65" s="144"/>
      <c r="D65" s="906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3157">
        <f t="shared" si="65"/>
        <v>3.7</v>
      </c>
      <c r="V65" s="3157">
        <f t="shared" si="65"/>
        <v>1.5999999999999999</v>
      </c>
      <c r="W65" s="3157">
        <f t="shared" si="65"/>
        <v>4.7</v>
      </c>
      <c r="X65" s="3157">
        <f t="shared" si="65"/>
        <v>0.5</v>
      </c>
      <c r="Y65" s="3157">
        <f t="shared" si="65"/>
        <v>0.7</v>
      </c>
      <c r="Z65" s="3157">
        <f t="shared" si="65"/>
        <v>1.5249999999999999</v>
      </c>
      <c r="AA65" s="3157">
        <f t="shared" si="65"/>
        <v>1.7650000000000001</v>
      </c>
      <c r="AB65" s="144"/>
      <c r="AC65" s="2867"/>
      <c r="AD65" s="2867"/>
      <c r="AE65" s="2867"/>
      <c r="AF65" s="2867"/>
      <c r="AG65" s="2867"/>
      <c r="AH65" s="2867"/>
      <c r="AI65" s="2935"/>
      <c r="AJ65" s="1"/>
      <c r="AK65" s="1"/>
      <c r="AL65" s="1"/>
      <c r="AM65" s="1"/>
      <c r="AN65" s="1"/>
    </row>
    <row r="66" spans="1:40">
      <c r="A66" s="144"/>
      <c r="B66" s="144"/>
      <c r="C66" s="144"/>
      <c r="D66" s="906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3157">
        <f t="shared" si="65"/>
        <v>3.7</v>
      </c>
      <c r="V66" s="3157">
        <f t="shared" si="65"/>
        <v>1.5999999999999999</v>
      </c>
      <c r="W66" s="3157">
        <f t="shared" si="65"/>
        <v>4.7</v>
      </c>
      <c r="X66" s="3157">
        <f t="shared" si="65"/>
        <v>0.5</v>
      </c>
      <c r="Y66" s="3157">
        <f t="shared" si="65"/>
        <v>0.7</v>
      </c>
      <c r="Z66" s="3157">
        <f t="shared" si="65"/>
        <v>1.5249999999999999</v>
      </c>
      <c r="AA66" s="3157">
        <f t="shared" si="65"/>
        <v>1.7650000000000001</v>
      </c>
      <c r="AB66" s="144"/>
      <c r="AC66" s="2867">
        <v>0</v>
      </c>
      <c r="AD66" s="2867">
        <v>0</v>
      </c>
      <c r="AE66" s="2867">
        <v>0</v>
      </c>
      <c r="AF66" s="2867">
        <v>0</v>
      </c>
      <c r="AG66" s="2867">
        <v>0</v>
      </c>
      <c r="AH66" s="2867">
        <v>0</v>
      </c>
      <c r="AI66" s="2935"/>
      <c r="AJ66" s="1"/>
      <c r="AK66" s="1"/>
      <c r="AL66" s="1"/>
      <c r="AM66" s="1"/>
      <c r="AN66" s="1"/>
    </row>
    <row r="67" spans="1:40">
      <c r="A67" s="144"/>
      <c r="B67" s="144"/>
      <c r="C67" s="144"/>
      <c r="D67" s="906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3157">
        <f t="shared" si="65"/>
        <v>3.7</v>
      </c>
      <c r="V67" s="3157">
        <f t="shared" si="65"/>
        <v>1.5999999999999999</v>
      </c>
      <c r="W67" s="3157">
        <f t="shared" si="65"/>
        <v>4.7</v>
      </c>
      <c r="X67" s="3157">
        <f t="shared" si="65"/>
        <v>0.5</v>
      </c>
      <c r="Y67" s="3157">
        <f t="shared" si="65"/>
        <v>0.7</v>
      </c>
      <c r="Z67" s="3157">
        <f t="shared" si="65"/>
        <v>1.5249999999999999</v>
      </c>
      <c r="AA67" s="3157">
        <f t="shared" si="65"/>
        <v>1.7650000000000001</v>
      </c>
      <c r="AB67" s="144"/>
      <c r="AC67" s="2867">
        <v>0</v>
      </c>
      <c r="AD67" s="2867">
        <v>0</v>
      </c>
      <c r="AE67" s="2867">
        <v>0</v>
      </c>
      <c r="AF67" s="2867">
        <v>0</v>
      </c>
      <c r="AG67" s="2867">
        <v>0</v>
      </c>
      <c r="AH67" s="2867">
        <v>0</v>
      </c>
      <c r="AI67" s="2825"/>
      <c r="AJ67" s="1"/>
      <c r="AK67" s="1"/>
      <c r="AL67" s="1"/>
      <c r="AM67" s="1"/>
      <c r="AN67" s="1"/>
    </row>
    <row r="68" spans="1:40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3157">
        <f t="shared" si="65"/>
        <v>3.7</v>
      </c>
      <c r="V68" s="3157">
        <f t="shared" si="65"/>
        <v>1.5999999999999999</v>
      </c>
      <c r="W68" s="3157">
        <f t="shared" si="65"/>
        <v>4.7</v>
      </c>
      <c r="X68" s="3157">
        <f t="shared" si="65"/>
        <v>0.5</v>
      </c>
      <c r="Y68" s="3157">
        <f t="shared" si="65"/>
        <v>0.7</v>
      </c>
      <c r="Z68" s="3157">
        <f t="shared" si="65"/>
        <v>1.5249999999999999</v>
      </c>
      <c r="AA68" s="3157">
        <f t="shared" si="65"/>
        <v>1.7650000000000001</v>
      </c>
      <c r="AB68" s="144"/>
      <c r="AC68" s="2867"/>
      <c r="AD68" s="2867"/>
      <c r="AE68" s="2867"/>
      <c r="AF68" s="2867"/>
      <c r="AG68" s="2867"/>
      <c r="AH68" s="2867"/>
      <c r="AI68" s="2825"/>
      <c r="AJ68" s="1"/>
      <c r="AK68" s="1"/>
      <c r="AL68" s="1"/>
      <c r="AM68" s="1"/>
      <c r="AN68" s="1"/>
    </row>
    <row r="69" spans="1:40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3157">
        <f t="shared" si="65"/>
        <v>3.7</v>
      </c>
      <c r="V69" s="3157">
        <f t="shared" si="65"/>
        <v>1.5999999999999999</v>
      </c>
      <c r="W69" s="3157">
        <f t="shared" si="65"/>
        <v>4.7</v>
      </c>
      <c r="X69" s="3157">
        <f t="shared" si="65"/>
        <v>0.5</v>
      </c>
      <c r="Y69" s="3157">
        <f t="shared" si="65"/>
        <v>0.7</v>
      </c>
      <c r="Z69" s="3157">
        <f t="shared" si="65"/>
        <v>1.5249999999999999</v>
      </c>
      <c r="AA69" s="3157">
        <f t="shared" si="65"/>
        <v>1.7650000000000001</v>
      </c>
      <c r="AB69" s="144"/>
      <c r="AC69" s="2867"/>
      <c r="AD69" s="2867"/>
      <c r="AE69" s="2867"/>
      <c r="AF69" s="2867"/>
      <c r="AG69" s="2867"/>
      <c r="AH69" s="2867"/>
      <c r="AI69" s="2825"/>
      <c r="AJ69" s="1"/>
      <c r="AK69" s="1"/>
      <c r="AL69" s="1"/>
      <c r="AM69" s="1"/>
      <c r="AN69" s="1"/>
    </row>
    <row r="70" spans="1:40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3157">
        <f t="shared" si="65"/>
        <v>3.7</v>
      </c>
      <c r="V70" s="3157">
        <f t="shared" si="65"/>
        <v>1.5999999999999999</v>
      </c>
      <c r="W70" s="3157">
        <f t="shared" si="65"/>
        <v>4.7</v>
      </c>
      <c r="X70" s="3157">
        <f t="shared" si="65"/>
        <v>0.5</v>
      </c>
      <c r="Y70" s="3157">
        <f t="shared" si="65"/>
        <v>0.7</v>
      </c>
      <c r="Z70" s="3157">
        <f t="shared" si="65"/>
        <v>1.5249999999999999</v>
      </c>
      <c r="AA70" s="3157">
        <f t="shared" si="65"/>
        <v>1.7650000000000001</v>
      </c>
      <c r="AB70" s="144"/>
      <c r="AC70" s="2867">
        <v>0</v>
      </c>
      <c r="AD70" s="2867">
        <v>0</v>
      </c>
      <c r="AE70" s="2867">
        <v>0</v>
      </c>
      <c r="AF70" s="2867">
        <v>0</v>
      </c>
      <c r="AG70" s="2867">
        <v>0</v>
      </c>
      <c r="AH70" s="2867">
        <v>0</v>
      </c>
      <c r="AI70" s="2825"/>
      <c r="AJ70" s="1"/>
      <c r="AK70" s="1"/>
      <c r="AL70" s="1"/>
      <c r="AM70" s="1"/>
      <c r="AN70" s="1"/>
    </row>
    <row r="71" spans="1:40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3157">
        <f t="shared" si="65"/>
        <v>3.7</v>
      </c>
      <c r="V71" s="3157">
        <f t="shared" si="65"/>
        <v>1.5999999999999999</v>
      </c>
      <c r="W71" s="3157">
        <f t="shared" si="65"/>
        <v>4.7</v>
      </c>
      <c r="X71" s="3157">
        <f t="shared" si="65"/>
        <v>0.5</v>
      </c>
      <c r="Y71" s="3157">
        <f t="shared" si="65"/>
        <v>0.7</v>
      </c>
      <c r="Z71" s="3157">
        <f t="shared" si="65"/>
        <v>1.5249999999999999</v>
      </c>
      <c r="AA71" s="3157">
        <f t="shared" si="65"/>
        <v>1.7650000000000001</v>
      </c>
      <c r="AB71" s="144"/>
      <c r="AC71" s="2867">
        <v>0</v>
      </c>
      <c r="AD71" s="2867">
        <v>0</v>
      </c>
      <c r="AE71" s="2867">
        <v>0</v>
      </c>
      <c r="AF71" s="2867">
        <v>0</v>
      </c>
      <c r="AG71" s="2867">
        <v>0</v>
      </c>
      <c r="AH71" s="2867">
        <v>0</v>
      </c>
      <c r="AI71" s="2825"/>
      <c r="AJ71" s="1"/>
      <c r="AK71" s="1"/>
      <c r="AL71" s="1"/>
      <c r="AM71" s="1"/>
      <c r="AN71" s="1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3157">
        <f t="shared" si="65"/>
        <v>3.7</v>
      </c>
      <c r="V72" s="3157">
        <f t="shared" si="65"/>
        <v>1.5999999999999999</v>
      </c>
      <c r="W72" s="3157">
        <f t="shared" si="65"/>
        <v>4.7</v>
      </c>
      <c r="X72" s="3157">
        <f t="shared" si="65"/>
        <v>0.5</v>
      </c>
      <c r="Y72" s="3157">
        <f t="shared" si="65"/>
        <v>0.7</v>
      </c>
      <c r="Z72" s="3157">
        <f t="shared" si="65"/>
        <v>1.5249999999999999</v>
      </c>
      <c r="AA72" s="3157">
        <f t="shared" si="65"/>
        <v>1.7650000000000001</v>
      </c>
      <c r="AB72" s="144"/>
      <c r="AC72" s="2867">
        <v>0</v>
      </c>
      <c r="AD72" s="2867">
        <v>0</v>
      </c>
      <c r="AE72" s="2867">
        <v>0</v>
      </c>
      <c r="AF72" s="2867">
        <v>0</v>
      </c>
      <c r="AG72" s="2867">
        <v>0</v>
      </c>
      <c r="AH72" s="2867">
        <v>0</v>
      </c>
      <c r="AI72" s="2825"/>
      <c r="AJ72" s="1"/>
      <c r="AK72" s="1"/>
      <c r="AL72" s="1"/>
      <c r="AM72" s="1"/>
      <c r="AN72" s="1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3157">
        <f t="shared" si="65"/>
        <v>3.7</v>
      </c>
      <c r="V73" s="3157">
        <f t="shared" si="65"/>
        <v>1.5999999999999999</v>
      </c>
      <c r="W73" s="3157">
        <f t="shared" si="65"/>
        <v>4.7</v>
      </c>
      <c r="X73" s="3157">
        <f t="shared" si="65"/>
        <v>0.5</v>
      </c>
      <c r="Y73" s="3157">
        <f t="shared" si="65"/>
        <v>0.7</v>
      </c>
      <c r="Z73" s="3157">
        <f t="shared" si="65"/>
        <v>1.5249999999999999</v>
      </c>
      <c r="AA73" s="3157">
        <f t="shared" si="65"/>
        <v>1.7650000000000001</v>
      </c>
      <c r="AB73" s="144"/>
      <c r="AC73" s="2867">
        <v>0</v>
      </c>
      <c r="AD73" s="2867">
        <v>0</v>
      </c>
      <c r="AE73" s="2867">
        <v>0</v>
      </c>
      <c r="AF73" s="2867">
        <v>0</v>
      </c>
      <c r="AG73" s="2867">
        <v>0</v>
      </c>
      <c r="AH73" s="2867">
        <v>0</v>
      </c>
      <c r="AI73" s="2825"/>
      <c r="AJ73" s="1"/>
      <c r="AK73" s="1"/>
      <c r="AL73" s="1"/>
      <c r="AM73" s="1"/>
      <c r="AN73" s="1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3157">
        <f t="shared" si="65"/>
        <v>3.7</v>
      </c>
      <c r="V74" s="3157">
        <f t="shared" si="65"/>
        <v>1.5999999999999999</v>
      </c>
      <c r="W74" s="3157">
        <f t="shared" si="65"/>
        <v>4.7</v>
      </c>
      <c r="X74" s="3157">
        <f t="shared" si="65"/>
        <v>0.5</v>
      </c>
      <c r="Y74" s="3157">
        <f t="shared" si="65"/>
        <v>0.7</v>
      </c>
      <c r="Z74" s="3157">
        <f t="shared" si="65"/>
        <v>1.5249999999999999</v>
      </c>
      <c r="AA74" s="3157">
        <f t="shared" si="65"/>
        <v>1.7650000000000001</v>
      </c>
      <c r="AB74" s="144"/>
      <c r="AC74" s="2867"/>
      <c r="AD74" s="2867"/>
      <c r="AE74" s="2867"/>
      <c r="AF74" s="2867"/>
      <c r="AG74" s="2867"/>
      <c r="AH74" s="2867"/>
      <c r="AI74" s="2825"/>
      <c r="AJ74" s="1"/>
      <c r="AK74" s="1"/>
      <c r="AL74" s="1"/>
      <c r="AM74" s="1"/>
      <c r="AN74" s="1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3157">
        <f t="shared" si="65"/>
        <v>3.7</v>
      </c>
      <c r="V75" s="3157">
        <f t="shared" si="65"/>
        <v>1.5999999999999999</v>
      </c>
      <c r="W75" s="3157">
        <f t="shared" si="65"/>
        <v>4.7</v>
      </c>
      <c r="X75" s="3157">
        <f t="shared" si="65"/>
        <v>0.5</v>
      </c>
      <c r="Y75" s="3157">
        <f t="shared" si="65"/>
        <v>0.7</v>
      </c>
      <c r="Z75" s="3157">
        <f t="shared" si="65"/>
        <v>1.5249999999999999</v>
      </c>
      <c r="AA75" s="3157">
        <f t="shared" si="65"/>
        <v>1.7650000000000001</v>
      </c>
      <c r="AB75" s="144"/>
      <c r="AC75" s="2867"/>
      <c r="AD75" s="2867"/>
      <c r="AE75" s="2867"/>
      <c r="AF75" s="2867"/>
      <c r="AG75" s="2867"/>
      <c r="AH75" s="2867"/>
      <c r="AI75" s="2825"/>
      <c r="AJ75" s="1"/>
      <c r="AK75" s="1"/>
      <c r="AL75" s="1"/>
      <c r="AM75" s="1"/>
      <c r="AN75" s="1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3157">
        <f t="shared" si="65"/>
        <v>3.7</v>
      </c>
      <c r="V76" s="3157">
        <f t="shared" si="65"/>
        <v>1.5999999999999999</v>
      </c>
      <c r="W76" s="3157">
        <f t="shared" si="65"/>
        <v>4.7</v>
      </c>
      <c r="X76" s="3157">
        <f t="shared" si="65"/>
        <v>0.5</v>
      </c>
      <c r="Y76" s="3157">
        <f t="shared" si="65"/>
        <v>0.7</v>
      </c>
      <c r="Z76" s="3157">
        <f t="shared" si="65"/>
        <v>1.5249999999999999</v>
      </c>
      <c r="AA76" s="3157">
        <f t="shared" si="65"/>
        <v>1.7650000000000001</v>
      </c>
      <c r="AB76" s="144"/>
      <c r="AC76" s="2867">
        <v>0</v>
      </c>
      <c r="AD76" s="2867">
        <v>0</v>
      </c>
      <c r="AE76" s="2867">
        <v>0</v>
      </c>
      <c r="AF76" s="2867">
        <v>0</v>
      </c>
      <c r="AG76" s="2867">
        <v>0</v>
      </c>
      <c r="AH76" s="2867">
        <v>0</v>
      </c>
      <c r="AI76" s="2825"/>
      <c r="AJ76" s="1"/>
      <c r="AK76" s="1"/>
      <c r="AL76" s="1"/>
      <c r="AM76" s="1"/>
      <c r="AN76" s="1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3157">
        <f t="shared" ref="U77:AA92" si="66">IF(U76&gt;0,U76,U75)</f>
        <v>3.7</v>
      </c>
      <c r="V77" s="3157">
        <f t="shared" si="66"/>
        <v>1.5999999999999999</v>
      </c>
      <c r="W77" s="3157">
        <f t="shared" si="66"/>
        <v>4.7</v>
      </c>
      <c r="X77" s="3157">
        <f t="shared" si="66"/>
        <v>0.5</v>
      </c>
      <c r="Y77" s="3157">
        <f t="shared" si="66"/>
        <v>0.7</v>
      </c>
      <c r="Z77" s="3157">
        <f t="shared" si="66"/>
        <v>1.5249999999999999</v>
      </c>
      <c r="AA77" s="3157">
        <f t="shared" si="66"/>
        <v>1.7650000000000001</v>
      </c>
      <c r="AB77" s="144"/>
      <c r="AC77" s="2867">
        <v>0</v>
      </c>
      <c r="AD77" s="2867">
        <v>0</v>
      </c>
      <c r="AE77" s="2867">
        <v>0</v>
      </c>
      <c r="AF77" s="2867">
        <v>0</v>
      </c>
      <c r="AG77" s="2867">
        <v>0</v>
      </c>
      <c r="AH77" s="2867">
        <v>0</v>
      </c>
      <c r="AI77" s="2825"/>
      <c r="AJ77" s="1"/>
      <c r="AK77" s="1"/>
      <c r="AL77" s="1"/>
      <c r="AM77" s="1"/>
      <c r="AN77" s="1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3157">
        <f t="shared" si="66"/>
        <v>3.7</v>
      </c>
      <c r="V78" s="3157">
        <f t="shared" si="66"/>
        <v>1.5999999999999999</v>
      </c>
      <c r="W78" s="3157">
        <f t="shared" si="66"/>
        <v>4.7</v>
      </c>
      <c r="X78" s="3157">
        <f t="shared" si="66"/>
        <v>0.5</v>
      </c>
      <c r="Y78" s="3157">
        <f t="shared" si="66"/>
        <v>0.7</v>
      </c>
      <c r="Z78" s="3157">
        <f t="shared" si="66"/>
        <v>1.5249999999999999</v>
      </c>
      <c r="AA78" s="3157">
        <f t="shared" si="66"/>
        <v>1.7650000000000001</v>
      </c>
      <c r="AB78" s="144"/>
      <c r="AC78" s="2867">
        <v>0</v>
      </c>
      <c r="AD78" s="2867">
        <v>0</v>
      </c>
      <c r="AE78" s="2867">
        <v>0</v>
      </c>
      <c r="AF78" s="2867">
        <v>0</v>
      </c>
      <c r="AG78" s="2867">
        <v>0</v>
      </c>
      <c r="AH78" s="2867">
        <v>0</v>
      </c>
      <c r="AI78" s="2825"/>
      <c r="AJ78" s="1"/>
      <c r="AK78" s="1"/>
      <c r="AL78" s="1"/>
      <c r="AM78" s="1"/>
      <c r="AN78" s="1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3157">
        <f t="shared" si="66"/>
        <v>3.7</v>
      </c>
      <c r="V79" s="3157">
        <f t="shared" si="66"/>
        <v>1.5999999999999999</v>
      </c>
      <c r="W79" s="3157">
        <f t="shared" si="66"/>
        <v>4.7</v>
      </c>
      <c r="X79" s="3157">
        <f t="shared" si="66"/>
        <v>0.5</v>
      </c>
      <c r="Y79" s="3157">
        <f t="shared" si="66"/>
        <v>0.7</v>
      </c>
      <c r="Z79" s="3157">
        <f t="shared" si="66"/>
        <v>1.5249999999999999</v>
      </c>
      <c r="AA79" s="3157">
        <f t="shared" si="66"/>
        <v>1.7650000000000001</v>
      </c>
      <c r="AB79" s="144"/>
      <c r="AC79" s="2867"/>
      <c r="AD79" s="2867"/>
      <c r="AE79" s="2867"/>
      <c r="AF79" s="2867"/>
      <c r="AG79" s="2867"/>
      <c r="AH79" s="2867"/>
      <c r="AI79" s="2825"/>
      <c r="AJ79" s="1"/>
      <c r="AK79" s="1"/>
      <c r="AL79" s="1"/>
      <c r="AM79" s="1"/>
      <c r="AN79" s="1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3157">
        <f t="shared" si="66"/>
        <v>3.7</v>
      </c>
      <c r="V80" s="3157">
        <f t="shared" si="66"/>
        <v>1.5999999999999999</v>
      </c>
      <c r="W80" s="3157">
        <f t="shared" si="66"/>
        <v>4.7</v>
      </c>
      <c r="X80" s="3157">
        <f t="shared" si="66"/>
        <v>0.5</v>
      </c>
      <c r="Y80" s="3157">
        <f t="shared" si="66"/>
        <v>0.7</v>
      </c>
      <c r="Z80" s="3157">
        <f t="shared" si="66"/>
        <v>1.5249999999999999</v>
      </c>
      <c r="AA80" s="3157">
        <f t="shared" si="66"/>
        <v>1.7650000000000001</v>
      </c>
      <c r="AB80" s="144"/>
      <c r="AC80" s="2867"/>
      <c r="AD80" s="2867"/>
      <c r="AE80" s="2867"/>
      <c r="AF80" s="2867"/>
      <c r="AG80" s="2867"/>
      <c r="AH80" s="2867"/>
      <c r="AI80" s="2825"/>
      <c r="AJ80" s="1"/>
      <c r="AK80" s="1"/>
      <c r="AL80" s="1"/>
      <c r="AM80" s="1"/>
      <c r="AN80" s="1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3157">
        <f t="shared" si="66"/>
        <v>3.7</v>
      </c>
      <c r="V81" s="3157">
        <f t="shared" si="66"/>
        <v>1.5999999999999999</v>
      </c>
      <c r="W81" s="3157">
        <f t="shared" si="66"/>
        <v>4.7</v>
      </c>
      <c r="X81" s="3157">
        <f t="shared" si="66"/>
        <v>0.5</v>
      </c>
      <c r="Y81" s="3157">
        <f t="shared" si="66"/>
        <v>0.7</v>
      </c>
      <c r="Z81" s="3157">
        <f t="shared" si="66"/>
        <v>1.5249999999999999</v>
      </c>
      <c r="AA81" s="3157">
        <f t="shared" si="66"/>
        <v>1.7650000000000001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3157">
        <f t="shared" si="66"/>
        <v>3.7</v>
      </c>
      <c r="V82" s="3157">
        <f t="shared" si="66"/>
        <v>1.5999999999999999</v>
      </c>
      <c r="W82" s="3157">
        <f t="shared" si="66"/>
        <v>4.7</v>
      </c>
      <c r="X82" s="3157">
        <f t="shared" si="66"/>
        <v>0.5</v>
      </c>
      <c r="Y82" s="3157">
        <f t="shared" si="66"/>
        <v>0.7</v>
      </c>
      <c r="Z82" s="3157">
        <f t="shared" si="66"/>
        <v>1.5249999999999999</v>
      </c>
      <c r="AA82" s="3157">
        <f t="shared" si="66"/>
        <v>1.7650000000000001</v>
      </c>
      <c r="AB82" s="144"/>
      <c r="AC82" s="2867">
        <v>0</v>
      </c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82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3157">
        <f t="shared" si="66"/>
        <v>3.7</v>
      </c>
      <c r="V83" s="3157">
        <f t="shared" si="66"/>
        <v>1.5999999999999999</v>
      </c>
      <c r="W83" s="3157">
        <f t="shared" si="66"/>
        <v>4.7</v>
      </c>
      <c r="X83" s="3157">
        <f t="shared" si="66"/>
        <v>0.5</v>
      </c>
      <c r="Y83" s="3157">
        <f t="shared" si="66"/>
        <v>0.7</v>
      </c>
      <c r="Z83" s="3157">
        <f t="shared" si="66"/>
        <v>1.5249999999999999</v>
      </c>
      <c r="AA83" s="3157">
        <f t="shared" si="66"/>
        <v>1.7650000000000001</v>
      </c>
      <c r="AB83" s="144"/>
      <c r="AC83" s="2867">
        <v>0</v>
      </c>
      <c r="AD83" s="2867">
        <v>0</v>
      </c>
      <c r="AE83" s="2867">
        <v>0</v>
      </c>
      <c r="AF83" s="2867">
        <v>0</v>
      </c>
      <c r="AG83" s="2867">
        <v>0</v>
      </c>
      <c r="AH83" s="2867">
        <v>0</v>
      </c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3157">
        <f t="shared" si="66"/>
        <v>3.7</v>
      </c>
      <c r="V84" s="3157">
        <f t="shared" si="66"/>
        <v>1.5999999999999999</v>
      </c>
      <c r="W84" s="3157">
        <f t="shared" si="66"/>
        <v>4.7</v>
      </c>
      <c r="X84" s="3157">
        <f t="shared" si="66"/>
        <v>0.5</v>
      </c>
      <c r="Y84" s="3157">
        <f t="shared" si="66"/>
        <v>0.7</v>
      </c>
      <c r="Z84" s="3157">
        <f t="shared" si="66"/>
        <v>1.5249999999999999</v>
      </c>
      <c r="AA84" s="3157">
        <f t="shared" si="66"/>
        <v>1.7650000000000001</v>
      </c>
      <c r="AB84" s="144"/>
      <c r="AC84" s="2867"/>
      <c r="AD84" s="2867"/>
      <c r="AE84" s="2867"/>
      <c r="AF84" s="2867"/>
      <c r="AG84" s="2867"/>
      <c r="AH84" s="2867"/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3157">
        <f t="shared" si="66"/>
        <v>3.7</v>
      </c>
      <c r="V85" s="3157">
        <f t="shared" si="66"/>
        <v>1.5999999999999999</v>
      </c>
      <c r="W85" s="3157">
        <f t="shared" si="66"/>
        <v>4.7</v>
      </c>
      <c r="X85" s="3157">
        <f t="shared" si="66"/>
        <v>0.5</v>
      </c>
      <c r="Y85" s="3157">
        <f t="shared" si="66"/>
        <v>0.7</v>
      </c>
      <c r="Z85" s="3157">
        <f t="shared" si="66"/>
        <v>1.5249999999999999</v>
      </c>
      <c r="AA85" s="3157">
        <f t="shared" si="66"/>
        <v>1.7650000000000001</v>
      </c>
      <c r="AB85" s="144"/>
      <c r="AC85" s="2867"/>
      <c r="AD85" s="2867"/>
      <c r="AE85" s="2867"/>
      <c r="AF85" s="2867"/>
      <c r="AG85" s="2867"/>
      <c r="AH85" s="2867"/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3157">
        <f t="shared" si="66"/>
        <v>3.7</v>
      </c>
      <c r="V86" s="3157">
        <f t="shared" si="66"/>
        <v>1.5999999999999999</v>
      </c>
      <c r="W86" s="3157">
        <f t="shared" si="66"/>
        <v>4.7</v>
      </c>
      <c r="X86" s="3157">
        <f t="shared" si="66"/>
        <v>0.5</v>
      </c>
      <c r="Y86" s="3157">
        <f t="shared" si="66"/>
        <v>0.7</v>
      </c>
      <c r="Z86" s="3157">
        <f t="shared" si="66"/>
        <v>1.5249999999999999</v>
      </c>
      <c r="AA86" s="3157">
        <f t="shared" si="66"/>
        <v>1.7650000000000001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3157">
        <f t="shared" si="66"/>
        <v>3.7</v>
      </c>
      <c r="V87" s="3157">
        <f t="shared" si="66"/>
        <v>1.5999999999999999</v>
      </c>
      <c r="W87" s="3157">
        <f t="shared" si="66"/>
        <v>4.7</v>
      </c>
      <c r="X87" s="3157">
        <f t="shared" si="66"/>
        <v>0.5</v>
      </c>
      <c r="Y87" s="3157">
        <f t="shared" si="66"/>
        <v>0.7</v>
      </c>
      <c r="Z87" s="3157">
        <f t="shared" si="66"/>
        <v>1.5249999999999999</v>
      </c>
      <c r="AA87" s="3157">
        <f t="shared" si="66"/>
        <v>1.7650000000000001</v>
      </c>
      <c r="AB87" s="144"/>
      <c r="AC87" s="2867">
        <v>0</v>
      </c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3157">
        <f t="shared" si="66"/>
        <v>3.7</v>
      </c>
      <c r="V88" s="3157">
        <f t="shared" si="66"/>
        <v>1.5999999999999999</v>
      </c>
      <c r="W88" s="3157">
        <f t="shared" si="66"/>
        <v>4.7</v>
      </c>
      <c r="X88" s="3157">
        <f t="shared" si="66"/>
        <v>0.5</v>
      </c>
      <c r="Y88" s="3157">
        <f t="shared" si="66"/>
        <v>0.7</v>
      </c>
      <c r="Z88" s="3157">
        <f t="shared" si="66"/>
        <v>1.5249999999999999</v>
      </c>
      <c r="AA88" s="3157">
        <f t="shared" si="66"/>
        <v>1.7650000000000001</v>
      </c>
      <c r="AB88" s="144"/>
      <c r="AC88" s="2867"/>
      <c r="AD88" s="2867"/>
      <c r="AE88" s="2867"/>
      <c r="AF88" s="2867"/>
      <c r="AG88" s="2867"/>
      <c r="AH88" s="2867"/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3157">
        <f t="shared" si="66"/>
        <v>3.7</v>
      </c>
      <c r="V89" s="3157">
        <f t="shared" si="66"/>
        <v>1.5999999999999999</v>
      </c>
      <c r="W89" s="3157">
        <f t="shared" si="66"/>
        <v>4.7</v>
      </c>
      <c r="X89" s="3157">
        <f t="shared" si="66"/>
        <v>0.5</v>
      </c>
      <c r="Y89" s="3157">
        <f t="shared" si="66"/>
        <v>0.7</v>
      </c>
      <c r="Z89" s="3157">
        <f t="shared" si="66"/>
        <v>1.5249999999999999</v>
      </c>
      <c r="AA89" s="3157">
        <f t="shared" si="66"/>
        <v>1.7650000000000001</v>
      </c>
      <c r="AB89" s="144"/>
      <c r="AC89" s="2867"/>
      <c r="AD89" s="2867"/>
      <c r="AE89" s="2867"/>
      <c r="AF89" s="2867"/>
      <c r="AG89" s="2867"/>
      <c r="AH89" s="2867"/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3157">
        <f t="shared" si="66"/>
        <v>3.7</v>
      </c>
      <c r="V90" s="3157">
        <f t="shared" si="66"/>
        <v>1.5999999999999999</v>
      </c>
      <c r="W90" s="3157">
        <f t="shared" si="66"/>
        <v>4.7</v>
      </c>
      <c r="X90" s="3157">
        <f t="shared" si="66"/>
        <v>0.5</v>
      </c>
      <c r="Y90" s="3157">
        <f t="shared" si="66"/>
        <v>0.7</v>
      </c>
      <c r="Z90" s="3157">
        <f t="shared" si="66"/>
        <v>1.5249999999999999</v>
      </c>
      <c r="AA90" s="3157">
        <f t="shared" si="66"/>
        <v>1.7650000000000001</v>
      </c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1"/>
      <c r="AK90" s="1"/>
      <c r="AL90" s="1"/>
      <c r="AM90" s="1"/>
      <c r="AN90" s="1"/>
    </row>
    <row r="91" spans="1:40" ht="15" customHeight="1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3157">
        <f t="shared" si="66"/>
        <v>3.7</v>
      </c>
      <c r="V91" s="3157">
        <f t="shared" si="66"/>
        <v>1.5999999999999999</v>
      </c>
      <c r="W91" s="3157">
        <f t="shared" si="66"/>
        <v>4.7</v>
      </c>
      <c r="X91" s="3157">
        <f t="shared" si="66"/>
        <v>0.5</v>
      </c>
      <c r="Y91" s="3157">
        <f t="shared" si="66"/>
        <v>0.7</v>
      </c>
      <c r="Z91" s="3157">
        <f t="shared" si="66"/>
        <v>1.5249999999999999</v>
      </c>
      <c r="AA91" s="3157">
        <f t="shared" si="66"/>
        <v>1.7650000000000001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3157">
        <f t="shared" si="66"/>
        <v>3.7</v>
      </c>
      <c r="V92" s="3157">
        <f t="shared" si="66"/>
        <v>1.5999999999999999</v>
      </c>
      <c r="W92" s="3157">
        <f t="shared" si="66"/>
        <v>4.7</v>
      </c>
      <c r="X92" s="3157">
        <f t="shared" si="66"/>
        <v>0.5</v>
      </c>
      <c r="Y92" s="3157">
        <f t="shared" si="66"/>
        <v>0.7</v>
      </c>
      <c r="Z92" s="3157">
        <f t="shared" si="66"/>
        <v>1.5249999999999999</v>
      </c>
      <c r="AA92" s="3157">
        <f t="shared" si="66"/>
        <v>1.7650000000000001</v>
      </c>
      <c r="AB92" s="144"/>
      <c r="AC92" s="2867">
        <v>0</v>
      </c>
      <c r="AD92" s="2867">
        <v>0</v>
      </c>
      <c r="AE92" s="2867">
        <v>0</v>
      </c>
      <c r="AF92" s="2867">
        <v>0</v>
      </c>
      <c r="AG92" s="2867">
        <v>0</v>
      </c>
      <c r="AH92" s="2867">
        <v>0</v>
      </c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3157">
        <f t="shared" ref="U93:AA108" si="67">IF(U92&gt;0,U92,U91)</f>
        <v>3.7</v>
      </c>
      <c r="V93" s="3157">
        <f t="shared" si="67"/>
        <v>1.5999999999999999</v>
      </c>
      <c r="W93" s="3157">
        <f t="shared" si="67"/>
        <v>4.7</v>
      </c>
      <c r="X93" s="3157">
        <f t="shared" si="67"/>
        <v>0.5</v>
      </c>
      <c r="Y93" s="3157">
        <f t="shared" si="67"/>
        <v>0.7</v>
      </c>
      <c r="Z93" s="3157">
        <f t="shared" si="67"/>
        <v>1.5249999999999999</v>
      </c>
      <c r="AA93" s="3157">
        <f t="shared" si="67"/>
        <v>1.7650000000000001</v>
      </c>
      <c r="AB93" s="144"/>
      <c r="AC93" s="2867">
        <v>0</v>
      </c>
      <c r="AD93" s="2867">
        <v>0</v>
      </c>
      <c r="AE93" s="2867">
        <v>0</v>
      </c>
      <c r="AF93" s="2867">
        <v>0</v>
      </c>
      <c r="AG93" s="2867">
        <v>0</v>
      </c>
      <c r="AH93" s="2867">
        <v>0</v>
      </c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3157">
        <f t="shared" si="67"/>
        <v>3.7</v>
      </c>
      <c r="V94" s="3157">
        <f t="shared" si="67"/>
        <v>1.5999999999999999</v>
      </c>
      <c r="W94" s="3157">
        <f t="shared" si="67"/>
        <v>4.7</v>
      </c>
      <c r="X94" s="3157">
        <f t="shared" si="67"/>
        <v>0.5</v>
      </c>
      <c r="Y94" s="3157">
        <f t="shared" si="67"/>
        <v>0.7</v>
      </c>
      <c r="Z94" s="3157">
        <f t="shared" si="67"/>
        <v>1.5249999999999999</v>
      </c>
      <c r="AA94" s="3157">
        <f t="shared" si="67"/>
        <v>1.7650000000000001</v>
      </c>
      <c r="AB94" s="144"/>
      <c r="AC94" s="2867"/>
      <c r="AD94" s="2867"/>
      <c r="AE94" s="2867"/>
      <c r="AF94" s="2867"/>
      <c r="AG94" s="2867"/>
      <c r="AH94" s="2867"/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3157">
        <f t="shared" si="67"/>
        <v>3.7</v>
      </c>
      <c r="V95" s="3157">
        <f t="shared" si="67"/>
        <v>1.5999999999999999</v>
      </c>
      <c r="W95" s="3157">
        <f t="shared" si="67"/>
        <v>4.7</v>
      </c>
      <c r="X95" s="3157">
        <f t="shared" si="67"/>
        <v>0.5</v>
      </c>
      <c r="Y95" s="3157">
        <f t="shared" si="67"/>
        <v>0.7</v>
      </c>
      <c r="Z95" s="3157">
        <f t="shared" si="67"/>
        <v>1.5249999999999999</v>
      </c>
      <c r="AA95" s="3157">
        <f t="shared" si="67"/>
        <v>1.7650000000000001</v>
      </c>
      <c r="AB95" s="144"/>
      <c r="AC95" s="2867">
        <v>0</v>
      </c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82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3157">
        <f t="shared" si="67"/>
        <v>3.7</v>
      </c>
      <c r="V96" s="3157">
        <f t="shared" si="67"/>
        <v>1.5999999999999999</v>
      </c>
      <c r="W96" s="3157">
        <f t="shared" si="67"/>
        <v>4.7</v>
      </c>
      <c r="X96" s="3157">
        <f t="shared" si="67"/>
        <v>0.5</v>
      </c>
      <c r="Y96" s="3157">
        <f t="shared" si="67"/>
        <v>0.7</v>
      </c>
      <c r="Z96" s="3157">
        <f t="shared" si="67"/>
        <v>1.5249999999999999</v>
      </c>
      <c r="AA96" s="3157">
        <f t="shared" si="67"/>
        <v>1.7650000000000001</v>
      </c>
      <c r="AB96" s="144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3157">
        <f t="shared" si="67"/>
        <v>3.7</v>
      </c>
      <c r="V97" s="3157">
        <f t="shared" si="67"/>
        <v>1.5999999999999999</v>
      </c>
      <c r="W97" s="3157">
        <f t="shared" si="67"/>
        <v>4.7</v>
      </c>
      <c r="X97" s="3157">
        <f t="shared" si="67"/>
        <v>0.5</v>
      </c>
      <c r="Y97" s="3157">
        <f t="shared" si="67"/>
        <v>0.7</v>
      </c>
      <c r="Z97" s="3157">
        <f t="shared" si="67"/>
        <v>1.5249999999999999</v>
      </c>
      <c r="AA97" s="3157">
        <f t="shared" si="67"/>
        <v>1.7650000000000001</v>
      </c>
      <c r="AB97" s="144"/>
      <c r="AC97" s="2867"/>
      <c r="AD97" s="2867"/>
      <c r="AE97" s="2867"/>
      <c r="AF97" s="2867"/>
      <c r="AG97" s="2867"/>
      <c r="AH97" s="2867"/>
      <c r="AI97" s="2825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3157">
        <f t="shared" si="67"/>
        <v>3.7</v>
      </c>
      <c r="V98" s="3157">
        <f t="shared" si="67"/>
        <v>1.5999999999999999</v>
      </c>
      <c r="W98" s="3157">
        <f t="shared" si="67"/>
        <v>4.7</v>
      </c>
      <c r="X98" s="3157">
        <f t="shared" si="67"/>
        <v>0.5</v>
      </c>
      <c r="Y98" s="3157">
        <f t="shared" si="67"/>
        <v>0.7</v>
      </c>
      <c r="Z98" s="3157">
        <f t="shared" si="67"/>
        <v>1.5249999999999999</v>
      </c>
      <c r="AA98" s="3157">
        <f t="shared" si="67"/>
        <v>1.7650000000000001</v>
      </c>
      <c r="AB98" s="144"/>
      <c r="AC98" s="2867"/>
      <c r="AD98" s="2867"/>
      <c r="AE98" s="2867"/>
      <c r="AF98" s="2867"/>
      <c r="AG98" s="2867"/>
      <c r="AH98" s="2867"/>
      <c r="AI98" s="2825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3157">
        <f t="shared" si="67"/>
        <v>3.7</v>
      </c>
      <c r="V99" s="3157">
        <f t="shared" si="67"/>
        <v>1.5999999999999999</v>
      </c>
      <c r="W99" s="3157">
        <f t="shared" si="67"/>
        <v>4.7</v>
      </c>
      <c r="X99" s="3157">
        <f t="shared" si="67"/>
        <v>0.5</v>
      </c>
      <c r="Y99" s="3157">
        <f t="shared" si="67"/>
        <v>0.7</v>
      </c>
      <c r="Z99" s="3157">
        <f t="shared" si="67"/>
        <v>1.5249999999999999</v>
      </c>
      <c r="AA99" s="3157">
        <f t="shared" si="67"/>
        <v>1.7650000000000001</v>
      </c>
      <c r="AB99" s="144"/>
      <c r="AC99" s="2867">
        <v>0</v>
      </c>
      <c r="AD99" s="2867">
        <v>0</v>
      </c>
      <c r="AE99" s="2867">
        <v>0</v>
      </c>
      <c r="AF99" s="2867">
        <v>0</v>
      </c>
      <c r="AG99" s="2867">
        <v>0</v>
      </c>
      <c r="AH99" s="2867">
        <v>0</v>
      </c>
      <c r="AI99" s="2825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3157">
        <f t="shared" si="67"/>
        <v>3.7</v>
      </c>
      <c r="V100" s="3157">
        <f t="shared" si="67"/>
        <v>1.5999999999999999</v>
      </c>
      <c r="W100" s="3157">
        <f t="shared" si="67"/>
        <v>4.7</v>
      </c>
      <c r="X100" s="3157">
        <f t="shared" si="67"/>
        <v>0.5</v>
      </c>
      <c r="Y100" s="3157">
        <f t="shared" si="67"/>
        <v>0.7</v>
      </c>
      <c r="Z100" s="3157">
        <f t="shared" si="67"/>
        <v>1.5249999999999999</v>
      </c>
      <c r="AA100" s="3157">
        <f t="shared" si="67"/>
        <v>1.7650000000000001</v>
      </c>
      <c r="AB100" s="144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3157">
        <f t="shared" si="67"/>
        <v>3.7</v>
      </c>
      <c r="V101" s="3157">
        <f t="shared" si="67"/>
        <v>1.5999999999999999</v>
      </c>
      <c r="W101" s="3157">
        <f t="shared" si="67"/>
        <v>4.7</v>
      </c>
      <c r="X101" s="3157">
        <f t="shared" si="67"/>
        <v>0.5</v>
      </c>
      <c r="Y101" s="3157">
        <f t="shared" si="67"/>
        <v>0.7</v>
      </c>
      <c r="Z101" s="3157">
        <f t="shared" si="67"/>
        <v>1.5249999999999999</v>
      </c>
      <c r="AA101" s="3157">
        <f t="shared" si="67"/>
        <v>1.7650000000000001</v>
      </c>
      <c r="AB101" s="144"/>
      <c r="AC101" s="2867">
        <v>0</v>
      </c>
      <c r="AD101" s="2867">
        <v>0</v>
      </c>
      <c r="AE101" s="2867">
        <v>0</v>
      </c>
      <c r="AF101" s="2867">
        <v>0</v>
      </c>
      <c r="AG101" s="2867">
        <v>0</v>
      </c>
      <c r="AH101" s="2867">
        <v>0</v>
      </c>
      <c r="AI101" s="2825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3157">
        <f t="shared" si="67"/>
        <v>3.7</v>
      </c>
      <c r="V102" s="3157">
        <f t="shared" si="67"/>
        <v>1.5999999999999999</v>
      </c>
      <c r="W102" s="3157">
        <f t="shared" si="67"/>
        <v>4.7</v>
      </c>
      <c r="X102" s="3157">
        <f t="shared" si="67"/>
        <v>0.5</v>
      </c>
      <c r="Y102" s="3157">
        <f t="shared" si="67"/>
        <v>0.7</v>
      </c>
      <c r="Z102" s="3157">
        <f t="shared" si="67"/>
        <v>1.5249999999999999</v>
      </c>
      <c r="AA102" s="3157">
        <f t="shared" si="67"/>
        <v>1.7650000000000001</v>
      </c>
      <c r="AB102" s="144"/>
      <c r="AC102" s="2867"/>
      <c r="AD102" s="2867"/>
      <c r="AE102" s="2867"/>
      <c r="AF102" s="2867"/>
      <c r="AG102" s="2867"/>
      <c r="AH102" s="2867"/>
      <c r="AI102" s="2825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3157">
        <f t="shared" si="67"/>
        <v>3.7</v>
      </c>
      <c r="V103" s="3157">
        <f t="shared" si="67"/>
        <v>1.5999999999999999</v>
      </c>
      <c r="W103" s="3157">
        <f t="shared" si="67"/>
        <v>4.7</v>
      </c>
      <c r="X103" s="3157">
        <f t="shared" si="67"/>
        <v>0.5</v>
      </c>
      <c r="Y103" s="3157">
        <f t="shared" si="67"/>
        <v>0.7</v>
      </c>
      <c r="Z103" s="3157">
        <f t="shared" si="67"/>
        <v>1.5249999999999999</v>
      </c>
      <c r="AA103" s="3157">
        <f t="shared" si="67"/>
        <v>1.7650000000000001</v>
      </c>
      <c r="AB103" s="144"/>
      <c r="AC103" s="2867"/>
      <c r="AD103" s="2867"/>
      <c r="AE103" s="2867"/>
      <c r="AF103" s="2867"/>
      <c r="AG103" s="2867"/>
      <c r="AH103" s="2867"/>
      <c r="AI103" s="2825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3157">
        <f t="shared" si="67"/>
        <v>3.7</v>
      </c>
      <c r="V104" s="3157">
        <f t="shared" si="67"/>
        <v>1.5999999999999999</v>
      </c>
      <c r="W104" s="3157">
        <f t="shared" si="67"/>
        <v>4.7</v>
      </c>
      <c r="X104" s="3157">
        <f t="shared" si="67"/>
        <v>0.5</v>
      </c>
      <c r="Y104" s="3157">
        <f t="shared" si="67"/>
        <v>0.7</v>
      </c>
      <c r="Z104" s="3157">
        <f t="shared" si="67"/>
        <v>1.5249999999999999</v>
      </c>
      <c r="AA104" s="3157">
        <f t="shared" si="67"/>
        <v>1.7650000000000001</v>
      </c>
      <c r="AB104" s="144"/>
      <c r="AC104" s="2867">
        <v>0</v>
      </c>
      <c r="AD104" s="2867">
        <v>0</v>
      </c>
      <c r="AE104" s="2867">
        <v>0</v>
      </c>
      <c r="AF104" s="2867">
        <v>0</v>
      </c>
      <c r="AG104" s="2867">
        <v>0</v>
      </c>
      <c r="AH104" s="2867">
        <v>0</v>
      </c>
      <c r="AI104" s="2825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3157">
        <f t="shared" si="67"/>
        <v>3.7</v>
      </c>
      <c r="V105" s="3157">
        <f t="shared" si="67"/>
        <v>1.5999999999999999</v>
      </c>
      <c r="W105" s="3157">
        <f t="shared" si="67"/>
        <v>4.7</v>
      </c>
      <c r="X105" s="3157">
        <f t="shared" si="67"/>
        <v>0.5</v>
      </c>
      <c r="Y105" s="3157">
        <f t="shared" si="67"/>
        <v>0.7</v>
      </c>
      <c r="Z105" s="3157">
        <f t="shared" si="67"/>
        <v>1.5249999999999999</v>
      </c>
      <c r="AA105" s="3157">
        <f t="shared" si="67"/>
        <v>1.7650000000000001</v>
      </c>
      <c r="AB105" s="144"/>
      <c r="AC105" s="2867">
        <v>0</v>
      </c>
      <c r="AD105" s="2867">
        <v>0</v>
      </c>
      <c r="AE105" s="2867">
        <v>0</v>
      </c>
      <c r="AF105" s="2867">
        <v>0</v>
      </c>
      <c r="AG105" s="2867">
        <v>0</v>
      </c>
      <c r="AH105" s="2867">
        <v>0</v>
      </c>
      <c r="AI105" s="2825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3157">
        <f t="shared" si="67"/>
        <v>3.7</v>
      </c>
      <c r="V106" s="3157">
        <f t="shared" si="67"/>
        <v>1.5999999999999999</v>
      </c>
      <c r="W106" s="3157">
        <f t="shared" si="67"/>
        <v>4.7</v>
      </c>
      <c r="X106" s="3157">
        <f t="shared" si="67"/>
        <v>0.5</v>
      </c>
      <c r="Y106" s="3157">
        <f t="shared" si="67"/>
        <v>0.7</v>
      </c>
      <c r="Z106" s="3157">
        <f t="shared" si="67"/>
        <v>1.5249999999999999</v>
      </c>
      <c r="AA106" s="3157">
        <f t="shared" si="67"/>
        <v>1.7650000000000001</v>
      </c>
      <c r="AB106" s="144"/>
      <c r="AC106" s="2867">
        <v>0</v>
      </c>
      <c r="AD106" s="2867">
        <v>0</v>
      </c>
      <c r="AE106" s="2867">
        <v>0</v>
      </c>
      <c r="AF106" s="2867">
        <v>0</v>
      </c>
      <c r="AG106" s="2867">
        <v>0</v>
      </c>
      <c r="AH106" s="2867">
        <v>0</v>
      </c>
      <c r="AI106" s="2825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3157">
        <f t="shared" si="67"/>
        <v>3.7</v>
      </c>
      <c r="V107" s="3157">
        <f t="shared" si="67"/>
        <v>1.5999999999999999</v>
      </c>
      <c r="W107" s="3157">
        <f t="shared" si="67"/>
        <v>4.7</v>
      </c>
      <c r="X107" s="3157">
        <f t="shared" si="67"/>
        <v>0.5</v>
      </c>
      <c r="Y107" s="3157">
        <f t="shared" si="67"/>
        <v>0.7</v>
      </c>
      <c r="Z107" s="3157">
        <f t="shared" si="67"/>
        <v>1.5249999999999999</v>
      </c>
      <c r="AA107" s="3157">
        <f t="shared" si="67"/>
        <v>1.7650000000000001</v>
      </c>
      <c r="AB107" s="144"/>
      <c r="AC107" s="2867"/>
      <c r="AD107" s="2867"/>
      <c r="AE107" s="2867"/>
      <c r="AF107" s="2867"/>
      <c r="AG107" s="2867"/>
      <c r="AH107" s="2867"/>
      <c r="AI107" s="2825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3157">
        <f t="shared" si="67"/>
        <v>3.7</v>
      </c>
      <c r="V108" s="3157">
        <f t="shared" si="67"/>
        <v>1.5999999999999999</v>
      </c>
      <c r="W108" s="3157">
        <f t="shared" si="67"/>
        <v>4.7</v>
      </c>
      <c r="X108" s="3157">
        <f t="shared" si="67"/>
        <v>0.5</v>
      </c>
      <c r="Y108" s="3157">
        <f t="shared" si="67"/>
        <v>0.7</v>
      </c>
      <c r="Z108" s="3157">
        <f t="shared" si="67"/>
        <v>1.5249999999999999</v>
      </c>
      <c r="AA108" s="3157">
        <f t="shared" si="67"/>
        <v>1.7650000000000001</v>
      </c>
      <c r="AB108" s="144"/>
      <c r="AC108" s="2867"/>
      <c r="AD108" s="2867"/>
      <c r="AE108" s="2867"/>
      <c r="AF108" s="2867"/>
      <c r="AG108" s="2867"/>
      <c r="AH108" s="2867"/>
      <c r="AI108" s="2825"/>
      <c r="AJ108" s="1"/>
      <c r="AK108" s="1"/>
      <c r="AL108" s="1"/>
      <c r="AM108" s="1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3157">
        <f t="shared" ref="U109:AA112" si="68">IF(U108&gt;0,U108,U107)</f>
        <v>3.7</v>
      </c>
      <c r="V109" s="3157">
        <f t="shared" si="68"/>
        <v>1.5999999999999999</v>
      </c>
      <c r="W109" s="3157">
        <f t="shared" si="68"/>
        <v>4.7</v>
      </c>
      <c r="X109" s="3157">
        <f t="shared" si="68"/>
        <v>0.5</v>
      </c>
      <c r="Y109" s="3157">
        <f t="shared" si="68"/>
        <v>0.7</v>
      </c>
      <c r="Z109" s="3157">
        <f t="shared" si="68"/>
        <v>1.5249999999999999</v>
      </c>
      <c r="AA109" s="3157">
        <f t="shared" si="68"/>
        <v>1.7650000000000001</v>
      </c>
      <c r="AB109" s="144"/>
      <c r="AC109" s="2867">
        <v>0</v>
      </c>
      <c r="AD109" s="2867">
        <v>0</v>
      </c>
      <c r="AE109" s="2867">
        <v>0</v>
      </c>
      <c r="AF109" s="2867">
        <v>0</v>
      </c>
      <c r="AG109" s="2867">
        <v>0</v>
      </c>
      <c r="AH109" s="2867">
        <v>0</v>
      </c>
      <c r="AI109" s="2825"/>
      <c r="AJ109" s="1"/>
      <c r="AK109" s="1"/>
      <c r="AL109" s="1"/>
      <c r="AM109" s="1"/>
      <c r="AN109" s="1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3157">
        <f t="shared" si="68"/>
        <v>3.7</v>
      </c>
      <c r="V110" s="3157">
        <f t="shared" si="68"/>
        <v>1.5999999999999999</v>
      </c>
      <c r="W110" s="3157">
        <f t="shared" si="68"/>
        <v>4.7</v>
      </c>
      <c r="X110" s="3157">
        <f t="shared" si="68"/>
        <v>0.5</v>
      </c>
      <c r="Y110" s="3157">
        <f t="shared" si="68"/>
        <v>0.7</v>
      </c>
      <c r="Z110" s="3157">
        <f t="shared" si="68"/>
        <v>1.5249999999999999</v>
      </c>
      <c r="AA110" s="3157">
        <f t="shared" si="68"/>
        <v>1.7650000000000001</v>
      </c>
      <c r="AB110" s="144"/>
      <c r="AC110" s="2867">
        <v>0</v>
      </c>
      <c r="AD110" s="2867">
        <v>0</v>
      </c>
      <c r="AE110" s="2867">
        <v>0</v>
      </c>
      <c r="AF110" s="2867">
        <v>0</v>
      </c>
      <c r="AG110" s="2867">
        <v>0</v>
      </c>
      <c r="AH110" s="2867">
        <v>0</v>
      </c>
      <c r="AI110" s="2825"/>
      <c r="AJ110" s="1"/>
      <c r="AK110" s="1"/>
      <c r="AL110" s="1"/>
      <c r="AM110" s="1"/>
      <c r="AN110" s="1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3157">
        <f t="shared" si="68"/>
        <v>3.7</v>
      </c>
      <c r="V111" s="3157">
        <f t="shared" si="68"/>
        <v>1.5999999999999999</v>
      </c>
      <c r="W111" s="3157">
        <f t="shared" si="68"/>
        <v>4.7</v>
      </c>
      <c r="X111" s="3157">
        <f t="shared" si="68"/>
        <v>0.5</v>
      </c>
      <c r="Y111" s="3157">
        <f t="shared" si="68"/>
        <v>0.7</v>
      </c>
      <c r="Z111" s="3157">
        <f t="shared" si="68"/>
        <v>1.5249999999999999</v>
      </c>
      <c r="AA111" s="3157">
        <f t="shared" si="68"/>
        <v>1.7650000000000001</v>
      </c>
      <c r="AB111" s="144"/>
      <c r="AC111" s="2867">
        <v>0</v>
      </c>
      <c r="AD111" s="2867">
        <v>0</v>
      </c>
      <c r="AE111" s="2867">
        <v>0</v>
      </c>
      <c r="AF111" s="2867">
        <v>0</v>
      </c>
      <c r="AG111" s="2867">
        <v>0</v>
      </c>
      <c r="AH111" s="2867">
        <v>0</v>
      </c>
      <c r="AI111" s="2825"/>
      <c r="AJ111" s="1"/>
      <c r="AK111" s="1"/>
      <c r="AL111" s="1"/>
      <c r="AM111" s="1"/>
      <c r="AN111" s="1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3158">
        <f>IF(U111&gt;0,U111,U110)</f>
        <v>3.7</v>
      </c>
      <c r="V112" s="3158">
        <f t="shared" si="68"/>
        <v>1.5999999999999999</v>
      </c>
      <c r="W112" s="3158">
        <f t="shared" si="68"/>
        <v>4.7</v>
      </c>
      <c r="X112" s="3158">
        <f t="shared" si="68"/>
        <v>0.5</v>
      </c>
      <c r="Y112" s="3158">
        <f t="shared" si="68"/>
        <v>0.7</v>
      </c>
      <c r="Z112" s="3158">
        <f t="shared" si="68"/>
        <v>1.5249999999999999</v>
      </c>
      <c r="AA112" s="3158">
        <f t="shared" si="68"/>
        <v>1.7650000000000001</v>
      </c>
      <c r="AB112" s="144"/>
      <c r="AC112" s="2867"/>
      <c r="AD112" s="2867"/>
      <c r="AE112" s="2867"/>
      <c r="AF112" s="2867"/>
      <c r="AG112" s="2867"/>
      <c r="AH112" s="2867"/>
      <c r="AI112" s="2825"/>
      <c r="AJ112" s="1"/>
      <c r="AK112" s="1"/>
      <c r="AL112" s="1"/>
      <c r="AM112" s="1"/>
      <c r="AN112" s="1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2838"/>
      <c r="V113" s="2838"/>
      <c r="W113" s="2838"/>
      <c r="X113" s="2838"/>
      <c r="Y113" s="2838"/>
      <c r="Z113" s="2838"/>
      <c r="AA113" s="2838"/>
      <c r="AB113" s="144"/>
      <c r="AC113" s="2867"/>
      <c r="AD113" s="2867"/>
      <c r="AE113" s="2867"/>
      <c r="AF113" s="2867"/>
      <c r="AG113" s="2867"/>
      <c r="AH113" s="2867"/>
      <c r="AI113" s="2825"/>
      <c r="AJ113" s="1"/>
      <c r="AK113" s="1"/>
      <c r="AL113" s="1"/>
      <c r="AM113" s="1"/>
      <c r="AN113" s="1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2838"/>
      <c r="V114" s="2838"/>
      <c r="W114" s="2838"/>
      <c r="X114" s="2838"/>
      <c r="Y114" s="2838"/>
      <c r="Z114" s="2838"/>
      <c r="AA114" s="2838"/>
      <c r="AB114" s="144"/>
      <c r="AC114" s="2867">
        <v>0</v>
      </c>
      <c r="AD114" s="2867">
        <v>0</v>
      </c>
      <c r="AE114" s="2867">
        <v>0</v>
      </c>
      <c r="AF114" s="2867">
        <v>0</v>
      </c>
      <c r="AG114" s="2867">
        <v>0</v>
      </c>
      <c r="AH114" s="2867">
        <v>0</v>
      </c>
      <c r="AI114" s="2825"/>
      <c r="AJ114" s="1"/>
      <c r="AK114" s="1"/>
      <c r="AL114" s="1"/>
      <c r="AM114" s="1"/>
      <c r="AN114" s="1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2838"/>
      <c r="V115" s="2838"/>
      <c r="W115" s="2838"/>
      <c r="X115" s="2838"/>
      <c r="Y115" s="2838"/>
      <c r="Z115" s="2838"/>
      <c r="AA115" s="2838"/>
      <c r="AB115" s="144"/>
      <c r="AC115" s="2867"/>
      <c r="AD115" s="2867"/>
      <c r="AE115" s="2867"/>
      <c r="AF115" s="2867"/>
      <c r="AG115" s="2867"/>
      <c r="AH115" s="2867"/>
      <c r="AJ115" s="1"/>
      <c r="AK115" s="1"/>
      <c r="AL115" s="1"/>
      <c r="AM115" s="1"/>
      <c r="AN115" s="1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2838"/>
      <c r="V116" s="2838"/>
      <c r="W116" s="2838"/>
      <c r="X116" s="2838"/>
      <c r="Y116" s="2838"/>
      <c r="Z116" s="2838"/>
      <c r="AA116" s="2838"/>
      <c r="AB116" s="144"/>
      <c r="AJ116" s="1"/>
      <c r="AK116" s="1"/>
      <c r="AL116" s="1"/>
      <c r="AM116" s="1"/>
      <c r="AN116" s="1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2838"/>
      <c r="V117" s="2838"/>
      <c r="W117" s="2838"/>
      <c r="X117" s="2838"/>
      <c r="Y117" s="2838"/>
      <c r="Z117" s="2838"/>
      <c r="AA117" s="2838"/>
      <c r="AB117" s="144"/>
      <c r="AJ117" s="1"/>
      <c r="AK117" s="1"/>
      <c r="AL117" s="1"/>
      <c r="AM117" s="1"/>
      <c r="AN117" s="1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2838"/>
      <c r="V118" s="2838"/>
      <c r="W118" s="2838"/>
      <c r="X118" s="2838"/>
      <c r="Y118" s="2838"/>
      <c r="Z118" s="2838"/>
      <c r="AA118" s="2838"/>
      <c r="AB118" s="144"/>
      <c r="AJ118" s="1"/>
      <c r="AK118" s="1"/>
      <c r="AL118" s="1"/>
      <c r="AM118" s="1"/>
      <c r="AN118" s="1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2838"/>
      <c r="V119" s="2838"/>
      <c r="W119" s="2838"/>
      <c r="X119" s="2838"/>
      <c r="Y119" s="2838"/>
      <c r="Z119" s="2838"/>
      <c r="AA119" s="2838"/>
      <c r="AB119" s="144"/>
      <c r="AJ119" s="1"/>
      <c r="AK119" s="1"/>
      <c r="AL119" s="1"/>
      <c r="AM119" s="1"/>
      <c r="AN119" s="1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2838"/>
      <c r="V120" s="2838"/>
      <c r="W120" s="2838"/>
      <c r="X120" s="2838"/>
      <c r="Y120" s="2838"/>
      <c r="Z120" s="2838"/>
      <c r="AA120" s="2838"/>
      <c r="AB120" s="144"/>
      <c r="AJ120" s="1"/>
      <c r="AK120" s="1"/>
      <c r="AL120" s="1"/>
      <c r="AM120" s="1"/>
      <c r="AN120" s="1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2838"/>
      <c r="V121" s="2838"/>
      <c r="W121" s="2838"/>
      <c r="X121" s="2838"/>
      <c r="Y121" s="2838"/>
      <c r="Z121" s="2838"/>
      <c r="AA121" s="2838"/>
      <c r="AB121" s="144"/>
      <c r="AJ121" s="1"/>
      <c r="AK121" s="1"/>
      <c r="AL121" s="1"/>
      <c r="AM121" s="1"/>
      <c r="AN121" s="1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2838"/>
      <c r="V122" s="2838"/>
      <c r="W122" s="2838"/>
      <c r="X122" s="2838"/>
      <c r="Y122" s="2838"/>
      <c r="Z122" s="2838"/>
      <c r="AA122" s="2838"/>
      <c r="AB122" s="144"/>
      <c r="AJ122" s="1"/>
      <c r="AK122" s="1"/>
      <c r="AL122" s="1"/>
      <c r="AM122" s="1"/>
      <c r="AN122" s="1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2838"/>
      <c r="V123" s="2838"/>
      <c r="W123" s="2838"/>
      <c r="X123" s="2838"/>
      <c r="Y123" s="2838"/>
      <c r="Z123" s="2838"/>
      <c r="AA123" s="2838"/>
      <c r="AB123" s="144"/>
      <c r="AJ123" s="1"/>
      <c r="AK123" s="1"/>
      <c r="AL123" s="1"/>
      <c r="AM123" s="1"/>
      <c r="AN123" s="1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2838"/>
      <c r="V124" s="2838"/>
      <c r="W124" s="2838"/>
      <c r="X124" s="2838"/>
      <c r="Y124" s="2838"/>
      <c r="Z124" s="2838"/>
      <c r="AA124" s="2838"/>
      <c r="AB124" s="144"/>
      <c r="AJ124" s="1"/>
      <c r="AK124" s="1"/>
      <c r="AL124" s="1"/>
      <c r="AM124" s="1"/>
      <c r="AN124" s="1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2838"/>
      <c r="V125" s="2838"/>
      <c r="W125" s="2838"/>
      <c r="X125" s="2838"/>
      <c r="Y125" s="2838"/>
      <c r="Z125" s="2838"/>
      <c r="AA125" s="2838"/>
      <c r="AB125" s="144"/>
      <c r="AJ125" s="1"/>
      <c r="AK125" s="1"/>
      <c r="AL125" s="1"/>
      <c r="AM125" s="1"/>
      <c r="AN125" s="1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2838"/>
      <c r="V126" s="2838"/>
      <c r="W126" s="2838"/>
      <c r="X126" s="2838"/>
      <c r="Y126" s="2838"/>
      <c r="Z126" s="2838"/>
      <c r="AA126" s="2838"/>
      <c r="AB126" s="144"/>
      <c r="AN126" s="1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2838"/>
      <c r="V127" s="2838"/>
      <c r="W127" s="2838"/>
      <c r="X127" s="2838"/>
      <c r="Y127" s="2838"/>
      <c r="Z127" s="2838"/>
      <c r="AA127" s="2838"/>
      <c r="AB127" s="144"/>
      <c r="AC127" s="2825"/>
      <c r="AD127" s="2825"/>
      <c r="AE127" s="2825"/>
      <c r="AF127" s="2825"/>
      <c r="AG127" s="2825"/>
      <c r="AH127" s="2825"/>
      <c r="AI127" s="2825"/>
      <c r="AJ127" s="2825"/>
      <c r="AK127" s="2825"/>
      <c r="AL127" s="2825"/>
      <c r="AM127" s="2825"/>
      <c r="AN127" s="1"/>
    </row>
    <row r="128" spans="1:40" s="3021" customFormat="1" ht="11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2838"/>
      <c r="V128" s="2838"/>
      <c r="W128" s="2838"/>
      <c r="X128" s="2838"/>
      <c r="Y128" s="2838"/>
      <c r="Z128" s="2838"/>
      <c r="AA128" s="2838"/>
      <c r="AB128" s="144"/>
      <c r="AC128" s="2826"/>
      <c r="AD128" s="2826"/>
      <c r="AE128" s="2826"/>
      <c r="AF128" s="2826"/>
      <c r="AG128" s="2826"/>
      <c r="AH128" s="2826"/>
      <c r="AI128" s="2826"/>
      <c r="AJ128" s="2826"/>
      <c r="AK128" s="2826"/>
      <c r="AL128" s="2826"/>
      <c r="AM128" s="2826"/>
    </row>
    <row r="129" spans="1:39" s="3021" customFormat="1" ht="11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2838"/>
      <c r="V129" s="2838"/>
      <c r="W129" s="2838"/>
      <c r="X129" s="2838"/>
      <c r="Y129" s="2838"/>
      <c r="Z129" s="2838"/>
      <c r="AA129" s="2838"/>
      <c r="AB129" s="144"/>
      <c r="AC129" s="2826"/>
      <c r="AD129" s="2826"/>
      <c r="AE129" s="2826"/>
      <c r="AF129" s="2826"/>
      <c r="AG129" s="2826"/>
      <c r="AH129" s="2826"/>
      <c r="AI129" s="2826"/>
      <c r="AJ129" s="2826"/>
      <c r="AK129" s="2826"/>
      <c r="AL129" s="2826"/>
      <c r="AM129" s="2826"/>
    </row>
    <row r="130" spans="1:39" s="3021" customFormat="1" ht="11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2838"/>
      <c r="V130" s="2838"/>
      <c r="W130" s="2838"/>
      <c r="X130" s="2838"/>
      <c r="Y130" s="2838"/>
      <c r="Z130" s="2838"/>
      <c r="AA130" s="2838"/>
      <c r="AB130" s="144"/>
      <c r="AC130" s="2826"/>
      <c r="AD130" s="2826"/>
      <c r="AE130" s="2826"/>
      <c r="AF130" s="2826"/>
      <c r="AG130" s="2826"/>
      <c r="AH130" s="2826"/>
      <c r="AI130" s="2826"/>
      <c r="AJ130" s="2826"/>
      <c r="AK130" s="2826"/>
      <c r="AL130" s="2826"/>
      <c r="AM130" s="2826"/>
    </row>
    <row r="131" spans="1:39" s="3021" customFormat="1" ht="11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2838"/>
      <c r="V131" s="2838"/>
      <c r="W131" s="2838"/>
      <c r="X131" s="2838"/>
      <c r="Y131" s="2838"/>
      <c r="Z131" s="2838"/>
      <c r="AA131" s="2838"/>
      <c r="AB131" s="144"/>
      <c r="AC131" s="2826"/>
      <c r="AD131" s="2826"/>
      <c r="AE131" s="2826"/>
      <c r="AF131" s="2826"/>
      <c r="AG131" s="2826"/>
      <c r="AH131" s="2826"/>
      <c r="AI131" s="2826"/>
      <c r="AJ131" s="2826"/>
      <c r="AK131" s="2826"/>
      <c r="AL131" s="2826"/>
      <c r="AM131" s="2826"/>
    </row>
    <row r="132" spans="1:39" s="3021" customFormat="1" ht="11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146"/>
      <c r="M132" s="458"/>
      <c r="N132" s="145"/>
      <c r="O132" s="146"/>
      <c r="P132" s="146"/>
      <c r="Q132" s="147"/>
      <c r="R132" s="147"/>
      <c r="S132" s="142"/>
      <c r="T132" s="142"/>
      <c r="U132" s="2838"/>
      <c r="V132" s="2838"/>
      <c r="W132" s="2838"/>
      <c r="X132" s="2838"/>
      <c r="Y132" s="2838"/>
      <c r="Z132" s="2838"/>
      <c r="AA132" s="2838"/>
      <c r="AC132" s="2826"/>
      <c r="AD132" s="2826"/>
      <c r="AE132" s="2826"/>
      <c r="AF132" s="2826"/>
      <c r="AG132" s="2826"/>
      <c r="AH132" s="2826"/>
      <c r="AI132" s="2826"/>
      <c r="AJ132" s="2826"/>
      <c r="AK132" s="2826"/>
      <c r="AL132" s="2826"/>
      <c r="AM132" s="2826"/>
    </row>
    <row r="133" spans="1:39" s="3021" customFormat="1" ht="11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146"/>
      <c r="M133" s="458"/>
      <c r="N133" s="145"/>
      <c r="O133" s="146"/>
      <c r="P133" s="146"/>
      <c r="Q133" s="147"/>
      <c r="R133" s="147"/>
      <c r="S133" s="142"/>
      <c r="T133" s="142"/>
      <c r="U133" s="2838"/>
      <c r="V133" s="2838"/>
      <c r="W133" s="2838"/>
      <c r="X133" s="2838"/>
      <c r="Y133" s="2838"/>
      <c r="Z133" s="2838"/>
      <c r="AA133" s="2838"/>
      <c r="AC133" s="2826"/>
      <c r="AD133" s="2826"/>
      <c r="AE133" s="2826"/>
      <c r="AF133" s="2826"/>
      <c r="AG133" s="2826"/>
      <c r="AH133" s="2826"/>
      <c r="AI133" s="2826"/>
      <c r="AJ133" s="2826"/>
      <c r="AK133" s="2826"/>
      <c r="AL133" s="2826"/>
      <c r="AM133" s="2826"/>
    </row>
    <row r="134" spans="1:39" s="3021" customFormat="1" ht="1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146"/>
      <c r="M134" s="458"/>
      <c r="N134" s="145"/>
      <c r="O134" s="146"/>
      <c r="P134" s="146"/>
      <c r="Q134" s="147"/>
      <c r="R134" s="147"/>
      <c r="S134" s="142"/>
      <c r="T134" s="142"/>
      <c r="U134" s="2838"/>
      <c r="V134" s="2838"/>
      <c r="W134" s="2838"/>
      <c r="X134" s="2838"/>
      <c r="Y134" s="2838"/>
      <c r="Z134" s="2838"/>
      <c r="AA134" s="2838"/>
      <c r="AC134" s="2826"/>
      <c r="AD134" s="2826"/>
      <c r="AE134" s="2826"/>
      <c r="AF134" s="2826"/>
      <c r="AG134" s="2826"/>
      <c r="AH134" s="2826"/>
      <c r="AI134" s="2826"/>
      <c r="AJ134" s="2826"/>
      <c r="AK134" s="2826"/>
      <c r="AL134" s="2826"/>
      <c r="AM134" s="2826"/>
    </row>
    <row r="135" spans="1:39" s="3021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146"/>
      <c r="M135" s="458"/>
      <c r="N135" s="145"/>
      <c r="O135" s="146"/>
      <c r="P135" s="146"/>
      <c r="Q135" s="147"/>
      <c r="R135" s="147"/>
      <c r="S135" s="142"/>
      <c r="T135" s="142"/>
      <c r="U135" s="2838"/>
      <c r="V135" s="2838"/>
      <c r="W135" s="2838"/>
      <c r="X135" s="2838"/>
      <c r="Y135" s="2838"/>
      <c r="Z135" s="2838"/>
      <c r="AA135" s="2838"/>
      <c r="AC135" s="2826"/>
      <c r="AD135" s="2826"/>
      <c r="AE135" s="2826"/>
      <c r="AF135" s="2826"/>
      <c r="AG135" s="2826"/>
      <c r="AH135" s="2826"/>
      <c r="AI135" s="2826"/>
      <c r="AJ135" s="2826"/>
      <c r="AK135" s="2826"/>
      <c r="AL135" s="2826"/>
      <c r="AM135" s="2826"/>
    </row>
    <row r="136" spans="1:39" s="3021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146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826"/>
      <c r="AD136" s="2826"/>
      <c r="AE136" s="2826"/>
      <c r="AF136" s="2826"/>
      <c r="AG136" s="2826"/>
      <c r="AH136" s="2826"/>
      <c r="AI136" s="2826"/>
      <c r="AJ136" s="2826"/>
      <c r="AK136" s="2826"/>
      <c r="AL136" s="2826"/>
      <c r="AM136" s="2826"/>
    </row>
    <row r="137" spans="1:39" s="3021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146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826"/>
      <c r="AD137" s="2826"/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1:39" s="3021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146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826"/>
      <c r="AD138" s="2826"/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1:39" s="3021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146"/>
      <c r="M139" s="458"/>
      <c r="N139" s="145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82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1:39" s="3021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826"/>
      <c r="AD140" s="2826"/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1:39" s="3021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1:39" s="3021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1:39" s="3021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1:39" s="3021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39" s="3021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39" s="3021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39" s="3021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39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39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39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39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39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39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39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39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39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39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B157" s="3021">
        <f>SUBTOTAL(9,AB115:AB156)</f>
        <v>0</v>
      </c>
      <c r="AC157" s="2826">
        <f>SUBTOTAL(9,AC115:AC156)</f>
        <v>0</v>
      </c>
      <c r="AD157" s="2826">
        <f>SUBTOTAL(9,AD115:AD156)</f>
        <v>0</v>
      </c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39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B158" s="3021">
        <v>0</v>
      </c>
      <c r="AC158" s="2826">
        <v>0</v>
      </c>
      <c r="AD158" s="2826">
        <v>0</v>
      </c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39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B159" s="3021">
        <v>0</v>
      </c>
      <c r="AC159" s="2826">
        <v>0</v>
      </c>
      <c r="AD159" s="2826">
        <v>0</v>
      </c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39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B160" s="3021">
        <v>0</v>
      </c>
      <c r="AC160" s="2826">
        <v>0</v>
      </c>
      <c r="AD160" s="2826">
        <v>0</v>
      </c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41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B161" s="3021">
        <v>0</v>
      </c>
      <c r="AC161" s="2826">
        <v>0</v>
      </c>
      <c r="AD161" s="2826">
        <v>0</v>
      </c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41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B162" s="3021">
        <v>0</v>
      </c>
      <c r="AC162" s="2826">
        <v>0</v>
      </c>
      <c r="AD162" s="2826">
        <v>0</v>
      </c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41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B163" s="3021">
        <v>0</v>
      </c>
      <c r="AC163" s="2826">
        <v>0</v>
      </c>
      <c r="AD163" s="2826">
        <v>0</v>
      </c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41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B164" s="3021">
        <v>0</v>
      </c>
      <c r="AC164" s="2826">
        <v>0</v>
      </c>
      <c r="AD164" s="2826">
        <v>0</v>
      </c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41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B165" s="3021">
        <v>0</v>
      </c>
      <c r="AC165" s="2826">
        <v>0</v>
      </c>
      <c r="AD165" s="2826">
        <v>0</v>
      </c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41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B166" s="3021">
        <v>0</v>
      </c>
      <c r="AC166" s="2826">
        <v>0</v>
      </c>
      <c r="AD166" s="2826">
        <v>0</v>
      </c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41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B167" s="3021">
        <v>0</v>
      </c>
      <c r="AC167" s="2826">
        <v>0</v>
      </c>
      <c r="AD167" s="2826">
        <v>0</v>
      </c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41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>
        <f>SUBTOTAL(9,U126:U167)</f>
        <v>0</v>
      </c>
      <c r="V168" s="146">
        <f t="shared" ref="V168:AA168" si="69">SUBTOTAL(9,V126:V167)</f>
        <v>0</v>
      </c>
      <c r="W168" s="146">
        <f t="shared" si="69"/>
        <v>0</v>
      </c>
      <c r="X168" s="146">
        <f t="shared" si="69"/>
        <v>0</v>
      </c>
      <c r="Y168" s="146">
        <f t="shared" si="69"/>
        <v>0</v>
      </c>
      <c r="Z168" s="146">
        <f t="shared" si="69"/>
        <v>0</v>
      </c>
      <c r="AA168" s="146">
        <f t="shared" si="69"/>
        <v>0</v>
      </c>
      <c r="AB168" s="3021">
        <v>0</v>
      </c>
      <c r="AC168" s="2826">
        <v>0</v>
      </c>
      <c r="AD168" s="2826">
        <v>0</v>
      </c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41" s="2825" customFormat="1" ht="14" thickBot="1">
      <c r="B169" s="139"/>
      <c r="C169" s="138"/>
      <c r="D169" s="908"/>
      <c r="E169" s="138"/>
      <c r="F169" s="140"/>
      <c r="G169" s="141"/>
      <c r="H169" s="141"/>
      <c r="I169" s="141"/>
      <c r="J169" s="141"/>
      <c r="K169" s="141"/>
      <c r="L169" s="141"/>
      <c r="M169" s="458"/>
      <c r="N169" s="140"/>
      <c r="O169" s="141"/>
      <c r="P169" s="141"/>
      <c r="Q169" s="148"/>
      <c r="R169" s="148"/>
      <c r="S169" s="149"/>
      <c r="T169" s="149"/>
      <c r="U169" s="150"/>
      <c r="V169" s="150"/>
      <c r="W169" s="150"/>
      <c r="X169" s="150"/>
      <c r="Y169" s="150"/>
      <c r="Z169" s="150"/>
      <c r="AA169" s="150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41" s="2825" customFormat="1" ht="15" thickTop="1" thickBot="1">
      <c r="B170" s="139"/>
      <c r="C170" s="138"/>
      <c r="D170" s="908"/>
      <c r="E170" s="138"/>
      <c r="F170" s="140"/>
      <c r="G170" s="141"/>
      <c r="H170" s="141"/>
      <c r="I170" s="141"/>
      <c r="J170" s="141"/>
      <c r="K170" s="141"/>
      <c r="L170" s="141"/>
      <c r="M170" s="458"/>
      <c r="N170" s="140"/>
      <c r="O170" s="141"/>
      <c r="P170" s="141"/>
      <c r="Q170" s="148"/>
      <c r="R170" s="148"/>
      <c r="S170" s="148"/>
      <c r="T170" s="149"/>
      <c r="U170" s="151"/>
      <c r="V170" s="152"/>
      <c r="W170" s="153"/>
      <c r="X170" s="153"/>
      <c r="Y170" s="153"/>
      <c r="Z170" s="153"/>
      <c r="AA170" s="154"/>
      <c r="AB170" s="3022"/>
      <c r="AC170" s="3022"/>
      <c r="AE170" s="2826"/>
      <c r="AF170" s="2826"/>
      <c r="AG170" s="2826"/>
      <c r="AH170" s="2826"/>
      <c r="AI170" s="2826"/>
      <c r="AJ170" s="2826"/>
      <c r="AK170" s="2826"/>
      <c r="AL170" s="2826"/>
      <c r="AM170" s="2826"/>
      <c r="AN170" s="2826"/>
      <c r="AO170" s="2826"/>
    </row>
    <row r="171" spans="2:41" s="3021" customFormat="1" ht="12" thickTop="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41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41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82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41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826"/>
      <c r="AD174" s="2826"/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41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826"/>
      <c r="AD175" s="2826"/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41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82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39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39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39" s="3021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39" s="3021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39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39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39" s="3021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39" s="3021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39" s="3021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39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39" s="3021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39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39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39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39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39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3021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3021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3021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3021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3021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3021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3021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3021" customFormat="1" ht="11">
      <c r="B207" s="3159"/>
      <c r="D207" s="3160"/>
      <c r="F207" s="3023"/>
      <c r="G207" s="3024"/>
      <c r="H207" s="3024"/>
      <c r="I207" s="3024"/>
      <c r="J207" s="3024"/>
      <c r="K207" s="3024"/>
      <c r="L207" s="3024"/>
      <c r="M207" s="3025"/>
      <c r="N207" s="3023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3021" customFormat="1" ht="11">
      <c r="B208" s="3159"/>
      <c r="D208" s="3160"/>
      <c r="F208" s="3023"/>
      <c r="G208" s="3024"/>
      <c r="H208" s="3024"/>
      <c r="I208" s="3024"/>
      <c r="J208" s="3024"/>
      <c r="K208" s="3024"/>
      <c r="L208" s="3024"/>
      <c r="M208" s="3025"/>
      <c r="N208" s="3023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41" s="3021" customFormat="1" ht="11">
      <c r="B209" s="3159"/>
      <c r="D209" s="3160"/>
      <c r="F209" s="3023"/>
      <c r="G209" s="3024"/>
      <c r="H209" s="3024"/>
      <c r="I209" s="3024"/>
      <c r="J209" s="3024"/>
      <c r="K209" s="3024"/>
      <c r="L209" s="3024"/>
      <c r="M209" s="3025"/>
      <c r="N209" s="3023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41" s="3021" customFormat="1" ht="11">
      <c r="B210" s="3159"/>
      <c r="D210" s="3160"/>
      <c r="F210" s="3023"/>
      <c r="G210" s="3024"/>
      <c r="H210" s="3024"/>
      <c r="I210" s="3024"/>
      <c r="J210" s="3024"/>
      <c r="K210" s="3024"/>
      <c r="L210" s="3024"/>
      <c r="M210" s="3025"/>
      <c r="N210" s="3023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41" s="3021" customFormat="1" ht="11">
      <c r="B211" s="3159"/>
      <c r="D211" s="3160"/>
      <c r="F211" s="3023"/>
      <c r="G211" s="3024"/>
      <c r="H211" s="3024"/>
      <c r="I211" s="3024"/>
      <c r="J211" s="3024"/>
      <c r="K211" s="3024"/>
      <c r="L211" s="3024"/>
      <c r="M211" s="3025"/>
      <c r="N211" s="3023"/>
      <c r="O211" s="146"/>
      <c r="P211" s="146"/>
      <c r="Q211" s="147"/>
      <c r="R211" s="147"/>
      <c r="S211" s="142"/>
      <c r="T211" s="142"/>
      <c r="U211" s="146">
        <f>SUBTOTAL(9,U169:U210)</f>
        <v>0</v>
      </c>
      <c r="V211" s="146">
        <f t="shared" ref="V211:AA211" si="70">SUBTOTAL(9,V169:V210)</f>
        <v>0</v>
      </c>
      <c r="W211" s="146">
        <f t="shared" si="70"/>
        <v>0</v>
      </c>
      <c r="X211" s="146">
        <f t="shared" si="70"/>
        <v>0</v>
      </c>
      <c r="Y211" s="146">
        <f t="shared" si="70"/>
        <v>0</v>
      </c>
      <c r="Z211" s="146">
        <f t="shared" si="70"/>
        <v>0</v>
      </c>
      <c r="AA211" s="146">
        <f t="shared" si="70"/>
        <v>0</v>
      </c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41" s="2825" customFormat="1" ht="14" thickBot="1">
      <c r="B212" s="2935"/>
      <c r="D212" s="3161"/>
      <c r="F212" s="3026"/>
      <c r="G212" s="3027"/>
      <c r="H212" s="3027"/>
      <c r="I212" s="3027"/>
      <c r="J212" s="3027"/>
      <c r="K212" s="3027"/>
      <c r="L212" s="3027"/>
      <c r="M212" s="3025"/>
      <c r="N212" s="3026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41" s="2825" customFormat="1" ht="15" thickTop="1" thickBot="1">
      <c r="B213" s="2935"/>
      <c r="D213" s="3161"/>
      <c r="F213" s="3026"/>
      <c r="G213" s="3027"/>
      <c r="H213" s="3027"/>
      <c r="I213" s="3027"/>
      <c r="J213" s="3027"/>
      <c r="K213" s="3027"/>
      <c r="L213" s="3027"/>
      <c r="M213" s="3025"/>
      <c r="N213" s="3026"/>
      <c r="O213" s="141"/>
      <c r="P213" s="141"/>
      <c r="Q213" s="148"/>
      <c r="R213" s="148"/>
      <c r="S213" s="148"/>
      <c r="T213" s="148"/>
      <c r="U213" s="151">
        <f>SUBTOTAL(9,U171:U212)</f>
        <v>0</v>
      </c>
      <c r="V213" s="152">
        <f t="shared" ref="V213:AA213" si="71">SUBTOTAL(9,V171:V212)</f>
        <v>0</v>
      </c>
      <c r="W213" s="153">
        <f t="shared" si="71"/>
        <v>0</v>
      </c>
      <c r="X213" s="153">
        <f t="shared" si="71"/>
        <v>0</v>
      </c>
      <c r="Y213" s="153">
        <f t="shared" si="71"/>
        <v>0</v>
      </c>
      <c r="Z213" s="153">
        <f t="shared" si="71"/>
        <v>0</v>
      </c>
      <c r="AA213" s="154">
        <f t="shared" si="71"/>
        <v>0</v>
      </c>
      <c r="AB213" s="3022"/>
      <c r="AC213" s="3022"/>
      <c r="AE213" s="2826"/>
      <c r="AF213" s="2826"/>
      <c r="AG213" s="2826"/>
      <c r="AH213" s="2826"/>
      <c r="AI213" s="2826"/>
      <c r="AJ213" s="2826"/>
      <c r="AK213" s="2826"/>
      <c r="AL213" s="2826"/>
      <c r="AM213" s="2826"/>
      <c r="AN213" s="2826"/>
      <c r="AO213" s="2826"/>
    </row>
    <row r="214" spans="2:41" s="2825" customFormat="1" ht="14" thickTop="1">
      <c r="B214" s="2935"/>
      <c r="D214" s="3161"/>
      <c r="F214" s="3026"/>
      <c r="G214" s="3027"/>
      <c r="H214" s="3027"/>
      <c r="I214" s="3027"/>
      <c r="J214" s="3027"/>
      <c r="K214" s="3027"/>
      <c r="L214" s="3027"/>
      <c r="M214" s="3025"/>
      <c r="N214" s="3026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41" s="2825" customFormat="1">
      <c r="B215" s="2935"/>
      <c r="D215" s="3161"/>
      <c r="F215" s="3026"/>
      <c r="G215" s="3027"/>
      <c r="H215" s="3027"/>
      <c r="I215" s="3027"/>
      <c r="J215" s="3027"/>
      <c r="K215" s="3027"/>
      <c r="L215" s="3027"/>
      <c r="M215" s="3025"/>
      <c r="N215" s="3026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41" s="2825" customFormat="1">
      <c r="B216" s="2935"/>
      <c r="D216" s="3161"/>
      <c r="F216" s="3026"/>
      <c r="G216" s="3027"/>
      <c r="H216" s="3027"/>
      <c r="I216" s="3027"/>
      <c r="J216" s="3027"/>
      <c r="K216" s="3027"/>
      <c r="L216" s="3027"/>
      <c r="M216" s="3025"/>
      <c r="N216" s="3026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41" s="2825" customFormat="1">
      <c r="B217" s="2935"/>
      <c r="D217" s="3161"/>
      <c r="F217" s="3026"/>
      <c r="G217" s="3027"/>
      <c r="H217" s="3027"/>
      <c r="I217" s="3027"/>
      <c r="J217" s="3027"/>
      <c r="K217" s="3027"/>
      <c r="L217" s="3027"/>
      <c r="M217" s="3025"/>
      <c r="N217" s="3026"/>
      <c r="O217" s="141"/>
      <c r="P217" s="141"/>
      <c r="Q217" s="148"/>
      <c r="R217" s="148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41" s="2825" customFormat="1">
      <c r="B218" s="2935"/>
      <c r="D218" s="3161"/>
      <c r="F218" s="3026"/>
      <c r="G218" s="3027"/>
      <c r="H218" s="3027"/>
      <c r="I218" s="3027"/>
      <c r="J218" s="3027"/>
      <c r="K218" s="3027"/>
      <c r="L218" s="3027"/>
      <c r="M218" s="3025"/>
      <c r="N218" s="3026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41" s="2825" customFormat="1">
      <c r="B219" s="2935"/>
      <c r="D219" s="3161"/>
      <c r="F219" s="3026"/>
      <c r="G219" s="3027"/>
      <c r="H219" s="3027"/>
      <c r="I219" s="3027"/>
      <c r="J219" s="3027"/>
      <c r="K219" s="3027"/>
      <c r="L219" s="3027"/>
      <c r="M219" s="3025"/>
      <c r="N219" s="3026"/>
      <c r="O219" s="141"/>
      <c r="P219" s="141"/>
      <c r="Q219" s="148"/>
      <c r="R219" s="148"/>
      <c r="S219" s="149"/>
      <c r="T219" s="149"/>
      <c r="U219" s="150"/>
      <c r="V219" s="150"/>
      <c r="W219" s="150"/>
      <c r="X219" s="150"/>
      <c r="Y219" s="150"/>
      <c r="Z219" s="150"/>
      <c r="AA219" s="150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41" s="2825" customFormat="1">
      <c r="B220" s="2935"/>
      <c r="D220" s="3161"/>
      <c r="F220" s="3026"/>
      <c r="G220" s="3027"/>
      <c r="H220" s="3027"/>
      <c r="I220" s="3027"/>
      <c r="J220" s="3027"/>
      <c r="K220" s="3027"/>
      <c r="L220" s="3027"/>
      <c r="M220" s="3025"/>
      <c r="N220" s="3026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41" s="2825" customFormat="1">
      <c r="B221" s="2935"/>
      <c r="D221" s="3161"/>
      <c r="F221" s="3026"/>
      <c r="G221" s="3027"/>
      <c r="H221" s="3027"/>
      <c r="I221" s="3027"/>
      <c r="J221" s="3027"/>
      <c r="K221" s="3027"/>
      <c r="L221" s="3027"/>
      <c r="M221" s="3025"/>
      <c r="N221" s="3026"/>
      <c r="O221" s="141"/>
      <c r="P221" s="141"/>
      <c r="Q221" s="148"/>
      <c r="R221" s="148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41" s="2825" customFormat="1">
      <c r="B222" s="2935"/>
      <c r="D222" s="3161"/>
      <c r="F222" s="3026"/>
      <c r="G222" s="3027"/>
      <c r="H222" s="3027"/>
      <c r="I222" s="3027"/>
      <c r="J222" s="3027"/>
      <c r="K222" s="3027"/>
      <c r="L222" s="3027"/>
      <c r="M222" s="3025"/>
      <c r="N222" s="3026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41" s="2825" customFormat="1">
      <c r="B223" s="2935"/>
      <c r="D223" s="3161"/>
      <c r="F223" s="3026"/>
      <c r="G223" s="3027"/>
      <c r="H223" s="3027"/>
      <c r="I223" s="3027"/>
      <c r="J223" s="3027"/>
      <c r="K223" s="3027"/>
      <c r="L223" s="3027"/>
      <c r="M223" s="3025"/>
      <c r="N223" s="3026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41" s="2825" customFormat="1">
      <c r="B224" s="2935"/>
      <c r="D224" s="3161"/>
      <c r="F224" s="3026"/>
      <c r="G224" s="3027"/>
      <c r="H224" s="3027"/>
      <c r="I224" s="3027"/>
      <c r="J224" s="3027"/>
      <c r="K224" s="3027"/>
      <c r="L224" s="3027"/>
      <c r="M224" s="3025"/>
      <c r="N224" s="3026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2:39" s="2825" customFormat="1">
      <c r="B225" s="2935"/>
      <c r="D225" s="3161"/>
      <c r="F225" s="3026"/>
      <c r="G225" s="3027"/>
      <c r="H225" s="3027"/>
      <c r="I225" s="3027"/>
      <c r="J225" s="3027"/>
      <c r="K225" s="3027"/>
      <c r="L225" s="3027"/>
      <c r="M225" s="3025"/>
      <c r="N225" s="3026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39" s="2825" customFormat="1">
      <c r="B226" s="2935"/>
      <c r="D226" s="3161"/>
      <c r="F226" s="3026"/>
      <c r="G226" s="3027"/>
      <c r="H226" s="3027"/>
      <c r="I226" s="3027"/>
      <c r="J226" s="3027"/>
      <c r="K226" s="3027"/>
      <c r="L226" s="3027"/>
      <c r="M226" s="3025"/>
      <c r="N226" s="3026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2:39" s="2825" customFormat="1">
      <c r="B227" s="2935"/>
      <c r="D227" s="3161"/>
      <c r="F227" s="3026"/>
      <c r="G227" s="3027"/>
      <c r="H227" s="3027"/>
      <c r="I227" s="3027"/>
      <c r="J227" s="3027"/>
      <c r="K227" s="3027"/>
      <c r="L227" s="3027"/>
      <c r="M227" s="3025"/>
      <c r="N227" s="3026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2:39" s="2825" customFormat="1">
      <c r="B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39" s="2825" customFormat="1">
      <c r="B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026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2:39" s="2825" customFormat="1">
      <c r="B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39" s="2825" customFormat="1">
      <c r="B231" s="2935"/>
      <c r="D231" s="3161"/>
      <c r="F231" s="3026"/>
      <c r="G231" s="3027"/>
      <c r="H231" s="3027"/>
      <c r="I231" s="3027"/>
      <c r="J231" s="3027"/>
      <c r="K231" s="3027"/>
      <c r="L231" s="3027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39" s="2825" customFormat="1">
      <c r="B232" s="2935"/>
      <c r="D232" s="3161"/>
      <c r="F232" s="3026"/>
      <c r="G232" s="3027"/>
      <c r="H232" s="3027"/>
      <c r="I232" s="3027"/>
      <c r="J232" s="3027"/>
      <c r="K232" s="3027"/>
      <c r="L232" s="3027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39" s="2825" customFormat="1">
      <c r="B233" s="2935"/>
      <c r="D233" s="3161"/>
      <c r="F233" s="3026"/>
      <c r="G233" s="3027"/>
      <c r="H233" s="3027"/>
      <c r="I233" s="3027"/>
      <c r="J233" s="3027"/>
      <c r="K233" s="3027"/>
      <c r="L233" s="3027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39" s="2825" customFormat="1">
      <c r="B234" s="2935"/>
      <c r="D234" s="3161"/>
      <c r="F234" s="3026"/>
      <c r="G234" s="3027"/>
      <c r="H234" s="3027"/>
      <c r="I234" s="3027"/>
      <c r="J234" s="3027"/>
      <c r="K234" s="3027"/>
      <c r="L234" s="3027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39" s="2825" customFormat="1">
      <c r="B235" s="2935"/>
      <c r="D235" s="3161"/>
      <c r="F235" s="3026"/>
      <c r="G235" s="3027"/>
      <c r="H235" s="3027"/>
      <c r="I235" s="3027"/>
      <c r="J235" s="3027"/>
      <c r="K235" s="3027"/>
      <c r="L235" s="3027"/>
      <c r="M235" s="3025"/>
      <c r="N235" s="3026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39" s="2825" customFormat="1">
      <c r="B236" s="2935"/>
      <c r="D236" s="3161"/>
      <c r="F236" s="3026"/>
      <c r="G236" s="3027"/>
      <c r="H236" s="3027"/>
      <c r="I236" s="3027"/>
      <c r="J236" s="3027"/>
      <c r="K236" s="3027"/>
      <c r="L236" s="3027"/>
      <c r="M236" s="3025"/>
      <c r="N236" s="3026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39" s="2825" customFormat="1">
      <c r="B237" s="2935"/>
      <c r="D237" s="3161"/>
      <c r="F237" s="3026"/>
      <c r="G237" s="3027"/>
      <c r="H237" s="3027"/>
      <c r="I237" s="3027"/>
      <c r="J237" s="3027"/>
      <c r="K237" s="3027"/>
      <c r="L237" s="3027"/>
      <c r="M237" s="3025"/>
      <c r="N237" s="3026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39" s="2825" customFormat="1">
      <c r="B238" s="2935"/>
      <c r="D238" s="3161"/>
      <c r="F238" s="3026"/>
      <c r="G238" s="3027"/>
      <c r="H238" s="3027"/>
      <c r="I238" s="3027"/>
      <c r="J238" s="3027"/>
      <c r="K238" s="3027"/>
      <c r="L238" s="3027"/>
      <c r="M238" s="3025"/>
      <c r="N238" s="3026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39" s="2825" customFormat="1">
      <c r="B239" s="2935"/>
      <c r="D239" s="3161"/>
      <c r="F239" s="3026"/>
      <c r="G239" s="3027"/>
      <c r="H239" s="3027"/>
      <c r="I239" s="3027"/>
      <c r="J239" s="3027"/>
      <c r="K239" s="3027"/>
      <c r="L239" s="3027"/>
      <c r="M239" s="3025"/>
      <c r="N239" s="3026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39" s="2825" customFormat="1">
      <c r="B240" s="2935"/>
      <c r="D240" s="3161"/>
      <c r="F240" s="3026"/>
      <c r="G240" s="3027"/>
      <c r="H240" s="3027"/>
      <c r="I240" s="3027"/>
      <c r="J240" s="3027"/>
      <c r="K240" s="3027"/>
      <c r="L240" s="3027"/>
      <c r="M240" s="3025"/>
      <c r="N240" s="3026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1:40" s="2825" customFormat="1">
      <c r="B241" s="2935"/>
      <c r="D241" s="3161"/>
      <c r="F241" s="3026"/>
      <c r="G241" s="3027"/>
      <c r="H241" s="3027"/>
      <c r="I241" s="3027"/>
      <c r="J241" s="3027"/>
      <c r="K241" s="3027"/>
      <c r="L241" s="3027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1:40" s="2825" customFormat="1">
      <c r="B242" s="2935"/>
      <c r="D242" s="3161"/>
      <c r="F242" s="3026"/>
      <c r="G242" s="3027"/>
      <c r="H242" s="3027"/>
      <c r="I242" s="3027"/>
      <c r="J242" s="3027"/>
      <c r="K242" s="3027"/>
      <c r="L242" s="3027"/>
      <c r="M242" s="3025"/>
      <c r="N242" s="3026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826"/>
      <c r="AD242" s="2826"/>
      <c r="AE242" s="2826"/>
      <c r="AF242" s="2826"/>
      <c r="AG242" s="2826"/>
      <c r="AH242" s="2826"/>
      <c r="AI242" s="2826"/>
      <c r="AJ242" s="2826"/>
      <c r="AK242" s="2826"/>
      <c r="AL242" s="2826"/>
      <c r="AM242" s="2826"/>
    </row>
    <row r="243" spans="1:40" s="2825" customFormat="1">
      <c r="B243" s="2935"/>
      <c r="D243" s="3161"/>
      <c r="F243" s="3026"/>
      <c r="G243" s="3027"/>
      <c r="H243" s="3027"/>
      <c r="I243" s="3027"/>
      <c r="J243" s="3027"/>
      <c r="K243" s="3027"/>
      <c r="L243" s="3027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1:40" s="2825" customFormat="1">
      <c r="B244" s="2935"/>
      <c r="D244" s="3161"/>
      <c r="F244" s="3026"/>
      <c r="G244" s="3027"/>
      <c r="H244" s="3027"/>
      <c r="I244" s="3027"/>
      <c r="J244" s="3027"/>
      <c r="K244" s="3027"/>
      <c r="L244" s="3027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1:40">
      <c r="A245" s="1"/>
      <c r="O245" s="155"/>
      <c r="P245" s="155"/>
      <c r="Q245" s="1131"/>
      <c r="R245" s="1131"/>
      <c r="S245" s="251"/>
      <c r="T245" s="251"/>
      <c r="U245" s="1132"/>
      <c r="V245" s="1132"/>
      <c r="W245" s="1132"/>
      <c r="X245" s="1132"/>
      <c r="Y245" s="1132"/>
      <c r="Z245" s="1132"/>
      <c r="AA245" s="1132"/>
      <c r="AN245" s="1"/>
    </row>
    <row r="246" spans="1:40">
      <c r="A246" s="1"/>
      <c r="O246" s="155"/>
      <c r="P246" s="155"/>
      <c r="Q246" s="1131"/>
      <c r="R246" s="1131"/>
      <c r="S246" s="251"/>
      <c r="T246" s="251"/>
      <c r="U246" s="1132"/>
      <c r="V246" s="1132"/>
      <c r="W246" s="1132"/>
      <c r="X246" s="1132"/>
      <c r="Y246" s="1132"/>
      <c r="Z246" s="1132"/>
      <c r="AA246" s="1132"/>
      <c r="AN246" s="1"/>
    </row>
    <row r="247" spans="1:40">
      <c r="A247" s="1"/>
      <c r="O247" s="155"/>
      <c r="P247" s="155"/>
      <c r="Q247" s="1131"/>
      <c r="R247" s="1131"/>
      <c r="S247" s="251"/>
      <c r="T247" s="251"/>
      <c r="U247" s="1132"/>
      <c r="V247" s="1132"/>
      <c r="W247" s="1132"/>
      <c r="X247" s="1132"/>
      <c r="Y247" s="1132"/>
      <c r="Z247" s="1132"/>
      <c r="AA247" s="1132"/>
      <c r="AN247" s="1"/>
    </row>
    <row r="248" spans="1:40">
      <c r="A248" s="1"/>
      <c r="O248" s="155"/>
      <c r="P248" s="155"/>
      <c r="Q248" s="1131"/>
      <c r="R248" s="1131"/>
      <c r="S248" s="251"/>
      <c r="T248" s="251"/>
      <c r="U248" s="1132"/>
      <c r="V248" s="1132"/>
      <c r="W248" s="1132"/>
      <c r="X248" s="1132"/>
      <c r="Y248" s="1132"/>
      <c r="Z248" s="1132"/>
      <c r="AA248" s="1132"/>
      <c r="AN248" s="1"/>
    </row>
    <row r="249" spans="1:40">
      <c r="A249" s="1"/>
      <c r="O249" s="155"/>
      <c r="P249" s="155"/>
      <c r="Q249" s="1131"/>
      <c r="R249" s="1131"/>
      <c r="S249" s="251"/>
      <c r="T249" s="251"/>
      <c r="U249" s="1132"/>
      <c r="V249" s="1132"/>
      <c r="W249" s="1132"/>
      <c r="X249" s="1132"/>
      <c r="Y249" s="1132"/>
      <c r="Z249" s="1132"/>
      <c r="AA249" s="1132"/>
      <c r="AN249" s="1"/>
    </row>
    <row r="250" spans="1:40">
      <c r="A250" s="1"/>
      <c r="O250" s="155"/>
      <c r="P250" s="155"/>
      <c r="Q250" s="1131"/>
      <c r="R250" s="1131"/>
      <c r="S250" s="251"/>
      <c r="T250" s="251"/>
      <c r="U250" s="1132"/>
      <c r="V250" s="1132"/>
      <c r="W250" s="1132"/>
      <c r="X250" s="1132"/>
      <c r="Y250" s="1132"/>
      <c r="Z250" s="1132"/>
      <c r="AA250" s="1132"/>
      <c r="AN250" s="1"/>
    </row>
    <row r="251" spans="1:40">
      <c r="A251" s="1"/>
      <c r="O251" s="155"/>
      <c r="P251" s="155"/>
      <c r="Q251" s="1131"/>
      <c r="R251" s="1131"/>
      <c r="S251" s="251"/>
      <c r="T251" s="251"/>
      <c r="U251" s="1132"/>
      <c r="V251" s="1132"/>
      <c r="W251" s="1132"/>
      <c r="X251" s="1132"/>
      <c r="Y251" s="1132"/>
      <c r="Z251" s="1132"/>
      <c r="AA251" s="1132"/>
      <c r="AN251" s="1"/>
    </row>
    <row r="252" spans="1:40">
      <c r="A252" s="1"/>
      <c r="O252" s="155"/>
      <c r="P252" s="155"/>
      <c r="Q252" s="1131"/>
      <c r="R252" s="1131"/>
      <c r="S252" s="251"/>
      <c r="T252" s="251"/>
      <c r="U252" s="1132"/>
      <c r="V252" s="1132"/>
      <c r="W252" s="1132"/>
      <c r="X252" s="1132"/>
      <c r="Y252" s="1132"/>
      <c r="Z252" s="1132"/>
      <c r="AA252" s="1132"/>
      <c r="AN252" s="1"/>
    </row>
    <row r="253" spans="1:40">
      <c r="A253" s="1"/>
      <c r="O253" s="155"/>
      <c r="P253" s="155"/>
      <c r="Q253" s="1131"/>
      <c r="R253" s="1131"/>
      <c r="S253" s="251"/>
      <c r="T253" s="251"/>
      <c r="U253" s="1132"/>
      <c r="V253" s="1132"/>
      <c r="W253" s="1132"/>
      <c r="X253" s="1132"/>
      <c r="Y253" s="1132"/>
      <c r="Z253" s="1132"/>
      <c r="AA253" s="1132"/>
      <c r="AN253" s="1"/>
    </row>
    <row r="254" spans="1:40">
      <c r="A254" s="1"/>
      <c r="B254" s="1"/>
      <c r="D254" s="1"/>
      <c r="F254" s="1"/>
      <c r="G254" s="1"/>
      <c r="H254" s="1"/>
      <c r="I254" s="1"/>
      <c r="J254" s="1"/>
      <c r="K254" s="1"/>
      <c r="L254" s="1"/>
      <c r="M254" s="1"/>
      <c r="N254" s="1"/>
      <c r="O254" s="155"/>
      <c r="P254" s="155"/>
      <c r="Q254" s="1131"/>
      <c r="R254" s="1131"/>
      <c r="S254" s="251"/>
      <c r="T254" s="251"/>
      <c r="U254" s="1132"/>
      <c r="V254" s="1132"/>
      <c r="W254" s="1132"/>
      <c r="X254" s="1132"/>
      <c r="Y254" s="1132"/>
      <c r="Z254" s="1132"/>
      <c r="AA254" s="1132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>
      <c r="A255" s="1"/>
      <c r="B255" s="1"/>
      <c r="D255" s="1"/>
      <c r="F255" s="1"/>
      <c r="G255" s="1"/>
      <c r="H255" s="1"/>
      <c r="I255" s="1"/>
      <c r="J255" s="1"/>
      <c r="K255" s="1"/>
      <c r="L255" s="1"/>
      <c r="M255" s="1"/>
      <c r="N255" s="1"/>
      <c r="O255" s="155"/>
      <c r="P255" s="155"/>
      <c r="Q255" s="1131"/>
      <c r="R255" s="1131"/>
      <c r="S255" s="251"/>
      <c r="T255" s="251"/>
      <c r="U255" s="1132"/>
      <c r="V255" s="1132"/>
      <c r="W255" s="1132"/>
      <c r="X255" s="1132"/>
      <c r="Y255" s="1132"/>
      <c r="Z255" s="1132"/>
      <c r="AA255" s="1132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>
      <c r="A256" s="1"/>
      <c r="B256" s="1"/>
      <c r="D256" s="1"/>
      <c r="F256" s="1"/>
      <c r="G256" s="1"/>
      <c r="H256" s="1"/>
      <c r="I256" s="1"/>
      <c r="J256" s="1"/>
      <c r="K256" s="1"/>
      <c r="L256" s="1"/>
      <c r="M256" s="1"/>
      <c r="N256" s="1"/>
      <c r="O256" s="155"/>
      <c r="P256" s="155"/>
      <c r="Q256" s="1131"/>
      <c r="R256" s="1131"/>
      <c r="S256" s="251"/>
      <c r="T256" s="251"/>
      <c r="U256" s="1132"/>
      <c r="V256" s="1132"/>
      <c r="W256" s="1132"/>
      <c r="X256" s="1132"/>
      <c r="Y256" s="1132"/>
      <c r="Z256" s="1132"/>
      <c r="AA256" s="1132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>
      <c r="A257" s="1"/>
      <c r="B257" s="1"/>
      <c r="D257" s="1"/>
      <c r="F257" s="1"/>
      <c r="G257" s="1"/>
      <c r="H257" s="1"/>
      <c r="I257" s="1"/>
      <c r="J257" s="1"/>
      <c r="K257" s="1"/>
      <c r="L257" s="1"/>
      <c r="M257" s="1"/>
      <c r="N257" s="1"/>
      <c r="O257" s="155"/>
      <c r="P257" s="155"/>
      <c r="Q257" s="1131"/>
      <c r="R257" s="1131"/>
      <c r="S257" s="251"/>
      <c r="T257" s="251"/>
      <c r="U257" s="1132"/>
      <c r="V257" s="1132"/>
      <c r="W257" s="1132"/>
      <c r="X257" s="1132"/>
      <c r="Y257" s="1132"/>
      <c r="Z257" s="1132"/>
      <c r="AA257" s="1132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</sheetData>
  <conditionalFormatting sqref="F16:G16 D16 I16:K16">
    <cfRule type="cellIs" dxfId="98" priority="18" stopIfTrue="1" operator="equal">
      <formula>1</formula>
    </cfRule>
  </conditionalFormatting>
  <conditionalFormatting sqref="H16">
    <cfRule type="cellIs" dxfId="97" priority="17" stopIfTrue="1" operator="equal">
      <formula>1</formula>
    </cfRule>
  </conditionalFormatting>
  <conditionalFormatting sqref="D17 F17:G17 I17:K17">
    <cfRule type="cellIs" dxfId="96" priority="16" stopIfTrue="1" operator="equal">
      <formula>1</formula>
    </cfRule>
  </conditionalFormatting>
  <conditionalFormatting sqref="H17">
    <cfRule type="cellIs" dxfId="95" priority="15" stopIfTrue="1" operator="equal">
      <formula>1</formula>
    </cfRule>
  </conditionalFormatting>
  <conditionalFormatting sqref="H18">
    <cfRule type="cellIs" dxfId="94" priority="13" stopIfTrue="1" operator="equal">
      <formula>1</formula>
    </cfRule>
  </conditionalFormatting>
  <conditionalFormatting sqref="F18:G18 I18:K18">
    <cfRule type="cellIs" dxfId="93" priority="14" stopIfTrue="1" operator="equal">
      <formula>1</formula>
    </cfRule>
  </conditionalFormatting>
  <conditionalFormatting sqref="K21">
    <cfRule type="cellIs" dxfId="92" priority="8" stopIfTrue="1" operator="equal">
      <formula>1</formula>
    </cfRule>
  </conditionalFormatting>
  <conditionalFormatting sqref="G19 K19">
    <cfRule type="cellIs" dxfId="91" priority="12" stopIfTrue="1" operator="equal">
      <formula>1</formula>
    </cfRule>
  </conditionalFormatting>
  <conditionalFormatting sqref="G20">
    <cfRule type="cellIs" dxfId="90" priority="11" stopIfTrue="1" operator="equal">
      <formula>1</formula>
    </cfRule>
  </conditionalFormatting>
  <conditionalFormatting sqref="K20">
    <cfRule type="cellIs" dxfId="89" priority="10" stopIfTrue="1" operator="equal">
      <formula>1</formula>
    </cfRule>
  </conditionalFormatting>
  <conditionalFormatting sqref="G21">
    <cfRule type="cellIs" dxfId="88" priority="9" stopIfTrue="1" operator="equal">
      <formula>1</formula>
    </cfRule>
  </conditionalFormatting>
  <conditionalFormatting sqref="I19">
    <cfRule type="cellIs" dxfId="87" priority="7" stopIfTrue="1" operator="equal">
      <formula>1</formula>
    </cfRule>
  </conditionalFormatting>
  <conditionalFormatting sqref="J19">
    <cfRule type="cellIs" dxfId="86" priority="6" stopIfTrue="1" operator="equal">
      <formula>1</formula>
    </cfRule>
  </conditionalFormatting>
  <conditionalFormatting sqref="I20">
    <cfRule type="cellIs" dxfId="85" priority="5" stopIfTrue="1" operator="equal">
      <formula>1</formula>
    </cfRule>
  </conditionalFormatting>
  <conditionalFormatting sqref="J20">
    <cfRule type="cellIs" dxfId="84" priority="4" stopIfTrue="1" operator="equal">
      <formula>1</formula>
    </cfRule>
  </conditionalFormatting>
  <conditionalFormatting sqref="I21">
    <cfRule type="cellIs" dxfId="83" priority="3" stopIfTrue="1" operator="equal">
      <formula>1</formula>
    </cfRule>
  </conditionalFormatting>
  <conditionalFormatting sqref="J21">
    <cfRule type="cellIs" dxfId="82" priority="2" stopIfTrue="1" operator="equal">
      <formula>1</formula>
    </cfRule>
  </conditionalFormatting>
  <conditionalFormatting sqref="H19:H21">
    <cfRule type="cellIs" dxfId="81" priority="1" stopIfTrue="1" operator="equal">
      <formula>1</formula>
    </cfRule>
  </conditionalFormatting>
  <printOptions horizontalCentered="1" verticalCentered="1"/>
  <pageMargins left="0" right="0" top="0.55118110236220474" bottom="0.39370078740157483" header="0.31496062992125984" footer="0"/>
  <pageSetup paperSize="9" scale="110" orientation="landscape" horizontalDpi="0" verticalDpi="0"/>
  <headerFooter>
    <oddHeader>&amp;C&amp;K000000&amp;F&amp;A</oddHeader>
  </headerFooter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02FE-7FFB-4448-858D-1F486C203199}">
  <sheetPr codeName="Hoja52"/>
  <dimension ref="A1:AO152"/>
  <sheetViews>
    <sheetView topLeftCell="A23" zoomScale="182" zoomScaleNormal="182" workbookViewId="0">
      <selection activeCell="K10" sqref="K10"/>
    </sheetView>
  </sheetViews>
  <sheetFormatPr baseColWidth="10" defaultColWidth="11.5" defaultRowHeight="13"/>
  <cols>
    <col min="1" max="1" width="2.83203125" style="1683" customWidth="1"/>
    <col min="2" max="2" width="2.83203125" style="1684" customWidth="1"/>
    <col min="3" max="3" width="1.33203125" style="1504" customWidth="1"/>
    <col min="4" max="4" width="0.83203125" style="1801" customWidth="1"/>
    <col min="5" max="5" width="3.83203125" style="1504" customWidth="1"/>
    <col min="6" max="6" width="3" style="1506" customWidth="1"/>
    <col min="7" max="7" width="4.6640625" style="1507" customWidth="1"/>
    <col min="8" max="8" width="7.83203125" style="1507" customWidth="1"/>
    <col min="9" max="9" width="9" style="1507" customWidth="1"/>
    <col min="10" max="10" width="7.6640625" style="1507" customWidth="1"/>
    <col min="11" max="11" width="37" style="1507" customWidth="1"/>
    <col min="12" max="12" width="8.6640625" style="1732" customWidth="1"/>
    <col min="13" max="13" width="0.83203125" style="1508" customWidth="1"/>
    <col min="14" max="14" width="11.33203125" style="1506" customWidth="1"/>
    <col min="15" max="15" width="1" style="1507" customWidth="1"/>
    <col min="16" max="16" width="9.33203125" style="1507" customWidth="1"/>
    <col min="17" max="17" width="5" style="1509" customWidth="1"/>
    <col min="18" max="18" width="7" style="1509" customWidth="1"/>
    <col min="19" max="20" width="0.33203125" style="1510" customWidth="1"/>
    <col min="21" max="21" width="8.83203125" style="1681" customWidth="1"/>
    <col min="22" max="22" width="6" style="1681" customWidth="1"/>
    <col min="23" max="23" width="6.33203125" style="1681" customWidth="1"/>
    <col min="24" max="24" width="5.33203125" style="1681" customWidth="1"/>
    <col min="25" max="25" width="6" style="1681" customWidth="1"/>
    <col min="26" max="26" width="5.33203125" style="1681" customWidth="1"/>
    <col min="27" max="27" width="6.5" style="1681" customWidth="1"/>
    <col min="28" max="28" width="7.6640625" style="1511" customWidth="1"/>
    <col min="29" max="30" width="4.5" style="1512" customWidth="1"/>
    <col min="31" max="31" width="7" style="1512" customWidth="1"/>
    <col min="32" max="32" width="8.5" style="1512" customWidth="1"/>
    <col min="33" max="33" width="7.6640625" style="1512" customWidth="1"/>
    <col min="34" max="34" width="8" style="1512" customWidth="1"/>
    <col min="35" max="37" width="7.33203125" style="1512" customWidth="1"/>
    <col min="38" max="38" width="9.6640625" style="1512" customWidth="1"/>
    <col min="39" max="39" width="5.33203125" style="1512" customWidth="1"/>
    <col min="40" max="40" width="11.5" style="1511"/>
    <col min="41" max="16384" width="11.5" style="1504"/>
  </cols>
  <sheetData>
    <row r="1" spans="1:40" ht="20">
      <c r="A1" s="1679" t="s">
        <v>344</v>
      </c>
      <c r="B1" s="1504"/>
      <c r="C1" s="1505"/>
      <c r="D1" s="1787"/>
      <c r="E1" s="1680"/>
      <c r="V1" s="1682"/>
      <c r="AI1" s="1511"/>
      <c r="AJ1" s="1511"/>
      <c r="AK1" s="1511"/>
      <c r="AL1" s="1511"/>
      <c r="AM1" s="1511"/>
    </row>
    <row r="2" spans="1:40" ht="14" thickBot="1">
      <c r="A2" s="1513"/>
      <c r="B2" s="1733"/>
      <c r="C2" s="1513"/>
      <c r="D2" s="1788"/>
      <c r="E2" s="1734"/>
      <c r="F2" s="1735"/>
      <c r="G2" s="1514"/>
      <c r="H2" s="1514"/>
      <c r="I2" s="1514"/>
      <c r="J2" s="1736"/>
      <c r="K2" s="1737">
        <v>44653</v>
      </c>
      <c r="L2" s="1738"/>
      <c r="M2" s="1516"/>
      <c r="N2" s="1739"/>
      <c r="O2" s="1515"/>
      <c r="P2" s="1515"/>
      <c r="Q2" s="1517"/>
      <c r="R2" s="1517"/>
      <c r="U2" s="1685" t="s">
        <v>345</v>
      </c>
      <c r="AI2" s="1511"/>
      <c r="AJ2" s="1511"/>
      <c r="AK2" s="1511"/>
      <c r="AL2" s="1511"/>
      <c r="AM2" s="1511"/>
    </row>
    <row r="3" spans="1:40" s="1525" customFormat="1" ht="72" thickTop="1" thickBot="1">
      <c r="A3" s="1740" t="s">
        <v>346</v>
      </c>
      <c r="B3" s="1741" t="s">
        <v>347</v>
      </c>
      <c r="C3" s="1518" t="s">
        <v>348</v>
      </c>
      <c r="D3" s="1789"/>
      <c r="E3" s="1518" t="s">
        <v>349</v>
      </c>
      <c r="F3" s="1742" t="s">
        <v>350</v>
      </c>
      <c r="G3" s="1519" t="s">
        <v>351</v>
      </c>
      <c r="H3" s="1519" t="s">
        <v>708</v>
      </c>
      <c r="I3" s="1519" t="s">
        <v>352</v>
      </c>
      <c r="J3" s="1742" t="s">
        <v>353</v>
      </c>
      <c r="K3" s="1519" t="s">
        <v>354</v>
      </c>
      <c r="L3" s="1519" t="s">
        <v>982</v>
      </c>
      <c r="M3" s="1520" t="s">
        <v>355</v>
      </c>
      <c r="N3" s="1519" t="s">
        <v>445</v>
      </c>
      <c r="O3" s="1518" t="s">
        <v>447</v>
      </c>
      <c r="P3" s="1518" t="s">
        <v>447</v>
      </c>
      <c r="Q3" s="1743" t="s">
        <v>448</v>
      </c>
      <c r="R3" s="1744" t="s">
        <v>371</v>
      </c>
      <c r="S3" s="1521" t="s">
        <v>449</v>
      </c>
      <c r="T3" s="1521" t="s">
        <v>450</v>
      </c>
      <c r="U3" s="1686" t="s">
        <v>451</v>
      </c>
      <c r="V3" s="1687" t="s">
        <v>452</v>
      </c>
      <c r="W3" s="1688" t="s">
        <v>453</v>
      </c>
      <c r="X3" s="1689" t="s">
        <v>454</v>
      </c>
      <c r="Y3" s="1690" t="s">
        <v>455</v>
      </c>
      <c r="Z3" s="1691" t="s">
        <v>456</v>
      </c>
      <c r="AA3" s="1692" t="s">
        <v>457</v>
      </c>
      <c r="AB3" s="1522"/>
      <c r="AC3" s="1523"/>
      <c r="AD3" s="1524"/>
      <c r="AE3" s="1524"/>
      <c r="AF3" s="1524"/>
      <c r="AG3" s="1524"/>
      <c r="AH3" s="1524"/>
      <c r="AI3" s="1522"/>
      <c r="AJ3" s="1522"/>
      <c r="AK3" s="1522"/>
      <c r="AL3" s="1522"/>
      <c r="AM3" s="1522"/>
      <c r="AN3" s="1522"/>
    </row>
    <row r="4" spans="1:40" s="1525" customFormat="1" ht="9" customHeight="1" thickBot="1">
      <c r="A4" s="1757"/>
      <c r="D4" s="1790"/>
      <c r="S4" s="1693"/>
      <c r="T4" s="1693"/>
      <c r="U4" s="1694">
        <f>Test!$D$29</f>
        <v>9.1523857526881758E-4</v>
      </c>
      <c r="V4" s="1694">
        <f>Test!$D$31</f>
        <v>8.7635030864197572E-4</v>
      </c>
      <c r="W4" s="1694">
        <f>Test!$D$33</f>
        <v>8.4888763197586746E-4</v>
      </c>
      <c r="X4" s="1694">
        <f>Test!$D$35</f>
        <v>8.0990657955066516E-4</v>
      </c>
      <c r="Y4" s="1694">
        <f>Test!$D$37</f>
        <v>7.5735749690210676E-4</v>
      </c>
      <c r="Z4" s="1694">
        <f>Test!$D$39</f>
        <v>7.2916666666666692E-4</v>
      </c>
      <c r="AA4" s="1760">
        <f>Test!$D$41</f>
        <v>7.0729166666666694E-4</v>
      </c>
      <c r="AB4" s="1522"/>
      <c r="AC4" s="1523"/>
      <c r="AD4" s="1524"/>
      <c r="AE4" s="1524"/>
      <c r="AF4" s="1524"/>
      <c r="AG4" s="1524"/>
      <c r="AH4" s="1524"/>
      <c r="AI4" s="1522"/>
      <c r="AJ4" s="1522"/>
      <c r="AK4" s="1522"/>
      <c r="AL4" s="1522"/>
      <c r="AM4" s="1522"/>
      <c r="AN4" s="1522"/>
    </row>
    <row r="5" spans="1:40" s="1525" customFormat="1" ht="12" customHeight="1" thickBot="1">
      <c r="A5" s="1724"/>
      <c r="B5" s="1724" t="s">
        <v>803</v>
      </c>
      <c r="C5" s="1746"/>
      <c r="D5" s="1791"/>
      <c r="E5" s="1746"/>
      <c r="F5" s="1746"/>
      <c r="G5" s="1746"/>
      <c r="H5" s="1746"/>
      <c r="I5" s="1749"/>
      <c r="J5" s="1750"/>
      <c r="K5" s="1749"/>
      <c r="L5" s="1752"/>
      <c r="M5" s="1753"/>
      <c r="N5" s="1754"/>
      <c r="O5" s="1754">
        <f>C5*(G5/25)</f>
        <v>0</v>
      </c>
      <c r="P5" s="1746"/>
      <c r="Q5" s="1755"/>
      <c r="R5" s="1756"/>
      <c r="S5" s="1695"/>
      <c r="T5" s="1695"/>
      <c r="U5" s="1694">
        <f>U4/4</f>
        <v>2.2880964381720439E-4</v>
      </c>
      <c r="V5" s="1694">
        <f t="shared" ref="V5:AA5" si="0">V4/4</f>
        <v>2.1908757716049393E-4</v>
      </c>
      <c r="W5" s="1694">
        <f t="shared" si="0"/>
        <v>2.1222190799396687E-4</v>
      </c>
      <c r="X5" s="1694">
        <f t="shared" si="0"/>
        <v>2.0247664488766629E-4</v>
      </c>
      <c r="Y5" s="1694">
        <f t="shared" si="0"/>
        <v>1.8933937422552669E-4</v>
      </c>
      <c r="Z5" s="1694">
        <f t="shared" si="0"/>
        <v>1.8229166666666673E-4</v>
      </c>
      <c r="AA5" s="1694">
        <f t="shared" si="0"/>
        <v>1.7682291666666674E-4</v>
      </c>
      <c r="AB5" s="1522"/>
      <c r="AC5" s="1523"/>
      <c r="AD5" s="1524"/>
      <c r="AE5" s="1524"/>
      <c r="AF5" s="1524"/>
      <c r="AG5" s="1524"/>
      <c r="AH5" s="1524"/>
      <c r="AI5" s="1522"/>
      <c r="AJ5" s="1522"/>
      <c r="AK5" s="1522"/>
      <c r="AL5" s="1522"/>
      <c r="AM5" s="1522"/>
      <c r="AN5" s="1522"/>
    </row>
    <row r="6" spans="1:40" s="1525" customFormat="1" ht="15" customHeight="1" thickTop="1" thickBot="1">
      <c r="A6" s="1757" t="s">
        <v>214</v>
      </c>
      <c r="B6" s="1757"/>
      <c r="C6" s="629">
        <f>IF(D6=1,U$5,IF(D6=2,V$5,IF(D6=3,W$5,IF(D6=4,X$5,IF(D6=5,Y$5,IF(D6=6,Z$5,IF(D6=7,AA$5,0)))))))</f>
        <v>2.2880964381720439E-4</v>
      </c>
      <c r="D6" s="4429">
        <v>1</v>
      </c>
      <c r="E6" s="5420">
        <v>1</v>
      </c>
      <c r="F6" s="5420">
        <v>3</v>
      </c>
      <c r="G6" s="5420">
        <v>500</v>
      </c>
      <c r="H6" s="5420"/>
      <c r="I6" s="5421">
        <v>1.9675925925925926E-4</v>
      </c>
      <c r="J6" s="5421">
        <v>2.3148148148148146E-4</v>
      </c>
      <c r="K6" s="5422" t="s">
        <v>1125</v>
      </c>
      <c r="L6" s="5421">
        <v>0.34027777777777773</v>
      </c>
      <c r="M6" s="5423">
        <v>1.2</v>
      </c>
      <c r="N6" s="5424">
        <f t="shared" ref="N6:N11" si="1">P6*E6*F6+I6*F6*E6+J6*E6</f>
        <v>1.7296053614097976E-2</v>
      </c>
      <c r="O6" s="5425">
        <f t="shared" ref="O6:O11" si="2">C6*(G6/25)</f>
        <v>4.5761928763440882E-3</v>
      </c>
      <c r="P6" s="5424">
        <f t="shared" ref="P6:P11" si="3">O6*M6</f>
        <v>5.4914314516129057E-3</v>
      </c>
      <c r="Q6" s="5426">
        <v>144</v>
      </c>
      <c r="R6" s="5427">
        <f t="shared" ref="R6:R12" si="4">E6*F6*G6</f>
        <v>1500</v>
      </c>
      <c r="S6" s="1531">
        <f t="shared" ref="S6:S13" si="5">E6*F6*G6/1000</f>
        <v>1.5</v>
      </c>
      <c r="T6" s="1532">
        <f t="shared" ref="T6:T13" si="6">E6*F6*O6*4</f>
        <v>5.4914314516129062E-2</v>
      </c>
      <c r="U6" s="1701">
        <f t="shared" ref="U6:U13" si="7">IF(C6*4&gt;=$U$4,S6,0)</f>
        <v>1.5</v>
      </c>
      <c r="V6" s="1702">
        <f t="shared" ref="V6:V13" si="8">IF(AND(C6*4&gt;=$V$4,C6*4&lt;$U$4),S6,0)</f>
        <v>0</v>
      </c>
      <c r="W6" s="1703">
        <f t="shared" ref="W6:W13" si="9">IF(AND(C6*4&gt;=$W$4,C6*4&lt;$V$4),S6,0)</f>
        <v>0</v>
      </c>
      <c r="X6" s="1704">
        <f t="shared" ref="X6:X13" si="10">IF(AND(C6*4&gt;=$X$4,C6*4&lt;$W$4),S6,0)</f>
        <v>0</v>
      </c>
      <c r="Y6" s="1705">
        <f t="shared" ref="Y6:Y13" si="11">IF(AND(C6*4&gt;=$Y$4,C6*4&lt;$X$4),S6,0)</f>
        <v>0</v>
      </c>
      <c r="Z6" s="1706">
        <f t="shared" ref="Z6:Z13" si="12">IF(AND(C6*4&gt;=$Z$4,C6*4&lt;$Y$4),S6,0)</f>
        <v>0</v>
      </c>
      <c r="AA6" s="1707">
        <f t="shared" ref="AA6:AA13" si="13">IF(AND(C6*4&gt;=$AA$4,C6*4&lt;$Z$4),S6,0)</f>
        <v>0</v>
      </c>
      <c r="AB6" s="1522"/>
      <c r="AC6" s="1523"/>
      <c r="AD6" s="1524"/>
      <c r="AE6" s="1524"/>
      <c r="AF6" s="1524"/>
      <c r="AG6" s="1524"/>
      <c r="AH6" s="1524"/>
      <c r="AI6" s="1522"/>
      <c r="AJ6" s="1522"/>
      <c r="AK6" s="1522"/>
      <c r="AL6" s="1522"/>
      <c r="AM6" s="1522"/>
      <c r="AN6" s="1522"/>
    </row>
    <row r="7" spans="1:40" s="1525" customFormat="1" ht="15" customHeight="1" thickBot="1">
      <c r="A7" s="1757" t="s">
        <v>459</v>
      </c>
      <c r="B7" s="1757"/>
      <c r="C7" s="629">
        <f t="shared" ref="C7:C61" si="14">IF(D7=1,U$5,IF(D7=2,V$5,IF(D7=3,W$5,IF(D7=4,X$5,IF(D7=5,Y$5,IF(D7=6,Z$5,IF(D7=7,AA$5,0)))))))</f>
        <v>2.1908757716049393E-4</v>
      </c>
      <c r="D7" s="920">
        <v>2</v>
      </c>
      <c r="E7" s="5427">
        <v>1</v>
      </c>
      <c r="F7" s="5427">
        <v>1</v>
      </c>
      <c r="G7" s="5427">
        <v>200</v>
      </c>
      <c r="H7" s="5427"/>
      <c r="I7" s="5424">
        <v>0</v>
      </c>
      <c r="J7" s="5424">
        <v>3.4722222222222224E-4</v>
      </c>
      <c r="K7" s="5423" t="s">
        <v>1422</v>
      </c>
      <c r="L7" s="5424">
        <f t="shared" ref="L7:L13" si="15">L6+N6</f>
        <v>0.35757383139187571</v>
      </c>
      <c r="M7" s="5423">
        <v>1.1499999999999999</v>
      </c>
      <c r="N7" s="5424">
        <f t="shared" si="1"/>
        <v>2.3628279320987663E-3</v>
      </c>
      <c r="O7" s="5425">
        <f t="shared" si="2"/>
        <v>1.7527006172839514E-3</v>
      </c>
      <c r="P7" s="5424">
        <f t="shared" si="3"/>
        <v>2.015605709876544E-3</v>
      </c>
      <c r="Q7" s="5426">
        <v>160</v>
      </c>
      <c r="R7" s="5427">
        <f t="shared" si="4"/>
        <v>200</v>
      </c>
      <c r="S7" s="1531">
        <f t="shared" si="5"/>
        <v>0.2</v>
      </c>
      <c r="T7" s="1532">
        <f t="shared" si="6"/>
        <v>7.0108024691358057E-3</v>
      </c>
      <c r="U7" s="1701">
        <f t="shared" si="7"/>
        <v>0</v>
      </c>
      <c r="V7" s="1702">
        <f t="shared" si="8"/>
        <v>0.2</v>
      </c>
      <c r="W7" s="1703">
        <f t="shared" si="9"/>
        <v>0</v>
      </c>
      <c r="X7" s="1704">
        <f t="shared" si="10"/>
        <v>0</v>
      </c>
      <c r="Y7" s="1705">
        <f t="shared" si="11"/>
        <v>0</v>
      </c>
      <c r="Z7" s="1706">
        <f t="shared" si="12"/>
        <v>0</v>
      </c>
      <c r="AA7" s="1707">
        <f t="shared" si="13"/>
        <v>0</v>
      </c>
      <c r="AB7" s="1522"/>
      <c r="AC7" s="1523"/>
      <c r="AD7" s="1524"/>
      <c r="AE7" s="1524"/>
      <c r="AF7" s="1524"/>
      <c r="AG7" s="1524"/>
      <c r="AH7" s="1524"/>
      <c r="AI7" s="1522"/>
      <c r="AJ7" s="1522"/>
      <c r="AK7" s="1522"/>
      <c r="AL7" s="1522"/>
      <c r="AM7" s="1522"/>
      <c r="AN7" s="1522"/>
    </row>
    <row r="8" spans="1:40" s="1525" customFormat="1" ht="15" customHeight="1" thickBot="1">
      <c r="A8" s="1757" t="s">
        <v>460</v>
      </c>
      <c r="B8" s="1757"/>
      <c r="C8" s="629">
        <f t="shared" si="14"/>
        <v>2.1222190799396687E-4</v>
      </c>
      <c r="D8" s="4794">
        <v>3</v>
      </c>
      <c r="E8" s="5428">
        <v>1</v>
      </c>
      <c r="F8" s="5428">
        <v>4</v>
      </c>
      <c r="G8" s="5428">
        <v>50</v>
      </c>
      <c r="H8" s="5428"/>
      <c r="I8" s="5429">
        <v>1.7361111111111112E-4</v>
      </c>
      <c r="J8" s="5429">
        <v>1.3888888888888889E-3</v>
      </c>
      <c r="K8" s="5430" t="s">
        <v>1423</v>
      </c>
      <c r="L8" s="5429">
        <f t="shared" si="15"/>
        <v>0.35993665932397445</v>
      </c>
      <c r="M8" s="5430">
        <v>1.1499999999999999</v>
      </c>
      <c r="N8" s="5429">
        <f t="shared" si="1"/>
        <v>4.0357748868778288E-3</v>
      </c>
      <c r="O8" s="5431">
        <f t="shared" si="2"/>
        <v>4.2444381598793373E-4</v>
      </c>
      <c r="P8" s="5429">
        <f t="shared" si="3"/>
        <v>4.8811038838612376E-4</v>
      </c>
      <c r="Q8" s="5432">
        <v>160</v>
      </c>
      <c r="R8" s="5428">
        <f t="shared" si="4"/>
        <v>200</v>
      </c>
      <c r="S8" s="1531">
        <f t="shared" si="5"/>
        <v>0.2</v>
      </c>
      <c r="T8" s="1532">
        <f t="shared" si="6"/>
        <v>6.7911010558069397E-3</v>
      </c>
      <c r="U8" s="1701">
        <f t="shared" si="7"/>
        <v>0</v>
      </c>
      <c r="V8" s="1702">
        <f t="shared" si="8"/>
        <v>0</v>
      </c>
      <c r="W8" s="1703">
        <f t="shared" si="9"/>
        <v>0.2</v>
      </c>
      <c r="X8" s="1704">
        <f t="shared" si="10"/>
        <v>0</v>
      </c>
      <c r="Y8" s="1705">
        <f t="shared" si="11"/>
        <v>0</v>
      </c>
      <c r="Z8" s="1706">
        <f t="shared" si="12"/>
        <v>0</v>
      </c>
      <c r="AA8" s="1707">
        <f t="shared" si="13"/>
        <v>0</v>
      </c>
      <c r="AB8" s="1522"/>
      <c r="AC8" s="1523"/>
      <c r="AD8" s="1524"/>
      <c r="AE8" s="1524"/>
      <c r="AF8" s="1524"/>
      <c r="AG8" s="1524"/>
      <c r="AH8" s="1524"/>
      <c r="AI8" s="1522"/>
      <c r="AJ8" s="1522"/>
      <c r="AK8" s="1522"/>
      <c r="AL8" s="1522"/>
      <c r="AM8" s="1522"/>
      <c r="AN8" s="1522"/>
    </row>
    <row r="9" spans="1:40" s="1525" customFormat="1" ht="15" customHeight="1" thickBot="1">
      <c r="A9" s="1757" t="s">
        <v>458</v>
      </c>
      <c r="B9" s="5488">
        <v>7</v>
      </c>
      <c r="C9" s="629">
        <f t="shared" si="14"/>
        <v>2.1908757716049393E-4</v>
      </c>
      <c r="D9" s="4794">
        <v>2</v>
      </c>
      <c r="E9" s="5433">
        <v>1</v>
      </c>
      <c r="F9" s="5427">
        <v>1</v>
      </c>
      <c r="G9" s="5427">
        <v>250</v>
      </c>
      <c r="H9" s="5427"/>
      <c r="I9" s="5424">
        <v>2.8935185185185189E-4</v>
      </c>
      <c r="J9" s="5424">
        <v>1.3888888888888889E-3</v>
      </c>
      <c r="K9" s="5423" t="s">
        <v>1424</v>
      </c>
      <c r="L9" s="5424">
        <f t="shared" si="15"/>
        <v>0.36397243421085229</v>
      </c>
      <c r="M9" s="5423">
        <v>1.1499999999999999</v>
      </c>
      <c r="N9" s="5424">
        <f t="shared" si="1"/>
        <v>4.1977478780864212E-3</v>
      </c>
      <c r="O9" s="5425">
        <f t="shared" si="2"/>
        <v>2.1908757716049393E-3</v>
      </c>
      <c r="P9" s="5424">
        <f t="shared" si="3"/>
        <v>2.5195071373456802E-3</v>
      </c>
      <c r="Q9" s="5426">
        <v>160</v>
      </c>
      <c r="R9" s="5427">
        <f t="shared" si="4"/>
        <v>250</v>
      </c>
      <c r="S9" s="1531">
        <f t="shared" si="5"/>
        <v>0.25</v>
      </c>
      <c r="T9" s="1532">
        <f t="shared" si="6"/>
        <v>8.7635030864197574E-3</v>
      </c>
      <c r="U9" s="1701">
        <f t="shared" si="7"/>
        <v>0</v>
      </c>
      <c r="V9" s="1702">
        <f t="shared" si="8"/>
        <v>0.25</v>
      </c>
      <c r="W9" s="1703">
        <f t="shared" si="9"/>
        <v>0</v>
      </c>
      <c r="X9" s="1704">
        <f t="shared" si="10"/>
        <v>0</v>
      </c>
      <c r="Y9" s="1705">
        <f t="shared" si="11"/>
        <v>0</v>
      </c>
      <c r="Z9" s="1706">
        <f t="shared" si="12"/>
        <v>0</v>
      </c>
      <c r="AA9" s="1707">
        <f t="shared" si="13"/>
        <v>0</v>
      </c>
      <c r="AB9" s="1522"/>
      <c r="AC9" s="1523"/>
      <c r="AD9" s="1524"/>
      <c r="AE9" s="1524"/>
      <c r="AF9" s="1524"/>
      <c r="AG9" s="1524"/>
      <c r="AH9" s="1524"/>
      <c r="AI9" s="1522"/>
      <c r="AJ9" s="1522"/>
      <c r="AK9" s="1522"/>
      <c r="AL9" s="1522"/>
      <c r="AM9" s="1522"/>
      <c r="AN9" s="1522"/>
    </row>
    <row r="10" spans="1:40" s="1525" customFormat="1" ht="15" customHeight="1" thickBot="1">
      <c r="A10" s="1757" t="s">
        <v>219</v>
      </c>
      <c r="B10" s="1757"/>
      <c r="C10" s="629">
        <f t="shared" si="14"/>
        <v>2.1222190799396687E-4</v>
      </c>
      <c r="D10" s="4794">
        <v>3</v>
      </c>
      <c r="E10" s="5434">
        <v>1</v>
      </c>
      <c r="F10" s="5434">
        <v>4</v>
      </c>
      <c r="G10" s="5428">
        <v>50</v>
      </c>
      <c r="H10" s="5428"/>
      <c r="I10" s="5429">
        <v>1.7361111111111112E-4</v>
      </c>
      <c r="J10" s="5429">
        <v>2.8935185185185189E-4</v>
      </c>
      <c r="K10" s="5430" t="s">
        <v>1423</v>
      </c>
      <c r="L10" s="5429">
        <f t="shared" si="15"/>
        <v>0.3681701820889387</v>
      </c>
      <c r="M10" s="5430">
        <v>1.1499999999999999</v>
      </c>
      <c r="N10" s="5429">
        <f t="shared" si="1"/>
        <v>2.9362378498407915E-3</v>
      </c>
      <c r="O10" s="5431">
        <f t="shared" si="2"/>
        <v>4.2444381598793373E-4</v>
      </c>
      <c r="P10" s="5429">
        <f t="shared" si="3"/>
        <v>4.8811038838612376E-4</v>
      </c>
      <c r="Q10" s="5432">
        <v>160</v>
      </c>
      <c r="R10" s="5428">
        <f t="shared" si="4"/>
        <v>200</v>
      </c>
      <c r="S10" s="1531">
        <f t="shared" si="5"/>
        <v>0.2</v>
      </c>
      <c r="T10" s="1532">
        <f t="shared" si="6"/>
        <v>6.7911010558069397E-3</v>
      </c>
      <c r="U10" s="1701">
        <f t="shared" si="7"/>
        <v>0</v>
      </c>
      <c r="V10" s="1702">
        <f t="shared" si="8"/>
        <v>0</v>
      </c>
      <c r="W10" s="1703">
        <f t="shared" si="9"/>
        <v>0.2</v>
      </c>
      <c r="X10" s="1704">
        <f t="shared" si="10"/>
        <v>0</v>
      </c>
      <c r="Y10" s="1705">
        <f t="shared" si="11"/>
        <v>0</v>
      </c>
      <c r="Z10" s="1706">
        <f t="shared" si="12"/>
        <v>0</v>
      </c>
      <c r="AA10" s="1707">
        <f t="shared" si="13"/>
        <v>0</v>
      </c>
      <c r="AB10" s="1522"/>
      <c r="AC10" s="1523"/>
      <c r="AD10" s="1524"/>
      <c r="AE10" s="1524"/>
      <c r="AF10" s="1524"/>
      <c r="AG10" s="1524"/>
      <c r="AH10" s="1524"/>
      <c r="AI10" s="1522"/>
      <c r="AJ10" s="1522"/>
      <c r="AK10" s="1522"/>
      <c r="AL10" s="1522"/>
      <c r="AM10" s="1522"/>
      <c r="AN10" s="1522"/>
    </row>
    <row r="11" spans="1:40" s="1525" customFormat="1" ht="15" customHeight="1" thickBot="1">
      <c r="A11" s="1757"/>
      <c r="B11" s="1757"/>
      <c r="C11" s="629">
        <f t="shared" si="14"/>
        <v>2.1222190799396687E-4</v>
      </c>
      <c r="D11" s="4794">
        <v>3</v>
      </c>
      <c r="E11" s="5433">
        <v>1</v>
      </c>
      <c r="F11" s="5427">
        <v>1</v>
      </c>
      <c r="G11" s="5427">
        <v>200</v>
      </c>
      <c r="H11" s="5427"/>
      <c r="I11" s="5424">
        <v>2.8935185185185189E-4</v>
      </c>
      <c r="J11" s="5424">
        <v>1.3888888888888889E-3</v>
      </c>
      <c r="K11" s="5423" t="s">
        <v>1162</v>
      </c>
      <c r="L11" s="5424">
        <f t="shared" si="15"/>
        <v>0.37110641993877952</v>
      </c>
      <c r="M11" s="5423">
        <v>1.1499999999999999</v>
      </c>
      <c r="N11" s="5424">
        <f t="shared" si="1"/>
        <v>3.6306822942852356E-3</v>
      </c>
      <c r="O11" s="5425">
        <f t="shared" si="2"/>
        <v>1.6977752639517349E-3</v>
      </c>
      <c r="P11" s="5424">
        <f t="shared" si="3"/>
        <v>1.952441553544495E-3</v>
      </c>
      <c r="Q11" s="5426">
        <v>160</v>
      </c>
      <c r="R11" s="5427">
        <f t="shared" si="4"/>
        <v>200</v>
      </c>
      <c r="S11" s="1531">
        <f t="shared" si="5"/>
        <v>0.2</v>
      </c>
      <c r="T11" s="1532">
        <f t="shared" si="6"/>
        <v>6.7911010558069397E-3</v>
      </c>
      <c r="U11" s="1701">
        <f t="shared" si="7"/>
        <v>0</v>
      </c>
      <c r="V11" s="1702">
        <f t="shared" si="8"/>
        <v>0</v>
      </c>
      <c r="W11" s="1703">
        <f t="shared" si="9"/>
        <v>0.2</v>
      </c>
      <c r="X11" s="1704">
        <f t="shared" si="10"/>
        <v>0</v>
      </c>
      <c r="Y11" s="1705">
        <f t="shared" si="11"/>
        <v>0</v>
      </c>
      <c r="Z11" s="1706">
        <f t="shared" si="12"/>
        <v>0</v>
      </c>
      <c r="AA11" s="1707">
        <f t="shared" si="13"/>
        <v>0</v>
      </c>
      <c r="AB11" s="1522"/>
      <c r="AC11" s="1523"/>
      <c r="AD11" s="1524"/>
      <c r="AE11" s="1524"/>
      <c r="AF11" s="1524"/>
      <c r="AG11" s="1524"/>
      <c r="AH11" s="1524"/>
      <c r="AI11" s="1522"/>
      <c r="AJ11" s="1522"/>
      <c r="AK11" s="1522"/>
      <c r="AL11" s="1522"/>
      <c r="AM11" s="1522"/>
      <c r="AN11" s="1522"/>
    </row>
    <row r="12" spans="1:40" s="1525" customFormat="1" ht="15" customHeight="1" thickBot="1">
      <c r="A12" s="1757"/>
      <c r="B12" s="1757"/>
      <c r="C12" s="629">
        <f t="shared" si="14"/>
        <v>1.8229166666666673E-4</v>
      </c>
      <c r="D12" s="2309">
        <v>6</v>
      </c>
      <c r="E12" s="4559">
        <v>1</v>
      </c>
      <c r="F12" s="4559">
        <v>1</v>
      </c>
      <c r="G12" s="4559">
        <v>100</v>
      </c>
      <c r="H12" s="4559"/>
      <c r="I12" s="4560">
        <v>3.4722222222222224E-4</v>
      </c>
      <c r="J12" s="4560">
        <v>6.9444444444444441E-3</v>
      </c>
      <c r="K12" s="4561" t="s">
        <v>2114</v>
      </c>
      <c r="L12" s="4560">
        <f>L11+N12</f>
        <v>0.37915016993877954</v>
      </c>
      <c r="M12" s="4562">
        <v>1.0900000000000001</v>
      </c>
      <c r="N12" s="4560">
        <f t="shared" ref="N12" si="16">P12*E12*F12+I12*E12*F12+J12*E12</f>
        <v>8.0437499999999988E-3</v>
      </c>
      <c r="O12" s="4563">
        <f>C12*(G12/25)</f>
        <v>7.2916666666666692E-4</v>
      </c>
      <c r="P12" s="4686">
        <f>I13+J13</f>
        <v>7.5208333333333323E-4</v>
      </c>
      <c r="Q12" s="4565">
        <v>177</v>
      </c>
      <c r="R12" s="4559">
        <f t="shared" si="4"/>
        <v>100</v>
      </c>
      <c r="S12" s="1531">
        <f t="shared" si="5"/>
        <v>0.1</v>
      </c>
      <c r="T12" s="1532">
        <f t="shared" si="6"/>
        <v>2.9166666666666677E-3</v>
      </c>
      <c r="U12" s="1701">
        <f t="shared" si="7"/>
        <v>0</v>
      </c>
      <c r="V12" s="1702">
        <f t="shared" si="8"/>
        <v>0</v>
      </c>
      <c r="W12" s="1703">
        <f t="shared" si="9"/>
        <v>0</v>
      </c>
      <c r="X12" s="1704">
        <f t="shared" si="10"/>
        <v>0</v>
      </c>
      <c r="Y12" s="1705">
        <f t="shared" si="11"/>
        <v>0</v>
      </c>
      <c r="Z12" s="1706">
        <f t="shared" si="12"/>
        <v>0.1</v>
      </c>
      <c r="AA12" s="1707">
        <f t="shared" si="13"/>
        <v>0</v>
      </c>
      <c r="AB12" s="1522"/>
      <c r="AC12" s="1523"/>
      <c r="AD12" s="1524"/>
      <c r="AE12" s="1524"/>
      <c r="AF12" s="1524"/>
      <c r="AG12" s="1524"/>
      <c r="AH12" s="1524"/>
      <c r="AI12" s="1522"/>
      <c r="AJ12" s="1522"/>
      <c r="AK12" s="1522"/>
      <c r="AL12" s="1522"/>
      <c r="AM12" s="1522"/>
      <c r="AN12" s="1522"/>
    </row>
    <row r="13" spans="1:40" s="1525" customFormat="1" ht="15" customHeight="1" thickBot="1">
      <c r="A13" s="1724"/>
      <c r="B13" s="1724"/>
      <c r="C13" s="629">
        <f t="shared" si="14"/>
        <v>0</v>
      </c>
      <c r="D13" s="920"/>
      <c r="E13" s="3275"/>
      <c r="F13" s="5445"/>
      <c r="G13" s="5445"/>
      <c r="H13" s="5446"/>
      <c r="I13" s="4686">
        <v>3.7499999999999995E-4</v>
      </c>
      <c r="J13" s="4686">
        <v>3.7708333333333327E-4</v>
      </c>
      <c r="K13" s="5445"/>
      <c r="L13" s="5448">
        <f t="shared" si="15"/>
        <v>0.38719391993877955</v>
      </c>
      <c r="M13" s="5449">
        <v>0.78</v>
      </c>
      <c r="N13" s="5450">
        <f>SUM(N6:N12)</f>
        <v>4.2503074455287018E-2</v>
      </c>
      <c r="O13" s="5450"/>
      <c r="P13" s="5451"/>
      <c r="Q13" s="5452"/>
      <c r="R13" s="5453">
        <f>SUM(R6:R12)</f>
        <v>2650</v>
      </c>
      <c r="S13" s="1531">
        <f t="shared" si="5"/>
        <v>0</v>
      </c>
      <c r="T13" s="1532">
        <f t="shared" si="6"/>
        <v>0</v>
      </c>
      <c r="U13" s="1701">
        <f t="shared" si="7"/>
        <v>0</v>
      </c>
      <c r="V13" s="1702">
        <f t="shared" si="8"/>
        <v>0</v>
      </c>
      <c r="W13" s="1703">
        <f t="shared" si="9"/>
        <v>0</v>
      </c>
      <c r="X13" s="1704">
        <f t="shared" si="10"/>
        <v>0</v>
      </c>
      <c r="Y13" s="1705">
        <f t="shared" si="11"/>
        <v>0</v>
      </c>
      <c r="Z13" s="1706">
        <f t="shared" si="12"/>
        <v>0</v>
      </c>
      <c r="AA13" s="1707">
        <f t="shared" si="13"/>
        <v>0</v>
      </c>
      <c r="AB13" s="1522"/>
      <c r="AC13" s="1523"/>
      <c r="AD13" s="1524"/>
      <c r="AE13" s="1524"/>
      <c r="AF13" s="1524"/>
      <c r="AG13" s="1524"/>
      <c r="AH13" s="1524"/>
      <c r="AI13" s="1522"/>
      <c r="AJ13" s="1522"/>
      <c r="AK13" s="1522"/>
      <c r="AL13" s="1522"/>
      <c r="AM13" s="1522"/>
      <c r="AN13" s="1522"/>
    </row>
    <row r="14" spans="1:40" s="1525" customFormat="1" ht="14" thickBot="1">
      <c r="A14" s="1724" t="s">
        <v>215</v>
      </c>
      <c r="B14" s="1724" t="s">
        <v>803</v>
      </c>
      <c r="C14" s="629">
        <f t="shared" si="14"/>
        <v>2.2880964381720439E-4</v>
      </c>
      <c r="D14" s="1792">
        <v>1</v>
      </c>
      <c r="E14" s="1726">
        <v>1</v>
      </c>
      <c r="F14" s="1726">
        <v>12</v>
      </c>
      <c r="G14" s="1726">
        <v>25</v>
      </c>
      <c r="H14" s="1528"/>
      <c r="I14" s="1528">
        <v>0</v>
      </c>
      <c r="J14" s="1528">
        <v>1.1574074074074073E-4</v>
      </c>
      <c r="K14" s="1529" t="s">
        <v>706</v>
      </c>
      <c r="L14" s="1730">
        <v>0.79166666666666663</v>
      </c>
      <c r="M14" s="1758">
        <v>1</v>
      </c>
      <c r="N14" s="1528">
        <f t="shared" ref="N14:N19" si="17">P14*E14*F14+I14*E14*F14+J14*E14</f>
        <v>2.8614564665471937E-3</v>
      </c>
      <c r="O14" s="1528">
        <f t="shared" ref="O14:O28" si="18">C14*(G14/25)</f>
        <v>2.2880964381720439E-4</v>
      </c>
      <c r="P14" s="1727">
        <f t="shared" ref="P14:P19" si="19">O14*M14</f>
        <v>2.2880964381720439E-4</v>
      </c>
      <c r="Q14" s="1759">
        <v>120</v>
      </c>
      <c r="R14" s="1726">
        <f t="shared" ref="R14:R19" si="20">E14*F14*G14</f>
        <v>300</v>
      </c>
      <c r="S14" s="1531">
        <f>E14*F14*G14/1000</f>
        <v>0.3</v>
      </c>
      <c r="T14" s="1532">
        <f>E14*F14*O14*4</f>
        <v>1.0982862903225811E-2</v>
      </c>
      <c r="U14" s="1701">
        <f>IF(C14*4&gt;=$U$4,S14,0)</f>
        <v>0.3</v>
      </c>
      <c r="V14" s="1702">
        <f>IF(AND(C14*4&gt;=$V$4,C14*4&lt;$U$4),S14,0)</f>
        <v>0</v>
      </c>
      <c r="W14" s="1703">
        <f>IF(AND(C14*4&gt;=$W$4,C14*4&lt;$V$4),S14,0)</f>
        <v>0</v>
      </c>
      <c r="X14" s="1704">
        <f>IF(AND(C14*4&gt;=$X$4,C14*4&lt;$W$4),S14,0)</f>
        <v>0</v>
      </c>
      <c r="Y14" s="1705">
        <f>IF(AND(C14*4&gt;=$Y$4,C14*4&lt;$X$4),S14,0)</f>
        <v>0</v>
      </c>
      <c r="Z14" s="1706">
        <f>IF(AND(C14*4&gt;=$Z$4,C14*4&lt;$Y$4),S14,0)</f>
        <v>0</v>
      </c>
      <c r="AA14" s="1707">
        <f>IF(AND(C14*4&gt;=$AA$4,C14*4&lt;$Z$4),S14,0)</f>
        <v>0</v>
      </c>
      <c r="AB14" s="1522"/>
      <c r="AC14" s="1523"/>
      <c r="AD14" s="1524"/>
      <c r="AE14" s="1524"/>
      <c r="AF14" s="1524"/>
      <c r="AG14" s="1524"/>
      <c r="AH14" s="1524"/>
      <c r="AI14" s="1522"/>
      <c r="AJ14" s="1522"/>
      <c r="AK14" s="1522"/>
      <c r="AL14" s="1522"/>
      <c r="AM14" s="1522"/>
      <c r="AN14" s="1522"/>
    </row>
    <row r="15" spans="1:40" s="1525" customFormat="1" ht="14" thickBot="1">
      <c r="A15" s="1724" t="s">
        <v>138</v>
      </c>
      <c r="B15" s="5489">
        <v>6</v>
      </c>
      <c r="C15" s="629">
        <f t="shared" si="14"/>
        <v>1.8933937422552669E-4</v>
      </c>
      <c r="D15" s="1793">
        <v>5</v>
      </c>
      <c r="E15" s="1713">
        <v>6</v>
      </c>
      <c r="F15" s="1713">
        <v>1</v>
      </c>
      <c r="G15" s="1713">
        <v>75</v>
      </c>
      <c r="H15" s="1714"/>
      <c r="I15" s="1714">
        <v>5.7870370370370366E-5</v>
      </c>
      <c r="J15" s="1714">
        <v>6.9444444444444447E-4</v>
      </c>
      <c r="K15" s="1715" t="s">
        <v>1200</v>
      </c>
      <c r="L15" s="1716">
        <f t="shared" ref="L15:L19" si="21">L14+N14</f>
        <v>0.79452812313321386</v>
      </c>
      <c r="M15" s="1761">
        <v>1</v>
      </c>
      <c r="N15" s="1714">
        <f t="shared" si="17"/>
        <v>7.9219976249483692E-3</v>
      </c>
      <c r="O15" s="1714">
        <f t="shared" si="18"/>
        <v>5.6801812267658004E-4</v>
      </c>
      <c r="P15" s="1717">
        <f t="shared" si="19"/>
        <v>5.6801812267658004E-4</v>
      </c>
      <c r="Q15" s="1713">
        <v>146</v>
      </c>
      <c r="R15" s="1713">
        <f t="shared" si="20"/>
        <v>450</v>
      </c>
      <c r="S15" s="1531">
        <f t="shared" ref="S15:S56" si="22">E15*F15*G15/1000</f>
        <v>0.45</v>
      </c>
      <c r="T15" s="1532">
        <f t="shared" ref="T15:T56" si="23">E15*F15*O15*4</f>
        <v>1.3632434944237921E-2</v>
      </c>
      <c r="U15" s="1701">
        <f t="shared" ref="U15:U41" si="24">IF(C15*4&gt;=$U$4,S15,0)</f>
        <v>0</v>
      </c>
      <c r="V15" s="1702">
        <f t="shared" ref="V15:V41" si="25">IF(AND(C15*4&gt;=$V$4,C15*4&lt;$U$4),S15,0)</f>
        <v>0</v>
      </c>
      <c r="W15" s="1703">
        <f t="shared" ref="W15:W41" si="26">IF(AND(C15*4&gt;=$W$4,C15*4&lt;$V$4),S15,0)</f>
        <v>0</v>
      </c>
      <c r="X15" s="1704">
        <f t="shared" ref="X15:X41" si="27">IF(AND(C15*4&gt;=$X$4,C15*4&lt;$W$4),S15,0)</f>
        <v>0</v>
      </c>
      <c r="Y15" s="1705">
        <f t="shared" ref="Y15:Y41" si="28">IF(AND(C15*4&gt;=$Y$4,C15*4&lt;$X$4),S15,0)</f>
        <v>0.45</v>
      </c>
      <c r="Z15" s="1706">
        <f t="shared" ref="Z15:Z41" si="29">IF(AND(C15*4&gt;=$Z$4,C15*4&lt;$Y$4),S15,0)</f>
        <v>0</v>
      </c>
      <c r="AA15" s="1707">
        <f t="shared" ref="AA15:AA41" si="30">IF(AND(C15*4&gt;=$AA$4,C15*4&lt;$Z$4),S15,0)</f>
        <v>0</v>
      </c>
      <c r="AB15" s="1522"/>
      <c r="AC15" s="1523"/>
      <c r="AD15" s="1524"/>
      <c r="AE15" s="1524"/>
      <c r="AF15" s="1524"/>
      <c r="AG15" s="1524"/>
      <c r="AH15" s="1524"/>
      <c r="AI15" s="1522"/>
      <c r="AJ15" s="1522"/>
      <c r="AK15" s="1522"/>
      <c r="AL15" s="1522"/>
      <c r="AM15" s="1522"/>
      <c r="AN15" s="1522"/>
    </row>
    <row r="16" spans="1:40" s="1525" customFormat="1" ht="14" thickBot="1">
      <c r="A16" s="1724" t="s">
        <v>462</v>
      </c>
      <c r="B16" s="1724" t="s">
        <v>803</v>
      </c>
      <c r="C16" s="629">
        <f t="shared" si="14"/>
        <v>2.1222190799396687E-4</v>
      </c>
      <c r="D16" s="1797">
        <v>3</v>
      </c>
      <c r="E16" s="1696">
        <v>1</v>
      </c>
      <c r="F16" s="1696">
        <v>12</v>
      </c>
      <c r="G16" s="1696">
        <v>25</v>
      </c>
      <c r="H16" s="1697"/>
      <c r="I16" s="1697">
        <v>2.8935185185185189E-4</v>
      </c>
      <c r="J16" s="1697">
        <v>1.3888888888888889E-3</v>
      </c>
      <c r="K16" s="1729" t="s">
        <v>1201</v>
      </c>
      <c r="L16" s="1699">
        <f t="shared" si="21"/>
        <v>0.80245012075816224</v>
      </c>
      <c r="M16" s="1778">
        <v>1</v>
      </c>
      <c r="N16" s="1697">
        <f>P16*E16*F16+I16*E16*F16+J16*E16</f>
        <v>7.407774007038714E-3</v>
      </c>
      <c r="O16" s="1700">
        <f t="shared" si="18"/>
        <v>2.1222190799396687E-4</v>
      </c>
      <c r="P16" s="1700">
        <f t="shared" si="19"/>
        <v>2.1222190799396687E-4</v>
      </c>
      <c r="Q16" s="1779">
        <v>164</v>
      </c>
      <c r="R16" s="1696">
        <f t="shared" si="20"/>
        <v>300</v>
      </c>
      <c r="S16" s="1531">
        <f t="shared" si="22"/>
        <v>0.3</v>
      </c>
      <c r="T16" s="1532">
        <f t="shared" si="23"/>
        <v>1.018665158371041E-2</v>
      </c>
      <c r="U16" s="1701">
        <f t="shared" si="24"/>
        <v>0</v>
      </c>
      <c r="V16" s="1702">
        <f t="shared" si="25"/>
        <v>0</v>
      </c>
      <c r="W16" s="1703">
        <f t="shared" si="26"/>
        <v>0.3</v>
      </c>
      <c r="X16" s="1704">
        <f t="shared" si="27"/>
        <v>0</v>
      </c>
      <c r="Y16" s="1705">
        <f t="shared" si="28"/>
        <v>0</v>
      </c>
      <c r="Z16" s="1706">
        <f t="shared" si="29"/>
        <v>0</v>
      </c>
      <c r="AA16" s="1707">
        <f t="shared" si="30"/>
        <v>0</v>
      </c>
      <c r="AB16" s="1522"/>
      <c r="AC16" s="1523"/>
      <c r="AD16" s="1524"/>
      <c r="AE16" s="1524"/>
      <c r="AF16" s="1524"/>
      <c r="AG16" s="1524"/>
      <c r="AH16" s="1524"/>
      <c r="AI16" s="1522"/>
      <c r="AJ16" s="1522"/>
      <c r="AK16" s="1522"/>
      <c r="AL16" s="1522"/>
      <c r="AM16" s="1522"/>
      <c r="AN16" s="1522"/>
    </row>
    <row r="17" spans="1:40" s="1525" customFormat="1" ht="14" thickBot="1">
      <c r="A17" s="1724" t="s">
        <v>461</v>
      </c>
      <c r="B17" s="1724" t="s">
        <v>803</v>
      </c>
      <c r="C17" s="629">
        <f t="shared" si="14"/>
        <v>1.8229166666666673E-4</v>
      </c>
      <c r="D17" s="2309">
        <v>6</v>
      </c>
      <c r="E17" s="4559">
        <v>1</v>
      </c>
      <c r="F17" s="4559">
        <v>1</v>
      </c>
      <c r="G17" s="4559">
        <v>100</v>
      </c>
      <c r="H17" s="4559"/>
      <c r="I17" s="4560">
        <v>3.4722222222222224E-4</v>
      </c>
      <c r="J17" s="4560">
        <v>6.9444444444444441E-3</v>
      </c>
      <c r="K17" s="4561" t="s">
        <v>2115</v>
      </c>
      <c r="L17" s="4560">
        <f>L16+N17</f>
        <v>0.8104730374248289</v>
      </c>
      <c r="M17" s="4562">
        <v>1.0900000000000001</v>
      </c>
      <c r="N17" s="4560">
        <f t="shared" ref="N17" si="31">P17*E17*F17+I17*E17*F17+J17*E17</f>
        <v>8.022916666666666E-3</v>
      </c>
      <c r="O17" s="4563">
        <f>C17*(G17/25)</f>
        <v>7.2916666666666692E-4</v>
      </c>
      <c r="P17" s="4686">
        <f>I20+J20</f>
        <v>7.3124999999999991E-4</v>
      </c>
      <c r="Q17" s="4565">
        <v>177</v>
      </c>
      <c r="R17" s="4559">
        <f t="shared" si="20"/>
        <v>100</v>
      </c>
      <c r="S17" s="1531">
        <f t="shared" si="22"/>
        <v>0.1</v>
      </c>
      <c r="T17" s="1532">
        <f t="shared" si="23"/>
        <v>2.9166666666666677E-3</v>
      </c>
      <c r="U17" s="1701">
        <f t="shared" si="24"/>
        <v>0</v>
      </c>
      <c r="V17" s="1702">
        <f t="shared" si="25"/>
        <v>0</v>
      </c>
      <c r="W17" s="1703">
        <f t="shared" si="26"/>
        <v>0</v>
      </c>
      <c r="X17" s="1704">
        <f t="shared" si="27"/>
        <v>0</v>
      </c>
      <c r="Y17" s="1705">
        <f t="shared" si="28"/>
        <v>0</v>
      </c>
      <c r="Z17" s="1706">
        <f t="shared" si="29"/>
        <v>0.1</v>
      </c>
      <c r="AA17" s="1707">
        <f t="shared" si="30"/>
        <v>0</v>
      </c>
      <c r="AB17" s="1522"/>
      <c r="AC17" s="1523"/>
      <c r="AD17" s="1524"/>
      <c r="AE17" s="1524"/>
      <c r="AF17" s="1524"/>
      <c r="AG17" s="1524"/>
      <c r="AH17" s="1524"/>
      <c r="AI17" s="1522"/>
      <c r="AJ17" s="1522"/>
      <c r="AK17" s="1522"/>
      <c r="AL17" s="1522"/>
      <c r="AM17" s="1522"/>
      <c r="AN17" s="1522"/>
    </row>
    <row r="18" spans="1:40" s="1525" customFormat="1" ht="14" thickBot="1">
      <c r="A18" s="1724" t="s">
        <v>458</v>
      </c>
      <c r="B18" s="1724" t="s">
        <v>803</v>
      </c>
      <c r="C18" s="629">
        <f t="shared" si="14"/>
        <v>1.7682291666666674E-4</v>
      </c>
      <c r="D18" s="1794">
        <v>7</v>
      </c>
      <c r="E18" s="1766">
        <v>1</v>
      </c>
      <c r="F18" s="1766">
        <v>16</v>
      </c>
      <c r="G18" s="1766">
        <v>25</v>
      </c>
      <c r="H18" s="1540"/>
      <c r="I18" s="1540">
        <v>4.6296296296296293E-4</v>
      </c>
      <c r="J18" s="1540">
        <v>6.9444444444444447E-4</v>
      </c>
      <c r="K18" s="1767" t="s">
        <v>284</v>
      </c>
      <c r="L18" s="1708">
        <f t="shared" si="21"/>
        <v>0.81849595409149556</v>
      </c>
      <c r="M18" s="1763">
        <v>0.85</v>
      </c>
      <c r="N18" s="1540">
        <f t="shared" si="17"/>
        <v>1.0506643518518518E-2</v>
      </c>
      <c r="O18" s="1541">
        <f t="shared" si="18"/>
        <v>1.7682291666666674E-4</v>
      </c>
      <c r="P18" s="1709">
        <f t="shared" si="19"/>
        <v>1.5029947916666672E-4</v>
      </c>
      <c r="Q18" s="1768">
        <v>170</v>
      </c>
      <c r="R18" s="1765">
        <f t="shared" si="20"/>
        <v>400</v>
      </c>
      <c r="S18" s="1531">
        <f t="shared" si="22"/>
        <v>0.4</v>
      </c>
      <c r="T18" s="1532">
        <f t="shared" si="23"/>
        <v>1.1316666666666671E-2</v>
      </c>
      <c r="U18" s="1701">
        <f t="shared" si="24"/>
        <v>0</v>
      </c>
      <c r="V18" s="1702">
        <f t="shared" si="25"/>
        <v>0</v>
      </c>
      <c r="W18" s="1703">
        <f t="shared" si="26"/>
        <v>0</v>
      </c>
      <c r="X18" s="1704">
        <f t="shared" si="27"/>
        <v>0</v>
      </c>
      <c r="Y18" s="1705">
        <f t="shared" si="28"/>
        <v>0</v>
      </c>
      <c r="Z18" s="1706">
        <f t="shared" si="29"/>
        <v>0</v>
      </c>
      <c r="AA18" s="1707">
        <f t="shared" si="30"/>
        <v>0.4</v>
      </c>
      <c r="AB18" s="1522"/>
      <c r="AC18" s="1523"/>
      <c r="AD18" s="1524"/>
      <c r="AE18" s="1524"/>
      <c r="AF18" s="1524"/>
      <c r="AG18" s="1524"/>
      <c r="AH18" s="1524"/>
      <c r="AI18" s="1522"/>
      <c r="AJ18" s="1522"/>
      <c r="AK18" s="1522"/>
      <c r="AL18" s="1522"/>
      <c r="AM18" s="1522"/>
      <c r="AN18" s="1522"/>
    </row>
    <row r="19" spans="1:40" s="1525" customFormat="1" ht="14" thickBot="1">
      <c r="A19" s="1724" t="s">
        <v>219</v>
      </c>
      <c r="B19" s="1724"/>
      <c r="C19" s="629">
        <f t="shared" si="14"/>
        <v>1.7682291666666674E-4</v>
      </c>
      <c r="D19" s="1794">
        <v>7</v>
      </c>
      <c r="E19" s="1766">
        <v>1</v>
      </c>
      <c r="F19" s="1766">
        <v>6</v>
      </c>
      <c r="G19" s="1766">
        <v>20</v>
      </c>
      <c r="H19" s="1540"/>
      <c r="I19" s="1540">
        <v>4.6296296296296293E-4</v>
      </c>
      <c r="J19" s="1540">
        <v>6.9444444444444447E-4</v>
      </c>
      <c r="K19" s="1767" t="s">
        <v>413</v>
      </c>
      <c r="L19" s="1708">
        <f t="shared" si="21"/>
        <v>0.82900259761001405</v>
      </c>
      <c r="M19" s="1763">
        <v>1.85</v>
      </c>
      <c r="N19" s="1540">
        <f t="shared" si="17"/>
        <v>5.0424097222222233E-3</v>
      </c>
      <c r="O19" s="1541">
        <f t="shared" si="18"/>
        <v>1.4145833333333339E-4</v>
      </c>
      <c r="P19" s="1709">
        <f t="shared" si="19"/>
        <v>2.6169791666666681E-4</v>
      </c>
      <c r="Q19" s="1768">
        <v>171</v>
      </c>
      <c r="R19" s="1765">
        <f t="shared" si="20"/>
        <v>120</v>
      </c>
      <c r="S19" s="1531">
        <f t="shared" si="22"/>
        <v>0.12</v>
      </c>
      <c r="T19" s="1532">
        <f t="shared" si="23"/>
        <v>3.3950000000000013E-3</v>
      </c>
      <c r="U19" s="1701">
        <f t="shared" si="24"/>
        <v>0</v>
      </c>
      <c r="V19" s="1702">
        <f t="shared" si="25"/>
        <v>0</v>
      </c>
      <c r="W19" s="1703">
        <f t="shared" si="26"/>
        <v>0</v>
      </c>
      <c r="X19" s="1704">
        <f t="shared" si="27"/>
        <v>0</v>
      </c>
      <c r="Y19" s="1705">
        <f t="shared" si="28"/>
        <v>0</v>
      </c>
      <c r="Z19" s="1706">
        <f t="shared" si="29"/>
        <v>0</v>
      </c>
      <c r="AA19" s="1707">
        <f t="shared" si="30"/>
        <v>0.12</v>
      </c>
      <c r="AB19" s="1522"/>
      <c r="AC19" s="1523"/>
      <c r="AD19" s="1524"/>
      <c r="AE19" s="1524"/>
      <c r="AF19" s="1524"/>
      <c r="AG19" s="1524"/>
      <c r="AH19" s="1524"/>
      <c r="AI19" s="1522"/>
      <c r="AJ19" s="1522"/>
      <c r="AK19" s="1522"/>
      <c r="AL19" s="1522"/>
      <c r="AM19" s="1522"/>
      <c r="AN19" s="1522"/>
    </row>
    <row r="20" spans="1:40" s="1525" customFormat="1" ht="14" thickBot="1">
      <c r="A20" s="1724"/>
      <c r="B20" s="1724"/>
      <c r="C20" s="629">
        <f t="shared" si="14"/>
        <v>0</v>
      </c>
      <c r="D20" s="1795"/>
      <c r="E20" s="1770"/>
      <c r="F20" s="1770"/>
      <c r="G20" s="1770"/>
      <c r="H20" s="1770"/>
      <c r="I20" s="4686">
        <v>3.5416666666666669E-4</v>
      </c>
      <c r="J20" s="4686">
        <v>3.7708333333333327E-4</v>
      </c>
      <c r="K20" s="1771"/>
      <c r="L20" s="1772">
        <f>L19+N19</f>
        <v>0.8340450073322363</v>
      </c>
      <c r="M20" s="1773"/>
      <c r="N20" s="1771">
        <f>SUM(N14:N19)</f>
        <v>4.1763198005941679E-2</v>
      </c>
      <c r="O20" s="1774">
        <f t="shared" si="18"/>
        <v>0</v>
      </c>
      <c r="P20" s="1774"/>
      <c r="Q20" s="1774"/>
      <c r="R20" s="1775">
        <f>SUM(R14:R19)</f>
        <v>1670</v>
      </c>
      <c r="S20" s="1531">
        <f t="shared" si="22"/>
        <v>0</v>
      </c>
      <c r="T20" s="1532">
        <f t="shared" si="23"/>
        <v>0</v>
      </c>
      <c r="U20" s="1701">
        <f t="shared" si="24"/>
        <v>0</v>
      </c>
      <c r="V20" s="1702">
        <f t="shared" si="25"/>
        <v>0</v>
      </c>
      <c r="W20" s="1703">
        <f t="shared" si="26"/>
        <v>0</v>
      </c>
      <c r="X20" s="1704">
        <f t="shared" si="27"/>
        <v>0</v>
      </c>
      <c r="Y20" s="1705">
        <f t="shared" si="28"/>
        <v>0</v>
      </c>
      <c r="Z20" s="1706">
        <f t="shared" si="29"/>
        <v>0</v>
      </c>
      <c r="AA20" s="1707">
        <f t="shared" si="30"/>
        <v>0</v>
      </c>
      <c r="AB20" s="1522"/>
      <c r="AC20" s="1523"/>
      <c r="AD20" s="1524"/>
      <c r="AE20" s="1524"/>
      <c r="AF20" s="1524"/>
      <c r="AG20" s="1524"/>
      <c r="AH20" s="1524"/>
      <c r="AI20" s="1522"/>
      <c r="AJ20" s="1522"/>
      <c r="AK20" s="1522"/>
      <c r="AL20" s="1522"/>
      <c r="AM20" s="1522"/>
      <c r="AN20" s="1522"/>
    </row>
    <row r="21" spans="1:40" s="1525" customFormat="1" ht="20" customHeight="1" thickBot="1">
      <c r="A21" s="2133"/>
      <c r="B21" s="2133"/>
      <c r="C21" s="629">
        <f t="shared" si="14"/>
        <v>0</v>
      </c>
      <c r="D21" s="2134"/>
      <c r="E21" s="1747" t="s">
        <v>1956</v>
      </c>
      <c r="F21" s="1748"/>
      <c r="G21" s="1748"/>
      <c r="H21" s="1746"/>
      <c r="I21" s="1749"/>
      <c r="J21" s="2135"/>
      <c r="K21" s="1751" t="s">
        <v>1199</v>
      </c>
      <c r="L21" s="2137"/>
      <c r="M21" s="2138"/>
      <c r="N21" s="2136"/>
      <c r="O21" s="2139"/>
      <c r="P21" s="2139"/>
      <c r="Q21" s="2139"/>
      <c r="R21" s="2140"/>
      <c r="S21" s="1531" t="e">
        <f t="shared" si="22"/>
        <v>#VALUE!</v>
      </c>
      <c r="T21" s="1532" t="e">
        <f t="shared" si="23"/>
        <v>#VALUE!</v>
      </c>
      <c r="U21" s="1701">
        <f t="shared" si="24"/>
        <v>0</v>
      </c>
      <c r="V21" s="1702">
        <f t="shared" si="25"/>
        <v>0</v>
      </c>
      <c r="W21" s="1703">
        <f t="shared" si="26"/>
        <v>0</v>
      </c>
      <c r="X21" s="1704">
        <f t="shared" si="27"/>
        <v>0</v>
      </c>
      <c r="Y21" s="1705">
        <f t="shared" si="28"/>
        <v>0</v>
      </c>
      <c r="Z21" s="1706">
        <f t="shared" si="29"/>
        <v>0</v>
      </c>
      <c r="AA21" s="1707">
        <f t="shared" si="30"/>
        <v>0</v>
      </c>
      <c r="AB21" s="1522"/>
      <c r="AC21" s="1523"/>
      <c r="AD21" s="1524"/>
      <c r="AE21" s="1524"/>
      <c r="AF21" s="1524"/>
      <c r="AG21" s="1524"/>
      <c r="AH21" s="1524"/>
      <c r="AI21" s="1522"/>
      <c r="AJ21" s="1522"/>
      <c r="AK21" s="1522"/>
      <c r="AL21" s="1522"/>
      <c r="AM21" s="1522"/>
      <c r="AN21" s="1522"/>
    </row>
    <row r="22" spans="1:40" s="1525" customFormat="1" ht="14" thickBot="1">
      <c r="A22" s="1757" t="s">
        <v>215</v>
      </c>
      <c r="B22" s="1757"/>
      <c r="C22" s="629">
        <f t="shared" si="14"/>
        <v>2.2880964381720439E-4</v>
      </c>
      <c r="D22" s="1792">
        <v>1</v>
      </c>
      <c r="E22" s="1726">
        <v>1</v>
      </c>
      <c r="F22" s="1726">
        <v>2</v>
      </c>
      <c r="G22" s="1726">
        <v>300</v>
      </c>
      <c r="H22" s="1528"/>
      <c r="I22" s="1528">
        <v>1.1574074074074073E-4</v>
      </c>
      <c r="J22" s="1528">
        <v>1.3888888888888889E-3</v>
      </c>
      <c r="K22" s="1529" t="s">
        <v>762</v>
      </c>
      <c r="L22" s="1730">
        <v>0.79166666666666663</v>
      </c>
      <c r="M22" s="1758">
        <v>0.9</v>
      </c>
      <c r="N22" s="1528">
        <f>P22*E22*F22+I22*E22*F22+J22*E22</f>
        <v>6.5626586768219863E-3</v>
      </c>
      <c r="O22" s="1727">
        <f t="shared" si="18"/>
        <v>2.7457157258064528E-3</v>
      </c>
      <c r="P22" s="1727">
        <f t="shared" ref="P22:P27" si="32">O22*M22</f>
        <v>2.4711441532258077E-3</v>
      </c>
      <c r="Q22" s="1759">
        <v>129</v>
      </c>
      <c r="R22" s="1726">
        <f t="shared" ref="R22:R27" si="33">E22*F22*G22</f>
        <v>600</v>
      </c>
      <c r="S22" s="1531">
        <f t="shared" si="22"/>
        <v>0.6</v>
      </c>
      <c r="T22" s="1532">
        <f t="shared" si="23"/>
        <v>2.1965725806451623E-2</v>
      </c>
      <c r="U22" s="1701">
        <f t="shared" si="24"/>
        <v>0.6</v>
      </c>
      <c r="V22" s="1702">
        <f t="shared" si="25"/>
        <v>0</v>
      </c>
      <c r="W22" s="1703">
        <f t="shared" si="26"/>
        <v>0</v>
      </c>
      <c r="X22" s="1704">
        <f t="shared" si="27"/>
        <v>0</v>
      </c>
      <c r="Y22" s="1705">
        <f t="shared" si="28"/>
        <v>0</v>
      </c>
      <c r="Z22" s="1706">
        <f t="shared" si="29"/>
        <v>0</v>
      </c>
      <c r="AA22" s="1707">
        <f t="shared" si="30"/>
        <v>0</v>
      </c>
      <c r="AB22" s="1522"/>
      <c r="AC22" s="1523"/>
      <c r="AD22" s="1524"/>
      <c r="AE22" s="1524"/>
      <c r="AF22" s="1524"/>
      <c r="AG22" s="1524"/>
      <c r="AH22" s="1524"/>
      <c r="AI22" s="1522"/>
      <c r="AJ22" s="1522"/>
      <c r="AK22" s="1522"/>
      <c r="AL22" s="1522"/>
      <c r="AM22" s="1522"/>
      <c r="AN22" s="1522"/>
    </row>
    <row r="23" spans="1:40" s="1525" customFormat="1" ht="14" thickBot="1">
      <c r="A23" s="1757" t="s">
        <v>139</v>
      </c>
      <c r="B23" s="1757" t="s">
        <v>803</v>
      </c>
      <c r="C23" s="629">
        <f t="shared" si="14"/>
        <v>2.1908757716049393E-4</v>
      </c>
      <c r="D23" s="1796">
        <v>2</v>
      </c>
      <c r="E23" s="1710">
        <v>1</v>
      </c>
      <c r="F23" s="1710">
        <v>1</v>
      </c>
      <c r="G23" s="1710">
        <v>400</v>
      </c>
      <c r="H23" s="1535">
        <v>5.5555555555555558E-3</v>
      </c>
      <c r="I23" s="1535"/>
      <c r="J23" s="1535">
        <v>1.3888888888888889E-3</v>
      </c>
      <c r="K23" s="1536" t="s">
        <v>703</v>
      </c>
      <c r="L23" s="1728">
        <f t="shared" ref="L23:L33" si="34">L22+N22</f>
        <v>0.79822932534348867</v>
      </c>
      <c r="M23" s="1776">
        <v>1</v>
      </c>
      <c r="N23" s="1535">
        <f>H23*F23*E23</f>
        <v>5.5555555555555558E-3</v>
      </c>
      <c r="O23" s="1711">
        <f t="shared" si="18"/>
        <v>3.5054012345679029E-3</v>
      </c>
      <c r="P23" s="1711">
        <f t="shared" si="32"/>
        <v>3.5054012345679029E-3</v>
      </c>
      <c r="Q23" s="1777">
        <v>146</v>
      </c>
      <c r="R23" s="1712">
        <f t="shared" si="33"/>
        <v>400</v>
      </c>
      <c r="S23" s="1531">
        <f t="shared" si="22"/>
        <v>0.4</v>
      </c>
      <c r="T23" s="1532">
        <f t="shared" si="23"/>
        <v>1.4021604938271611E-2</v>
      </c>
      <c r="U23" s="1701">
        <f t="shared" si="24"/>
        <v>0</v>
      </c>
      <c r="V23" s="1702">
        <f t="shared" si="25"/>
        <v>0.4</v>
      </c>
      <c r="W23" s="1703">
        <f t="shared" si="26"/>
        <v>0</v>
      </c>
      <c r="X23" s="1704">
        <f t="shared" si="27"/>
        <v>0</v>
      </c>
      <c r="Y23" s="1705">
        <f t="shared" si="28"/>
        <v>0</v>
      </c>
      <c r="Z23" s="1706">
        <f t="shared" si="29"/>
        <v>0</v>
      </c>
      <c r="AA23" s="1707">
        <f t="shared" si="30"/>
        <v>0</v>
      </c>
      <c r="AB23" s="1522"/>
      <c r="AC23" s="1523"/>
      <c r="AD23" s="1524"/>
      <c r="AE23" s="1524"/>
      <c r="AF23" s="1524"/>
      <c r="AG23" s="1524"/>
      <c r="AH23" s="1524"/>
      <c r="AI23" s="1522"/>
      <c r="AJ23" s="1522"/>
      <c r="AK23" s="1522"/>
      <c r="AL23" s="1522"/>
      <c r="AM23" s="1522"/>
      <c r="AN23" s="1522"/>
    </row>
    <row r="24" spans="1:40" s="1525" customFormat="1" ht="14" thickBot="1">
      <c r="A24" s="1757" t="s">
        <v>458</v>
      </c>
      <c r="B24" s="1757" t="s">
        <v>803</v>
      </c>
      <c r="C24" s="629">
        <f t="shared" si="14"/>
        <v>1.8933937422552669E-4</v>
      </c>
      <c r="D24" s="1793">
        <v>5</v>
      </c>
      <c r="E24" s="1713">
        <v>2</v>
      </c>
      <c r="F24" s="1713">
        <v>1</v>
      </c>
      <c r="G24" s="1713">
        <v>30</v>
      </c>
      <c r="H24" s="1714"/>
      <c r="I24" s="1714">
        <v>0</v>
      </c>
      <c r="J24" s="1714">
        <v>3.472222222222222E-3</v>
      </c>
      <c r="K24" s="1715" t="s">
        <v>1202</v>
      </c>
      <c r="L24" s="1716">
        <f t="shared" si="34"/>
        <v>0.80378488089904421</v>
      </c>
      <c r="M24" s="1761">
        <v>1</v>
      </c>
      <c r="N24" s="1714">
        <f>P24*E24*F24+I24*E24*F24+J24*E24</f>
        <v>7.3988589425857077E-3</v>
      </c>
      <c r="O24" s="1717">
        <f t="shared" si="18"/>
        <v>2.2720724907063201E-4</v>
      </c>
      <c r="P24" s="1718">
        <f t="shared" si="32"/>
        <v>2.2720724907063201E-4</v>
      </c>
      <c r="Q24" s="1719" t="s">
        <v>278</v>
      </c>
      <c r="R24" s="1713">
        <f t="shared" si="33"/>
        <v>60</v>
      </c>
      <c r="S24" s="1531">
        <f t="shared" si="22"/>
        <v>0.06</v>
      </c>
      <c r="T24" s="1532">
        <f t="shared" si="23"/>
        <v>1.8176579925650561E-3</v>
      </c>
      <c r="U24" s="1701">
        <f t="shared" si="24"/>
        <v>0</v>
      </c>
      <c r="V24" s="1702">
        <f t="shared" si="25"/>
        <v>0</v>
      </c>
      <c r="W24" s="1703">
        <f t="shared" si="26"/>
        <v>0</v>
      </c>
      <c r="X24" s="1704">
        <f t="shared" si="27"/>
        <v>0</v>
      </c>
      <c r="Y24" s="1705">
        <f t="shared" si="28"/>
        <v>0.06</v>
      </c>
      <c r="Z24" s="1706">
        <f t="shared" si="29"/>
        <v>0</v>
      </c>
      <c r="AA24" s="1707">
        <f t="shared" si="30"/>
        <v>0</v>
      </c>
      <c r="AB24" s="1522"/>
      <c r="AC24" s="1523"/>
      <c r="AD24" s="1524"/>
      <c r="AE24" s="1524"/>
      <c r="AF24" s="1524"/>
      <c r="AG24" s="1524"/>
      <c r="AH24" s="1524"/>
      <c r="AI24" s="1522"/>
      <c r="AJ24" s="1522"/>
      <c r="AK24" s="1522"/>
      <c r="AL24" s="1522"/>
      <c r="AM24" s="1522"/>
      <c r="AN24" s="1522"/>
    </row>
    <row r="25" spans="1:40" s="1525" customFormat="1" ht="14" thickBot="1">
      <c r="A25" s="1757" t="s">
        <v>462</v>
      </c>
      <c r="B25" s="5488">
        <v>5</v>
      </c>
      <c r="C25" s="629">
        <f t="shared" si="14"/>
        <v>1.8933937422552669E-4</v>
      </c>
      <c r="D25" s="1793">
        <v>5</v>
      </c>
      <c r="E25" s="1713">
        <v>4</v>
      </c>
      <c r="F25" s="1713">
        <v>1</v>
      </c>
      <c r="G25" s="1713">
        <v>25</v>
      </c>
      <c r="H25" s="1714"/>
      <c r="I25" s="1714">
        <v>0</v>
      </c>
      <c r="J25" s="1714">
        <v>2.7777777777777779E-3</v>
      </c>
      <c r="K25" s="1715" t="s">
        <v>1203</v>
      </c>
      <c r="L25" s="1716">
        <f t="shared" si="34"/>
        <v>0.81118373984162995</v>
      </c>
      <c r="M25" s="1761">
        <v>1</v>
      </c>
      <c r="N25" s="1714">
        <f>P25*E25*F25+I25*E25*F25+J25*E25</f>
        <v>1.1868468608013218E-2</v>
      </c>
      <c r="O25" s="1717">
        <f t="shared" si="18"/>
        <v>1.8933937422552669E-4</v>
      </c>
      <c r="P25" s="1718">
        <f t="shared" si="32"/>
        <v>1.8933937422552669E-4</v>
      </c>
      <c r="Q25" s="1719" t="s">
        <v>278</v>
      </c>
      <c r="R25" s="1713">
        <f t="shared" si="33"/>
        <v>100</v>
      </c>
      <c r="S25" s="1531">
        <f t="shared" si="22"/>
        <v>0.1</v>
      </c>
      <c r="T25" s="1532">
        <f t="shared" si="23"/>
        <v>3.029429987608427E-3</v>
      </c>
      <c r="U25" s="1701">
        <f t="shared" si="24"/>
        <v>0</v>
      </c>
      <c r="V25" s="1702">
        <f t="shared" si="25"/>
        <v>0</v>
      </c>
      <c r="W25" s="1703">
        <f t="shared" si="26"/>
        <v>0</v>
      </c>
      <c r="X25" s="1704">
        <f t="shared" si="27"/>
        <v>0</v>
      </c>
      <c r="Y25" s="1705">
        <f t="shared" si="28"/>
        <v>0.1</v>
      </c>
      <c r="Z25" s="1706">
        <f t="shared" si="29"/>
        <v>0</v>
      </c>
      <c r="AA25" s="1707">
        <f t="shared" si="30"/>
        <v>0</v>
      </c>
      <c r="AB25" s="1522"/>
      <c r="AC25" s="1523"/>
      <c r="AD25" s="1524"/>
      <c r="AE25" s="1524"/>
      <c r="AF25" s="1524"/>
      <c r="AG25" s="1524"/>
      <c r="AH25" s="1524"/>
      <c r="AI25" s="1522"/>
      <c r="AJ25" s="1522"/>
      <c r="AK25" s="1522"/>
      <c r="AL25" s="1522"/>
      <c r="AM25" s="1522"/>
      <c r="AN25" s="1522"/>
    </row>
    <row r="26" spans="1:40" s="1525" customFormat="1" ht="14" thickBot="1">
      <c r="A26" s="1757" t="s">
        <v>140</v>
      </c>
      <c r="B26" s="1757" t="s">
        <v>803</v>
      </c>
      <c r="C26" s="629">
        <f t="shared" si="14"/>
        <v>1.8229166666666673E-4</v>
      </c>
      <c r="D26" s="2309">
        <v>6</v>
      </c>
      <c r="E26" s="4559">
        <v>1</v>
      </c>
      <c r="F26" s="4559">
        <v>1</v>
      </c>
      <c r="G26" s="4559">
        <v>100</v>
      </c>
      <c r="H26" s="4559"/>
      <c r="I26" s="4560">
        <v>3.4722222222222224E-4</v>
      </c>
      <c r="J26" s="4560">
        <v>6.9444444444444441E-3</v>
      </c>
      <c r="K26" s="4561" t="s">
        <v>2116</v>
      </c>
      <c r="L26" s="4560">
        <f>L25+N26</f>
        <v>0.81919623984162993</v>
      </c>
      <c r="M26" s="4562">
        <v>1.0900000000000001</v>
      </c>
      <c r="N26" s="4560">
        <f t="shared" ref="N26" si="35">P26*E26*F26+I26*E26*F26+J26*E26</f>
        <v>8.0124999999999988E-3</v>
      </c>
      <c r="O26" s="4563">
        <f>C26*(G26/25)</f>
        <v>7.2916666666666692E-4</v>
      </c>
      <c r="P26" s="4686">
        <f>I29+J29</f>
        <v>7.2083333333333331E-4</v>
      </c>
      <c r="Q26" s="4565">
        <v>177</v>
      </c>
      <c r="R26" s="4559">
        <f t="shared" si="33"/>
        <v>100</v>
      </c>
      <c r="S26" s="1531">
        <f t="shared" si="22"/>
        <v>0.1</v>
      </c>
      <c r="T26" s="1532">
        <f t="shared" si="23"/>
        <v>2.9166666666666677E-3</v>
      </c>
      <c r="U26" s="1701">
        <f t="shared" si="24"/>
        <v>0</v>
      </c>
      <c r="V26" s="1702">
        <f t="shared" si="25"/>
        <v>0</v>
      </c>
      <c r="W26" s="1703">
        <f t="shared" si="26"/>
        <v>0</v>
      </c>
      <c r="X26" s="1704">
        <f t="shared" si="27"/>
        <v>0</v>
      </c>
      <c r="Y26" s="1705">
        <f t="shared" si="28"/>
        <v>0</v>
      </c>
      <c r="Z26" s="1706">
        <f t="shared" si="29"/>
        <v>0.1</v>
      </c>
      <c r="AA26" s="1707">
        <f t="shared" si="30"/>
        <v>0</v>
      </c>
      <c r="AB26" s="1522"/>
      <c r="AC26" s="1523"/>
      <c r="AD26" s="1524"/>
      <c r="AE26" s="1524"/>
      <c r="AF26" s="1524"/>
      <c r="AG26" s="1524"/>
      <c r="AH26" s="1524"/>
      <c r="AI26" s="1522"/>
      <c r="AJ26" s="1522"/>
      <c r="AK26" s="1522"/>
      <c r="AL26" s="1522"/>
      <c r="AM26" s="1522"/>
      <c r="AN26" s="1522"/>
    </row>
    <row r="27" spans="1:40" s="1525" customFormat="1" ht="14" thickBot="1">
      <c r="A27" s="1757" t="s">
        <v>674</v>
      </c>
      <c r="B27" s="1757" t="s">
        <v>459</v>
      </c>
      <c r="C27" s="629">
        <f t="shared" si="14"/>
        <v>1.7682291666666674E-4</v>
      </c>
      <c r="D27" s="1794">
        <v>7</v>
      </c>
      <c r="E27" s="1766">
        <v>1</v>
      </c>
      <c r="F27" s="1766">
        <v>6</v>
      </c>
      <c r="G27" s="1766">
        <v>15</v>
      </c>
      <c r="H27" s="1540"/>
      <c r="I27" s="1540">
        <v>4.6296296296296293E-4</v>
      </c>
      <c r="J27" s="1540">
        <v>6.9444444444444447E-4</v>
      </c>
      <c r="K27" s="1767" t="s">
        <v>1204</v>
      </c>
      <c r="L27" s="1708">
        <f>L26+N26</f>
        <v>0.8272087398416299</v>
      </c>
      <c r="M27" s="1763">
        <v>0.85</v>
      </c>
      <c r="N27" s="1540">
        <f>P27*E27*F27+I27*E27*F27+J27*E27</f>
        <v>4.0133003472222224E-3</v>
      </c>
      <c r="O27" s="1541">
        <f t="shared" si="18"/>
        <v>1.0609375000000004E-4</v>
      </c>
      <c r="P27" s="1709">
        <f t="shared" si="32"/>
        <v>9.0179687500000036E-5</v>
      </c>
      <c r="Q27" s="1768">
        <v>170</v>
      </c>
      <c r="R27" s="1765">
        <f t="shared" si="33"/>
        <v>90</v>
      </c>
      <c r="S27" s="1531">
        <f t="shared" si="22"/>
        <v>0.09</v>
      </c>
      <c r="T27" s="1532">
        <f t="shared" si="23"/>
        <v>2.5462500000000008E-3</v>
      </c>
      <c r="U27" s="1701">
        <f t="shared" si="24"/>
        <v>0</v>
      </c>
      <c r="V27" s="1702">
        <f t="shared" si="25"/>
        <v>0</v>
      </c>
      <c r="W27" s="1703">
        <f t="shared" si="26"/>
        <v>0</v>
      </c>
      <c r="X27" s="1704">
        <f t="shared" si="27"/>
        <v>0</v>
      </c>
      <c r="Y27" s="1705">
        <f t="shared" si="28"/>
        <v>0</v>
      </c>
      <c r="Z27" s="1706">
        <f t="shared" si="29"/>
        <v>0</v>
      </c>
      <c r="AA27" s="1707">
        <f t="shared" si="30"/>
        <v>0.09</v>
      </c>
      <c r="AB27" s="1522"/>
      <c r="AC27" s="1523"/>
      <c r="AD27" s="1524"/>
      <c r="AE27" s="1524"/>
      <c r="AF27" s="1524"/>
      <c r="AG27" s="1524"/>
      <c r="AH27" s="1524"/>
      <c r="AI27" s="1522"/>
      <c r="AJ27" s="1522"/>
      <c r="AK27" s="1522"/>
      <c r="AL27" s="1522"/>
      <c r="AM27" s="1522"/>
      <c r="AN27" s="1522"/>
    </row>
    <row r="28" spans="1:40" s="1525" customFormat="1" ht="14" thickBot="1">
      <c r="A28" s="1757" t="s">
        <v>214</v>
      </c>
      <c r="B28" s="1757"/>
      <c r="C28" s="629">
        <f t="shared" si="14"/>
        <v>1.7682291666666674E-4</v>
      </c>
      <c r="D28" s="1794">
        <v>7</v>
      </c>
      <c r="E28" s="1766">
        <v>1</v>
      </c>
      <c r="F28" s="1766">
        <v>6</v>
      </c>
      <c r="G28" s="1766">
        <v>20</v>
      </c>
      <c r="H28" s="1540"/>
      <c r="I28" s="1540">
        <v>4.6296296296296293E-4</v>
      </c>
      <c r="J28" s="1540">
        <v>6.9444444444444447E-4</v>
      </c>
      <c r="K28" s="1767" t="s">
        <v>900</v>
      </c>
      <c r="L28" s="1708">
        <f>L26+N26</f>
        <v>0.8272087398416299</v>
      </c>
      <c r="M28" s="1763">
        <v>0.85</v>
      </c>
      <c r="N28" s="1540">
        <f>P28*E28*F28+I28*E28*F28+J28*E28</f>
        <v>4.1936597222222219E-3</v>
      </c>
      <c r="O28" s="1541">
        <f t="shared" si="18"/>
        <v>1.4145833333333339E-4</v>
      </c>
      <c r="P28" s="1709">
        <f>O28*M28</f>
        <v>1.2023958333333338E-4</v>
      </c>
      <c r="Q28" s="1768">
        <v>129</v>
      </c>
      <c r="R28" s="1765">
        <f>E28*F28*G28</f>
        <v>120</v>
      </c>
      <c r="S28" s="1531">
        <f t="shared" si="22"/>
        <v>0.12</v>
      </c>
      <c r="T28" s="1532">
        <f t="shared" si="23"/>
        <v>3.3950000000000013E-3</v>
      </c>
      <c r="U28" s="1701">
        <f t="shared" si="24"/>
        <v>0</v>
      </c>
      <c r="V28" s="1702">
        <f t="shared" si="25"/>
        <v>0</v>
      </c>
      <c r="W28" s="1703">
        <f t="shared" si="26"/>
        <v>0</v>
      </c>
      <c r="X28" s="1704">
        <f t="shared" si="27"/>
        <v>0</v>
      </c>
      <c r="Y28" s="1705">
        <f t="shared" si="28"/>
        <v>0</v>
      </c>
      <c r="Z28" s="1706">
        <f t="shared" si="29"/>
        <v>0</v>
      </c>
      <c r="AA28" s="1707">
        <f t="shared" si="30"/>
        <v>0.12</v>
      </c>
      <c r="AB28" s="1522"/>
      <c r="AC28" s="1523"/>
      <c r="AD28" s="1524"/>
      <c r="AE28" s="1524"/>
      <c r="AF28" s="1524"/>
      <c r="AG28" s="1524"/>
      <c r="AH28" s="1524"/>
      <c r="AI28" s="1522"/>
      <c r="AJ28" s="1522"/>
      <c r="AK28" s="1522"/>
      <c r="AL28" s="1522"/>
      <c r="AM28" s="1522"/>
      <c r="AN28" s="1522"/>
    </row>
    <row r="29" spans="1:40" s="1525" customFormat="1" ht="14" thickBot="1">
      <c r="A29" s="1724"/>
      <c r="B29" s="1725"/>
      <c r="C29" s="629">
        <f t="shared" si="14"/>
        <v>0</v>
      </c>
      <c r="D29" s="1798"/>
      <c r="E29" s="1554"/>
      <c r="F29" s="1554"/>
      <c r="G29" s="1554"/>
      <c r="H29" s="1554"/>
      <c r="I29" s="4686">
        <v>3.4375000000000003E-4</v>
      </c>
      <c r="J29" s="4686">
        <v>3.7708333333333327E-4</v>
      </c>
      <c r="K29" s="1554"/>
      <c r="L29" s="1721">
        <f>L27+N27</f>
        <v>0.83122204018885215</v>
      </c>
      <c r="M29" s="1780"/>
      <c r="N29" s="1722"/>
      <c r="O29" s="1781"/>
      <c r="P29" s="1781"/>
      <c r="Q29" s="1781"/>
      <c r="R29" s="1723">
        <f>SUM(R22:R28)</f>
        <v>1470</v>
      </c>
      <c r="S29" s="1531">
        <f t="shared" si="22"/>
        <v>0</v>
      </c>
      <c r="T29" s="1532">
        <f t="shared" si="23"/>
        <v>0</v>
      </c>
      <c r="U29" s="1701">
        <f t="shared" si="24"/>
        <v>0</v>
      </c>
      <c r="V29" s="1702">
        <f t="shared" si="25"/>
        <v>0</v>
      </c>
      <c r="W29" s="1703">
        <f t="shared" si="26"/>
        <v>0</v>
      </c>
      <c r="X29" s="1704">
        <f t="shared" si="27"/>
        <v>0</v>
      </c>
      <c r="Y29" s="1705">
        <f t="shared" si="28"/>
        <v>0</v>
      </c>
      <c r="Z29" s="1706">
        <f t="shared" si="29"/>
        <v>0</v>
      </c>
      <c r="AA29" s="1707">
        <f t="shared" si="30"/>
        <v>0</v>
      </c>
      <c r="AB29" s="1522"/>
      <c r="AC29" s="1523"/>
      <c r="AD29" s="1524"/>
      <c r="AE29" s="1524"/>
      <c r="AF29" s="1524"/>
      <c r="AG29" s="1524"/>
      <c r="AH29" s="1524"/>
      <c r="AI29" s="1522"/>
      <c r="AJ29" s="1522"/>
      <c r="AK29" s="1522"/>
      <c r="AL29" s="1522"/>
      <c r="AM29" s="1522"/>
      <c r="AN29" s="1522"/>
    </row>
    <row r="30" spans="1:40" s="1525" customFormat="1" ht="19" customHeight="1" thickBot="1">
      <c r="A30" s="1782"/>
      <c r="B30" s="1745" t="s">
        <v>215</v>
      </c>
      <c r="C30" s="629">
        <f t="shared" si="14"/>
        <v>0</v>
      </c>
      <c r="D30" s="1791"/>
      <c r="E30" s="1747" t="s">
        <v>1957</v>
      </c>
      <c r="F30" s="1748"/>
      <c r="G30" s="1748"/>
      <c r="H30" s="1746"/>
      <c r="I30" s="1749" t="s">
        <v>2113</v>
      </c>
      <c r="J30" s="1750"/>
      <c r="K30" s="1751" t="s">
        <v>1199</v>
      </c>
      <c r="L30" s="1752"/>
      <c r="M30" s="1753"/>
      <c r="N30" s="1750"/>
      <c r="O30" s="1750">
        <f>C30*(G30/25)</f>
        <v>0</v>
      </c>
      <c r="P30" s="1746"/>
      <c r="Q30" s="1755"/>
      <c r="R30" s="1756"/>
      <c r="S30" s="1531" t="e">
        <f t="shared" si="22"/>
        <v>#VALUE!</v>
      </c>
      <c r="T30" s="1532" t="e">
        <f t="shared" si="23"/>
        <v>#VALUE!</v>
      </c>
      <c r="U30" s="1701">
        <f t="shared" si="24"/>
        <v>0</v>
      </c>
      <c r="V30" s="1702">
        <f t="shared" si="25"/>
        <v>0</v>
      </c>
      <c r="W30" s="1703">
        <f t="shared" si="26"/>
        <v>0</v>
      </c>
      <c r="X30" s="1704">
        <f t="shared" si="27"/>
        <v>0</v>
      </c>
      <c r="Y30" s="1705">
        <f t="shared" si="28"/>
        <v>0</v>
      </c>
      <c r="Z30" s="1706">
        <f t="shared" si="29"/>
        <v>0</v>
      </c>
      <c r="AA30" s="1707">
        <f t="shared" si="30"/>
        <v>0</v>
      </c>
      <c r="AB30" s="1522"/>
      <c r="AC30" s="1523"/>
      <c r="AD30" s="1524"/>
      <c r="AE30" s="1524"/>
      <c r="AF30" s="1524"/>
      <c r="AG30" s="1524"/>
      <c r="AH30" s="1524"/>
      <c r="AI30" s="1522"/>
      <c r="AJ30" s="1522"/>
      <c r="AK30" s="1522"/>
      <c r="AL30" s="1522"/>
      <c r="AM30" s="1522"/>
      <c r="AN30" s="1522"/>
    </row>
    <row r="31" spans="1:40" ht="14" thickBot="1">
      <c r="A31" s="1724" t="s">
        <v>217</v>
      </c>
      <c r="B31" s="1725" t="s">
        <v>459</v>
      </c>
      <c r="C31" s="629">
        <f t="shared" si="14"/>
        <v>2.2880964381720439E-4</v>
      </c>
      <c r="D31" s="1792">
        <v>1</v>
      </c>
      <c r="E31" s="1726">
        <v>1</v>
      </c>
      <c r="F31" s="1726">
        <v>1</v>
      </c>
      <c r="G31" s="1726">
        <v>800</v>
      </c>
      <c r="H31" s="1528"/>
      <c r="I31" s="1528">
        <v>0</v>
      </c>
      <c r="J31" s="1528">
        <v>1.1574074074074073E-4</v>
      </c>
      <c r="K31" s="1529" t="s">
        <v>300</v>
      </c>
      <c r="L31" s="1730">
        <v>0.79861111111111116</v>
      </c>
      <c r="M31" s="1758">
        <v>1</v>
      </c>
      <c r="N31" s="1528">
        <f t="shared" ref="N31:N38" si="36">P31*E31*F31+I31*E31*F31+J31*E31</f>
        <v>7.4376493428912815E-3</v>
      </c>
      <c r="O31" s="1528">
        <f t="shared" ref="O31:O40" si="37">C31*(G31/25)</f>
        <v>7.3219086021505406E-3</v>
      </c>
      <c r="P31" s="1727">
        <f t="shared" ref="P31:P38" si="38">O31*M31</f>
        <v>7.3219086021505406E-3</v>
      </c>
      <c r="Q31" s="1759">
        <v>129</v>
      </c>
      <c r="R31" s="1726">
        <f t="shared" ref="R31:R38" si="39">E31*F31*G31</f>
        <v>800</v>
      </c>
      <c r="S31" s="1531">
        <f t="shared" si="22"/>
        <v>0.8</v>
      </c>
      <c r="T31" s="1532">
        <f t="shared" si="23"/>
        <v>2.9287634408602162E-2</v>
      </c>
      <c r="U31" s="1701">
        <f t="shared" si="24"/>
        <v>0.8</v>
      </c>
      <c r="V31" s="1702">
        <f t="shared" si="25"/>
        <v>0</v>
      </c>
      <c r="W31" s="1703">
        <f t="shared" si="26"/>
        <v>0</v>
      </c>
      <c r="X31" s="1704">
        <f t="shared" si="27"/>
        <v>0</v>
      </c>
      <c r="Y31" s="1705">
        <f t="shared" si="28"/>
        <v>0</v>
      </c>
      <c r="Z31" s="1706">
        <f t="shared" si="29"/>
        <v>0</v>
      </c>
      <c r="AA31" s="1707">
        <f t="shared" si="30"/>
        <v>0</v>
      </c>
      <c r="AC31" s="1533"/>
      <c r="AD31" s="1533"/>
      <c r="AE31" s="1533"/>
      <c r="AF31" s="1533"/>
      <c r="AG31" s="1533"/>
      <c r="AH31" s="1533"/>
      <c r="AI31" s="1511"/>
      <c r="AJ31" s="1511"/>
      <c r="AK31" s="1511"/>
      <c r="AL31" s="1511"/>
      <c r="AM31" s="1511"/>
    </row>
    <row r="32" spans="1:40" ht="14" thickBot="1">
      <c r="A32" s="1724" t="s">
        <v>459</v>
      </c>
      <c r="B32" s="1725" t="s">
        <v>459</v>
      </c>
      <c r="C32" s="629">
        <f t="shared" si="14"/>
        <v>2.1908757716049393E-4</v>
      </c>
      <c r="D32" s="1796">
        <v>2</v>
      </c>
      <c r="E32" s="1710">
        <v>1</v>
      </c>
      <c r="F32" s="1710">
        <v>1</v>
      </c>
      <c r="G32" s="1710">
        <v>400</v>
      </c>
      <c r="H32" s="1535"/>
      <c r="I32" s="1535">
        <v>2.8935185185185189E-4</v>
      </c>
      <c r="J32" s="1535">
        <v>1.3888888888888889E-3</v>
      </c>
      <c r="K32" s="1536" t="s">
        <v>186</v>
      </c>
      <c r="L32" s="1728">
        <f t="shared" si="34"/>
        <v>0.80604876045400242</v>
      </c>
      <c r="M32" s="1776">
        <v>1</v>
      </c>
      <c r="N32" s="1535">
        <f t="shared" si="36"/>
        <v>5.1836419753086439E-3</v>
      </c>
      <c r="O32" s="1535">
        <f t="shared" si="37"/>
        <v>3.5054012345679029E-3</v>
      </c>
      <c r="P32" s="1711">
        <f t="shared" si="38"/>
        <v>3.5054012345679029E-3</v>
      </c>
      <c r="Q32" s="1777">
        <v>129</v>
      </c>
      <c r="R32" s="1712">
        <f t="shared" si="39"/>
        <v>400</v>
      </c>
      <c r="S32" s="1531">
        <f t="shared" si="22"/>
        <v>0.4</v>
      </c>
      <c r="T32" s="1532">
        <f t="shared" si="23"/>
        <v>1.4021604938271611E-2</v>
      </c>
      <c r="U32" s="1701">
        <f t="shared" si="24"/>
        <v>0</v>
      </c>
      <c r="V32" s="1702">
        <f t="shared" si="25"/>
        <v>0.4</v>
      </c>
      <c r="W32" s="1703">
        <f t="shared" si="26"/>
        <v>0</v>
      </c>
      <c r="X32" s="1704">
        <f t="shared" si="27"/>
        <v>0</v>
      </c>
      <c r="Y32" s="1705">
        <f t="shared" si="28"/>
        <v>0</v>
      </c>
      <c r="Z32" s="1706">
        <f t="shared" si="29"/>
        <v>0</v>
      </c>
      <c r="AA32" s="1707">
        <f t="shared" si="30"/>
        <v>0</v>
      </c>
      <c r="AC32" s="1533"/>
      <c r="AD32" s="1533"/>
      <c r="AE32" s="1533"/>
      <c r="AF32" s="1533"/>
      <c r="AG32" s="1533"/>
      <c r="AH32" s="1533"/>
      <c r="AI32" s="1511"/>
      <c r="AJ32" s="1511"/>
      <c r="AK32" s="1511"/>
      <c r="AL32" s="1511"/>
      <c r="AM32" s="1511"/>
    </row>
    <row r="33" spans="1:40" ht="14" thickBot="1">
      <c r="A33" s="1724" t="s">
        <v>458</v>
      </c>
      <c r="B33" s="1725" t="s">
        <v>459</v>
      </c>
      <c r="C33" s="629">
        <f t="shared" si="14"/>
        <v>2.1222190799396687E-4</v>
      </c>
      <c r="D33" s="1797">
        <v>3</v>
      </c>
      <c r="E33" s="1696">
        <v>1</v>
      </c>
      <c r="F33" s="1696">
        <v>1</v>
      </c>
      <c r="G33" s="1696">
        <v>200</v>
      </c>
      <c r="H33" s="1697"/>
      <c r="I33" s="1697">
        <v>2.3148148148148146E-4</v>
      </c>
      <c r="J33" s="1697">
        <v>1.3888888888888889E-3</v>
      </c>
      <c r="K33" s="1698" t="s">
        <v>922</v>
      </c>
      <c r="L33" s="1699">
        <f t="shared" si="34"/>
        <v>0.81123240242931105</v>
      </c>
      <c r="M33" s="1778">
        <v>1</v>
      </c>
      <c r="N33" s="1697">
        <f t="shared" si="36"/>
        <v>3.318145634322105E-3</v>
      </c>
      <c r="O33" s="1697">
        <f t="shared" si="37"/>
        <v>1.6977752639517349E-3</v>
      </c>
      <c r="P33" s="1700">
        <f t="shared" si="38"/>
        <v>1.6977752639517349E-3</v>
      </c>
      <c r="Q33" s="1779">
        <v>140</v>
      </c>
      <c r="R33" s="1696">
        <f t="shared" si="39"/>
        <v>200</v>
      </c>
      <c r="S33" s="1531">
        <f t="shared" si="22"/>
        <v>0.2</v>
      </c>
      <c r="T33" s="1532">
        <f t="shared" si="23"/>
        <v>6.7911010558069397E-3</v>
      </c>
      <c r="U33" s="1701">
        <f t="shared" si="24"/>
        <v>0</v>
      </c>
      <c r="V33" s="1702">
        <f t="shared" si="25"/>
        <v>0</v>
      </c>
      <c r="W33" s="1703">
        <f t="shared" si="26"/>
        <v>0.2</v>
      </c>
      <c r="X33" s="1704">
        <f t="shared" si="27"/>
        <v>0</v>
      </c>
      <c r="Y33" s="1705">
        <f t="shared" si="28"/>
        <v>0</v>
      </c>
      <c r="Z33" s="1706">
        <f t="shared" si="29"/>
        <v>0</v>
      </c>
      <c r="AA33" s="1707">
        <f t="shared" si="30"/>
        <v>0</v>
      </c>
      <c r="AC33" s="1533"/>
      <c r="AD33" s="1533"/>
      <c r="AE33" s="1533"/>
      <c r="AF33" s="1533"/>
      <c r="AG33" s="1533"/>
      <c r="AH33" s="1533"/>
      <c r="AI33" s="1511"/>
      <c r="AJ33" s="1511"/>
      <c r="AK33" s="1511"/>
      <c r="AL33" s="1511"/>
      <c r="AM33" s="1511"/>
    </row>
    <row r="34" spans="1:40" ht="14" thickBot="1">
      <c r="A34" s="1724" t="s">
        <v>218</v>
      </c>
      <c r="B34" s="5487">
        <v>4</v>
      </c>
      <c r="C34" s="629">
        <f t="shared" si="14"/>
        <v>2.2880964381720439E-4</v>
      </c>
      <c r="D34" s="1792">
        <v>1</v>
      </c>
      <c r="E34" s="1726">
        <v>1</v>
      </c>
      <c r="F34" s="1726">
        <v>12</v>
      </c>
      <c r="G34" s="1726">
        <v>25</v>
      </c>
      <c r="H34" s="1528"/>
      <c r="I34" s="1528">
        <v>0</v>
      </c>
      <c r="J34" s="1528">
        <v>1.1574074074074073E-4</v>
      </c>
      <c r="K34" s="1529" t="s">
        <v>706</v>
      </c>
      <c r="L34" s="1721">
        <f>L33+N33</f>
        <v>0.81455054806363314</v>
      </c>
      <c r="M34" s="1758">
        <v>1</v>
      </c>
      <c r="N34" s="1528">
        <f t="shared" si="36"/>
        <v>2.8614564665471937E-3</v>
      </c>
      <c r="O34" s="1528">
        <f t="shared" si="37"/>
        <v>2.2880964381720439E-4</v>
      </c>
      <c r="P34" s="1727">
        <f t="shared" si="38"/>
        <v>2.2880964381720439E-4</v>
      </c>
      <c r="Q34" s="1759">
        <v>129</v>
      </c>
      <c r="R34" s="1726">
        <f t="shared" si="39"/>
        <v>300</v>
      </c>
      <c r="S34" s="1531">
        <f t="shared" si="22"/>
        <v>0.3</v>
      </c>
      <c r="T34" s="1532">
        <f t="shared" si="23"/>
        <v>1.0982862903225811E-2</v>
      </c>
      <c r="U34" s="1701">
        <f t="shared" si="24"/>
        <v>0.3</v>
      </c>
      <c r="V34" s="1702">
        <f t="shared" si="25"/>
        <v>0</v>
      </c>
      <c r="W34" s="1703">
        <f t="shared" si="26"/>
        <v>0</v>
      </c>
      <c r="X34" s="1704">
        <f t="shared" si="27"/>
        <v>0</v>
      </c>
      <c r="Y34" s="1705">
        <f t="shared" si="28"/>
        <v>0</v>
      </c>
      <c r="Z34" s="1706">
        <f t="shared" si="29"/>
        <v>0</v>
      </c>
      <c r="AA34" s="1707">
        <f t="shared" si="30"/>
        <v>0</v>
      </c>
      <c r="AC34" s="1533"/>
      <c r="AD34" s="1533"/>
      <c r="AE34" s="1533"/>
      <c r="AF34" s="1533"/>
      <c r="AG34" s="1533"/>
      <c r="AH34" s="1533"/>
      <c r="AI34" s="1511"/>
      <c r="AJ34" s="1511"/>
      <c r="AK34" s="1511"/>
      <c r="AL34" s="1511"/>
      <c r="AM34" s="1511"/>
    </row>
    <row r="35" spans="1:40" ht="14" thickBot="1">
      <c r="A35" s="1724" t="s">
        <v>458</v>
      </c>
      <c r="B35" s="1725" t="s">
        <v>459</v>
      </c>
      <c r="C35" s="629">
        <f t="shared" si="14"/>
        <v>1.7682291666666674E-4</v>
      </c>
      <c r="D35" s="1794">
        <v>7</v>
      </c>
      <c r="E35" s="1762">
        <v>2</v>
      </c>
      <c r="F35" s="1762">
        <v>4</v>
      </c>
      <c r="G35" s="1762">
        <v>25</v>
      </c>
      <c r="H35" s="1541"/>
      <c r="I35" s="1541">
        <v>4.6296296296296293E-4</v>
      </c>
      <c r="J35" s="1541">
        <v>1.3888888888888889E-3</v>
      </c>
      <c r="K35" s="1783" t="s">
        <v>1205</v>
      </c>
      <c r="L35" s="1708">
        <f>L34+N34</f>
        <v>0.81741200453018037</v>
      </c>
      <c r="M35" s="1763">
        <v>0.85</v>
      </c>
      <c r="N35" s="1541">
        <f t="shared" si="36"/>
        <v>7.6838773148148153E-3</v>
      </c>
      <c r="O35" s="1541">
        <f t="shared" si="37"/>
        <v>1.7682291666666674E-4</v>
      </c>
      <c r="P35" s="1709">
        <f t="shared" si="38"/>
        <v>1.5029947916666672E-4</v>
      </c>
      <c r="Q35" s="1764">
        <v>170</v>
      </c>
      <c r="R35" s="1765">
        <f t="shared" si="39"/>
        <v>200</v>
      </c>
      <c r="S35" s="1531">
        <f t="shared" si="22"/>
        <v>0.2</v>
      </c>
      <c r="T35" s="1532">
        <f t="shared" si="23"/>
        <v>5.6583333333333355E-3</v>
      </c>
      <c r="U35" s="1701">
        <f t="shared" si="24"/>
        <v>0</v>
      </c>
      <c r="V35" s="1702">
        <f t="shared" si="25"/>
        <v>0</v>
      </c>
      <c r="W35" s="1703">
        <f t="shared" si="26"/>
        <v>0</v>
      </c>
      <c r="X35" s="1704">
        <f t="shared" si="27"/>
        <v>0</v>
      </c>
      <c r="Y35" s="1705">
        <f t="shared" si="28"/>
        <v>0</v>
      </c>
      <c r="Z35" s="1706">
        <f t="shared" si="29"/>
        <v>0</v>
      </c>
      <c r="AA35" s="1707">
        <f t="shared" si="30"/>
        <v>0.2</v>
      </c>
      <c r="AC35" s="1533"/>
      <c r="AD35" s="1533"/>
      <c r="AE35" s="1533"/>
      <c r="AF35" s="1533"/>
      <c r="AG35" s="1533"/>
      <c r="AH35" s="1533"/>
      <c r="AI35" s="1511"/>
      <c r="AJ35" s="1511"/>
      <c r="AK35" s="1511"/>
      <c r="AL35" s="1511"/>
      <c r="AM35" s="1511"/>
    </row>
    <row r="36" spans="1:40" ht="14" thickBot="1">
      <c r="A36" s="1724" t="s">
        <v>219</v>
      </c>
      <c r="B36" s="1725" t="s">
        <v>459</v>
      </c>
      <c r="C36" s="629">
        <f t="shared" si="14"/>
        <v>1.7682291666666674E-4</v>
      </c>
      <c r="D36" s="1794">
        <v>7</v>
      </c>
      <c r="E36" s="1766">
        <v>1</v>
      </c>
      <c r="F36" s="1766">
        <v>6</v>
      </c>
      <c r="G36" s="1766">
        <v>15</v>
      </c>
      <c r="H36" s="1540"/>
      <c r="I36" s="1540">
        <v>4.6296296296296293E-4</v>
      </c>
      <c r="J36" s="1540">
        <v>6.9444444444444447E-4</v>
      </c>
      <c r="K36" s="1767" t="s">
        <v>921</v>
      </c>
      <c r="L36" s="1708">
        <f>L35+N35</f>
        <v>0.82509588184499516</v>
      </c>
      <c r="M36" s="1763">
        <v>0.85</v>
      </c>
      <c r="N36" s="1540">
        <f>P36*E36*F36+I36*E36*F36+J36*E36</f>
        <v>4.0133003472222224E-3</v>
      </c>
      <c r="O36" s="1541">
        <f t="shared" si="37"/>
        <v>1.0609375000000004E-4</v>
      </c>
      <c r="P36" s="1709">
        <f t="shared" si="38"/>
        <v>9.0179687500000036E-5</v>
      </c>
      <c r="Q36" s="1764">
        <v>170</v>
      </c>
      <c r="R36" s="1765">
        <f t="shared" si="39"/>
        <v>90</v>
      </c>
      <c r="S36" s="1531">
        <f t="shared" si="22"/>
        <v>0.09</v>
      </c>
      <c r="T36" s="1532">
        <f t="shared" si="23"/>
        <v>2.5462500000000008E-3</v>
      </c>
      <c r="U36" s="1701">
        <f t="shared" si="24"/>
        <v>0</v>
      </c>
      <c r="V36" s="1702">
        <f t="shared" si="25"/>
        <v>0</v>
      </c>
      <c r="W36" s="1703">
        <f t="shared" si="26"/>
        <v>0</v>
      </c>
      <c r="X36" s="1704">
        <f t="shared" si="27"/>
        <v>0</v>
      </c>
      <c r="Y36" s="1705">
        <f t="shared" si="28"/>
        <v>0</v>
      </c>
      <c r="Z36" s="1706">
        <f t="shared" si="29"/>
        <v>0</v>
      </c>
      <c r="AA36" s="1707">
        <f t="shared" si="30"/>
        <v>0.09</v>
      </c>
      <c r="AC36" s="1533"/>
      <c r="AD36" s="1533"/>
      <c r="AE36" s="1533"/>
      <c r="AF36" s="1533"/>
      <c r="AG36" s="1533"/>
      <c r="AH36" s="1533"/>
      <c r="AI36" s="1511"/>
      <c r="AJ36" s="1511"/>
      <c r="AK36" s="1511"/>
      <c r="AL36" s="1511"/>
      <c r="AM36" s="1511"/>
    </row>
    <row r="37" spans="1:40" ht="14" thickBot="1">
      <c r="A37" s="1724"/>
      <c r="B37" s="1725" t="s">
        <v>459</v>
      </c>
      <c r="C37" s="629">
        <f t="shared" si="14"/>
        <v>1.7682291666666674E-4</v>
      </c>
      <c r="D37" s="1794">
        <v>7</v>
      </c>
      <c r="E37" s="1766">
        <v>1</v>
      </c>
      <c r="F37" s="1766">
        <v>6</v>
      </c>
      <c r="G37" s="1766">
        <v>20</v>
      </c>
      <c r="H37" s="1540"/>
      <c r="I37" s="1540"/>
      <c r="J37" s="1540">
        <v>6.9444444444444447E-4</v>
      </c>
      <c r="K37" s="1767" t="s">
        <v>900</v>
      </c>
      <c r="L37" s="1708">
        <f>L35+N35</f>
        <v>0.82509588184499516</v>
      </c>
      <c r="M37" s="1763">
        <v>0.85</v>
      </c>
      <c r="N37" s="1540">
        <f>P37*E37*F37+I37*E37*F37+J37*E37</f>
        <v>1.4158819444444449E-3</v>
      </c>
      <c r="O37" s="1541">
        <f t="shared" si="37"/>
        <v>1.4145833333333339E-4</v>
      </c>
      <c r="P37" s="1709">
        <f>O37*M37</f>
        <v>1.2023958333333338E-4</v>
      </c>
      <c r="Q37" s="1764">
        <v>170</v>
      </c>
      <c r="R37" s="1765">
        <f>E37*F37*G37</f>
        <v>120</v>
      </c>
      <c r="S37" s="1531">
        <f t="shared" si="22"/>
        <v>0.12</v>
      </c>
      <c r="T37" s="1532">
        <f t="shared" si="23"/>
        <v>3.3950000000000013E-3</v>
      </c>
      <c r="U37" s="1701">
        <f t="shared" si="24"/>
        <v>0</v>
      </c>
      <c r="V37" s="1702">
        <f t="shared" si="25"/>
        <v>0</v>
      </c>
      <c r="W37" s="1703">
        <f t="shared" si="26"/>
        <v>0</v>
      </c>
      <c r="X37" s="1704">
        <f t="shared" si="27"/>
        <v>0</v>
      </c>
      <c r="Y37" s="1705">
        <f t="shared" si="28"/>
        <v>0</v>
      </c>
      <c r="Z37" s="1706">
        <f t="shared" si="29"/>
        <v>0</v>
      </c>
      <c r="AA37" s="1707">
        <f t="shared" si="30"/>
        <v>0.12</v>
      </c>
      <c r="AC37" s="1533"/>
      <c r="AD37" s="1533"/>
      <c r="AE37" s="1533"/>
      <c r="AF37" s="1533"/>
      <c r="AG37" s="1533"/>
      <c r="AH37" s="1533"/>
      <c r="AI37" s="1511"/>
      <c r="AJ37" s="1511"/>
      <c r="AK37" s="1511"/>
      <c r="AL37" s="1511"/>
      <c r="AM37" s="1511"/>
    </row>
    <row r="38" spans="1:40" ht="14" thickBot="1">
      <c r="A38" s="1724"/>
      <c r="B38" s="1725" t="s">
        <v>459</v>
      </c>
      <c r="C38" s="629">
        <f t="shared" si="14"/>
        <v>2.2880964381720439E-4</v>
      </c>
      <c r="D38" s="1792">
        <v>1</v>
      </c>
      <c r="E38" s="1726">
        <v>1</v>
      </c>
      <c r="F38" s="1726">
        <v>1</v>
      </c>
      <c r="G38" s="1726">
        <v>100</v>
      </c>
      <c r="H38" s="1528"/>
      <c r="I38" s="1528">
        <v>0</v>
      </c>
      <c r="J38" s="1528">
        <v>0</v>
      </c>
      <c r="K38" s="1529" t="s">
        <v>706</v>
      </c>
      <c r="L38" s="1721">
        <f>L37+N37</f>
        <v>0.82651176378943958</v>
      </c>
      <c r="M38" s="1758">
        <v>1</v>
      </c>
      <c r="N38" s="1528">
        <f t="shared" si="36"/>
        <v>9.1523857526881758E-4</v>
      </c>
      <c r="O38" s="1528">
        <f t="shared" si="37"/>
        <v>9.1523857526881758E-4</v>
      </c>
      <c r="P38" s="1727">
        <f t="shared" si="38"/>
        <v>9.1523857526881758E-4</v>
      </c>
      <c r="Q38" s="1759">
        <v>129</v>
      </c>
      <c r="R38" s="1726">
        <f t="shared" si="39"/>
        <v>100</v>
      </c>
      <c r="S38" s="1531">
        <f t="shared" si="22"/>
        <v>0.1</v>
      </c>
      <c r="T38" s="1532">
        <f t="shared" si="23"/>
        <v>3.6609543010752703E-3</v>
      </c>
      <c r="U38" s="1701">
        <f t="shared" si="24"/>
        <v>0.1</v>
      </c>
      <c r="V38" s="1702">
        <f t="shared" si="25"/>
        <v>0</v>
      </c>
      <c r="W38" s="1703">
        <f t="shared" si="26"/>
        <v>0</v>
      </c>
      <c r="X38" s="1704">
        <f t="shared" si="27"/>
        <v>0</v>
      </c>
      <c r="Y38" s="1705">
        <f t="shared" si="28"/>
        <v>0</v>
      </c>
      <c r="Z38" s="1706">
        <f t="shared" si="29"/>
        <v>0</v>
      </c>
      <c r="AA38" s="1707">
        <f t="shared" si="30"/>
        <v>0</v>
      </c>
      <c r="AC38" s="1533"/>
      <c r="AD38" s="1533"/>
      <c r="AE38" s="1533"/>
      <c r="AF38" s="1533"/>
      <c r="AG38" s="1533"/>
      <c r="AH38" s="1533"/>
      <c r="AI38" s="1511"/>
      <c r="AJ38" s="1511"/>
      <c r="AK38" s="1511"/>
      <c r="AL38" s="1511"/>
      <c r="AM38" s="1511"/>
    </row>
    <row r="39" spans="1:40" ht="14" thickBot="1">
      <c r="A39" s="1769"/>
      <c r="B39" s="1769"/>
      <c r="C39" s="629">
        <f t="shared" si="14"/>
        <v>0</v>
      </c>
      <c r="D39" s="1795"/>
      <c r="E39" s="1770"/>
      <c r="F39" s="1770"/>
      <c r="G39" s="1770"/>
      <c r="H39" s="1770"/>
      <c r="I39" s="1770"/>
      <c r="J39" s="1770"/>
      <c r="K39" s="1771"/>
      <c r="L39" s="1772">
        <f>L38+N38</f>
        <v>0.82742700236470845</v>
      </c>
      <c r="M39" s="1773"/>
      <c r="N39" s="1771">
        <f>SUM(N31:N38)</f>
        <v>3.2829191600819527E-2</v>
      </c>
      <c r="O39" s="1774">
        <f t="shared" si="37"/>
        <v>0</v>
      </c>
      <c r="P39" s="1774"/>
      <c r="Q39" s="1774"/>
      <c r="R39" s="1775">
        <f>SUM(R31:R38)</f>
        <v>2210</v>
      </c>
      <c r="S39" s="1531">
        <f t="shared" si="22"/>
        <v>0</v>
      </c>
      <c r="T39" s="1532">
        <f t="shared" si="23"/>
        <v>0</v>
      </c>
      <c r="U39" s="1701">
        <f t="shared" si="24"/>
        <v>0</v>
      </c>
      <c r="V39" s="1702">
        <f t="shared" si="25"/>
        <v>0</v>
      </c>
      <c r="W39" s="1703">
        <f t="shared" si="26"/>
        <v>0</v>
      </c>
      <c r="X39" s="1704">
        <f t="shared" si="27"/>
        <v>0</v>
      </c>
      <c r="Y39" s="1705">
        <f t="shared" si="28"/>
        <v>0</v>
      </c>
      <c r="Z39" s="1706">
        <f t="shared" si="29"/>
        <v>0</v>
      </c>
      <c r="AA39" s="1707">
        <f t="shared" si="30"/>
        <v>0</v>
      </c>
      <c r="AC39" s="1533"/>
      <c r="AD39" s="1533"/>
      <c r="AE39" s="1533"/>
      <c r="AF39" s="1533"/>
      <c r="AG39" s="1533"/>
      <c r="AH39" s="1533"/>
      <c r="AI39" s="1511"/>
      <c r="AJ39" s="1511"/>
      <c r="AK39" s="1511"/>
      <c r="AL39" s="1511"/>
      <c r="AM39" s="1511"/>
    </row>
    <row r="40" spans="1:40" ht="19" customHeight="1" thickBot="1">
      <c r="A40" s="1757" t="s">
        <v>218</v>
      </c>
      <c r="B40" s="1757" t="s">
        <v>215</v>
      </c>
      <c r="C40" s="629">
        <f t="shared" si="14"/>
        <v>0</v>
      </c>
      <c r="D40" s="1792"/>
      <c r="E40" s="1726"/>
      <c r="F40" s="1726"/>
      <c r="G40" s="1726"/>
      <c r="H40" s="1528"/>
      <c r="I40" s="1749" t="s">
        <v>2112</v>
      </c>
      <c r="J40" s="1528"/>
      <c r="K40" s="1784"/>
      <c r="L40" s="1528"/>
      <c r="M40" s="1758"/>
      <c r="N40" s="1528"/>
      <c r="O40" s="1528">
        <f t="shared" si="37"/>
        <v>0</v>
      </c>
      <c r="P40" s="1727"/>
      <c r="Q40" s="1785"/>
      <c r="R40" s="1726"/>
      <c r="S40" s="1531">
        <f t="shared" si="22"/>
        <v>0</v>
      </c>
      <c r="T40" s="1532">
        <f t="shared" si="23"/>
        <v>0</v>
      </c>
      <c r="U40" s="1701">
        <f t="shared" si="24"/>
        <v>0</v>
      </c>
      <c r="V40" s="1702">
        <f t="shared" si="25"/>
        <v>0</v>
      </c>
      <c r="W40" s="1703">
        <f t="shared" si="26"/>
        <v>0</v>
      </c>
      <c r="X40" s="1704">
        <f t="shared" si="27"/>
        <v>0</v>
      </c>
      <c r="Y40" s="1705">
        <f t="shared" si="28"/>
        <v>0</v>
      </c>
      <c r="Z40" s="1706">
        <f t="shared" si="29"/>
        <v>0</v>
      </c>
      <c r="AA40" s="1707">
        <f t="shared" si="30"/>
        <v>0</v>
      </c>
      <c r="AC40" s="1533"/>
      <c r="AD40" s="1533"/>
      <c r="AE40" s="1533"/>
      <c r="AF40" s="1533"/>
      <c r="AG40" s="1533"/>
      <c r="AH40" s="1533"/>
      <c r="AI40" s="1511"/>
      <c r="AJ40" s="1511"/>
      <c r="AK40" s="1511"/>
      <c r="AL40" s="1511"/>
      <c r="AM40" s="1511"/>
      <c r="AN40" s="1504"/>
    </row>
    <row r="41" spans="1:40" ht="14" thickBot="1">
      <c r="A41" s="1757" t="s">
        <v>139</v>
      </c>
      <c r="B41" s="1757" t="s">
        <v>459</v>
      </c>
      <c r="C41" s="629">
        <f t="shared" si="14"/>
        <v>2.2880964381720439E-4</v>
      </c>
      <c r="D41" s="1792">
        <v>1</v>
      </c>
      <c r="E41" s="1726">
        <v>1</v>
      </c>
      <c r="F41" s="1726">
        <v>1</v>
      </c>
      <c r="G41" s="1726">
        <v>800</v>
      </c>
      <c r="H41" s="1528"/>
      <c r="I41" s="1528">
        <v>0</v>
      </c>
      <c r="J41" s="1528">
        <v>1.1574074074074073E-4</v>
      </c>
      <c r="K41" s="1529" t="s">
        <v>300</v>
      </c>
      <c r="L41" s="1730">
        <v>0.79861111111111116</v>
      </c>
      <c r="M41" s="1758">
        <v>1</v>
      </c>
      <c r="N41" s="1528">
        <f t="shared" ref="N41:N45" si="40">P41*E41*F41+I41*E41*F41+J41*E41</f>
        <v>7.4376493428912815E-3</v>
      </c>
      <c r="O41" s="1528">
        <f t="shared" ref="O41:O49" si="41">C41*(G41/25)</f>
        <v>7.3219086021505406E-3</v>
      </c>
      <c r="P41" s="1727">
        <f t="shared" ref="P41:P46" si="42">O41*M41</f>
        <v>7.3219086021505406E-3</v>
      </c>
      <c r="Q41" s="1759">
        <v>129</v>
      </c>
      <c r="R41" s="1726">
        <f t="shared" ref="R41:R46" si="43">E41*F41*G41</f>
        <v>800</v>
      </c>
      <c r="S41" s="1531">
        <f t="shared" si="22"/>
        <v>0.8</v>
      </c>
      <c r="T41" s="1532">
        <f t="shared" si="23"/>
        <v>2.9287634408602162E-2</v>
      </c>
      <c r="U41" s="1701">
        <f t="shared" si="24"/>
        <v>0.8</v>
      </c>
      <c r="V41" s="1702">
        <f t="shared" si="25"/>
        <v>0</v>
      </c>
      <c r="W41" s="1703">
        <f t="shared" si="26"/>
        <v>0</v>
      </c>
      <c r="X41" s="1704">
        <f t="shared" si="27"/>
        <v>0</v>
      </c>
      <c r="Y41" s="1705">
        <f t="shared" si="28"/>
        <v>0</v>
      </c>
      <c r="Z41" s="1706">
        <f t="shared" si="29"/>
        <v>0</v>
      </c>
      <c r="AA41" s="1707">
        <f t="shared" si="30"/>
        <v>0</v>
      </c>
      <c r="AC41" s="1533"/>
      <c r="AD41" s="1533"/>
      <c r="AE41" s="1533"/>
      <c r="AF41" s="1533"/>
      <c r="AG41" s="1533"/>
      <c r="AH41" s="1533"/>
      <c r="AI41" s="1511"/>
      <c r="AJ41" s="1511"/>
      <c r="AK41" s="1511"/>
      <c r="AL41" s="1511"/>
      <c r="AM41" s="1511"/>
      <c r="AN41" s="1504"/>
    </row>
    <row r="42" spans="1:40" ht="14" thickBot="1">
      <c r="A42" s="1757" t="s">
        <v>458</v>
      </c>
      <c r="B42" s="1757" t="s">
        <v>459</v>
      </c>
      <c r="C42" s="629">
        <f t="shared" si="14"/>
        <v>2.1908757716049393E-4</v>
      </c>
      <c r="D42" s="1796">
        <v>2</v>
      </c>
      <c r="E42" s="1710">
        <v>1</v>
      </c>
      <c r="F42" s="1710">
        <v>1</v>
      </c>
      <c r="G42" s="1710">
        <v>400</v>
      </c>
      <c r="H42" s="1535"/>
      <c r="I42" s="1535">
        <v>2.8935185185185189E-4</v>
      </c>
      <c r="J42" s="1535">
        <v>1.3888888888888889E-3</v>
      </c>
      <c r="K42" s="1536" t="s">
        <v>186</v>
      </c>
      <c r="L42" s="1728">
        <f t="shared" ref="L42:L43" si="44">L41+N41</f>
        <v>0.80604876045400242</v>
      </c>
      <c r="M42" s="1776">
        <v>1</v>
      </c>
      <c r="N42" s="1535">
        <f t="shared" si="40"/>
        <v>5.1836419753086439E-3</v>
      </c>
      <c r="O42" s="1535">
        <f t="shared" si="41"/>
        <v>3.5054012345679029E-3</v>
      </c>
      <c r="P42" s="1711">
        <f t="shared" si="42"/>
        <v>3.5054012345679029E-3</v>
      </c>
      <c r="Q42" s="1777">
        <v>129</v>
      </c>
      <c r="R42" s="1712">
        <f t="shared" si="43"/>
        <v>400</v>
      </c>
      <c r="S42" s="1531"/>
      <c r="T42" s="1532"/>
      <c r="U42" s="1701">
        <f t="shared" ref="U42:U49" si="45">IF(C42*4&gt;=$U$4,S42,0)</f>
        <v>0</v>
      </c>
      <c r="V42" s="1702">
        <f t="shared" ref="V42:V49" si="46">IF(AND(C42*4&gt;=$V$4,C42*4&lt;$U$4),S42,0)</f>
        <v>0</v>
      </c>
      <c r="W42" s="1703">
        <f t="shared" ref="W42:W49" si="47">IF(AND(C42*4&gt;=$W$4,C42*4&lt;$V$4),S42,0)</f>
        <v>0</v>
      </c>
      <c r="X42" s="1704">
        <f t="shared" ref="X42:X49" si="48">IF(AND(C42*4&gt;=$X$4,C42*4&lt;$W$4),S42,0)</f>
        <v>0</v>
      </c>
      <c r="Y42" s="1705">
        <f t="shared" ref="Y42:Y49" si="49">IF(AND(C42*4&gt;=$Y$4,C42*4&lt;$X$4),S42,0)</f>
        <v>0</v>
      </c>
      <c r="Z42" s="1706">
        <f t="shared" ref="Z42:Z49" si="50">IF(AND(C42*4&gt;=$Z$4,C42*4&lt;$Y$4),S42,0)</f>
        <v>0</v>
      </c>
      <c r="AA42" s="1707">
        <f t="shared" ref="AA42:AA49" si="51">IF(AND(C42*4&gt;=$AA$4,C42*4&lt;$Z$4),S42,0)</f>
        <v>0</v>
      </c>
      <c r="AC42" s="1533"/>
      <c r="AD42" s="1533"/>
      <c r="AE42" s="1533"/>
      <c r="AF42" s="1533"/>
      <c r="AG42" s="1533"/>
      <c r="AH42" s="1533"/>
      <c r="AI42" s="1511"/>
      <c r="AJ42" s="1511"/>
      <c r="AK42" s="1511"/>
      <c r="AL42" s="1511"/>
      <c r="AM42" s="1511"/>
      <c r="AN42" s="1504"/>
    </row>
    <row r="43" spans="1:40" ht="14" thickBot="1">
      <c r="A43" s="1757" t="s">
        <v>462</v>
      </c>
      <c r="B43" s="1757" t="s">
        <v>459</v>
      </c>
      <c r="C43" s="629">
        <f t="shared" si="14"/>
        <v>2.1222190799396687E-4</v>
      </c>
      <c r="D43" s="1797">
        <v>3</v>
      </c>
      <c r="E43" s="1696">
        <v>1</v>
      </c>
      <c r="F43" s="1696">
        <v>1</v>
      </c>
      <c r="G43" s="1696">
        <v>200</v>
      </c>
      <c r="H43" s="1697"/>
      <c r="I43" s="1697">
        <v>2.3148148148148146E-4</v>
      </c>
      <c r="J43" s="1697">
        <v>1.3888888888888889E-3</v>
      </c>
      <c r="K43" s="1698" t="s">
        <v>922</v>
      </c>
      <c r="L43" s="1699">
        <f t="shared" si="44"/>
        <v>0.81123240242931105</v>
      </c>
      <c r="M43" s="1778">
        <v>1</v>
      </c>
      <c r="N43" s="1697">
        <f t="shared" si="40"/>
        <v>3.318145634322105E-3</v>
      </c>
      <c r="O43" s="1697">
        <f t="shared" si="41"/>
        <v>1.6977752639517349E-3</v>
      </c>
      <c r="P43" s="1700">
        <f t="shared" si="42"/>
        <v>1.6977752639517349E-3</v>
      </c>
      <c r="Q43" s="1779">
        <v>140</v>
      </c>
      <c r="R43" s="1696">
        <f t="shared" si="43"/>
        <v>200</v>
      </c>
      <c r="S43" s="1531"/>
      <c r="T43" s="1532"/>
      <c r="U43" s="1701">
        <f t="shared" si="45"/>
        <v>0</v>
      </c>
      <c r="V43" s="1702">
        <f t="shared" si="46"/>
        <v>0</v>
      </c>
      <c r="W43" s="1703">
        <f t="shared" si="47"/>
        <v>0</v>
      </c>
      <c r="X43" s="1704">
        <f t="shared" si="48"/>
        <v>0</v>
      </c>
      <c r="Y43" s="1705">
        <f t="shared" si="49"/>
        <v>0</v>
      </c>
      <c r="Z43" s="1706">
        <f t="shared" si="50"/>
        <v>0</v>
      </c>
      <c r="AA43" s="1707">
        <f t="shared" si="51"/>
        <v>0</v>
      </c>
      <c r="AC43" s="1533"/>
      <c r="AD43" s="1533"/>
      <c r="AE43" s="1533"/>
      <c r="AF43" s="1533"/>
      <c r="AG43" s="1533"/>
      <c r="AH43" s="1533"/>
      <c r="AI43" s="1511"/>
      <c r="AJ43" s="1511"/>
      <c r="AK43" s="1511"/>
      <c r="AL43" s="1511"/>
      <c r="AM43" s="1511"/>
      <c r="AN43" s="1504"/>
    </row>
    <row r="44" spans="1:40" ht="14" thickBot="1">
      <c r="A44" s="1757" t="s">
        <v>460</v>
      </c>
      <c r="B44" s="5488">
        <v>3</v>
      </c>
      <c r="C44" s="629">
        <f t="shared" si="14"/>
        <v>2.2880964381720439E-4</v>
      </c>
      <c r="D44" s="1792">
        <v>1</v>
      </c>
      <c r="E44" s="1726">
        <v>1</v>
      </c>
      <c r="F44" s="1726">
        <v>12</v>
      </c>
      <c r="G44" s="1726">
        <v>25</v>
      </c>
      <c r="H44" s="1528"/>
      <c r="I44" s="1528">
        <v>0</v>
      </c>
      <c r="J44" s="1528">
        <v>1.1574074074074073E-4</v>
      </c>
      <c r="K44" s="1529" t="s">
        <v>706</v>
      </c>
      <c r="L44" s="1721">
        <f>L43+N43</f>
        <v>0.81455054806363314</v>
      </c>
      <c r="M44" s="1758">
        <v>1</v>
      </c>
      <c r="N44" s="1528">
        <f t="shared" si="40"/>
        <v>2.8614564665471937E-3</v>
      </c>
      <c r="O44" s="1528">
        <f t="shared" si="41"/>
        <v>2.2880964381720439E-4</v>
      </c>
      <c r="P44" s="1727">
        <f t="shared" si="42"/>
        <v>2.2880964381720439E-4</v>
      </c>
      <c r="Q44" s="1759">
        <v>129</v>
      </c>
      <c r="R44" s="1726">
        <f t="shared" si="43"/>
        <v>300</v>
      </c>
      <c r="S44" s="1531"/>
      <c r="T44" s="1532"/>
      <c r="U44" s="1701">
        <f t="shared" si="45"/>
        <v>0</v>
      </c>
      <c r="V44" s="1702">
        <f t="shared" si="46"/>
        <v>0</v>
      </c>
      <c r="W44" s="1703">
        <f t="shared" si="47"/>
        <v>0</v>
      </c>
      <c r="X44" s="1704">
        <f t="shared" si="48"/>
        <v>0</v>
      </c>
      <c r="Y44" s="1705">
        <f t="shared" si="49"/>
        <v>0</v>
      </c>
      <c r="Z44" s="1706">
        <f t="shared" si="50"/>
        <v>0</v>
      </c>
      <c r="AA44" s="1707">
        <f t="shared" si="51"/>
        <v>0</v>
      </c>
      <c r="AC44" s="1533"/>
      <c r="AD44" s="1533"/>
      <c r="AE44" s="1533"/>
      <c r="AF44" s="1533"/>
      <c r="AG44" s="1533"/>
      <c r="AH44" s="1533"/>
      <c r="AI44" s="1511"/>
      <c r="AJ44" s="1511"/>
      <c r="AK44" s="1511"/>
      <c r="AL44" s="1511"/>
      <c r="AM44" s="1511"/>
      <c r="AN44" s="1504"/>
    </row>
    <row r="45" spans="1:40" ht="14" thickBot="1">
      <c r="A45" s="1757" t="s">
        <v>458</v>
      </c>
      <c r="B45" s="1757" t="s">
        <v>459</v>
      </c>
      <c r="C45" s="629">
        <f t="shared" si="14"/>
        <v>1.7682291666666674E-4</v>
      </c>
      <c r="D45" s="1794">
        <v>7</v>
      </c>
      <c r="E45" s="1762">
        <v>2</v>
      </c>
      <c r="F45" s="1762">
        <v>4</v>
      </c>
      <c r="G45" s="1762">
        <v>25</v>
      </c>
      <c r="H45" s="1541"/>
      <c r="I45" s="1541">
        <v>4.6296296296296293E-4</v>
      </c>
      <c r="J45" s="1541">
        <v>1.3888888888888889E-3</v>
      </c>
      <c r="K45" s="1783" t="s">
        <v>1205</v>
      </c>
      <c r="L45" s="1708">
        <f>L44+N44</f>
        <v>0.81741200453018037</v>
      </c>
      <c r="M45" s="1763">
        <v>0.85</v>
      </c>
      <c r="N45" s="1541">
        <f t="shared" si="40"/>
        <v>7.6838773148148153E-3</v>
      </c>
      <c r="O45" s="1541">
        <f t="shared" si="41"/>
        <v>1.7682291666666674E-4</v>
      </c>
      <c r="P45" s="1709">
        <f t="shared" si="42"/>
        <v>1.5029947916666672E-4</v>
      </c>
      <c r="Q45" s="1764">
        <v>170</v>
      </c>
      <c r="R45" s="1765">
        <f t="shared" si="43"/>
        <v>200</v>
      </c>
      <c r="S45" s="1531">
        <f t="shared" si="22"/>
        <v>0.2</v>
      </c>
      <c r="T45" s="1532">
        <f t="shared" si="23"/>
        <v>5.6583333333333355E-3</v>
      </c>
      <c r="U45" s="1701">
        <f t="shared" si="45"/>
        <v>0</v>
      </c>
      <c r="V45" s="1702">
        <f t="shared" si="46"/>
        <v>0</v>
      </c>
      <c r="W45" s="1703">
        <f t="shared" si="47"/>
        <v>0</v>
      </c>
      <c r="X45" s="1704">
        <f t="shared" si="48"/>
        <v>0</v>
      </c>
      <c r="Y45" s="1705">
        <f t="shared" si="49"/>
        <v>0</v>
      </c>
      <c r="Z45" s="1706">
        <f t="shared" si="50"/>
        <v>0</v>
      </c>
      <c r="AA45" s="1707">
        <f t="shared" si="51"/>
        <v>0.2</v>
      </c>
      <c r="AC45" s="1533"/>
      <c r="AD45" s="1533"/>
      <c r="AE45" s="1533"/>
      <c r="AF45" s="1533"/>
      <c r="AG45" s="1533"/>
      <c r="AH45" s="1533"/>
      <c r="AI45" s="1511"/>
      <c r="AJ45" s="1511"/>
      <c r="AK45" s="1511"/>
      <c r="AL45" s="1511"/>
      <c r="AM45" s="1511"/>
      <c r="AN45" s="1504"/>
    </row>
    <row r="46" spans="1:40" ht="14" thickBot="1">
      <c r="A46" s="1757" t="s">
        <v>219</v>
      </c>
      <c r="B46" s="1757" t="s">
        <v>459</v>
      </c>
      <c r="C46" s="629">
        <f t="shared" si="14"/>
        <v>1.7682291666666674E-4</v>
      </c>
      <c r="D46" s="1794">
        <v>7</v>
      </c>
      <c r="E46" s="1766">
        <v>1</v>
      </c>
      <c r="F46" s="1766">
        <v>6</v>
      </c>
      <c r="G46" s="1766">
        <v>15</v>
      </c>
      <c r="H46" s="1540"/>
      <c r="I46" s="1540">
        <v>4.6296296296296293E-4</v>
      </c>
      <c r="J46" s="1540">
        <v>6.9444444444444447E-4</v>
      </c>
      <c r="K46" s="1767" t="s">
        <v>921</v>
      </c>
      <c r="L46" s="1708">
        <f>L45+N45</f>
        <v>0.82509588184499516</v>
      </c>
      <c r="M46" s="1763">
        <v>0.85</v>
      </c>
      <c r="N46" s="1540">
        <f>P46*E46*F46+I46*E46*F46+J46*E46</f>
        <v>4.0133003472222224E-3</v>
      </c>
      <c r="O46" s="1541">
        <f t="shared" si="41"/>
        <v>1.0609375000000004E-4</v>
      </c>
      <c r="P46" s="1709">
        <f t="shared" si="42"/>
        <v>9.0179687500000036E-5</v>
      </c>
      <c r="Q46" s="1764">
        <v>170</v>
      </c>
      <c r="R46" s="1765">
        <f t="shared" si="43"/>
        <v>90</v>
      </c>
      <c r="S46" s="1531">
        <f t="shared" si="22"/>
        <v>0.09</v>
      </c>
      <c r="T46" s="1532">
        <f t="shared" si="23"/>
        <v>2.5462500000000008E-3</v>
      </c>
      <c r="U46" s="1701">
        <f t="shared" si="45"/>
        <v>0</v>
      </c>
      <c r="V46" s="1702">
        <f t="shared" si="46"/>
        <v>0</v>
      </c>
      <c r="W46" s="1703">
        <f t="shared" si="47"/>
        <v>0</v>
      </c>
      <c r="X46" s="1704">
        <f t="shared" si="48"/>
        <v>0</v>
      </c>
      <c r="Y46" s="1705">
        <f t="shared" si="49"/>
        <v>0</v>
      </c>
      <c r="Z46" s="1706">
        <f t="shared" si="50"/>
        <v>0</v>
      </c>
      <c r="AA46" s="1707">
        <f t="shared" si="51"/>
        <v>0.09</v>
      </c>
      <c r="AC46" s="1533"/>
      <c r="AD46" s="1533"/>
      <c r="AE46" s="1533"/>
      <c r="AF46" s="1533"/>
      <c r="AG46" s="1533"/>
      <c r="AH46" s="1533"/>
      <c r="AI46" s="1511"/>
      <c r="AJ46" s="1511"/>
      <c r="AK46" s="1511"/>
      <c r="AL46" s="1511"/>
      <c r="AM46" s="1511"/>
      <c r="AN46" s="1504"/>
    </row>
    <row r="47" spans="1:40" ht="14" thickBot="1">
      <c r="A47" s="1757"/>
      <c r="B47" s="1757" t="s">
        <v>459</v>
      </c>
      <c r="C47" s="629">
        <f t="shared" si="14"/>
        <v>1.7682291666666674E-4</v>
      </c>
      <c r="D47" s="1794">
        <v>7</v>
      </c>
      <c r="E47" s="1766">
        <v>1</v>
      </c>
      <c r="F47" s="1766">
        <v>6</v>
      </c>
      <c r="G47" s="1766">
        <v>20</v>
      </c>
      <c r="H47" s="1540"/>
      <c r="I47" s="1540">
        <v>4.6296296296296293E-4</v>
      </c>
      <c r="J47" s="1540">
        <v>6.9444444444444447E-4</v>
      </c>
      <c r="K47" s="1767" t="s">
        <v>900</v>
      </c>
      <c r="L47" s="1708">
        <f>L45+N45</f>
        <v>0.82509588184499516</v>
      </c>
      <c r="M47" s="1763">
        <v>0.85</v>
      </c>
      <c r="N47" s="1540">
        <f>P47*E47*F47+I47*E47*F47+J47*E47</f>
        <v>4.1936597222222219E-3</v>
      </c>
      <c r="O47" s="1541">
        <f t="shared" si="41"/>
        <v>1.4145833333333339E-4</v>
      </c>
      <c r="P47" s="1709">
        <f>O47*M47</f>
        <v>1.2023958333333338E-4</v>
      </c>
      <c r="Q47" s="1764">
        <v>170</v>
      </c>
      <c r="R47" s="1765">
        <f>E47*F47*G47</f>
        <v>120</v>
      </c>
      <c r="S47" s="1531">
        <f t="shared" si="22"/>
        <v>0.12</v>
      </c>
      <c r="T47" s="1532">
        <f t="shared" si="23"/>
        <v>3.3950000000000013E-3</v>
      </c>
      <c r="U47" s="1701">
        <f t="shared" si="45"/>
        <v>0</v>
      </c>
      <c r="V47" s="1702">
        <f t="shared" si="46"/>
        <v>0</v>
      </c>
      <c r="W47" s="1703">
        <f t="shared" si="47"/>
        <v>0</v>
      </c>
      <c r="X47" s="1704">
        <f t="shared" si="48"/>
        <v>0</v>
      </c>
      <c r="Y47" s="1705">
        <f t="shared" si="49"/>
        <v>0</v>
      </c>
      <c r="Z47" s="1706">
        <f t="shared" si="50"/>
        <v>0</v>
      </c>
      <c r="AA47" s="1707">
        <f t="shared" si="51"/>
        <v>0.12</v>
      </c>
      <c r="AC47" s="1533"/>
      <c r="AD47" s="1533"/>
      <c r="AE47" s="1533"/>
      <c r="AF47" s="1533"/>
      <c r="AG47" s="1533"/>
      <c r="AH47" s="1533"/>
      <c r="AI47" s="1511"/>
      <c r="AJ47" s="1511"/>
      <c r="AK47" s="1511"/>
      <c r="AL47" s="1511"/>
      <c r="AM47" s="1511"/>
      <c r="AN47" s="1504"/>
    </row>
    <row r="48" spans="1:40" ht="14" thickBot="1">
      <c r="A48" s="1757"/>
      <c r="B48" s="1757" t="s">
        <v>459</v>
      </c>
      <c r="C48" s="629">
        <f t="shared" si="14"/>
        <v>2.2880964381720439E-4</v>
      </c>
      <c r="D48" s="1792">
        <v>1</v>
      </c>
      <c r="E48" s="1726">
        <v>1</v>
      </c>
      <c r="F48" s="1726">
        <v>1</v>
      </c>
      <c r="G48" s="1726">
        <v>100</v>
      </c>
      <c r="H48" s="1528"/>
      <c r="I48" s="1528">
        <v>0</v>
      </c>
      <c r="J48" s="1528">
        <v>0</v>
      </c>
      <c r="K48" s="1529" t="s">
        <v>706</v>
      </c>
      <c r="L48" s="1721">
        <f>L47+N47</f>
        <v>0.82928954156721735</v>
      </c>
      <c r="M48" s="1758">
        <v>1</v>
      </c>
      <c r="N48" s="1528">
        <f t="shared" ref="N48" si="52">P48*E48*F48+I48*E48*F48+J48*E48</f>
        <v>9.1523857526881758E-4</v>
      </c>
      <c r="O48" s="1528">
        <f t="shared" si="41"/>
        <v>9.1523857526881758E-4</v>
      </c>
      <c r="P48" s="1727">
        <f t="shared" ref="P48" si="53">O48*M48</f>
        <v>9.1523857526881758E-4</v>
      </c>
      <c r="Q48" s="1759">
        <v>129</v>
      </c>
      <c r="R48" s="1726">
        <f t="shared" ref="R48" si="54">E48*F48*G48</f>
        <v>100</v>
      </c>
      <c r="S48" s="1531">
        <f t="shared" si="22"/>
        <v>0.1</v>
      </c>
      <c r="T48" s="1532">
        <f t="shared" si="23"/>
        <v>3.6609543010752703E-3</v>
      </c>
      <c r="U48" s="1701">
        <f t="shared" si="45"/>
        <v>0.1</v>
      </c>
      <c r="V48" s="1702">
        <f t="shared" si="46"/>
        <v>0</v>
      </c>
      <c r="W48" s="1703">
        <f t="shared" si="47"/>
        <v>0</v>
      </c>
      <c r="X48" s="1704">
        <f t="shared" si="48"/>
        <v>0</v>
      </c>
      <c r="Y48" s="1705">
        <f t="shared" si="49"/>
        <v>0</v>
      </c>
      <c r="Z48" s="1706">
        <f t="shared" si="50"/>
        <v>0</v>
      </c>
      <c r="AA48" s="1707">
        <f t="shared" si="51"/>
        <v>0</v>
      </c>
      <c r="AC48" s="1533"/>
      <c r="AD48" s="1533"/>
      <c r="AE48" s="1533"/>
      <c r="AF48" s="1533"/>
      <c r="AG48" s="1533"/>
      <c r="AH48" s="1533"/>
      <c r="AI48" s="1511"/>
      <c r="AJ48" s="1511"/>
      <c r="AK48" s="1511"/>
      <c r="AL48" s="1511"/>
      <c r="AM48" s="1511"/>
      <c r="AN48" s="1504"/>
    </row>
    <row r="49" spans="1:40" ht="14" thickBot="1">
      <c r="A49" s="1504"/>
      <c r="B49" s="1769"/>
      <c r="C49" s="629">
        <f t="shared" si="14"/>
        <v>0</v>
      </c>
      <c r="D49" s="1795"/>
      <c r="E49" s="1770"/>
      <c r="F49" s="1770"/>
      <c r="G49" s="1770"/>
      <c r="H49" s="1770"/>
      <c r="I49" s="1770"/>
      <c r="J49" s="1770"/>
      <c r="K49" s="1771"/>
      <c r="L49" s="1772">
        <f>L48+N48</f>
        <v>0.83020478014248622</v>
      </c>
      <c r="M49" s="1773"/>
      <c r="N49" s="1771">
        <f>SUM(N41:N48)</f>
        <v>3.5606969378597302E-2</v>
      </c>
      <c r="O49" s="1774">
        <f t="shared" si="41"/>
        <v>0</v>
      </c>
      <c r="P49" s="1774"/>
      <c r="Q49" s="1774"/>
      <c r="R49" s="1775">
        <f>SUM(R41:R48)</f>
        <v>2210</v>
      </c>
      <c r="S49" s="1531">
        <f t="shared" si="22"/>
        <v>0</v>
      </c>
      <c r="T49" s="1532">
        <f t="shared" si="23"/>
        <v>0</v>
      </c>
      <c r="U49" s="1701">
        <f t="shared" si="45"/>
        <v>0</v>
      </c>
      <c r="V49" s="1702">
        <f t="shared" si="46"/>
        <v>0</v>
      </c>
      <c r="W49" s="1703">
        <f t="shared" si="47"/>
        <v>0</v>
      </c>
      <c r="X49" s="1704">
        <f t="shared" si="48"/>
        <v>0</v>
      </c>
      <c r="Y49" s="1705">
        <f t="shared" si="49"/>
        <v>0</v>
      </c>
      <c r="Z49" s="1706">
        <f t="shared" si="50"/>
        <v>0</v>
      </c>
      <c r="AA49" s="1707">
        <f t="shared" si="51"/>
        <v>0</v>
      </c>
      <c r="AC49" s="1524"/>
      <c r="AD49" s="1524"/>
      <c r="AE49" s="1524"/>
      <c r="AF49" s="1524"/>
      <c r="AG49" s="1524"/>
      <c r="AH49" s="1524"/>
      <c r="AI49" s="1524"/>
      <c r="AJ49" s="1524"/>
      <c r="AK49" s="1524"/>
      <c r="AL49" s="1524"/>
      <c r="AM49" s="1524"/>
      <c r="AN49" s="1504"/>
    </row>
    <row r="50" spans="1:40" ht="19.25" customHeight="1" thickBot="1">
      <c r="A50" s="1504"/>
      <c r="B50" s="1745">
        <v>2</v>
      </c>
      <c r="C50" s="629">
        <f t="shared" si="14"/>
        <v>0</v>
      </c>
      <c r="D50" s="1792"/>
      <c r="E50" s="1726"/>
      <c r="F50" s="1726"/>
      <c r="G50" s="1726"/>
      <c r="H50" s="1528"/>
      <c r="I50" s="1749" t="s">
        <v>2110</v>
      </c>
      <c r="J50" s="1528"/>
      <c r="K50" s="1784" t="s">
        <v>2111</v>
      </c>
      <c r="L50" s="1528"/>
      <c r="M50" s="1758"/>
      <c r="N50" s="1528"/>
      <c r="O50" s="1528">
        <f>C50*(G50/25)</f>
        <v>0</v>
      </c>
      <c r="P50" s="1727"/>
      <c r="Q50" s="1785"/>
      <c r="R50" s="1726"/>
      <c r="S50" s="1531">
        <f t="shared" si="22"/>
        <v>0</v>
      </c>
      <c r="T50" s="1532">
        <f t="shared" si="23"/>
        <v>0</v>
      </c>
      <c r="U50" s="1701">
        <f t="shared" ref="U50:U56" si="55">IF(C50*4&gt;=$U$4,S50,0)</f>
        <v>0</v>
      </c>
      <c r="V50" s="1702">
        <f t="shared" ref="V50:V56" si="56">IF(AND(C50*4&gt;=$V$4,C50*4&lt;$U$4),S50,0)</f>
        <v>0</v>
      </c>
      <c r="W50" s="1703">
        <f t="shared" ref="W50:W56" si="57">IF(AND(C50*4&gt;=$W$4,C50*4&lt;$V$4),S50,0)</f>
        <v>0</v>
      </c>
      <c r="X50" s="1704">
        <f t="shared" ref="X50:X55" si="58">IF(AND(C50*4&gt;=$X$4,C50*4&lt;$W$4),S50,0)</f>
        <v>0</v>
      </c>
      <c r="Y50" s="1705">
        <f t="shared" ref="Y50:Y56" si="59">IF(AND(C50*4&gt;=$Y$4,C50*4&lt;$X$4),S50,0)</f>
        <v>0</v>
      </c>
      <c r="Z50" s="1706">
        <f t="shared" ref="Z50:Z56" si="60">IF(AND(C50*4&gt;=$Z$4,C50*4&lt;$Y$4),S50,0)</f>
        <v>0</v>
      </c>
      <c r="AA50" s="1707">
        <f t="shared" ref="AA50:AA55" si="61">IF(AND(C50*4&gt;=$AA$4,C50*4&lt;$Z$4),S50,0)</f>
        <v>0</v>
      </c>
      <c r="AC50" s="1524"/>
      <c r="AD50" s="1524"/>
      <c r="AE50" s="1524"/>
      <c r="AF50" s="1524"/>
      <c r="AG50" s="1524"/>
      <c r="AH50" s="1524"/>
      <c r="AI50" s="1524"/>
      <c r="AJ50" s="1524"/>
      <c r="AK50" s="1524"/>
      <c r="AL50" s="1524"/>
      <c r="AM50" s="1524"/>
      <c r="AN50" s="1504"/>
    </row>
    <row r="51" spans="1:40" ht="14" thickBot="1">
      <c r="A51" s="1344" t="s">
        <v>219</v>
      </c>
      <c r="B51" s="1386" t="s">
        <v>459</v>
      </c>
      <c r="C51" s="629">
        <f t="shared" si="14"/>
        <v>2.1222190799396687E-4</v>
      </c>
      <c r="D51" s="813">
        <v>3</v>
      </c>
      <c r="E51" s="347">
        <v>1</v>
      </c>
      <c r="F51" s="347">
        <v>1</v>
      </c>
      <c r="G51" s="347">
        <v>400</v>
      </c>
      <c r="H51" s="347"/>
      <c r="I51" s="348">
        <v>0</v>
      </c>
      <c r="J51" s="348">
        <v>1.3888888888888889E-3</v>
      </c>
      <c r="K51" s="1786" t="s">
        <v>1199</v>
      </c>
      <c r="L51" s="1399"/>
      <c r="M51" s="824">
        <v>1</v>
      </c>
      <c r="N51" s="1389">
        <f>P51*E51*F51+I51*E51*F51+J51*E51</f>
        <v>4.784439416792359E-3</v>
      </c>
      <c r="O51" s="1389">
        <f t="shared" ref="O51:O56" si="62">C51*(G51/25)</f>
        <v>3.3955505279034699E-3</v>
      </c>
      <c r="P51" s="1389">
        <f>O51*M51</f>
        <v>3.3955505279034699E-3</v>
      </c>
      <c r="Q51" s="349">
        <v>129</v>
      </c>
      <c r="R51" s="1390">
        <f>E51*F51*G51</f>
        <v>400</v>
      </c>
      <c r="S51" s="1531">
        <f t="shared" si="22"/>
        <v>0.4</v>
      </c>
      <c r="T51" s="1532">
        <f t="shared" si="23"/>
        <v>1.3582202111613879E-2</v>
      </c>
      <c r="U51" s="1701">
        <f t="shared" si="55"/>
        <v>0</v>
      </c>
      <c r="V51" s="1702">
        <f t="shared" si="56"/>
        <v>0</v>
      </c>
      <c r="W51" s="1703">
        <f t="shared" si="57"/>
        <v>0.4</v>
      </c>
      <c r="X51" s="1704">
        <f t="shared" si="58"/>
        <v>0</v>
      </c>
      <c r="Y51" s="1705">
        <f t="shared" si="59"/>
        <v>0</v>
      </c>
      <c r="Z51" s="1706">
        <f t="shared" si="60"/>
        <v>0</v>
      </c>
      <c r="AA51" s="1707">
        <f t="shared" si="61"/>
        <v>0</v>
      </c>
      <c r="AC51" s="1533"/>
      <c r="AD51" s="1533"/>
      <c r="AE51" s="1533"/>
      <c r="AF51" s="1533"/>
      <c r="AG51" s="1533"/>
      <c r="AH51" s="1533"/>
      <c r="AI51" s="1511"/>
    </row>
    <row r="52" spans="1:40" ht="14" thickBot="1">
      <c r="A52" s="1344" t="s">
        <v>138</v>
      </c>
      <c r="B52" s="961" t="s">
        <v>459</v>
      </c>
      <c r="C52" s="629">
        <f t="shared" si="14"/>
        <v>1.7682291666666674E-4</v>
      </c>
      <c r="D52" s="1794">
        <v>7</v>
      </c>
      <c r="E52" s="1766">
        <v>1</v>
      </c>
      <c r="F52" s="1766">
        <v>1</v>
      </c>
      <c r="G52" s="1766">
        <v>100</v>
      </c>
      <c r="H52" s="1540" t="s">
        <v>558</v>
      </c>
      <c r="I52" s="1540">
        <v>4.6296296296296293E-4</v>
      </c>
      <c r="J52" s="1540">
        <v>6.9444444444444447E-4</v>
      </c>
      <c r="K52" s="1767" t="s">
        <v>1703</v>
      </c>
      <c r="L52" s="3664">
        <v>1.3425925925925924E-5</v>
      </c>
      <c r="M52" s="1763">
        <v>0.85</v>
      </c>
      <c r="N52" s="1540">
        <f t="shared" ref="N52" si="63">P52*E52*F52+I52*E52*F52+J52*E52</f>
        <v>1.7586053240740743E-3</v>
      </c>
      <c r="O52" s="1541">
        <f>C52*(G52/25)</f>
        <v>7.0729166666666694E-4</v>
      </c>
      <c r="P52" s="1709">
        <f t="shared" ref="P52" si="64">O52*M52</f>
        <v>6.0119791666666687E-4</v>
      </c>
      <c r="Q52" s="818">
        <v>170</v>
      </c>
      <c r="R52" s="1394">
        <f>E52*F52*G52</f>
        <v>100</v>
      </c>
      <c r="S52" s="1531">
        <f t="shared" si="22"/>
        <v>0.1</v>
      </c>
      <c r="T52" s="1532">
        <f t="shared" si="23"/>
        <v>2.8291666666666678E-3</v>
      </c>
      <c r="U52" s="1701">
        <f t="shared" si="55"/>
        <v>0</v>
      </c>
      <c r="V52" s="1702">
        <f t="shared" si="56"/>
        <v>0</v>
      </c>
      <c r="W52" s="1703">
        <f t="shared" si="57"/>
        <v>0</v>
      </c>
      <c r="X52" s="1704">
        <f t="shared" si="58"/>
        <v>0</v>
      </c>
      <c r="Y52" s="1705">
        <f t="shared" si="59"/>
        <v>0</v>
      </c>
      <c r="Z52" s="1706">
        <f t="shared" si="60"/>
        <v>0</v>
      </c>
      <c r="AA52" s="1707">
        <f t="shared" si="61"/>
        <v>0.1</v>
      </c>
      <c r="AC52" s="1533"/>
      <c r="AD52" s="1533"/>
      <c r="AE52" s="1533"/>
      <c r="AF52" s="1533"/>
      <c r="AG52" s="1533"/>
      <c r="AH52" s="1533"/>
      <c r="AI52" s="1511"/>
    </row>
    <row r="53" spans="1:40" ht="17" thickBot="1">
      <c r="A53" s="1344" t="s">
        <v>779</v>
      </c>
      <c r="B53" s="833">
        <v>1</v>
      </c>
      <c r="C53" s="629">
        <f t="shared" si="14"/>
        <v>1.7682291666666674E-4</v>
      </c>
      <c r="D53" s="814">
        <v>7</v>
      </c>
      <c r="E53" s="815">
        <v>1</v>
      </c>
      <c r="F53" s="815">
        <v>4</v>
      </c>
      <c r="G53" s="815">
        <v>15</v>
      </c>
      <c r="H53" s="815"/>
      <c r="I53" s="816">
        <v>4.6296296296296293E-4</v>
      </c>
      <c r="J53" s="817">
        <v>2.0833333333333333E-3</v>
      </c>
      <c r="K53" s="1786" t="s">
        <v>1199</v>
      </c>
      <c r="L53" s="1400"/>
      <c r="M53" s="1396">
        <v>1</v>
      </c>
      <c r="N53" s="817">
        <f>P53*E53*F53+I53*E53*F53+J53*E53</f>
        <v>4.3595601851851851E-3</v>
      </c>
      <c r="O53" s="817">
        <f t="shared" si="62"/>
        <v>1.0609375000000004E-4</v>
      </c>
      <c r="P53" s="817">
        <f>O53*M53</f>
        <v>1.0609375000000004E-4</v>
      </c>
      <c r="Q53" s="1391">
        <v>129</v>
      </c>
      <c r="R53" s="1392">
        <f>E53*F53*G53</f>
        <v>60</v>
      </c>
      <c r="S53" s="1531">
        <f t="shared" si="22"/>
        <v>0.06</v>
      </c>
      <c r="T53" s="1532">
        <f t="shared" si="23"/>
        <v>1.6975000000000007E-3</v>
      </c>
      <c r="U53" s="1701">
        <f t="shared" si="55"/>
        <v>0</v>
      </c>
      <c r="V53" s="1702">
        <f t="shared" si="56"/>
        <v>0</v>
      </c>
      <c r="W53" s="1703">
        <f t="shared" si="57"/>
        <v>0</v>
      </c>
      <c r="X53" s="1704">
        <f t="shared" si="58"/>
        <v>0</v>
      </c>
      <c r="Y53" s="1705">
        <f t="shared" si="59"/>
        <v>0</v>
      </c>
      <c r="Z53" s="1706">
        <f t="shared" si="60"/>
        <v>0</v>
      </c>
      <c r="AA53" s="1707">
        <f t="shared" si="61"/>
        <v>0.06</v>
      </c>
      <c r="AC53" s="1533">
        <v>0</v>
      </c>
      <c r="AD53" s="1533">
        <v>0</v>
      </c>
      <c r="AE53" s="1533">
        <v>0</v>
      </c>
      <c r="AF53" s="1533">
        <v>0</v>
      </c>
      <c r="AG53" s="1533">
        <v>0</v>
      </c>
      <c r="AH53" s="1533">
        <v>0</v>
      </c>
      <c r="AI53" s="1511"/>
    </row>
    <row r="54" spans="1:40" ht="14" thickBot="1">
      <c r="A54" s="1344" t="s">
        <v>138</v>
      </c>
      <c r="B54" s="3665"/>
      <c r="C54" s="629">
        <f t="shared" si="14"/>
        <v>1.7682291666666674E-4</v>
      </c>
      <c r="D54" s="1794">
        <v>7</v>
      </c>
      <c r="E54" s="1766">
        <v>1</v>
      </c>
      <c r="F54" s="1766">
        <v>1</v>
      </c>
      <c r="G54" s="1766">
        <v>100</v>
      </c>
      <c r="H54" s="1540" t="s">
        <v>558</v>
      </c>
      <c r="I54" s="1540">
        <v>4.6296296296296293E-4</v>
      </c>
      <c r="J54" s="1540">
        <v>6.9444444444444447E-4</v>
      </c>
      <c r="K54" s="1767" t="s">
        <v>1704</v>
      </c>
      <c r="L54" s="3664">
        <v>7.1296296296296299E-4</v>
      </c>
      <c r="M54" s="1763">
        <v>0.85</v>
      </c>
      <c r="N54" s="1540">
        <f t="shared" ref="N54" si="65">P54*E54*F54+I54*E54*F54+J54*E54</f>
        <v>1.7586053240740743E-3</v>
      </c>
      <c r="O54" s="1541">
        <f>C54*(G54/25)</f>
        <v>7.0729166666666694E-4</v>
      </c>
      <c r="P54" s="1709">
        <f t="shared" ref="P54" si="66">O54*M54</f>
        <v>6.0119791666666687E-4</v>
      </c>
      <c r="Q54" s="3666"/>
      <c r="R54" s="3667"/>
      <c r="S54" s="1531"/>
      <c r="T54" s="1532"/>
      <c r="U54" s="1701">
        <f t="shared" si="55"/>
        <v>0</v>
      </c>
      <c r="V54" s="1702">
        <f t="shared" si="56"/>
        <v>0</v>
      </c>
      <c r="W54" s="1703">
        <f t="shared" si="57"/>
        <v>0</v>
      </c>
      <c r="X54" s="1704">
        <f t="shared" si="58"/>
        <v>0</v>
      </c>
      <c r="Y54" s="1705">
        <f t="shared" si="59"/>
        <v>0</v>
      </c>
      <c r="Z54" s="1706">
        <f t="shared" si="60"/>
        <v>0</v>
      </c>
      <c r="AA54" s="1707">
        <f t="shared" si="61"/>
        <v>0</v>
      </c>
      <c r="AC54" s="1533"/>
      <c r="AD54" s="1533"/>
      <c r="AE54" s="1533"/>
      <c r="AF54" s="1533"/>
      <c r="AG54" s="1533"/>
      <c r="AH54" s="1533"/>
      <c r="AI54" s="1511"/>
    </row>
    <row r="55" spans="1:40" ht="14" thickBot="1">
      <c r="A55" s="812"/>
      <c r="B55" s="1386" t="s">
        <v>459</v>
      </c>
      <c r="C55" s="629">
        <f t="shared" si="14"/>
        <v>0</v>
      </c>
      <c r="D55" s="825"/>
      <c r="E55" s="826"/>
      <c r="F55" s="275"/>
      <c r="G55" s="275"/>
      <c r="H55" s="275"/>
      <c r="I55" s="657"/>
      <c r="J55" s="657"/>
      <c r="K55" s="827"/>
      <c r="L55" s="1401"/>
      <c r="M55" s="827"/>
      <c r="N55" s="828">
        <f>SUM(N51:N53)</f>
        <v>1.0902604926051619E-2</v>
      </c>
      <c r="O55" s="828">
        <f t="shared" si="62"/>
        <v>0</v>
      </c>
      <c r="P55" s="819"/>
      <c r="Q55" s="819"/>
      <c r="R55" s="972">
        <f>SUM(R51:R53)</f>
        <v>560</v>
      </c>
      <c r="S55" s="1531">
        <f t="shared" si="22"/>
        <v>0</v>
      </c>
      <c r="T55" s="1532">
        <f t="shared" si="23"/>
        <v>0</v>
      </c>
      <c r="U55" s="1701">
        <f t="shared" si="55"/>
        <v>0</v>
      </c>
      <c r="V55" s="1702">
        <f t="shared" si="56"/>
        <v>0</v>
      </c>
      <c r="W55" s="1703">
        <f t="shared" si="57"/>
        <v>0</v>
      </c>
      <c r="X55" s="1704">
        <f t="shared" si="58"/>
        <v>0</v>
      </c>
      <c r="Y55" s="1705">
        <f t="shared" si="59"/>
        <v>0</v>
      </c>
      <c r="Z55" s="1706">
        <f t="shared" si="60"/>
        <v>0</v>
      </c>
      <c r="AA55" s="1707">
        <f t="shared" si="61"/>
        <v>0</v>
      </c>
      <c r="AC55" s="1533">
        <v>0</v>
      </c>
      <c r="AD55" s="1533">
        <v>0</v>
      </c>
      <c r="AE55" s="1533">
        <v>0</v>
      </c>
      <c r="AF55" s="1533">
        <v>0</v>
      </c>
      <c r="AG55" s="1533">
        <v>0</v>
      </c>
      <c r="AH55" s="1533">
        <v>0</v>
      </c>
      <c r="AI55" s="1511"/>
    </row>
    <row r="56" spans="1:40" ht="17" customHeight="1" thickBot="1">
      <c r="A56" s="961">
        <v>10</v>
      </c>
      <c r="B56" s="961"/>
      <c r="C56" s="629">
        <f t="shared" si="14"/>
        <v>1.7682291666666674E-4</v>
      </c>
      <c r="D56" s="973">
        <v>7</v>
      </c>
      <c r="E56" s="1064" t="s">
        <v>2108</v>
      </c>
      <c r="F56" s="974"/>
      <c r="G56" s="974"/>
      <c r="H56" s="974"/>
      <c r="I56" s="974"/>
      <c r="J56" s="973"/>
      <c r="K56" s="975" t="s">
        <v>2109</v>
      </c>
      <c r="L56" s="1402"/>
      <c r="M56" s="975"/>
      <c r="N56" s="1397"/>
      <c r="O56" s="1397">
        <f t="shared" si="62"/>
        <v>0</v>
      </c>
      <c r="P56" s="1397"/>
      <c r="Q56" s="976"/>
      <c r="R56" s="1398">
        <v>5000</v>
      </c>
      <c r="S56" s="1531" t="e">
        <f t="shared" si="22"/>
        <v>#VALUE!</v>
      </c>
      <c r="T56" s="1532" t="e">
        <f t="shared" si="23"/>
        <v>#VALUE!</v>
      </c>
      <c r="U56" s="1701">
        <f t="shared" si="55"/>
        <v>0</v>
      </c>
      <c r="V56" s="1702">
        <f t="shared" si="56"/>
        <v>0</v>
      </c>
      <c r="W56" s="1703">
        <f t="shared" si="57"/>
        <v>0</v>
      </c>
      <c r="X56" s="1704">
        <v>5</v>
      </c>
      <c r="Y56" s="1705">
        <f t="shared" si="59"/>
        <v>0</v>
      </c>
      <c r="Z56" s="1706">
        <f t="shared" si="60"/>
        <v>0</v>
      </c>
      <c r="AA56" s="1707">
        <v>0</v>
      </c>
      <c r="AC56" s="1533">
        <v>0</v>
      </c>
      <c r="AD56" s="1533">
        <v>0</v>
      </c>
      <c r="AE56" s="1533">
        <v>0</v>
      </c>
      <c r="AF56" s="1533">
        <v>0</v>
      </c>
      <c r="AG56" s="1533">
        <v>0</v>
      </c>
      <c r="AH56" s="1533">
        <v>0</v>
      </c>
      <c r="AI56" s="1511"/>
    </row>
    <row r="57" spans="1:40" ht="17" customHeight="1" thickBot="1">
      <c r="A57" s="5491"/>
      <c r="B57" s="5491"/>
      <c r="C57" s="629">
        <f t="shared" si="14"/>
        <v>2.1222190799396687E-4</v>
      </c>
      <c r="D57" s="2687">
        <v>3</v>
      </c>
      <c r="E57" s="1161">
        <v>1</v>
      </c>
      <c r="F57" s="1161">
        <v>7</v>
      </c>
      <c r="G57" s="1161">
        <v>800</v>
      </c>
      <c r="H57" s="2171"/>
      <c r="I57" s="1163">
        <v>1.7361111111111112E-4</v>
      </c>
      <c r="J57" s="1163">
        <v>1.3888888888888889E-3</v>
      </c>
      <c r="K57" s="1074" t="s">
        <v>2117</v>
      </c>
      <c r="L57" s="1148"/>
      <c r="M57" s="1164">
        <v>1.5</v>
      </c>
      <c r="N57" s="1163" t="s">
        <v>2120</v>
      </c>
      <c r="O57" s="1165">
        <f>C57*(G57/25)</f>
        <v>6.7911010558069397E-3</v>
      </c>
      <c r="P57" s="1148" t="s">
        <v>2119</v>
      </c>
      <c r="Q57" s="333">
        <v>164</v>
      </c>
      <c r="R57" s="1161">
        <f>E57*F57*G57</f>
        <v>5600</v>
      </c>
      <c r="S57" s="1531">
        <f t="shared" ref="S57:S61" si="67">E57*F57*G57/1000</f>
        <v>5.6</v>
      </c>
      <c r="T57" s="1532">
        <f t="shared" ref="T57:T61" si="68">E57*F57*O57*4</f>
        <v>0.19015082956259433</v>
      </c>
      <c r="U57" s="1701">
        <f t="shared" ref="U57:U61" si="69">IF(C57*4&gt;=$U$4,S57,0)</f>
        <v>0</v>
      </c>
      <c r="V57" s="1702">
        <f t="shared" ref="V57:V61" si="70">IF(AND(C57*4&gt;=$V$4,C57*4&lt;$U$4),S57,0)</f>
        <v>0</v>
      </c>
      <c r="W57" s="1703">
        <f t="shared" ref="W57:W61" si="71">IF(AND(C57*4&gt;=$W$4,C57*4&lt;$V$4),S57,0)</f>
        <v>5.6</v>
      </c>
      <c r="X57" s="1704">
        <v>0</v>
      </c>
      <c r="Y57" s="1705">
        <f t="shared" ref="Y57:Y61" si="72">IF(AND(C57*4&gt;=$Y$4,C57*4&lt;$X$4),S57,0)</f>
        <v>0</v>
      </c>
      <c r="Z57" s="1706">
        <f t="shared" ref="Z57:Z61" si="73">IF(AND(C57*4&gt;=$Z$4,C57*4&lt;$Y$4),S57,0)</f>
        <v>0</v>
      </c>
      <c r="AA57" s="1707">
        <v>1</v>
      </c>
      <c r="AC57" s="1533"/>
      <c r="AD57" s="1533"/>
      <c r="AE57" s="1533"/>
      <c r="AF57" s="1533"/>
      <c r="AG57" s="1533"/>
      <c r="AH57" s="1533"/>
      <c r="AI57" s="1511"/>
    </row>
    <row r="58" spans="1:40" ht="17" customHeight="1" thickBot="1">
      <c r="A58" s="5491"/>
      <c r="B58" s="5491"/>
      <c r="C58" s="629">
        <f t="shared" si="14"/>
        <v>1.7682291666666674E-4</v>
      </c>
      <c r="D58" s="4882">
        <v>7</v>
      </c>
      <c r="E58" s="441">
        <v>1</v>
      </c>
      <c r="F58" s="441">
        <v>2</v>
      </c>
      <c r="G58" s="441">
        <v>50</v>
      </c>
      <c r="H58" s="3369" t="s">
        <v>298</v>
      </c>
      <c r="I58" s="436">
        <v>4.6296296296296293E-4</v>
      </c>
      <c r="J58" s="436">
        <v>1.3888888888888889E-3</v>
      </c>
      <c r="K58" s="789" t="s">
        <v>2118</v>
      </c>
      <c r="L58" s="4917"/>
      <c r="M58" s="1542"/>
      <c r="N58" s="4917">
        <v>3.5833333333333333E-4</v>
      </c>
      <c r="O58" s="1528">
        <f>C58*(G58/25)</f>
        <v>3.5364583333333347E-4</v>
      </c>
      <c r="P58" s="5492"/>
      <c r="Q58" s="3380"/>
      <c r="R58" s="5493">
        <v>100</v>
      </c>
      <c r="S58" s="1531">
        <f t="shared" si="67"/>
        <v>0.1</v>
      </c>
      <c r="T58" s="1532">
        <f t="shared" si="68"/>
        <v>2.8291666666666678E-3</v>
      </c>
      <c r="U58" s="1701">
        <f t="shared" si="69"/>
        <v>0</v>
      </c>
      <c r="V58" s="1702">
        <f t="shared" si="70"/>
        <v>0</v>
      </c>
      <c r="W58" s="1703">
        <f t="shared" si="71"/>
        <v>0</v>
      </c>
      <c r="X58" s="1704">
        <v>0</v>
      </c>
      <c r="Y58" s="1705">
        <f t="shared" si="72"/>
        <v>0</v>
      </c>
      <c r="Z58" s="1706">
        <f t="shared" si="73"/>
        <v>0</v>
      </c>
      <c r="AA58" s="1707">
        <v>2</v>
      </c>
      <c r="AC58" s="1533"/>
      <c r="AD58" s="1533"/>
      <c r="AE58" s="1533"/>
      <c r="AF58" s="1533"/>
      <c r="AG58" s="1533"/>
      <c r="AH58" s="1533"/>
      <c r="AI58" s="1511"/>
    </row>
    <row r="59" spans="1:40" ht="17" customHeight="1" thickBot="1">
      <c r="A59" s="5491"/>
      <c r="B59" s="5491"/>
      <c r="C59" s="629">
        <f t="shared" si="14"/>
        <v>1.7682291666666674E-4</v>
      </c>
      <c r="D59" s="1539">
        <v>7</v>
      </c>
      <c r="E59" s="441">
        <v>1</v>
      </c>
      <c r="F59" s="441">
        <v>2</v>
      </c>
      <c r="G59" s="441">
        <v>100</v>
      </c>
      <c r="H59" s="3369" t="s">
        <v>1385</v>
      </c>
      <c r="I59" s="436">
        <v>4.6296296296296293E-4</v>
      </c>
      <c r="J59" s="436">
        <v>1.3888888888888889E-3</v>
      </c>
      <c r="K59" s="789" t="s">
        <v>2118</v>
      </c>
      <c r="L59" s="5495" t="s">
        <v>2121</v>
      </c>
      <c r="M59" s="5496"/>
      <c r="N59" s="5495">
        <v>7.0509259259259266E-4</v>
      </c>
      <c r="O59" s="1528">
        <f>C59*(G59/25)</f>
        <v>7.0729166666666694E-4</v>
      </c>
      <c r="P59" s="4917">
        <v>7.1087962962962977E-4</v>
      </c>
      <c r="Q59" s="3380"/>
      <c r="R59" s="5493">
        <v>200</v>
      </c>
      <c r="S59" s="1531">
        <f t="shared" si="67"/>
        <v>0.2</v>
      </c>
      <c r="T59" s="1532">
        <f t="shared" si="68"/>
        <v>5.6583333333333355E-3</v>
      </c>
      <c r="U59" s="1701">
        <f t="shared" si="69"/>
        <v>0</v>
      </c>
      <c r="V59" s="1702">
        <f t="shared" si="70"/>
        <v>0</v>
      </c>
      <c r="W59" s="1703">
        <f t="shared" si="71"/>
        <v>0</v>
      </c>
      <c r="X59" s="1704">
        <v>0</v>
      </c>
      <c r="Y59" s="1705">
        <f t="shared" si="72"/>
        <v>0</v>
      </c>
      <c r="Z59" s="1706">
        <f t="shared" si="73"/>
        <v>0</v>
      </c>
      <c r="AA59" s="1707">
        <v>3</v>
      </c>
      <c r="AC59" s="1533"/>
      <c r="AD59" s="1533"/>
      <c r="AE59" s="1533"/>
      <c r="AF59" s="1533"/>
      <c r="AG59" s="1533"/>
      <c r="AH59" s="1533"/>
      <c r="AI59" s="1511"/>
    </row>
    <row r="60" spans="1:40" ht="17" customHeight="1" thickBot="1">
      <c r="A60" s="5491"/>
      <c r="B60" s="5491"/>
      <c r="C60" s="629">
        <f t="shared" si="14"/>
        <v>1.7682291666666674E-4</v>
      </c>
      <c r="D60" s="1539">
        <v>7</v>
      </c>
      <c r="E60" s="441">
        <v>1</v>
      </c>
      <c r="F60" s="441">
        <v>2</v>
      </c>
      <c r="G60" s="441">
        <v>200</v>
      </c>
      <c r="H60" s="3369" t="s">
        <v>1385</v>
      </c>
      <c r="I60" s="436">
        <v>4.6296296296296293E-4</v>
      </c>
      <c r="J60" s="5494">
        <v>1.3888888888888889E-3</v>
      </c>
      <c r="K60" s="789" t="s">
        <v>2118</v>
      </c>
      <c r="L60" s="4917"/>
      <c r="M60" s="1542"/>
      <c r="N60" s="4917">
        <v>1.6774305555555553E-3</v>
      </c>
      <c r="O60" s="1528">
        <f>C60*(G60/25)</f>
        <v>1.4145833333333339E-3</v>
      </c>
      <c r="P60" s="4917">
        <v>1.6918981481481481E-3</v>
      </c>
      <c r="Q60" s="3380"/>
      <c r="R60" s="5493">
        <v>400</v>
      </c>
      <c r="S60" s="1531">
        <f t="shared" si="67"/>
        <v>0.4</v>
      </c>
      <c r="T60" s="1532">
        <f t="shared" si="68"/>
        <v>1.1316666666666671E-2</v>
      </c>
      <c r="U60" s="1701">
        <f t="shared" si="69"/>
        <v>0</v>
      </c>
      <c r="V60" s="1702">
        <f t="shared" si="70"/>
        <v>0</v>
      </c>
      <c r="W60" s="1703">
        <f t="shared" si="71"/>
        <v>0</v>
      </c>
      <c r="X60" s="1704">
        <v>0</v>
      </c>
      <c r="Y60" s="1705">
        <f t="shared" si="72"/>
        <v>0</v>
      </c>
      <c r="Z60" s="1706">
        <f t="shared" si="73"/>
        <v>0</v>
      </c>
      <c r="AA60" s="1707">
        <v>4</v>
      </c>
      <c r="AC60" s="1533"/>
      <c r="AD60" s="1533"/>
      <c r="AE60" s="1533"/>
      <c r="AF60" s="1533"/>
      <c r="AG60" s="1533"/>
      <c r="AH60" s="1533"/>
      <c r="AI60" s="1511"/>
    </row>
    <row r="61" spans="1:40" ht="17" customHeight="1" thickBot="1">
      <c r="A61" s="5491"/>
      <c r="B61" s="5491"/>
      <c r="C61" s="629">
        <f t="shared" si="14"/>
        <v>1.7682291666666674E-4</v>
      </c>
      <c r="D61" s="1539">
        <v>7</v>
      </c>
      <c r="E61" s="441">
        <v>1</v>
      </c>
      <c r="F61" s="441">
        <v>2</v>
      </c>
      <c r="G61" s="441">
        <v>50</v>
      </c>
      <c r="H61" s="3369" t="s">
        <v>1385</v>
      </c>
      <c r="I61" s="436">
        <v>4.6296296296296293E-4</v>
      </c>
      <c r="J61" s="436">
        <v>1.3888888888888889E-3</v>
      </c>
      <c r="K61" s="789" t="s">
        <v>2118</v>
      </c>
      <c r="L61" s="4917"/>
      <c r="M61" s="1542"/>
      <c r="N61" s="4917">
        <v>3.2627314814814818E-4</v>
      </c>
      <c r="O61" s="1528">
        <f>C61*(G61/25)</f>
        <v>3.5364583333333347E-4</v>
      </c>
      <c r="P61" s="4917">
        <v>3.2395833333333332E-4</v>
      </c>
      <c r="Q61" s="3380"/>
      <c r="R61" s="5493">
        <v>100</v>
      </c>
      <c r="S61" s="1531">
        <f t="shared" si="67"/>
        <v>0.1</v>
      </c>
      <c r="T61" s="1532">
        <f t="shared" si="68"/>
        <v>2.8291666666666678E-3</v>
      </c>
      <c r="U61" s="1701">
        <f t="shared" si="69"/>
        <v>0</v>
      </c>
      <c r="V61" s="1702">
        <f t="shared" si="70"/>
        <v>0</v>
      </c>
      <c r="W61" s="1703">
        <f t="shared" si="71"/>
        <v>0</v>
      </c>
      <c r="X61" s="1704">
        <v>0</v>
      </c>
      <c r="Y61" s="1705">
        <f t="shared" si="72"/>
        <v>0</v>
      </c>
      <c r="Z61" s="1706">
        <f t="shared" si="73"/>
        <v>0</v>
      </c>
      <c r="AA61" s="1707">
        <v>5</v>
      </c>
      <c r="AC61" s="1533"/>
      <c r="AD61" s="1533"/>
      <c r="AE61" s="1533"/>
      <c r="AF61" s="1533"/>
      <c r="AG61" s="1533"/>
      <c r="AH61" s="1533"/>
      <c r="AI61" s="1511"/>
    </row>
    <row r="62" spans="1:40" s="1557" customFormat="1" ht="14" thickBot="1">
      <c r="A62" s="1524"/>
      <c r="B62" s="1524"/>
      <c r="C62" s="1486"/>
      <c r="D62" s="1487"/>
      <c r="E62" s="1452"/>
      <c r="F62" s="1452"/>
      <c r="G62" s="1452"/>
      <c r="H62" s="1452"/>
      <c r="I62" s="1452"/>
      <c r="J62" s="1452"/>
      <c r="K62" s="1452"/>
      <c r="L62" s="1008"/>
      <c r="M62" s="1489">
        <v>1.1000000000000001</v>
      </c>
      <c r="N62" s="1008"/>
      <c r="O62" s="1488"/>
      <c r="P62" s="1488"/>
      <c r="Q62" s="1488"/>
      <c r="R62" s="1666"/>
      <c r="S62"/>
      <c r="T62"/>
      <c r="U62" s="2141">
        <f>SUM(U6:U61)</f>
        <v>4.5</v>
      </c>
      <c r="V62" s="2141">
        <f t="shared" ref="V62:AA62" si="74">SUM(V6:V61)</f>
        <v>1.25</v>
      </c>
      <c r="W62" s="2141">
        <f t="shared" si="74"/>
        <v>7.1</v>
      </c>
      <c r="X62" s="2141">
        <f t="shared" si="74"/>
        <v>5</v>
      </c>
      <c r="Y62" s="2141">
        <f t="shared" si="74"/>
        <v>0.61</v>
      </c>
      <c r="Z62" s="2141">
        <f t="shared" si="74"/>
        <v>0.30000000000000004</v>
      </c>
      <c r="AA62" s="2141">
        <f t="shared" si="74"/>
        <v>16.71</v>
      </c>
      <c r="AB62" s="5490">
        <f>SUM(U62:AA62)</f>
        <v>35.47</v>
      </c>
      <c r="AC62" s="1512"/>
      <c r="AD62" s="1512"/>
      <c r="AE62" s="1512"/>
      <c r="AF62" s="1512"/>
      <c r="AG62" s="1512"/>
      <c r="AH62" s="1512"/>
      <c r="AI62" s="1512"/>
      <c r="AJ62" s="1512"/>
      <c r="AK62" s="1512"/>
      <c r="AL62" s="1512"/>
      <c r="AM62" s="1512"/>
    </row>
    <row r="63" spans="1:40" s="1557" customFormat="1" ht="14" thickBot="1">
      <c r="A63" s="1524"/>
      <c r="B63" s="1524"/>
      <c r="C63" s="144"/>
      <c r="D63" s="4444"/>
      <c r="E63" s="4594">
        <f>U62*100000/$Q$63</f>
        <v>12.686777558500141</v>
      </c>
      <c r="F63" s="4594">
        <f t="shared" ref="F63:K63" si="75">V62*100000/$Q$63</f>
        <v>3.5241048773611503</v>
      </c>
      <c r="G63" s="4594">
        <f t="shared" si="75"/>
        <v>20.016915703411332</v>
      </c>
      <c r="H63" s="4594">
        <f t="shared" si="75"/>
        <v>14.096419509444601</v>
      </c>
      <c r="I63" s="4594">
        <f t="shared" si="75"/>
        <v>1.7197631801522413</v>
      </c>
      <c r="J63" s="4594">
        <f t="shared" si="75"/>
        <v>0.84578517056667613</v>
      </c>
      <c r="K63" s="4595">
        <f t="shared" si="75"/>
        <v>47.110234000563857</v>
      </c>
      <c r="L63" s="4378" t="s">
        <v>1922</v>
      </c>
      <c r="M63" s="1278"/>
      <c r="N63" s="1278"/>
      <c r="O63" s="1278"/>
      <c r="P63" s="1278"/>
      <c r="Q63" s="7881">
        <f>AB62*1000</f>
        <v>35470</v>
      </c>
      <c r="R63" s="7882"/>
      <c r="S63" s="1524"/>
      <c r="T63" s="1524"/>
      <c r="U63" s="1562">
        <f>IF(U62&gt;0,U62,#REF!)</f>
        <v>4.5</v>
      </c>
      <c r="V63" s="1562">
        <f>IF(V62&gt;0,V62,#REF!)</f>
        <v>1.25</v>
      </c>
      <c r="W63" s="1562">
        <f>IF(W62&gt;0,W62,#REF!)</f>
        <v>7.1</v>
      </c>
      <c r="X63" s="1562">
        <f>IF(X62&gt;0,X62,#REF!)</f>
        <v>5</v>
      </c>
      <c r="Y63" s="1562">
        <f>IF(Y62&gt;0,Y62,#REF!)</f>
        <v>0.61</v>
      </c>
      <c r="Z63" s="1562">
        <f>IF(Z62&gt;0,Z62,#REF!)</f>
        <v>0.30000000000000004</v>
      </c>
      <c r="AA63" s="1562">
        <f>IF(AA62&gt;0,AA62,#REF!)</f>
        <v>16.71</v>
      </c>
      <c r="AB63" s="1562"/>
      <c r="AC63" s="1562"/>
      <c r="AD63" s="1512"/>
      <c r="AE63" s="1512"/>
      <c r="AF63" s="1512"/>
      <c r="AG63" s="1512"/>
      <c r="AH63" s="1512"/>
      <c r="AI63" s="1512"/>
      <c r="AJ63" s="1512"/>
      <c r="AK63" s="1512"/>
      <c r="AL63" s="1512"/>
      <c r="AM63" s="1512"/>
    </row>
    <row r="64" spans="1:40" s="1557" customFormat="1" ht="14" thickBot="1">
      <c r="A64" s="1562"/>
      <c r="B64" s="1562"/>
      <c r="C64" s="144"/>
      <c r="D64" s="4444"/>
      <c r="E64" s="4521">
        <f>E63*15/100</f>
        <v>1.9030166337750212</v>
      </c>
      <c r="F64" s="4522">
        <f t="shared" ref="F64:K64" si="76">F63*15/100</f>
        <v>0.52861573160417252</v>
      </c>
      <c r="G64" s="4523">
        <f t="shared" si="76"/>
        <v>3.0025373555116999</v>
      </c>
      <c r="H64" s="4524">
        <f t="shared" si="76"/>
        <v>2.1144629264166901</v>
      </c>
      <c r="I64" s="4525">
        <f t="shared" si="76"/>
        <v>0.2579644770228362</v>
      </c>
      <c r="J64" s="4526">
        <f t="shared" si="76"/>
        <v>0.12686777558500142</v>
      </c>
      <c r="K64" s="4527">
        <f t="shared" si="76"/>
        <v>7.066535100084578</v>
      </c>
      <c r="L64" s="4378" t="s">
        <v>1252</v>
      </c>
      <c r="M64" s="144"/>
      <c r="N64" s="144"/>
      <c r="O64" s="144"/>
      <c r="P64" s="144"/>
      <c r="Q64" s="144"/>
      <c r="R64" s="144"/>
      <c r="S64" s="1562"/>
      <c r="T64" s="1562"/>
      <c r="U64" s="1562">
        <f t="shared" ref="U64:AA68" si="77">IF(U63&gt;0,U63,U62)</f>
        <v>4.5</v>
      </c>
      <c r="V64" s="1562">
        <f t="shared" si="77"/>
        <v>1.25</v>
      </c>
      <c r="W64" s="1562">
        <f t="shared" si="77"/>
        <v>7.1</v>
      </c>
      <c r="X64" s="1562">
        <f t="shared" si="77"/>
        <v>5</v>
      </c>
      <c r="Y64" s="1562">
        <f t="shared" si="77"/>
        <v>0.61</v>
      </c>
      <c r="Z64" s="1562">
        <f t="shared" si="77"/>
        <v>0.30000000000000004</v>
      </c>
      <c r="AA64" s="1562">
        <f t="shared" si="77"/>
        <v>16.71</v>
      </c>
      <c r="AB64" s="1562"/>
      <c r="AC64" s="1562"/>
      <c r="AD64" s="1562"/>
      <c r="AE64" s="1562"/>
      <c r="AF64" s="1512"/>
      <c r="AG64" s="1512"/>
      <c r="AH64" s="1512"/>
      <c r="AI64" s="1512"/>
      <c r="AJ64" s="1512"/>
      <c r="AK64" s="1512"/>
      <c r="AL64" s="1512"/>
      <c r="AM64" s="1512"/>
    </row>
    <row r="65" spans="1:41" s="1511" customFormat="1">
      <c r="A65" s="1562"/>
      <c r="B65" s="1562"/>
      <c r="C65" s="1562"/>
      <c r="D65" s="1562"/>
      <c r="E65" s="1562"/>
      <c r="F65" s="1562"/>
      <c r="G65" s="1562"/>
      <c r="H65" s="1562"/>
      <c r="I65" s="1562"/>
      <c r="J65" s="1562"/>
      <c r="K65" s="1562"/>
      <c r="L65" s="1562"/>
      <c r="M65" s="1562"/>
      <c r="N65" s="1562"/>
      <c r="O65" s="1562"/>
      <c r="P65" s="1562"/>
      <c r="Q65" s="1562"/>
      <c r="R65" s="1562"/>
      <c r="S65" s="1562"/>
      <c r="T65" s="1562"/>
      <c r="U65" s="1562">
        <f t="shared" si="77"/>
        <v>4.5</v>
      </c>
      <c r="V65" s="1562">
        <f t="shared" si="77"/>
        <v>1.25</v>
      </c>
      <c r="W65" s="1562">
        <f t="shared" si="77"/>
        <v>7.1</v>
      </c>
      <c r="X65" s="1562">
        <f t="shared" si="77"/>
        <v>5</v>
      </c>
      <c r="Y65" s="1562">
        <f t="shared" si="77"/>
        <v>0.61</v>
      </c>
      <c r="Z65" s="1562">
        <f t="shared" si="77"/>
        <v>0.30000000000000004</v>
      </c>
      <c r="AA65" s="1562">
        <f t="shared" si="77"/>
        <v>16.71</v>
      </c>
      <c r="AB65" s="1562"/>
      <c r="AC65" s="1562"/>
      <c r="AD65" s="1562"/>
      <c r="AE65" s="1562"/>
      <c r="AF65" s="1512"/>
      <c r="AG65" s="1512"/>
      <c r="AH65" s="1512"/>
      <c r="AI65" s="1512"/>
      <c r="AJ65" s="1512"/>
      <c r="AK65" s="1512"/>
      <c r="AL65" s="1512"/>
      <c r="AM65" s="1512"/>
      <c r="AN65" s="1512"/>
      <c r="AO65" s="1512"/>
    </row>
    <row r="66" spans="1:41" s="1557" customFormat="1" ht="11">
      <c r="A66" s="1562"/>
      <c r="B66" s="1562"/>
      <c r="C66" s="1562"/>
      <c r="D66" s="1562"/>
      <c r="E66" s="1562"/>
      <c r="F66" s="1562"/>
      <c r="G66" s="1562"/>
      <c r="H66" s="1562"/>
      <c r="I66" s="1562"/>
      <c r="J66" s="1562"/>
      <c r="K66" s="1562"/>
      <c r="L66" s="1562"/>
      <c r="M66" s="1562"/>
      <c r="N66" s="1562"/>
      <c r="O66" s="1562"/>
      <c r="P66" s="1562"/>
      <c r="Q66" s="1562"/>
      <c r="R66" s="1562"/>
      <c r="S66" s="1562"/>
      <c r="T66" s="1562"/>
      <c r="U66" s="1562">
        <f t="shared" si="77"/>
        <v>4.5</v>
      </c>
      <c r="V66" s="1562">
        <f t="shared" si="77"/>
        <v>1.25</v>
      </c>
      <c r="W66" s="1562">
        <f t="shared" si="77"/>
        <v>7.1</v>
      </c>
      <c r="X66" s="1562">
        <f t="shared" si="77"/>
        <v>5</v>
      </c>
      <c r="Y66" s="1562">
        <f t="shared" si="77"/>
        <v>0.61</v>
      </c>
      <c r="Z66" s="1562">
        <f t="shared" si="77"/>
        <v>0.30000000000000004</v>
      </c>
      <c r="AA66" s="1562">
        <f t="shared" si="77"/>
        <v>16.71</v>
      </c>
      <c r="AB66" s="1562"/>
      <c r="AC66" s="1562"/>
      <c r="AD66" s="1562"/>
      <c r="AE66" s="1562"/>
      <c r="AF66" s="1512"/>
      <c r="AG66" s="1512"/>
      <c r="AH66" s="1512"/>
      <c r="AI66" s="1512"/>
      <c r="AJ66" s="1512"/>
      <c r="AK66" s="1512"/>
      <c r="AL66" s="1512"/>
      <c r="AM66" s="1512"/>
    </row>
    <row r="67" spans="1:41" s="1557" customFormat="1" ht="11">
      <c r="A67" s="1562"/>
      <c r="B67" s="1562"/>
      <c r="C67" s="1562"/>
      <c r="D67" s="1562"/>
      <c r="E67" s="1562"/>
      <c r="F67" s="1562"/>
      <c r="G67" s="1562"/>
      <c r="H67" s="1562"/>
      <c r="I67" s="1562"/>
      <c r="J67" s="1562"/>
      <c r="K67" s="1562"/>
      <c r="L67" s="1562"/>
      <c r="M67" s="1562"/>
      <c r="N67" s="1562"/>
      <c r="O67" s="1562"/>
      <c r="P67" s="1562"/>
      <c r="Q67" s="1562"/>
      <c r="R67" s="1562"/>
      <c r="S67" s="1562"/>
      <c r="T67" s="1562"/>
      <c r="U67" s="1562">
        <f t="shared" si="77"/>
        <v>4.5</v>
      </c>
      <c r="V67" s="1562">
        <f t="shared" si="77"/>
        <v>1.25</v>
      </c>
      <c r="W67" s="1562">
        <f t="shared" si="77"/>
        <v>7.1</v>
      </c>
      <c r="X67" s="1562">
        <f t="shared" si="77"/>
        <v>5</v>
      </c>
      <c r="Y67" s="1562">
        <f t="shared" si="77"/>
        <v>0.61</v>
      </c>
      <c r="Z67" s="1562">
        <f t="shared" si="77"/>
        <v>0.30000000000000004</v>
      </c>
      <c r="AA67" s="1562">
        <f t="shared" si="77"/>
        <v>16.71</v>
      </c>
      <c r="AB67" s="1562"/>
      <c r="AC67" s="1562"/>
      <c r="AD67" s="1562"/>
      <c r="AE67" s="1562"/>
      <c r="AF67" s="1512"/>
      <c r="AG67" s="1512"/>
      <c r="AH67" s="1512"/>
      <c r="AI67" s="1512"/>
      <c r="AJ67" s="1512"/>
      <c r="AK67" s="1512"/>
      <c r="AL67" s="1512"/>
      <c r="AM67" s="1512"/>
    </row>
    <row r="68" spans="1:41" s="1557" customFormat="1" ht="11">
      <c r="A68" s="1562"/>
      <c r="B68" s="1562"/>
      <c r="C68" s="1562"/>
      <c r="D68" s="1562"/>
      <c r="E68" s="1562"/>
      <c r="F68" s="1562"/>
      <c r="G68" s="1562"/>
      <c r="H68" s="1562"/>
      <c r="I68" s="1562"/>
      <c r="J68" s="1562"/>
      <c r="K68" s="1562"/>
      <c r="L68" s="1562"/>
      <c r="M68" s="1562"/>
      <c r="N68" s="1562"/>
      <c r="O68" s="1562"/>
      <c r="P68" s="1562"/>
      <c r="Q68" s="1562"/>
      <c r="R68" s="1562"/>
      <c r="S68" s="1562"/>
      <c r="T68" s="1562"/>
      <c r="U68" s="1562">
        <f t="shared" si="77"/>
        <v>4.5</v>
      </c>
      <c r="V68" s="1562">
        <f t="shared" si="77"/>
        <v>1.25</v>
      </c>
      <c r="W68" s="1562">
        <f t="shared" si="77"/>
        <v>7.1</v>
      </c>
      <c r="X68" s="1562">
        <f t="shared" si="77"/>
        <v>5</v>
      </c>
      <c r="Y68" s="1562">
        <f t="shared" si="77"/>
        <v>0.61</v>
      </c>
      <c r="Z68" s="1562">
        <f t="shared" si="77"/>
        <v>0.30000000000000004</v>
      </c>
      <c r="AA68" s="1562">
        <f t="shared" si="77"/>
        <v>16.71</v>
      </c>
      <c r="AB68" s="1562"/>
      <c r="AC68" s="1562"/>
      <c r="AD68" s="1562"/>
      <c r="AE68" s="1562"/>
      <c r="AF68" s="1512"/>
      <c r="AG68" s="1512"/>
      <c r="AH68" s="1512"/>
      <c r="AI68" s="1512"/>
      <c r="AJ68" s="1512"/>
      <c r="AK68" s="1512"/>
      <c r="AL68" s="1512"/>
      <c r="AM68" s="1512"/>
    </row>
    <row r="69" spans="1:41" s="1557" customFormat="1" ht="11">
      <c r="A69" s="1562"/>
      <c r="B69" s="1562"/>
      <c r="C69" s="1562"/>
      <c r="D69" s="1562"/>
      <c r="E69" s="1562"/>
      <c r="F69" s="1562"/>
      <c r="G69" s="1562"/>
      <c r="H69" s="1562"/>
      <c r="I69" s="1562"/>
      <c r="J69" s="1562"/>
      <c r="K69" s="1562"/>
      <c r="L69" s="1562"/>
      <c r="M69" s="1562"/>
      <c r="N69" s="1562"/>
      <c r="O69" s="1562"/>
      <c r="P69" s="1562"/>
      <c r="Q69" s="1562"/>
      <c r="R69" s="1562"/>
      <c r="S69" s="1562"/>
      <c r="T69" s="1562"/>
      <c r="U69" s="1562"/>
      <c r="V69" s="1562"/>
      <c r="W69" s="1562"/>
      <c r="X69" s="1562"/>
      <c r="Y69" s="1562"/>
      <c r="Z69" s="1562"/>
      <c r="AA69" s="1562"/>
      <c r="AB69" s="1562"/>
      <c r="AC69" s="1562"/>
      <c r="AD69" s="1562"/>
      <c r="AE69" s="1562"/>
      <c r="AF69" s="1512"/>
      <c r="AG69" s="1512"/>
      <c r="AH69" s="1512"/>
      <c r="AI69" s="1512"/>
      <c r="AJ69" s="1512"/>
      <c r="AK69" s="1512"/>
      <c r="AL69" s="1512"/>
      <c r="AM69" s="1512"/>
    </row>
    <row r="70" spans="1:41" s="1557" customFormat="1" ht="11">
      <c r="A70" s="1562"/>
      <c r="B70" s="1562"/>
      <c r="C70" s="1562"/>
      <c r="D70" s="1562"/>
      <c r="E70" s="1562"/>
      <c r="F70" s="1562"/>
      <c r="G70" s="1562"/>
      <c r="H70" s="1562"/>
      <c r="I70" s="1562"/>
      <c r="J70" s="1562"/>
      <c r="K70" s="1562"/>
      <c r="L70" s="1562"/>
      <c r="M70" s="1562"/>
      <c r="N70" s="1562"/>
      <c r="O70" s="1562"/>
      <c r="P70" s="1562"/>
      <c r="Q70" s="1562"/>
      <c r="R70" s="1562"/>
      <c r="S70" s="1562"/>
      <c r="T70" s="1562"/>
      <c r="U70" s="1562"/>
      <c r="V70" s="1562"/>
      <c r="W70" s="1562"/>
      <c r="X70" s="1562"/>
      <c r="Y70" s="1562"/>
      <c r="Z70" s="1562"/>
      <c r="AA70" s="1562"/>
      <c r="AB70" s="1562"/>
      <c r="AC70" s="1562"/>
      <c r="AD70" s="1562"/>
      <c r="AE70" s="1562"/>
      <c r="AF70" s="1512"/>
      <c r="AG70" s="1512"/>
      <c r="AH70" s="1512"/>
      <c r="AI70" s="1512"/>
      <c r="AJ70" s="1512"/>
      <c r="AK70" s="1512"/>
      <c r="AL70" s="1512"/>
      <c r="AM70" s="1512"/>
    </row>
    <row r="71" spans="1:41" s="1557" customFormat="1" ht="11">
      <c r="A71" s="1562"/>
      <c r="B71" s="1562"/>
      <c r="C71" s="1562"/>
      <c r="D71" s="1562"/>
      <c r="E71" s="1562"/>
      <c r="F71" s="1562"/>
      <c r="G71" s="1562"/>
      <c r="H71" s="1562"/>
      <c r="I71" s="1562"/>
      <c r="J71" s="1562"/>
      <c r="K71" s="1562"/>
      <c r="L71" s="1562"/>
      <c r="M71" s="1562"/>
      <c r="N71" s="1562"/>
      <c r="O71" s="1562"/>
      <c r="P71" s="1562"/>
      <c r="Q71" s="1562"/>
      <c r="R71" s="1562"/>
      <c r="S71" s="1562"/>
      <c r="T71" s="1562"/>
      <c r="U71" s="1562"/>
      <c r="V71" s="1562"/>
      <c r="W71" s="1562"/>
      <c r="X71" s="1562"/>
      <c r="Y71" s="1562"/>
      <c r="Z71" s="1562"/>
      <c r="AA71" s="1562"/>
      <c r="AB71" s="1562"/>
      <c r="AC71" s="1562"/>
      <c r="AD71" s="1562"/>
      <c r="AE71" s="1562"/>
      <c r="AF71" s="1512"/>
      <c r="AG71" s="1512"/>
      <c r="AH71" s="1512"/>
      <c r="AI71" s="1512"/>
      <c r="AJ71" s="1512"/>
      <c r="AK71" s="1512"/>
      <c r="AL71" s="1512"/>
      <c r="AM71" s="1512"/>
    </row>
    <row r="72" spans="1:41" s="1557" customFormat="1" ht="11">
      <c r="A72" s="1562"/>
      <c r="B72" s="1562"/>
      <c r="C72" s="1562"/>
      <c r="D72" s="1562"/>
      <c r="E72" s="1562"/>
      <c r="F72" s="1562"/>
      <c r="G72" s="1562"/>
      <c r="H72" s="1562"/>
      <c r="I72" s="1562"/>
      <c r="J72" s="1562"/>
      <c r="K72" s="1562"/>
      <c r="L72" s="1562"/>
      <c r="M72" s="1562"/>
      <c r="N72" s="1562"/>
      <c r="O72" s="1562"/>
      <c r="P72" s="1562"/>
      <c r="Q72" s="1562"/>
      <c r="R72" s="1562"/>
      <c r="S72" s="1562"/>
      <c r="T72" s="1562"/>
      <c r="U72" s="1562"/>
      <c r="V72" s="1562"/>
      <c r="W72" s="1562"/>
      <c r="X72" s="1562"/>
      <c r="Y72" s="1562"/>
      <c r="Z72" s="1562"/>
      <c r="AA72" s="1562"/>
      <c r="AB72" s="1562"/>
      <c r="AC72" s="1562"/>
      <c r="AD72" s="1562"/>
      <c r="AE72" s="1562"/>
      <c r="AF72" s="1512"/>
      <c r="AG72" s="1512"/>
      <c r="AH72" s="1512"/>
      <c r="AI72" s="1512"/>
      <c r="AJ72" s="1512"/>
      <c r="AK72" s="1512"/>
      <c r="AL72" s="1512"/>
      <c r="AM72" s="1512"/>
    </row>
    <row r="73" spans="1:41" s="1557" customFormat="1" ht="11">
      <c r="A73" s="1562"/>
      <c r="B73" s="1562"/>
      <c r="C73" s="1562"/>
      <c r="D73" s="1562"/>
      <c r="E73" s="1562"/>
      <c r="F73" s="1562"/>
      <c r="G73" s="1562"/>
      <c r="H73" s="1562"/>
      <c r="I73" s="1562"/>
      <c r="J73" s="1562"/>
      <c r="K73" s="1562"/>
      <c r="L73" s="1562"/>
      <c r="M73" s="1562"/>
      <c r="N73" s="1562"/>
      <c r="O73" s="1562"/>
      <c r="P73" s="1562"/>
      <c r="Q73" s="1562"/>
      <c r="R73" s="1562"/>
      <c r="S73" s="1562"/>
      <c r="T73" s="1562"/>
      <c r="U73" s="1562"/>
      <c r="V73" s="1562"/>
      <c r="W73" s="1562"/>
      <c r="X73" s="1562"/>
      <c r="Y73" s="1562"/>
      <c r="Z73" s="1562"/>
      <c r="AA73" s="1562"/>
      <c r="AB73" s="1562"/>
      <c r="AC73" s="1562"/>
      <c r="AD73" s="1562"/>
      <c r="AE73" s="1562"/>
      <c r="AF73" s="1512"/>
      <c r="AG73" s="1512"/>
      <c r="AH73" s="1512"/>
      <c r="AI73" s="1512"/>
      <c r="AJ73" s="1512"/>
      <c r="AK73" s="1512"/>
      <c r="AL73" s="1512"/>
      <c r="AM73" s="1512"/>
    </row>
    <row r="74" spans="1:41" s="1557" customFormat="1" ht="11">
      <c r="A74" s="1562"/>
      <c r="B74" s="1562"/>
      <c r="C74" s="1562"/>
      <c r="D74" s="1562"/>
      <c r="E74" s="1562"/>
      <c r="F74" s="1562"/>
      <c r="G74" s="1562"/>
      <c r="H74" s="1562"/>
      <c r="I74" s="1562"/>
      <c r="J74" s="1562"/>
      <c r="K74" s="1562"/>
      <c r="L74" s="1562"/>
      <c r="M74" s="1562"/>
      <c r="N74" s="1562"/>
      <c r="O74" s="1562"/>
      <c r="P74" s="1562"/>
      <c r="Q74" s="1562"/>
      <c r="R74" s="1562"/>
      <c r="S74" s="1562"/>
      <c r="T74" s="1562"/>
      <c r="U74" s="1562"/>
      <c r="V74" s="1562"/>
      <c r="W74" s="1562"/>
      <c r="X74" s="1562"/>
      <c r="Y74" s="1562"/>
      <c r="Z74" s="1562"/>
      <c r="AA74" s="1562"/>
      <c r="AB74" s="1562"/>
      <c r="AC74" s="1562"/>
      <c r="AD74" s="1562"/>
      <c r="AE74" s="1562"/>
      <c r="AF74" s="1512"/>
      <c r="AG74" s="1512"/>
      <c r="AH74" s="1512"/>
      <c r="AI74" s="1512"/>
      <c r="AJ74" s="1512"/>
      <c r="AK74" s="1512"/>
      <c r="AL74" s="1512"/>
      <c r="AM74" s="1512"/>
    </row>
    <row r="75" spans="1:41" s="1557" customFormat="1" ht="11">
      <c r="A75" s="1562"/>
      <c r="B75" s="1562"/>
      <c r="C75" s="1562"/>
      <c r="D75" s="1562"/>
      <c r="E75" s="1562"/>
      <c r="F75" s="1562"/>
      <c r="G75" s="1562"/>
      <c r="H75" s="1562"/>
      <c r="I75" s="1562"/>
      <c r="J75" s="1562"/>
      <c r="K75" s="1562"/>
      <c r="L75" s="1562"/>
      <c r="M75" s="1562"/>
      <c r="N75" s="1562"/>
      <c r="O75" s="1562"/>
      <c r="P75" s="1562"/>
      <c r="Q75" s="1562"/>
      <c r="R75" s="1562"/>
      <c r="S75" s="1562"/>
      <c r="T75" s="1562"/>
      <c r="U75" s="1562"/>
      <c r="V75" s="1562"/>
      <c r="W75" s="1562"/>
      <c r="X75" s="1562"/>
      <c r="Y75" s="1562"/>
      <c r="Z75" s="1562"/>
      <c r="AA75" s="1562"/>
      <c r="AB75" s="1562"/>
      <c r="AC75" s="1562"/>
      <c r="AD75" s="1562"/>
      <c r="AE75" s="1562"/>
      <c r="AF75" s="1512"/>
      <c r="AG75" s="1512"/>
      <c r="AH75" s="1512"/>
      <c r="AI75" s="1512"/>
      <c r="AJ75" s="1512"/>
      <c r="AK75" s="1512"/>
      <c r="AL75" s="1512"/>
      <c r="AM75" s="1512"/>
    </row>
    <row r="76" spans="1:41" s="1557" customFormat="1">
      <c r="B76"/>
      <c r="C76"/>
      <c r="D76" s="483"/>
      <c r="E76"/>
      <c r="F76"/>
      <c r="G76" s="1562"/>
      <c r="H76" s="1562"/>
      <c r="I76" s="1562"/>
      <c r="J76" s="1562"/>
      <c r="K76" s="1562"/>
      <c r="L76"/>
      <c r="M76"/>
      <c r="N76"/>
      <c r="O76"/>
      <c r="P76" s="1562"/>
      <c r="Q76"/>
      <c r="R76"/>
      <c r="S76" s="1563"/>
      <c r="T76" s="1563"/>
      <c r="U76" s="1562"/>
      <c r="V76" s="1562"/>
      <c r="W76" s="1562"/>
      <c r="X76" s="1562"/>
      <c r="Y76" s="1562"/>
      <c r="Z76" s="1562"/>
      <c r="AA76" s="1562"/>
      <c r="AC76" s="1512"/>
      <c r="AD76" s="1512"/>
      <c r="AE76" s="1512"/>
      <c r="AF76" s="1512"/>
      <c r="AG76" s="1512"/>
      <c r="AH76" s="1512"/>
      <c r="AI76" s="1512"/>
      <c r="AJ76" s="1512"/>
      <c r="AK76" s="1512"/>
      <c r="AL76" s="1512"/>
      <c r="AM76" s="1512"/>
    </row>
    <row r="77" spans="1:41" s="1557" customFormat="1">
      <c r="B77"/>
      <c r="C77"/>
      <c r="D77" s="483"/>
      <c r="E77"/>
      <c r="F77"/>
      <c r="G77" s="1562"/>
      <c r="H77" s="1562"/>
      <c r="I77" s="1562"/>
      <c r="J77" s="1562"/>
      <c r="K77" s="1562"/>
      <c r="L77"/>
      <c r="M77"/>
      <c r="N77"/>
      <c r="O77"/>
      <c r="P77" s="1562"/>
      <c r="Q77"/>
      <c r="R77"/>
      <c r="S77" s="1563"/>
      <c r="T77" s="1563"/>
      <c r="U77" s="1562"/>
      <c r="V77" s="1562"/>
      <c r="W77" s="1562"/>
      <c r="X77" s="1562"/>
      <c r="Y77" s="1562"/>
      <c r="Z77" s="1562"/>
      <c r="AA77" s="1562"/>
      <c r="AC77" s="1512"/>
      <c r="AD77" s="1512"/>
      <c r="AE77" s="1512"/>
      <c r="AF77" s="1512"/>
      <c r="AG77" s="1512"/>
      <c r="AH77" s="1512"/>
      <c r="AI77" s="1512"/>
      <c r="AJ77" s="1512"/>
      <c r="AK77" s="1512"/>
      <c r="AL77" s="1512"/>
      <c r="AM77" s="1512"/>
    </row>
    <row r="78" spans="1:41" s="1557" customFormat="1">
      <c r="B78"/>
      <c r="C78"/>
      <c r="D78" s="483"/>
      <c r="E78"/>
      <c r="F78"/>
      <c r="G78" s="1562"/>
      <c r="H78" s="1562"/>
      <c r="I78" s="1562"/>
      <c r="J78" s="1562"/>
      <c r="K78" s="1562"/>
      <c r="L78"/>
      <c r="M78"/>
      <c r="N78"/>
      <c r="O78"/>
      <c r="P78" s="1562"/>
      <c r="Q78"/>
      <c r="R78"/>
      <c r="S78" s="1563"/>
      <c r="T78" s="1563"/>
      <c r="U78" s="1562"/>
      <c r="V78" s="1562"/>
      <c r="W78" s="1562"/>
      <c r="X78" s="1562"/>
      <c r="Y78" s="1562"/>
      <c r="Z78" s="1562"/>
      <c r="AA78" s="1562"/>
      <c r="AC78" s="1512"/>
      <c r="AD78" s="1512"/>
      <c r="AE78" s="1512"/>
      <c r="AF78" s="1512"/>
      <c r="AG78" s="1512"/>
      <c r="AH78" s="1512"/>
      <c r="AI78" s="1512"/>
      <c r="AJ78" s="1512"/>
      <c r="AK78" s="1512"/>
      <c r="AL78" s="1512"/>
      <c r="AM78" s="1512"/>
    </row>
    <row r="79" spans="1:41" s="1557" customFormat="1">
      <c r="B79"/>
      <c r="C79"/>
      <c r="D79" s="483"/>
      <c r="E79"/>
      <c r="F79"/>
      <c r="G79" s="1562"/>
      <c r="H79" s="1562"/>
      <c r="I79" s="1562"/>
      <c r="J79" s="1562"/>
      <c r="K79" s="1562"/>
      <c r="L79"/>
      <c r="M79"/>
      <c r="N79"/>
      <c r="O79"/>
      <c r="P79" s="1562"/>
      <c r="Q79"/>
      <c r="R79"/>
      <c r="S79" s="1563"/>
      <c r="T79" s="1563"/>
      <c r="U79" s="1562"/>
      <c r="V79" s="1562"/>
      <c r="W79" s="1562"/>
      <c r="X79" s="1562"/>
      <c r="Y79" s="1562"/>
      <c r="Z79" s="1562"/>
      <c r="AA79" s="1562"/>
      <c r="AC79" s="1512"/>
      <c r="AD79" s="1512"/>
      <c r="AE79" s="1512"/>
      <c r="AF79" s="1512"/>
      <c r="AG79" s="1512"/>
      <c r="AH79" s="1512"/>
      <c r="AI79" s="1512"/>
      <c r="AJ79" s="1512"/>
      <c r="AK79" s="1512"/>
      <c r="AL79" s="1512"/>
      <c r="AM79" s="1512"/>
    </row>
    <row r="80" spans="1:41" s="1557" customFormat="1">
      <c r="B80"/>
      <c r="C80"/>
      <c r="D80" s="483"/>
      <c r="E80"/>
      <c r="F80"/>
      <c r="G80" s="1562"/>
      <c r="H80" s="1562"/>
      <c r="I80" s="1562"/>
      <c r="J80" s="1562"/>
      <c r="K80" s="1562"/>
      <c r="L80"/>
      <c r="M80"/>
      <c r="N80"/>
      <c r="O80"/>
      <c r="P80" s="1562"/>
      <c r="Q80"/>
      <c r="R80"/>
      <c r="S80" s="1563"/>
      <c r="T80" s="1563"/>
      <c r="U80" s="1562"/>
      <c r="V80" s="1562"/>
      <c r="W80" s="1562"/>
      <c r="X80" s="1562"/>
      <c r="Y80" s="1562"/>
      <c r="Z80" s="1562"/>
      <c r="AA80" s="1562"/>
      <c r="AC80" s="1512"/>
      <c r="AD80" s="1512"/>
      <c r="AE80" s="1512"/>
      <c r="AF80" s="1512"/>
      <c r="AG80" s="1512"/>
      <c r="AH80" s="1512"/>
      <c r="AI80" s="1512"/>
      <c r="AJ80" s="1512"/>
      <c r="AK80" s="1512"/>
      <c r="AL80" s="1512"/>
      <c r="AM80" s="1512"/>
    </row>
    <row r="81" spans="2:39" s="1557" customFormat="1">
      <c r="B81"/>
      <c r="C81"/>
      <c r="D81" s="483"/>
      <c r="E81"/>
      <c r="F81"/>
      <c r="G81" s="1562"/>
      <c r="H81" s="1562"/>
      <c r="I81" s="1562"/>
      <c r="J81" s="1562"/>
      <c r="K81" s="1562"/>
      <c r="L81"/>
      <c r="M81"/>
      <c r="N81"/>
      <c r="O81"/>
      <c r="P81" s="1562"/>
      <c r="Q81"/>
      <c r="R81"/>
      <c r="S81" s="1563"/>
      <c r="T81" s="1563"/>
      <c r="U81" s="1562"/>
      <c r="V81" s="1562"/>
      <c r="W81" s="1562"/>
      <c r="X81" s="1562"/>
      <c r="Y81" s="1562"/>
      <c r="Z81" s="1562"/>
      <c r="AA81" s="1562"/>
      <c r="AC81" s="1512"/>
      <c r="AD81" s="1512"/>
      <c r="AE81" s="1512"/>
      <c r="AF81" s="1512"/>
      <c r="AG81" s="1512"/>
      <c r="AH81" s="1512"/>
      <c r="AI81" s="1512"/>
      <c r="AJ81" s="1512"/>
      <c r="AK81" s="1512"/>
      <c r="AL81" s="1512"/>
      <c r="AM81" s="1512"/>
    </row>
    <row r="82" spans="2:39" s="1557" customFormat="1">
      <c r="B82"/>
      <c r="C82"/>
      <c r="D82" s="483"/>
      <c r="E82"/>
      <c r="F82"/>
      <c r="G82" s="1562"/>
      <c r="H82" s="1562"/>
      <c r="I82" s="1562"/>
      <c r="J82" s="1562"/>
      <c r="K82" s="1562"/>
      <c r="L82"/>
      <c r="M82"/>
      <c r="N82"/>
      <c r="O82"/>
      <c r="P82" s="1562"/>
      <c r="Q82"/>
      <c r="R82"/>
      <c r="S82" s="1563"/>
      <c r="T82" s="1563"/>
      <c r="U82" s="1562"/>
      <c r="V82" s="1562"/>
      <c r="W82" s="1562"/>
      <c r="X82" s="1562"/>
      <c r="Y82" s="1562"/>
      <c r="Z82" s="1562"/>
      <c r="AA82" s="1562"/>
      <c r="AC82" s="1512"/>
      <c r="AD82" s="1512"/>
      <c r="AE82" s="1512"/>
      <c r="AF82" s="1512"/>
      <c r="AG82" s="1512"/>
      <c r="AH82" s="1512"/>
      <c r="AI82" s="1512"/>
      <c r="AJ82" s="1512"/>
      <c r="AK82" s="1512"/>
      <c r="AL82" s="1512"/>
      <c r="AM82" s="1512"/>
    </row>
    <row r="83" spans="2:39" s="1557" customFormat="1">
      <c r="B83"/>
      <c r="C83"/>
      <c r="D83" s="483"/>
      <c r="E83"/>
      <c r="F83"/>
      <c r="G83" s="1562"/>
      <c r="H83" s="1562"/>
      <c r="I83" s="1562"/>
      <c r="J83" s="1562"/>
      <c r="K83" s="1562"/>
      <c r="L83"/>
      <c r="M83"/>
      <c r="N83"/>
      <c r="O83"/>
      <c r="P83" s="1562"/>
      <c r="Q83"/>
      <c r="R83"/>
      <c r="S83" s="1563"/>
      <c r="T83" s="1563"/>
      <c r="U83" s="1562"/>
      <c r="V83" s="1562"/>
      <c r="W83" s="1562"/>
      <c r="X83" s="1562"/>
      <c r="Y83" s="1562"/>
      <c r="Z83" s="1562"/>
      <c r="AA83" s="1562"/>
      <c r="AC83" s="1512"/>
      <c r="AD83" s="1512"/>
      <c r="AE83" s="1512"/>
      <c r="AF83" s="1512"/>
      <c r="AG83" s="1512"/>
      <c r="AH83" s="1512"/>
      <c r="AI83" s="1512"/>
      <c r="AJ83" s="1512"/>
      <c r="AK83" s="1512"/>
      <c r="AL83" s="1512"/>
      <c r="AM83" s="1512"/>
    </row>
    <row r="84" spans="2:39" s="1557" customFormat="1">
      <c r="B84"/>
      <c r="C84"/>
      <c r="D84" s="483"/>
      <c r="E84"/>
      <c r="F84"/>
      <c r="G84" s="1562"/>
      <c r="H84" s="1562"/>
      <c r="I84" s="1562"/>
      <c r="J84" s="1562"/>
      <c r="K84" s="1562"/>
      <c r="L84"/>
      <c r="M84"/>
      <c r="N84"/>
      <c r="O84"/>
      <c r="P84" s="1562"/>
      <c r="Q84"/>
      <c r="R84"/>
      <c r="S84" s="1563"/>
      <c r="T84" s="1563"/>
      <c r="U84" s="1562"/>
      <c r="V84" s="1562"/>
      <c r="W84" s="1562"/>
      <c r="X84" s="1562"/>
      <c r="Y84" s="1562"/>
      <c r="Z84" s="1562"/>
      <c r="AA84" s="1562"/>
      <c r="AC84" s="1512"/>
      <c r="AD84" s="1512"/>
      <c r="AE84" s="1512"/>
      <c r="AF84" s="1512"/>
      <c r="AG84" s="1512"/>
      <c r="AH84" s="1512"/>
      <c r="AI84" s="1512"/>
      <c r="AJ84" s="1512"/>
      <c r="AK84" s="1512"/>
      <c r="AL84" s="1512"/>
      <c r="AM84" s="1512"/>
    </row>
    <row r="85" spans="2:39" s="1557" customFormat="1">
      <c r="B85"/>
      <c r="C85"/>
      <c r="D85" s="483"/>
      <c r="E85"/>
      <c r="F85"/>
      <c r="G85" s="1562"/>
      <c r="H85" s="1562"/>
      <c r="I85" s="1562"/>
      <c r="J85" s="1562"/>
      <c r="K85" s="1562"/>
      <c r="L85"/>
      <c r="M85"/>
      <c r="N85"/>
      <c r="O85"/>
      <c r="P85" s="1562"/>
      <c r="Q85"/>
      <c r="R85"/>
      <c r="S85" s="1563"/>
      <c r="T85" s="1563"/>
      <c r="U85" s="1562"/>
      <c r="V85" s="1562"/>
      <c r="W85" s="1562"/>
      <c r="X85" s="1562"/>
      <c r="Y85" s="1562"/>
      <c r="Z85" s="1562"/>
      <c r="AA85" s="1562"/>
      <c r="AC85" s="1512"/>
      <c r="AD85" s="1512"/>
      <c r="AE85" s="1512"/>
      <c r="AF85" s="1512"/>
      <c r="AG85" s="1512"/>
      <c r="AH85" s="1512"/>
      <c r="AI85" s="1512"/>
      <c r="AJ85" s="1512"/>
      <c r="AK85" s="1512"/>
      <c r="AL85" s="1512"/>
      <c r="AM85" s="1512"/>
    </row>
    <row r="86" spans="2:39" s="1557" customFormat="1">
      <c r="B86"/>
      <c r="C86"/>
      <c r="D86" s="483"/>
      <c r="E86"/>
      <c r="F86"/>
      <c r="G86" s="1562"/>
      <c r="H86" s="1562"/>
      <c r="I86" s="1562"/>
      <c r="J86" s="1562"/>
      <c r="K86" s="1562"/>
      <c r="L86"/>
      <c r="M86"/>
      <c r="N86"/>
      <c r="O86"/>
      <c r="P86" s="1562"/>
      <c r="Q86"/>
      <c r="R86"/>
      <c r="S86" s="1563"/>
      <c r="T86" s="1563"/>
      <c r="U86" s="1562"/>
      <c r="V86" s="1562"/>
      <c r="W86" s="1562"/>
      <c r="X86" s="1562"/>
      <c r="Y86" s="1562"/>
      <c r="Z86" s="1562"/>
      <c r="AA86" s="1562"/>
      <c r="AC86" s="1512"/>
      <c r="AD86" s="1512"/>
      <c r="AE86" s="1512"/>
      <c r="AF86" s="1512"/>
      <c r="AG86" s="1512"/>
      <c r="AH86" s="1512"/>
      <c r="AI86" s="1512"/>
      <c r="AJ86" s="1512"/>
      <c r="AK86" s="1512"/>
      <c r="AL86" s="1512"/>
      <c r="AM86" s="1512"/>
    </row>
    <row r="87" spans="2:39" s="1557" customFormat="1">
      <c r="B87"/>
      <c r="C87"/>
      <c r="D87" s="483"/>
      <c r="E87"/>
      <c r="F87"/>
      <c r="G87" s="1562"/>
      <c r="H87" s="1562"/>
      <c r="I87" s="1562"/>
      <c r="J87" s="1562"/>
      <c r="K87" s="1562"/>
      <c r="L87"/>
      <c r="M87"/>
      <c r="N87"/>
      <c r="O87"/>
      <c r="P87" s="1562"/>
      <c r="Q87"/>
      <c r="R87"/>
      <c r="S87" s="1563"/>
      <c r="T87" s="1563"/>
      <c r="U87" s="1562"/>
      <c r="V87" s="1562"/>
      <c r="W87" s="1562"/>
      <c r="X87" s="1562"/>
      <c r="Y87" s="1562"/>
      <c r="Z87" s="1562"/>
      <c r="AA87" s="1562"/>
      <c r="AC87" s="1512"/>
      <c r="AD87" s="1512"/>
      <c r="AE87" s="1512"/>
      <c r="AF87" s="1512"/>
      <c r="AG87" s="1512"/>
      <c r="AH87" s="1512"/>
      <c r="AI87" s="1512"/>
      <c r="AJ87" s="1512"/>
      <c r="AK87" s="1512"/>
      <c r="AL87" s="1512"/>
      <c r="AM87" s="1512"/>
    </row>
    <row r="88" spans="2:39" s="1557" customFormat="1">
      <c r="B88"/>
      <c r="C88"/>
      <c r="D88" s="483"/>
      <c r="E88"/>
      <c r="F88"/>
      <c r="G88" s="1562"/>
      <c r="H88" s="1562"/>
      <c r="I88" s="1562"/>
      <c r="J88" s="1562"/>
      <c r="K88" s="1562"/>
      <c r="L88"/>
      <c r="M88"/>
      <c r="N88"/>
      <c r="O88"/>
      <c r="P88" s="1562"/>
      <c r="Q88"/>
      <c r="R88"/>
      <c r="S88" s="1563"/>
      <c r="T88" s="1563"/>
      <c r="U88" s="1562"/>
      <c r="V88" s="1562"/>
      <c r="W88" s="1562"/>
      <c r="X88" s="1562"/>
      <c r="Y88" s="1562"/>
      <c r="Z88" s="1562"/>
      <c r="AA88" s="1562"/>
      <c r="AC88" s="1512"/>
      <c r="AD88" s="1512"/>
      <c r="AE88" s="1512"/>
      <c r="AF88" s="1512"/>
      <c r="AG88" s="1512"/>
      <c r="AH88" s="1512"/>
      <c r="AI88" s="1512"/>
      <c r="AJ88" s="1512"/>
      <c r="AK88" s="1512"/>
      <c r="AL88" s="1512"/>
      <c r="AM88" s="1512"/>
    </row>
    <row r="89" spans="2:39" s="1557" customFormat="1">
      <c r="B89"/>
      <c r="C89"/>
      <c r="D89" s="483"/>
      <c r="E89"/>
      <c r="F89"/>
      <c r="G89" s="1562"/>
      <c r="H89" s="1562"/>
      <c r="I89" s="1562"/>
      <c r="J89" s="1562"/>
      <c r="K89" s="1562"/>
      <c r="L89"/>
      <c r="M89"/>
      <c r="N89"/>
      <c r="O89"/>
      <c r="P89" s="1562"/>
      <c r="Q89"/>
      <c r="R89"/>
      <c r="S89" s="1563"/>
      <c r="T89" s="1563"/>
      <c r="U89" s="1562"/>
      <c r="V89" s="1562"/>
      <c r="W89" s="1562"/>
      <c r="X89" s="1562"/>
      <c r="Y89" s="1562"/>
      <c r="Z89" s="1562"/>
      <c r="AA89" s="1562"/>
      <c r="AC89" s="1512"/>
      <c r="AD89" s="1512"/>
      <c r="AE89" s="1512"/>
      <c r="AF89" s="1512"/>
      <c r="AG89" s="1512"/>
      <c r="AH89" s="1512"/>
      <c r="AI89" s="1512"/>
      <c r="AJ89" s="1512"/>
      <c r="AK89" s="1512"/>
      <c r="AL89" s="1512"/>
      <c r="AM89" s="1512"/>
    </row>
    <row r="90" spans="2:39" s="1557" customFormat="1">
      <c r="B90"/>
      <c r="C90"/>
      <c r="D90" s="483"/>
      <c r="E90"/>
      <c r="F90"/>
      <c r="G90" s="1562"/>
      <c r="H90" s="1562"/>
      <c r="I90" s="1562"/>
      <c r="J90" s="1562"/>
      <c r="K90" s="1562"/>
      <c r="L90"/>
      <c r="M90"/>
      <c r="N90"/>
      <c r="O90"/>
      <c r="P90" s="1562"/>
      <c r="Q90"/>
      <c r="R90"/>
      <c r="S90" s="1563"/>
      <c r="T90" s="1563"/>
      <c r="U90" s="1562"/>
      <c r="V90" s="1562"/>
      <c r="W90" s="1562"/>
      <c r="X90" s="1562"/>
      <c r="Y90" s="1562"/>
      <c r="Z90" s="1562"/>
      <c r="AA90" s="1562"/>
      <c r="AC90" s="1512"/>
      <c r="AD90" s="1512"/>
      <c r="AE90" s="1512"/>
      <c r="AF90" s="1512"/>
      <c r="AG90" s="1512"/>
      <c r="AH90" s="1512"/>
      <c r="AI90" s="1512"/>
      <c r="AJ90" s="1512"/>
      <c r="AK90" s="1512"/>
      <c r="AL90" s="1512"/>
      <c r="AM90" s="1512"/>
    </row>
    <row r="91" spans="2:39" s="1557" customFormat="1">
      <c r="B91"/>
      <c r="C91"/>
      <c r="D91" s="483"/>
      <c r="E91"/>
      <c r="F91"/>
      <c r="G91" s="1562"/>
      <c r="H91" s="1562"/>
      <c r="I91" s="1562"/>
      <c r="J91" s="1562"/>
      <c r="K91" s="1562"/>
      <c r="L91"/>
      <c r="M91"/>
      <c r="N91"/>
      <c r="O91"/>
      <c r="P91" s="1562"/>
      <c r="Q91"/>
      <c r="R91"/>
      <c r="S91" s="1563"/>
      <c r="T91" s="1563"/>
      <c r="U91" s="1562"/>
      <c r="V91" s="1562"/>
      <c r="W91" s="1562"/>
      <c r="X91" s="1562"/>
      <c r="Y91" s="1562"/>
      <c r="Z91" s="1562"/>
      <c r="AA91" s="1562"/>
      <c r="AC91" s="1512"/>
      <c r="AD91" s="1512"/>
      <c r="AE91" s="1512"/>
      <c r="AF91" s="1512"/>
      <c r="AG91" s="1512"/>
      <c r="AH91" s="1512"/>
      <c r="AI91" s="1512"/>
      <c r="AJ91" s="1512"/>
      <c r="AK91" s="1512"/>
      <c r="AL91" s="1512"/>
      <c r="AM91" s="1512"/>
    </row>
    <row r="92" spans="2:39" s="1557" customFormat="1">
      <c r="B92"/>
      <c r="C92"/>
      <c r="D92" s="483"/>
      <c r="E92"/>
      <c r="F92"/>
      <c r="G92" s="1562"/>
      <c r="H92" s="1562"/>
      <c r="I92" s="1562"/>
      <c r="J92" s="1562"/>
      <c r="K92" s="1562"/>
      <c r="L92"/>
      <c r="M92"/>
      <c r="N92"/>
      <c r="O92"/>
      <c r="P92" s="1562"/>
      <c r="Q92"/>
      <c r="R92"/>
      <c r="S92" s="1563"/>
      <c r="T92" s="1563"/>
      <c r="U92" s="1562"/>
      <c r="V92" s="1562"/>
      <c r="W92" s="1562"/>
      <c r="X92" s="1562"/>
      <c r="Y92" s="1562"/>
      <c r="Z92" s="1562"/>
      <c r="AA92" s="1562"/>
      <c r="AC92" s="1512"/>
      <c r="AD92" s="1512"/>
      <c r="AE92" s="1512"/>
      <c r="AF92" s="1512"/>
      <c r="AG92" s="1512"/>
      <c r="AH92" s="1512"/>
      <c r="AI92" s="1512"/>
      <c r="AJ92" s="1512"/>
      <c r="AK92" s="1512"/>
      <c r="AL92" s="1512"/>
      <c r="AM92" s="1512"/>
    </row>
    <row r="93" spans="2:39" s="1557" customFormat="1">
      <c r="B93"/>
      <c r="C93"/>
      <c r="D93" s="483"/>
      <c r="E93"/>
      <c r="F93"/>
      <c r="G93" s="1562"/>
      <c r="H93" s="1562"/>
      <c r="I93" s="1562"/>
      <c r="J93" s="1562"/>
      <c r="K93" s="1562"/>
      <c r="L93"/>
      <c r="M93"/>
      <c r="N93"/>
      <c r="O93"/>
      <c r="P93" s="1562"/>
      <c r="Q93"/>
      <c r="R93"/>
      <c r="S93" s="1563"/>
      <c r="T93" s="1563"/>
      <c r="U93" s="1562"/>
      <c r="V93" s="1562"/>
      <c r="W93" s="1562"/>
      <c r="X93" s="1562"/>
      <c r="Y93" s="1562"/>
      <c r="Z93" s="1562"/>
      <c r="AA93" s="1562"/>
      <c r="AC93" s="1512"/>
      <c r="AD93" s="1512"/>
      <c r="AE93" s="1512"/>
      <c r="AF93" s="1512"/>
      <c r="AG93" s="1512"/>
      <c r="AH93" s="1512"/>
      <c r="AI93" s="1512"/>
      <c r="AJ93" s="1512"/>
      <c r="AK93" s="1512"/>
      <c r="AL93" s="1512"/>
      <c r="AM93" s="1512"/>
    </row>
    <row r="94" spans="2:39" s="1557" customFormat="1">
      <c r="B94"/>
      <c r="C94"/>
      <c r="D94" s="483"/>
      <c r="E94"/>
      <c r="F94"/>
      <c r="G94" s="1562"/>
      <c r="H94" s="1562"/>
      <c r="I94" s="1562"/>
      <c r="J94" s="1562"/>
      <c r="K94" s="1562"/>
      <c r="L94"/>
      <c r="M94"/>
      <c r="N94"/>
      <c r="O94"/>
      <c r="P94" s="1562"/>
      <c r="Q94"/>
      <c r="R94"/>
      <c r="S94" s="1563"/>
      <c r="T94" s="1563"/>
      <c r="U94" s="1562"/>
      <c r="V94" s="1562"/>
      <c r="W94" s="1562"/>
      <c r="X94" s="1562"/>
      <c r="Y94" s="1562"/>
      <c r="Z94" s="1562"/>
      <c r="AA94" s="1562"/>
      <c r="AC94" s="1512"/>
      <c r="AD94" s="1512"/>
      <c r="AE94" s="1512"/>
      <c r="AF94" s="1512"/>
      <c r="AG94" s="1512"/>
      <c r="AH94" s="1512"/>
      <c r="AI94" s="1512"/>
      <c r="AJ94" s="1512"/>
      <c r="AK94" s="1512"/>
      <c r="AL94" s="1512"/>
      <c r="AM94" s="1512"/>
    </row>
    <row r="95" spans="2:39" s="1557" customFormat="1">
      <c r="B95"/>
      <c r="C95"/>
      <c r="D95" s="483"/>
      <c r="E95"/>
      <c r="F95"/>
      <c r="G95" s="1562"/>
      <c r="H95" s="1562"/>
      <c r="I95" s="1562"/>
      <c r="J95" s="1562"/>
      <c r="K95" s="1562"/>
      <c r="L95"/>
      <c r="M95"/>
      <c r="N95"/>
      <c r="O95"/>
      <c r="P95" s="1562"/>
      <c r="Q95"/>
      <c r="R95"/>
      <c r="S95" s="1563"/>
      <c r="T95" s="1563"/>
      <c r="U95" s="1562"/>
      <c r="V95" s="1562"/>
      <c r="W95" s="1562"/>
      <c r="X95" s="1562"/>
      <c r="Y95" s="1562"/>
      <c r="Z95" s="1562"/>
      <c r="AA95" s="1562"/>
      <c r="AC95" s="1512"/>
      <c r="AD95" s="1512"/>
      <c r="AE95" s="1512"/>
      <c r="AF95" s="1512"/>
      <c r="AG95" s="1512"/>
      <c r="AH95" s="1512"/>
      <c r="AI95" s="1512"/>
      <c r="AJ95" s="1512"/>
      <c r="AK95" s="1512"/>
      <c r="AL95" s="1512"/>
      <c r="AM95" s="1512"/>
    </row>
    <row r="96" spans="2:39" s="1557" customFormat="1">
      <c r="B96"/>
      <c r="C96"/>
      <c r="D96" s="483"/>
      <c r="E96"/>
      <c r="F96"/>
      <c r="G96" s="1562"/>
      <c r="H96" s="1562"/>
      <c r="I96" s="1562"/>
      <c r="J96" s="1562"/>
      <c r="K96" s="1562"/>
      <c r="L96"/>
      <c r="M96"/>
      <c r="N96"/>
      <c r="O96"/>
      <c r="P96" s="1562"/>
      <c r="Q96"/>
      <c r="R96"/>
      <c r="S96" s="1563"/>
      <c r="T96" s="1563"/>
      <c r="U96" s="1562"/>
      <c r="V96" s="1562"/>
      <c r="W96" s="1562"/>
      <c r="X96" s="1562"/>
      <c r="Y96" s="1562"/>
      <c r="Z96" s="1562"/>
      <c r="AA96" s="1562"/>
      <c r="AC96" s="1512"/>
      <c r="AD96" s="1512"/>
      <c r="AE96" s="1512"/>
      <c r="AF96" s="1512"/>
      <c r="AG96" s="1512"/>
      <c r="AH96" s="1512"/>
      <c r="AI96" s="1512"/>
      <c r="AJ96" s="1512"/>
      <c r="AK96" s="1512"/>
      <c r="AL96" s="1512"/>
      <c r="AM96" s="1512"/>
    </row>
    <row r="97" spans="2:41" s="1557" customFormat="1">
      <c r="B97"/>
      <c r="C97"/>
      <c r="D97" s="483"/>
      <c r="E97"/>
      <c r="F97"/>
      <c r="G97" s="1562"/>
      <c r="H97" s="1562"/>
      <c r="I97" s="1562"/>
      <c r="J97" s="1562"/>
      <c r="K97" s="1562"/>
      <c r="L97"/>
      <c r="M97"/>
      <c r="N97"/>
      <c r="O97"/>
      <c r="P97" s="1562"/>
      <c r="Q97"/>
      <c r="R97"/>
      <c r="S97" s="1563"/>
      <c r="T97" s="1563"/>
      <c r="U97" s="1562"/>
      <c r="V97" s="1562"/>
      <c r="W97" s="1562"/>
      <c r="X97" s="1562"/>
      <c r="Y97" s="1562"/>
      <c r="Z97" s="1562"/>
      <c r="AA97" s="1562"/>
      <c r="AC97" s="1512"/>
      <c r="AD97" s="1512"/>
      <c r="AE97" s="1512"/>
      <c r="AF97" s="1512"/>
      <c r="AG97" s="1512"/>
      <c r="AH97" s="1512"/>
      <c r="AI97" s="1512"/>
      <c r="AJ97" s="1512"/>
      <c r="AK97" s="1512"/>
      <c r="AL97" s="1512"/>
      <c r="AM97" s="1512"/>
    </row>
    <row r="98" spans="2:41" s="1557" customFormat="1">
      <c r="B98"/>
      <c r="C98"/>
      <c r="D98" s="483"/>
      <c r="E98"/>
      <c r="F98"/>
      <c r="G98" s="1562"/>
      <c r="H98" s="1562"/>
      <c r="I98" s="1562"/>
      <c r="J98" s="1562"/>
      <c r="K98" s="1562"/>
      <c r="L98"/>
      <c r="M98"/>
      <c r="N98"/>
      <c r="O98"/>
      <c r="P98" s="1562"/>
      <c r="Q98"/>
      <c r="R98"/>
      <c r="S98" s="1563"/>
      <c r="T98" s="1563"/>
      <c r="U98" s="1562"/>
      <c r="V98" s="1562"/>
      <c r="W98" s="1562"/>
      <c r="X98" s="1562"/>
      <c r="Y98" s="1562"/>
      <c r="Z98" s="1562"/>
      <c r="AA98" s="1562"/>
      <c r="AC98" s="1512"/>
      <c r="AD98" s="1512"/>
      <c r="AE98" s="1512"/>
      <c r="AF98" s="1512"/>
      <c r="AG98" s="1512"/>
      <c r="AH98" s="1512"/>
      <c r="AI98" s="1512"/>
      <c r="AJ98" s="1512"/>
      <c r="AK98" s="1512"/>
      <c r="AL98" s="1512"/>
      <c r="AM98" s="1512"/>
    </row>
    <row r="99" spans="2:41" s="1557" customFormat="1">
      <c r="B99"/>
      <c r="C99"/>
      <c r="D99" s="483"/>
      <c r="E99"/>
      <c r="F99"/>
      <c r="G99" s="1562"/>
      <c r="H99" s="1562"/>
      <c r="I99" s="1562"/>
      <c r="J99" s="1562"/>
      <c r="K99" s="1562"/>
      <c r="L99"/>
      <c r="M99"/>
      <c r="N99"/>
      <c r="O99"/>
      <c r="P99" s="1562"/>
      <c r="Q99"/>
      <c r="R99"/>
      <c r="S99" s="1563"/>
      <c r="T99" s="1563"/>
      <c r="U99" s="1562"/>
      <c r="V99" s="1562"/>
      <c r="W99" s="1562"/>
      <c r="X99" s="1562"/>
      <c r="Y99" s="1562"/>
      <c r="Z99" s="1562"/>
      <c r="AA99" s="1562"/>
      <c r="AC99" s="1512"/>
      <c r="AD99" s="1512"/>
      <c r="AE99" s="1512"/>
      <c r="AF99" s="1512"/>
      <c r="AG99" s="1512"/>
      <c r="AH99" s="1512"/>
      <c r="AI99" s="1512"/>
      <c r="AJ99" s="1512"/>
      <c r="AK99" s="1512"/>
      <c r="AL99" s="1512"/>
      <c r="AM99" s="1512"/>
    </row>
    <row r="100" spans="2:41" s="1557" customFormat="1">
      <c r="B100"/>
      <c r="C100"/>
      <c r="D100" s="483"/>
      <c r="E100"/>
      <c r="F100"/>
      <c r="G100" s="1562"/>
      <c r="H100" s="1562"/>
      <c r="I100" s="1562"/>
      <c r="J100" s="1562"/>
      <c r="K100" s="1562"/>
      <c r="L100"/>
      <c r="M100"/>
      <c r="N100"/>
      <c r="O100"/>
      <c r="P100" s="1562"/>
      <c r="Q100"/>
      <c r="R100"/>
      <c r="S100" s="1563"/>
      <c r="T100" s="1563"/>
      <c r="U100" s="1562"/>
      <c r="V100" s="1562"/>
      <c r="W100" s="1562"/>
      <c r="X100" s="1562"/>
      <c r="Y100" s="1562"/>
      <c r="Z100" s="1562"/>
      <c r="AA100" s="1562"/>
      <c r="AC100" s="1512"/>
      <c r="AD100" s="1512"/>
      <c r="AE100" s="1512"/>
      <c r="AF100" s="1512"/>
      <c r="AG100" s="1512"/>
      <c r="AH100" s="1512"/>
      <c r="AI100" s="1512"/>
      <c r="AJ100" s="1512"/>
      <c r="AK100" s="1512"/>
      <c r="AL100" s="1512"/>
      <c r="AM100" s="1512"/>
    </row>
    <row r="101" spans="2:41" s="1557" customFormat="1">
      <c r="B101"/>
      <c r="C101"/>
      <c r="D101" s="483"/>
      <c r="E101"/>
      <c r="F101"/>
      <c r="G101" s="1562"/>
      <c r="H101" s="1562"/>
      <c r="I101" s="1562"/>
      <c r="J101" s="1562"/>
      <c r="K101" s="1562"/>
      <c r="L101"/>
      <c r="M101"/>
      <c r="N101"/>
      <c r="O101"/>
      <c r="P101" s="1562"/>
      <c r="Q101"/>
      <c r="R101"/>
      <c r="S101" s="1563"/>
      <c r="T101" s="1563"/>
      <c r="U101" s="1562"/>
      <c r="V101" s="1562"/>
      <c r="W101" s="1562"/>
      <c r="X101" s="1562"/>
      <c r="Y101" s="1562"/>
      <c r="Z101" s="1562"/>
      <c r="AA101" s="1562"/>
      <c r="AC101" s="1512"/>
      <c r="AD101" s="1512"/>
      <c r="AE101" s="1512"/>
      <c r="AF101" s="1512"/>
      <c r="AG101" s="1512"/>
      <c r="AH101" s="1512"/>
      <c r="AI101" s="1512"/>
      <c r="AJ101" s="1512"/>
      <c r="AK101" s="1512"/>
      <c r="AL101" s="1512"/>
      <c r="AM101" s="1512"/>
    </row>
    <row r="102" spans="2:41" s="1557" customFormat="1">
      <c r="B102"/>
      <c r="D102" s="1799"/>
      <c r="F102" s="1559"/>
      <c r="G102" s="1560"/>
      <c r="H102" s="1560"/>
      <c r="I102" s="1560"/>
      <c r="J102" s="1560"/>
      <c r="K102" s="1560"/>
      <c r="L102"/>
      <c r="M102" s="1561"/>
      <c r="N102" s="1559"/>
      <c r="O102"/>
      <c r="P102" s="1562"/>
      <c r="Q102"/>
      <c r="R102"/>
      <c r="S102" s="1563"/>
      <c r="T102" s="1563"/>
      <c r="U102" s="1562"/>
      <c r="V102" s="1562"/>
      <c r="W102" s="1562"/>
      <c r="X102" s="1562"/>
      <c r="Y102" s="1562"/>
      <c r="Z102" s="1562"/>
      <c r="AA102" s="1562"/>
      <c r="AC102" s="1512"/>
      <c r="AD102" s="1512"/>
      <c r="AE102" s="1512"/>
      <c r="AF102" s="1512"/>
      <c r="AG102" s="1512"/>
      <c r="AH102" s="1512"/>
      <c r="AI102" s="1512"/>
      <c r="AJ102" s="1512"/>
      <c r="AK102" s="1512"/>
      <c r="AL102" s="1512"/>
      <c r="AM102" s="1512"/>
    </row>
    <row r="103" spans="2:41" s="1557" customFormat="1">
      <c r="B103"/>
      <c r="D103" s="1799"/>
      <c r="F103" s="1559"/>
      <c r="G103" s="1560"/>
      <c r="H103" s="1560"/>
      <c r="I103" s="1560"/>
      <c r="J103" s="1560"/>
      <c r="K103" s="1560"/>
      <c r="L103"/>
      <c r="M103" s="1561"/>
      <c r="N103" s="1559"/>
      <c r="O103"/>
      <c r="P103" s="1562"/>
      <c r="Q103"/>
      <c r="R103"/>
      <c r="S103" s="1563"/>
      <c r="T103" s="1563"/>
      <c r="U103" s="1562"/>
      <c r="V103" s="1562"/>
      <c r="W103" s="1562"/>
      <c r="X103" s="1562"/>
      <c r="Y103" s="1562"/>
      <c r="Z103" s="1562"/>
      <c r="AA103" s="1562"/>
      <c r="AC103" s="1512"/>
      <c r="AD103" s="1512"/>
      <c r="AE103" s="1512"/>
      <c r="AF103" s="1512"/>
      <c r="AG103" s="1512"/>
      <c r="AH103" s="1512"/>
      <c r="AI103" s="1512"/>
      <c r="AJ103" s="1512"/>
      <c r="AK103" s="1512"/>
      <c r="AL103" s="1512"/>
      <c r="AM103" s="1512"/>
    </row>
    <row r="104" spans="2:41" s="1557" customFormat="1">
      <c r="B104"/>
      <c r="D104" s="1799"/>
      <c r="F104" s="1559"/>
      <c r="G104" s="1560"/>
      <c r="H104" s="1560"/>
      <c r="I104" s="1560"/>
      <c r="J104" s="1560"/>
      <c r="K104" s="1560"/>
      <c r="L104"/>
      <c r="M104" s="1561"/>
      <c r="N104" s="1559"/>
      <c r="O104"/>
      <c r="P104" s="1562"/>
      <c r="Q104"/>
      <c r="R104"/>
      <c r="S104" s="1563"/>
      <c r="T104" s="1563"/>
      <c r="U104" s="1562"/>
      <c r="V104" s="1562"/>
      <c r="W104" s="1562"/>
      <c r="X104" s="1562"/>
      <c r="Y104" s="1562"/>
      <c r="Z104" s="1562"/>
      <c r="AA104" s="1562"/>
      <c r="AC104" s="1512"/>
      <c r="AD104" s="1512"/>
      <c r="AE104" s="1512"/>
      <c r="AF104" s="1512"/>
      <c r="AG104" s="1512"/>
      <c r="AH104" s="1512"/>
      <c r="AI104" s="1512"/>
      <c r="AJ104" s="1512"/>
      <c r="AK104" s="1512"/>
      <c r="AL104" s="1512"/>
      <c r="AM104" s="1512"/>
    </row>
    <row r="105" spans="2:41" s="1557" customFormat="1">
      <c r="B105"/>
      <c r="D105" s="1799"/>
      <c r="F105" s="1559"/>
      <c r="G105" s="1560"/>
      <c r="H105" s="1560"/>
      <c r="I105" s="1560"/>
      <c r="J105" s="1560"/>
      <c r="K105" s="1560"/>
      <c r="L105"/>
      <c r="M105" s="1561"/>
      <c r="N105" s="1559"/>
      <c r="O105"/>
      <c r="P105" s="1562"/>
      <c r="Q105"/>
      <c r="R105"/>
      <c r="S105" s="1563"/>
      <c r="T105" s="1563"/>
      <c r="U105" s="1562"/>
      <c r="V105" s="1562"/>
      <c r="W105" s="1562"/>
      <c r="X105" s="1562"/>
      <c r="Y105" s="1562"/>
      <c r="Z105" s="1562"/>
      <c r="AA105" s="1562"/>
      <c r="AC105" s="1512"/>
      <c r="AD105" s="1512"/>
      <c r="AE105" s="1512"/>
      <c r="AF105" s="1512"/>
      <c r="AG105" s="1512"/>
      <c r="AH105" s="1512"/>
      <c r="AI105" s="1512"/>
      <c r="AJ105" s="1512"/>
      <c r="AK105" s="1512"/>
      <c r="AL105" s="1512"/>
      <c r="AM105" s="1512"/>
    </row>
    <row r="106" spans="2:41" s="1557" customFormat="1">
      <c r="B106"/>
      <c r="D106" s="1799"/>
      <c r="F106" s="1559"/>
      <c r="G106" s="1560"/>
      <c r="H106" s="1560"/>
      <c r="I106" s="1560"/>
      <c r="J106" s="1560"/>
      <c r="K106" s="1560"/>
      <c r="L106"/>
      <c r="M106" s="1561"/>
      <c r="N106" s="1559"/>
      <c r="O106"/>
      <c r="P106" s="1562"/>
      <c r="Q106"/>
      <c r="R106"/>
      <c r="S106" s="1563"/>
      <c r="T106" s="1563"/>
      <c r="U106" s="1562">
        <f t="shared" ref="U106:AA106" si="78">SUBTOTAL(9,U65:U105)</f>
        <v>18</v>
      </c>
      <c r="V106" s="1562">
        <f t="shared" si="78"/>
        <v>5</v>
      </c>
      <c r="W106" s="1562">
        <f t="shared" si="78"/>
        <v>28.4</v>
      </c>
      <c r="X106" s="1562">
        <f t="shared" si="78"/>
        <v>20</v>
      </c>
      <c r="Y106" s="1562">
        <f t="shared" si="78"/>
        <v>2.44</v>
      </c>
      <c r="Z106" s="1562">
        <f t="shared" si="78"/>
        <v>1.2000000000000002</v>
      </c>
      <c r="AA106" s="1562">
        <f t="shared" si="78"/>
        <v>66.84</v>
      </c>
      <c r="AC106" s="1512"/>
      <c r="AD106" s="1512"/>
      <c r="AE106" s="1512"/>
      <c r="AF106" s="1512"/>
      <c r="AG106" s="1512"/>
      <c r="AH106" s="1512"/>
      <c r="AI106" s="1512"/>
      <c r="AJ106" s="1512"/>
      <c r="AK106" s="1512"/>
      <c r="AL106" s="1512"/>
      <c r="AM106" s="1512"/>
    </row>
    <row r="107" spans="2:41" s="1511" customFormat="1">
      <c r="B107" s="1526"/>
      <c r="D107" s="1800"/>
      <c r="F107" s="1564"/>
      <c r="G107" s="1565"/>
      <c r="H107" s="1565"/>
      <c r="I107" s="1565"/>
      <c r="J107" s="1565"/>
      <c r="K107" s="1565"/>
      <c r="L107"/>
      <c r="M107" s="1561"/>
      <c r="N107" s="1564"/>
      <c r="O107"/>
      <c r="P107" s="1566"/>
      <c r="Q107" s="1567"/>
      <c r="R107" s="1567"/>
      <c r="S107" s="1568"/>
      <c r="T107" s="1568"/>
      <c r="U107"/>
      <c r="V107"/>
      <c r="W107"/>
      <c r="X107"/>
      <c r="Y107"/>
      <c r="Z107"/>
      <c r="AA107"/>
      <c r="AC107" s="1512"/>
      <c r="AD107" s="1512"/>
      <c r="AE107" s="1512"/>
      <c r="AF107" s="1512"/>
      <c r="AG107" s="1512"/>
      <c r="AH107" s="1512"/>
      <c r="AI107" s="1512"/>
      <c r="AJ107" s="1512"/>
      <c r="AK107" s="1512"/>
      <c r="AL107" s="1512"/>
      <c r="AM107" s="1512"/>
    </row>
    <row r="108" spans="2:41" s="1511" customFormat="1">
      <c r="B108" s="1526"/>
      <c r="D108" s="1800"/>
      <c r="F108" s="1564"/>
      <c r="G108" s="1565"/>
      <c r="H108" s="1565"/>
      <c r="I108" s="1565"/>
      <c r="J108" s="1565"/>
      <c r="K108" s="1565"/>
      <c r="L108"/>
      <c r="M108" s="1561"/>
      <c r="N108" s="1564"/>
      <c r="O108"/>
      <c r="P108" s="1566"/>
      <c r="Q108" s="1567"/>
      <c r="R108" s="1567"/>
      <c r="S108" s="1567"/>
      <c r="T108" s="1567"/>
      <c r="U108">
        <f>SUBTOTAL(9,U66:U107)</f>
        <v>13.5</v>
      </c>
      <c r="V108">
        <f t="shared" ref="V108:AA108" si="79">SUBTOTAL(9,V66:V107)</f>
        <v>3.75</v>
      </c>
      <c r="W108">
        <f t="shared" si="79"/>
        <v>21.299999999999997</v>
      </c>
      <c r="X108">
        <f t="shared" si="79"/>
        <v>15</v>
      </c>
      <c r="Y108">
        <f t="shared" si="79"/>
        <v>1.83</v>
      </c>
      <c r="Z108">
        <f t="shared" si="79"/>
        <v>0.90000000000000013</v>
      </c>
      <c r="AA108">
        <f t="shared" si="79"/>
        <v>50.13</v>
      </c>
      <c r="AB108" s="1558"/>
      <c r="AC108" s="1558"/>
      <c r="AE108" s="1512"/>
      <c r="AF108" s="1512"/>
      <c r="AG108" s="1512"/>
      <c r="AH108" s="1512"/>
      <c r="AI108" s="1512"/>
      <c r="AJ108" s="1512"/>
      <c r="AK108" s="1512"/>
      <c r="AL108" s="1512"/>
      <c r="AM108" s="1512"/>
      <c r="AN108" s="1512"/>
      <c r="AO108" s="1512"/>
    </row>
    <row r="109" spans="2:41" s="1511" customFormat="1">
      <c r="B109" s="1526"/>
      <c r="D109" s="1800"/>
      <c r="F109" s="1564"/>
      <c r="G109" s="1565"/>
      <c r="H109" s="1565"/>
      <c r="I109" s="1565"/>
      <c r="J109" s="1565"/>
      <c r="K109" s="1565"/>
      <c r="L109"/>
      <c r="M109" s="1561"/>
      <c r="N109" s="1564"/>
      <c r="O109"/>
      <c r="P109" s="1566"/>
      <c r="Q109" s="1567"/>
      <c r="R109" s="1567"/>
      <c r="S109" s="1568"/>
      <c r="T109" s="1568"/>
      <c r="U109"/>
      <c r="V109"/>
      <c r="W109"/>
      <c r="X109"/>
      <c r="Y109"/>
      <c r="Z109"/>
      <c r="AA109"/>
      <c r="AC109" s="1512"/>
      <c r="AD109" s="1512"/>
      <c r="AE109" s="1512"/>
      <c r="AF109" s="1512"/>
      <c r="AG109" s="1512"/>
      <c r="AH109" s="1512"/>
      <c r="AI109" s="1512"/>
      <c r="AJ109" s="1512"/>
      <c r="AK109" s="1512"/>
      <c r="AL109" s="1512"/>
      <c r="AM109" s="1512"/>
    </row>
    <row r="110" spans="2:41" s="1511" customFormat="1">
      <c r="B110" s="1526"/>
      <c r="D110" s="1800"/>
      <c r="F110" s="1564"/>
      <c r="G110" s="1565"/>
      <c r="H110" s="1565"/>
      <c r="I110" s="1565"/>
      <c r="J110" s="1565"/>
      <c r="K110" s="1565"/>
      <c r="L110"/>
      <c r="M110" s="1561"/>
      <c r="N110" s="1564"/>
      <c r="O110"/>
      <c r="P110" s="1566"/>
      <c r="Q110" s="1567"/>
      <c r="R110" s="1567"/>
      <c r="S110" s="1568"/>
      <c r="T110" s="1568"/>
      <c r="U110"/>
      <c r="V110"/>
      <c r="W110"/>
      <c r="X110"/>
      <c r="Y110"/>
      <c r="Z110"/>
      <c r="AA110"/>
      <c r="AC110" s="1512"/>
      <c r="AD110" s="1512"/>
      <c r="AE110" s="1512"/>
      <c r="AF110" s="1512"/>
      <c r="AG110" s="1512"/>
      <c r="AH110" s="1512"/>
      <c r="AI110" s="1512"/>
      <c r="AJ110" s="1512"/>
      <c r="AK110" s="1512"/>
      <c r="AL110" s="1512"/>
      <c r="AM110" s="1512"/>
    </row>
    <row r="111" spans="2:41" s="1511" customFormat="1">
      <c r="B111" s="1526"/>
      <c r="D111" s="1800"/>
      <c r="F111" s="1564"/>
      <c r="G111" s="1565"/>
      <c r="H111" s="1565"/>
      <c r="I111" s="1565"/>
      <c r="J111" s="1565"/>
      <c r="K111" s="1565"/>
      <c r="L111"/>
      <c r="M111" s="1561"/>
      <c r="N111" s="1564"/>
      <c r="O111"/>
      <c r="P111" s="1566"/>
      <c r="Q111" s="1567"/>
      <c r="R111" s="1567"/>
      <c r="S111" s="1568"/>
      <c r="T111" s="1568"/>
      <c r="U111"/>
      <c r="V111"/>
      <c r="W111"/>
      <c r="X111"/>
      <c r="Y111"/>
      <c r="Z111"/>
      <c r="AA111"/>
      <c r="AC111" s="1512"/>
      <c r="AD111" s="1512"/>
      <c r="AE111" s="1512"/>
      <c r="AF111" s="1512"/>
      <c r="AG111" s="1512"/>
      <c r="AH111" s="1512"/>
      <c r="AI111" s="1512"/>
      <c r="AJ111" s="1512"/>
      <c r="AK111" s="1512"/>
      <c r="AL111" s="1512"/>
      <c r="AM111" s="1512"/>
    </row>
    <row r="112" spans="2:41" s="1511" customFormat="1">
      <c r="B112" s="1526"/>
      <c r="D112" s="1800"/>
      <c r="F112" s="1564"/>
      <c r="G112" s="1565"/>
      <c r="H112" s="1565"/>
      <c r="I112" s="1565"/>
      <c r="J112" s="1565"/>
      <c r="K112" s="1565"/>
      <c r="L112"/>
      <c r="M112" s="1561"/>
      <c r="N112" s="1564"/>
      <c r="O112"/>
      <c r="P112" s="1566"/>
      <c r="Q112" s="1567"/>
      <c r="R112" s="1567"/>
      <c r="S112" s="1568"/>
      <c r="T112" s="1568"/>
      <c r="U112"/>
      <c r="V112"/>
      <c r="W112"/>
      <c r="X112"/>
      <c r="Y112"/>
      <c r="Z112"/>
      <c r="AA112"/>
      <c r="AC112" s="1512"/>
      <c r="AD112" s="1512"/>
      <c r="AE112" s="1512"/>
      <c r="AF112" s="1512"/>
      <c r="AG112" s="1512"/>
      <c r="AH112" s="1512"/>
      <c r="AI112" s="1512"/>
      <c r="AJ112" s="1512"/>
      <c r="AK112" s="1512"/>
      <c r="AL112" s="1512"/>
      <c r="AM112" s="1512"/>
    </row>
    <row r="113" spans="2:39" s="1511" customFormat="1">
      <c r="B113" s="1526"/>
      <c r="D113" s="1800"/>
      <c r="F113" s="1564"/>
      <c r="G113" s="1565"/>
      <c r="H113" s="1565"/>
      <c r="I113" s="1565"/>
      <c r="J113" s="1565"/>
      <c r="K113" s="1565"/>
      <c r="L113"/>
      <c r="M113" s="1561"/>
      <c r="N113" s="1564"/>
      <c r="O113"/>
      <c r="P113" s="1566"/>
      <c r="Q113" s="1567"/>
      <c r="R113" s="1567"/>
      <c r="S113" s="1568"/>
      <c r="T113" s="1568"/>
      <c r="U113"/>
      <c r="V113"/>
      <c r="W113"/>
      <c r="X113"/>
      <c r="Y113"/>
      <c r="Z113"/>
      <c r="AA113"/>
      <c r="AC113" s="1512"/>
      <c r="AD113" s="1512"/>
      <c r="AE113" s="1512"/>
      <c r="AF113" s="1512"/>
      <c r="AG113" s="1512"/>
      <c r="AH113" s="1512"/>
      <c r="AI113" s="1512"/>
      <c r="AJ113" s="1512"/>
      <c r="AK113" s="1512"/>
      <c r="AL113" s="1512"/>
      <c r="AM113" s="1512"/>
    </row>
    <row r="114" spans="2:39" s="1511" customFormat="1">
      <c r="B114" s="1526"/>
      <c r="D114" s="1800"/>
      <c r="F114" s="1564"/>
      <c r="G114" s="1565"/>
      <c r="H114" s="1565"/>
      <c r="I114" s="1565"/>
      <c r="J114" s="1565"/>
      <c r="K114" s="1565"/>
      <c r="L114"/>
      <c r="M114" s="1561"/>
      <c r="N114" s="1564"/>
      <c r="O114"/>
      <c r="P114" s="1566"/>
      <c r="Q114" s="1567"/>
      <c r="R114" s="1567"/>
      <c r="S114" s="1568"/>
      <c r="T114" s="1568"/>
      <c r="U114"/>
      <c r="V114"/>
      <c r="W114"/>
      <c r="X114"/>
      <c r="Y114"/>
      <c r="Z114"/>
      <c r="AA114"/>
      <c r="AC114" s="1512"/>
      <c r="AD114" s="1512"/>
      <c r="AE114" s="1512"/>
      <c r="AF114" s="1512"/>
      <c r="AG114" s="1512"/>
      <c r="AH114" s="1512"/>
      <c r="AI114" s="1512"/>
      <c r="AJ114" s="1512"/>
      <c r="AK114" s="1512"/>
      <c r="AL114" s="1512"/>
      <c r="AM114" s="1512"/>
    </row>
    <row r="115" spans="2:39" s="1511" customFormat="1">
      <c r="B115" s="1526"/>
      <c r="D115" s="1800"/>
      <c r="F115" s="1564"/>
      <c r="G115" s="1565"/>
      <c r="H115" s="1565"/>
      <c r="I115" s="1565"/>
      <c r="J115" s="1565"/>
      <c r="K115" s="1565"/>
      <c r="L115"/>
      <c r="M115" s="1561"/>
      <c r="N115" s="1564"/>
      <c r="O115"/>
      <c r="P115" s="1566"/>
      <c r="Q115" s="1567"/>
      <c r="R115" s="1567"/>
      <c r="S115" s="1568"/>
      <c r="T115" s="1568"/>
      <c r="U115"/>
      <c r="V115"/>
      <c r="W115"/>
      <c r="X115"/>
      <c r="Y115"/>
      <c r="Z115"/>
      <c r="AA115"/>
      <c r="AC115" s="1512"/>
      <c r="AD115" s="1512"/>
      <c r="AE115" s="1512"/>
      <c r="AF115" s="1512"/>
      <c r="AG115" s="1512"/>
      <c r="AH115" s="1512"/>
      <c r="AI115" s="1512"/>
      <c r="AJ115" s="1512"/>
      <c r="AK115" s="1512"/>
      <c r="AL115" s="1512"/>
      <c r="AM115" s="1512"/>
    </row>
    <row r="116" spans="2:39" s="1511" customFormat="1">
      <c r="B116" s="1526"/>
      <c r="D116" s="1800"/>
      <c r="F116" s="1564"/>
      <c r="G116" s="1565"/>
      <c r="H116" s="1565"/>
      <c r="I116" s="1565"/>
      <c r="J116" s="1565"/>
      <c r="K116" s="1565"/>
      <c r="L116"/>
      <c r="M116" s="1561"/>
      <c r="N116" s="1564"/>
      <c r="O116"/>
      <c r="P116" s="1566"/>
      <c r="Q116" s="1567"/>
      <c r="R116" s="1567"/>
      <c r="S116" s="1568"/>
      <c r="T116" s="1568"/>
      <c r="U116"/>
      <c r="V116"/>
      <c r="W116"/>
      <c r="X116"/>
      <c r="Y116"/>
      <c r="Z116"/>
      <c r="AA116"/>
      <c r="AC116" s="1512"/>
      <c r="AD116" s="1512"/>
      <c r="AE116" s="1512"/>
      <c r="AF116" s="1512"/>
      <c r="AG116" s="1512"/>
      <c r="AH116" s="1512"/>
      <c r="AI116" s="1512"/>
      <c r="AJ116" s="1512"/>
      <c r="AK116" s="1512"/>
      <c r="AL116" s="1512"/>
      <c r="AM116" s="1512"/>
    </row>
    <row r="117" spans="2:39" s="1511" customFormat="1">
      <c r="B117" s="1526"/>
      <c r="D117" s="1800"/>
      <c r="F117" s="1564"/>
      <c r="G117" s="1565"/>
      <c r="H117" s="1565"/>
      <c r="I117" s="1565"/>
      <c r="J117" s="1565"/>
      <c r="K117" s="1565"/>
      <c r="L117"/>
      <c r="M117" s="1561"/>
      <c r="N117" s="1564"/>
      <c r="O117" s="1566"/>
      <c r="P117" s="1566"/>
      <c r="Q117" s="1567"/>
      <c r="R117" s="1567"/>
      <c r="S117" s="1568"/>
      <c r="T117" s="1568"/>
      <c r="U117"/>
      <c r="V117"/>
      <c r="W117"/>
      <c r="X117"/>
      <c r="Y117"/>
      <c r="Z117"/>
      <c r="AA117"/>
      <c r="AC117" s="1512"/>
      <c r="AD117" s="1512"/>
      <c r="AE117" s="1512"/>
      <c r="AF117" s="1512"/>
      <c r="AG117" s="1512"/>
      <c r="AH117" s="1512"/>
      <c r="AI117" s="1512"/>
      <c r="AJ117" s="1512"/>
      <c r="AK117" s="1512"/>
      <c r="AL117" s="1512"/>
      <c r="AM117" s="1512"/>
    </row>
    <row r="118" spans="2:39" s="1511" customFormat="1">
      <c r="B118" s="1526"/>
      <c r="D118" s="1800"/>
      <c r="F118" s="1564"/>
      <c r="G118" s="1565"/>
      <c r="H118" s="1565"/>
      <c r="I118" s="1565"/>
      <c r="J118" s="1565"/>
      <c r="K118" s="1565"/>
      <c r="L118"/>
      <c r="M118" s="1561"/>
      <c r="N118" s="1564"/>
      <c r="O118" s="1566"/>
      <c r="P118" s="1566"/>
      <c r="Q118" s="1567"/>
      <c r="R118" s="1567"/>
      <c r="S118" s="1568"/>
      <c r="T118" s="1568"/>
      <c r="U118"/>
      <c r="V118"/>
      <c r="W118"/>
      <c r="X118"/>
      <c r="Y118"/>
      <c r="Z118"/>
      <c r="AA118"/>
      <c r="AC118" s="1512"/>
      <c r="AD118" s="1512"/>
      <c r="AE118" s="1512"/>
      <c r="AF118" s="1512"/>
      <c r="AG118" s="1512"/>
      <c r="AH118" s="1512"/>
      <c r="AI118" s="1512"/>
      <c r="AJ118" s="1512"/>
      <c r="AK118" s="1512"/>
      <c r="AL118" s="1512"/>
      <c r="AM118" s="1512"/>
    </row>
    <row r="119" spans="2:39" s="1511" customFormat="1">
      <c r="B119" s="1526"/>
      <c r="D119" s="1800"/>
      <c r="F119" s="1564"/>
      <c r="G119" s="1565"/>
      <c r="H119" s="1565"/>
      <c r="I119" s="1565"/>
      <c r="J119" s="1565"/>
      <c r="K119" s="1565"/>
      <c r="L119"/>
      <c r="M119" s="1561"/>
      <c r="N119" s="1564"/>
      <c r="O119" s="1566"/>
      <c r="P119" s="1566"/>
      <c r="Q119" s="1567"/>
      <c r="R119" s="1567"/>
      <c r="S119" s="1568"/>
      <c r="T119" s="1568"/>
      <c r="U119"/>
      <c r="V119"/>
      <c r="W119"/>
      <c r="X119"/>
      <c r="Y119"/>
      <c r="Z119"/>
      <c r="AA119"/>
      <c r="AC119" s="1512"/>
      <c r="AD119" s="1512"/>
      <c r="AE119" s="1512"/>
      <c r="AF119" s="1512"/>
      <c r="AG119" s="1512"/>
      <c r="AH119" s="1512"/>
      <c r="AI119" s="1512"/>
      <c r="AJ119" s="1512"/>
      <c r="AK119" s="1512"/>
      <c r="AL119" s="1512"/>
      <c r="AM119" s="1512"/>
    </row>
    <row r="120" spans="2:39" s="1511" customFormat="1">
      <c r="B120" s="1526"/>
      <c r="D120" s="1800"/>
      <c r="F120" s="1564"/>
      <c r="G120" s="1565"/>
      <c r="H120" s="1565"/>
      <c r="I120" s="1565"/>
      <c r="J120" s="1565"/>
      <c r="K120" s="1565"/>
      <c r="L120"/>
      <c r="M120" s="1561"/>
      <c r="N120" s="1564"/>
      <c r="O120" s="1566"/>
      <c r="P120" s="1566"/>
      <c r="Q120" s="1567"/>
      <c r="R120" s="1567"/>
      <c r="S120" s="1568"/>
      <c r="T120" s="1568"/>
      <c r="U120"/>
      <c r="V120"/>
      <c r="W120"/>
      <c r="X120"/>
      <c r="Y120"/>
      <c r="Z120"/>
      <c r="AA120"/>
      <c r="AC120" s="1512"/>
      <c r="AD120" s="1512"/>
      <c r="AE120" s="1512"/>
      <c r="AF120" s="1512"/>
      <c r="AG120" s="1512"/>
      <c r="AH120" s="1512"/>
      <c r="AI120" s="1512"/>
      <c r="AJ120" s="1512"/>
      <c r="AK120" s="1512"/>
      <c r="AL120" s="1512"/>
      <c r="AM120" s="1512"/>
    </row>
    <row r="121" spans="2:39" s="1511" customFormat="1">
      <c r="B121" s="1526"/>
      <c r="D121" s="1800"/>
      <c r="F121" s="1564"/>
      <c r="G121" s="1565"/>
      <c r="H121" s="1565"/>
      <c r="I121" s="1565"/>
      <c r="J121" s="1565"/>
      <c r="K121" s="1565"/>
      <c r="L121"/>
      <c r="M121" s="1561"/>
      <c r="N121" s="1564"/>
      <c r="O121" s="1566"/>
      <c r="P121" s="1566"/>
      <c r="Q121" s="1567"/>
      <c r="R121" s="1567"/>
      <c r="S121" s="1568"/>
      <c r="T121" s="1568"/>
      <c r="U121"/>
      <c r="V121"/>
      <c r="W121"/>
      <c r="X121"/>
      <c r="Y121"/>
      <c r="Z121"/>
      <c r="AA121"/>
      <c r="AC121" s="1512"/>
      <c r="AD121" s="1512"/>
      <c r="AE121" s="1512"/>
      <c r="AF121" s="1512"/>
      <c r="AG121" s="1512"/>
      <c r="AH121" s="1512"/>
      <c r="AI121" s="1512"/>
      <c r="AJ121" s="1512"/>
      <c r="AK121" s="1512"/>
      <c r="AL121" s="1512"/>
      <c r="AM121" s="1512"/>
    </row>
    <row r="122" spans="2:39" s="1511" customFormat="1">
      <c r="B122" s="1526"/>
      <c r="D122" s="1800"/>
      <c r="F122" s="1564"/>
      <c r="G122" s="1565"/>
      <c r="H122" s="1565"/>
      <c r="I122" s="1565"/>
      <c r="J122" s="1565"/>
      <c r="K122" s="1565"/>
      <c r="L122"/>
      <c r="M122" s="1561"/>
      <c r="N122" s="1564"/>
      <c r="O122" s="1566"/>
      <c r="P122" s="1566"/>
      <c r="Q122" s="1567"/>
      <c r="R122" s="1567"/>
      <c r="S122" s="1568"/>
      <c r="T122" s="1568"/>
      <c r="U122"/>
      <c r="V122"/>
      <c r="W122"/>
      <c r="X122"/>
      <c r="Y122"/>
      <c r="Z122"/>
      <c r="AA122"/>
      <c r="AC122" s="1512"/>
      <c r="AD122" s="1512"/>
      <c r="AE122" s="1512"/>
      <c r="AF122" s="1512"/>
      <c r="AG122" s="1512"/>
      <c r="AH122" s="1512"/>
      <c r="AI122" s="1512"/>
      <c r="AJ122" s="1512"/>
      <c r="AK122" s="1512"/>
      <c r="AL122" s="1512"/>
      <c r="AM122" s="1512"/>
    </row>
    <row r="123" spans="2:39" s="1511" customFormat="1">
      <c r="B123" s="1526"/>
      <c r="D123" s="1800"/>
      <c r="F123" s="1564"/>
      <c r="G123" s="1565"/>
      <c r="H123" s="1565"/>
      <c r="I123" s="1565"/>
      <c r="J123" s="1565"/>
      <c r="K123" s="1565"/>
      <c r="L123"/>
      <c r="M123" s="1561"/>
      <c r="N123" s="1564"/>
      <c r="O123" s="1566"/>
      <c r="P123" s="1566"/>
      <c r="Q123" s="1567"/>
      <c r="R123" s="1567"/>
      <c r="S123" s="1568"/>
      <c r="T123" s="1568"/>
      <c r="U123"/>
      <c r="V123"/>
      <c r="W123"/>
      <c r="X123"/>
      <c r="Y123"/>
      <c r="Z123"/>
      <c r="AA123"/>
      <c r="AC123" s="1512"/>
      <c r="AD123" s="1512"/>
      <c r="AE123" s="1512"/>
      <c r="AF123" s="1512"/>
      <c r="AG123" s="1512"/>
      <c r="AH123" s="1512"/>
      <c r="AI123" s="1512"/>
      <c r="AJ123" s="1512"/>
      <c r="AK123" s="1512"/>
      <c r="AL123" s="1512"/>
      <c r="AM123" s="1512"/>
    </row>
    <row r="124" spans="2:39" s="1511" customFormat="1">
      <c r="B124" s="1526"/>
      <c r="D124" s="1800"/>
      <c r="F124" s="1564"/>
      <c r="G124" s="1565"/>
      <c r="H124" s="1565"/>
      <c r="I124" s="1565"/>
      <c r="J124" s="1565"/>
      <c r="K124" s="1565"/>
      <c r="L124"/>
      <c r="M124" s="1561"/>
      <c r="N124" s="1564"/>
      <c r="O124" s="1566"/>
      <c r="P124" s="1566"/>
      <c r="Q124" s="1567"/>
      <c r="R124" s="1567"/>
      <c r="S124" s="1568"/>
      <c r="T124" s="1568"/>
      <c r="U124"/>
      <c r="V124"/>
      <c r="W124"/>
      <c r="X124"/>
      <c r="Y124"/>
      <c r="Z124"/>
      <c r="AA124"/>
      <c r="AC124" s="1512"/>
      <c r="AD124" s="1512"/>
      <c r="AE124" s="1512"/>
      <c r="AF124" s="1512"/>
      <c r="AG124" s="1512"/>
      <c r="AH124" s="1512"/>
      <c r="AI124" s="1512"/>
      <c r="AJ124" s="1512"/>
      <c r="AK124" s="1512"/>
      <c r="AL124" s="1512"/>
      <c r="AM124" s="1512"/>
    </row>
    <row r="125" spans="2:39" s="1511" customFormat="1">
      <c r="B125" s="1526"/>
      <c r="D125" s="1800"/>
      <c r="F125" s="1564"/>
      <c r="G125" s="1565"/>
      <c r="H125" s="1565"/>
      <c r="I125" s="1565"/>
      <c r="J125" s="1565"/>
      <c r="K125" s="1565"/>
      <c r="L125"/>
      <c r="M125" s="1561"/>
      <c r="N125" s="1564"/>
      <c r="O125" s="1566"/>
      <c r="P125" s="1566"/>
      <c r="Q125" s="1567"/>
      <c r="R125" s="1567"/>
      <c r="S125" s="1568"/>
      <c r="T125" s="1568"/>
      <c r="U125"/>
      <c r="V125"/>
      <c r="W125"/>
      <c r="X125"/>
      <c r="Y125"/>
      <c r="Z125"/>
      <c r="AA125"/>
      <c r="AC125" s="1512"/>
      <c r="AD125" s="1512"/>
      <c r="AE125" s="1512"/>
      <c r="AF125" s="1512"/>
      <c r="AG125" s="1512"/>
      <c r="AH125" s="1512"/>
      <c r="AI125" s="1512"/>
      <c r="AJ125" s="1512"/>
      <c r="AK125" s="1512"/>
      <c r="AL125" s="1512"/>
      <c r="AM125" s="1512"/>
    </row>
    <row r="126" spans="2:39" s="1511" customFormat="1">
      <c r="B126" s="1526"/>
      <c r="D126" s="1800"/>
      <c r="F126" s="1564"/>
      <c r="G126" s="1565"/>
      <c r="H126" s="1565"/>
      <c r="I126" s="1565"/>
      <c r="J126" s="1565"/>
      <c r="K126" s="1565"/>
      <c r="L126"/>
      <c r="M126" s="1561"/>
      <c r="N126" s="1564"/>
      <c r="O126" s="1566"/>
      <c r="P126" s="1566"/>
      <c r="Q126" s="1567"/>
      <c r="R126" s="1567"/>
      <c r="S126" s="1568"/>
      <c r="T126" s="1568"/>
      <c r="U126"/>
      <c r="V126"/>
      <c r="W126"/>
      <c r="X126"/>
      <c r="Y126"/>
      <c r="Z126"/>
      <c r="AA126"/>
      <c r="AC126" s="1512"/>
      <c r="AD126" s="1512"/>
      <c r="AE126" s="1512"/>
      <c r="AF126" s="1512"/>
      <c r="AG126" s="1512"/>
      <c r="AH126" s="1512"/>
      <c r="AI126" s="1512"/>
      <c r="AJ126" s="1512"/>
      <c r="AK126" s="1512"/>
      <c r="AL126" s="1512"/>
      <c r="AM126" s="1512"/>
    </row>
    <row r="127" spans="2:39" s="1511" customFormat="1">
      <c r="B127" s="1526"/>
      <c r="D127" s="1800"/>
      <c r="F127" s="1564"/>
      <c r="G127" s="1565"/>
      <c r="H127" s="1565"/>
      <c r="I127" s="1565"/>
      <c r="J127" s="1565"/>
      <c r="K127" s="1565"/>
      <c r="L127"/>
      <c r="M127" s="1561"/>
      <c r="N127" s="1564"/>
      <c r="O127" s="1566"/>
      <c r="P127" s="1566"/>
      <c r="Q127" s="1567"/>
      <c r="R127" s="1567"/>
      <c r="S127" s="1568"/>
      <c r="T127" s="1568"/>
      <c r="U127"/>
      <c r="V127"/>
      <c r="W127"/>
      <c r="X127"/>
      <c r="Y127"/>
      <c r="Z127"/>
      <c r="AA127"/>
      <c r="AC127" s="1512"/>
      <c r="AD127" s="1512"/>
      <c r="AE127" s="1512"/>
      <c r="AF127" s="1512"/>
      <c r="AG127" s="1512"/>
      <c r="AH127" s="1512"/>
      <c r="AI127" s="1512"/>
      <c r="AJ127" s="1512"/>
      <c r="AK127" s="1512"/>
      <c r="AL127" s="1512"/>
      <c r="AM127" s="1512"/>
    </row>
    <row r="128" spans="2:39" s="1511" customFormat="1">
      <c r="B128" s="1526"/>
      <c r="D128" s="1800"/>
      <c r="F128" s="1564"/>
      <c r="G128" s="1565"/>
      <c r="H128" s="1565"/>
      <c r="I128" s="1565"/>
      <c r="J128" s="1565"/>
      <c r="K128" s="1565"/>
      <c r="L128"/>
      <c r="M128" s="1561"/>
      <c r="N128" s="1564"/>
      <c r="O128" s="1566"/>
      <c r="P128" s="1566"/>
      <c r="Q128" s="1567"/>
      <c r="R128" s="1567"/>
      <c r="S128" s="1568"/>
      <c r="T128" s="1568"/>
      <c r="U128"/>
      <c r="V128"/>
      <c r="W128"/>
      <c r="X128"/>
      <c r="Y128"/>
      <c r="Z128"/>
      <c r="AA128"/>
      <c r="AC128" s="1512"/>
      <c r="AD128" s="1512"/>
      <c r="AE128" s="1512"/>
      <c r="AF128" s="1512"/>
      <c r="AG128" s="1512"/>
      <c r="AH128" s="1512"/>
      <c r="AI128" s="1512"/>
      <c r="AJ128" s="1512"/>
      <c r="AK128" s="1512"/>
      <c r="AL128" s="1512"/>
      <c r="AM128" s="1512"/>
    </row>
    <row r="129" spans="1:40" s="1511" customFormat="1">
      <c r="B129" s="1526"/>
      <c r="D129" s="1800"/>
      <c r="F129" s="1564"/>
      <c r="G129" s="1565"/>
      <c r="H129" s="1565"/>
      <c r="I129" s="1565"/>
      <c r="J129" s="1565"/>
      <c r="K129" s="1565"/>
      <c r="L129"/>
      <c r="M129" s="1561"/>
      <c r="N129" s="1564"/>
      <c r="O129" s="1566"/>
      <c r="P129" s="1566"/>
      <c r="Q129" s="1567"/>
      <c r="R129" s="1567"/>
      <c r="S129" s="1568"/>
      <c r="T129" s="1568"/>
      <c r="U129"/>
      <c r="V129"/>
      <c r="W129"/>
      <c r="X129"/>
      <c r="Y129"/>
      <c r="Z129"/>
      <c r="AA129"/>
      <c r="AC129" s="1512"/>
      <c r="AD129" s="1512"/>
      <c r="AE129" s="1512"/>
      <c r="AF129" s="1512"/>
      <c r="AG129" s="1512"/>
      <c r="AH129" s="1512"/>
      <c r="AI129" s="1512"/>
      <c r="AJ129" s="1512"/>
      <c r="AK129" s="1512"/>
      <c r="AL129" s="1512"/>
      <c r="AM129" s="1512"/>
    </row>
    <row r="130" spans="1:40" s="1511" customFormat="1">
      <c r="B130" s="1526"/>
      <c r="D130" s="1800"/>
      <c r="F130" s="1564"/>
      <c r="G130" s="1565"/>
      <c r="H130" s="1565"/>
      <c r="I130" s="1565"/>
      <c r="J130" s="1565"/>
      <c r="K130" s="1565"/>
      <c r="L130"/>
      <c r="M130" s="1561"/>
      <c r="N130" s="1564"/>
      <c r="O130" s="1566"/>
      <c r="P130" s="1566"/>
      <c r="Q130" s="1567"/>
      <c r="R130" s="1567"/>
      <c r="S130" s="1568"/>
      <c r="T130" s="1568"/>
      <c r="U130"/>
      <c r="V130"/>
      <c r="W130"/>
      <c r="X130"/>
      <c r="Y130"/>
      <c r="Z130"/>
      <c r="AA130"/>
      <c r="AC130" s="1512"/>
      <c r="AD130" s="1512"/>
      <c r="AE130" s="1512"/>
      <c r="AF130" s="1512"/>
      <c r="AG130" s="1512"/>
      <c r="AH130" s="1512"/>
      <c r="AI130" s="1512"/>
      <c r="AJ130" s="1512"/>
      <c r="AK130" s="1512"/>
      <c r="AL130" s="1512"/>
      <c r="AM130" s="1512"/>
    </row>
    <row r="131" spans="1:40" s="1511" customFormat="1">
      <c r="B131" s="1526"/>
      <c r="D131" s="1800"/>
      <c r="F131" s="1564"/>
      <c r="G131" s="1565"/>
      <c r="H131" s="1565"/>
      <c r="I131" s="1565"/>
      <c r="J131" s="1565"/>
      <c r="K131" s="1565"/>
      <c r="L131"/>
      <c r="M131" s="1561"/>
      <c r="N131" s="1564"/>
      <c r="O131" s="1566"/>
      <c r="P131" s="1566"/>
      <c r="Q131" s="1567"/>
      <c r="R131" s="1567"/>
      <c r="S131" s="1568"/>
      <c r="T131" s="1568"/>
      <c r="U131"/>
      <c r="V131"/>
      <c r="W131"/>
      <c r="X131"/>
      <c r="Y131"/>
      <c r="Z131"/>
      <c r="AA131"/>
      <c r="AC131" s="1512"/>
      <c r="AD131" s="1512"/>
      <c r="AE131" s="1512"/>
      <c r="AF131" s="1512"/>
      <c r="AG131" s="1512"/>
      <c r="AH131" s="1512"/>
      <c r="AI131" s="1512"/>
      <c r="AJ131" s="1512"/>
      <c r="AK131" s="1512"/>
      <c r="AL131" s="1512"/>
      <c r="AM131" s="1512"/>
    </row>
    <row r="132" spans="1:40" s="1511" customFormat="1">
      <c r="B132" s="1526"/>
      <c r="D132" s="1800"/>
      <c r="F132" s="1564"/>
      <c r="G132" s="1565"/>
      <c r="H132" s="1565"/>
      <c r="I132" s="1565"/>
      <c r="J132" s="1565"/>
      <c r="K132" s="1565"/>
      <c r="L132"/>
      <c r="M132" s="1561"/>
      <c r="N132" s="1564"/>
      <c r="O132" s="1566"/>
      <c r="P132" s="1566"/>
      <c r="Q132" s="1567"/>
      <c r="R132" s="1567"/>
      <c r="S132" s="1568"/>
      <c r="T132" s="1568"/>
      <c r="U132"/>
      <c r="V132"/>
      <c r="W132"/>
      <c r="X132"/>
      <c r="Y132"/>
      <c r="Z132"/>
      <c r="AA132"/>
      <c r="AC132" s="1512"/>
      <c r="AD132" s="1512"/>
      <c r="AE132" s="1512"/>
      <c r="AF132" s="1512"/>
      <c r="AG132" s="1512"/>
      <c r="AH132" s="1512"/>
      <c r="AI132" s="1512"/>
      <c r="AJ132" s="1512"/>
      <c r="AK132" s="1512"/>
      <c r="AL132" s="1512"/>
      <c r="AM132" s="1512"/>
    </row>
    <row r="133" spans="1:40" s="1511" customFormat="1">
      <c r="B133" s="1526"/>
      <c r="D133" s="1800"/>
      <c r="F133" s="1564"/>
      <c r="G133" s="1565"/>
      <c r="H133" s="1565"/>
      <c r="I133" s="1565"/>
      <c r="J133" s="1565"/>
      <c r="K133" s="1565"/>
      <c r="L133"/>
      <c r="M133" s="1561"/>
      <c r="N133" s="1564"/>
      <c r="O133" s="1566"/>
      <c r="P133" s="1566"/>
      <c r="Q133" s="1567"/>
      <c r="R133" s="1567"/>
      <c r="S133" s="1568"/>
      <c r="T133" s="1568"/>
      <c r="U133"/>
      <c r="V133"/>
      <c r="W133"/>
      <c r="X133"/>
      <c r="Y133"/>
      <c r="Z133"/>
      <c r="AA133"/>
      <c r="AC133" s="1512"/>
      <c r="AD133" s="1512"/>
      <c r="AE133" s="1512"/>
      <c r="AF133" s="1512"/>
      <c r="AG133" s="1512"/>
      <c r="AH133" s="1512"/>
      <c r="AI133" s="1512"/>
      <c r="AJ133" s="1512"/>
      <c r="AK133" s="1512"/>
      <c r="AL133" s="1512"/>
      <c r="AM133" s="1512"/>
    </row>
    <row r="134" spans="1:40" s="1511" customFormat="1">
      <c r="B134" s="1526"/>
      <c r="D134" s="1800"/>
      <c r="F134" s="1564"/>
      <c r="G134" s="1565"/>
      <c r="H134" s="1565"/>
      <c r="I134" s="1565"/>
      <c r="J134" s="1565"/>
      <c r="K134" s="1565"/>
      <c r="L134"/>
      <c r="M134" s="1561"/>
      <c r="N134" s="1564"/>
      <c r="O134" s="1566"/>
      <c r="P134" s="1566"/>
      <c r="Q134" s="1567"/>
      <c r="R134" s="1567"/>
      <c r="S134" s="1568"/>
      <c r="T134" s="1568"/>
      <c r="U134"/>
      <c r="V134"/>
      <c r="W134"/>
      <c r="X134"/>
      <c r="Y134"/>
      <c r="Z134"/>
      <c r="AA134"/>
      <c r="AC134" s="1512"/>
      <c r="AD134" s="1512"/>
      <c r="AE134" s="1512"/>
      <c r="AF134" s="1512"/>
      <c r="AG134" s="1512"/>
      <c r="AH134" s="1512"/>
      <c r="AI134" s="1512"/>
      <c r="AJ134" s="1512"/>
      <c r="AK134" s="1512"/>
      <c r="AL134" s="1512"/>
      <c r="AM134" s="1512"/>
    </row>
    <row r="135" spans="1:40" s="1511" customFormat="1">
      <c r="B135" s="1526"/>
      <c r="D135" s="1800"/>
      <c r="F135" s="1564"/>
      <c r="G135" s="1565"/>
      <c r="H135" s="1565"/>
      <c r="I135" s="1565"/>
      <c r="J135" s="1565"/>
      <c r="K135" s="1565"/>
      <c r="L135"/>
      <c r="M135" s="1561"/>
      <c r="N135" s="1564"/>
      <c r="O135" s="1566"/>
      <c r="P135" s="1566"/>
      <c r="Q135" s="1567"/>
      <c r="R135" s="1567"/>
      <c r="S135" s="1568"/>
      <c r="T135" s="1568"/>
      <c r="U135"/>
      <c r="V135"/>
      <c r="W135"/>
      <c r="X135"/>
      <c r="Y135"/>
      <c r="Z135"/>
      <c r="AA135"/>
      <c r="AC135" s="1512"/>
      <c r="AD135" s="1512"/>
      <c r="AE135" s="1512"/>
      <c r="AF135" s="1512"/>
      <c r="AG135" s="1512"/>
      <c r="AH135" s="1512"/>
      <c r="AI135" s="1512"/>
      <c r="AJ135" s="1512"/>
      <c r="AK135" s="1512"/>
      <c r="AL135" s="1512"/>
      <c r="AM135" s="1512"/>
    </row>
    <row r="136" spans="1:40" s="1511" customFormat="1">
      <c r="B136" s="1526"/>
      <c r="D136" s="1800"/>
      <c r="F136" s="1564"/>
      <c r="G136" s="1565"/>
      <c r="H136" s="1565"/>
      <c r="I136" s="1565"/>
      <c r="J136" s="1565"/>
      <c r="K136" s="1565"/>
      <c r="L136"/>
      <c r="M136" s="1561"/>
      <c r="N136" s="1564"/>
      <c r="O136" s="1566"/>
      <c r="P136" s="1566"/>
      <c r="Q136" s="1567"/>
      <c r="R136" s="1567"/>
      <c r="S136" s="1568"/>
      <c r="T136" s="1568"/>
      <c r="U136"/>
      <c r="V136"/>
      <c r="W136"/>
      <c r="X136"/>
      <c r="Y136"/>
      <c r="Z136"/>
      <c r="AA136"/>
      <c r="AC136" s="1512"/>
      <c r="AD136" s="1512"/>
      <c r="AE136" s="1512"/>
      <c r="AF136" s="1512"/>
      <c r="AG136" s="1512"/>
      <c r="AH136" s="1512"/>
      <c r="AI136" s="1512"/>
      <c r="AJ136" s="1512"/>
      <c r="AK136" s="1512"/>
      <c r="AL136" s="1512"/>
      <c r="AM136" s="1512"/>
    </row>
    <row r="137" spans="1:40" s="1511" customFormat="1">
      <c r="B137" s="1526"/>
      <c r="D137" s="1800"/>
      <c r="F137" s="1564"/>
      <c r="G137" s="1565"/>
      <c r="H137" s="1565"/>
      <c r="I137" s="1565"/>
      <c r="J137" s="1565"/>
      <c r="K137" s="1565"/>
      <c r="L137"/>
      <c r="M137" s="1561"/>
      <c r="N137" s="1564"/>
      <c r="O137" s="1566"/>
      <c r="P137" s="1566"/>
      <c r="Q137" s="1567"/>
      <c r="R137" s="1567"/>
      <c r="S137" s="1568"/>
      <c r="T137" s="1568"/>
      <c r="U137"/>
      <c r="V137"/>
      <c r="W137"/>
      <c r="X137"/>
      <c r="Y137"/>
      <c r="Z137"/>
      <c r="AA137"/>
      <c r="AC137" s="1512"/>
      <c r="AD137" s="1512"/>
      <c r="AE137" s="1512"/>
      <c r="AF137" s="1512"/>
      <c r="AG137" s="1512"/>
      <c r="AH137" s="1512"/>
      <c r="AI137" s="1512"/>
      <c r="AJ137" s="1512"/>
      <c r="AK137" s="1512"/>
      <c r="AL137" s="1512"/>
      <c r="AM137" s="1512"/>
    </row>
    <row r="138" spans="1:40" s="1511" customFormat="1">
      <c r="B138" s="1526"/>
      <c r="D138" s="1800"/>
      <c r="F138" s="1564"/>
      <c r="G138" s="1565"/>
      <c r="H138" s="1565"/>
      <c r="I138" s="1565"/>
      <c r="J138" s="1565"/>
      <c r="K138" s="1565"/>
      <c r="L138"/>
      <c r="M138" s="1561"/>
      <c r="N138" s="1564"/>
      <c r="O138" s="1566"/>
      <c r="P138" s="1566"/>
      <c r="Q138" s="1567"/>
      <c r="R138" s="1567"/>
      <c r="S138" s="1568"/>
      <c r="T138" s="1568"/>
      <c r="U138"/>
      <c r="V138"/>
      <c r="W138"/>
      <c r="X138"/>
      <c r="Y138"/>
      <c r="Z138"/>
      <c r="AA138"/>
      <c r="AC138" s="1512"/>
      <c r="AD138" s="1512"/>
      <c r="AE138" s="1512"/>
      <c r="AF138" s="1512"/>
      <c r="AG138" s="1512"/>
      <c r="AH138" s="1512"/>
      <c r="AI138" s="1512"/>
      <c r="AJ138" s="1512"/>
      <c r="AK138" s="1512"/>
      <c r="AL138" s="1512"/>
      <c r="AM138" s="1512"/>
    </row>
    <row r="139" spans="1:40" s="1511" customFormat="1">
      <c r="B139" s="1526"/>
      <c r="D139" s="1800"/>
      <c r="F139" s="1564"/>
      <c r="G139" s="1565"/>
      <c r="H139" s="1565"/>
      <c r="I139" s="1565"/>
      <c r="J139" s="1565"/>
      <c r="K139" s="1565"/>
      <c r="L139"/>
      <c r="M139" s="1561"/>
      <c r="N139" s="1564"/>
      <c r="O139" s="1566"/>
      <c r="P139" s="1566"/>
      <c r="Q139" s="1567"/>
      <c r="R139" s="1567"/>
      <c r="S139" s="1568"/>
      <c r="T139" s="1568"/>
      <c r="U139"/>
      <c r="V139"/>
      <c r="W139"/>
      <c r="X139"/>
      <c r="Y139"/>
      <c r="Z139"/>
      <c r="AA139"/>
      <c r="AC139" s="1512"/>
      <c r="AD139" s="1512"/>
      <c r="AE139" s="1512"/>
      <c r="AF139" s="1512"/>
      <c r="AG139" s="1512"/>
      <c r="AH139" s="1512"/>
      <c r="AI139" s="1512"/>
      <c r="AJ139" s="1512"/>
      <c r="AK139" s="1512"/>
      <c r="AL139" s="1512"/>
      <c r="AM139" s="1512"/>
    </row>
    <row r="140" spans="1:40">
      <c r="A140" s="1504"/>
      <c r="O140" s="1569"/>
      <c r="P140" s="1569"/>
      <c r="Q140"/>
      <c r="R140"/>
      <c r="S140" s="1570"/>
      <c r="T140" s="1570"/>
      <c r="U140"/>
      <c r="V140"/>
      <c r="W140"/>
      <c r="X140"/>
      <c r="Y140"/>
      <c r="Z140"/>
      <c r="AA140"/>
      <c r="AN140" s="1504"/>
    </row>
    <row r="141" spans="1:40">
      <c r="A141" s="1504"/>
      <c r="O141" s="1569"/>
      <c r="P141" s="1569"/>
      <c r="Q141"/>
      <c r="R141"/>
      <c r="S141" s="1570"/>
      <c r="T141" s="1570"/>
      <c r="U141"/>
      <c r="V141"/>
      <c r="W141"/>
      <c r="X141"/>
      <c r="Y141"/>
      <c r="Z141"/>
      <c r="AA141"/>
      <c r="AN141" s="1504"/>
    </row>
    <row r="142" spans="1:40">
      <c r="A142" s="1504"/>
      <c r="O142" s="1569"/>
      <c r="P142" s="1569"/>
      <c r="Q142"/>
      <c r="R142"/>
      <c r="S142" s="1570"/>
      <c r="T142" s="1570"/>
      <c r="U142"/>
      <c r="V142"/>
      <c r="W142"/>
      <c r="X142"/>
      <c r="Y142"/>
      <c r="Z142"/>
      <c r="AA142"/>
      <c r="AN142" s="1504"/>
    </row>
    <row r="143" spans="1:40">
      <c r="A143" s="1504"/>
      <c r="O143" s="1569"/>
      <c r="P143" s="1569"/>
      <c r="Q143"/>
      <c r="R143"/>
      <c r="S143" s="1570"/>
      <c r="T143" s="1570"/>
      <c r="U143"/>
      <c r="V143"/>
      <c r="W143"/>
      <c r="X143"/>
      <c r="Y143"/>
      <c r="Z143"/>
      <c r="AA143"/>
      <c r="AN143" s="1504"/>
    </row>
    <row r="144" spans="1:40">
      <c r="A144" s="1504"/>
      <c r="O144" s="1569"/>
      <c r="P144" s="1569"/>
      <c r="Q144"/>
      <c r="R144"/>
      <c r="S144" s="1570"/>
      <c r="T144" s="1570"/>
      <c r="U144"/>
      <c r="V144"/>
      <c r="W144"/>
      <c r="X144"/>
      <c r="Y144"/>
      <c r="Z144"/>
      <c r="AA144"/>
      <c r="AN144" s="1504"/>
    </row>
    <row r="145" spans="1:40">
      <c r="A145" s="1504"/>
      <c r="O145" s="1569"/>
      <c r="P145" s="1569"/>
      <c r="Q145"/>
      <c r="R145"/>
      <c r="S145" s="1570"/>
      <c r="T145" s="1570"/>
      <c r="U145"/>
      <c r="V145"/>
      <c r="W145"/>
      <c r="X145"/>
      <c r="Y145"/>
      <c r="Z145"/>
      <c r="AA145"/>
      <c r="AN145" s="1504"/>
    </row>
    <row r="146" spans="1:40">
      <c r="A146" s="1504"/>
      <c r="B146" s="1504"/>
      <c r="F146" s="1504"/>
      <c r="G146" s="1504"/>
      <c r="H146" s="1504"/>
      <c r="I146" s="1504"/>
      <c r="J146" s="1504"/>
      <c r="K146" s="1504"/>
      <c r="L146" s="1504"/>
      <c r="M146" s="1504"/>
      <c r="N146" s="1504"/>
      <c r="O146" s="1569"/>
      <c r="P146" s="1569"/>
      <c r="Q146"/>
      <c r="R146"/>
      <c r="S146" s="1570"/>
      <c r="T146" s="1570"/>
      <c r="U146"/>
      <c r="V146"/>
      <c r="W146"/>
      <c r="X146"/>
      <c r="Y146"/>
      <c r="Z146"/>
      <c r="AA146"/>
      <c r="AB146" s="1504"/>
      <c r="AC146" s="1504"/>
      <c r="AD146" s="1504"/>
      <c r="AE146" s="1504"/>
      <c r="AF146" s="1504"/>
      <c r="AG146" s="1504"/>
      <c r="AH146" s="1504"/>
      <c r="AI146" s="1504"/>
      <c r="AJ146" s="1504"/>
      <c r="AK146" s="1504"/>
      <c r="AL146" s="1504"/>
      <c r="AM146" s="1504"/>
      <c r="AN146" s="1504"/>
    </row>
    <row r="147" spans="1:40">
      <c r="A147" s="1504"/>
      <c r="B147" s="1504"/>
      <c r="F147" s="1504"/>
      <c r="G147" s="1504"/>
      <c r="H147" s="1504"/>
      <c r="I147" s="1504"/>
      <c r="J147" s="1504"/>
      <c r="K147" s="1504"/>
      <c r="L147" s="1504"/>
      <c r="M147" s="1504"/>
      <c r="N147" s="1504"/>
      <c r="O147" s="1569"/>
      <c r="P147" s="1569"/>
      <c r="Q147"/>
      <c r="R147"/>
      <c r="S147" s="1570"/>
      <c r="T147" s="1570"/>
      <c r="U147"/>
      <c r="V147"/>
      <c r="W147"/>
      <c r="X147"/>
      <c r="Y147"/>
      <c r="Z147"/>
      <c r="AA147"/>
      <c r="AB147" s="1504"/>
      <c r="AC147" s="1504"/>
      <c r="AD147" s="1504"/>
      <c r="AE147" s="1504"/>
      <c r="AF147" s="1504"/>
      <c r="AG147" s="1504"/>
      <c r="AH147" s="1504"/>
      <c r="AI147" s="1504"/>
      <c r="AJ147" s="1504"/>
      <c r="AK147" s="1504"/>
      <c r="AL147" s="1504"/>
      <c r="AM147" s="1504"/>
      <c r="AN147" s="1504"/>
    </row>
    <row r="148" spans="1:40">
      <c r="A148" s="1504"/>
      <c r="B148" s="1504"/>
      <c r="F148" s="1504"/>
      <c r="G148" s="1504"/>
      <c r="H148" s="1504"/>
      <c r="I148" s="1504"/>
      <c r="J148" s="1504"/>
      <c r="K148" s="1504"/>
      <c r="L148" s="1504"/>
      <c r="M148" s="1504"/>
      <c r="N148" s="1504"/>
      <c r="O148" s="1569"/>
      <c r="P148" s="1569"/>
      <c r="Q148"/>
      <c r="R148"/>
      <c r="S148" s="1570"/>
      <c r="T148" s="1570"/>
      <c r="U148"/>
      <c r="V148"/>
      <c r="W148"/>
      <c r="X148"/>
      <c r="Y148"/>
      <c r="Z148"/>
      <c r="AA148"/>
      <c r="AB148" s="1504"/>
      <c r="AC148" s="1504"/>
      <c r="AD148" s="1504"/>
      <c r="AE148" s="1504"/>
      <c r="AF148" s="1504"/>
      <c r="AG148" s="1504"/>
      <c r="AH148" s="1504"/>
      <c r="AI148" s="1504"/>
      <c r="AJ148" s="1504"/>
      <c r="AK148" s="1504"/>
      <c r="AL148" s="1504"/>
      <c r="AM148" s="1504"/>
      <c r="AN148" s="1504"/>
    </row>
    <row r="149" spans="1:40">
      <c r="A149" s="1504"/>
      <c r="B149" s="1504"/>
      <c r="F149" s="1504"/>
      <c r="G149" s="1504"/>
      <c r="H149" s="1504"/>
      <c r="I149" s="1504"/>
      <c r="J149" s="1504"/>
      <c r="K149" s="1504"/>
      <c r="L149" s="1504"/>
      <c r="M149" s="1504"/>
      <c r="N149" s="1504"/>
      <c r="O149" s="1569"/>
      <c r="P149" s="1569"/>
      <c r="Q149"/>
      <c r="R149"/>
      <c r="S149" s="1570"/>
      <c r="T149" s="1570"/>
      <c r="U149"/>
      <c r="V149"/>
      <c r="W149"/>
      <c r="X149"/>
      <c r="Y149"/>
      <c r="Z149"/>
      <c r="AA149"/>
      <c r="AB149" s="1504"/>
      <c r="AC149" s="1504"/>
      <c r="AD149" s="1504"/>
      <c r="AE149" s="1504"/>
      <c r="AF149" s="1504"/>
      <c r="AG149" s="1504"/>
      <c r="AH149" s="1504"/>
      <c r="AI149" s="1504"/>
      <c r="AJ149" s="1504"/>
      <c r="AK149" s="1504"/>
      <c r="AL149" s="1504"/>
      <c r="AM149" s="1504"/>
      <c r="AN149" s="1504"/>
    </row>
    <row r="150" spans="1:40">
      <c r="A150" s="1504"/>
      <c r="B150" s="1504"/>
      <c r="F150" s="1504"/>
      <c r="G150" s="1504"/>
      <c r="H150" s="1504"/>
      <c r="I150" s="1504"/>
      <c r="J150" s="1504"/>
      <c r="K150" s="1504"/>
      <c r="L150" s="1504"/>
      <c r="M150" s="1504"/>
      <c r="N150" s="1504"/>
      <c r="O150" s="1569"/>
      <c r="P150" s="1569"/>
      <c r="Q150"/>
      <c r="R150"/>
      <c r="S150" s="1570"/>
      <c r="T150" s="1570"/>
      <c r="U150"/>
      <c r="V150"/>
      <c r="W150"/>
      <c r="X150"/>
      <c r="Y150"/>
      <c r="Z150"/>
      <c r="AA150"/>
      <c r="AB150" s="1504"/>
      <c r="AC150" s="1504"/>
      <c r="AD150" s="1504"/>
      <c r="AE150" s="1504"/>
      <c r="AF150" s="1504"/>
      <c r="AG150" s="1504"/>
      <c r="AH150" s="1504"/>
      <c r="AI150" s="1504"/>
      <c r="AJ150" s="1504"/>
      <c r="AK150" s="1504"/>
      <c r="AL150" s="1504"/>
      <c r="AM150" s="1504"/>
      <c r="AN150" s="1504"/>
    </row>
    <row r="151" spans="1:40">
      <c r="A151" s="1504"/>
      <c r="B151" s="1504"/>
      <c r="F151" s="1504"/>
      <c r="G151" s="1504"/>
      <c r="H151" s="1504"/>
      <c r="I151" s="1504"/>
      <c r="J151" s="1504"/>
      <c r="K151" s="1504"/>
      <c r="L151" s="1504"/>
      <c r="M151" s="1504"/>
      <c r="N151" s="1504"/>
      <c r="O151" s="1569"/>
      <c r="P151" s="1569"/>
      <c r="Q151"/>
      <c r="R151"/>
      <c r="S151" s="1570"/>
      <c r="T151" s="1570"/>
      <c r="U151"/>
      <c r="V151"/>
      <c r="W151"/>
      <c r="X151"/>
      <c r="Y151"/>
      <c r="Z151"/>
      <c r="AA151"/>
      <c r="AB151" s="1504"/>
      <c r="AC151" s="1504"/>
      <c r="AD151" s="1504"/>
      <c r="AE151" s="1504"/>
      <c r="AF151" s="1504"/>
      <c r="AG151" s="1504"/>
      <c r="AH151" s="1504"/>
      <c r="AI151" s="1504"/>
      <c r="AJ151" s="1504"/>
      <c r="AK151" s="1504"/>
      <c r="AL151" s="1504"/>
      <c r="AM151" s="1504"/>
      <c r="AN151" s="1504"/>
    </row>
    <row r="152" spans="1:40">
      <c r="A152" s="1504"/>
      <c r="B152" s="1504"/>
      <c r="F152" s="1504"/>
      <c r="G152" s="1504"/>
      <c r="H152" s="1504"/>
      <c r="I152" s="1504"/>
      <c r="J152" s="1504"/>
      <c r="K152" s="1504"/>
      <c r="L152" s="1504"/>
      <c r="M152" s="1504"/>
      <c r="N152" s="1504"/>
      <c r="O152" s="1569"/>
      <c r="P152" s="1569"/>
      <c r="Q152"/>
      <c r="R152"/>
      <c r="S152" s="1570"/>
      <c r="T152" s="1570"/>
      <c r="U152"/>
      <c r="V152"/>
      <c r="W152"/>
      <c r="X152"/>
      <c r="Y152"/>
      <c r="Z152"/>
      <c r="AA152"/>
      <c r="AB152" s="1504"/>
      <c r="AC152" s="1504"/>
      <c r="AD152" s="1504"/>
      <c r="AE152" s="1504"/>
      <c r="AF152" s="1504"/>
      <c r="AG152" s="1504"/>
      <c r="AH152" s="1504"/>
      <c r="AI152" s="1504"/>
      <c r="AJ152" s="1504"/>
      <c r="AK152" s="1504"/>
      <c r="AL152" s="1504"/>
      <c r="AM152" s="1504"/>
      <c r="AN152" s="1504"/>
    </row>
  </sheetData>
  <mergeCells count="1">
    <mergeCell ref="Q63:R63"/>
  </mergeCells>
  <conditionalFormatting sqref="F12:G12 D12 I12:K12">
    <cfRule type="cellIs" dxfId="80" priority="6" stopIfTrue="1" operator="equal">
      <formula>1</formula>
    </cfRule>
  </conditionalFormatting>
  <conditionalFormatting sqref="H12">
    <cfRule type="cellIs" dxfId="79" priority="5" stopIfTrue="1" operator="equal">
      <formula>1</formula>
    </cfRule>
  </conditionalFormatting>
  <conditionalFormatting sqref="F17:G17 D17 I17:K17">
    <cfRule type="cellIs" dxfId="78" priority="4" stopIfTrue="1" operator="equal">
      <formula>1</formula>
    </cfRule>
  </conditionalFormatting>
  <conditionalFormatting sqref="H17">
    <cfRule type="cellIs" dxfId="77" priority="3" stopIfTrue="1" operator="equal">
      <formula>1</formula>
    </cfRule>
  </conditionalFormatting>
  <conditionalFormatting sqref="F26:G26 D26 I26:K26">
    <cfRule type="cellIs" dxfId="76" priority="2" stopIfTrue="1" operator="equal">
      <formula>1</formula>
    </cfRule>
  </conditionalFormatting>
  <conditionalFormatting sqref="H26">
    <cfRule type="cellIs" dxfId="75" priority="1" stopIfTrue="1" operator="equal">
      <formula>1</formula>
    </cfRule>
  </conditionalFormatting>
  <printOptions horizontalCentered="1" verticalCentered="1"/>
  <pageMargins left="0" right="0" top="0.74803149606299213" bottom="0.39370078740157483" header="0.31496062992125984" footer="0"/>
  <pageSetup paperSize="9" scale="105" orientation="landscape" horizontalDpi="0" verticalDpi="0"/>
  <headerFooter>
    <oddHeader>&amp;L&amp;K000000             Puesta a punto TORREMOLINOS&amp;C&amp;K000000                     &amp;Z&amp;R&amp;K000000&amp;F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4837E-5810-1745-A7BD-251611AAF68E}">
  <sheetPr codeName="Hoja53"/>
  <dimension ref="A4:N19"/>
  <sheetViews>
    <sheetView topLeftCell="C21" zoomScale="400" zoomScaleNormal="172" workbookViewId="0">
      <selection activeCell="K13" sqref="K13"/>
    </sheetView>
  </sheetViews>
  <sheetFormatPr baseColWidth="10" defaultRowHeight="13"/>
  <cols>
    <col min="1" max="2" width="7.33203125" customWidth="1"/>
    <col min="3" max="5" width="8.5" customWidth="1"/>
    <col min="6" max="6" width="7.6640625" style="49" customWidth="1"/>
    <col min="7" max="7" width="10" customWidth="1"/>
    <col min="8" max="9" width="10.83203125" style="49"/>
  </cols>
  <sheetData>
    <row r="4" spans="1:14">
      <c r="C4" s="1038" t="s">
        <v>2145</v>
      </c>
      <c r="D4" s="5644"/>
      <c r="E4" s="5644"/>
      <c r="F4" s="5640">
        <v>7.1597222222222212E-4</v>
      </c>
      <c r="G4" s="5641">
        <v>28.53</v>
      </c>
      <c r="H4" s="5640">
        <v>3.3020833333333334E-4</v>
      </c>
      <c r="I4" s="5640">
        <v>3.8576388888888889E-4</v>
      </c>
    </row>
    <row r="5" spans="1:14">
      <c r="C5" s="1038" t="s">
        <v>2146</v>
      </c>
      <c r="D5" s="5644"/>
      <c r="E5" s="5644"/>
      <c r="F5" s="5640">
        <v>6.9722222222222223E-4</v>
      </c>
      <c r="G5" s="5641">
        <v>27.84</v>
      </c>
      <c r="H5" s="5640">
        <v>3.2222222222222222E-4</v>
      </c>
      <c r="I5" s="5640">
        <v>3.7499999999999995E-4</v>
      </c>
    </row>
    <row r="6" spans="1:14">
      <c r="C6" s="1038" t="s">
        <v>2143</v>
      </c>
      <c r="D6" s="5644"/>
      <c r="E6" s="5644"/>
      <c r="F6" s="5640">
        <v>7.1203703703703707E-4</v>
      </c>
      <c r="G6" s="5641">
        <v>28.58</v>
      </c>
      <c r="H6" s="5640">
        <v>3.3078703703703704E-4</v>
      </c>
      <c r="I6" s="5640">
        <v>3.8124999999999992E-4</v>
      </c>
    </row>
    <row r="7" spans="1:14">
      <c r="C7" s="1038" t="s">
        <v>2144</v>
      </c>
      <c r="D7" s="5644"/>
      <c r="E7" s="5644"/>
      <c r="F7" s="5640">
        <v>7.1180555555555548E-4</v>
      </c>
      <c r="G7" s="5641">
        <v>28.84</v>
      </c>
      <c r="H7" s="5640">
        <v>3.3379629629629628E-4</v>
      </c>
      <c r="I7" s="5640">
        <v>3.7800925925925919E-4</v>
      </c>
    </row>
    <row r="8" spans="1:14">
      <c r="C8" s="1038" t="s">
        <v>1828</v>
      </c>
      <c r="D8" s="5644"/>
      <c r="E8" s="5644"/>
      <c r="F8" s="5640">
        <v>7.0902777777777772E-4</v>
      </c>
      <c r="G8" s="5642">
        <v>28.64</v>
      </c>
      <c r="H8" s="5640">
        <v>3.3148148148148148E-4</v>
      </c>
      <c r="I8" s="5640">
        <v>3.7754629629629623E-4</v>
      </c>
    </row>
    <row r="9" spans="1:14">
      <c r="C9" s="1038" t="s">
        <v>1577</v>
      </c>
      <c r="D9" s="5644"/>
      <c r="E9" s="5644"/>
      <c r="F9" s="5640">
        <v>7.1192129629629633E-4</v>
      </c>
      <c r="G9" s="5642">
        <v>28.66</v>
      </c>
      <c r="H9" s="5640">
        <v>3.3171296296296296E-4</v>
      </c>
      <c r="I9" s="5640">
        <v>3.8020833333333331E-4</v>
      </c>
    </row>
    <row r="10" spans="1:14">
      <c r="C10" s="1038" t="s">
        <v>1828</v>
      </c>
      <c r="D10" s="5644"/>
      <c r="E10" s="5644"/>
      <c r="F10" s="5640">
        <v>3.2407407407407406E-4</v>
      </c>
      <c r="G10" s="5643"/>
      <c r="H10" s="4015"/>
      <c r="I10" s="4025"/>
    </row>
    <row r="11" spans="1:14">
      <c r="C11" s="1038" t="s">
        <v>1829</v>
      </c>
      <c r="D11" s="5644"/>
      <c r="E11" s="5644"/>
      <c r="F11" s="5640">
        <v>3.2766203703703706E-4</v>
      </c>
      <c r="G11" s="5643"/>
      <c r="H11" s="4015"/>
      <c r="I11" s="4025"/>
    </row>
    <row r="12" spans="1:14">
      <c r="C12" s="1038" t="s">
        <v>1577</v>
      </c>
      <c r="D12" s="5644"/>
      <c r="E12" s="5644"/>
      <c r="F12" s="5640">
        <v>3.2638888888888887E-4</v>
      </c>
      <c r="G12" s="5642"/>
      <c r="H12" s="1709"/>
      <c r="I12" s="4025"/>
    </row>
    <row r="13" spans="1:14">
      <c r="C13" s="2181" t="s">
        <v>2179</v>
      </c>
      <c r="D13" s="2181" t="s">
        <v>2179</v>
      </c>
      <c r="E13" s="2181" t="s">
        <v>2179</v>
      </c>
      <c r="F13" s="2181" t="s">
        <v>2179</v>
      </c>
      <c r="G13" s="2181" t="s">
        <v>2179</v>
      </c>
      <c r="H13" s="2181" t="s">
        <v>2179</v>
      </c>
    </row>
    <row r="14" spans="1:14">
      <c r="C14" s="1038" t="s">
        <v>2148</v>
      </c>
      <c r="D14" s="1038" t="s">
        <v>2151</v>
      </c>
      <c r="E14" s="1038" t="s">
        <v>2153</v>
      </c>
      <c r="F14" s="5894" t="s">
        <v>2149</v>
      </c>
      <c r="G14" s="5894" t="s">
        <v>2152</v>
      </c>
      <c r="H14" s="5894" t="s">
        <v>2150</v>
      </c>
      <c r="I14" s="5904" t="s">
        <v>2178</v>
      </c>
      <c r="J14" s="5904" t="s">
        <v>2177</v>
      </c>
      <c r="K14" s="4101" t="s">
        <v>2175</v>
      </c>
      <c r="L14" s="5898" t="s">
        <v>2176</v>
      </c>
    </row>
    <row r="15" spans="1:14">
      <c r="A15" s="2181" t="s">
        <v>2154</v>
      </c>
      <c r="B15" s="2181"/>
      <c r="C15" s="5640">
        <v>7.1597222222222212E-4</v>
      </c>
      <c r="D15" s="5640">
        <v>7.1203703703703707E-4</v>
      </c>
      <c r="E15" s="5640">
        <v>7.0902777777777772E-4</v>
      </c>
      <c r="F15" s="5895">
        <v>6.9722222222222223E-4</v>
      </c>
      <c r="G15" s="5895">
        <v>7.1180555555555548E-4</v>
      </c>
      <c r="H15" s="5895">
        <v>7.1192129629629633E-4</v>
      </c>
      <c r="I15" s="5906">
        <v>7.0509259259259266E-4</v>
      </c>
      <c r="J15" s="5906">
        <v>7.0902777777777772E-4</v>
      </c>
      <c r="K15" s="5902">
        <v>7.0532407407407403E-4</v>
      </c>
      <c r="L15" s="5899">
        <v>7.1192129629629633E-4</v>
      </c>
    </row>
    <row r="16" spans="1:14">
      <c r="A16" s="2181" t="s">
        <v>2156</v>
      </c>
      <c r="B16">
        <v>50</v>
      </c>
      <c r="C16" s="5641">
        <v>28.53</v>
      </c>
      <c r="D16" s="5641">
        <v>28.58</v>
      </c>
      <c r="E16" s="5642">
        <v>28.64</v>
      </c>
      <c r="F16" s="5896">
        <v>27.84</v>
      </c>
      <c r="G16" s="5896">
        <v>28.84</v>
      </c>
      <c r="H16" s="5897">
        <v>28.66</v>
      </c>
      <c r="I16" s="5905"/>
      <c r="J16" s="5907">
        <v>28.64</v>
      </c>
      <c r="K16" s="5903">
        <v>28.37</v>
      </c>
      <c r="L16" s="5900">
        <v>28.66</v>
      </c>
      <c r="M16" s="49">
        <f t="shared" ref="M16:N16" si="0">G16*10</f>
        <v>288.39999999999998</v>
      </c>
      <c r="N16" s="49">
        <f t="shared" si="0"/>
        <v>286.60000000000002</v>
      </c>
    </row>
    <row r="17" spans="1:14">
      <c r="A17" s="2181" t="s">
        <v>2157</v>
      </c>
      <c r="B17">
        <v>100</v>
      </c>
      <c r="C17" s="5641">
        <v>33.33</v>
      </c>
      <c r="D17" s="5641">
        <v>32.94</v>
      </c>
      <c r="E17" s="5642">
        <v>32.619999999999997</v>
      </c>
      <c r="F17" s="5896">
        <v>32.4</v>
      </c>
      <c r="G17" s="5896">
        <v>32.659999999999997</v>
      </c>
      <c r="H17" s="5897">
        <v>32.85</v>
      </c>
      <c r="I17" s="5905"/>
      <c r="J17" s="5907">
        <v>32.619999999999997</v>
      </c>
      <c r="K17" s="5903">
        <v>32.57</v>
      </c>
      <c r="L17" s="5900">
        <v>33.1</v>
      </c>
      <c r="M17" s="49">
        <f t="shared" ref="M17:M18" si="1">G17*10</f>
        <v>326.59999999999997</v>
      </c>
      <c r="N17" s="49">
        <f t="shared" ref="N17:N18" si="2">H17*10</f>
        <v>328.5</v>
      </c>
    </row>
    <row r="18" spans="1:14">
      <c r="A18" s="2181" t="s">
        <v>211</v>
      </c>
      <c r="B18">
        <v>100</v>
      </c>
      <c r="C18" s="5641">
        <f>SUM(C16:C17)</f>
        <v>61.86</v>
      </c>
      <c r="D18" s="5641">
        <f>SUM(D16:D17)</f>
        <v>61.519999999999996</v>
      </c>
      <c r="E18" s="5641">
        <f>SUM(E16:E17)</f>
        <v>61.26</v>
      </c>
      <c r="F18" s="5896">
        <f t="shared" ref="F18:H18" si="3">SUM(F16:F17)</f>
        <v>60.239999999999995</v>
      </c>
      <c r="G18" s="5896">
        <f t="shared" si="3"/>
        <v>61.5</v>
      </c>
      <c r="H18" s="5896">
        <f t="shared" si="3"/>
        <v>61.510000000000005</v>
      </c>
      <c r="I18" s="5905"/>
      <c r="J18" s="5908">
        <f>SUM(J16:J17)</f>
        <v>61.26</v>
      </c>
      <c r="K18" s="5903">
        <f t="shared" ref="K18:L18" si="4">SUM(K16:K17)</f>
        <v>60.94</v>
      </c>
      <c r="L18" s="5901">
        <f t="shared" si="4"/>
        <v>61.760000000000005</v>
      </c>
      <c r="M18" s="49">
        <f t="shared" si="1"/>
        <v>615</v>
      </c>
      <c r="N18" s="49">
        <f t="shared" si="2"/>
        <v>615.1</v>
      </c>
    </row>
    <row r="19" spans="1:14">
      <c r="A19" s="2181" t="s">
        <v>2155</v>
      </c>
      <c r="B19" s="2181"/>
      <c r="C19" s="5640">
        <v>3.3020833333333334E-4</v>
      </c>
      <c r="D19" s="5640">
        <v>3.3078703703703704E-4</v>
      </c>
      <c r="E19" s="5640">
        <v>3.3148148148148148E-4</v>
      </c>
      <c r="F19" s="5895">
        <v>3.2222222222222222E-4</v>
      </c>
      <c r="G19" s="5895">
        <v>3.3379629629629628E-4</v>
      </c>
      <c r="H19" s="5895">
        <v>3.3171296296296296E-4</v>
      </c>
      <c r="I19" s="5905"/>
      <c r="J19" s="5906">
        <v>3.3148148148148148E-4</v>
      </c>
      <c r="K19" s="5902">
        <v>3.283564814814815E-4</v>
      </c>
      <c r="L19" s="5899">
        <v>3.3171296296296296E-4</v>
      </c>
      <c r="M19" s="49"/>
      <c r="N19" s="49"/>
    </row>
  </sheetData>
  <pageMargins left="0.7" right="0.7" top="0.75" bottom="0.75" header="0.3" footer="0.3"/>
  <pageSetup paperSize="9" orientation="landscape" horizontalDpi="0" verticalDpi="0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O278"/>
  <sheetViews>
    <sheetView topLeftCell="A30" zoomScale="163" zoomScaleNormal="163" zoomScalePageLayoutView="1" workbookViewId="0">
      <selection activeCell="K13" sqref="K13"/>
    </sheetView>
  </sheetViews>
  <sheetFormatPr baseColWidth="10" defaultColWidth="11.5" defaultRowHeight="14" customHeight="1"/>
  <cols>
    <col min="1" max="1" width="2.83203125" style="3029" customWidth="1"/>
    <col min="2" max="2" width="2.83203125" style="3028" customWidth="1"/>
    <col min="3" max="3" width="1.83203125" style="2815" customWidth="1"/>
    <col min="4" max="4" width="1.1640625" style="3668" customWidth="1"/>
    <col min="5" max="5" width="3.5" style="2815" customWidth="1"/>
    <col min="6" max="6" width="3.83203125" style="2818" customWidth="1"/>
    <col min="7" max="7" width="3.6640625" style="780" customWidth="1"/>
    <col min="8" max="8" width="13.6640625" style="780" customWidth="1"/>
    <col min="9" max="9" width="8.83203125" style="780" customWidth="1"/>
    <col min="10" max="10" width="9" style="780" customWidth="1"/>
    <col min="11" max="11" width="27" style="780" customWidth="1"/>
    <col min="12" max="12" width="7.1640625" style="780" customWidth="1"/>
    <col min="13" max="13" width="1" style="2820" customWidth="1"/>
    <col min="14" max="14" width="10.1640625" style="2818" customWidth="1"/>
    <col min="15" max="15" width="1" style="780" customWidth="1"/>
    <col min="16" max="16" width="9" style="780" customWidth="1"/>
    <col min="17" max="17" width="7.5" style="2821" customWidth="1"/>
    <col min="18" max="18" width="8.33203125" style="2821" customWidth="1"/>
    <col min="19" max="19" width="1.33203125" style="2822" customWidth="1"/>
    <col min="20" max="20" width="0.5" style="2822" customWidth="1"/>
    <col min="21" max="21" width="6.33203125" style="2823" customWidth="1"/>
    <col min="22" max="22" width="5.6640625" style="2823" customWidth="1"/>
    <col min="23" max="23" width="6.33203125" style="2823" customWidth="1"/>
    <col min="24" max="24" width="5.5" style="2823" customWidth="1"/>
    <col min="25" max="25" width="6" style="2823" customWidth="1"/>
    <col min="26" max="27" width="5.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5" style="2826" customWidth="1"/>
    <col min="40" max="40" width="11.5" style="2825"/>
    <col min="41" max="16384" width="11.5" style="2815"/>
  </cols>
  <sheetData>
    <row r="1" spans="1:40" ht="17.25" customHeight="1">
      <c r="A1" s="3080" t="s">
        <v>810</v>
      </c>
      <c r="B1" s="2815"/>
      <c r="C1" s="2816"/>
      <c r="D1" s="3081"/>
      <c r="E1" s="2817"/>
      <c r="V1" s="2824"/>
      <c r="AI1" s="2825"/>
      <c r="AJ1" s="2825"/>
      <c r="AK1" s="2825"/>
      <c r="AL1" s="2825"/>
      <c r="AM1" s="2825"/>
    </row>
    <row r="2" spans="1:40" ht="14" customHeight="1" thickBot="1">
      <c r="F2" s="527"/>
      <c r="G2" s="155"/>
      <c r="H2" s="155"/>
      <c r="I2" s="155"/>
      <c r="J2" s="3083"/>
      <c r="K2" s="583">
        <v>44670</v>
      </c>
      <c r="L2" s="583"/>
      <c r="U2" s="2827" t="s">
        <v>345</v>
      </c>
      <c r="AI2" s="2825"/>
      <c r="AJ2" s="2825"/>
      <c r="AK2" s="2825"/>
      <c r="AL2" s="2825"/>
      <c r="AM2" s="2825"/>
    </row>
    <row r="3" spans="1:40" s="2839" customFormat="1" ht="63.75" customHeight="1" thickTop="1" thickBot="1">
      <c r="A3" s="3084" t="s">
        <v>346</v>
      </c>
      <c r="B3" s="3085" t="s">
        <v>347</v>
      </c>
      <c r="C3" s="3086" t="s">
        <v>348</v>
      </c>
      <c r="D3" s="3087"/>
      <c r="E3" s="3086" t="s">
        <v>349</v>
      </c>
      <c r="F3" s="3088" t="s">
        <v>350</v>
      </c>
      <c r="G3" s="3089" t="s">
        <v>351</v>
      </c>
      <c r="H3" s="3089" t="s">
        <v>624</v>
      </c>
      <c r="I3" s="3089" t="s">
        <v>352</v>
      </c>
      <c r="J3" s="3088" t="s">
        <v>353</v>
      </c>
      <c r="K3" s="3089" t="s">
        <v>354</v>
      </c>
      <c r="L3" s="3089"/>
      <c r="M3" s="3090" t="s">
        <v>355</v>
      </c>
      <c r="N3" s="3089" t="s">
        <v>445</v>
      </c>
      <c r="O3" s="3086" t="s">
        <v>446</v>
      </c>
      <c r="P3" s="3086" t="s">
        <v>447</v>
      </c>
      <c r="Q3" s="3091" t="s">
        <v>448</v>
      </c>
      <c r="R3" s="3092" t="s">
        <v>371</v>
      </c>
      <c r="S3" s="2828" t="s">
        <v>449</v>
      </c>
      <c r="T3" s="2828" t="s">
        <v>450</v>
      </c>
      <c r="U3" s="2829" t="s">
        <v>451</v>
      </c>
      <c r="V3" s="2830" t="s">
        <v>452</v>
      </c>
      <c r="W3" s="2831" t="s">
        <v>453</v>
      </c>
      <c r="X3" s="2832" t="s">
        <v>454</v>
      </c>
      <c r="Y3" s="2833" t="s">
        <v>455</v>
      </c>
      <c r="Z3" s="2834" t="s">
        <v>456</v>
      </c>
      <c r="AA3" s="2835" t="s">
        <v>457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2839" customFormat="1" ht="5.25" customHeight="1" thickBot="1">
      <c r="A4" s="3093"/>
      <c r="B4" s="3094"/>
      <c r="C4" s="3095"/>
      <c r="D4" s="3096"/>
      <c r="E4" s="3095"/>
      <c r="F4" s="3097"/>
      <c r="G4" s="3095"/>
      <c r="H4" s="3095"/>
      <c r="I4" s="3095"/>
      <c r="J4" s="3097"/>
      <c r="K4" s="3095"/>
      <c r="L4" s="3095"/>
      <c r="M4" s="3098"/>
      <c r="N4" s="3095"/>
      <c r="O4" s="3095"/>
      <c r="P4" s="3095"/>
      <c r="Q4" s="3099"/>
      <c r="R4" s="3100"/>
      <c r="S4" s="2840"/>
      <c r="T4" s="2840"/>
      <c r="U4" s="2843">
        <f>[8]Test!$D$29</f>
        <v>9.1523857526881758E-4</v>
      </c>
      <c r="V4" s="2843">
        <f>[8]Test!$D$31</f>
        <v>8.7635030864197572E-4</v>
      </c>
      <c r="W4" s="2843">
        <f>[8]Test!$D$33</f>
        <v>8.4888763197586746E-4</v>
      </c>
      <c r="X4" s="2843">
        <f>[8]Test!$D$35</f>
        <v>8.0990657955066516E-4</v>
      </c>
      <c r="Y4" s="2843">
        <f>[8]Test!$D$37</f>
        <v>7.5735749690210676E-4</v>
      </c>
      <c r="Z4" s="2843">
        <f>[8]Test!$D$39</f>
        <v>7.2916666666666692E-4</v>
      </c>
      <c r="AA4" s="3043">
        <f>[8]Test!$D$41</f>
        <v>7.0729166666666694E-4</v>
      </c>
      <c r="AB4" s="2836"/>
      <c r="AC4" s="2837"/>
      <c r="AD4" s="2838"/>
      <c r="AE4" s="2838"/>
      <c r="AF4" s="2838"/>
      <c r="AG4" s="2838"/>
      <c r="AH4" s="2838"/>
      <c r="AI4" s="2836"/>
      <c r="AJ4" s="2836"/>
      <c r="AK4" s="2836"/>
      <c r="AL4" s="2836"/>
      <c r="AM4" s="2836"/>
      <c r="AN4" s="2836"/>
    </row>
    <row r="5" spans="1:40" s="63" customFormat="1" ht="10.5" customHeight="1" thickBot="1">
      <c r="A5" s="3101"/>
      <c r="B5" s="3102"/>
      <c r="C5" s="3103"/>
      <c r="D5" s="3104"/>
      <c r="E5" s="3103"/>
      <c r="F5" s="3105"/>
      <c r="G5" s="3106"/>
      <c r="H5" s="3106"/>
      <c r="I5" s="3106"/>
      <c r="J5" s="3105"/>
      <c r="K5" s="3106"/>
      <c r="L5" s="3106"/>
      <c r="M5" s="3107"/>
      <c r="N5" s="3106"/>
      <c r="O5" s="3103"/>
      <c r="P5" s="3103"/>
      <c r="Q5" s="3103"/>
      <c r="R5" s="3108"/>
      <c r="S5" s="3404"/>
      <c r="T5" s="3404"/>
      <c r="U5" s="2843">
        <f>U4/4</f>
        <v>2.2880964381720439E-4</v>
      </c>
      <c r="V5" s="2843">
        <f t="shared" ref="V5:AA5" si="0">V4/4</f>
        <v>2.1908757716049393E-4</v>
      </c>
      <c r="W5" s="2843">
        <f t="shared" si="0"/>
        <v>2.1222190799396687E-4</v>
      </c>
      <c r="X5" s="2843">
        <f t="shared" si="0"/>
        <v>2.0247664488766629E-4</v>
      </c>
      <c r="Y5" s="2843">
        <f t="shared" si="0"/>
        <v>1.8933937422552669E-4</v>
      </c>
      <c r="Z5" s="2843">
        <f t="shared" si="0"/>
        <v>1.8229166666666673E-4</v>
      </c>
      <c r="AA5" s="2843">
        <f t="shared" si="0"/>
        <v>1.7682291666666674E-4</v>
      </c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ht="15" customHeight="1" thickTop="1">
      <c r="A6" s="2183" t="s">
        <v>215</v>
      </c>
      <c r="B6" s="2184" t="s">
        <v>215</v>
      </c>
      <c r="C6" s="2256">
        <f t="shared" ref="C6:C10" si="1">IF(D6=1,U$5,IF(D6=2,V$5,IF(D6=3,W$5,IF(D6=4,X$5,IF(D6=5,Y$5,IF(D6=6,Z$5,IF(D6=7,AA$5,0)))))))</f>
        <v>2.2880964381720439E-4</v>
      </c>
      <c r="D6" s="3692">
        <v>1</v>
      </c>
      <c r="E6" s="3693">
        <v>1</v>
      </c>
      <c r="F6" s="3693">
        <v>6</v>
      </c>
      <c r="G6" s="3693">
        <v>100</v>
      </c>
      <c r="H6" s="3694"/>
      <c r="I6" s="3694">
        <v>1.1574074074074073E-4</v>
      </c>
      <c r="J6" s="3694">
        <v>1.3888888888888889E-3</v>
      </c>
      <c r="K6" s="3695" t="s">
        <v>1705</v>
      </c>
      <c r="L6" s="3696">
        <v>0.2986111111111111</v>
      </c>
      <c r="M6" s="3697">
        <v>1</v>
      </c>
      <c r="N6" s="3694">
        <f t="shared" ref="N6:N10" si="2">P6*E6*F6+I6*E6*F6+J6*E6</f>
        <v>7.5747647849462394E-3</v>
      </c>
      <c r="O6" s="3698">
        <f t="shared" ref="O6:O10" si="3">C6*(G6/25)</f>
        <v>9.1523857526881758E-4</v>
      </c>
      <c r="P6" s="3698">
        <f t="shared" ref="P6:P10" si="4">O6*M6</f>
        <v>9.1523857526881758E-4</v>
      </c>
      <c r="Q6" s="3699">
        <v>164</v>
      </c>
      <c r="R6" s="3693">
        <f t="shared" ref="R6:R10" si="5">E6*F6*G6</f>
        <v>600</v>
      </c>
      <c r="S6" s="2844">
        <f t="shared" ref="S6:S52" si="6">E6*F6*G6/1000</f>
        <v>0.6</v>
      </c>
      <c r="T6" s="2845">
        <f t="shared" ref="T6:T52" si="7">E6*F6*O6*4</f>
        <v>2.1965725806451623E-2</v>
      </c>
      <c r="U6" s="374">
        <f t="shared" ref="U6:U52" si="8">IF(C6*4&gt;=$U$4,S6,0)</f>
        <v>0.6</v>
      </c>
      <c r="V6" s="2846">
        <f t="shared" ref="V6:V52" si="9">IF(AND(C6*4&gt;=$V$4,C6*4&lt;$U$4),S6,0)</f>
        <v>0</v>
      </c>
      <c r="W6" s="2847">
        <f t="shared" ref="W6:W52" si="10">IF(AND(C6*4&gt;=$W$4,C6*4&lt;$V$4),S6,0)</f>
        <v>0</v>
      </c>
      <c r="X6" s="2848">
        <f t="shared" ref="X6:X52" si="11">IF(AND(C6*4&gt;=$X$4,C6*4&lt;$W$4),S6,0)</f>
        <v>0</v>
      </c>
      <c r="Y6" s="2849">
        <f t="shared" ref="Y6:Y52" si="12">IF(AND(C6*4&gt;=$Y$4,C6*4&lt;$X$4),S6,0)</f>
        <v>0</v>
      </c>
      <c r="Z6" s="2850">
        <f t="shared" ref="Z6:Z52" si="13">IF(AND(C6*4&gt;=$Z$4,C6*4&lt;$Y$4),S6,0)</f>
        <v>0</v>
      </c>
      <c r="AA6" s="2851">
        <f t="shared" ref="AA6:AA52" si="14">IF(AND(C6*4&gt;=$AA$4,C6*4&lt;$Z$4),S6,0)</f>
        <v>0</v>
      </c>
      <c r="AC6" s="2867"/>
      <c r="AD6" s="2867"/>
      <c r="AE6" s="2867"/>
      <c r="AF6" s="2867"/>
      <c r="AG6" s="2867"/>
      <c r="AH6" s="2867"/>
      <c r="AI6" s="2825"/>
      <c r="AJ6" s="2825"/>
      <c r="AK6" s="2825"/>
      <c r="AL6" s="2825"/>
      <c r="AM6" s="2825"/>
    </row>
    <row r="7" spans="1:40" ht="15" customHeight="1">
      <c r="A7" s="2183" t="s">
        <v>138</v>
      </c>
      <c r="B7" s="2184" t="s">
        <v>215</v>
      </c>
      <c r="C7" s="2256">
        <f t="shared" si="1"/>
        <v>2.1908757716049393E-4</v>
      </c>
      <c r="D7" s="2286">
        <v>2</v>
      </c>
      <c r="E7" s="2881">
        <v>1</v>
      </c>
      <c r="F7" s="2881">
        <v>9</v>
      </c>
      <c r="G7" s="2881">
        <v>75</v>
      </c>
      <c r="H7" s="2277"/>
      <c r="I7" s="2277">
        <v>1.7361111111111112E-4</v>
      </c>
      <c r="J7" s="2277">
        <v>1.3888888888888889E-3</v>
      </c>
      <c r="K7" s="2278" t="s">
        <v>1706</v>
      </c>
      <c r="L7" s="3700">
        <f t="shared" ref="L7:L8" si="15">L6+N6</f>
        <v>0.30618587589605734</v>
      </c>
      <c r="M7" s="2280">
        <v>1</v>
      </c>
      <c r="N7" s="2277">
        <f t="shared" si="2"/>
        <v>8.8667534722222247E-3</v>
      </c>
      <c r="O7" s="2281">
        <f t="shared" si="3"/>
        <v>6.5726273148148176E-4</v>
      </c>
      <c r="P7" s="2281">
        <f t="shared" si="4"/>
        <v>6.5726273148148176E-4</v>
      </c>
      <c r="Q7" s="2282">
        <v>146</v>
      </c>
      <c r="R7" s="2882">
        <f t="shared" si="5"/>
        <v>675</v>
      </c>
      <c r="S7" s="2844">
        <f t="shared" si="6"/>
        <v>0.67500000000000004</v>
      </c>
      <c r="T7" s="2845">
        <f t="shared" si="7"/>
        <v>2.3661458333333343E-2</v>
      </c>
      <c r="U7" s="374">
        <f t="shared" si="8"/>
        <v>0</v>
      </c>
      <c r="V7" s="2846">
        <f t="shared" si="9"/>
        <v>0.67500000000000004</v>
      </c>
      <c r="W7" s="2847">
        <f t="shared" si="10"/>
        <v>0</v>
      </c>
      <c r="X7" s="2848">
        <f t="shared" si="11"/>
        <v>0</v>
      </c>
      <c r="Y7" s="2849">
        <f t="shared" si="12"/>
        <v>0</v>
      </c>
      <c r="Z7" s="2850">
        <f t="shared" si="13"/>
        <v>0</v>
      </c>
      <c r="AA7" s="2851">
        <f t="shared" si="14"/>
        <v>0</v>
      </c>
      <c r="AC7" s="2867"/>
      <c r="AD7" s="2867"/>
      <c r="AE7" s="2867"/>
      <c r="AF7" s="2867"/>
      <c r="AG7" s="2867"/>
      <c r="AH7" s="2867"/>
      <c r="AI7" s="2825"/>
      <c r="AJ7" s="2825"/>
      <c r="AK7" s="2825"/>
      <c r="AL7" s="2825"/>
      <c r="AM7" s="2825"/>
    </row>
    <row r="8" spans="1:40" ht="15" customHeight="1">
      <c r="A8" s="2183" t="s">
        <v>462</v>
      </c>
      <c r="B8" s="2184" t="s">
        <v>215</v>
      </c>
      <c r="C8" s="2256">
        <f t="shared" si="1"/>
        <v>2.1222190799396687E-4</v>
      </c>
      <c r="D8" s="3701">
        <v>3</v>
      </c>
      <c r="E8" s="3111">
        <v>1</v>
      </c>
      <c r="F8" s="3111">
        <v>20</v>
      </c>
      <c r="G8" s="3111">
        <v>20</v>
      </c>
      <c r="H8" s="2325"/>
      <c r="I8" s="2325">
        <v>1.7361111111111112E-4</v>
      </c>
      <c r="J8" s="2325">
        <v>1.3888888888888889E-3</v>
      </c>
      <c r="K8" s="2259" t="s">
        <v>1217</v>
      </c>
      <c r="L8" s="2504">
        <f t="shared" si="15"/>
        <v>0.31505262936827955</v>
      </c>
      <c r="M8" s="2326">
        <v>0.9</v>
      </c>
      <c r="N8" s="2325">
        <f t="shared" si="2"/>
        <v>7.9171065862242342E-3</v>
      </c>
      <c r="O8" s="2262">
        <f t="shared" si="3"/>
        <v>1.6977752639517351E-4</v>
      </c>
      <c r="P8" s="2262">
        <f t="shared" si="4"/>
        <v>1.5279977375565616E-4</v>
      </c>
      <c r="Q8" s="2274">
        <v>164</v>
      </c>
      <c r="R8" s="3111">
        <f t="shared" si="5"/>
        <v>400</v>
      </c>
      <c r="S8" s="2844">
        <f t="shared" si="6"/>
        <v>0.4</v>
      </c>
      <c r="T8" s="2845">
        <f t="shared" si="7"/>
        <v>1.3582202111613881E-2</v>
      </c>
      <c r="U8" s="374">
        <f t="shared" si="8"/>
        <v>0</v>
      </c>
      <c r="V8" s="2846">
        <f t="shared" si="9"/>
        <v>0</v>
      </c>
      <c r="W8" s="2847">
        <f t="shared" si="10"/>
        <v>0.4</v>
      </c>
      <c r="X8" s="2848">
        <f t="shared" si="11"/>
        <v>0</v>
      </c>
      <c r="Y8" s="2849">
        <f t="shared" si="12"/>
        <v>0</v>
      </c>
      <c r="Z8" s="2850">
        <f t="shared" si="13"/>
        <v>0</v>
      </c>
      <c r="AA8" s="2851">
        <f t="shared" si="14"/>
        <v>0</v>
      </c>
      <c r="AC8" s="2867"/>
      <c r="AD8" s="2867"/>
      <c r="AE8" s="2867"/>
      <c r="AF8" s="2867"/>
      <c r="AG8" s="2867"/>
      <c r="AH8" s="2867"/>
      <c r="AI8" s="2825"/>
      <c r="AJ8" s="2825"/>
      <c r="AK8" s="2825"/>
      <c r="AL8" s="2825"/>
      <c r="AM8" s="2825"/>
    </row>
    <row r="9" spans="1:40" ht="15" customHeight="1">
      <c r="A9" s="2183" t="s">
        <v>458</v>
      </c>
      <c r="B9" s="2184" t="s">
        <v>215</v>
      </c>
      <c r="C9" s="2256">
        <f t="shared" si="1"/>
        <v>1.7682291666666674E-4</v>
      </c>
      <c r="D9" s="3682">
        <v>7</v>
      </c>
      <c r="E9" s="3683">
        <v>1</v>
      </c>
      <c r="F9" s="3683">
        <v>4</v>
      </c>
      <c r="G9" s="3683">
        <v>20</v>
      </c>
      <c r="H9" s="2375"/>
      <c r="I9" s="2375">
        <v>4.6296296296296293E-4</v>
      </c>
      <c r="J9" s="3684">
        <v>6.9444444444444447E-4</v>
      </c>
      <c r="K9" s="2181" t="s">
        <v>395</v>
      </c>
      <c r="L9" s="2515">
        <f>L8+N8</f>
        <v>0.32296973595450379</v>
      </c>
      <c r="M9" s="3685">
        <v>1</v>
      </c>
      <c r="N9" s="3684">
        <f t="shared" si="2"/>
        <v>3.1121296296296296E-3</v>
      </c>
      <c r="O9" s="2271">
        <f t="shared" si="3"/>
        <v>1.4145833333333339E-4</v>
      </c>
      <c r="P9" s="2517">
        <f t="shared" si="4"/>
        <v>1.4145833333333339E-4</v>
      </c>
      <c r="Q9" s="3686" t="s">
        <v>274</v>
      </c>
      <c r="R9" s="3683">
        <f t="shared" si="5"/>
        <v>80</v>
      </c>
      <c r="S9" s="2844">
        <f t="shared" si="6"/>
        <v>0.08</v>
      </c>
      <c r="T9" s="2845">
        <f t="shared" si="7"/>
        <v>2.2633333333333342E-3</v>
      </c>
      <c r="U9" s="374">
        <f t="shared" si="8"/>
        <v>0</v>
      </c>
      <c r="V9" s="2846">
        <f t="shared" si="9"/>
        <v>0</v>
      </c>
      <c r="W9" s="2847">
        <f t="shared" si="10"/>
        <v>0</v>
      </c>
      <c r="X9" s="2848">
        <f t="shared" si="11"/>
        <v>0</v>
      </c>
      <c r="Y9" s="2849">
        <f t="shared" si="12"/>
        <v>0</v>
      </c>
      <c r="Z9" s="2850">
        <f t="shared" si="13"/>
        <v>0</v>
      </c>
      <c r="AA9" s="2851">
        <f t="shared" si="14"/>
        <v>0.08</v>
      </c>
      <c r="AC9" s="2867"/>
      <c r="AD9" s="2867"/>
      <c r="AE9" s="2867"/>
      <c r="AF9" s="2867"/>
      <c r="AG9" s="2867"/>
      <c r="AH9" s="2867"/>
      <c r="AI9" s="2825"/>
      <c r="AJ9" s="2825"/>
      <c r="AK9" s="2825"/>
      <c r="AL9" s="2825"/>
      <c r="AM9" s="2825"/>
    </row>
    <row r="10" spans="1:40" ht="15" customHeight="1">
      <c r="A10" s="2183" t="s">
        <v>219</v>
      </c>
      <c r="B10" s="2184" t="s">
        <v>215</v>
      </c>
      <c r="C10" s="2256">
        <f t="shared" si="1"/>
        <v>1.7682291666666674E-4</v>
      </c>
      <c r="D10" s="3123">
        <v>7</v>
      </c>
      <c r="E10" s="3124">
        <v>1</v>
      </c>
      <c r="F10" s="3124">
        <v>12</v>
      </c>
      <c r="G10" s="3124">
        <v>20</v>
      </c>
      <c r="H10" s="2377"/>
      <c r="I10" s="2377">
        <v>4.6296296296296293E-4</v>
      </c>
      <c r="J10" s="2377">
        <v>2.0833333333333333E-3</v>
      </c>
      <c r="K10" s="3125" t="s">
        <v>1708</v>
      </c>
      <c r="L10" s="2515">
        <f t="shared" ref="L10:L11" si="16">L9+N9</f>
        <v>0.32608186558413343</v>
      </c>
      <c r="M10" s="3687">
        <v>1</v>
      </c>
      <c r="N10" s="2377">
        <f t="shared" si="2"/>
        <v>9.3363888888888889E-3</v>
      </c>
      <c r="O10" s="2271">
        <f t="shared" si="3"/>
        <v>1.4145833333333339E-4</v>
      </c>
      <c r="P10" s="2517">
        <f t="shared" si="4"/>
        <v>1.4145833333333339E-4</v>
      </c>
      <c r="Q10" s="2518" t="s">
        <v>316</v>
      </c>
      <c r="R10" s="3683">
        <f t="shared" si="5"/>
        <v>240</v>
      </c>
      <c r="S10" s="2844">
        <f t="shared" si="6"/>
        <v>0.24</v>
      </c>
      <c r="T10" s="2845">
        <f t="shared" si="7"/>
        <v>6.7900000000000026E-3</v>
      </c>
      <c r="U10" s="374">
        <f t="shared" si="8"/>
        <v>0</v>
      </c>
      <c r="V10" s="2846">
        <f t="shared" si="9"/>
        <v>0</v>
      </c>
      <c r="W10" s="2847">
        <f t="shared" si="10"/>
        <v>0</v>
      </c>
      <c r="X10" s="2848">
        <f t="shared" si="11"/>
        <v>0</v>
      </c>
      <c r="Y10" s="2849">
        <f t="shared" si="12"/>
        <v>0</v>
      </c>
      <c r="Z10" s="2850">
        <f t="shared" si="13"/>
        <v>0</v>
      </c>
      <c r="AA10" s="2851">
        <f t="shared" si="14"/>
        <v>0.24</v>
      </c>
      <c r="AC10" s="2867"/>
      <c r="AD10" s="2867"/>
      <c r="AE10" s="2867"/>
      <c r="AF10" s="2867"/>
      <c r="AG10" s="2867"/>
      <c r="AH10" s="2867"/>
      <c r="AI10" s="2825"/>
      <c r="AJ10" s="2825"/>
      <c r="AK10" s="2825"/>
      <c r="AL10" s="2825"/>
      <c r="AM10" s="2825"/>
    </row>
    <row r="11" spans="1:40" ht="15" customHeight="1" thickBot="1">
      <c r="A11" s="2183"/>
      <c r="B11" s="2184"/>
      <c r="C11" s="3690"/>
      <c r="D11" s="3691"/>
      <c r="E11" s="642"/>
      <c r="F11" s="642"/>
      <c r="G11" s="642"/>
      <c r="H11" s="642"/>
      <c r="I11" s="642"/>
      <c r="J11" s="642"/>
      <c r="K11" s="642"/>
      <c r="L11" s="2182">
        <f t="shared" si="16"/>
        <v>0.33541825447302231</v>
      </c>
      <c r="M11" s="643"/>
      <c r="N11" s="3471">
        <f>SUM(N6:N10)</f>
        <v>3.6807143361911217E-2</v>
      </c>
      <c r="O11" s="642"/>
      <c r="P11" s="642"/>
      <c r="Q11" s="642"/>
      <c r="R11" s="3118">
        <f>SUM(R6:R10)</f>
        <v>1995</v>
      </c>
      <c r="S11" s="2844">
        <f t="shared" si="6"/>
        <v>0</v>
      </c>
      <c r="T11" s="2845">
        <f t="shared" si="7"/>
        <v>0</v>
      </c>
      <c r="U11" s="374">
        <f t="shared" si="8"/>
        <v>0</v>
      </c>
      <c r="V11" s="2846">
        <f t="shared" si="9"/>
        <v>0</v>
      </c>
      <c r="W11" s="2847">
        <f t="shared" si="10"/>
        <v>0</v>
      </c>
      <c r="X11" s="2848">
        <f t="shared" si="11"/>
        <v>0</v>
      </c>
      <c r="Y11" s="2849">
        <f t="shared" si="12"/>
        <v>0</v>
      </c>
      <c r="Z11" s="2850">
        <f t="shared" si="13"/>
        <v>0</v>
      </c>
      <c r="AA11" s="2851">
        <f t="shared" si="14"/>
        <v>0</v>
      </c>
      <c r="AC11" s="2867"/>
      <c r="AD11" s="2867"/>
      <c r="AE11" s="2867"/>
      <c r="AF11" s="2867"/>
      <c r="AG11" s="2867"/>
      <c r="AH11" s="2867"/>
      <c r="AI11" s="2825"/>
      <c r="AJ11" s="2825"/>
      <c r="AK11" s="2825"/>
      <c r="AL11" s="2825"/>
      <c r="AM11" s="2825"/>
    </row>
    <row r="12" spans="1:40" ht="15" customHeight="1">
      <c r="A12" s="2183"/>
      <c r="B12" s="2184"/>
      <c r="C12" s="2854"/>
      <c r="D12" s="3702"/>
      <c r="E12" s="2855"/>
      <c r="F12" s="2855"/>
      <c r="G12" s="2855"/>
      <c r="H12" s="2855"/>
      <c r="I12" s="2855"/>
      <c r="J12" s="2855"/>
      <c r="K12" s="3703" t="s">
        <v>1709</v>
      </c>
      <c r="L12" s="2182"/>
      <c r="M12" s="3620"/>
      <c r="N12" s="3280"/>
      <c r="O12" s="2855"/>
      <c r="P12" s="2855"/>
      <c r="Q12" s="2855"/>
      <c r="R12" s="3621"/>
      <c r="S12" s="2844">
        <f t="shared" si="6"/>
        <v>0</v>
      </c>
      <c r="T12" s="2845">
        <f t="shared" si="7"/>
        <v>0</v>
      </c>
      <c r="U12" s="374">
        <f t="shared" si="8"/>
        <v>0</v>
      </c>
      <c r="V12" s="2846">
        <f t="shared" si="9"/>
        <v>0</v>
      </c>
      <c r="W12" s="2847">
        <f t="shared" si="10"/>
        <v>0</v>
      </c>
      <c r="X12" s="2848">
        <f t="shared" si="11"/>
        <v>0</v>
      </c>
      <c r="Y12" s="2849">
        <f t="shared" si="12"/>
        <v>0</v>
      </c>
      <c r="Z12" s="2850">
        <f t="shared" si="13"/>
        <v>0</v>
      </c>
      <c r="AA12" s="2851">
        <f t="shared" si="14"/>
        <v>0</v>
      </c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</row>
    <row r="13" spans="1:40" ht="15" customHeight="1">
      <c r="A13" s="2183" t="s">
        <v>215</v>
      </c>
      <c r="B13" s="2184" t="s">
        <v>461</v>
      </c>
      <c r="C13" s="2256">
        <f t="shared" ref="C13:C17" si="17">IF(D13=1,U$5,IF(D13=2,V$5,IF(D13=3,W$5,IF(D13=4,X$5,IF(D13=5,Y$5,IF(D13=6,Z$5,IF(D13=7,AA$5,0)))))))</f>
        <v>2.2880964381720439E-4</v>
      </c>
      <c r="D13" s="2335">
        <v>1</v>
      </c>
      <c r="E13" s="2878">
        <v>1</v>
      </c>
      <c r="F13" s="2878">
        <v>2</v>
      </c>
      <c r="G13" s="2878">
        <v>300</v>
      </c>
      <c r="H13" s="2337"/>
      <c r="I13" s="2337">
        <v>1.1574074074074073E-4</v>
      </c>
      <c r="J13" s="2337">
        <v>1.3888888888888889E-3</v>
      </c>
      <c r="K13" s="5502" t="s">
        <v>762</v>
      </c>
      <c r="L13" s="3119">
        <v>0.80902777777777779</v>
      </c>
      <c r="M13" s="2502">
        <v>0.9</v>
      </c>
      <c r="N13" s="2337">
        <f>P13*E13*F13+I13*E13*F13+J13*E13</f>
        <v>6.5626586768219863E-3</v>
      </c>
      <c r="O13" s="2359">
        <f t="shared" ref="O13:O17" si="18">C13*(G13/25)</f>
        <v>2.7457157258064528E-3</v>
      </c>
      <c r="P13" s="2359">
        <f t="shared" ref="P13:P17" si="19">O13*M13</f>
        <v>2.4711441532258077E-3</v>
      </c>
      <c r="Q13" s="2341">
        <v>129</v>
      </c>
      <c r="R13" s="2878">
        <f t="shared" ref="R13:R17" si="20">E13*F13*G13</f>
        <v>600</v>
      </c>
      <c r="S13" s="2844">
        <f t="shared" si="6"/>
        <v>0.6</v>
      </c>
      <c r="T13" s="2845">
        <f t="shared" si="7"/>
        <v>2.1965725806451623E-2</v>
      </c>
      <c r="U13" s="374">
        <f t="shared" si="8"/>
        <v>0.6</v>
      </c>
      <c r="V13" s="2846">
        <f t="shared" si="9"/>
        <v>0</v>
      </c>
      <c r="W13" s="2847">
        <f t="shared" si="10"/>
        <v>0</v>
      </c>
      <c r="X13" s="2848">
        <f t="shared" si="11"/>
        <v>0</v>
      </c>
      <c r="Y13" s="2849">
        <f t="shared" si="12"/>
        <v>0</v>
      </c>
      <c r="Z13" s="2850">
        <f t="shared" si="13"/>
        <v>0</v>
      </c>
      <c r="AA13" s="2851">
        <f t="shared" si="14"/>
        <v>0</v>
      </c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</row>
    <row r="14" spans="1:40" ht="14" customHeight="1">
      <c r="A14" s="2183" t="s">
        <v>138</v>
      </c>
      <c r="B14" s="2184" t="s">
        <v>461</v>
      </c>
      <c r="C14" s="2256">
        <f t="shared" si="17"/>
        <v>2.1908757716049393E-4</v>
      </c>
      <c r="D14" s="2286">
        <v>2</v>
      </c>
      <c r="E14" s="2881">
        <v>1</v>
      </c>
      <c r="F14" s="2881">
        <v>2</v>
      </c>
      <c r="G14" s="2881">
        <v>400</v>
      </c>
      <c r="H14" s="2277">
        <v>5.5555555555555558E-3</v>
      </c>
      <c r="I14" s="2277"/>
      <c r="J14" s="2277">
        <v>1.3888888888888889E-3</v>
      </c>
      <c r="K14" s="2278" t="s">
        <v>703</v>
      </c>
      <c r="L14" s="2503">
        <f t="shared" ref="L14:L18" si="21">L13+N13</f>
        <v>0.81559043645459983</v>
      </c>
      <c r="M14" s="2280">
        <v>1</v>
      </c>
      <c r="N14" s="2277">
        <f>H14*F14*E14</f>
        <v>1.1111111111111112E-2</v>
      </c>
      <c r="O14" s="2281">
        <f t="shared" si="18"/>
        <v>3.5054012345679029E-3</v>
      </c>
      <c r="P14" s="2281">
        <f t="shared" si="19"/>
        <v>3.5054012345679029E-3</v>
      </c>
      <c r="Q14" s="2282">
        <v>146</v>
      </c>
      <c r="R14" s="2882">
        <f t="shared" si="20"/>
        <v>800</v>
      </c>
      <c r="S14" s="2844">
        <f t="shared" si="6"/>
        <v>0.8</v>
      </c>
      <c r="T14" s="2845">
        <f t="shared" si="7"/>
        <v>2.8043209876543223E-2</v>
      </c>
      <c r="U14" s="374">
        <f t="shared" si="8"/>
        <v>0</v>
      </c>
      <c r="V14" s="2846">
        <f t="shared" si="9"/>
        <v>0.8</v>
      </c>
      <c r="W14" s="2847">
        <f t="shared" si="10"/>
        <v>0</v>
      </c>
      <c r="X14" s="2848">
        <f t="shared" si="11"/>
        <v>0</v>
      </c>
      <c r="Y14" s="2849">
        <f t="shared" si="12"/>
        <v>0</v>
      </c>
      <c r="Z14" s="2850">
        <f t="shared" si="13"/>
        <v>0</v>
      </c>
      <c r="AA14" s="2851">
        <f t="shared" si="14"/>
        <v>0</v>
      </c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</row>
    <row r="15" spans="1:40" ht="14" customHeight="1">
      <c r="A15" s="2183" t="s">
        <v>462</v>
      </c>
      <c r="B15" s="2184" t="s">
        <v>461</v>
      </c>
      <c r="C15" s="2256">
        <f t="shared" si="17"/>
        <v>2.1222190799396687E-4</v>
      </c>
      <c r="D15" s="3701">
        <v>3</v>
      </c>
      <c r="E15" s="3111">
        <v>1</v>
      </c>
      <c r="F15" s="3111">
        <v>20</v>
      </c>
      <c r="G15" s="3111">
        <v>50</v>
      </c>
      <c r="H15" s="2325"/>
      <c r="I15" s="2325">
        <v>1.7361111111111112E-4</v>
      </c>
      <c r="J15" s="2325">
        <v>1.3888888888888889E-3</v>
      </c>
      <c r="K15" s="2310" t="s">
        <v>284</v>
      </c>
      <c r="L15" s="2504">
        <f t="shared" si="21"/>
        <v>0.8267015475657109</v>
      </c>
      <c r="M15" s="2326">
        <v>1</v>
      </c>
      <c r="N15" s="2325">
        <f>P15*E15*F15+I15*E15*F15+J15*E15</f>
        <v>1.3349987430869785E-2</v>
      </c>
      <c r="O15" s="2262">
        <f t="shared" si="18"/>
        <v>4.2444381598793373E-4</v>
      </c>
      <c r="P15" s="2262">
        <f t="shared" si="19"/>
        <v>4.2444381598793373E-4</v>
      </c>
      <c r="Q15" s="2274">
        <v>164</v>
      </c>
      <c r="R15" s="3111">
        <f t="shared" si="20"/>
        <v>1000</v>
      </c>
      <c r="S15" s="2844">
        <f t="shared" si="6"/>
        <v>1</v>
      </c>
      <c r="T15" s="2845">
        <f t="shared" si="7"/>
        <v>3.3955505279034695E-2</v>
      </c>
      <c r="U15" s="374">
        <f t="shared" si="8"/>
        <v>0</v>
      </c>
      <c r="V15" s="2846">
        <f t="shared" si="9"/>
        <v>0</v>
      </c>
      <c r="W15" s="2847">
        <f t="shared" si="10"/>
        <v>1</v>
      </c>
      <c r="X15" s="2848">
        <f t="shared" si="11"/>
        <v>0</v>
      </c>
      <c r="Y15" s="2849">
        <f t="shared" si="12"/>
        <v>0</v>
      </c>
      <c r="Z15" s="2850">
        <f t="shared" si="13"/>
        <v>0</v>
      </c>
      <c r="AA15" s="2851">
        <f t="shared" si="14"/>
        <v>0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</row>
    <row r="16" spans="1:40" ht="14" customHeight="1">
      <c r="A16" s="2183" t="s">
        <v>458</v>
      </c>
      <c r="B16" s="2184" t="s">
        <v>461</v>
      </c>
      <c r="C16" s="2256">
        <f t="shared" si="17"/>
        <v>2.1908757716049393E-4</v>
      </c>
      <c r="D16" s="2286">
        <v>2</v>
      </c>
      <c r="E16" s="2881">
        <v>1</v>
      </c>
      <c r="F16" s="2881">
        <v>8</v>
      </c>
      <c r="G16" s="2881">
        <v>50</v>
      </c>
      <c r="H16" s="2277"/>
      <c r="I16" s="2277">
        <v>1.3888888888888889E-4</v>
      </c>
      <c r="J16" s="2277">
        <v>1.3888888888888889E-3</v>
      </c>
      <c r="K16" s="2278" t="s">
        <v>894</v>
      </c>
      <c r="L16" s="2503">
        <f>L15+N15</f>
        <v>0.8400515349965807</v>
      </c>
      <c r="M16" s="2280">
        <v>1</v>
      </c>
      <c r="N16" s="2277">
        <f>P16*E16*F16+I16*E16*F16+J16*E16</f>
        <v>6.0054012345679029E-3</v>
      </c>
      <c r="O16" s="2281">
        <f t="shared" si="18"/>
        <v>4.3817515432098786E-4</v>
      </c>
      <c r="P16" s="2281">
        <f t="shared" si="19"/>
        <v>4.3817515432098786E-4</v>
      </c>
      <c r="Q16" s="2282">
        <v>146</v>
      </c>
      <c r="R16" s="2882">
        <f t="shared" si="20"/>
        <v>400</v>
      </c>
      <c r="S16" s="2844">
        <f t="shared" si="6"/>
        <v>0.4</v>
      </c>
      <c r="T16" s="2845">
        <f t="shared" si="7"/>
        <v>1.4021604938271611E-2</v>
      </c>
      <c r="U16" s="374">
        <f t="shared" si="8"/>
        <v>0</v>
      </c>
      <c r="V16" s="2846">
        <f t="shared" si="9"/>
        <v>0.4</v>
      </c>
      <c r="W16" s="2847">
        <f t="shared" si="10"/>
        <v>0</v>
      </c>
      <c r="X16" s="2848">
        <f t="shared" si="11"/>
        <v>0</v>
      </c>
      <c r="Y16" s="2849">
        <f t="shared" si="12"/>
        <v>0</v>
      </c>
      <c r="Z16" s="2850">
        <f t="shared" si="13"/>
        <v>0</v>
      </c>
      <c r="AA16" s="2851">
        <f t="shared" si="14"/>
        <v>0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  <c r="AN16" s="2815"/>
    </row>
    <row r="17" spans="1:40" ht="12.75" customHeight="1">
      <c r="A17" s="2183" t="s">
        <v>219</v>
      </c>
      <c r="B17" s="2184" t="s">
        <v>461</v>
      </c>
      <c r="C17" s="2256">
        <f t="shared" si="17"/>
        <v>1.7682291666666674E-4</v>
      </c>
      <c r="D17" s="3123">
        <v>7</v>
      </c>
      <c r="E17" s="3124">
        <v>1</v>
      </c>
      <c r="F17" s="3124">
        <v>4</v>
      </c>
      <c r="G17" s="3124">
        <v>25</v>
      </c>
      <c r="H17" s="2377"/>
      <c r="I17" s="2377">
        <v>3.4722222222222224E-4</v>
      </c>
      <c r="J17" s="2377">
        <v>0</v>
      </c>
      <c r="K17" s="3125" t="s">
        <v>979</v>
      </c>
      <c r="L17" s="2515">
        <f t="shared" si="21"/>
        <v>0.84605693623114864</v>
      </c>
      <c r="M17" s="3126">
        <v>1</v>
      </c>
      <c r="N17" s="2377">
        <f>P17*E17*F17+I17*E17*F17+J17*E17</f>
        <v>2.096180555555556E-3</v>
      </c>
      <c r="O17" s="2271">
        <f t="shared" si="18"/>
        <v>1.7682291666666674E-4</v>
      </c>
      <c r="P17" s="2517">
        <f t="shared" si="19"/>
        <v>1.7682291666666674E-4</v>
      </c>
      <c r="Q17" s="3130" t="s">
        <v>316</v>
      </c>
      <c r="R17" s="3683">
        <f t="shared" si="20"/>
        <v>100</v>
      </c>
      <c r="S17" s="2844">
        <f t="shared" si="6"/>
        <v>0.1</v>
      </c>
      <c r="T17" s="2845">
        <f t="shared" si="7"/>
        <v>2.8291666666666678E-3</v>
      </c>
      <c r="U17" s="374">
        <f t="shared" si="8"/>
        <v>0</v>
      </c>
      <c r="V17" s="2846">
        <f t="shared" si="9"/>
        <v>0</v>
      </c>
      <c r="W17" s="2847">
        <f t="shared" si="10"/>
        <v>0</v>
      </c>
      <c r="X17" s="2848">
        <f t="shared" si="11"/>
        <v>0</v>
      </c>
      <c r="Y17" s="2849">
        <f t="shared" si="12"/>
        <v>0</v>
      </c>
      <c r="Z17" s="2850">
        <f t="shared" si="13"/>
        <v>0</v>
      </c>
      <c r="AA17" s="2851">
        <f t="shared" si="14"/>
        <v>0.1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  <c r="AN17" s="2815"/>
    </row>
    <row r="18" spans="1:40" ht="15" customHeight="1" thickBot="1">
      <c r="A18" s="2183"/>
      <c r="B18" s="2184"/>
      <c r="C18" s="3690"/>
      <c r="D18" s="3691"/>
      <c r="E18" s="642"/>
      <c r="F18" s="642"/>
      <c r="G18" s="642"/>
      <c r="H18" s="642"/>
      <c r="I18" s="642"/>
      <c r="J18" s="642"/>
      <c r="K18" s="642"/>
      <c r="L18" s="2182">
        <f t="shared" si="21"/>
        <v>0.84815311678670424</v>
      </c>
      <c r="M18" s="643"/>
      <c r="N18" s="3471">
        <f>SUM(N13:N17)</f>
        <v>3.9125339008926341E-2</v>
      </c>
      <c r="O18" s="642"/>
      <c r="P18" s="642"/>
      <c r="Q18" s="642"/>
      <c r="R18" s="3118">
        <f>SUM(R13:R17)</f>
        <v>2900</v>
      </c>
      <c r="S18" s="2844">
        <f t="shared" si="6"/>
        <v>0</v>
      </c>
      <c r="T18" s="2845">
        <f t="shared" si="7"/>
        <v>0</v>
      </c>
      <c r="U18" s="374">
        <f t="shared" si="8"/>
        <v>0</v>
      </c>
      <c r="V18" s="2846">
        <f t="shared" si="9"/>
        <v>0</v>
      </c>
      <c r="W18" s="2847">
        <f t="shared" si="10"/>
        <v>0</v>
      </c>
      <c r="X18" s="2848">
        <f t="shared" si="11"/>
        <v>0</v>
      </c>
      <c r="Y18" s="2849">
        <f t="shared" si="12"/>
        <v>0</v>
      </c>
      <c r="Z18" s="2850">
        <f t="shared" si="13"/>
        <v>0</v>
      </c>
      <c r="AA18" s="2851">
        <f t="shared" si="14"/>
        <v>0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2815"/>
    </row>
    <row r="19" spans="1:40" ht="15" customHeight="1" thickBot="1">
      <c r="A19" s="3704" t="s">
        <v>215</v>
      </c>
      <c r="B19" s="3110" t="s">
        <v>461</v>
      </c>
      <c r="C19" s="2256">
        <f>IF(D19=1,U$5,IF(D19=2,V$5,IF(D19=3,W$5,IF(D19=4,X$5,IF(D19=5,Y$5,IF(D19=6,Z$5,IF(D19=7,AA$5,0)))))))</f>
        <v>2.2880964381720439E-4</v>
      </c>
      <c r="D19" s="2335">
        <v>1</v>
      </c>
      <c r="E19" s="2878">
        <v>1</v>
      </c>
      <c r="F19" s="2878">
        <v>2</v>
      </c>
      <c r="G19" s="2878">
        <v>400</v>
      </c>
      <c r="H19" s="2337"/>
      <c r="I19" s="2337">
        <v>1.1574074074074073E-4</v>
      </c>
      <c r="J19" s="2337">
        <v>1.3888888888888889E-3</v>
      </c>
      <c r="K19" s="2338" t="s">
        <v>762</v>
      </c>
      <c r="L19" s="2423">
        <v>0.30902777777777779</v>
      </c>
      <c r="M19" s="2502">
        <v>0.9</v>
      </c>
      <c r="N19" s="2337">
        <f>P19*E19*F19+I19*E19*F19+J19*E19</f>
        <v>8.2100881123058564E-3</v>
      </c>
      <c r="O19" s="2359">
        <f>C19*(G19/25)</f>
        <v>3.6609543010752703E-3</v>
      </c>
      <c r="P19" s="2359">
        <f>O19*M19</f>
        <v>3.2948588709677431E-3</v>
      </c>
      <c r="Q19" s="2341">
        <v>129</v>
      </c>
      <c r="R19" s="2878">
        <f>E19*F19*G19</f>
        <v>800</v>
      </c>
      <c r="S19" s="2844">
        <f t="shared" si="6"/>
        <v>0.8</v>
      </c>
      <c r="T19" s="2845">
        <f t="shared" si="7"/>
        <v>2.9287634408602162E-2</v>
      </c>
      <c r="U19" s="374">
        <f t="shared" si="8"/>
        <v>0.8</v>
      </c>
      <c r="V19" s="2846">
        <f t="shared" si="9"/>
        <v>0</v>
      </c>
      <c r="W19" s="2847">
        <f t="shared" si="10"/>
        <v>0</v>
      </c>
      <c r="X19" s="2848">
        <f t="shared" si="11"/>
        <v>0</v>
      </c>
      <c r="Y19" s="2849">
        <f t="shared" si="12"/>
        <v>0</v>
      </c>
      <c r="Z19" s="2850">
        <f t="shared" si="13"/>
        <v>0</v>
      </c>
      <c r="AA19" s="2851">
        <f t="shared" si="14"/>
        <v>0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2815"/>
    </row>
    <row r="20" spans="1:40" ht="15" customHeight="1" thickBot="1">
      <c r="A20" s="3109" t="s">
        <v>139</v>
      </c>
      <c r="B20" s="3110" t="s">
        <v>461</v>
      </c>
      <c r="C20" s="2256">
        <f>IF(D20=1,U$5,IF(D20=2,V$5,IF(D20=3,W$5,IF(D20=4,X$5,IF(D20=5,Y$5,IF(D20=6,Z$5,IF(D20=7,AA$5,0)))))))</f>
        <v>2.1908757716049393E-4</v>
      </c>
      <c r="D20" s="2302">
        <v>2</v>
      </c>
      <c r="E20" s="2881">
        <v>1</v>
      </c>
      <c r="F20" s="2881">
        <v>4</v>
      </c>
      <c r="G20" s="2881">
        <v>400</v>
      </c>
      <c r="H20" s="2277"/>
      <c r="I20" s="2277">
        <v>2.3148148148148146E-4</v>
      </c>
      <c r="J20" s="2277">
        <v>1.3888888888888889E-3</v>
      </c>
      <c r="K20" s="2278" t="s">
        <v>535</v>
      </c>
      <c r="L20" s="2503">
        <f>L19+N19</f>
        <v>0.31723786589008363</v>
      </c>
      <c r="M20" s="2280">
        <v>0.9</v>
      </c>
      <c r="N20" s="2277">
        <f>P20*E20*F20+I20*E20*F20+J20*E20</f>
        <v>8.8769259259259287E-3</v>
      </c>
      <c r="O20" s="2281">
        <f>C20*8*1.04</f>
        <v>1.8228086419753095E-3</v>
      </c>
      <c r="P20" s="2281">
        <f>O20*M20</f>
        <v>1.6405277777777785E-3</v>
      </c>
      <c r="Q20" s="2282">
        <v>146</v>
      </c>
      <c r="R20" s="2882">
        <f>E20*F20*G20</f>
        <v>1600</v>
      </c>
      <c r="S20" s="2844">
        <f t="shared" si="6"/>
        <v>1.6</v>
      </c>
      <c r="T20" s="2845">
        <f t="shared" si="7"/>
        <v>2.9164938271604952E-2</v>
      </c>
      <c r="U20" s="374">
        <f t="shared" si="8"/>
        <v>0</v>
      </c>
      <c r="V20" s="2846">
        <f t="shared" si="9"/>
        <v>1.6</v>
      </c>
      <c r="W20" s="2847">
        <f t="shared" si="10"/>
        <v>0</v>
      </c>
      <c r="X20" s="2848">
        <f t="shared" si="11"/>
        <v>0</v>
      </c>
      <c r="Y20" s="2849">
        <f t="shared" si="12"/>
        <v>0</v>
      </c>
      <c r="Z20" s="2850">
        <f t="shared" si="13"/>
        <v>0</v>
      </c>
      <c r="AA20" s="2851">
        <f t="shared" si="14"/>
        <v>0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2815"/>
    </row>
    <row r="21" spans="1:40" ht="15" customHeight="1" thickBot="1">
      <c r="A21" s="3109" t="s">
        <v>458</v>
      </c>
      <c r="B21" s="3110" t="s">
        <v>461</v>
      </c>
      <c r="C21" s="2256">
        <f>IF(D21=1,U$5,IF(D21=2,V$5,IF(D21=3,W$5,IF(D21=4,X$5,IF(D21=5,Y$5,IF(D21=6,Z$5,IF(D21=7,AA$5,0)))))))</f>
        <v>2.1222190799396687E-4</v>
      </c>
      <c r="D21" s="3701">
        <v>3</v>
      </c>
      <c r="E21" s="3111">
        <v>1</v>
      </c>
      <c r="F21" s="3111">
        <v>12</v>
      </c>
      <c r="G21" s="3111">
        <v>50</v>
      </c>
      <c r="H21" s="2325"/>
      <c r="I21" s="2325">
        <v>8.1018518518518516E-5</v>
      </c>
      <c r="J21" s="2325">
        <v>1.3888888888888889E-3</v>
      </c>
      <c r="K21" s="2310" t="s">
        <v>1710</v>
      </c>
      <c r="L21" s="2504">
        <f>L20+N20</f>
        <v>0.32611479181600955</v>
      </c>
      <c r="M21" s="2326">
        <v>1</v>
      </c>
      <c r="N21" s="2325">
        <f>P21*E21*F21+I21*E21*F21+J21*E21</f>
        <v>7.4544369029663164E-3</v>
      </c>
      <c r="O21" s="2262">
        <f>C21*(G21/25)</f>
        <v>4.2444381598793373E-4</v>
      </c>
      <c r="P21" s="2262">
        <f>O21*M21</f>
        <v>4.2444381598793373E-4</v>
      </c>
      <c r="Q21" s="2274">
        <v>164</v>
      </c>
      <c r="R21" s="3111">
        <f>E21*F21*G21</f>
        <v>600</v>
      </c>
      <c r="S21" s="2844">
        <f t="shared" si="6"/>
        <v>0.6</v>
      </c>
      <c r="T21" s="2845">
        <f t="shared" si="7"/>
        <v>2.0373303167420819E-2</v>
      </c>
      <c r="U21" s="374">
        <f t="shared" si="8"/>
        <v>0</v>
      </c>
      <c r="V21" s="2846">
        <f t="shared" si="9"/>
        <v>0</v>
      </c>
      <c r="W21" s="2847">
        <f t="shared" si="10"/>
        <v>0.6</v>
      </c>
      <c r="X21" s="2848">
        <f t="shared" si="11"/>
        <v>0</v>
      </c>
      <c r="Y21" s="2849">
        <f t="shared" si="12"/>
        <v>0</v>
      </c>
      <c r="Z21" s="2850">
        <f t="shared" si="13"/>
        <v>0</v>
      </c>
      <c r="AA21" s="2851">
        <f t="shared" si="14"/>
        <v>0</v>
      </c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2815"/>
    </row>
    <row r="22" spans="1:40" ht="15" customHeight="1" thickBot="1">
      <c r="A22" s="3109" t="s">
        <v>140</v>
      </c>
      <c r="B22" s="3110" t="s">
        <v>461</v>
      </c>
      <c r="C22" s="2256">
        <f>IF(D22=1,U$5,IF(D22=2,V$5,IF(D22=3,W$5,IF(D22=4,X$5,IF(D22=5,Y$5,IF(D22=6,Z$5,IF(D22=7,AA$5,0)))))))</f>
        <v>1.7682291666666674E-4</v>
      </c>
      <c r="D22" s="3123">
        <v>7</v>
      </c>
      <c r="E22" s="3124">
        <v>1</v>
      </c>
      <c r="F22" s="3124">
        <v>10</v>
      </c>
      <c r="G22" s="3124">
        <v>25</v>
      </c>
      <c r="H22" s="2377"/>
      <c r="I22" s="2377">
        <v>3.4722222222222224E-4</v>
      </c>
      <c r="J22" s="2377">
        <v>1.3888888888888889E-3</v>
      </c>
      <c r="K22" s="3125" t="s">
        <v>1218</v>
      </c>
      <c r="L22" s="2515">
        <f>L21+N21</f>
        <v>0.33356922871897587</v>
      </c>
      <c r="M22" s="3126">
        <v>0</v>
      </c>
      <c r="N22" s="2377">
        <f>P22*E22*F22+I22*E22*F22+J22*E22</f>
        <v>4.8611111111111112E-3</v>
      </c>
      <c r="O22" s="2271">
        <f>C22*(G22/25)</f>
        <v>1.7682291666666674E-4</v>
      </c>
      <c r="P22" s="2517">
        <f>O22*M22</f>
        <v>0</v>
      </c>
      <c r="Q22" s="3130" t="s">
        <v>316</v>
      </c>
      <c r="R22" s="3683">
        <f>E22*F22*G22</f>
        <v>250</v>
      </c>
      <c r="S22" s="2844">
        <f t="shared" si="6"/>
        <v>0.25</v>
      </c>
      <c r="T22" s="2845">
        <f t="shared" si="7"/>
        <v>7.0729166666666692E-3</v>
      </c>
      <c r="U22" s="374">
        <f t="shared" si="8"/>
        <v>0</v>
      </c>
      <c r="V22" s="2846">
        <f t="shared" si="9"/>
        <v>0</v>
      </c>
      <c r="W22" s="2847">
        <f t="shared" si="10"/>
        <v>0</v>
      </c>
      <c r="X22" s="2848">
        <f t="shared" si="11"/>
        <v>0</v>
      </c>
      <c r="Y22" s="2849">
        <f t="shared" si="12"/>
        <v>0</v>
      </c>
      <c r="Z22" s="2850">
        <f t="shared" si="13"/>
        <v>0</v>
      </c>
      <c r="AA22" s="2851">
        <f t="shared" si="14"/>
        <v>0.25</v>
      </c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2815"/>
    </row>
    <row r="23" spans="1:40" ht="15" customHeight="1" thickBot="1">
      <c r="A23" s="3109" t="s">
        <v>674</v>
      </c>
      <c r="B23" s="3110" t="s">
        <v>461</v>
      </c>
      <c r="C23" s="2256">
        <f>IF(D23=1,U$5,IF(D23=2,V$5,IF(D23=3,W$5,IF(D23=4,X$5,IF(D23=5,Y$5,IF(D23=6,Z$5,IF(D23=7,AA$5,0)))))))</f>
        <v>1.7682291666666674E-4</v>
      </c>
      <c r="D23" s="3123">
        <v>7</v>
      </c>
      <c r="E23" s="3124">
        <v>1</v>
      </c>
      <c r="F23" s="3124">
        <v>10</v>
      </c>
      <c r="G23" s="3124">
        <v>25</v>
      </c>
      <c r="H23" s="2377"/>
      <c r="I23" s="2377">
        <v>3.4722222222222224E-4</v>
      </c>
      <c r="J23" s="2377">
        <v>1.3888888888888889E-3</v>
      </c>
      <c r="K23" s="3125" t="s">
        <v>1219</v>
      </c>
      <c r="L23" s="2515">
        <f>L22+N22</f>
        <v>0.33843033983008697</v>
      </c>
      <c r="M23" s="3126">
        <v>1</v>
      </c>
      <c r="N23" s="2377">
        <f>P23*E23*F23+I23*E23*F23+J23*E23</f>
        <v>6.6293402777777791E-3</v>
      </c>
      <c r="O23" s="2271">
        <f>C23*(G23/25)</f>
        <v>1.7682291666666674E-4</v>
      </c>
      <c r="P23" s="2517">
        <f>O23*M23</f>
        <v>1.7682291666666674E-4</v>
      </c>
      <c r="Q23" s="3130" t="s">
        <v>316</v>
      </c>
      <c r="R23" s="3683">
        <f>E23*F23*G23</f>
        <v>250</v>
      </c>
      <c r="S23" s="2844">
        <f t="shared" si="6"/>
        <v>0.25</v>
      </c>
      <c r="T23" s="2845">
        <f t="shared" si="7"/>
        <v>7.0729166666666692E-3</v>
      </c>
      <c r="U23" s="374">
        <f t="shared" si="8"/>
        <v>0</v>
      </c>
      <c r="V23" s="2846">
        <f t="shared" si="9"/>
        <v>0</v>
      </c>
      <c r="W23" s="2847">
        <f t="shared" si="10"/>
        <v>0</v>
      </c>
      <c r="X23" s="2848">
        <f t="shared" si="11"/>
        <v>0</v>
      </c>
      <c r="Y23" s="2849">
        <f t="shared" si="12"/>
        <v>0</v>
      </c>
      <c r="Z23" s="2850">
        <f t="shared" si="13"/>
        <v>0</v>
      </c>
      <c r="AA23" s="2851">
        <f t="shared" si="14"/>
        <v>0.25</v>
      </c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2815"/>
    </row>
    <row r="24" spans="1:40" ht="15" customHeight="1" thickBot="1">
      <c r="A24" s="3688"/>
      <c r="B24" s="3689"/>
      <c r="C24" s="3690"/>
      <c r="D24" s="3691"/>
      <c r="E24" s="642"/>
      <c r="F24" s="642"/>
      <c r="G24" s="642"/>
      <c r="H24" s="642"/>
      <c r="I24" s="642"/>
      <c r="J24" s="642"/>
      <c r="K24" s="642"/>
      <c r="L24" s="2182">
        <f>L23+N23</f>
        <v>0.34505968010786475</v>
      </c>
      <c r="M24" s="643"/>
      <c r="N24" s="3471">
        <f>SUM(N19:N23)</f>
        <v>3.603190233008699E-2</v>
      </c>
      <c r="O24" s="642"/>
      <c r="P24" s="642"/>
      <c r="Q24" s="642"/>
      <c r="R24" s="3118">
        <f>SUM(R19:R23)</f>
        <v>3500</v>
      </c>
      <c r="S24" s="2844">
        <f t="shared" si="6"/>
        <v>0</v>
      </c>
      <c r="T24" s="2845">
        <f t="shared" si="7"/>
        <v>0</v>
      </c>
      <c r="U24" s="374">
        <f t="shared" si="8"/>
        <v>0</v>
      </c>
      <c r="V24" s="2846">
        <f t="shared" si="9"/>
        <v>0</v>
      </c>
      <c r="W24" s="2847">
        <f t="shared" si="10"/>
        <v>0</v>
      </c>
      <c r="X24" s="2848">
        <f t="shared" si="11"/>
        <v>0</v>
      </c>
      <c r="Y24" s="2849">
        <f t="shared" si="12"/>
        <v>0</v>
      </c>
      <c r="Z24" s="2850">
        <f t="shared" si="13"/>
        <v>0</v>
      </c>
      <c r="AA24" s="2851">
        <f t="shared" si="14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2815"/>
    </row>
    <row r="25" spans="1:40" ht="15" customHeight="1" thickBot="1">
      <c r="A25" s="2183"/>
      <c r="B25" s="2184"/>
      <c r="C25" s="2854"/>
      <c r="D25" s="3702"/>
      <c r="E25" s="2855"/>
      <c r="F25" s="2855"/>
      <c r="G25" s="2855"/>
      <c r="H25" s="2855"/>
      <c r="I25" s="2855"/>
      <c r="J25" s="2855"/>
      <c r="K25" s="3703" t="s">
        <v>1709</v>
      </c>
      <c r="L25" s="2182"/>
      <c r="M25" s="3620"/>
      <c r="N25" s="3280"/>
      <c r="O25" s="2855"/>
      <c r="P25" s="2855"/>
      <c r="Q25" s="2855"/>
      <c r="R25" s="3621"/>
      <c r="S25" s="2844">
        <f t="shared" si="6"/>
        <v>0</v>
      </c>
      <c r="T25" s="2845">
        <f t="shared" si="7"/>
        <v>0</v>
      </c>
      <c r="U25" s="374">
        <f t="shared" si="8"/>
        <v>0</v>
      </c>
      <c r="V25" s="2846">
        <f t="shared" si="9"/>
        <v>0</v>
      </c>
      <c r="W25" s="2847">
        <f t="shared" si="10"/>
        <v>0</v>
      </c>
      <c r="X25" s="2848">
        <f t="shared" si="11"/>
        <v>0</v>
      </c>
      <c r="Y25" s="2849">
        <f t="shared" si="12"/>
        <v>0</v>
      </c>
      <c r="Z25" s="2850">
        <f t="shared" si="13"/>
        <v>0</v>
      </c>
      <c r="AA25" s="2851">
        <f t="shared" si="14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2815"/>
    </row>
    <row r="26" spans="1:40" ht="14" customHeight="1" thickBot="1">
      <c r="A26" s="3704" t="s">
        <v>215</v>
      </c>
      <c r="B26" s="3110" t="s">
        <v>461</v>
      </c>
      <c r="C26" s="2256">
        <f>IF(D26=1,U$5,IF(D26=2,V$5,IF(D26=3,W$5,IF(D26=4,X$5,IF(D26=5,Y$5,IF(D26=6,Z$5,IF(D26=7,AA$5,0)))))))</f>
        <v>2.2880964381720439E-4</v>
      </c>
      <c r="D26" s="2335">
        <v>1</v>
      </c>
      <c r="E26" s="2878">
        <v>1</v>
      </c>
      <c r="F26" s="2878">
        <v>4</v>
      </c>
      <c r="G26" s="2878">
        <v>300</v>
      </c>
      <c r="H26" s="2337"/>
      <c r="I26" s="2337">
        <v>1.1574074074074073E-4</v>
      </c>
      <c r="J26" s="2337">
        <v>1.3888888888888889E-3</v>
      </c>
      <c r="K26" s="2338" t="s">
        <v>762</v>
      </c>
      <c r="L26" s="2423">
        <v>0.79166666666666663</v>
      </c>
      <c r="M26" s="2502">
        <v>0.9</v>
      </c>
      <c r="N26" s="2337">
        <f>P26*E26*F26+I26*E26*F26+J26*E26</f>
        <v>1.1736428464755084E-2</v>
      </c>
      <c r="O26" s="2359">
        <f>C26*(G26/25)</f>
        <v>2.7457157258064528E-3</v>
      </c>
      <c r="P26" s="2359">
        <f>O26*M26</f>
        <v>2.4711441532258077E-3</v>
      </c>
      <c r="Q26" s="2341">
        <v>129</v>
      </c>
      <c r="R26" s="2878">
        <f>E26*F26*G26</f>
        <v>1200</v>
      </c>
      <c r="S26" s="2844">
        <f t="shared" si="6"/>
        <v>1.2</v>
      </c>
      <c r="T26" s="2845">
        <f t="shared" si="7"/>
        <v>4.3931451612903245E-2</v>
      </c>
      <c r="U26" s="374">
        <f t="shared" si="8"/>
        <v>1.2</v>
      </c>
      <c r="V26" s="2846">
        <f t="shared" si="9"/>
        <v>0</v>
      </c>
      <c r="W26" s="2847">
        <f t="shared" si="10"/>
        <v>0</v>
      </c>
      <c r="X26" s="2848">
        <f t="shared" si="11"/>
        <v>0</v>
      </c>
      <c r="Y26" s="2849">
        <f t="shared" si="12"/>
        <v>0</v>
      </c>
      <c r="Z26" s="2850">
        <f t="shared" si="13"/>
        <v>0</v>
      </c>
      <c r="AA26" s="2851">
        <f t="shared" si="14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2815"/>
    </row>
    <row r="27" spans="1:40" ht="15" customHeight="1" thickBot="1">
      <c r="A27" s="3109" t="s">
        <v>139</v>
      </c>
      <c r="B27" s="3110" t="s">
        <v>461</v>
      </c>
      <c r="C27" s="2256">
        <f>IF(D27=1,U$5,IF(D27=2,V$5,IF(D27=3,W$5,IF(D27=4,X$5,IF(D27=5,Y$5,IF(D27=6,Z$5,IF(D27=7,AA$5,0)))))))</f>
        <v>2.1908757716049393E-4</v>
      </c>
      <c r="D27" s="2302">
        <v>2</v>
      </c>
      <c r="E27" s="2881">
        <v>1</v>
      </c>
      <c r="F27" s="2881">
        <v>4</v>
      </c>
      <c r="G27" s="2881">
        <v>400</v>
      </c>
      <c r="H27" s="2277"/>
      <c r="I27" s="2277">
        <v>2.3148148148148146E-4</v>
      </c>
      <c r="J27" s="2277">
        <v>1.3888888888888889E-3</v>
      </c>
      <c r="K27" s="2278" t="s">
        <v>1220</v>
      </c>
      <c r="L27" s="2503">
        <f>L26+N26</f>
        <v>0.80340309513142172</v>
      </c>
      <c r="M27" s="2280">
        <v>0.9</v>
      </c>
      <c r="N27" s="2277">
        <f>P27*E27*F27+I27*E27*F27+J27*E27</f>
        <v>8.8769259259259287E-3</v>
      </c>
      <c r="O27" s="2281">
        <f>C27*8*1.04</f>
        <v>1.8228086419753095E-3</v>
      </c>
      <c r="P27" s="2281">
        <f>O27*M27</f>
        <v>1.6405277777777785E-3</v>
      </c>
      <c r="Q27" s="2282">
        <v>146</v>
      </c>
      <c r="R27" s="2882">
        <f>E27*F27*G27</f>
        <v>1600</v>
      </c>
      <c r="S27" s="2844">
        <f t="shared" si="6"/>
        <v>1.6</v>
      </c>
      <c r="T27" s="2845">
        <f t="shared" si="7"/>
        <v>2.9164938271604952E-2</v>
      </c>
      <c r="U27" s="374">
        <f t="shared" si="8"/>
        <v>0</v>
      </c>
      <c r="V27" s="2846">
        <f t="shared" si="9"/>
        <v>1.6</v>
      </c>
      <c r="W27" s="2847">
        <f t="shared" si="10"/>
        <v>0</v>
      </c>
      <c r="X27" s="2848">
        <f t="shared" si="11"/>
        <v>0</v>
      </c>
      <c r="Y27" s="2849">
        <f t="shared" si="12"/>
        <v>0</v>
      </c>
      <c r="Z27" s="2850">
        <f t="shared" si="13"/>
        <v>0</v>
      </c>
      <c r="AA27" s="2851">
        <f t="shared" si="14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2815"/>
    </row>
    <row r="28" spans="1:40" ht="13" customHeight="1" thickBot="1">
      <c r="A28" s="3109" t="s">
        <v>458</v>
      </c>
      <c r="B28" s="3110" t="s">
        <v>461</v>
      </c>
      <c r="C28" s="2256">
        <f>IF(D28=1,U$5,IF(D28=2,V$5,IF(D28=3,W$5,IF(D28=4,X$5,IF(D28=5,Y$5,IF(D28=6,Z$5,IF(D28=7,AA$5,0)))))))</f>
        <v>2.1222190799396687E-4</v>
      </c>
      <c r="D28" s="3701">
        <v>3</v>
      </c>
      <c r="E28" s="3111">
        <v>1</v>
      </c>
      <c r="F28" s="3111">
        <v>20</v>
      </c>
      <c r="G28" s="3111">
        <v>25</v>
      </c>
      <c r="H28" s="2325"/>
      <c r="I28" s="2325">
        <v>8.1018518518518516E-5</v>
      </c>
      <c r="J28" s="2325">
        <v>1.3888888888888889E-3</v>
      </c>
      <c r="K28" s="2310" t="s">
        <v>1710</v>
      </c>
      <c r="L28" s="2504">
        <f>L27+N27</f>
        <v>0.81228002105734765</v>
      </c>
      <c r="M28" s="2326">
        <v>1</v>
      </c>
      <c r="N28" s="2325">
        <f>P28*E28*F28+I28*E28*F28+J28*E28</f>
        <v>7.2536974191385961E-3</v>
      </c>
      <c r="O28" s="2262">
        <f>C28*(G28/25)</f>
        <v>2.1222190799396687E-4</v>
      </c>
      <c r="P28" s="2262">
        <f>O28*M28</f>
        <v>2.1222190799396687E-4</v>
      </c>
      <c r="Q28" s="2274">
        <v>164</v>
      </c>
      <c r="R28" s="3111">
        <f>E28*F28*G28</f>
        <v>500</v>
      </c>
      <c r="S28" s="2844">
        <f t="shared" si="6"/>
        <v>0.5</v>
      </c>
      <c r="T28" s="2845">
        <f t="shared" si="7"/>
        <v>1.6977752639517348E-2</v>
      </c>
      <c r="U28" s="374">
        <f t="shared" si="8"/>
        <v>0</v>
      </c>
      <c r="V28" s="2846">
        <f t="shared" si="9"/>
        <v>0</v>
      </c>
      <c r="W28" s="2847">
        <f t="shared" si="10"/>
        <v>0.5</v>
      </c>
      <c r="X28" s="2848">
        <f t="shared" si="11"/>
        <v>0</v>
      </c>
      <c r="Y28" s="2849">
        <f t="shared" si="12"/>
        <v>0</v>
      </c>
      <c r="Z28" s="2850">
        <f t="shared" si="13"/>
        <v>0</v>
      </c>
      <c r="AA28" s="2851">
        <f t="shared" si="14"/>
        <v>0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2815"/>
    </row>
    <row r="29" spans="1:40" ht="14" customHeight="1" thickBot="1">
      <c r="A29" s="3109" t="s">
        <v>140</v>
      </c>
      <c r="B29" s="3110" t="s">
        <v>461</v>
      </c>
      <c r="C29" s="2256">
        <f>IF(D29=1,U$5,IF(D29=2,V$5,IF(D29=3,W$5,IF(D29=4,X$5,IF(D29=5,Y$5,IF(D29=6,Z$5,IF(D29=7,AA$5,0)))))))</f>
        <v>1.7682291666666674E-4</v>
      </c>
      <c r="D29" s="3123">
        <v>7</v>
      </c>
      <c r="E29" s="3124">
        <v>1</v>
      </c>
      <c r="F29" s="3124">
        <v>10</v>
      </c>
      <c r="G29" s="3124">
        <v>25</v>
      </c>
      <c r="H29" s="2377"/>
      <c r="I29" s="2377">
        <v>1.0416666666666667E-3</v>
      </c>
      <c r="J29" s="2377">
        <v>1.3888888888888889E-3</v>
      </c>
      <c r="K29" s="3125" t="s">
        <v>979</v>
      </c>
      <c r="L29" s="2515">
        <f>L28+N28</f>
        <v>0.81953371847648626</v>
      </c>
      <c r="M29" s="3126">
        <v>1</v>
      </c>
      <c r="N29" s="2377">
        <f>P29*E29*F29+I29*E29*F29+J29*E29</f>
        <v>1.3573784722222223E-2</v>
      </c>
      <c r="O29" s="2271">
        <f>C29*(G29/25)</f>
        <v>1.7682291666666674E-4</v>
      </c>
      <c r="P29" s="2517">
        <f>O29*M29</f>
        <v>1.7682291666666674E-4</v>
      </c>
      <c r="Q29" s="3130" t="s">
        <v>316</v>
      </c>
      <c r="R29" s="3683">
        <f>E29*F29*G29</f>
        <v>250</v>
      </c>
      <c r="S29" s="2844">
        <f t="shared" si="6"/>
        <v>0.25</v>
      </c>
      <c r="T29" s="2845">
        <f t="shared" si="7"/>
        <v>7.0729166666666692E-3</v>
      </c>
      <c r="U29" s="374">
        <f t="shared" si="8"/>
        <v>0</v>
      </c>
      <c r="V29" s="2846">
        <f t="shared" si="9"/>
        <v>0</v>
      </c>
      <c r="W29" s="2847">
        <f t="shared" si="10"/>
        <v>0</v>
      </c>
      <c r="X29" s="2848">
        <f t="shared" si="11"/>
        <v>0</v>
      </c>
      <c r="Y29" s="2849">
        <f t="shared" si="12"/>
        <v>0</v>
      </c>
      <c r="Z29" s="2850">
        <f t="shared" si="13"/>
        <v>0</v>
      </c>
      <c r="AA29" s="2851">
        <f t="shared" si="14"/>
        <v>0.25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2815"/>
    </row>
    <row r="30" spans="1:40" ht="14" customHeight="1" thickBot="1">
      <c r="A30" s="3109" t="s">
        <v>674</v>
      </c>
      <c r="B30" s="3110" t="s">
        <v>461</v>
      </c>
      <c r="C30" s="2256">
        <f>IF(D30=1,U$5,IF(D30=2,V$5,IF(D30=3,W$5,IF(D30=4,X$5,IF(D30=5,Y$5,IF(D30=6,Z$5,IF(D30=7,AA$5,0)))))))</f>
        <v>1.7682291666666674E-4</v>
      </c>
      <c r="D30" s="3123">
        <v>7</v>
      </c>
      <c r="E30" s="3124">
        <v>1</v>
      </c>
      <c r="F30" s="3124">
        <v>10</v>
      </c>
      <c r="G30" s="3124">
        <v>25</v>
      </c>
      <c r="H30" s="2377"/>
      <c r="I30" s="2377">
        <v>1.0416666666666667E-3</v>
      </c>
      <c r="J30" s="2377">
        <v>1.3888888888888889E-3</v>
      </c>
      <c r="K30" s="3125" t="s">
        <v>1221</v>
      </c>
      <c r="L30" s="2515">
        <f>L29+N29</f>
        <v>0.83310750319870852</v>
      </c>
      <c r="M30" s="3126">
        <v>1</v>
      </c>
      <c r="N30" s="2377">
        <f>P30*E30*F30+I30*E30*F30+J30*E30</f>
        <v>1.3573784722222223E-2</v>
      </c>
      <c r="O30" s="2271">
        <f>C30*(G30/25)</f>
        <v>1.7682291666666674E-4</v>
      </c>
      <c r="P30" s="2517">
        <f>O30*M30</f>
        <v>1.7682291666666674E-4</v>
      </c>
      <c r="Q30" s="3130" t="s">
        <v>316</v>
      </c>
      <c r="R30" s="3683">
        <f>E30*F30*G30</f>
        <v>250</v>
      </c>
      <c r="S30" s="2844">
        <f t="shared" si="6"/>
        <v>0.25</v>
      </c>
      <c r="T30" s="2845">
        <f t="shared" si="7"/>
        <v>7.0729166666666692E-3</v>
      </c>
      <c r="U30" s="374">
        <f t="shared" si="8"/>
        <v>0</v>
      </c>
      <c r="V30" s="2846">
        <f t="shared" si="9"/>
        <v>0</v>
      </c>
      <c r="W30" s="2847">
        <f t="shared" si="10"/>
        <v>0</v>
      </c>
      <c r="X30" s="2848">
        <f t="shared" si="11"/>
        <v>0</v>
      </c>
      <c r="Y30" s="2849">
        <f t="shared" si="12"/>
        <v>0</v>
      </c>
      <c r="Z30" s="2850">
        <f t="shared" si="13"/>
        <v>0</v>
      </c>
      <c r="AA30" s="2851">
        <f t="shared" si="14"/>
        <v>0.25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2815"/>
    </row>
    <row r="31" spans="1:40" ht="13" customHeight="1" thickBot="1">
      <c r="A31" s="3688"/>
      <c r="B31" s="3689"/>
      <c r="C31" s="3690"/>
      <c r="D31" s="3691"/>
      <c r="E31" s="642"/>
      <c r="F31" s="642"/>
      <c r="G31" s="642"/>
      <c r="H31" s="642"/>
      <c r="I31" s="642"/>
      <c r="J31" s="642"/>
      <c r="K31" s="642"/>
      <c r="L31" s="2182">
        <f>L30+N30</f>
        <v>0.84668128792093078</v>
      </c>
      <c r="M31" s="643"/>
      <c r="N31" s="3471">
        <f>SUM(N26:N30)</f>
        <v>5.5014621254264054E-2</v>
      </c>
      <c r="O31" s="642"/>
      <c r="P31" s="642"/>
      <c r="Q31" s="642"/>
      <c r="R31" s="3118">
        <f>SUM(R26:R30)</f>
        <v>3800</v>
      </c>
      <c r="S31" s="2844">
        <f t="shared" si="6"/>
        <v>0</v>
      </c>
      <c r="T31" s="2845">
        <f t="shared" si="7"/>
        <v>0</v>
      </c>
      <c r="U31" s="374">
        <f t="shared" si="8"/>
        <v>0</v>
      </c>
      <c r="V31" s="2846">
        <f t="shared" si="9"/>
        <v>0</v>
      </c>
      <c r="W31" s="2847">
        <f t="shared" si="10"/>
        <v>0</v>
      </c>
      <c r="X31" s="2848">
        <f t="shared" si="11"/>
        <v>0</v>
      </c>
      <c r="Y31" s="2849">
        <f t="shared" si="12"/>
        <v>0</v>
      </c>
      <c r="Z31" s="2850">
        <f t="shared" si="13"/>
        <v>0</v>
      </c>
      <c r="AA31" s="2851">
        <f t="shared" si="14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2815"/>
    </row>
    <row r="32" spans="1:40" ht="13" customHeight="1" thickBot="1">
      <c r="A32" s="3109"/>
      <c r="B32" s="3110"/>
      <c r="C32" s="2854"/>
      <c r="D32" s="3702"/>
      <c r="E32" s="2855"/>
      <c r="F32" s="2855"/>
      <c r="G32" s="2855"/>
      <c r="H32" s="2855"/>
      <c r="I32" s="2855"/>
      <c r="J32" s="2855"/>
      <c r="K32" s="3703"/>
      <c r="L32" s="2182"/>
      <c r="M32" s="3620"/>
      <c r="N32" s="3280"/>
      <c r="O32" s="2855"/>
      <c r="P32" s="2855"/>
      <c r="Q32" s="2855"/>
      <c r="R32" s="3621"/>
      <c r="S32" s="2844">
        <f t="shared" si="6"/>
        <v>0</v>
      </c>
      <c r="T32" s="2845">
        <f t="shared" si="7"/>
        <v>0</v>
      </c>
      <c r="U32" s="374">
        <f t="shared" si="8"/>
        <v>0</v>
      </c>
      <c r="V32" s="2846">
        <f t="shared" si="9"/>
        <v>0</v>
      </c>
      <c r="W32" s="2847">
        <f t="shared" si="10"/>
        <v>0</v>
      </c>
      <c r="X32" s="2848">
        <f t="shared" si="11"/>
        <v>0</v>
      </c>
      <c r="Y32" s="2849">
        <f t="shared" si="12"/>
        <v>0</v>
      </c>
      <c r="Z32" s="2850">
        <f t="shared" si="13"/>
        <v>0</v>
      </c>
      <c r="AA32" s="2851">
        <f t="shared" si="14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2815"/>
    </row>
    <row r="33" spans="1:40" ht="13" customHeight="1">
      <c r="A33" s="3622" t="s">
        <v>217</v>
      </c>
      <c r="B33" s="2530" t="s">
        <v>461</v>
      </c>
      <c r="C33" s="2256">
        <f t="shared" ref="C33:C38" si="22">IF(D33=1,U$5,IF(D33=2,V$5,IF(D33=3,W$5,IF(D33=4,X$5,IF(D33=5,Y$5,IF(D33=6,Z$5,IF(D33=7,AA$5,0)))))))</f>
        <v>2.2880964381720439E-4</v>
      </c>
      <c r="D33" s="2335">
        <v>1</v>
      </c>
      <c r="E33" s="2878">
        <v>1</v>
      </c>
      <c r="F33" s="2878">
        <v>2</v>
      </c>
      <c r="G33" s="2878">
        <v>800</v>
      </c>
      <c r="H33" s="2337"/>
      <c r="I33" s="2337">
        <v>0</v>
      </c>
      <c r="J33" s="2337">
        <v>1.1574074074074073E-4</v>
      </c>
      <c r="K33" s="2338" t="s">
        <v>172</v>
      </c>
      <c r="L33" s="2501">
        <v>0.79166666666666663</v>
      </c>
      <c r="M33" s="2502">
        <v>1.2</v>
      </c>
      <c r="N33" s="2337">
        <f t="shared" ref="N33:N38" si="23">P33*E33*F33+I33*E33*F33+J33*E33</f>
        <v>1.7688321385902036E-2</v>
      </c>
      <c r="O33" s="2359">
        <f t="shared" ref="O33:O44" si="24">C33*(G33/25)</f>
        <v>7.3219086021505406E-3</v>
      </c>
      <c r="P33" s="2359">
        <f t="shared" ref="P33:P38" si="25">O33*M33</f>
        <v>8.7862903225806484E-3</v>
      </c>
      <c r="Q33" s="2341">
        <v>129</v>
      </c>
      <c r="R33" s="2878">
        <f t="shared" ref="R33:R38" si="26">E33*F33*G33</f>
        <v>1600</v>
      </c>
      <c r="S33" s="2844">
        <f t="shared" si="6"/>
        <v>1.6</v>
      </c>
      <c r="T33" s="2845">
        <f t="shared" si="7"/>
        <v>5.8575268817204325E-2</v>
      </c>
      <c r="U33" s="374">
        <f t="shared" si="8"/>
        <v>1.6</v>
      </c>
      <c r="V33" s="2846">
        <f t="shared" si="9"/>
        <v>0</v>
      </c>
      <c r="W33" s="2847">
        <f t="shared" si="10"/>
        <v>0</v>
      </c>
      <c r="X33" s="2848">
        <f t="shared" si="11"/>
        <v>0</v>
      </c>
      <c r="Y33" s="2849">
        <f t="shared" si="12"/>
        <v>0</v>
      </c>
      <c r="Z33" s="2850">
        <f t="shared" si="13"/>
        <v>0</v>
      </c>
      <c r="AA33" s="2851">
        <f t="shared" si="14"/>
        <v>0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2815"/>
    </row>
    <row r="34" spans="1:40" ht="13" customHeight="1">
      <c r="A34" s="2183"/>
      <c r="B34" s="2184"/>
      <c r="C34" s="2256">
        <f t="shared" si="22"/>
        <v>2.1908757716049393E-4</v>
      </c>
      <c r="D34" s="2286">
        <v>2</v>
      </c>
      <c r="E34" s="2881">
        <v>1</v>
      </c>
      <c r="F34" s="2881">
        <v>12</v>
      </c>
      <c r="G34" s="2881">
        <v>100</v>
      </c>
      <c r="H34" s="2277"/>
      <c r="I34" s="2277">
        <v>1.7361111111111112E-4</v>
      </c>
      <c r="J34" s="2277">
        <v>2.3148148148148146E-4</v>
      </c>
      <c r="K34" s="2278" t="s">
        <v>882</v>
      </c>
      <c r="L34" s="2503">
        <f>L33+N33</f>
        <v>0.80935498805256867</v>
      </c>
      <c r="M34" s="2280">
        <v>1.25</v>
      </c>
      <c r="N34" s="2277">
        <f t="shared" si="23"/>
        <v>1.546006944444445E-2</v>
      </c>
      <c r="O34" s="2281">
        <f t="shared" si="24"/>
        <v>8.7635030864197572E-4</v>
      </c>
      <c r="P34" s="2281">
        <f t="shared" si="25"/>
        <v>1.0954378858024697E-3</v>
      </c>
      <c r="Q34" s="2282">
        <v>147</v>
      </c>
      <c r="R34" s="2882">
        <f t="shared" si="26"/>
        <v>1200</v>
      </c>
      <c r="S34" s="2844">
        <f t="shared" si="6"/>
        <v>1.2</v>
      </c>
      <c r="T34" s="2845">
        <f t="shared" si="7"/>
        <v>4.2064814814814833E-2</v>
      </c>
      <c r="U34" s="374">
        <f t="shared" si="8"/>
        <v>0</v>
      </c>
      <c r="V34" s="2846">
        <f t="shared" si="9"/>
        <v>1.2</v>
      </c>
      <c r="W34" s="2847">
        <f t="shared" si="10"/>
        <v>0</v>
      </c>
      <c r="X34" s="2848">
        <f t="shared" si="11"/>
        <v>0</v>
      </c>
      <c r="Y34" s="2849">
        <f t="shared" si="12"/>
        <v>0</v>
      </c>
      <c r="Z34" s="2850">
        <f t="shared" si="13"/>
        <v>0</v>
      </c>
      <c r="AA34" s="2851">
        <f t="shared" si="14"/>
        <v>0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2815"/>
    </row>
    <row r="35" spans="1:40" ht="13" customHeight="1">
      <c r="A35" s="2183" t="s">
        <v>459</v>
      </c>
      <c r="B35" s="2184" t="s">
        <v>461</v>
      </c>
      <c r="C35" s="2256">
        <f t="shared" si="22"/>
        <v>2.1222190799396687E-4</v>
      </c>
      <c r="D35" s="3701">
        <v>3</v>
      </c>
      <c r="E35" s="3111">
        <v>1</v>
      </c>
      <c r="F35" s="3111">
        <v>3</v>
      </c>
      <c r="G35" s="3111">
        <v>200</v>
      </c>
      <c r="H35" s="2325"/>
      <c r="I35" s="2325">
        <v>3.4722222222222224E-4</v>
      </c>
      <c r="J35" s="2325">
        <v>1.3888888888888889E-3</v>
      </c>
      <c r="K35" s="3705" t="s">
        <v>300</v>
      </c>
      <c r="L35" s="2504">
        <f>L33+N33</f>
        <v>0.80935498805256867</v>
      </c>
      <c r="M35" s="2326">
        <v>1.1000000000000001</v>
      </c>
      <c r="N35" s="2325">
        <f t="shared" si="23"/>
        <v>8.0332139265962815E-3</v>
      </c>
      <c r="O35" s="2262">
        <f t="shared" si="24"/>
        <v>1.6977752639517349E-3</v>
      </c>
      <c r="P35" s="2262">
        <f t="shared" si="25"/>
        <v>1.8675527903469085E-3</v>
      </c>
      <c r="Q35" s="2274">
        <v>165</v>
      </c>
      <c r="R35" s="3111">
        <f t="shared" si="26"/>
        <v>600</v>
      </c>
      <c r="S35" s="2844">
        <f t="shared" si="6"/>
        <v>0.6</v>
      </c>
      <c r="T35" s="2845">
        <f t="shared" si="7"/>
        <v>2.0373303167420819E-2</v>
      </c>
      <c r="U35" s="374">
        <f t="shared" si="8"/>
        <v>0</v>
      </c>
      <c r="V35" s="2846">
        <f t="shared" si="9"/>
        <v>0</v>
      </c>
      <c r="W35" s="2847">
        <f t="shared" si="10"/>
        <v>0.6</v>
      </c>
      <c r="X35" s="2848">
        <f t="shared" si="11"/>
        <v>0</v>
      </c>
      <c r="Y35" s="2849">
        <f t="shared" si="12"/>
        <v>0</v>
      </c>
      <c r="Z35" s="2850">
        <f t="shared" si="13"/>
        <v>0</v>
      </c>
      <c r="AA35" s="2851">
        <f t="shared" si="14"/>
        <v>0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2815"/>
    </row>
    <row r="36" spans="1:40" ht="13" customHeight="1">
      <c r="A36" s="2183" t="s">
        <v>458</v>
      </c>
      <c r="B36" s="2184" t="s">
        <v>461</v>
      </c>
      <c r="C36" s="2256">
        <f t="shared" si="22"/>
        <v>2.1908757716049393E-4</v>
      </c>
      <c r="D36" s="2286">
        <v>2</v>
      </c>
      <c r="E36" s="2881">
        <v>3</v>
      </c>
      <c r="F36" s="2881">
        <v>8</v>
      </c>
      <c r="G36" s="2881">
        <v>25</v>
      </c>
      <c r="H36" s="2277"/>
      <c r="I36" s="2277">
        <v>5.7870370370370366E-5</v>
      </c>
      <c r="J36" s="2277">
        <v>2.3148148148148146E-4</v>
      </c>
      <c r="K36" s="2278" t="s">
        <v>980</v>
      </c>
      <c r="L36" s="2503">
        <f>L35+N35</f>
        <v>0.81738820197916495</v>
      </c>
      <c r="M36" s="2280">
        <v>1.25</v>
      </c>
      <c r="N36" s="2277">
        <f t="shared" si="23"/>
        <v>8.6559606481481505E-3</v>
      </c>
      <c r="O36" s="2281">
        <f t="shared" si="24"/>
        <v>2.1908757716049393E-4</v>
      </c>
      <c r="P36" s="2281">
        <f t="shared" si="25"/>
        <v>2.7385947145061742E-4</v>
      </c>
      <c r="Q36" s="2282">
        <v>147</v>
      </c>
      <c r="R36" s="2882">
        <f t="shared" si="26"/>
        <v>600</v>
      </c>
      <c r="S36" s="2844">
        <f t="shared" si="6"/>
        <v>0.6</v>
      </c>
      <c r="T36" s="2845">
        <f t="shared" si="7"/>
        <v>2.1032407407407416E-2</v>
      </c>
      <c r="U36" s="374">
        <f t="shared" si="8"/>
        <v>0</v>
      </c>
      <c r="V36" s="2846">
        <f t="shared" si="9"/>
        <v>0.6</v>
      </c>
      <c r="W36" s="2847">
        <f t="shared" si="10"/>
        <v>0</v>
      </c>
      <c r="X36" s="2848">
        <f t="shared" si="11"/>
        <v>0</v>
      </c>
      <c r="Y36" s="2849">
        <f t="shared" si="12"/>
        <v>0</v>
      </c>
      <c r="Z36" s="2850">
        <f t="shared" si="13"/>
        <v>0</v>
      </c>
      <c r="AA36" s="2851">
        <f t="shared" si="14"/>
        <v>0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2815"/>
    </row>
    <row r="37" spans="1:40" ht="12.75" customHeight="1">
      <c r="A37" s="2183" t="s">
        <v>218</v>
      </c>
      <c r="B37" s="2184" t="s">
        <v>461</v>
      </c>
      <c r="C37" s="2256">
        <f t="shared" si="22"/>
        <v>1.7682291666666674E-4</v>
      </c>
      <c r="D37" s="3123">
        <v>7</v>
      </c>
      <c r="E37" s="3124">
        <v>1</v>
      </c>
      <c r="F37" s="3124">
        <v>10</v>
      </c>
      <c r="G37" s="3124">
        <v>25</v>
      </c>
      <c r="H37" s="2377"/>
      <c r="I37" s="2377">
        <v>1.0416666666666667E-3</v>
      </c>
      <c r="J37" s="2377">
        <v>1.3888888888888889E-3</v>
      </c>
      <c r="K37" s="3125" t="s">
        <v>979</v>
      </c>
      <c r="L37" s="2515">
        <f>L36+N36</f>
        <v>0.82604416262731306</v>
      </c>
      <c r="M37" s="3126">
        <v>1</v>
      </c>
      <c r="N37" s="2377">
        <f t="shared" si="23"/>
        <v>1.3573784722222223E-2</v>
      </c>
      <c r="O37" s="2271">
        <f>C37*(G37/25)</f>
        <v>1.7682291666666674E-4</v>
      </c>
      <c r="P37" s="2517">
        <f t="shared" si="25"/>
        <v>1.7682291666666674E-4</v>
      </c>
      <c r="Q37" s="3130" t="s">
        <v>316</v>
      </c>
      <c r="R37" s="3683">
        <f t="shared" si="26"/>
        <v>250</v>
      </c>
      <c r="S37" s="2844">
        <f t="shared" si="6"/>
        <v>0.25</v>
      </c>
      <c r="T37" s="2845">
        <f t="shared" si="7"/>
        <v>7.0729166666666692E-3</v>
      </c>
      <c r="U37" s="374">
        <f t="shared" si="8"/>
        <v>0</v>
      </c>
      <c r="V37" s="2846">
        <f t="shared" si="9"/>
        <v>0</v>
      </c>
      <c r="W37" s="2847">
        <f t="shared" si="10"/>
        <v>0</v>
      </c>
      <c r="X37" s="2848">
        <f t="shared" si="11"/>
        <v>0</v>
      </c>
      <c r="Y37" s="2849">
        <f t="shared" si="12"/>
        <v>0</v>
      </c>
      <c r="Z37" s="2850">
        <f t="shared" si="13"/>
        <v>0</v>
      </c>
      <c r="AA37" s="2851">
        <f t="shared" si="14"/>
        <v>0.25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2815"/>
    </row>
    <row r="38" spans="1:40" ht="13" customHeight="1">
      <c r="A38" s="2183" t="s">
        <v>458</v>
      </c>
      <c r="B38" s="2184" t="s">
        <v>461</v>
      </c>
      <c r="C38" s="2256">
        <f t="shared" si="22"/>
        <v>1.7682291666666674E-4</v>
      </c>
      <c r="D38" s="3123">
        <v>7</v>
      </c>
      <c r="E38" s="3124">
        <v>1</v>
      </c>
      <c r="F38" s="3124">
        <v>10</v>
      </c>
      <c r="G38" s="3124">
        <v>25</v>
      </c>
      <c r="H38" s="2377"/>
      <c r="I38" s="2377">
        <v>1.0416666666666667E-3</v>
      </c>
      <c r="J38" s="2377">
        <v>1.3888888888888889E-3</v>
      </c>
      <c r="K38" s="3125" t="s">
        <v>1222</v>
      </c>
      <c r="L38" s="2515">
        <f>L37+N37</f>
        <v>0.83961794734953532</v>
      </c>
      <c r="M38" s="3126">
        <v>1</v>
      </c>
      <c r="N38" s="2377">
        <f t="shared" si="23"/>
        <v>1.3573784722222223E-2</v>
      </c>
      <c r="O38" s="2271">
        <f>C38*(G38/25)</f>
        <v>1.7682291666666674E-4</v>
      </c>
      <c r="P38" s="2517">
        <f t="shared" si="25"/>
        <v>1.7682291666666674E-4</v>
      </c>
      <c r="Q38" s="3130" t="s">
        <v>316</v>
      </c>
      <c r="R38" s="3683">
        <f t="shared" si="26"/>
        <v>250</v>
      </c>
      <c r="S38" s="2844">
        <f t="shared" si="6"/>
        <v>0.25</v>
      </c>
      <c r="T38" s="2845">
        <f t="shared" si="7"/>
        <v>7.0729166666666692E-3</v>
      </c>
      <c r="U38" s="374">
        <f t="shared" si="8"/>
        <v>0</v>
      </c>
      <c r="V38" s="2846">
        <f t="shared" si="9"/>
        <v>0</v>
      </c>
      <c r="W38" s="2847">
        <f t="shared" si="10"/>
        <v>0</v>
      </c>
      <c r="X38" s="2848">
        <f t="shared" si="11"/>
        <v>0</v>
      </c>
      <c r="Y38" s="2849">
        <f t="shared" si="12"/>
        <v>0</v>
      </c>
      <c r="Z38" s="2850">
        <f t="shared" si="13"/>
        <v>0</v>
      </c>
      <c r="AA38" s="2851">
        <f t="shared" si="14"/>
        <v>0.25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2815"/>
    </row>
    <row r="39" spans="1:40" ht="13" customHeight="1">
      <c r="A39" s="2183" t="s">
        <v>219</v>
      </c>
      <c r="B39" s="2184"/>
      <c r="C39" s="2256"/>
      <c r="D39" s="2335"/>
      <c r="E39" s="2878"/>
      <c r="F39" s="2878"/>
      <c r="G39" s="2878"/>
      <c r="H39" s="2337"/>
      <c r="I39" s="2337"/>
      <c r="J39" s="2337"/>
      <c r="K39" s="2338"/>
      <c r="L39" s="2182">
        <f>L38+N38</f>
        <v>0.85319173207175758</v>
      </c>
      <c r="M39" s="2502"/>
      <c r="N39" s="2528">
        <f>SUM(N33:N38)</f>
        <v>7.6985134849535355E-2</v>
      </c>
      <c r="O39" s="2359">
        <f t="shared" si="24"/>
        <v>0</v>
      </c>
      <c r="P39" s="2359"/>
      <c r="Q39" s="2341"/>
      <c r="R39" s="2529">
        <f>SUM(R33:R38)</f>
        <v>4500</v>
      </c>
      <c r="S39" s="2844">
        <f t="shared" si="6"/>
        <v>0</v>
      </c>
      <c r="T39" s="2845">
        <f t="shared" si="7"/>
        <v>0</v>
      </c>
      <c r="U39" s="374">
        <f t="shared" si="8"/>
        <v>0</v>
      </c>
      <c r="V39" s="2846">
        <f t="shared" si="9"/>
        <v>0</v>
      </c>
      <c r="W39" s="2847">
        <f t="shared" si="10"/>
        <v>0</v>
      </c>
      <c r="X39" s="2848">
        <f t="shared" si="11"/>
        <v>0</v>
      </c>
      <c r="Y39" s="2849">
        <f t="shared" si="12"/>
        <v>0</v>
      </c>
      <c r="Z39" s="2850">
        <f t="shared" si="13"/>
        <v>0</v>
      </c>
      <c r="AA39" s="2851">
        <f t="shared" si="14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2815"/>
    </row>
    <row r="40" spans="1:40" ht="13" customHeight="1" thickBot="1">
      <c r="A40" s="2183"/>
      <c r="B40" s="2184"/>
      <c r="C40" s="2256"/>
      <c r="D40" s="2335"/>
      <c r="E40" s="2878"/>
      <c r="F40" s="2878"/>
      <c r="G40" s="2878"/>
      <c r="H40" s="2337"/>
      <c r="I40" s="2337"/>
      <c r="J40" s="2337"/>
      <c r="K40" s="3703" t="s">
        <v>1709</v>
      </c>
      <c r="L40" s="2182"/>
      <c r="M40" s="2502"/>
      <c r="N40" s="2528"/>
      <c r="O40" s="2359"/>
      <c r="P40" s="2359"/>
      <c r="Q40" s="2341"/>
      <c r="R40" s="2529"/>
      <c r="S40" s="2844">
        <f t="shared" si="6"/>
        <v>0</v>
      </c>
      <c r="T40" s="2845">
        <f t="shared" si="7"/>
        <v>0</v>
      </c>
      <c r="U40" s="374">
        <f t="shared" si="8"/>
        <v>0</v>
      </c>
      <c r="V40" s="2846">
        <f t="shared" si="9"/>
        <v>0</v>
      </c>
      <c r="W40" s="2847">
        <f t="shared" si="10"/>
        <v>0</v>
      </c>
      <c r="X40" s="2848">
        <f t="shared" si="11"/>
        <v>0</v>
      </c>
      <c r="Y40" s="2849">
        <f t="shared" si="12"/>
        <v>0</v>
      </c>
      <c r="Z40" s="2850">
        <f t="shared" si="13"/>
        <v>0</v>
      </c>
      <c r="AA40" s="2851">
        <f t="shared" si="14"/>
        <v>0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  <c r="AN40" s="2815"/>
    </row>
    <row r="41" spans="1:40" ht="13" customHeight="1" thickBot="1">
      <c r="A41" s="3109" t="s">
        <v>218</v>
      </c>
      <c r="B41" s="3110" t="s">
        <v>215</v>
      </c>
      <c r="C41" s="2256">
        <f>IF(D41=1,U$5,IF(D41=2,V$5,IF(D41=3,W$5,IF(D41=4,X$5,IF(D41=5,Y$5,IF(D41=6,Z$5,IF(D41=7,AA$5,0)))))))</f>
        <v>2.2880964381720439E-4</v>
      </c>
      <c r="D41" s="2335">
        <v>1</v>
      </c>
      <c r="E41" s="2878">
        <v>1</v>
      </c>
      <c r="F41" s="2878">
        <v>6</v>
      </c>
      <c r="G41" s="2878">
        <v>200</v>
      </c>
      <c r="H41" s="2337"/>
      <c r="I41" s="2337">
        <v>0</v>
      </c>
      <c r="J41" s="2337">
        <v>1.1574074074074073E-4</v>
      </c>
      <c r="K41" s="2338" t="s">
        <v>717</v>
      </c>
      <c r="L41" s="2501">
        <v>0.29166666666666669</v>
      </c>
      <c r="M41" s="2502">
        <v>1</v>
      </c>
      <c r="N41" s="2337">
        <f>P41*E41*F41+I41*E41*F41+J41*E41</f>
        <v>1.1098603643966552E-2</v>
      </c>
      <c r="O41" s="2359">
        <f t="shared" si="24"/>
        <v>1.8304771505376352E-3</v>
      </c>
      <c r="P41" s="2359">
        <f>O41*M41</f>
        <v>1.8304771505376352E-3</v>
      </c>
      <c r="Q41" s="2341">
        <v>129</v>
      </c>
      <c r="R41" s="2878">
        <f>E41*F41*G41</f>
        <v>1200</v>
      </c>
      <c r="S41" s="2844">
        <f t="shared" si="6"/>
        <v>1.2</v>
      </c>
      <c r="T41" s="2845">
        <f t="shared" si="7"/>
        <v>4.3931451612903245E-2</v>
      </c>
      <c r="U41" s="374">
        <f t="shared" si="8"/>
        <v>1.2</v>
      </c>
      <c r="V41" s="2846">
        <f t="shared" si="9"/>
        <v>0</v>
      </c>
      <c r="W41" s="2847">
        <f t="shared" si="10"/>
        <v>0</v>
      </c>
      <c r="X41" s="2848">
        <f t="shared" si="11"/>
        <v>0</v>
      </c>
      <c r="Y41" s="2849">
        <f t="shared" si="12"/>
        <v>0</v>
      </c>
      <c r="Z41" s="2850">
        <f t="shared" si="13"/>
        <v>0</v>
      </c>
      <c r="AA41" s="2851">
        <f t="shared" si="14"/>
        <v>0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</row>
    <row r="42" spans="1:40" ht="18" customHeight="1" thickBot="1">
      <c r="A42" s="3109" t="s">
        <v>139</v>
      </c>
      <c r="B42" s="3110" t="s">
        <v>215</v>
      </c>
      <c r="C42" s="2256">
        <f>IF(D42=1,U$5,IF(D42=2,V$5,IF(D42=3,W$5,IF(D42=4,X$5,IF(D42=5,Y$5,IF(D42=6,Z$5,IF(D42=7,AA$5,0)))))))</f>
        <v>2.1222190799396687E-4</v>
      </c>
      <c r="D42" s="3701">
        <v>3</v>
      </c>
      <c r="E42" s="3111">
        <v>1</v>
      </c>
      <c r="F42" s="3111">
        <v>6</v>
      </c>
      <c r="G42" s="3111">
        <v>200</v>
      </c>
      <c r="H42" s="2325"/>
      <c r="I42" s="2325">
        <v>3.4722222222222224E-4</v>
      </c>
      <c r="J42" s="2325">
        <v>1.3888888888888889E-3</v>
      </c>
      <c r="K42" s="2181" t="s">
        <v>1711</v>
      </c>
      <c r="L42" s="2504">
        <f>L41+N41</f>
        <v>0.30276527031063322</v>
      </c>
      <c r="M42" s="2326">
        <v>1.1000000000000001</v>
      </c>
      <c r="N42" s="2325">
        <f>P42*E42*F42+I42*E42*F42+J42*E42</f>
        <v>1.4677538964303674E-2</v>
      </c>
      <c r="O42" s="2262">
        <f t="shared" si="24"/>
        <v>1.6977752639517349E-3</v>
      </c>
      <c r="P42" s="2262">
        <f>O42*M42</f>
        <v>1.8675527903469085E-3</v>
      </c>
      <c r="Q42" s="2274">
        <v>164</v>
      </c>
      <c r="R42" s="3111">
        <f>E42*F42*G42</f>
        <v>1200</v>
      </c>
      <c r="S42" s="2844">
        <f t="shared" si="6"/>
        <v>1.2</v>
      </c>
      <c r="T42" s="2845">
        <f t="shared" si="7"/>
        <v>4.0746606334841638E-2</v>
      </c>
      <c r="U42" s="374">
        <f t="shared" si="8"/>
        <v>0</v>
      </c>
      <c r="V42" s="2846">
        <f t="shared" si="9"/>
        <v>0</v>
      </c>
      <c r="W42" s="2847">
        <f t="shared" si="10"/>
        <v>1.2</v>
      </c>
      <c r="X42" s="2848">
        <f t="shared" si="11"/>
        <v>0</v>
      </c>
      <c r="Y42" s="2849">
        <f t="shared" si="12"/>
        <v>0</v>
      </c>
      <c r="Z42" s="2850">
        <f t="shared" si="13"/>
        <v>0</v>
      </c>
      <c r="AA42" s="2851">
        <f t="shared" si="14"/>
        <v>0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</row>
    <row r="43" spans="1:40" thickBot="1">
      <c r="A43" s="3109" t="s">
        <v>462</v>
      </c>
      <c r="B43" s="3110" t="s">
        <v>215</v>
      </c>
      <c r="C43" s="2256">
        <f>IF(D43=1,U$5,IF(D43=2,V$5,IF(D43=3,W$5,IF(D43=4,X$5,IF(D43=5,Y$5,IF(D43=6,Z$5,IF(D43=7,AA$5,0)))))))</f>
        <v>2.1908757716049393E-4</v>
      </c>
      <c r="D43" s="2286">
        <v>2</v>
      </c>
      <c r="E43" s="2881">
        <v>3</v>
      </c>
      <c r="F43" s="2881">
        <v>8</v>
      </c>
      <c r="G43" s="2881">
        <v>25</v>
      </c>
      <c r="H43" s="2277"/>
      <c r="I43" s="2277">
        <v>5.7870370370370366E-5</v>
      </c>
      <c r="J43" s="2277">
        <v>2.3148148148148146E-4</v>
      </c>
      <c r="K43" s="2278" t="s">
        <v>978</v>
      </c>
      <c r="L43" s="2503">
        <f>L42+N42</f>
        <v>0.3174428092749369</v>
      </c>
      <c r="M43" s="2280">
        <v>1.25</v>
      </c>
      <c r="N43" s="2277">
        <f>P43*E43*F43+I43*E43*F43+J43*E43</f>
        <v>8.6559606481481505E-3</v>
      </c>
      <c r="O43" s="2281">
        <f t="shared" si="24"/>
        <v>2.1908757716049393E-4</v>
      </c>
      <c r="P43" s="2281">
        <f>O43*M43</f>
        <v>2.7385947145061742E-4</v>
      </c>
      <c r="Q43" s="2282">
        <v>147</v>
      </c>
      <c r="R43" s="2882">
        <f>E43*F43*G43</f>
        <v>600</v>
      </c>
      <c r="S43" s="2844">
        <f t="shared" si="6"/>
        <v>0.6</v>
      </c>
      <c r="T43" s="2845">
        <f t="shared" si="7"/>
        <v>2.1032407407407416E-2</v>
      </c>
      <c r="U43" s="374">
        <f t="shared" si="8"/>
        <v>0</v>
      </c>
      <c r="V43" s="2846">
        <f t="shared" si="9"/>
        <v>0.6</v>
      </c>
      <c r="W43" s="2847">
        <f t="shared" si="10"/>
        <v>0</v>
      </c>
      <c r="X43" s="2848">
        <f t="shared" si="11"/>
        <v>0</v>
      </c>
      <c r="Y43" s="2849">
        <f t="shared" si="12"/>
        <v>0</v>
      </c>
      <c r="Z43" s="2850">
        <f t="shared" si="13"/>
        <v>0</v>
      </c>
      <c r="AA43" s="2851">
        <f t="shared" si="14"/>
        <v>0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</row>
    <row r="44" spans="1:40" ht="13">
      <c r="A44" s="3109" t="s">
        <v>460</v>
      </c>
      <c r="B44" s="3110" t="s">
        <v>215</v>
      </c>
      <c r="C44" s="2256">
        <f>IF(D44=1,U$5,IF(D44=2,V$5,IF(D44=3,W$5,IF(D44=4,X$5,IF(D44=5,Y$5,IF(D44=6,Z$5,IF(D44=7,AA$5,0)))))))</f>
        <v>1.7682291666666674E-4</v>
      </c>
      <c r="D44" s="3123">
        <v>7</v>
      </c>
      <c r="E44" s="3124">
        <v>1</v>
      </c>
      <c r="F44" s="3124">
        <v>10</v>
      </c>
      <c r="G44" s="3124">
        <v>30</v>
      </c>
      <c r="H44" s="2377"/>
      <c r="I44" s="2377">
        <v>1.1574074074074073E-4</v>
      </c>
      <c r="J44" s="2377">
        <v>2.3148148148148146E-4</v>
      </c>
      <c r="K44" s="3125" t="s">
        <v>410</v>
      </c>
      <c r="L44" s="2515">
        <f>L43+N43</f>
        <v>0.32609876992308506</v>
      </c>
      <c r="M44" s="3126">
        <v>1</v>
      </c>
      <c r="N44" s="2377">
        <f>P44*E44*F44+I44*E44*F44+J44*E44</f>
        <v>3.5107638888888897E-3</v>
      </c>
      <c r="O44" s="2271">
        <f t="shared" si="24"/>
        <v>2.1218750000000008E-4</v>
      </c>
      <c r="P44" s="2517">
        <f>O44*M44</f>
        <v>2.1218750000000008E-4</v>
      </c>
      <c r="Q44" s="3130" t="s">
        <v>316</v>
      </c>
      <c r="R44" s="3683">
        <f>E44*F44*G44</f>
        <v>300</v>
      </c>
      <c r="S44" s="2844">
        <f t="shared" si="6"/>
        <v>0.3</v>
      </c>
      <c r="T44" s="2845">
        <f t="shared" si="7"/>
        <v>8.4875000000000037E-3</v>
      </c>
      <c r="U44" s="374">
        <f t="shared" si="8"/>
        <v>0</v>
      </c>
      <c r="V44" s="2846">
        <f t="shared" si="9"/>
        <v>0</v>
      </c>
      <c r="W44" s="2847">
        <f t="shared" si="10"/>
        <v>0</v>
      </c>
      <c r="X44" s="2848">
        <f t="shared" si="11"/>
        <v>0</v>
      </c>
      <c r="Y44" s="2849">
        <f t="shared" si="12"/>
        <v>0</v>
      </c>
      <c r="Z44" s="2850">
        <f t="shared" si="13"/>
        <v>0</v>
      </c>
      <c r="AA44" s="2851">
        <f t="shared" si="14"/>
        <v>0.3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</row>
    <row r="45" spans="1:40" thickBot="1">
      <c r="A45" s="2183"/>
      <c r="B45" s="2184"/>
      <c r="C45" s="2256"/>
      <c r="D45" s="2335"/>
      <c r="E45" s="2878"/>
      <c r="F45" s="2878"/>
      <c r="G45" s="2878"/>
      <c r="H45" s="2337"/>
      <c r="I45" s="2337"/>
      <c r="J45" s="2337"/>
      <c r="K45" s="2338"/>
      <c r="L45" s="2182">
        <f>L44+N44</f>
        <v>0.32960953381197394</v>
      </c>
      <c r="M45" s="2502"/>
      <c r="N45" s="2528">
        <f>SUM(N41:N44)</f>
        <v>3.7942867145307271E-2</v>
      </c>
      <c r="O45" s="2359"/>
      <c r="P45" s="2359"/>
      <c r="Q45" s="2341"/>
      <c r="R45" s="2529">
        <f>SUM(R41:R44)</f>
        <v>3300</v>
      </c>
      <c r="S45" s="2844">
        <f t="shared" si="6"/>
        <v>0</v>
      </c>
      <c r="T45" s="2845">
        <f t="shared" si="7"/>
        <v>0</v>
      </c>
      <c r="U45" s="374">
        <f t="shared" si="8"/>
        <v>0</v>
      </c>
      <c r="V45" s="2846">
        <f t="shared" si="9"/>
        <v>0</v>
      </c>
      <c r="W45" s="2847">
        <f t="shared" si="10"/>
        <v>0</v>
      </c>
      <c r="X45" s="2848">
        <f t="shared" si="11"/>
        <v>0</v>
      </c>
      <c r="Y45" s="2849">
        <f t="shared" si="12"/>
        <v>0</v>
      </c>
      <c r="Z45" s="2850">
        <f t="shared" si="13"/>
        <v>0</v>
      </c>
      <c r="AA45" s="2851">
        <f t="shared" si="14"/>
        <v>0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</row>
    <row r="46" spans="1:40" thickBot="1">
      <c r="A46" s="3704" t="s">
        <v>218</v>
      </c>
      <c r="B46" s="3110" t="s">
        <v>461</v>
      </c>
      <c r="C46" s="2256">
        <f>IF(D46=1,U$5,IF(D46=2,V$5,IF(D46=3,W$5,IF(D46=4,X$5,IF(D46=5,Y$5,IF(D46=6,Z$5,IF(D46=7,AA$5,0)))))))</f>
        <v>2.2880964381720439E-4</v>
      </c>
      <c r="D46" s="2335">
        <v>1</v>
      </c>
      <c r="E46" s="2878">
        <v>1</v>
      </c>
      <c r="F46" s="2878">
        <v>4</v>
      </c>
      <c r="G46" s="2878">
        <v>400</v>
      </c>
      <c r="H46" s="2337"/>
      <c r="I46" s="2337">
        <v>1.1574074074074073E-4</v>
      </c>
      <c r="J46" s="2337">
        <v>1.3888888888888889E-3</v>
      </c>
      <c r="K46" s="2338" t="s">
        <v>762</v>
      </c>
      <c r="L46" s="2423">
        <v>0.80902777777777779</v>
      </c>
      <c r="M46" s="2502">
        <v>0.9</v>
      </c>
      <c r="N46" s="2337">
        <f>P46*E46*F46+I46*E46*F46+J46*E46</f>
        <v>1.5031287335722825E-2</v>
      </c>
      <c r="O46" s="2359">
        <f>C46*(G46/25)</f>
        <v>3.6609543010752703E-3</v>
      </c>
      <c r="P46" s="2359">
        <f>O46*M46</f>
        <v>3.2948588709677431E-3</v>
      </c>
      <c r="Q46" s="2341">
        <v>129</v>
      </c>
      <c r="R46" s="2878">
        <f>E46*F46*G46</f>
        <v>1600</v>
      </c>
      <c r="S46" s="2844">
        <f t="shared" si="6"/>
        <v>1.6</v>
      </c>
      <c r="T46" s="2845">
        <f t="shared" si="7"/>
        <v>5.8575268817204325E-2</v>
      </c>
      <c r="U46" s="374">
        <f t="shared" si="8"/>
        <v>1.6</v>
      </c>
      <c r="V46" s="2846">
        <f t="shared" si="9"/>
        <v>0</v>
      </c>
      <c r="W46" s="2847">
        <f t="shared" si="10"/>
        <v>0</v>
      </c>
      <c r="X46" s="2848">
        <f t="shared" si="11"/>
        <v>0</v>
      </c>
      <c r="Y46" s="2849">
        <f t="shared" si="12"/>
        <v>0</v>
      </c>
      <c r="Z46" s="2850">
        <f t="shared" si="13"/>
        <v>0</v>
      </c>
      <c r="AA46" s="2851">
        <f t="shared" si="14"/>
        <v>0</v>
      </c>
      <c r="AB46" s="2181"/>
      <c r="AC46" s="2867">
        <v>0</v>
      </c>
      <c r="AD46" s="2867">
        <v>0</v>
      </c>
      <c r="AE46" s="2838"/>
      <c r="AF46" s="2838"/>
      <c r="AG46" s="2838"/>
      <c r="AH46" s="2838"/>
      <c r="AI46" s="2838"/>
    </row>
    <row r="47" spans="1:40" thickBot="1">
      <c r="A47" s="3109" t="s">
        <v>139</v>
      </c>
      <c r="B47" s="3110" t="s">
        <v>461</v>
      </c>
      <c r="C47" s="2256">
        <f>IF(D47=1,U$5,IF(D47=2,V$5,IF(D47=3,W$5,IF(D47=4,X$5,IF(D47=5,Y$5,IF(D47=6,Z$5,IF(D47=7,AA$5,0)))))))</f>
        <v>2.1908757716049393E-4</v>
      </c>
      <c r="D47" s="2302">
        <v>2</v>
      </c>
      <c r="E47" s="2881">
        <v>1</v>
      </c>
      <c r="F47" s="2881">
        <v>6</v>
      </c>
      <c r="G47" s="2881">
        <v>200</v>
      </c>
      <c r="H47" s="2277"/>
      <c r="I47" s="2277">
        <v>2.3148148148148146E-4</v>
      </c>
      <c r="J47" s="2277">
        <v>1.3888888888888889E-3</v>
      </c>
      <c r="K47" s="2278" t="s">
        <v>535</v>
      </c>
      <c r="L47" s="2503">
        <f>L46+N46</f>
        <v>0.82405906511350058</v>
      </c>
      <c r="M47" s="2280">
        <v>0.9</v>
      </c>
      <c r="N47" s="2277">
        <f>P47*E47*F47+I47*E47*F47+J47*E47</f>
        <v>1.2620944444444449E-2</v>
      </c>
      <c r="O47" s="2281">
        <f>C47*8*1.04</f>
        <v>1.8228086419753095E-3</v>
      </c>
      <c r="P47" s="2281">
        <f>O47*M47</f>
        <v>1.6405277777777785E-3</v>
      </c>
      <c r="Q47" s="2282">
        <v>146</v>
      </c>
      <c r="R47" s="2882">
        <f>E47*F47*G47</f>
        <v>1200</v>
      </c>
      <c r="S47" s="2844">
        <f t="shared" si="6"/>
        <v>1.2</v>
      </c>
      <c r="T47" s="2845">
        <f t="shared" si="7"/>
        <v>4.3747407407407429E-2</v>
      </c>
      <c r="U47" s="374">
        <f t="shared" si="8"/>
        <v>0</v>
      </c>
      <c r="V47" s="2846">
        <f t="shared" si="9"/>
        <v>1.2</v>
      </c>
      <c r="W47" s="2847">
        <f t="shared" si="10"/>
        <v>0</v>
      </c>
      <c r="X47" s="2848">
        <f t="shared" si="11"/>
        <v>0</v>
      </c>
      <c r="Y47" s="2849">
        <f t="shared" si="12"/>
        <v>0</v>
      </c>
      <c r="Z47" s="2850">
        <f t="shared" si="13"/>
        <v>0</v>
      </c>
      <c r="AA47" s="2851">
        <f t="shared" si="14"/>
        <v>0</v>
      </c>
      <c r="AB47" s="2181"/>
      <c r="AC47" s="2825"/>
      <c r="AD47" s="2825"/>
      <c r="AE47" s="2838"/>
      <c r="AF47" s="2838"/>
      <c r="AG47" s="2838"/>
      <c r="AH47" s="2838"/>
      <c r="AI47" s="2838"/>
      <c r="AJ47" s="2825"/>
      <c r="AK47" s="2825"/>
      <c r="AL47" s="2825"/>
      <c r="AM47" s="2825"/>
    </row>
    <row r="48" spans="1:40" s="2914" customFormat="1" thickBot="1">
      <c r="A48" s="3109" t="s">
        <v>458</v>
      </c>
      <c r="B48" s="3110" t="s">
        <v>461</v>
      </c>
      <c r="C48" s="2256">
        <f>IF(D48=1,U$5,IF(D48=2,V$5,IF(D48=3,W$5,IF(D48=4,X$5,IF(D48=5,Y$5,IF(D48=6,Z$5,IF(D48=7,AA$5,0)))))))</f>
        <v>2.1222190799396687E-4</v>
      </c>
      <c r="D48" s="3701">
        <v>3</v>
      </c>
      <c r="E48" s="3111">
        <v>1</v>
      </c>
      <c r="F48" s="3111">
        <v>10</v>
      </c>
      <c r="G48" s="3111">
        <v>50</v>
      </c>
      <c r="H48" s="2325"/>
      <c r="I48" s="2325">
        <v>8.1018518518518516E-5</v>
      </c>
      <c r="J48" s="2325">
        <v>1.3888888888888889E-3</v>
      </c>
      <c r="K48" s="2310" t="s">
        <v>1712</v>
      </c>
      <c r="L48" s="2504">
        <f>L47+N47</f>
        <v>0.83668000955794497</v>
      </c>
      <c r="M48" s="2326">
        <v>1</v>
      </c>
      <c r="N48" s="2325">
        <f>P48*E48*F48+I48*E48*F48+J48*E48</f>
        <v>6.4435122339534115E-3</v>
      </c>
      <c r="O48" s="2262">
        <f>C48*(G48/25)</f>
        <v>4.2444381598793373E-4</v>
      </c>
      <c r="P48" s="2262">
        <f>O48*M48</f>
        <v>4.2444381598793373E-4</v>
      </c>
      <c r="Q48" s="2274">
        <v>164</v>
      </c>
      <c r="R48" s="3111">
        <f>E48*F48*G48</f>
        <v>500</v>
      </c>
      <c r="S48" s="2844">
        <f t="shared" si="6"/>
        <v>0.5</v>
      </c>
      <c r="T48" s="2845">
        <f t="shared" si="7"/>
        <v>1.6977752639517348E-2</v>
      </c>
      <c r="U48" s="374">
        <f t="shared" si="8"/>
        <v>0</v>
      </c>
      <c r="V48" s="2846">
        <f t="shared" si="9"/>
        <v>0</v>
      </c>
      <c r="W48" s="2847">
        <f t="shared" si="10"/>
        <v>0.5</v>
      </c>
      <c r="X48" s="2848">
        <f t="shared" si="11"/>
        <v>0</v>
      </c>
      <c r="Y48" s="2849">
        <f t="shared" si="12"/>
        <v>0</v>
      </c>
      <c r="Z48" s="2850">
        <f t="shared" si="13"/>
        <v>0</v>
      </c>
      <c r="AA48" s="2851">
        <f t="shared" si="14"/>
        <v>0</v>
      </c>
      <c r="AB48" s="2181"/>
      <c r="AC48" s="2826"/>
      <c r="AD48" s="2826"/>
      <c r="AE48" s="2838"/>
      <c r="AF48" s="2838"/>
      <c r="AG48" s="2838"/>
      <c r="AH48" s="2838"/>
      <c r="AI48" s="2838"/>
      <c r="AJ48" s="2826"/>
      <c r="AK48" s="2826"/>
      <c r="AL48" s="2826"/>
      <c r="AM48" s="2826"/>
      <c r="AN48" s="2913"/>
    </row>
    <row r="49" spans="1:40" thickBot="1">
      <c r="A49" s="3109" t="s">
        <v>462</v>
      </c>
      <c r="B49" s="3110" t="s">
        <v>461</v>
      </c>
      <c r="C49" s="2256">
        <f>IF(D49=1,U$5,IF(D49=2,V$5,IF(D49=3,W$5,IF(D49=4,X$5,IF(D49=5,Y$5,IF(D49=6,Z$5,IF(D49=7,AA$5,0)))))))</f>
        <v>1.7682291666666674E-4</v>
      </c>
      <c r="D49" s="3123">
        <v>7</v>
      </c>
      <c r="E49" s="3124">
        <v>1</v>
      </c>
      <c r="F49" s="3124">
        <v>10</v>
      </c>
      <c r="G49" s="3124">
        <v>25</v>
      </c>
      <c r="H49" s="2377"/>
      <c r="I49" s="2377">
        <v>3.4722222222222224E-4</v>
      </c>
      <c r="J49" s="2377">
        <v>1.3888888888888889E-3</v>
      </c>
      <c r="K49" s="3125" t="s">
        <v>1218</v>
      </c>
      <c r="L49" s="2515">
        <f>L48+N48</f>
        <v>0.84312352179189842</v>
      </c>
      <c r="M49" s="3126">
        <v>0</v>
      </c>
      <c r="N49" s="2377">
        <f>P49*E49*F49+I49*E49*F49+J49*E49</f>
        <v>4.8611111111111112E-3</v>
      </c>
      <c r="O49" s="2271">
        <f>C49*(G49/25)</f>
        <v>1.7682291666666674E-4</v>
      </c>
      <c r="P49" s="2517">
        <f>O49*M49</f>
        <v>0</v>
      </c>
      <c r="Q49" s="3130" t="s">
        <v>316</v>
      </c>
      <c r="R49" s="3683">
        <f>E49*F49*G49</f>
        <v>250</v>
      </c>
      <c r="S49" s="2844">
        <f t="shared" si="6"/>
        <v>0.25</v>
      </c>
      <c r="T49" s="2845">
        <f t="shared" si="7"/>
        <v>7.0729166666666692E-3</v>
      </c>
      <c r="U49" s="374">
        <f t="shared" si="8"/>
        <v>0</v>
      </c>
      <c r="V49" s="2846">
        <f t="shared" si="9"/>
        <v>0</v>
      </c>
      <c r="W49" s="2847">
        <f t="shared" si="10"/>
        <v>0</v>
      </c>
      <c r="X49" s="2848">
        <f t="shared" si="11"/>
        <v>0</v>
      </c>
      <c r="Y49" s="2849">
        <f t="shared" si="12"/>
        <v>0</v>
      </c>
      <c r="Z49" s="2850">
        <f t="shared" si="13"/>
        <v>0</v>
      </c>
      <c r="AA49" s="2851">
        <f t="shared" si="14"/>
        <v>0.25</v>
      </c>
      <c r="AB49" s="2181"/>
      <c r="AE49" s="2838"/>
      <c r="AF49" s="2838"/>
      <c r="AG49" s="2838"/>
      <c r="AH49" s="2838"/>
      <c r="AI49" s="2838"/>
    </row>
    <row r="50" spans="1:40" thickBot="1">
      <c r="A50" s="3109" t="s">
        <v>460</v>
      </c>
      <c r="B50" s="3110" t="s">
        <v>461</v>
      </c>
      <c r="C50" s="2256">
        <f>IF(D50=1,U$5,IF(D50=2,V$5,IF(D50=3,W$5,IF(D50=4,X$5,IF(D50=5,Y$5,IF(D50=6,Z$5,IF(D50=7,AA$5,0)))))))</f>
        <v>1.7682291666666674E-4</v>
      </c>
      <c r="D50" s="3123">
        <v>7</v>
      </c>
      <c r="E50" s="3124">
        <v>1</v>
      </c>
      <c r="F50" s="3124">
        <v>10</v>
      </c>
      <c r="G50" s="3124">
        <v>25</v>
      </c>
      <c r="H50" s="2377"/>
      <c r="I50" s="2377">
        <v>3.4722222222222224E-4</v>
      </c>
      <c r="J50" s="2377">
        <v>1.3888888888888889E-3</v>
      </c>
      <c r="K50" s="3125" t="s">
        <v>1219</v>
      </c>
      <c r="L50" s="2515">
        <f>L49+N49</f>
        <v>0.84798463290300952</v>
      </c>
      <c r="M50" s="3126">
        <v>1</v>
      </c>
      <c r="N50" s="2377">
        <f>P50*E50*F50+I50*E50*F50+J50*E50</f>
        <v>6.6293402777777791E-3</v>
      </c>
      <c r="O50" s="2271">
        <f>C50*(G50/25)</f>
        <v>1.7682291666666674E-4</v>
      </c>
      <c r="P50" s="2517">
        <f>O50*M50</f>
        <v>1.7682291666666674E-4</v>
      </c>
      <c r="Q50" s="3130" t="s">
        <v>316</v>
      </c>
      <c r="R50" s="3683">
        <f>E50*F50*G50</f>
        <v>250</v>
      </c>
      <c r="S50" s="2844">
        <f t="shared" si="6"/>
        <v>0.25</v>
      </c>
      <c r="T50" s="2845">
        <f t="shared" si="7"/>
        <v>7.0729166666666692E-3</v>
      </c>
      <c r="U50" s="374">
        <f t="shared" si="8"/>
        <v>0</v>
      </c>
      <c r="V50" s="2846">
        <f t="shared" si="9"/>
        <v>0</v>
      </c>
      <c r="W50" s="2847">
        <f t="shared" si="10"/>
        <v>0</v>
      </c>
      <c r="X50" s="2848">
        <f t="shared" si="11"/>
        <v>0</v>
      </c>
      <c r="Y50" s="2849">
        <f t="shared" si="12"/>
        <v>0</v>
      </c>
      <c r="Z50" s="2850">
        <f t="shared" si="13"/>
        <v>0</v>
      </c>
      <c r="AA50" s="2851">
        <f t="shared" si="14"/>
        <v>0.25</v>
      </c>
      <c r="AB50" s="2181"/>
    </row>
    <row r="51" spans="1:40" thickBot="1">
      <c r="A51" s="3688"/>
      <c r="B51" s="3689"/>
      <c r="C51" s="3690"/>
      <c r="D51" s="3691"/>
      <c r="E51" s="642"/>
      <c r="F51" s="642"/>
      <c r="G51" s="642"/>
      <c r="H51" s="642"/>
      <c r="I51" s="642"/>
      <c r="J51" s="642"/>
      <c r="K51" s="642"/>
      <c r="L51" s="2182">
        <f>L50+N50</f>
        <v>0.85461397318078725</v>
      </c>
      <c r="M51" s="448"/>
      <c r="N51" s="5497">
        <f>SUM(N46:N50)</f>
        <v>4.5586195403009573E-2</v>
      </c>
      <c r="O51" s="336"/>
      <c r="P51" s="336"/>
      <c r="Q51" s="336"/>
      <c r="R51" s="2856">
        <f>SUM(R46:R50)</f>
        <v>3800</v>
      </c>
      <c r="S51" s="2844">
        <f t="shared" si="6"/>
        <v>0</v>
      </c>
      <c r="T51" s="2845">
        <f t="shared" si="7"/>
        <v>0</v>
      </c>
      <c r="U51" s="374">
        <f t="shared" si="8"/>
        <v>0</v>
      </c>
      <c r="V51" s="2846">
        <f t="shared" si="9"/>
        <v>0</v>
      </c>
      <c r="W51" s="2847">
        <f t="shared" si="10"/>
        <v>0</v>
      </c>
      <c r="X51" s="2848">
        <f t="shared" si="11"/>
        <v>0</v>
      </c>
      <c r="Y51" s="2849">
        <f t="shared" si="12"/>
        <v>0</v>
      </c>
      <c r="Z51" s="2850">
        <f t="shared" si="13"/>
        <v>0</v>
      </c>
      <c r="AA51" s="2851">
        <f t="shared" si="14"/>
        <v>0</v>
      </c>
      <c r="AB51" s="2181"/>
      <c r="AC51" s="2837"/>
      <c r="AD51" s="2838"/>
      <c r="AE51" s="2838"/>
      <c r="AF51" s="2838"/>
      <c r="AG51" s="2838"/>
      <c r="AH51" s="2838"/>
      <c r="AI51" s="2836"/>
    </row>
    <row r="52" spans="1:40" ht="14" customHeight="1" thickBot="1">
      <c r="A52" s="3611"/>
      <c r="B52" s="3611"/>
      <c r="C52" s="2854"/>
      <c r="D52" s="3702"/>
      <c r="E52" s="2855"/>
      <c r="F52" s="2855"/>
      <c r="G52" s="2855"/>
      <c r="H52" s="2855"/>
      <c r="I52" s="8005" t="s">
        <v>1713</v>
      </c>
      <c r="J52" s="8005"/>
      <c r="K52" s="8005"/>
      <c r="L52" s="8007" t="s">
        <v>2122</v>
      </c>
      <c r="M52" s="8008"/>
      <c r="N52" s="8008"/>
      <c r="O52" s="8008"/>
      <c r="P52" s="8008"/>
      <c r="Q52" s="8008"/>
      <c r="R52" s="8009"/>
      <c r="S52" s="2844">
        <f t="shared" si="6"/>
        <v>0</v>
      </c>
      <c r="T52" s="2845">
        <f t="shared" si="7"/>
        <v>0</v>
      </c>
      <c r="U52" s="374">
        <f t="shared" si="8"/>
        <v>0</v>
      </c>
      <c r="V52" s="2846">
        <f t="shared" si="9"/>
        <v>0</v>
      </c>
      <c r="W52" s="2847">
        <f t="shared" si="10"/>
        <v>0</v>
      </c>
      <c r="X52" s="2848">
        <f t="shared" si="11"/>
        <v>0</v>
      </c>
      <c r="Y52" s="2849">
        <f t="shared" si="12"/>
        <v>0</v>
      </c>
      <c r="Z52" s="2850">
        <f t="shared" si="13"/>
        <v>0</v>
      </c>
      <c r="AA52" s="2851">
        <f t="shared" si="14"/>
        <v>0</v>
      </c>
      <c r="AB52" s="2181"/>
      <c r="AC52" s="2837"/>
      <c r="AD52" s="2838"/>
      <c r="AE52" s="2838"/>
      <c r="AF52" s="2838"/>
      <c r="AG52" s="2838"/>
      <c r="AH52" s="2838"/>
      <c r="AI52" s="2836"/>
    </row>
    <row r="53" spans="1:40" ht="20" customHeight="1" thickBot="1">
      <c r="A53" s="2181"/>
      <c r="B53" s="2181"/>
      <c r="C53" s="2181"/>
      <c r="D53" s="2181"/>
      <c r="E53" s="2181"/>
      <c r="F53" s="2181"/>
      <c r="G53" s="2181"/>
      <c r="H53" s="2181"/>
      <c r="I53" s="8006"/>
      <c r="J53" s="8006"/>
      <c r="K53" s="8006"/>
      <c r="L53" s="8010"/>
      <c r="M53" s="8011"/>
      <c r="N53" s="8011"/>
      <c r="O53" s="8011"/>
      <c r="P53" s="8011"/>
      <c r="Q53" s="8011"/>
      <c r="R53" s="8012"/>
      <c r="S53" s="2168"/>
      <c r="T53" s="2168"/>
      <c r="U53" s="2169">
        <f>SUM(U6:U52)</f>
        <v>7.6000000000000014</v>
      </c>
      <c r="V53" s="2169">
        <f>SUM(V6:V52)</f>
        <v>8.6749999999999989</v>
      </c>
      <c r="W53" s="2169">
        <f>SUM(W6:W52)</f>
        <v>4.8</v>
      </c>
      <c r="X53" s="2169">
        <f>SUM(X6:X52)</f>
        <v>0</v>
      </c>
      <c r="Y53" s="2169">
        <f>SUM(Y5:Y5)</f>
        <v>1.8933937422552669E-4</v>
      </c>
      <c r="Z53" s="2169">
        <f>SUM(Z5:Z52)</f>
        <v>1.8229166666666673E-4</v>
      </c>
      <c r="AA53" s="3079">
        <f>SUM(AA6:AA52)</f>
        <v>2.7199999999999998</v>
      </c>
      <c r="AB53" s="2181"/>
      <c r="AC53" s="2867" t="s">
        <v>193</v>
      </c>
      <c r="AD53" s="2937"/>
      <c r="AE53" s="2937"/>
      <c r="AF53" s="2937"/>
      <c r="AG53" s="2937"/>
      <c r="AH53" s="2937"/>
      <c r="AI53" s="2935"/>
    </row>
    <row r="54" spans="1:40" thickBot="1">
      <c r="A54" s="2181"/>
      <c r="B54" s="2181"/>
      <c r="C54" s="2181"/>
      <c r="D54" s="2181"/>
      <c r="E54" s="2181"/>
      <c r="F54" s="2181"/>
      <c r="G54" s="2181"/>
      <c r="H54" s="2181"/>
      <c r="I54" s="2181"/>
      <c r="J54" s="2181"/>
      <c r="K54" s="3706" t="s">
        <v>1714</v>
      </c>
      <c r="L54" s="2815"/>
      <c r="M54" s="2815"/>
      <c r="N54" s="2815"/>
      <c r="O54" s="2815"/>
      <c r="P54" s="2815"/>
      <c r="Q54" s="2815"/>
      <c r="R54" s="2181"/>
      <c r="S54" s="2181"/>
      <c r="T54" s="2181"/>
      <c r="U54" s="2167">
        <f t="shared" ref="U54:AA54" si="27">IF(U53&gt;0,U53,U51)</f>
        <v>7.6000000000000014</v>
      </c>
      <c r="V54" s="2167">
        <f t="shared" si="27"/>
        <v>8.6749999999999989</v>
      </c>
      <c r="W54" s="2167">
        <f t="shared" si="27"/>
        <v>4.8</v>
      </c>
      <c r="X54" s="2167">
        <f t="shared" si="27"/>
        <v>0</v>
      </c>
      <c r="Y54" s="2167">
        <f t="shared" si="27"/>
        <v>1.8933937422552669E-4</v>
      </c>
      <c r="Z54" s="2167">
        <f t="shared" si="27"/>
        <v>1.8229166666666673E-4</v>
      </c>
      <c r="AA54" s="2167">
        <f t="shared" si="27"/>
        <v>2.7199999999999998</v>
      </c>
      <c r="AB54" s="2181"/>
      <c r="AC54" s="2867">
        <v>0</v>
      </c>
      <c r="AD54" s="2867">
        <v>0</v>
      </c>
      <c r="AE54" s="2867">
        <v>0</v>
      </c>
      <c r="AF54" s="2867">
        <v>0</v>
      </c>
      <c r="AG54" s="2867">
        <v>0</v>
      </c>
      <c r="AH54" s="2867">
        <v>0</v>
      </c>
      <c r="AI54" s="2935"/>
    </row>
    <row r="55" spans="1:40" ht="28" customHeight="1" thickBot="1">
      <c r="A55" s="3704" t="s">
        <v>219</v>
      </c>
      <c r="B55" s="3110" t="s">
        <v>461</v>
      </c>
      <c r="C55" s="2256">
        <f t="shared" ref="C55:C58" si="28">IF(D55=1,U$5,IF(D55=2,V$5,IF(D55=3,W$5,IF(D55=4,X$5,IF(D55=5,Y$5,IF(D55=6,Z$5,IF(D55=7,AA$5,0)))))))</f>
        <v>1.7682291666666674E-4</v>
      </c>
      <c r="D55" s="3123">
        <v>7</v>
      </c>
      <c r="E55" s="3124">
        <v>2</v>
      </c>
      <c r="F55" s="3124">
        <v>10</v>
      </c>
      <c r="G55" s="3125">
        <v>22</v>
      </c>
      <c r="H55" s="3707" t="s">
        <v>1717</v>
      </c>
      <c r="I55" s="2377">
        <v>6.9444444444444447E-4</v>
      </c>
      <c r="J55" s="2377">
        <v>3.472222222222222E-3</v>
      </c>
      <c r="K55" s="3125" t="s">
        <v>1715</v>
      </c>
      <c r="L55" s="2515">
        <v>0.33333333333333331</v>
      </c>
      <c r="M55" s="3126">
        <v>1</v>
      </c>
      <c r="N55" s="2377">
        <f t="shared" ref="N55:N56" si="29">P55*E55*F55+I55*E55*F55+J55*E55</f>
        <v>2.3945416666666667E-2</v>
      </c>
      <c r="O55" s="2271">
        <f t="shared" ref="O55:O56" si="30">C55*(G55/25)</f>
        <v>1.5560416666666674E-4</v>
      </c>
      <c r="P55" s="2517">
        <f t="shared" ref="P55:P56" si="31">O55*M55</f>
        <v>1.5560416666666674E-4</v>
      </c>
      <c r="Q55" s="5498" t="s">
        <v>2129</v>
      </c>
      <c r="R55" s="3683">
        <f t="shared" ref="R55:R56" si="32">E55*F55*G55</f>
        <v>440</v>
      </c>
      <c r="S55" s="2181"/>
      <c r="T55" s="2181"/>
      <c r="U55" s="2167">
        <f t="shared" ref="U55:AA69" si="33">IF(U54&gt;0,U54,U53)</f>
        <v>7.6000000000000014</v>
      </c>
      <c r="V55" s="2167">
        <f t="shared" si="33"/>
        <v>8.6749999999999989</v>
      </c>
      <c r="W55" s="2167">
        <f t="shared" si="33"/>
        <v>4.8</v>
      </c>
      <c r="X55" s="2167">
        <f t="shared" si="33"/>
        <v>0</v>
      </c>
      <c r="Y55" s="2167">
        <f t="shared" si="33"/>
        <v>1.8933937422552669E-4</v>
      </c>
      <c r="Z55" s="2167">
        <f t="shared" si="33"/>
        <v>1.8229166666666673E-4</v>
      </c>
      <c r="AA55" s="2167">
        <f t="shared" si="33"/>
        <v>2.7199999999999998</v>
      </c>
      <c r="AB55" s="2181"/>
      <c r="AC55" s="2867"/>
      <c r="AD55" s="2867"/>
      <c r="AE55" s="2867"/>
      <c r="AF55" s="2867"/>
      <c r="AG55" s="2867"/>
      <c r="AH55" s="2867"/>
      <c r="AI55" s="2935"/>
    </row>
    <row r="56" spans="1:40" ht="27" customHeight="1" thickBot="1">
      <c r="A56" s="3109" t="s">
        <v>138</v>
      </c>
      <c r="B56" s="3110" t="s">
        <v>461</v>
      </c>
      <c r="C56" s="2256">
        <f t="shared" si="28"/>
        <v>1.8229166666666673E-4</v>
      </c>
      <c r="D56" s="895">
        <v>6</v>
      </c>
      <c r="E56" s="365">
        <v>2</v>
      </c>
      <c r="F56" s="365">
        <v>10</v>
      </c>
      <c r="G56" s="1065">
        <v>22</v>
      </c>
      <c r="H56" s="3708" t="s">
        <v>1717</v>
      </c>
      <c r="I56" s="366">
        <v>3.4722222222222224E-4</v>
      </c>
      <c r="J56" s="366">
        <v>3.472222222222222E-3</v>
      </c>
      <c r="K56" s="1065" t="s">
        <v>1716</v>
      </c>
      <c r="L56" s="1006">
        <f>L55+N55</f>
        <v>0.35727874999999998</v>
      </c>
      <c r="M56" s="365">
        <v>1</v>
      </c>
      <c r="N56" s="366">
        <f t="shared" si="29"/>
        <v>1.7097222222222222E-2</v>
      </c>
      <c r="O56" s="365">
        <f t="shared" si="30"/>
        <v>1.6041666666666673E-4</v>
      </c>
      <c r="P56" s="586">
        <f t="shared" si="31"/>
        <v>1.6041666666666673E-4</v>
      </c>
      <c r="Q56" s="5500" t="s">
        <v>2130</v>
      </c>
      <c r="R56" s="365">
        <f t="shared" si="32"/>
        <v>440</v>
      </c>
      <c r="S56" s="2181"/>
      <c r="T56" s="2181"/>
      <c r="U56" s="2167">
        <f t="shared" si="33"/>
        <v>7.6000000000000014</v>
      </c>
      <c r="V56" s="2167">
        <f t="shared" si="33"/>
        <v>8.6749999999999989</v>
      </c>
      <c r="W56" s="2167">
        <f t="shared" si="33"/>
        <v>4.8</v>
      </c>
      <c r="X56" s="2167">
        <f t="shared" si="33"/>
        <v>0</v>
      </c>
      <c r="Y56" s="2167">
        <f t="shared" si="33"/>
        <v>1.8933937422552669E-4</v>
      </c>
      <c r="Z56" s="2167">
        <f t="shared" si="33"/>
        <v>1.8229166666666673E-4</v>
      </c>
      <c r="AA56" s="2167">
        <f t="shared" si="33"/>
        <v>2.7199999999999998</v>
      </c>
      <c r="AB56" s="2181"/>
      <c r="AC56" s="2867"/>
      <c r="AD56" s="2867"/>
      <c r="AE56" s="2867"/>
      <c r="AF56" s="2867"/>
      <c r="AG56" s="2867"/>
      <c r="AH56" s="2867"/>
      <c r="AI56" s="2935"/>
    </row>
    <row r="57" spans="1:40" ht="28" customHeight="1" thickBot="1">
      <c r="A57" s="3109" t="s">
        <v>779</v>
      </c>
      <c r="B57" s="3110" t="s">
        <v>461</v>
      </c>
      <c r="C57" s="2256">
        <f t="shared" si="28"/>
        <v>2.1222190799396687E-4</v>
      </c>
      <c r="D57" s="2302">
        <v>3</v>
      </c>
      <c r="E57" s="2881">
        <v>1</v>
      </c>
      <c r="F57" s="3111">
        <v>12</v>
      </c>
      <c r="G57" s="2923">
        <v>250</v>
      </c>
      <c r="H57" s="3719" t="s">
        <v>1718</v>
      </c>
      <c r="I57" s="2277">
        <v>5.7870370370370366E-5</v>
      </c>
      <c r="J57" s="2325">
        <v>2.0833333333333333E-3</v>
      </c>
      <c r="K57" s="2278" t="s">
        <v>1719</v>
      </c>
      <c r="L57" s="2504">
        <f t="shared" ref="L57:L59" si="34">L56+N56</f>
        <v>0.37437597222222219</v>
      </c>
      <c r="M57" s="2280">
        <v>1.1000000000000001</v>
      </c>
      <c r="N57" s="2325">
        <f t="shared" ref="N57:N58" si="35">P57*E57*F57+I57*E57*F57+J57*E57</f>
        <v>3.0791069632981404E-2</v>
      </c>
      <c r="O57" s="2281">
        <f t="shared" ref="O57:O58" si="36">C57*(G57/25)</f>
        <v>2.1222190799396684E-3</v>
      </c>
      <c r="P57" s="2262">
        <f t="shared" ref="P57:P58" si="37">O57*M57</f>
        <v>2.3344409879336356E-3</v>
      </c>
      <c r="Q57" s="5499" t="s">
        <v>2132</v>
      </c>
      <c r="R57" s="3111">
        <f t="shared" ref="R57:R58" si="38">E57*F57*G57</f>
        <v>3000</v>
      </c>
      <c r="S57" s="2181"/>
      <c r="T57" s="2181"/>
      <c r="U57" s="2167">
        <f t="shared" si="33"/>
        <v>7.6000000000000014</v>
      </c>
      <c r="V57" s="2167">
        <f t="shared" si="33"/>
        <v>8.6749999999999989</v>
      </c>
      <c r="W57" s="2167">
        <f t="shared" si="33"/>
        <v>4.8</v>
      </c>
      <c r="X57" s="2167">
        <f t="shared" si="33"/>
        <v>0</v>
      </c>
      <c r="Y57" s="2167">
        <f t="shared" si="33"/>
        <v>1.8933937422552669E-4</v>
      </c>
      <c r="Z57" s="2167">
        <f t="shared" si="33"/>
        <v>1.8229166666666673E-4</v>
      </c>
      <c r="AA57" s="2167">
        <f t="shared" si="33"/>
        <v>2.7199999999999998</v>
      </c>
      <c r="AB57" s="2181"/>
      <c r="AC57" s="2867">
        <v>0</v>
      </c>
      <c r="AD57" s="2867">
        <v>0</v>
      </c>
      <c r="AE57" s="2867">
        <v>0</v>
      </c>
      <c r="AF57" s="2867">
        <v>0</v>
      </c>
      <c r="AG57" s="2867">
        <v>0</v>
      </c>
      <c r="AH57" s="2867">
        <v>0</v>
      </c>
      <c r="AI57" s="2935"/>
      <c r="AJ57" s="2815"/>
      <c r="AK57" s="2815"/>
      <c r="AL57" s="2815"/>
      <c r="AM57" s="2815"/>
      <c r="AN57" s="2815"/>
    </row>
    <row r="58" spans="1:40" ht="27" customHeight="1" thickBot="1">
      <c r="A58" s="3109" t="s">
        <v>138</v>
      </c>
      <c r="B58" s="3110" t="s">
        <v>461</v>
      </c>
      <c r="C58" s="2256">
        <f t="shared" si="28"/>
        <v>2.0247664488766629E-4</v>
      </c>
      <c r="D58" s="3709">
        <v>4</v>
      </c>
      <c r="E58" s="3710">
        <v>1</v>
      </c>
      <c r="F58" s="3710">
        <v>7</v>
      </c>
      <c r="G58" s="3713">
        <v>200</v>
      </c>
      <c r="H58" s="3711" t="s">
        <v>1721</v>
      </c>
      <c r="I58" s="3032">
        <v>1.8518518518518517E-3</v>
      </c>
      <c r="J58" s="3032">
        <v>0</v>
      </c>
      <c r="K58" s="3712" t="s">
        <v>1720</v>
      </c>
      <c r="L58" s="3462">
        <f t="shared" si="34"/>
        <v>0.40516704185520358</v>
      </c>
      <c r="M58" s="3714">
        <v>1.1000000000000001</v>
      </c>
      <c r="N58" s="3715">
        <f t="shared" si="35"/>
        <v>2.5435524288043208E-2</v>
      </c>
      <c r="O58" s="3716">
        <f t="shared" si="36"/>
        <v>1.6198131591013303E-3</v>
      </c>
      <c r="P58" s="3717">
        <f t="shared" si="37"/>
        <v>1.7817944750114635E-3</v>
      </c>
      <c r="Q58" s="5501" t="s">
        <v>2131</v>
      </c>
      <c r="R58" s="3718">
        <f t="shared" si="38"/>
        <v>1400</v>
      </c>
      <c r="S58" s="2181"/>
      <c r="T58" s="2181"/>
      <c r="U58" s="2167">
        <f t="shared" si="33"/>
        <v>7.6000000000000014</v>
      </c>
      <c r="V58" s="2167">
        <f t="shared" si="33"/>
        <v>8.6749999999999989</v>
      </c>
      <c r="W58" s="2167">
        <f t="shared" si="33"/>
        <v>4.8</v>
      </c>
      <c r="X58" s="2167">
        <f t="shared" si="33"/>
        <v>0</v>
      </c>
      <c r="Y58" s="2167">
        <f t="shared" si="33"/>
        <v>1.8933937422552669E-4</v>
      </c>
      <c r="Z58" s="2167">
        <f t="shared" si="33"/>
        <v>1.8229166666666673E-4</v>
      </c>
      <c r="AA58" s="2167">
        <f t="shared" si="33"/>
        <v>2.7199999999999998</v>
      </c>
      <c r="AB58" s="2181"/>
      <c r="AC58" s="2867">
        <v>0</v>
      </c>
      <c r="AD58" s="2867">
        <v>0</v>
      </c>
      <c r="AE58" s="2867">
        <v>0</v>
      </c>
      <c r="AF58" s="2867">
        <v>0</v>
      </c>
      <c r="AG58" s="2867">
        <v>0</v>
      </c>
      <c r="AH58" s="2867">
        <v>0</v>
      </c>
      <c r="AI58" s="2825"/>
      <c r="AJ58" s="2815"/>
      <c r="AK58" s="2815"/>
      <c r="AL58" s="2815"/>
      <c r="AM58" s="2815"/>
      <c r="AN58" s="2815"/>
    </row>
    <row r="59" spans="1:40" thickBot="1">
      <c r="A59" s="3688" t="s">
        <v>220</v>
      </c>
      <c r="B59" s="3689"/>
      <c r="C59" s="3690"/>
      <c r="D59" s="3691"/>
      <c r="E59" s="642"/>
      <c r="F59" s="642"/>
      <c r="G59" s="642"/>
      <c r="H59" s="642"/>
      <c r="I59" s="642"/>
      <c r="J59" s="642"/>
      <c r="K59" s="642"/>
      <c r="L59" s="2182">
        <f t="shared" si="34"/>
        <v>0.43060256614324677</v>
      </c>
      <c r="M59" s="643"/>
      <c r="N59" s="3471">
        <f>SUM(N55:N58)</f>
        <v>9.7269232809913508E-2</v>
      </c>
      <c r="O59" s="642"/>
      <c r="P59" s="642"/>
      <c r="Q59" s="642"/>
      <c r="R59" s="2856">
        <f>SUM(R55:R58)</f>
        <v>5280</v>
      </c>
      <c r="S59" s="2181"/>
      <c r="T59" s="2181"/>
      <c r="U59" s="2167" t="e">
        <f>IF(#REF!&gt;0,#REF!,U58)</f>
        <v>#REF!</v>
      </c>
      <c r="V59" s="2167" t="e">
        <f>IF(#REF!&gt;0,#REF!,V58)</f>
        <v>#REF!</v>
      </c>
      <c r="W59" s="2167" t="e">
        <f>IF(#REF!&gt;0,#REF!,W58)</f>
        <v>#REF!</v>
      </c>
      <c r="X59" s="2167" t="e">
        <f>IF(#REF!&gt;0,#REF!,X58)</f>
        <v>#REF!</v>
      </c>
      <c r="Y59" s="2167" t="e">
        <f>IF(#REF!&gt;0,#REF!,Y58)</f>
        <v>#REF!</v>
      </c>
      <c r="Z59" s="2167" t="e">
        <f>IF(#REF!&gt;0,#REF!,Z58)</f>
        <v>#REF!</v>
      </c>
      <c r="AA59" s="2167" t="e">
        <f>IF(#REF!&gt;0,#REF!,AA58)</f>
        <v>#REF!</v>
      </c>
      <c r="AB59" s="2181"/>
      <c r="AC59" s="2867"/>
      <c r="AD59" s="2867"/>
      <c r="AE59" s="2867"/>
      <c r="AF59" s="2867"/>
      <c r="AG59" s="2867"/>
      <c r="AH59" s="2867"/>
      <c r="AI59" s="2825"/>
      <c r="AJ59" s="2815"/>
      <c r="AK59" s="2815"/>
      <c r="AL59" s="2815"/>
      <c r="AM59" s="2815"/>
      <c r="AN59" s="2815"/>
    </row>
    <row r="60" spans="1:40" thickBot="1">
      <c r="A60" s="2181"/>
      <c r="B60" s="2181"/>
      <c r="C60" s="2181"/>
      <c r="D60" s="2181"/>
      <c r="E60" s="2181"/>
      <c r="F60" s="2181"/>
      <c r="G60" s="2181"/>
      <c r="H60" s="2181"/>
      <c r="I60" s="2181"/>
      <c r="J60" s="2181"/>
      <c r="K60" s="2181"/>
      <c r="L60" s="2181"/>
      <c r="M60" s="2181"/>
      <c r="N60" s="2181"/>
      <c r="O60" s="2181"/>
      <c r="P60" s="2181"/>
      <c r="Q60" s="2181"/>
      <c r="R60" s="2181"/>
      <c r="S60" s="2181"/>
      <c r="T60" s="2181"/>
      <c r="U60" s="2167" t="e">
        <f>IF(U59&gt;0,U59,#REF!)</f>
        <v>#REF!</v>
      </c>
      <c r="V60" s="2167" t="e">
        <f>IF(V59&gt;0,V59,#REF!)</f>
        <v>#REF!</v>
      </c>
      <c r="W60" s="2167" t="e">
        <f>IF(W59&gt;0,W59,#REF!)</f>
        <v>#REF!</v>
      </c>
      <c r="X60" s="2167" t="e">
        <f>IF(X59&gt;0,X59,#REF!)</f>
        <v>#REF!</v>
      </c>
      <c r="Y60" s="2167" t="e">
        <f>IF(Y59&gt;0,Y59,#REF!)</f>
        <v>#REF!</v>
      </c>
      <c r="Z60" s="2167" t="e">
        <f>IF(Z59&gt;0,Z59,#REF!)</f>
        <v>#REF!</v>
      </c>
      <c r="AA60" s="2167" t="e">
        <f>IF(AA59&gt;0,AA59,#REF!)</f>
        <v>#REF!</v>
      </c>
      <c r="AB60" s="2181"/>
      <c r="AC60" s="2867">
        <v>0</v>
      </c>
      <c r="AD60" s="2867">
        <v>0</v>
      </c>
      <c r="AE60" s="2867">
        <v>0</v>
      </c>
      <c r="AF60" s="2867">
        <v>0</v>
      </c>
      <c r="AG60" s="2867">
        <v>0</v>
      </c>
      <c r="AH60" s="2867">
        <v>0</v>
      </c>
      <c r="AI60" s="2825"/>
      <c r="AJ60" s="2815"/>
      <c r="AK60" s="2815"/>
      <c r="AL60" s="2815"/>
      <c r="AM60" s="2815"/>
      <c r="AN60" s="2815"/>
    </row>
    <row r="61" spans="1:40" ht="13">
      <c r="A61" s="2181"/>
      <c r="B61" s="2181"/>
      <c r="C61" s="2181"/>
      <c r="D61" s="2181"/>
      <c r="E61" s="2181"/>
      <c r="F61" s="2181"/>
      <c r="G61" s="2181"/>
      <c r="H61" s="2181" t="s">
        <v>2123</v>
      </c>
      <c r="I61" s="2181"/>
      <c r="J61" s="2377"/>
      <c r="K61" s="2181" t="s">
        <v>2124</v>
      </c>
      <c r="L61" s="2181"/>
      <c r="M61" s="2181"/>
      <c r="N61" s="8013" t="s">
        <v>2128</v>
      </c>
      <c r="O61" s="2181"/>
      <c r="P61" s="2181"/>
      <c r="Q61" s="2181"/>
      <c r="R61" s="2181"/>
      <c r="S61" s="2181"/>
      <c r="T61" s="2181"/>
      <c r="U61" s="2167" t="e">
        <f t="shared" si="33"/>
        <v>#REF!</v>
      </c>
      <c r="V61" s="2167" t="e">
        <f t="shared" si="33"/>
        <v>#REF!</v>
      </c>
      <c r="W61" s="2167" t="e">
        <f t="shared" si="33"/>
        <v>#REF!</v>
      </c>
      <c r="X61" s="2167" t="e">
        <f t="shared" si="33"/>
        <v>#REF!</v>
      </c>
      <c r="Y61" s="2167" t="e">
        <f t="shared" si="33"/>
        <v>#REF!</v>
      </c>
      <c r="Z61" s="2167" t="e">
        <f t="shared" si="33"/>
        <v>#REF!</v>
      </c>
      <c r="AA61" s="2167" t="e">
        <f t="shared" si="33"/>
        <v>#REF!</v>
      </c>
      <c r="AB61" s="2181"/>
      <c r="AC61" s="2867">
        <v>0</v>
      </c>
      <c r="AD61" s="2867">
        <v>0</v>
      </c>
      <c r="AE61" s="2867">
        <v>0</v>
      </c>
      <c r="AF61" s="2867">
        <v>0</v>
      </c>
      <c r="AG61" s="2867">
        <v>0</v>
      </c>
      <c r="AH61" s="2867">
        <v>0</v>
      </c>
      <c r="AI61" s="2825"/>
      <c r="AJ61" s="2815"/>
      <c r="AK61" s="2815"/>
      <c r="AL61" s="2815"/>
      <c r="AM61" s="2815"/>
      <c r="AN61" s="2815"/>
    </row>
    <row r="62" spans="1:40" ht="13">
      <c r="A62" s="2181"/>
      <c r="B62" s="2181"/>
      <c r="C62" s="2181"/>
      <c r="D62" s="2181"/>
      <c r="E62" s="2181"/>
      <c r="F62" s="2181"/>
      <c r="G62" s="2181"/>
      <c r="H62" s="2181"/>
      <c r="I62" s="2181"/>
      <c r="J62" s="3708"/>
      <c r="K62" s="2181" t="s">
        <v>2125</v>
      </c>
      <c r="L62" s="2181"/>
      <c r="M62" s="2181"/>
      <c r="N62" s="8014"/>
      <c r="O62" s="2181"/>
      <c r="P62" s="2181"/>
      <c r="Q62" s="2181"/>
      <c r="R62" s="2181"/>
      <c r="S62" s="2181"/>
      <c r="T62" s="2181"/>
      <c r="U62" s="2167" t="e">
        <f t="shared" si="33"/>
        <v>#REF!</v>
      </c>
      <c r="V62" s="2167" t="e">
        <f t="shared" si="33"/>
        <v>#REF!</v>
      </c>
      <c r="W62" s="2167" t="e">
        <f t="shared" si="33"/>
        <v>#REF!</v>
      </c>
      <c r="X62" s="2167" t="e">
        <f t="shared" si="33"/>
        <v>#REF!</v>
      </c>
      <c r="Y62" s="2167" t="e">
        <f t="shared" si="33"/>
        <v>#REF!</v>
      </c>
      <c r="Z62" s="2167" t="e">
        <f t="shared" si="33"/>
        <v>#REF!</v>
      </c>
      <c r="AA62" s="2167" t="e">
        <f t="shared" si="33"/>
        <v>#REF!</v>
      </c>
      <c r="AB62" s="2181"/>
      <c r="AC62" s="2867">
        <v>0</v>
      </c>
      <c r="AD62" s="2867">
        <v>0</v>
      </c>
      <c r="AE62" s="2867">
        <v>0</v>
      </c>
      <c r="AF62" s="2867">
        <v>0</v>
      </c>
      <c r="AG62" s="2867">
        <v>0</v>
      </c>
      <c r="AH62" s="2867">
        <v>0</v>
      </c>
      <c r="AI62" s="2825"/>
      <c r="AJ62" s="2815"/>
      <c r="AK62" s="2815"/>
      <c r="AL62" s="2815"/>
      <c r="AM62" s="2815"/>
      <c r="AN62" s="2815"/>
    </row>
    <row r="63" spans="1:40" ht="13">
      <c r="A63" s="2181"/>
      <c r="B63" s="2181"/>
      <c r="C63" s="2181"/>
      <c r="D63" s="2181"/>
      <c r="E63" s="2181"/>
      <c r="F63" s="2181"/>
      <c r="G63" s="2181"/>
      <c r="H63" s="2181"/>
      <c r="I63" s="2181"/>
      <c r="J63" s="3719"/>
      <c r="K63" s="2494" t="s">
        <v>2126</v>
      </c>
      <c r="L63" s="2181"/>
      <c r="M63" s="2181"/>
      <c r="N63" s="8014"/>
      <c r="O63" s="2181"/>
      <c r="P63" s="2181"/>
      <c r="Q63" s="2181"/>
      <c r="R63" s="2181"/>
      <c r="S63" s="2181"/>
      <c r="T63" s="2181"/>
      <c r="U63" s="2167" t="e">
        <f t="shared" si="33"/>
        <v>#REF!</v>
      </c>
      <c r="V63" s="2167" t="e">
        <f t="shared" si="33"/>
        <v>#REF!</v>
      </c>
      <c r="W63" s="2167" t="e">
        <f t="shared" si="33"/>
        <v>#REF!</v>
      </c>
      <c r="X63" s="2167" t="e">
        <f t="shared" si="33"/>
        <v>#REF!</v>
      </c>
      <c r="Y63" s="2167" t="e">
        <f t="shared" si="33"/>
        <v>#REF!</v>
      </c>
      <c r="Z63" s="2167" t="e">
        <f t="shared" si="33"/>
        <v>#REF!</v>
      </c>
      <c r="AA63" s="2167" t="e">
        <f t="shared" si="33"/>
        <v>#REF!</v>
      </c>
      <c r="AB63" s="2181"/>
      <c r="AC63" s="2867">
        <v>0</v>
      </c>
      <c r="AD63" s="2867">
        <v>0</v>
      </c>
      <c r="AE63" s="2867">
        <v>0</v>
      </c>
      <c r="AF63" s="2867">
        <v>0</v>
      </c>
      <c r="AG63" s="2867">
        <v>0</v>
      </c>
      <c r="AH63" s="2867">
        <v>0</v>
      </c>
      <c r="AI63" s="2825"/>
      <c r="AJ63" s="2815"/>
      <c r="AK63" s="2815"/>
      <c r="AL63" s="2815"/>
      <c r="AM63" s="2815"/>
      <c r="AN63" s="2815"/>
    </row>
    <row r="64" spans="1:40" thickBot="1">
      <c r="A64" s="2181"/>
      <c r="B64" s="2181"/>
      <c r="C64" s="2181"/>
      <c r="D64" s="2181"/>
      <c r="E64" s="2181"/>
      <c r="F64" s="2181"/>
      <c r="G64" s="2181"/>
      <c r="H64" s="2181"/>
      <c r="I64" s="2181"/>
      <c r="J64" s="3711"/>
      <c r="K64" s="2494" t="s">
        <v>2127</v>
      </c>
      <c r="L64" s="2181"/>
      <c r="M64" s="2181"/>
      <c r="N64" s="8015"/>
      <c r="O64" s="2181"/>
      <c r="P64" s="2181"/>
      <c r="Q64" s="2181"/>
      <c r="R64" s="2181"/>
      <c r="S64" s="2181"/>
      <c r="T64" s="2181"/>
      <c r="U64" s="2167" t="e">
        <f t="shared" si="33"/>
        <v>#REF!</v>
      </c>
      <c r="V64" s="2167" t="e">
        <f t="shared" si="33"/>
        <v>#REF!</v>
      </c>
      <c r="W64" s="2167" t="e">
        <f t="shared" si="33"/>
        <v>#REF!</v>
      </c>
      <c r="X64" s="2167" t="e">
        <f t="shared" si="33"/>
        <v>#REF!</v>
      </c>
      <c r="Y64" s="2167" t="e">
        <f t="shared" si="33"/>
        <v>#REF!</v>
      </c>
      <c r="Z64" s="2167" t="e">
        <f t="shared" si="33"/>
        <v>#REF!</v>
      </c>
      <c r="AA64" s="2167" t="e">
        <f t="shared" si="33"/>
        <v>#REF!</v>
      </c>
      <c r="AB64" s="2181"/>
      <c r="AC64" s="2867"/>
      <c r="AD64" s="2867"/>
      <c r="AE64" s="2867"/>
      <c r="AF64" s="2867"/>
      <c r="AG64" s="2867"/>
      <c r="AH64" s="2867"/>
      <c r="AI64" s="2825"/>
      <c r="AJ64" s="2815"/>
      <c r="AK64" s="2815"/>
      <c r="AL64" s="2815"/>
      <c r="AM64" s="2815"/>
      <c r="AN64" s="2815"/>
    </row>
    <row r="65" spans="1:40" ht="13">
      <c r="A65" s="2181"/>
      <c r="B65" s="2181"/>
      <c r="C65" s="2181"/>
      <c r="D65" s="2181"/>
      <c r="E65" s="2181"/>
      <c r="F65" s="2181"/>
      <c r="G65" s="2181"/>
      <c r="H65" s="2181"/>
      <c r="I65" s="2181"/>
      <c r="J65" s="2181"/>
      <c r="K65" s="2181"/>
      <c r="L65" s="2181"/>
      <c r="M65" s="2181"/>
      <c r="N65" s="2181"/>
      <c r="O65" s="2181"/>
      <c r="P65" s="2181"/>
      <c r="Q65" s="2181"/>
      <c r="R65" s="2181"/>
      <c r="S65" s="2181"/>
      <c r="T65" s="2181"/>
      <c r="U65" s="2167" t="e">
        <f t="shared" si="33"/>
        <v>#REF!</v>
      </c>
      <c r="V65" s="2167" t="e">
        <f t="shared" si="33"/>
        <v>#REF!</v>
      </c>
      <c r="W65" s="2167" t="e">
        <f t="shared" si="33"/>
        <v>#REF!</v>
      </c>
      <c r="X65" s="2167" t="e">
        <f t="shared" si="33"/>
        <v>#REF!</v>
      </c>
      <c r="Y65" s="2167" t="e">
        <f t="shared" si="33"/>
        <v>#REF!</v>
      </c>
      <c r="Z65" s="2167" t="e">
        <f t="shared" si="33"/>
        <v>#REF!</v>
      </c>
      <c r="AA65" s="2167" t="e">
        <f t="shared" si="33"/>
        <v>#REF!</v>
      </c>
      <c r="AB65" s="2181"/>
      <c r="AC65" s="2867"/>
      <c r="AD65" s="2867"/>
      <c r="AE65" s="2867"/>
      <c r="AF65" s="2867"/>
      <c r="AG65" s="2867"/>
      <c r="AH65" s="2867"/>
      <c r="AI65" s="2825"/>
      <c r="AJ65" s="2815"/>
      <c r="AK65" s="2815"/>
      <c r="AL65" s="2815"/>
      <c r="AM65" s="2815"/>
      <c r="AN65" s="2815"/>
    </row>
    <row r="66" spans="1:40" ht="13">
      <c r="A66" s="2181"/>
      <c r="B66" s="2181"/>
      <c r="C66" s="2181"/>
      <c r="D66" s="2181"/>
      <c r="E66" s="2181"/>
      <c r="F66" s="2181"/>
      <c r="G66" s="2181"/>
      <c r="H66" s="2181"/>
      <c r="I66" s="2181"/>
      <c r="J66" s="2181"/>
      <c r="K66" s="2181"/>
      <c r="L66" s="2181"/>
      <c r="M66" s="2181"/>
      <c r="N66" s="2181"/>
      <c r="O66" s="2181"/>
      <c r="P66" s="2181"/>
      <c r="Q66" s="2181"/>
      <c r="R66" s="2181"/>
      <c r="S66" s="2181"/>
      <c r="T66" s="2181"/>
      <c r="U66" s="2167" t="e">
        <f t="shared" si="33"/>
        <v>#REF!</v>
      </c>
      <c r="V66" s="2167" t="e">
        <f t="shared" si="33"/>
        <v>#REF!</v>
      </c>
      <c r="W66" s="2167" t="e">
        <f t="shared" si="33"/>
        <v>#REF!</v>
      </c>
      <c r="X66" s="2167" t="e">
        <f t="shared" si="33"/>
        <v>#REF!</v>
      </c>
      <c r="Y66" s="2167" t="e">
        <f t="shared" si="33"/>
        <v>#REF!</v>
      </c>
      <c r="Z66" s="2167" t="e">
        <f t="shared" si="33"/>
        <v>#REF!</v>
      </c>
      <c r="AA66" s="2167" t="e">
        <f t="shared" si="33"/>
        <v>#REF!</v>
      </c>
      <c r="AB66" s="2181"/>
      <c r="AC66" s="2867">
        <v>0</v>
      </c>
      <c r="AD66" s="2867">
        <v>0</v>
      </c>
      <c r="AE66" s="2867">
        <v>0</v>
      </c>
      <c r="AF66" s="2867">
        <v>0</v>
      </c>
      <c r="AG66" s="2867">
        <v>0</v>
      </c>
      <c r="AH66" s="2867">
        <v>0</v>
      </c>
      <c r="AI66" s="2825"/>
      <c r="AJ66" s="2815"/>
      <c r="AK66" s="2815"/>
      <c r="AL66" s="2815"/>
      <c r="AM66" s="2815"/>
      <c r="AN66" s="2815"/>
    </row>
    <row r="67" spans="1:40" ht="13">
      <c r="A67" s="2181"/>
      <c r="B67" s="2181"/>
      <c r="C67" s="2181"/>
      <c r="D67" s="2181"/>
      <c r="E67" s="2181"/>
      <c r="F67" s="2181"/>
      <c r="G67" s="2181"/>
      <c r="H67" s="2181"/>
      <c r="I67" s="2181"/>
      <c r="J67" s="2181"/>
      <c r="K67" s="2181"/>
      <c r="L67" s="2181"/>
      <c r="M67" s="2181"/>
      <c r="N67" s="2181"/>
      <c r="O67" s="2181"/>
      <c r="P67" s="2181"/>
      <c r="Q67" s="2181"/>
      <c r="R67" s="2181"/>
      <c r="S67" s="2181"/>
      <c r="T67" s="2181"/>
      <c r="U67" s="2167" t="e">
        <f t="shared" si="33"/>
        <v>#REF!</v>
      </c>
      <c r="V67" s="2167" t="e">
        <f t="shared" si="33"/>
        <v>#REF!</v>
      </c>
      <c r="W67" s="2167" t="e">
        <f t="shared" si="33"/>
        <v>#REF!</v>
      </c>
      <c r="X67" s="2167" t="e">
        <f t="shared" si="33"/>
        <v>#REF!</v>
      </c>
      <c r="Y67" s="2167" t="e">
        <f t="shared" si="33"/>
        <v>#REF!</v>
      </c>
      <c r="Z67" s="2167" t="e">
        <f t="shared" si="33"/>
        <v>#REF!</v>
      </c>
      <c r="AA67" s="2167" t="e">
        <f t="shared" si="33"/>
        <v>#REF!</v>
      </c>
      <c r="AB67" s="2181"/>
      <c r="AC67" s="2867">
        <v>0</v>
      </c>
      <c r="AD67" s="2867">
        <v>0</v>
      </c>
      <c r="AE67" s="2867">
        <v>0</v>
      </c>
      <c r="AF67" s="2867">
        <v>0</v>
      </c>
      <c r="AG67" s="2867">
        <v>0</v>
      </c>
      <c r="AH67" s="2867">
        <v>0</v>
      </c>
      <c r="AI67" s="2825"/>
      <c r="AJ67" s="2815"/>
      <c r="AK67" s="2815"/>
      <c r="AL67" s="2815"/>
      <c r="AM67" s="2815"/>
      <c r="AN67" s="2815"/>
    </row>
    <row r="68" spans="1:40" ht="13">
      <c r="A68" s="2181"/>
      <c r="B68" s="2181"/>
      <c r="C68" s="2181"/>
      <c r="D68" s="2181"/>
      <c r="E68" s="2181"/>
      <c r="F68" s="2181"/>
      <c r="G68" s="2181"/>
      <c r="H68" s="2181"/>
      <c r="I68" s="2181"/>
      <c r="J68" s="2181"/>
      <c r="K68" s="2181"/>
      <c r="L68" s="2181"/>
      <c r="M68" s="2181"/>
      <c r="N68" s="2181"/>
      <c r="O68" s="2181"/>
      <c r="P68" s="2181"/>
      <c r="Q68" s="2181"/>
      <c r="R68" s="2181"/>
      <c r="S68" s="2181"/>
      <c r="T68" s="2181"/>
      <c r="U68" s="2167" t="e">
        <f t="shared" si="33"/>
        <v>#REF!</v>
      </c>
      <c r="V68" s="2167" t="e">
        <f t="shared" si="33"/>
        <v>#REF!</v>
      </c>
      <c r="W68" s="2167" t="e">
        <f t="shared" si="33"/>
        <v>#REF!</v>
      </c>
      <c r="X68" s="2167" t="e">
        <f t="shared" si="33"/>
        <v>#REF!</v>
      </c>
      <c r="Y68" s="2167" t="e">
        <f t="shared" si="33"/>
        <v>#REF!</v>
      </c>
      <c r="Z68" s="2167" t="e">
        <f t="shared" si="33"/>
        <v>#REF!</v>
      </c>
      <c r="AA68" s="2167" t="e">
        <f t="shared" si="33"/>
        <v>#REF!</v>
      </c>
      <c r="AB68" s="2181"/>
      <c r="AC68" s="2867">
        <v>0</v>
      </c>
      <c r="AD68" s="2867">
        <v>0</v>
      </c>
      <c r="AE68" s="2867">
        <v>0</v>
      </c>
      <c r="AF68" s="2867">
        <v>0</v>
      </c>
      <c r="AG68" s="2867">
        <v>0</v>
      </c>
      <c r="AH68" s="2867">
        <v>0</v>
      </c>
      <c r="AI68" s="2825"/>
      <c r="AJ68" s="2815"/>
      <c r="AK68" s="2815"/>
      <c r="AL68" s="2815"/>
      <c r="AM68" s="2815"/>
      <c r="AN68" s="2815"/>
    </row>
    <row r="69" spans="1:40" ht="13">
      <c r="A69" s="2181"/>
      <c r="B69" s="2181"/>
      <c r="C69" s="2181"/>
      <c r="D69" s="2181"/>
      <c r="E69" s="2181"/>
      <c r="F69" s="2181"/>
      <c r="G69" s="2181"/>
      <c r="H69" s="2181"/>
      <c r="I69" s="2181"/>
      <c r="J69" s="2181"/>
      <c r="K69" s="2181"/>
      <c r="L69" s="2181"/>
      <c r="M69" s="2181"/>
      <c r="N69" s="2181"/>
      <c r="O69" s="2181"/>
      <c r="P69" s="2181"/>
      <c r="Q69" s="2181"/>
      <c r="R69" s="2181"/>
      <c r="S69" s="2181"/>
      <c r="T69" s="2181"/>
      <c r="U69" s="2167" t="e">
        <f t="shared" si="33"/>
        <v>#REF!</v>
      </c>
      <c r="V69" s="2167" t="e">
        <f t="shared" si="33"/>
        <v>#REF!</v>
      </c>
      <c r="W69" s="2167" t="e">
        <f t="shared" si="33"/>
        <v>#REF!</v>
      </c>
      <c r="X69" s="2167" t="e">
        <f t="shared" si="33"/>
        <v>#REF!</v>
      </c>
      <c r="Y69" s="2167" t="e">
        <f t="shared" si="33"/>
        <v>#REF!</v>
      </c>
      <c r="Z69" s="2167" t="e">
        <f t="shared" si="33"/>
        <v>#REF!</v>
      </c>
      <c r="AA69" s="2167" t="e">
        <f t="shared" si="33"/>
        <v>#REF!</v>
      </c>
      <c r="AB69" s="2181"/>
      <c r="AC69" s="2867"/>
      <c r="AD69" s="2867"/>
      <c r="AE69" s="2867"/>
      <c r="AF69" s="2867"/>
      <c r="AG69" s="2867"/>
      <c r="AH69" s="2867"/>
      <c r="AI69" s="2825"/>
      <c r="AJ69" s="2815"/>
      <c r="AK69" s="2815"/>
      <c r="AL69" s="2815"/>
      <c r="AM69" s="2815"/>
      <c r="AN69" s="2815"/>
    </row>
    <row r="70" spans="1:40" ht="13">
      <c r="A70" s="2181"/>
      <c r="B70" s="2181"/>
      <c r="C70" s="2181"/>
      <c r="D70" s="2181"/>
      <c r="E70" s="2181"/>
      <c r="F70" s="2181"/>
      <c r="G70" s="2181"/>
      <c r="H70" s="2181"/>
      <c r="I70" s="2181"/>
      <c r="J70" s="2181"/>
      <c r="K70" s="2181"/>
      <c r="L70" s="2181"/>
      <c r="M70" s="2181"/>
      <c r="N70" s="2181"/>
      <c r="O70" s="2181"/>
      <c r="P70" s="2181"/>
      <c r="Q70" s="2181"/>
      <c r="R70" s="2181"/>
      <c r="S70" s="2181"/>
      <c r="T70" s="2181"/>
      <c r="U70" s="2167" t="e">
        <f t="shared" ref="U70:AA85" si="39">IF(U69&gt;0,U69,U68)</f>
        <v>#REF!</v>
      </c>
      <c r="V70" s="2167" t="e">
        <f t="shared" si="39"/>
        <v>#REF!</v>
      </c>
      <c r="W70" s="2167" t="e">
        <f t="shared" si="39"/>
        <v>#REF!</v>
      </c>
      <c r="X70" s="2167" t="e">
        <f t="shared" si="39"/>
        <v>#REF!</v>
      </c>
      <c r="Y70" s="2167" t="e">
        <f t="shared" si="39"/>
        <v>#REF!</v>
      </c>
      <c r="Z70" s="2167" t="e">
        <f t="shared" si="39"/>
        <v>#REF!</v>
      </c>
      <c r="AA70" s="2167" t="e">
        <f t="shared" si="39"/>
        <v>#REF!</v>
      </c>
      <c r="AB70" s="2181"/>
      <c r="AC70" s="2867"/>
      <c r="AD70" s="2867"/>
      <c r="AE70" s="2867"/>
      <c r="AF70" s="2867"/>
      <c r="AG70" s="2867"/>
      <c r="AH70" s="2867"/>
      <c r="AI70" s="2825"/>
      <c r="AJ70" s="2815"/>
      <c r="AK70" s="2815"/>
      <c r="AL70" s="2815"/>
      <c r="AM70" s="2815"/>
      <c r="AN70" s="2815"/>
    </row>
    <row r="71" spans="1:40" ht="13">
      <c r="A71" s="2181"/>
      <c r="B71" s="2181"/>
      <c r="C71" s="2181"/>
      <c r="D71" s="2181"/>
      <c r="E71" s="2181"/>
      <c r="F71" s="2181"/>
      <c r="G71" s="2181"/>
      <c r="H71" s="2181"/>
      <c r="I71" s="2181"/>
      <c r="J71" s="2181"/>
      <c r="K71" s="2181"/>
      <c r="L71" s="2181"/>
      <c r="M71" s="2181"/>
      <c r="N71" s="2181"/>
      <c r="O71" s="2181"/>
      <c r="P71" s="2181"/>
      <c r="Q71" s="2181"/>
      <c r="R71" s="2181"/>
      <c r="S71" s="2181"/>
      <c r="T71" s="2181"/>
      <c r="U71" s="2167" t="e">
        <f t="shared" si="39"/>
        <v>#REF!</v>
      </c>
      <c r="V71" s="2167" t="e">
        <f t="shared" si="39"/>
        <v>#REF!</v>
      </c>
      <c r="W71" s="2167" t="e">
        <f t="shared" si="39"/>
        <v>#REF!</v>
      </c>
      <c r="X71" s="2167" t="e">
        <f t="shared" si="39"/>
        <v>#REF!</v>
      </c>
      <c r="Y71" s="2167" t="e">
        <f t="shared" si="39"/>
        <v>#REF!</v>
      </c>
      <c r="Z71" s="2167" t="e">
        <f t="shared" si="39"/>
        <v>#REF!</v>
      </c>
      <c r="AA71" s="2167" t="e">
        <f t="shared" si="39"/>
        <v>#REF!</v>
      </c>
      <c r="AB71" s="2181"/>
      <c r="AC71" s="2867">
        <v>0</v>
      </c>
      <c r="AD71" s="2867">
        <v>0</v>
      </c>
      <c r="AE71" s="2867">
        <v>0</v>
      </c>
      <c r="AF71" s="2867">
        <v>0</v>
      </c>
      <c r="AG71" s="2867">
        <v>0</v>
      </c>
      <c r="AH71" s="2867">
        <v>0</v>
      </c>
      <c r="AI71" s="2825"/>
      <c r="AJ71" s="2815"/>
      <c r="AK71" s="2815"/>
      <c r="AL71" s="2815"/>
      <c r="AM71" s="2815"/>
      <c r="AN71" s="2815"/>
    </row>
    <row r="72" spans="1:40" ht="13">
      <c r="A72" s="2181"/>
      <c r="B72" s="2181"/>
      <c r="C72" s="2181"/>
      <c r="D72" s="2181"/>
      <c r="E72" s="2181"/>
      <c r="F72" s="2181"/>
      <c r="G72" s="2181"/>
      <c r="H72" s="2181"/>
      <c r="I72" s="2181"/>
      <c r="J72" s="2181"/>
      <c r="K72" s="2181"/>
      <c r="L72" s="2181"/>
      <c r="M72" s="2181"/>
      <c r="N72" s="2181"/>
      <c r="O72" s="2181"/>
      <c r="P72" s="2181"/>
      <c r="Q72" s="2181"/>
      <c r="R72" s="2181"/>
      <c r="S72" s="2181"/>
      <c r="T72" s="2181"/>
      <c r="U72" s="2167" t="e">
        <f t="shared" si="39"/>
        <v>#REF!</v>
      </c>
      <c r="V72" s="2167" t="e">
        <f t="shared" si="39"/>
        <v>#REF!</v>
      </c>
      <c r="W72" s="2167" t="e">
        <f t="shared" si="39"/>
        <v>#REF!</v>
      </c>
      <c r="X72" s="2167" t="e">
        <f t="shared" si="39"/>
        <v>#REF!</v>
      </c>
      <c r="Y72" s="2167" t="e">
        <f t="shared" si="39"/>
        <v>#REF!</v>
      </c>
      <c r="Z72" s="2167" t="e">
        <f t="shared" si="39"/>
        <v>#REF!</v>
      </c>
      <c r="AA72" s="2167" t="e">
        <f t="shared" si="39"/>
        <v>#REF!</v>
      </c>
      <c r="AB72" s="2181"/>
      <c r="AC72" s="2867">
        <v>0</v>
      </c>
      <c r="AD72" s="2867">
        <v>0</v>
      </c>
      <c r="AE72" s="2867">
        <v>0</v>
      </c>
      <c r="AF72" s="2867">
        <v>0</v>
      </c>
      <c r="AG72" s="2867">
        <v>0</v>
      </c>
      <c r="AH72" s="2867">
        <v>0</v>
      </c>
      <c r="AI72" s="2825"/>
      <c r="AJ72" s="2815"/>
      <c r="AK72" s="2815"/>
      <c r="AL72" s="2815"/>
      <c r="AM72" s="2815"/>
      <c r="AN72" s="2815"/>
    </row>
    <row r="73" spans="1:40" ht="13">
      <c r="A73" s="2181"/>
      <c r="B73" s="2181"/>
      <c r="C73" s="2181"/>
      <c r="D73" s="2181"/>
      <c r="E73" s="2181"/>
      <c r="F73" s="2181"/>
      <c r="G73" s="2181"/>
      <c r="H73" s="2181"/>
      <c r="I73" s="2181"/>
      <c r="J73" s="2181"/>
      <c r="K73" s="2181"/>
      <c r="L73" s="2181"/>
      <c r="M73" s="2181"/>
      <c r="N73" s="2181"/>
      <c r="O73" s="2181"/>
      <c r="P73" s="2181"/>
      <c r="Q73" s="2181"/>
      <c r="R73" s="2181"/>
      <c r="S73" s="2181"/>
      <c r="T73" s="2181"/>
      <c r="U73" s="2167" t="e">
        <f t="shared" si="39"/>
        <v>#REF!</v>
      </c>
      <c r="V73" s="2167" t="e">
        <f t="shared" si="39"/>
        <v>#REF!</v>
      </c>
      <c r="W73" s="2167" t="e">
        <f t="shared" si="39"/>
        <v>#REF!</v>
      </c>
      <c r="X73" s="2167" t="e">
        <f t="shared" si="39"/>
        <v>#REF!</v>
      </c>
      <c r="Y73" s="2167" t="e">
        <f t="shared" si="39"/>
        <v>#REF!</v>
      </c>
      <c r="Z73" s="2167" t="e">
        <f t="shared" si="39"/>
        <v>#REF!</v>
      </c>
      <c r="AA73" s="2167" t="e">
        <f t="shared" si="39"/>
        <v>#REF!</v>
      </c>
      <c r="AB73" s="2181"/>
      <c r="AC73" s="2867">
        <v>0</v>
      </c>
      <c r="AD73" s="2867">
        <v>0</v>
      </c>
      <c r="AE73" s="2867">
        <v>0</v>
      </c>
      <c r="AF73" s="2867">
        <v>0</v>
      </c>
      <c r="AG73" s="2867">
        <v>0</v>
      </c>
      <c r="AH73" s="2867">
        <v>0</v>
      </c>
      <c r="AI73" s="2825"/>
      <c r="AJ73" s="2815"/>
      <c r="AK73" s="2815"/>
      <c r="AL73" s="2815"/>
      <c r="AM73" s="2815"/>
      <c r="AN73" s="2815"/>
    </row>
    <row r="74" spans="1:40" ht="13">
      <c r="A74" s="2181"/>
      <c r="B74" s="2181"/>
      <c r="C74" s="2181"/>
      <c r="D74" s="2181"/>
      <c r="E74" s="2181"/>
      <c r="F74" s="2181"/>
      <c r="G74" s="2181"/>
      <c r="H74" s="2181"/>
      <c r="I74" s="2181"/>
      <c r="J74" s="2181"/>
      <c r="K74" s="2181"/>
      <c r="L74" s="2181"/>
      <c r="M74" s="2181"/>
      <c r="N74" s="2181"/>
      <c r="O74" s="2181"/>
      <c r="P74" s="2181"/>
      <c r="Q74" s="2181"/>
      <c r="R74" s="2181"/>
      <c r="S74" s="2181"/>
      <c r="T74" s="2181"/>
      <c r="U74" s="2167" t="e">
        <f t="shared" si="39"/>
        <v>#REF!</v>
      </c>
      <c r="V74" s="2167" t="e">
        <f t="shared" si="39"/>
        <v>#REF!</v>
      </c>
      <c r="W74" s="2167" t="e">
        <f t="shared" si="39"/>
        <v>#REF!</v>
      </c>
      <c r="X74" s="2167" t="e">
        <f t="shared" si="39"/>
        <v>#REF!</v>
      </c>
      <c r="Y74" s="2167" t="e">
        <f t="shared" si="39"/>
        <v>#REF!</v>
      </c>
      <c r="Z74" s="2167" t="e">
        <f t="shared" si="39"/>
        <v>#REF!</v>
      </c>
      <c r="AA74" s="2167" t="e">
        <f t="shared" si="39"/>
        <v>#REF!</v>
      </c>
      <c r="AB74" s="2181"/>
      <c r="AC74" s="2867"/>
      <c r="AD74" s="2867"/>
      <c r="AE74" s="2867"/>
      <c r="AF74" s="2867"/>
      <c r="AG74" s="2867"/>
      <c r="AH74" s="2867"/>
      <c r="AI74" s="2825"/>
      <c r="AJ74" s="2815"/>
      <c r="AK74" s="2815"/>
      <c r="AL74" s="2815"/>
      <c r="AM74" s="2815"/>
      <c r="AN74" s="2815"/>
    </row>
    <row r="75" spans="1:40" ht="13">
      <c r="A75" s="2181"/>
      <c r="B75" s="2181"/>
      <c r="C75" s="2181"/>
      <c r="D75" s="2181"/>
      <c r="E75" s="2181"/>
      <c r="F75" s="2181"/>
      <c r="G75" s="2181"/>
      <c r="H75" s="2181"/>
      <c r="I75" s="2181"/>
      <c r="J75" s="2181"/>
      <c r="K75" s="2181"/>
      <c r="L75" s="2181"/>
      <c r="M75" s="2181"/>
      <c r="N75" s="2181"/>
      <c r="O75" s="2181"/>
      <c r="P75" s="2181"/>
      <c r="Q75" s="2181"/>
      <c r="R75" s="2181"/>
      <c r="S75" s="2181"/>
      <c r="T75" s="2181"/>
      <c r="U75" s="2167" t="e">
        <f t="shared" si="39"/>
        <v>#REF!</v>
      </c>
      <c r="V75" s="2167" t="e">
        <f t="shared" si="39"/>
        <v>#REF!</v>
      </c>
      <c r="W75" s="2167" t="e">
        <f t="shared" si="39"/>
        <v>#REF!</v>
      </c>
      <c r="X75" s="2167" t="e">
        <f t="shared" si="39"/>
        <v>#REF!</v>
      </c>
      <c r="Y75" s="2167" t="e">
        <f t="shared" si="39"/>
        <v>#REF!</v>
      </c>
      <c r="Z75" s="2167" t="e">
        <f t="shared" si="39"/>
        <v>#REF!</v>
      </c>
      <c r="AA75" s="2167" t="e">
        <f t="shared" si="39"/>
        <v>#REF!</v>
      </c>
      <c r="AB75" s="2181"/>
      <c r="AC75" s="2867"/>
      <c r="AD75" s="2867"/>
      <c r="AE75" s="2867"/>
      <c r="AF75" s="2867"/>
      <c r="AG75" s="2867"/>
      <c r="AH75" s="2867"/>
      <c r="AI75" s="2825"/>
      <c r="AJ75" s="2815"/>
      <c r="AK75" s="2815"/>
      <c r="AL75" s="2815"/>
      <c r="AM75" s="2815"/>
      <c r="AN75" s="2815"/>
    </row>
    <row r="76" spans="1:40" ht="13">
      <c r="A76" s="2181"/>
      <c r="B76" s="2181"/>
      <c r="C76" s="2181"/>
      <c r="D76" s="2181"/>
      <c r="E76" s="2181"/>
      <c r="F76" s="2181"/>
      <c r="G76" s="2181"/>
      <c r="H76" s="2181"/>
      <c r="I76" s="2181"/>
      <c r="J76" s="2181"/>
      <c r="K76" s="2181"/>
      <c r="L76" s="2181"/>
      <c r="M76" s="2181"/>
      <c r="N76" s="2181"/>
      <c r="O76" s="2181"/>
      <c r="P76" s="2181"/>
      <c r="Q76" s="2181"/>
      <c r="R76" s="2181"/>
      <c r="S76" s="2181"/>
      <c r="T76" s="2181"/>
      <c r="U76" s="2167" t="e">
        <f t="shared" si="39"/>
        <v>#REF!</v>
      </c>
      <c r="V76" s="2167" t="e">
        <f t="shared" si="39"/>
        <v>#REF!</v>
      </c>
      <c r="W76" s="2167" t="e">
        <f t="shared" si="39"/>
        <v>#REF!</v>
      </c>
      <c r="X76" s="2167" t="e">
        <f t="shared" si="39"/>
        <v>#REF!</v>
      </c>
      <c r="Y76" s="2167" t="e">
        <f t="shared" si="39"/>
        <v>#REF!</v>
      </c>
      <c r="Z76" s="2167" t="e">
        <f t="shared" si="39"/>
        <v>#REF!</v>
      </c>
      <c r="AA76" s="2167" t="e">
        <f t="shared" si="39"/>
        <v>#REF!</v>
      </c>
      <c r="AB76" s="2181"/>
      <c r="AC76" s="2867">
        <v>0</v>
      </c>
      <c r="AD76" s="2867">
        <v>0</v>
      </c>
      <c r="AE76" s="2867">
        <v>0</v>
      </c>
      <c r="AF76" s="2867">
        <v>0</v>
      </c>
      <c r="AG76" s="2867">
        <v>0</v>
      </c>
      <c r="AH76" s="2867">
        <v>0</v>
      </c>
      <c r="AI76" s="2825"/>
      <c r="AJ76" s="2815"/>
      <c r="AK76" s="2815"/>
      <c r="AL76" s="2815"/>
      <c r="AM76" s="2815"/>
      <c r="AN76" s="2815"/>
    </row>
    <row r="77" spans="1:40" ht="13">
      <c r="A77" s="2181"/>
      <c r="B77" s="2181"/>
      <c r="C77" s="2181"/>
      <c r="D77" s="2181"/>
      <c r="E77" s="2181"/>
      <c r="F77" s="2181"/>
      <c r="G77" s="2181"/>
      <c r="H77" s="2181"/>
      <c r="I77" s="2181"/>
      <c r="J77" s="2181"/>
      <c r="K77" s="2181"/>
      <c r="L77" s="2181"/>
      <c r="M77" s="2181"/>
      <c r="N77" s="2181"/>
      <c r="O77" s="2181"/>
      <c r="P77" s="2181"/>
      <c r="Q77" s="2181"/>
      <c r="R77" s="2181"/>
      <c r="S77" s="2181"/>
      <c r="T77" s="2181"/>
      <c r="U77" s="2167" t="e">
        <f t="shared" si="39"/>
        <v>#REF!</v>
      </c>
      <c r="V77" s="2167" t="e">
        <f t="shared" si="39"/>
        <v>#REF!</v>
      </c>
      <c r="W77" s="2167" t="e">
        <f t="shared" si="39"/>
        <v>#REF!</v>
      </c>
      <c r="X77" s="2167" t="e">
        <f t="shared" si="39"/>
        <v>#REF!</v>
      </c>
      <c r="Y77" s="2167" t="e">
        <f t="shared" si="39"/>
        <v>#REF!</v>
      </c>
      <c r="Z77" s="2167" t="e">
        <f t="shared" si="39"/>
        <v>#REF!</v>
      </c>
      <c r="AA77" s="2167" t="e">
        <f t="shared" si="39"/>
        <v>#REF!</v>
      </c>
      <c r="AB77" s="2181"/>
      <c r="AC77" s="2867">
        <v>0</v>
      </c>
      <c r="AD77" s="2867">
        <v>0</v>
      </c>
      <c r="AE77" s="2867">
        <v>0</v>
      </c>
      <c r="AF77" s="2867">
        <v>0</v>
      </c>
      <c r="AG77" s="2867">
        <v>0</v>
      </c>
      <c r="AH77" s="2867">
        <v>0</v>
      </c>
      <c r="AI77" s="2825"/>
      <c r="AJ77" s="2815"/>
      <c r="AK77" s="2815"/>
      <c r="AL77" s="2815"/>
      <c r="AM77" s="2815"/>
      <c r="AN77" s="2815"/>
    </row>
    <row r="78" spans="1:40" ht="13">
      <c r="A78" s="2181"/>
      <c r="B78" s="2181"/>
      <c r="C78" s="2181"/>
      <c r="D78" s="2181"/>
      <c r="E78" s="2181"/>
      <c r="F78" s="2181"/>
      <c r="G78" s="2181"/>
      <c r="H78" s="2181"/>
      <c r="I78" s="2181"/>
      <c r="J78" s="2181"/>
      <c r="K78" s="2181"/>
      <c r="L78" s="2181"/>
      <c r="M78" s="2181"/>
      <c r="N78" s="2181"/>
      <c r="O78" s="2181"/>
      <c r="P78" s="2181"/>
      <c r="Q78" s="2181"/>
      <c r="R78" s="2181"/>
      <c r="S78" s="2181"/>
      <c r="T78" s="2181"/>
      <c r="U78" s="2167" t="e">
        <f t="shared" si="39"/>
        <v>#REF!</v>
      </c>
      <c r="V78" s="2167" t="e">
        <f t="shared" si="39"/>
        <v>#REF!</v>
      </c>
      <c r="W78" s="2167" t="e">
        <f t="shared" si="39"/>
        <v>#REF!</v>
      </c>
      <c r="X78" s="2167" t="e">
        <f t="shared" si="39"/>
        <v>#REF!</v>
      </c>
      <c r="Y78" s="2167" t="e">
        <f t="shared" si="39"/>
        <v>#REF!</v>
      </c>
      <c r="Z78" s="2167" t="e">
        <f t="shared" si="39"/>
        <v>#REF!</v>
      </c>
      <c r="AA78" s="2167" t="e">
        <f t="shared" si="39"/>
        <v>#REF!</v>
      </c>
      <c r="AB78" s="2181"/>
      <c r="AC78" s="2867"/>
      <c r="AD78" s="2867"/>
      <c r="AE78" s="2867"/>
      <c r="AF78" s="2867"/>
      <c r="AG78" s="2867"/>
      <c r="AH78" s="2867"/>
      <c r="AI78" s="2825"/>
      <c r="AJ78" s="2815"/>
      <c r="AK78" s="2815"/>
      <c r="AL78" s="2815"/>
      <c r="AM78" s="2815"/>
      <c r="AN78" s="2815"/>
    </row>
    <row r="79" spans="1:40" ht="13">
      <c r="A79" s="2181"/>
      <c r="B79" s="2181"/>
      <c r="C79" s="2181"/>
      <c r="D79" s="2181"/>
      <c r="E79" s="2181"/>
      <c r="F79" s="2181"/>
      <c r="G79" s="2181"/>
      <c r="H79" s="2181"/>
      <c r="I79" s="2181"/>
      <c r="J79" s="2181"/>
      <c r="K79" s="2181"/>
      <c r="L79" s="2181"/>
      <c r="M79" s="2181"/>
      <c r="N79" s="2181"/>
      <c r="O79" s="2181"/>
      <c r="P79" s="2181"/>
      <c r="Q79" s="2181"/>
      <c r="R79" s="2181"/>
      <c r="S79" s="2181"/>
      <c r="T79" s="2181"/>
      <c r="U79" s="2167" t="e">
        <f t="shared" si="39"/>
        <v>#REF!</v>
      </c>
      <c r="V79" s="2167" t="e">
        <f t="shared" si="39"/>
        <v>#REF!</v>
      </c>
      <c r="W79" s="2167" t="e">
        <f t="shared" si="39"/>
        <v>#REF!</v>
      </c>
      <c r="X79" s="2167" t="e">
        <f t="shared" si="39"/>
        <v>#REF!</v>
      </c>
      <c r="Y79" s="2167" t="e">
        <f t="shared" si="39"/>
        <v>#REF!</v>
      </c>
      <c r="Z79" s="2167" t="e">
        <f t="shared" si="39"/>
        <v>#REF!</v>
      </c>
      <c r="AA79" s="2167" t="e">
        <f t="shared" si="39"/>
        <v>#REF!</v>
      </c>
      <c r="AB79" s="2181"/>
      <c r="AC79" s="2867"/>
      <c r="AD79" s="2867"/>
      <c r="AE79" s="2867"/>
      <c r="AF79" s="2867"/>
      <c r="AG79" s="2867"/>
      <c r="AH79" s="2867"/>
      <c r="AI79" s="2825"/>
      <c r="AJ79" s="2815"/>
      <c r="AK79" s="2815"/>
      <c r="AL79" s="2815"/>
      <c r="AM79" s="2815"/>
      <c r="AN79" s="2815"/>
    </row>
    <row r="80" spans="1:40" ht="13">
      <c r="A80" s="2181"/>
      <c r="B80" s="2181"/>
      <c r="C80" s="2181"/>
      <c r="D80" s="2181"/>
      <c r="E80" s="2181"/>
      <c r="F80" s="2181"/>
      <c r="G80" s="2181"/>
      <c r="H80" s="2181"/>
      <c r="I80" s="2181"/>
      <c r="J80" s="2181"/>
      <c r="K80" s="2181"/>
      <c r="L80" s="2181"/>
      <c r="M80" s="2181"/>
      <c r="N80" s="2181"/>
      <c r="O80" s="2181"/>
      <c r="P80" s="2181"/>
      <c r="Q80" s="2181"/>
      <c r="R80" s="2181"/>
      <c r="S80" s="2181"/>
      <c r="T80" s="2181"/>
      <c r="U80" s="2167" t="e">
        <f t="shared" si="39"/>
        <v>#REF!</v>
      </c>
      <c r="V80" s="2167" t="e">
        <f t="shared" si="39"/>
        <v>#REF!</v>
      </c>
      <c r="W80" s="2167" t="e">
        <f t="shared" si="39"/>
        <v>#REF!</v>
      </c>
      <c r="X80" s="2167" t="e">
        <f t="shared" si="39"/>
        <v>#REF!</v>
      </c>
      <c r="Y80" s="2167" t="e">
        <f t="shared" si="39"/>
        <v>#REF!</v>
      </c>
      <c r="Z80" s="2167" t="e">
        <f t="shared" si="39"/>
        <v>#REF!</v>
      </c>
      <c r="AA80" s="2167" t="e">
        <f t="shared" si="39"/>
        <v>#REF!</v>
      </c>
      <c r="AB80" s="2181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825"/>
      <c r="AJ80" s="2815"/>
      <c r="AK80" s="2815"/>
      <c r="AL80" s="2815"/>
      <c r="AM80" s="2815"/>
      <c r="AN80" s="2815"/>
    </row>
    <row r="81" spans="1:40" ht="13">
      <c r="A81" s="2181"/>
      <c r="B81" s="2181"/>
      <c r="C81" s="2181"/>
      <c r="D81" s="2181"/>
      <c r="E81" s="2181"/>
      <c r="F81" s="2181"/>
      <c r="G81" s="2181"/>
      <c r="H81" s="2181"/>
      <c r="I81" s="2181"/>
      <c r="J81" s="2181"/>
      <c r="K81" s="2181"/>
      <c r="L81" s="2181"/>
      <c r="M81" s="2181"/>
      <c r="N81" s="2181"/>
      <c r="O81" s="2181"/>
      <c r="P81" s="2181"/>
      <c r="Q81" s="2181"/>
      <c r="R81" s="2181"/>
      <c r="S81" s="2181"/>
      <c r="T81" s="2181"/>
      <c r="U81" s="2167" t="e">
        <f t="shared" si="39"/>
        <v>#REF!</v>
      </c>
      <c r="V81" s="2167" t="e">
        <f t="shared" si="39"/>
        <v>#REF!</v>
      </c>
      <c r="W81" s="2167" t="e">
        <f t="shared" si="39"/>
        <v>#REF!</v>
      </c>
      <c r="X81" s="2167" t="e">
        <f t="shared" si="39"/>
        <v>#REF!</v>
      </c>
      <c r="Y81" s="2167" t="e">
        <f t="shared" si="39"/>
        <v>#REF!</v>
      </c>
      <c r="Z81" s="2167" t="e">
        <f t="shared" si="39"/>
        <v>#REF!</v>
      </c>
      <c r="AA81" s="2167" t="e">
        <f t="shared" si="39"/>
        <v>#REF!</v>
      </c>
      <c r="AB81" s="2181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2815"/>
      <c r="AK81" s="2815"/>
      <c r="AL81" s="2815"/>
      <c r="AM81" s="2815"/>
      <c r="AN81" s="2815"/>
    </row>
    <row r="82" spans="1:40" ht="13">
      <c r="A82" s="2181"/>
      <c r="B82" s="2181"/>
      <c r="C82" s="2181"/>
      <c r="D82" s="2181"/>
      <c r="E82" s="2181"/>
      <c r="F82" s="2181"/>
      <c r="G82" s="2181"/>
      <c r="H82" s="2181"/>
      <c r="I82" s="2181"/>
      <c r="J82" s="2181"/>
      <c r="K82" s="2181"/>
      <c r="L82" s="2181"/>
      <c r="M82" s="2181"/>
      <c r="N82" s="2181"/>
      <c r="O82" s="2181"/>
      <c r="P82" s="2181"/>
      <c r="Q82" s="2181"/>
      <c r="R82" s="2181"/>
      <c r="S82" s="2181"/>
      <c r="T82" s="2181"/>
      <c r="U82" s="2167" t="e">
        <f t="shared" si="39"/>
        <v>#REF!</v>
      </c>
      <c r="V82" s="2167" t="e">
        <f t="shared" si="39"/>
        <v>#REF!</v>
      </c>
      <c r="W82" s="2167" t="e">
        <f t="shared" si="39"/>
        <v>#REF!</v>
      </c>
      <c r="X82" s="2167" t="e">
        <f t="shared" si="39"/>
        <v>#REF!</v>
      </c>
      <c r="Y82" s="2167" t="e">
        <f t="shared" si="39"/>
        <v>#REF!</v>
      </c>
      <c r="Z82" s="2167" t="e">
        <f t="shared" si="39"/>
        <v>#REF!</v>
      </c>
      <c r="AA82" s="2167" t="e">
        <f t="shared" si="39"/>
        <v>#REF!</v>
      </c>
      <c r="AB82" s="2181"/>
      <c r="AC82" s="2867">
        <v>0</v>
      </c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825"/>
      <c r="AJ82" s="2815"/>
      <c r="AK82" s="2815"/>
      <c r="AL82" s="2815"/>
      <c r="AM82" s="2815"/>
      <c r="AN82" s="2815"/>
    </row>
    <row r="83" spans="1:40" ht="13">
      <c r="A83" s="2181"/>
      <c r="B83" s="2181"/>
      <c r="C83" s="2181"/>
      <c r="D83" s="2181"/>
      <c r="E83" s="2181"/>
      <c r="F83" s="2181"/>
      <c r="G83" s="2181"/>
      <c r="H83" s="2181"/>
      <c r="I83" s="2181"/>
      <c r="J83" s="2181"/>
      <c r="K83" s="2181"/>
      <c r="L83" s="2181"/>
      <c r="M83" s="2181"/>
      <c r="N83" s="2181"/>
      <c r="O83" s="2181"/>
      <c r="P83" s="2181"/>
      <c r="Q83" s="2181"/>
      <c r="R83" s="2181"/>
      <c r="S83" s="2181"/>
      <c r="T83" s="2181"/>
      <c r="U83" s="2167" t="e">
        <f t="shared" si="39"/>
        <v>#REF!</v>
      </c>
      <c r="V83" s="2167" t="e">
        <f t="shared" si="39"/>
        <v>#REF!</v>
      </c>
      <c r="W83" s="2167" t="e">
        <f t="shared" si="39"/>
        <v>#REF!</v>
      </c>
      <c r="X83" s="2167" t="e">
        <f t="shared" si="39"/>
        <v>#REF!</v>
      </c>
      <c r="Y83" s="2167" t="e">
        <f t="shared" si="39"/>
        <v>#REF!</v>
      </c>
      <c r="Z83" s="2167" t="e">
        <f t="shared" si="39"/>
        <v>#REF!</v>
      </c>
      <c r="AA83" s="2167" t="e">
        <f t="shared" si="39"/>
        <v>#REF!</v>
      </c>
      <c r="AB83" s="2181"/>
      <c r="AC83" s="2867">
        <v>0</v>
      </c>
      <c r="AD83" s="2867">
        <v>0</v>
      </c>
      <c r="AE83" s="2867">
        <v>0</v>
      </c>
      <c r="AF83" s="2867">
        <v>0</v>
      </c>
      <c r="AG83" s="2867">
        <v>0</v>
      </c>
      <c r="AH83" s="2867">
        <v>0</v>
      </c>
      <c r="AI83" s="2825"/>
      <c r="AJ83" s="2815"/>
      <c r="AK83" s="2815"/>
      <c r="AL83" s="2815"/>
      <c r="AM83" s="2815"/>
      <c r="AN83" s="2815"/>
    </row>
    <row r="84" spans="1:40" ht="13">
      <c r="A84" s="2181"/>
      <c r="B84" s="2181"/>
      <c r="C84" s="2181"/>
      <c r="D84" s="2181"/>
      <c r="E84" s="2181"/>
      <c r="F84" s="2181"/>
      <c r="G84" s="2181"/>
      <c r="H84" s="2181"/>
      <c r="I84" s="2181"/>
      <c r="J84" s="2181"/>
      <c r="K84" s="2181"/>
      <c r="L84" s="2181"/>
      <c r="M84" s="2181"/>
      <c r="N84" s="2181"/>
      <c r="O84" s="2181"/>
      <c r="P84" s="2181"/>
      <c r="Q84" s="2181"/>
      <c r="R84" s="2181"/>
      <c r="S84" s="2181"/>
      <c r="T84" s="2181"/>
      <c r="U84" s="2167" t="e">
        <f t="shared" si="39"/>
        <v>#REF!</v>
      </c>
      <c r="V84" s="2167" t="e">
        <f t="shared" si="39"/>
        <v>#REF!</v>
      </c>
      <c r="W84" s="2167" t="e">
        <f t="shared" si="39"/>
        <v>#REF!</v>
      </c>
      <c r="X84" s="2167" t="e">
        <f t="shared" si="39"/>
        <v>#REF!</v>
      </c>
      <c r="Y84" s="2167" t="e">
        <f t="shared" si="39"/>
        <v>#REF!</v>
      </c>
      <c r="Z84" s="2167" t="e">
        <f t="shared" si="39"/>
        <v>#REF!</v>
      </c>
      <c r="AA84" s="2167" t="e">
        <f t="shared" si="39"/>
        <v>#REF!</v>
      </c>
      <c r="AB84" s="2181"/>
      <c r="AC84" s="2867"/>
      <c r="AD84" s="2867"/>
      <c r="AE84" s="2867"/>
      <c r="AF84" s="2867"/>
      <c r="AG84" s="2867"/>
      <c r="AH84" s="2867"/>
      <c r="AI84" s="2825"/>
      <c r="AJ84" s="2815"/>
      <c r="AK84" s="2815"/>
      <c r="AL84" s="2815"/>
      <c r="AM84" s="2815"/>
      <c r="AN84" s="2815"/>
    </row>
    <row r="85" spans="1:40" ht="13">
      <c r="A85" s="2181"/>
      <c r="B85" s="2181"/>
      <c r="C85" s="2181"/>
      <c r="D85" s="2181"/>
      <c r="E85" s="2181"/>
      <c r="F85" s="2181"/>
      <c r="G85" s="2181"/>
      <c r="H85" s="2181"/>
      <c r="I85" s="2181"/>
      <c r="J85" s="2181"/>
      <c r="K85" s="2181"/>
      <c r="L85" s="2181"/>
      <c r="M85" s="2181"/>
      <c r="N85" s="2181"/>
      <c r="O85" s="2181"/>
      <c r="P85" s="2181"/>
      <c r="Q85" s="2181"/>
      <c r="R85" s="2181"/>
      <c r="S85" s="2181"/>
      <c r="T85" s="2181"/>
      <c r="U85" s="2167" t="e">
        <f t="shared" si="39"/>
        <v>#REF!</v>
      </c>
      <c r="V85" s="2167" t="e">
        <f t="shared" si="39"/>
        <v>#REF!</v>
      </c>
      <c r="W85" s="2167" t="e">
        <f t="shared" si="39"/>
        <v>#REF!</v>
      </c>
      <c r="X85" s="2167" t="e">
        <f t="shared" si="39"/>
        <v>#REF!</v>
      </c>
      <c r="Y85" s="2167" t="e">
        <f t="shared" si="39"/>
        <v>#REF!</v>
      </c>
      <c r="Z85" s="2167" t="e">
        <f t="shared" si="39"/>
        <v>#REF!</v>
      </c>
      <c r="AA85" s="2167" t="e">
        <f t="shared" si="39"/>
        <v>#REF!</v>
      </c>
      <c r="AB85" s="2181"/>
      <c r="AC85" s="2867">
        <v>0</v>
      </c>
      <c r="AD85" s="2867">
        <v>0</v>
      </c>
      <c r="AE85" s="2867">
        <v>0</v>
      </c>
      <c r="AF85" s="2867">
        <v>0</v>
      </c>
      <c r="AG85" s="2867">
        <v>0</v>
      </c>
      <c r="AH85" s="2867">
        <v>0</v>
      </c>
      <c r="AI85" s="2825"/>
      <c r="AJ85" s="2815"/>
      <c r="AK85" s="2815"/>
      <c r="AL85" s="2815"/>
      <c r="AM85" s="2815"/>
      <c r="AN85" s="2815"/>
    </row>
    <row r="86" spans="1:40" ht="13">
      <c r="A86" s="2181"/>
      <c r="B86" s="2181"/>
      <c r="C86" s="2181"/>
      <c r="D86" s="2181"/>
      <c r="E86" s="2181"/>
      <c r="F86" s="2181"/>
      <c r="G86" s="2181"/>
      <c r="H86" s="2181"/>
      <c r="I86" s="2181"/>
      <c r="J86" s="2181"/>
      <c r="K86" s="2181"/>
      <c r="L86" s="2181"/>
      <c r="M86" s="2181"/>
      <c r="N86" s="2181"/>
      <c r="O86" s="2181"/>
      <c r="P86" s="2181"/>
      <c r="Q86" s="2181"/>
      <c r="R86" s="2181"/>
      <c r="S86" s="2181"/>
      <c r="T86" s="2181"/>
      <c r="U86" s="2167" t="e">
        <f t="shared" ref="U86:AA101" si="40">IF(U85&gt;0,U85,U84)</f>
        <v>#REF!</v>
      </c>
      <c r="V86" s="2167" t="e">
        <f t="shared" si="40"/>
        <v>#REF!</v>
      </c>
      <c r="W86" s="2167" t="e">
        <f t="shared" si="40"/>
        <v>#REF!</v>
      </c>
      <c r="X86" s="2167" t="e">
        <f t="shared" si="40"/>
        <v>#REF!</v>
      </c>
      <c r="Y86" s="2167" t="e">
        <f t="shared" si="40"/>
        <v>#REF!</v>
      </c>
      <c r="Z86" s="2167" t="e">
        <f t="shared" si="40"/>
        <v>#REF!</v>
      </c>
      <c r="AA86" s="2167" t="e">
        <f t="shared" si="40"/>
        <v>#REF!</v>
      </c>
      <c r="AB86" s="2181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2815"/>
      <c r="AK86" s="2815"/>
      <c r="AL86" s="2815"/>
      <c r="AM86" s="2815"/>
      <c r="AN86" s="2815"/>
    </row>
    <row r="87" spans="1:40" ht="13">
      <c r="A87" s="2181"/>
      <c r="B87" s="2181"/>
      <c r="C87" s="2181"/>
      <c r="D87" s="2181"/>
      <c r="E87" s="2181"/>
      <c r="F87" s="2181"/>
      <c r="G87" s="2181"/>
      <c r="H87" s="2181"/>
      <c r="I87" s="2181"/>
      <c r="J87" s="2181"/>
      <c r="K87" s="2181"/>
      <c r="L87" s="2181"/>
      <c r="M87" s="2181"/>
      <c r="N87" s="2181"/>
      <c r="O87" s="2181"/>
      <c r="P87" s="2181"/>
      <c r="Q87" s="2181"/>
      <c r="R87" s="2181"/>
      <c r="S87" s="2181"/>
      <c r="T87" s="2181"/>
      <c r="U87" s="2167" t="e">
        <f t="shared" si="40"/>
        <v>#REF!</v>
      </c>
      <c r="V87" s="2167" t="e">
        <f t="shared" si="40"/>
        <v>#REF!</v>
      </c>
      <c r="W87" s="2167" t="e">
        <f t="shared" si="40"/>
        <v>#REF!</v>
      </c>
      <c r="X87" s="2167" t="e">
        <f t="shared" si="40"/>
        <v>#REF!</v>
      </c>
      <c r="Y87" s="2167" t="e">
        <f t="shared" si="40"/>
        <v>#REF!</v>
      </c>
      <c r="Z87" s="2167" t="e">
        <f t="shared" si="40"/>
        <v>#REF!</v>
      </c>
      <c r="AA87" s="2167" t="e">
        <f t="shared" si="40"/>
        <v>#REF!</v>
      </c>
      <c r="AB87" s="2181"/>
      <c r="AC87" s="2867"/>
      <c r="AD87" s="2867"/>
      <c r="AE87" s="2867"/>
      <c r="AF87" s="2867"/>
      <c r="AG87" s="2867"/>
      <c r="AH87" s="2867"/>
      <c r="AI87" s="2825"/>
      <c r="AJ87" s="2815"/>
      <c r="AK87" s="2815"/>
      <c r="AL87" s="2815"/>
      <c r="AM87" s="2815"/>
      <c r="AN87" s="2815"/>
    </row>
    <row r="88" spans="1:40" ht="13">
      <c r="A88" s="2181"/>
      <c r="B88" s="2181"/>
      <c r="C88" s="2181"/>
      <c r="D88" s="2181"/>
      <c r="E88" s="2181"/>
      <c r="F88" s="2181"/>
      <c r="G88" s="2181"/>
      <c r="H88" s="2181"/>
      <c r="I88" s="2181"/>
      <c r="J88" s="2181"/>
      <c r="K88" s="2181"/>
      <c r="L88" s="2181"/>
      <c r="M88" s="2181"/>
      <c r="N88" s="2181"/>
      <c r="O88" s="2181"/>
      <c r="P88" s="2181"/>
      <c r="Q88" s="2181"/>
      <c r="R88" s="2181"/>
      <c r="S88" s="2181"/>
      <c r="T88" s="2181"/>
      <c r="U88" s="2167" t="e">
        <f t="shared" si="40"/>
        <v>#REF!</v>
      </c>
      <c r="V88" s="2167" t="e">
        <f t="shared" si="40"/>
        <v>#REF!</v>
      </c>
      <c r="W88" s="2167" t="e">
        <f t="shared" si="40"/>
        <v>#REF!</v>
      </c>
      <c r="X88" s="2167" t="e">
        <f t="shared" si="40"/>
        <v>#REF!</v>
      </c>
      <c r="Y88" s="2167" t="e">
        <f t="shared" si="40"/>
        <v>#REF!</v>
      </c>
      <c r="Z88" s="2167" t="e">
        <f t="shared" si="40"/>
        <v>#REF!</v>
      </c>
      <c r="AA88" s="2167" t="e">
        <f t="shared" si="40"/>
        <v>#REF!</v>
      </c>
      <c r="AB88" s="2181"/>
      <c r="AC88" s="2867"/>
      <c r="AD88" s="2867"/>
      <c r="AE88" s="2867"/>
      <c r="AF88" s="2867"/>
      <c r="AG88" s="2867"/>
      <c r="AH88" s="2867"/>
      <c r="AI88" s="2825"/>
      <c r="AJ88" s="2815"/>
      <c r="AK88" s="2815"/>
      <c r="AL88" s="2815"/>
      <c r="AM88" s="2815"/>
      <c r="AN88" s="2815"/>
    </row>
    <row r="89" spans="1:40" ht="13">
      <c r="A89" s="2181"/>
      <c r="B89" s="2181"/>
      <c r="C89" s="2181"/>
      <c r="D89" s="2181"/>
      <c r="E89" s="2181"/>
      <c r="F89" s="2181"/>
      <c r="G89" s="2181"/>
      <c r="H89" s="2181"/>
      <c r="I89" s="2181"/>
      <c r="J89" s="2181"/>
      <c r="K89" s="2181"/>
      <c r="L89" s="2181"/>
      <c r="M89" s="2181"/>
      <c r="N89" s="2181"/>
      <c r="O89" s="2181"/>
      <c r="P89" s="2181"/>
      <c r="Q89" s="2181"/>
      <c r="R89" s="2181"/>
      <c r="S89" s="2181"/>
      <c r="T89" s="2181"/>
      <c r="U89" s="2167" t="e">
        <f t="shared" si="40"/>
        <v>#REF!</v>
      </c>
      <c r="V89" s="2167" t="e">
        <f t="shared" si="40"/>
        <v>#REF!</v>
      </c>
      <c r="W89" s="2167" t="e">
        <f t="shared" si="40"/>
        <v>#REF!</v>
      </c>
      <c r="X89" s="2167" t="e">
        <f t="shared" si="40"/>
        <v>#REF!</v>
      </c>
      <c r="Y89" s="2167" t="e">
        <f t="shared" si="40"/>
        <v>#REF!</v>
      </c>
      <c r="Z89" s="2167" t="e">
        <f t="shared" si="40"/>
        <v>#REF!</v>
      </c>
      <c r="AA89" s="2167" t="e">
        <f t="shared" si="40"/>
        <v>#REF!</v>
      </c>
      <c r="AB89" s="2181"/>
      <c r="AC89" s="2867">
        <v>0</v>
      </c>
      <c r="AD89" s="2867">
        <v>0</v>
      </c>
      <c r="AE89" s="2867">
        <v>0</v>
      </c>
      <c r="AF89" s="2867">
        <v>0</v>
      </c>
      <c r="AG89" s="2867">
        <v>0</v>
      </c>
      <c r="AH89" s="2867">
        <v>0</v>
      </c>
      <c r="AI89" s="2825"/>
      <c r="AJ89" s="2815"/>
      <c r="AK89" s="2815"/>
      <c r="AL89" s="2815"/>
      <c r="AM89" s="2815"/>
      <c r="AN89" s="2815"/>
    </row>
    <row r="90" spans="1:40" ht="13">
      <c r="A90" s="2181"/>
      <c r="B90" s="2181"/>
      <c r="C90" s="2181"/>
      <c r="D90" s="2181"/>
      <c r="E90" s="2181"/>
      <c r="F90" s="2181"/>
      <c r="G90" s="2181"/>
      <c r="H90" s="2181"/>
      <c r="I90" s="2181"/>
      <c r="J90" s="2181"/>
      <c r="K90" s="2181"/>
      <c r="L90" s="2181"/>
      <c r="M90" s="2181"/>
      <c r="N90" s="2181"/>
      <c r="O90" s="2181"/>
      <c r="P90" s="2181"/>
      <c r="Q90" s="2181"/>
      <c r="R90" s="2181"/>
      <c r="S90" s="2181"/>
      <c r="T90" s="2181"/>
      <c r="U90" s="2167" t="e">
        <f t="shared" si="40"/>
        <v>#REF!</v>
      </c>
      <c r="V90" s="2167" t="e">
        <f t="shared" si="40"/>
        <v>#REF!</v>
      </c>
      <c r="W90" s="2167" t="e">
        <f t="shared" si="40"/>
        <v>#REF!</v>
      </c>
      <c r="X90" s="2167" t="e">
        <f t="shared" si="40"/>
        <v>#REF!</v>
      </c>
      <c r="Y90" s="2167" t="e">
        <f t="shared" si="40"/>
        <v>#REF!</v>
      </c>
      <c r="Z90" s="2167" t="e">
        <f t="shared" si="40"/>
        <v>#REF!</v>
      </c>
      <c r="AA90" s="2167" t="e">
        <f t="shared" si="40"/>
        <v>#REF!</v>
      </c>
      <c r="AB90" s="2181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2815"/>
      <c r="AK90" s="2815"/>
      <c r="AL90" s="2815"/>
      <c r="AM90" s="2815"/>
      <c r="AN90" s="2815"/>
    </row>
    <row r="91" spans="1:40" ht="13">
      <c r="A91" s="2181"/>
      <c r="B91" s="2181"/>
      <c r="C91" s="2181"/>
      <c r="D91" s="2181"/>
      <c r="E91" s="2181"/>
      <c r="F91" s="2181"/>
      <c r="G91" s="2181"/>
      <c r="H91" s="2181"/>
      <c r="I91" s="2181"/>
      <c r="J91" s="2181"/>
      <c r="K91" s="2181"/>
      <c r="L91" s="2181"/>
      <c r="M91" s="2181"/>
      <c r="N91" s="2181"/>
      <c r="O91" s="2181"/>
      <c r="P91" s="2181"/>
      <c r="Q91" s="2181"/>
      <c r="R91" s="2181"/>
      <c r="S91" s="2181"/>
      <c r="T91" s="2181"/>
      <c r="U91" s="2167" t="e">
        <f t="shared" si="40"/>
        <v>#REF!</v>
      </c>
      <c r="V91" s="2167" t="e">
        <f t="shared" si="40"/>
        <v>#REF!</v>
      </c>
      <c r="W91" s="2167" t="e">
        <f t="shared" si="40"/>
        <v>#REF!</v>
      </c>
      <c r="X91" s="2167" t="e">
        <f t="shared" si="40"/>
        <v>#REF!</v>
      </c>
      <c r="Y91" s="2167" t="e">
        <f t="shared" si="40"/>
        <v>#REF!</v>
      </c>
      <c r="Z91" s="2167" t="e">
        <f t="shared" si="40"/>
        <v>#REF!</v>
      </c>
      <c r="AA91" s="2167" t="e">
        <f t="shared" si="40"/>
        <v>#REF!</v>
      </c>
      <c r="AB91" s="2181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2815"/>
      <c r="AK91" s="2815"/>
      <c r="AL91" s="2815"/>
      <c r="AM91" s="2815"/>
      <c r="AN91" s="2815"/>
    </row>
    <row r="92" spans="1:40" ht="13">
      <c r="A92" s="2181"/>
      <c r="B92" s="2181"/>
      <c r="C92" s="2181"/>
      <c r="D92" s="2181"/>
      <c r="E92" s="2181"/>
      <c r="F92" s="2181"/>
      <c r="G92" s="2181"/>
      <c r="H92" s="2181"/>
      <c r="I92" s="2181"/>
      <c r="J92" s="2181"/>
      <c r="K92" s="2181"/>
      <c r="L92" s="2181"/>
      <c r="M92" s="2181"/>
      <c r="N92" s="2181"/>
      <c r="O92" s="2181"/>
      <c r="P92" s="2181"/>
      <c r="Q92" s="2181"/>
      <c r="R92" s="2181"/>
      <c r="S92" s="2181"/>
      <c r="T92" s="2181"/>
      <c r="U92" s="2167" t="e">
        <f t="shared" si="40"/>
        <v>#REF!</v>
      </c>
      <c r="V92" s="2167" t="e">
        <f t="shared" si="40"/>
        <v>#REF!</v>
      </c>
      <c r="W92" s="2167" t="e">
        <f t="shared" si="40"/>
        <v>#REF!</v>
      </c>
      <c r="X92" s="2167" t="e">
        <f t="shared" si="40"/>
        <v>#REF!</v>
      </c>
      <c r="Y92" s="2167" t="e">
        <f t="shared" si="40"/>
        <v>#REF!</v>
      </c>
      <c r="Z92" s="2167" t="e">
        <f t="shared" si="40"/>
        <v>#REF!</v>
      </c>
      <c r="AA92" s="2167" t="e">
        <f t="shared" si="40"/>
        <v>#REF!</v>
      </c>
      <c r="AB92" s="2181"/>
      <c r="AC92" s="2867"/>
      <c r="AD92" s="2867"/>
      <c r="AE92" s="2867"/>
      <c r="AF92" s="2867"/>
      <c r="AG92" s="2867"/>
      <c r="AH92" s="2867"/>
      <c r="AI92" s="2825"/>
      <c r="AJ92" s="2815"/>
      <c r="AK92" s="2815"/>
      <c r="AL92" s="2815"/>
      <c r="AM92" s="2815"/>
      <c r="AN92" s="2815"/>
    </row>
    <row r="93" spans="1:40" ht="13">
      <c r="A93" s="2181"/>
      <c r="B93" s="2181"/>
      <c r="C93" s="2181"/>
      <c r="D93" s="2181"/>
      <c r="E93" s="2181"/>
      <c r="F93" s="2181"/>
      <c r="G93" s="2181"/>
      <c r="H93" s="2181"/>
      <c r="I93" s="2181"/>
      <c r="J93" s="2181"/>
      <c r="K93" s="2181"/>
      <c r="L93" s="2181"/>
      <c r="M93" s="2181"/>
      <c r="N93" s="2181"/>
      <c r="O93" s="2181"/>
      <c r="P93" s="2181"/>
      <c r="Q93" s="2181"/>
      <c r="R93" s="2181"/>
      <c r="S93" s="2181"/>
      <c r="T93" s="2181"/>
      <c r="U93" s="2167" t="e">
        <f t="shared" si="40"/>
        <v>#REF!</v>
      </c>
      <c r="V93" s="2167" t="e">
        <f t="shared" si="40"/>
        <v>#REF!</v>
      </c>
      <c r="W93" s="2167" t="e">
        <f t="shared" si="40"/>
        <v>#REF!</v>
      </c>
      <c r="X93" s="2167" t="e">
        <f t="shared" si="40"/>
        <v>#REF!</v>
      </c>
      <c r="Y93" s="2167" t="e">
        <f t="shared" si="40"/>
        <v>#REF!</v>
      </c>
      <c r="Z93" s="2167" t="e">
        <f t="shared" si="40"/>
        <v>#REF!</v>
      </c>
      <c r="AA93" s="2167" t="e">
        <f t="shared" si="40"/>
        <v>#REF!</v>
      </c>
      <c r="AB93" s="2181"/>
      <c r="AC93" s="2867"/>
      <c r="AD93" s="2867"/>
      <c r="AE93" s="2867"/>
      <c r="AF93" s="2867"/>
      <c r="AG93" s="2867"/>
      <c r="AH93" s="2867"/>
      <c r="AI93" s="2825"/>
      <c r="AJ93" s="2815"/>
      <c r="AK93" s="2815"/>
      <c r="AL93" s="2815"/>
      <c r="AM93" s="2815"/>
      <c r="AN93" s="2815"/>
    </row>
    <row r="94" spans="1:40" ht="13">
      <c r="A94" s="2181"/>
      <c r="B94" s="2181"/>
      <c r="C94" s="2181"/>
      <c r="D94" s="2181"/>
      <c r="E94" s="2181"/>
      <c r="F94" s="2181"/>
      <c r="G94" s="2181"/>
      <c r="H94" s="2181"/>
      <c r="I94" s="2181"/>
      <c r="J94" s="2181"/>
      <c r="K94" s="2181"/>
      <c r="L94" s="2181"/>
      <c r="M94" s="2181"/>
      <c r="N94" s="2181"/>
      <c r="O94" s="2181"/>
      <c r="P94" s="2181"/>
      <c r="Q94" s="2181"/>
      <c r="R94" s="2181"/>
      <c r="S94" s="2181"/>
      <c r="T94" s="2181"/>
      <c r="U94" s="2167" t="e">
        <f t="shared" si="40"/>
        <v>#REF!</v>
      </c>
      <c r="V94" s="2167" t="e">
        <f t="shared" si="40"/>
        <v>#REF!</v>
      </c>
      <c r="W94" s="2167" t="e">
        <f t="shared" si="40"/>
        <v>#REF!</v>
      </c>
      <c r="X94" s="2167" t="e">
        <f t="shared" si="40"/>
        <v>#REF!</v>
      </c>
      <c r="Y94" s="2167" t="e">
        <f t="shared" si="40"/>
        <v>#REF!</v>
      </c>
      <c r="Z94" s="2167" t="e">
        <f t="shared" si="40"/>
        <v>#REF!</v>
      </c>
      <c r="AA94" s="2167" t="e">
        <f t="shared" si="40"/>
        <v>#REF!</v>
      </c>
      <c r="AB94" s="2181"/>
      <c r="AC94" s="2867">
        <v>0</v>
      </c>
      <c r="AD94" s="2867">
        <v>0</v>
      </c>
      <c r="AE94" s="2867">
        <v>0</v>
      </c>
      <c r="AF94" s="2867">
        <v>0</v>
      </c>
      <c r="AG94" s="2867">
        <v>0</v>
      </c>
      <c r="AH94" s="2867">
        <v>0</v>
      </c>
      <c r="AI94" s="2825"/>
      <c r="AJ94" s="2815"/>
      <c r="AK94" s="2815"/>
      <c r="AL94" s="2815"/>
      <c r="AM94" s="2815"/>
      <c r="AN94" s="2815"/>
    </row>
    <row r="95" spans="1:40" ht="13">
      <c r="A95" s="2181"/>
      <c r="B95" s="2181"/>
      <c r="C95" s="2181"/>
      <c r="D95" s="2181"/>
      <c r="E95" s="2181"/>
      <c r="F95" s="2181"/>
      <c r="G95" s="2181"/>
      <c r="H95" s="2181"/>
      <c r="I95" s="2181"/>
      <c r="J95" s="2181"/>
      <c r="K95" s="2181"/>
      <c r="L95" s="2181"/>
      <c r="M95" s="2181"/>
      <c r="N95" s="2181"/>
      <c r="O95" s="2181"/>
      <c r="P95" s="2181"/>
      <c r="Q95" s="2181"/>
      <c r="R95" s="2181"/>
      <c r="S95" s="2181"/>
      <c r="T95" s="2181"/>
      <c r="U95" s="2167" t="e">
        <f t="shared" si="40"/>
        <v>#REF!</v>
      </c>
      <c r="V95" s="2167" t="e">
        <f t="shared" si="40"/>
        <v>#REF!</v>
      </c>
      <c r="W95" s="2167" t="e">
        <f t="shared" si="40"/>
        <v>#REF!</v>
      </c>
      <c r="X95" s="2167" t="e">
        <f t="shared" si="40"/>
        <v>#REF!</v>
      </c>
      <c r="Y95" s="2167" t="e">
        <f t="shared" si="40"/>
        <v>#REF!</v>
      </c>
      <c r="Z95" s="2167" t="e">
        <f t="shared" si="40"/>
        <v>#REF!</v>
      </c>
      <c r="AA95" s="2167" t="e">
        <f t="shared" si="40"/>
        <v>#REF!</v>
      </c>
      <c r="AB95" s="2181"/>
      <c r="AC95" s="2867">
        <v>0</v>
      </c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825"/>
      <c r="AJ95" s="2815"/>
      <c r="AK95" s="2815"/>
      <c r="AL95" s="2815"/>
      <c r="AM95" s="2815"/>
      <c r="AN95" s="2815"/>
    </row>
    <row r="96" spans="1:40" ht="13">
      <c r="A96" s="2181"/>
      <c r="B96" s="2181"/>
      <c r="C96" s="2181"/>
      <c r="D96" s="2181"/>
      <c r="E96" s="2181"/>
      <c r="F96" s="2181"/>
      <c r="G96" s="2181"/>
      <c r="H96" s="2181"/>
      <c r="I96" s="2181"/>
      <c r="J96" s="2181"/>
      <c r="K96" s="2181"/>
      <c r="L96" s="2181"/>
      <c r="M96" s="2181"/>
      <c r="N96" s="2181"/>
      <c r="O96" s="2181"/>
      <c r="P96" s="2181"/>
      <c r="Q96" s="2181"/>
      <c r="R96" s="2181"/>
      <c r="S96" s="2181"/>
      <c r="T96" s="2181"/>
      <c r="U96" s="2167" t="e">
        <f t="shared" si="40"/>
        <v>#REF!</v>
      </c>
      <c r="V96" s="2167" t="e">
        <f t="shared" si="40"/>
        <v>#REF!</v>
      </c>
      <c r="W96" s="2167" t="e">
        <f t="shared" si="40"/>
        <v>#REF!</v>
      </c>
      <c r="X96" s="2167" t="e">
        <f t="shared" si="40"/>
        <v>#REF!</v>
      </c>
      <c r="Y96" s="2167" t="e">
        <f t="shared" si="40"/>
        <v>#REF!</v>
      </c>
      <c r="Z96" s="2167" t="e">
        <f t="shared" si="40"/>
        <v>#REF!</v>
      </c>
      <c r="AA96" s="2167" t="e">
        <f t="shared" si="40"/>
        <v>#REF!</v>
      </c>
      <c r="AB96" s="2181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2815"/>
      <c r="AK96" s="2815"/>
      <c r="AL96" s="2815"/>
      <c r="AM96" s="2815"/>
      <c r="AN96" s="2815"/>
    </row>
    <row r="97" spans="1:40" ht="15" customHeight="1">
      <c r="A97" s="2181"/>
      <c r="B97" s="2181"/>
      <c r="C97" s="2181"/>
      <c r="D97" s="2181"/>
      <c r="E97" s="2181"/>
      <c r="F97" s="2181"/>
      <c r="G97" s="2181"/>
      <c r="H97" s="2181"/>
      <c r="I97" s="2181"/>
      <c r="J97" s="2181"/>
      <c r="K97" s="2181"/>
      <c r="L97" s="2181"/>
      <c r="M97" s="2181"/>
      <c r="N97" s="2181"/>
      <c r="O97" s="2181"/>
      <c r="P97" s="2181"/>
      <c r="Q97" s="2181"/>
      <c r="R97" s="2181"/>
      <c r="S97" s="2181"/>
      <c r="T97" s="2181"/>
      <c r="U97" s="2167" t="e">
        <f t="shared" si="40"/>
        <v>#REF!</v>
      </c>
      <c r="V97" s="2167" t="e">
        <f t="shared" si="40"/>
        <v>#REF!</v>
      </c>
      <c r="W97" s="2167" t="e">
        <f t="shared" si="40"/>
        <v>#REF!</v>
      </c>
      <c r="X97" s="2167" t="e">
        <f t="shared" si="40"/>
        <v>#REF!</v>
      </c>
      <c r="Y97" s="2167" t="e">
        <f t="shared" si="40"/>
        <v>#REF!</v>
      </c>
      <c r="Z97" s="2167" t="e">
        <f t="shared" si="40"/>
        <v>#REF!</v>
      </c>
      <c r="AA97" s="2167" t="e">
        <f t="shared" si="40"/>
        <v>#REF!</v>
      </c>
      <c r="AB97" s="2181"/>
      <c r="AC97" s="2867"/>
      <c r="AD97" s="2867"/>
      <c r="AE97" s="2867"/>
      <c r="AF97" s="2867"/>
      <c r="AG97" s="2867"/>
      <c r="AH97" s="2867"/>
      <c r="AI97" s="2825"/>
      <c r="AJ97" s="2815"/>
      <c r="AK97" s="2815"/>
      <c r="AL97" s="2815"/>
      <c r="AM97" s="2815"/>
      <c r="AN97" s="2815"/>
    </row>
    <row r="98" spans="1:40" ht="13">
      <c r="A98" s="2181"/>
      <c r="B98" s="2181"/>
      <c r="C98" s="2181"/>
      <c r="D98" s="2181"/>
      <c r="E98" s="2181"/>
      <c r="F98" s="2181"/>
      <c r="G98" s="2181"/>
      <c r="H98" s="2181"/>
      <c r="I98" s="2181"/>
      <c r="J98" s="2181"/>
      <c r="K98" s="2181"/>
      <c r="L98" s="2181"/>
      <c r="M98" s="2181"/>
      <c r="N98" s="2181"/>
      <c r="O98" s="2181"/>
      <c r="P98" s="2181"/>
      <c r="Q98" s="2181"/>
      <c r="R98" s="2181"/>
      <c r="S98" s="2181"/>
      <c r="T98" s="2181"/>
      <c r="U98" s="2167" t="e">
        <f t="shared" si="40"/>
        <v>#REF!</v>
      </c>
      <c r="V98" s="2167" t="e">
        <f t="shared" si="40"/>
        <v>#REF!</v>
      </c>
      <c r="W98" s="2167" t="e">
        <f t="shared" si="40"/>
        <v>#REF!</v>
      </c>
      <c r="X98" s="2167" t="e">
        <f t="shared" si="40"/>
        <v>#REF!</v>
      </c>
      <c r="Y98" s="2167" t="e">
        <f t="shared" si="40"/>
        <v>#REF!</v>
      </c>
      <c r="Z98" s="2167" t="e">
        <f t="shared" si="40"/>
        <v>#REF!</v>
      </c>
      <c r="AA98" s="2167" t="e">
        <f t="shared" si="40"/>
        <v>#REF!</v>
      </c>
      <c r="AB98" s="2181"/>
      <c r="AC98" s="2867"/>
      <c r="AD98" s="2867"/>
      <c r="AE98" s="2867"/>
      <c r="AF98" s="2867"/>
      <c r="AG98" s="2867"/>
      <c r="AH98" s="2867"/>
      <c r="AI98" s="2825"/>
      <c r="AJ98" s="2815"/>
      <c r="AK98" s="2815"/>
      <c r="AL98" s="2815"/>
      <c r="AM98" s="2815"/>
      <c r="AN98" s="2815"/>
    </row>
    <row r="99" spans="1:40" ht="13">
      <c r="A99" s="2181"/>
      <c r="B99" s="2181"/>
      <c r="C99" s="2181"/>
      <c r="D99" s="2181"/>
      <c r="E99" s="2181"/>
      <c r="F99" s="2181"/>
      <c r="G99" s="2181"/>
      <c r="H99" s="2181"/>
      <c r="I99" s="2181"/>
      <c r="J99" s="2181"/>
      <c r="K99" s="2181"/>
      <c r="L99" s="2181"/>
      <c r="M99" s="2181"/>
      <c r="N99" s="2181"/>
      <c r="O99" s="2181"/>
      <c r="P99" s="2181"/>
      <c r="Q99" s="2181"/>
      <c r="R99" s="2181"/>
      <c r="S99" s="2181"/>
      <c r="T99" s="2181"/>
      <c r="U99" s="2167" t="e">
        <f t="shared" si="40"/>
        <v>#REF!</v>
      </c>
      <c r="V99" s="2167" t="e">
        <f t="shared" si="40"/>
        <v>#REF!</v>
      </c>
      <c r="W99" s="2167" t="e">
        <f t="shared" si="40"/>
        <v>#REF!</v>
      </c>
      <c r="X99" s="2167" t="e">
        <f t="shared" si="40"/>
        <v>#REF!</v>
      </c>
      <c r="Y99" s="2167" t="e">
        <f t="shared" si="40"/>
        <v>#REF!</v>
      </c>
      <c r="Z99" s="2167" t="e">
        <f t="shared" si="40"/>
        <v>#REF!</v>
      </c>
      <c r="AA99" s="2167" t="e">
        <f t="shared" si="40"/>
        <v>#REF!</v>
      </c>
      <c r="AB99" s="2181"/>
      <c r="AC99" s="2867">
        <v>0</v>
      </c>
      <c r="AD99" s="2867">
        <v>0</v>
      </c>
      <c r="AE99" s="2867">
        <v>0</v>
      </c>
      <c r="AF99" s="2867">
        <v>0</v>
      </c>
      <c r="AG99" s="2867">
        <v>0</v>
      </c>
      <c r="AH99" s="2867">
        <v>0</v>
      </c>
      <c r="AI99" s="2825"/>
      <c r="AJ99" s="2815"/>
      <c r="AK99" s="2815"/>
      <c r="AL99" s="2815"/>
      <c r="AM99" s="2815"/>
      <c r="AN99" s="2815"/>
    </row>
    <row r="100" spans="1:40" ht="13">
      <c r="A100" s="2181"/>
      <c r="B100" s="2181"/>
      <c r="C100" s="2181"/>
      <c r="D100" s="2181"/>
      <c r="E100" s="2181"/>
      <c r="F100" s="2181"/>
      <c r="G100" s="2181"/>
      <c r="H100" s="2181"/>
      <c r="I100" s="2181"/>
      <c r="J100" s="2181"/>
      <c r="K100" s="2181"/>
      <c r="L100" s="2181"/>
      <c r="M100" s="2181"/>
      <c r="N100" s="2181"/>
      <c r="O100" s="2181"/>
      <c r="P100" s="2181"/>
      <c r="Q100" s="2181"/>
      <c r="R100" s="2181"/>
      <c r="S100" s="2181"/>
      <c r="T100" s="2181"/>
      <c r="U100" s="2167" t="e">
        <f t="shared" si="40"/>
        <v>#REF!</v>
      </c>
      <c r="V100" s="2167" t="e">
        <f t="shared" si="40"/>
        <v>#REF!</v>
      </c>
      <c r="W100" s="2167" t="e">
        <f t="shared" si="40"/>
        <v>#REF!</v>
      </c>
      <c r="X100" s="2167" t="e">
        <f t="shared" si="40"/>
        <v>#REF!</v>
      </c>
      <c r="Y100" s="2167" t="e">
        <f t="shared" si="40"/>
        <v>#REF!</v>
      </c>
      <c r="Z100" s="2167" t="e">
        <f t="shared" si="40"/>
        <v>#REF!</v>
      </c>
      <c r="AA100" s="2167" t="e">
        <f t="shared" si="40"/>
        <v>#REF!</v>
      </c>
      <c r="AB100" s="2181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J100" s="2815"/>
      <c r="AK100" s="2815"/>
      <c r="AL100" s="2815"/>
      <c r="AM100" s="2815"/>
      <c r="AN100" s="2815"/>
    </row>
    <row r="101" spans="1:40" ht="13">
      <c r="A101" s="2181"/>
      <c r="B101" s="2181"/>
      <c r="C101" s="2181"/>
      <c r="D101" s="2181"/>
      <c r="E101" s="2181"/>
      <c r="F101" s="2181"/>
      <c r="G101" s="2181"/>
      <c r="H101" s="2181"/>
      <c r="I101" s="2181"/>
      <c r="J101" s="2181"/>
      <c r="K101" s="2181"/>
      <c r="L101" s="2181"/>
      <c r="M101" s="2181"/>
      <c r="N101" s="2181"/>
      <c r="O101" s="2181"/>
      <c r="P101" s="2181"/>
      <c r="Q101" s="2181"/>
      <c r="R101" s="2181"/>
      <c r="S101" s="2181"/>
      <c r="T101" s="2181"/>
      <c r="U101" s="2167" t="e">
        <f t="shared" si="40"/>
        <v>#REF!</v>
      </c>
      <c r="V101" s="2167" t="e">
        <f t="shared" si="40"/>
        <v>#REF!</v>
      </c>
      <c r="W101" s="2167" t="e">
        <f t="shared" si="40"/>
        <v>#REF!</v>
      </c>
      <c r="X101" s="2167" t="e">
        <f t="shared" si="40"/>
        <v>#REF!</v>
      </c>
      <c r="Y101" s="2167" t="e">
        <f t="shared" si="40"/>
        <v>#REF!</v>
      </c>
      <c r="Z101" s="2167" t="e">
        <f t="shared" si="40"/>
        <v>#REF!</v>
      </c>
      <c r="AA101" s="2167" t="e">
        <f t="shared" si="40"/>
        <v>#REF!</v>
      </c>
      <c r="AB101" s="2181"/>
      <c r="AC101" s="2867">
        <v>0</v>
      </c>
      <c r="AD101" s="2867">
        <v>0</v>
      </c>
      <c r="AE101" s="2867">
        <v>0</v>
      </c>
      <c r="AF101" s="2867">
        <v>0</v>
      </c>
      <c r="AG101" s="2867">
        <v>0</v>
      </c>
      <c r="AH101" s="2867">
        <v>0</v>
      </c>
      <c r="AI101" s="2825"/>
      <c r="AJ101" s="2815"/>
      <c r="AK101" s="2815"/>
      <c r="AL101" s="2815"/>
      <c r="AM101" s="2815"/>
      <c r="AN101" s="2815"/>
    </row>
    <row r="102" spans="1:40" ht="13">
      <c r="A102" s="2181"/>
      <c r="B102" s="2181"/>
      <c r="C102" s="2181"/>
      <c r="D102" s="2181"/>
      <c r="E102" s="2181"/>
      <c r="F102" s="2181"/>
      <c r="G102" s="2181"/>
      <c r="H102" s="2181"/>
      <c r="I102" s="2181"/>
      <c r="J102" s="2181"/>
      <c r="K102" s="2181"/>
      <c r="L102" s="2181"/>
      <c r="M102" s="2181"/>
      <c r="N102" s="2181"/>
      <c r="O102" s="2181"/>
      <c r="P102" s="2181"/>
      <c r="Q102" s="2181"/>
      <c r="R102" s="2181"/>
      <c r="S102" s="2181"/>
      <c r="T102" s="2181"/>
      <c r="U102" s="2167" t="e">
        <f>IF(U101&gt;0,U101,U100)</f>
        <v>#REF!</v>
      </c>
      <c r="V102" s="2167" t="e">
        <f t="shared" ref="V102:AA102" si="41">IF(V101&gt;0,V101,V100)</f>
        <v>#REF!</v>
      </c>
      <c r="W102" s="2167" t="e">
        <f t="shared" si="41"/>
        <v>#REF!</v>
      </c>
      <c r="X102" s="2167" t="e">
        <f t="shared" si="41"/>
        <v>#REF!</v>
      </c>
      <c r="Y102" s="2167" t="e">
        <f t="shared" si="41"/>
        <v>#REF!</v>
      </c>
      <c r="Z102" s="2167" t="e">
        <f t="shared" si="41"/>
        <v>#REF!</v>
      </c>
      <c r="AA102" s="2167" t="e">
        <f t="shared" si="41"/>
        <v>#REF!</v>
      </c>
      <c r="AB102" s="2181"/>
      <c r="AC102" s="2867"/>
      <c r="AD102" s="2867"/>
      <c r="AE102" s="2867"/>
      <c r="AF102" s="2867"/>
      <c r="AG102" s="2867"/>
      <c r="AH102" s="2867"/>
      <c r="AI102" s="2825"/>
      <c r="AJ102" s="2815"/>
      <c r="AK102" s="2815"/>
      <c r="AL102" s="2815"/>
      <c r="AM102" s="2815"/>
      <c r="AN102" s="2815"/>
    </row>
    <row r="103" spans="1:40" ht="13">
      <c r="A103" s="2181"/>
      <c r="B103" s="2181"/>
      <c r="C103" s="2181"/>
      <c r="D103" s="2181"/>
      <c r="E103" s="2181"/>
      <c r="F103" s="2181"/>
      <c r="G103" s="2181"/>
      <c r="H103" s="2181"/>
      <c r="I103" s="2181"/>
      <c r="J103" s="2181"/>
      <c r="K103" s="2181"/>
      <c r="L103" s="2181"/>
      <c r="M103" s="2181"/>
      <c r="N103" s="2181"/>
      <c r="O103" s="2181"/>
      <c r="P103" s="2181"/>
      <c r="Q103" s="2181"/>
      <c r="R103" s="2181"/>
      <c r="S103" s="2181"/>
      <c r="T103" s="2181"/>
      <c r="U103" s="2838"/>
      <c r="V103" s="2838"/>
      <c r="W103" s="2838"/>
      <c r="X103" s="2838"/>
      <c r="Y103" s="2838"/>
      <c r="Z103" s="2838"/>
      <c r="AA103" s="2838"/>
      <c r="AB103" s="2181"/>
      <c r="AC103" s="2867"/>
      <c r="AD103" s="2867"/>
      <c r="AE103" s="2867"/>
      <c r="AF103" s="2867"/>
      <c r="AG103" s="2867"/>
      <c r="AH103" s="2867"/>
      <c r="AI103" s="2825"/>
      <c r="AJ103" s="2815"/>
      <c r="AK103" s="2815"/>
      <c r="AL103" s="2815"/>
      <c r="AM103" s="2815"/>
      <c r="AN103" s="2815"/>
    </row>
    <row r="104" spans="1:40" ht="13">
      <c r="A104" s="2181"/>
      <c r="B104" s="2181"/>
      <c r="C104" s="2181"/>
      <c r="D104" s="2181"/>
      <c r="E104" s="2181"/>
      <c r="F104" s="2181"/>
      <c r="G104" s="2181"/>
      <c r="H104" s="2181"/>
      <c r="I104" s="2181"/>
      <c r="J104" s="2181"/>
      <c r="K104" s="2181"/>
      <c r="L104" s="2181"/>
      <c r="M104" s="2181"/>
      <c r="N104" s="2181"/>
      <c r="O104" s="2181"/>
      <c r="P104" s="2181"/>
      <c r="Q104" s="2181"/>
      <c r="R104" s="2181"/>
      <c r="S104" s="2181"/>
      <c r="T104" s="2181"/>
      <c r="U104" s="2838"/>
      <c r="V104" s="2838"/>
      <c r="W104" s="2838"/>
      <c r="X104" s="2838"/>
      <c r="Y104" s="2838"/>
      <c r="Z104" s="2838"/>
      <c r="AA104" s="2838"/>
      <c r="AB104" s="2181"/>
      <c r="AC104" s="2867">
        <v>0</v>
      </c>
      <c r="AD104" s="2867">
        <v>0</v>
      </c>
      <c r="AE104" s="2867">
        <v>0</v>
      </c>
      <c r="AF104" s="2867">
        <v>0</v>
      </c>
      <c r="AG104" s="2867">
        <v>0</v>
      </c>
      <c r="AH104" s="2867">
        <v>0</v>
      </c>
      <c r="AI104" s="2825"/>
      <c r="AN104" s="2815"/>
    </row>
    <row r="105" spans="1:40" ht="13">
      <c r="A105" s="2181"/>
      <c r="B105" s="2181"/>
      <c r="C105" s="2181"/>
      <c r="D105" s="2181"/>
      <c r="E105" s="2181"/>
      <c r="F105" s="2181"/>
      <c r="G105" s="2181"/>
      <c r="H105" s="2181"/>
      <c r="I105" s="2181"/>
      <c r="J105" s="2181"/>
      <c r="K105" s="2181"/>
      <c r="L105" s="2181"/>
      <c r="M105" s="2181"/>
      <c r="N105" s="2181"/>
      <c r="O105" s="2181"/>
      <c r="P105" s="2181"/>
      <c r="Q105" s="2181"/>
      <c r="R105" s="2181"/>
      <c r="S105" s="2181"/>
      <c r="T105" s="2181"/>
      <c r="U105" s="2838"/>
      <c r="V105" s="2838"/>
      <c r="W105" s="2838"/>
      <c r="X105" s="2838"/>
      <c r="Y105" s="2838"/>
      <c r="Z105" s="2838"/>
      <c r="AA105" s="2838"/>
      <c r="AB105" s="2181"/>
      <c r="AC105" s="2867"/>
      <c r="AD105" s="2867"/>
      <c r="AE105" s="2867"/>
      <c r="AF105" s="2867"/>
      <c r="AG105" s="2867"/>
      <c r="AH105" s="2867"/>
      <c r="AN105" s="2815"/>
    </row>
    <row r="106" spans="1:40" ht="13">
      <c r="A106" s="2181"/>
      <c r="B106" s="2181"/>
      <c r="C106" s="2181"/>
      <c r="D106" s="2181"/>
      <c r="E106" s="2181"/>
      <c r="F106" s="2181"/>
      <c r="G106" s="2181"/>
      <c r="H106" s="2181"/>
      <c r="I106" s="2181"/>
      <c r="J106" s="2181"/>
      <c r="K106" s="2181"/>
      <c r="L106" s="2181"/>
      <c r="M106" s="2181"/>
      <c r="N106" s="2181"/>
      <c r="O106" s="2181"/>
      <c r="P106" s="2181"/>
      <c r="Q106" s="2181"/>
      <c r="R106" s="2181"/>
      <c r="S106" s="2181"/>
      <c r="T106" s="2181"/>
      <c r="U106" s="2838"/>
      <c r="V106" s="2838"/>
      <c r="W106" s="2838"/>
      <c r="X106" s="2838"/>
      <c r="Y106" s="2838"/>
      <c r="Z106" s="2838"/>
      <c r="AA106" s="2838"/>
      <c r="AB106" s="2181"/>
      <c r="AN106" s="2815"/>
    </row>
    <row r="107" spans="1:40" ht="13">
      <c r="A107" s="2181"/>
      <c r="B107" s="2181"/>
      <c r="C107" s="2181"/>
      <c r="D107" s="2181"/>
      <c r="E107" s="2181"/>
      <c r="F107" s="2181"/>
      <c r="G107" s="2181"/>
      <c r="H107" s="2181"/>
      <c r="I107" s="2181"/>
      <c r="J107" s="2181"/>
      <c r="K107" s="2181"/>
      <c r="L107" s="2181"/>
      <c r="M107" s="2181"/>
      <c r="N107" s="2181"/>
      <c r="O107" s="2181"/>
      <c r="P107" s="2181"/>
      <c r="Q107" s="2181"/>
      <c r="R107" s="2181"/>
      <c r="S107" s="2181"/>
      <c r="T107" s="2181"/>
      <c r="U107" s="2838"/>
      <c r="V107" s="2838"/>
      <c r="W107" s="2838"/>
      <c r="X107" s="2838"/>
      <c r="Y107" s="2838"/>
      <c r="Z107" s="2838"/>
      <c r="AA107" s="2838"/>
      <c r="AB107" s="2181"/>
      <c r="AN107" s="2815"/>
    </row>
    <row r="108" spans="1:40" ht="13">
      <c r="A108" s="2181"/>
      <c r="B108" s="2181"/>
      <c r="C108" s="2181"/>
      <c r="D108" s="2181"/>
      <c r="E108" s="2181"/>
      <c r="F108" s="2181"/>
      <c r="G108" s="2181"/>
      <c r="H108" s="2181"/>
      <c r="I108" s="2181"/>
      <c r="J108" s="2181"/>
      <c r="K108" s="2181"/>
      <c r="L108" s="2181"/>
      <c r="M108" s="2181"/>
      <c r="N108" s="2181"/>
      <c r="O108" s="2181"/>
      <c r="P108" s="2181"/>
      <c r="Q108" s="2181"/>
      <c r="R108" s="2181"/>
      <c r="S108" s="2181"/>
      <c r="T108" s="2181"/>
      <c r="U108" s="2838"/>
      <c r="V108" s="2838"/>
      <c r="W108" s="2838"/>
      <c r="X108" s="2838"/>
      <c r="Y108" s="2838"/>
      <c r="Z108" s="2838"/>
      <c r="AA108" s="2838"/>
      <c r="AB108" s="2181"/>
      <c r="AN108" s="2815"/>
    </row>
    <row r="109" spans="1:40" ht="13">
      <c r="A109" s="2181"/>
      <c r="B109" s="2181"/>
      <c r="C109" s="2181"/>
      <c r="D109" s="2181"/>
      <c r="E109" s="2181"/>
      <c r="F109" s="2181"/>
      <c r="G109" s="2181"/>
      <c r="H109" s="2181"/>
      <c r="I109" s="2181"/>
      <c r="J109" s="2181"/>
      <c r="K109" s="2181"/>
      <c r="L109" s="2181"/>
      <c r="M109" s="2181"/>
      <c r="N109" s="2181"/>
      <c r="O109" s="2181"/>
      <c r="P109" s="2181"/>
      <c r="Q109" s="2181"/>
      <c r="R109" s="2181"/>
      <c r="S109" s="2181"/>
      <c r="T109" s="2181"/>
      <c r="U109" s="2838"/>
      <c r="V109" s="2838"/>
      <c r="W109" s="2838"/>
      <c r="X109" s="2838"/>
      <c r="Y109" s="2838"/>
      <c r="Z109" s="2838"/>
      <c r="AA109" s="2838"/>
      <c r="AB109" s="2181"/>
      <c r="AN109" s="2815"/>
    </row>
    <row r="110" spans="1:40" ht="13">
      <c r="A110" s="2181"/>
      <c r="B110" s="2181"/>
      <c r="C110" s="2181"/>
      <c r="D110" s="2181"/>
      <c r="E110" s="2181"/>
      <c r="F110" s="2181"/>
      <c r="G110" s="2181"/>
      <c r="H110" s="2181"/>
      <c r="I110" s="2181"/>
      <c r="J110" s="2181"/>
      <c r="K110" s="2181"/>
      <c r="L110" s="2181"/>
      <c r="M110" s="2181"/>
      <c r="N110" s="2181"/>
      <c r="O110" s="2181"/>
      <c r="P110" s="2181"/>
      <c r="Q110" s="2181"/>
      <c r="R110" s="2181"/>
      <c r="S110" s="2181"/>
      <c r="T110" s="2181"/>
      <c r="U110" s="2838"/>
      <c r="V110" s="2838"/>
      <c r="W110" s="2838"/>
      <c r="X110" s="2838"/>
      <c r="Y110" s="2838"/>
      <c r="Z110" s="2838"/>
      <c r="AA110" s="2838"/>
      <c r="AB110" s="2181"/>
      <c r="AN110" s="2815"/>
    </row>
    <row r="111" spans="1:40" ht="13">
      <c r="A111" s="2181"/>
      <c r="B111" s="2181"/>
      <c r="C111" s="2181"/>
      <c r="D111" s="2181"/>
      <c r="E111" s="2181"/>
      <c r="F111" s="2181"/>
      <c r="G111" s="2181"/>
      <c r="H111" s="2181"/>
      <c r="I111" s="2181"/>
      <c r="J111" s="2181"/>
      <c r="K111" s="2181"/>
      <c r="L111" s="2181"/>
      <c r="M111" s="2181"/>
      <c r="N111" s="2181"/>
      <c r="O111" s="2181"/>
      <c r="P111" s="2181"/>
      <c r="Q111" s="2181"/>
      <c r="R111" s="2181"/>
      <c r="S111" s="2181"/>
      <c r="T111" s="2181"/>
      <c r="U111" s="2838"/>
      <c r="V111" s="2838"/>
      <c r="W111" s="2838"/>
      <c r="X111" s="2838"/>
      <c r="Y111" s="2838"/>
      <c r="Z111" s="2838"/>
      <c r="AA111" s="2838"/>
      <c r="AB111" s="2181"/>
      <c r="AN111" s="2815"/>
    </row>
    <row r="112" spans="1:40" ht="13">
      <c r="A112" s="2181"/>
      <c r="B112" s="2181"/>
      <c r="C112" s="2181"/>
      <c r="D112" s="2181"/>
      <c r="E112" s="2181"/>
      <c r="F112" s="2181"/>
      <c r="G112" s="2181"/>
      <c r="H112" s="2181"/>
      <c r="I112" s="2181"/>
      <c r="J112" s="2181"/>
      <c r="K112" s="2181"/>
      <c r="L112" s="2181"/>
      <c r="M112" s="2181"/>
      <c r="N112" s="2181"/>
      <c r="O112" s="2181"/>
      <c r="P112" s="2181"/>
      <c r="Q112" s="2181"/>
      <c r="R112" s="2181"/>
      <c r="S112" s="2181"/>
      <c r="T112" s="2181"/>
      <c r="U112" s="2838"/>
      <c r="V112" s="2838"/>
      <c r="W112" s="2838"/>
      <c r="X112" s="2838"/>
      <c r="Y112" s="2838"/>
      <c r="Z112" s="2838"/>
      <c r="AA112" s="2838"/>
      <c r="AB112" s="2181"/>
      <c r="AN112" s="2815"/>
    </row>
    <row r="113" spans="1:40" ht="13">
      <c r="A113" s="2181"/>
      <c r="B113" s="2181"/>
      <c r="C113" s="2181"/>
      <c r="D113" s="2181"/>
      <c r="E113" s="2181"/>
      <c r="F113" s="2181"/>
      <c r="G113" s="2181"/>
      <c r="H113" s="2181"/>
      <c r="I113" s="2181"/>
      <c r="J113" s="2181"/>
      <c r="K113" s="2181"/>
      <c r="L113" s="2181"/>
      <c r="M113" s="2181"/>
      <c r="N113" s="2181"/>
      <c r="O113" s="2181"/>
      <c r="P113" s="2181"/>
      <c r="Q113" s="2181"/>
      <c r="R113" s="2181"/>
      <c r="S113" s="2181"/>
      <c r="T113" s="2181"/>
      <c r="U113" s="2838"/>
      <c r="V113" s="2838"/>
      <c r="W113" s="2838"/>
      <c r="X113" s="2838"/>
      <c r="Y113" s="2838"/>
      <c r="Z113" s="2838"/>
      <c r="AA113" s="2838"/>
      <c r="AB113" s="2181"/>
      <c r="AN113" s="2815"/>
    </row>
    <row r="114" spans="1:40" ht="13">
      <c r="A114" s="2181"/>
      <c r="B114" s="2181"/>
      <c r="C114" s="2181"/>
      <c r="D114" s="2181"/>
      <c r="E114" s="2181"/>
      <c r="F114" s="2181"/>
      <c r="G114" s="2181"/>
      <c r="H114" s="2181"/>
      <c r="I114" s="2181"/>
      <c r="J114" s="2181"/>
      <c r="K114" s="2181"/>
      <c r="L114" s="2181"/>
      <c r="M114" s="2181"/>
      <c r="N114" s="2181"/>
      <c r="O114" s="2181"/>
      <c r="P114" s="2181"/>
      <c r="Q114" s="2181"/>
      <c r="R114" s="2181"/>
      <c r="S114" s="2181"/>
      <c r="T114" s="2181"/>
      <c r="U114" s="2838"/>
      <c r="V114" s="2838"/>
      <c r="W114" s="2838"/>
      <c r="X114" s="2838"/>
      <c r="Y114" s="2838"/>
      <c r="Z114" s="2838"/>
      <c r="AA114" s="2838"/>
      <c r="AB114" s="2181"/>
      <c r="AN114" s="2815"/>
    </row>
    <row r="115" spans="1:40" ht="13">
      <c r="A115" s="2181"/>
      <c r="B115" s="2181"/>
      <c r="C115" s="2181"/>
      <c r="D115" s="2181"/>
      <c r="E115" s="2181"/>
      <c r="F115" s="2181"/>
      <c r="G115" s="2181"/>
      <c r="H115" s="2181"/>
      <c r="I115" s="2181"/>
      <c r="J115" s="2181"/>
      <c r="K115" s="2181"/>
      <c r="L115" s="2181"/>
      <c r="M115" s="2181"/>
      <c r="N115" s="2181"/>
      <c r="O115" s="2181"/>
      <c r="P115" s="2181"/>
      <c r="Q115" s="2181"/>
      <c r="R115" s="2181"/>
      <c r="S115" s="2181"/>
      <c r="T115" s="2181"/>
      <c r="U115" s="2838"/>
      <c r="V115" s="2838"/>
      <c r="W115" s="2838"/>
      <c r="X115" s="2838"/>
      <c r="Y115" s="2838"/>
      <c r="Z115" s="2838"/>
      <c r="AA115" s="2838"/>
      <c r="AB115" s="2181"/>
      <c r="AN115" s="2815"/>
    </row>
    <row r="116" spans="1:40" ht="13">
      <c r="A116" s="2181"/>
      <c r="B116" s="2181"/>
      <c r="C116" s="2181"/>
      <c r="D116" s="2181"/>
      <c r="E116" s="2181"/>
      <c r="F116" s="2181"/>
      <c r="G116" s="2181"/>
      <c r="H116" s="2181"/>
      <c r="I116" s="2181"/>
      <c r="J116" s="2181"/>
      <c r="K116" s="2181"/>
      <c r="L116" s="2181"/>
      <c r="M116" s="2181"/>
      <c r="N116" s="2181"/>
      <c r="O116" s="2181"/>
      <c r="P116" s="2181"/>
      <c r="Q116" s="2181"/>
      <c r="R116" s="2181"/>
      <c r="S116" s="2181"/>
      <c r="T116" s="2181"/>
      <c r="U116" s="2838"/>
      <c r="V116" s="2838"/>
      <c r="W116" s="2838"/>
      <c r="X116" s="2838"/>
      <c r="Y116" s="2838"/>
      <c r="Z116" s="2838"/>
      <c r="AA116" s="2838"/>
      <c r="AB116" s="2181"/>
      <c r="AN116" s="2815"/>
    </row>
    <row r="117" spans="1:40" ht="13">
      <c r="A117" s="2181"/>
      <c r="B117" s="2181"/>
      <c r="C117" s="2181"/>
      <c r="D117" s="2181"/>
      <c r="E117" s="2181"/>
      <c r="F117" s="2181"/>
      <c r="G117" s="2181"/>
      <c r="H117" s="2181"/>
      <c r="I117" s="2181"/>
      <c r="J117" s="2181"/>
      <c r="K117" s="2181"/>
      <c r="L117" s="2181"/>
      <c r="M117" s="2181"/>
      <c r="N117" s="2181"/>
      <c r="O117" s="2181"/>
      <c r="P117" s="2181"/>
      <c r="Q117" s="2181"/>
      <c r="R117" s="2181"/>
      <c r="S117" s="2181"/>
      <c r="T117" s="2181"/>
      <c r="U117" s="2838"/>
      <c r="V117" s="2838"/>
      <c r="W117" s="2838"/>
      <c r="X117" s="2838"/>
      <c r="Y117" s="2838"/>
      <c r="Z117" s="2838"/>
      <c r="AA117" s="2838"/>
      <c r="AB117" s="2181"/>
      <c r="AC117" s="2825"/>
      <c r="AD117" s="2825"/>
      <c r="AE117" s="2825"/>
      <c r="AF117" s="2825"/>
      <c r="AG117" s="2825"/>
      <c r="AH117" s="2825"/>
      <c r="AI117" s="2825"/>
      <c r="AJ117" s="2825"/>
      <c r="AK117" s="2825"/>
      <c r="AL117" s="2825"/>
      <c r="AM117" s="2825"/>
      <c r="AN117" s="2815"/>
    </row>
    <row r="118" spans="1:40" s="3021" customFormat="1" ht="13">
      <c r="A118" s="2181"/>
      <c r="B118" s="2181"/>
      <c r="C118" s="2181"/>
      <c r="D118" s="2181"/>
      <c r="E118" s="2181"/>
      <c r="F118" s="2181"/>
      <c r="G118" s="2181"/>
      <c r="H118" s="2181"/>
      <c r="I118" s="2181"/>
      <c r="J118" s="2181"/>
      <c r="K118" s="2181"/>
      <c r="L118" s="2181"/>
      <c r="M118" s="2181"/>
      <c r="N118" s="2181"/>
      <c r="O118" s="2181"/>
      <c r="P118" s="2181"/>
      <c r="Q118" s="2181"/>
      <c r="R118" s="2181"/>
      <c r="S118" s="2181"/>
      <c r="T118" s="2181"/>
      <c r="U118" s="2838"/>
      <c r="V118" s="2838"/>
      <c r="W118" s="2838"/>
      <c r="X118" s="2838"/>
      <c r="Y118" s="2838"/>
      <c r="Z118" s="2838"/>
      <c r="AA118" s="2838"/>
      <c r="AB118" s="2181"/>
      <c r="AC118" s="2826"/>
      <c r="AD118" s="2826"/>
      <c r="AE118" s="2826"/>
      <c r="AF118" s="2826"/>
      <c r="AG118" s="2826"/>
      <c r="AH118" s="2826"/>
      <c r="AI118" s="2826"/>
      <c r="AJ118" s="2826"/>
      <c r="AK118" s="2826"/>
      <c r="AL118" s="2826"/>
      <c r="AM118" s="2826"/>
    </row>
    <row r="119" spans="1:40" s="3021" customFormat="1" ht="13">
      <c r="A119" s="2181"/>
      <c r="B119" s="2181"/>
      <c r="C119" s="2181"/>
      <c r="D119" s="2181"/>
      <c r="E119" s="2181"/>
      <c r="F119" s="2181"/>
      <c r="G119" s="2181"/>
      <c r="H119" s="2181"/>
      <c r="I119" s="2181"/>
      <c r="J119" s="2181"/>
      <c r="K119" s="2181"/>
      <c r="L119" s="2181"/>
      <c r="M119" s="2181"/>
      <c r="N119" s="2181"/>
      <c r="O119" s="2181"/>
      <c r="P119" s="2181"/>
      <c r="Q119" s="2181"/>
      <c r="R119" s="2181"/>
      <c r="S119" s="2181"/>
      <c r="T119" s="2181"/>
      <c r="U119" s="2838"/>
      <c r="V119" s="2838"/>
      <c r="W119" s="2838"/>
      <c r="X119" s="2838"/>
      <c r="Y119" s="2838"/>
      <c r="Z119" s="2838"/>
      <c r="AA119" s="2838"/>
      <c r="AB119" s="2181"/>
      <c r="AC119" s="2826"/>
      <c r="AD119" s="2826"/>
      <c r="AE119" s="2826"/>
      <c r="AF119" s="2826"/>
      <c r="AG119" s="2826"/>
      <c r="AH119" s="2826"/>
      <c r="AI119" s="2826"/>
      <c r="AJ119" s="2826"/>
      <c r="AK119" s="2826"/>
      <c r="AL119" s="2826"/>
      <c r="AM119" s="2826"/>
    </row>
    <row r="120" spans="1:40" s="3021" customFormat="1" ht="13">
      <c r="A120" s="2181"/>
      <c r="B120" s="2181"/>
      <c r="C120" s="2181"/>
      <c r="D120" s="2181"/>
      <c r="E120" s="2181"/>
      <c r="F120" s="2181"/>
      <c r="G120" s="2181"/>
      <c r="H120" s="2181"/>
      <c r="I120" s="2181"/>
      <c r="J120" s="2181"/>
      <c r="K120" s="2181"/>
      <c r="L120" s="2181"/>
      <c r="M120" s="2181"/>
      <c r="N120" s="2181"/>
      <c r="O120" s="2181"/>
      <c r="P120" s="2181"/>
      <c r="Q120" s="2181"/>
      <c r="R120" s="2181"/>
      <c r="S120" s="2181"/>
      <c r="T120" s="2181"/>
      <c r="U120" s="2838"/>
      <c r="V120" s="2838"/>
      <c r="W120" s="2838"/>
      <c r="X120" s="2838"/>
      <c r="Y120" s="2838"/>
      <c r="Z120" s="2838"/>
      <c r="AA120" s="2838"/>
      <c r="AB120" s="2181"/>
      <c r="AC120" s="2826"/>
      <c r="AD120" s="2826"/>
      <c r="AE120" s="2826"/>
      <c r="AF120" s="2826"/>
      <c r="AG120" s="2826"/>
      <c r="AH120" s="2826"/>
      <c r="AI120" s="2826"/>
      <c r="AJ120" s="2826"/>
      <c r="AK120" s="2826"/>
      <c r="AL120" s="2826"/>
      <c r="AM120" s="2826"/>
    </row>
    <row r="121" spans="1:40" s="3021" customFormat="1" ht="13">
      <c r="A121" s="2181"/>
      <c r="B121" s="2181"/>
      <c r="C121" s="2181"/>
      <c r="D121" s="2181"/>
      <c r="E121" s="2181"/>
      <c r="F121" s="2181"/>
      <c r="G121" s="2181"/>
      <c r="H121" s="2181"/>
      <c r="I121" s="2181"/>
      <c r="J121" s="2181"/>
      <c r="K121" s="2181"/>
      <c r="L121" s="2181"/>
      <c r="M121" s="2181"/>
      <c r="N121" s="2181"/>
      <c r="O121" s="2181"/>
      <c r="P121" s="2181"/>
      <c r="Q121" s="2181"/>
      <c r="R121" s="2181"/>
      <c r="S121" s="2181"/>
      <c r="T121" s="2181"/>
      <c r="U121" s="2838"/>
      <c r="V121" s="2838"/>
      <c r="W121" s="2838"/>
      <c r="X121" s="2838"/>
      <c r="Y121" s="2838"/>
      <c r="Z121" s="2838"/>
      <c r="AA121" s="2838"/>
      <c r="AB121" s="2181"/>
      <c r="AC121" s="2826"/>
      <c r="AD121" s="2826"/>
      <c r="AE121" s="2826"/>
      <c r="AF121" s="2826"/>
      <c r="AG121" s="2826"/>
      <c r="AH121" s="2826"/>
      <c r="AI121" s="2826"/>
      <c r="AJ121" s="2826"/>
      <c r="AK121" s="2826"/>
      <c r="AL121" s="2826"/>
      <c r="AM121" s="2826"/>
    </row>
    <row r="122" spans="1:40" s="3021" customFormat="1" ht="13">
      <c r="B122" s="2181"/>
      <c r="C122" s="2181"/>
      <c r="D122" s="2181"/>
      <c r="E122" s="2181"/>
      <c r="F122" s="2181"/>
      <c r="G122" s="146"/>
      <c r="H122" s="146"/>
      <c r="I122" s="146"/>
      <c r="J122" s="146"/>
      <c r="K122" s="146"/>
      <c r="L122" s="146"/>
      <c r="M122" s="2181"/>
      <c r="N122" s="2181"/>
      <c r="O122" s="146"/>
      <c r="P122" s="146"/>
      <c r="Q122" s="2181"/>
      <c r="R122" s="2181"/>
      <c r="S122" s="142"/>
      <c r="T122" s="142"/>
      <c r="U122" s="2838"/>
      <c r="V122" s="2838"/>
      <c r="W122" s="2838"/>
      <c r="X122" s="2838"/>
      <c r="Y122" s="2838"/>
      <c r="Z122" s="2838"/>
      <c r="AA122" s="2838"/>
      <c r="AC122" s="2826"/>
      <c r="AD122" s="2826"/>
      <c r="AE122" s="2826"/>
      <c r="AF122" s="2826"/>
      <c r="AG122" s="2826"/>
      <c r="AH122" s="2826"/>
      <c r="AI122" s="2826"/>
      <c r="AJ122" s="2826"/>
      <c r="AK122" s="2826"/>
      <c r="AL122" s="2826"/>
      <c r="AM122" s="2826"/>
    </row>
    <row r="123" spans="1:40" s="3021" customFormat="1" ht="13">
      <c r="B123" s="2181"/>
      <c r="C123" s="2181"/>
      <c r="D123" s="2181"/>
      <c r="E123" s="2181"/>
      <c r="F123" s="2181"/>
      <c r="G123" s="146"/>
      <c r="H123" s="146"/>
      <c r="I123" s="146"/>
      <c r="J123" s="146"/>
      <c r="K123" s="146"/>
      <c r="L123" s="146"/>
      <c r="M123" s="2181"/>
      <c r="N123" s="2181"/>
      <c r="O123" s="146"/>
      <c r="P123" s="146"/>
      <c r="Q123" s="2181"/>
      <c r="R123" s="2181"/>
      <c r="S123" s="142"/>
      <c r="T123" s="142"/>
      <c r="U123" s="2838"/>
      <c r="V123" s="2838"/>
      <c r="W123" s="2838"/>
      <c r="X123" s="2838"/>
      <c r="Y123" s="2838"/>
      <c r="Z123" s="2838"/>
      <c r="AA123" s="2838"/>
      <c r="AC123" s="2826"/>
      <c r="AD123" s="2826"/>
      <c r="AE123" s="2826"/>
      <c r="AF123" s="2826"/>
      <c r="AG123" s="2826"/>
      <c r="AH123" s="2826"/>
      <c r="AI123" s="2826"/>
      <c r="AJ123" s="2826"/>
      <c r="AK123" s="2826"/>
      <c r="AL123" s="2826"/>
      <c r="AM123" s="2826"/>
    </row>
    <row r="124" spans="1:40" s="3021" customFormat="1" ht="13">
      <c r="B124" s="2181"/>
      <c r="C124" s="2181"/>
      <c r="D124" s="2181"/>
      <c r="E124" s="2181"/>
      <c r="F124" s="2181"/>
      <c r="G124" s="146"/>
      <c r="H124" s="146"/>
      <c r="I124" s="146"/>
      <c r="J124" s="146"/>
      <c r="K124" s="146"/>
      <c r="L124" s="146"/>
      <c r="M124" s="2181"/>
      <c r="N124" s="2181"/>
      <c r="O124" s="146"/>
      <c r="P124" s="146"/>
      <c r="Q124" s="2181"/>
      <c r="R124" s="2181"/>
      <c r="S124" s="142"/>
      <c r="T124" s="142"/>
      <c r="U124" s="2838"/>
      <c r="V124" s="2838"/>
      <c r="W124" s="2838"/>
      <c r="X124" s="2838"/>
      <c r="Y124" s="2838"/>
      <c r="Z124" s="2838"/>
      <c r="AA124" s="2838"/>
      <c r="AC124" s="2826"/>
      <c r="AD124" s="2826"/>
      <c r="AE124" s="2826"/>
      <c r="AF124" s="2826"/>
      <c r="AG124" s="2826"/>
      <c r="AH124" s="2826"/>
      <c r="AI124" s="2826"/>
      <c r="AJ124" s="2826"/>
      <c r="AK124" s="2826"/>
      <c r="AL124" s="2826"/>
      <c r="AM124" s="2826"/>
    </row>
    <row r="125" spans="1:40" s="3021" customFormat="1" ht="13">
      <c r="B125" s="2181"/>
      <c r="C125" s="2181"/>
      <c r="D125" s="2181"/>
      <c r="E125" s="2181"/>
      <c r="F125" s="2181"/>
      <c r="G125" s="146"/>
      <c r="H125" s="146"/>
      <c r="I125" s="146"/>
      <c r="J125" s="146"/>
      <c r="K125" s="146"/>
      <c r="L125" s="146"/>
      <c r="M125" s="2181"/>
      <c r="N125" s="2181"/>
      <c r="O125" s="146"/>
      <c r="P125" s="146"/>
      <c r="Q125" s="2181"/>
      <c r="R125" s="2181"/>
      <c r="S125" s="142"/>
      <c r="T125" s="142"/>
      <c r="U125" s="2838"/>
      <c r="V125" s="2838"/>
      <c r="W125" s="2838"/>
      <c r="X125" s="2838"/>
      <c r="Y125" s="2838"/>
      <c r="Z125" s="2838"/>
      <c r="AA125" s="2838"/>
      <c r="AC125" s="2826"/>
      <c r="AD125" s="2826"/>
      <c r="AE125" s="2826"/>
      <c r="AF125" s="2826"/>
      <c r="AG125" s="2826"/>
      <c r="AH125" s="2826"/>
      <c r="AI125" s="2826"/>
      <c r="AJ125" s="2826"/>
      <c r="AK125" s="2826"/>
      <c r="AL125" s="2826"/>
      <c r="AM125" s="2826"/>
    </row>
    <row r="126" spans="1:40" s="3021" customFormat="1" ht="13">
      <c r="B126" s="2181"/>
      <c r="C126" s="2181"/>
      <c r="D126" s="2181"/>
      <c r="E126" s="2181"/>
      <c r="F126" s="2181"/>
      <c r="G126" s="146"/>
      <c r="H126" s="146"/>
      <c r="I126" s="146"/>
      <c r="J126" s="146"/>
      <c r="K126" s="146"/>
      <c r="L126" s="146"/>
      <c r="M126" s="2181"/>
      <c r="N126" s="2181"/>
      <c r="O126" s="146"/>
      <c r="P126" s="146"/>
      <c r="Q126" s="2181"/>
      <c r="R126" s="2181"/>
      <c r="S126" s="142"/>
      <c r="T126" s="142"/>
      <c r="U126" s="146"/>
      <c r="V126" s="146"/>
      <c r="W126" s="146"/>
      <c r="X126" s="146"/>
      <c r="Y126" s="146"/>
      <c r="Z126" s="146"/>
      <c r="AA126" s="146"/>
      <c r="AC126" s="2826"/>
      <c r="AD126" s="2826"/>
      <c r="AE126" s="2826"/>
      <c r="AF126" s="2826"/>
      <c r="AG126" s="2826"/>
      <c r="AH126" s="2826"/>
      <c r="AI126" s="2826"/>
      <c r="AJ126" s="2826"/>
      <c r="AK126" s="2826"/>
      <c r="AL126" s="2826"/>
      <c r="AM126" s="2826"/>
    </row>
    <row r="127" spans="1:40" s="3021" customFormat="1" ht="13">
      <c r="B127" s="2181"/>
      <c r="C127" s="2181"/>
      <c r="D127" s="2181"/>
      <c r="E127" s="2181"/>
      <c r="F127" s="2181"/>
      <c r="G127" s="146"/>
      <c r="H127" s="146"/>
      <c r="I127" s="146"/>
      <c r="J127" s="146"/>
      <c r="K127" s="146"/>
      <c r="L127" s="146"/>
      <c r="M127" s="2181"/>
      <c r="N127" s="2181"/>
      <c r="O127" s="146"/>
      <c r="P127" s="146"/>
      <c r="Q127" s="2181"/>
      <c r="R127" s="2181"/>
      <c r="S127" s="142"/>
      <c r="T127" s="142"/>
      <c r="U127" s="146"/>
      <c r="V127" s="146"/>
      <c r="W127" s="146"/>
      <c r="X127" s="146"/>
      <c r="Y127" s="146"/>
      <c r="Z127" s="146"/>
      <c r="AA127" s="146"/>
      <c r="AC127" s="2826"/>
      <c r="AD127" s="2826"/>
      <c r="AE127" s="2826"/>
      <c r="AF127" s="2826"/>
      <c r="AG127" s="2826"/>
      <c r="AH127" s="2826"/>
      <c r="AI127" s="2826"/>
      <c r="AJ127" s="2826"/>
      <c r="AK127" s="2826"/>
      <c r="AL127" s="2826"/>
      <c r="AM127" s="2826"/>
    </row>
    <row r="128" spans="1:40" s="3021" customFormat="1" ht="13">
      <c r="B128" s="2181"/>
      <c r="C128" s="2181"/>
      <c r="D128" s="2181"/>
      <c r="E128" s="2181"/>
      <c r="F128" s="2181"/>
      <c r="G128" s="146"/>
      <c r="H128" s="146"/>
      <c r="I128" s="146"/>
      <c r="J128" s="146"/>
      <c r="K128" s="146"/>
      <c r="L128" s="146"/>
      <c r="M128" s="2181"/>
      <c r="N128" s="2181"/>
      <c r="O128" s="146"/>
      <c r="P128" s="146"/>
      <c r="Q128" s="2181"/>
      <c r="R128" s="2181"/>
      <c r="S128" s="142"/>
      <c r="T128" s="142"/>
      <c r="U128" s="146"/>
      <c r="V128" s="146"/>
      <c r="W128" s="146"/>
      <c r="X128" s="146"/>
      <c r="Y128" s="146"/>
      <c r="Z128" s="146"/>
      <c r="AA128" s="146"/>
      <c r="AC128" s="2826"/>
      <c r="AD128" s="2826"/>
      <c r="AE128" s="2826"/>
      <c r="AF128" s="2826"/>
      <c r="AG128" s="2826"/>
      <c r="AH128" s="2826"/>
      <c r="AI128" s="2826"/>
      <c r="AJ128" s="2826"/>
      <c r="AK128" s="2826"/>
      <c r="AL128" s="2826"/>
      <c r="AM128" s="2826"/>
    </row>
    <row r="129" spans="2:39" s="3021" customFormat="1" ht="13">
      <c r="B129" s="2181"/>
      <c r="C129" s="2181"/>
      <c r="D129" s="2181"/>
      <c r="E129" s="2181"/>
      <c r="F129" s="2181"/>
      <c r="G129" s="146"/>
      <c r="H129" s="146"/>
      <c r="I129" s="146"/>
      <c r="J129" s="146"/>
      <c r="K129" s="146"/>
      <c r="L129" s="146"/>
      <c r="M129" s="2181"/>
      <c r="N129" s="2181"/>
      <c r="O129" s="146"/>
      <c r="P129" s="146"/>
      <c r="Q129" s="2181"/>
      <c r="R129" s="2181"/>
      <c r="S129" s="142"/>
      <c r="T129" s="142"/>
      <c r="U129" s="146"/>
      <c r="V129" s="146"/>
      <c r="W129" s="146"/>
      <c r="X129" s="146"/>
      <c r="Y129" s="146"/>
      <c r="Z129" s="146"/>
      <c r="AA129" s="146"/>
      <c r="AC129" s="2826"/>
      <c r="AD129" s="2826"/>
      <c r="AE129" s="2826"/>
      <c r="AF129" s="2826"/>
      <c r="AG129" s="2826"/>
      <c r="AH129" s="2826"/>
      <c r="AI129" s="2826"/>
      <c r="AJ129" s="2826"/>
      <c r="AK129" s="2826"/>
      <c r="AL129" s="2826"/>
      <c r="AM129" s="2826"/>
    </row>
    <row r="130" spans="2:39" s="3021" customFormat="1" ht="13">
      <c r="B130" s="2181"/>
      <c r="C130" s="2181"/>
      <c r="D130" s="2181"/>
      <c r="E130" s="2181"/>
      <c r="F130" s="2181"/>
      <c r="G130" s="146"/>
      <c r="H130" s="146"/>
      <c r="I130" s="146"/>
      <c r="J130" s="146"/>
      <c r="K130" s="146"/>
      <c r="L130" s="146"/>
      <c r="M130" s="2181"/>
      <c r="N130" s="2181"/>
      <c r="O130" s="146"/>
      <c r="P130" s="146"/>
      <c r="Q130" s="2181"/>
      <c r="R130" s="2181"/>
      <c r="S130" s="142"/>
      <c r="T130" s="142"/>
      <c r="U130" s="146"/>
      <c r="V130" s="146"/>
      <c r="W130" s="146"/>
      <c r="X130" s="146"/>
      <c r="Y130" s="146"/>
      <c r="Z130" s="146"/>
      <c r="AA130" s="146"/>
      <c r="AC130" s="2826"/>
      <c r="AD130" s="2826"/>
      <c r="AE130" s="2826"/>
      <c r="AF130" s="2826"/>
      <c r="AG130" s="2826"/>
      <c r="AH130" s="2826"/>
      <c r="AI130" s="2826"/>
      <c r="AJ130" s="2826"/>
      <c r="AK130" s="2826"/>
      <c r="AL130" s="2826"/>
      <c r="AM130" s="2826"/>
    </row>
    <row r="131" spans="2:39" s="3021" customFormat="1" ht="13">
      <c r="B131" s="2181"/>
      <c r="C131" s="2181"/>
      <c r="D131" s="2181"/>
      <c r="E131" s="2181"/>
      <c r="F131" s="2181"/>
      <c r="G131" s="146"/>
      <c r="H131" s="146"/>
      <c r="I131" s="146"/>
      <c r="J131" s="146"/>
      <c r="K131" s="146"/>
      <c r="L131" s="146"/>
      <c r="M131" s="2181"/>
      <c r="N131" s="2181"/>
      <c r="O131" s="146"/>
      <c r="P131" s="146"/>
      <c r="Q131" s="2181"/>
      <c r="R131" s="2181"/>
      <c r="S131" s="142"/>
      <c r="T131" s="142"/>
      <c r="U131" s="146"/>
      <c r="V131" s="146"/>
      <c r="W131" s="146"/>
      <c r="X131" s="146"/>
      <c r="Y131" s="146"/>
      <c r="Z131" s="146"/>
      <c r="AA131" s="146"/>
      <c r="AC131" s="2826"/>
      <c r="AD131" s="2826"/>
      <c r="AE131" s="2826"/>
      <c r="AF131" s="2826"/>
      <c r="AG131" s="2826"/>
      <c r="AH131" s="2826"/>
      <c r="AI131" s="2826"/>
      <c r="AJ131" s="2826"/>
      <c r="AK131" s="2826"/>
      <c r="AL131" s="2826"/>
      <c r="AM131" s="2826"/>
    </row>
    <row r="132" spans="2:39" s="3021" customFormat="1" ht="13">
      <c r="B132" s="2181"/>
      <c r="C132" s="2181"/>
      <c r="D132" s="2181"/>
      <c r="E132" s="2181"/>
      <c r="F132" s="2181"/>
      <c r="G132" s="146"/>
      <c r="H132" s="146"/>
      <c r="I132" s="146"/>
      <c r="J132" s="146"/>
      <c r="K132" s="146"/>
      <c r="L132" s="146"/>
      <c r="M132" s="2181"/>
      <c r="N132" s="2181"/>
      <c r="O132" s="146"/>
      <c r="P132" s="146"/>
      <c r="Q132" s="2181"/>
      <c r="R132" s="2181"/>
      <c r="S132" s="142"/>
      <c r="T132" s="142"/>
      <c r="U132" s="146"/>
      <c r="V132" s="146"/>
      <c r="W132" s="146"/>
      <c r="X132" s="146"/>
      <c r="Y132" s="146"/>
      <c r="Z132" s="146"/>
      <c r="AA132" s="146"/>
      <c r="AC132" s="2826"/>
      <c r="AD132" s="2826"/>
      <c r="AE132" s="2826"/>
      <c r="AF132" s="2826"/>
      <c r="AG132" s="2826"/>
      <c r="AH132" s="2826"/>
      <c r="AI132" s="2826"/>
      <c r="AJ132" s="2826"/>
      <c r="AK132" s="2826"/>
      <c r="AL132" s="2826"/>
      <c r="AM132" s="2826"/>
    </row>
    <row r="133" spans="2:39" s="3021" customFormat="1" ht="13">
      <c r="B133" s="2181"/>
      <c r="C133" s="2181"/>
      <c r="D133" s="2181"/>
      <c r="E133" s="2181"/>
      <c r="F133" s="2181"/>
      <c r="G133" s="146"/>
      <c r="H133" s="146"/>
      <c r="I133" s="146"/>
      <c r="J133" s="146"/>
      <c r="K133" s="146"/>
      <c r="L133" s="146"/>
      <c r="M133" s="2181"/>
      <c r="N133" s="2181"/>
      <c r="O133" s="146"/>
      <c r="P133" s="146"/>
      <c r="Q133" s="2181"/>
      <c r="R133" s="2181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826"/>
      <c r="AD133" s="2826"/>
      <c r="AE133" s="2826"/>
      <c r="AF133" s="2826"/>
      <c r="AG133" s="2826"/>
      <c r="AH133" s="2826"/>
      <c r="AI133" s="2826"/>
      <c r="AJ133" s="2826"/>
      <c r="AK133" s="2826"/>
      <c r="AL133" s="2826"/>
      <c r="AM133" s="2826"/>
    </row>
    <row r="134" spans="2:39" s="3021" customFormat="1" ht="13">
      <c r="B134" s="2181"/>
      <c r="C134" s="2181"/>
      <c r="D134" s="2181"/>
      <c r="E134" s="2181"/>
      <c r="F134" s="2181"/>
      <c r="G134" s="146"/>
      <c r="H134" s="146"/>
      <c r="I134" s="146"/>
      <c r="J134" s="146"/>
      <c r="K134" s="146"/>
      <c r="L134" s="146"/>
      <c r="M134" s="2181"/>
      <c r="N134" s="2181"/>
      <c r="O134" s="146"/>
      <c r="P134" s="146"/>
      <c r="Q134" s="2181"/>
      <c r="R134" s="2181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826"/>
      <c r="AD134" s="2826"/>
      <c r="AE134" s="2826"/>
      <c r="AF134" s="2826"/>
      <c r="AG134" s="2826"/>
      <c r="AH134" s="2826"/>
      <c r="AI134" s="2826"/>
      <c r="AJ134" s="2826"/>
      <c r="AK134" s="2826"/>
      <c r="AL134" s="2826"/>
      <c r="AM134" s="2826"/>
    </row>
    <row r="135" spans="2:39" s="3021" customFormat="1" ht="13">
      <c r="B135" s="2181"/>
      <c r="C135" s="2181"/>
      <c r="D135" s="2181"/>
      <c r="E135" s="2181"/>
      <c r="F135" s="2181"/>
      <c r="G135" s="146"/>
      <c r="H135" s="146"/>
      <c r="I135" s="146"/>
      <c r="J135" s="146"/>
      <c r="K135" s="146"/>
      <c r="L135" s="146"/>
      <c r="M135" s="2181"/>
      <c r="N135" s="2181"/>
      <c r="O135" s="146"/>
      <c r="P135" s="146"/>
      <c r="Q135" s="2181"/>
      <c r="R135" s="2181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826"/>
      <c r="AD135" s="2826"/>
      <c r="AE135" s="2826"/>
      <c r="AF135" s="2826"/>
      <c r="AG135" s="2826"/>
      <c r="AH135" s="2826"/>
      <c r="AI135" s="2826"/>
      <c r="AJ135" s="2826"/>
      <c r="AK135" s="2826"/>
      <c r="AL135" s="2826"/>
      <c r="AM135" s="2826"/>
    </row>
    <row r="136" spans="2:39" s="3021" customFormat="1" ht="13">
      <c r="B136" s="2181"/>
      <c r="C136" s="2181"/>
      <c r="D136" s="2181"/>
      <c r="E136" s="2181"/>
      <c r="F136" s="2181"/>
      <c r="G136" s="146"/>
      <c r="H136" s="146"/>
      <c r="I136" s="146"/>
      <c r="J136" s="146"/>
      <c r="K136" s="146"/>
      <c r="L136" s="146"/>
      <c r="M136" s="2181"/>
      <c r="N136" s="2181"/>
      <c r="O136" s="146"/>
      <c r="P136" s="146"/>
      <c r="Q136" s="2181"/>
      <c r="R136" s="2181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826"/>
      <c r="AD136" s="2826"/>
      <c r="AE136" s="2826"/>
      <c r="AF136" s="2826"/>
      <c r="AG136" s="2826"/>
      <c r="AH136" s="2826"/>
      <c r="AI136" s="2826"/>
      <c r="AJ136" s="2826"/>
      <c r="AK136" s="2826"/>
      <c r="AL136" s="2826"/>
      <c r="AM136" s="2826"/>
    </row>
    <row r="137" spans="2:39" s="3021" customFormat="1" ht="13">
      <c r="B137" s="2181"/>
      <c r="C137" s="2181"/>
      <c r="D137" s="2181"/>
      <c r="E137" s="2181"/>
      <c r="F137" s="2181"/>
      <c r="G137" s="146"/>
      <c r="H137" s="146"/>
      <c r="I137" s="146"/>
      <c r="J137" s="146"/>
      <c r="K137" s="146"/>
      <c r="L137" s="146"/>
      <c r="M137" s="2181"/>
      <c r="N137" s="2181"/>
      <c r="O137" s="146"/>
      <c r="P137" s="146"/>
      <c r="Q137" s="2181"/>
      <c r="R137" s="2181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826"/>
      <c r="AD137" s="2826"/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2:39" s="3021" customFormat="1" ht="13">
      <c r="B138" s="2181"/>
      <c r="C138" s="2181"/>
      <c r="D138" s="2181"/>
      <c r="E138" s="2181"/>
      <c r="F138" s="2181"/>
      <c r="G138" s="146"/>
      <c r="H138" s="146"/>
      <c r="I138" s="146"/>
      <c r="J138" s="146"/>
      <c r="K138" s="146"/>
      <c r="L138" s="146"/>
      <c r="M138" s="2181"/>
      <c r="N138" s="2181"/>
      <c r="O138" s="146"/>
      <c r="P138" s="146"/>
      <c r="Q138" s="2181"/>
      <c r="R138" s="2181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826"/>
      <c r="AD138" s="2826"/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2:39" s="3021" customFormat="1" ht="13">
      <c r="B139" s="2181"/>
      <c r="C139" s="2181"/>
      <c r="D139" s="2181"/>
      <c r="E139" s="2181"/>
      <c r="F139" s="2181"/>
      <c r="G139" s="146"/>
      <c r="H139" s="146"/>
      <c r="I139" s="146"/>
      <c r="J139" s="146"/>
      <c r="K139" s="146"/>
      <c r="L139" s="146"/>
      <c r="M139" s="2181"/>
      <c r="N139" s="2181"/>
      <c r="O139" s="146"/>
      <c r="P139" s="146"/>
      <c r="Q139" s="2181"/>
      <c r="R139" s="2181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82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2:39" s="3021" customFormat="1" ht="13">
      <c r="B140" s="2181"/>
      <c r="C140" s="2181"/>
      <c r="D140" s="2181"/>
      <c r="E140" s="2181"/>
      <c r="F140" s="2181"/>
      <c r="G140" s="146"/>
      <c r="H140" s="146"/>
      <c r="I140" s="146"/>
      <c r="J140" s="146"/>
      <c r="K140" s="146"/>
      <c r="L140" s="146"/>
      <c r="M140" s="2181"/>
      <c r="N140" s="2181"/>
      <c r="O140" s="146"/>
      <c r="P140" s="146"/>
      <c r="Q140" s="2181"/>
      <c r="R140" s="2181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826"/>
      <c r="AD140" s="2826"/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2:39" s="3021" customFormat="1" ht="13">
      <c r="B141" s="2181"/>
      <c r="C141" s="2181"/>
      <c r="D141" s="2181"/>
      <c r="E141" s="2181"/>
      <c r="F141" s="2181"/>
      <c r="G141" s="146"/>
      <c r="H141" s="146"/>
      <c r="I141" s="146"/>
      <c r="J141" s="146"/>
      <c r="K141" s="146"/>
      <c r="L141" s="146"/>
      <c r="M141" s="2181"/>
      <c r="N141" s="2181"/>
      <c r="O141" s="146"/>
      <c r="P141" s="146"/>
      <c r="Q141" s="2181"/>
      <c r="R141" s="2181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2:39" s="3021" customFormat="1" ht="13">
      <c r="B142" s="2181"/>
      <c r="C142" s="2181"/>
      <c r="D142" s="2181"/>
      <c r="E142" s="2181"/>
      <c r="F142" s="2181"/>
      <c r="G142" s="146"/>
      <c r="H142" s="146"/>
      <c r="I142" s="146"/>
      <c r="J142" s="146"/>
      <c r="K142" s="146"/>
      <c r="L142" s="146"/>
      <c r="M142" s="2181"/>
      <c r="N142" s="2181"/>
      <c r="O142" s="146"/>
      <c r="P142" s="146"/>
      <c r="Q142" s="2181"/>
      <c r="R142" s="2181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2:39" s="3021" customFormat="1" ht="13">
      <c r="B143" s="2181"/>
      <c r="C143" s="2181"/>
      <c r="D143" s="2181"/>
      <c r="E143" s="2181"/>
      <c r="F143" s="2181"/>
      <c r="G143" s="146"/>
      <c r="H143" s="146"/>
      <c r="I143" s="146"/>
      <c r="J143" s="146"/>
      <c r="K143" s="146"/>
      <c r="L143" s="146"/>
      <c r="M143" s="2181"/>
      <c r="N143" s="2181"/>
      <c r="O143" s="146"/>
      <c r="P143" s="146"/>
      <c r="Q143" s="2181"/>
      <c r="R143" s="2181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2:39" s="3021" customFormat="1" ht="13">
      <c r="B144" s="2181"/>
      <c r="C144" s="2181"/>
      <c r="D144" s="2181"/>
      <c r="E144" s="2181"/>
      <c r="F144" s="2181"/>
      <c r="G144" s="146"/>
      <c r="H144" s="146"/>
      <c r="I144" s="146"/>
      <c r="J144" s="146"/>
      <c r="K144" s="146"/>
      <c r="L144" s="146"/>
      <c r="M144" s="2181"/>
      <c r="N144" s="2181"/>
      <c r="O144" s="146"/>
      <c r="P144" s="146"/>
      <c r="Q144" s="2181"/>
      <c r="R144" s="2181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41" s="3021" customFormat="1" ht="13">
      <c r="B145" s="2181"/>
      <c r="C145" s="2181"/>
      <c r="D145" s="2181"/>
      <c r="E145" s="2181"/>
      <c r="F145" s="2181"/>
      <c r="G145" s="146"/>
      <c r="H145" s="146"/>
      <c r="I145" s="146"/>
      <c r="J145" s="146"/>
      <c r="K145" s="146"/>
      <c r="L145" s="146"/>
      <c r="M145" s="2181"/>
      <c r="N145" s="2181"/>
      <c r="O145" s="146"/>
      <c r="P145" s="146"/>
      <c r="Q145" s="2181"/>
      <c r="R145" s="2181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41" s="3021" customFormat="1" ht="13">
      <c r="B146" s="2181"/>
      <c r="C146" s="2181"/>
      <c r="D146" s="2181"/>
      <c r="E146" s="2181"/>
      <c r="F146" s="2181"/>
      <c r="G146" s="146"/>
      <c r="H146" s="146"/>
      <c r="I146" s="146"/>
      <c r="J146" s="146"/>
      <c r="K146" s="146"/>
      <c r="L146" s="146"/>
      <c r="M146" s="2181"/>
      <c r="N146" s="2181"/>
      <c r="O146" s="146"/>
      <c r="P146" s="146"/>
      <c r="Q146" s="2181"/>
      <c r="R146" s="2181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41" s="3021" customFormat="1" ht="13">
      <c r="B147" s="2181"/>
      <c r="C147" s="2181"/>
      <c r="D147" s="2181"/>
      <c r="E147" s="2181"/>
      <c r="F147" s="2181"/>
      <c r="G147" s="146"/>
      <c r="H147" s="146"/>
      <c r="I147" s="146"/>
      <c r="J147" s="146"/>
      <c r="K147" s="146"/>
      <c r="L147" s="146"/>
      <c r="M147" s="2181"/>
      <c r="N147" s="2181"/>
      <c r="O147" s="146"/>
      <c r="P147" s="146"/>
      <c r="Q147" s="2181"/>
      <c r="R147" s="2181"/>
      <c r="S147" s="142"/>
      <c r="T147" s="142"/>
      <c r="U147" s="146"/>
      <c r="V147" s="146"/>
      <c r="W147" s="146"/>
      <c r="X147" s="146"/>
      <c r="Y147" s="146"/>
      <c r="Z147" s="146"/>
      <c r="AA147" s="146"/>
      <c r="AB147" s="3021">
        <f>SUBTOTAL(9,AB105:AB146)</f>
        <v>0</v>
      </c>
      <c r="AC147" s="2826">
        <f>SUBTOTAL(9,AC105:AC146)</f>
        <v>0</v>
      </c>
      <c r="AD147" s="2826">
        <f>SUBTOTAL(9,AD105:AD146)</f>
        <v>0</v>
      </c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41" s="3021" customFormat="1" ht="13">
      <c r="B148" s="2181"/>
      <c r="C148" s="2181"/>
      <c r="D148" s="2181"/>
      <c r="E148" s="2181"/>
      <c r="F148" s="2181"/>
      <c r="G148" s="146"/>
      <c r="H148" s="146"/>
      <c r="I148" s="146"/>
      <c r="J148" s="146"/>
      <c r="K148" s="146"/>
      <c r="L148" s="146"/>
      <c r="M148" s="2181"/>
      <c r="N148" s="2181"/>
      <c r="O148" s="146"/>
      <c r="P148" s="146"/>
      <c r="Q148" s="2181"/>
      <c r="R148" s="2181"/>
      <c r="S148" s="142"/>
      <c r="T148" s="142"/>
      <c r="U148" s="146"/>
      <c r="V148" s="146"/>
      <c r="W148" s="146"/>
      <c r="X148" s="146"/>
      <c r="Y148" s="146"/>
      <c r="Z148" s="146"/>
      <c r="AA148" s="146"/>
      <c r="AB148" s="3021">
        <v>0</v>
      </c>
      <c r="AC148" s="2826">
        <v>0</v>
      </c>
      <c r="AD148" s="2826">
        <v>0</v>
      </c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41" s="3021" customFormat="1" ht="14" customHeight="1">
      <c r="B149" s="2181"/>
      <c r="C149" s="2181"/>
      <c r="D149" s="2181"/>
      <c r="E149" s="2181"/>
      <c r="F149" s="2181"/>
      <c r="G149" s="146"/>
      <c r="H149" s="146"/>
      <c r="I149" s="146"/>
      <c r="J149" s="146"/>
      <c r="K149" s="146"/>
      <c r="L149" s="146"/>
      <c r="M149" s="2181"/>
      <c r="N149" s="2181"/>
      <c r="O149" s="146"/>
      <c r="P149" s="146"/>
      <c r="Q149" s="2181"/>
      <c r="R149" s="2181"/>
      <c r="S149" s="142"/>
      <c r="T149" s="142"/>
      <c r="U149" s="146"/>
      <c r="V149" s="146"/>
      <c r="W149" s="146"/>
      <c r="X149" s="146"/>
      <c r="Y149" s="146"/>
      <c r="Z149" s="146"/>
      <c r="AA149" s="146"/>
      <c r="AB149" s="3021">
        <v>0</v>
      </c>
      <c r="AC149" s="2826">
        <v>0</v>
      </c>
      <c r="AD149" s="2826">
        <v>0</v>
      </c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41" s="3021" customFormat="1" ht="14" customHeight="1">
      <c r="B150" s="2181"/>
      <c r="C150" s="2181"/>
      <c r="D150" s="2181"/>
      <c r="E150" s="2181"/>
      <c r="F150" s="2181"/>
      <c r="G150" s="146"/>
      <c r="H150" s="146"/>
      <c r="I150" s="146"/>
      <c r="J150" s="146"/>
      <c r="K150" s="146"/>
      <c r="L150" s="146"/>
      <c r="M150" s="2181"/>
      <c r="N150" s="2181"/>
      <c r="O150" s="146"/>
      <c r="P150" s="146"/>
      <c r="Q150" s="2181"/>
      <c r="R150" s="2181"/>
      <c r="S150" s="142"/>
      <c r="T150" s="142"/>
      <c r="U150" s="146"/>
      <c r="V150" s="146"/>
      <c r="W150" s="146"/>
      <c r="X150" s="146"/>
      <c r="Y150" s="146"/>
      <c r="Z150" s="146"/>
      <c r="AA150" s="146"/>
      <c r="AB150" s="3021">
        <v>0</v>
      </c>
      <c r="AC150" s="2826">
        <v>0</v>
      </c>
      <c r="AD150" s="2826">
        <v>0</v>
      </c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41" s="3021" customFormat="1" ht="14" customHeight="1">
      <c r="B151" s="2181"/>
      <c r="C151" s="2181"/>
      <c r="D151" s="2181"/>
      <c r="E151" s="2181"/>
      <c r="F151" s="2181"/>
      <c r="G151" s="146"/>
      <c r="H151" s="146"/>
      <c r="I151" s="146"/>
      <c r="J151" s="146"/>
      <c r="K151" s="146"/>
      <c r="L151" s="146"/>
      <c r="M151" s="2181"/>
      <c r="N151" s="2181"/>
      <c r="O151" s="146"/>
      <c r="P151" s="146"/>
      <c r="Q151" s="2181"/>
      <c r="R151" s="2181"/>
      <c r="S151" s="142"/>
      <c r="T151" s="142"/>
      <c r="U151" s="146"/>
      <c r="V151" s="146"/>
      <c r="W151" s="146"/>
      <c r="X151" s="146"/>
      <c r="Y151" s="146"/>
      <c r="Z151" s="146"/>
      <c r="AA151" s="146"/>
      <c r="AB151" s="3021">
        <v>0</v>
      </c>
      <c r="AC151" s="2826">
        <v>0</v>
      </c>
      <c r="AD151" s="2826">
        <v>0</v>
      </c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41" s="3021" customFormat="1" ht="14" customHeight="1">
      <c r="B152" s="2181"/>
      <c r="C152" s="2181"/>
      <c r="D152" s="2181"/>
      <c r="E152" s="2181"/>
      <c r="F152" s="2181"/>
      <c r="G152" s="146"/>
      <c r="H152" s="146"/>
      <c r="I152" s="146"/>
      <c r="J152" s="146"/>
      <c r="K152" s="146"/>
      <c r="L152" s="146"/>
      <c r="M152" s="2181"/>
      <c r="N152" s="2181"/>
      <c r="O152" s="146"/>
      <c r="P152" s="146"/>
      <c r="Q152" s="2181"/>
      <c r="R152" s="2181"/>
      <c r="S152" s="142"/>
      <c r="T152" s="142"/>
      <c r="U152" s="146"/>
      <c r="V152" s="146"/>
      <c r="W152" s="146"/>
      <c r="X152" s="146"/>
      <c r="Y152" s="146"/>
      <c r="Z152" s="146"/>
      <c r="AA152" s="146"/>
      <c r="AB152" s="3021">
        <v>0</v>
      </c>
      <c r="AC152" s="2826">
        <v>0</v>
      </c>
      <c r="AD152" s="2826">
        <v>0</v>
      </c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41" s="3021" customFormat="1" ht="14" customHeight="1">
      <c r="B153" s="2181"/>
      <c r="C153" s="2181"/>
      <c r="D153" s="2181"/>
      <c r="E153" s="2181"/>
      <c r="F153" s="2181"/>
      <c r="G153" s="146"/>
      <c r="H153" s="146"/>
      <c r="I153" s="146"/>
      <c r="J153" s="146"/>
      <c r="K153" s="146"/>
      <c r="L153" s="146"/>
      <c r="M153" s="2181"/>
      <c r="N153" s="2181"/>
      <c r="O153" s="146"/>
      <c r="P153" s="146"/>
      <c r="Q153" s="2181"/>
      <c r="R153" s="2181"/>
      <c r="S153" s="142"/>
      <c r="T153" s="142"/>
      <c r="U153" s="146"/>
      <c r="V153" s="146"/>
      <c r="W153" s="146"/>
      <c r="X153" s="146"/>
      <c r="Y153" s="146"/>
      <c r="Z153" s="146"/>
      <c r="AA153" s="146"/>
      <c r="AB153" s="3021">
        <v>0</v>
      </c>
      <c r="AC153" s="2826">
        <v>0</v>
      </c>
      <c r="AD153" s="2826">
        <v>0</v>
      </c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41" s="3021" customFormat="1" ht="14" customHeight="1">
      <c r="B154" s="2181"/>
      <c r="C154" s="2181"/>
      <c r="D154" s="2181"/>
      <c r="E154" s="2181"/>
      <c r="F154" s="2181"/>
      <c r="G154" s="146"/>
      <c r="H154" s="146"/>
      <c r="I154" s="146"/>
      <c r="J154" s="146"/>
      <c r="K154" s="146"/>
      <c r="L154" s="146"/>
      <c r="M154" s="2181"/>
      <c r="N154" s="2181"/>
      <c r="O154" s="146"/>
      <c r="P154" s="146"/>
      <c r="Q154" s="2181"/>
      <c r="R154" s="2181"/>
      <c r="S154" s="142"/>
      <c r="T154" s="142"/>
      <c r="U154" s="146"/>
      <c r="V154" s="146"/>
      <c r="W154" s="146"/>
      <c r="X154" s="146"/>
      <c r="Y154" s="146"/>
      <c r="Z154" s="146"/>
      <c r="AA154" s="146"/>
      <c r="AB154" s="3021">
        <v>0</v>
      </c>
      <c r="AC154" s="2826">
        <v>0</v>
      </c>
      <c r="AD154" s="2826">
        <v>0</v>
      </c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41" s="3021" customFormat="1" ht="14" customHeight="1">
      <c r="B155" s="2181"/>
      <c r="C155" s="2181"/>
      <c r="D155" s="2181"/>
      <c r="E155" s="2181"/>
      <c r="F155" s="2181"/>
      <c r="G155" s="146"/>
      <c r="H155" s="146"/>
      <c r="I155" s="146"/>
      <c r="J155" s="146"/>
      <c r="K155" s="146"/>
      <c r="L155" s="146"/>
      <c r="M155" s="2181"/>
      <c r="N155" s="2181"/>
      <c r="O155" s="146"/>
      <c r="P155" s="146"/>
      <c r="Q155" s="2181"/>
      <c r="R155" s="2181"/>
      <c r="S155" s="142"/>
      <c r="T155" s="142"/>
      <c r="U155" s="146"/>
      <c r="V155" s="146"/>
      <c r="W155" s="146"/>
      <c r="X155" s="146"/>
      <c r="Y155" s="146"/>
      <c r="Z155" s="146"/>
      <c r="AA155" s="146"/>
      <c r="AB155" s="3021">
        <v>0</v>
      </c>
      <c r="AC155" s="2826">
        <v>0</v>
      </c>
      <c r="AD155" s="2826">
        <v>0</v>
      </c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41" s="3021" customFormat="1" ht="14" customHeight="1">
      <c r="B156" s="2181"/>
      <c r="C156" s="2181"/>
      <c r="D156" s="2181"/>
      <c r="E156" s="2181"/>
      <c r="F156" s="2181"/>
      <c r="G156" s="146"/>
      <c r="H156" s="146"/>
      <c r="I156" s="146"/>
      <c r="J156" s="146"/>
      <c r="K156" s="146"/>
      <c r="L156" s="146"/>
      <c r="M156" s="2181"/>
      <c r="N156" s="2181"/>
      <c r="O156" s="146"/>
      <c r="P156" s="146"/>
      <c r="Q156" s="2181"/>
      <c r="R156" s="2181"/>
      <c r="S156" s="142"/>
      <c r="T156" s="142"/>
      <c r="U156" s="146"/>
      <c r="V156" s="146"/>
      <c r="W156" s="146"/>
      <c r="X156" s="146"/>
      <c r="Y156" s="146"/>
      <c r="Z156" s="146"/>
      <c r="AA156" s="146"/>
      <c r="AB156" s="3021">
        <v>0</v>
      </c>
      <c r="AC156" s="2826">
        <v>0</v>
      </c>
      <c r="AD156" s="2826">
        <v>0</v>
      </c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41" s="3021" customFormat="1" ht="14" customHeight="1">
      <c r="B157" s="2181"/>
      <c r="C157" s="2181"/>
      <c r="D157" s="2181"/>
      <c r="E157" s="2181"/>
      <c r="F157" s="2181"/>
      <c r="G157" s="146"/>
      <c r="H157" s="146"/>
      <c r="I157" s="146"/>
      <c r="J157" s="146"/>
      <c r="K157" s="146"/>
      <c r="L157" s="146"/>
      <c r="M157" s="2181"/>
      <c r="N157" s="2181"/>
      <c r="O157" s="146"/>
      <c r="P157" s="146"/>
      <c r="Q157" s="2181"/>
      <c r="R157" s="2181"/>
      <c r="S157" s="142"/>
      <c r="T157" s="142"/>
      <c r="U157" s="146"/>
      <c r="V157" s="146"/>
      <c r="W157" s="146"/>
      <c r="X157" s="146"/>
      <c r="Y157" s="146"/>
      <c r="Z157" s="146"/>
      <c r="AA157" s="146"/>
      <c r="AB157" s="3021">
        <v>0</v>
      </c>
      <c r="AC157" s="2826">
        <v>0</v>
      </c>
      <c r="AD157" s="2826">
        <v>0</v>
      </c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41" s="3021" customFormat="1" ht="14" customHeight="1">
      <c r="B158" s="2181"/>
      <c r="C158" s="2181"/>
      <c r="D158" s="2181"/>
      <c r="E158" s="2181"/>
      <c r="F158" s="2181"/>
      <c r="G158" s="146"/>
      <c r="H158" s="146"/>
      <c r="I158" s="146"/>
      <c r="J158" s="146"/>
      <c r="K158" s="146"/>
      <c r="L158" s="146"/>
      <c r="M158" s="2181"/>
      <c r="N158" s="2181"/>
      <c r="O158" s="146"/>
      <c r="P158" s="146"/>
      <c r="Q158" s="2181"/>
      <c r="R158" s="2181"/>
      <c r="S158" s="142"/>
      <c r="T158" s="142"/>
      <c r="U158" s="146">
        <f>SUBTOTAL(9,U116:U157)</f>
        <v>0</v>
      </c>
      <c r="V158" s="146">
        <f t="shared" ref="V158:AA158" si="42">SUBTOTAL(9,V116:V157)</f>
        <v>0</v>
      </c>
      <c r="W158" s="146">
        <f t="shared" si="42"/>
        <v>0</v>
      </c>
      <c r="X158" s="146">
        <f t="shared" si="42"/>
        <v>0</v>
      </c>
      <c r="Y158" s="146">
        <f t="shared" si="42"/>
        <v>0</v>
      </c>
      <c r="Z158" s="146">
        <f t="shared" si="42"/>
        <v>0</v>
      </c>
      <c r="AA158" s="146">
        <f t="shared" si="42"/>
        <v>0</v>
      </c>
      <c r="AB158" s="3021">
        <v>0</v>
      </c>
      <c r="AC158" s="2826">
        <v>0</v>
      </c>
      <c r="AD158" s="2826">
        <v>0</v>
      </c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41" s="2825" customFormat="1" ht="14" customHeight="1">
      <c r="B159" s="2181"/>
      <c r="C159" s="2181"/>
      <c r="D159" s="2181"/>
      <c r="E159" s="2181"/>
      <c r="F159" s="2181"/>
      <c r="G159" s="141"/>
      <c r="H159" s="141"/>
      <c r="I159" s="141"/>
      <c r="J159" s="141"/>
      <c r="K159" s="141"/>
      <c r="L159" s="141"/>
      <c r="M159" s="2181"/>
      <c r="N159" s="2181"/>
      <c r="O159" s="141"/>
      <c r="P159" s="141"/>
      <c r="Q159" s="148"/>
      <c r="R159" s="148"/>
      <c r="S159" s="149"/>
      <c r="T159" s="149"/>
      <c r="U159" s="2181"/>
      <c r="V159" s="2181"/>
      <c r="W159" s="2181"/>
      <c r="X159" s="2181"/>
      <c r="Y159" s="2181"/>
      <c r="Z159" s="2181"/>
      <c r="AA159" s="2181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41" s="2825" customFormat="1" ht="14" customHeight="1">
      <c r="B160" s="2181"/>
      <c r="C160" s="2181"/>
      <c r="D160" s="2181"/>
      <c r="E160" s="2181"/>
      <c r="F160" s="2181"/>
      <c r="G160" s="141"/>
      <c r="H160" s="141"/>
      <c r="I160" s="141"/>
      <c r="J160" s="141"/>
      <c r="K160" s="141"/>
      <c r="L160" s="141"/>
      <c r="M160" s="2181"/>
      <c r="N160" s="2181"/>
      <c r="O160" s="141"/>
      <c r="P160" s="141"/>
      <c r="Q160" s="148"/>
      <c r="R160" s="148"/>
      <c r="S160" s="148"/>
      <c r="T160" s="149"/>
      <c r="U160" s="2181"/>
      <c r="V160" s="2181"/>
      <c r="W160" s="2181"/>
      <c r="X160" s="2181"/>
      <c r="Y160" s="2181"/>
      <c r="Z160" s="2181"/>
      <c r="AA160" s="2181"/>
      <c r="AB160" s="3022"/>
      <c r="AC160" s="3022"/>
      <c r="AE160" s="2826"/>
      <c r="AF160" s="2826"/>
      <c r="AG160" s="2826"/>
      <c r="AH160" s="2826"/>
      <c r="AI160" s="2826"/>
      <c r="AJ160" s="2826"/>
      <c r="AK160" s="2826"/>
      <c r="AL160" s="2826"/>
      <c r="AM160" s="2826"/>
      <c r="AN160" s="2826"/>
      <c r="AO160" s="2826"/>
    </row>
    <row r="161" spans="2:39" s="3021" customFormat="1" ht="14" customHeight="1">
      <c r="B161" s="2181"/>
      <c r="C161" s="2181"/>
      <c r="D161" s="2181"/>
      <c r="E161" s="2181"/>
      <c r="F161" s="2181"/>
      <c r="G161" s="146"/>
      <c r="H161" s="146"/>
      <c r="I161" s="146"/>
      <c r="J161" s="146"/>
      <c r="K161" s="146"/>
      <c r="L161" s="146"/>
      <c r="M161" s="2181"/>
      <c r="N161" s="2181"/>
      <c r="O161" s="146"/>
      <c r="P161" s="146"/>
      <c r="Q161" s="2181"/>
      <c r="R161" s="2181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4" customHeight="1">
      <c r="B162" s="2181"/>
      <c r="C162" s="2181"/>
      <c r="D162" s="2181"/>
      <c r="E162" s="2181"/>
      <c r="F162" s="2181"/>
      <c r="G162" s="146"/>
      <c r="H162" s="146"/>
      <c r="I162" s="146"/>
      <c r="J162" s="146"/>
      <c r="K162" s="146"/>
      <c r="L162" s="146"/>
      <c r="M162" s="2181"/>
      <c r="N162" s="2181"/>
      <c r="O162" s="146"/>
      <c r="P162" s="146"/>
      <c r="Q162" s="2181"/>
      <c r="R162" s="2181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4" customHeight="1">
      <c r="B163" s="2181"/>
      <c r="C163" s="2181"/>
      <c r="D163" s="2181"/>
      <c r="E163" s="2181"/>
      <c r="F163" s="2181"/>
      <c r="G163" s="146"/>
      <c r="H163" s="146"/>
      <c r="I163" s="146"/>
      <c r="J163" s="146"/>
      <c r="K163" s="146"/>
      <c r="L163" s="146"/>
      <c r="M163" s="2181"/>
      <c r="N163" s="2181"/>
      <c r="O163" s="146"/>
      <c r="P163" s="146"/>
      <c r="Q163" s="2181"/>
      <c r="R163" s="2181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4" customHeight="1">
      <c r="B164" s="2181"/>
      <c r="C164" s="2181"/>
      <c r="D164" s="2181"/>
      <c r="E164" s="2181"/>
      <c r="F164" s="2181"/>
      <c r="G164" s="146"/>
      <c r="H164" s="146"/>
      <c r="I164" s="146"/>
      <c r="J164" s="146"/>
      <c r="K164" s="146"/>
      <c r="L164" s="146"/>
      <c r="M164" s="2181"/>
      <c r="N164" s="2181"/>
      <c r="O164" s="146"/>
      <c r="P164" s="146"/>
      <c r="Q164" s="2181"/>
      <c r="R164" s="2181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3">
      <c r="B165" s="2181"/>
      <c r="C165" s="2181"/>
      <c r="D165" s="2181"/>
      <c r="E165" s="2181"/>
      <c r="F165" s="2181"/>
      <c r="G165" s="146"/>
      <c r="H165" s="146"/>
      <c r="I165" s="146"/>
      <c r="J165" s="146"/>
      <c r="K165" s="146"/>
      <c r="L165" s="146"/>
      <c r="M165" s="2181"/>
      <c r="N165" s="2181"/>
      <c r="O165" s="146"/>
      <c r="P165" s="146"/>
      <c r="Q165" s="2181"/>
      <c r="R165" s="2181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3">
      <c r="B166" s="2181"/>
      <c r="C166" s="2181"/>
      <c r="D166" s="2181"/>
      <c r="E166" s="2181"/>
      <c r="F166" s="2181"/>
      <c r="G166" s="146"/>
      <c r="H166" s="146"/>
      <c r="I166" s="146"/>
      <c r="J166" s="146"/>
      <c r="K166" s="146"/>
      <c r="L166" s="146"/>
      <c r="M166" s="2181"/>
      <c r="N166" s="2181"/>
      <c r="O166" s="146"/>
      <c r="P166" s="146"/>
      <c r="Q166" s="2181"/>
      <c r="R166" s="2181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3">
      <c r="B167" s="2181"/>
      <c r="C167" s="2181"/>
      <c r="D167" s="2181"/>
      <c r="E167" s="2181"/>
      <c r="F167" s="2181"/>
      <c r="G167" s="146"/>
      <c r="H167" s="146"/>
      <c r="I167" s="146"/>
      <c r="J167" s="146"/>
      <c r="K167" s="146"/>
      <c r="L167" s="146"/>
      <c r="M167" s="2181"/>
      <c r="N167" s="2181"/>
      <c r="O167" s="146"/>
      <c r="P167" s="146"/>
      <c r="Q167" s="2181"/>
      <c r="R167" s="2181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3">
      <c r="B168" s="2181"/>
      <c r="C168" s="2181"/>
      <c r="D168" s="2181"/>
      <c r="E168" s="2181"/>
      <c r="F168" s="2181"/>
      <c r="G168" s="146"/>
      <c r="H168" s="146"/>
      <c r="I168" s="146"/>
      <c r="J168" s="146"/>
      <c r="K168" s="146"/>
      <c r="L168" s="146"/>
      <c r="M168" s="2181"/>
      <c r="N168" s="2181"/>
      <c r="O168" s="146"/>
      <c r="P168" s="146"/>
      <c r="Q168" s="2181"/>
      <c r="R168" s="2181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3">
      <c r="B169" s="2181"/>
      <c r="C169" s="2181"/>
      <c r="D169" s="2181"/>
      <c r="E169" s="2181"/>
      <c r="F169" s="2181"/>
      <c r="G169" s="146"/>
      <c r="H169" s="146"/>
      <c r="I169" s="146"/>
      <c r="J169" s="146"/>
      <c r="K169" s="146"/>
      <c r="L169" s="146"/>
      <c r="M169" s="2181"/>
      <c r="N169" s="2181"/>
      <c r="O169" s="146"/>
      <c r="P169" s="146"/>
      <c r="Q169" s="2181"/>
      <c r="R169" s="2181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3">
      <c r="B170" s="2181"/>
      <c r="C170" s="2181"/>
      <c r="D170" s="2181"/>
      <c r="E170" s="2181"/>
      <c r="F170" s="2181"/>
      <c r="G170" s="146"/>
      <c r="H170" s="146"/>
      <c r="I170" s="146"/>
      <c r="J170" s="146"/>
      <c r="K170" s="146"/>
      <c r="L170" s="146"/>
      <c r="M170" s="2181"/>
      <c r="N170" s="2181"/>
      <c r="O170" s="146"/>
      <c r="P170" s="146"/>
      <c r="Q170" s="2181"/>
      <c r="R170" s="2181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3">
      <c r="B171" s="2181"/>
      <c r="C171" s="2181"/>
      <c r="D171" s="2181"/>
      <c r="E171" s="2181"/>
      <c r="F171" s="2181"/>
      <c r="G171" s="146"/>
      <c r="H171" s="146"/>
      <c r="I171" s="146"/>
      <c r="J171" s="146"/>
      <c r="K171" s="146"/>
      <c r="L171" s="146"/>
      <c r="M171" s="2181"/>
      <c r="N171" s="2181"/>
      <c r="O171" s="146"/>
      <c r="P171" s="146"/>
      <c r="Q171" s="2181"/>
      <c r="R171" s="2181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3">
      <c r="B172" s="2181"/>
      <c r="C172" s="2181"/>
      <c r="D172" s="2181"/>
      <c r="E172" s="2181"/>
      <c r="F172" s="2181"/>
      <c r="G172" s="146"/>
      <c r="H172" s="146"/>
      <c r="I172" s="146"/>
      <c r="J172" s="146"/>
      <c r="K172" s="146"/>
      <c r="L172" s="146"/>
      <c r="M172" s="2181"/>
      <c r="N172" s="2181"/>
      <c r="O172" s="146"/>
      <c r="P172" s="146"/>
      <c r="Q172" s="2181"/>
      <c r="R172" s="2181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3">
      <c r="B173" s="2181"/>
      <c r="C173" s="2181"/>
      <c r="D173" s="2181"/>
      <c r="E173" s="2181"/>
      <c r="F173" s="2181"/>
      <c r="G173" s="146"/>
      <c r="H173" s="146"/>
      <c r="I173" s="146"/>
      <c r="J173" s="146"/>
      <c r="K173" s="146"/>
      <c r="L173" s="146"/>
      <c r="M173" s="2181"/>
      <c r="N173" s="2181"/>
      <c r="O173" s="146"/>
      <c r="P173" s="146"/>
      <c r="Q173" s="2181"/>
      <c r="R173" s="2181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82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3">
      <c r="B174" s="2181"/>
      <c r="C174" s="2181"/>
      <c r="D174" s="2181"/>
      <c r="E174" s="2181"/>
      <c r="F174" s="2181"/>
      <c r="G174" s="146"/>
      <c r="H174" s="146"/>
      <c r="I174" s="146"/>
      <c r="J174" s="146"/>
      <c r="K174" s="146"/>
      <c r="L174" s="146"/>
      <c r="M174" s="2181"/>
      <c r="N174" s="2181"/>
      <c r="O174" s="146"/>
      <c r="P174" s="146"/>
      <c r="Q174" s="2181"/>
      <c r="R174" s="2181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826"/>
      <c r="AD174" s="2826"/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3">
      <c r="B175" s="2181"/>
      <c r="C175" s="2181"/>
      <c r="D175" s="2181"/>
      <c r="E175" s="2181"/>
      <c r="F175" s="2181"/>
      <c r="G175" s="146"/>
      <c r="H175" s="146"/>
      <c r="I175" s="146"/>
      <c r="J175" s="146"/>
      <c r="K175" s="146"/>
      <c r="L175" s="146"/>
      <c r="M175" s="2181"/>
      <c r="N175" s="2181"/>
      <c r="O175" s="146"/>
      <c r="P175" s="146"/>
      <c r="Q175" s="2181"/>
      <c r="R175" s="2181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826"/>
      <c r="AD175" s="2826"/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3">
      <c r="B176" s="2181"/>
      <c r="C176" s="2181"/>
      <c r="D176" s="2181"/>
      <c r="E176" s="2181"/>
      <c r="F176" s="2181"/>
      <c r="G176" s="146"/>
      <c r="H176" s="146"/>
      <c r="I176" s="146"/>
      <c r="J176" s="146"/>
      <c r="K176" s="146"/>
      <c r="L176" s="146"/>
      <c r="M176" s="2181"/>
      <c r="N176" s="2181"/>
      <c r="O176" s="146"/>
      <c r="P176" s="146"/>
      <c r="Q176" s="2181"/>
      <c r="R176" s="2181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82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39" s="3021" customFormat="1" ht="13">
      <c r="B177" s="2181"/>
      <c r="C177" s="2181"/>
      <c r="D177" s="2181"/>
      <c r="E177" s="2181"/>
      <c r="F177" s="2181"/>
      <c r="G177" s="146"/>
      <c r="H177" s="146"/>
      <c r="I177" s="146"/>
      <c r="J177" s="146"/>
      <c r="K177" s="146"/>
      <c r="L177" s="146"/>
      <c r="M177" s="2181"/>
      <c r="N177" s="2181"/>
      <c r="O177" s="146"/>
      <c r="P177" s="146"/>
      <c r="Q177" s="2181"/>
      <c r="R177" s="2181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39" s="3021" customFormat="1" ht="13">
      <c r="B178" s="2181"/>
      <c r="C178" s="2181"/>
      <c r="D178" s="2181"/>
      <c r="E178" s="2181"/>
      <c r="F178" s="2181"/>
      <c r="G178" s="146"/>
      <c r="H178" s="146"/>
      <c r="I178" s="146"/>
      <c r="J178" s="146"/>
      <c r="K178" s="146"/>
      <c r="L178" s="146"/>
      <c r="M178" s="2181"/>
      <c r="N178" s="2181"/>
      <c r="O178" s="146"/>
      <c r="P178" s="146"/>
      <c r="Q178" s="2181"/>
      <c r="R178" s="2181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39" s="3021" customFormat="1" ht="13">
      <c r="B179" s="2181"/>
      <c r="C179" s="2181"/>
      <c r="D179" s="2181"/>
      <c r="E179" s="2181"/>
      <c r="F179" s="2181"/>
      <c r="G179" s="146"/>
      <c r="H179" s="146"/>
      <c r="I179" s="146"/>
      <c r="J179" s="146"/>
      <c r="K179" s="146"/>
      <c r="L179" s="146"/>
      <c r="M179" s="2181"/>
      <c r="N179" s="2181"/>
      <c r="O179" s="146"/>
      <c r="P179" s="146"/>
      <c r="Q179" s="2181"/>
      <c r="R179" s="2181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39" s="3021" customFormat="1" ht="13">
      <c r="B180" s="2181"/>
      <c r="C180" s="2181"/>
      <c r="D180" s="2181"/>
      <c r="E180" s="2181"/>
      <c r="F180" s="2181"/>
      <c r="G180" s="146"/>
      <c r="H180" s="146"/>
      <c r="I180" s="146"/>
      <c r="J180" s="146"/>
      <c r="K180" s="146"/>
      <c r="L180" s="146"/>
      <c r="M180" s="2181"/>
      <c r="N180" s="2181"/>
      <c r="O180" s="146"/>
      <c r="P180" s="146"/>
      <c r="Q180" s="2181"/>
      <c r="R180" s="2181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39" s="3021" customFormat="1" ht="14" customHeight="1">
      <c r="B181" s="2181"/>
      <c r="C181" s="2181"/>
      <c r="D181" s="2181"/>
      <c r="E181" s="2181"/>
      <c r="F181" s="2181"/>
      <c r="G181" s="146"/>
      <c r="H181" s="146"/>
      <c r="I181" s="146"/>
      <c r="J181" s="146"/>
      <c r="K181" s="146"/>
      <c r="L181" s="146"/>
      <c r="M181" s="2181"/>
      <c r="N181" s="2181"/>
      <c r="O181" s="146"/>
      <c r="P181" s="146"/>
      <c r="Q181" s="2181"/>
      <c r="R181" s="2181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39" s="3021" customFormat="1" ht="14" customHeight="1">
      <c r="B182" s="2181"/>
      <c r="C182" s="2181"/>
      <c r="D182" s="2181"/>
      <c r="E182" s="2181"/>
      <c r="F182" s="2181"/>
      <c r="G182" s="146"/>
      <c r="H182" s="146"/>
      <c r="I182" s="146"/>
      <c r="J182" s="146"/>
      <c r="K182" s="146"/>
      <c r="L182" s="146"/>
      <c r="M182" s="2181"/>
      <c r="N182" s="2181"/>
      <c r="O182" s="146"/>
      <c r="P182" s="146"/>
      <c r="Q182" s="2181"/>
      <c r="R182" s="2181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39" s="3021" customFormat="1" ht="14" customHeight="1">
      <c r="B183" s="2181"/>
      <c r="C183" s="2181"/>
      <c r="D183" s="2181"/>
      <c r="E183" s="2181"/>
      <c r="F183" s="2181"/>
      <c r="G183" s="146"/>
      <c r="H183" s="146"/>
      <c r="I183" s="146"/>
      <c r="J183" s="146"/>
      <c r="K183" s="146"/>
      <c r="L183" s="146"/>
      <c r="M183" s="2181"/>
      <c r="N183" s="2181"/>
      <c r="O183" s="146"/>
      <c r="P183" s="146"/>
      <c r="Q183" s="2181"/>
      <c r="R183" s="2181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39" s="3021" customFormat="1" ht="14" customHeight="1">
      <c r="B184" s="2181"/>
      <c r="C184" s="2181"/>
      <c r="D184" s="2181"/>
      <c r="E184" s="2181"/>
      <c r="F184" s="2181"/>
      <c r="G184" s="146"/>
      <c r="H184" s="146"/>
      <c r="I184" s="146"/>
      <c r="J184" s="146"/>
      <c r="K184" s="146"/>
      <c r="L184" s="146"/>
      <c r="M184" s="2181"/>
      <c r="N184" s="2181"/>
      <c r="O184" s="146"/>
      <c r="P184" s="146"/>
      <c r="Q184" s="2181"/>
      <c r="R184" s="2181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39" s="3021" customFormat="1" ht="14" customHeight="1">
      <c r="B185" s="2181"/>
      <c r="C185" s="2181"/>
      <c r="D185" s="2181"/>
      <c r="E185" s="2181"/>
      <c r="F185" s="2181"/>
      <c r="G185" s="146"/>
      <c r="H185" s="146"/>
      <c r="I185" s="146"/>
      <c r="J185" s="146"/>
      <c r="K185" s="146"/>
      <c r="L185" s="146"/>
      <c r="M185" s="2181"/>
      <c r="N185" s="2181"/>
      <c r="O185" s="146"/>
      <c r="P185" s="146"/>
      <c r="Q185" s="2181"/>
      <c r="R185" s="2181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39" s="3021" customFormat="1" ht="14" customHeight="1">
      <c r="B186" s="2181"/>
      <c r="C186" s="2181"/>
      <c r="D186" s="2181"/>
      <c r="E186" s="2181"/>
      <c r="F186" s="2181"/>
      <c r="G186" s="146"/>
      <c r="H186" s="146"/>
      <c r="I186" s="146"/>
      <c r="J186" s="146"/>
      <c r="K186" s="146"/>
      <c r="L186" s="146"/>
      <c r="M186" s="2181"/>
      <c r="N186" s="2181"/>
      <c r="O186" s="146"/>
      <c r="P186" s="146"/>
      <c r="Q186" s="2181"/>
      <c r="R186" s="2181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39" s="3021" customFormat="1" ht="14" customHeight="1">
      <c r="B187" s="2181"/>
      <c r="C187" s="2181"/>
      <c r="D187" s="2181"/>
      <c r="E187" s="2181"/>
      <c r="F187" s="2181"/>
      <c r="G187" s="146"/>
      <c r="H187" s="146"/>
      <c r="I187" s="146"/>
      <c r="J187" s="146"/>
      <c r="K187" s="146"/>
      <c r="L187" s="146"/>
      <c r="M187" s="2181"/>
      <c r="N187" s="2181"/>
      <c r="O187" s="146"/>
      <c r="P187" s="146"/>
      <c r="Q187" s="2181"/>
      <c r="R187" s="2181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39" s="3021" customFormat="1" ht="14" customHeight="1">
      <c r="B188" s="2181"/>
      <c r="C188" s="2181"/>
      <c r="D188" s="2181"/>
      <c r="E188" s="2181"/>
      <c r="F188" s="2181"/>
      <c r="G188" s="146"/>
      <c r="H188" s="146"/>
      <c r="I188" s="146"/>
      <c r="J188" s="146"/>
      <c r="K188" s="146"/>
      <c r="L188" s="146"/>
      <c r="M188" s="2181"/>
      <c r="N188" s="2181"/>
      <c r="O188" s="146"/>
      <c r="P188" s="146"/>
      <c r="Q188" s="2181"/>
      <c r="R188" s="2181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39" s="3021" customFormat="1" ht="14" customHeight="1">
      <c r="B189" s="2181"/>
      <c r="C189" s="2181"/>
      <c r="D189" s="2181"/>
      <c r="E189" s="2181"/>
      <c r="F189" s="2181"/>
      <c r="G189" s="146"/>
      <c r="H189" s="146"/>
      <c r="I189" s="146"/>
      <c r="J189" s="146"/>
      <c r="K189" s="146"/>
      <c r="L189" s="146"/>
      <c r="M189" s="2181"/>
      <c r="N189" s="2181"/>
      <c r="O189" s="146"/>
      <c r="P189" s="146"/>
      <c r="Q189" s="2181"/>
      <c r="R189" s="2181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39" s="3021" customFormat="1" ht="14" customHeight="1">
      <c r="B190" s="2181"/>
      <c r="C190" s="2181"/>
      <c r="D190" s="2181"/>
      <c r="E190" s="2181"/>
      <c r="F190" s="2181"/>
      <c r="G190" s="146"/>
      <c r="H190" s="146"/>
      <c r="I190" s="146"/>
      <c r="J190" s="146"/>
      <c r="K190" s="146"/>
      <c r="L190" s="146"/>
      <c r="M190" s="2181"/>
      <c r="N190" s="2181"/>
      <c r="O190" s="146"/>
      <c r="P190" s="146"/>
      <c r="Q190" s="2181"/>
      <c r="R190" s="2181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39" s="3021" customFormat="1" ht="14" customHeight="1">
      <c r="B191" s="2181"/>
      <c r="C191" s="2181"/>
      <c r="D191" s="2181"/>
      <c r="E191" s="2181"/>
      <c r="F191" s="2181"/>
      <c r="G191" s="146"/>
      <c r="H191" s="146"/>
      <c r="I191" s="146"/>
      <c r="J191" s="146"/>
      <c r="K191" s="146"/>
      <c r="L191" s="146"/>
      <c r="M191" s="2181"/>
      <c r="N191" s="2181"/>
      <c r="O191" s="146"/>
      <c r="P191" s="146"/>
      <c r="Q191" s="2181"/>
      <c r="R191" s="2181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39" s="3021" customFormat="1" ht="14" customHeight="1">
      <c r="B192" s="2181"/>
      <c r="C192" s="2181"/>
      <c r="D192" s="2181"/>
      <c r="E192" s="2181"/>
      <c r="F192" s="2181"/>
      <c r="G192" s="146"/>
      <c r="H192" s="146"/>
      <c r="I192" s="146"/>
      <c r="J192" s="146"/>
      <c r="K192" s="146"/>
      <c r="L192" s="146"/>
      <c r="M192" s="2181"/>
      <c r="N192" s="2181"/>
      <c r="O192" s="146"/>
      <c r="P192" s="146"/>
      <c r="Q192" s="2181"/>
      <c r="R192" s="2181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41" s="3021" customFormat="1" ht="14" customHeight="1">
      <c r="B193" s="2181"/>
      <c r="C193" s="2181"/>
      <c r="D193" s="2181"/>
      <c r="E193" s="2181"/>
      <c r="F193" s="2181"/>
      <c r="G193" s="146"/>
      <c r="H193" s="146"/>
      <c r="I193" s="146"/>
      <c r="J193" s="146"/>
      <c r="K193" s="146"/>
      <c r="L193" s="146"/>
      <c r="M193" s="2181"/>
      <c r="N193" s="2181"/>
      <c r="O193" s="146"/>
      <c r="P193" s="146"/>
      <c r="Q193" s="2181"/>
      <c r="R193" s="2181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41" s="3021" customFormat="1" ht="14" customHeight="1">
      <c r="B194" s="2181"/>
      <c r="C194" s="2181"/>
      <c r="D194" s="2181"/>
      <c r="E194" s="2181"/>
      <c r="F194" s="2181"/>
      <c r="G194" s="146"/>
      <c r="H194" s="146"/>
      <c r="I194" s="146"/>
      <c r="J194" s="146"/>
      <c r="K194" s="146"/>
      <c r="L194" s="146"/>
      <c r="M194" s="2181"/>
      <c r="N194" s="2181"/>
      <c r="O194" s="146"/>
      <c r="P194" s="146"/>
      <c r="Q194" s="2181"/>
      <c r="R194" s="2181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41" s="3021" customFormat="1" ht="14" customHeight="1">
      <c r="B195" s="2181"/>
      <c r="C195" s="2181"/>
      <c r="D195" s="2181"/>
      <c r="E195" s="2181"/>
      <c r="F195" s="2181"/>
      <c r="G195" s="146"/>
      <c r="H195" s="146"/>
      <c r="I195" s="146"/>
      <c r="J195" s="146"/>
      <c r="K195" s="146"/>
      <c r="L195" s="146"/>
      <c r="M195" s="2181"/>
      <c r="N195" s="2181"/>
      <c r="O195" s="146"/>
      <c r="P195" s="146"/>
      <c r="Q195" s="2181"/>
      <c r="R195" s="2181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41" s="3021" customFormat="1" ht="14" customHeight="1">
      <c r="B196" s="2181"/>
      <c r="C196" s="2181"/>
      <c r="D196" s="2181"/>
      <c r="E196" s="2181"/>
      <c r="F196" s="2181"/>
      <c r="G196" s="146"/>
      <c r="H196" s="146"/>
      <c r="I196" s="146"/>
      <c r="J196" s="146"/>
      <c r="K196" s="146"/>
      <c r="L196" s="146"/>
      <c r="M196" s="2181"/>
      <c r="N196" s="2181"/>
      <c r="O196" s="146"/>
      <c r="P196" s="146"/>
      <c r="Q196" s="2181"/>
      <c r="R196" s="2181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41" s="3021" customFormat="1" ht="14" customHeight="1">
      <c r="B197" s="2181"/>
      <c r="D197" s="3160"/>
      <c r="F197" s="3023"/>
      <c r="G197" s="3024"/>
      <c r="H197" s="3024"/>
      <c r="I197" s="3024"/>
      <c r="J197" s="3024"/>
      <c r="K197" s="3024"/>
      <c r="L197" s="3024"/>
      <c r="M197" s="3025"/>
      <c r="N197" s="3023"/>
      <c r="O197" s="146"/>
      <c r="P197" s="146"/>
      <c r="Q197" s="2181"/>
      <c r="R197" s="2181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41" s="3021" customFormat="1" ht="14" customHeight="1">
      <c r="B198" s="2181"/>
      <c r="D198" s="3160"/>
      <c r="F198" s="3023"/>
      <c r="G198" s="3024"/>
      <c r="H198" s="3024"/>
      <c r="I198" s="3024"/>
      <c r="J198" s="3024"/>
      <c r="K198" s="3024"/>
      <c r="L198" s="3024"/>
      <c r="M198" s="3025"/>
      <c r="N198" s="3023"/>
      <c r="O198" s="146"/>
      <c r="P198" s="146"/>
      <c r="Q198" s="2181"/>
      <c r="R198" s="2181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41" s="3021" customFormat="1" ht="14" customHeight="1">
      <c r="B199" s="2181"/>
      <c r="D199" s="3160"/>
      <c r="F199" s="3023"/>
      <c r="G199" s="3024"/>
      <c r="H199" s="3024"/>
      <c r="I199" s="3024"/>
      <c r="J199" s="3024"/>
      <c r="K199" s="3024"/>
      <c r="L199" s="3024"/>
      <c r="M199" s="3025"/>
      <c r="N199" s="3023"/>
      <c r="O199" s="146"/>
      <c r="P199" s="146"/>
      <c r="Q199" s="2181"/>
      <c r="R199" s="2181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41" s="3021" customFormat="1" ht="14" customHeight="1">
      <c r="B200" s="2181"/>
      <c r="D200" s="3160"/>
      <c r="F200" s="3023"/>
      <c r="G200" s="3024"/>
      <c r="H200" s="3024"/>
      <c r="I200" s="3024"/>
      <c r="J200" s="3024"/>
      <c r="K200" s="3024"/>
      <c r="L200" s="3024"/>
      <c r="M200" s="3025"/>
      <c r="N200" s="3023"/>
      <c r="O200" s="146"/>
      <c r="P200" s="146"/>
      <c r="Q200" s="2181"/>
      <c r="R200" s="2181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41" s="3021" customFormat="1" ht="14" customHeight="1">
      <c r="B201" s="2181"/>
      <c r="D201" s="3160"/>
      <c r="F201" s="3023"/>
      <c r="G201" s="3024"/>
      <c r="H201" s="3024"/>
      <c r="I201" s="3024"/>
      <c r="J201" s="3024"/>
      <c r="K201" s="3024"/>
      <c r="L201" s="3024"/>
      <c r="M201" s="3025"/>
      <c r="N201" s="3023"/>
      <c r="O201" s="146"/>
      <c r="P201" s="146"/>
      <c r="Q201" s="2181"/>
      <c r="R201" s="2181"/>
      <c r="S201" s="142"/>
      <c r="T201" s="142"/>
      <c r="U201" s="146">
        <f>SUBTOTAL(9,U159:U200)</f>
        <v>0</v>
      </c>
      <c r="V201" s="146">
        <f t="shared" ref="V201:AA201" si="43">SUBTOTAL(9,V159:V200)</f>
        <v>0</v>
      </c>
      <c r="W201" s="146">
        <f t="shared" si="43"/>
        <v>0</v>
      </c>
      <c r="X201" s="146">
        <f t="shared" si="43"/>
        <v>0</v>
      </c>
      <c r="Y201" s="146">
        <f t="shared" si="43"/>
        <v>0</v>
      </c>
      <c r="Z201" s="146">
        <f t="shared" si="43"/>
        <v>0</v>
      </c>
      <c r="AA201" s="146">
        <f t="shared" si="43"/>
        <v>0</v>
      </c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41" s="2825" customFormat="1" ht="14" customHeight="1">
      <c r="B202" s="2935"/>
      <c r="D202" s="3161"/>
      <c r="F202" s="3026"/>
      <c r="G202" s="3027"/>
      <c r="H202" s="3027"/>
      <c r="I202" s="3027"/>
      <c r="J202" s="3027"/>
      <c r="K202" s="3027"/>
      <c r="L202" s="3027"/>
      <c r="M202" s="3025"/>
      <c r="N202" s="3026"/>
      <c r="O202" s="141"/>
      <c r="P202" s="141"/>
      <c r="Q202" s="148"/>
      <c r="R202" s="148"/>
      <c r="S202" s="149"/>
      <c r="T202" s="149"/>
      <c r="U202" s="2181"/>
      <c r="V202" s="2181"/>
      <c r="W202" s="2181"/>
      <c r="X202" s="2181"/>
      <c r="Y202" s="2181"/>
      <c r="Z202" s="2181"/>
      <c r="AA202" s="2181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41" s="2825" customFormat="1" ht="14" customHeight="1">
      <c r="B203" s="2935"/>
      <c r="D203" s="3161"/>
      <c r="F203" s="3026"/>
      <c r="G203" s="3027"/>
      <c r="H203" s="3027"/>
      <c r="I203" s="3027"/>
      <c r="J203" s="3027"/>
      <c r="K203" s="3027"/>
      <c r="L203" s="3027"/>
      <c r="M203" s="3025"/>
      <c r="N203" s="3026"/>
      <c r="O203" s="141"/>
      <c r="P203" s="141"/>
      <c r="Q203" s="148"/>
      <c r="R203" s="148"/>
      <c r="S203" s="148"/>
      <c r="T203" s="148"/>
      <c r="U203" s="2181">
        <f>SUBTOTAL(9,U161:U202)</f>
        <v>0</v>
      </c>
      <c r="V203" s="2181">
        <f t="shared" ref="V203:AA203" si="44">SUBTOTAL(9,V161:V202)</f>
        <v>0</v>
      </c>
      <c r="W203" s="2181">
        <f t="shared" si="44"/>
        <v>0</v>
      </c>
      <c r="X203" s="2181">
        <f t="shared" si="44"/>
        <v>0</v>
      </c>
      <c r="Y203" s="2181">
        <f t="shared" si="44"/>
        <v>0</v>
      </c>
      <c r="Z203" s="2181">
        <f t="shared" si="44"/>
        <v>0</v>
      </c>
      <c r="AA203" s="2181">
        <f t="shared" si="44"/>
        <v>0</v>
      </c>
      <c r="AB203" s="3022"/>
      <c r="AC203" s="3022"/>
      <c r="AE203" s="2826"/>
      <c r="AF203" s="2826"/>
      <c r="AG203" s="2826"/>
      <c r="AH203" s="2826"/>
      <c r="AI203" s="2826"/>
      <c r="AJ203" s="2826"/>
      <c r="AK203" s="2826"/>
      <c r="AL203" s="2826"/>
      <c r="AM203" s="2826"/>
      <c r="AN203" s="2826"/>
      <c r="AO203" s="2826"/>
    </row>
    <row r="204" spans="2:41" s="2825" customFormat="1" ht="14" customHeight="1">
      <c r="B204" s="2935"/>
      <c r="D204" s="3161"/>
      <c r="F204" s="3026"/>
      <c r="G204" s="3027"/>
      <c r="H204" s="3027"/>
      <c r="I204" s="3027"/>
      <c r="J204" s="3027"/>
      <c r="K204" s="3027"/>
      <c r="L204" s="3027"/>
      <c r="M204" s="3025"/>
      <c r="N204" s="3026"/>
      <c r="O204" s="141"/>
      <c r="P204" s="141"/>
      <c r="Q204" s="148"/>
      <c r="R204" s="148"/>
      <c r="S204" s="149"/>
      <c r="T204" s="149"/>
      <c r="U204" s="2181"/>
      <c r="V204" s="2181"/>
      <c r="W204" s="2181"/>
      <c r="X204" s="2181"/>
      <c r="Y204" s="2181"/>
      <c r="Z204" s="2181"/>
      <c r="AA204" s="2181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41" s="2825" customFormat="1" ht="14" customHeight="1">
      <c r="B205" s="2935"/>
      <c r="D205" s="3161"/>
      <c r="F205" s="3026"/>
      <c r="G205" s="3027"/>
      <c r="H205" s="3027"/>
      <c r="I205" s="3027"/>
      <c r="J205" s="3027"/>
      <c r="K205" s="3027"/>
      <c r="L205" s="3027"/>
      <c r="M205" s="3025"/>
      <c r="N205" s="3026"/>
      <c r="O205" s="141"/>
      <c r="P205" s="141"/>
      <c r="Q205" s="148"/>
      <c r="R205" s="148"/>
      <c r="S205" s="149"/>
      <c r="T205" s="149"/>
      <c r="U205" s="2181"/>
      <c r="V205" s="2181"/>
      <c r="W205" s="2181"/>
      <c r="X205" s="2181"/>
      <c r="Y205" s="2181"/>
      <c r="Z205" s="2181"/>
      <c r="AA205" s="2181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41" s="2825" customFormat="1" ht="14" customHeight="1">
      <c r="B206" s="2935"/>
      <c r="D206" s="3161"/>
      <c r="F206" s="3026"/>
      <c r="G206" s="3027"/>
      <c r="H206" s="3027"/>
      <c r="I206" s="3027"/>
      <c r="J206" s="3027"/>
      <c r="K206" s="3027"/>
      <c r="L206" s="3027"/>
      <c r="M206" s="3025"/>
      <c r="N206" s="3026"/>
      <c r="O206" s="141"/>
      <c r="P206" s="141"/>
      <c r="Q206" s="148"/>
      <c r="R206" s="148"/>
      <c r="S206" s="149"/>
      <c r="T206" s="149"/>
      <c r="U206" s="2181"/>
      <c r="V206" s="2181"/>
      <c r="W206" s="2181"/>
      <c r="X206" s="2181"/>
      <c r="Y206" s="2181"/>
      <c r="Z206" s="2181"/>
      <c r="AA206" s="2181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41" s="2825" customFormat="1" ht="14" customHeight="1">
      <c r="B207" s="2935"/>
      <c r="D207" s="3161"/>
      <c r="F207" s="3026"/>
      <c r="G207" s="3027"/>
      <c r="H207" s="3027"/>
      <c r="I207" s="3027"/>
      <c r="J207" s="3027"/>
      <c r="K207" s="3027"/>
      <c r="L207" s="3027"/>
      <c r="M207" s="3025"/>
      <c r="N207" s="3026"/>
      <c r="O207" s="141"/>
      <c r="P207" s="141"/>
      <c r="Q207" s="148"/>
      <c r="R207" s="148"/>
      <c r="S207" s="149"/>
      <c r="T207" s="149"/>
      <c r="U207" s="2181"/>
      <c r="V207" s="2181"/>
      <c r="W207" s="2181"/>
      <c r="X207" s="2181"/>
      <c r="Y207" s="2181"/>
      <c r="Z207" s="2181"/>
      <c r="AA207" s="2181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41" s="2825" customFormat="1" ht="14" customHeight="1">
      <c r="B208" s="2935"/>
      <c r="D208" s="3161"/>
      <c r="F208" s="3026"/>
      <c r="G208" s="3027"/>
      <c r="H208" s="3027"/>
      <c r="I208" s="3027"/>
      <c r="J208" s="3027"/>
      <c r="K208" s="3027"/>
      <c r="L208" s="3027"/>
      <c r="M208" s="3025"/>
      <c r="N208" s="3026"/>
      <c r="O208" s="141"/>
      <c r="P208" s="141"/>
      <c r="Q208" s="148"/>
      <c r="R208" s="148"/>
      <c r="S208" s="149"/>
      <c r="T208" s="149"/>
      <c r="U208" s="2181"/>
      <c r="V208" s="2181"/>
      <c r="W208" s="2181"/>
      <c r="X208" s="2181"/>
      <c r="Y208" s="2181"/>
      <c r="Z208" s="2181"/>
      <c r="AA208" s="2181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39" s="2825" customFormat="1" ht="14" customHeight="1">
      <c r="B209" s="2935"/>
      <c r="D209" s="3161"/>
      <c r="F209" s="3026"/>
      <c r="G209" s="3027"/>
      <c r="H209" s="3027"/>
      <c r="I209" s="3027"/>
      <c r="J209" s="3027"/>
      <c r="K209" s="3027"/>
      <c r="L209" s="3027"/>
      <c r="M209" s="3025"/>
      <c r="N209" s="3026"/>
      <c r="O209" s="141"/>
      <c r="P209" s="141"/>
      <c r="Q209" s="148"/>
      <c r="R209" s="148"/>
      <c r="S209" s="149"/>
      <c r="T209" s="149"/>
      <c r="U209" s="2181"/>
      <c r="V209" s="2181"/>
      <c r="W209" s="2181"/>
      <c r="X209" s="2181"/>
      <c r="Y209" s="2181"/>
      <c r="Z209" s="2181"/>
      <c r="AA209" s="2181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39" s="2825" customFormat="1" ht="14" customHeight="1">
      <c r="B210" s="2935"/>
      <c r="D210" s="3161"/>
      <c r="F210" s="3026"/>
      <c r="G210" s="3027"/>
      <c r="H210" s="3027"/>
      <c r="I210" s="3027"/>
      <c r="J210" s="3027"/>
      <c r="K210" s="3027"/>
      <c r="L210" s="3027"/>
      <c r="M210" s="3025"/>
      <c r="N210" s="3026"/>
      <c r="O210" s="141"/>
      <c r="P210" s="141"/>
      <c r="Q210" s="148"/>
      <c r="R210" s="148"/>
      <c r="S210" s="149"/>
      <c r="T210" s="149"/>
      <c r="U210" s="2181"/>
      <c r="V210" s="2181"/>
      <c r="W210" s="2181"/>
      <c r="X210" s="2181"/>
      <c r="Y210" s="2181"/>
      <c r="Z210" s="2181"/>
      <c r="AA210" s="2181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39" s="2825" customFormat="1" ht="14" customHeight="1">
      <c r="B211" s="2935"/>
      <c r="D211" s="3161"/>
      <c r="F211" s="3026"/>
      <c r="G211" s="3027"/>
      <c r="H211" s="3027"/>
      <c r="I211" s="3027"/>
      <c r="J211" s="3027"/>
      <c r="K211" s="3027"/>
      <c r="L211" s="3027"/>
      <c r="M211" s="3025"/>
      <c r="N211" s="3026"/>
      <c r="O211" s="141"/>
      <c r="P211" s="141"/>
      <c r="Q211" s="148"/>
      <c r="R211" s="148"/>
      <c r="S211" s="149"/>
      <c r="T211" s="149"/>
      <c r="U211" s="2181"/>
      <c r="V211" s="2181"/>
      <c r="W211" s="2181"/>
      <c r="X211" s="2181"/>
      <c r="Y211" s="2181"/>
      <c r="Z211" s="2181"/>
      <c r="AA211" s="2181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39" s="2825" customFormat="1" ht="14" customHeight="1">
      <c r="B212" s="2935"/>
      <c r="D212" s="3161"/>
      <c r="F212" s="3026"/>
      <c r="G212" s="3027"/>
      <c r="H212" s="3027"/>
      <c r="I212" s="3027"/>
      <c r="J212" s="3027"/>
      <c r="K212" s="3027"/>
      <c r="L212" s="3027"/>
      <c r="M212" s="3025"/>
      <c r="N212" s="3026"/>
      <c r="O212" s="141"/>
      <c r="P212" s="141"/>
      <c r="Q212" s="148"/>
      <c r="R212" s="148"/>
      <c r="S212" s="149"/>
      <c r="T212" s="149"/>
      <c r="U212" s="2181"/>
      <c r="V212" s="2181"/>
      <c r="W212" s="2181"/>
      <c r="X212" s="2181"/>
      <c r="Y212" s="2181"/>
      <c r="Z212" s="2181"/>
      <c r="AA212" s="2181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39" s="2825" customFormat="1" ht="13">
      <c r="B213" s="2935"/>
      <c r="D213" s="3161"/>
      <c r="F213" s="3026"/>
      <c r="G213" s="3027"/>
      <c r="H213" s="3027"/>
      <c r="I213" s="3027"/>
      <c r="J213" s="3027"/>
      <c r="K213" s="3027"/>
      <c r="L213" s="3027"/>
      <c r="M213" s="3025"/>
      <c r="N213" s="3026"/>
      <c r="O213" s="141"/>
      <c r="P213" s="141"/>
      <c r="Q213" s="148"/>
      <c r="R213" s="148"/>
      <c r="S213" s="149"/>
      <c r="T213" s="149"/>
      <c r="U213" s="2181"/>
      <c r="V213" s="2181"/>
      <c r="W213" s="2181"/>
      <c r="X213" s="2181"/>
      <c r="Y213" s="2181"/>
      <c r="Z213" s="2181"/>
      <c r="AA213" s="2181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39" s="2825" customFormat="1" ht="13">
      <c r="B214" s="2935"/>
      <c r="D214" s="3161"/>
      <c r="F214" s="3026"/>
      <c r="G214" s="3027"/>
      <c r="H214" s="3027"/>
      <c r="I214" s="3027"/>
      <c r="J214" s="3027"/>
      <c r="K214" s="3027"/>
      <c r="L214" s="3027"/>
      <c r="M214" s="3025"/>
      <c r="N214" s="3026"/>
      <c r="O214" s="141"/>
      <c r="P214" s="141"/>
      <c r="Q214" s="148"/>
      <c r="R214" s="148"/>
      <c r="S214" s="149"/>
      <c r="T214" s="149"/>
      <c r="U214" s="2181"/>
      <c r="V214" s="2181"/>
      <c r="W214" s="2181"/>
      <c r="X214" s="2181"/>
      <c r="Y214" s="2181"/>
      <c r="Z214" s="2181"/>
      <c r="AA214" s="2181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39" s="2825" customFormat="1" ht="13">
      <c r="B215" s="2935"/>
      <c r="D215" s="3161"/>
      <c r="F215" s="3026"/>
      <c r="G215" s="3027"/>
      <c r="H215" s="3027"/>
      <c r="I215" s="3027"/>
      <c r="J215" s="3027"/>
      <c r="K215" s="3027"/>
      <c r="L215" s="3027"/>
      <c r="M215" s="3025"/>
      <c r="N215" s="3026"/>
      <c r="O215" s="141"/>
      <c r="P215" s="141"/>
      <c r="Q215" s="148"/>
      <c r="R215" s="148"/>
      <c r="S215" s="149"/>
      <c r="T215" s="149"/>
      <c r="U215" s="2181"/>
      <c r="V215" s="2181"/>
      <c r="W215" s="2181"/>
      <c r="X215" s="2181"/>
      <c r="Y215" s="2181"/>
      <c r="Z215" s="2181"/>
      <c r="AA215" s="2181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39" s="2825" customFormat="1" ht="13">
      <c r="B216" s="2935"/>
      <c r="D216" s="3161"/>
      <c r="F216" s="3026"/>
      <c r="G216" s="3027"/>
      <c r="H216" s="3027"/>
      <c r="I216" s="3027"/>
      <c r="J216" s="3027"/>
      <c r="K216" s="3027"/>
      <c r="L216" s="3027"/>
      <c r="M216" s="3025"/>
      <c r="N216" s="3026"/>
      <c r="O216" s="141"/>
      <c r="P216" s="141"/>
      <c r="Q216" s="148"/>
      <c r="R216" s="148"/>
      <c r="S216" s="149"/>
      <c r="T216" s="149"/>
      <c r="U216" s="2181"/>
      <c r="V216" s="2181"/>
      <c r="W216" s="2181"/>
      <c r="X216" s="2181"/>
      <c r="Y216" s="2181"/>
      <c r="Z216" s="2181"/>
      <c r="AA216" s="2181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39" s="2825" customFormat="1" ht="13">
      <c r="B217" s="2935"/>
      <c r="D217" s="3161"/>
      <c r="F217" s="3026"/>
      <c r="G217" s="3027"/>
      <c r="H217" s="3027"/>
      <c r="I217" s="3027"/>
      <c r="J217" s="3027"/>
      <c r="K217" s="3027"/>
      <c r="L217" s="3027"/>
      <c r="M217" s="3025"/>
      <c r="N217" s="3026"/>
      <c r="O217" s="141"/>
      <c r="P217" s="141"/>
      <c r="Q217" s="148"/>
      <c r="R217" s="148"/>
      <c r="S217" s="149"/>
      <c r="T217" s="149"/>
      <c r="U217" s="2181"/>
      <c r="V217" s="2181"/>
      <c r="W217" s="2181"/>
      <c r="X217" s="2181"/>
      <c r="Y217" s="2181"/>
      <c r="Z217" s="2181"/>
      <c r="AA217" s="2181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39" s="2825" customFormat="1" ht="13">
      <c r="B218" s="2935"/>
      <c r="D218" s="3161"/>
      <c r="F218" s="3026"/>
      <c r="G218" s="3027"/>
      <c r="H218" s="3027"/>
      <c r="I218" s="3027"/>
      <c r="J218" s="3027"/>
      <c r="K218" s="3027"/>
      <c r="L218" s="3027"/>
      <c r="M218" s="3025"/>
      <c r="N218" s="3026"/>
      <c r="O218" s="141"/>
      <c r="P218" s="141"/>
      <c r="Q218" s="148"/>
      <c r="R218" s="148"/>
      <c r="S218" s="149"/>
      <c r="T218" s="149"/>
      <c r="U218" s="2181"/>
      <c r="V218" s="2181"/>
      <c r="W218" s="2181"/>
      <c r="X218" s="2181"/>
      <c r="Y218" s="2181"/>
      <c r="Z218" s="2181"/>
      <c r="AA218" s="2181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39" s="2825" customFormat="1" ht="13">
      <c r="B219" s="2935"/>
      <c r="D219" s="3161"/>
      <c r="F219" s="3026"/>
      <c r="G219" s="3027"/>
      <c r="H219" s="3027"/>
      <c r="I219" s="3027"/>
      <c r="J219" s="3027"/>
      <c r="K219" s="3027"/>
      <c r="L219" s="3027"/>
      <c r="M219" s="3025"/>
      <c r="N219" s="3026"/>
      <c r="O219" s="141"/>
      <c r="P219" s="141"/>
      <c r="Q219" s="148"/>
      <c r="R219" s="148"/>
      <c r="S219" s="149"/>
      <c r="T219" s="149"/>
      <c r="U219" s="2181"/>
      <c r="V219" s="2181"/>
      <c r="W219" s="2181"/>
      <c r="X219" s="2181"/>
      <c r="Y219" s="2181"/>
      <c r="Z219" s="2181"/>
      <c r="AA219" s="2181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39" s="2825" customFormat="1" ht="13">
      <c r="B220" s="2935"/>
      <c r="D220" s="3161"/>
      <c r="F220" s="3026"/>
      <c r="G220" s="3027"/>
      <c r="H220" s="3027"/>
      <c r="I220" s="3027"/>
      <c r="J220" s="3027"/>
      <c r="K220" s="3027"/>
      <c r="L220" s="3027"/>
      <c r="M220" s="3025"/>
      <c r="N220" s="3026"/>
      <c r="O220" s="141"/>
      <c r="P220" s="141"/>
      <c r="Q220" s="148"/>
      <c r="R220" s="148"/>
      <c r="S220" s="149"/>
      <c r="T220" s="149"/>
      <c r="U220" s="2181"/>
      <c r="V220" s="2181"/>
      <c r="W220" s="2181"/>
      <c r="X220" s="2181"/>
      <c r="Y220" s="2181"/>
      <c r="Z220" s="2181"/>
      <c r="AA220" s="2181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39" s="2825" customFormat="1" ht="13">
      <c r="B221" s="2935"/>
      <c r="D221" s="3161"/>
      <c r="F221" s="3026"/>
      <c r="G221" s="3027"/>
      <c r="H221" s="3027"/>
      <c r="I221" s="3027"/>
      <c r="J221" s="3027"/>
      <c r="K221" s="3027"/>
      <c r="L221" s="3027"/>
      <c r="M221" s="3025"/>
      <c r="N221" s="3026"/>
      <c r="O221" s="141"/>
      <c r="P221" s="141"/>
      <c r="Q221" s="148"/>
      <c r="R221" s="148"/>
      <c r="S221" s="149"/>
      <c r="T221" s="149"/>
      <c r="U221" s="2181"/>
      <c r="V221" s="2181"/>
      <c r="W221" s="2181"/>
      <c r="X221" s="2181"/>
      <c r="Y221" s="2181"/>
      <c r="Z221" s="2181"/>
      <c r="AA221" s="2181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39" s="2825" customFormat="1" ht="13">
      <c r="B222" s="2935"/>
      <c r="D222" s="3161"/>
      <c r="F222" s="3026"/>
      <c r="G222" s="3027"/>
      <c r="H222" s="3027"/>
      <c r="I222" s="3027"/>
      <c r="J222" s="3027"/>
      <c r="K222" s="3027"/>
      <c r="L222" s="3027"/>
      <c r="M222" s="3025"/>
      <c r="N222" s="3026"/>
      <c r="O222" s="141"/>
      <c r="P222" s="141"/>
      <c r="Q222" s="148"/>
      <c r="R222" s="148"/>
      <c r="S222" s="149"/>
      <c r="T222" s="149"/>
      <c r="U222" s="2181"/>
      <c r="V222" s="2181"/>
      <c r="W222" s="2181"/>
      <c r="X222" s="2181"/>
      <c r="Y222" s="2181"/>
      <c r="Z222" s="2181"/>
      <c r="AA222" s="2181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39" s="2825" customFormat="1" ht="13">
      <c r="B223" s="2935"/>
      <c r="D223" s="3161"/>
      <c r="F223" s="3026"/>
      <c r="G223" s="3027"/>
      <c r="H223" s="3027"/>
      <c r="I223" s="3027"/>
      <c r="J223" s="3027"/>
      <c r="K223" s="3027"/>
      <c r="L223" s="3027"/>
      <c r="M223" s="3025"/>
      <c r="N223" s="3026"/>
      <c r="O223" s="141"/>
      <c r="P223" s="141"/>
      <c r="Q223" s="148"/>
      <c r="R223" s="148"/>
      <c r="S223" s="149"/>
      <c r="T223" s="149"/>
      <c r="U223" s="2181"/>
      <c r="V223" s="2181"/>
      <c r="W223" s="2181"/>
      <c r="X223" s="2181"/>
      <c r="Y223" s="2181"/>
      <c r="Z223" s="2181"/>
      <c r="AA223" s="2181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39" s="2825" customFormat="1" ht="13">
      <c r="B224" s="2935"/>
      <c r="D224" s="3161"/>
      <c r="F224" s="3026"/>
      <c r="G224" s="3027"/>
      <c r="H224" s="3027"/>
      <c r="I224" s="3027"/>
      <c r="J224" s="3027"/>
      <c r="K224" s="3027"/>
      <c r="L224" s="3027"/>
      <c r="M224" s="3025"/>
      <c r="N224" s="3026"/>
      <c r="O224" s="141"/>
      <c r="P224" s="141"/>
      <c r="Q224" s="148"/>
      <c r="R224" s="148"/>
      <c r="S224" s="149"/>
      <c r="T224" s="149"/>
      <c r="U224" s="2181"/>
      <c r="V224" s="2181"/>
      <c r="W224" s="2181"/>
      <c r="X224" s="2181"/>
      <c r="Y224" s="2181"/>
      <c r="Z224" s="2181"/>
      <c r="AA224" s="2181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1:40" s="2825" customFormat="1" ht="13">
      <c r="B225" s="2935"/>
      <c r="D225" s="3161"/>
      <c r="F225" s="3026"/>
      <c r="G225" s="3027"/>
      <c r="H225" s="3027"/>
      <c r="I225" s="3027"/>
      <c r="J225" s="3027"/>
      <c r="K225" s="3027"/>
      <c r="L225" s="3027"/>
      <c r="M225" s="3025"/>
      <c r="N225" s="3026"/>
      <c r="O225" s="141"/>
      <c r="P225" s="141"/>
      <c r="Q225" s="148"/>
      <c r="R225" s="148"/>
      <c r="S225" s="149"/>
      <c r="T225" s="149"/>
      <c r="U225" s="2181"/>
      <c r="V225" s="2181"/>
      <c r="W225" s="2181"/>
      <c r="X225" s="2181"/>
      <c r="Y225" s="2181"/>
      <c r="Z225" s="2181"/>
      <c r="AA225" s="2181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1:40" s="2825" customFormat="1" ht="13">
      <c r="B226" s="2935"/>
      <c r="D226" s="3161"/>
      <c r="F226" s="3026"/>
      <c r="G226" s="3027"/>
      <c r="H226" s="3027"/>
      <c r="I226" s="3027"/>
      <c r="J226" s="3027"/>
      <c r="K226" s="3027"/>
      <c r="L226" s="3027"/>
      <c r="M226" s="3025"/>
      <c r="N226" s="3026"/>
      <c r="O226" s="141"/>
      <c r="P226" s="141"/>
      <c r="Q226" s="148"/>
      <c r="R226" s="148"/>
      <c r="S226" s="149"/>
      <c r="T226" s="149"/>
      <c r="U226" s="2181"/>
      <c r="V226" s="2181"/>
      <c r="W226" s="2181"/>
      <c r="X226" s="2181"/>
      <c r="Y226" s="2181"/>
      <c r="Z226" s="2181"/>
      <c r="AA226" s="2181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1:40" s="2825" customFormat="1" ht="13">
      <c r="B227" s="2935"/>
      <c r="D227" s="3161"/>
      <c r="F227" s="3026"/>
      <c r="G227" s="3027"/>
      <c r="H227" s="3027"/>
      <c r="I227" s="3027"/>
      <c r="J227" s="3027"/>
      <c r="K227" s="3027"/>
      <c r="L227" s="3027"/>
      <c r="M227" s="3025"/>
      <c r="N227" s="3026"/>
      <c r="O227" s="141"/>
      <c r="P227" s="141"/>
      <c r="Q227" s="148"/>
      <c r="R227" s="148"/>
      <c r="S227" s="149"/>
      <c r="T227" s="149"/>
      <c r="U227" s="2181"/>
      <c r="V227" s="2181"/>
      <c r="W227" s="2181"/>
      <c r="X227" s="2181"/>
      <c r="Y227" s="2181"/>
      <c r="Z227" s="2181"/>
      <c r="AA227" s="2181"/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1:40" s="2825" customFormat="1" ht="13">
      <c r="B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026"/>
      <c r="O228" s="141"/>
      <c r="P228" s="141"/>
      <c r="Q228" s="148"/>
      <c r="R228" s="148"/>
      <c r="S228" s="149"/>
      <c r="T228" s="149"/>
      <c r="U228" s="2181"/>
      <c r="V228" s="2181"/>
      <c r="W228" s="2181"/>
      <c r="X228" s="2181"/>
      <c r="Y228" s="2181"/>
      <c r="Z228" s="2181"/>
      <c r="AA228" s="2181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1:40" s="2825" customFormat="1" ht="13">
      <c r="B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026"/>
      <c r="O229" s="141"/>
      <c r="P229" s="141"/>
      <c r="Q229" s="148"/>
      <c r="R229" s="148"/>
      <c r="S229" s="149"/>
      <c r="T229" s="149"/>
      <c r="U229" s="2181"/>
      <c r="V229" s="2181"/>
      <c r="W229" s="2181"/>
      <c r="X229" s="2181"/>
      <c r="Y229" s="2181"/>
      <c r="Z229" s="2181"/>
      <c r="AA229" s="2181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1:40" s="2825" customFormat="1" ht="13">
      <c r="B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026"/>
      <c r="O230" s="141"/>
      <c r="P230" s="141"/>
      <c r="Q230" s="148"/>
      <c r="R230" s="148"/>
      <c r="S230" s="149"/>
      <c r="T230" s="149"/>
      <c r="U230" s="2181"/>
      <c r="V230" s="2181"/>
      <c r="W230" s="2181"/>
      <c r="X230" s="2181"/>
      <c r="Y230" s="2181"/>
      <c r="Z230" s="2181"/>
      <c r="AA230" s="2181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1:40" s="2825" customFormat="1" ht="13">
      <c r="B231" s="2935"/>
      <c r="D231" s="3161"/>
      <c r="F231" s="3026"/>
      <c r="G231" s="3027"/>
      <c r="H231" s="3027"/>
      <c r="I231" s="3027"/>
      <c r="J231" s="3027"/>
      <c r="K231" s="3027"/>
      <c r="L231" s="3027"/>
      <c r="M231" s="3025"/>
      <c r="N231" s="3026"/>
      <c r="O231" s="141"/>
      <c r="P231" s="141"/>
      <c r="Q231" s="148"/>
      <c r="R231" s="148"/>
      <c r="S231" s="149"/>
      <c r="T231" s="149"/>
      <c r="U231" s="2181"/>
      <c r="V231" s="2181"/>
      <c r="W231" s="2181"/>
      <c r="X231" s="2181"/>
      <c r="Y231" s="2181"/>
      <c r="Z231" s="2181"/>
      <c r="AA231" s="2181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1:40" s="2825" customFormat="1" ht="13">
      <c r="B232" s="2935"/>
      <c r="D232" s="3161"/>
      <c r="F232" s="3026"/>
      <c r="G232" s="3027"/>
      <c r="H232" s="3027"/>
      <c r="I232" s="3027"/>
      <c r="J232" s="3027"/>
      <c r="K232" s="3027"/>
      <c r="L232" s="3027"/>
      <c r="M232" s="3025"/>
      <c r="N232" s="3026"/>
      <c r="O232" s="141"/>
      <c r="P232" s="141"/>
      <c r="Q232" s="148"/>
      <c r="R232" s="148"/>
      <c r="S232" s="149"/>
      <c r="T232" s="149"/>
      <c r="U232" s="2181"/>
      <c r="V232" s="2181"/>
      <c r="W232" s="2181"/>
      <c r="X232" s="2181"/>
      <c r="Y232" s="2181"/>
      <c r="Z232" s="2181"/>
      <c r="AA232" s="2181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1:40" s="2825" customFormat="1" ht="13">
      <c r="B233" s="2935"/>
      <c r="D233" s="3161"/>
      <c r="F233" s="3026"/>
      <c r="G233" s="3027"/>
      <c r="H233" s="3027"/>
      <c r="I233" s="3027"/>
      <c r="J233" s="3027"/>
      <c r="K233" s="3027"/>
      <c r="L233" s="3027"/>
      <c r="M233" s="3025"/>
      <c r="N233" s="3026"/>
      <c r="O233" s="141"/>
      <c r="P233" s="141"/>
      <c r="Q233" s="148"/>
      <c r="R233" s="148"/>
      <c r="S233" s="149"/>
      <c r="T233" s="149"/>
      <c r="U233" s="2181"/>
      <c r="V233" s="2181"/>
      <c r="W233" s="2181"/>
      <c r="X233" s="2181"/>
      <c r="Y233" s="2181"/>
      <c r="Z233" s="2181"/>
      <c r="AA233" s="2181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1:40" s="2825" customFormat="1" ht="13">
      <c r="B234" s="2935"/>
      <c r="D234" s="3161"/>
      <c r="F234" s="3026"/>
      <c r="G234" s="3027"/>
      <c r="H234" s="3027"/>
      <c r="I234" s="3027"/>
      <c r="J234" s="3027"/>
      <c r="K234" s="3027"/>
      <c r="L234" s="3027"/>
      <c r="M234" s="3025"/>
      <c r="N234" s="3026"/>
      <c r="O234" s="141"/>
      <c r="P234" s="141"/>
      <c r="Q234" s="148"/>
      <c r="R234" s="148"/>
      <c r="S234" s="149"/>
      <c r="T234" s="149"/>
      <c r="U234" s="2181"/>
      <c r="V234" s="2181"/>
      <c r="W234" s="2181"/>
      <c r="X234" s="2181"/>
      <c r="Y234" s="2181"/>
      <c r="Z234" s="2181"/>
      <c r="AA234" s="2181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1:40" ht="13">
      <c r="A235" s="2815"/>
      <c r="O235" s="155"/>
      <c r="P235" s="155"/>
      <c r="Q235" s="2181"/>
      <c r="R235" s="2181"/>
      <c r="S235" s="251"/>
      <c r="T235" s="251"/>
      <c r="U235" s="2181"/>
      <c r="V235" s="2181"/>
      <c r="W235" s="2181"/>
      <c r="X235" s="2181"/>
      <c r="Y235" s="2181"/>
      <c r="Z235" s="2181"/>
      <c r="AA235" s="2181"/>
      <c r="AN235" s="2815"/>
    </row>
    <row r="236" spans="1:40" ht="13">
      <c r="A236" s="2815"/>
      <c r="O236" s="155"/>
      <c r="P236" s="155"/>
      <c r="Q236" s="2181"/>
      <c r="R236" s="2181"/>
      <c r="S236" s="251"/>
      <c r="T236" s="251"/>
      <c r="U236" s="2181"/>
      <c r="V236" s="2181"/>
      <c r="W236" s="2181"/>
      <c r="X236" s="2181"/>
      <c r="Y236" s="2181"/>
      <c r="Z236" s="2181"/>
      <c r="AA236" s="2181"/>
      <c r="AN236" s="2815"/>
    </row>
    <row r="237" spans="1:40" ht="13">
      <c r="A237" s="2815"/>
      <c r="O237" s="155"/>
      <c r="P237" s="155"/>
      <c r="Q237" s="2181"/>
      <c r="R237" s="2181"/>
      <c r="S237" s="251"/>
      <c r="T237" s="251"/>
      <c r="U237" s="2181"/>
      <c r="V237" s="2181"/>
      <c r="W237" s="2181"/>
      <c r="X237" s="2181"/>
      <c r="Y237" s="2181"/>
      <c r="Z237" s="2181"/>
      <c r="AA237" s="2181"/>
      <c r="AN237" s="2815"/>
    </row>
    <row r="238" spans="1:40" ht="13">
      <c r="A238" s="2815"/>
      <c r="O238" s="155"/>
      <c r="P238" s="155"/>
      <c r="Q238" s="2181"/>
      <c r="R238" s="2181"/>
      <c r="S238" s="251"/>
      <c r="T238" s="251"/>
      <c r="U238" s="2181"/>
      <c r="V238" s="2181"/>
      <c r="W238" s="2181"/>
      <c r="X238" s="2181"/>
      <c r="Y238" s="2181"/>
      <c r="Z238" s="2181"/>
      <c r="AA238" s="2181"/>
      <c r="AN238" s="2815"/>
    </row>
    <row r="239" spans="1:40" ht="13">
      <c r="A239" s="2815"/>
      <c r="O239" s="155"/>
      <c r="P239" s="155"/>
      <c r="Q239" s="2181"/>
      <c r="R239" s="2181"/>
      <c r="S239" s="251"/>
      <c r="T239" s="251"/>
      <c r="U239" s="2181"/>
      <c r="V239" s="2181"/>
      <c r="W239" s="2181"/>
      <c r="X239" s="2181"/>
      <c r="Y239" s="2181"/>
      <c r="Z239" s="2181"/>
      <c r="AA239" s="2181"/>
      <c r="AN239" s="2815"/>
    </row>
    <row r="240" spans="1:40" ht="13">
      <c r="A240" s="2815"/>
      <c r="O240" s="155"/>
      <c r="P240" s="155"/>
      <c r="Q240" s="2181"/>
      <c r="R240" s="2181"/>
      <c r="S240" s="251"/>
      <c r="T240" s="251"/>
      <c r="U240" s="2181"/>
      <c r="V240" s="2181"/>
      <c r="W240" s="2181"/>
      <c r="X240" s="2181"/>
      <c r="Y240" s="2181"/>
      <c r="Z240" s="2181"/>
      <c r="AA240" s="2181"/>
      <c r="AN240" s="2815"/>
    </row>
    <row r="241" spans="1:40" ht="13">
      <c r="A241" s="2815"/>
      <c r="O241" s="155"/>
      <c r="P241" s="155"/>
      <c r="Q241" s="2181"/>
      <c r="R241" s="2181"/>
      <c r="S241" s="251"/>
      <c r="T241" s="251"/>
      <c r="U241" s="2181"/>
      <c r="V241" s="2181"/>
      <c r="W241" s="2181"/>
      <c r="X241" s="2181"/>
      <c r="Y241" s="2181"/>
      <c r="Z241" s="2181"/>
      <c r="AA241" s="2181"/>
      <c r="AN241" s="2815"/>
    </row>
    <row r="242" spans="1:40" ht="13">
      <c r="A242" s="2815"/>
      <c r="O242" s="155"/>
      <c r="P242" s="155"/>
      <c r="Q242" s="2181"/>
      <c r="R242" s="2181"/>
      <c r="S242" s="251"/>
      <c r="T242" s="251"/>
      <c r="U242" s="2181"/>
      <c r="V242" s="2181"/>
      <c r="W242" s="2181"/>
      <c r="X242" s="2181"/>
      <c r="Y242" s="2181"/>
      <c r="Z242" s="2181"/>
      <c r="AA242" s="2181"/>
      <c r="AN242" s="2815"/>
    </row>
    <row r="243" spans="1:40" ht="13">
      <c r="A243" s="2815"/>
      <c r="O243" s="155"/>
      <c r="P243" s="155"/>
      <c r="Q243" s="2181"/>
      <c r="R243" s="2181"/>
      <c r="S243" s="251"/>
      <c r="T243" s="251"/>
      <c r="U243" s="2181"/>
      <c r="V243" s="2181"/>
      <c r="W243" s="2181"/>
      <c r="X243" s="2181"/>
      <c r="Y243" s="2181"/>
      <c r="Z243" s="2181"/>
      <c r="AA243" s="2181"/>
      <c r="AN243" s="2815"/>
    </row>
    <row r="244" spans="1:40" ht="13">
      <c r="A244" s="2815"/>
      <c r="O244" s="155"/>
      <c r="P244" s="155"/>
      <c r="Q244" s="2181"/>
      <c r="R244" s="2181"/>
      <c r="S244" s="251"/>
      <c r="T244" s="251"/>
      <c r="U244" s="2181"/>
      <c r="V244" s="2181"/>
      <c r="W244" s="2181"/>
      <c r="X244" s="2181"/>
      <c r="Y244" s="2181"/>
      <c r="Z244" s="2181"/>
      <c r="AA244" s="2181"/>
      <c r="AN244" s="2815"/>
    </row>
    <row r="245" spans="1:40" ht="13">
      <c r="A245" s="2815"/>
      <c r="O245" s="155"/>
      <c r="P245" s="155"/>
      <c r="Q245" s="2181"/>
      <c r="R245" s="2181"/>
      <c r="S245" s="251"/>
      <c r="T245" s="251"/>
      <c r="U245" s="2181"/>
      <c r="V245" s="2181"/>
      <c r="W245" s="2181"/>
      <c r="X245" s="2181"/>
      <c r="Y245" s="2181"/>
      <c r="Z245" s="2181"/>
      <c r="AA245" s="2181"/>
      <c r="AN245" s="2815"/>
    </row>
    <row r="246" spans="1:40" ht="13">
      <c r="A246" s="2815"/>
      <c r="O246" s="155"/>
      <c r="P246" s="155"/>
      <c r="Q246" s="2181"/>
      <c r="R246" s="2181"/>
      <c r="S246" s="251"/>
      <c r="T246" s="251"/>
      <c r="U246" s="2181"/>
      <c r="V246" s="2181"/>
      <c r="W246" s="2181"/>
      <c r="X246" s="2181"/>
      <c r="Y246" s="2181"/>
      <c r="Z246" s="2181"/>
      <c r="AA246" s="2181"/>
      <c r="AN246" s="2815"/>
    </row>
    <row r="247" spans="1:40" ht="13">
      <c r="A247" s="2815"/>
      <c r="O247" s="155"/>
      <c r="P247" s="155"/>
      <c r="Q247" s="2181"/>
      <c r="R247" s="2181"/>
      <c r="S247" s="251"/>
      <c r="T247" s="251"/>
      <c r="U247" s="2181"/>
      <c r="V247" s="2181"/>
      <c r="W247" s="2181"/>
      <c r="X247" s="2181"/>
      <c r="Y247" s="2181"/>
      <c r="Z247" s="2181"/>
      <c r="AA247" s="2181"/>
      <c r="AN247" s="2815"/>
    </row>
    <row r="248" spans="1:40" ht="13">
      <c r="A248" s="2815"/>
      <c r="B248" s="2815"/>
      <c r="D248" s="2815"/>
      <c r="F248" s="2815"/>
      <c r="G248" s="2815"/>
      <c r="H248" s="2815"/>
      <c r="I248" s="2815"/>
      <c r="J248" s="2815"/>
      <c r="K248" s="2815"/>
      <c r="L248" s="2815"/>
      <c r="M248" s="2815"/>
      <c r="N248" s="2815"/>
      <c r="O248" s="2815"/>
      <c r="P248" s="2815"/>
      <c r="Q248" s="2815"/>
      <c r="R248" s="2815"/>
      <c r="S248" s="2815"/>
      <c r="T248" s="2815"/>
      <c r="U248" s="2815"/>
      <c r="V248" s="2815"/>
      <c r="W248" s="2815"/>
      <c r="X248" s="2815"/>
    </row>
    <row r="249" spans="1:40" ht="13">
      <c r="A249" s="2815"/>
      <c r="B249" s="2815"/>
      <c r="D249" s="2815"/>
      <c r="F249" s="2815"/>
      <c r="G249" s="2815"/>
      <c r="H249" s="2815"/>
      <c r="I249" s="2815"/>
      <c r="J249" s="2815"/>
      <c r="K249" s="2815"/>
      <c r="L249" s="2815"/>
      <c r="M249" s="2815"/>
      <c r="N249" s="2815"/>
      <c r="O249" s="2815"/>
      <c r="P249" s="2815"/>
      <c r="Q249" s="2815"/>
      <c r="R249" s="2815"/>
      <c r="S249" s="2815"/>
      <c r="T249" s="2815"/>
      <c r="U249" s="2815"/>
      <c r="V249" s="2815"/>
      <c r="W249" s="2815"/>
      <c r="X249" s="2815"/>
    </row>
    <row r="250" spans="1:40" ht="13">
      <c r="A250" s="2815"/>
      <c r="B250" s="2815"/>
      <c r="D250" s="2815"/>
      <c r="F250" s="2815"/>
      <c r="G250" s="2815"/>
      <c r="H250" s="2815"/>
      <c r="I250" s="2815"/>
      <c r="J250" s="2815"/>
      <c r="K250" s="2815"/>
      <c r="L250" s="2815"/>
      <c r="M250" s="2815"/>
      <c r="N250" s="2815"/>
      <c r="O250" s="2815"/>
      <c r="P250" s="2815"/>
      <c r="Q250" s="2815"/>
      <c r="R250" s="2815"/>
      <c r="S250" s="2815"/>
      <c r="T250" s="2815"/>
      <c r="U250" s="2815"/>
      <c r="V250" s="2815"/>
      <c r="W250" s="2815"/>
      <c r="X250" s="2815"/>
    </row>
    <row r="251" spans="1:40" ht="13">
      <c r="A251" s="2815"/>
      <c r="B251" s="2815"/>
      <c r="D251" s="2815"/>
      <c r="F251" s="2815"/>
      <c r="G251" s="2815"/>
      <c r="H251" s="2815"/>
      <c r="I251" s="2815"/>
      <c r="J251" s="2815"/>
      <c r="K251" s="2815"/>
      <c r="L251" s="2815"/>
      <c r="M251" s="2815"/>
      <c r="N251" s="2815"/>
      <c r="O251" s="2815"/>
      <c r="P251" s="2815"/>
      <c r="Q251" s="2815"/>
      <c r="R251" s="2815"/>
      <c r="S251" s="2815"/>
      <c r="T251" s="2815"/>
      <c r="U251" s="2815"/>
      <c r="V251" s="2815"/>
      <c r="W251" s="2815"/>
      <c r="X251" s="2815"/>
    </row>
    <row r="252" spans="1:40" ht="13">
      <c r="A252" s="2815"/>
      <c r="B252" s="2815"/>
      <c r="D252" s="2815"/>
      <c r="F252" s="2815"/>
      <c r="G252" s="2815"/>
      <c r="H252" s="2815"/>
      <c r="I252" s="2815"/>
      <c r="J252" s="2815"/>
      <c r="K252" s="2815"/>
      <c r="L252" s="2815"/>
      <c r="M252" s="2815"/>
      <c r="N252" s="2815"/>
      <c r="O252" s="2815"/>
      <c r="P252" s="2815"/>
      <c r="Q252" s="2815"/>
      <c r="R252" s="2815"/>
      <c r="S252" s="2815"/>
      <c r="T252" s="2815"/>
      <c r="U252" s="2815"/>
      <c r="V252" s="2815"/>
      <c r="W252" s="2815"/>
      <c r="X252" s="2815"/>
    </row>
    <row r="253" spans="1:40" ht="13">
      <c r="A253" s="2815"/>
      <c r="B253" s="2815"/>
      <c r="D253" s="2815"/>
      <c r="F253" s="2815"/>
      <c r="G253" s="2815"/>
      <c r="H253" s="2815"/>
      <c r="I253" s="2815"/>
      <c r="J253" s="2815"/>
      <c r="K253" s="2815"/>
      <c r="L253" s="2815"/>
      <c r="M253" s="2815"/>
      <c r="N253" s="2815"/>
      <c r="O253" s="2815"/>
      <c r="P253" s="2815"/>
      <c r="Q253" s="2815"/>
      <c r="R253" s="2815"/>
      <c r="S253" s="2815"/>
      <c r="T253" s="2815"/>
      <c r="U253" s="2815"/>
      <c r="V253" s="2815"/>
      <c r="W253" s="2815"/>
      <c r="X253" s="2815"/>
    </row>
    <row r="254" spans="1:40" ht="13">
      <c r="A254" s="2815"/>
      <c r="B254" s="2815"/>
      <c r="D254" s="2815"/>
      <c r="F254" s="2815"/>
      <c r="G254" s="2815"/>
      <c r="H254" s="2815"/>
      <c r="I254" s="2815"/>
      <c r="J254" s="2815"/>
      <c r="K254" s="2815"/>
      <c r="L254" s="2815"/>
      <c r="M254" s="2815"/>
      <c r="N254" s="2815"/>
      <c r="O254" s="2815"/>
      <c r="P254" s="2815"/>
      <c r="Q254" s="2815"/>
      <c r="R254" s="2815"/>
      <c r="S254" s="2815"/>
      <c r="T254" s="2815"/>
      <c r="U254" s="2815"/>
      <c r="V254" s="2815"/>
      <c r="W254" s="2815"/>
      <c r="X254" s="2815"/>
    </row>
    <row r="255" spans="1:40" ht="13">
      <c r="A255" s="2815"/>
      <c r="B255" s="2815"/>
      <c r="D255" s="2815"/>
      <c r="F255" s="2815"/>
      <c r="G255" s="2815"/>
      <c r="H255" s="2815"/>
      <c r="I255" s="2815"/>
      <c r="J255" s="2815"/>
      <c r="K255" s="2815"/>
      <c r="L255" s="2815"/>
      <c r="M255" s="2815"/>
      <c r="N255" s="2815"/>
      <c r="O255" s="2815"/>
      <c r="P255" s="2815"/>
      <c r="Q255" s="2815"/>
      <c r="R255" s="2815"/>
      <c r="S255" s="2815"/>
      <c r="T255" s="2815"/>
      <c r="U255" s="2815"/>
      <c r="V255" s="2815"/>
      <c r="W255" s="2815"/>
      <c r="X255" s="2815"/>
    </row>
    <row r="256" spans="1:40" ht="13">
      <c r="A256" s="2815"/>
      <c r="B256" s="2815"/>
      <c r="D256" s="2815"/>
      <c r="F256" s="2815"/>
      <c r="G256" s="2815"/>
      <c r="H256" s="2815"/>
      <c r="I256" s="2815"/>
      <c r="J256" s="2815"/>
      <c r="K256" s="2815"/>
      <c r="L256" s="2815"/>
      <c r="M256" s="2815"/>
      <c r="N256" s="2815"/>
      <c r="O256" s="2815"/>
      <c r="P256" s="2815"/>
      <c r="Q256" s="2815"/>
      <c r="R256" s="2815"/>
      <c r="S256" s="2815"/>
      <c r="T256" s="2815"/>
      <c r="U256" s="2815"/>
      <c r="V256" s="2815"/>
      <c r="W256" s="2815"/>
      <c r="X256" s="2815"/>
    </row>
    <row r="257" spans="1:40" ht="13">
      <c r="A257" s="2815"/>
      <c r="B257" s="2815"/>
      <c r="D257" s="2815"/>
      <c r="F257" s="2815"/>
      <c r="G257" s="2815"/>
      <c r="H257" s="2815"/>
      <c r="I257" s="2815"/>
      <c r="J257" s="2815"/>
      <c r="K257" s="2815"/>
      <c r="L257" s="2815"/>
      <c r="M257" s="2815"/>
      <c r="N257" s="2815"/>
      <c r="O257" s="2815"/>
      <c r="P257" s="2815"/>
      <c r="Q257" s="2815"/>
      <c r="R257" s="2815"/>
      <c r="S257" s="2815"/>
      <c r="T257" s="2815"/>
      <c r="U257" s="2815"/>
      <c r="V257" s="2815"/>
      <c r="W257" s="2815"/>
      <c r="X257" s="2815"/>
    </row>
    <row r="258" spans="1:40" ht="13">
      <c r="A258" s="2815"/>
      <c r="B258" s="2815"/>
      <c r="D258" s="2815"/>
      <c r="F258" s="2815"/>
      <c r="G258" s="2815"/>
      <c r="H258" s="2815"/>
      <c r="I258" s="2815"/>
      <c r="J258" s="2815"/>
      <c r="K258" s="2815"/>
      <c r="L258" s="2815"/>
      <c r="M258" s="2815"/>
      <c r="N258" s="2815"/>
      <c r="O258" s="2815"/>
      <c r="P258" s="2815"/>
      <c r="Q258" s="2815"/>
      <c r="R258" s="2815"/>
      <c r="S258" s="2815"/>
      <c r="T258" s="2815"/>
      <c r="U258" s="2815"/>
      <c r="V258" s="2815"/>
      <c r="W258" s="2815"/>
      <c r="X258" s="2815"/>
    </row>
    <row r="259" spans="1:40" ht="13">
      <c r="A259" s="2815"/>
      <c r="B259" s="2815"/>
      <c r="D259" s="2815"/>
      <c r="F259" s="2815"/>
      <c r="G259" s="2815"/>
      <c r="H259" s="2815"/>
      <c r="I259" s="2815"/>
      <c r="J259" s="2815"/>
      <c r="K259" s="2815"/>
      <c r="L259" s="2815"/>
      <c r="M259" s="2815"/>
      <c r="N259" s="2815"/>
      <c r="O259" s="2815"/>
      <c r="P259" s="2815"/>
      <c r="Q259" s="2815"/>
      <c r="R259" s="2815"/>
      <c r="S259" s="2815"/>
      <c r="T259" s="2815"/>
      <c r="U259" s="2815"/>
      <c r="V259" s="2815"/>
      <c r="W259" s="2815"/>
      <c r="X259" s="2815"/>
    </row>
    <row r="260" spans="1:40" ht="13">
      <c r="A260" s="2815"/>
      <c r="B260" s="2815"/>
      <c r="D260" s="2815"/>
      <c r="F260" s="2815"/>
      <c r="G260" s="2815"/>
      <c r="H260" s="2815"/>
      <c r="I260" s="2815"/>
      <c r="J260" s="2815"/>
      <c r="K260" s="2815"/>
      <c r="L260" s="2815"/>
      <c r="M260" s="2815"/>
      <c r="N260" s="2815"/>
      <c r="O260" s="2815"/>
      <c r="P260" s="2815"/>
      <c r="Q260" s="2815"/>
      <c r="R260" s="2815"/>
      <c r="S260" s="2815"/>
      <c r="T260" s="2815"/>
      <c r="U260" s="2815"/>
      <c r="V260" s="2815"/>
      <c r="W260" s="2815"/>
      <c r="X260" s="2815"/>
    </row>
    <row r="261" spans="1:40" ht="13">
      <c r="A261" s="2815"/>
      <c r="B261" s="2815"/>
      <c r="D261" s="2815"/>
      <c r="F261" s="2815"/>
      <c r="G261" s="2815"/>
      <c r="H261" s="2815"/>
      <c r="I261" s="2815"/>
      <c r="J261" s="2815"/>
      <c r="K261" s="2815"/>
      <c r="L261" s="2815"/>
      <c r="M261" s="2815"/>
      <c r="N261" s="2815"/>
      <c r="O261" s="2815"/>
      <c r="P261" s="2815"/>
      <c r="Q261" s="2815"/>
      <c r="R261" s="2815"/>
      <c r="S261" s="2815"/>
      <c r="T261" s="2815"/>
      <c r="U261" s="2815"/>
      <c r="V261" s="2815"/>
      <c r="W261" s="2815"/>
      <c r="X261" s="2815"/>
      <c r="Y261" s="2815"/>
      <c r="Z261" s="2815"/>
      <c r="AA261" s="2815"/>
      <c r="AB261" s="2815"/>
      <c r="AC261" s="2815"/>
      <c r="AD261" s="2815"/>
      <c r="AE261" s="2815"/>
      <c r="AF261" s="2815"/>
      <c r="AG261" s="2815"/>
      <c r="AH261" s="2815"/>
      <c r="AI261" s="2815"/>
      <c r="AJ261" s="2815"/>
      <c r="AK261" s="2815"/>
      <c r="AL261" s="2815"/>
      <c r="AM261" s="2815"/>
      <c r="AN261" s="2815"/>
    </row>
    <row r="262" spans="1:40" ht="13">
      <c r="A262" s="2815"/>
      <c r="B262" s="2815"/>
      <c r="D262" s="2815"/>
      <c r="F262" s="2815"/>
      <c r="G262" s="2815"/>
      <c r="H262" s="2815"/>
      <c r="I262" s="2815"/>
      <c r="J262" s="2815"/>
      <c r="K262" s="2815"/>
      <c r="L262" s="2815"/>
      <c r="M262" s="2815"/>
      <c r="N262" s="2815"/>
      <c r="O262" s="2815"/>
      <c r="P262" s="2815"/>
      <c r="Q262" s="2815"/>
      <c r="R262" s="2815"/>
      <c r="S262" s="2815"/>
      <c r="T262" s="2815"/>
      <c r="U262" s="2815"/>
      <c r="V262" s="2815"/>
      <c r="W262" s="2815"/>
      <c r="X262" s="2815"/>
      <c r="Y262" s="2815"/>
      <c r="Z262" s="2815"/>
      <c r="AA262" s="2815"/>
      <c r="AB262" s="2815"/>
      <c r="AC262" s="2815"/>
      <c r="AD262" s="2815"/>
      <c r="AE262" s="2815"/>
      <c r="AF262" s="2815"/>
      <c r="AG262" s="2815"/>
      <c r="AH262" s="2815"/>
      <c r="AI262" s="2815"/>
      <c r="AJ262" s="2815"/>
      <c r="AK262" s="2815"/>
      <c r="AL262" s="2815"/>
      <c r="AM262" s="2815"/>
      <c r="AN262" s="2815"/>
    </row>
    <row r="263" spans="1:40" ht="13">
      <c r="A263" s="2815"/>
      <c r="B263" s="2815"/>
      <c r="D263" s="2815"/>
      <c r="F263" s="2815"/>
      <c r="G263" s="2815"/>
      <c r="H263" s="2815"/>
      <c r="I263" s="2815"/>
      <c r="J263" s="2815"/>
      <c r="K263" s="2815"/>
      <c r="L263" s="2815"/>
      <c r="M263" s="2815"/>
      <c r="N263" s="2815"/>
      <c r="O263" s="2815"/>
      <c r="P263" s="2815"/>
      <c r="Q263" s="2815"/>
      <c r="R263" s="2815"/>
      <c r="S263" s="2815"/>
      <c r="T263" s="2815"/>
      <c r="U263" s="2815"/>
      <c r="V263" s="2815"/>
      <c r="W263" s="2815"/>
      <c r="X263" s="2815"/>
      <c r="Y263" s="2815"/>
      <c r="Z263" s="2815"/>
      <c r="AA263" s="2815"/>
      <c r="AB263" s="2815"/>
      <c r="AC263" s="2815"/>
      <c r="AD263" s="2815"/>
      <c r="AE263" s="2815"/>
      <c r="AF263" s="2815"/>
      <c r="AG263" s="2815"/>
      <c r="AH263" s="2815"/>
      <c r="AI263" s="2815"/>
      <c r="AJ263" s="2815"/>
      <c r="AK263" s="2815"/>
      <c r="AL263" s="2815"/>
      <c r="AM263" s="2815"/>
      <c r="AN263" s="2815"/>
    </row>
    <row r="264" spans="1:40" ht="13">
      <c r="A264" s="2815"/>
      <c r="B264" s="2815"/>
      <c r="D264" s="2815"/>
      <c r="F264" s="2815"/>
      <c r="G264" s="2815"/>
      <c r="H264" s="2815"/>
      <c r="I264" s="2815"/>
      <c r="J264" s="2815"/>
      <c r="K264" s="2815"/>
      <c r="L264" s="2815"/>
      <c r="M264" s="2815"/>
      <c r="N264" s="2815"/>
      <c r="O264" s="2815"/>
      <c r="P264" s="2815"/>
      <c r="Q264" s="2815"/>
      <c r="R264" s="2815"/>
      <c r="S264" s="2815"/>
      <c r="T264" s="2815"/>
      <c r="U264" s="2815"/>
      <c r="V264" s="2815"/>
      <c r="W264" s="2815"/>
      <c r="X264" s="2815"/>
      <c r="Y264" s="2815"/>
      <c r="Z264" s="2815"/>
      <c r="AA264" s="2815"/>
      <c r="AB264" s="2815"/>
      <c r="AC264" s="2815"/>
      <c r="AD264" s="2815"/>
      <c r="AE264" s="2815"/>
      <c r="AF264" s="2815"/>
      <c r="AG264" s="2815"/>
      <c r="AH264" s="2815"/>
      <c r="AI264" s="2815"/>
      <c r="AJ264" s="2815"/>
      <c r="AK264" s="2815"/>
      <c r="AL264" s="2815"/>
      <c r="AM264" s="2815"/>
      <c r="AN264" s="2815"/>
    </row>
    <row r="265" spans="1:40" ht="13">
      <c r="A265" s="2815"/>
      <c r="B265" s="2815"/>
      <c r="D265" s="2815"/>
      <c r="F265" s="2815"/>
      <c r="G265" s="2815"/>
      <c r="H265" s="2815"/>
      <c r="I265" s="2815"/>
      <c r="J265" s="2815"/>
      <c r="K265" s="2815"/>
      <c r="L265" s="2815"/>
      <c r="M265" s="2815"/>
      <c r="N265" s="2815"/>
      <c r="O265" s="2815"/>
      <c r="P265" s="2815"/>
      <c r="Q265" s="2815"/>
      <c r="R265" s="2815"/>
      <c r="S265" s="2815"/>
      <c r="T265" s="2815"/>
      <c r="U265" s="2815"/>
      <c r="V265" s="2815"/>
      <c r="W265" s="2815"/>
      <c r="X265" s="2815"/>
      <c r="Y265" s="2815"/>
      <c r="Z265" s="2815"/>
      <c r="AA265" s="2815"/>
      <c r="AB265" s="2815"/>
      <c r="AC265" s="2815"/>
      <c r="AD265" s="2815"/>
      <c r="AE265" s="2815"/>
      <c r="AF265" s="2815"/>
      <c r="AG265" s="2815"/>
      <c r="AH265" s="2815"/>
      <c r="AI265" s="2815"/>
      <c r="AJ265" s="2815"/>
      <c r="AK265" s="2815"/>
      <c r="AL265" s="2815"/>
      <c r="AM265" s="2815"/>
      <c r="AN265" s="2815"/>
    </row>
    <row r="266" spans="1:40" ht="13">
      <c r="A266" s="2815"/>
      <c r="B266" s="2815"/>
      <c r="D266" s="2815"/>
      <c r="F266" s="2815"/>
      <c r="G266" s="2815"/>
      <c r="H266" s="2815"/>
      <c r="I266" s="2815"/>
      <c r="J266" s="2815"/>
      <c r="K266" s="2815"/>
      <c r="L266" s="2815"/>
      <c r="M266" s="2815"/>
      <c r="N266" s="2815"/>
      <c r="O266" s="2815"/>
      <c r="P266" s="2815"/>
      <c r="Q266" s="2815"/>
      <c r="R266" s="2815"/>
      <c r="S266" s="2815"/>
      <c r="T266" s="2815"/>
      <c r="U266" s="2815"/>
      <c r="V266" s="2815"/>
      <c r="W266" s="2815"/>
      <c r="X266" s="2815"/>
      <c r="Y266" s="2815"/>
      <c r="Z266" s="2815"/>
      <c r="AA266" s="2815"/>
      <c r="AB266" s="2815"/>
      <c r="AC266" s="2815"/>
      <c r="AD266" s="2815"/>
      <c r="AE266" s="2815"/>
      <c r="AF266" s="2815"/>
      <c r="AG266" s="2815"/>
      <c r="AH266" s="2815"/>
      <c r="AI266" s="2815"/>
      <c r="AJ266" s="2815"/>
      <c r="AK266" s="2815"/>
      <c r="AL266" s="2815"/>
      <c r="AM266" s="2815"/>
      <c r="AN266" s="2815"/>
    </row>
    <row r="267" spans="1:40" ht="13">
      <c r="A267" s="2815"/>
      <c r="B267" s="2815"/>
      <c r="D267" s="2815"/>
      <c r="F267" s="2815"/>
      <c r="G267" s="2815"/>
      <c r="H267" s="2815"/>
      <c r="I267" s="2815"/>
      <c r="J267" s="2815"/>
      <c r="K267" s="2815"/>
      <c r="L267" s="2815"/>
      <c r="M267" s="2815"/>
      <c r="N267" s="2815"/>
      <c r="O267" s="2815"/>
      <c r="P267" s="2815"/>
      <c r="Q267" s="2815"/>
      <c r="R267" s="2815"/>
      <c r="S267" s="2815"/>
      <c r="T267" s="2815"/>
      <c r="U267" s="2815"/>
      <c r="V267" s="2815"/>
      <c r="W267" s="2815"/>
      <c r="X267" s="2815"/>
      <c r="Y267" s="2815"/>
      <c r="Z267" s="2815"/>
      <c r="AA267" s="2815"/>
      <c r="AB267" s="2815"/>
      <c r="AC267" s="2815"/>
      <c r="AD267" s="2815"/>
      <c r="AE267" s="2815"/>
      <c r="AF267" s="2815"/>
      <c r="AG267" s="2815"/>
      <c r="AH267" s="2815"/>
      <c r="AI267" s="2815"/>
      <c r="AJ267" s="2815"/>
      <c r="AK267" s="2815"/>
      <c r="AL267" s="2815"/>
      <c r="AM267" s="2815"/>
      <c r="AN267" s="2815"/>
    </row>
    <row r="268" spans="1:40" ht="13">
      <c r="A268" s="2815"/>
      <c r="B268" s="2815"/>
      <c r="D268" s="2815"/>
      <c r="F268" s="2815"/>
      <c r="G268" s="2815"/>
      <c r="H268" s="2815"/>
      <c r="I268" s="2815"/>
      <c r="J268" s="2815"/>
      <c r="K268" s="2815"/>
      <c r="L268" s="2815"/>
      <c r="M268" s="2815"/>
      <c r="N268" s="2815"/>
      <c r="O268" s="2815"/>
      <c r="P268" s="2815"/>
      <c r="Q268" s="2815"/>
      <c r="R268" s="2815"/>
      <c r="S268" s="2815"/>
      <c r="T268" s="2815"/>
      <c r="U268" s="2815"/>
      <c r="V268" s="2815"/>
      <c r="W268" s="2815"/>
      <c r="X268" s="2815"/>
      <c r="Y268" s="2815"/>
      <c r="Z268" s="2815"/>
      <c r="AA268" s="2815"/>
      <c r="AB268" s="2815"/>
      <c r="AC268" s="2815"/>
      <c r="AD268" s="2815"/>
      <c r="AE268" s="2815"/>
      <c r="AF268" s="2815"/>
      <c r="AG268" s="2815"/>
      <c r="AH268" s="2815"/>
      <c r="AI268" s="2815"/>
      <c r="AJ268" s="2815"/>
      <c r="AK268" s="2815"/>
      <c r="AL268" s="2815"/>
      <c r="AM268" s="2815"/>
      <c r="AN268" s="2815"/>
    </row>
    <row r="269" spans="1:40" ht="13">
      <c r="A269" s="2815"/>
      <c r="B269" s="2815"/>
      <c r="D269" s="2815"/>
      <c r="F269" s="2815"/>
      <c r="G269" s="2815"/>
      <c r="H269" s="2815"/>
      <c r="I269" s="2815"/>
      <c r="J269" s="2815"/>
      <c r="K269" s="2815"/>
      <c r="L269" s="2815"/>
      <c r="M269" s="2815"/>
      <c r="N269" s="2815"/>
      <c r="O269" s="2815"/>
      <c r="P269" s="2815"/>
      <c r="Q269" s="2815"/>
      <c r="R269" s="2815"/>
      <c r="S269" s="2815"/>
      <c r="T269" s="2815"/>
      <c r="U269" s="2815"/>
      <c r="V269" s="2815"/>
      <c r="W269" s="2815"/>
      <c r="X269" s="2815"/>
      <c r="Y269" s="2815"/>
      <c r="Z269" s="2815"/>
      <c r="AA269" s="2815"/>
      <c r="AB269" s="2815"/>
      <c r="AC269" s="2815"/>
      <c r="AD269" s="2815"/>
      <c r="AE269" s="2815"/>
      <c r="AF269" s="2815"/>
      <c r="AG269" s="2815"/>
      <c r="AH269" s="2815"/>
      <c r="AI269" s="2815"/>
      <c r="AJ269" s="2815"/>
      <c r="AK269" s="2815"/>
      <c r="AL269" s="2815"/>
      <c r="AM269" s="2815"/>
      <c r="AN269" s="2815"/>
    </row>
    <row r="270" spans="1:40" ht="13">
      <c r="A270" s="2815"/>
      <c r="B270" s="2815"/>
      <c r="D270" s="2815"/>
      <c r="F270" s="2815"/>
      <c r="G270" s="2815"/>
      <c r="H270" s="2815"/>
      <c r="I270" s="2815"/>
      <c r="J270" s="2815"/>
      <c r="K270" s="2815"/>
      <c r="L270" s="2815"/>
      <c r="M270" s="2815"/>
      <c r="N270" s="2815"/>
      <c r="O270" s="2815"/>
      <c r="P270" s="2815"/>
      <c r="Q270" s="2815"/>
      <c r="R270" s="2815"/>
      <c r="S270" s="2815"/>
      <c r="T270" s="2815"/>
      <c r="U270" s="2815"/>
      <c r="V270" s="2815"/>
      <c r="W270" s="2815"/>
      <c r="X270" s="2815"/>
      <c r="Y270" s="2815"/>
      <c r="Z270" s="2815"/>
      <c r="AA270" s="2815"/>
      <c r="AB270" s="2815"/>
      <c r="AC270" s="2815"/>
      <c r="AD270" s="2815"/>
      <c r="AE270" s="2815"/>
      <c r="AF270" s="2815"/>
      <c r="AG270" s="2815"/>
      <c r="AH270" s="2815"/>
      <c r="AI270" s="2815"/>
      <c r="AJ270" s="2815"/>
      <c r="AK270" s="2815"/>
      <c r="AL270" s="2815"/>
      <c r="AM270" s="2815"/>
      <c r="AN270" s="2815"/>
    </row>
    <row r="271" spans="1:40" ht="13">
      <c r="A271" s="2815"/>
      <c r="B271" s="2815"/>
      <c r="D271" s="2815"/>
      <c r="F271" s="2815"/>
      <c r="G271" s="2815"/>
      <c r="H271" s="2815"/>
      <c r="I271" s="2815"/>
      <c r="J271" s="2815"/>
      <c r="K271" s="2815"/>
      <c r="L271" s="2815"/>
      <c r="M271" s="2815"/>
      <c r="N271" s="2815"/>
      <c r="O271" s="2815"/>
      <c r="P271" s="2815"/>
      <c r="Q271" s="2815"/>
      <c r="R271" s="2815"/>
      <c r="S271" s="2815"/>
      <c r="T271" s="2815"/>
      <c r="U271" s="2815"/>
      <c r="V271" s="2815"/>
      <c r="W271" s="2815"/>
      <c r="X271" s="2815"/>
      <c r="Y271" s="2815"/>
      <c r="Z271" s="2815"/>
      <c r="AA271" s="2815"/>
      <c r="AB271" s="2815"/>
      <c r="AC271" s="2815"/>
      <c r="AD271" s="2815"/>
      <c r="AE271" s="2815"/>
      <c r="AF271" s="2815"/>
      <c r="AG271" s="2815"/>
      <c r="AH271" s="2815"/>
      <c r="AI271" s="2815"/>
      <c r="AJ271" s="2815"/>
      <c r="AK271" s="2815"/>
      <c r="AL271" s="2815"/>
      <c r="AM271" s="2815"/>
      <c r="AN271" s="2815"/>
    </row>
    <row r="272" spans="1:40" ht="13">
      <c r="A272" s="2815"/>
      <c r="B272" s="2815"/>
      <c r="D272" s="2815"/>
      <c r="F272" s="2815"/>
      <c r="G272" s="2815"/>
      <c r="H272" s="2815"/>
      <c r="I272" s="2815"/>
      <c r="J272" s="2815"/>
      <c r="K272" s="2815"/>
      <c r="L272" s="2815"/>
      <c r="M272" s="2815"/>
      <c r="N272" s="2815"/>
      <c r="O272" s="2815"/>
      <c r="P272" s="2815"/>
      <c r="Q272" s="2815"/>
      <c r="R272" s="2815"/>
      <c r="S272" s="2815"/>
      <c r="T272" s="2815"/>
      <c r="U272" s="2815"/>
      <c r="V272" s="2815"/>
      <c r="W272" s="2815"/>
      <c r="X272" s="2815"/>
      <c r="Y272" s="2815"/>
      <c r="Z272" s="2815"/>
      <c r="AA272" s="2815"/>
      <c r="AB272" s="2815"/>
      <c r="AC272" s="2815"/>
      <c r="AD272" s="2815"/>
      <c r="AE272" s="2815"/>
      <c r="AF272" s="2815"/>
      <c r="AG272" s="2815"/>
      <c r="AH272" s="2815"/>
      <c r="AI272" s="2815"/>
      <c r="AJ272" s="2815"/>
      <c r="AK272" s="2815"/>
      <c r="AL272" s="2815"/>
      <c r="AM272" s="2815"/>
      <c r="AN272" s="2815"/>
    </row>
    <row r="273" spans="1:40" ht="13">
      <c r="A273" s="2815"/>
      <c r="B273" s="2815"/>
      <c r="D273" s="2815"/>
      <c r="F273" s="2815"/>
      <c r="G273" s="2815"/>
      <c r="H273" s="2815"/>
      <c r="I273" s="2815"/>
      <c r="J273" s="2815"/>
      <c r="K273" s="2815"/>
      <c r="L273" s="2815"/>
      <c r="M273" s="2815"/>
      <c r="N273" s="2815"/>
      <c r="O273" s="2815"/>
      <c r="P273" s="2815"/>
      <c r="Q273" s="2815"/>
      <c r="R273" s="2815"/>
      <c r="S273" s="2815"/>
      <c r="T273" s="2815"/>
      <c r="U273" s="2815"/>
      <c r="V273" s="2815"/>
      <c r="W273" s="2815"/>
      <c r="X273" s="2815"/>
      <c r="Y273" s="2815"/>
      <c r="Z273" s="2815"/>
      <c r="AA273" s="2815"/>
      <c r="AB273" s="2815"/>
      <c r="AC273" s="2815"/>
      <c r="AD273" s="2815"/>
      <c r="AE273" s="2815"/>
      <c r="AF273" s="2815"/>
      <c r="AG273" s="2815"/>
      <c r="AH273" s="2815"/>
      <c r="AI273" s="2815"/>
      <c r="AJ273" s="2815"/>
      <c r="AK273" s="2815"/>
      <c r="AL273" s="2815"/>
      <c r="AM273" s="2815"/>
      <c r="AN273" s="2815"/>
    </row>
    <row r="274" spans="1:40" ht="13">
      <c r="A274" s="2815"/>
      <c r="B274" s="2815"/>
      <c r="D274" s="2815"/>
      <c r="F274" s="2815"/>
      <c r="G274" s="2815"/>
      <c r="H274" s="2815"/>
      <c r="I274" s="2815"/>
      <c r="J274" s="2815"/>
      <c r="K274" s="2815"/>
      <c r="L274" s="2815"/>
      <c r="M274" s="2815"/>
      <c r="N274" s="2815"/>
      <c r="O274" s="2815"/>
      <c r="P274" s="2815"/>
      <c r="Q274" s="2815"/>
      <c r="R274" s="2815"/>
      <c r="S274" s="2815"/>
      <c r="T274" s="2815"/>
      <c r="U274" s="2815"/>
      <c r="V274" s="2815"/>
      <c r="W274" s="2815"/>
      <c r="X274" s="2815"/>
      <c r="Y274" s="2815"/>
      <c r="Z274" s="2815"/>
      <c r="AA274" s="2815"/>
      <c r="AB274" s="2815"/>
      <c r="AC274" s="2815"/>
      <c r="AD274" s="2815"/>
      <c r="AE274" s="2815"/>
      <c r="AF274" s="2815"/>
      <c r="AG274" s="2815"/>
      <c r="AH274" s="2815"/>
      <c r="AI274" s="2815"/>
      <c r="AJ274" s="2815"/>
      <c r="AK274" s="2815"/>
      <c r="AL274" s="2815"/>
      <c r="AM274" s="2815"/>
      <c r="AN274" s="2815"/>
    </row>
    <row r="275" spans="1:40" ht="13">
      <c r="A275" s="2815"/>
      <c r="B275" s="2815"/>
      <c r="D275" s="2815"/>
      <c r="F275" s="2815"/>
      <c r="G275" s="2815"/>
      <c r="H275" s="2815"/>
      <c r="I275" s="2815"/>
      <c r="J275" s="2815"/>
      <c r="K275" s="2815"/>
      <c r="L275" s="2815"/>
      <c r="M275" s="2815"/>
      <c r="N275" s="2815"/>
      <c r="O275" s="2815"/>
      <c r="P275" s="2815"/>
      <c r="Q275" s="2815"/>
      <c r="R275" s="2815"/>
      <c r="S275" s="2815"/>
      <c r="T275" s="2815"/>
      <c r="U275" s="2815"/>
      <c r="V275" s="2815"/>
      <c r="W275" s="2815"/>
      <c r="X275" s="2815"/>
      <c r="Y275" s="2815"/>
      <c r="Z275" s="2815"/>
      <c r="AA275" s="2815"/>
      <c r="AB275" s="2815"/>
      <c r="AC275" s="2815"/>
      <c r="AD275" s="2815"/>
      <c r="AE275" s="2815"/>
      <c r="AF275" s="2815"/>
      <c r="AG275" s="2815"/>
      <c r="AH275" s="2815"/>
      <c r="AI275" s="2815"/>
      <c r="AJ275" s="2815"/>
      <c r="AK275" s="2815"/>
      <c r="AL275" s="2815"/>
      <c r="AM275" s="2815"/>
      <c r="AN275" s="2815"/>
    </row>
    <row r="276" spans="1:40" ht="13">
      <c r="A276" s="2815"/>
      <c r="B276" s="2815"/>
      <c r="D276" s="2815"/>
      <c r="F276" s="2815"/>
      <c r="G276" s="2815"/>
      <c r="H276" s="2815"/>
      <c r="I276" s="2815"/>
      <c r="J276" s="2815"/>
      <c r="K276" s="2815"/>
      <c r="L276" s="2815"/>
      <c r="M276" s="2815"/>
      <c r="N276" s="2815"/>
      <c r="O276" s="2815"/>
      <c r="P276" s="2815"/>
      <c r="Q276" s="2815"/>
      <c r="R276" s="2815"/>
      <c r="S276" s="2815"/>
      <c r="T276" s="2815"/>
      <c r="U276" s="2815"/>
      <c r="V276" s="2815"/>
      <c r="W276" s="2815"/>
      <c r="X276" s="2815"/>
      <c r="Y276" s="2815"/>
      <c r="Z276" s="2815"/>
      <c r="AA276" s="2815"/>
      <c r="AB276" s="2815"/>
      <c r="AC276" s="2815"/>
      <c r="AD276" s="2815"/>
      <c r="AE276" s="2815"/>
      <c r="AF276" s="2815"/>
      <c r="AG276" s="2815"/>
      <c r="AH276" s="2815"/>
      <c r="AI276" s="2815"/>
      <c r="AJ276" s="2815"/>
      <c r="AK276" s="2815"/>
      <c r="AL276" s="2815"/>
      <c r="AM276" s="2815"/>
      <c r="AN276" s="2815"/>
    </row>
    <row r="277" spans="1:40" ht="13">
      <c r="A277" s="2815"/>
      <c r="B277" s="2815"/>
      <c r="D277" s="2815"/>
      <c r="F277" s="2815"/>
      <c r="G277" s="2815"/>
      <c r="H277" s="2815"/>
      <c r="I277" s="2815"/>
      <c r="J277" s="2815"/>
      <c r="K277" s="2815"/>
      <c r="L277" s="2815"/>
      <c r="M277" s="2815"/>
      <c r="N277" s="2815"/>
      <c r="O277" s="2815"/>
      <c r="P277" s="2815"/>
      <c r="Q277" s="2815"/>
      <c r="R277" s="2815"/>
      <c r="S277" s="2815"/>
      <c r="T277" s="2815"/>
      <c r="U277" s="2815"/>
      <c r="V277" s="2815"/>
      <c r="W277" s="2815"/>
      <c r="X277" s="2815"/>
      <c r="Y277" s="2815"/>
      <c r="Z277" s="2815"/>
      <c r="AA277" s="2815"/>
      <c r="AB277" s="2815"/>
      <c r="AC277" s="2815"/>
      <c r="AD277" s="2815"/>
      <c r="AE277" s="2815"/>
      <c r="AF277" s="2815"/>
      <c r="AG277" s="2815"/>
      <c r="AH277" s="2815"/>
      <c r="AI277" s="2815"/>
      <c r="AJ277" s="2815"/>
      <c r="AK277" s="2815"/>
      <c r="AL277" s="2815"/>
      <c r="AM277" s="2815"/>
      <c r="AN277" s="2815"/>
    </row>
    <row r="278" spans="1:40" ht="13">
      <c r="A278" s="2815"/>
      <c r="B278" s="2815"/>
      <c r="D278" s="2815"/>
      <c r="F278" s="2815"/>
      <c r="G278" s="2815"/>
      <c r="H278" s="2815"/>
      <c r="I278" s="2815"/>
      <c r="J278" s="2815"/>
      <c r="K278" s="2815"/>
      <c r="L278" s="2815"/>
      <c r="M278" s="2815"/>
      <c r="N278" s="2815"/>
      <c r="O278" s="2815"/>
      <c r="P278" s="2815"/>
      <c r="Q278" s="2815"/>
      <c r="R278" s="2815"/>
      <c r="S278" s="2815"/>
      <c r="T278" s="2815"/>
      <c r="U278" s="2815"/>
      <c r="V278" s="2815"/>
      <c r="W278" s="2815"/>
      <c r="X278" s="2815"/>
      <c r="Y278" s="2815"/>
      <c r="Z278" s="2815"/>
      <c r="AA278" s="2815"/>
      <c r="AB278" s="2815"/>
      <c r="AC278" s="2815"/>
      <c r="AD278" s="2815"/>
      <c r="AE278" s="2815"/>
      <c r="AF278" s="2815"/>
      <c r="AG278" s="2815"/>
      <c r="AH278" s="2815"/>
      <c r="AI278" s="2815"/>
      <c r="AJ278" s="2815"/>
      <c r="AK278" s="2815"/>
      <c r="AL278" s="2815"/>
      <c r="AM278" s="2815"/>
      <c r="AN278" s="2815"/>
    </row>
  </sheetData>
  <mergeCells count="3">
    <mergeCell ref="I52:K53"/>
    <mergeCell ref="L52:R53"/>
    <mergeCell ref="N61:N64"/>
  </mergeCells>
  <phoneticPr fontId="21" type="noConversion"/>
  <printOptions horizontalCentered="1" verticalCentered="1"/>
  <pageMargins left="0" right="0" top="0.51181102362204722" bottom="0" header="0.31496062992125984" footer="0"/>
  <pageSetup paperSize="9" orientation="landscape" horizontalDpi="0" verticalDpi="0"/>
  <headerFooter>
    <oddHeader>&amp;L&amp;A&amp;F&amp;C&amp;D&amp;R&amp;P de &amp;N</oddHead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3411-4A2E-D548-9274-9FC9CD3CCE70}">
  <sheetPr codeName="Hoja54"/>
  <dimension ref="A1:AO261"/>
  <sheetViews>
    <sheetView topLeftCell="A48" zoomScale="222" zoomScaleNormal="148" workbookViewId="0">
      <selection activeCell="N70" sqref="N70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2" style="3028" customWidth="1"/>
    <col min="4" max="4" width="0.6640625" style="3082" customWidth="1"/>
    <col min="5" max="5" width="3" style="1" customWidth="1"/>
    <col min="6" max="6" width="6" style="2818" customWidth="1"/>
    <col min="7" max="7" width="5.6640625" style="780" customWidth="1"/>
    <col min="8" max="8" width="7" style="780" customWidth="1"/>
    <col min="9" max="10" width="7.5" style="780" customWidth="1"/>
    <col min="11" max="11" width="30.1640625" style="780" customWidth="1"/>
    <col min="12" max="12" width="9.6640625" style="780" customWidth="1"/>
    <col min="13" max="13" width="1.5" style="2820" customWidth="1"/>
    <col min="14" max="14" width="10.1640625" style="2818" customWidth="1"/>
    <col min="15" max="15" width="1" style="780" customWidth="1"/>
    <col min="16" max="16" width="11.1640625" style="780" customWidth="1"/>
    <col min="17" max="17" width="7.5" style="2821" customWidth="1"/>
    <col min="18" max="18" width="7.6640625" style="2821" customWidth="1"/>
    <col min="19" max="19" width="1.33203125" style="2822" customWidth="1"/>
    <col min="20" max="20" width="0.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5" style="2823" customWidth="1"/>
    <col min="25" max="25" width="6" style="2823" customWidth="1"/>
    <col min="26" max="27" width="5.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5" style="2826" customWidth="1"/>
    <col min="40" max="40" width="11.5" style="2825"/>
    <col min="41" max="16384" width="11.5" style="1"/>
  </cols>
  <sheetData>
    <row r="1" spans="1:40" ht="17" customHeight="1" thickBot="1">
      <c r="A1" s="3080" t="s">
        <v>344</v>
      </c>
      <c r="B1" s="1"/>
      <c r="C1" s="1"/>
      <c r="D1" s="3081"/>
      <c r="E1" s="2817"/>
      <c r="H1" s="3726"/>
      <c r="K1" s="3750">
        <v>44311</v>
      </c>
      <c r="L1" s="2821"/>
      <c r="M1" s="2821"/>
      <c r="N1" s="2821"/>
      <c r="O1" s="2821"/>
      <c r="P1" s="2821"/>
      <c r="V1" s="2824"/>
      <c r="AI1" s="2825"/>
      <c r="AJ1" s="2825"/>
      <c r="AK1" s="2825"/>
      <c r="AL1" s="2825"/>
      <c r="AM1" s="2825"/>
    </row>
    <row r="2" spans="1:40" ht="14" customHeight="1" thickBot="1">
      <c r="F2" s="527"/>
      <c r="G2" s="155"/>
      <c r="H2" s="3727"/>
      <c r="I2" s="155"/>
      <c r="J2" s="3083"/>
      <c r="K2" s="583"/>
      <c r="L2" s="2821"/>
      <c r="M2" s="2821"/>
      <c r="N2" s="2821"/>
      <c r="O2" s="2821"/>
      <c r="P2" s="2821"/>
      <c r="U2" s="2827" t="s">
        <v>345</v>
      </c>
      <c r="AI2" s="2825"/>
      <c r="AJ2" s="2825"/>
      <c r="AK2" s="2825"/>
      <c r="AL2" s="2825"/>
      <c r="AM2" s="2825"/>
    </row>
    <row r="3" spans="1:40" s="2839" customFormat="1" ht="56" customHeight="1" thickTop="1" thickBot="1">
      <c r="A3" s="5503" t="s">
        <v>346</v>
      </c>
      <c r="B3" s="3085" t="s">
        <v>347</v>
      </c>
      <c r="C3" s="3728"/>
      <c r="D3" s="3087" t="s">
        <v>348</v>
      </c>
      <c r="E3" s="3086" t="s">
        <v>349</v>
      </c>
      <c r="F3" s="3088" t="s">
        <v>350</v>
      </c>
      <c r="G3" s="3089" t="s">
        <v>351</v>
      </c>
      <c r="H3" s="3089" t="s">
        <v>624</v>
      </c>
      <c r="I3" s="3089" t="s">
        <v>352</v>
      </c>
      <c r="J3" s="3088" t="s">
        <v>353</v>
      </c>
      <c r="K3" s="3089" t="s">
        <v>354</v>
      </c>
      <c r="L3" s="3089"/>
      <c r="M3" s="3090" t="s">
        <v>355</v>
      </c>
      <c r="N3" s="3089" t="s">
        <v>445</v>
      </c>
      <c r="O3" s="3086" t="s">
        <v>446</v>
      </c>
      <c r="P3" s="3086" t="s">
        <v>447</v>
      </c>
      <c r="Q3" s="3091" t="s">
        <v>448</v>
      </c>
      <c r="R3" s="3092" t="s">
        <v>371</v>
      </c>
      <c r="S3" s="5504" t="s">
        <v>449</v>
      </c>
      <c r="T3" s="5504" t="s">
        <v>450</v>
      </c>
      <c r="U3" s="5505" t="s">
        <v>451</v>
      </c>
      <c r="V3" s="5506" t="s">
        <v>452</v>
      </c>
      <c r="W3" s="5507" t="s">
        <v>453</v>
      </c>
      <c r="X3" s="5508" t="s">
        <v>454</v>
      </c>
      <c r="Y3" s="5509" t="s">
        <v>455</v>
      </c>
      <c r="Z3" s="5510" t="s">
        <v>456</v>
      </c>
      <c r="AA3" s="5511" t="s">
        <v>457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2839" customFormat="1" ht="6" customHeight="1" thickBot="1">
      <c r="A4" s="3093"/>
      <c r="B4" s="3912"/>
      <c r="C4" s="5512"/>
      <c r="D4" s="3914"/>
      <c r="E4" s="3913"/>
      <c r="F4" s="3915"/>
      <c r="G4" s="3913"/>
      <c r="H4" s="3913"/>
      <c r="I4" s="3913"/>
      <c r="J4" s="3915"/>
      <c r="K4" s="3913"/>
      <c r="L4" s="3913"/>
      <c r="M4" s="3916"/>
      <c r="N4" s="3913"/>
      <c r="O4" s="3913"/>
      <c r="P4" s="3913"/>
      <c r="Q4" s="3917"/>
      <c r="R4" s="3918"/>
      <c r="S4" s="3919"/>
      <c r="T4" s="3919"/>
      <c r="U4" s="3920">
        <v>9.3287037037037058E-4</v>
      </c>
      <c r="V4" s="4694">
        <v>8.6111111111111121E-4</v>
      </c>
      <c r="W4" s="4694">
        <v>7.8935185185185206E-4</v>
      </c>
      <c r="X4" s="4694">
        <v>7.175925925925927E-4</v>
      </c>
      <c r="Y4" s="4694">
        <v>7.1400462962962975E-4</v>
      </c>
      <c r="Z4" s="4694">
        <v>7.0324074074074082E-4</v>
      </c>
      <c r="AA4" s="4695">
        <v>6.8888888888888895E-4</v>
      </c>
      <c r="AB4" s="2836"/>
      <c r="AC4" s="2837"/>
      <c r="AD4" s="2838"/>
      <c r="AE4" s="2838"/>
      <c r="AF4" s="2838"/>
      <c r="AG4" s="2838"/>
      <c r="AH4" s="2838"/>
      <c r="AI4" s="2836"/>
      <c r="AJ4" s="2836"/>
      <c r="AK4" s="2836"/>
      <c r="AL4" s="2836"/>
      <c r="AM4" s="2836"/>
      <c r="AN4" s="2836"/>
    </row>
    <row r="5" spans="1:40" s="63" customFormat="1" ht="11" customHeight="1" thickBot="1">
      <c r="A5" s="3733"/>
      <c r="B5" s="5513"/>
      <c r="C5" s="3734"/>
      <c r="D5" s="3397"/>
      <c r="E5" s="3396"/>
      <c r="F5" s="3398"/>
      <c r="G5" s="3399"/>
      <c r="H5" s="3399"/>
      <c r="I5" s="3399"/>
      <c r="J5" s="3398"/>
      <c r="K5" s="3399"/>
      <c r="L5" s="3399"/>
      <c r="M5" s="3606"/>
      <c r="N5" s="3399"/>
      <c r="O5" s="3396"/>
      <c r="P5" s="3396"/>
      <c r="Q5" s="3396"/>
      <c r="R5" s="3607"/>
      <c r="S5" s="3404"/>
      <c r="T5" s="3404"/>
      <c r="U5" s="2843">
        <f>U4/4</f>
        <v>2.3321759259259265E-4</v>
      </c>
      <c r="V5" s="2843">
        <f t="shared" ref="V5:AA5" si="0">V4/4</f>
        <v>2.152777777777778E-4</v>
      </c>
      <c r="W5" s="2843">
        <f t="shared" si="0"/>
        <v>1.9733796296296302E-4</v>
      </c>
      <c r="X5" s="2843">
        <f t="shared" si="0"/>
        <v>1.7939814814814817E-4</v>
      </c>
      <c r="Y5" s="2843">
        <f t="shared" si="0"/>
        <v>1.7850115740740744E-4</v>
      </c>
      <c r="Z5" s="2843">
        <f t="shared" si="0"/>
        <v>1.7581018518518521E-4</v>
      </c>
      <c r="AA5" s="2843">
        <f t="shared" si="0"/>
        <v>1.7222222222222224E-4</v>
      </c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s="63" customFormat="1" ht="14" customHeight="1" thickTop="1" thickBot="1">
      <c r="A6" s="3611" t="s">
        <v>214</v>
      </c>
      <c r="B6" s="3110" t="s">
        <v>215</v>
      </c>
      <c r="C6" s="629">
        <f>IF(D6=1,U$5,IF(D6=2,V$5,IF(D6=3,W$5,IF(D6=4,X$5,IF(D6=5,Y$5,IF(D6=6,Z$5,IF(D6=7,AA$5,0)))))))</f>
        <v>2.3321759259259265E-4</v>
      </c>
      <c r="D6" s="4773">
        <v>1</v>
      </c>
      <c r="E6" s="4704">
        <v>1</v>
      </c>
      <c r="F6" s="4704">
        <v>1</v>
      </c>
      <c r="G6" s="4704">
        <v>600</v>
      </c>
      <c r="H6" s="4705"/>
      <c r="I6" s="4705">
        <v>0</v>
      </c>
      <c r="J6" s="4705">
        <v>1.1574074074074073E-4</v>
      </c>
      <c r="K6" s="4706" t="s">
        <v>1730</v>
      </c>
      <c r="L6" s="4705">
        <v>0.33333333333333331</v>
      </c>
      <c r="M6" s="4775">
        <v>1</v>
      </c>
      <c r="N6" s="4705">
        <f t="shared" ref="N6:N7" si="1">P6*E6*F6+I6*E6*F6+J6*E6</f>
        <v>5.712962962962964E-3</v>
      </c>
      <c r="O6" s="5514">
        <f>C6*G6/25</f>
        <v>5.597222222222223E-3</v>
      </c>
      <c r="P6" s="4707">
        <f t="shared" ref="P6:P10" si="2">O6*M6</f>
        <v>5.597222222222223E-3</v>
      </c>
      <c r="Q6" s="4776">
        <v>129</v>
      </c>
      <c r="R6" s="4704">
        <f t="shared" ref="R6:R10" si="3">E6*F6*G6</f>
        <v>600</v>
      </c>
      <c r="S6" s="2844">
        <f>E6*F6*G6/1000</f>
        <v>0.6</v>
      </c>
      <c r="T6" s="2845">
        <f>E6*F6*O6*4</f>
        <v>2.2388888888888892E-2</v>
      </c>
      <c r="U6" s="374">
        <f>IF(C6*4&gt;=$U$4,S6,0)</f>
        <v>0.6</v>
      </c>
      <c r="V6" s="2846">
        <f>IF(AND(C6*4&gt;=$V$4,C6*4&lt;$U$4),S6,0)</f>
        <v>0</v>
      </c>
      <c r="W6" s="2847">
        <f>IF(AND(C6*4&gt;=$W$4,C6*4&lt;$V$4),S6,0)</f>
        <v>0</v>
      </c>
      <c r="X6" s="2848">
        <f>IF(AND(C6*4&gt;=$X$4,C6*4&lt;$W$4),S6,0)</f>
        <v>0</v>
      </c>
      <c r="Y6" s="2849">
        <f>IF(AND(C6*4&gt;=$Y$4,C6*4&lt;$X$4),S6,0)</f>
        <v>0</v>
      </c>
      <c r="Z6" s="2850">
        <f>IF(AND(C6*4&gt;=$Z$4,C6*4&lt;$Y$4),S6,0)</f>
        <v>0</v>
      </c>
      <c r="AA6" s="2851">
        <f>IF(AND(C6*4&gt;=$AA$4,C6*4&lt;$Z$4),S6,0)</f>
        <v>0</v>
      </c>
      <c r="AB6" s="2935"/>
      <c r="AC6" s="2867"/>
      <c r="AD6" s="2867"/>
      <c r="AE6" s="2867"/>
      <c r="AF6" s="2867"/>
      <c r="AG6" s="2867"/>
      <c r="AH6" s="2867"/>
      <c r="AI6" s="2935"/>
      <c r="AJ6" s="2935"/>
      <c r="AK6" s="2935"/>
      <c r="AL6" s="2935"/>
      <c r="AM6" s="2935"/>
      <c r="AN6" s="2935"/>
    </row>
    <row r="7" spans="1:40" s="63" customFormat="1" ht="14" customHeight="1" thickBot="1">
      <c r="A7" s="3611" t="s">
        <v>459</v>
      </c>
      <c r="B7" s="3110" t="s">
        <v>215</v>
      </c>
      <c r="C7" s="629">
        <f>IF(D7=1,U$5,IF(D7=2,V$5,IF(D7=3,W$5,IF(D7=4,X$5,IF(D7=5,Y$5,IF(D7=6,Z$5,IF(D7=7,AA$5,0)))))))</f>
        <v>1.9733796296296302E-4</v>
      </c>
      <c r="D7" s="3436">
        <v>3</v>
      </c>
      <c r="E7" s="4710">
        <v>1</v>
      </c>
      <c r="F7" s="4710">
        <v>12</v>
      </c>
      <c r="G7" s="4710">
        <v>25</v>
      </c>
      <c r="H7" s="4711"/>
      <c r="I7" s="4711">
        <v>5.7870370370370366E-5</v>
      </c>
      <c r="J7" s="4711">
        <v>1.3888888888888889E-3</v>
      </c>
      <c r="K7" s="4712" t="s">
        <v>1722</v>
      </c>
      <c r="L7" s="4711">
        <f>L6+N6</f>
        <v>0.33904629629629629</v>
      </c>
      <c r="M7" s="4730">
        <v>1.1000000000000001</v>
      </c>
      <c r="N7" s="4711">
        <f t="shared" si="1"/>
        <v>4.6881944444444454E-3</v>
      </c>
      <c r="O7" s="5514">
        <f>C7*G7/25</f>
        <v>1.9733796296296302E-4</v>
      </c>
      <c r="P7" s="4713">
        <f t="shared" si="2"/>
        <v>2.1707175925925933E-4</v>
      </c>
      <c r="Q7" s="4714">
        <v>164</v>
      </c>
      <c r="R7" s="4710">
        <f t="shared" si="3"/>
        <v>300</v>
      </c>
      <c r="S7" s="2844">
        <f t="shared" ref="S7:S52" si="4">E7*F7*G7/1000</f>
        <v>0.3</v>
      </c>
      <c r="T7" s="2845">
        <f t="shared" ref="T7:T60" si="5">E7*F7*O7*4</f>
        <v>9.4722222222222256E-3</v>
      </c>
      <c r="U7" s="374">
        <f t="shared" ref="U7:U60" si="6">IF(C7*4&gt;=$U$4,S7,0)</f>
        <v>0</v>
      </c>
      <c r="V7" s="2846">
        <f t="shared" ref="V7:V60" si="7">IF(AND(C7*4&gt;=$V$4,C7*4&lt;$U$4),S7,0)</f>
        <v>0</v>
      </c>
      <c r="W7" s="2847">
        <f t="shared" ref="W7:W60" si="8">IF(AND(C7*4&gt;=$W$4,C7*4&lt;$V$4),S7,0)</f>
        <v>0.3</v>
      </c>
      <c r="X7" s="2848">
        <f t="shared" ref="X7:X60" si="9">IF(AND(C7*4&gt;=$X$4,C7*4&lt;$W$4),S7,0)</f>
        <v>0</v>
      </c>
      <c r="Y7" s="2849">
        <f t="shared" ref="Y7:Y60" si="10">IF(AND(C7*4&gt;=$Y$4,C7*4&lt;$X$4),S7,0)</f>
        <v>0</v>
      </c>
      <c r="Z7" s="2850">
        <f t="shared" ref="Z7:Z60" si="11">IF(AND(C7*4&gt;=$Z$4,C7*4&lt;$Y$4),S7,0)</f>
        <v>0</v>
      </c>
      <c r="AA7" s="2851">
        <f t="shared" ref="AA7:AA60" si="12">IF(AND(C7*4&gt;=$AA$4,C7*4&lt;$Z$4),S7,0)</f>
        <v>0</v>
      </c>
      <c r="AB7" s="2935"/>
      <c r="AC7" s="2867"/>
      <c r="AD7" s="2867"/>
      <c r="AE7" s="2867"/>
      <c r="AF7" s="2867"/>
      <c r="AG7" s="2867"/>
      <c r="AH7" s="2867"/>
      <c r="AI7" s="2935"/>
      <c r="AJ7" s="2935"/>
      <c r="AK7" s="2935"/>
      <c r="AL7" s="2935"/>
      <c r="AM7" s="2935"/>
      <c r="AN7" s="2935"/>
    </row>
    <row r="8" spans="1:40" s="63" customFormat="1" ht="14" customHeight="1" thickBot="1">
      <c r="A8" s="3611" t="s">
        <v>460</v>
      </c>
      <c r="B8" s="3110" t="s">
        <v>215</v>
      </c>
      <c r="C8" s="629">
        <f>IF(D8=1,U$5,IF(D8=2,V$5,IF(D8=3,W$5,IF(D8=4,X$5,IF(D8=5,Y$5,IF(D8=6,Z$5,IF(D8=7,AA$5,0)))))))</f>
        <v>2.152777777777778E-4</v>
      </c>
      <c r="D8" s="4890">
        <v>2</v>
      </c>
      <c r="E8" s="4736">
        <v>1</v>
      </c>
      <c r="F8" s="4736">
        <v>8</v>
      </c>
      <c r="G8" s="4736">
        <v>100</v>
      </c>
      <c r="H8" s="4739">
        <v>1.2731481481481483E-3</v>
      </c>
      <c r="I8" s="4739"/>
      <c r="J8" s="4739"/>
      <c r="K8" s="4740" t="s">
        <v>1225</v>
      </c>
      <c r="L8" s="4739">
        <f t="shared" ref="L8:L11" si="13">L7+N7</f>
        <v>0.34373449074074075</v>
      </c>
      <c r="M8" s="4782">
        <v>1.1499999999999999</v>
      </c>
      <c r="N8" s="4739">
        <f>H8*F8*E8</f>
        <v>1.0185185185185186E-2</v>
      </c>
      <c r="O8" s="5514">
        <f t="shared" ref="O8" si="14">C8*G8/25</f>
        <v>8.6111111111111121E-4</v>
      </c>
      <c r="P8" s="4850">
        <f t="shared" si="2"/>
        <v>9.9027777777777786E-4</v>
      </c>
      <c r="Q8" s="4783">
        <v>140</v>
      </c>
      <c r="R8" s="3965">
        <f t="shared" si="3"/>
        <v>800</v>
      </c>
      <c r="S8" s="2844">
        <f t="shared" si="4"/>
        <v>0.8</v>
      </c>
      <c r="T8" s="2845">
        <f t="shared" si="5"/>
        <v>2.7555555555555559E-2</v>
      </c>
      <c r="U8" s="374">
        <f t="shared" si="6"/>
        <v>0</v>
      </c>
      <c r="V8" s="2846">
        <f t="shared" si="7"/>
        <v>0.8</v>
      </c>
      <c r="W8" s="2847">
        <f t="shared" si="8"/>
        <v>0</v>
      </c>
      <c r="X8" s="2848">
        <f t="shared" si="9"/>
        <v>0</v>
      </c>
      <c r="Y8" s="2849">
        <f t="shared" si="10"/>
        <v>0</v>
      </c>
      <c r="Z8" s="2850">
        <f t="shared" si="11"/>
        <v>0</v>
      </c>
      <c r="AA8" s="2851">
        <f t="shared" si="12"/>
        <v>0</v>
      </c>
      <c r="AB8" s="2935"/>
      <c r="AC8" s="2867"/>
      <c r="AD8" s="2867"/>
      <c r="AE8" s="2867"/>
      <c r="AF8" s="2867"/>
      <c r="AG8" s="2867"/>
      <c r="AH8" s="2867"/>
      <c r="AI8" s="2935"/>
      <c r="AJ8" s="2935"/>
      <c r="AK8" s="2935"/>
      <c r="AL8" s="2935"/>
      <c r="AM8" s="2935"/>
      <c r="AN8" s="2935"/>
    </row>
    <row r="9" spans="1:40" s="63" customFormat="1" ht="15" customHeight="1" thickBot="1">
      <c r="A9" s="3611" t="s">
        <v>458</v>
      </c>
      <c r="B9" s="3110" t="s">
        <v>215</v>
      </c>
      <c r="C9" s="4641">
        <f t="shared" ref="C9:C10" si="15">IF(D9=1,U$5,IF(D9=2,V$5,IF(D9=3,W$5,IF(D9=4,X$5,IF(D9=5,Y$5,IF(D9=6,Z$5,IF(D9=7,AA$5,0)))))))</f>
        <v>1.9733796296296302E-4</v>
      </c>
      <c r="D9" s="4890">
        <v>3</v>
      </c>
      <c r="E9" s="5515">
        <v>1</v>
      </c>
      <c r="F9" s="5516">
        <v>4</v>
      </c>
      <c r="G9" s="4891">
        <v>250</v>
      </c>
      <c r="H9" s="5517" t="s">
        <v>1732</v>
      </c>
      <c r="I9" s="4739">
        <v>5.7870370370370366E-5</v>
      </c>
      <c r="J9" s="5518">
        <v>2.0833333333333333E-3</v>
      </c>
      <c r="K9" s="4740" t="s">
        <v>1731</v>
      </c>
      <c r="L9" s="4784">
        <f t="shared" si="13"/>
        <v>0.35391967592592594</v>
      </c>
      <c r="M9" s="4782">
        <v>1.1000000000000001</v>
      </c>
      <c r="N9" s="5518">
        <f t="shared" ref="N9:N10" si="16">P9*E9*F9+I9*E9*F9+J9*E9</f>
        <v>1.0997685185185188E-2</v>
      </c>
      <c r="O9" s="4741">
        <f t="shared" ref="O9:O10" si="17">C9*(G9/25)</f>
        <v>1.97337962962963E-3</v>
      </c>
      <c r="P9" s="4713">
        <f t="shared" si="2"/>
        <v>2.1707175925925934E-3</v>
      </c>
      <c r="Q9" s="4783" t="s">
        <v>316</v>
      </c>
      <c r="R9" s="5516">
        <f t="shared" si="3"/>
        <v>1000</v>
      </c>
      <c r="S9" s="2844">
        <f t="shared" si="4"/>
        <v>1</v>
      </c>
      <c r="T9" s="2845">
        <f t="shared" si="5"/>
        <v>3.1574074074074081E-2</v>
      </c>
      <c r="U9" s="374">
        <f t="shared" si="6"/>
        <v>0</v>
      </c>
      <c r="V9" s="2846">
        <f t="shared" si="7"/>
        <v>0</v>
      </c>
      <c r="W9" s="2847">
        <f t="shared" si="8"/>
        <v>1</v>
      </c>
      <c r="X9" s="2848">
        <f t="shared" si="9"/>
        <v>0</v>
      </c>
      <c r="Y9" s="2849">
        <f t="shared" si="10"/>
        <v>0</v>
      </c>
      <c r="Z9" s="2850">
        <f t="shared" si="11"/>
        <v>0</v>
      </c>
      <c r="AA9" s="2851">
        <f t="shared" si="12"/>
        <v>0</v>
      </c>
      <c r="AB9" s="2935"/>
      <c r="AC9" s="2867"/>
      <c r="AD9" s="2867"/>
      <c r="AE9" s="2867"/>
      <c r="AF9" s="2867"/>
      <c r="AG9" s="2867"/>
      <c r="AH9" s="2867"/>
      <c r="AI9" s="2935"/>
      <c r="AJ9" s="2935"/>
      <c r="AK9" s="2935"/>
      <c r="AL9" s="2935"/>
      <c r="AM9" s="2935"/>
      <c r="AN9" s="2935"/>
    </row>
    <row r="10" spans="1:40" s="63" customFormat="1" ht="14" customHeight="1" thickBot="1">
      <c r="A10" s="3611" t="s">
        <v>219</v>
      </c>
      <c r="B10" s="3110" t="s">
        <v>215</v>
      </c>
      <c r="C10" s="4641">
        <f t="shared" si="15"/>
        <v>1.7222222222222224E-4</v>
      </c>
      <c r="D10" s="4828">
        <v>7</v>
      </c>
      <c r="E10" s="4719">
        <v>2</v>
      </c>
      <c r="F10" s="4719">
        <v>10</v>
      </c>
      <c r="G10" s="4723">
        <v>22</v>
      </c>
      <c r="H10" s="5519" t="s">
        <v>1735</v>
      </c>
      <c r="I10" s="4724">
        <v>6.9444444444444447E-4</v>
      </c>
      <c r="J10" s="4724">
        <v>3.472222222222222E-3</v>
      </c>
      <c r="K10" s="5520" t="s">
        <v>1717</v>
      </c>
      <c r="L10" s="4830">
        <f t="shared" si="13"/>
        <v>0.36491736111111112</v>
      </c>
      <c r="M10" s="5521">
        <v>1</v>
      </c>
      <c r="N10" s="4724">
        <f t="shared" si="16"/>
        <v>2.3864444444444445E-2</v>
      </c>
      <c r="O10" s="4725">
        <f t="shared" si="17"/>
        <v>1.5155555555555557E-4</v>
      </c>
      <c r="P10" s="2517">
        <f t="shared" si="2"/>
        <v>1.5155555555555557E-4</v>
      </c>
      <c r="Q10" s="4945" t="s">
        <v>316</v>
      </c>
      <c r="R10" s="4727">
        <f t="shared" si="3"/>
        <v>440</v>
      </c>
      <c r="S10" s="2844">
        <f t="shared" si="4"/>
        <v>0.44</v>
      </c>
      <c r="T10" s="2845">
        <f t="shared" si="5"/>
        <v>1.2124444444444446E-2</v>
      </c>
      <c r="U10" s="374">
        <f t="shared" si="6"/>
        <v>0</v>
      </c>
      <c r="V10" s="2846">
        <f t="shared" si="7"/>
        <v>0</v>
      </c>
      <c r="W10" s="2847">
        <f t="shared" si="8"/>
        <v>0</v>
      </c>
      <c r="X10" s="2848">
        <f t="shared" si="9"/>
        <v>0</v>
      </c>
      <c r="Y10" s="2849">
        <f t="shared" si="10"/>
        <v>0</v>
      </c>
      <c r="Z10" s="2850">
        <f t="shared" si="11"/>
        <v>0</v>
      </c>
      <c r="AA10" s="2851">
        <f t="shared" si="12"/>
        <v>0.44</v>
      </c>
      <c r="AB10" s="2935"/>
      <c r="AC10" s="2867"/>
      <c r="AD10" s="2867"/>
      <c r="AE10" s="2867"/>
      <c r="AF10" s="2867"/>
      <c r="AG10" s="2867"/>
      <c r="AH10" s="2867"/>
      <c r="AI10" s="2935"/>
      <c r="AJ10" s="2935"/>
      <c r="AK10" s="2935"/>
      <c r="AL10" s="2935"/>
      <c r="AM10" s="2935"/>
      <c r="AN10" s="2935"/>
    </row>
    <row r="11" spans="1:40" s="63" customFormat="1" ht="14" customHeight="1" thickBot="1">
      <c r="A11" s="3611"/>
      <c r="B11" s="3110"/>
      <c r="C11" s="629">
        <f>IF(D11=1,U$5,IF(D11=2,V$5,IF(D11=3,W$5,IF(D11=4,X$5,IF(D11=5,Y$5,IF(D11=6,Z$5,IF(D11=7,AA$5,0)))))))</f>
        <v>0</v>
      </c>
      <c r="D11" s="3365"/>
      <c r="E11" s="3454"/>
      <c r="F11" s="3454"/>
      <c r="G11" s="3454"/>
      <c r="H11" s="3454"/>
      <c r="I11" s="3454"/>
      <c r="J11" s="3454"/>
      <c r="K11" s="3454"/>
      <c r="L11" s="4642">
        <f t="shared" si="13"/>
        <v>0.38878180555555558</v>
      </c>
      <c r="M11" s="3620"/>
      <c r="N11" s="4642">
        <f>SUM(N6:N10)</f>
        <v>5.5448472222222225E-2</v>
      </c>
      <c r="O11" s="5514">
        <f t="shared" ref="O11:O24" si="18">C11*G11/25</f>
        <v>0</v>
      </c>
      <c r="P11" s="2855"/>
      <c r="Q11" s="2855"/>
      <c r="R11" s="3621">
        <f>SUM(R6:R10)</f>
        <v>3140</v>
      </c>
      <c r="S11" s="2844">
        <f t="shared" si="4"/>
        <v>0</v>
      </c>
      <c r="T11" s="2845">
        <f t="shared" si="5"/>
        <v>0</v>
      </c>
      <c r="U11" s="374">
        <f t="shared" si="6"/>
        <v>0</v>
      </c>
      <c r="V11" s="2846">
        <f t="shared" si="7"/>
        <v>0</v>
      </c>
      <c r="W11" s="2847">
        <f t="shared" si="8"/>
        <v>0</v>
      </c>
      <c r="X11" s="2848">
        <f t="shared" si="9"/>
        <v>0</v>
      </c>
      <c r="Y11" s="2849">
        <f t="shared" si="10"/>
        <v>0</v>
      </c>
      <c r="Z11" s="2850">
        <f t="shared" si="11"/>
        <v>0</v>
      </c>
      <c r="AA11" s="2851">
        <f t="shared" si="12"/>
        <v>0</v>
      </c>
      <c r="AB11" s="2935"/>
      <c r="AC11" s="2867"/>
      <c r="AD11" s="2867"/>
      <c r="AE11" s="2867"/>
      <c r="AF11" s="2867"/>
      <c r="AG11" s="2867"/>
      <c r="AH11" s="2867"/>
      <c r="AI11" s="2935"/>
      <c r="AJ11" s="2935"/>
      <c r="AK11" s="2935"/>
      <c r="AL11" s="2935"/>
      <c r="AM11" s="2935"/>
      <c r="AN11" s="2935"/>
    </row>
    <row r="12" spans="1:40" ht="14" customHeight="1" thickBot="1">
      <c r="A12" s="3611" t="s">
        <v>214</v>
      </c>
      <c r="B12" s="3110" t="s">
        <v>461</v>
      </c>
      <c r="C12" s="629">
        <f>IF(D12=1,U$5,IF(D12=2,V$5,IF(D12=3,W$5,IF(D12=4,X$5,IF(D12=5,Y$5,IF(D12=6,Z$5,IF(D12=7,AA$5,0)))))))</f>
        <v>2.3321759259259265E-4</v>
      </c>
      <c r="D12" s="4773">
        <v>1</v>
      </c>
      <c r="E12" s="4704">
        <v>1</v>
      </c>
      <c r="F12" s="4704">
        <v>4</v>
      </c>
      <c r="G12" s="4704">
        <v>150</v>
      </c>
      <c r="H12" s="4705"/>
      <c r="I12" s="4705">
        <v>5.7870370370370366E-5</v>
      </c>
      <c r="J12" s="4705">
        <v>1.3888888888888889E-3</v>
      </c>
      <c r="K12" s="5522" t="s">
        <v>950</v>
      </c>
      <c r="L12" s="5523">
        <v>0.80208333333333337</v>
      </c>
      <c r="M12" s="5524">
        <v>1</v>
      </c>
      <c r="N12" s="5525">
        <f>P12*E12*F12+I12*E12*F12+J12*E12</f>
        <v>7.217592592592594E-3</v>
      </c>
      <c r="O12" s="5526">
        <f t="shared" si="18"/>
        <v>1.3993055555555558E-3</v>
      </c>
      <c r="P12" s="5526">
        <f>O12*M12</f>
        <v>1.3993055555555558E-3</v>
      </c>
      <c r="Q12" s="5527">
        <v>129</v>
      </c>
      <c r="R12" s="5528">
        <f>E12*F12*G12</f>
        <v>600</v>
      </c>
      <c r="S12" s="2844">
        <f t="shared" si="4"/>
        <v>0.6</v>
      </c>
      <c r="T12" s="2845">
        <f t="shared" si="5"/>
        <v>2.2388888888888892E-2</v>
      </c>
      <c r="U12" s="374">
        <f t="shared" si="6"/>
        <v>0.6</v>
      </c>
      <c r="V12" s="2846">
        <v>0.6</v>
      </c>
      <c r="W12" s="2847">
        <f t="shared" si="8"/>
        <v>0</v>
      </c>
      <c r="X12" s="2848">
        <f t="shared" si="9"/>
        <v>0</v>
      </c>
      <c r="Y12" s="2849">
        <f t="shared" si="10"/>
        <v>0</v>
      </c>
      <c r="Z12" s="2850">
        <f t="shared" si="11"/>
        <v>0</v>
      </c>
      <c r="AA12" s="2851">
        <f t="shared" si="12"/>
        <v>0</v>
      </c>
      <c r="AB12" s="2935"/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</row>
    <row r="13" spans="1:40" ht="14" customHeight="1" thickBot="1">
      <c r="A13" s="3611" t="s">
        <v>459</v>
      </c>
      <c r="B13" s="3110" t="s">
        <v>461</v>
      </c>
      <c r="C13" s="4641">
        <f t="shared" ref="C13:C60" si="19">IF(D13=1,U$5,IF(D13=2,V$5,IF(D13=3,W$5,IF(D13=4,X$5,IF(D13=5,Y$5,IF(D13=6,Z$5,IF(D13=7,AA$5,0)))))))</f>
        <v>1.7581018518518521E-4</v>
      </c>
      <c r="D13" s="3436">
        <v>6</v>
      </c>
      <c r="E13" s="3924">
        <v>2</v>
      </c>
      <c r="F13" s="3924">
        <v>10</v>
      </c>
      <c r="G13" s="3926">
        <v>22</v>
      </c>
      <c r="H13" s="5529" t="s">
        <v>1734</v>
      </c>
      <c r="I13" s="4778">
        <v>3.4722222222222224E-4</v>
      </c>
      <c r="J13" s="4778">
        <v>3.472222222222222E-3</v>
      </c>
      <c r="K13" s="5530" t="s">
        <v>1717</v>
      </c>
      <c r="L13" s="4779">
        <f>L12+N12</f>
        <v>0.80930092592592595</v>
      </c>
      <c r="M13" s="3924">
        <v>1</v>
      </c>
      <c r="N13" s="4778">
        <f t="shared" ref="N13" si="20">P13*E13*F13+I13*E13*F13+J13*E13</f>
        <v>1.698314814814815E-2</v>
      </c>
      <c r="O13" s="3924">
        <f t="shared" ref="O13" si="21">C13*(G13/25)</f>
        <v>1.5471296296296297E-4</v>
      </c>
      <c r="P13" s="3739">
        <f t="shared" ref="P13" si="22">O13*M13</f>
        <v>1.5471296296296297E-4</v>
      </c>
      <c r="Q13" s="3924" t="s">
        <v>316</v>
      </c>
      <c r="R13" s="3924">
        <f t="shared" ref="R13" si="23">E13*F13*G13</f>
        <v>440</v>
      </c>
      <c r="S13" s="2844">
        <f t="shared" si="4"/>
        <v>0.44</v>
      </c>
      <c r="T13" s="2845">
        <f t="shared" si="5"/>
        <v>1.2377037037037037E-2</v>
      </c>
      <c r="U13" s="374">
        <f t="shared" si="6"/>
        <v>0</v>
      </c>
      <c r="V13" s="2846">
        <f t="shared" si="7"/>
        <v>0</v>
      </c>
      <c r="W13" s="2847">
        <f t="shared" si="8"/>
        <v>0</v>
      </c>
      <c r="X13" s="2848">
        <f t="shared" si="9"/>
        <v>0</v>
      </c>
      <c r="Y13" s="2849">
        <f t="shared" si="10"/>
        <v>0</v>
      </c>
      <c r="Z13" s="2850">
        <f t="shared" si="11"/>
        <v>0.44</v>
      </c>
      <c r="AA13" s="2851">
        <f t="shared" si="12"/>
        <v>0</v>
      </c>
      <c r="AB13" s="2935"/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</row>
    <row r="14" spans="1:40" ht="14" customHeight="1" thickBot="1">
      <c r="A14" s="3611" t="s">
        <v>460</v>
      </c>
      <c r="B14" s="3110" t="s">
        <v>461</v>
      </c>
      <c r="C14" s="629">
        <f t="shared" si="19"/>
        <v>1.9733796296296302E-4</v>
      </c>
      <c r="D14" s="3436">
        <v>3</v>
      </c>
      <c r="E14" s="4710">
        <v>1</v>
      </c>
      <c r="F14" s="4710">
        <v>1</v>
      </c>
      <c r="G14" s="4710">
        <v>400</v>
      </c>
      <c r="H14" s="4711"/>
      <c r="I14" s="4711">
        <v>2.8935185185185189E-4</v>
      </c>
      <c r="J14" s="4711">
        <v>1.3888888888888889E-3</v>
      </c>
      <c r="K14" s="4712" t="s">
        <v>1723</v>
      </c>
      <c r="L14" s="4892">
        <f>L13+N13</f>
        <v>0.82628407407407412</v>
      </c>
      <c r="M14" s="4730">
        <v>1</v>
      </c>
      <c r="N14" s="4711">
        <f>P14*E14*F14+I14*E14*F14+J14*E14</f>
        <v>4.8356481481481488E-3</v>
      </c>
      <c r="O14" s="5514">
        <f t="shared" si="18"/>
        <v>3.1574074074074083E-3</v>
      </c>
      <c r="P14" s="4713">
        <f>O14*M14</f>
        <v>3.1574074074074083E-3</v>
      </c>
      <c r="Q14" s="4714">
        <v>164</v>
      </c>
      <c r="R14" s="4710">
        <f>E14*F14*G14</f>
        <v>400</v>
      </c>
      <c r="S14" s="2844">
        <f t="shared" si="4"/>
        <v>0.4</v>
      </c>
      <c r="T14" s="2845">
        <f t="shared" si="5"/>
        <v>1.2629629629629633E-2</v>
      </c>
      <c r="U14" s="374">
        <f t="shared" si="6"/>
        <v>0</v>
      </c>
      <c r="V14" s="2846">
        <f t="shared" si="7"/>
        <v>0</v>
      </c>
      <c r="W14" s="2847">
        <f t="shared" si="8"/>
        <v>0.4</v>
      </c>
      <c r="X14" s="2848">
        <f t="shared" si="9"/>
        <v>0</v>
      </c>
      <c r="Y14" s="2849">
        <f t="shared" si="10"/>
        <v>0</v>
      </c>
      <c r="Z14" s="2850">
        <f t="shared" si="11"/>
        <v>0</v>
      </c>
      <c r="AA14" s="2851">
        <f t="shared" si="12"/>
        <v>0</v>
      </c>
      <c r="AB14" s="2935"/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</row>
    <row r="15" spans="1:40" ht="14" customHeight="1" thickBot="1">
      <c r="A15" s="3611" t="s">
        <v>458</v>
      </c>
      <c r="B15" s="3110" t="s">
        <v>461</v>
      </c>
      <c r="C15" s="629">
        <f t="shared" si="19"/>
        <v>1.7222222222222224E-4</v>
      </c>
      <c r="D15" s="4890">
        <v>7</v>
      </c>
      <c r="E15" s="4942">
        <v>2</v>
      </c>
      <c r="F15" s="4942">
        <v>6</v>
      </c>
      <c r="G15" s="4942">
        <v>20</v>
      </c>
      <c r="H15" s="4943"/>
      <c r="I15" s="4943">
        <v>4.6296296296296293E-4</v>
      </c>
      <c r="J15" s="4943">
        <v>2.0833333333333333E-3</v>
      </c>
      <c r="K15" s="5531" t="s">
        <v>1733</v>
      </c>
      <c r="L15" s="4893">
        <f>L14+N14</f>
        <v>0.8311197222222223</v>
      </c>
      <c r="M15" s="4771">
        <v>1.2</v>
      </c>
      <c r="N15" s="4770">
        <f>P15*E15*F15+I15*E15*F15+J15*E15</f>
        <v>1.1706222222222222E-2</v>
      </c>
      <c r="O15" s="5514">
        <f t="shared" si="18"/>
        <v>1.3777777777777779E-4</v>
      </c>
      <c r="P15" s="2517">
        <f>O15*M15</f>
        <v>1.6533333333333333E-4</v>
      </c>
      <c r="Q15" s="4772" t="s">
        <v>274</v>
      </c>
      <c r="R15" s="3939">
        <f>E15*F15*G15</f>
        <v>240</v>
      </c>
      <c r="S15" s="2844">
        <f t="shared" si="4"/>
        <v>0.24</v>
      </c>
      <c r="T15" s="2845">
        <f t="shared" si="5"/>
        <v>6.6133333333333339E-3</v>
      </c>
      <c r="U15" s="374">
        <f t="shared" si="6"/>
        <v>0</v>
      </c>
      <c r="V15" s="2846">
        <f t="shared" si="7"/>
        <v>0</v>
      </c>
      <c r="W15" s="2847">
        <f t="shared" si="8"/>
        <v>0</v>
      </c>
      <c r="X15" s="2848">
        <f t="shared" si="9"/>
        <v>0</v>
      </c>
      <c r="Y15" s="2849">
        <f t="shared" si="10"/>
        <v>0</v>
      </c>
      <c r="Z15" s="2850">
        <f t="shared" si="11"/>
        <v>0</v>
      </c>
      <c r="AA15" s="2851">
        <f t="shared" si="12"/>
        <v>0.24</v>
      </c>
      <c r="AB15" s="2935"/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</row>
    <row r="16" spans="1:40" ht="14" customHeight="1" thickBot="1">
      <c r="A16" s="3611" t="s">
        <v>219</v>
      </c>
      <c r="B16" s="3110"/>
      <c r="C16" s="629">
        <f t="shared" si="19"/>
        <v>1.9733796296296302E-4</v>
      </c>
      <c r="D16" s="5532">
        <v>3</v>
      </c>
      <c r="E16" s="3433"/>
      <c r="F16" s="3433"/>
      <c r="G16" s="3433"/>
      <c r="H16" s="3433"/>
      <c r="I16" s="3433"/>
      <c r="J16" s="3433"/>
      <c r="K16" s="3454"/>
      <c r="L16" s="4642">
        <f>L15+N15</f>
        <v>0.84282594444444447</v>
      </c>
      <c r="M16" s="3620"/>
      <c r="N16" s="4642">
        <f>SUM(N12:N15)</f>
        <v>4.0742611111111118E-2</v>
      </c>
      <c r="O16" s="5514">
        <f t="shared" si="18"/>
        <v>0</v>
      </c>
      <c r="P16" s="2855"/>
      <c r="Q16" s="2855"/>
      <c r="R16" s="3621">
        <f>SUM(R12:R15)</f>
        <v>1680</v>
      </c>
      <c r="S16" s="2844">
        <f t="shared" si="4"/>
        <v>0</v>
      </c>
      <c r="T16" s="2845">
        <f t="shared" si="5"/>
        <v>0</v>
      </c>
      <c r="U16" s="374">
        <f t="shared" si="6"/>
        <v>0</v>
      </c>
      <c r="V16" s="2846">
        <f t="shared" si="7"/>
        <v>0</v>
      </c>
      <c r="W16" s="2847">
        <f t="shared" si="8"/>
        <v>0</v>
      </c>
      <c r="X16" s="2848">
        <f t="shared" si="9"/>
        <v>0</v>
      </c>
      <c r="Y16" s="2849">
        <f t="shared" si="10"/>
        <v>0</v>
      </c>
      <c r="Z16" s="2850">
        <f t="shared" si="11"/>
        <v>0</v>
      </c>
      <c r="AA16" s="2851">
        <f t="shared" si="12"/>
        <v>0</v>
      </c>
      <c r="AB16" s="2935"/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  <c r="AN16" s="1"/>
    </row>
    <row r="17" spans="1:40" ht="14" customHeight="1" thickBot="1">
      <c r="A17" s="1"/>
      <c r="B17" s="3336" t="s">
        <v>215</v>
      </c>
      <c r="C17" s="629">
        <f t="shared" si="19"/>
        <v>2.3321759259259265E-4</v>
      </c>
      <c r="D17" s="4785">
        <v>1</v>
      </c>
      <c r="E17" s="4704">
        <v>1</v>
      </c>
      <c r="F17" s="4704">
        <v>1</v>
      </c>
      <c r="G17" s="4704">
        <v>750</v>
      </c>
      <c r="H17" s="4705"/>
      <c r="I17" s="4705">
        <v>0</v>
      </c>
      <c r="J17" s="4705">
        <v>1.1574074074074073E-4</v>
      </c>
      <c r="K17" s="4706" t="s">
        <v>1724</v>
      </c>
      <c r="L17" s="4898">
        <v>0.3125</v>
      </c>
      <c r="M17" s="4775">
        <v>1</v>
      </c>
      <c r="N17" s="4705">
        <f>P17*E17*F17+I17*E17*F17+J17*E17</f>
        <v>7.1122685185185195E-3</v>
      </c>
      <c r="O17" s="5514">
        <f t="shared" si="18"/>
        <v>6.9965277777777786E-3</v>
      </c>
      <c r="P17" s="4707">
        <f>O17*M17</f>
        <v>6.9965277777777786E-3</v>
      </c>
      <c r="Q17" s="4776">
        <v>129</v>
      </c>
      <c r="R17" s="4704">
        <f>E17*F17*G17</f>
        <v>750</v>
      </c>
      <c r="S17" s="2844">
        <f t="shared" si="4"/>
        <v>0.75</v>
      </c>
      <c r="T17" s="2845">
        <f t="shared" si="5"/>
        <v>2.7986111111111114E-2</v>
      </c>
      <c r="U17" s="374">
        <f t="shared" si="6"/>
        <v>0.75</v>
      </c>
      <c r="V17" s="2846">
        <f t="shared" si="7"/>
        <v>0</v>
      </c>
      <c r="W17" s="2847">
        <f t="shared" si="8"/>
        <v>0</v>
      </c>
      <c r="X17" s="2848">
        <f t="shared" si="9"/>
        <v>0</v>
      </c>
      <c r="Y17" s="2849">
        <f t="shared" si="10"/>
        <v>0</v>
      </c>
      <c r="Z17" s="2850">
        <f t="shared" si="11"/>
        <v>0</v>
      </c>
      <c r="AA17" s="2851">
        <f t="shared" si="12"/>
        <v>0</v>
      </c>
      <c r="AB17" s="2935"/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  <c r="AN17" s="1"/>
    </row>
    <row r="18" spans="1:40" ht="14" customHeight="1" thickBot="1">
      <c r="A18" s="1"/>
      <c r="B18" s="3336" t="s">
        <v>215</v>
      </c>
      <c r="C18" s="629">
        <f t="shared" si="19"/>
        <v>1.7581018518518521E-4</v>
      </c>
      <c r="D18" s="3924">
        <v>6</v>
      </c>
      <c r="E18" s="3924">
        <v>1</v>
      </c>
      <c r="F18" s="3924">
        <v>8</v>
      </c>
      <c r="G18" s="3924">
        <v>100</v>
      </c>
      <c r="H18" s="4778"/>
      <c r="I18" s="4778">
        <v>1.0995370370370371E-3</v>
      </c>
      <c r="J18" s="4778">
        <v>1.3888888888888889E-3</v>
      </c>
      <c r="K18" s="3926" t="s">
        <v>1736</v>
      </c>
      <c r="L18" s="4778">
        <f>L17+N17</f>
        <v>0.31961226851851854</v>
      </c>
      <c r="M18" s="3738">
        <v>1.1200000000000001</v>
      </c>
      <c r="N18" s="4778">
        <f t="shared" ref="N18" si="24">P18*E18*F18+I18*E18*F18+J18*E18</f>
        <v>1.6486222222222222E-2</v>
      </c>
      <c r="O18" s="4823">
        <f t="shared" si="18"/>
        <v>7.0324074074074082E-4</v>
      </c>
      <c r="P18" s="3739">
        <f t="shared" ref="P18" si="25">O18*M18</f>
        <v>7.8762962962962977E-4</v>
      </c>
      <c r="Q18" s="3929">
        <v>174</v>
      </c>
      <c r="R18" s="3924">
        <f t="shared" ref="R18" si="26">E18*F18*G18</f>
        <v>800</v>
      </c>
      <c r="S18" s="2844">
        <f t="shared" si="4"/>
        <v>0.8</v>
      </c>
      <c r="T18" s="2845">
        <f t="shared" si="5"/>
        <v>2.2503703703703706E-2</v>
      </c>
      <c r="U18" s="374">
        <f t="shared" si="6"/>
        <v>0</v>
      </c>
      <c r="V18" s="2846">
        <f t="shared" si="7"/>
        <v>0</v>
      </c>
      <c r="W18" s="2847">
        <f t="shared" si="8"/>
        <v>0</v>
      </c>
      <c r="X18" s="2848">
        <f t="shared" si="9"/>
        <v>0</v>
      </c>
      <c r="Y18" s="2849">
        <f t="shared" si="10"/>
        <v>0</v>
      </c>
      <c r="Z18" s="2850">
        <f t="shared" si="11"/>
        <v>0.8</v>
      </c>
      <c r="AA18" s="2851">
        <f t="shared" si="12"/>
        <v>0</v>
      </c>
      <c r="AB18" s="2935"/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1"/>
    </row>
    <row r="19" spans="1:40" ht="14" customHeight="1" thickBot="1">
      <c r="A19" s="2183" t="s">
        <v>215</v>
      </c>
      <c r="B19" s="3336" t="s">
        <v>215</v>
      </c>
      <c r="C19" s="629">
        <f t="shared" si="19"/>
        <v>1.9733796296296302E-4</v>
      </c>
      <c r="D19" s="4773">
        <v>3</v>
      </c>
      <c r="E19" s="4710">
        <v>2</v>
      </c>
      <c r="F19" s="4710">
        <v>10</v>
      </c>
      <c r="G19" s="4710">
        <v>75</v>
      </c>
      <c r="H19" s="4711"/>
      <c r="I19" s="4711">
        <v>1.1574074074074073E-4</v>
      </c>
      <c r="J19" s="4711">
        <v>1.3888888888888889E-3</v>
      </c>
      <c r="K19" s="4712" t="s">
        <v>1737</v>
      </c>
      <c r="L19" s="4711">
        <f t="shared" ref="L19:L21" si="27">L18+N18</f>
        <v>0.33609849074074077</v>
      </c>
      <c r="M19" s="4730">
        <v>1</v>
      </c>
      <c r="N19" s="4711">
        <f>P19*E19*F19+I19*E19*F19+J19*E19</f>
        <v>1.6932870370370376E-2</v>
      </c>
      <c r="O19" s="5514">
        <f t="shared" si="18"/>
        <v>5.920138888888891E-4</v>
      </c>
      <c r="P19" s="4713">
        <f>O19*M19</f>
        <v>5.920138888888891E-4</v>
      </c>
      <c r="Q19" s="4714">
        <v>164</v>
      </c>
      <c r="R19" s="4710">
        <f>E19*F19*G19</f>
        <v>1500</v>
      </c>
      <c r="S19" s="2844">
        <f t="shared" si="4"/>
        <v>1.5</v>
      </c>
      <c r="T19" s="2845">
        <f t="shared" si="5"/>
        <v>4.7361111111111132E-2</v>
      </c>
      <c r="U19" s="374">
        <f t="shared" si="6"/>
        <v>0</v>
      </c>
      <c r="V19" s="2846">
        <f t="shared" si="7"/>
        <v>0</v>
      </c>
      <c r="W19" s="2847">
        <f t="shared" si="8"/>
        <v>1.5</v>
      </c>
      <c r="X19" s="2848">
        <f t="shared" si="9"/>
        <v>0</v>
      </c>
      <c r="Y19" s="2849">
        <f t="shared" si="10"/>
        <v>0</v>
      </c>
      <c r="Z19" s="2850">
        <f t="shared" si="11"/>
        <v>0</v>
      </c>
      <c r="AA19" s="2851">
        <f t="shared" si="12"/>
        <v>0</v>
      </c>
      <c r="AB19" s="2935"/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1"/>
    </row>
    <row r="20" spans="1:40" ht="14" customHeight="1" thickBot="1">
      <c r="A20" s="2183" t="s">
        <v>138</v>
      </c>
      <c r="B20" s="3336" t="s">
        <v>215</v>
      </c>
      <c r="C20" s="629">
        <f t="shared" si="19"/>
        <v>1.7222222222222224E-4</v>
      </c>
      <c r="D20" s="3436">
        <v>7</v>
      </c>
      <c r="E20" s="4767">
        <v>2</v>
      </c>
      <c r="F20" s="4767">
        <v>6</v>
      </c>
      <c r="G20" s="4767">
        <v>25</v>
      </c>
      <c r="H20" s="4770"/>
      <c r="I20" s="4770">
        <v>4.6296296296296293E-4</v>
      </c>
      <c r="J20" s="4770">
        <v>1.3888888888888889E-3</v>
      </c>
      <c r="K20" s="5533" t="s">
        <v>1226</v>
      </c>
      <c r="L20" s="4770">
        <f t="shared" si="27"/>
        <v>0.35303136111111116</v>
      </c>
      <c r="M20" s="4771">
        <v>1</v>
      </c>
      <c r="N20" s="4770">
        <f>P20*E20*F20+I20*E20*F20+J20*E20</f>
        <v>1.04E-2</v>
      </c>
      <c r="O20" s="5514">
        <f t="shared" si="18"/>
        <v>1.7222222222222221E-4</v>
      </c>
      <c r="P20" s="2517">
        <f>O20*M20</f>
        <v>1.7222222222222221E-4</v>
      </c>
      <c r="Q20" s="4772" t="s">
        <v>274</v>
      </c>
      <c r="R20" s="3939">
        <f>E20*F20*G20</f>
        <v>300</v>
      </c>
      <c r="S20" s="2844">
        <f t="shared" si="4"/>
        <v>0.3</v>
      </c>
      <c r="T20" s="2845">
        <f t="shared" si="5"/>
        <v>8.2666666666666652E-3</v>
      </c>
      <c r="U20" s="374">
        <f t="shared" si="6"/>
        <v>0</v>
      </c>
      <c r="V20" s="2846">
        <f t="shared" si="7"/>
        <v>0</v>
      </c>
      <c r="W20" s="2847">
        <f t="shared" si="8"/>
        <v>0</v>
      </c>
      <c r="X20" s="2848">
        <f t="shared" si="9"/>
        <v>0</v>
      </c>
      <c r="Y20" s="2849">
        <f t="shared" si="10"/>
        <v>0</v>
      </c>
      <c r="Z20" s="2850">
        <f t="shared" si="11"/>
        <v>0</v>
      </c>
      <c r="AA20" s="2851">
        <f t="shared" si="12"/>
        <v>0.3</v>
      </c>
      <c r="AB20" s="2935"/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1"/>
    </row>
    <row r="21" spans="1:40" ht="14" customHeight="1" thickBot="1">
      <c r="A21" s="2183" t="s">
        <v>462</v>
      </c>
      <c r="B21" s="3336"/>
      <c r="C21" s="629">
        <f t="shared" si="19"/>
        <v>1.7222222222222224E-4</v>
      </c>
      <c r="D21" s="4785">
        <v>7</v>
      </c>
      <c r="E21" s="3454"/>
      <c r="F21" s="3454"/>
      <c r="G21" s="3454"/>
      <c r="H21" s="3454"/>
      <c r="I21" s="3454"/>
      <c r="J21" s="3454"/>
      <c r="K21" s="3454"/>
      <c r="L21" s="4642">
        <f t="shared" si="27"/>
        <v>0.36343136111111118</v>
      </c>
      <c r="M21" s="3620"/>
      <c r="N21" s="4642">
        <f>SUM(N17:N20)</f>
        <v>5.0931361111111115E-2</v>
      </c>
      <c r="O21" s="5514">
        <f t="shared" si="18"/>
        <v>0</v>
      </c>
      <c r="P21" s="2855"/>
      <c r="Q21" s="2855"/>
      <c r="R21" s="3621">
        <f>SUM(R17:R20)</f>
        <v>3350</v>
      </c>
      <c r="S21" s="2844">
        <f t="shared" si="4"/>
        <v>0</v>
      </c>
      <c r="T21" s="2845">
        <f t="shared" si="5"/>
        <v>0</v>
      </c>
      <c r="U21" s="374">
        <f t="shared" si="6"/>
        <v>0</v>
      </c>
      <c r="V21" s="2846">
        <f t="shared" si="7"/>
        <v>0</v>
      </c>
      <c r="W21" s="2847">
        <f t="shared" si="8"/>
        <v>0</v>
      </c>
      <c r="X21" s="2848">
        <f t="shared" si="9"/>
        <v>0</v>
      </c>
      <c r="Y21" s="2849">
        <f t="shared" si="10"/>
        <v>0</v>
      </c>
      <c r="Z21" s="2850">
        <f t="shared" si="11"/>
        <v>0</v>
      </c>
      <c r="AA21" s="2851">
        <f t="shared" si="12"/>
        <v>0</v>
      </c>
      <c r="AB21" s="2935"/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1"/>
    </row>
    <row r="22" spans="1:40" ht="14" customHeight="1" thickBot="1">
      <c r="A22" s="2183" t="s">
        <v>461</v>
      </c>
      <c r="B22" s="3336" t="s">
        <v>461</v>
      </c>
      <c r="C22" s="629">
        <f t="shared" si="19"/>
        <v>2.3321759259259265E-4</v>
      </c>
      <c r="D22" s="4890">
        <v>1</v>
      </c>
      <c r="E22" s="4704">
        <v>1</v>
      </c>
      <c r="F22" s="4704">
        <v>1</v>
      </c>
      <c r="G22" s="4704">
        <v>400</v>
      </c>
      <c r="H22" s="4705"/>
      <c r="I22" s="4705">
        <v>0</v>
      </c>
      <c r="J22" s="4705">
        <v>1.1574074074074073E-4</v>
      </c>
      <c r="K22" s="4706" t="s">
        <v>951</v>
      </c>
      <c r="L22" s="5523">
        <v>0.80208333333333337</v>
      </c>
      <c r="M22" s="5524">
        <v>1</v>
      </c>
      <c r="N22" s="5525">
        <f>P22*E22*F22+I22*E22*F22+J22*E22</f>
        <v>3.8472222222222232E-3</v>
      </c>
      <c r="O22" s="5526">
        <f t="shared" si="18"/>
        <v>3.7314814814814823E-3</v>
      </c>
      <c r="P22" s="5526">
        <f>O22*M22</f>
        <v>3.7314814814814823E-3</v>
      </c>
      <c r="Q22" s="5527">
        <v>129</v>
      </c>
      <c r="R22" s="5528">
        <f>E22*F22*G22</f>
        <v>400</v>
      </c>
      <c r="S22" s="2844">
        <f t="shared" si="4"/>
        <v>0.4</v>
      </c>
      <c r="T22" s="2845">
        <f t="shared" si="5"/>
        <v>1.4925925925925929E-2</v>
      </c>
      <c r="U22" s="374">
        <f t="shared" si="6"/>
        <v>0.4</v>
      </c>
      <c r="V22" s="2846">
        <v>0.4</v>
      </c>
      <c r="W22" s="2847">
        <f t="shared" si="8"/>
        <v>0</v>
      </c>
      <c r="X22" s="2848">
        <f t="shared" si="9"/>
        <v>0</v>
      </c>
      <c r="Y22" s="2849">
        <f t="shared" si="10"/>
        <v>0</v>
      </c>
      <c r="Z22" s="2850">
        <f t="shared" si="11"/>
        <v>0</v>
      </c>
      <c r="AA22" s="2851">
        <f t="shared" si="12"/>
        <v>0</v>
      </c>
      <c r="AB22" s="2935"/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1"/>
    </row>
    <row r="23" spans="1:40" ht="14" customHeight="1" thickBot="1">
      <c r="A23" s="2183" t="s">
        <v>458</v>
      </c>
      <c r="B23" s="3336" t="s">
        <v>461</v>
      </c>
      <c r="C23" s="629">
        <f t="shared" si="19"/>
        <v>1.9733796296296302E-4</v>
      </c>
      <c r="D23" s="5532">
        <v>3</v>
      </c>
      <c r="E23" s="4710">
        <v>1</v>
      </c>
      <c r="F23" s="4710">
        <v>3</v>
      </c>
      <c r="G23" s="4710">
        <v>200</v>
      </c>
      <c r="H23" s="4711"/>
      <c r="I23" s="4711">
        <v>3.4722222222222224E-4</v>
      </c>
      <c r="J23" s="4711">
        <v>1.3888888888888889E-3</v>
      </c>
      <c r="K23" s="4712" t="s">
        <v>556</v>
      </c>
      <c r="L23" s="4711">
        <f>L22+N22</f>
        <v>0.80593055555555559</v>
      </c>
      <c r="M23" s="4730">
        <v>1</v>
      </c>
      <c r="N23" s="4711">
        <f>P23*E23*F23+I23*E23*F23+J23*E23</f>
        <v>7.1666666666666684E-3</v>
      </c>
      <c r="O23" s="5514">
        <f t="shared" si="18"/>
        <v>1.5787037037037041E-3</v>
      </c>
      <c r="P23" s="4713">
        <f>O23*M23</f>
        <v>1.5787037037037041E-3</v>
      </c>
      <c r="Q23" s="4714">
        <v>164</v>
      </c>
      <c r="R23" s="4710">
        <f>E23*F23*G23</f>
        <v>600</v>
      </c>
      <c r="S23" s="2844">
        <f t="shared" si="4"/>
        <v>0.6</v>
      </c>
      <c r="T23" s="2845">
        <f t="shared" si="5"/>
        <v>1.8944444444444451E-2</v>
      </c>
      <c r="U23" s="374">
        <f t="shared" si="6"/>
        <v>0</v>
      </c>
      <c r="V23" s="2846">
        <f t="shared" si="7"/>
        <v>0</v>
      </c>
      <c r="W23" s="2847">
        <f t="shared" si="8"/>
        <v>0.6</v>
      </c>
      <c r="X23" s="2848">
        <f t="shared" si="9"/>
        <v>0</v>
      </c>
      <c r="Y23" s="2849">
        <f t="shared" si="10"/>
        <v>0</v>
      </c>
      <c r="Z23" s="2850">
        <f t="shared" si="11"/>
        <v>0</v>
      </c>
      <c r="AA23" s="2851">
        <f t="shared" si="12"/>
        <v>0</v>
      </c>
      <c r="AB23" s="2935"/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1"/>
    </row>
    <row r="24" spans="1:40" ht="14" customHeight="1">
      <c r="A24" s="2183" t="s">
        <v>219</v>
      </c>
      <c r="B24" s="3336" t="s">
        <v>461</v>
      </c>
      <c r="C24" s="629">
        <f t="shared" si="19"/>
        <v>1.7581018518518521E-4</v>
      </c>
      <c r="D24" s="3924">
        <v>6</v>
      </c>
      <c r="E24" s="3924">
        <v>2</v>
      </c>
      <c r="F24" s="3924">
        <v>8</v>
      </c>
      <c r="G24" s="3924">
        <v>50</v>
      </c>
      <c r="H24" s="4778"/>
      <c r="I24" s="4778">
        <v>1.1574074074074073E-3</v>
      </c>
      <c r="J24" s="4778">
        <v>1.3888888888888889E-3</v>
      </c>
      <c r="K24" s="3926" t="s">
        <v>1725</v>
      </c>
      <c r="L24" s="4778">
        <f t="shared" ref="L24:L26" si="28">L23+N23</f>
        <v>0.81309722222222225</v>
      </c>
      <c r="M24" s="3738">
        <v>1.1200000000000001</v>
      </c>
      <c r="N24" s="4778">
        <f t="shared" ref="N24:N25" si="29">P24*E24*F24+I24*E24*F24+J24*E24</f>
        <v>2.7597333333333335E-2</v>
      </c>
      <c r="O24" s="4823">
        <f t="shared" si="18"/>
        <v>3.5162037037037041E-4</v>
      </c>
      <c r="P24" s="3739">
        <f t="shared" ref="P24:P25" si="30">O24*M24</f>
        <v>3.9381481481481488E-4</v>
      </c>
      <c r="Q24" s="3929">
        <v>174</v>
      </c>
      <c r="R24" s="3924">
        <f t="shared" ref="R24:R25" si="31">E24*F24*G24</f>
        <v>800</v>
      </c>
      <c r="S24" s="2844">
        <f t="shared" si="4"/>
        <v>0.8</v>
      </c>
      <c r="T24" s="2845">
        <f t="shared" si="5"/>
        <v>2.2503703703703706E-2</v>
      </c>
      <c r="U24" s="374">
        <f t="shared" si="6"/>
        <v>0</v>
      </c>
      <c r="V24" s="2846">
        <f t="shared" si="7"/>
        <v>0</v>
      </c>
      <c r="W24" s="2847">
        <f t="shared" si="8"/>
        <v>0</v>
      </c>
      <c r="X24" s="2848">
        <f t="shared" si="9"/>
        <v>0</v>
      </c>
      <c r="Y24" s="2849">
        <f t="shared" si="10"/>
        <v>0</v>
      </c>
      <c r="Z24" s="2850">
        <f t="shared" si="11"/>
        <v>0.8</v>
      </c>
      <c r="AA24" s="2851">
        <f t="shared" si="12"/>
        <v>0</v>
      </c>
      <c r="AB24" s="2935"/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4" customHeight="1" thickBot="1">
      <c r="A25" s="2183"/>
      <c r="B25" s="3336" t="s">
        <v>461</v>
      </c>
      <c r="C25" s="4641">
        <f t="shared" si="19"/>
        <v>1.7222222222222224E-4</v>
      </c>
      <c r="D25" s="4828">
        <v>7</v>
      </c>
      <c r="E25" s="4719">
        <v>2</v>
      </c>
      <c r="F25" s="4719">
        <v>10</v>
      </c>
      <c r="G25" s="4723">
        <v>22</v>
      </c>
      <c r="H25" s="5519" t="s">
        <v>1735</v>
      </c>
      <c r="I25" s="4724">
        <v>6.9444444444444447E-4</v>
      </c>
      <c r="J25" s="4724">
        <v>3.472222222222222E-3</v>
      </c>
      <c r="K25" s="5520" t="s">
        <v>1717</v>
      </c>
      <c r="L25" s="4830">
        <f t="shared" si="28"/>
        <v>0.84069455555555561</v>
      </c>
      <c r="M25" s="5521">
        <v>1</v>
      </c>
      <c r="N25" s="4724">
        <f t="shared" si="29"/>
        <v>2.3864444444444445E-2</v>
      </c>
      <c r="O25" s="4725">
        <f t="shared" ref="O25" si="32">C25*(G25/25)</f>
        <v>1.5155555555555557E-4</v>
      </c>
      <c r="P25" s="2517">
        <f t="shared" si="30"/>
        <v>1.5155555555555557E-4</v>
      </c>
      <c r="Q25" s="4945" t="s">
        <v>316</v>
      </c>
      <c r="R25" s="4727">
        <f t="shared" si="31"/>
        <v>440</v>
      </c>
      <c r="S25" s="2844">
        <f t="shared" si="4"/>
        <v>0.44</v>
      </c>
      <c r="T25" s="2845">
        <f t="shared" si="5"/>
        <v>1.2124444444444446E-2</v>
      </c>
      <c r="U25" s="374">
        <f t="shared" si="6"/>
        <v>0</v>
      </c>
      <c r="V25" s="2846">
        <f t="shared" si="7"/>
        <v>0</v>
      </c>
      <c r="W25" s="2847">
        <f t="shared" si="8"/>
        <v>0</v>
      </c>
      <c r="X25" s="2848">
        <f t="shared" si="9"/>
        <v>0</v>
      </c>
      <c r="Y25" s="2849">
        <f t="shared" si="10"/>
        <v>0</v>
      </c>
      <c r="Z25" s="2850">
        <f t="shared" si="11"/>
        <v>0</v>
      </c>
      <c r="AA25" s="2851">
        <f t="shared" si="12"/>
        <v>0.44</v>
      </c>
      <c r="AB25" s="2935"/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4" customHeight="1" thickBot="1">
      <c r="A26" s="2183"/>
      <c r="B26" s="3336"/>
      <c r="C26" s="629">
        <f t="shared" si="19"/>
        <v>2.3321759259259265E-4</v>
      </c>
      <c r="D26" s="4773">
        <v>1</v>
      </c>
      <c r="E26" s="3433"/>
      <c r="F26" s="3433"/>
      <c r="G26" s="3433"/>
      <c r="H26" s="3433"/>
      <c r="I26" s="3433"/>
      <c r="J26" s="3433"/>
      <c r="K26" s="3454"/>
      <c r="L26" s="4642">
        <f t="shared" si="28"/>
        <v>0.86455900000000008</v>
      </c>
      <c r="M26" s="3742"/>
      <c r="N26" s="4642">
        <f>SUM(N22:N25)</f>
        <v>6.2475666666666672E-2</v>
      </c>
      <c r="O26" s="5534">
        <v>0</v>
      </c>
      <c r="P26" s="3744"/>
      <c r="Q26" s="3744"/>
      <c r="R26" s="3621">
        <f>SUM(R22:R25)</f>
        <v>2240</v>
      </c>
      <c r="S26" s="2844">
        <f t="shared" si="4"/>
        <v>0</v>
      </c>
      <c r="T26" s="2845">
        <f t="shared" si="5"/>
        <v>0</v>
      </c>
      <c r="U26" s="374">
        <f t="shared" si="6"/>
        <v>0</v>
      </c>
      <c r="V26" s="2846">
        <f t="shared" si="7"/>
        <v>0</v>
      </c>
      <c r="W26" s="2847">
        <f t="shared" si="8"/>
        <v>0</v>
      </c>
      <c r="X26" s="2848">
        <f t="shared" si="9"/>
        <v>0</v>
      </c>
      <c r="Y26" s="2849">
        <f t="shared" si="10"/>
        <v>0</v>
      </c>
      <c r="Z26" s="2850">
        <f t="shared" si="11"/>
        <v>0</v>
      </c>
      <c r="AA26" s="2851">
        <f t="shared" si="12"/>
        <v>0</v>
      </c>
      <c r="AB26" s="2935"/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4" customHeight="1" thickBot="1">
      <c r="A27" s="3109" t="s">
        <v>215</v>
      </c>
      <c r="B27" s="3110" t="s">
        <v>461</v>
      </c>
      <c r="C27" s="629">
        <f t="shared" si="19"/>
        <v>2.3321759259259265E-4</v>
      </c>
      <c r="D27" s="3436">
        <v>1</v>
      </c>
      <c r="E27" s="4704">
        <v>1</v>
      </c>
      <c r="F27" s="4704">
        <v>1</v>
      </c>
      <c r="G27" s="4704">
        <v>500</v>
      </c>
      <c r="H27" s="4705"/>
      <c r="I27" s="4705">
        <v>1.1574074074074073E-4</v>
      </c>
      <c r="J27" s="4705">
        <v>0</v>
      </c>
      <c r="K27" s="4706" t="s">
        <v>1726</v>
      </c>
      <c r="L27" s="5523">
        <v>0.3125</v>
      </c>
      <c r="M27" s="5524">
        <v>1</v>
      </c>
      <c r="N27" s="5525">
        <f>P27*E27*F27+I27*E27*F27+J27*E27</f>
        <v>4.7800925925925936E-3</v>
      </c>
      <c r="O27" s="5526">
        <f>C27*G27/25</f>
        <v>4.6643518518518527E-3</v>
      </c>
      <c r="P27" s="5526">
        <f>O27*M27</f>
        <v>4.6643518518518527E-3</v>
      </c>
      <c r="Q27" s="5527">
        <v>129</v>
      </c>
      <c r="R27" s="5528">
        <f>E27*F27*G27</f>
        <v>500</v>
      </c>
      <c r="S27" s="2844">
        <f t="shared" si="4"/>
        <v>0.5</v>
      </c>
      <c r="T27" s="2845">
        <f t="shared" si="5"/>
        <v>1.8657407407407411E-2</v>
      </c>
      <c r="U27" s="374">
        <f t="shared" si="6"/>
        <v>0.5</v>
      </c>
      <c r="V27" s="2846">
        <v>0.5</v>
      </c>
      <c r="W27" s="2847">
        <f t="shared" si="8"/>
        <v>0</v>
      </c>
      <c r="X27" s="2848">
        <f t="shared" si="9"/>
        <v>0</v>
      </c>
      <c r="Y27" s="2849">
        <f t="shared" si="10"/>
        <v>0</v>
      </c>
      <c r="Z27" s="2850">
        <f t="shared" si="11"/>
        <v>0</v>
      </c>
      <c r="AA27" s="2851">
        <f t="shared" si="12"/>
        <v>0</v>
      </c>
      <c r="AB27" s="2935"/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4" customHeight="1" thickBot="1">
      <c r="A28" s="3109" t="s">
        <v>139</v>
      </c>
      <c r="B28" s="3110" t="s">
        <v>461</v>
      </c>
      <c r="C28" s="629">
        <f t="shared" si="19"/>
        <v>1.9733796296296302E-4</v>
      </c>
      <c r="D28" s="5532">
        <v>3</v>
      </c>
      <c r="E28" s="4710">
        <v>1</v>
      </c>
      <c r="F28" s="4710">
        <v>6</v>
      </c>
      <c r="G28" s="4710">
        <v>50</v>
      </c>
      <c r="H28" s="4711"/>
      <c r="I28" s="4711">
        <v>4.6296296296296293E-4</v>
      </c>
      <c r="J28" s="4711">
        <v>4.6296296296296293E-4</v>
      </c>
      <c r="K28" s="4712" t="s">
        <v>1727</v>
      </c>
      <c r="L28" s="4711">
        <f>L27+N27</f>
        <v>0.3172800925925926</v>
      </c>
      <c r="M28" s="4730">
        <v>1</v>
      </c>
      <c r="N28" s="4711">
        <f t="shared" ref="N28:N34" si="33">P28*E28*F28+I28*E28*F28+J28*E28</f>
        <v>5.6087962962962966E-3</v>
      </c>
      <c r="O28" s="5514">
        <f t="shared" ref="O28:O33" si="34">C28*G28/25</f>
        <v>3.9467592592592603E-4</v>
      </c>
      <c r="P28" s="4713">
        <f t="shared" ref="P28:P34" si="35">O28*M28</f>
        <v>3.9467592592592603E-4</v>
      </c>
      <c r="Q28" s="4714">
        <v>164</v>
      </c>
      <c r="R28" s="4710">
        <f t="shared" ref="R28:R34" si="36">E28*F28*G28</f>
        <v>300</v>
      </c>
      <c r="S28" s="2844">
        <f t="shared" si="4"/>
        <v>0.3</v>
      </c>
      <c r="T28" s="2845">
        <f t="shared" si="5"/>
        <v>9.4722222222222256E-3</v>
      </c>
      <c r="U28" s="374">
        <f t="shared" si="6"/>
        <v>0</v>
      </c>
      <c r="V28" s="2846">
        <f t="shared" si="7"/>
        <v>0</v>
      </c>
      <c r="W28" s="2847">
        <f t="shared" si="8"/>
        <v>0.3</v>
      </c>
      <c r="X28" s="2848">
        <f t="shared" si="9"/>
        <v>0</v>
      </c>
      <c r="Y28" s="2849">
        <f t="shared" si="10"/>
        <v>0</v>
      </c>
      <c r="Z28" s="2850">
        <f t="shared" si="11"/>
        <v>0</v>
      </c>
      <c r="AA28" s="2851">
        <f t="shared" si="12"/>
        <v>0</v>
      </c>
      <c r="AB28" s="2935"/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4" customHeight="1" thickBot="1">
      <c r="A29" s="3109" t="s">
        <v>458</v>
      </c>
      <c r="B29" s="3110" t="s">
        <v>461</v>
      </c>
      <c r="C29" s="629">
        <f t="shared" si="19"/>
        <v>1.7581018518518521E-4</v>
      </c>
      <c r="D29" s="5535">
        <v>6</v>
      </c>
      <c r="E29" s="5536">
        <v>1</v>
      </c>
      <c r="F29" s="5536">
        <v>6</v>
      </c>
      <c r="G29" s="5536">
        <v>80</v>
      </c>
      <c r="H29" s="5536"/>
      <c r="I29" s="4959">
        <v>3.4722222222222224E-4</v>
      </c>
      <c r="J29" s="4959">
        <v>6.9444444444444441E-3</v>
      </c>
      <c r="K29" s="5537" t="s">
        <v>974</v>
      </c>
      <c r="L29" s="4959">
        <f t="shared" ref="L29:L30" si="37">L28+N28</f>
        <v>0.32288888888888889</v>
      </c>
      <c r="M29" s="5538">
        <v>1.07</v>
      </c>
      <c r="N29" s="4959">
        <f t="shared" si="33"/>
        <v>1.2639622222222223E-2</v>
      </c>
      <c r="O29" s="4902">
        <f>C29*(G29/25)</f>
        <v>5.6259259259259272E-4</v>
      </c>
      <c r="P29" s="5539">
        <f t="shared" si="35"/>
        <v>6.0197407407407426E-4</v>
      </c>
      <c r="Q29" s="5540">
        <v>177</v>
      </c>
      <c r="R29" s="5536">
        <f t="shared" si="36"/>
        <v>480</v>
      </c>
      <c r="S29" s="2844">
        <f t="shared" si="4"/>
        <v>0.48</v>
      </c>
      <c r="T29" s="2845">
        <f t="shared" si="5"/>
        <v>1.3502222222222224E-2</v>
      </c>
      <c r="U29" s="374">
        <f t="shared" si="6"/>
        <v>0</v>
      </c>
      <c r="V29" s="2846">
        <f t="shared" si="7"/>
        <v>0</v>
      </c>
      <c r="W29" s="2847">
        <f t="shared" si="8"/>
        <v>0</v>
      </c>
      <c r="X29" s="2848">
        <f t="shared" si="9"/>
        <v>0</v>
      </c>
      <c r="Y29" s="2849">
        <f t="shared" si="10"/>
        <v>0</v>
      </c>
      <c r="Z29" s="2850">
        <f t="shared" si="11"/>
        <v>0.48</v>
      </c>
      <c r="AA29" s="2851">
        <f t="shared" si="12"/>
        <v>0</v>
      </c>
      <c r="AB29" s="2935"/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4" customHeight="1" thickBot="1">
      <c r="A30" s="3109" t="s">
        <v>462</v>
      </c>
      <c r="B30" s="3110" t="s">
        <v>461</v>
      </c>
      <c r="C30" s="629">
        <f t="shared" si="19"/>
        <v>2.152777777777778E-4</v>
      </c>
      <c r="D30" s="5541">
        <v>2</v>
      </c>
      <c r="E30" s="5542">
        <v>1</v>
      </c>
      <c r="F30" s="5542">
        <v>2</v>
      </c>
      <c r="G30" s="5542">
        <v>20</v>
      </c>
      <c r="H30" s="5542"/>
      <c r="I30" s="4960">
        <v>1.3888888888888889E-4</v>
      </c>
      <c r="J30" s="4960">
        <v>1.3888888888888889E-3</v>
      </c>
      <c r="K30" s="4740" t="s">
        <v>894</v>
      </c>
      <c r="L30" s="4781">
        <f t="shared" si="37"/>
        <v>0.33552851111111109</v>
      </c>
      <c r="M30" s="5543">
        <v>1.2</v>
      </c>
      <c r="N30" s="4960">
        <f>P30*E30*F30+I30*E30*F30+J30*E30</f>
        <v>2.0800000000000003E-3</v>
      </c>
      <c r="O30" s="4741">
        <f t="shared" ref="O30" si="38">C30*(G30/25)</f>
        <v>1.7222222222222226E-4</v>
      </c>
      <c r="P30" s="4741">
        <f t="shared" si="35"/>
        <v>2.0666666666666671E-4</v>
      </c>
      <c r="Q30" s="4783">
        <v>146</v>
      </c>
      <c r="R30" s="5544">
        <f t="shared" si="36"/>
        <v>40</v>
      </c>
      <c r="S30" s="2844">
        <f t="shared" si="4"/>
        <v>0.04</v>
      </c>
      <c r="T30" s="2845">
        <f t="shared" si="5"/>
        <v>1.3777777777777781E-3</v>
      </c>
      <c r="U30" s="374">
        <f t="shared" si="6"/>
        <v>0</v>
      </c>
      <c r="V30" s="2846">
        <f t="shared" si="7"/>
        <v>0.04</v>
      </c>
      <c r="W30" s="2847">
        <f t="shared" si="8"/>
        <v>0</v>
      </c>
      <c r="X30" s="2848">
        <f t="shared" si="9"/>
        <v>0</v>
      </c>
      <c r="Y30" s="2849">
        <f t="shared" si="10"/>
        <v>0</v>
      </c>
      <c r="Z30" s="2850">
        <f t="shared" si="11"/>
        <v>0</v>
      </c>
      <c r="AA30" s="2851">
        <f t="shared" si="12"/>
        <v>0</v>
      </c>
      <c r="AB30" s="2935"/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4" customHeight="1" thickBot="1">
      <c r="A31" s="3109" t="s">
        <v>140</v>
      </c>
      <c r="B31" s="3110" t="s">
        <v>461</v>
      </c>
      <c r="C31" s="629">
        <f t="shared" si="19"/>
        <v>1.7581018518518521E-4</v>
      </c>
      <c r="D31" s="5535">
        <v>6</v>
      </c>
      <c r="E31" s="5536">
        <v>1</v>
      </c>
      <c r="F31" s="5536">
        <v>8</v>
      </c>
      <c r="G31" s="5536">
        <v>50</v>
      </c>
      <c r="H31" s="5536"/>
      <c r="I31" s="4959">
        <v>6.9444444444444447E-4</v>
      </c>
      <c r="J31" s="4959">
        <v>3.472222222222222E-3</v>
      </c>
      <c r="K31" s="5537" t="s">
        <v>974</v>
      </c>
      <c r="L31" s="4959">
        <f>L29+N29</f>
        <v>0.33552851111111109</v>
      </c>
      <c r="M31" s="5538">
        <v>1.05</v>
      </c>
      <c r="N31" s="4959">
        <f t="shared" ref="N31" si="39">P31*E31*F31+I31*E31*F31+J31*E31</f>
        <v>1.2040461111111112E-2</v>
      </c>
      <c r="O31" s="4902">
        <f>C31*(G31/25)*1.02</f>
        <v>3.5865277777777783E-4</v>
      </c>
      <c r="P31" s="5539">
        <f t="shared" si="35"/>
        <v>3.7658541666666675E-4</v>
      </c>
      <c r="Q31" s="5540">
        <v>177</v>
      </c>
      <c r="R31" s="5536">
        <f t="shared" si="36"/>
        <v>400</v>
      </c>
      <c r="S31" s="2844">
        <f t="shared" si="4"/>
        <v>0.4</v>
      </c>
      <c r="T31" s="2845">
        <f t="shared" si="5"/>
        <v>1.1476888888888891E-2</v>
      </c>
      <c r="U31" s="374">
        <f t="shared" si="6"/>
        <v>0</v>
      </c>
      <c r="V31" s="2846">
        <f t="shared" si="7"/>
        <v>0</v>
      </c>
      <c r="W31" s="2847">
        <f t="shared" si="8"/>
        <v>0</v>
      </c>
      <c r="X31" s="2848">
        <f t="shared" si="9"/>
        <v>0</v>
      </c>
      <c r="Y31" s="2849">
        <f t="shared" si="10"/>
        <v>0</v>
      </c>
      <c r="Z31" s="2850">
        <f t="shared" si="11"/>
        <v>0.4</v>
      </c>
      <c r="AA31" s="2851">
        <f t="shared" si="12"/>
        <v>0</v>
      </c>
      <c r="AB31" s="2935"/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4" customHeight="1" thickBot="1">
      <c r="A32" s="3109"/>
      <c r="B32" s="3110"/>
      <c r="C32" s="629">
        <f t="shared" si="19"/>
        <v>2.3321759259259265E-4</v>
      </c>
      <c r="D32" s="4773">
        <v>1</v>
      </c>
      <c r="E32" s="3433"/>
      <c r="F32" s="3433"/>
      <c r="G32" s="3433"/>
      <c r="H32" s="3433"/>
      <c r="I32" s="3433"/>
      <c r="J32" s="3433"/>
      <c r="K32" s="3454"/>
      <c r="L32" s="4642">
        <f t="shared" ref="L32" si="40">L31+N31</f>
        <v>0.34756897222222222</v>
      </c>
      <c r="M32" s="3742"/>
      <c r="N32" s="4642">
        <f>SUM(N28:N31)</f>
        <v>3.2368879629629629E-2</v>
      </c>
      <c r="O32" s="5534">
        <v>0</v>
      </c>
      <c r="P32" s="3744"/>
      <c r="Q32" s="3744"/>
      <c r="R32" s="3621">
        <f>SUM(R28:R31)</f>
        <v>1220</v>
      </c>
      <c r="S32" s="2844"/>
      <c r="T32" s="2845"/>
      <c r="U32" s="374"/>
      <c r="V32" s="2846"/>
      <c r="W32" s="2847"/>
      <c r="X32" s="2848"/>
      <c r="Y32" s="2849"/>
      <c r="Z32" s="2850"/>
      <c r="AA32" s="2851"/>
      <c r="AB32" s="2935"/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4" customHeight="1" thickBot="1">
      <c r="A33" s="3109" t="s">
        <v>674</v>
      </c>
      <c r="B33" s="3110" t="s">
        <v>461</v>
      </c>
      <c r="C33" s="629">
        <f t="shared" si="19"/>
        <v>1.9733796296296302E-4</v>
      </c>
      <c r="D33" s="5532">
        <v>3</v>
      </c>
      <c r="E33" s="4710">
        <v>1</v>
      </c>
      <c r="F33" s="4710">
        <v>4</v>
      </c>
      <c r="G33" s="4710">
        <v>50</v>
      </c>
      <c r="H33" s="4711"/>
      <c r="I33" s="4711">
        <v>4.6296296296296293E-4</v>
      </c>
      <c r="J33" s="4711">
        <v>4.6296296296296293E-4</v>
      </c>
      <c r="K33" s="4712" t="s">
        <v>1021</v>
      </c>
      <c r="L33" s="4711">
        <v>0.80208333333333337</v>
      </c>
      <c r="M33" s="4730">
        <v>1.2</v>
      </c>
      <c r="N33" s="4711">
        <f t="shared" si="33"/>
        <v>4.2092592592592598E-3</v>
      </c>
      <c r="O33" s="5514">
        <f t="shared" si="34"/>
        <v>3.9467592592592603E-4</v>
      </c>
      <c r="P33" s="4713">
        <f t="shared" si="35"/>
        <v>4.7361111111111123E-4</v>
      </c>
      <c r="Q33" s="4714">
        <v>164</v>
      </c>
      <c r="R33" s="4710">
        <f t="shared" si="36"/>
        <v>200</v>
      </c>
      <c r="S33" s="2844">
        <f t="shared" si="4"/>
        <v>0.2</v>
      </c>
      <c r="T33" s="2845">
        <f t="shared" si="5"/>
        <v>6.3148148148148165E-3</v>
      </c>
      <c r="U33" s="374">
        <f t="shared" si="6"/>
        <v>0</v>
      </c>
      <c r="V33" s="2846">
        <f t="shared" si="7"/>
        <v>0</v>
      </c>
      <c r="W33" s="2847">
        <f t="shared" si="8"/>
        <v>0.2</v>
      </c>
      <c r="X33" s="2848">
        <f t="shared" si="9"/>
        <v>0</v>
      </c>
      <c r="Y33" s="2849">
        <f t="shared" si="10"/>
        <v>0</v>
      </c>
      <c r="Z33" s="2850">
        <f t="shared" si="11"/>
        <v>0</v>
      </c>
      <c r="AA33" s="2851">
        <f t="shared" si="12"/>
        <v>0</v>
      </c>
      <c r="AB33" s="2935"/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4" customHeight="1" thickBot="1">
      <c r="A34" s="3109" t="s">
        <v>214</v>
      </c>
      <c r="B34" s="3110" t="s">
        <v>461</v>
      </c>
      <c r="C34" s="4641">
        <f t="shared" si="19"/>
        <v>1.7939814814814817E-4</v>
      </c>
      <c r="D34" s="5545">
        <v>4</v>
      </c>
      <c r="E34" s="5546">
        <v>1</v>
      </c>
      <c r="F34" s="5546">
        <v>6</v>
      </c>
      <c r="G34" s="5547">
        <v>250</v>
      </c>
      <c r="H34" s="5548" t="s">
        <v>1739</v>
      </c>
      <c r="I34" s="4747">
        <v>1.8518518518518517E-3</v>
      </c>
      <c r="J34" s="4747">
        <v>0</v>
      </c>
      <c r="K34" s="5548" t="s">
        <v>1738</v>
      </c>
      <c r="L34" s="4825">
        <f t="shared" ref="L34:L36" si="41">L33+N33</f>
        <v>0.80629259259259267</v>
      </c>
      <c r="M34" s="5549">
        <v>1.1000000000000001</v>
      </c>
      <c r="N34" s="5550">
        <f t="shared" si="33"/>
        <v>2.2951388888888889E-2</v>
      </c>
      <c r="O34" s="5551">
        <f t="shared" ref="O34" si="42">C34*(G34/25)</f>
        <v>1.7939814814814817E-3</v>
      </c>
      <c r="P34" s="3717">
        <f t="shared" si="35"/>
        <v>1.97337962962963E-3</v>
      </c>
      <c r="Q34" s="5552" t="s">
        <v>316</v>
      </c>
      <c r="R34" s="5553">
        <f t="shared" si="36"/>
        <v>1500</v>
      </c>
      <c r="S34" s="2844">
        <f t="shared" si="4"/>
        <v>1.5</v>
      </c>
      <c r="T34" s="2845">
        <f t="shared" si="5"/>
        <v>4.3055555555555562E-2</v>
      </c>
      <c r="U34" s="374">
        <f t="shared" si="6"/>
        <v>0</v>
      </c>
      <c r="V34" s="2846">
        <f t="shared" si="7"/>
        <v>0</v>
      </c>
      <c r="W34" s="2847">
        <f t="shared" si="8"/>
        <v>0</v>
      </c>
      <c r="X34" s="2848">
        <f t="shared" si="9"/>
        <v>1.5</v>
      </c>
      <c r="Y34" s="2849">
        <f t="shared" si="10"/>
        <v>0</v>
      </c>
      <c r="Z34" s="2850">
        <f t="shared" si="11"/>
        <v>0</v>
      </c>
      <c r="AA34" s="2851">
        <f t="shared" si="12"/>
        <v>0</v>
      </c>
      <c r="AB34" s="2935"/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4" customHeight="1" thickBot="1">
      <c r="A35" s="3109" t="s">
        <v>458</v>
      </c>
      <c r="B35" s="3110" t="s">
        <v>461</v>
      </c>
      <c r="C35" s="629">
        <f t="shared" si="19"/>
        <v>1.9733796296296302E-4</v>
      </c>
      <c r="D35" s="4785">
        <v>3</v>
      </c>
      <c r="E35" s="4710">
        <v>1</v>
      </c>
      <c r="F35" s="4710">
        <v>6</v>
      </c>
      <c r="G35" s="4710">
        <v>25</v>
      </c>
      <c r="H35" s="4711"/>
      <c r="I35" s="4711">
        <v>1.7361111111111112E-4</v>
      </c>
      <c r="J35" s="4711">
        <v>1.3888888888888889E-3</v>
      </c>
      <c r="K35" s="4712" t="s">
        <v>284</v>
      </c>
      <c r="L35" s="4711">
        <f t="shared" si="41"/>
        <v>0.8292439814814816</v>
      </c>
      <c r="M35" s="4730">
        <v>1</v>
      </c>
      <c r="N35" s="4711">
        <f>P35*E35*F35+I35*E35*F35+J35*E35</f>
        <v>3.6145833333333342E-3</v>
      </c>
      <c r="O35" s="5514">
        <f>C35*G35/25</f>
        <v>1.9733796296296302E-4</v>
      </c>
      <c r="P35" s="4713">
        <f>O35*M35</f>
        <v>1.9733796296296302E-4</v>
      </c>
      <c r="Q35" s="4714">
        <v>164</v>
      </c>
      <c r="R35" s="4710">
        <f>E35*F35*G35</f>
        <v>150</v>
      </c>
      <c r="S35" s="2844">
        <f t="shared" si="4"/>
        <v>0.15</v>
      </c>
      <c r="T35" s="2845">
        <f t="shared" si="5"/>
        <v>4.7361111111111128E-3</v>
      </c>
      <c r="U35" s="374">
        <f t="shared" si="6"/>
        <v>0</v>
      </c>
      <c r="V35" s="2846">
        <f t="shared" si="7"/>
        <v>0</v>
      </c>
      <c r="W35" s="2847">
        <f t="shared" si="8"/>
        <v>0.15</v>
      </c>
      <c r="X35" s="2848">
        <f t="shared" si="9"/>
        <v>0</v>
      </c>
      <c r="Y35" s="2849">
        <f t="shared" si="10"/>
        <v>0</v>
      </c>
      <c r="Z35" s="2850">
        <f t="shared" si="11"/>
        <v>0</v>
      </c>
      <c r="AA35" s="2851">
        <f t="shared" si="12"/>
        <v>0</v>
      </c>
      <c r="AB35" s="2935"/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4" customHeight="1" thickBot="1">
      <c r="A36" s="3109" t="s">
        <v>219</v>
      </c>
      <c r="B36" s="3110" t="s">
        <v>461</v>
      </c>
      <c r="C36" s="629">
        <f t="shared" si="19"/>
        <v>1.7222222222222224E-4</v>
      </c>
      <c r="D36" s="3436">
        <v>7</v>
      </c>
      <c r="E36" s="4767">
        <v>2</v>
      </c>
      <c r="F36" s="4767">
        <v>4</v>
      </c>
      <c r="G36" s="4767">
        <v>15</v>
      </c>
      <c r="H36" s="4770"/>
      <c r="I36" s="4770">
        <v>1.0416666666666667E-3</v>
      </c>
      <c r="J36" s="4770">
        <v>6.9444444444444447E-4</v>
      </c>
      <c r="K36" s="4896" t="s">
        <v>1728</v>
      </c>
      <c r="L36" s="4770">
        <f t="shared" si="41"/>
        <v>0.83285856481481491</v>
      </c>
      <c r="M36" s="4771">
        <v>1</v>
      </c>
      <c r="N36" s="4770">
        <f>P36*E36*F36+I36*E36*F36+J36*E36</f>
        <v>1.0548888888888889E-2</v>
      </c>
      <c r="O36" s="5514">
        <f>C36*G36/25</f>
        <v>1.0333333333333336E-4</v>
      </c>
      <c r="P36" s="2517">
        <f>O36*M36</f>
        <v>1.0333333333333336E-4</v>
      </c>
      <c r="Q36" s="4772" t="s">
        <v>274</v>
      </c>
      <c r="R36" s="3939">
        <f>E36*F36*G36</f>
        <v>120</v>
      </c>
      <c r="S36" s="2844">
        <f t="shared" si="4"/>
        <v>0.12</v>
      </c>
      <c r="T36" s="2845">
        <f t="shared" si="5"/>
        <v>3.3066666666666674E-3</v>
      </c>
      <c r="U36" s="374">
        <f t="shared" si="6"/>
        <v>0</v>
      </c>
      <c r="V36" s="2846">
        <f t="shared" si="7"/>
        <v>0</v>
      </c>
      <c r="W36" s="2847">
        <f t="shared" si="8"/>
        <v>0</v>
      </c>
      <c r="X36" s="2848">
        <f t="shared" si="9"/>
        <v>0</v>
      </c>
      <c r="Y36" s="2849">
        <f t="shared" si="10"/>
        <v>0</v>
      </c>
      <c r="Z36" s="2850">
        <f t="shared" si="11"/>
        <v>0</v>
      </c>
      <c r="AA36" s="2851">
        <f t="shared" si="12"/>
        <v>0.12</v>
      </c>
      <c r="AB36" s="2935"/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4" customHeight="1" thickBot="1">
      <c r="A37" s="3109"/>
      <c r="B37" s="3110"/>
      <c r="C37" s="629">
        <f t="shared" si="19"/>
        <v>1.7939814814814817E-4</v>
      </c>
      <c r="D37" s="5532">
        <v>4</v>
      </c>
      <c r="E37" s="3745"/>
      <c r="F37" s="3745"/>
      <c r="G37" s="3745"/>
      <c r="H37" s="3745"/>
      <c r="I37" s="3745"/>
      <c r="J37" s="3745"/>
      <c r="K37" s="3454"/>
      <c r="L37" s="4642">
        <f>L36+N36</f>
        <v>0.84340745370370385</v>
      </c>
      <c r="M37" s="3742"/>
      <c r="N37" s="4642">
        <f>SUM(N33:N36)</f>
        <v>4.1324120370370372E-2</v>
      </c>
      <c r="O37" s="5534">
        <v>0</v>
      </c>
      <c r="P37" s="3744"/>
      <c r="Q37" s="3744"/>
      <c r="R37" s="3621">
        <f>SUM(R33:R36)</f>
        <v>1970</v>
      </c>
      <c r="S37" s="2844">
        <f t="shared" si="4"/>
        <v>0</v>
      </c>
      <c r="T37" s="2845">
        <f t="shared" si="5"/>
        <v>0</v>
      </c>
      <c r="U37" s="374">
        <f t="shared" si="6"/>
        <v>0</v>
      </c>
      <c r="V37" s="2846">
        <f t="shared" si="7"/>
        <v>0</v>
      </c>
      <c r="W37" s="2847">
        <f t="shared" si="8"/>
        <v>0</v>
      </c>
      <c r="X37" s="2848">
        <f t="shared" si="9"/>
        <v>0</v>
      </c>
      <c r="Y37" s="2849">
        <f t="shared" si="10"/>
        <v>0</v>
      </c>
      <c r="Z37" s="2850">
        <f t="shared" si="11"/>
        <v>0</v>
      </c>
      <c r="AA37" s="2851">
        <f t="shared" si="12"/>
        <v>0</v>
      </c>
      <c r="AB37" s="2935"/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1"/>
    </row>
    <row r="38" spans="1:40" ht="14" customHeight="1" thickBot="1">
      <c r="A38" s="2183" t="s">
        <v>217</v>
      </c>
      <c r="B38" s="3336"/>
      <c r="C38" s="629">
        <f t="shared" si="19"/>
        <v>1.7222222222222224E-4</v>
      </c>
      <c r="D38" s="4785">
        <v>7</v>
      </c>
      <c r="E38" s="3746"/>
      <c r="F38" s="3746"/>
      <c r="G38" s="3746"/>
      <c r="H38" s="3746"/>
      <c r="I38" s="3746"/>
      <c r="J38" s="3746"/>
      <c r="K38" s="3747" t="s">
        <v>911</v>
      </c>
      <c r="L38" s="5554"/>
      <c r="M38" s="5555"/>
      <c r="N38" s="3748"/>
      <c r="O38" s="4707"/>
      <c r="P38" s="3749"/>
      <c r="Q38" s="5556"/>
      <c r="R38" s="5557"/>
      <c r="S38" s="2844">
        <f t="shared" si="4"/>
        <v>0</v>
      </c>
      <c r="T38" s="2845">
        <f t="shared" si="5"/>
        <v>0</v>
      </c>
      <c r="U38" s="374">
        <f t="shared" si="6"/>
        <v>0</v>
      </c>
      <c r="V38" s="2846">
        <f t="shared" si="7"/>
        <v>0</v>
      </c>
      <c r="W38" s="2847">
        <f t="shared" si="8"/>
        <v>0</v>
      </c>
      <c r="X38" s="2848">
        <f t="shared" si="9"/>
        <v>0</v>
      </c>
      <c r="Y38" s="2849">
        <f t="shared" si="10"/>
        <v>0</v>
      </c>
      <c r="Z38" s="2850">
        <f t="shared" si="11"/>
        <v>0</v>
      </c>
      <c r="AA38" s="2851">
        <f t="shared" si="12"/>
        <v>0</v>
      </c>
      <c r="AB38" s="2935"/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1"/>
    </row>
    <row r="39" spans="1:40" ht="14" customHeight="1" thickBot="1">
      <c r="A39" s="2183" t="s">
        <v>459</v>
      </c>
      <c r="B39" s="3336" t="s">
        <v>461</v>
      </c>
      <c r="C39" s="629">
        <f t="shared" si="19"/>
        <v>2.3321759259259265E-4</v>
      </c>
      <c r="D39" s="3436">
        <v>1</v>
      </c>
      <c r="E39" s="4704">
        <v>1</v>
      </c>
      <c r="F39" s="4704">
        <v>1</v>
      </c>
      <c r="G39" s="4704">
        <v>900</v>
      </c>
      <c r="H39" s="4705"/>
      <c r="I39" s="4705">
        <v>0</v>
      </c>
      <c r="J39" s="4705">
        <v>0</v>
      </c>
      <c r="K39" s="4706" t="s">
        <v>376</v>
      </c>
      <c r="L39" s="5523">
        <v>0.80208333333333337</v>
      </c>
      <c r="M39" s="5524">
        <v>1</v>
      </c>
      <c r="N39" s="5525">
        <f>P39*E39*F39+I39*E39*F39+J39*E39</f>
        <v>8.395833333333335E-3</v>
      </c>
      <c r="O39" s="5526">
        <f>C39*G39/25</f>
        <v>8.395833333333335E-3</v>
      </c>
      <c r="P39" s="5526">
        <f>O39*M39</f>
        <v>8.395833333333335E-3</v>
      </c>
      <c r="Q39" s="5527">
        <v>129</v>
      </c>
      <c r="R39" s="5528">
        <f>E39*F39*G39</f>
        <v>900</v>
      </c>
      <c r="S39" s="2844">
        <f t="shared" si="4"/>
        <v>0.9</v>
      </c>
      <c r="T39" s="2845">
        <f t="shared" si="5"/>
        <v>3.358333333333334E-2</v>
      </c>
      <c r="U39" s="374">
        <f t="shared" si="6"/>
        <v>0.9</v>
      </c>
      <c r="V39" s="2846">
        <f t="shared" si="7"/>
        <v>0</v>
      </c>
      <c r="W39" s="2847">
        <f t="shared" si="8"/>
        <v>0</v>
      </c>
      <c r="X39" s="2848">
        <f t="shared" si="9"/>
        <v>0</v>
      </c>
      <c r="Y39" s="2849">
        <f t="shared" si="10"/>
        <v>0</v>
      </c>
      <c r="Z39" s="2850">
        <f t="shared" si="11"/>
        <v>0</v>
      </c>
      <c r="AA39" s="2851">
        <f t="shared" si="12"/>
        <v>0</v>
      </c>
      <c r="AB39" s="2935"/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1"/>
    </row>
    <row r="40" spans="1:40" ht="14" customHeight="1" thickBot="1">
      <c r="A40" s="2183" t="s">
        <v>458</v>
      </c>
      <c r="B40" s="3336" t="s">
        <v>461</v>
      </c>
      <c r="C40" s="629">
        <f t="shared" si="19"/>
        <v>1.7939814814814817E-4</v>
      </c>
      <c r="D40" s="5532">
        <v>4</v>
      </c>
      <c r="E40" s="5545">
        <v>1</v>
      </c>
      <c r="F40" s="5546">
        <v>24</v>
      </c>
      <c r="G40" s="5546">
        <v>50</v>
      </c>
      <c r="H40" s="4747">
        <v>1.0416666666666667E-3</v>
      </c>
      <c r="I40" s="5548"/>
      <c r="J40" s="4747">
        <v>0</v>
      </c>
      <c r="K40" s="4747" t="s">
        <v>1740</v>
      </c>
      <c r="L40" s="5548">
        <f>L39+N39</f>
        <v>0.81047916666666675</v>
      </c>
      <c r="M40" s="3738">
        <v>1.17</v>
      </c>
      <c r="N40" s="4778">
        <f t="shared" ref="N40:N41" si="43">H40*F40*E40</f>
        <v>2.5000000000000001E-2</v>
      </c>
      <c r="O40" s="4823">
        <f>C40*G40/25</f>
        <v>3.5879629629629635E-4</v>
      </c>
      <c r="P40" s="3739">
        <f>O40*M40</f>
        <v>4.1979166666666667E-4</v>
      </c>
      <c r="Q40" s="3929">
        <v>164</v>
      </c>
      <c r="R40" s="3924">
        <f>E40*F40*G40</f>
        <v>1200</v>
      </c>
      <c r="S40" s="2844">
        <f t="shared" si="4"/>
        <v>1.2</v>
      </c>
      <c r="T40" s="2845">
        <f t="shared" si="5"/>
        <v>3.4444444444444451E-2</v>
      </c>
      <c r="U40" s="374">
        <f t="shared" si="6"/>
        <v>0</v>
      </c>
      <c r="V40" s="2846">
        <f t="shared" si="7"/>
        <v>0</v>
      </c>
      <c r="W40" s="2847">
        <f t="shared" si="8"/>
        <v>0</v>
      </c>
      <c r="X40" s="2848">
        <f t="shared" si="9"/>
        <v>1.2</v>
      </c>
      <c r="Y40" s="2849">
        <f t="shared" si="10"/>
        <v>0</v>
      </c>
      <c r="Z40" s="2850">
        <f t="shared" si="11"/>
        <v>0</v>
      </c>
      <c r="AA40" s="2851">
        <f t="shared" si="12"/>
        <v>0</v>
      </c>
      <c r="AB40" s="2935"/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  <c r="AN40" s="1"/>
    </row>
    <row r="41" spans="1:40" ht="14" customHeight="1" thickBot="1">
      <c r="A41" s="2183" t="s">
        <v>218</v>
      </c>
      <c r="B41" s="3336" t="s">
        <v>461</v>
      </c>
      <c r="C41" s="629">
        <f t="shared" si="19"/>
        <v>1.7581018518518521E-4</v>
      </c>
      <c r="D41" s="3436">
        <v>6</v>
      </c>
      <c r="E41" s="3924">
        <v>1</v>
      </c>
      <c r="F41" s="3924">
        <v>12</v>
      </c>
      <c r="G41" s="3924">
        <v>50</v>
      </c>
      <c r="H41" s="4778">
        <v>1.0416666666666667E-3</v>
      </c>
      <c r="I41" s="4778"/>
      <c r="J41" s="4778">
        <v>0</v>
      </c>
      <c r="K41" s="3926" t="s">
        <v>298</v>
      </c>
      <c r="L41" s="4778">
        <f t="shared" ref="L41:L43" si="44">L40+N40</f>
        <v>0.83547916666666677</v>
      </c>
      <c r="M41" s="3738">
        <v>1.1499999999999999</v>
      </c>
      <c r="N41" s="4778">
        <f t="shared" si="43"/>
        <v>1.2500000000000001E-2</v>
      </c>
      <c r="O41" s="4823">
        <f>C41*(G41/25)</f>
        <v>3.5162037037037041E-4</v>
      </c>
      <c r="P41" s="3739">
        <f t="shared" ref="P41:P42" si="45">O41*M41</f>
        <v>4.0436342592592596E-4</v>
      </c>
      <c r="Q41" s="3929" t="s">
        <v>278</v>
      </c>
      <c r="R41" s="3924">
        <f>E41*F41*G41</f>
        <v>600</v>
      </c>
      <c r="S41" s="2844">
        <f t="shared" si="4"/>
        <v>0.6</v>
      </c>
      <c r="T41" s="2845">
        <f t="shared" si="5"/>
        <v>1.687777777777778E-2</v>
      </c>
      <c r="U41" s="374">
        <f t="shared" si="6"/>
        <v>0</v>
      </c>
      <c r="V41" s="2846">
        <f t="shared" si="7"/>
        <v>0</v>
      </c>
      <c r="W41" s="2847">
        <f t="shared" si="8"/>
        <v>0</v>
      </c>
      <c r="X41" s="2848">
        <f t="shared" si="9"/>
        <v>0</v>
      </c>
      <c r="Y41" s="2849">
        <f t="shared" si="10"/>
        <v>0</v>
      </c>
      <c r="Z41" s="2850">
        <f t="shared" si="11"/>
        <v>0.6</v>
      </c>
      <c r="AA41" s="2851">
        <f t="shared" si="12"/>
        <v>0</v>
      </c>
      <c r="AB41" s="2935"/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  <c r="AN41" s="1"/>
    </row>
    <row r="42" spans="1:40" ht="14" customHeight="1" thickBot="1">
      <c r="A42" s="2183" t="s">
        <v>458</v>
      </c>
      <c r="B42" s="3336" t="s">
        <v>461</v>
      </c>
      <c r="C42" s="629">
        <f t="shared" si="19"/>
        <v>1.7222222222222224E-4</v>
      </c>
      <c r="D42" s="4785">
        <v>7</v>
      </c>
      <c r="E42" s="4767">
        <v>4</v>
      </c>
      <c r="F42" s="4767">
        <v>6</v>
      </c>
      <c r="G42" s="4767">
        <v>30</v>
      </c>
      <c r="H42" s="4770"/>
      <c r="I42" s="4770">
        <v>4.6296296296296293E-4</v>
      </c>
      <c r="J42" s="4770">
        <v>1.3888888888888889E-3</v>
      </c>
      <c r="K42" s="4889" t="s">
        <v>557</v>
      </c>
      <c r="L42" s="4770">
        <f t="shared" si="44"/>
        <v>0.84797916666666673</v>
      </c>
      <c r="M42" s="4771">
        <v>0.9</v>
      </c>
      <c r="N42" s="4770">
        <f>P42*E42*F42+I42*E42*F42+J42*E42</f>
        <v>2.1130666666666666E-2</v>
      </c>
      <c r="O42" s="5514">
        <f>C42*G42/25</f>
        <v>2.0666666666666671E-4</v>
      </c>
      <c r="P42" s="2517">
        <f t="shared" si="45"/>
        <v>1.8600000000000005E-4</v>
      </c>
      <c r="Q42" s="4772" t="s">
        <v>274</v>
      </c>
      <c r="R42" s="3939">
        <f>E42*F42*G42</f>
        <v>720</v>
      </c>
      <c r="S42" s="2844">
        <f t="shared" si="4"/>
        <v>0.72</v>
      </c>
      <c r="T42" s="2845">
        <f t="shared" si="5"/>
        <v>1.9840000000000003E-2</v>
      </c>
      <c r="U42" s="374">
        <f t="shared" si="6"/>
        <v>0</v>
      </c>
      <c r="V42" s="2846">
        <f t="shared" si="7"/>
        <v>0</v>
      </c>
      <c r="W42" s="2847">
        <f t="shared" si="8"/>
        <v>0</v>
      </c>
      <c r="X42" s="2848">
        <f t="shared" si="9"/>
        <v>0</v>
      </c>
      <c r="Y42" s="2849">
        <f t="shared" si="10"/>
        <v>0</v>
      </c>
      <c r="Z42" s="2850">
        <f t="shared" si="11"/>
        <v>0</v>
      </c>
      <c r="AA42" s="2851">
        <f t="shared" si="12"/>
        <v>0.72</v>
      </c>
      <c r="AB42" s="2935"/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  <c r="AN42" s="1"/>
    </row>
    <row r="43" spans="1:40" ht="14" customHeight="1" thickBot="1">
      <c r="A43" s="2183" t="s">
        <v>219</v>
      </c>
      <c r="B43" s="3336"/>
      <c r="C43" s="629">
        <f t="shared" si="19"/>
        <v>0</v>
      </c>
      <c r="D43" s="4785"/>
      <c r="E43" s="849"/>
      <c r="F43" s="849"/>
      <c r="G43" s="849"/>
      <c r="H43" s="849"/>
      <c r="I43" s="849"/>
      <c r="J43" s="849"/>
      <c r="K43" s="3454"/>
      <c r="L43" s="4642">
        <f t="shared" si="44"/>
        <v>0.86910983333333336</v>
      </c>
      <c r="M43" s="3742"/>
      <c r="N43" s="4642">
        <f>SUM(N39:N42)</f>
        <v>6.7026499999999989E-2</v>
      </c>
      <c r="O43" s="5534">
        <v>0</v>
      </c>
      <c r="P43" s="3744"/>
      <c r="Q43" s="3744"/>
      <c r="R43" s="3621">
        <f>SUM(R39:R42)</f>
        <v>3420</v>
      </c>
      <c r="S43" s="2844">
        <f t="shared" si="4"/>
        <v>0</v>
      </c>
      <c r="T43" s="2845">
        <f t="shared" si="5"/>
        <v>0</v>
      </c>
      <c r="U43" s="374">
        <f t="shared" si="6"/>
        <v>0</v>
      </c>
      <c r="V43" s="2846">
        <f t="shared" si="7"/>
        <v>0</v>
      </c>
      <c r="W43" s="2847">
        <f t="shared" si="8"/>
        <v>0</v>
      </c>
      <c r="X43" s="2848">
        <f t="shared" si="9"/>
        <v>0</v>
      </c>
      <c r="Y43" s="2849">
        <f t="shared" si="10"/>
        <v>0</v>
      </c>
      <c r="Z43" s="2850">
        <f t="shared" si="11"/>
        <v>0</v>
      </c>
      <c r="AA43" s="2851">
        <f t="shared" si="12"/>
        <v>0</v>
      </c>
      <c r="AB43" s="2935"/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  <c r="AN43" s="1"/>
    </row>
    <row r="44" spans="1:40" ht="14" customHeight="1" thickBot="1">
      <c r="A44" s="3109"/>
      <c r="B44" s="3110"/>
      <c r="C44" s="629"/>
      <c r="D44" s="4785"/>
      <c r="E44" s="3745"/>
      <c r="F44" s="3745"/>
      <c r="G44" s="3745"/>
      <c r="H44" s="3745"/>
      <c r="I44" s="3745"/>
      <c r="J44" s="3745"/>
      <c r="K44" s="5558" t="s">
        <v>2133</v>
      </c>
      <c r="L44" s="4642"/>
      <c r="M44" s="3742"/>
      <c r="N44" s="4642"/>
      <c r="O44" s="5534"/>
      <c r="P44" s="3744"/>
      <c r="Q44" s="3744"/>
      <c r="R44" s="3621"/>
      <c r="S44" s="2844"/>
      <c r="T44" s="2845"/>
      <c r="U44" s="374"/>
      <c r="V44" s="2846"/>
      <c r="W44" s="2847"/>
      <c r="X44" s="2848"/>
      <c r="Y44" s="2849"/>
      <c r="Z44" s="2850"/>
      <c r="AA44" s="2851"/>
      <c r="AB44" s="2935"/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  <c r="AN44" s="1"/>
    </row>
    <row r="45" spans="1:40" ht="14" customHeight="1" thickBot="1">
      <c r="A45" s="3109" t="s">
        <v>218</v>
      </c>
      <c r="B45" s="4145" t="s">
        <v>897</v>
      </c>
      <c r="C45" s="629">
        <f t="shared" si="19"/>
        <v>2.3321759259259265E-4</v>
      </c>
      <c r="D45" s="4890">
        <v>1</v>
      </c>
      <c r="E45" s="4704">
        <v>1</v>
      </c>
      <c r="F45" s="4704">
        <v>1</v>
      </c>
      <c r="G45" s="4704">
        <v>400</v>
      </c>
      <c r="H45" s="4705"/>
      <c r="I45" s="4705">
        <v>0</v>
      </c>
      <c r="J45" s="4705">
        <v>1.1574074074074073E-4</v>
      </c>
      <c r="K45" s="4706" t="s">
        <v>883</v>
      </c>
      <c r="L45" s="5523">
        <v>0</v>
      </c>
      <c r="M45" s="5524">
        <v>1</v>
      </c>
      <c r="N45" s="5525">
        <f>P45*E45*F45+I45*E45*F45+J45*E45</f>
        <v>3.8472222222222232E-3</v>
      </c>
      <c r="O45" s="5526">
        <f>C45*G45/25</f>
        <v>3.7314814814814823E-3</v>
      </c>
      <c r="P45" s="5526">
        <f>O45*M45</f>
        <v>3.7314814814814823E-3</v>
      </c>
      <c r="Q45" s="5527">
        <v>129</v>
      </c>
      <c r="R45" s="5528">
        <f>E45*F45*G45</f>
        <v>400</v>
      </c>
      <c r="S45" s="2844">
        <f t="shared" si="4"/>
        <v>0.4</v>
      </c>
      <c r="T45" s="2845">
        <f t="shared" si="5"/>
        <v>1.4925925925925929E-2</v>
      </c>
      <c r="U45" s="374">
        <f t="shared" si="6"/>
        <v>0.4</v>
      </c>
      <c r="V45" s="2846">
        <f t="shared" si="7"/>
        <v>0</v>
      </c>
      <c r="W45" s="2847">
        <f t="shared" si="8"/>
        <v>0</v>
      </c>
      <c r="X45" s="2848">
        <f t="shared" si="9"/>
        <v>0</v>
      </c>
      <c r="Y45" s="2849">
        <f t="shared" si="10"/>
        <v>0</v>
      </c>
      <c r="Z45" s="2850">
        <f t="shared" si="11"/>
        <v>0</v>
      </c>
      <c r="AA45" s="2851">
        <f t="shared" si="12"/>
        <v>0</v>
      </c>
      <c r="AB45" s="2935"/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  <c r="AN45" s="1"/>
    </row>
    <row r="46" spans="1:40" ht="14" customHeight="1" thickBot="1">
      <c r="A46" s="3109" t="s">
        <v>139</v>
      </c>
      <c r="B46" s="4145" t="s">
        <v>897</v>
      </c>
      <c r="C46" s="629">
        <f t="shared" si="19"/>
        <v>1.9733796296296302E-4</v>
      </c>
      <c r="D46" s="5532">
        <v>3</v>
      </c>
      <c r="E46" s="4710">
        <v>1</v>
      </c>
      <c r="F46" s="4710">
        <v>3</v>
      </c>
      <c r="G46" s="4710">
        <v>200</v>
      </c>
      <c r="H46" s="4711"/>
      <c r="I46" s="4711">
        <v>3.4722222222222224E-4</v>
      </c>
      <c r="J46" s="4711">
        <v>1.3888888888888889E-3</v>
      </c>
      <c r="K46" s="4712" t="s">
        <v>556</v>
      </c>
      <c r="L46" s="4711">
        <f>L45+N45</f>
        <v>3.8472222222222232E-3</v>
      </c>
      <c r="M46" s="4730">
        <v>1</v>
      </c>
      <c r="N46" s="4711">
        <f>P46*E46*F46+I46*E46*F46+J46*E46</f>
        <v>7.1666666666666684E-3</v>
      </c>
      <c r="O46" s="5514">
        <f>C46*G46/25</f>
        <v>1.5787037037037041E-3</v>
      </c>
      <c r="P46" s="4713">
        <f>O46*M46</f>
        <v>1.5787037037037041E-3</v>
      </c>
      <c r="Q46" s="4714">
        <v>164</v>
      </c>
      <c r="R46" s="4710">
        <f>E46*F46*G46</f>
        <v>600</v>
      </c>
      <c r="S46" s="2844">
        <f t="shared" si="4"/>
        <v>0.6</v>
      </c>
      <c r="T46" s="2845">
        <f t="shared" si="5"/>
        <v>1.8944444444444451E-2</v>
      </c>
      <c r="U46" s="374">
        <f t="shared" si="6"/>
        <v>0</v>
      </c>
      <c r="V46" s="2846">
        <f t="shared" si="7"/>
        <v>0</v>
      </c>
      <c r="W46" s="2847">
        <f t="shared" si="8"/>
        <v>0.6</v>
      </c>
      <c r="X46" s="2848">
        <f t="shared" si="9"/>
        <v>0</v>
      </c>
      <c r="Y46" s="2849">
        <f t="shared" si="10"/>
        <v>0</v>
      </c>
      <c r="Z46" s="2850">
        <f t="shared" si="11"/>
        <v>0</v>
      </c>
      <c r="AA46" s="2851">
        <f t="shared" si="12"/>
        <v>0</v>
      </c>
      <c r="AB46" s="2935"/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  <c r="AN46" s="1"/>
    </row>
    <row r="47" spans="1:40" ht="14" customHeight="1" thickBot="1">
      <c r="A47" s="3109" t="s">
        <v>458</v>
      </c>
      <c r="B47" s="4145" t="s">
        <v>897</v>
      </c>
      <c r="C47" s="629">
        <f t="shared" si="19"/>
        <v>1.7581018518518521E-4</v>
      </c>
      <c r="D47" s="3924">
        <v>6</v>
      </c>
      <c r="E47" s="3924">
        <v>2</v>
      </c>
      <c r="F47" s="3924">
        <v>8</v>
      </c>
      <c r="G47" s="3924">
        <v>50</v>
      </c>
      <c r="H47" s="4778"/>
      <c r="I47" s="4778">
        <v>1.1574074074074073E-3</v>
      </c>
      <c r="J47" s="4778">
        <v>1.3888888888888889E-3</v>
      </c>
      <c r="K47" s="3926" t="s">
        <v>1228</v>
      </c>
      <c r="L47" s="4778">
        <f t="shared" ref="L47:L49" si="46">L46+N46</f>
        <v>1.1013888888888893E-2</v>
      </c>
      <c r="M47" s="3738">
        <v>1.1200000000000001</v>
      </c>
      <c r="N47" s="4778">
        <f t="shared" ref="N47:N48" si="47">P47*E47*F47+I47*E47*F47+J47*E47</f>
        <v>2.7597333333333335E-2</v>
      </c>
      <c r="O47" s="4823">
        <f>C47*G47/25</f>
        <v>3.5162037037037041E-4</v>
      </c>
      <c r="P47" s="3739">
        <f t="shared" ref="P47:P48" si="48">O47*M47</f>
        <v>3.9381481481481488E-4</v>
      </c>
      <c r="Q47" s="3929">
        <v>174</v>
      </c>
      <c r="R47" s="3924">
        <f t="shared" ref="R47:R48" si="49">E47*F47*G47</f>
        <v>800</v>
      </c>
      <c r="S47" s="2844">
        <f t="shared" si="4"/>
        <v>0.8</v>
      </c>
      <c r="T47" s="2845">
        <f t="shared" si="5"/>
        <v>2.2503703703703706E-2</v>
      </c>
      <c r="U47" s="374">
        <f t="shared" si="6"/>
        <v>0</v>
      </c>
      <c r="V47" s="2846">
        <f t="shared" si="7"/>
        <v>0</v>
      </c>
      <c r="W47" s="2847">
        <f t="shared" si="8"/>
        <v>0</v>
      </c>
      <c r="X47" s="2848">
        <f t="shared" si="9"/>
        <v>0</v>
      </c>
      <c r="Y47" s="2849">
        <f t="shared" si="10"/>
        <v>0</v>
      </c>
      <c r="Z47" s="2850">
        <f t="shared" si="11"/>
        <v>0.8</v>
      </c>
      <c r="AA47" s="2851">
        <f t="shared" si="12"/>
        <v>0</v>
      </c>
      <c r="AB47" s="2935"/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  <c r="AN47" s="1"/>
    </row>
    <row r="48" spans="1:40" ht="14" customHeight="1" thickBot="1">
      <c r="A48" s="3109"/>
      <c r="B48" s="4145" t="s">
        <v>897</v>
      </c>
      <c r="C48" s="4641">
        <f t="shared" si="19"/>
        <v>1.7222222222222224E-4</v>
      </c>
      <c r="D48" s="4828">
        <v>7</v>
      </c>
      <c r="E48" s="4719">
        <v>2</v>
      </c>
      <c r="F48" s="4719">
        <v>10</v>
      </c>
      <c r="G48" s="4723">
        <v>22</v>
      </c>
      <c r="H48" s="5519" t="s">
        <v>1735</v>
      </c>
      <c r="I48" s="4724">
        <v>6.9444444444444447E-4</v>
      </c>
      <c r="J48" s="4724">
        <v>3.472222222222222E-3</v>
      </c>
      <c r="K48" s="5520" t="s">
        <v>1717</v>
      </c>
      <c r="L48" s="4830">
        <f t="shared" si="46"/>
        <v>3.8611222222222227E-2</v>
      </c>
      <c r="M48" s="5521">
        <v>1</v>
      </c>
      <c r="N48" s="4724">
        <f t="shared" si="47"/>
        <v>2.3864444444444445E-2</v>
      </c>
      <c r="O48" s="4725">
        <f t="shared" ref="O48" si="50">C48*(G48/25)</f>
        <v>1.5155555555555557E-4</v>
      </c>
      <c r="P48" s="2517">
        <f t="shared" si="48"/>
        <v>1.5155555555555557E-4</v>
      </c>
      <c r="Q48" s="4945" t="s">
        <v>316</v>
      </c>
      <c r="R48" s="4727">
        <f t="shared" si="49"/>
        <v>440</v>
      </c>
      <c r="S48" s="2844">
        <f t="shared" si="4"/>
        <v>0.44</v>
      </c>
      <c r="T48" s="2845">
        <f t="shared" si="5"/>
        <v>1.2124444444444446E-2</v>
      </c>
      <c r="U48" s="374">
        <f t="shared" si="6"/>
        <v>0</v>
      </c>
      <c r="V48" s="2846">
        <f t="shared" si="7"/>
        <v>0</v>
      </c>
      <c r="W48" s="2847">
        <f t="shared" si="8"/>
        <v>0</v>
      </c>
      <c r="X48" s="2848">
        <f t="shared" si="9"/>
        <v>0</v>
      </c>
      <c r="Y48" s="2849">
        <f t="shared" si="10"/>
        <v>0</v>
      </c>
      <c r="Z48" s="2850">
        <f t="shared" si="11"/>
        <v>0</v>
      </c>
      <c r="AA48" s="2851">
        <f t="shared" si="12"/>
        <v>0.44</v>
      </c>
      <c r="AB48" s="2935"/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  <c r="AN48" s="1"/>
    </row>
    <row r="49" spans="1:40" ht="14" customHeight="1" thickBot="1">
      <c r="A49" s="3109"/>
      <c r="B49" s="4145" t="s">
        <v>897</v>
      </c>
      <c r="C49" s="629">
        <f t="shared" si="19"/>
        <v>2.3321759259259265E-4</v>
      </c>
      <c r="D49" s="4773">
        <v>1</v>
      </c>
      <c r="E49" s="3433"/>
      <c r="F49" s="3433"/>
      <c r="G49" s="3433"/>
      <c r="H49" s="3433"/>
      <c r="I49" s="3433"/>
      <c r="J49" s="3433"/>
      <c r="K49" s="3454"/>
      <c r="L49" s="4642">
        <f t="shared" si="46"/>
        <v>6.2475666666666672E-2</v>
      </c>
      <c r="M49" s="3742"/>
      <c r="N49" s="4642">
        <f>SUM(N45:N48)</f>
        <v>6.2475666666666672E-2</v>
      </c>
      <c r="O49" s="5534">
        <v>0</v>
      </c>
      <c r="P49" s="3744"/>
      <c r="Q49" s="3744"/>
      <c r="R49" s="3621">
        <f>SUM(R45:R48)</f>
        <v>2240</v>
      </c>
      <c r="S49" s="2844">
        <f t="shared" si="4"/>
        <v>0</v>
      </c>
      <c r="T49" s="2845">
        <f t="shared" si="5"/>
        <v>0</v>
      </c>
      <c r="U49" s="374">
        <f t="shared" si="6"/>
        <v>0</v>
      </c>
      <c r="V49" s="2846">
        <f t="shared" si="7"/>
        <v>0</v>
      </c>
      <c r="W49" s="2847">
        <f t="shared" si="8"/>
        <v>0</v>
      </c>
      <c r="X49" s="2848">
        <f t="shared" si="9"/>
        <v>0</v>
      </c>
      <c r="Y49" s="2849">
        <f t="shared" si="10"/>
        <v>0</v>
      </c>
      <c r="Z49" s="2850">
        <f t="shared" si="11"/>
        <v>0</v>
      </c>
      <c r="AA49" s="2851">
        <f t="shared" si="12"/>
        <v>0</v>
      </c>
      <c r="AB49" s="2935"/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  <c r="AN49" s="1"/>
    </row>
    <row r="50" spans="1:40" ht="14" customHeight="1" thickBot="1">
      <c r="A50" s="3109" t="s">
        <v>460</v>
      </c>
      <c r="B50" s="4145" t="s">
        <v>897</v>
      </c>
      <c r="C50" s="629">
        <f t="shared" si="19"/>
        <v>2.3321759259259265E-4</v>
      </c>
      <c r="D50" s="4785">
        <v>1</v>
      </c>
      <c r="E50" s="4704">
        <v>1</v>
      </c>
      <c r="F50" s="4704">
        <v>1</v>
      </c>
      <c r="G50" s="4704">
        <v>400</v>
      </c>
      <c r="H50" s="4705"/>
      <c r="I50" s="4705">
        <v>0</v>
      </c>
      <c r="J50" s="4705">
        <v>0</v>
      </c>
      <c r="K50" s="4706" t="s">
        <v>194</v>
      </c>
      <c r="L50" s="5523">
        <v>0</v>
      </c>
      <c r="M50" s="5524">
        <v>1</v>
      </c>
      <c r="N50" s="5525">
        <f>P50*E50*F50+I50*E50*F50+J50*E50</f>
        <v>3.7314814814814823E-3</v>
      </c>
      <c r="O50" s="5526">
        <f>C50*G50/25</f>
        <v>3.7314814814814823E-3</v>
      </c>
      <c r="P50" s="5526">
        <f>O50*M50</f>
        <v>3.7314814814814823E-3</v>
      </c>
      <c r="Q50" s="5527">
        <v>129</v>
      </c>
      <c r="R50" s="5528">
        <f>E50*F50*G50</f>
        <v>400</v>
      </c>
      <c r="S50" s="2844">
        <f t="shared" si="4"/>
        <v>0.4</v>
      </c>
      <c r="T50" s="2845">
        <f t="shared" si="5"/>
        <v>1.4925925925925929E-2</v>
      </c>
      <c r="U50" s="374">
        <f t="shared" si="6"/>
        <v>0.4</v>
      </c>
      <c r="V50" s="2846">
        <f t="shared" si="7"/>
        <v>0</v>
      </c>
      <c r="W50" s="2847">
        <f t="shared" si="8"/>
        <v>0</v>
      </c>
      <c r="X50" s="2848">
        <f t="shared" si="9"/>
        <v>0</v>
      </c>
      <c r="Y50" s="2849">
        <f t="shared" si="10"/>
        <v>0</v>
      </c>
      <c r="Z50" s="2850">
        <f t="shared" si="11"/>
        <v>0</v>
      </c>
      <c r="AA50" s="2851">
        <f t="shared" si="12"/>
        <v>0</v>
      </c>
      <c r="AB50" s="2935"/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  <c r="AN50" s="1"/>
    </row>
    <row r="51" spans="1:40" ht="14" customHeight="1" thickBot="1">
      <c r="A51" s="3109" t="s">
        <v>458</v>
      </c>
      <c r="B51" s="4145" t="s">
        <v>897</v>
      </c>
      <c r="C51" s="629">
        <f t="shared" si="19"/>
        <v>1.9733796296296302E-4</v>
      </c>
      <c r="D51" s="4785">
        <v>3</v>
      </c>
      <c r="E51" s="4710">
        <v>4</v>
      </c>
      <c r="F51" s="4710">
        <v>1</v>
      </c>
      <c r="G51" s="4710">
        <v>100</v>
      </c>
      <c r="H51" s="4711">
        <v>9.8379629629629642E-4</v>
      </c>
      <c r="I51" s="4711">
        <v>9.8379629629629642E-4</v>
      </c>
      <c r="J51" s="4711">
        <v>0</v>
      </c>
      <c r="K51" s="4712" t="s">
        <v>1729</v>
      </c>
      <c r="L51" s="4892">
        <f>L50+N50</f>
        <v>3.7314814814814823E-3</v>
      </c>
      <c r="M51" s="4730">
        <v>1</v>
      </c>
      <c r="N51" s="4711">
        <f t="shared" ref="N51:N55" si="51">P51*E51*F51+I51*E51*F51+J51*E51</f>
        <v>7.0925925925925939E-3</v>
      </c>
      <c r="O51" s="5514">
        <f>C51*G51/25</f>
        <v>7.8935185185185206E-4</v>
      </c>
      <c r="P51" s="4713">
        <f t="shared" ref="P51:P55" si="52">O51*M51</f>
        <v>7.8935185185185206E-4</v>
      </c>
      <c r="Q51" s="4714">
        <v>164</v>
      </c>
      <c r="R51" s="4710">
        <f t="shared" ref="R51:R55" si="53">E51*F51*G51</f>
        <v>400</v>
      </c>
      <c r="S51" s="2844">
        <f t="shared" si="4"/>
        <v>0.4</v>
      </c>
      <c r="T51" s="2845">
        <f t="shared" si="5"/>
        <v>1.2629629629629633E-2</v>
      </c>
      <c r="U51" s="374">
        <f t="shared" si="6"/>
        <v>0</v>
      </c>
      <c r="V51" s="2846">
        <f t="shared" si="7"/>
        <v>0</v>
      </c>
      <c r="W51" s="2847">
        <f t="shared" si="8"/>
        <v>0.4</v>
      </c>
      <c r="X51" s="2848">
        <f t="shared" si="9"/>
        <v>0</v>
      </c>
      <c r="Y51" s="2849">
        <f t="shared" si="10"/>
        <v>0</v>
      </c>
      <c r="Z51" s="2850">
        <f t="shared" si="11"/>
        <v>0</v>
      </c>
      <c r="AA51" s="2851">
        <f t="shared" si="12"/>
        <v>0</v>
      </c>
      <c r="AB51" s="2935"/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  <c r="AN51" s="1"/>
    </row>
    <row r="52" spans="1:40" ht="14" customHeight="1" thickBot="1">
      <c r="A52" s="3109" t="s">
        <v>219</v>
      </c>
      <c r="B52" s="4145" t="s">
        <v>897</v>
      </c>
      <c r="C52" s="629">
        <f t="shared" si="19"/>
        <v>1.9733796296296302E-4</v>
      </c>
      <c r="D52" s="5532">
        <v>3</v>
      </c>
      <c r="E52" s="4710">
        <v>1</v>
      </c>
      <c r="F52" s="4710">
        <v>1</v>
      </c>
      <c r="G52" s="4710">
        <v>400</v>
      </c>
      <c r="H52" s="4711"/>
      <c r="I52" s="4711">
        <v>9.8379629629629642E-4</v>
      </c>
      <c r="J52" s="4711">
        <v>0</v>
      </c>
      <c r="K52" s="4712" t="s">
        <v>1022</v>
      </c>
      <c r="L52" s="4711">
        <f t="shared" ref="L52:L56" si="54">L51+N51</f>
        <v>1.0824074074074076E-2</v>
      </c>
      <c r="M52" s="4730">
        <v>1</v>
      </c>
      <c r="N52" s="4711">
        <f t="shared" si="51"/>
        <v>4.1412037037037042E-3</v>
      </c>
      <c r="O52" s="5514">
        <f>C52*G52/25</f>
        <v>3.1574074074074083E-3</v>
      </c>
      <c r="P52" s="4713">
        <f t="shared" si="52"/>
        <v>3.1574074074074083E-3</v>
      </c>
      <c r="Q52" s="4714">
        <v>164</v>
      </c>
      <c r="R52" s="4710">
        <f t="shared" si="53"/>
        <v>400</v>
      </c>
      <c r="S52" s="2844">
        <f t="shared" si="4"/>
        <v>0.4</v>
      </c>
      <c r="T52" s="2845">
        <f t="shared" si="5"/>
        <v>1.2629629629629633E-2</v>
      </c>
      <c r="U52" s="374">
        <f t="shared" si="6"/>
        <v>0</v>
      </c>
      <c r="V52" s="2846">
        <f t="shared" si="7"/>
        <v>0</v>
      </c>
      <c r="W52" s="2847">
        <f t="shared" si="8"/>
        <v>0.4</v>
      </c>
      <c r="X52" s="2848">
        <f t="shared" si="9"/>
        <v>0</v>
      </c>
      <c r="Y52" s="2849">
        <f t="shared" si="10"/>
        <v>0</v>
      </c>
      <c r="Z52" s="2850">
        <f t="shared" si="11"/>
        <v>0</v>
      </c>
      <c r="AA52" s="2851">
        <f t="shared" si="12"/>
        <v>0</v>
      </c>
      <c r="AB52" s="2935"/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  <c r="AN52" s="1"/>
    </row>
    <row r="53" spans="1:40" ht="14" customHeight="1" thickBot="1">
      <c r="A53" s="3109"/>
      <c r="B53" s="4145" t="s">
        <v>897</v>
      </c>
      <c r="C53" s="4641">
        <f t="shared" si="19"/>
        <v>1.9733796296296302E-4</v>
      </c>
      <c r="D53" s="4890">
        <v>3</v>
      </c>
      <c r="E53" s="5515">
        <v>1</v>
      </c>
      <c r="F53" s="5516">
        <v>2</v>
      </c>
      <c r="G53" s="4891">
        <v>250</v>
      </c>
      <c r="H53" s="5517" t="s">
        <v>1732</v>
      </c>
      <c r="I53" s="4739">
        <v>5.7870370370370366E-5</v>
      </c>
      <c r="J53" s="5518">
        <v>2.0833333333333333E-3</v>
      </c>
      <c r="K53" s="4740" t="s">
        <v>1731</v>
      </c>
      <c r="L53" s="4784">
        <f t="shared" si="54"/>
        <v>1.496527777777778E-2</v>
      </c>
      <c r="M53" s="4782">
        <v>1.1000000000000001</v>
      </c>
      <c r="N53" s="5518">
        <f t="shared" si="51"/>
        <v>6.5405092592592615E-3</v>
      </c>
      <c r="O53" s="4741">
        <f t="shared" ref="O53" si="55">C53*(G53/25)</f>
        <v>1.97337962962963E-3</v>
      </c>
      <c r="P53" s="4713">
        <f t="shared" si="52"/>
        <v>2.1707175925925934E-3</v>
      </c>
      <c r="Q53" s="4783" t="s">
        <v>316</v>
      </c>
      <c r="R53" s="5516">
        <f t="shared" si="53"/>
        <v>500</v>
      </c>
      <c r="S53" s="5559" t="s">
        <v>2134</v>
      </c>
      <c r="T53" s="2845">
        <f t="shared" si="5"/>
        <v>1.578703703703704E-2</v>
      </c>
      <c r="U53" s="374">
        <f t="shared" si="6"/>
        <v>0</v>
      </c>
      <c r="V53" s="2846">
        <f t="shared" si="7"/>
        <v>0</v>
      </c>
      <c r="W53" s="2847" t="str">
        <f t="shared" si="8"/>
        <v>55</v>
      </c>
      <c r="X53" s="2848">
        <f t="shared" si="9"/>
        <v>0</v>
      </c>
      <c r="Y53" s="2849">
        <f t="shared" si="10"/>
        <v>0</v>
      </c>
      <c r="Z53" s="2850">
        <f t="shared" si="11"/>
        <v>0</v>
      </c>
      <c r="AA53" s="2851">
        <f t="shared" si="12"/>
        <v>0</v>
      </c>
      <c r="AB53" s="2935"/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  <c r="AN53" s="1"/>
    </row>
    <row r="54" spans="1:40" ht="14" customHeight="1" thickBot="1">
      <c r="A54" s="3109" t="s">
        <v>460</v>
      </c>
      <c r="B54" s="4145" t="s">
        <v>897</v>
      </c>
      <c r="C54" s="629">
        <f t="shared" si="19"/>
        <v>1.7222222222222224E-4</v>
      </c>
      <c r="D54" s="4773">
        <v>7</v>
      </c>
      <c r="E54" s="4942">
        <v>1</v>
      </c>
      <c r="F54" s="4942">
        <v>12</v>
      </c>
      <c r="G54" s="4942">
        <v>20</v>
      </c>
      <c r="H54" s="4943"/>
      <c r="I54" s="4943">
        <v>4.6296296296296293E-4</v>
      </c>
      <c r="J54" s="4943">
        <v>2.0833333333333333E-3</v>
      </c>
      <c r="K54" s="5531" t="s">
        <v>1227</v>
      </c>
      <c r="L54" s="4770">
        <f>L53+N53</f>
        <v>2.1505787037037042E-2</v>
      </c>
      <c r="M54" s="4771">
        <v>1</v>
      </c>
      <c r="N54" s="4770">
        <f t="shared" si="51"/>
        <v>9.2922222222222208E-3</v>
      </c>
      <c r="O54" s="5514">
        <f>C54*G54/25</f>
        <v>1.3777777777777779E-4</v>
      </c>
      <c r="P54" s="2517">
        <f t="shared" si="52"/>
        <v>1.3777777777777779E-4</v>
      </c>
      <c r="Q54" s="4772" t="s">
        <v>274</v>
      </c>
      <c r="R54" s="3939">
        <f t="shared" si="53"/>
        <v>240</v>
      </c>
      <c r="S54" s="2844">
        <f t="shared" ref="S54:S60" si="56">E54*F54*G54/1000</f>
        <v>0.24</v>
      </c>
      <c r="T54" s="2845">
        <f t="shared" si="5"/>
        <v>6.6133333333333339E-3</v>
      </c>
      <c r="U54" s="374">
        <f t="shared" si="6"/>
        <v>0</v>
      </c>
      <c r="V54" s="2846">
        <f t="shared" si="7"/>
        <v>0</v>
      </c>
      <c r="W54" s="2847">
        <f t="shared" si="8"/>
        <v>0</v>
      </c>
      <c r="X54" s="2848">
        <f t="shared" si="9"/>
        <v>0</v>
      </c>
      <c r="Y54" s="2849">
        <f t="shared" si="10"/>
        <v>0</v>
      </c>
      <c r="Z54" s="2850">
        <f t="shared" si="11"/>
        <v>0</v>
      </c>
      <c r="AA54" s="2851">
        <f t="shared" si="12"/>
        <v>0.24</v>
      </c>
      <c r="AB54" s="2935"/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  <c r="AN54" s="1"/>
    </row>
    <row r="55" spans="1:40" ht="14" customHeight="1" thickBot="1">
      <c r="A55" s="3109" t="s">
        <v>458</v>
      </c>
      <c r="B55" s="4145" t="s">
        <v>897</v>
      </c>
      <c r="C55" s="629">
        <f t="shared" si="19"/>
        <v>1.7222222222222224E-4</v>
      </c>
      <c r="D55" s="4890">
        <v>7</v>
      </c>
      <c r="E55" s="4767">
        <v>4</v>
      </c>
      <c r="F55" s="4767">
        <v>4</v>
      </c>
      <c r="G55" s="4767">
        <v>15</v>
      </c>
      <c r="H55" s="4770"/>
      <c r="I55" s="4770">
        <v>4.6296296296296293E-4</v>
      </c>
      <c r="J55" s="4770">
        <v>6.9444444444444447E-4</v>
      </c>
      <c r="K55" s="4108" t="s">
        <v>407</v>
      </c>
      <c r="L55" s="4770">
        <f t="shared" si="54"/>
        <v>3.0798009259259261E-2</v>
      </c>
      <c r="M55" s="4771">
        <v>1</v>
      </c>
      <c r="N55" s="4770">
        <f t="shared" si="51"/>
        <v>1.1838518518518519E-2</v>
      </c>
      <c r="O55" s="5514">
        <f>C55*G55/25</f>
        <v>1.0333333333333336E-4</v>
      </c>
      <c r="P55" s="2517">
        <f t="shared" si="52"/>
        <v>1.0333333333333336E-4</v>
      </c>
      <c r="Q55" s="4772" t="s">
        <v>274</v>
      </c>
      <c r="R55" s="3939">
        <f t="shared" si="53"/>
        <v>240</v>
      </c>
      <c r="S55" s="2844">
        <f t="shared" si="56"/>
        <v>0.24</v>
      </c>
      <c r="T55" s="2845">
        <f t="shared" si="5"/>
        <v>6.6133333333333348E-3</v>
      </c>
      <c r="U55" s="374">
        <f t="shared" si="6"/>
        <v>0</v>
      </c>
      <c r="V55" s="2846">
        <f t="shared" si="7"/>
        <v>0</v>
      </c>
      <c r="W55" s="2847">
        <f t="shared" si="8"/>
        <v>0</v>
      </c>
      <c r="X55" s="2848">
        <f t="shared" si="9"/>
        <v>0</v>
      </c>
      <c r="Y55" s="2849">
        <f t="shared" si="10"/>
        <v>0</v>
      </c>
      <c r="Z55" s="2850">
        <f t="shared" si="11"/>
        <v>0</v>
      </c>
      <c r="AA55" s="2851">
        <f t="shared" si="12"/>
        <v>0.24</v>
      </c>
      <c r="AB55" s="2935"/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  <c r="AN55" s="1"/>
    </row>
    <row r="56" spans="1:40" ht="14" customHeight="1" thickBot="1">
      <c r="A56" s="3109" t="s">
        <v>219</v>
      </c>
      <c r="B56" s="3110"/>
      <c r="C56" s="629">
        <f t="shared" si="19"/>
        <v>1.7939814814814817E-4</v>
      </c>
      <c r="D56" s="5532">
        <v>4</v>
      </c>
      <c r="E56" s="849"/>
      <c r="F56" s="849"/>
      <c r="G56" s="849"/>
      <c r="H56" s="849"/>
      <c r="I56" s="849"/>
      <c r="J56" s="849"/>
      <c r="K56" s="5624" t="s">
        <v>2133</v>
      </c>
      <c r="L56" s="4642">
        <f t="shared" si="54"/>
        <v>4.263652777777778E-2</v>
      </c>
      <c r="M56" s="3742"/>
      <c r="N56" s="4642">
        <f>SUM(N50:N55)</f>
        <v>4.263652777777778E-2</v>
      </c>
      <c r="O56" s="5534">
        <v>0</v>
      </c>
      <c r="P56" s="3744"/>
      <c r="Q56" s="3744"/>
      <c r="R56" s="3621">
        <f>SUM(R50:R55)</f>
        <v>2180</v>
      </c>
      <c r="S56" s="2844">
        <f t="shared" si="56"/>
        <v>0</v>
      </c>
      <c r="T56" s="2845">
        <f t="shared" si="5"/>
        <v>0</v>
      </c>
      <c r="U56" s="374">
        <f t="shared" si="6"/>
        <v>0</v>
      </c>
      <c r="V56" s="2846">
        <f t="shared" si="7"/>
        <v>0</v>
      </c>
      <c r="W56" s="2847">
        <f t="shared" si="8"/>
        <v>0</v>
      </c>
      <c r="X56" s="2848">
        <f t="shared" si="9"/>
        <v>0</v>
      </c>
      <c r="Y56" s="2849">
        <f t="shared" si="10"/>
        <v>0</v>
      </c>
      <c r="Z56" s="2850">
        <f t="shared" si="11"/>
        <v>0</v>
      </c>
      <c r="AA56" s="2851">
        <f t="shared" si="12"/>
        <v>0</v>
      </c>
      <c r="AB56" s="2935"/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  <c r="AN56" s="1"/>
    </row>
    <row r="57" spans="1:40" ht="14" customHeight="1" thickBot="1">
      <c r="A57" s="5560"/>
      <c r="B57" s="5560"/>
      <c r="C57" s="629">
        <f t="shared" si="19"/>
        <v>1.7222222222222224E-4</v>
      </c>
      <c r="D57" s="4882">
        <v>7</v>
      </c>
      <c r="E57" s="4767">
        <v>1</v>
      </c>
      <c r="F57" s="4767">
        <v>2</v>
      </c>
      <c r="G57" s="4767">
        <v>50</v>
      </c>
      <c r="H57" s="5561" t="s">
        <v>298</v>
      </c>
      <c r="I57" s="4770">
        <v>4.6296296296296293E-4</v>
      </c>
      <c r="J57" s="4770">
        <v>1.3888888888888889E-3</v>
      </c>
      <c r="K57" s="4772" t="s">
        <v>2118</v>
      </c>
      <c r="L57" s="5562"/>
      <c r="M57" s="4894"/>
      <c r="N57" s="5562"/>
      <c r="O57" s="4895">
        <f>C57*(G57/25)</f>
        <v>3.4444444444444447E-4</v>
      </c>
      <c r="P57" s="5563">
        <v>3.4872685185185186E-4</v>
      </c>
      <c r="Q57" s="5625"/>
      <c r="R57" s="5564">
        <v>100</v>
      </c>
      <c r="S57" s="2844">
        <f t="shared" si="56"/>
        <v>0.1</v>
      </c>
      <c r="T57" s="2845">
        <f t="shared" si="5"/>
        <v>2.7555555555555558E-3</v>
      </c>
      <c r="U57" s="374">
        <f t="shared" si="6"/>
        <v>0</v>
      </c>
      <c r="V57" s="2846">
        <f t="shared" si="7"/>
        <v>0</v>
      </c>
      <c r="W57" s="2847">
        <f t="shared" si="8"/>
        <v>0</v>
      </c>
      <c r="X57" s="2848">
        <f t="shared" si="9"/>
        <v>0</v>
      </c>
      <c r="Y57" s="2849">
        <f t="shared" si="10"/>
        <v>0</v>
      </c>
      <c r="Z57" s="2850">
        <f t="shared" si="11"/>
        <v>0</v>
      </c>
      <c r="AA57" s="2851">
        <f t="shared" si="12"/>
        <v>0.1</v>
      </c>
      <c r="AB57" s="3156"/>
      <c r="AC57" s="2837"/>
      <c r="AD57" s="2838"/>
      <c r="AE57" s="2838"/>
      <c r="AF57" s="2838"/>
      <c r="AG57" s="2838"/>
      <c r="AH57" s="2838"/>
      <c r="AI57" s="2836"/>
      <c r="AN57" s="1"/>
    </row>
    <row r="58" spans="1:40" ht="14" customHeight="1" thickBot="1">
      <c r="A58" s="5560"/>
      <c r="B58" s="5560"/>
      <c r="C58" s="629">
        <f t="shared" si="19"/>
        <v>1.7222222222222224E-4</v>
      </c>
      <c r="D58" s="4887">
        <v>7</v>
      </c>
      <c r="E58" s="4767">
        <v>1</v>
      </c>
      <c r="F58" s="4767">
        <v>2</v>
      </c>
      <c r="G58" s="4767">
        <v>100</v>
      </c>
      <c r="H58" s="5561" t="s">
        <v>558</v>
      </c>
      <c r="I58" s="4770">
        <v>4.6296296296296293E-4</v>
      </c>
      <c r="J58" s="4770">
        <v>1.3888888888888889E-3</v>
      </c>
      <c r="K58" s="4772" t="s">
        <v>2118</v>
      </c>
      <c r="L58" s="5562"/>
      <c r="M58" s="4894"/>
      <c r="N58" s="5562"/>
      <c r="O58" s="4895">
        <f>C58*(G58/25)</f>
        <v>6.8888888888888895E-4</v>
      </c>
      <c r="P58" s="5563">
        <v>7.0613425925925922E-4</v>
      </c>
      <c r="Q58" s="5627" t="s">
        <v>2039</v>
      </c>
      <c r="R58" s="5564">
        <v>200</v>
      </c>
      <c r="S58" s="2844">
        <f t="shared" si="56"/>
        <v>0.2</v>
      </c>
      <c r="T58" s="2845">
        <f t="shared" si="5"/>
        <v>5.5111111111111116E-3</v>
      </c>
      <c r="U58" s="374">
        <f t="shared" si="6"/>
        <v>0</v>
      </c>
      <c r="V58" s="2846">
        <f t="shared" si="7"/>
        <v>0</v>
      </c>
      <c r="W58" s="2847">
        <f t="shared" si="8"/>
        <v>0</v>
      </c>
      <c r="X58" s="2848">
        <f t="shared" si="9"/>
        <v>0</v>
      </c>
      <c r="Y58" s="2849">
        <f t="shared" si="10"/>
        <v>0</v>
      </c>
      <c r="Z58" s="2850">
        <f t="shared" si="11"/>
        <v>0</v>
      </c>
      <c r="AA58" s="2851">
        <f t="shared" si="12"/>
        <v>0.2</v>
      </c>
      <c r="AB58" s="144"/>
      <c r="AC58" s="2867" t="s">
        <v>193</v>
      </c>
      <c r="AD58" s="2937"/>
      <c r="AE58" s="2937"/>
      <c r="AF58" s="2937"/>
      <c r="AG58" s="2937"/>
      <c r="AH58" s="2937"/>
      <c r="AI58" s="2935"/>
      <c r="AN58" s="1"/>
    </row>
    <row r="59" spans="1:40" ht="14" customHeight="1" thickBot="1">
      <c r="A59" s="5560"/>
      <c r="B59" s="5560"/>
      <c r="C59" s="629">
        <f t="shared" si="19"/>
        <v>1.7222222222222224E-4</v>
      </c>
      <c r="D59" s="4887">
        <v>7</v>
      </c>
      <c r="E59" s="4767">
        <v>1</v>
      </c>
      <c r="F59" s="4767">
        <v>2</v>
      </c>
      <c r="G59" s="4767">
        <v>50</v>
      </c>
      <c r="H59" s="5561" t="s">
        <v>2135</v>
      </c>
      <c r="I59" s="4770">
        <v>4.6296296296296293E-4</v>
      </c>
      <c r="J59" s="5565">
        <v>1.3888888888888889E-3</v>
      </c>
      <c r="K59" s="4772" t="s">
        <v>2118</v>
      </c>
      <c r="L59" s="5562"/>
      <c r="M59" s="4894"/>
      <c r="N59" s="5566">
        <v>1.5913194444444445E-3</v>
      </c>
      <c r="O59" s="4895">
        <f>C59*(G59/25)</f>
        <v>3.4444444444444447E-4</v>
      </c>
      <c r="P59" s="5563">
        <v>3.2523148148148152E-4</v>
      </c>
      <c r="Q59" s="5628" t="s">
        <v>1687</v>
      </c>
      <c r="R59" s="5564">
        <v>400</v>
      </c>
      <c r="S59" s="2844">
        <f t="shared" si="56"/>
        <v>0.1</v>
      </c>
      <c r="T59" s="2845">
        <f t="shared" si="5"/>
        <v>2.7555555555555558E-3</v>
      </c>
      <c r="U59" s="374">
        <f t="shared" si="6"/>
        <v>0</v>
      </c>
      <c r="V59" s="2846">
        <f t="shared" si="7"/>
        <v>0</v>
      </c>
      <c r="W59" s="2847">
        <f t="shared" si="8"/>
        <v>0</v>
      </c>
      <c r="X59" s="2848">
        <f t="shared" si="9"/>
        <v>0</v>
      </c>
      <c r="Y59" s="2849">
        <f t="shared" si="10"/>
        <v>0</v>
      </c>
      <c r="Z59" s="2850">
        <f t="shared" si="11"/>
        <v>0</v>
      </c>
      <c r="AA59" s="2851">
        <f t="shared" si="12"/>
        <v>0.1</v>
      </c>
      <c r="AB59" s="144"/>
      <c r="AC59" s="2867">
        <v>0</v>
      </c>
      <c r="AD59" s="2867">
        <v>0</v>
      </c>
      <c r="AE59" s="2867">
        <v>0</v>
      </c>
      <c r="AF59" s="2867">
        <v>0</v>
      </c>
      <c r="AG59" s="2867">
        <v>0</v>
      </c>
      <c r="AH59" s="2867">
        <v>0</v>
      </c>
      <c r="AI59" s="2935"/>
      <c r="AN59" s="1"/>
    </row>
    <row r="60" spans="1:40" ht="14" customHeight="1" thickBot="1">
      <c r="A60" s="5560"/>
      <c r="B60" s="5560"/>
      <c r="C60" s="629">
        <f t="shared" si="19"/>
        <v>1.7222222222222224E-4</v>
      </c>
      <c r="D60" s="4887">
        <v>7</v>
      </c>
      <c r="E60" s="4767">
        <v>1</v>
      </c>
      <c r="F60" s="4767">
        <v>2</v>
      </c>
      <c r="G60" s="4767">
        <v>100</v>
      </c>
      <c r="H60" s="5561" t="s">
        <v>1047</v>
      </c>
      <c r="I60" s="4770">
        <v>4.6296296296296293E-4</v>
      </c>
      <c r="J60" s="4770">
        <v>1.3888888888888889E-3</v>
      </c>
      <c r="K60" s="4772" t="s">
        <v>2118</v>
      </c>
      <c r="L60" s="5562"/>
      <c r="M60" s="4894"/>
      <c r="N60" s="5566">
        <v>3.1122685185185187E-4</v>
      </c>
      <c r="O60" s="4895">
        <f>C60*(G60/25)</f>
        <v>6.8888888888888895E-4</v>
      </c>
      <c r="P60" s="5563">
        <v>7.4421296296296293E-5</v>
      </c>
      <c r="Q60" s="5626"/>
      <c r="R60" s="5564">
        <v>100</v>
      </c>
      <c r="S60" s="2844">
        <f t="shared" si="56"/>
        <v>0.2</v>
      </c>
      <c r="T60" s="2845">
        <f t="shared" si="5"/>
        <v>5.5111111111111116E-3</v>
      </c>
      <c r="U60" s="374">
        <f t="shared" si="6"/>
        <v>0</v>
      </c>
      <c r="V60" s="2846">
        <f t="shared" si="7"/>
        <v>0</v>
      </c>
      <c r="W60" s="2847">
        <f t="shared" si="8"/>
        <v>0</v>
      </c>
      <c r="X60" s="2848">
        <f t="shared" si="9"/>
        <v>0</v>
      </c>
      <c r="Y60" s="2849">
        <f t="shared" si="10"/>
        <v>0</v>
      </c>
      <c r="Z60" s="2850">
        <f t="shared" si="11"/>
        <v>0</v>
      </c>
      <c r="AA60" s="2851">
        <f t="shared" si="12"/>
        <v>0.2</v>
      </c>
      <c r="AB60" s="144"/>
      <c r="AC60" s="2867"/>
      <c r="AD60" s="2867"/>
      <c r="AE60" s="2867"/>
      <c r="AF60" s="2867"/>
      <c r="AG60" s="2867"/>
      <c r="AH60" s="2867"/>
      <c r="AI60" s="2935"/>
      <c r="AN60" s="1"/>
    </row>
    <row r="61" spans="1:40" ht="14" customHeight="1" thickTop="1" thickBot="1">
      <c r="A61" s="5033"/>
      <c r="B61" s="5033"/>
      <c r="C61" s="1486"/>
      <c r="D61" s="5567"/>
      <c r="E61" s="5568"/>
      <c r="F61" s="5568"/>
      <c r="G61" s="5568"/>
      <c r="H61" s="5568"/>
      <c r="I61" s="5568"/>
      <c r="J61" s="5568"/>
      <c r="K61" s="5568"/>
      <c r="L61" s="4898"/>
      <c r="M61" s="5569">
        <v>1.1000000000000001</v>
      </c>
      <c r="N61" s="4898"/>
      <c r="O61" s="5570"/>
      <c r="P61" s="5570"/>
      <c r="Q61" s="5570"/>
      <c r="R61" s="5571"/>
      <c r="S61" s="3631"/>
      <c r="T61" s="3154"/>
      <c r="U61" s="5572">
        <f>SUM(U16:U60)</f>
        <v>3.3499999999999996</v>
      </c>
      <c r="V61" s="5572">
        <f t="shared" ref="V61:AA61" si="57">SUM(V16:V60)</f>
        <v>0.94000000000000006</v>
      </c>
      <c r="W61" s="5572">
        <f t="shared" si="57"/>
        <v>4.1500000000000004</v>
      </c>
      <c r="X61" s="5572">
        <f t="shared" si="57"/>
        <v>2.7</v>
      </c>
      <c r="Y61" s="5572">
        <f t="shared" si="57"/>
        <v>0</v>
      </c>
      <c r="Z61" s="5572">
        <f t="shared" si="57"/>
        <v>3.88</v>
      </c>
      <c r="AA61" s="5572">
        <f t="shared" si="57"/>
        <v>3.1000000000000005</v>
      </c>
      <c r="AB61" s="5573">
        <f>SUM(U61:AA61)</f>
        <v>18.12</v>
      </c>
      <c r="AC61" s="2867"/>
      <c r="AD61" s="2867"/>
      <c r="AE61" s="2867"/>
      <c r="AF61" s="2867"/>
      <c r="AG61" s="2867"/>
      <c r="AH61" s="2867"/>
      <c r="AI61" s="2935"/>
      <c r="AN61" s="1"/>
    </row>
    <row r="62" spans="1:40" ht="14" customHeight="1" thickTop="1" thickBot="1">
      <c r="A62" s="5033"/>
      <c r="B62" s="5033"/>
      <c r="C62" s="144"/>
      <c r="D62" s="4444"/>
      <c r="E62" s="4594">
        <f>U61*100000/$Q$62</f>
        <v>18.487858719646795</v>
      </c>
      <c r="F62" s="4594">
        <f t="shared" ref="F62:K62" si="58">V61*100000/$Q$62</f>
        <v>5.187637969094923</v>
      </c>
      <c r="G62" s="4594">
        <f t="shared" si="58"/>
        <v>22.902869757174397</v>
      </c>
      <c r="H62" s="4594">
        <f t="shared" si="58"/>
        <v>14.900662251655628</v>
      </c>
      <c r="I62" s="4594">
        <f t="shared" si="58"/>
        <v>0</v>
      </c>
      <c r="J62" s="4594">
        <f t="shared" si="58"/>
        <v>21.41280353200883</v>
      </c>
      <c r="K62" s="4595">
        <f t="shared" si="58"/>
        <v>17.108167770419428</v>
      </c>
      <c r="L62" s="4378" t="s">
        <v>1922</v>
      </c>
      <c r="M62" s="1278"/>
      <c r="N62" s="1278"/>
      <c r="O62" s="1278"/>
      <c r="P62" s="1278"/>
      <c r="Q62" s="7881">
        <f>AB61*1000</f>
        <v>18120</v>
      </c>
      <c r="R62" s="7882"/>
      <c r="S62" s="144"/>
      <c r="T62" s="144"/>
      <c r="U62" s="3157">
        <f t="shared" ref="U62:AA77" si="59">IF(U61&gt;0,U61,U60)</f>
        <v>3.3499999999999996</v>
      </c>
      <c r="V62" s="3157">
        <f t="shared" si="59"/>
        <v>0.94000000000000006</v>
      </c>
      <c r="W62" s="3157">
        <f t="shared" si="59"/>
        <v>4.1500000000000004</v>
      </c>
      <c r="X62" s="3157">
        <f t="shared" si="59"/>
        <v>2.7</v>
      </c>
      <c r="Y62" s="3157">
        <f t="shared" si="59"/>
        <v>0</v>
      </c>
      <c r="Z62" s="3157">
        <f t="shared" si="59"/>
        <v>3.88</v>
      </c>
      <c r="AA62" s="3157">
        <f t="shared" si="59"/>
        <v>3.1000000000000005</v>
      </c>
      <c r="AB62" s="144"/>
      <c r="AC62" s="2867">
        <v>0</v>
      </c>
      <c r="AD62" s="2867">
        <v>0</v>
      </c>
      <c r="AE62" s="2867">
        <v>0</v>
      </c>
      <c r="AF62" s="2867">
        <v>0</v>
      </c>
      <c r="AG62" s="2867">
        <v>0</v>
      </c>
      <c r="AH62" s="2867">
        <v>0</v>
      </c>
      <c r="AI62" s="2935"/>
      <c r="AJ62" s="1"/>
      <c r="AK62" s="1"/>
      <c r="AL62" s="1"/>
      <c r="AM62" s="1"/>
      <c r="AN62" s="1"/>
    </row>
    <row r="63" spans="1:40" ht="14" customHeight="1" thickBot="1">
      <c r="A63" s="1562"/>
      <c r="B63" s="1562"/>
      <c r="C63" s="144"/>
      <c r="D63" s="4444"/>
      <c r="E63" s="4521">
        <f>E62*15/100</f>
        <v>2.7731788079470192</v>
      </c>
      <c r="F63" s="4522">
        <f t="shared" ref="F63:K63" si="60">F62*15/100</f>
        <v>0.7781456953642385</v>
      </c>
      <c r="G63" s="5574">
        <f t="shared" si="60"/>
        <v>3.4354304635761594</v>
      </c>
      <c r="H63" s="5575">
        <f t="shared" si="60"/>
        <v>2.2350993377483444</v>
      </c>
      <c r="I63" s="4525">
        <f t="shared" si="60"/>
        <v>0</v>
      </c>
      <c r="J63" s="5576">
        <f t="shared" si="60"/>
        <v>3.2119205298013247</v>
      </c>
      <c r="K63" s="5577">
        <f t="shared" si="60"/>
        <v>2.5662251655629142</v>
      </c>
      <c r="L63" s="4378" t="s">
        <v>1252</v>
      </c>
      <c r="M63" s="144"/>
      <c r="N63" s="144"/>
      <c r="O63" s="144"/>
      <c r="P63" s="144"/>
      <c r="Q63" s="144"/>
      <c r="R63" s="144"/>
      <c r="S63" s="144"/>
      <c r="T63" s="144"/>
      <c r="U63" s="3157">
        <f t="shared" si="59"/>
        <v>3.3499999999999996</v>
      </c>
      <c r="V63" s="3157">
        <f t="shared" si="59"/>
        <v>0.94000000000000006</v>
      </c>
      <c r="W63" s="3157">
        <f t="shared" si="59"/>
        <v>4.1500000000000004</v>
      </c>
      <c r="X63" s="3157">
        <f t="shared" si="59"/>
        <v>2.7</v>
      </c>
      <c r="Y63" s="3157">
        <f t="shared" si="59"/>
        <v>0</v>
      </c>
      <c r="Z63" s="3157">
        <f t="shared" si="59"/>
        <v>3.88</v>
      </c>
      <c r="AA63" s="3157">
        <f t="shared" si="59"/>
        <v>3.1000000000000005</v>
      </c>
      <c r="AB63" s="144"/>
      <c r="AC63" s="2867">
        <v>0</v>
      </c>
      <c r="AD63" s="2867">
        <v>0</v>
      </c>
      <c r="AE63" s="2867">
        <v>0</v>
      </c>
      <c r="AF63" s="2867">
        <v>0</v>
      </c>
      <c r="AG63" s="2867">
        <v>0</v>
      </c>
      <c r="AH63" s="2867">
        <v>0</v>
      </c>
      <c r="AI63" s="2825"/>
      <c r="AJ63" s="1"/>
      <c r="AK63" s="1"/>
      <c r="AL63" s="1"/>
      <c r="AM63" s="1"/>
      <c r="AN63" s="1"/>
    </row>
    <row r="64" spans="1:40" ht="14" customHeight="1">
      <c r="A64" s="144"/>
      <c r="B64" s="144"/>
      <c r="C64" s="144"/>
      <c r="D64" s="906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3157">
        <f t="shared" si="59"/>
        <v>3.3499999999999996</v>
      </c>
      <c r="V64" s="3157">
        <f t="shared" si="59"/>
        <v>0.94000000000000006</v>
      </c>
      <c r="W64" s="3157">
        <f t="shared" si="59"/>
        <v>4.1500000000000004</v>
      </c>
      <c r="X64" s="3157">
        <f t="shared" si="59"/>
        <v>2.7</v>
      </c>
      <c r="Y64" s="3157">
        <f t="shared" si="59"/>
        <v>0</v>
      </c>
      <c r="Z64" s="3157">
        <f t="shared" si="59"/>
        <v>3.88</v>
      </c>
      <c r="AA64" s="3157">
        <f>IF(AA63&gt;0,AA63,AA62)</f>
        <v>3.1000000000000005</v>
      </c>
      <c r="AB64" s="144"/>
      <c r="AC64" s="2867"/>
      <c r="AD64" s="2867"/>
      <c r="AE64" s="2867"/>
      <c r="AF64" s="2867"/>
      <c r="AG64" s="2867"/>
      <c r="AH64" s="2867"/>
      <c r="AI64" s="2825"/>
      <c r="AJ64" s="1"/>
      <c r="AK64" s="1"/>
      <c r="AL64" s="1"/>
      <c r="AM64" s="1"/>
      <c r="AN64" s="1"/>
    </row>
    <row r="65" spans="1:40" ht="14" customHeight="1">
      <c r="A65" s="144"/>
      <c r="B65" s="144"/>
      <c r="C65" s="144"/>
      <c r="D65" s="906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3157" t="e">
        <f>IF(#REF!&gt;0,#REF!,#REF!)</f>
        <v>#REF!</v>
      </c>
      <c r="V65" s="3157" t="e">
        <f>IF(#REF!&gt;0,#REF!,#REF!)</f>
        <v>#REF!</v>
      </c>
      <c r="W65" s="3157" t="e">
        <f>IF(#REF!&gt;0,#REF!,#REF!)</f>
        <v>#REF!</v>
      </c>
      <c r="X65" s="3157" t="e">
        <f>IF(#REF!&gt;0,#REF!,#REF!)</f>
        <v>#REF!</v>
      </c>
      <c r="Y65" s="3157" t="e">
        <f>IF(#REF!&gt;0,#REF!,#REF!)</f>
        <v>#REF!</v>
      </c>
      <c r="Z65" s="3157" t="e">
        <f>IF(#REF!&gt;0,#REF!,#REF!)</f>
        <v>#REF!</v>
      </c>
      <c r="AA65" s="3157" t="e">
        <f>IF(#REF!&gt;0,#REF!,#REF!)</f>
        <v>#REF!</v>
      </c>
      <c r="AB65" s="144"/>
      <c r="AC65" s="2867"/>
      <c r="AD65" s="2867"/>
      <c r="AE65" s="2867"/>
      <c r="AF65" s="2867"/>
      <c r="AG65" s="2867"/>
      <c r="AH65" s="2867"/>
      <c r="AI65" s="2825"/>
      <c r="AJ65" s="1"/>
      <c r="AK65" s="1"/>
      <c r="AL65" s="1"/>
      <c r="AM65" s="1"/>
      <c r="AN65" s="1"/>
    </row>
    <row r="66" spans="1:40" ht="14" customHeight="1">
      <c r="A66" s="144"/>
      <c r="B66" s="144"/>
      <c r="C66" s="144"/>
      <c r="D66" s="906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3157" t="e">
        <f>IF(U65&gt;0,U65,#REF!)</f>
        <v>#REF!</v>
      </c>
      <c r="V66" s="3157" t="e">
        <f>IF(V65&gt;0,V65,#REF!)</f>
        <v>#REF!</v>
      </c>
      <c r="W66" s="3157" t="e">
        <f>IF(W65&gt;0,W65,#REF!)</f>
        <v>#REF!</v>
      </c>
      <c r="X66" s="3157" t="e">
        <f>IF(X65&gt;0,X65,#REF!)</f>
        <v>#REF!</v>
      </c>
      <c r="Y66" s="3157" t="e">
        <f>IF(Y65&gt;0,Y65,#REF!)</f>
        <v>#REF!</v>
      </c>
      <c r="Z66" s="3157" t="e">
        <f>IF(Z65&gt;0,Z65,#REF!)</f>
        <v>#REF!</v>
      </c>
      <c r="AA66" s="3157" t="e">
        <f>IF(AA65&gt;0,AA65,#REF!)</f>
        <v>#REF!</v>
      </c>
      <c r="AB66" s="144"/>
      <c r="AC66" s="2867">
        <v>0</v>
      </c>
      <c r="AD66" s="2867">
        <v>0</v>
      </c>
      <c r="AE66" s="2867">
        <v>0</v>
      </c>
      <c r="AF66" s="2867">
        <v>0</v>
      </c>
      <c r="AG66" s="2867">
        <v>0</v>
      </c>
      <c r="AH66" s="2867">
        <v>0</v>
      </c>
      <c r="AI66" s="2825"/>
      <c r="AJ66" s="1"/>
      <c r="AK66" s="1"/>
      <c r="AL66" s="1"/>
      <c r="AM66" s="1"/>
      <c r="AN66" s="1"/>
    </row>
    <row r="67" spans="1:40" ht="14" customHeight="1">
      <c r="A67" s="144"/>
      <c r="B67" s="144"/>
      <c r="C67" s="144"/>
      <c r="D67" s="906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3157" t="e">
        <f t="shared" si="59"/>
        <v>#REF!</v>
      </c>
      <c r="V67" s="3157" t="e">
        <f t="shared" si="59"/>
        <v>#REF!</v>
      </c>
      <c r="W67" s="3157" t="e">
        <f t="shared" si="59"/>
        <v>#REF!</v>
      </c>
      <c r="X67" s="3157" t="e">
        <f t="shared" si="59"/>
        <v>#REF!</v>
      </c>
      <c r="Y67" s="3157" t="e">
        <f t="shared" si="59"/>
        <v>#REF!</v>
      </c>
      <c r="Z67" s="3157" t="e">
        <f t="shared" si="59"/>
        <v>#REF!</v>
      </c>
      <c r="AA67" s="3157" t="e">
        <f t="shared" si="59"/>
        <v>#REF!</v>
      </c>
      <c r="AB67" s="144"/>
      <c r="AC67" s="2867">
        <v>0</v>
      </c>
      <c r="AD67" s="2867">
        <v>0</v>
      </c>
      <c r="AE67" s="2867">
        <v>0</v>
      </c>
      <c r="AF67" s="2867">
        <v>0</v>
      </c>
      <c r="AG67" s="2867">
        <v>0</v>
      </c>
      <c r="AH67" s="2867">
        <v>0</v>
      </c>
      <c r="AI67" s="2825"/>
      <c r="AJ67" s="1"/>
      <c r="AK67" s="1"/>
      <c r="AL67" s="1"/>
      <c r="AM67" s="1"/>
      <c r="AN67" s="1"/>
    </row>
    <row r="68" spans="1:40" ht="14" customHeight="1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3157" t="e">
        <f t="shared" si="59"/>
        <v>#REF!</v>
      </c>
      <c r="V68" s="3157" t="e">
        <f t="shared" si="59"/>
        <v>#REF!</v>
      </c>
      <c r="W68" s="3157" t="e">
        <f t="shared" si="59"/>
        <v>#REF!</v>
      </c>
      <c r="X68" s="3157" t="e">
        <f t="shared" si="59"/>
        <v>#REF!</v>
      </c>
      <c r="Y68" s="3157" t="e">
        <f t="shared" si="59"/>
        <v>#REF!</v>
      </c>
      <c r="Z68" s="3157" t="e">
        <f t="shared" si="59"/>
        <v>#REF!</v>
      </c>
      <c r="AA68" s="3157" t="e">
        <f t="shared" si="59"/>
        <v>#REF!</v>
      </c>
      <c r="AB68" s="144"/>
      <c r="AC68" s="2867">
        <v>0</v>
      </c>
      <c r="AD68" s="2867">
        <v>0</v>
      </c>
      <c r="AE68" s="2867">
        <v>0</v>
      </c>
      <c r="AF68" s="2867">
        <v>0</v>
      </c>
      <c r="AG68" s="2867">
        <v>0</v>
      </c>
      <c r="AH68" s="2867">
        <v>0</v>
      </c>
      <c r="AI68" s="2825"/>
      <c r="AJ68" s="1"/>
      <c r="AK68" s="1"/>
      <c r="AL68" s="1"/>
      <c r="AM68" s="1"/>
      <c r="AN68" s="1"/>
    </row>
    <row r="69" spans="1:40" ht="14" customHeight="1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3157" t="e">
        <f t="shared" si="59"/>
        <v>#REF!</v>
      </c>
      <c r="V69" s="3157" t="e">
        <f t="shared" si="59"/>
        <v>#REF!</v>
      </c>
      <c r="W69" s="3157" t="e">
        <f t="shared" si="59"/>
        <v>#REF!</v>
      </c>
      <c r="X69" s="3157" t="e">
        <f t="shared" si="59"/>
        <v>#REF!</v>
      </c>
      <c r="Y69" s="3157" t="e">
        <f t="shared" si="59"/>
        <v>#REF!</v>
      </c>
      <c r="Z69" s="3157" t="e">
        <f t="shared" si="59"/>
        <v>#REF!</v>
      </c>
      <c r="AA69" s="3157" t="e">
        <f t="shared" si="59"/>
        <v>#REF!</v>
      </c>
      <c r="AB69" s="144"/>
      <c r="AC69" s="2867"/>
      <c r="AD69" s="2867"/>
      <c r="AE69" s="2867"/>
      <c r="AF69" s="2867"/>
      <c r="AG69" s="2867"/>
      <c r="AH69" s="2867"/>
      <c r="AI69" s="2825"/>
      <c r="AJ69" s="1"/>
      <c r="AK69" s="1"/>
      <c r="AL69" s="1"/>
      <c r="AM69" s="1"/>
      <c r="AN69" s="1"/>
    </row>
    <row r="70" spans="1:40" ht="14" customHeight="1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3157" t="e">
        <f t="shared" si="59"/>
        <v>#REF!</v>
      </c>
      <c r="V70" s="3157" t="e">
        <f t="shared" si="59"/>
        <v>#REF!</v>
      </c>
      <c r="W70" s="3157" t="e">
        <f t="shared" si="59"/>
        <v>#REF!</v>
      </c>
      <c r="X70" s="3157" t="e">
        <f t="shared" si="59"/>
        <v>#REF!</v>
      </c>
      <c r="Y70" s="3157" t="e">
        <f t="shared" si="59"/>
        <v>#REF!</v>
      </c>
      <c r="Z70" s="3157" t="e">
        <f t="shared" si="59"/>
        <v>#REF!</v>
      </c>
      <c r="AA70" s="3157" t="e">
        <f t="shared" si="59"/>
        <v>#REF!</v>
      </c>
      <c r="AB70" s="144"/>
      <c r="AC70" s="2867"/>
      <c r="AD70" s="2867"/>
      <c r="AE70" s="2867"/>
      <c r="AF70" s="2867"/>
      <c r="AG70" s="2867"/>
      <c r="AH70" s="2867"/>
      <c r="AI70" s="2825"/>
      <c r="AJ70" s="1"/>
      <c r="AK70" s="1"/>
      <c r="AL70" s="1"/>
      <c r="AM70" s="1"/>
      <c r="AN70" s="1"/>
    </row>
    <row r="71" spans="1:40" ht="14" customHeight="1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3157" t="e">
        <f t="shared" si="59"/>
        <v>#REF!</v>
      </c>
      <c r="V71" s="3157" t="e">
        <f t="shared" si="59"/>
        <v>#REF!</v>
      </c>
      <c r="W71" s="3157" t="e">
        <f t="shared" si="59"/>
        <v>#REF!</v>
      </c>
      <c r="X71" s="3157" t="e">
        <f t="shared" si="59"/>
        <v>#REF!</v>
      </c>
      <c r="Y71" s="3157" t="e">
        <f t="shared" si="59"/>
        <v>#REF!</v>
      </c>
      <c r="Z71" s="3157" t="e">
        <f t="shared" si="59"/>
        <v>#REF!</v>
      </c>
      <c r="AA71" s="3157" t="e">
        <f t="shared" si="59"/>
        <v>#REF!</v>
      </c>
      <c r="AB71" s="144"/>
      <c r="AC71" s="2867">
        <v>0</v>
      </c>
      <c r="AD71" s="2867">
        <v>0</v>
      </c>
      <c r="AE71" s="2867">
        <v>0</v>
      </c>
      <c r="AF71" s="2867">
        <v>0</v>
      </c>
      <c r="AG71" s="2867">
        <v>0</v>
      </c>
      <c r="AH71" s="2867">
        <v>0</v>
      </c>
      <c r="AI71" s="2825"/>
      <c r="AJ71" s="1"/>
      <c r="AK71" s="1"/>
      <c r="AL71" s="1"/>
      <c r="AM71" s="1"/>
      <c r="AN71" s="1"/>
    </row>
    <row r="72" spans="1:40" ht="14" customHeight="1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3157" t="e">
        <f t="shared" si="59"/>
        <v>#REF!</v>
      </c>
      <c r="V72" s="3157" t="e">
        <f t="shared" si="59"/>
        <v>#REF!</v>
      </c>
      <c r="W72" s="3157" t="e">
        <f t="shared" si="59"/>
        <v>#REF!</v>
      </c>
      <c r="X72" s="3157" t="e">
        <f t="shared" si="59"/>
        <v>#REF!</v>
      </c>
      <c r="Y72" s="3157" t="e">
        <f t="shared" si="59"/>
        <v>#REF!</v>
      </c>
      <c r="Z72" s="3157" t="e">
        <f t="shared" si="59"/>
        <v>#REF!</v>
      </c>
      <c r="AA72" s="3157" t="e">
        <f t="shared" si="59"/>
        <v>#REF!</v>
      </c>
      <c r="AB72" s="144"/>
      <c r="AC72" s="2867">
        <v>0</v>
      </c>
      <c r="AD72" s="2867">
        <v>0</v>
      </c>
      <c r="AE72" s="2867">
        <v>0</v>
      </c>
      <c r="AF72" s="2867">
        <v>0</v>
      </c>
      <c r="AG72" s="2867">
        <v>0</v>
      </c>
      <c r="AH72" s="2867">
        <v>0</v>
      </c>
      <c r="AI72" s="2825"/>
      <c r="AJ72" s="1"/>
      <c r="AK72" s="1"/>
      <c r="AL72" s="1"/>
      <c r="AM72" s="1"/>
      <c r="AN72" s="1"/>
    </row>
    <row r="73" spans="1:40" ht="14" customHeight="1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3157" t="e">
        <f t="shared" si="59"/>
        <v>#REF!</v>
      </c>
      <c r="V73" s="3157" t="e">
        <f t="shared" si="59"/>
        <v>#REF!</v>
      </c>
      <c r="W73" s="3157" t="e">
        <f t="shared" si="59"/>
        <v>#REF!</v>
      </c>
      <c r="X73" s="3157" t="e">
        <f t="shared" si="59"/>
        <v>#REF!</v>
      </c>
      <c r="Y73" s="3157" t="e">
        <f t="shared" si="59"/>
        <v>#REF!</v>
      </c>
      <c r="Z73" s="3157" t="e">
        <f t="shared" si="59"/>
        <v>#REF!</v>
      </c>
      <c r="AA73" s="3157" t="e">
        <f t="shared" si="59"/>
        <v>#REF!</v>
      </c>
      <c r="AB73" s="144"/>
      <c r="AC73" s="2867">
        <v>0</v>
      </c>
      <c r="AD73" s="2867">
        <v>0</v>
      </c>
      <c r="AE73" s="2867">
        <v>0</v>
      </c>
      <c r="AF73" s="2867">
        <v>0</v>
      </c>
      <c r="AG73" s="2867">
        <v>0</v>
      </c>
      <c r="AH73" s="2867">
        <v>0</v>
      </c>
      <c r="AI73" s="2825"/>
      <c r="AJ73" s="1"/>
      <c r="AK73" s="1"/>
      <c r="AL73" s="1"/>
      <c r="AM73" s="1"/>
      <c r="AN73" s="1"/>
    </row>
    <row r="74" spans="1:40" ht="14" customHeight="1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3157" t="e">
        <f t="shared" si="59"/>
        <v>#REF!</v>
      </c>
      <c r="V74" s="3157" t="e">
        <f t="shared" si="59"/>
        <v>#REF!</v>
      </c>
      <c r="W74" s="3157" t="e">
        <f t="shared" si="59"/>
        <v>#REF!</v>
      </c>
      <c r="X74" s="3157" t="e">
        <f t="shared" si="59"/>
        <v>#REF!</v>
      </c>
      <c r="Y74" s="3157" t="e">
        <f t="shared" si="59"/>
        <v>#REF!</v>
      </c>
      <c r="Z74" s="3157" t="e">
        <f t="shared" si="59"/>
        <v>#REF!</v>
      </c>
      <c r="AA74" s="3157" t="e">
        <f t="shared" si="59"/>
        <v>#REF!</v>
      </c>
      <c r="AB74" s="144"/>
      <c r="AC74" s="2867"/>
      <c r="AD74" s="2867"/>
      <c r="AE74" s="2867"/>
      <c r="AF74" s="2867"/>
      <c r="AG74" s="2867"/>
      <c r="AH74" s="2867"/>
      <c r="AI74" s="2825"/>
      <c r="AJ74" s="1"/>
      <c r="AK74" s="1"/>
      <c r="AL74" s="1"/>
      <c r="AM74" s="1"/>
      <c r="AN74" s="1"/>
    </row>
    <row r="75" spans="1:40" ht="14" customHeight="1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3157" t="e">
        <f t="shared" si="59"/>
        <v>#REF!</v>
      </c>
      <c r="V75" s="3157" t="e">
        <f t="shared" si="59"/>
        <v>#REF!</v>
      </c>
      <c r="W75" s="3157" t="e">
        <f t="shared" si="59"/>
        <v>#REF!</v>
      </c>
      <c r="X75" s="3157" t="e">
        <f t="shared" si="59"/>
        <v>#REF!</v>
      </c>
      <c r="Y75" s="3157" t="e">
        <f t="shared" si="59"/>
        <v>#REF!</v>
      </c>
      <c r="Z75" s="3157" t="e">
        <f t="shared" si="59"/>
        <v>#REF!</v>
      </c>
      <c r="AA75" s="3157" t="e">
        <f t="shared" si="59"/>
        <v>#REF!</v>
      </c>
      <c r="AB75" s="144"/>
      <c r="AC75" s="2867"/>
      <c r="AD75" s="2867"/>
      <c r="AE75" s="2867"/>
      <c r="AF75" s="2867"/>
      <c r="AG75" s="2867"/>
      <c r="AH75" s="2867"/>
      <c r="AI75" s="2825"/>
      <c r="AJ75" s="1"/>
      <c r="AK75" s="1"/>
      <c r="AL75" s="1"/>
      <c r="AM75" s="1"/>
      <c r="AN75" s="1"/>
    </row>
    <row r="76" spans="1:40" ht="14" customHeight="1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3157" t="e">
        <f t="shared" si="59"/>
        <v>#REF!</v>
      </c>
      <c r="V76" s="3157" t="e">
        <f t="shared" si="59"/>
        <v>#REF!</v>
      </c>
      <c r="W76" s="3157" t="e">
        <f t="shared" si="59"/>
        <v>#REF!</v>
      </c>
      <c r="X76" s="3157" t="e">
        <f t="shared" si="59"/>
        <v>#REF!</v>
      </c>
      <c r="Y76" s="3157" t="e">
        <f t="shared" si="59"/>
        <v>#REF!</v>
      </c>
      <c r="Z76" s="3157" t="e">
        <f t="shared" si="59"/>
        <v>#REF!</v>
      </c>
      <c r="AA76" s="3157" t="e">
        <f t="shared" si="59"/>
        <v>#REF!</v>
      </c>
      <c r="AB76" s="144"/>
      <c r="AC76" s="2867">
        <v>0</v>
      </c>
      <c r="AD76" s="2867">
        <v>0</v>
      </c>
      <c r="AE76" s="2867">
        <v>0</v>
      </c>
      <c r="AF76" s="2867">
        <v>0</v>
      </c>
      <c r="AG76" s="2867">
        <v>0</v>
      </c>
      <c r="AH76" s="2867">
        <v>0</v>
      </c>
      <c r="AI76" s="2825"/>
      <c r="AJ76" s="1"/>
      <c r="AK76" s="1"/>
      <c r="AL76" s="1"/>
      <c r="AM76" s="1"/>
      <c r="AN76" s="1"/>
    </row>
    <row r="77" spans="1:40" ht="14" customHeight="1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3157" t="e">
        <f t="shared" si="59"/>
        <v>#REF!</v>
      </c>
      <c r="V77" s="3157" t="e">
        <f t="shared" si="59"/>
        <v>#REF!</v>
      </c>
      <c r="W77" s="3157" t="e">
        <f t="shared" si="59"/>
        <v>#REF!</v>
      </c>
      <c r="X77" s="3157" t="e">
        <f t="shared" si="59"/>
        <v>#REF!</v>
      </c>
      <c r="Y77" s="3157" t="e">
        <f t="shared" si="59"/>
        <v>#REF!</v>
      </c>
      <c r="Z77" s="3157" t="e">
        <f t="shared" si="59"/>
        <v>#REF!</v>
      </c>
      <c r="AA77" s="3157" t="e">
        <f t="shared" si="59"/>
        <v>#REF!</v>
      </c>
      <c r="AB77" s="144"/>
      <c r="AC77" s="2867">
        <v>0</v>
      </c>
      <c r="AD77" s="2867">
        <v>0</v>
      </c>
      <c r="AE77" s="2867">
        <v>0</v>
      </c>
      <c r="AF77" s="2867">
        <v>0</v>
      </c>
      <c r="AG77" s="2867">
        <v>0</v>
      </c>
      <c r="AH77" s="2867">
        <v>0</v>
      </c>
      <c r="AI77" s="2825"/>
      <c r="AJ77" s="1"/>
      <c r="AK77" s="1"/>
      <c r="AL77" s="1"/>
      <c r="AM77" s="1"/>
      <c r="AN77" s="1"/>
    </row>
    <row r="78" spans="1:40" ht="14" customHeight="1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3157" t="e">
        <f t="shared" ref="U78:AA93" si="61">IF(U77&gt;0,U77,U76)</f>
        <v>#REF!</v>
      </c>
      <c r="V78" s="3157" t="e">
        <f t="shared" si="61"/>
        <v>#REF!</v>
      </c>
      <c r="W78" s="3157" t="e">
        <f t="shared" si="61"/>
        <v>#REF!</v>
      </c>
      <c r="X78" s="3157" t="e">
        <f t="shared" si="61"/>
        <v>#REF!</v>
      </c>
      <c r="Y78" s="3157" t="e">
        <f t="shared" si="61"/>
        <v>#REF!</v>
      </c>
      <c r="Z78" s="3157" t="e">
        <f t="shared" si="61"/>
        <v>#REF!</v>
      </c>
      <c r="AA78" s="3157" t="e">
        <f t="shared" si="61"/>
        <v>#REF!</v>
      </c>
      <c r="AB78" s="144"/>
      <c r="AC78" s="2867"/>
      <c r="AD78" s="2867"/>
      <c r="AE78" s="2867"/>
      <c r="AF78" s="2867"/>
      <c r="AG78" s="2867"/>
      <c r="AH78" s="2867"/>
      <c r="AI78" s="2825"/>
      <c r="AJ78" s="1"/>
      <c r="AK78" s="1"/>
      <c r="AL78" s="1"/>
      <c r="AM78" s="1"/>
      <c r="AN78" s="1"/>
    </row>
    <row r="79" spans="1:40" ht="14" customHeight="1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3157" t="e">
        <f t="shared" si="61"/>
        <v>#REF!</v>
      </c>
      <c r="V79" s="3157" t="e">
        <f t="shared" si="61"/>
        <v>#REF!</v>
      </c>
      <c r="W79" s="3157" t="e">
        <f t="shared" si="61"/>
        <v>#REF!</v>
      </c>
      <c r="X79" s="3157" t="e">
        <f t="shared" si="61"/>
        <v>#REF!</v>
      </c>
      <c r="Y79" s="3157" t="e">
        <f t="shared" si="61"/>
        <v>#REF!</v>
      </c>
      <c r="Z79" s="3157" t="e">
        <f t="shared" si="61"/>
        <v>#REF!</v>
      </c>
      <c r="AA79" s="3157" t="e">
        <f t="shared" si="61"/>
        <v>#REF!</v>
      </c>
      <c r="AB79" s="144"/>
      <c r="AC79" s="2867"/>
      <c r="AD79" s="2867"/>
      <c r="AE79" s="2867"/>
      <c r="AF79" s="2867"/>
      <c r="AG79" s="2867"/>
      <c r="AH79" s="2867"/>
      <c r="AI79" s="2825"/>
      <c r="AJ79" s="1"/>
      <c r="AK79" s="1"/>
      <c r="AL79" s="1"/>
      <c r="AM79" s="1"/>
      <c r="AN79" s="1"/>
    </row>
    <row r="80" spans="1:40" ht="14" customHeight="1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3157" t="e">
        <f t="shared" si="61"/>
        <v>#REF!</v>
      </c>
      <c r="V80" s="3157" t="e">
        <f t="shared" si="61"/>
        <v>#REF!</v>
      </c>
      <c r="W80" s="3157" t="e">
        <f t="shared" si="61"/>
        <v>#REF!</v>
      </c>
      <c r="X80" s="3157" t="e">
        <f t="shared" si="61"/>
        <v>#REF!</v>
      </c>
      <c r="Y80" s="3157" t="e">
        <f t="shared" si="61"/>
        <v>#REF!</v>
      </c>
      <c r="Z80" s="3157" t="e">
        <f t="shared" si="61"/>
        <v>#REF!</v>
      </c>
      <c r="AA80" s="3157" t="e">
        <f t="shared" si="61"/>
        <v>#REF!</v>
      </c>
      <c r="AB80" s="144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825"/>
      <c r="AJ80" s="1"/>
      <c r="AK80" s="1"/>
      <c r="AL80" s="1"/>
      <c r="AM80" s="1"/>
      <c r="AN80" s="1"/>
    </row>
    <row r="81" spans="1:40" ht="14" customHeight="1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3157" t="e">
        <f t="shared" si="61"/>
        <v>#REF!</v>
      </c>
      <c r="V81" s="3157" t="e">
        <f t="shared" si="61"/>
        <v>#REF!</v>
      </c>
      <c r="W81" s="3157" t="e">
        <f t="shared" si="61"/>
        <v>#REF!</v>
      </c>
      <c r="X81" s="3157" t="e">
        <f t="shared" si="61"/>
        <v>#REF!</v>
      </c>
      <c r="Y81" s="3157" t="e">
        <f t="shared" si="61"/>
        <v>#REF!</v>
      </c>
      <c r="Z81" s="3157" t="e">
        <f t="shared" si="61"/>
        <v>#REF!</v>
      </c>
      <c r="AA81" s="3157" t="e">
        <f t="shared" si="61"/>
        <v>#REF!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 ht="14" customHeight="1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3157" t="e">
        <f t="shared" si="61"/>
        <v>#REF!</v>
      </c>
      <c r="V82" s="3157" t="e">
        <f t="shared" si="61"/>
        <v>#REF!</v>
      </c>
      <c r="W82" s="3157" t="e">
        <f t="shared" si="61"/>
        <v>#REF!</v>
      </c>
      <c r="X82" s="3157" t="e">
        <f t="shared" si="61"/>
        <v>#REF!</v>
      </c>
      <c r="Y82" s="3157" t="e">
        <f t="shared" si="61"/>
        <v>#REF!</v>
      </c>
      <c r="Z82" s="3157" t="e">
        <f t="shared" si="61"/>
        <v>#REF!</v>
      </c>
      <c r="AA82" s="3157" t="e">
        <f t="shared" si="61"/>
        <v>#REF!</v>
      </c>
      <c r="AB82" s="144"/>
      <c r="AC82" s="2867">
        <v>0</v>
      </c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825"/>
      <c r="AJ82" s="1"/>
      <c r="AK82" s="1"/>
      <c r="AL82" s="1"/>
      <c r="AM82" s="1"/>
      <c r="AN82" s="1"/>
    </row>
    <row r="83" spans="1:40" ht="14" customHeight="1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3157" t="e">
        <f t="shared" si="61"/>
        <v>#REF!</v>
      </c>
      <c r="V83" s="3157" t="e">
        <f t="shared" si="61"/>
        <v>#REF!</v>
      </c>
      <c r="W83" s="3157" t="e">
        <f t="shared" si="61"/>
        <v>#REF!</v>
      </c>
      <c r="X83" s="3157" t="e">
        <f t="shared" si="61"/>
        <v>#REF!</v>
      </c>
      <c r="Y83" s="3157" t="e">
        <f t="shared" si="61"/>
        <v>#REF!</v>
      </c>
      <c r="Z83" s="3157" t="e">
        <f t="shared" si="61"/>
        <v>#REF!</v>
      </c>
      <c r="AA83" s="3157" t="e">
        <f t="shared" si="61"/>
        <v>#REF!</v>
      </c>
      <c r="AB83" s="144"/>
      <c r="AC83" s="2867">
        <v>0</v>
      </c>
      <c r="AD83" s="2867">
        <v>0</v>
      </c>
      <c r="AE83" s="2867">
        <v>0</v>
      </c>
      <c r="AF83" s="2867">
        <v>0</v>
      </c>
      <c r="AG83" s="2867">
        <v>0</v>
      </c>
      <c r="AH83" s="2867">
        <v>0</v>
      </c>
      <c r="AI83" s="2825"/>
      <c r="AJ83" s="1"/>
      <c r="AK83" s="1"/>
      <c r="AL83" s="1"/>
      <c r="AM83" s="1"/>
      <c r="AN83" s="1"/>
    </row>
    <row r="84" spans="1:40" ht="14" customHeight="1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3157" t="e">
        <f t="shared" si="61"/>
        <v>#REF!</v>
      </c>
      <c r="V84" s="3157" t="e">
        <f t="shared" si="61"/>
        <v>#REF!</v>
      </c>
      <c r="W84" s="3157" t="e">
        <f t="shared" si="61"/>
        <v>#REF!</v>
      </c>
      <c r="X84" s="3157" t="e">
        <f t="shared" si="61"/>
        <v>#REF!</v>
      </c>
      <c r="Y84" s="3157" t="e">
        <f t="shared" si="61"/>
        <v>#REF!</v>
      </c>
      <c r="Z84" s="3157" t="e">
        <f t="shared" si="61"/>
        <v>#REF!</v>
      </c>
      <c r="AA84" s="3157" t="e">
        <f t="shared" si="61"/>
        <v>#REF!</v>
      </c>
      <c r="AB84" s="144"/>
      <c r="AC84" s="2867"/>
      <c r="AD84" s="2867"/>
      <c r="AE84" s="2867"/>
      <c r="AF84" s="2867"/>
      <c r="AG84" s="2867"/>
      <c r="AH84" s="2867"/>
      <c r="AI84" s="2825"/>
      <c r="AJ84" s="1"/>
      <c r="AK84" s="1"/>
      <c r="AL84" s="1"/>
      <c r="AM84" s="1"/>
      <c r="AN84" s="1"/>
    </row>
    <row r="85" spans="1:40" ht="14" customHeight="1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3157" t="e">
        <f t="shared" si="61"/>
        <v>#REF!</v>
      </c>
      <c r="V85" s="3157" t="e">
        <f t="shared" si="61"/>
        <v>#REF!</v>
      </c>
      <c r="W85" s="3157" t="e">
        <f t="shared" si="61"/>
        <v>#REF!</v>
      </c>
      <c r="X85" s="3157" t="e">
        <f t="shared" si="61"/>
        <v>#REF!</v>
      </c>
      <c r="Y85" s="3157" t="e">
        <f t="shared" si="61"/>
        <v>#REF!</v>
      </c>
      <c r="Z85" s="3157" t="e">
        <f t="shared" si="61"/>
        <v>#REF!</v>
      </c>
      <c r="AA85" s="3157" t="e">
        <f t="shared" si="61"/>
        <v>#REF!</v>
      </c>
      <c r="AB85" s="144"/>
      <c r="AC85" s="2867">
        <v>0</v>
      </c>
      <c r="AD85" s="2867">
        <v>0</v>
      </c>
      <c r="AE85" s="2867">
        <v>0</v>
      </c>
      <c r="AF85" s="2867">
        <v>0</v>
      </c>
      <c r="AG85" s="2867">
        <v>0</v>
      </c>
      <c r="AH85" s="2867">
        <v>0</v>
      </c>
      <c r="AI85" s="2825"/>
      <c r="AJ85" s="1"/>
      <c r="AK85" s="1"/>
      <c r="AL85" s="1"/>
      <c r="AM85" s="1"/>
      <c r="AN85" s="1"/>
    </row>
    <row r="86" spans="1:40" ht="14" customHeight="1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3157" t="e">
        <f t="shared" si="61"/>
        <v>#REF!</v>
      </c>
      <c r="V86" s="3157" t="e">
        <f t="shared" si="61"/>
        <v>#REF!</v>
      </c>
      <c r="W86" s="3157" t="e">
        <f t="shared" si="61"/>
        <v>#REF!</v>
      </c>
      <c r="X86" s="3157" t="e">
        <f t="shared" si="61"/>
        <v>#REF!</v>
      </c>
      <c r="Y86" s="3157" t="e">
        <f t="shared" si="61"/>
        <v>#REF!</v>
      </c>
      <c r="Z86" s="3157" t="e">
        <f t="shared" si="61"/>
        <v>#REF!</v>
      </c>
      <c r="AA86" s="3157" t="e">
        <f t="shared" si="61"/>
        <v>#REF!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 ht="14" customHeight="1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3157" t="e">
        <f t="shared" si="61"/>
        <v>#REF!</v>
      </c>
      <c r="V87" s="3157" t="e">
        <f t="shared" si="61"/>
        <v>#REF!</v>
      </c>
      <c r="W87" s="3157" t="e">
        <f t="shared" si="61"/>
        <v>#REF!</v>
      </c>
      <c r="X87" s="3157" t="e">
        <f t="shared" si="61"/>
        <v>#REF!</v>
      </c>
      <c r="Y87" s="3157" t="e">
        <f t="shared" si="61"/>
        <v>#REF!</v>
      </c>
      <c r="Z87" s="3157" t="e">
        <f t="shared" si="61"/>
        <v>#REF!</v>
      </c>
      <c r="AA87" s="3157" t="e">
        <f t="shared" si="61"/>
        <v>#REF!</v>
      </c>
      <c r="AB87" s="144"/>
      <c r="AC87" s="2867"/>
      <c r="AD87" s="2867"/>
      <c r="AE87" s="2867"/>
      <c r="AF87" s="2867"/>
      <c r="AG87" s="2867"/>
      <c r="AH87" s="2867"/>
      <c r="AI87" s="2825"/>
      <c r="AJ87" s="1"/>
      <c r="AK87" s="1"/>
      <c r="AL87" s="1"/>
      <c r="AM87" s="1"/>
      <c r="AN87" s="1"/>
    </row>
    <row r="88" spans="1:40" ht="14" customHeight="1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3157" t="e">
        <f t="shared" si="61"/>
        <v>#REF!</v>
      </c>
      <c r="V88" s="3157" t="e">
        <f t="shared" si="61"/>
        <v>#REF!</v>
      </c>
      <c r="W88" s="3157" t="e">
        <f t="shared" si="61"/>
        <v>#REF!</v>
      </c>
      <c r="X88" s="3157" t="e">
        <f t="shared" si="61"/>
        <v>#REF!</v>
      </c>
      <c r="Y88" s="3157" t="e">
        <f t="shared" si="61"/>
        <v>#REF!</v>
      </c>
      <c r="Z88" s="3157" t="e">
        <f t="shared" si="61"/>
        <v>#REF!</v>
      </c>
      <c r="AA88" s="3157" t="e">
        <f t="shared" si="61"/>
        <v>#REF!</v>
      </c>
      <c r="AB88" s="144"/>
      <c r="AC88" s="2867"/>
      <c r="AD88" s="2867"/>
      <c r="AE88" s="2867"/>
      <c r="AF88" s="2867"/>
      <c r="AG88" s="2867"/>
      <c r="AH88" s="2867"/>
      <c r="AI88" s="2825"/>
      <c r="AJ88" s="1"/>
      <c r="AK88" s="1"/>
      <c r="AL88" s="1"/>
      <c r="AM88" s="1"/>
      <c r="AN88" s="1"/>
    </row>
    <row r="89" spans="1:40" ht="14" customHeight="1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3157" t="e">
        <f t="shared" si="61"/>
        <v>#REF!</v>
      </c>
      <c r="V89" s="3157" t="e">
        <f t="shared" si="61"/>
        <v>#REF!</v>
      </c>
      <c r="W89" s="3157" t="e">
        <f t="shared" si="61"/>
        <v>#REF!</v>
      </c>
      <c r="X89" s="3157" t="e">
        <f t="shared" si="61"/>
        <v>#REF!</v>
      </c>
      <c r="Y89" s="3157" t="e">
        <f t="shared" si="61"/>
        <v>#REF!</v>
      </c>
      <c r="Z89" s="3157" t="e">
        <f t="shared" si="61"/>
        <v>#REF!</v>
      </c>
      <c r="AA89" s="3157" t="e">
        <f t="shared" si="61"/>
        <v>#REF!</v>
      </c>
      <c r="AB89" s="144"/>
      <c r="AC89" s="2867">
        <v>0</v>
      </c>
      <c r="AD89" s="2867">
        <v>0</v>
      </c>
      <c r="AE89" s="2867">
        <v>0</v>
      </c>
      <c r="AF89" s="2867">
        <v>0</v>
      </c>
      <c r="AG89" s="2867">
        <v>0</v>
      </c>
      <c r="AH89" s="2867">
        <v>0</v>
      </c>
      <c r="AI89" s="2825"/>
      <c r="AJ89" s="1"/>
      <c r="AK89" s="1"/>
      <c r="AL89" s="1"/>
      <c r="AM89" s="1"/>
      <c r="AN89" s="1"/>
    </row>
    <row r="90" spans="1:40" ht="14" customHeight="1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3157" t="e">
        <f t="shared" si="61"/>
        <v>#REF!</v>
      </c>
      <c r="V90" s="3157" t="e">
        <f t="shared" si="61"/>
        <v>#REF!</v>
      </c>
      <c r="W90" s="3157" t="e">
        <f t="shared" si="61"/>
        <v>#REF!</v>
      </c>
      <c r="X90" s="3157" t="e">
        <f t="shared" si="61"/>
        <v>#REF!</v>
      </c>
      <c r="Y90" s="3157" t="e">
        <f t="shared" si="61"/>
        <v>#REF!</v>
      </c>
      <c r="Z90" s="3157" t="e">
        <f t="shared" si="61"/>
        <v>#REF!</v>
      </c>
      <c r="AA90" s="3157" t="e">
        <f t="shared" si="61"/>
        <v>#REF!</v>
      </c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1"/>
      <c r="AK90" s="1"/>
      <c r="AL90" s="1"/>
      <c r="AM90" s="1"/>
      <c r="AN90" s="1"/>
    </row>
    <row r="91" spans="1:40" ht="14" customHeight="1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3157" t="e">
        <f t="shared" si="61"/>
        <v>#REF!</v>
      </c>
      <c r="V91" s="3157" t="e">
        <f t="shared" si="61"/>
        <v>#REF!</v>
      </c>
      <c r="W91" s="3157" t="e">
        <f t="shared" si="61"/>
        <v>#REF!</v>
      </c>
      <c r="X91" s="3157" t="e">
        <f t="shared" si="61"/>
        <v>#REF!</v>
      </c>
      <c r="Y91" s="3157" t="e">
        <f t="shared" si="61"/>
        <v>#REF!</v>
      </c>
      <c r="Z91" s="3157" t="e">
        <f t="shared" si="61"/>
        <v>#REF!</v>
      </c>
      <c r="AA91" s="3157" t="e">
        <f t="shared" si="61"/>
        <v>#REF!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 ht="14" customHeight="1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3157" t="e">
        <f t="shared" si="61"/>
        <v>#REF!</v>
      </c>
      <c r="V92" s="3157" t="e">
        <f t="shared" si="61"/>
        <v>#REF!</v>
      </c>
      <c r="W92" s="3157" t="e">
        <f t="shared" si="61"/>
        <v>#REF!</v>
      </c>
      <c r="X92" s="3157" t="e">
        <f t="shared" si="61"/>
        <v>#REF!</v>
      </c>
      <c r="Y92" s="3157" t="e">
        <f t="shared" si="61"/>
        <v>#REF!</v>
      </c>
      <c r="Z92" s="3157" t="e">
        <f t="shared" si="61"/>
        <v>#REF!</v>
      </c>
      <c r="AA92" s="3157" t="e">
        <f t="shared" si="61"/>
        <v>#REF!</v>
      </c>
      <c r="AB92" s="144"/>
      <c r="AC92" s="2867"/>
      <c r="AD92" s="2867"/>
      <c r="AE92" s="2867"/>
      <c r="AF92" s="2867"/>
      <c r="AG92" s="2867"/>
      <c r="AH92" s="2867"/>
      <c r="AI92" s="2825"/>
      <c r="AJ92" s="1"/>
      <c r="AK92" s="1"/>
      <c r="AL92" s="1"/>
      <c r="AM92" s="1"/>
      <c r="AN92" s="1"/>
    </row>
    <row r="93" spans="1:40" ht="14" customHeight="1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3157" t="e">
        <f t="shared" si="61"/>
        <v>#REF!</v>
      </c>
      <c r="V93" s="3157" t="e">
        <f t="shared" si="61"/>
        <v>#REF!</v>
      </c>
      <c r="W93" s="3157" t="e">
        <f t="shared" si="61"/>
        <v>#REF!</v>
      </c>
      <c r="X93" s="3157" t="e">
        <f t="shared" si="61"/>
        <v>#REF!</v>
      </c>
      <c r="Y93" s="3157" t="e">
        <f t="shared" si="61"/>
        <v>#REF!</v>
      </c>
      <c r="Z93" s="3157" t="e">
        <f t="shared" si="61"/>
        <v>#REF!</v>
      </c>
      <c r="AA93" s="3157" t="e">
        <f t="shared" si="61"/>
        <v>#REF!</v>
      </c>
      <c r="AB93" s="144"/>
      <c r="AC93" s="2867"/>
      <c r="AD93" s="2867"/>
      <c r="AE93" s="2867"/>
      <c r="AF93" s="2867"/>
      <c r="AG93" s="2867"/>
      <c r="AH93" s="2867"/>
      <c r="AI93" s="2825"/>
      <c r="AJ93" s="1"/>
      <c r="AK93" s="1"/>
      <c r="AL93" s="1"/>
      <c r="AM93" s="1"/>
      <c r="AN93" s="1"/>
    </row>
    <row r="94" spans="1:40" ht="14" customHeight="1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3157" t="e">
        <f t="shared" ref="U94:AA102" si="62">IF(U93&gt;0,U93,U92)</f>
        <v>#REF!</v>
      </c>
      <c r="V94" s="3157" t="e">
        <f t="shared" si="62"/>
        <v>#REF!</v>
      </c>
      <c r="W94" s="3157" t="e">
        <f t="shared" si="62"/>
        <v>#REF!</v>
      </c>
      <c r="X94" s="3157" t="e">
        <f t="shared" si="62"/>
        <v>#REF!</v>
      </c>
      <c r="Y94" s="3157" t="e">
        <f t="shared" si="62"/>
        <v>#REF!</v>
      </c>
      <c r="Z94" s="3157" t="e">
        <f t="shared" si="62"/>
        <v>#REF!</v>
      </c>
      <c r="AA94" s="3157" t="e">
        <f t="shared" si="62"/>
        <v>#REF!</v>
      </c>
      <c r="AB94" s="144"/>
      <c r="AC94" s="2867">
        <v>0</v>
      </c>
      <c r="AD94" s="2867">
        <v>0</v>
      </c>
      <c r="AE94" s="2867">
        <v>0</v>
      </c>
      <c r="AF94" s="2867">
        <v>0</v>
      </c>
      <c r="AG94" s="2867">
        <v>0</v>
      </c>
      <c r="AH94" s="2867">
        <v>0</v>
      </c>
      <c r="AI94" s="2825"/>
      <c r="AJ94" s="1"/>
      <c r="AK94" s="1"/>
      <c r="AL94" s="1"/>
      <c r="AM94" s="1"/>
      <c r="AN94" s="1"/>
    </row>
    <row r="95" spans="1:40" ht="14" customHeight="1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3157" t="e">
        <f t="shared" si="62"/>
        <v>#REF!</v>
      </c>
      <c r="V95" s="3157" t="e">
        <f t="shared" si="62"/>
        <v>#REF!</v>
      </c>
      <c r="W95" s="3157" t="e">
        <f t="shared" si="62"/>
        <v>#REF!</v>
      </c>
      <c r="X95" s="3157" t="e">
        <f t="shared" si="62"/>
        <v>#REF!</v>
      </c>
      <c r="Y95" s="3157" t="e">
        <f t="shared" si="62"/>
        <v>#REF!</v>
      </c>
      <c r="Z95" s="3157" t="e">
        <f t="shared" si="62"/>
        <v>#REF!</v>
      </c>
      <c r="AA95" s="3157" t="e">
        <f t="shared" si="62"/>
        <v>#REF!</v>
      </c>
      <c r="AB95" s="144"/>
      <c r="AC95" s="2867">
        <v>0</v>
      </c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825"/>
      <c r="AJ95" s="1"/>
      <c r="AK95" s="1"/>
      <c r="AL95" s="1"/>
      <c r="AM95" s="1"/>
      <c r="AN95" s="1"/>
    </row>
    <row r="96" spans="1:40" ht="14" customHeight="1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3157" t="e">
        <f t="shared" si="62"/>
        <v>#REF!</v>
      </c>
      <c r="V96" s="3157" t="e">
        <f t="shared" si="62"/>
        <v>#REF!</v>
      </c>
      <c r="W96" s="3157" t="e">
        <f t="shared" si="62"/>
        <v>#REF!</v>
      </c>
      <c r="X96" s="3157" t="e">
        <f t="shared" si="62"/>
        <v>#REF!</v>
      </c>
      <c r="Y96" s="3157" t="e">
        <f t="shared" si="62"/>
        <v>#REF!</v>
      </c>
      <c r="Z96" s="3157" t="e">
        <f t="shared" si="62"/>
        <v>#REF!</v>
      </c>
      <c r="AA96" s="3157" t="e">
        <f t="shared" si="62"/>
        <v>#REF!</v>
      </c>
      <c r="AB96" s="144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1"/>
      <c r="AK96" s="1"/>
      <c r="AL96" s="1"/>
      <c r="AM96" s="1"/>
      <c r="AN96" s="1"/>
    </row>
    <row r="97" spans="1:40" ht="14" customHeight="1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3157" t="e">
        <f t="shared" si="62"/>
        <v>#REF!</v>
      </c>
      <c r="V97" s="3157" t="e">
        <f t="shared" si="62"/>
        <v>#REF!</v>
      </c>
      <c r="W97" s="3157" t="e">
        <f t="shared" si="62"/>
        <v>#REF!</v>
      </c>
      <c r="X97" s="3157" t="e">
        <f t="shared" si="62"/>
        <v>#REF!</v>
      </c>
      <c r="Y97" s="3157" t="e">
        <f t="shared" si="62"/>
        <v>#REF!</v>
      </c>
      <c r="Z97" s="3157" t="e">
        <f t="shared" si="62"/>
        <v>#REF!</v>
      </c>
      <c r="AA97" s="3157" t="e">
        <f t="shared" si="62"/>
        <v>#REF!</v>
      </c>
      <c r="AB97" s="144"/>
      <c r="AC97" s="2867"/>
      <c r="AD97" s="2867"/>
      <c r="AE97" s="2867"/>
      <c r="AF97" s="2867"/>
      <c r="AG97" s="2867"/>
      <c r="AH97" s="2867"/>
      <c r="AI97" s="2825"/>
      <c r="AJ97" s="1"/>
      <c r="AK97" s="1"/>
      <c r="AL97" s="1"/>
      <c r="AM97" s="1"/>
      <c r="AN97" s="1"/>
    </row>
    <row r="98" spans="1:40" ht="14" customHeight="1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3157" t="e">
        <f t="shared" si="62"/>
        <v>#REF!</v>
      </c>
      <c r="V98" s="3157" t="e">
        <f t="shared" si="62"/>
        <v>#REF!</v>
      </c>
      <c r="W98" s="3157" t="e">
        <f t="shared" si="62"/>
        <v>#REF!</v>
      </c>
      <c r="X98" s="3157" t="e">
        <f t="shared" si="62"/>
        <v>#REF!</v>
      </c>
      <c r="Y98" s="3157" t="e">
        <f t="shared" si="62"/>
        <v>#REF!</v>
      </c>
      <c r="Z98" s="3157" t="e">
        <f t="shared" si="62"/>
        <v>#REF!</v>
      </c>
      <c r="AA98" s="3157" t="e">
        <f t="shared" si="62"/>
        <v>#REF!</v>
      </c>
      <c r="AB98" s="144"/>
      <c r="AC98" s="2867"/>
      <c r="AD98" s="2867"/>
      <c r="AE98" s="2867"/>
      <c r="AF98" s="2867"/>
      <c r="AG98" s="2867"/>
      <c r="AH98" s="2867"/>
      <c r="AI98" s="2825"/>
      <c r="AJ98" s="1"/>
      <c r="AK98" s="1"/>
      <c r="AL98" s="1"/>
      <c r="AM98" s="1"/>
      <c r="AN98" s="1"/>
    </row>
    <row r="99" spans="1:40" ht="14" customHeight="1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3157" t="e">
        <f t="shared" si="62"/>
        <v>#REF!</v>
      </c>
      <c r="V99" s="3157" t="e">
        <f t="shared" si="62"/>
        <v>#REF!</v>
      </c>
      <c r="W99" s="3157" t="e">
        <f t="shared" si="62"/>
        <v>#REF!</v>
      </c>
      <c r="X99" s="3157" t="e">
        <f t="shared" si="62"/>
        <v>#REF!</v>
      </c>
      <c r="Y99" s="3157" t="e">
        <f t="shared" si="62"/>
        <v>#REF!</v>
      </c>
      <c r="Z99" s="3157" t="e">
        <f t="shared" si="62"/>
        <v>#REF!</v>
      </c>
      <c r="AA99" s="3157" t="e">
        <f t="shared" si="62"/>
        <v>#REF!</v>
      </c>
      <c r="AB99" s="144"/>
      <c r="AC99" s="2867">
        <v>0</v>
      </c>
      <c r="AD99" s="2867">
        <v>0</v>
      </c>
      <c r="AE99" s="2867">
        <v>0</v>
      </c>
      <c r="AF99" s="2867">
        <v>0</v>
      </c>
      <c r="AG99" s="2867">
        <v>0</v>
      </c>
      <c r="AH99" s="2867">
        <v>0</v>
      </c>
      <c r="AI99" s="2825"/>
      <c r="AJ99" s="1"/>
      <c r="AK99" s="1"/>
      <c r="AL99" s="1"/>
      <c r="AM99" s="1"/>
      <c r="AN99" s="1"/>
    </row>
    <row r="100" spans="1:40" ht="14" customHeight="1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3157" t="e">
        <f t="shared" si="62"/>
        <v>#REF!</v>
      </c>
      <c r="V100" s="3157" t="e">
        <f t="shared" si="62"/>
        <v>#REF!</v>
      </c>
      <c r="W100" s="3157" t="e">
        <f t="shared" si="62"/>
        <v>#REF!</v>
      </c>
      <c r="X100" s="3157" t="e">
        <f t="shared" si="62"/>
        <v>#REF!</v>
      </c>
      <c r="Y100" s="3157" t="e">
        <f t="shared" si="62"/>
        <v>#REF!</v>
      </c>
      <c r="Z100" s="3157" t="e">
        <f t="shared" si="62"/>
        <v>#REF!</v>
      </c>
      <c r="AA100" s="3157" t="e">
        <f t="shared" si="62"/>
        <v>#REF!</v>
      </c>
      <c r="AB100" s="144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J100" s="1"/>
      <c r="AK100" s="1"/>
      <c r="AL100" s="1"/>
      <c r="AM100" s="1"/>
      <c r="AN100" s="1"/>
    </row>
    <row r="101" spans="1:40" ht="14" customHeight="1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3157" t="e">
        <f t="shared" si="62"/>
        <v>#REF!</v>
      </c>
      <c r="V101" s="3157" t="e">
        <f t="shared" si="62"/>
        <v>#REF!</v>
      </c>
      <c r="W101" s="3157" t="e">
        <f t="shared" si="62"/>
        <v>#REF!</v>
      </c>
      <c r="X101" s="3157" t="e">
        <f t="shared" si="62"/>
        <v>#REF!</v>
      </c>
      <c r="Y101" s="3157" t="e">
        <f t="shared" si="62"/>
        <v>#REF!</v>
      </c>
      <c r="Z101" s="3157" t="e">
        <f t="shared" si="62"/>
        <v>#REF!</v>
      </c>
      <c r="AA101" s="3157" t="e">
        <f t="shared" si="62"/>
        <v>#REF!</v>
      </c>
      <c r="AB101" s="144"/>
      <c r="AC101" s="2867">
        <v>0</v>
      </c>
      <c r="AD101" s="2867">
        <v>0</v>
      </c>
      <c r="AE101" s="2867">
        <v>0</v>
      </c>
      <c r="AF101" s="2867">
        <v>0</v>
      </c>
      <c r="AG101" s="2867">
        <v>0</v>
      </c>
      <c r="AH101" s="2867">
        <v>0</v>
      </c>
      <c r="AI101" s="2825"/>
      <c r="AJ101" s="1"/>
      <c r="AK101" s="1"/>
      <c r="AL101" s="1"/>
      <c r="AM101" s="1"/>
      <c r="AN101" s="1"/>
    </row>
    <row r="102" spans="1:40" ht="14" customHeight="1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3158" t="e">
        <f>IF(U101&gt;0,U101,U100)</f>
        <v>#REF!</v>
      </c>
      <c r="V102" s="3158" t="e">
        <f t="shared" si="62"/>
        <v>#REF!</v>
      </c>
      <c r="W102" s="3158" t="e">
        <f t="shared" si="62"/>
        <v>#REF!</v>
      </c>
      <c r="X102" s="3158" t="e">
        <f t="shared" si="62"/>
        <v>#REF!</v>
      </c>
      <c r="Y102" s="3158" t="e">
        <f t="shared" si="62"/>
        <v>#REF!</v>
      </c>
      <c r="Z102" s="3158" t="e">
        <f t="shared" si="62"/>
        <v>#REF!</v>
      </c>
      <c r="AA102" s="3158" t="e">
        <f t="shared" si="62"/>
        <v>#REF!</v>
      </c>
      <c r="AB102" s="144"/>
      <c r="AC102" s="2867"/>
      <c r="AD102" s="2867"/>
      <c r="AE102" s="2867"/>
      <c r="AF102" s="2867"/>
      <c r="AG102" s="2867"/>
      <c r="AH102" s="2867"/>
      <c r="AI102" s="2825"/>
      <c r="AJ102" s="1"/>
      <c r="AK102" s="1"/>
      <c r="AL102" s="1"/>
      <c r="AM102" s="1"/>
      <c r="AN102" s="1"/>
    </row>
    <row r="103" spans="1:40" ht="14" customHeight="1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2838"/>
      <c r="V103" s="2838"/>
      <c r="W103" s="2838"/>
      <c r="X103" s="2838"/>
      <c r="Y103" s="2838"/>
      <c r="Z103" s="2838"/>
      <c r="AA103" s="2838"/>
      <c r="AB103" s="144"/>
      <c r="AC103" s="2867"/>
      <c r="AD103" s="2867"/>
      <c r="AE103" s="2867"/>
      <c r="AF103" s="2867"/>
      <c r="AG103" s="2867"/>
      <c r="AH103" s="2867"/>
      <c r="AI103" s="2825"/>
      <c r="AJ103" s="1"/>
      <c r="AK103" s="1"/>
      <c r="AL103" s="1"/>
      <c r="AM103" s="1"/>
      <c r="AN103" s="1"/>
    </row>
    <row r="104" spans="1:40" ht="14" customHeight="1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2838"/>
      <c r="V104" s="2838"/>
      <c r="W104" s="2838"/>
      <c r="X104" s="2838"/>
      <c r="Y104" s="2838"/>
      <c r="Z104" s="2838"/>
      <c r="AA104" s="2838"/>
      <c r="AB104" s="144"/>
      <c r="AC104" s="2867">
        <v>0</v>
      </c>
      <c r="AD104" s="2867">
        <v>0</v>
      </c>
      <c r="AE104" s="2867">
        <v>0</v>
      </c>
      <c r="AF104" s="2867">
        <v>0</v>
      </c>
      <c r="AG104" s="2867">
        <v>0</v>
      </c>
      <c r="AH104" s="2867">
        <v>0</v>
      </c>
      <c r="AI104" s="2825"/>
      <c r="AN104" s="1"/>
    </row>
    <row r="105" spans="1:40" ht="14" customHeight="1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2838"/>
      <c r="V105" s="2838"/>
      <c r="W105" s="2838"/>
      <c r="X105" s="2838"/>
      <c r="Y105" s="2838"/>
      <c r="Z105" s="2838"/>
      <c r="AA105" s="2838"/>
      <c r="AB105" s="144"/>
      <c r="AC105" s="2867"/>
      <c r="AD105" s="2867"/>
      <c r="AE105" s="2867"/>
      <c r="AF105" s="2867"/>
      <c r="AG105" s="2867"/>
      <c r="AH105" s="2867"/>
      <c r="AN105" s="1"/>
    </row>
    <row r="106" spans="1:40" ht="14" customHeight="1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2838"/>
      <c r="V106" s="2838"/>
      <c r="W106" s="2838"/>
      <c r="X106" s="2838"/>
      <c r="Y106" s="2838"/>
      <c r="Z106" s="2838"/>
      <c r="AA106" s="2838"/>
      <c r="AB106" s="144"/>
      <c r="AN106" s="1"/>
    </row>
    <row r="107" spans="1:40" ht="14" customHeight="1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2838"/>
      <c r="V107" s="2838"/>
      <c r="W107" s="2838"/>
      <c r="X107" s="2838"/>
      <c r="Y107" s="2838"/>
      <c r="Z107" s="2838"/>
      <c r="AA107" s="2838"/>
      <c r="AB107" s="144"/>
      <c r="AN107" s="1"/>
    </row>
    <row r="108" spans="1:40" ht="14" customHeight="1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2838"/>
      <c r="V108" s="2838"/>
      <c r="W108" s="2838"/>
      <c r="X108" s="2838"/>
      <c r="Y108" s="2838"/>
      <c r="Z108" s="2838"/>
      <c r="AA108" s="2838"/>
      <c r="AB108" s="144"/>
      <c r="AN108" s="1"/>
    </row>
    <row r="109" spans="1:40" ht="14" customHeight="1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2838"/>
      <c r="V109" s="2838"/>
      <c r="W109" s="2838"/>
      <c r="X109" s="2838"/>
      <c r="Y109" s="2838"/>
      <c r="Z109" s="2838"/>
      <c r="AA109" s="2838"/>
      <c r="AB109" s="144"/>
      <c r="AN109" s="1"/>
    </row>
    <row r="110" spans="1:40" ht="14" customHeight="1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2838"/>
      <c r="V110" s="2838"/>
      <c r="W110" s="2838"/>
      <c r="X110" s="2838"/>
      <c r="Y110" s="2838"/>
      <c r="Z110" s="2838"/>
      <c r="AA110" s="2838"/>
      <c r="AB110" s="144"/>
      <c r="AN110" s="1"/>
    </row>
    <row r="111" spans="1:40" ht="14" customHeight="1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2838"/>
      <c r="V111" s="2838"/>
      <c r="W111" s="2838"/>
      <c r="X111" s="2838"/>
      <c r="Y111" s="2838"/>
      <c r="Z111" s="2838"/>
      <c r="AA111" s="2838"/>
      <c r="AB111" s="144"/>
      <c r="AN111" s="1"/>
    </row>
    <row r="112" spans="1:40" ht="14" customHeight="1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2838"/>
      <c r="V112" s="2838"/>
      <c r="W112" s="2838"/>
      <c r="X112" s="2838"/>
      <c r="Y112" s="2838"/>
      <c r="Z112" s="2838"/>
      <c r="AA112" s="2838"/>
      <c r="AB112" s="144"/>
      <c r="AN112" s="1"/>
    </row>
    <row r="113" spans="1:40" ht="14" customHeight="1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2838"/>
      <c r="V113" s="2838"/>
      <c r="W113" s="2838"/>
      <c r="X113" s="2838"/>
      <c r="Y113" s="2838"/>
      <c r="Z113" s="2838"/>
      <c r="AA113" s="2838"/>
      <c r="AB113" s="144"/>
      <c r="AN113" s="1"/>
    </row>
    <row r="114" spans="1:40" ht="14" customHeight="1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2838"/>
      <c r="V114" s="2838"/>
      <c r="W114" s="2838"/>
      <c r="X114" s="2838"/>
      <c r="Y114" s="2838"/>
      <c r="Z114" s="2838"/>
      <c r="AA114" s="2838"/>
      <c r="AB114" s="144"/>
      <c r="AN114" s="1"/>
    </row>
    <row r="115" spans="1:40" ht="14" customHeight="1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2838"/>
      <c r="V115" s="2838"/>
      <c r="W115" s="2838"/>
      <c r="X115" s="2838"/>
      <c r="Y115" s="2838"/>
      <c r="Z115" s="2838"/>
      <c r="AA115" s="2838"/>
      <c r="AB115" s="144"/>
      <c r="AN115" s="1"/>
    </row>
    <row r="116" spans="1:40" ht="14" customHeight="1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2838"/>
      <c r="V116" s="2838"/>
      <c r="W116" s="2838"/>
      <c r="X116" s="2838"/>
      <c r="Y116" s="2838"/>
      <c r="Z116" s="2838"/>
      <c r="AA116" s="2838"/>
      <c r="AB116" s="144"/>
      <c r="AN116" s="1"/>
    </row>
    <row r="117" spans="1:40" ht="14" customHeight="1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2838"/>
      <c r="V117" s="2838"/>
      <c r="W117" s="2838"/>
      <c r="X117" s="2838"/>
      <c r="Y117" s="2838"/>
      <c r="Z117" s="2838"/>
      <c r="AA117" s="2838"/>
      <c r="AB117" s="144"/>
      <c r="AC117" s="2825"/>
      <c r="AD117" s="2825"/>
      <c r="AE117" s="2825"/>
      <c r="AF117" s="2825"/>
      <c r="AG117" s="2825"/>
      <c r="AH117" s="2825"/>
      <c r="AI117" s="2825"/>
      <c r="AJ117" s="2825"/>
      <c r="AK117" s="2825"/>
      <c r="AL117" s="2825"/>
      <c r="AM117" s="2825"/>
      <c r="AN117" s="1"/>
    </row>
    <row r="118" spans="1:40" s="3021" customFormat="1" ht="14" customHeight="1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2838"/>
      <c r="V118" s="2838"/>
      <c r="W118" s="2838"/>
      <c r="X118" s="2838"/>
      <c r="Y118" s="2838"/>
      <c r="Z118" s="2838"/>
      <c r="AA118" s="2838"/>
      <c r="AB118" s="144"/>
      <c r="AC118" s="2826"/>
      <c r="AD118" s="2826"/>
      <c r="AE118" s="2826"/>
      <c r="AF118" s="2826"/>
      <c r="AG118" s="2826"/>
      <c r="AH118" s="2826"/>
      <c r="AI118" s="2826"/>
      <c r="AJ118" s="2826"/>
      <c r="AK118" s="2826"/>
      <c r="AL118" s="2826"/>
      <c r="AM118" s="2826"/>
    </row>
    <row r="119" spans="1:40" s="3021" customFormat="1" ht="14" customHeight="1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2838"/>
      <c r="V119" s="2838"/>
      <c r="W119" s="2838"/>
      <c r="X119" s="2838"/>
      <c r="Y119" s="2838"/>
      <c r="Z119" s="2838"/>
      <c r="AA119" s="2838"/>
      <c r="AB119" s="144"/>
      <c r="AC119" s="2826"/>
      <c r="AD119" s="2826"/>
      <c r="AE119" s="2826"/>
      <c r="AF119" s="2826"/>
      <c r="AG119" s="2826"/>
      <c r="AH119" s="2826"/>
      <c r="AI119" s="2826"/>
      <c r="AJ119" s="2826"/>
      <c r="AK119" s="2826"/>
      <c r="AL119" s="2826"/>
      <c r="AM119" s="2826"/>
    </row>
    <row r="120" spans="1:40" s="3021" customFormat="1" ht="14" customHeight="1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2838"/>
      <c r="V120" s="2838"/>
      <c r="W120" s="2838"/>
      <c r="X120" s="2838"/>
      <c r="Y120" s="2838"/>
      <c r="Z120" s="2838"/>
      <c r="AA120" s="2838"/>
      <c r="AB120" s="144"/>
      <c r="AC120" s="2826"/>
      <c r="AD120" s="2826"/>
      <c r="AE120" s="2826"/>
      <c r="AF120" s="2826"/>
      <c r="AG120" s="2826"/>
      <c r="AH120" s="2826"/>
      <c r="AI120" s="2826"/>
      <c r="AJ120" s="2826"/>
      <c r="AK120" s="2826"/>
      <c r="AL120" s="2826"/>
      <c r="AM120" s="2826"/>
    </row>
    <row r="121" spans="1:40" s="3021" customFormat="1" ht="14" customHeight="1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2838"/>
      <c r="V121" s="2838"/>
      <c r="W121" s="2838"/>
      <c r="X121" s="2838"/>
      <c r="Y121" s="2838"/>
      <c r="Z121" s="2838"/>
      <c r="AA121" s="2838"/>
      <c r="AB121" s="144"/>
      <c r="AC121" s="2826"/>
      <c r="AD121" s="2826"/>
      <c r="AE121" s="2826"/>
      <c r="AF121" s="2826"/>
      <c r="AG121" s="2826"/>
      <c r="AH121" s="2826"/>
      <c r="AI121" s="2826"/>
      <c r="AJ121" s="2826"/>
      <c r="AK121" s="2826"/>
      <c r="AL121" s="2826"/>
      <c r="AM121" s="2826"/>
    </row>
    <row r="122" spans="1:40" s="3021" customFormat="1" ht="14" customHeight="1">
      <c r="B122" s="144"/>
      <c r="C122" s="144"/>
      <c r="D122" s="907"/>
      <c r="E122" s="143"/>
      <c r="F122" s="145"/>
      <c r="G122" s="146"/>
      <c r="H122" s="146"/>
      <c r="I122" s="146"/>
      <c r="J122" s="146"/>
      <c r="K122" s="146"/>
      <c r="L122" s="146"/>
      <c r="M122" s="458"/>
      <c r="N122" s="145"/>
      <c r="O122" s="146"/>
      <c r="P122" s="146"/>
      <c r="Q122" s="147"/>
      <c r="R122" s="147"/>
      <c r="S122" s="142"/>
      <c r="T122" s="142"/>
      <c r="U122" s="2838"/>
      <c r="V122" s="2838"/>
      <c r="W122" s="2838"/>
      <c r="X122" s="2838"/>
      <c r="Y122" s="2838"/>
      <c r="Z122" s="2838"/>
      <c r="AA122" s="2838"/>
      <c r="AC122" s="2826"/>
      <c r="AD122" s="2826"/>
      <c r="AE122" s="2826"/>
      <c r="AF122" s="2826"/>
      <c r="AG122" s="2826"/>
      <c r="AH122" s="2826"/>
      <c r="AI122" s="2826"/>
      <c r="AJ122" s="2826"/>
      <c r="AK122" s="2826"/>
      <c r="AL122" s="2826"/>
      <c r="AM122" s="2826"/>
    </row>
    <row r="123" spans="1:40" s="3021" customFormat="1" ht="14" customHeight="1">
      <c r="B123" s="144"/>
      <c r="C123" s="144"/>
      <c r="D123" s="907"/>
      <c r="E123" s="143"/>
      <c r="F123" s="145"/>
      <c r="G123" s="146"/>
      <c r="H123" s="146"/>
      <c r="I123" s="146"/>
      <c r="J123" s="146"/>
      <c r="K123" s="146"/>
      <c r="L123" s="146"/>
      <c r="M123" s="458"/>
      <c r="N123" s="145"/>
      <c r="O123" s="146"/>
      <c r="P123" s="146"/>
      <c r="Q123" s="147"/>
      <c r="R123" s="147"/>
      <c r="S123" s="142"/>
      <c r="T123" s="142"/>
      <c r="U123" s="2838"/>
      <c r="V123" s="2838"/>
      <c r="W123" s="2838"/>
      <c r="X123" s="2838"/>
      <c r="Y123" s="2838"/>
      <c r="Z123" s="2838"/>
      <c r="AA123" s="2838"/>
      <c r="AC123" s="2826"/>
      <c r="AD123" s="2826"/>
      <c r="AE123" s="2826"/>
      <c r="AF123" s="2826"/>
      <c r="AG123" s="2826"/>
      <c r="AH123" s="2826"/>
      <c r="AI123" s="2826"/>
      <c r="AJ123" s="2826"/>
      <c r="AK123" s="2826"/>
      <c r="AL123" s="2826"/>
      <c r="AM123" s="2826"/>
    </row>
    <row r="124" spans="1:40" s="3021" customFormat="1" ht="14" customHeight="1">
      <c r="B124" s="144"/>
      <c r="C124" s="144"/>
      <c r="D124" s="907"/>
      <c r="E124" s="143"/>
      <c r="F124" s="145"/>
      <c r="G124" s="146"/>
      <c r="H124" s="146"/>
      <c r="I124" s="146"/>
      <c r="J124" s="146"/>
      <c r="K124" s="146"/>
      <c r="L124" s="146"/>
      <c r="M124" s="458"/>
      <c r="N124" s="145"/>
      <c r="O124" s="146"/>
      <c r="P124" s="146"/>
      <c r="Q124" s="147"/>
      <c r="R124" s="147"/>
      <c r="S124" s="142"/>
      <c r="T124" s="142"/>
      <c r="U124" s="2838"/>
      <c r="V124" s="2838"/>
      <c r="W124" s="2838"/>
      <c r="X124" s="2838"/>
      <c r="Y124" s="2838"/>
      <c r="Z124" s="2838"/>
      <c r="AA124" s="2838"/>
      <c r="AC124" s="2826"/>
      <c r="AD124" s="2826"/>
      <c r="AE124" s="2826"/>
      <c r="AF124" s="2826"/>
      <c r="AG124" s="2826"/>
      <c r="AH124" s="2826"/>
      <c r="AI124" s="2826"/>
      <c r="AJ124" s="2826"/>
      <c r="AK124" s="2826"/>
      <c r="AL124" s="2826"/>
      <c r="AM124" s="2826"/>
    </row>
    <row r="125" spans="1:40" s="3021" customFormat="1" ht="14" customHeight="1">
      <c r="B125" s="144"/>
      <c r="C125" s="144"/>
      <c r="D125" s="907"/>
      <c r="E125" s="143"/>
      <c r="F125" s="145"/>
      <c r="G125" s="146"/>
      <c r="H125" s="146"/>
      <c r="I125" s="146"/>
      <c r="J125" s="146"/>
      <c r="K125" s="146"/>
      <c r="L125" s="146"/>
      <c r="M125" s="458"/>
      <c r="N125" s="145"/>
      <c r="O125" s="146"/>
      <c r="P125" s="146"/>
      <c r="Q125" s="147"/>
      <c r="R125" s="147"/>
      <c r="S125" s="142"/>
      <c r="T125" s="142"/>
      <c r="U125" s="2838"/>
      <c r="V125" s="2838"/>
      <c r="W125" s="2838"/>
      <c r="X125" s="2838"/>
      <c r="Y125" s="2838"/>
      <c r="Z125" s="2838"/>
      <c r="AA125" s="2838"/>
      <c r="AC125" s="2826"/>
      <c r="AD125" s="2826"/>
      <c r="AE125" s="2826"/>
      <c r="AF125" s="2826"/>
      <c r="AG125" s="2826"/>
      <c r="AH125" s="2826"/>
      <c r="AI125" s="2826"/>
      <c r="AJ125" s="2826"/>
      <c r="AK125" s="2826"/>
      <c r="AL125" s="2826"/>
      <c r="AM125" s="2826"/>
    </row>
    <row r="126" spans="1:40" s="3021" customFormat="1" ht="14" customHeight="1">
      <c r="B126" s="144"/>
      <c r="C126" s="144"/>
      <c r="D126" s="907"/>
      <c r="E126" s="143"/>
      <c r="F126" s="145"/>
      <c r="G126" s="146"/>
      <c r="H126" s="146"/>
      <c r="I126" s="146"/>
      <c r="J126" s="146"/>
      <c r="K126" s="146"/>
      <c r="L126" s="146"/>
      <c r="M126" s="458"/>
      <c r="N126" s="145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C126" s="2826"/>
      <c r="AD126" s="2826"/>
      <c r="AE126" s="2826"/>
      <c r="AF126" s="2826"/>
      <c r="AG126" s="2826"/>
      <c r="AH126" s="2826"/>
      <c r="AI126" s="2826"/>
      <c r="AJ126" s="2826"/>
      <c r="AK126" s="2826"/>
      <c r="AL126" s="2826"/>
      <c r="AM126" s="2826"/>
    </row>
    <row r="127" spans="1:40" s="3021" customFormat="1" ht="14" customHeight="1">
      <c r="B127" s="144"/>
      <c r="C127" s="144"/>
      <c r="D127" s="907"/>
      <c r="E127" s="143"/>
      <c r="F127" s="145"/>
      <c r="G127" s="146"/>
      <c r="H127" s="146"/>
      <c r="I127" s="146"/>
      <c r="J127" s="146"/>
      <c r="K127" s="146"/>
      <c r="L127" s="146"/>
      <c r="M127" s="458"/>
      <c r="N127" s="145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C127" s="2826"/>
      <c r="AD127" s="2826"/>
      <c r="AE127" s="2826"/>
      <c r="AF127" s="2826"/>
      <c r="AG127" s="2826"/>
      <c r="AH127" s="2826"/>
      <c r="AI127" s="2826"/>
      <c r="AJ127" s="2826"/>
      <c r="AK127" s="2826"/>
      <c r="AL127" s="2826"/>
      <c r="AM127" s="2826"/>
    </row>
    <row r="128" spans="1:40" s="3021" customFormat="1" ht="14" customHeight="1">
      <c r="B128" s="144"/>
      <c r="C128" s="144"/>
      <c r="D128" s="907"/>
      <c r="E128" s="143"/>
      <c r="F128" s="145"/>
      <c r="G128" s="146"/>
      <c r="H128" s="146"/>
      <c r="I128" s="146"/>
      <c r="J128" s="146"/>
      <c r="K128" s="146"/>
      <c r="L128" s="146"/>
      <c r="M128" s="458"/>
      <c r="N128" s="145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C128" s="2826"/>
      <c r="AD128" s="2826"/>
      <c r="AE128" s="2826"/>
      <c r="AF128" s="2826"/>
      <c r="AG128" s="2826"/>
      <c r="AH128" s="2826"/>
      <c r="AI128" s="2826"/>
      <c r="AJ128" s="2826"/>
      <c r="AK128" s="2826"/>
      <c r="AL128" s="2826"/>
      <c r="AM128" s="2826"/>
    </row>
    <row r="129" spans="2:39" s="3021" customFormat="1" ht="14" customHeight="1">
      <c r="B129" s="144"/>
      <c r="C129" s="144"/>
      <c r="D129" s="907"/>
      <c r="E129" s="143"/>
      <c r="F129" s="145"/>
      <c r="G129" s="146"/>
      <c r="H129" s="146"/>
      <c r="I129" s="146"/>
      <c r="J129" s="146"/>
      <c r="K129" s="146"/>
      <c r="L129" s="146"/>
      <c r="M129" s="458"/>
      <c r="N129" s="145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C129" s="2826"/>
      <c r="AD129" s="2826"/>
      <c r="AE129" s="2826"/>
      <c r="AF129" s="2826"/>
      <c r="AG129" s="2826"/>
      <c r="AH129" s="2826"/>
      <c r="AI129" s="2826"/>
      <c r="AJ129" s="2826"/>
      <c r="AK129" s="2826"/>
      <c r="AL129" s="2826"/>
      <c r="AM129" s="2826"/>
    </row>
    <row r="130" spans="2:39" s="3021" customFormat="1" ht="14" customHeight="1">
      <c r="B130" s="144"/>
      <c r="C130" s="144"/>
      <c r="D130" s="907"/>
      <c r="E130" s="143"/>
      <c r="F130" s="145"/>
      <c r="G130" s="146"/>
      <c r="H130" s="146"/>
      <c r="I130" s="146"/>
      <c r="J130" s="146"/>
      <c r="K130" s="146"/>
      <c r="L130" s="146"/>
      <c r="M130" s="458"/>
      <c r="N130" s="145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C130" s="2826"/>
      <c r="AD130" s="2826"/>
      <c r="AE130" s="2826"/>
      <c r="AF130" s="2826"/>
      <c r="AG130" s="2826"/>
      <c r="AH130" s="2826"/>
      <c r="AI130" s="2826"/>
      <c r="AJ130" s="2826"/>
      <c r="AK130" s="2826"/>
      <c r="AL130" s="2826"/>
      <c r="AM130" s="2826"/>
    </row>
    <row r="131" spans="2:39" s="3021" customFormat="1" ht="14" customHeight="1">
      <c r="B131" s="144"/>
      <c r="C131" s="144"/>
      <c r="D131" s="907"/>
      <c r="E131" s="143"/>
      <c r="F131" s="145"/>
      <c r="G131" s="146"/>
      <c r="H131" s="146"/>
      <c r="I131" s="146"/>
      <c r="J131" s="146"/>
      <c r="K131" s="146"/>
      <c r="L131" s="146"/>
      <c r="M131" s="458"/>
      <c r="N131" s="145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C131" s="2826"/>
      <c r="AD131" s="2826"/>
      <c r="AE131" s="2826"/>
      <c r="AF131" s="2826"/>
      <c r="AG131" s="2826"/>
      <c r="AH131" s="2826"/>
      <c r="AI131" s="2826"/>
      <c r="AJ131" s="2826"/>
      <c r="AK131" s="2826"/>
      <c r="AL131" s="2826"/>
      <c r="AM131" s="2826"/>
    </row>
    <row r="132" spans="2:39" s="3021" customFormat="1" ht="14" customHeight="1">
      <c r="B132" s="144"/>
      <c r="C132" s="144"/>
      <c r="D132" s="907"/>
      <c r="E132" s="143"/>
      <c r="F132" s="145"/>
      <c r="G132" s="146"/>
      <c r="H132" s="146"/>
      <c r="I132" s="146"/>
      <c r="J132" s="146"/>
      <c r="K132" s="146"/>
      <c r="L132" s="146"/>
      <c r="M132" s="458"/>
      <c r="N132" s="145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C132" s="2826"/>
      <c r="AD132" s="2826"/>
      <c r="AE132" s="2826"/>
      <c r="AF132" s="2826"/>
      <c r="AG132" s="2826"/>
      <c r="AH132" s="2826"/>
      <c r="AI132" s="2826"/>
      <c r="AJ132" s="2826"/>
      <c r="AK132" s="2826"/>
      <c r="AL132" s="2826"/>
      <c r="AM132" s="2826"/>
    </row>
    <row r="133" spans="2:39" s="3021" customFormat="1" ht="14" customHeight="1">
      <c r="B133" s="144"/>
      <c r="C133" s="144"/>
      <c r="D133" s="907"/>
      <c r="E133" s="143"/>
      <c r="F133" s="145"/>
      <c r="G133" s="146"/>
      <c r="H133" s="146"/>
      <c r="I133" s="146"/>
      <c r="J133" s="146"/>
      <c r="K133" s="146"/>
      <c r="L133" s="146"/>
      <c r="M133" s="458"/>
      <c r="N133" s="145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826"/>
      <c r="AD133" s="2826"/>
      <c r="AE133" s="2826"/>
      <c r="AF133" s="2826"/>
      <c r="AG133" s="2826"/>
      <c r="AH133" s="2826"/>
      <c r="AI133" s="2826"/>
      <c r="AJ133" s="2826"/>
      <c r="AK133" s="2826"/>
      <c r="AL133" s="2826"/>
      <c r="AM133" s="2826"/>
    </row>
    <row r="134" spans="2:39" s="3021" customFormat="1" ht="14" customHeight="1">
      <c r="B134" s="144"/>
      <c r="C134" s="144"/>
      <c r="D134" s="907"/>
      <c r="E134" s="143"/>
      <c r="F134" s="145"/>
      <c r="G134" s="146"/>
      <c r="H134" s="146"/>
      <c r="I134" s="146"/>
      <c r="J134" s="146"/>
      <c r="K134" s="146"/>
      <c r="L134" s="146"/>
      <c r="M134" s="458"/>
      <c r="N134" s="145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826"/>
      <c r="AD134" s="2826"/>
      <c r="AE134" s="2826"/>
      <c r="AF134" s="2826"/>
      <c r="AG134" s="2826"/>
      <c r="AH134" s="2826"/>
      <c r="AI134" s="2826"/>
      <c r="AJ134" s="2826"/>
      <c r="AK134" s="2826"/>
      <c r="AL134" s="2826"/>
      <c r="AM134" s="2826"/>
    </row>
    <row r="135" spans="2:39" s="3021" customFormat="1" ht="14" customHeight="1">
      <c r="B135" s="144"/>
      <c r="C135" s="144"/>
      <c r="D135" s="907"/>
      <c r="E135" s="143"/>
      <c r="F135" s="145"/>
      <c r="G135" s="146"/>
      <c r="H135" s="146"/>
      <c r="I135" s="146"/>
      <c r="J135" s="146"/>
      <c r="K135" s="146"/>
      <c r="L135" s="146"/>
      <c r="M135" s="458"/>
      <c r="N135" s="145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826"/>
      <c r="AD135" s="2826"/>
      <c r="AE135" s="2826"/>
      <c r="AF135" s="2826"/>
      <c r="AG135" s="2826"/>
      <c r="AH135" s="2826"/>
      <c r="AI135" s="2826"/>
      <c r="AJ135" s="2826"/>
      <c r="AK135" s="2826"/>
      <c r="AL135" s="2826"/>
      <c r="AM135" s="2826"/>
    </row>
    <row r="136" spans="2:39" s="3021" customFormat="1" ht="14" customHeight="1">
      <c r="B136" s="144"/>
      <c r="C136" s="144"/>
      <c r="D136" s="907"/>
      <c r="E136" s="143"/>
      <c r="F136" s="145"/>
      <c r="G136" s="146"/>
      <c r="H136" s="146"/>
      <c r="I136" s="146"/>
      <c r="J136" s="146"/>
      <c r="K136" s="146"/>
      <c r="L136" s="146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826"/>
      <c r="AD136" s="2826"/>
      <c r="AE136" s="2826"/>
      <c r="AF136" s="2826"/>
      <c r="AG136" s="2826"/>
      <c r="AH136" s="2826"/>
      <c r="AI136" s="2826"/>
      <c r="AJ136" s="2826"/>
      <c r="AK136" s="2826"/>
      <c r="AL136" s="2826"/>
      <c r="AM136" s="2826"/>
    </row>
    <row r="137" spans="2:39" s="3021" customFormat="1" ht="14" customHeight="1">
      <c r="B137" s="144"/>
      <c r="C137" s="144"/>
      <c r="D137" s="907"/>
      <c r="E137" s="143"/>
      <c r="F137" s="145"/>
      <c r="G137" s="146"/>
      <c r="H137" s="146"/>
      <c r="I137" s="146"/>
      <c r="J137" s="146"/>
      <c r="K137" s="146"/>
      <c r="L137" s="146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826"/>
      <c r="AD137" s="2826"/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2:39" s="3021" customFormat="1" ht="14" customHeight="1">
      <c r="B138" s="144"/>
      <c r="C138" s="144"/>
      <c r="D138" s="907"/>
      <c r="E138" s="143"/>
      <c r="F138" s="145"/>
      <c r="G138" s="146"/>
      <c r="H138" s="146"/>
      <c r="I138" s="146"/>
      <c r="J138" s="146"/>
      <c r="K138" s="146"/>
      <c r="L138" s="146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826"/>
      <c r="AD138" s="2826"/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2:39" s="3021" customFormat="1" ht="14" customHeight="1">
      <c r="B139" s="144"/>
      <c r="C139" s="144"/>
      <c r="D139" s="907"/>
      <c r="E139" s="143"/>
      <c r="F139" s="145"/>
      <c r="G139" s="146"/>
      <c r="H139" s="146"/>
      <c r="I139" s="146"/>
      <c r="J139" s="146"/>
      <c r="K139" s="146"/>
      <c r="L139" s="146"/>
      <c r="M139" s="458"/>
      <c r="N139" s="145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82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2:39" s="3021" customFormat="1" ht="14" customHeight="1">
      <c r="B140" s="144"/>
      <c r="C140" s="144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826"/>
      <c r="AD140" s="2826"/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2:39" s="3021" customFormat="1" ht="14" customHeight="1">
      <c r="B141" s="144"/>
      <c r="C141" s="144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2:39" s="3021" customFormat="1" ht="14" customHeight="1">
      <c r="B142" s="144"/>
      <c r="C142" s="144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2:39" s="3021" customFormat="1" ht="14" customHeight="1">
      <c r="B143" s="144"/>
      <c r="C143" s="144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2:39" s="3021" customFormat="1" ht="14" customHeight="1">
      <c r="B144" s="144"/>
      <c r="C144" s="144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41" s="3021" customFormat="1" ht="14" customHeight="1">
      <c r="B145" s="144"/>
      <c r="C145" s="144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41" s="3021" customFormat="1" ht="14" customHeight="1">
      <c r="B146" s="144"/>
      <c r="C146" s="144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41" s="3021" customFormat="1" ht="14" customHeight="1">
      <c r="B147" s="144"/>
      <c r="C147" s="144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B147" s="3021">
        <f>SUBTOTAL(9,AB105:AB146)</f>
        <v>0</v>
      </c>
      <c r="AC147" s="2826">
        <f>SUBTOTAL(9,AC105:AC146)</f>
        <v>0</v>
      </c>
      <c r="AD147" s="2826">
        <f>SUBTOTAL(9,AD105:AD146)</f>
        <v>0</v>
      </c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41" s="3021" customFormat="1" ht="14" customHeight="1">
      <c r="B148" s="144"/>
      <c r="C148" s="144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B148" s="3021">
        <v>0</v>
      </c>
      <c r="AC148" s="2826">
        <v>0</v>
      </c>
      <c r="AD148" s="2826">
        <v>0</v>
      </c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41" s="3021" customFormat="1" ht="14" customHeight="1">
      <c r="B149" s="144"/>
      <c r="C149" s="144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B149" s="3021">
        <v>0</v>
      </c>
      <c r="AC149" s="2826">
        <v>0</v>
      </c>
      <c r="AD149" s="2826">
        <v>0</v>
      </c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41" s="3021" customFormat="1" ht="14" customHeight="1">
      <c r="B150" s="144"/>
      <c r="C150" s="144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B150" s="3021">
        <v>0</v>
      </c>
      <c r="AC150" s="2826">
        <v>0</v>
      </c>
      <c r="AD150" s="2826">
        <v>0</v>
      </c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41" s="3021" customFormat="1" ht="14" customHeight="1">
      <c r="B151" s="144"/>
      <c r="C151" s="144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B151" s="3021">
        <v>0</v>
      </c>
      <c r="AC151" s="2826">
        <v>0</v>
      </c>
      <c r="AD151" s="2826">
        <v>0</v>
      </c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41" s="3021" customFormat="1" ht="11">
      <c r="B152" s="144"/>
      <c r="C152" s="144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B152" s="3021">
        <v>0</v>
      </c>
      <c r="AC152" s="2826">
        <v>0</v>
      </c>
      <c r="AD152" s="2826">
        <v>0</v>
      </c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41" s="3021" customFormat="1" ht="11">
      <c r="B153" s="144"/>
      <c r="C153" s="144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B153" s="3021">
        <v>0</v>
      </c>
      <c r="AC153" s="2826">
        <v>0</v>
      </c>
      <c r="AD153" s="2826">
        <v>0</v>
      </c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41" s="3021" customFormat="1" ht="11">
      <c r="B154" s="144"/>
      <c r="C154" s="144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B154" s="3021">
        <v>0</v>
      </c>
      <c r="AC154" s="2826">
        <v>0</v>
      </c>
      <c r="AD154" s="2826">
        <v>0</v>
      </c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41" s="3021" customFormat="1" ht="11">
      <c r="B155" s="144"/>
      <c r="C155" s="144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B155" s="3021">
        <v>0</v>
      </c>
      <c r="AC155" s="2826">
        <v>0</v>
      </c>
      <c r="AD155" s="2826">
        <v>0</v>
      </c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41" s="3021" customFormat="1" ht="11">
      <c r="B156" s="144"/>
      <c r="C156" s="144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B156" s="3021">
        <v>0</v>
      </c>
      <c r="AC156" s="2826">
        <v>0</v>
      </c>
      <c r="AD156" s="2826">
        <v>0</v>
      </c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41" s="3021" customFormat="1" ht="11">
      <c r="B157" s="144"/>
      <c r="C157" s="144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B157" s="3021">
        <v>0</v>
      </c>
      <c r="AC157" s="2826">
        <v>0</v>
      </c>
      <c r="AD157" s="2826">
        <v>0</v>
      </c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41" s="3021" customFormat="1" ht="11">
      <c r="B158" s="144"/>
      <c r="C158" s="144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>
        <f>SUBTOTAL(9,U116:U157)</f>
        <v>0</v>
      </c>
      <c r="V158" s="146">
        <f t="shared" ref="V158:AA158" si="63">SUBTOTAL(9,V116:V157)</f>
        <v>0</v>
      </c>
      <c r="W158" s="146">
        <f t="shared" si="63"/>
        <v>0</v>
      </c>
      <c r="X158" s="146">
        <f t="shared" si="63"/>
        <v>0</v>
      </c>
      <c r="Y158" s="146">
        <f t="shared" si="63"/>
        <v>0</v>
      </c>
      <c r="Z158" s="146">
        <f t="shared" si="63"/>
        <v>0</v>
      </c>
      <c r="AA158" s="146">
        <f t="shared" si="63"/>
        <v>0</v>
      </c>
      <c r="AB158" s="3021">
        <v>0</v>
      </c>
      <c r="AC158" s="2826">
        <v>0</v>
      </c>
      <c r="AD158" s="2826">
        <v>0</v>
      </c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41" s="2825" customFormat="1" ht="14" thickBot="1">
      <c r="B159" s="139"/>
      <c r="C159" s="139"/>
      <c r="D159" s="908"/>
      <c r="E159" s="138"/>
      <c r="F159" s="140"/>
      <c r="G159" s="141"/>
      <c r="H159" s="141"/>
      <c r="I159" s="141"/>
      <c r="J159" s="141"/>
      <c r="K159" s="141"/>
      <c r="L159" s="141"/>
      <c r="M159" s="458"/>
      <c r="N159" s="140"/>
      <c r="O159" s="141"/>
      <c r="P159" s="141"/>
      <c r="Q159" s="148"/>
      <c r="R159" s="148"/>
      <c r="S159" s="149"/>
      <c r="T159" s="149"/>
      <c r="U159" s="150"/>
      <c r="V159" s="150"/>
      <c r="W159" s="150"/>
      <c r="X159" s="150"/>
      <c r="Y159" s="150"/>
      <c r="Z159" s="150"/>
      <c r="AA159" s="150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41" s="2825" customFormat="1" ht="15" thickTop="1" thickBot="1">
      <c r="B160" s="139"/>
      <c r="C160" s="139"/>
      <c r="D160" s="908"/>
      <c r="E160" s="138"/>
      <c r="F160" s="140"/>
      <c r="G160" s="141"/>
      <c r="H160" s="141"/>
      <c r="I160" s="141"/>
      <c r="J160" s="141"/>
      <c r="K160" s="141"/>
      <c r="L160" s="141"/>
      <c r="M160" s="458"/>
      <c r="N160" s="140"/>
      <c r="O160" s="141"/>
      <c r="P160" s="141"/>
      <c r="Q160" s="148"/>
      <c r="R160" s="148"/>
      <c r="S160" s="148"/>
      <c r="T160" s="149"/>
      <c r="U160" s="151"/>
      <c r="V160" s="152"/>
      <c r="W160" s="153"/>
      <c r="X160" s="153"/>
      <c r="Y160" s="153"/>
      <c r="Z160" s="153"/>
      <c r="AA160" s="154"/>
      <c r="AB160" s="3022"/>
      <c r="AC160" s="3022"/>
      <c r="AE160" s="2826"/>
      <c r="AF160" s="2826"/>
      <c r="AG160" s="2826"/>
      <c r="AH160" s="2826"/>
      <c r="AI160" s="2826"/>
      <c r="AJ160" s="2826"/>
      <c r="AK160" s="2826"/>
      <c r="AL160" s="2826"/>
      <c r="AM160" s="2826"/>
      <c r="AN160" s="2826"/>
      <c r="AO160" s="2826"/>
    </row>
    <row r="161" spans="2:39" s="3021" customFormat="1" ht="12" thickTop="1">
      <c r="B161" s="144"/>
      <c r="C161" s="144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4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4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4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4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4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4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4" customHeight="1">
      <c r="B168" s="144"/>
      <c r="C168" s="144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4" customHeight="1">
      <c r="B169" s="144"/>
      <c r="C169" s="144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4" customHeight="1">
      <c r="B170" s="144"/>
      <c r="C170" s="144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4" customHeight="1">
      <c r="B171" s="144"/>
      <c r="C171" s="144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4" customHeight="1">
      <c r="B172" s="144"/>
      <c r="C172" s="144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4" customHeight="1">
      <c r="B173" s="144"/>
      <c r="C173" s="144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82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4" customHeight="1">
      <c r="B174" s="144"/>
      <c r="C174" s="144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826"/>
      <c r="AD174" s="2826"/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4" customHeight="1">
      <c r="B175" s="144"/>
      <c r="C175" s="144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826"/>
      <c r="AD175" s="2826"/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4" customHeight="1">
      <c r="B176" s="144"/>
      <c r="C176" s="144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82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39" s="3021" customFormat="1" ht="14" customHeight="1">
      <c r="B177" s="144"/>
      <c r="C177" s="144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39" s="3021" customFormat="1" ht="14" customHeight="1">
      <c r="B178" s="144"/>
      <c r="C178" s="144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39" s="3021" customFormat="1" ht="14" customHeight="1">
      <c r="B179" s="144"/>
      <c r="C179" s="144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39" s="3021" customFormat="1" ht="14" customHeight="1">
      <c r="B180" s="144"/>
      <c r="C180" s="144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39" s="3021" customFormat="1" ht="14" customHeight="1">
      <c r="B181" s="144"/>
      <c r="C181" s="144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39" s="3021" customFormat="1" ht="14" customHeight="1">
      <c r="B182" s="144"/>
      <c r="C182" s="144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39" s="3021" customFormat="1" ht="14" customHeight="1">
      <c r="B183" s="144"/>
      <c r="C183" s="144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39" s="3021" customFormat="1" ht="11">
      <c r="B184" s="144"/>
      <c r="C184" s="144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39" s="3021" customFormat="1" ht="11">
      <c r="B185" s="144"/>
      <c r="C185" s="144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39" s="3021" customFormat="1" ht="11">
      <c r="B186" s="144"/>
      <c r="C186" s="144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39" s="3021" customFormat="1" ht="11">
      <c r="B187" s="144"/>
      <c r="C187" s="144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39" s="3021" customFormat="1" ht="11">
      <c r="B188" s="144"/>
      <c r="C188" s="144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39" s="3021" customFormat="1" ht="11">
      <c r="B189" s="144"/>
      <c r="C189" s="144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39" s="3021" customFormat="1" ht="11">
      <c r="B190" s="144"/>
      <c r="C190" s="144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39" s="3021" customFormat="1" ht="11">
      <c r="B191" s="144"/>
      <c r="C191" s="144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39" s="3021" customFormat="1" ht="11">
      <c r="B192" s="144"/>
      <c r="C192" s="144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41" s="3021" customFormat="1" ht="11">
      <c r="B193" s="144"/>
      <c r="C193" s="144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41" s="3021" customFormat="1" ht="11">
      <c r="B194" s="144"/>
      <c r="C194" s="144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41" s="3021" customFormat="1" ht="11">
      <c r="B195" s="144"/>
      <c r="C195" s="144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41" s="3021" customFormat="1" ht="11">
      <c r="B196" s="144"/>
      <c r="C196" s="144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41" s="3021" customFormat="1" ht="11">
      <c r="B197" s="3159"/>
      <c r="C197" s="3159"/>
      <c r="D197" s="3160"/>
      <c r="F197" s="3023"/>
      <c r="G197" s="3024"/>
      <c r="H197" s="3024"/>
      <c r="I197" s="3024"/>
      <c r="J197" s="3024"/>
      <c r="K197" s="3024"/>
      <c r="L197" s="3024"/>
      <c r="M197" s="3025"/>
      <c r="N197" s="3023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41" s="3021" customFormat="1" ht="11">
      <c r="B198" s="3159"/>
      <c r="C198" s="3159"/>
      <c r="D198" s="3160"/>
      <c r="F198" s="3023"/>
      <c r="G198" s="3024"/>
      <c r="H198" s="3024"/>
      <c r="I198" s="3024"/>
      <c r="J198" s="3024"/>
      <c r="K198" s="3024"/>
      <c r="L198" s="3024"/>
      <c r="M198" s="3025"/>
      <c r="N198" s="3023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41" s="3021" customFormat="1" ht="11">
      <c r="B199" s="3159"/>
      <c r="C199" s="3159"/>
      <c r="D199" s="3160"/>
      <c r="F199" s="3023"/>
      <c r="G199" s="3024"/>
      <c r="H199" s="3024"/>
      <c r="I199" s="3024"/>
      <c r="J199" s="3024"/>
      <c r="K199" s="3024"/>
      <c r="L199" s="3024"/>
      <c r="M199" s="3025"/>
      <c r="N199" s="3023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41" s="3021" customFormat="1" ht="11">
      <c r="B200" s="3159"/>
      <c r="C200" s="3159"/>
      <c r="D200" s="3160"/>
      <c r="F200" s="3023"/>
      <c r="G200" s="3024"/>
      <c r="H200" s="3024"/>
      <c r="I200" s="3024"/>
      <c r="J200" s="3024"/>
      <c r="K200" s="3024"/>
      <c r="L200" s="3024"/>
      <c r="M200" s="3025"/>
      <c r="N200" s="3023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41" s="3021" customFormat="1" ht="11">
      <c r="B201" s="3159"/>
      <c r="C201" s="3159"/>
      <c r="D201" s="3160"/>
      <c r="F201" s="3023"/>
      <c r="G201" s="3024"/>
      <c r="H201" s="3024"/>
      <c r="I201" s="3024"/>
      <c r="J201" s="3024"/>
      <c r="K201" s="3024"/>
      <c r="L201" s="3024"/>
      <c r="M201" s="3025"/>
      <c r="N201" s="3023"/>
      <c r="O201" s="146"/>
      <c r="P201" s="146"/>
      <c r="Q201" s="147"/>
      <c r="R201" s="147"/>
      <c r="S201" s="142"/>
      <c r="T201" s="142"/>
      <c r="U201" s="146">
        <f>SUBTOTAL(9,U159:U200)</f>
        <v>0</v>
      </c>
      <c r="V201" s="146">
        <f t="shared" ref="V201:AA201" si="64">SUBTOTAL(9,V159:V200)</f>
        <v>0</v>
      </c>
      <c r="W201" s="146">
        <f t="shared" si="64"/>
        <v>0</v>
      </c>
      <c r="X201" s="146">
        <f t="shared" si="64"/>
        <v>0</v>
      </c>
      <c r="Y201" s="146">
        <f t="shared" si="64"/>
        <v>0</v>
      </c>
      <c r="Z201" s="146">
        <f t="shared" si="64"/>
        <v>0</v>
      </c>
      <c r="AA201" s="146">
        <f t="shared" si="64"/>
        <v>0</v>
      </c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41" s="2825" customFormat="1" ht="14" thickBot="1">
      <c r="B202" s="2935"/>
      <c r="C202" s="2935"/>
      <c r="D202" s="3161"/>
      <c r="F202" s="3026"/>
      <c r="G202" s="3027"/>
      <c r="H202" s="3027"/>
      <c r="I202" s="3027"/>
      <c r="J202" s="3027"/>
      <c r="K202" s="3027"/>
      <c r="L202" s="3027"/>
      <c r="M202" s="3025"/>
      <c r="N202" s="3026"/>
      <c r="O202" s="141"/>
      <c r="P202" s="141"/>
      <c r="Q202" s="148"/>
      <c r="R202" s="148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41" s="2825" customFormat="1" ht="15" thickTop="1" thickBot="1">
      <c r="B203" s="2935"/>
      <c r="C203" s="2935"/>
      <c r="D203" s="3161"/>
      <c r="F203" s="3026"/>
      <c r="G203" s="3027"/>
      <c r="H203" s="3027"/>
      <c r="I203" s="3027"/>
      <c r="J203" s="3027"/>
      <c r="K203" s="3027"/>
      <c r="L203" s="3027"/>
      <c r="M203" s="3025"/>
      <c r="N203" s="3026"/>
      <c r="O203" s="141"/>
      <c r="P203" s="141"/>
      <c r="Q203" s="148"/>
      <c r="R203" s="148"/>
      <c r="S203" s="148"/>
      <c r="T203" s="148"/>
      <c r="U203" s="151">
        <f>SUBTOTAL(9,U161:U202)</f>
        <v>0</v>
      </c>
      <c r="V203" s="152">
        <f t="shared" ref="V203:AA203" si="65">SUBTOTAL(9,V161:V202)</f>
        <v>0</v>
      </c>
      <c r="W203" s="153">
        <f t="shared" si="65"/>
        <v>0</v>
      </c>
      <c r="X203" s="153">
        <f t="shared" si="65"/>
        <v>0</v>
      </c>
      <c r="Y203" s="153">
        <f t="shared" si="65"/>
        <v>0</v>
      </c>
      <c r="Z203" s="153">
        <f t="shared" si="65"/>
        <v>0</v>
      </c>
      <c r="AA203" s="154">
        <f t="shared" si="65"/>
        <v>0</v>
      </c>
      <c r="AB203" s="3022"/>
      <c r="AC203" s="3022"/>
      <c r="AE203" s="2826"/>
      <c r="AF203" s="2826"/>
      <c r="AG203" s="2826"/>
      <c r="AH203" s="2826"/>
      <c r="AI203" s="2826"/>
      <c r="AJ203" s="2826"/>
      <c r="AK203" s="2826"/>
      <c r="AL203" s="2826"/>
      <c r="AM203" s="2826"/>
      <c r="AN203" s="2826"/>
      <c r="AO203" s="2826"/>
    </row>
    <row r="204" spans="2:41" s="2825" customFormat="1" ht="14" thickTop="1">
      <c r="B204" s="2935"/>
      <c r="C204" s="2935"/>
      <c r="D204" s="3161"/>
      <c r="F204" s="3026"/>
      <c r="G204" s="3027"/>
      <c r="H204" s="3027"/>
      <c r="I204" s="3027"/>
      <c r="J204" s="3027"/>
      <c r="K204" s="3027"/>
      <c r="L204" s="3027"/>
      <c r="M204" s="3025"/>
      <c r="N204" s="3026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41" s="2825" customFormat="1">
      <c r="B205" s="2935"/>
      <c r="C205" s="2935"/>
      <c r="D205" s="3161"/>
      <c r="F205" s="3026"/>
      <c r="G205" s="3027"/>
      <c r="H205" s="3027"/>
      <c r="I205" s="3027"/>
      <c r="J205" s="3027"/>
      <c r="K205" s="3027"/>
      <c r="L205" s="3027"/>
      <c r="M205" s="3025"/>
      <c r="N205" s="3026"/>
      <c r="O205" s="141"/>
      <c r="P205" s="141"/>
      <c r="Q205" s="148"/>
      <c r="R205" s="148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41" s="2825" customFormat="1">
      <c r="B206" s="2935"/>
      <c r="C206" s="2935"/>
      <c r="D206" s="3161"/>
      <c r="F206" s="3026"/>
      <c r="G206" s="3027"/>
      <c r="H206" s="3027"/>
      <c r="I206" s="3027"/>
      <c r="J206" s="3027"/>
      <c r="K206" s="3027"/>
      <c r="L206" s="3027"/>
      <c r="M206" s="3025"/>
      <c r="N206" s="3026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41" s="2825" customFormat="1">
      <c r="B207" s="2935"/>
      <c r="C207" s="2935"/>
      <c r="D207" s="3161"/>
      <c r="F207" s="3026"/>
      <c r="G207" s="3027"/>
      <c r="H207" s="3027"/>
      <c r="I207" s="3027"/>
      <c r="J207" s="3027"/>
      <c r="K207" s="3027"/>
      <c r="L207" s="3027"/>
      <c r="M207" s="3025"/>
      <c r="N207" s="3026"/>
      <c r="O207" s="141"/>
      <c r="P207" s="141"/>
      <c r="Q207" s="148"/>
      <c r="R207" s="148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41" s="2825" customFormat="1">
      <c r="B208" s="2935"/>
      <c r="C208" s="2935"/>
      <c r="D208" s="3161"/>
      <c r="F208" s="3026"/>
      <c r="G208" s="3027"/>
      <c r="H208" s="3027"/>
      <c r="I208" s="3027"/>
      <c r="J208" s="3027"/>
      <c r="K208" s="3027"/>
      <c r="L208" s="3027"/>
      <c r="M208" s="3025"/>
      <c r="N208" s="3026"/>
      <c r="O208" s="141"/>
      <c r="P208" s="141"/>
      <c r="Q208" s="148"/>
      <c r="R208" s="148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39" s="2825" customFormat="1">
      <c r="B209" s="2935"/>
      <c r="C209" s="2935"/>
      <c r="D209" s="3161"/>
      <c r="F209" s="3026"/>
      <c r="G209" s="3027"/>
      <c r="H209" s="3027"/>
      <c r="I209" s="3027"/>
      <c r="J209" s="3027"/>
      <c r="K209" s="3027"/>
      <c r="L209" s="3027"/>
      <c r="M209" s="3025"/>
      <c r="N209" s="3026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39" s="2825" customFormat="1">
      <c r="B210" s="2935"/>
      <c r="C210" s="2935"/>
      <c r="D210" s="3161"/>
      <c r="F210" s="3026"/>
      <c r="G210" s="3027"/>
      <c r="H210" s="3027"/>
      <c r="I210" s="3027"/>
      <c r="J210" s="3027"/>
      <c r="K210" s="3027"/>
      <c r="L210" s="3027"/>
      <c r="M210" s="3025"/>
      <c r="N210" s="3026"/>
      <c r="O210" s="141"/>
      <c r="P210" s="141"/>
      <c r="Q210" s="148"/>
      <c r="R210" s="148"/>
      <c r="S210" s="149"/>
      <c r="T210" s="149"/>
      <c r="U210" s="150"/>
      <c r="V210" s="150"/>
      <c r="W210" s="150"/>
      <c r="X210" s="150"/>
      <c r="Y210" s="150"/>
      <c r="Z210" s="150"/>
      <c r="AA210" s="150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39" s="2825" customFormat="1">
      <c r="B211" s="2935"/>
      <c r="C211" s="2935"/>
      <c r="D211" s="3161"/>
      <c r="F211" s="3026"/>
      <c r="G211" s="3027"/>
      <c r="H211" s="3027"/>
      <c r="I211" s="3027"/>
      <c r="J211" s="3027"/>
      <c r="K211" s="3027"/>
      <c r="L211" s="3027"/>
      <c r="M211" s="3025"/>
      <c r="N211" s="3026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39" s="2825" customFormat="1">
      <c r="B212" s="2935"/>
      <c r="C212" s="2935"/>
      <c r="D212" s="3161"/>
      <c r="F212" s="3026"/>
      <c r="G212" s="3027"/>
      <c r="H212" s="3027"/>
      <c r="I212" s="3027"/>
      <c r="J212" s="3027"/>
      <c r="K212" s="3027"/>
      <c r="L212" s="3027"/>
      <c r="M212" s="3025"/>
      <c r="N212" s="3026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39" s="2825" customFormat="1">
      <c r="B213" s="2935"/>
      <c r="C213" s="2935"/>
      <c r="D213" s="3161"/>
      <c r="F213" s="3026"/>
      <c r="G213" s="3027"/>
      <c r="H213" s="3027"/>
      <c r="I213" s="3027"/>
      <c r="J213" s="3027"/>
      <c r="K213" s="3027"/>
      <c r="L213" s="3027"/>
      <c r="M213" s="3025"/>
      <c r="N213" s="3026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39" s="2825" customFormat="1">
      <c r="B214" s="2935"/>
      <c r="C214" s="2935"/>
      <c r="D214" s="3161"/>
      <c r="F214" s="3026"/>
      <c r="G214" s="3027"/>
      <c r="H214" s="3027"/>
      <c r="I214" s="3027"/>
      <c r="J214" s="3027"/>
      <c r="K214" s="3027"/>
      <c r="L214" s="3027"/>
      <c r="M214" s="3025"/>
      <c r="N214" s="3026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39" s="2825" customFormat="1">
      <c r="B215" s="2935"/>
      <c r="C215" s="2935"/>
      <c r="D215" s="3161"/>
      <c r="F215" s="3026"/>
      <c r="G215" s="3027"/>
      <c r="H215" s="3027"/>
      <c r="I215" s="3027"/>
      <c r="J215" s="3027"/>
      <c r="K215" s="3027"/>
      <c r="L215" s="3027"/>
      <c r="M215" s="3025"/>
      <c r="N215" s="3026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39" s="2825" customFormat="1" ht="14" customHeight="1">
      <c r="B216" s="2935"/>
      <c r="C216" s="2935"/>
      <c r="D216" s="3161"/>
      <c r="F216" s="3026"/>
      <c r="G216" s="3027"/>
      <c r="H216" s="3027"/>
      <c r="I216" s="3027"/>
      <c r="J216" s="3027"/>
      <c r="K216" s="3027"/>
      <c r="L216" s="3027"/>
      <c r="M216" s="3025"/>
      <c r="N216" s="3026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39" s="2825" customFormat="1" ht="14" customHeight="1">
      <c r="B217" s="2935"/>
      <c r="C217" s="2935"/>
      <c r="D217" s="3161"/>
      <c r="F217" s="3026"/>
      <c r="G217" s="3027"/>
      <c r="H217" s="3027"/>
      <c r="I217" s="3027"/>
      <c r="J217" s="3027"/>
      <c r="K217" s="3027"/>
      <c r="L217" s="3027"/>
      <c r="M217" s="3025"/>
      <c r="N217" s="3026"/>
      <c r="O217" s="141"/>
      <c r="P217" s="141"/>
      <c r="Q217" s="148"/>
      <c r="R217" s="148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39" s="2825" customFormat="1" ht="14" customHeight="1">
      <c r="B218" s="2935"/>
      <c r="C218" s="2935"/>
      <c r="D218" s="3161"/>
      <c r="F218" s="3026"/>
      <c r="G218" s="3027"/>
      <c r="H218" s="3027"/>
      <c r="I218" s="3027"/>
      <c r="J218" s="3027"/>
      <c r="K218" s="3027"/>
      <c r="L218" s="3027"/>
      <c r="M218" s="3025"/>
      <c r="N218" s="3026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39" s="2825" customFormat="1" ht="14" customHeight="1">
      <c r="B219" s="2935"/>
      <c r="C219" s="2935"/>
      <c r="D219" s="3161"/>
      <c r="F219" s="3026"/>
      <c r="G219" s="3027"/>
      <c r="H219" s="3027"/>
      <c r="I219" s="3027"/>
      <c r="J219" s="3027"/>
      <c r="K219" s="3027"/>
      <c r="L219" s="3027"/>
      <c r="M219" s="3025"/>
      <c r="N219" s="3026"/>
      <c r="O219" s="141"/>
      <c r="P219" s="141"/>
      <c r="Q219" s="148"/>
      <c r="R219" s="148"/>
      <c r="S219" s="149"/>
      <c r="T219" s="149"/>
      <c r="U219" s="150"/>
      <c r="V219" s="150"/>
      <c r="W219" s="150"/>
      <c r="X219" s="150"/>
      <c r="Y219" s="150"/>
      <c r="Z219" s="150"/>
      <c r="AA219" s="150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39" s="2825" customFormat="1" ht="14" customHeight="1">
      <c r="B220" s="2935"/>
      <c r="C220" s="2935"/>
      <c r="D220" s="3161"/>
      <c r="F220" s="3026"/>
      <c r="G220" s="3027"/>
      <c r="H220" s="3027"/>
      <c r="I220" s="3027"/>
      <c r="J220" s="3027"/>
      <c r="K220" s="3027"/>
      <c r="L220" s="3027"/>
      <c r="M220" s="3025"/>
      <c r="N220" s="3026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39" s="2825" customFormat="1" ht="14" customHeight="1">
      <c r="B221" s="2935"/>
      <c r="C221" s="2935"/>
      <c r="D221" s="3161"/>
      <c r="F221" s="3026"/>
      <c r="G221" s="3027"/>
      <c r="H221" s="3027"/>
      <c r="I221" s="3027"/>
      <c r="J221" s="3027"/>
      <c r="K221" s="3027"/>
      <c r="L221" s="3027"/>
      <c r="M221" s="3025"/>
      <c r="N221" s="3026"/>
      <c r="O221" s="141"/>
      <c r="P221" s="141"/>
      <c r="Q221" s="148"/>
      <c r="R221" s="148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39" s="2825" customFormat="1" ht="14" customHeight="1">
      <c r="B222" s="2935"/>
      <c r="C222" s="2935"/>
      <c r="D222" s="3161"/>
      <c r="F222" s="3026"/>
      <c r="G222" s="3027"/>
      <c r="H222" s="3027"/>
      <c r="I222" s="3027"/>
      <c r="J222" s="3027"/>
      <c r="K222" s="3027"/>
      <c r="L222" s="3027"/>
      <c r="M222" s="3025"/>
      <c r="N222" s="3026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39" s="2825" customFormat="1" ht="14" customHeight="1">
      <c r="B223" s="2935"/>
      <c r="C223" s="2935"/>
      <c r="D223" s="3161"/>
      <c r="F223" s="3026"/>
      <c r="G223" s="3027"/>
      <c r="H223" s="3027"/>
      <c r="I223" s="3027"/>
      <c r="J223" s="3027"/>
      <c r="K223" s="3027"/>
      <c r="L223" s="3027"/>
      <c r="M223" s="3025"/>
      <c r="N223" s="3026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39" s="2825" customFormat="1" ht="14" customHeight="1">
      <c r="B224" s="2935"/>
      <c r="C224" s="2935"/>
      <c r="D224" s="3161"/>
      <c r="F224" s="3026"/>
      <c r="G224" s="3027"/>
      <c r="H224" s="3027"/>
      <c r="I224" s="3027"/>
      <c r="J224" s="3027"/>
      <c r="K224" s="3027"/>
      <c r="L224" s="3027"/>
      <c r="M224" s="3025"/>
      <c r="N224" s="3026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1:40" s="2825" customFormat="1" ht="14" customHeight="1">
      <c r="B225" s="2935"/>
      <c r="C225" s="2935"/>
      <c r="D225" s="3161"/>
      <c r="F225" s="3026"/>
      <c r="G225" s="3027"/>
      <c r="H225" s="3027"/>
      <c r="I225" s="3027"/>
      <c r="J225" s="3027"/>
      <c r="K225" s="3027"/>
      <c r="L225" s="3027"/>
      <c r="M225" s="3025"/>
      <c r="N225" s="3026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1:40" s="2825" customFormat="1" ht="14" customHeight="1">
      <c r="B226" s="2935"/>
      <c r="C226" s="2935"/>
      <c r="D226" s="3161"/>
      <c r="F226" s="3026"/>
      <c r="G226" s="3027"/>
      <c r="H226" s="3027"/>
      <c r="I226" s="3027"/>
      <c r="J226" s="3027"/>
      <c r="K226" s="3027"/>
      <c r="L226" s="3027"/>
      <c r="M226" s="3025"/>
      <c r="N226" s="3026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1:40" s="2825" customFormat="1" ht="14" customHeight="1">
      <c r="B227" s="2935"/>
      <c r="C227" s="2935"/>
      <c r="D227" s="3161"/>
      <c r="F227" s="3026"/>
      <c r="G227" s="3027"/>
      <c r="H227" s="3027"/>
      <c r="I227" s="3027"/>
      <c r="J227" s="3027"/>
      <c r="K227" s="3027"/>
      <c r="L227" s="3027"/>
      <c r="M227" s="3025"/>
      <c r="N227" s="3026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1:40" s="2825" customFormat="1" ht="14" customHeight="1">
      <c r="B228" s="2935"/>
      <c r="C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1:40" s="2825" customFormat="1" ht="14" customHeight="1">
      <c r="B229" s="2935"/>
      <c r="C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026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1:40" s="2825" customFormat="1" ht="14" customHeight="1">
      <c r="B230" s="2935"/>
      <c r="C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1:40" s="2825" customFormat="1" ht="14" customHeight="1">
      <c r="B231" s="2935"/>
      <c r="C231" s="2935"/>
      <c r="D231" s="3161"/>
      <c r="F231" s="3026"/>
      <c r="G231" s="3027"/>
      <c r="H231" s="3027"/>
      <c r="I231" s="3027"/>
      <c r="J231" s="3027"/>
      <c r="K231" s="3027"/>
      <c r="L231" s="3027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1:40" s="2825" customFormat="1" ht="14" customHeight="1">
      <c r="B232" s="2935"/>
      <c r="C232" s="2935"/>
      <c r="D232" s="3161"/>
      <c r="F232" s="3026"/>
      <c r="G232" s="3027"/>
      <c r="H232" s="3027"/>
      <c r="I232" s="3027"/>
      <c r="J232" s="3027"/>
      <c r="K232" s="3027"/>
      <c r="L232" s="3027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1:40" s="2825" customFormat="1" ht="14" customHeight="1">
      <c r="B233" s="2935"/>
      <c r="C233" s="2935"/>
      <c r="D233" s="3161"/>
      <c r="F233" s="3026"/>
      <c r="G233" s="3027"/>
      <c r="H233" s="3027"/>
      <c r="I233" s="3027"/>
      <c r="J233" s="3027"/>
      <c r="K233" s="3027"/>
      <c r="L233" s="3027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1:40" s="2825" customFormat="1" ht="14" customHeight="1">
      <c r="B234" s="2935"/>
      <c r="C234" s="2935"/>
      <c r="D234" s="3161"/>
      <c r="F234" s="3026"/>
      <c r="G234" s="3027"/>
      <c r="H234" s="3027"/>
      <c r="I234" s="3027"/>
      <c r="J234" s="3027"/>
      <c r="K234" s="3027"/>
      <c r="L234" s="3027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1:40" ht="14" customHeight="1">
      <c r="A235" s="1"/>
      <c r="O235" s="155"/>
      <c r="P235" s="155"/>
      <c r="Q235" s="1131"/>
      <c r="R235" s="1131"/>
      <c r="S235" s="251"/>
      <c r="T235" s="251"/>
      <c r="U235" s="1132"/>
      <c r="V235" s="1132"/>
      <c r="W235" s="1132"/>
      <c r="X235" s="1132"/>
      <c r="Y235" s="1132"/>
      <c r="Z235" s="1132"/>
      <c r="AA235" s="1132"/>
      <c r="AN235" s="1"/>
    </row>
    <row r="236" spans="1:40" ht="14" customHeight="1">
      <c r="A236" s="1"/>
      <c r="O236" s="155"/>
      <c r="P236" s="155"/>
      <c r="Q236" s="1131"/>
      <c r="R236" s="1131"/>
      <c r="S236" s="251"/>
      <c r="T236" s="251"/>
      <c r="U236" s="1132"/>
      <c r="V236" s="1132"/>
      <c r="W236" s="1132"/>
      <c r="X236" s="1132"/>
      <c r="Y236" s="1132"/>
      <c r="Z236" s="1132"/>
      <c r="AA236" s="1132"/>
      <c r="AN236" s="1"/>
    </row>
    <row r="237" spans="1:40" ht="14" customHeight="1">
      <c r="A237" s="1"/>
      <c r="O237" s="155"/>
      <c r="P237" s="155"/>
      <c r="Q237" s="1131"/>
      <c r="R237" s="1131"/>
      <c r="S237" s="251"/>
      <c r="T237" s="251"/>
      <c r="U237" s="1132"/>
      <c r="V237" s="1132"/>
      <c r="W237" s="1132"/>
      <c r="X237" s="1132"/>
      <c r="Y237" s="1132"/>
      <c r="Z237" s="1132"/>
      <c r="AA237" s="1132"/>
      <c r="AN237" s="1"/>
    </row>
    <row r="238" spans="1:40" ht="14" customHeight="1">
      <c r="A238" s="1"/>
      <c r="O238" s="155"/>
      <c r="P238" s="155"/>
      <c r="Q238" s="1131"/>
      <c r="R238" s="1131"/>
      <c r="S238" s="251"/>
      <c r="T238" s="251"/>
      <c r="U238" s="1132"/>
      <c r="V238" s="1132"/>
      <c r="W238" s="1132"/>
      <c r="X238" s="1132"/>
      <c r="Y238" s="1132"/>
      <c r="Z238" s="1132"/>
      <c r="AA238" s="1132"/>
      <c r="AN238" s="1"/>
    </row>
    <row r="239" spans="1:40" ht="14" customHeight="1">
      <c r="A239" s="1"/>
      <c r="O239" s="155"/>
      <c r="P239" s="155"/>
      <c r="Q239" s="1131"/>
      <c r="R239" s="1131"/>
      <c r="S239" s="251"/>
      <c r="T239" s="251"/>
      <c r="U239" s="1132"/>
      <c r="V239" s="1132"/>
      <c r="W239" s="1132"/>
      <c r="X239" s="1132"/>
      <c r="Y239" s="1132"/>
      <c r="Z239" s="1132"/>
      <c r="AA239" s="1132"/>
      <c r="AN239" s="1"/>
    </row>
    <row r="240" spans="1:40" ht="14" customHeight="1">
      <c r="A240" s="1"/>
      <c r="O240" s="155"/>
      <c r="P240" s="155"/>
      <c r="Q240" s="1131"/>
      <c r="R240" s="1131"/>
      <c r="S240" s="251"/>
      <c r="T240" s="251"/>
      <c r="U240" s="1132"/>
      <c r="V240" s="1132"/>
      <c r="W240" s="1132"/>
      <c r="X240" s="1132"/>
      <c r="Y240" s="1132"/>
      <c r="Z240" s="1132"/>
      <c r="AA240" s="1132"/>
      <c r="AN240" s="1"/>
    </row>
    <row r="241" spans="1:40" ht="14" customHeight="1">
      <c r="A241" s="1"/>
      <c r="O241" s="155"/>
      <c r="P241" s="155"/>
      <c r="Q241" s="1131"/>
      <c r="R241" s="1131"/>
      <c r="S241" s="251"/>
      <c r="T241" s="251"/>
      <c r="U241" s="1132"/>
      <c r="V241" s="1132"/>
      <c r="W241" s="1132"/>
      <c r="X241" s="1132"/>
      <c r="Y241" s="1132"/>
      <c r="Z241" s="1132"/>
      <c r="AA241" s="1132"/>
      <c r="AN241" s="1"/>
    </row>
    <row r="242" spans="1:40" ht="14" customHeight="1">
      <c r="A242" s="1"/>
      <c r="O242" s="155"/>
      <c r="P242" s="155"/>
      <c r="Q242" s="1131"/>
      <c r="R242" s="1131"/>
      <c r="S242" s="251"/>
      <c r="T242" s="251"/>
      <c r="U242" s="1132"/>
      <c r="V242" s="1132"/>
      <c r="W242" s="1132"/>
      <c r="X242" s="1132"/>
      <c r="Y242" s="1132"/>
      <c r="Z242" s="1132"/>
      <c r="AA242" s="1132"/>
      <c r="AN242" s="1"/>
    </row>
    <row r="243" spans="1:40" ht="14" customHeight="1">
      <c r="A243" s="1"/>
      <c r="O243" s="155"/>
      <c r="P243" s="155"/>
      <c r="Q243" s="1131"/>
      <c r="R243" s="1131"/>
      <c r="S243" s="251"/>
      <c r="T243" s="251"/>
      <c r="U243" s="1132"/>
      <c r="V243" s="1132"/>
      <c r="W243" s="1132"/>
      <c r="X243" s="1132"/>
      <c r="Y243" s="1132"/>
      <c r="Z243" s="1132"/>
      <c r="AA243" s="1132"/>
      <c r="AN243" s="1"/>
    </row>
    <row r="244" spans="1:40" ht="14" customHeight="1">
      <c r="A244" s="1"/>
      <c r="O244" s="155"/>
      <c r="P244" s="155"/>
      <c r="Q244" s="1131"/>
      <c r="R244" s="1131"/>
      <c r="S244" s="251"/>
      <c r="T244" s="251"/>
      <c r="U244" s="1132"/>
      <c r="V244" s="1132"/>
      <c r="W244" s="1132"/>
      <c r="X244" s="1132"/>
      <c r="Y244" s="1132"/>
      <c r="Z244" s="1132"/>
      <c r="AA244" s="1132"/>
      <c r="AN244" s="1"/>
    </row>
    <row r="245" spans="1:40" ht="14" customHeight="1">
      <c r="A245" s="1"/>
      <c r="O245" s="155"/>
      <c r="P245" s="155"/>
      <c r="Q245" s="1131"/>
      <c r="R245" s="1131"/>
      <c r="S245" s="251"/>
      <c r="T245" s="251"/>
      <c r="U245" s="1132"/>
      <c r="V245" s="1132"/>
      <c r="W245" s="1132"/>
      <c r="X245" s="1132"/>
      <c r="Y245" s="1132"/>
      <c r="Z245" s="1132"/>
      <c r="AA245" s="1132"/>
      <c r="AN245" s="1"/>
    </row>
    <row r="246" spans="1:40" ht="14" customHeight="1">
      <c r="A246" s="1"/>
      <c r="O246" s="155"/>
      <c r="P246" s="155"/>
      <c r="Q246" s="1131"/>
      <c r="R246" s="1131"/>
      <c r="S246" s="251"/>
      <c r="T246" s="251"/>
      <c r="U246" s="1132"/>
      <c r="V246" s="1132"/>
      <c r="W246" s="1132"/>
      <c r="X246" s="1132"/>
      <c r="Y246" s="1132"/>
      <c r="Z246" s="1132"/>
      <c r="AA246" s="1132"/>
      <c r="AN246" s="1"/>
    </row>
    <row r="247" spans="1:40" ht="14" customHeight="1">
      <c r="A247" s="1"/>
      <c r="O247" s="155"/>
      <c r="P247" s="155"/>
      <c r="Q247" s="1131"/>
      <c r="R247" s="1131"/>
      <c r="S247" s="251"/>
      <c r="T247" s="251"/>
      <c r="U247" s="1132"/>
      <c r="V247" s="1132"/>
      <c r="W247" s="1132"/>
      <c r="X247" s="1132"/>
      <c r="Y247" s="1132"/>
      <c r="Z247" s="1132"/>
      <c r="AA247" s="1132"/>
      <c r="AN247" s="1"/>
    </row>
    <row r="248" spans="1:40" ht="14" customHeight="1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4" customHeight="1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4" customHeight="1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4" customHeight="1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4" customHeight="1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4" customHeight="1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4" customHeight="1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4" customHeight="1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4" customHeight="1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4" customHeight="1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4" customHeight="1"/>
    <row r="259" spans="1:40" ht="14" customHeight="1"/>
    <row r="260" spans="1:40" ht="14" customHeight="1"/>
    <row r="261" spans="1:40" ht="14" customHeight="1"/>
  </sheetData>
  <mergeCells count="1">
    <mergeCell ref="Q62:R62"/>
  </mergeCells>
  <conditionalFormatting sqref="H29 H31">
    <cfRule type="cellIs" dxfId="74" priority="1" stopIfTrue="1" operator="equal">
      <formula>1</formula>
    </cfRule>
  </conditionalFormatting>
  <conditionalFormatting sqref="F29:G29 D29 D31 F31:G31 I29:K29 I31:K31">
    <cfRule type="cellIs" dxfId="73" priority="2" stopIfTrue="1" operator="equal">
      <formula>1</formula>
    </cfRule>
  </conditionalFormatting>
  <printOptions horizontalCentered="1" verticalCentered="1"/>
  <pageMargins left="0" right="0" top="0.39370078740157483" bottom="0.39370078740157483" header="0.19685039370078741" footer="0"/>
  <pageSetup paperSize="9" orientation="landscape" horizontalDpi="0" verticalDpi="0"/>
  <headerFooter>
    <oddHeader>&amp;C&amp;K000000&amp;F&amp;A</oddHeader>
  </headerFooter>
  <drawing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A253-7FAF-8348-BC40-A2C555C16422}">
  <sheetPr codeName="Hoja55"/>
  <dimension ref="A1:AO271"/>
  <sheetViews>
    <sheetView zoomScale="231" zoomScaleNormal="231" workbookViewId="0">
      <selection sqref="A1:XFD1048576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2" style="3028" customWidth="1"/>
    <col min="4" max="4" width="0.6640625" style="3082" customWidth="1"/>
    <col min="5" max="5" width="5.6640625" style="1" customWidth="1"/>
    <col min="6" max="6" width="5.83203125" style="2818" customWidth="1"/>
    <col min="7" max="7" width="6.1640625" style="780" customWidth="1"/>
    <col min="8" max="10" width="7.5" style="780" customWidth="1"/>
    <col min="11" max="11" width="31.83203125" style="780" customWidth="1"/>
    <col min="12" max="12" width="8.1640625" style="63" customWidth="1"/>
    <col min="13" max="13" width="1" style="2820" customWidth="1"/>
    <col min="14" max="14" width="8.83203125" style="2818" customWidth="1"/>
    <col min="15" max="15" width="1" style="780" customWidth="1"/>
    <col min="16" max="16" width="9.83203125" style="780" customWidth="1"/>
    <col min="17" max="17" width="7.5" style="2821" customWidth="1"/>
    <col min="18" max="18" width="6.5" style="2821" customWidth="1"/>
    <col min="19" max="19" width="1.33203125" style="2822" customWidth="1"/>
    <col min="20" max="20" width="0.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5" style="2823" customWidth="1"/>
    <col min="25" max="25" width="6" style="2823" customWidth="1"/>
    <col min="26" max="27" width="5.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5" style="2826" customWidth="1"/>
    <col min="40" max="40" width="11.5" style="2825"/>
    <col min="41" max="16384" width="11.5" style="1"/>
  </cols>
  <sheetData>
    <row r="1" spans="1:40" ht="13" customHeight="1" thickBot="1">
      <c r="A1" s="3756" t="s">
        <v>344</v>
      </c>
      <c r="B1" s="1"/>
      <c r="C1" s="1"/>
      <c r="D1" s="3081"/>
      <c r="E1" s="2817"/>
      <c r="H1" s="3726"/>
      <c r="K1" s="3779">
        <v>44683</v>
      </c>
      <c r="V1" s="2824"/>
      <c r="AI1" s="2825"/>
      <c r="AJ1" s="2825"/>
      <c r="AK1" s="2825"/>
      <c r="AL1" s="2825"/>
      <c r="AM1" s="2825"/>
    </row>
    <row r="2" spans="1:40" s="2839" customFormat="1" ht="63.75" customHeight="1" thickTop="1" thickBot="1">
      <c r="A2" s="3084" t="s">
        <v>346</v>
      </c>
      <c r="B2" s="3085" t="s">
        <v>347</v>
      </c>
      <c r="C2" s="3728"/>
      <c r="D2" s="3087" t="s">
        <v>348</v>
      </c>
      <c r="E2" s="3086" t="s">
        <v>349</v>
      </c>
      <c r="F2" s="3088" t="s">
        <v>350</v>
      </c>
      <c r="G2" s="3089" t="s">
        <v>351</v>
      </c>
      <c r="H2" s="3089" t="s">
        <v>624</v>
      </c>
      <c r="I2" s="3089" t="s">
        <v>352</v>
      </c>
      <c r="J2" s="3088" t="s">
        <v>353</v>
      </c>
      <c r="K2" s="3089" t="s">
        <v>354</v>
      </c>
      <c r="L2" s="3757"/>
      <c r="M2" s="3090" t="s">
        <v>355</v>
      </c>
      <c r="N2" s="3089" t="s">
        <v>445</v>
      </c>
      <c r="O2" s="3086" t="s">
        <v>446</v>
      </c>
      <c r="P2" s="3086" t="s">
        <v>447</v>
      </c>
      <c r="Q2" s="3091" t="s">
        <v>448</v>
      </c>
      <c r="R2" s="3092" t="s">
        <v>371</v>
      </c>
      <c r="S2" s="2828" t="s">
        <v>449</v>
      </c>
      <c r="T2" s="2828" t="s">
        <v>450</v>
      </c>
      <c r="U2" s="2829" t="s">
        <v>451</v>
      </c>
      <c r="V2" s="2830" t="s">
        <v>452</v>
      </c>
      <c r="W2" s="2831" t="s">
        <v>453</v>
      </c>
      <c r="X2" s="2832" t="s">
        <v>454</v>
      </c>
      <c r="Y2" s="2833" t="s">
        <v>455</v>
      </c>
      <c r="Z2" s="2834" t="s">
        <v>456</v>
      </c>
      <c r="AA2" s="2835" t="s">
        <v>457</v>
      </c>
      <c r="AB2" s="2836"/>
      <c r="AC2" s="2837"/>
      <c r="AD2" s="2838"/>
      <c r="AE2" s="2838"/>
      <c r="AF2" s="2838"/>
      <c r="AG2" s="2838"/>
      <c r="AH2" s="2838"/>
      <c r="AI2" s="2836"/>
      <c r="AJ2" s="2836"/>
      <c r="AK2" s="2836"/>
      <c r="AL2" s="2836"/>
      <c r="AM2" s="2836"/>
      <c r="AN2" s="2836"/>
    </row>
    <row r="3" spans="1:40" s="2839" customFormat="1" ht="6" customHeight="1" thickBot="1">
      <c r="A3" s="3093"/>
      <c r="B3" s="3094"/>
      <c r="C3" s="3729"/>
      <c r="D3" s="3096"/>
      <c r="E3" s="3095"/>
      <c r="F3" s="3097"/>
      <c r="G3" s="3095"/>
      <c r="H3" s="3095"/>
      <c r="I3" s="3095"/>
      <c r="J3" s="3097"/>
      <c r="K3" s="3095"/>
      <c r="L3" s="3758"/>
      <c r="M3" s="3098"/>
      <c r="N3" s="3095"/>
      <c r="O3" s="3095"/>
      <c r="P3" s="3095"/>
      <c r="Q3" s="3099"/>
      <c r="R3" s="3100"/>
      <c r="S3" s="2840"/>
      <c r="T3" s="2840"/>
      <c r="U3" s="3730">
        <v>9.3287037037037058E-4</v>
      </c>
      <c r="V3" s="3731">
        <v>8.6111111111111121E-4</v>
      </c>
      <c r="W3" s="3731">
        <v>7.8935185185185206E-4</v>
      </c>
      <c r="X3" s="3731">
        <v>7.175925925925927E-4</v>
      </c>
      <c r="Y3" s="3731">
        <v>7.1400462962962975E-4</v>
      </c>
      <c r="Z3" s="3731">
        <v>7.0324074074074082E-4</v>
      </c>
      <c r="AA3" s="3732">
        <v>6.8888888888888895E-4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63" customFormat="1" ht="10.5" customHeight="1" thickBot="1">
      <c r="A4" s="3733"/>
      <c r="B4" s="3605"/>
      <c r="C4" s="3734"/>
      <c r="D4" s="3397"/>
      <c r="E4" s="3396"/>
      <c r="F4" s="3398"/>
      <c r="G4" s="3399"/>
      <c r="H4" s="3399"/>
      <c r="I4" s="3399"/>
      <c r="J4" s="3398"/>
      <c r="K4" s="3399"/>
      <c r="L4" s="3759"/>
      <c r="M4" s="3606"/>
      <c r="N4" s="3399"/>
      <c r="O4" s="3396"/>
      <c r="P4" s="3396"/>
      <c r="Q4" s="3396"/>
      <c r="R4" s="3607"/>
      <c r="S4" s="3404"/>
      <c r="T4" s="3404"/>
      <c r="U4" s="2843">
        <f>U3/4</f>
        <v>2.3321759259259265E-4</v>
      </c>
      <c r="V4" s="2843">
        <f t="shared" ref="V4:AA4" si="0">V3/4</f>
        <v>2.152777777777778E-4</v>
      </c>
      <c r="W4" s="2843">
        <f t="shared" si="0"/>
        <v>1.9733796296296302E-4</v>
      </c>
      <c r="X4" s="2843">
        <f t="shared" si="0"/>
        <v>1.7939814814814817E-4</v>
      </c>
      <c r="Y4" s="2843">
        <f t="shared" si="0"/>
        <v>1.7850115740740744E-4</v>
      </c>
      <c r="Z4" s="2843">
        <f t="shared" si="0"/>
        <v>1.7581018518518521E-4</v>
      </c>
      <c r="AA4" s="2843">
        <f t="shared" si="0"/>
        <v>1.7222222222222224E-4</v>
      </c>
      <c r="AB4" s="2935"/>
      <c r="AC4" s="2936"/>
      <c r="AD4" s="2937"/>
      <c r="AE4" s="2937"/>
      <c r="AF4" s="2937"/>
      <c r="AG4" s="2937"/>
      <c r="AH4" s="2937"/>
      <c r="AI4" s="2935"/>
      <c r="AJ4" s="2935"/>
      <c r="AK4" s="2935"/>
      <c r="AL4" s="2935"/>
      <c r="AM4" s="2935"/>
      <c r="AN4" s="2935"/>
    </row>
    <row r="5" spans="1:40" s="63" customFormat="1" ht="13" customHeight="1" thickTop="1" thickBot="1">
      <c r="A5" s="3608"/>
      <c r="B5" s="3608"/>
      <c r="C5" s="3751"/>
      <c r="D5" s="3104"/>
      <c r="E5" s="3103"/>
      <c r="F5" s="3105"/>
      <c r="G5" s="3106"/>
      <c r="H5" s="3106"/>
      <c r="I5" s="3106"/>
      <c r="J5" s="3105"/>
      <c r="K5" s="1806" t="s">
        <v>2136</v>
      </c>
      <c r="L5" s="3760"/>
      <c r="M5" s="3107"/>
      <c r="N5" s="3106"/>
      <c r="O5" s="3103"/>
      <c r="P5" s="3103"/>
      <c r="Q5" s="3103"/>
      <c r="R5" s="3609"/>
      <c r="S5" s="3610"/>
      <c r="T5" s="3610"/>
      <c r="U5" s="3761"/>
      <c r="V5" s="3761"/>
      <c r="W5" s="3761"/>
      <c r="X5" s="3761"/>
      <c r="Y5" s="3761"/>
      <c r="Z5" s="3761"/>
      <c r="AA5" s="3761"/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s="63" customFormat="1" ht="14" customHeight="1" thickBot="1">
      <c r="A6" s="3611" t="s">
        <v>214</v>
      </c>
      <c r="B6" s="3611" t="s">
        <v>461</v>
      </c>
      <c r="C6" s="629">
        <f t="shared" ref="C6:C8" si="1">IF(D6=1,U$4,IF(D6=2,V$4,IF(D6=3,W$4,IF(D6=4,X$4,IF(D6=5,Y$4,IF(D6=6,Z$4,IF(D6=7,AA$4,0)))))))</f>
        <v>2.3321759259259265E-4</v>
      </c>
      <c r="D6" s="3406">
        <v>1</v>
      </c>
      <c r="E6" s="3407">
        <v>1</v>
      </c>
      <c r="F6" s="3407">
        <v>1</v>
      </c>
      <c r="G6" s="3407">
        <v>600</v>
      </c>
      <c r="H6" s="2654"/>
      <c r="I6" s="2654">
        <v>0</v>
      </c>
      <c r="J6" s="3762">
        <v>0</v>
      </c>
      <c r="K6" s="2865" t="s">
        <v>2137</v>
      </c>
      <c r="L6" s="3366">
        <v>0.79861111111111116</v>
      </c>
      <c r="M6" s="3735">
        <v>1</v>
      </c>
      <c r="N6" s="3762">
        <f>P6*E6*F6+I6*E6*F6+J6*E6</f>
        <v>5.597222222222223E-3</v>
      </c>
      <c r="O6" s="3736">
        <f t="shared" ref="O6:O64" si="2">C6*G6/25</f>
        <v>5.597222222222223E-3</v>
      </c>
      <c r="P6" s="2866">
        <f t="shared" ref="P6:P13" si="3">O6*M6</f>
        <v>5.597222222222223E-3</v>
      </c>
      <c r="Q6" s="3412">
        <v>129</v>
      </c>
      <c r="R6" s="3763">
        <f t="shared" ref="R6:R13" si="4">E6*F6*G6</f>
        <v>600</v>
      </c>
      <c r="S6" s="2844">
        <f t="shared" ref="S6" si="5">E6*F6*G6/1000</f>
        <v>0.6</v>
      </c>
      <c r="T6" s="2845">
        <f t="shared" ref="T6" si="6">E6*F6*O6*4</f>
        <v>2.2388888888888892E-2</v>
      </c>
      <c r="U6" s="374">
        <f t="shared" ref="U6" si="7">IF(C6*4&gt;=$U$3,S6,0)</f>
        <v>0.6</v>
      </c>
      <c r="V6" s="2846">
        <f t="shared" ref="V6" si="8">IF(AND(C6*4&gt;=$V$3,C6*4&lt;$U$3),S6,0)</f>
        <v>0</v>
      </c>
      <c r="W6" s="2847">
        <f t="shared" ref="W6" si="9">IF(AND(C6*4&gt;=$W$3,C6*4&lt;$V$3),S6,0)</f>
        <v>0</v>
      </c>
      <c r="X6" s="2848">
        <f t="shared" ref="X6" si="10">IF(AND(C6*4&gt;=$X$3,C6*4&lt;$W$3),S6,0)</f>
        <v>0</v>
      </c>
      <c r="Y6" s="2849">
        <f t="shared" ref="Y6" si="11">IF(AND(C6*4&gt;=$Y$3,C6*4&lt;$X$3),S6,0)</f>
        <v>0</v>
      </c>
      <c r="Z6" s="2850">
        <f t="shared" ref="Z6" si="12">IF(AND(C6*4&gt;=$Z$3,C6*4&lt;$Y$3),S6,0)</f>
        <v>0</v>
      </c>
      <c r="AA6" s="2851">
        <f t="shared" ref="AA6" si="13">IF(AND(C6*4&gt;=$AA$3,C6*4&lt;$Z$3),S6,0)</f>
        <v>0</v>
      </c>
      <c r="AB6" s="2935"/>
      <c r="AC6" s="2867"/>
      <c r="AD6" s="2867"/>
      <c r="AE6" s="2867"/>
      <c r="AF6" s="2867"/>
      <c r="AG6" s="2867"/>
      <c r="AH6" s="2867"/>
      <c r="AI6" s="2935"/>
      <c r="AJ6" s="2935"/>
      <c r="AK6" s="2935"/>
      <c r="AL6" s="2935"/>
      <c r="AM6" s="2935"/>
      <c r="AN6" s="2935"/>
    </row>
    <row r="7" spans="1:40" s="63" customFormat="1" ht="14" customHeight="1" thickBot="1">
      <c r="A7" s="3611" t="s">
        <v>459</v>
      </c>
      <c r="B7" s="3611" t="s">
        <v>461</v>
      </c>
      <c r="C7" s="629">
        <f t="shared" si="1"/>
        <v>1.9733796296296302E-4</v>
      </c>
      <c r="D7" s="3421">
        <v>3</v>
      </c>
      <c r="E7" s="3422">
        <v>1</v>
      </c>
      <c r="F7" s="3422">
        <v>6</v>
      </c>
      <c r="G7" s="3422">
        <v>200</v>
      </c>
      <c r="H7" s="3423"/>
      <c r="I7" s="3423">
        <v>3.4722222222222224E-4</v>
      </c>
      <c r="J7" s="3423">
        <v>1.3888888888888889E-3</v>
      </c>
      <c r="K7" s="2875" t="s">
        <v>1741</v>
      </c>
      <c r="L7" s="3423">
        <f>L6+N6</f>
        <v>0.80420833333333341</v>
      </c>
      <c r="M7" s="3681">
        <v>1.2</v>
      </c>
      <c r="N7" s="3423">
        <f>P7*E7*F7+I7*E7*F7+J7*E7</f>
        <v>1.4838888888888891E-2</v>
      </c>
      <c r="O7" s="3736">
        <f t="shared" si="2"/>
        <v>1.5787037037037041E-3</v>
      </c>
      <c r="P7" s="2877">
        <f t="shared" si="3"/>
        <v>1.8944444444444449E-3</v>
      </c>
      <c r="Q7" s="3430">
        <v>165</v>
      </c>
      <c r="R7" s="3422">
        <f t="shared" si="4"/>
        <v>1200</v>
      </c>
      <c r="S7" s="2844">
        <f t="shared" ref="S7:S64" si="14">E7*F7*G7/1000</f>
        <v>1.2</v>
      </c>
      <c r="T7" s="2845">
        <f t="shared" ref="T7:T64" si="15">E7*F7*O7*4</f>
        <v>3.7888888888888902E-2</v>
      </c>
      <c r="U7" s="374">
        <f t="shared" ref="U7:U64" si="16">IF(C7*4&gt;=$U$3,S7,0)</f>
        <v>0</v>
      </c>
      <c r="V7" s="2846">
        <f t="shared" ref="V7:V64" si="17">IF(AND(C7*4&gt;=$V$3,C7*4&lt;$U$3),S7,0)</f>
        <v>0</v>
      </c>
      <c r="W7" s="2847">
        <f t="shared" ref="W7:W64" si="18">IF(AND(C7*4&gt;=$W$3,C7*4&lt;$V$3),S7,0)</f>
        <v>1.2</v>
      </c>
      <c r="X7" s="2848">
        <f t="shared" ref="X7:X64" si="19">IF(AND(C7*4&gt;=$X$3,C7*4&lt;$W$3),S7,0)</f>
        <v>0</v>
      </c>
      <c r="Y7" s="2849">
        <f t="shared" ref="Y7:Y64" si="20">IF(AND(C7*4&gt;=$Y$3,C7*4&lt;$X$3),S7,0)</f>
        <v>0</v>
      </c>
      <c r="Z7" s="2850">
        <f t="shared" ref="Z7:Z64" si="21">IF(AND(C7*4&gt;=$Z$3,C7*4&lt;$Y$3),S7,0)</f>
        <v>0</v>
      </c>
      <c r="AA7" s="2851">
        <f t="shared" ref="AA7:AA64" si="22">IF(AND(C7*4&gt;=$AA$3,C7*4&lt;$Z$3),S7,0)</f>
        <v>0</v>
      </c>
      <c r="AB7" s="2935"/>
      <c r="AC7" s="2867"/>
      <c r="AD7" s="2867"/>
      <c r="AE7" s="2867"/>
      <c r="AF7" s="2867"/>
      <c r="AG7" s="2867"/>
      <c r="AH7" s="2867"/>
      <c r="AI7" s="2935"/>
      <c r="AJ7" s="2935"/>
      <c r="AK7" s="2935"/>
      <c r="AL7" s="2935"/>
      <c r="AM7" s="2935"/>
      <c r="AN7" s="2935"/>
    </row>
    <row r="8" spans="1:40" s="63" customFormat="1" ht="14" customHeight="1" thickBot="1">
      <c r="A8" s="3611" t="s">
        <v>460</v>
      </c>
      <c r="B8" s="3611" t="s">
        <v>461</v>
      </c>
      <c r="C8" s="629">
        <f t="shared" si="1"/>
        <v>1.7581018518518521E-4</v>
      </c>
      <c r="D8" s="3436">
        <v>6</v>
      </c>
      <c r="E8" s="3765">
        <v>1</v>
      </c>
      <c r="F8" s="3765">
        <v>8</v>
      </c>
      <c r="G8" s="3765">
        <v>25</v>
      </c>
      <c r="H8" s="2284">
        <v>4.6296296296296293E-4</v>
      </c>
      <c r="I8" s="2284"/>
      <c r="J8" s="2284">
        <v>1.3888888888888889E-3</v>
      </c>
      <c r="K8" s="3766" t="s">
        <v>1224</v>
      </c>
      <c r="L8" s="2284">
        <f t="shared" ref="L8:L14" si="23">L7+N7</f>
        <v>0.81904722222222226</v>
      </c>
      <c r="M8" s="3738">
        <v>1</v>
      </c>
      <c r="N8" s="2284">
        <f t="shared" ref="N8:N10" si="24">H8*F8*E8</f>
        <v>3.7037037037037034E-3</v>
      </c>
      <c r="O8" s="2285">
        <f>C8*(G8/25)*1.02</f>
        <v>1.7932638888888892E-4</v>
      </c>
      <c r="P8" s="3739">
        <f t="shared" si="3"/>
        <v>1.7932638888888892E-4</v>
      </c>
      <c r="Q8" s="3767">
        <v>177</v>
      </c>
      <c r="R8" s="3765">
        <f t="shared" si="4"/>
        <v>200</v>
      </c>
      <c r="S8" s="2844">
        <f t="shared" si="14"/>
        <v>0.2</v>
      </c>
      <c r="T8" s="2845">
        <f t="shared" si="15"/>
        <v>5.7384444444444453E-3</v>
      </c>
      <c r="U8" s="374">
        <f t="shared" si="16"/>
        <v>0</v>
      </c>
      <c r="V8" s="2846">
        <f t="shared" si="17"/>
        <v>0</v>
      </c>
      <c r="W8" s="2847">
        <f t="shared" si="18"/>
        <v>0</v>
      </c>
      <c r="X8" s="2848">
        <f t="shared" si="19"/>
        <v>0</v>
      </c>
      <c r="Y8" s="2849">
        <f t="shared" si="20"/>
        <v>0</v>
      </c>
      <c r="Z8" s="2850">
        <f t="shared" si="21"/>
        <v>0.2</v>
      </c>
      <c r="AA8" s="2851">
        <f t="shared" si="22"/>
        <v>0</v>
      </c>
      <c r="AB8" s="2935"/>
      <c r="AC8" s="2867"/>
      <c r="AD8" s="2867"/>
      <c r="AE8" s="2867"/>
      <c r="AF8" s="2867"/>
      <c r="AG8" s="2867"/>
      <c r="AH8" s="2867"/>
      <c r="AI8" s="2935"/>
      <c r="AJ8" s="2935"/>
      <c r="AK8" s="2935"/>
      <c r="AL8" s="2935"/>
      <c r="AM8" s="2935"/>
      <c r="AN8" s="2935"/>
    </row>
    <row r="9" spans="1:40" s="63" customFormat="1" ht="14" customHeight="1" thickBot="1">
      <c r="A9" s="3611" t="s">
        <v>458</v>
      </c>
      <c r="B9" s="3611" t="s">
        <v>461</v>
      </c>
      <c r="C9" s="629">
        <f>IF(D9=1,U$4,IF(D9=2,V$4,IF(D9=3,W$4,IF(D9=4,X$4,IF(D9=5,Y$4,IF(D9=6,Z$4,IF(D9=7,AA$4,0)))))))</f>
        <v>1.7581018518518521E-4</v>
      </c>
      <c r="D9" s="3436">
        <v>6</v>
      </c>
      <c r="E9" s="2520">
        <v>1</v>
      </c>
      <c r="F9" s="2521">
        <v>8</v>
      </c>
      <c r="G9" s="2521">
        <v>25</v>
      </c>
      <c r="H9" s="2522">
        <v>5.7870370370370378E-4</v>
      </c>
      <c r="I9" s="2522"/>
      <c r="J9" s="2522">
        <v>1.3888888888888889E-3</v>
      </c>
      <c r="K9" s="2522" t="s">
        <v>1019</v>
      </c>
      <c r="L9" s="2522">
        <f t="shared" si="23"/>
        <v>0.82275092592592591</v>
      </c>
      <c r="M9" s="2523">
        <v>1.05</v>
      </c>
      <c r="N9" s="2522">
        <f t="shared" si="24"/>
        <v>4.6296296296296302E-3</v>
      </c>
      <c r="O9" s="2522">
        <f t="shared" ref="O9:O10" si="25">C9*(G9/25)*1.02</f>
        <v>1.7932638888888892E-4</v>
      </c>
      <c r="P9" s="2526">
        <f t="shared" si="3"/>
        <v>1.8829270833333337E-4</v>
      </c>
      <c r="Q9" s="2527">
        <v>166</v>
      </c>
      <c r="R9" s="2527">
        <f t="shared" si="4"/>
        <v>200</v>
      </c>
      <c r="S9" s="2844">
        <f t="shared" si="14"/>
        <v>0.2</v>
      </c>
      <c r="T9" s="2845">
        <f t="shared" si="15"/>
        <v>5.7384444444444453E-3</v>
      </c>
      <c r="U9" s="374">
        <f t="shared" si="16"/>
        <v>0</v>
      </c>
      <c r="V9" s="2846">
        <f t="shared" si="17"/>
        <v>0</v>
      </c>
      <c r="W9" s="2847">
        <f t="shared" si="18"/>
        <v>0</v>
      </c>
      <c r="X9" s="2848">
        <f t="shared" si="19"/>
        <v>0</v>
      </c>
      <c r="Y9" s="2849">
        <f t="shared" si="20"/>
        <v>0</v>
      </c>
      <c r="Z9" s="2850">
        <f t="shared" si="21"/>
        <v>0.2</v>
      </c>
      <c r="AA9" s="2851">
        <f t="shared" si="22"/>
        <v>0</v>
      </c>
      <c r="AB9" s="2935"/>
      <c r="AC9" s="2867"/>
      <c r="AD9" s="2867"/>
      <c r="AE9" s="2867"/>
      <c r="AF9" s="2867"/>
      <c r="AG9" s="2867"/>
      <c r="AH9" s="2867"/>
      <c r="AI9" s="2935"/>
      <c r="AJ9" s="2935"/>
      <c r="AK9" s="2935"/>
      <c r="AL9" s="2935"/>
      <c r="AM9" s="2935"/>
      <c r="AN9" s="2935"/>
    </row>
    <row r="10" spans="1:40" s="63" customFormat="1" ht="14" customHeight="1" thickBot="1">
      <c r="A10" s="3611" t="s">
        <v>219</v>
      </c>
      <c r="B10" s="3611" t="s">
        <v>461</v>
      </c>
      <c r="C10" s="629">
        <f t="shared" ref="C10:C13" si="26">IF(D10=1,U$4,IF(D10=2,V$4,IF(D10=3,W$4,IF(D10=4,X$4,IF(D10=5,Y$4,IF(D10=6,Z$4,IF(D10=7,AA$4,0)))))))</f>
        <v>1.7581018518518521E-4</v>
      </c>
      <c r="D10" s="3436">
        <v>6</v>
      </c>
      <c r="E10" s="2520">
        <v>1</v>
      </c>
      <c r="F10" s="2521">
        <v>8</v>
      </c>
      <c r="G10" s="2521">
        <v>25</v>
      </c>
      <c r="H10" s="2522">
        <v>5.7870370370370378E-4</v>
      </c>
      <c r="I10" s="2522"/>
      <c r="J10" s="2522">
        <v>1.3888888888888889E-3</v>
      </c>
      <c r="K10" s="2522" t="s">
        <v>1742</v>
      </c>
      <c r="L10" s="2522">
        <f t="shared" si="23"/>
        <v>0.82738055555555556</v>
      </c>
      <c r="M10" s="2523">
        <v>1.3</v>
      </c>
      <c r="N10" s="2522">
        <f t="shared" si="24"/>
        <v>4.6296296296296302E-3</v>
      </c>
      <c r="O10" s="2522">
        <f t="shared" si="25"/>
        <v>1.7932638888888892E-4</v>
      </c>
      <c r="P10" s="2526">
        <f t="shared" si="3"/>
        <v>2.331243055555556E-4</v>
      </c>
      <c r="Q10" s="2527">
        <v>166</v>
      </c>
      <c r="R10" s="2527">
        <f t="shared" si="4"/>
        <v>200</v>
      </c>
      <c r="S10" s="2844">
        <f t="shared" si="14"/>
        <v>0.2</v>
      </c>
      <c r="T10" s="2845">
        <f t="shared" si="15"/>
        <v>5.7384444444444453E-3</v>
      </c>
      <c r="U10" s="374">
        <f t="shared" si="16"/>
        <v>0</v>
      </c>
      <c r="V10" s="2846">
        <f t="shared" si="17"/>
        <v>0</v>
      </c>
      <c r="W10" s="2847">
        <f t="shared" si="18"/>
        <v>0</v>
      </c>
      <c r="X10" s="2848">
        <f t="shared" si="19"/>
        <v>0</v>
      </c>
      <c r="Y10" s="2849">
        <f t="shared" si="20"/>
        <v>0</v>
      </c>
      <c r="Z10" s="2850">
        <f t="shared" si="21"/>
        <v>0.2</v>
      </c>
      <c r="AA10" s="2851">
        <f t="shared" si="22"/>
        <v>0</v>
      </c>
      <c r="AB10" s="2935"/>
      <c r="AC10" s="2867"/>
      <c r="AD10" s="2867"/>
      <c r="AE10" s="2867"/>
      <c r="AF10" s="2867"/>
      <c r="AG10" s="2867"/>
      <c r="AH10" s="2867"/>
      <c r="AI10" s="2935"/>
      <c r="AJ10" s="2935"/>
      <c r="AK10" s="2935"/>
      <c r="AL10" s="2935"/>
      <c r="AM10" s="2935"/>
      <c r="AN10" s="2935"/>
    </row>
    <row r="11" spans="1:40" s="63" customFormat="1" ht="14" customHeight="1" thickBot="1">
      <c r="A11" s="3611"/>
      <c r="B11" s="3611" t="s">
        <v>461</v>
      </c>
      <c r="C11" s="629">
        <f t="shared" si="26"/>
        <v>1.7222222222222224E-4</v>
      </c>
      <c r="D11" s="2318">
        <v>7</v>
      </c>
      <c r="E11" s="2266">
        <v>1</v>
      </c>
      <c r="F11" s="2266">
        <v>8</v>
      </c>
      <c r="G11" s="2266">
        <v>25</v>
      </c>
      <c r="H11" s="2267">
        <v>6.9444444444444447E-4</v>
      </c>
      <c r="I11" s="2267"/>
      <c r="J11" s="2267">
        <v>1.3888888888888889E-3</v>
      </c>
      <c r="K11" s="2268" t="s">
        <v>878</v>
      </c>
      <c r="L11" s="2267">
        <f t="shared" si="23"/>
        <v>0.83201018518518521</v>
      </c>
      <c r="M11" s="3740">
        <v>0.96</v>
      </c>
      <c r="N11" s="2267">
        <f>P11*E11*F11+I11*E11*F11+J11*E11</f>
        <v>2.7115555555555556E-3</v>
      </c>
      <c r="O11" s="2526">
        <f t="shared" ref="O11:O12" si="27">C11*G11/25</f>
        <v>1.7222222222222221E-4</v>
      </c>
      <c r="P11" s="2517">
        <f t="shared" si="3"/>
        <v>1.653333333333333E-4</v>
      </c>
      <c r="Q11" s="3741" t="s">
        <v>274</v>
      </c>
      <c r="R11" s="3764">
        <f t="shared" si="4"/>
        <v>200</v>
      </c>
      <c r="S11" s="2844">
        <f t="shared" si="14"/>
        <v>0.2</v>
      </c>
      <c r="T11" s="2845">
        <f t="shared" si="15"/>
        <v>5.5111111111111107E-3</v>
      </c>
      <c r="U11" s="374">
        <f t="shared" si="16"/>
        <v>0</v>
      </c>
      <c r="V11" s="2846">
        <f t="shared" si="17"/>
        <v>0</v>
      </c>
      <c r="W11" s="2847">
        <f t="shared" si="18"/>
        <v>0</v>
      </c>
      <c r="X11" s="2848">
        <f t="shared" si="19"/>
        <v>0</v>
      </c>
      <c r="Y11" s="2849">
        <f t="shared" si="20"/>
        <v>0</v>
      </c>
      <c r="Z11" s="2850">
        <f t="shared" si="21"/>
        <v>0</v>
      </c>
      <c r="AA11" s="2851">
        <f t="shared" si="22"/>
        <v>0.2</v>
      </c>
      <c r="AB11" s="2935"/>
      <c r="AC11" s="2867"/>
      <c r="AD11" s="2867"/>
      <c r="AE11" s="2867"/>
      <c r="AF11" s="2867"/>
      <c r="AG11" s="2867"/>
      <c r="AH11" s="2867"/>
      <c r="AI11" s="2935"/>
      <c r="AJ11" s="2935"/>
      <c r="AK11" s="2935"/>
      <c r="AL11" s="2935"/>
      <c r="AM11" s="2935"/>
      <c r="AN11" s="2935"/>
    </row>
    <row r="12" spans="1:40" s="63" customFormat="1" ht="14" customHeight="1" thickBot="1">
      <c r="A12" s="3611"/>
      <c r="B12" s="3611" t="s">
        <v>461</v>
      </c>
      <c r="C12" s="629">
        <f t="shared" si="26"/>
        <v>1.7222222222222224E-4</v>
      </c>
      <c r="D12" s="2318">
        <v>7</v>
      </c>
      <c r="E12" s="2512">
        <v>1</v>
      </c>
      <c r="F12" s="2512">
        <v>3</v>
      </c>
      <c r="G12" s="2512">
        <v>50</v>
      </c>
      <c r="H12" s="2270"/>
      <c r="I12" s="2270">
        <v>2.0833333333333333E-3</v>
      </c>
      <c r="J12" s="2267">
        <v>1.3888888888888889E-3</v>
      </c>
      <c r="K12" s="3125" t="s">
        <v>284</v>
      </c>
      <c r="L12" s="2270">
        <f t="shared" si="23"/>
        <v>0.83472174074074079</v>
      </c>
      <c r="M12" s="3469">
        <v>1</v>
      </c>
      <c r="N12" s="2270">
        <f>P12*E12*F12+I12*E12*F12+J12*E12</f>
        <v>8.6722222222222218E-3</v>
      </c>
      <c r="O12" s="2526">
        <f t="shared" si="27"/>
        <v>3.4444444444444442E-4</v>
      </c>
      <c r="P12" s="2517">
        <f t="shared" si="3"/>
        <v>3.4444444444444442E-4</v>
      </c>
      <c r="Q12" s="2518" t="s">
        <v>316</v>
      </c>
      <c r="R12" s="3764">
        <f t="shared" si="4"/>
        <v>150</v>
      </c>
      <c r="S12" s="2844">
        <f t="shared" si="14"/>
        <v>0.15</v>
      </c>
      <c r="T12" s="2845">
        <f t="shared" si="15"/>
        <v>4.1333333333333326E-3</v>
      </c>
      <c r="U12" s="374">
        <f t="shared" si="16"/>
        <v>0</v>
      </c>
      <c r="V12" s="2846">
        <f t="shared" si="17"/>
        <v>0</v>
      </c>
      <c r="W12" s="2847">
        <f t="shared" si="18"/>
        <v>0</v>
      </c>
      <c r="X12" s="2848">
        <f t="shared" si="19"/>
        <v>0</v>
      </c>
      <c r="Y12" s="2849">
        <f t="shared" si="20"/>
        <v>0</v>
      </c>
      <c r="Z12" s="2850">
        <f t="shared" si="21"/>
        <v>0</v>
      </c>
      <c r="AA12" s="2851">
        <f t="shared" si="22"/>
        <v>0.15</v>
      </c>
      <c r="AB12" s="2935"/>
      <c r="AC12" s="2867"/>
      <c r="AD12" s="2867"/>
      <c r="AE12" s="2867"/>
      <c r="AF12" s="2867"/>
      <c r="AG12" s="2867"/>
      <c r="AH12" s="2867"/>
      <c r="AI12" s="2935"/>
      <c r="AJ12" s="2935"/>
      <c r="AK12" s="2935"/>
      <c r="AL12" s="2935"/>
      <c r="AM12" s="2935"/>
      <c r="AN12" s="2935"/>
    </row>
    <row r="13" spans="1:40" s="63" customFormat="1" ht="14" customHeight="1" thickBot="1">
      <c r="A13" s="3611"/>
      <c r="B13" s="3611" t="s">
        <v>461</v>
      </c>
      <c r="C13" s="629">
        <f t="shared" si="26"/>
        <v>1.7581018518518521E-4</v>
      </c>
      <c r="D13" s="3436">
        <v>6</v>
      </c>
      <c r="E13" s="3765">
        <v>1</v>
      </c>
      <c r="F13" s="3765">
        <v>5</v>
      </c>
      <c r="G13" s="3765">
        <v>115</v>
      </c>
      <c r="H13" s="2284"/>
      <c r="I13" s="2284">
        <v>1.3888888888888889E-3</v>
      </c>
      <c r="J13" s="2284">
        <v>0</v>
      </c>
      <c r="K13" s="3766" t="s">
        <v>704</v>
      </c>
      <c r="L13" s="2284">
        <f t="shared" si="23"/>
        <v>0.84339396296296298</v>
      </c>
      <c r="M13" s="3738">
        <v>1</v>
      </c>
      <c r="N13" s="2284">
        <f>P13*E13*F13+I13*E13*F13+J13*E13</f>
        <v>1.1161954976851851E-2</v>
      </c>
      <c r="O13" s="2285">
        <f>C13*(G13/25)*1.043</f>
        <v>8.435021064814815E-4</v>
      </c>
      <c r="P13" s="3739">
        <f t="shared" si="3"/>
        <v>8.435021064814815E-4</v>
      </c>
      <c r="Q13" s="3767">
        <v>177</v>
      </c>
      <c r="R13" s="3765">
        <f t="shared" si="4"/>
        <v>575</v>
      </c>
      <c r="S13" s="2844">
        <f t="shared" si="14"/>
        <v>0.57499999999999996</v>
      </c>
      <c r="T13" s="2845">
        <f t="shared" si="15"/>
        <v>1.6870042129629628E-2</v>
      </c>
      <c r="U13" s="374">
        <f t="shared" si="16"/>
        <v>0</v>
      </c>
      <c r="V13" s="2846">
        <f t="shared" si="17"/>
        <v>0</v>
      </c>
      <c r="W13" s="2847">
        <f t="shared" si="18"/>
        <v>0</v>
      </c>
      <c r="X13" s="2848">
        <f t="shared" si="19"/>
        <v>0</v>
      </c>
      <c r="Y13" s="2849">
        <f t="shared" si="20"/>
        <v>0</v>
      </c>
      <c r="Z13" s="2850">
        <f t="shared" si="21"/>
        <v>0.57499999999999996</v>
      </c>
      <c r="AA13" s="2851">
        <f t="shared" si="22"/>
        <v>0</v>
      </c>
      <c r="AB13" s="2935"/>
      <c r="AC13" s="2867"/>
      <c r="AD13" s="2867"/>
      <c r="AE13" s="2867"/>
      <c r="AF13" s="2867"/>
      <c r="AG13" s="2867"/>
      <c r="AH13" s="2867"/>
      <c r="AI13" s="2935"/>
      <c r="AJ13" s="2935"/>
      <c r="AK13" s="2935"/>
      <c r="AL13" s="2935"/>
      <c r="AM13" s="2935"/>
      <c r="AN13" s="2935"/>
    </row>
    <row r="14" spans="1:40" s="63" customFormat="1" ht="14" customHeight="1" thickBot="1">
      <c r="A14" s="3611"/>
      <c r="B14" s="3611"/>
      <c r="C14" s="629"/>
      <c r="D14" s="3365"/>
      <c r="E14" s="2855"/>
      <c r="F14" s="2855"/>
      <c r="G14" s="2855"/>
      <c r="H14" s="2855"/>
      <c r="I14" s="2855"/>
      <c r="J14" s="2855"/>
      <c r="K14" s="2855"/>
      <c r="L14" s="2528">
        <f t="shared" si="23"/>
        <v>0.85455591793981478</v>
      </c>
      <c r="M14" s="3620"/>
      <c r="N14" s="2528"/>
      <c r="O14" s="2526"/>
      <c r="P14" s="2855"/>
      <c r="Q14" s="2855"/>
      <c r="R14" s="3621">
        <f>SUM(R6:R13)</f>
        <v>3325</v>
      </c>
      <c r="S14" s="2844">
        <f t="shared" si="14"/>
        <v>0</v>
      </c>
      <c r="T14" s="2845">
        <f t="shared" si="15"/>
        <v>0</v>
      </c>
      <c r="U14" s="374">
        <f t="shared" si="16"/>
        <v>0</v>
      </c>
      <c r="V14" s="2846">
        <f t="shared" si="17"/>
        <v>0</v>
      </c>
      <c r="W14" s="2847">
        <f t="shared" si="18"/>
        <v>0</v>
      </c>
      <c r="X14" s="2848">
        <f t="shared" si="19"/>
        <v>0</v>
      </c>
      <c r="Y14" s="2849">
        <f t="shared" si="20"/>
        <v>0</v>
      </c>
      <c r="Z14" s="2850">
        <f t="shared" si="21"/>
        <v>0</v>
      </c>
      <c r="AA14" s="2851">
        <f t="shared" si="22"/>
        <v>0</v>
      </c>
      <c r="AB14" s="2935"/>
      <c r="AC14" s="2867"/>
      <c r="AD14" s="2867"/>
      <c r="AE14" s="2867"/>
      <c r="AF14" s="2867"/>
      <c r="AG14" s="2867"/>
      <c r="AH14" s="2867"/>
      <c r="AI14" s="2935"/>
      <c r="AJ14" s="2935"/>
      <c r="AK14" s="2935"/>
      <c r="AL14" s="2935"/>
      <c r="AM14" s="2935"/>
      <c r="AN14" s="2935"/>
    </row>
    <row r="15" spans="1:40" s="63" customFormat="1" ht="14" customHeight="1" thickBot="1">
      <c r="A15" s="2183" t="s">
        <v>215</v>
      </c>
      <c r="B15" s="3336" t="s">
        <v>215</v>
      </c>
      <c r="C15" s="629">
        <f t="shared" ref="C15:C64" si="28">IF(D15=1,U$4,IF(D15=2,V$4,IF(D15=3,W$4,IF(D15=4,X$4,IF(D15=5,Y$4,IF(D15=6,Z$4,IF(D15=7,AA$4,0)))))))</f>
        <v>2.3321759259259265E-4</v>
      </c>
      <c r="D15" s="2335">
        <v>1</v>
      </c>
      <c r="E15" s="2336">
        <v>1</v>
      </c>
      <c r="F15" s="2336">
        <v>1</v>
      </c>
      <c r="G15" s="2336">
        <v>1150</v>
      </c>
      <c r="H15" s="2337"/>
      <c r="I15" s="2337">
        <v>0</v>
      </c>
      <c r="J15" s="2337">
        <v>1.3888888888888889E-3</v>
      </c>
      <c r="K15" s="2338" t="s">
        <v>1743</v>
      </c>
      <c r="L15" s="2423">
        <v>0.30208333333333331</v>
      </c>
      <c r="M15" s="2502">
        <v>1</v>
      </c>
      <c r="N15" s="2337">
        <f>P15*E15*F15+I15*E15*F15+J15*E15</f>
        <v>1.2116898148148151E-2</v>
      </c>
      <c r="O15" s="2526">
        <f t="shared" ref="O15" si="29">C15*G15/25</f>
        <v>1.0728009259259262E-2</v>
      </c>
      <c r="P15" s="2359">
        <f t="shared" ref="P15:P20" si="30">O15*M15</f>
        <v>1.0728009259259262E-2</v>
      </c>
      <c r="Q15" s="2341">
        <v>129</v>
      </c>
      <c r="R15" s="2336">
        <f t="shared" ref="R15:R20" si="31">E15*F15*G15</f>
        <v>1150</v>
      </c>
      <c r="S15" s="2844">
        <f t="shared" si="14"/>
        <v>1.1499999999999999</v>
      </c>
      <c r="T15" s="2845">
        <f t="shared" si="15"/>
        <v>4.2912037037037047E-2</v>
      </c>
      <c r="U15" s="374">
        <f t="shared" si="16"/>
        <v>1.1499999999999999</v>
      </c>
      <c r="V15" s="2846">
        <f t="shared" si="17"/>
        <v>0</v>
      </c>
      <c r="W15" s="2847">
        <f t="shared" si="18"/>
        <v>0</v>
      </c>
      <c r="X15" s="2848">
        <f t="shared" si="19"/>
        <v>0</v>
      </c>
      <c r="Y15" s="2849">
        <f t="shared" si="20"/>
        <v>0</v>
      </c>
      <c r="Z15" s="2850">
        <f t="shared" si="21"/>
        <v>0</v>
      </c>
      <c r="AA15" s="2851">
        <f t="shared" si="22"/>
        <v>0</v>
      </c>
      <c r="AB15" s="2935"/>
      <c r="AC15" s="2867"/>
      <c r="AD15" s="2867"/>
      <c r="AE15" s="2867"/>
      <c r="AF15" s="2867"/>
      <c r="AG15" s="2867"/>
      <c r="AH15" s="2867"/>
      <c r="AI15" s="2935"/>
      <c r="AJ15" s="2935"/>
      <c r="AK15" s="2935"/>
      <c r="AL15" s="2935"/>
      <c r="AM15" s="2935"/>
      <c r="AN15" s="2935"/>
    </row>
    <row r="16" spans="1:40" s="63" customFormat="1" ht="14" customHeight="1" thickBot="1">
      <c r="A16" s="2183" t="s">
        <v>138</v>
      </c>
      <c r="B16" s="3336" t="s">
        <v>215</v>
      </c>
      <c r="C16" s="629">
        <f t="shared" si="28"/>
        <v>1.7939814814814817E-4</v>
      </c>
      <c r="D16" s="2520">
        <v>4</v>
      </c>
      <c r="E16" s="2521">
        <v>1</v>
      </c>
      <c r="F16" s="2521">
        <v>8</v>
      </c>
      <c r="G16" s="2521">
        <v>50</v>
      </c>
      <c r="H16" s="2522"/>
      <c r="I16" s="2522">
        <v>3.4722222222222224E-4</v>
      </c>
      <c r="J16" s="2522">
        <v>1.3888888888888889E-3</v>
      </c>
      <c r="K16" s="2523" t="s">
        <v>1744</v>
      </c>
      <c r="L16" s="2522">
        <f>L15+N15</f>
        <v>0.31420023148148146</v>
      </c>
      <c r="M16" s="2525">
        <v>1</v>
      </c>
      <c r="N16" s="2522">
        <f>P16*E16*F16+I16*E16*F16+J16*E16</f>
        <v>7.1231481481481493E-3</v>
      </c>
      <c r="O16" s="2526">
        <f>C16*(G16/25)*1.03</f>
        <v>3.6956018518518523E-4</v>
      </c>
      <c r="P16" s="2526">
        <f t="shared" si="30"/>
        <v>3.6956018518518523E-4</v>
      </c>
      <c r="Q16" s="2527">
        <v>177</v>
      </c>
      <c r="R16" s="2521">
        <f t="shared" si="31"/>
        <v>400</v>
      </c>
      <c r="S16" s="2844">
        <f t="shared" si="14"/>
        <v>0.4</v>
      </c>
      <c r="T16" s="2845">
        <f t="shared" si="15"/>
        <v>1.1825925925925927E-2</v>
      </c>
      <c r="U16" s="374">
        <f t="shared" si="16"/>
        <v>0</v>
      </c>
      <c r="V16" s="2846">
        <f t="shared" si="17"/>
        <v>0</v>
      </c>
      <c r="W16" s="2847">
        <f t="shared" si="18"/>
        <v>0</v>
      </c>
      <c r="X16" s="2848">
        <f t="shared" si="19"/>
        <v>0.4</v>
      </c>
      <c r="Y16" s="2849">
        <f t="shared" si="20"/>
        <v>0</v>
      </c>
      <c r="Z16" s="2850">
        <f t="shared" si="21"/>
        <v>0</v>
      </c>
      <c r="AA16" s="2851">
        <f t="shared" si="22"/>
        <v>0</v>
      </c>
      <c r="AB16" s="2935"/>
      <c r="AC16" s="2867"/>
      <c r="AD16" s="2867"/>
      <c r="AE16" s="2867"/>
      <c r="AF16" s="2867"/>
      <c r="AG16" s="2867"/>
      <c r="AH16" s="2867"/>
      <c r="AI16" s="2935"/>
      <c r="AJ16" s="2935"/>
      <c r="AK16" s="2935"/>
      <c r="AL16" s="2935"/>
      <c r="AM16" s="2935"/>
      <c r="AN16" s="2935"/>
    </row>
    <row r="17" spans="1:40" s="63" customFormat="1" ht="14" customHeight="1" thickBot="1">
      <c r="A17" s="2183" t="s">
        <v>462</v>
      </c>
      <c r="B17" s="3336" t="s">
        <v>215</v>
      </c>
      <c r="C17" s="629">
        <f t="shared" si="28"/>
        <v>1.9733796296296302E-4</v>
      </c>
      <c r="D17" s="2318">
        <v>3</v>
      </c>
      <c r="E17" s="2512">
        <v>1</v>
      </c>
      <c r="F17" s="2512">
        <v>8</v>
      </c>
      <c r="G17" s="2512">
        <v>50</v>
      </c>
      <c r="H17" s="2270"/>
      <c r="I17" s="2267">
        <v>5.2083333333333333E-4</v>
      </c>
      <c r="J17" s="3768">
        <v>1.3888888888888889E-3</v>
      </c>
      <c r="K17" s="3125" t="s">
        <v>1745</v>
      </c>
      <c r="L17" s="3768">
        <f t="shared" ref="L17:L21" si="32">L16+N16</f>
        <v>0.32132337962962959</v>
      </c>
      <c r="M17" s="3469">
        <v>0.85</v>
      </c>
      <c r="N17" s="3768">
        <f>P17*E17*F17+I17*E17*F17+J17*E17</f>
        <v>8.2393518518518519E-3</v>
      </c>
      <c r="O17" s="2526">
        <f t="shared" ref="O17:O18" si="33">C17*G17/25</f>
        <v>3.9467592592592603E-4</v>
      </c>
      <c r="P17" s="2517">
        <f t="shared" si="30"/>
        <v>3.3547453703703712E-4</v>
      </c>
      <c r="Q17" s="2518" t="s">
        <v>316</v>
      </c>
      <c r="R17" s="3764">
        <f t="shared" si="31"/>
        <v>400</v>
      </c>
      <c r="S17" s="2844">
        <f t="shared" si="14"/>
        <v>0.4</v>
      </c>
      <c r="T17" s="2845">
        <f t="shared" si="15"/>
        <v>1.2629629629629633E-2</v>
      </c>
      <c r="U17" s="374">
        <f t="shared" si="16"/>
        <v>0</v>
      </c>
      <c r="V17" s="2846">
        <f t="shared" si="17"/>
        <v>0</v>
      </c>
      <c r="W17" s="2847">
        <f t="shared" si="18"/>
        <v>0.4</v>
      </c>
      <c r="X17" s="2848">
        <f t="shared" si="19"/>
        <v>0</v>
      </c>
      <c r="Y17" s="2849">
        <f t="shared" si="20"/>
        <v>0</v>
      </c>
      <c r="Z17" s="2850">
        <f t="shared" si="21"/>
        <v>0</v>
      </c>
      <c r="AA17" s="2851">
        <f t="shared" si="22"/>
        <v>0</v>
      </c>
      <c r="AB17" s="2935"/>
      <c r="AC17" s="2867"/>
      <c r="AD17" s="2867"/>
      <c r="AE17" s="2867"/>
      <c r="AF17" s="2867"/>
      <c r="AG17" s="2867"/>
      <c r="AH17" s="2867"/>
      <c r="AI17" s="2935"/>
      <c r="AJ17" s="2935"/>
      <c r="AK17" s="2935"/>
      <c r="AL17" s="2935"/>
      <c r="AM17" s="2935"/>
      <c r="AN17" s="2935"/>
    </row>
    <row r="18" spans="1:40" s="63" customFormat="1" ht="14" customHeight="1" thickBot="1">
      <c r="A18" s="2183" t="s">
        <v>461</v>
      </c>
      <c r="B18" s="3336" t="s">
        <v>215</v>
      </c>
      <c r="C18" s="629">
        <f t="shared" si="28"/>
        <v>2.152777777777778E-4</v>
      </c>
      <c r="D18" s="2309">
        <v>2</v>
      </c>
      <c r="E18" s="2257">
        <v>1</v>
      </c>
      <c r="F18" s="2257">
        <v>8</v>
      </c>
      <c r="G18" s="2257">
        <v>50</v>
      </c>
      <c r="H18" s="2258"/>
      <c r="I18" s="2258">
        <v>2.8935185185185189E-4</v>
      </c>
      <c r="J18" s="2258">
        <v>6.9444444444444447E-4</v>
      </c>
      <c r="K18" s="2259" t="s">
        <v>1746</v>
      </c>
      <c r="L18" s="2258">
        <f t="shared" si="32"/>
        <v>0.32956273148148146</v>
      </c>
      <c r="M18" s="2326">
        <v>1.2</v>
      </c>
      <c r="N18" s="2258">
        <f>P18*E18*F18+I18*E18*F18+J18*E18</f>
        <v>7.1425925925925936E-3</v>
      </c>
      <c r="O18" s="2526">
        <f t="shared" si="33"/>
        <v>4.3055555555555561E-4</v>
      </c>
      <c r="P18" s="2262">
        <f t="shared" si="30"/>
        <v>5.1666666666666668E-4</v>
      </c>
      <c r="Q18" s="2274">
        <v>146</v>
      </c>
      <c r="R18" s="2257">
        <f t="shared" si="31"/>
        <v>400</v>
      </c>
      <c r="S18" s="2844">
        <f t="shared" si="14"/>
        <v>0.4</v>
      </c>
      <c r="T18" s="2845">
        <f t="shared" si="15"/>
        <v>1.3777777777777779E-2</v>
      </c>
      <c r="U18" s="374">
        <f t="shared" si="16"/>
        <v>0</v>
      </c>
      <c r="V18" s="2846">
        <f t="shared" si="17"/>
        <v>0.4</v>
      </c>
      <c r="W18" s="2847">
        <f t="shared" si="18"/>
        <v>0</v>
      </c>
      <c r="X18" s="2848">
        <f t="shared" si="19"/>
        <v>0</v>
      </c>
      <c r="Y18" s="2849">
        <f t="shared" si="20"/>
        <v>0</v>
      </c>
      <c r="Z18" s="2850">
        <f t="shared" si="21"/>
        <v>0</v>
      </c>
      <c r="AA18" s="2851">
        <f t="shared" si="22"/>
        <v>0</v>
      </c>
      <c r="AB18" s="2935"/>
      <c r="AC18" s="2867"/>
      <c r="AD18" s="2867"/>
      <c r="AE18" s="2867"/>
      <c r="AF18" s="2867"/>
      <c r="AG18" s="2867"/>
      <c r="AH18" s="2867"/>
      <c r="AI18" s="2935"/>
      <c r="AJ18" s="2935"/>
      <c r="AK18" s="2935"/>
      <c r="AL18" s="2935"/>
      <c r="AM18" s="2935"/>
      <c r="AN18" s="2935"/>
    </row>
    <row r="19" spans="1:40" s="63" customFormat="1" ht="14" customHeight="1" thickBot="1">
      <c r="A19" s="2183" t="s">
        <v>458</v>
      </c>
      <c r="B19" s="3336" t="s">
        <v>215</v>
      </c>
      <c r="C19" s="629">
        <f t="shared" si="28"/>
        <v>1.7939814814814817E-4</v>
      </c>
      <c r="D19" s="2520">
        <v>4</v>
      </c>
      <c r="E19" s="2521">
        <v>1</v>
      </c>
      <c r="F19" s="2521">
        <v>1</v>
      </c>
      <c r="G19" s="2521">
        <v>300</v>
      </c>
      <c r="H19" s="2522">
        <v>3.8194444444444443E-3</v>
      </c>
      <c r="I19" s="2522">
        <v>0</v>
      </c>
      <c r="J19" s="2522">
        <v>1.3888888888888889E-3</v>
      </c>
      <c r="K19" s="2523" t="s">
        <v>1747</v>
      </c>
      <c r="L19" s="2522">
        <f t="shared" si="32"/>
        <v>0.33670532407407405</v>
      </c>
      <c r="M19" s="2525">
        <v>1</v>
      </c>
      <c r="N19" s="2522">
        <f>H19*F19*E19</f>
        <v>3.8194444444444443E-3</v>
      </c>
      <c r="O19" s="2526">
        <f>C19*(G19/25)*1.07</f>
        <v>2.3034722222222228E-3</v>
      </c>
      <c r="P19" s="2526">
        <f t="shared" si="30"/>
        <v>2.3034722222222228E-3</v>
      </c>
      <c r="Q19" s="2527">
        <v>166</v>
      </c>
      <c r="R19" s="2521">
        <f t="shared" si="31"/>
        <v>300</v>
      </c>
      <c r="S19" s="2844">
        <f t="shared" si="14"/>
        <v>0.3</v>
      </c>
      <c r="T19" s="2845">
        <f t="shared" si="15"/>
        <v>9.2138888888888913E-3</v>
      </c>
      <c r="U19" s="374">
        <f t="shared" si="16"/>
        <v>0</v>
      </c>
      <c r="V19" s="2846">
        <f t="shared" si="17"/>
        <v>0</v>
      </c>
      <c r="W19" s="2847">
        <f t="shared" si="18"/>
        <v>0</v>
      </c>
      <c r="X19" s="2848">
        <f t="shared" si="19"/>
        <v>0.3</v>
      </c>
      <c r="Y19" s="2849">
        <f t="shared" si="20"/>
        <v>0</v>
      </c>
      <c r="Z19" s="2850">
        <f t="shared" si="21"/>
        <v>0</v>
      </c>
      <c r="AA19" s="2851">
        <f t="shared" si="22"/>
        <v>0</v>
      </c>
      <c r="AB19" s="2935"/>
      <c r="AC19" s="2867"/>
      <c r="AD19" s="2867"/>
      <c r="AE19" s="2867"/>
      <c r="AF19" s="2867"/>
      <c r="AG19" s="2867"/>
      <c r="AH19" s="2867"/>
      <c r="AI19" s="2935"/>
      <c r="AJ19" s="2935"/>
      <c r="AK19" s="2935"/>
      <c r="AL19" s="2935"/>
      <c r="AM19" s="2935"/>
      <c r="AN19" s="2935"/>
    </row>
    <row r="20" spans="1:40" s="63" customFormat="1" ht="14" customHeight="1" thickBot="1">
      <c r="A20" s="2183" t="s">
        <v>219</v>
      </c>
      <c r="B20" s="3336" t="s">
        <v>215</v>
      </c>
      <c r="C20" s="629">
        <f t="shared" si="28"/>
        <v>1.7222222222222224E-4</v>
      </c>
      <c r="D20" s="2318">
        <v>7</v>
      </c>
      <c r="E20" s="2512">
        <v>1</v>
      </c>
      <c r="F20" s="2512">
        <v>12</v>
      </c>
      <c r="G20" s="2512">
        <v>15</v>
      </c>
      <c r="H20" s="2270"/>
      <c r="I20" s="2270">
        <v>4.6296296296296293E-4</v>
      </c>
      <c r="J20" s="2270">
        <v>2.0833333333333333E-3</v>
      </c>
      <c r="K20" s="2880" t="s">
        <v>2138</v>
      </c>
      <c r="L20" s="2270">
        <f t="shared" si="32"/>
        <v>0.34052476851851848</v>
      </c>
      <c r="M20" s="2516">
        <v>0.7</v>
      </c>
      <c r="N20" s="2270">
        <f>P20*E20*F20+I20*E20*F20+J20*E20</f>
        <v>8.5068888888888885E-3</v>
      </c>
      <c r="O20" s="2526">
        <f t="shared" ref="O20:O21" si="34">C20*G20/25</f>
        <v>1.0333333333333336E-4</v>
      </c>
      <c r="P20" s="2517">
        <f t="shared" si="30"/>
        <v>7.2333333333333348E-5</v>
      </c>
      <c r="Q20" s="2518" t="s">
        <v>316</v>
      </c>
      <c r="R20" s="3764">
        <f t="shared" si="31"/>
        <v>180</v>
      </c>
      <c r="S20" s="2844">
        <f t="shared" si="14"/>
        <v>0.18</v>
      </c>
      <c r="T20" s="2845">
        <f t="shared" si="15"/>
        <v>4.9600000000000009E-3</v>
      </c>
      <c r="U20" s="374">
        <f t="shared" si="16"/>
        <v>0</v>
      </c>
      <c r="V20" s="2846">
        <f t="shared" si="17"/>
        <v>0</v>
      </c>
      <c r="W20" s="2847">
        <f t="shared" si="18"/>
        <v>0</v>
      </c>
      <c r="X20" s="2848">
        <f t="shared" si="19"/>
        <v>0</v>
      </c>
      <c r="Y20" s="2849">
        <f t="shared" si="20"/>
        <v>0</v>
      </c>
      <c r="Z20" s="2850">
        <f t="shared" si="21"/>
        <v>0</v>
      </c>
      <c r="AA20" s="2851">
        <f t="shared" si="22"/>
        <v>0.18</v>
      </c>
      <c r="AB20" s="2935"/>
      <c r="AC20" s="2867"/>
      <c r="AD20" s="2867"/>
      <c r="AE20" s="2867"/>
      <c r="AF20" s="2867"/>
      <c r="AG20" s="2867"/>
      <c r="AH20" s="2867"/>
      <c r="AI20" s="2935"/>
      <c r="AJ20" s="2935"/>
      <c r="AK20" s="2935"/>
      <c r="AL20" s="2935"/>
      <c r="AM20" s="2935"/>
      <c r="AN20" s="2935"/>
    </row>
    <row r="21" spans="1:40" s="63" customFormat="1" ht="14" customHeight="1" thickBot="1">
      <c r="A21" s="2183"/>
      <c r="B21" s="3336"/>
      <c r="C21" s="629">
        <f t="shared" si="28"/>
        <v>0</v>
      </c>
      <c r="D21" s="3365"/>
      <c r="E21" s="2855"/>
      <c r="F21" s="2855"/>
      <c r="G21" s="2855"/>
      <c r="H21" s="2855"/>
      <c r="I21" s="2855"/>
      <c r="J21" s="2284"/>
      <c r="K21" s="3780" t="s">
        <v>1760</v>
      </c>
      <c r="L21" s="2528">
        <f t="shared" si="32"/>
        <v>0.34903165740740738</v>
      </c>
      <c r="M21" s="3620"/>
      <c r="N21" s="2528">
        <f>SUM(N15:N20)</f>
        <v>4.694832407407408E-2</v>
      </c>
      <c r="O21" s="2526">
        <f t="shared" si="34"/>
        <v>0</v>
      </c>
      <c r="P21" s="2855"/>
      <c r="Q21" s="2855"/>
      <c r="R21" s="3621">
        <f>SUM(R15:R20)</f>
        <v>2830</v>
      </c>
      <c r="S21" s="2844">
        <f t="shared" si="14"/>
        <v>0</v>
      </c>
      <c r="T21" s="2845">
        <f t="shared" si="15"/>
        <v>0</v>
      </c>
      <c r="U21" s="374">
        <f t="shared" si="16"/>
        <v>0</v>
      </c>
      <c r="V21" s="2846">
        <f t="shared" si="17"/>
        <v>0</v>
      </c>
      <c r="W21" s="2847">
        <f t="shared" si="18"/>
        <v>0</v>
      </c>
      <c r="X21" s="2848">
        <f t="shared" si="19"/>
        <v>0</v>
      </c>
      <c r="Y21" s="2849">
        <f t="shared" si="20"/>
        <v>0</v>
      </c>
      <c r="Z21" s="2850">
        <f t="shared" si="21"/>
        <v>0</v>
      </c>
      <c r="AA21" s="2851">
        <f t="shared" si="22"/>
        <v>0</v>
      </c>
      <c r="AB21" s="2935"/>
      <c r="AC21" s="2867"/>
      <c r="AD21" s="2867"/>
      <c r="AE21" s="2867"/>
      <c r="AF21" s="2867"/>
      <c r="AG21" s="2867"/>
      <c r="AH21" s="2867"/>
      <c r="AI21" s="2935"/>
      <c r="AJ21" s="2935"/>
      <c r="AK21" s="2935"/>
      <c r="AL21" s="2935"/>
      <c r="AM21" s="2935"/>
      <c r="AN21" s="2935"/>
    </row>
    <row r="22" spans="1:40" ht="13" customHeight="1" thickBot="1">
      <c r="A22" s="2183" t="s">
        <v>215</v>
      </c>
      <c r="B22" s="3336" t="s">
        <v>461</v>
      </c>
      <c r="C22" s="629">
        <f t="shared" si="28"/>
        <v>2.3321759259259265E-4</v>
      </c>
      <c r="D22" s="2335">
        <v>1</v>
      </c>
      <c r="E22" s="2336">
        <v>1</v>
      </c>
      <c r="F22" s="2336">
        <v>1</v>
      </c>
      <c r="G22" s="2336">
        <v>650</v>
      </c>
      <c r="H22" s="2337"/>
      <c r="I22" s="2337">
        <v>0</v>
      </c>
      <c r="J22" s="2337">
        <v>0</v>
      </c>
      <c r="K22" s="2338" t="s">
        <v>2139</v>
      </c>
      <c r="L22" s="2423">
        <v>0.80555555555555547</v>
      </c>
      <c r="M22" s="2502">
        <v>1</v>
      </c>
      <c r="N22" s="2337">
        <f>P22*E22*F22+I22*E22*F22+J22*E22</f>
        <v>6.0636574074074091E-3</v>
      </c>
      <c r="O22" s="2526">
        <f t="shared" si="2"/>
        <v>6.0636574074074091E-3</v>
      </c>
      <c r="P22" s="2359">
        <f t="shared" ref="P22:P30" si="35">O22*M22</f>
        <v>6.0636574074074091E-3</v>
      </c>
      <c r="Q22" s="2341">
        <v>129</v>
      </c>
      <c r="R22" s="2336">
        <f t="shared" ref="R22:R30" si="36">E22*F22*G22</f>
        <v>650</v>
      </c>
      <c r="S22" s="2844">
        <f t="shared" si="14"/>
        <v>0.65</v>
      </c>
      <c r="T22" s="2845">
        <f t="shared" si="15"/>
        <v>2.4254629629629636E-2</v>
      </c>
      <c r="U22" s="374">
        <f t="shared" si="16"/>
        <v>0.65</v>
      </c>
      <c r="V22" s="2846">
        <f t="shared" si="17"/>
        <v>0</v>
      </c>
      <c r="W22" s="2847">
        <f t="shared" si="18"/>
        <v>0</v>
      </c>
      <c r="X22" s="2848">
        <f t="shared" si="19"/>
        <v>0</v>
      </c>
      <c r="Y22" s="2849">
        <f t="shared" si="20"/>
        <v>0</v>
      </c>
      <c r="Z22" s="2850">
        <f t="shared" si="21"/>
        <v>0</v>
      </c>
      <c r="AA22" s="2851">
        <f t="shared" si="22"/>
        <v>0</v>
      </c>
      <c r="AB22" s="2935"/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</row>
    <row r="23" spans="1:40" ht="14" customHeight="1" thickBot="1">
      <c r="A23" s="2183" t="s">
        <v>138</v>
      </c>
      <c r="B23" s="3336" t="s">
        <v>461</v>
      </c>
      <c r="C23" s="629">
        <f t="shared" si="28"/>
        <v>1.9733796296296302E-4</v>
      </c>
      <c r="D23" s="2309">
        <v>3</v>
      </c>
      <c r="E23" s="2257">
        <v>1</v>
      </c>
      <c r="F23" s="2257">
        <v>3</v>
      </c>
      <c r="G23" s="2257">
        <v>200</v>
      </c>
      <c r="H23" s="2258"/>
      <c r="I23" s="2258">
        <v>3.4722222222222224E-4</v>
      </c>
      <c r="J23" s="2258">
        <v>1.3888888888888889E-3</v>
      </c>
      <c r="K23" s="2259" t="s">
        <v>1741</v>
      </c>
      <c r="L23" s="2258">
        <f>L22+N22</f>
        <v>0.81161921296296291</v>
      </c>
      <c r="M23" s="2326">
        <v>1.2</v>
      </c>
      <c r="N23" s="2258">
        <f>P23*E23*F23+I23*E23*F23+J23*E23</f>
        <v>8.1138888888888892E-3</v>
      </c>
      <c r="O23" s="2526">
        <f t="shared" si="2"/>
        <v>1.5787037037037041E-3</v>
      </c>
      <c r="P23" s="2262">
        <f t="shared" si="35"/>
        <v>1.8944444444444449E-3</v>
      </c>
      <c r="Q23" s="2274">
        <v>165</v>
      </c>
      <c r="R23" s="2257">
        <f t="shared" si="36"/>
        <v>600</v>
      </c>
      <c r="S23" s="2844">
        <f t="shared" si="14"/>
        <v>0.6</v>
      </c>
      <c r="T23" s="2845">
        <f t="shared" si="15"/>
        <v>1.8944444444444451E-2</v>
      </c>
      <c r="U23" s="374">
        <f t="shared" si="16"/>
        <v>0</v>
      </c>
      <c r="V23" s="2846">
        <f t="shared" si="17"/>
        <v>0</v>
      </c>
      <c r="W23" s="2847">
        <f t="shared" si="18"/>
        <v>0.6</v>
      </c>
      <c r="X23" s="2848">
        <f t="shared" si="19"/>
        <v>0</v>
      </c>
      <c r="Y23" s="2849">
        <f t="shared" si="20"/>
        <v>0</v>
      </c>
      <c r="Z23" s="2850">
        <f t="shared" si="21"/>
        <v>0</v>
      </c>
      <c r="AA23" s="2851">
        <f t="shared" si="22"/>
        <v>0</v>
      </c>
      <c r="AB23" s="2935"/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</row>
    <row r="24" spans="1:40" ht="14" customHeight="1" thickBot="1">
      <c r="A24" s="2183" t="s">
        <v>462</v>
      </c>
      <c r="B24" s="3336" t="s">
        <v>461</v>
      </c>
      <c r="C24" s="629">
        <f t="shared" si="28"/>
        <v>1.7581018518518521E-4</v>
      </c>
      <c r="D24" s="3436">
        <v>6</v>
      </c>
      <c r="E24" s="3765">
        <v>1</v>
      </c>
      <c r="F24" s="3765">
        <v>8</v>
      </c>
      <c r="G24" s="3765">
        <v>25</v>
      </c>
      <c r="H24" s="2284">
        <v>4.6296296296296293E-4</v>
      </c>
      <c r="I24" s="2284"/>
      <c r="J24" s="2284">
        <v>1.3888888888888889E-3</v>
      </c>
      <c r="K24" s="3766" t="s">
        <v>1224</v>
      </c>
      <c r="L24" s="2284">
        <f t="shared" ref="L24:L31" si="37">L23+N23</f>
        <v>0.81973310185185178</v>
      </c>
      <c r="M24" s="3738">
        <v>1</v>
      </c>
      <c r="N24" s="2284">
        <f t="shared" ref="N24:N26" si="38">H24*F24*E24</f>
        <v>3.7037037037037034E-3</v>
      </c>
      <c r="O24" s="2285">
        <f>C24*(G24/25)*1.02</f>
        <v>1.7932638888888892E-4</v>
      </c>
      <c r="P24" s="3739">
        <f t="shared" si="35"/>
        <v>1.7932638888888892E-4</v>
      </c>
      <c r="Q24" s="3767">
        <v>177</v>
      </c>
      <c r="R24" s="3765">
        <f t="shared" si="36"/>
        <v>200</v>
      </c>
      <c r="S24" s="2844">
        <f t="shared" si="14"/>
        <v>0.2</v>
      </c>
      <c r="T24" s="2845">
        <f t="shared" si="15"/>
        <v>5.7384444444444453E-3</v>
      </c>
      <c r="U24" s="374">
        <f t="shared" si="16"/>
        <v>0</v>
      </c>
      <c r="V24" s="2846">
        <f t="shared" si="17"/>
        <v>0</v>
      </c>
      <c r="W24" s="2847">
        <f t="shared" si="18"/>
        <v>0</v>
      </c>
      <c r="X24" s="2848">
        <f t="shared" si="19"/>
        <v>0</v>
      </c>
      <c r="Y24" s="2849">
        <f t="shared" si="20"/>
        <v>0</v>
      </c>
      <c r="Z24" s="2850">
        <f t="shared" si="21"/>
        <v>0.2</v>
      </c>
      <c r="AA24" s="2851">
        <f t="shared" si="22"/>
        <v>0</v>
      </c>
      <c r="AB24" s="2935"/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</row>
    <row r="25" spans="1:40" ht="14" customHeight="1" thickBot="1">
      <c r="A25" s="2183" t="s">
        <v>461</v>
      </c>
      <c r="B25" s="3336" t="s">
        <v>461</v>
      </c>
      <c r="C25" s="629">
        <f t="shared" si="28"/>
        <v>1.7581018518518521E-4</v>
      </c>
      <c r="D25" s="3436">
        <v>6</v>
      </c>
      <c r="E25" s="2520">
        <v>1</v>
      </c>
      <c r="F25" s="2521">
        <v>8</v>
      </c>
      <c r="G25" s="2521">
        <v>25</v>
      </c>
      <c r="H25" s="2522">
        <v>5.7870370370370378E-4</v>
      </c>
      <c r="I25" s="2522"/>
      <c r="J25" s="2522">
        <v>1.3888888888888889E-3</v>
      </c>
      <c r="K25" s="2522" t="s">
        <v>702</v>
      </c>
      <c r="L25" s="2522">
        <f t="shared" si="37"/>
        <v>0.82343680555555543</v>
      </c>
      <c r="M25" s="2523">
        <v>1.05</v>
      </c>
      <c r="N25" s="2522">
        <f t="shared" si="38"/>
        <v>4.6296296296296302E-3</v>
      </c>
      <c r="O25" s="2522">
        <f t="shared" ref="O25:O26" si="39">C25*(G25/25)*1.02</f>
        <v>1.7932638888888892E-4</v>
      </c>
      <c r="P25" s="2526">
        <f t="shared" si="35"/>
        <v>1.8829270833333337E-4</v>
      </c>
      <c r="Q25" s="2527">
        <v>166</v>
      </c>
      <c r="R25" s="2527">
        <f t="shared" si="36"/>
        <v>200</v>
      </c>
      <c r="S25" s="2844">
        <f t="shared" si="14"/>
        <v>0.2</v>
      </c>
      <c r="T25" s="2845">
        <f t="shared" si="15"/>
        <v>5.7384444444444453E-3</v>
      </c>
      <c r="U25" s="374">
        <f t="shared" si="16"/>
        <v>0</v>
      </c>
      <c r="V25" s="2846">
        <f t="shared" si="17"/>
        <v>0</v>
      </c>
      <c r="W25" s="2847">
        <f t="shared" si="18"/>
        <v>0</v>
      </c>
      <c r="X25" s="2848">
        <f t="shared" si="19"/>
        <v>0</v>
      </c>
      <c r="Y25" s="2849">
        <f t="shared" si="20"/>
        <v>0</v>
      </c>
      <c r="Z25" s="2850">
        <f t="shared" si="21"/>
        <v>0.2</v>
      </c>
      <c r="AA25" s="2851">
        <f t="shared" si="22"/>
        <v>0</v>
      </c>
      <c r="AB25" s="2935"/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</row>
    <row r="26" spans="1:40" ht="14" customHeight="1" thickBot="1">
      <c r="A26" s="2183" t="s">
        <v>458</v>
      </c>
      <c r="B26" s="3336" t="s">
        <v>461</v>
      </c>
      <c r="C26" s="629">
        <f t="shared" si="28"/>
        <v>1.7581018518518521E-4</v>
      </c>
      <c r="D26" s="3436">
        <v>6</v>
      </c>
      <c r="E26" s="2520">
        <v>1</v>
      </c>
      <c r="F26" s="2521">
        <v>8</v>
      </c>
      <c r="G26" s="2521">
        <v>25</v>
      </c>
      <c r="H26" s="2522">
        <v>5.7870370370370378E-4</v>
      </c>
      <c r="I26" s="2522"/>
      <c r="J26" s="2522">
        <v>1.3888888888888889E-3</v>
      </c>
      <c r="K26" s="2522" t="s">
        <v>1748</v>
      </c>
      <c r="L26" s="2522">
        <f t="shared" si="37"/>
        <v>0.82806643518518508</v>
      </c>
      <c r="M26" s="2523">
        <v>1.3</v>
      </c>
      <c r="N26" s="2522">
        <f t="shared" si="38"/>
        <v>4.6296296296296302E-3</v>
      </c>
      <c r="O26" s="2522">
        <f t="shared" si="39"/>
        <v>1.7932638888888892E-4</v>
      </c>
      <c r="P26" s="2526">
        <f t="shared" si="35"/>
        <v>2.331243055555556E-4</v>
      </c>
      <c r="Q26" s="2527">
        <v>166</v>
      </c>
      <c r="R26" s="2527">
        <f t="shared" si="36"/>
        <v>200</v>
      </c>
      <c r="S26" s="2844">
        <f t="shared" si="14"/>
        <v>0.2</v>
      </c>
      <c r="T26" s="2845">
        <f t="shared" si="15"/>
        <v>5.7384444444444453E-3</v>
      </c>
      <c r="U26" s="374">
        <f t="shared" si="16"/>
        <v>0</v>
      </c>
      <c r="V26" s="2846">
        <f t="shared" si="17"/>
        <v>0</v>
      </c>
      <c r="W26" s="2847">
        <f t="shared" si="18"/>
        <v>0</v>
      </c>
      <c r="X26" s="2848">
        <f t="shared" si="19"/>
        <v>0</v>
      </c>
      <c r="Y26" s="2849">
        <f t="shared" si="20"/>
        <v>0</v>
      </c>
      <c r="Z26" s="2850">
        <f t="shared" si="21"/>
        <v>0.2</v>
      </c>
      <c r="AA26" s="2851">
        <f t="shared" si="22"/>
        <v>0</v>
      </c>
      <c r="AB26" s="2935"/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5" customHeight="1" thickBot="1">
      <c r="A27" s="2183" t="s">
        <v>219</v>
      </c>
      <c r="B27" s="3336" t="s">
        <v>461</v>
      </c>
      <c r="C27" s="629">
        <f t="shared" si="28"/>
        <v>1.7222222222222224E-4</v>
      </c>
      <c r="D27" s="2318">
        <v>7</v>
      </c>
      <c r="E27" s="2266">
        <v>1</v>
      </c>
      <c r="F27" s="2266">
        <v>8</v>
      </c>
      <c r="G27" s="2266">
        <v>25</v>
      </c>
      <c r="H27" s="2267">
        <v>6.9444444444444447E-4</v>
      </c>
      <c r="I27" s="2267"/>
      <c r="J27" s="2267">
        <v>1.3888888888888889E-3</v>
      </c>
      <c r="K27" s="2268" t="s">
        <v>411</v>
      </c>
      <c r="L27" s="2267">
        <f t="shared" si="37"/>
        <v>0.83269606481481473</v>
      </c>
      <c r="M27" s="3740">
        <v>0.96</v>
      </c>
      <c r="N27" s="2267">
        <f>P27*E27*F27+I27*E27*F27+J27*E27</f>
        <v>2.7115555555555556E-3</v>
      </c>
      <c r="O27" s="2526">
        <f t="shared" si="2"/>
        <v>1.7222222222222221E-4</v>
      </c>
      <c r="P27" s="2517">
        <f t="shared" si="35"/>
        <v>1.653333333333333E-4</v>
      </c>
      <c r="Q27" s="3741" t="s">
        <v>274</v>
      </c>
      <c r="R27" s="3764">
        <f t="shared" si="36"/>
        <v>200</v>
      </c>
      <c r="S27" s="2844">
        <f t="shared" si="14"/>
        <v>0.2</v>
      </c>
      <c r="T27" s="2845">
        <f t="shared" si="15"/>
        <v>5.5111111111111107E-3</v>
      </c>
      <c r="U27" s="374">
        <f t="shared" si="16"/>
        <v>0</v>
      </c>
      <c r="V27" s="2846">
        <f t="shared" si="17"/>
        <v>0</v>
      </c>
      <c r="W27" s="2847">
        <f t="shared" si="18"/>
        <v>0</v>
      </c>
      <c r="X27" s="2848">
        <f t="shared" si="19"/>
        <v>0</v>
      </c>
      <c r="Y27" s="2849">
        <f t="shared" si="20"/>
        <v>0</v>
      </c>
      <c r="Z27" s="2850">
        <f t="shared" si="21"/>
        <v>0</v>
      </c>
      <c r="AA27" s="2851">
        <f t="shared" si="22"/>
        <v>0.2</v>
      </c>
      <c r="AB27" s="2935"/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5" customHeight="1" thickBot="1">
      <c r="A28" s="2183"/>
      <c r="B28" s="3336"/>
      <c r="C28" s="629">
        <f t="shared" si="28"/>
        <v>1.7222222222222224E-4</v>
      </c>
      <c r="D28" s="2318">
        <v>7</v>
      </c>
      <c r="E28" s="2512">
        <v>1</v>
      </c>
      <c r="F28" s="2512">
        <v>3</v>
      </c>
      <c r="G28" s="2512">
        <v>50</v>
      </c>
      <c r="H28" s="2270"/>
      <c r="I28" s="2270">
        <v>2.0833333333333333E-3</v>
      </c>
      <c r="J28" s="2267">
        <v>1.3888888888888889E-3</v>
      </c>
      <c r="K28" s="3125" t="s">
        <v>315</v>
      </c>
      <c r="L28" s="2270">
        <f t="shared" si="37"/>
        <v>0.83540762037037031</v>
      </c>
      <c r="M28" s="3469">
        <v>1</v>
      </c>
      <c r="N28" s="2270">
        <f>P28*E28*F28+I28*E28*F28+J28*E28</f>
        <v>8.6722222222222218E-3</v>
      </c>
      <c r="O28" s="2526">
        <f t="shared" si="2"/>
        <v>3.4444444444444442E-4</v>
      </c>
      <c r="P28" s="2517">
        <f t="shared" si="35"/>
        <v>3.4444444444444442E-4</v>
      </c>
      <c r="Q28" s="2518" t="s">
        <v>316</v>
      </c>
      <c r="R28" s="3764">
        <f t="shared" si="36"/>
        <v>150</v>
      </c>
      <c r="S28" s="2844">
        <f t="shared" si="14"/>
        <v>0.15</v>
      </c>
      <c r="T28" s="2845">
        <f t="shared" si="15"/>
        <v>4.1333333333333326E-3</v>
      </c>
      <c r="U28" s="374">
        <f t="shared" si="16"/>
        <v>0</v>
      </c>
      <c r="V28" s="2846">
        <f t="shared" si="17"/>
        <v>0</v>
      </c>
      <c r="W28" s="2847">
        <f t="shared" si="18"/>
        <v>0</v>
      </c>
      <c r="X28" s="2848">
        <f t="shared" si="19"/>
        <v>0</v>
      </c>
      <c r="Y28" s="2849">
        <f t="shared" si="20"/>
        <v>0</v>
      </c>
      <c r="Z28" s="2850">
        <f t="shared" si="21"/>
        <v>0</v>
      </c>
      <c r="AA28" s="2851">
        <f t="shared" si="22"/>
        <v>0.15</v>
      </c>
      <c r="AB28" s="2935"/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5" customHeight="1" thickBot="1">
      <c r="A29" s="2183"/>
      <c r="B29" s="3336"/>
      <c r="C29" s="629">
        <f t="shared" si="28"/>
        <v>1.7581018518518521E-4</v>
      </c>
      <c r="D29" s="3436">
        <v>6</v>
      </c>
      <c r="E29" s="3765">
        <v>1</v>
      </c>
      <c r="F29" s="3765">
        <v>5</v>
      </c>
      <c r="G29" s="3765">
        <v>50</v>
      </c>
      <c r="H29" s="2284"/>
      <c r="I29" s="2284">
        <v>1.3888888888888889E-3</v>
      </c>
      <c r="J29" s="2284">
        <v>0</v>
      </c>
      <c r="K29" s="3766" t="s">
        <v>284</v>
      </c>
      <c r="L29" s="2284">
        <f t="shared" si="37"/>
        <v>0.8440798425925925</v>
      </c>
      <c r="M29" s="3738">
        <v>1</v>
      </c>
      <c r="N29" s="2284">
        <f>P29*E29*F29+I29*E29*F29+J29*E29</f>
        <v>8.7781446759259262E-3</v>
      </c>
      <c r="O29" s="2285">
        <f>C29*(G29/25)*1.043</f>
        <v>3.6674004629629633E-4</v>
      </c>
      <c r="P29" s="3739">
        <f t="shared" si="35"/>
        <v>3.6674004629629633E-4</v>
      </c>
      <c r="Q29" s="3767">
        <v>177</v>
      </c>
      <c r="R29" s="3765">
        <f t="shared" si="36"/>
        <v>250</v>
      </c>
      <c r="S29" s="2844">
        <f t="shared" si="14"/>
        <v>0.25</v>
      </c>
      <c r="T29" s="2845">
        <f t="shared" si="15"/>
        <v>7.3348009259259269E-3</v>
      </c>
      <c r="U29" s="374">
        <f t="shared" si="16"/>
        <v>0</v>
      </c>
      <c r="V29" s="2846">
        <f t="shared" si="17"/>
        <v>0</v>
      </c>
      <c r="W29" s="2847">
        <f t="shared" si="18"/>
        <v>0</v>
      </c>
      <c r="X29" s="2848">
        <f t="shared" si="19"/>
        <v>0</v>
      </c>
      <c r="Y29" s="2849">
        <f t="shared" si="20"/>
        <v>0</v>
      </c>
      <c r="Z29" s="2850">
        <f t="shared" si="21"/>
        <v>0.25</v>
      </c>
      <c r="AA29" s="2851">
        <f t="shared" si="22"/>
        <v>0</v>
      </c>
      <c r="AB29" s="2935"/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5" customHeight="1" thickBot="1">
      <c r="A30" s="2183"/>
      <c r="B30" s="3336"/>
      <c r="C30" s="629">
        <f t="shared" si="28"/>
        <v>1.7222222222222224E-4</v>
      </c>
      <c r="D30" s="2318">
        <v>7</v>
      </c>
      <c r="E30" s="2512">
        <v>1</v>
      </c>
      <c r="F30" s="2512">
        <v>12</v>
      </c>
      <c r="G30" s="2512">
        <v>20</v>
      </c>
      <c r="H30" s="2270"/>
      <c r="I30" s="2270">
        <v>1.1574074074074073E-3</v>
      </c>
      <c r="J30" s="2270">
        <v>2.0833333333333333E-3</v>
      </c>
      <c r="K30" s="2880" t="s">
        <v>1749</v>
      </c>
      <c r="L30" s="2270">
        <f t="shared" si="37"/>
        <v>0.85285798726851847</v>
      </c>
      <c r="M30" s="2516">
        <v>0.7</v>
      </c>
      <c r="N30" s="2270">
        <f>P30*E30*F30+I30*E30*F30+J30*E30</f>
        <v>1.7129555555555554E-2</v>
      </c>
      <c r="O30" s="2526">
        <f t="shared" ref="O30" si="40">C30*G30/25</f>
        <v>1.3777777777777779E-4</v>
      </c>
      <c r="P30" s="2517">
        <f t="shared" si="35"/>
        <v>9.644444444444445E-5</v>
      </c>
      <c r="Q30" s="2518" t="s">
        <v>316</v>
      </c>
      <c r="R30" s="3764">
        <f t="shared" si="36"/>
        <v>240</v>
      </c>
      <c r="S30" s="2844">
        <f t="shared" si="14"/>
        <v>0.24</v>
      </c>
      <c r="T30" s="2845">
        <f t="shared" si="15"/>
        <v>6.6133333333333339E-3</v>
      </c>
      <c r="U30" s="374">
        <f t="shared" si="16"/>
        <v>0</v>
      </c>
      <c r="V30" s="2846">
        <f t="shared" si="17"/>
        <v>0</v>
      </c>
      <c r="W30" s="2847">
        <f t="shared" si="18"/>
        <v>0</v>
      </c>
      <c r="X30" s="2848">
        <f t="shared" si="19"/>
        <v>0</v>
      </c>
      <c r="Y30" s="2849">
        <f t="shared" si="20"/>
        <v>0</v>
      </c>
      <c r="Z30" s="2850">
        <f t="shared" si="21"/>
        <v>0</v>
      </c>
      <c r="AA30" s="2851">
        <f t="shared" si="22"/>
        <v>0.24</v>
      </c>
      <c r="AB30" s="2935"/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2.75" customHeight="1" thickBot="1">
      <c r="A31" s="2183"/>
      <c r="B31" s="3336"/>
      <c r="C31" s="629">
        <f t="shared" si="28"/>
        <v>0</v>
      </c>
      <c r="D31" s="3365"/>
      <c r="E31" s="2855"/>
      <c r="F31" s="2855"/>
      <c r="G31" s="2855"/>
      <c r="H31" s="2855"/>
      <c r="I31" s="2855"/>
      <c r="J31" s="2855"/>
      <c r="K31" s="2855"/>
      <c r="L31" s="2528">
        <f t="shared" si="37"/>
        <v>0.86998754282407398</v>
      </c>
      <c r="M31" s="3620"/>
      <c r="N31" s="2528">
        <f>SUM(N22:N30)</f>
        <v>6.4431987268518523E-2</v>
      </c>
      <c r="O31" s="2526">
        <f t="shared" si="2"/>
        <v>0</v>
      </c>
      <c r="P31" s="2855"/>
      <c r="Q31" s="2855"/>
      <c r="R31" s="3621">
        <f>SUM(R22:R30)</f>
        <v>2690</v>
      </c>
      <c r="S31" s="2844">
        <f t="shared" si="14"/>
        <v>0</v>
      </c>
      <c r="T31" s="2845">
        <f t="shared" si="15"/>
        <v>0</v>
      </c>
      <c r="U31" s="374">
        <f t="shared" si="16"/>
        <v>0</v>
      </c>
      <c r="V31" s="2846">
        <f t="shared" si="17"/>
        <v>0</v>
      </c>
      <c r="W31" s="2847">
        <f t="shared" si="18"/>
        <v>0</v>
      </c>
      <c r="X31" s="2848">
        <f t="shared" si="19"/>
        <v>0</v>
      </c>
      <c r="Y31" s="2849">
        <f t="shared" si="20"/>
        <v>0</v>
      </c>
      <c r="Z31" s="2850">
        <f t="shared" si="21"/>
        <v>0</v>
      </c>
      <c r="AA31" s="2851">
        <f t="shared" si="22"/>
        <v>0</v>
      </c>
      <c r="AB31" s="2935"/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6" customHeight="1" thickBot="1">
      <c r="A32" s="3109"/>
      <c r="B32" s="3110" t="s">
        <v>215</v>
      </c>
      <c r="C32" s="629">
        <f t="shared" si="28"/>
        <v>2.3321759259259265E-4</v>
      </c>
      <c r="D32" s="2335">
        <v>1</v>
      </c>
      <c r="E32" s="2336">
        <v>1</v>
      </c>
      <c r="F32" s="2336">
        <v>1</v>
      </c>
      <c r="G32" s="2336">
        <v>800</v>
      </c>
      <c r="H32" s="2337"/>
      <c r="I32" s="2337">
        <v>0</v>
      </c>
      <c r="J32" s="2337">
        <v>1.3888888888888889E-3</v>
      </c>
      <c r="K32" s="2338" t="s">
        <v>1750</v>
      </c>
      <c r="L32" s="2423">
        <v>0.30208333333333331</v>
      </c>
      <c r="M32" s="2502">
        <v>1</v>
      </c>
      <c r="N32" s="2337">
        <f>P32*E32*F32+I32*E32*F32+J32*E32</f>
        <v>8.8518518518518538E-3</v>
      </c>
      <c r="O32" s="2526">
        <f t="shared" si="2"/>
        <v>7.4629629629629646E-3</v>
      </c>
      <c r="P32" s="2359">
        <f t="shared" ref="P32:P37" si="41">O32*M32</f>
        <v>7.4629629629629646E-3</v>
      </c>
      <c r="Q32" s="2341">
        <v>129</v>
      </c>
      <c r="R32" s="2336">
        <f t="shared" ref="R32:R37" si="42">E32*F32*G32</f>
        <v>800</v>
      </c>
      <c r="S32" s="2844">
        <f t="shared" si="14"/>
        <v>0.8</v>
      </c>
      <c r="T32" s="2845">
        <f t="shared" si="15"/>
        <v>2.9851851851851859E-2</v>
      </c>
      <c r="U32" s="374">
        <f t="shared" si="16"/>
        <v>0.8</v>
      </c>
      <c r="V32" s="2846">
        <f t="shared" si="17"/>
        <v>0</v>
      </c>
      <c r="W32" s="2847">
        <f t="shared" si="18"/>
        <v>0</v>
      </c>
      <c r="X32" s="2848">
        <f t="shared" si="19"/>
        <v>0</v>
      </c>
      <c r="Y32" s="2849">
        <f t="shared" si="20"/>
        <v>0</v>
      </c>
      <c r="Z32" s="2850">
        <f t="shared" si="21"/>
        <v>0</v>
      </c>
      <c r="AA32" s="2851">
        <f t="shared" si="22"/>
        <v>0</v>
      </c>
      <c r="AB32" s="2935"/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6" customHeight="1" thickBot="1">
      <c r="A33" s="3109"/>
      <c r="B33" s="3110" t="s">
        <v>215</v>
      </c>
      <c r="C33" s="629">
        <f t="shared" si="28"/>
        <v>1.7939814814814817E-4</v>
      </c>
      <c r="D33" s="2520">
        <v>4</v>
      </c>
      <c r="E33" s="2521">
        <v>1</v>
      </c>
      <c r="F33" s="2521">
        <v>8</v>
      </c>
      <c r="G33" s="2521">
        <v>50</v>
      </c>
      <c r="H33" s="2522"/>
      <c r="I33" s="2522">
        <v>3.4722222222222224E-4</v>
      </c>
      <c r="J33" s="2522">
        <v>1.3888888888888889E-3</v>
      </c>
      <c r="K33" s="2523" t="s">
        <v>882</v>
      </c>
      <c r="L33" s="2522">
        <f>L32+N32</f>
        <v>0.31093518518518515</v>
      </c>
      <c r="M33" s="2525">
        <v>1</v>
      </c>
      <c r="N33" s="2522">
        <f>P33*E33*F33+I33*E33*F33+J33*E33</f>
        <v>7.1231481481481493E-3</v>
      </c>
      <c r="O33" s="2526">
        <f>C33*(G33/25)*1.03</f>
        <v>3.6956018518518523E-4</v>
      </c>
      <c r="P33" s="2526">
        <f t="shared" si="41"/>
        <v>3.6956018518518523E-4</v>
      </c>
      <c r="Q33" s="2527">
        <v>177</v>
      </c>
      <c r="R33" s="2521">
        <f t="shared" si="42"/>
        <v>400</v>
      </c>
      <c r="S33" s="2844">
        <f t="shared" si="14"/>
        <v>0.4</v>
      </c>
      <c r="T33" s="2845">
        <f t="shared" si="15"/>
        <v>1.1825925925925927E-2</v>
      </c>
      <c r="U33" s="374">
        <f t="shared" si="16"/>
        <v>0</v>
      </c>
      <c r="V33" s="2846">
        <f t="shared" si="17"/>
        <v>0</v>
      </c>
      <c r="W33" s="2847">
        <f t="shared" si="18"/>
        <v>0</v>
      </c>
      <c r="X33" s="2848">
        <f t="shared" si="19"/>
        <v>0.4</v>
      </c>
      <c r="Y33" s="2849">
        <f t="shared" si="20"/>
        <v>0</v>
      </c>
      <c r="Z33" s="2850">
        <f t="shared" si="21"/>
        <v>0</v>
      </c>
      <c r="AA33" s="2851">
        <f t="shared" si="22"/>
        <v>0</v>
      </c>
      <c r="AB33" s="2935"/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6" customHeight="1" thickBot="1">
      <c r="A34" s="3109" t="s">
        <v>215</v>
      </c>
      <c r="B34" s="3110" t="s">
        <v>215</v>
      </c>
      <c r="C34" s="629">
        <f t="shared" si="28"/>
        <v>1.9733796296296302E-4</v>
      </c>
      <c r="D34" s="2318">
        <v>3</v>
      </c>
      <c r="E34" s="2512">
        <v>1</v>
      </c>
      <c r="F34" s="2512">
        <v>8</v>
      </c>
      <c r="G34" s="2512">
        <v>50</v>
      </c>
      <c r="H34" s="2270"/>
      <c r="I34" s="2267">
        <v>5.2083333333333333E-4</v>
      </c>
      <c r="J34" s="3768">
        <v>1.3888888888888889E-3</v>
      </c>
      <c r="K34" s="3125" t="s">
        <v>882</v>
      </c>
      <c r="L34" s="3768">
        <f t="shared" ref="L34:L38" si="43">L33+N33</f>
        <v>0.31805833333333328</v>
      </c>
      <c r="M34" s="3469">
        <v>0.85</v>
      </c>
      <c r="N34" s="3768">
        <f>P34*E34*F34+I34*E34*F34+J34*E34</f>
        <v>8.2393518518518519E-3</v>
      </c>
      <c r="O34" s="2526">
        <f t="shared" si="2"/>
        <v>3.9467592592592603E-4</v>
      </c>
      <c r="P34" s="2517">
        <f t="shared" si="41"/>
        <v>3.3547453703703712E-4</v>
      </c>
      <c r="Q34" s="2518" t="s">
        <v>316</v>
      </c>
      <c r="R34" s="3764">
        <f t="shared" si="42"/>
        <v>400</v>
      </c>
      <c r="S34" s="2844">
        <f t="shared" si="14"/>
        <v>0.4</v>
      </c>
      <c r="T34" s="2845">
        <f t="shared" si="15"/>
        <v>1.2629629629629633E-2</v>
      </c>
      <c r="U34" s="374">
        <f t="shared" si="16"/>
        <v>0</v>
      </c>
      <c r="V34" s="2846">
        <f t="shared" si="17"/>
        <v>0</v>
      </c>
      <c r="W34" s="2847">
        <f t="shared" si="18"/>
        <v>0.4</v>
      </c>
      <c r="X34" s="2848">
        <f t="shared" si="19"/>
        <v>0</v>
      </c>
      <c r="Y34" s="2849">
        <f t="shared" si="20"/>
        <v>0</v>
      </c>
      <c r="Z34" s="2850">
        <f t="shared" si="21"/>
        <v>0</v>
      </c>
      <c r="AA34" s="2851">
        <f t="shared" si="22"/>
        <v>0</v>
      </c>
      <c r="AB34" s="2935"/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5" customHeight="1" thickBot="1">
      <c r="A35" s="3109" t="s">
        <v>139</v>
      </c>
      <c r="B35" s="3110" t="s">
        <v>215</v>
      </c>
      <c r="C35" s="629">
        <f t="shared" si="28"/>
        <v>2.152777777777778E-4</v>
      </c>
      <c r="D35" s="2309">
        <v>2</v>
      </c>
      <c r="E35" s="2257">
        <v>1</v>
      </c>
      <c r="F35" s="2257">
        <v>8</v>
      </c>
      <c r="G35" s="2257">
        <v>50</v>
      </c>
      <c r="H35" s="2258"/>
      <c r="I35" s="2258">
        <v>2.8935185185185189E-4</v>
      </c>
      <c r="J35" s="2258">
        <v>6.9444444444444447E-4</v>
      </c>
      <c r="K35" s="2259" t="s">
        <v>1751</v>
      </c>
      <c r="L35" s="2258">
        <f t="shared" si="43"/>
        <v>0.32629768518518515</v>
      </c>
      <c r="M35" s="2326">
        <v>1.2</v>
      </c>
      <c r="N35" s="2258">
        <f>P35*E35*F35+I35*E35*F35+J35*E35</f>
        <v>7.1425925925925936E-3</v>
      </c>
      <c r="O35" s="2526">
        <f t="shared" si="2"/>
        <v>4.3055555555555561E-4</v>
      </c>
      <c r="P35" s="2262">
        <f t="shared" si="41"/>
        <v>5.1666666666666668E-4</v>
      </c>
      <c r="Q35" s="2274">
        <v>146</v>
      </c>
      <c r="R35" s="2257">
        <f t="shared" si="42"/>
        <v>400</v>
      </c>
      <c r="S35" s="2844">
        <f t="shared" si="14"/>
        <v>0.4</v>
      </c>
      <c r="T35" s="2845">
        <f t="shared" si="15"/>
        <v>1.3777777777777779E-2</v>
      </c>
      <c r="U35" s="374">
        <f t="shared" si="16"/>
        <v>0</v>
      </c>
      <c r="V35" s="2846">
        <f t="shared" si="17"/>
        <v>0.4</v>
      </c>
      <c r="W35" s="2847">
        <f t="shared" si="18"/>
        <v>0</v>
      </c>
      <c r="X35" s="2848">
        <f t="shared" si="19"/>
        <v>0</v>
      </c>
      <c r="Y35" s="2849">
        <f t="shared" si="20"/>
        <v>0</v>
      </c>
      <c r="Z35" s="2850">
        <f t="shared" si="21"/>
        <v>0</v>
      </c>
      <c r="AA35" s="2851">
        <f t="shared" si="22"/>
        <v>0</v>
      </c>
      <c r="AB35" s="2935"/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5" customHeight="1" thickBot="1">
      <c r="A36" s="3109" t="s">
        <v>458</v>
      </c>
      <c r="B36" s="3110" t="s">
        <v>215</v>
      </c>
      <c r="C36" s="629">
        <f t="shared" si="28"/>
        <v>1.7939814814814817E-4</v>
      </c>
      <c r="D36" s="2520">
        <v>4</v>
      </c>
      <c r="E36" s="2521">
        <v>1</v>
      </c>
      <c r="F36" s="2521">
        <v>1</v>
      </c>
      <c r="G36" s="2521">
        <v>300</v>
      </c>
      <c r="H36" s="2522">
        <v>3.8194444444444443E-3</v>
      </c>
      <c r="I36" s="2522">
        <v>0</v>
      </c>
      <c r="J36" s="2522">
        <v>1.3888888888888889E-3</v>
      </c>
      <c r="K36" s="2523" t="s">
        <v>673</v>
      </c>
      <c r="L36" s="2522">
        <f t="shared" si="43"/>
        <v>0.33344027777777774</v>
      </c>
      <c r="M36" s="2525">
        <v>1</v>
      </c>
      <c r="N36" s="2522">
        <f>H36*F36*E36</f>
        <v>3.8194444444444443E-3</v>
      </c>
      <c r="O36" s="2526">
        <f>C36*(G36/25)*1.07</f>
        <v>2.3034722222222228E-3</v>
      </c>
      <c r="P36" s="2526">
        <f t="shared" si="41"/>
        <v>2.3034722222222228E-3</v>
      </c>
      <c r="Q36" s="2527">
        <v>166</v>
      </c>
      <c r="R36" s="2521">
        <f t="shared" si="42"/>
        <v>300</v>
      </c>
      <c r="S36" s="2844">
        <f t="shared" si="14"/>
        <v>0.3</v>
      </c>
      <c r="T36" s="2845">
        <f t="shared" si="15"/>
        <v>9.2138888888888913E-3</v>
      </c>
      <c r="U36" s="374">
        <f t="shared" si="16"/>
        <v>0</v>
      </c>
      <c r="V36" s="2846">
        <f t="shared" si="17"/>
        <v>0</v>
      </c>
      <c r="W36" s="2847">
        <f t="shared" si="18"/>
        <v>0</v>
      </c>
      <c r="X36" s="2848">
        <f t="shared" si="19"/>
        <v>0.3</v>
      </c>
      <c r="Y36" s="2849">
        <f t="shared" si="20"/>
        <v>0</v>
      </c>
      <c r="Z36" s="2850">
        <f t="shared" si="21"/>
        <v>0</v>
      </c>
      <c r="AA36" s="2851">
        <f t="shared" si="22"/>
        <v>0</v>
      </c>
      <c r="AB36" s="2935"/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5" customHeight="1" thickBot="1">
      <c r="A37" s="3109" t="s">
        <v>462</v>
      </c>
      <c r="B37" s="3110" t="s">
        <v>215</v>
      </c>
      <c r="C37" s="629">
        <f t="shared" si="28"/>
        <v>1.7222222222222224E-4</v>
      </c>
      <c r="D37" s="2318">
        <v>7</v>
      </c>
      <c r="E37" s="2512">
        <v>1</v>
      </c>
      <c r="F37" s="2512">
        <v>12</v>
      </c>
      <c r="G37" s="2512">
        <v>15</v>
      </c>
      <c r="H37" s="2270"/>
      <c r="I37" s="2270">
        <v>4.6296296296296293E-4</v>
      </c>
      <c r="J37" s="2270">
        <v>2.0833333333333333E-3</v>
      </c>
      <c r="K37" s="2880" t="s">
        <v>1752</v>
      </c>
      <c r="L37" s="2270">
        <f t="shared" si="43"/>
        <v>0.33725972222222217</v>
      </c>
      <c r="M37" s="2516">
        <v>0.7</v>
      </c>
      <c r="N37" s="2270">
        <f>P37*E37*F37+I37*E37*F37+J37*E37</f>
        <v>8.5068888888888885E-3</v>
      </c>
      <c r="O37" s="2526">
        <f t="shared" ref="O37" si="44">C37*G37/25</f>
        <v>1.0333333333333336E-4</v>
      </c>
      <c r="P37" s="2517">
        <f t="shared" si="41"/>
        <v>7.2333333333333348E-5</v>
      </c>
      <c r="Q37" s="2518" t="s">
        <v>316</v>
      </c>
      <c r="R37" s="3764">
        <f t="shared" si="42"/>
        <v>180</v>
      </c>
      <c r="S37" s="2844">
        <f t="shared" si="14"/>
        <v>0.18</v>
      </c>
      <c r="T37" s="2845">
        <f t="shared" si="15"/>
        <v>4.9600000000000009E-3</v>
      </c>
      <c r="U37" s="374">
        <f t="shared" si="16"/>
        <v>0</v>
      </c>
      <c r="V37" s="2846">
        <f t="shared" si="17"/>
        <v>0</v>
      </c>
      <c r="W37" s="2847">
        <f t="shared" si="18"/>
        <v>0</v>
      </c>
      <c r="X37" s="2848">
        <f t="shared" si="19"/>
        <v>0</v>
      </c>
      <c r="Y37" s="2849">
        <f t="shared" si="20"/>
        <v>0</v>
      </c>
      <c r="Z37" s="2850">
        <f t="shared" si="21"/>
        <v>0</v>
      </c>
      <c r="AA37" s="2851">
        <f t="shared" si="22"/>
        <v>0.18</v>
      </c>
      <c r="AB37" s="2935"/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1"/>
    </row>
    <row r="38" spans="1:40" ht="12.75" customHeight="1" thickBot="1">
      <c r="A38" s="3109" t="s">
        <v>140</v>
      </c>
      <c r="B38" s="3110"/>
      <c r="C38" s="629">
        <f t="shared" si="28"/>
        <v>0</v>
      </c>
      <c r="D38" s="3365"/>
      <c r="E38" s="2855"/>
      <c r="F38" s="2855"/>
      <c r="G38" s="2855"/>
      <c r="H38" s="2855"/>
      <c r="I38" s="2855"/>
      <c r="J38" s="2855"/>
      <c r="K38" s="2855"/>
      <c r="L38" s="2528">
        <f t="shared" si="43"/>
        <v>0.34576661111111107</v>
      </c>
      <c r="M38" s="3620"/>
      <c r="N38" s="2528">
        <f>SUM(N32:N37)</f>
        <v>4.3683277777777786E-2</v>
      </c>
      <c r="O38" s="2526">
        <f t="shared" si="2"/>
        <v>0</v>
      </c>
      <c r="P38" s="2855"/>
      <c r="Q38" s="2855"/>
      <c r="R38" s="3621">
        <f>SUM(R32:R37)</f>
        <v>2480</v>
      </c>
      <c r="S38" s="2844">
        <f t="shared" si="14"/>
        <v>0</v>
      </c>
      <c r="T38" s="2845">
        <f t="shared" si="15"/>
        <v>0</v>
      </c>
      <c r="U38" s="374">
        <f t="shared" si="16"/>
        <v>0</v>
      </c>
      <c r="V38" s="2846">
        <f t="shared" si="17"/>
        <v>0</v>
      </c>
      <c r="W38" s="2847">
        <f t="shared" si="18"/>
        <v>0</v>
      </c>
      <c r="X38" s="2848">
        <f t="shared" si="19"/>
        <v>0</v>
      </c>
      <c r="Y38" s="2849">
        <f t="shared" si="20"/>
        <v>0</v>
      </c>
      <c r="Z38" s="2850">
        <f t="shared" si="21"/>
        <v>0</v>
      </c>
      <c r="AA38" s="2851">
        <f t="shared" si="22"/>
        <v>0</v>
      </c>
      <c r="AB38" s="2935"/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1"/>
    </row>
    <row r="39" spans="1:40" ht="12.75" customHeight="1" thickBot="1">
      <c r="A39" s="3109" t="s">
        <v>674</v>
      </c>
      <c r="B39" s="3110" t="s">
        <v>461</v>
      </c>
      <c r="C39" s="629">
        <f t="shared" si="28"/>
        <v>2.3321759259259265E-4</v>
      </c>
      <c r="D39" s="2335">
        <v>1</v>
      </c>
      <c r="E39" s="2336">
        <v>1</v>
      </c>
      <c r="F39" s="2336">
        <v>1</v>
      </c>
      <c r="G39" s="2336">
        <v>600</v>
      </c>
      <c r="H39" s="2337"/>
      <c r="I39" s="2337">
        <v>0</v>
      </c>
      <c r="J39" s="2337">
        <v>1.1574074074074073E-4</v>
      </c>
      <c r="K39" s="2338" t="s">
        <v>1020</v>
      </c>
      <c r="L39" s="2338"/>
      <c r="M39" s="2502">
        <v>1</v>
      </c>
      <c r="N39" s="2337">
        <f t="shared" ref="N39:N45" si="45">P39*E39*F39+I39*E39*F39+J39*E39</f>
        <v>5.712962962962964E-3</v>
      </c>
      <c r="O39" s="2526">
        <f>C39*G39/25</f>
        <v>5.597222222222223E-3</v>
      </c>
      <c r="P39" s="2359">
        <f t="shared" ref="P39:P45" si="46">O39*M39</f>
        <v>5.597222222222223E-3</v>
      </c>
      <c r="Q39" s="2341">
        <v>129</v>
      </c>
      <c r="R39" s="2336">
        <f t="shared" ref="R39:R45" si="47">E39*F39*G39</f>
        <v>600</v>
      </c>
      <c r="S39" s="2844">
        <f t="shared" si="14"/>
        <v>0.6</v>
      </c>
      <c r="T39" s="2845">
        <f t="shared" si="15"/>
        <v>2.2388888888888892E-2</v>
      </c>
      <c r="U39" s="374">
        <f t="shared" si="16"/>
        <v>0.6</v>
      </c>
      <c r="V39" s="2846">
        <f t="shared" si="17"/>
        <v>0</v>
      </c>
      <c r="W39" s="2847">
        <f t="shared" si="18"/>
        <v>0</v>
      </c>
      <c r="X39" s="2848">
        <f t="shared" si="19"/>
        <v>0</v>
      </c>
      <c r="Y39" s="2849">
        <f t="shared" si="20"/>
        <v>0</v>
      </c>
      <c r="Z39" s="2850">
        <f t="shared" si="21"/>
        <v>0</v>
      </c>
      <c r="AA39" s="2851">
        <f t="shared" si="22"/>
        <v>0</v>
      </c>
      <c r="AB39" s="2935"/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1"/>
    </row>
    <row r="40" spans="1:40" ht="12.75" customHeight="1" thickBot="1">
      <c r="A40" s="3109" t="s">
        <v>214</v>
      </c>
      <c r="B40" s="3110" t="s">
        <v>461</v>
      </c>
      <c r="C40" s="629">
        <f t="shared" si="28"/>
        <v>1.9733796296296302E-4</v>
      </c>
      <c r="D40" s="3436">
        <v>3</v>
      </c>
      <c r="E40" s="2257">
        <v>1</v>
      </c>
      <c r="F40" s="2257">
        <v>16</v>
      </c>
      <c r="G40" s="2257">
        <v>25</v>
      </c>
      <c r="H40" s="2258"/>
      <c r="I40" s="2258">
        <v>5.7870370370370366E-5</v>
      </c>
      <c r="J40" s="2258">
        <v>1.3888888888888889E-3</v>
      </c>
      <c r="K40" s="2259" t="s">
        <v>1753</v>
      </c>
      <c r="L40" s="2259"/>
      <c r="M40" s="2326">
        <v>1</v>
      </c>
      <c r="N40" s="2258">
        <f t="shared" si="45"/>
        <v>5.4722222222222229E-3</v>
      </c>
      <c r="O40" s="2526">
        <f>C40*G40/25</f>
        <v>1.9733796296296302E-4</v>
      </c>
      <c r="P40" s="2262">
        <f t="shared" si="46"/>
        <v>1.9733796296296302E-4</v>
      </c>
      <c r="Q40" s="2274">
        <v>164</v>
      </c>
      <c r="R40" s="2257">
        <f t="shared" si="47"/>
        <v>400</v>
      </c>
      <c r="S40" s="2844">
        <f t="shared" si="14"/>
        <v>0.4</v>
      </c>
      <c r="T40" s="2845">
        <f t="shared" si="15"/>
        <v>1.2629629629629633E-2</v>
      </c>
      <c r="U40" s="374">
        <f t="shared" si="16"/>
        <v>0</v>
      </c>
      <c r="V40" s="2846">
        <f t="shared" si="17"/>
        <v>0</v>
      </c>
      <c r="W40" s="2847">
        <f t="shared" si="18"/>
        <v>0.4</v>
      </c>
      <c r="X40" s="2848">
        <f t="shared" si="19"/>
        <v>0</v>
      </c>
      <c r="Y40" s="2849">
        <f t="shared" si="20"/>
        <v>0</v>
      </c>
      <c r="Z40" s="2850">
        <f t="shared" si="21"/>
        <v>0</v>
      </c>
      <c r="AA40" s="2851">
        <f t="shared" si="22"/>
        <v>0</v>
      </c>
      <c r="AB40" s="2935"/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  <c r="AN40" s="1"/>
    </row>
    <row r="41" spans="1:40" ht="12.75" customHeight="1" thickBot="1">
      <c r="A41" s="3109" t="s">
        <v>458</v>
      </c>
      <c r="B41" s="3110" t="s">
        <v>461</v>
      </c>
      <c r="C41" s="629">
        <f t="shared" si="28"/>
        <v>2.152777777777778E-4</v>
      </c>
      <c r="D41" s="2302">
        <v>2</v>
      </c>
      <c r="E41" s="2276">
        <v>1</v>
      </c>
      <c r="F41" s="2276">
        <v>5</v>
      </c>
      <c r="G41" s="2276">
        <v>100</v>
      </c>
      <c r="H41" s="2277">
        <v>1.1574074074074073E-3</v>
      </c>
      <c r="I41" s="2277"/>
      <c r="J41" s="2277"/>
      <c r="K41" s="2278" t="s">
        <v>1754</v>
      </c>
      <c r="L41" s="2278"/>
      <c r="M41" s="2280">
        <v>1.1000000000000001</v>
      </c>
      <c r="N41" s="2277">
        <f>H41*F41*E41</f>
        <v>5.7870370370370367E-3</v>
      </c>
      <c r="O41" s="2526">
        <f t="shared" ref="O41:O44" si="48">C41*G41/25</f>
        <v>8.6111111111111121E-4</v>
      </c>
      <c r="P41" s="2277">
        <f t="shared" si="46"/>
        <v>9.4722222222222245E-4</v>
      </c>
      <c r="Q41" s="2282">
        <v>140</v>
      </c>
      <c r="R41" s="2283">
        <f t="shared" si="47"/>
        <v>500</v>
      </c>
      <c r="S41" s="2844">
        <f t="shared" si="14"/>
        <v>0.5</v>
      </c>
      <c r="T41" s="2845">
        <f t="shared" si="15"/>
        <v>1.7222222222222226E-2</v>
      </c>
      <c r="U41" s="374">
        <f t="shared" si="16"/>
        <v>0</v>
      </c>
      <c r="V41" s="2846">
        <f t="shared" si="17"/>
        <v>0.5</v>
      </c>
      <c r="W41" s="2847">
        <f t="shared" si="18"/>
        <v>0</v>
      </c>
      <c r="X41" s="2848">
        <f t="shared" si="19"/>
        <v>0</v>
      </c>
      <c r="Y41" s="2849">
        <f t="shared" si="20"/>
        <v>0</v>
      </c>
      <c r="Z41" s="2850">
        <f t="shared" si="21"/>
        <v>0</v>
      </c>
      <c r="AA41" s="2851">
        <f t="shared" si="22"/>
        <v>0</v>
      </c>
      <c r="AB41" s="2935"/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  <c r="AN41" s="1"/>
    </row>
    <row r="42" spans="1:40" ht="12.75" customHeight="1" thickBot="1">
      <c r="A42" s="3109" t="s">
        <v>219</v>
      </c>
      <c r="B42" s="3110" t="s">
        <v>461</v>
      </c>
      <c r="C42" s="629">
        <f t="shared" si="28"/>
        <v>1.9733796296296302E-4</v>
      </c>
      <c r="D42" s="2302">
        <v>3</v>
      </c>
      <c r="E42" s="3770">
        <v>1</v>
      </c>
      <c r="F42" s="3770">
        <v>5</v>
      </c>
      <c r="G42" s="3770">
        <v>100</v>
      </c>
      <c r="H42" s="2258">
        <v>1.2152777777777778E-3</v>
      </c>
      <c r="I42" s="2258"/>
      <c r="J42" s="2258"/>
      <c r="K42" s="3771" t="s">
        <v>1755</v>
      </c>
      <c r="L42" s="3771"/>
      <c r="M42" s="3772">
        <v>1.05</v>
      </c>
      <c r="N42" s="2258">
        <f>H42*F42*E42</f>
        <v>6.076388888888889E-3</v>
      </c>
      <c r="O42" s="2526">
        <f t="shared" si="48"/>
        <v>7.8935185185185206E-4</v>
      </c>
      <c r="P42" s="2262">
        <f t="shared" si="46"/>
        <v>8.2881944444444474E-4</v>
      </c>
      <c r="Q42" s="3773">
        <v>164</v>
      </c>
      <c r="R42" s="3770">
        <f t="shared" si="47"/>
        <v>500</v>
      </c>
      <c r="S42" s="2844">
        <f t="shared" si="14"/>
        <v>0.5</v>
      </c>
      <c r="T42" s="2845">
        <f t="shared" si="15"/>
        <v>1.578703703703704E-2</v>
      </c>
      <c r="U42" s="374">
        <f t="shared" si="16"/>
        <v>0</v>
      </c>
      <c r="V42" s="2846">
        <f t="shared" si="17"/>
        <v>0</v>
      </c>
      <c r="W42" s="2847">
        <f t="shared" si="18"/>
        <v>0.5</v>
      </c>
      <c r="X42" s="2848">
        <f t="shared" si="19"/>
        <v>0</v>
      </c>
      <c r="Y42" s="2849">
        <f t="shared" si="20"/>
        <v>0</v>
      </c>
      <c r="Z42" s="2850">
        <f t="shared" si="21"/>
        <v>0</v>
      </c>
      <c r="AA42" s="2851">
        <f t="shared" si="22"/>
        <v>0</v>
      </c>
      <c r="AB42" s="2935"/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  <c r="AN42" s="1"/>
    </row>
    <row r="43" spans="1:40" ht="12.75" customHeight="1" thickBot="1">
      <c r="A43" s="3109"/>
      <c r="B43" s="3110" t="s">
        <v>461</v>
      </c>
      <c r="C43" s="629">
        <f t="shared" si="28"/>
        <v>2.152777777777778E-4</v>
      </c>
      <c r="D43" s="2302">
        <v>2</v>
      </c>
      <c r="E43" s="2276">
        <v>1</v>
      </c>
      <c r="F43" s="2276">
        <v>5</v>
      </c>
      <c r="G43" s="2276">
        <v>100</v>
      </c>
      <c r="H43" s="2277">
        <v>1.1574074074074073E-3</v>
      </c>
      <c r="I43" s="2277"/>
      <c r="J43" s="2277"/>
      <c r="K43" s="2278" t="s">
        <v>1754</v>
      </c>
      <c r="L43" s="2278"/>
      <c r="M43" s="2280">
        <v>1.1000000000000001</v>
      </c>
      <c r="N43" s="2277">
        <f>H43*F43*E43</f>
        <v>5.7870370370370367E-3</v>
      </c>
      <c r="O43" s="2526">
        <f t="shared" si="48"/>
        <v>8.6111111111111121E-4</v>
      </c>
      <c r="P43" s="2277">
        <f t="shared" si="46"/>
        <v>9.4722222222222245E-4</v>
      </c>
      <c r="Q43" s="2282">
        <v>140</v>
      </c>
      <c r="R43" s="2283">
        <f t="shared" si="47"/>
        <v>500</v>
      </c>
      <c r="S43" s="2844">
        <f t="shared" si="14"/>
        <v>0.5</v>
      </c>
      <c r="T43" s="2845">
        <f t="shared" si="15"/>
        <v>1.7222222222222226E-2</v>
      </c>
      <c r="U43" s="374">
        <f t="shared" si="16"/>
        <v>0</v>
      </c>
      <c r="V43" s="2846">
        <f t="shared" si="17"/>
        <v>0.5</v>
      </c>
      <c r="W43" s="2847">
        <f t="shared" si="18"/>
        <v>0</v>
      </c>
      <c r="X43" s="2848">
        <f t="shared" si="19"/>
        <v>0</v>
      </c>
      <c r="Y43" s="2849">
        <f t="shared" si="20"/>
        <v>0</v>
      </c>
      <c r="Z43" s="2850">
        <f t="shared" si="21"/>
        <v>0</v>
      </c>
      <c r="AA43" s="2851">
        <f t="shared" si="22"/>
        <v>0</v>
      </c>
      <c r="AB43" s="2935"/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  <c r="AN43" s="1"/>
    </row>
    <row r="44" spans="1:40" ht="12.75" customHeight="1" thickBot="1">
      <c r="A44" s="3109"/>
      <c r="B44" s="3110" t="s">
        <v>461</v>
      </c>
      <c r="C44" s="629">
        <f t="shared" si="28"/>
        <v>1.9733796296296302E-4</v>
      </c>
      <c r="D44" s="2309">
        <v>3</v>
      </c>
      <c r="E44" s="3770">
        <v>1</v>
      </c>
      <c r="F44" s="3770">
        <v>5</v>
      </c>
      <c r="G44" s="3770">
        <v>100</v>
      </c>
      <c r="H44" s="2258">
        <v>1.2152777777777778E-3</v>
      </c>
      <c r="I44" s="2258"/>
      <c r="J44" s="2258"/>
      <c r="K44" s="3771" t="s">
        <v>1756</v>
      </c>
      <c r="L44" s="3771"/>
      <c r="M44" s="3772">
        <v>1.05</v>
      </c>
      <c r="N44" s="2258">
        <f>H44*F44*E44</f>
        <v>6.076388888888889E-3</v>
      </c>
      <c r="O44" s="2526">
        <f t="shared" si="48"/>
        <v>7.8935185185185206E-4</v>
      </c>
      <c r="P44" s="2262">
        <f t="shared" si="46"/>
        <v>8.2881944444444474E-4</v>
      </c>
      <c r="Q44" s="3773">
        <v>164</v>
      </c>
      <c r="R44" s="3770">
        <f t="shared" si="47"/>
        <v>500</v>
      </c>
      <c r="S44" s="2844">
        <f t="shared" si="14"/>
        <v>0.5</v>
      </c>
      <c r="T44" s="2845">
        <f t="shared" si="15"/>
        <v>1.578703703703704E-2</v>
      </c>
      <c r="U44" s="374">
        <f t="shared" si="16"/>
        <v>0</v>
      </c>
      <c r="V44" s="2846">
        <f t="shared" si="17"/>
        <v>0</v>
      </c>
      <c r="W44" s="2847">
        <f t="shared" si="18"/>
        <v>0.5</v>
      </c>
      <c r="X44" s="2848">
        <f t="shared" si="19"/>
        <v>0</v>
      </c>
      <c r="Y44" s="2849">
        <f t="shared" si="20"/>
        <v>0</v>
      </c>
      <c r="Z44" s="2850">
        <f t="shared" si="21"/>
        <v>0</v>
      </c>
      <c r="AA44" s="2851">
        <f t="shared" si="22"/>
        <v>0</v>
      </c>
      <c r="AB44" s="2935"/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  <c r="AN44" s="1"/>
    </row>
    <row r="45" spans="1:40" ht="12.75" customHeight="1" thickBot="1">
      <c r="A45" s="3109"/>
      <c r="B45" s="3110" t="s">
        <v>461</v>
      </c>
      <c r="C45" s="629">
        <f t="shared" si="28"/>
        <v>1.7222222222222224E-4</v>
      </c>
      <c r="D45" s="2318">
        <v>7</v>
      </c>
      <c r="E45" s="2512">
        <v>1</v>
      </c>
      <c r="F45" s="2512">
        <v>50</v>
      </c>
      <c r="G45" s="2512">
        <v>12.5</v>
      </c>
      <c r="H45" s="2270"/>
      <c r="I45" s="2270">
        <v>3.4722222222222224E-4</v>
      </c>
      <c r="J45" s="2270">
        <v>0</v>
      </c>
      <c r="K45" s="3125" t="s">
        <v>315</v>
      </c>
      <c r="L45" s="2376"/>
      <c r="M45" s="3740">
        <v>1</v>
      </c>
      <c r="N45" s="2267">
        <f t="shared" si="45"/>
        <v>2.1666666666666667E-2</v>
      </c>
      <c r="O45" s="2526">
        <f>C45*G45/25</f>
        <v>8.6111111111111105E-5</v>
      </c>
      <c r="P45" s="2517">
        <f t="shared" si="46"/>
        <v>8.6111111111111105E-5</v>
      </c>
      <c r="Q45" s="3741" t="s">
        <v>274</v>
      </c>
      <c r="R45" s="3764">
        <f t="shared" si="47"/>
        <v>625</v>
      </c>
      <c r="S45" s="2844">
        <f t="shared" si="14"/>
        <v>0.625</v>
      </c>
      <c r="T45" s="2845">
        <f t="shared" si="15"/>
        <v>1.7222222222222222E-2</v>
      </c>
      <c r="U45" s="374">
        <f t="shared" si="16"/>
        <v>0</v>
      </c>
      <c r="V45" s="2846">
        <f t="shared" si="17"/>
        <v>0</v>
      </c>
      <c r="W45" s="2847">
        <f t="shared" si="18"/>
        <v>0</v>
      </c>
      <c r="X45" s="2848">
        <f t="shared" si="19"/>
        <v>0</v>
      </c>
      <c r="Y45" s="2849">
        <f t="shared" si="20"/>
        <v>0</v>
      </c>
      <c r="Z45" s="2850">
        <f t="shared" si="21"/>
        <v>0</v>
      </c>
      <c r="AA45" s="2851">
        <f t="shared" si="22"/>
        <v>0.625</v>
      </c>
      <c r="AB45" s="2935"/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  <c r="AN45" s="1"/>
    </row>
    <row r="46" spans="1:40" ht="12.75" customHeight="1" thickBot="1">
      <c r="A46" s="2183"/>
      <c r="B46" s="3336"/>
      <c r="C46" s="629">
        <f t="shared" si="28"/>
        <v>0</v>
      </c>
      <c r="D46" s="3365"/>
      <c r="E46" s="3454"/>
      <c r="F46" s="3454"/>
      <c r="G46" s="3454"/>
      <c r="H46" s="3454"/>
      <c r="I46" s="3454"/>
      <c r="J46" s="3454"/>
      <c r="K46" s="3454"/>
      <c r="L46" s="2855"/>
      <c r="M46" s="3620"/>
      <c r="N46" s="2528">
        <f>SUM(N39:N45)</f>
        <v>5.6578703703703701E-2</v>
      </c>
      <c r="O46" s="2526">
        <f>C46*G46/25</f>
        <v>0</v>
      </c>
      <c r="P46" s="2855"/>
      <c r="Q46" s="2855"/>
      <c r="R46" s="3621">
        <f>SUM(R39:R45)</f>
        <v>3625</v>
      </c>
      <c r="S46" s="2844">
        <f t="shared" si="14"/>
        <v>0</v>
      </c>
      <c r="T46" s="2845">
        <f t="shared" si="15"/>
        <v>0</v>
      </c>
      <c r="U46" s="374">
        <f t="shared" si="16"/>
        <v>0</v>
      </c>
      <c r="V46" s="2846">
        <f t="shared" si="17"/>
        <v>0</v>
      </c>
      <c r="W46" s="2847">
        <f t="shared" si="18"/>
        <v>0</v>
      </c>
      <c r="X46" s="2848">
        <f t="shared" si="19"/>
        <v>0</v>
      </c>
      <c r="Y46" s="2849">
        <f t="shared" si="20"/>
        <v>0</v>
      </c>
      <c r="Z46" s="2850">
        <f t="shared" si="21"/>
        <v>0</v>
      </c>
      <c r="AA46" s="2851">
        <f t="shared" si="22"/>
        <v>0</v>
      </c>
      <c r="AB46" s="2935"/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  <c r="AN46" s="1"/>
    </row>
    <row r="47" spans="1:40" ht="16" customHeight="1" thickBot="1">
      <c r="A47" s="2183" t="s">
        <v>217</v>
      </c>
      <c r="B47" s="3336" t="s">
        <v>461</v>
      </c>
      <c r="C47" s="629">
        <f t="shared" si="28"/>
        <v>2.3321759259259265E-4</v>
      </c>
      <c r="D47" s="2335">
        <v>1</v>
      </c>
      <c r="E47" s="2336">
        <v>1</v>
      </c>
      <c r="F47" s="2336">
        <v>1</v>
      </c>
      <c r="G47" s="2336">
        <v>400</v>
      </c>
      <c r="H47" s="2337"/>
      <c r="I47" s="2337">
        <v>0</v>
      </c>
      <c r="J47" s="2337">
        <v>0</v>
      </c>
      <c r="K47" s="2886" t="s">
        <v>269</v>
      </c>
      <c r="L47" s="2423">
        <v>0.80555555555555547</v>
      </c>
      <c r="M47" s="2502">
        <v>1</v>
      </c>
      <c r="N47" s="2337">
        <f t="shared" ref="N47:N54" si="49">P47*E47*F47+I47*E47*F47+J47*E47</f>
        <v>3.7314814814814823E-3</v>
      </c>
      <c r="O47" s="2526">
        <f t="shared" si="2"/>
        <v>3.7314814814814823E-3</v>
      </c>
      <c r="P47" s="2359">
        <f t="shared" ref="P47:P55" si="50">O47*M47</f>
        <v>3.7314814814814823E-3</v>
      </c>
      <c r="Q47" s="2341">
        <v>129</v>
      </c>
      <c r="R47" s="2336">
        <f t="shared" ref="R47:R55" si="51">E47*F47*G47</f>
        <v>400</v>
      </c>
      <c r="S47" s="2844">
        <f t="shared" si="14"/>
        <v>0.4</v>
      </c>
      <c r="T47" s="2845">
        <f t="shared" si="15"/>
        <v>1.4925925925925929E-2</v>
      </c>
      <c r="U47" s="374">
        <f t="shared" si="16"/>
        <v>0.4</v>
      </c>
      <c r="V47" s="2846">
        <f t="shared" si="17"/>
        <v>0</v>
      </c>
      <c r="W47" s="2847">
        <f t="shared" si="18"/>
        <v>0</v>
      </c>
      <c r="X47" s="2848">
        <f t="shared" si="19"/>
        <v>0</v>
      </c>
      <c r="Y47" s="2849">
        <f t="shared" si="20"/>
        <v>0</v>
      </c>
      <c r="Z47" s="2850">
        <f t="shared" si="21"/>
        <v>0</v>
      </c>
      <c r="AA47" s="2851">
        <f t="shared" si="22"/>
        <v>0</v>
      </c>
      <c r="AB47" s="2935"/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  <c r="AN47" s="1"/>
    </row>
    <row r="48" spans="1:40" ht="16" customHeight="1" thickBot="1">
      <c r="A48" s="2183" t="s">
        <v>459</v>
      </c>
      <c r="B48" s="3336" t="s">
        <v>461</v>
      </c>
      <c r="C48" s="629">
        <f t="shared" si="28"/>
        <v>1.7581018518518521E-4</v>
      </c>
      <c r="D48" s="3436">
        <v>6</v>
      </c>
      <c r="E48" s="3765">
        <v>1</v>
      </c>
      <c r="F48" s="3765">
        <v>2</v>
      </c>
      <c r="G48" s="3765">
        <v>100</v>
      </c>
      <c r="H48" s="2284"/>
      <c r="I48" s="2284">
        <v>1.3888888888888889E-3</v>
      </c>
      <c r="J48" s="2284">
        <v>1.3888888888888889E-3</v>
      </c>
      <c r="K48" s="3766" t="s">
        <v>284</v>
      </c>
      <c r="L48" s="2284">
        <f>L47+N47</f>
        <v>0.80928703703703697</v>
      </c>
      <c r="M48" s="3738">
        <v>1</v>
      </c>
      <c r="N48" s="2284">
        <f t="shared" si="49"/>
        <v>5.6294074074074076E-3</v>
      </c>
      <c r="O48" s="2285">
        <f>C48*(G48/25)*1.04</f>
        <v>7.3137037037037051E-4</v>
      </c>
      <c r="P48" s="3739">
        <f t="shared" si="50"/>
        <v>7.3137037037037051E-4</v>
      </c>
      <c r="Q48" s="3767">
        <v>177</v>
      </c>
      <c r="R48" s="3765">
        <f t="shared" si="51"/>
        <v>200</v>
      </c>
      <c r="S48" s="2844">
        <f t="shared" si="14"/>
        <v>0.2</v>
      </c>
      <c r="T48" s="2845">
        <f t="shared" si="15"/>
        <v>5.8509629629629641E-3</v>
      </c>
      <c r="U48" s="374">
        <f t="shared" si="16"/>
        <v>0</v>
      </c>
      <c r="V48" s="2846">
        <f t="shared" si="17"/>
        <v>0</v>
      </c>
      <c r="W48" s="2847">
        <f t="shared" si="18"/>
        <v>0</v>
      </c>
      <c r="X48" s="2848">
        <f t="shared" si="19"/>
        <v>0</v>
      </c>
      <c r="Y48" s="2849">
        <f t="shared" si="20"/>
        <v>0</v>
      </c>
      <c r="Z48" s="2850">
        <f t="shared" si="21"/>
        <v>0.2</v>
      </c>
      <c r="AA48" s="2851">
        <f t="shared" si="22"/>
        <v>0</v>
      </c>
      <c r="AB48" s="2935"/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  <c r="AN48" s="1"/>
    </row>
    <row r="49" spans="1:40" ht="15" customHeight="1" thickBot="1">
      <c r="A49" s="2183" t="s">
        <v>458</v>
      </c>
      <c r="B49" s="3336" t="s">
        <v>461</v>
      </c>
      <c r="C49" s="629">
        <f t="shared" si="28"/>
        <v>1.7939814814814817E-4</v>
      </c>
      <c r="D49" s="2520">
        <v>4</v>
      </c>
      <c r="E49" s="2521">
        <v>1</v>
      </c>
      <c r="F49" s="2521">
        <v>1</v>
      </c>
      <c r="G49" s="2521">
        <v>100</v>
      </c>
      <c r="H49" s="2522">
        <v>1.2731481481481483E-3</v>
      </c>
      <c r="I49" s="2522">
        <v>0</v>
      </c>
      <c r="J49" s="2522">
        <v>1.3888888888888889E-3</v>
      </c>
      <c r="K49" s="2523" t="s">
        <v>673</v>
      </c>
      <c r="L49" s="2522">
        <f t="shared" ref="L49:L56" si="52">L48+N48</f>
        <v>0.81491644444444433</v>
      </c>
      <c r="M49" s="2525">
        <v>1</v>
      </c>
      <c r="N49" s="2522">
        <f>H49*F49*E49</f>
        <v>1.2731481481481483E-3</v>
      </c>
      <c r="O49" s="2526">
        <f>C49*(G49/25)*1.07</f>
        <v>7.678240740740742E-4</v>
      </c>
      <c r="P49" s="2526">
        <f t="shared" si="50"/>
        <v>7.678240740740742E-4</v>
      </c>
      <c r="Q49" s="2527">
        <v>166</v>
      </c>
      <c r="R49" s="2521">
        <f t="shared" si="51"/>
        <v>100</v>
      </c>
      <c r="S49" s="2844">
        <f t="shared" si="14"/>
        <v>0.1</v>
      </c>
      <c r="T49" s="2845">
        <f t="shared" si="15"/>
        <v>3.0712962962962968E-3</v>
      </c>
      <c r="U49" s="374">
        <f t="shared" si="16"/>
        <v>0</v>
      </c>
      <c r="V49" s="2846">
        <f t="shared" si="17"/>
        <v>0</v>
      </c>
      <c r="W49" s="2847">
        <f t="shared" si="18"/>
        <v>0</v>
      </c>
      <c r="X49" s="2848">
        <f t="shared" si="19"/>
        <v>0.1</v>
      </c>
      <c r="Y49" s="2849">
        <f t="shared" si="20"/>
        <v>0</v>
      </c>
      <c r="Z49" s="2850">
        <f t="shared" si="21"/>
        <v>0</v>
      </c>
      <c r="AA49" s="2851">
        <f t="shared" si="22"/>
        <v>0</v>
      </c>
      <c r="AB49" s="2935"/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  <c r="AN49" s="1"/>
    </row>
    <row r="50" spans="1:40" ht="16" customHeight="1" thickBot="1">
      <c r="A50" s="2183" t="s">
        <v>218</v>
      </c>
      <c r="B50" s="3336" t="s">
        <v>461</v>
      </c>
      <c r="C50" s="629">
        <f t="shared" si="28"/>
        <v>1.7222222222222224E-4</v>
      </c>
      <c r="D50" s="2318">
        <v>7</v>
      </c>
      <c r="E50" s="2512">
        <v>1</v>
      </c>
      <c r="F50" s="2512">
        <v>2</v>
      </c>
      <c r="G50" s="2512">
        <v>25</v>
      </c>
      <c r="H50" s="2270"/>
      <c r="I50" s="2267">
        <v>4.6296296296296293E-4</v>
      </c>
      <c r="J50" s="3768">
        <v>1.3888888888888889E-3</v>
      </c>
      <c r="K50" s="3125" t="s">
        <v>284</v>
      </c>
      <c r="L50" s="3768">
        <f t="shared" si="52"/>
        <v>0.81618959259259249</v>
      </c>
      <c r="M50" s="3469">
        <v>0.8</v>
      </c>
      <c r="N50" s="3768">
        <v>1.094357638888889E-2</v>
      </c>
      <c r="O50" s="2526">
        <f>C50*G50/25</f>
        <v>1.7222222222222221E-4</v>
      </c>
      <c r="P50" s="2517">
        <f>O50*M50</f>
        <v>1.3777777777777776E-4</v>
      </c>
      <c r="Q50" s="2518" t="s">
        <v>274</v>
      </c>
      <c r="R50" s="3764">
        <f t="shared" si="51"/>
        <v>50</v>
      </c>
      <c r="S50" s="2844">
        <f t="shared" si="14"/>
        <v>0.05</v>
      </c>
      <c r="T50" s="2845">
        <f t="shared" si="15"/>
        <v>1.3777777777777777E-3</v>
      </c>
      <c r="U50" s="374">
        <f t="shared" si="16"/>
        <v>0</v>
      </c>
      <c r="V50" s="2846">
        <f t="shared" si="17"/>
        <v>0</v>
      </c>
      <c r="W50" s="2847">
        <f t="shared" si="18"/>
        <v>0</v>
      </c>
      <c r="X50" s="2848">
        <f t="shared" si="19"/>
        <v>0</v>
      </c>
      <c r="Y50" s="2849">
        <f t="shared" si="20"/>
        <v>0</v>
      </c>
      <c r="Z50" s="2850">
        <f t="shared" si="21"/>
        <v>0</v>
      </c>
      <c r="AA50" s="2851">
        <f t="shared" si="22"/>
        <v>0.05</v>
      </c>
      <c r="AB50" s="2935"/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  <c r="AN50" s="1"/>
    </row>
    <row r="51" spans="1:40" ht="16" customHeight="1" thickBot="1">
      <c r="A51" s="2183" t="s">
        <v>458</v>
      </c>
      <c r="B51" s="3336" t="s">
        <v>461</v>
      </c>
      <c r="C51" s="629">
        <f t="shared" si="28"/>
        <v>1.7581018518518521E-4</v>
      </c>
      <c r="D51" s="3436">
        <v>6</v>
      </c>
      <c r="E51" s="3765">
        <v>1</v>
      </c>
      <c r="F51" s="3765">
        <v>4</v>
      </c>
      <c r="G51" s="3765">
        <v>50</v>
      </c>
      <c r="H51" s="2284"/>
      <c r="I51" s="2284">
        <v>1.0416666666666667E-3</v>
      </c>
      <c r="J51" s="2284">
        <v>1.3888888888888889E-3</v>
      </c>
      <c r="K51" s="3766" t="s">
        <v>284</v>
      </c>
      <c r="L51" s="2284">
        <f t="shared" si="52"/>
        <v>0.82713316898148137</v>
      </c>
      <c r="M51" s="3738">
        <v>1</v>
      </c>
      <c r="N51" s="2284">
        <f t="shared" si="49"/>
        <v>6.9901666666666671E-3</v>
      </c>
      <c r="O51" s="2285">
        <f>C51*(G51/25)*1.02</f>
        <v>3.5865277777777783E-4</v>
      </c>
      <c r="P51" s="3739">
        <f t="shared" si="50"/>
        <v>3.5865277777777783E-4</v>
      </c>
      <c r="Q51" s="3767">
        <v>177</v>
      </c>
      <c r="R51" s="3765">
        <f t="shared" si="51"/>
        <v>200</v>
      </c>
      <c r="S51" s="2844">
        <f t="shared" si="14"/>
        <v>0.2</v>
      </c>
      <c r="T51" s="2845">
        <f t="shared" si="15"/>
        <v>5.7384444444444453E-3</v>
      </c>
      <c r="U51" s="374">
        <f t="shared" si="16"/>
        <v>0</v>
      </c>
      <c r="V51" s="2846">
        <f t="shared" si="17"/>
        <v>0</v>
      </c>
      <c r="W51" s="2847">
        <f t="shared" si="18"/>
        <v>0</v>
      </c>
      <c r="X51" s="2848">
        <f t="shared" si="19"/>
        <v>0</v>
      </c>
      <c r="Y51" s="2849">
        <f t="shared" si="20"/>
        <v>0</v>
      </c>
      <c r="Z51" s="2850">
        <f t="shared" si="21"/>
        <v>0.2</v>
      </c>
      <c r="AA51" s="2851">
        <f t="shared" si="22"/>
        <v>0</v>
      </c>
      <c r="AB51" s="2935"/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  <c r="AN51" s="1"/>
    </row>
    <row r="52" spans="1:40" ht="16" customHeight="1" thickBot="1">
      <c r="A52" s="2183" t="s">
        <v>219</v>
      </c>
      <c r="B52" s="3336" t="s">
        <v>461</v>
      </c>
      <c r="C52" s="629">
        <f t="shared" si="28"/>
        <v>1.7939814814814817E-4</v>
      </c>
      <c r="D52" s="2520">
        <v>4</v>
      </c>
      <c r="E52" s="2521">
        <v>1</v>
      </c>
      <c r="F52" s="2521">
        <v>1</v>
      </c>
      <c r="G52" s="2521">
        <v>100</v>
      </c>
      <c r="H52" s="2522">
        <v>1.2731481481481483E-3</v>
      </c>
      <c r="I52" s="2522">
        <v>0</v>
      </c>
      <c r="J52" s="2522">
        <v>1.3888888888888889E-3</v>
      </c>
      <c r="K52" s="2523" t="s">
        <v>673</v>
      </c>
      <c r="L52" s="2522">
        <f t="shared" si="52"/>
        <v>0.834123335648148</v>
      </c>
      <c r="M52" s="2525">
        <v>1</v>
      </c>
      <c r="N52" s="2522">
        <f>H52*F52*E52</f>
        <v>1.2731481481481483E-3</v>
      </c>
      <c r="O52" s="2526">
        <f>C52*(G52/25)*1.07</f>
        <v>7.678240740740742E-4</v>
      </c>
      <c r="P52" s="2526">
        <f t="shared" si="50"/>
        <v>7.678240740740742E-4</v>
      </c>
      <c r="Q52" s="2527">
        <v>166</v>
      </c>
      <c r="R52" s="2521">
        <f t="shared" si="51"/>
        <v>100</v>
      </c>
      <c r="S52" s="2844">
        <f t="shared" si="14"/>
        <v>0.1</v>
      </c>
      <c r="T52" s="2845">
        <f t="shared" si="15"/>
        <v>3.0712962962962968E-3</v>
      </c>
      <c r="U52" s="374">
        <f t="shared" si="16"/>
        <v>0</v>
      </c>
      <c r="V52" s="2846">
        <f t="shared" si="17"/>
        <v>0</v>
      </c>
      <c r="W52" s="2847">
        <f t="shared" si="18"/>
        <v>0</v>
      </c>
      <c r="X52" s="2848">
        <f t="shared" si="19"/>
        <v>0.1</v>
      </c>
      <c r="Y52" s="2849">
        <f t="shared" si="20"/>
        <v>0</v>
      </c>
      <c r="Z52" s="2850">
        <f t="shared" si="21"/>
        <v>0</v>
      </c>
      <c r="AA52" s="2851">
        <f t="shared" si="22"/>
        <v>0</v>
      </c>
      <c r="AB52" s="2935"/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  <c r="AN52" s="1"/>
    </row>
    <row r="53" spans="1:40" ht="17" customHeight="1" thickBot="1">
      <c r="A53" s="2183"/>
      <c r="B53" s="3336" t="s">
        <v>461</v>
      </c>
      <c r="C53" s="629">
        <f t="shared" si="28"/>
        <v>1.7222222222222224E-4</v>
      </c>
      <c r="D53" s="2318">
        <v>7</v>
      </c>
      <c r="E53" s="2512">
        <v>1</v>
      </c>
      <c r="F53" s="2512">
        <v>4</v>
      </c>
      <c r="G53" s="2512">
        <v>25</v>
      </c>
      <c r="H53" s="2270"/>
      <c r="I53" s="2267">
        <v>4.6296296296296293E-4</v>
      </c>
      <c r="J53" s="3768">
        <v>1.3888888888888889E-3</v>
      </c>
      <c r="K53" s="3125" t="s">
        <v>284</v>
      </c>
      <c r="L53" s="3768">
        <f t="shared" si="52"/>
        <v>0.83539648379629616</v>
      </c>
      <c r="M53" s="3469">
        <v>0.8</v>
      </c>
      <c r="N53" s="3768">
        <v>1.094357638888889E-2</v>
      </c>
      <c r="O53" s="2526">
        <f>C53*G53/25</f>
        <v>1.7222222222222221E-4</v>
      </c>
      <c r="P53" s="2517">
        <f>O53*M53</f>
        <v>1.3777777777777776E-4</v>
      </c>
      <c r="Q53" s="2518" t="s">
        <v>274</v>
      </c>
      <c r="R53" s="3764">
        <f t="shared" si="51"/>
        <v>100</v>
      </c>
      <c r="S53" s="2844">
        <f t="shared" si="14"/>
        <v>0.1</v>
      </c>
      <c r="T53" s="2845">
        <f t="shared" si="15"/>
        <v>2.7555555555555554E-3</v>
      </c>
      <c r="U53" s="374">
        <f t="shared" si="16"/>
        <v>0</v>
      </c>
      <c r="V53" s="2846">
        <f t="shared" si="17"/>
        <v>0</v>
      </c>
      <c r="W53" s="2847">
        <f t="shared" si="18"/>
        <v>0</v>
      </c>
      <c r="X53" s="2848">
        <f t="shared" si="19"/>
        <v>0</v>
      </c>
      <c r="Y53" s="2849">
        <f t="shared" si="20"/>
        <v>0</v>
      </c>
      <c r="Z53" s="2850">
        <f t="shared" si="21"/>
        <v>0</v>
      </c>
      <c r="AA53" s="2851">
        <f t="shared" si="22"/>
        <v>0.1</v>
      </c>
      <c r="AB53" s="2935"/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  <c r="AN53" s="1"/>
    </row>
    <row r="54" spans="1:40" ht="18" customHeight="1" thickBot="1">
      <c r="A54" s="2183"/>
      <c r="B54" s="3336" t="s">
        <v>461</v>
      </c>
      <c r="C54" s="629">
        <f t="shared" si="28"/>
        <v>1.7581018518518521E-4</v>
      </c>
      <c r="D54" s="3436">
        <v>6</v>
      </c>
      <c r="E54" s="3765">
        <v>1</v>
      </c>
      <c r="F54" s="3765">
        <v>8</v>
      </c>
      <c r="G54" s="3765">
        <v>25</v>
      </c>
      <c r="H54" s="2284"/>
      <c r="I54" s="2284">
        <v>3.4722222222222224E-4</v>
      </c>
      <c r="J54" s="2284">
        <v>1.3888888888888889E-3</v>
      </c>
      <c r="K54" s="3766" t="s">
        <v>284</v>
      </c>
      <c r="L54" s="2284">
        <f t="shared" si="52"/>
        <v>0.84634006018518504</v>
      </c>
      <c r="M54" s="3738">
        <v>1</v>
      </c>
      <c r="N54" s="2284">
        <f t="shared" si="49"/>
        <v>5.5731481481481483E-3</v>
      </c>
      <c r="O54" s="2285">
        <f>C54*(G54/25)</f>
        <v>1.7581018518518521E-4</v>
      </c>
      <c r="P54" s="3739">
        <f t="shared" si="50"/>
        <v>1.7581018518518521E-4</v>
      </c>
      <c r="Q54" s="3767">
        <v>177</v>
      </c>
      <c r="R54" s="3765">
        <f t="shared" si="51"/>
        <v>200</v>
      </c>
      <c r="S54" s="2844">
        <f t="shared" si="14"/>
        <v>0.2</v>
      </c>
      <c r="T54" s="2845">
        <f t="shared" si="15"/>
        <v>5.6259259259259266E-3</v>
      </c>
      <c r="U54" s="374">
        <f t="shared" si="16"/>
        <v>0</v>
      </c>
      <c r="V54" s="2846">
        <f t="shared" si="17"/>
        <v>0</v>
      </c>
      <c r="W54" s="2847">
        <f t="shared" si="18"/>
        <v>0</v>
      </c>
      <c r="X54" s="2848">
        <f t="shared" si="19"/>
        <v>0</v>
      </c>
      <c r="Y54" s="2849">
        <f t="shared" si="20"/>
        <v>0</v>
      </c>
      <c r="Z54" s="2850">
        <f t="shared" si="21"/>
        <v>0.2</v>
      </c>
      <c r="AA54" s="2851">
        <f t="shared" si="22"/>
        <v>0</v>
      </c>
      <c r="AB54" s="2935"/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  <c r="AN54" s="1"/>
    </row>
    <row r="55" spans="1:40" ht="17" customHeight="1" thickBot="1">
      <c r="A55" s="2183"/>
      <c r="B55" s="3336" t="s">
        <v>461</v>
      </c>
      <c r="C55" s="629">
        <f t="shared" si="28"/>
        <v>1.7222222222222224E-4</v>
      </c>
      <c r="D55" s="2318">
        <v>7</v>
      </c>
      <c r="E55" s="2512">
        <v>1</v>
      </c>
      <c r="F55" s="2512">
        <v>6</v>
      </c>
      <c r="G55" s="2512">
        <v>25</v>
      </c>
      <c r="H55" s="2270"/>
      <c r="I55" s="2267">
        <v>4.6296296296296293E-4</v>
      </c>
      <c r="J55" s="3768">
        <v>1.3888888888888889E-3</v>
      </c>
      <c r="K55" s="3125" t="s">
        <v>284</v>
      </c>
      <c r="L55" s="3768">
        <f t="shared" si="52"/>
        <v>0.85191320833333317</v>
      </c>
      <c r="M55" s="3469">
        <v>0.8</v>
      </c>
      <c r="N55" s="3768">
        <v>1.094357638888889E-2</v>
      </c>
      <c r="O55" s="2526">
        <f t="shared" si="2"/>
        <v>1.7222222222222221E-4</v>
      </c>
      <c r="P55" s="2517">
        <f t="shared" si="50"/>
        <v>1.3777777777777776E-4</v>
      </c>
      <c r="Q55" s="2518" t="s">
        <v>274</v>
      </c>
      <c r="R55" s="3764">
        <f t="shared" si="51"/>
        <v>150</v>
      </c>
      <c r="S55" s="2844">
        <f t="shared" si="14"/>
        <v>0.15</v>
      </c>
      <c r="T55" s="2845">
        <f t="shared" si="15"/>
        <v>4.1333333333333326E-3</v>
      </c>
      <c r="U55" s="374">
        <f t="shared" si="16"/>
        <v>0</v>
      </c>
      <c r="V55" s="2846">
        <f t="shared" si="17"/>
        <v>0</v>
      </c>
      <c r="W55" s="2847">
        <f t="shared" si="18"/>
        <v>0</v>
      </c>
      <c r="X55" s="2848">
        <f t="shared" si="19"/>
        <v>0</v>
      </c>
      <c r="Y55" s="2849">
        <f t="shared" si="20"/>
        <v>0</v>
      </c>
      <c r="Z55" s="2850">
        <f t="shared" si="21"/>
        <v>0</v>
      </c>
      <c r="AA55" s="2851">
        <f t="shared" si="22"/>
        <v>0.15</v>
      </c>
      <c r="AB55" s="2935"/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  <c r="AN55" s="1"/>
    </row>
    <row r="56" spans="1:40" ht="13" customHeight="1" thickBot="1">
      <c r="A56" s="2183"/>
      <c r="B56" s="3336"/>
      <c r="C56" s="629">
        <f t="shared" si="28"/>
        <v>0</v>
      </c>
      <c r="D56" s="2335"/>
      <c r="E56" s="2855"/>
      <c r="F56" s="2855"/>
      <c r="G56" s="2855"/>
      <c r="H56" s="2855"/>
      <c r="I56" s="2855"/>
      <c r="J56" s="2855"/>
      <c r="K56" s="2855"/>
      <c r="L56" s="2528">
        <f t="shared" si="52"/>
        <v>0.86285678472222205</v>
      </c>
      <c r="M56" s="3620"/>
      <c r="N56" s="2528">
        <f>SUM(N47:N55)</f>
        <v>5.7301229166666669E-2</v>
      </c>
      <c r="O56" s="2526">
        <f t="shared" si="2"/>
        <v>0</v>
      </c>
      <c r="P56" s="2855"/>
      <c r="Q56" s="2855"/>
      <c r="R56" s="3621">
        <f>SUM(R47:R55)</f>
        <v>1500</v>
      </c>
      <c r="S56" s="2844">
        <f t="shared" si="14"/>
        <v>0</v>
      </c>
      <c r="T56" s="2845">
        <f t="shared" si="15"/>
        <v>0</v>
      </c>
      <c r="U56" s="374">
        <f t="shared" si="16"/>
        <v>0</v>
      </c>
      <c r="V56" s="2846">
        <f t="shared" si="17"/>
        <v>0</v>
      </c>
      <c r="W56" s="2847">
        <f t="shared" si="18"/>
        <v>0</v>
      </c>
      <c r="X56" s="2848">
        <f t="shared" si="19"/>
        <v>0</v>
      </c>
      <c r="Y56" s="2849">
        <f t="shared" si="20"/>
        <v>0</v>
      </c>
      <c r="Z56" s="2850">
        <f t="shared" si="21"/>
        <v>0</v>
      </c>
      <c r="AA56" s="2851">
        <f t="shared" si="22"/>
        <v>0</v>
      </c>
      <c r="AB56" s="2935"/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  <c r="AN56" s="1"/>
    </row>
    <row r="57" spans="1:40" ht="13" customHeight="1" thickBot="1">
      <c r="A57" s="2183"/>
      <c r="B57" s="3336"/>
      <c r="C57" s="629">
        <f t="shared" si="28"/>
        <v>0</v>
      </c>
      <c r="D57" s="2335"/>
      <c r="E57" s="2855"/>
      <c r="F57" s="2855"/>
      <c r="G57" s="2855"/>
      <c r="H57" s="2855"/>
      <c r="I57" s="2855"/>
      <c r="J57" s="2855"/>
      <c r="K57" s="3774" t="s">
        <v>1757</v>
      </c>
      <c r="L57" s="3769"/>
      <c r="M57" s="3620"/>
      <c r="N57" s="2528"/>
      <c r="O57" s="2526"/>
      <c r="P57" s="2855"/>
      <c r="Q57" s="2855"/>
      <c r="R57" s="3621"/>
      <c r="S57" s="2844">
        <f t="shared" si="14"/>
        <v>0</v>
      </c>
      <c r="T57" s="2845">
        <f t="shared" si="15"/>
        <v>0</v>
      </c>
      <c r="U57" s="374">
        <f t="shared" si="16"/>
        <v>0</v>
      </c>
      <c r="V57" s="2846">
        <f t="shared" si="17"/>
        <v>0</v>
      </c>
      <c r="W57" s="2847">
        <f t="shared" si="18"/>
        <v>0</v>
      </c>
      <c r="X57" s="2848">
        <f t="shared" si="19"/>
        <v>0</v>
      </c>
      <c r="Y57" s="2849">
        <f t="shared" si="20"/>
        <v>0</v>
      </c>
      <c r="Z57" s="2850">
        <f t="shared" si="21"/>
        <v>0</v>
      </c>
      <c r="AA57" s="2851">
        <f t="shared" si="22"/>
        <v>0</v>
      </c>
      <c r="AB57" s="2935"/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  <c r="AN57" s="1"/>
    </row>
    <row r="58" spans="1:40" ht="16" customHeight="1" thickBot="1">
      <c r="A58" s="3109"/>
      <c r="B58" s="3110"/>
      <c r="C58" s="629">
        <f t="shared" si="28"/>
        <v>2.152777777777778E-4</v>
      </c>
      <c r="D58" s="2302">
        <v>2</v>
      </c>
      <c r="E58" s="3775">
        <v>2</v>
      </c>
      <c r="F58" s="3776">
        <v>15</v>
      </c>
      <c r="G58" s="3776">
        <v>50</v>
      </c>
      <c r="H58" s="2277"/>
      <c r="I58" s="2277">
        <v>1.1574074074074073E-4</v>
      </c>
      <c r="J58" s="2277">
        <v>1.3888888888888889E-3</v>
      </c>
      <c r="K58" s="3777" t="s">
        <v>1758</v>
      </c>
      <c r="L58" s="3778">
        <v>0.30208333333333331</v>
      </c>
      <c r="M58" s="2280">
        <v>1</v>
      </c>
      <c r="N58" s="2277">
        <f>P58*E58*F58+I58*E58*F58+J58*E58</f>
        <v>1.9166666666666669E-2</v>
      </c>
      <c r="O58" s="2526">
        <f>C58*G58/25</f>
        <v>4.3055555555555561E-4</v>
      </c>
      <c r="P58" s="2281">
        <f>O58*M58</f>
        <v>4.3055555555555561E-4</v>
      </c>
      <c r="Q58" s="2282">
        <v>146</v>
      </c>
      <c r="R58" s="2283">
        <f>E58*F58*G58</f>
        <v>1500</v>
      </c>
      <c r="S58" s="2844">
        <f t="shared" si="14"/>
        <v>1.5</v>
      </c>
      <c r="T58" s="2845">
        <f t="shared" si="15"/>
        <v>5.1666666666666673E-2</v>
      </c>
      <c r="U58" s="374">
        <f t="shared" si="16"/>
        <v>0</v>
      </c>
      <c r="V58" s="2846">
        <f t="shared" si="17"/>
        <v>1.5</v>
      </c>
      <c r="W58" s="2847">
        <f t="shared" si="18"/>
        <v>0</v>
      </c>
      <c r="X58" s="2848">
        <f t="shared" si="19"/>
        <v>0</v>
      </c>
      <c r="Y58" s="2849">
        <f t="shared" si="20"/>
        <v>0</v>
      </c>
      <c r="Z58" s="2850">
        <f t="shared" si="21"/>
        <v>0</v>
      </c>
      <c r="AA58" s="2851">
        <f t="shared" si="22"/>
        <v>0</v>
      </c>
      <c r="AB58" s="2935"/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  <c r="AN58" s="1"/>
    </row>
    <row r="59" spans="1:40" ht="16" customHeight="1" thickBot="1">
      <c r="A59" s="3109" t="s">
        <v>218</v>
      </c>
      <c r="B59" s="3110" t="s">
        <v>459</v>
      </c>
      <c r="C59" s="629">
        <f t="shared" si="28"/>
        <v>2.152777777777778E-4</v>
      </c>
      <c r="D59" s="2302">
        <v>2</v>
      </c>
      <c r="E59" s="2276">
        <v>1</v>
      </c>
      <c r="F59" s="2276">
        <v>10</v>
      </c>
      <c r="G59" s="2276">
        <v>50</v>
      </c>
      <c r="H59" s="2277"/>
      <c r="I59" s="2277">
        <v>1.1574074074074073E-4</v>
      </c>
      <c r="J59" s="2277">
        <v>1.3888888888888889E-3</v>
      </c>
      <c r="K59" s="2278" t="s">
        <v>284</v>
      </c>
      <c r="L59" s="2277">
        <f>L58+N58</f>
        <v>0.32124999999999998</v>
      </c>
      <c r="M59" s="2280">
        <v>1</v>
      </c>
      <c r="N59" s="2277">
        <f>P59*E59*F59+I59*E59*F59+J59*E59</f>
        <v>6.8518518518518529E-3</v>
      </c>
      <c r="O59" s="2526">
        <f t="shared" si="2"/>
        <v>4.3055555555555561E-4</v>
      </c>
      <c r="P59" s="2281">
        <f t="shared" ref="P59:P63" si="53">O59*M59</f>
        <v>4.3055555555555561E-4</v>
      </c>
      <c r="Q59" s="2282">
        <v>146</v>
      </c>
      <c r="R59" s="2283">
        <f t="shared" ref="R59:R63" si="54">E59*F59*G59</f>
        <v>500</v>
      </c>
      <c r="S59" s="2844">
        <f t="shared" si="14"/>
        <v>0.5</v>
      </c>
      <c r="T59" s="2845">
        <f t="shared" si="15"/>
        <v>1.7222222222222226E-2</v>
      </c>
      <c r="U59" s="374">
        <f t="shared" si="16"/>
        <v>0</v>
      </c>
      <c r="V59" s="2846">
        <f t="shared" si="17"/>
        <v>0.5</v>
      </c>
      <c r="W59" s="2847">
        <f t="shared" si="18"/>
        <v>0</v>
      </c>
      <c r="X59" s="2848">
        <f t="shared" si="19"/>
        <v>0</v>
      </c>
      <c r="Y59" s="2849">
        <f t="shared" si="20"/>
        <v>0</v>
      </c>
      <c r="Z59" s="2850">
        <f t="shared" si="21"/>
        <v>0</v>
      </c>
      <c r="AA59" s="2851">
        <f t="shared" si="22"/>
        <v>0</v>
      </c>
      <c r="AB59" s="2935"/>
      <c r="AC59" s="2867"/>
      <c r="AD59" s="2867"/>
      <c r="AE59" s="2867"/>
      <c r="AF59" s="2867"/>
      <c r="AG59" s="2867"/>
      <c r="AH59" s="2867"/>
      <c r="AI59" s="2825"/>
      <c r="AJ59" s="2825"/>
      <c r="AK59" s="2825"/>
      <c r="AL59" s="2825"/>
      <c r="AM59" s="2825"/>
      <c r="AN59" s="1"/>
    </row>
    <row r="60" spans="1:40" ht="14" customHeight="1" thickBot="1">
      <c r="A60" s="3109" t="s">
        <v>139</v>
      </c>
      <c r="B60" s="3110" t="s">
        <v>459</v>
      </c>
      <c r="C60" s="629">
        <f t="shared" si="28"/>
        <v>1.7939814814814817E-4</v>
      </c>
      <c r="D60" s="2520">
        <v>4</v>
      </c>
      <c r="E60" s="2521">
        <v>1</v>
      </c>
      <c r="F60" s="2521">
        <v>4</v>
      </c>
      <c r="G60" s="2521">
        <v>100</v>
      </c>
      <c r="H60" s="2522">
        <v>1.0416666666666667E-3</v>
      </c>
      <c r="I60" s="2522">
        <v>0</v>
      </c>
      <c r="J60" s="2522">
        <v>0</v>
      </c>
      <c r="K60" s="2523" t="s">
        <v>1759</v>
      </c>
      <c r="L60" s="2522">
        <f t="shared" ref="L60:L64" si="55">L59+N59</f>
        <v>0.32810185185185181</v>
      </c>
      <c r="M60" s="2525">
        <v>1</v>
      </c>
      <c r="N60" s="2522">
        <f>H60*F60*E60</f>
        <v>4.1666666666666666E-3</v>
      </c>
      <c r="O60" s="2526">
        <f>C60*(G60/25)*1.04</f>
        <v>7.4629629629629644E-4</v>
      </c>
      <c r="P60" s="2526">
        <f t="shared" si="53"/>
        <v>7.4629629629629644E-4</v>
      </c>
      <c r="Q60" s="2527">
        <v>166</v>
      </c>
      <c r="R60" s="2521">
        <f t="shared" si="54"/>
        <v>400</v>
      </c>
      <c r="S60" s="2844">
        <f t="shared" si="14"/>
        <v>0.4</v>
      </c>
      <c r="T60" s="2845">
        <f t="shared" si="15"/>
        <v>1.1940740740740743E-2</v>
      </c>
      <c r="U60" s="374">
        <f t="shared" si="16"/>
        <v>0</v>
      </c>
      <c r="V60" s="2846">
        <f t="shared" si="17"/>
        <v>0</v>
      </c>
      <c r="W60" s="2847">
        <f t="shared" si="18"/>
        <v>0</v>
      </c>
      <c r="X60" s="2848">
        <f t="shared" si="19"/>
        <v>0.4</v>
      </c>
      <c r="Y60" s="2849">
        <f t="shared" si="20"/>
        <v>0</v>
      </c>
      <c r="Z60" s="2850">
        <f t="shared" si="21"/>
        <v>0</v>
      </c>
      <c r="AA60" s="2851">
        <f t="shared" si="22"/>
        <v>0</v>
      </c>
      <c r="AB60" s="2935"/>
      <c r="AC60" s="2867"/>
      <c r="AD60" s="2867"/>
      <c r="AE60" s="2867"/>
      <c r="AF60" s="2867"/>
      <c r="AG60" s="2867"/>
      <c r="AH60" s="2867"/>
      <c r="AI60" s="2825"/>
      <c r="AJ60" s="2825"/>
      <c r="AK60" s="2825"/>
      <c r="AL60" s="2825"/>
      <c r="AM60" s="2825"/>
      <c r="AN60" s="1"/>
    </row>
    <row r="61" spans="1:40" ht="14" customHeight="1" thickBot="1">
      <c r="A61" s="3109" t="s">
        <v>458</v>
      </c>
      <c r="B61" s="3110" t="s">
        <v>459</v>
      </c>
      <c r="C61" s="629">
        <f t="shared" si="28"/>
        <v>1.9733796296296302E-4</v>
      </c>
      <c r="D61" s="2309">
        <v>3</v>
      </c>
      <c r="E61" s="2257">
        <v>1</v>
      </c>
      <c r="F61" s="2257">
        <v>8</v>
      </c>
      <c r="G61" s="2257">
        <v>50</v>
      </c>
      <c r="H61" s="2258"/>
      <c r="I61" s="2258">
        <v>1.1574074074074073E-4</v>
      </c>
      <c r="J61" s="2258">
        <v>1.3888888888888889E-3</v>
      </c>
      <c r="K61" s="2259" t="s">
        <v>724</v>
      </c>
      <c r="L61" s="2258">
        <f t="shared" si="55"/>
        <v>0.33226851851851846</v>
      </c>
      <c r="M61" s="2326">
        <v>1</v>
      </c>
      <c r="N61" s="2258">
        <f>P61*E61*F61+I61*E61*F61+J61*E61</f>
        <v>5.4722222222222229E-3</v>
      </c>
      <c r="O61" s="2526">
        <f t="shared" si="2"/>
        <v>3.9467592592592603E-4</v>
      </c>
      <c r="P61" s="2262">
        <f t="shared" si="53"/>
        <v>3.9467592592592603E-4</v>
      </c>
      <c r="Q61" s="2274">
        <v>164</v>
      </c>
      <c r="R61" s="2257">
        <f t="shared" si="54"/>
        <v>400</v>
      </c>
      <c r="S61" s="2844">
        <f t="shared" si="14"/>
        <v>0.4</v>
      </c>
      <c r="T61" s="2845">
        <f t="shared" si="15"/>
        <v>1.2629629629629633E-2</v>
      </c>
      <c r="U61" s="374">
        <f t="shared" si="16"/>
        <v>0</v>
      </c>
      <c r="V61" s="2846">
        <f t="shared" si="17"/>
        <v>0</v>
      </c>
      <c r="W61" s="2847">
        <f t="shared" si="18"/>
        <v>0.4</v>
      </c>
      <c r="X61" s="2848">
        <f t="shared" si="19"/>
        <v>0</v>
      </c>
      <c r="Y61" s="2849">
        <f t="shared" si="20"/>
        <v>0</v>
      </c>
      <c r="Z61" s="2850">
        <f t="shared" si="21"/>
        <v>0</v>
      </c>
      <c r="AA61" s="2851">
        <f t="shared" si="22"/>
        <v>0</v>
      </c>
      <c r="AB61" s="2935"/>
      <c r="AC61" s="2867"/>
      <c r="AD61" s="2867"/>
      <c r="AE61" s="2867"/>
      <c r="AF61" s="2867"/>
      <c r="AG61" s="2867"/>
      <c r="AH61" s="2867"/>
      <c r="AI61" s="2825"/>
      <c r="AJ61" s="2825"/>
      <c r="AK61" s="2825"/>
      <c r="AL61" s="2825"/>
      <c r="AM61" s="2825"/>
      <c r="AN61" s="1"/>
    </row>
    <row r="62" spans="1:40" ht="15" customHeight="1" thickBot="1">
      <c r="A62" s="3109" t="s">
        <v>462</v>
      </c>
      <c r="B62" s="3110" t="s">
        <v>459</v>
      </c>
      <c r="C62" s="629">
        <f t="shared" si="28"/>
        <v>1.7222222222222224E-4</v>
      </c>
      <c r="D62" s="2318">
        <v>7</v>
      </c>
      <c r="E62" s="2512">
        <v>1</v>
      </c>
      <c r="F62" s="2512">
        <v>3</v>
      </c>
      <c r="G62" s="2512">
        <v>50</v>
      </c>
      <c r="H62" s="2270"/>
      <c r="I62" s="2270">
        <v>2.0833333333333333E-3</v>
      </c>
      <c r="J62" s="2267">
        <v>1.3888888888888889E-3</v>
      </c>
      <c r="K62" s="3125" t="s">
        <v>315</v>
      </c>
      <c r="L62" s="2270">
        <f t="shared" si="55"/>
        <v>0.33774074074074067</v>
      </c>
      <c r="M62" s="3469">
        <v>1</v>
      </c>
      <c r="N62" s="2270">
        <f>P62*E62*F62+I62*E62*F62+J62*E62</f>
        <v>8.6722222222222218E-3</v>
      </c>
      <c r="O62" s="2526">
        <f t="shared" si="2"/>
        <v>3.4444444444444442E-4</v>
      </c>
      <c r="P62" s="2517">
        <f t="shared" si="53"/>
        <v>3.4444444444444442E-4</v>
      </c>
      <c r="Q62" s="2518" t="s">
        <v>316</v>
      </c>
      <c r="R62" s="3764">
        <f t="shared" si="54"/>
        <v>150</v>
      </c>
      <c r="S62" s="2844">
        <f t="shared" si="14"/>
        <v>0.15</v>
      </c>
      <c r="T62" s="2845">
        <f t="shared" si="15"/>
        <v>4.1333333333333326E-3</v>
      </c>
      <c r="U62" s="374">
        <f t="shared" si="16"/>
        <v>0</v>
      </c>
      <c r="V62" s="2846">
        <f t="shared" si="17"/>
        <v>0</v>
      </c>
      <c r="W62" s="2847">
        <f t="shared" si="18"/>
        <v>0</v>
      </c>
      <c r="X62" s="2848">
        <f t="shared" si="19"/>
        <v>0</v>
      </c>
      <c r="Y62" s="2849">
        <f t="shared" si="20"/>
        <v>0</v>
      </c>
      <c r="Z62" s="2850">
        <f t="shared" si="21"/>
        <v>0</v>
      </c>
      <c r="AA62" s="2851">
        <f t="shared" si="22"/>
        <v>0.15</v>
      </c>
      <c r="AB62" s="2935"/>
      <c r="AC62" s="2867"/>
      <c r="AD62" s="2867"/>
      <c r="AE62" s="2867"/>
      <c r="AF62" s="2867"/>
      <c r="AG62" s="2867"/>
      <c r="AH62" s="2867"/>
      <c r="AI62" s="2825"/>
      <c r="AJ62" s="2825"/>
      <c r="AK62" s="2825"/>
      <c r="AL62" s="2825"/>
      <c r="AM62" s="2825"/>
      <c r="AN62" s="1"/>
    </row>
    <row r="63" spans="1:40" ht="16" customHeight="1" thickBot="1">
      <c r="A63" s="3109" t="s">
        <v>458</v>
      </c>
      <c r="B63" s="3110" t="s">
        <v>459</v>
      </c>
      <c r="C63" s="629">
        <f t="shared" si="28"/>
        <v>1.7222222222222224E-4</v>
      </c>
      <c r="D63" s="2318">
        <v>7</v>
      </c>
      <c r="E63" s="2512">
        <v>1</v>
      </c>
      <c r="F63" s="2512">
        <v>12</v>
      </c>
      <c r="G63" s="2512">
        <v>15</v>
      </c>
      <c r="H63" s="2270"/>
      <c r="I63" s="2270">
        <v>4.6296296296296293E-4</v>
      </c>
      <c r="J63" s="2270">
        <v>2.0833333333333333E-3</v>
      </c>
      <c r="K63" s="2880" t="s">
        <v>900</v>
      </c>
      <c r="L63" s="2270">
        <f t="shared" si="55"/>
        <v>0.34641296296296292</v>
      </c>
      <c r="M63" s="2516">
        <v>0.7</v>
      </c>
      <c r="N63" s="2270">
        <f>P63*E63*F63+I63*E63*F63+J63*E63</f>
        <v>8.5068888888888885E-3</v>
      </c>
      <c r="O63" s="2526">
        <f t="shared" si="2"/>
        <v>1.0333333333333336E-4</v>
      </c>
      <c r="P63" s="2517">
        <f t="shared" si="53"/>
        <v>7.2333333333333348E-5</v>
      </c>
      <c r="Q63" s="2518" t="s">
        <v>316</v>
      </c>
      <c r="R63" s="3764">
        <f t="shared" si="54"/>
        <v>180</v>
      </c>
      <c r="S63" s="2844">
        <f t="shared" si="14"/>
        <v>0.18</v>
      </c>
      <c r="T63" s="2845">
        <f t="shared" si="15"/>
        <v>4.9600000000000009E-3</v>
      </c>
      <c r="U63" s="374">
        <f t="shared" si="16"/>
        <v>0</v>
      </c>
      <c r="V63" s="2846">
        <f t="shared" si="17"/>
        <v>0</v>
      </c>
      <c r="W63" s="2847">
        <f t="shared" si="18"/>
        <v>0</v>
      </c>
      <c r="X63" s="2848">
        <f t="shared" si="19"/>
        <v>0</v>
      </c>
      <c r="Y63" s="2849">
        <f t="shared" si="20"/>
        <v>0</v>
      </c>
      <c r="Z63" s="2850">
        <f t="shared" si="21"/>
        <v>0</v>
      </c>
      <c r="AA63" s="2851">
        <f t="shared" si="22"/>
        <v>0.18</v>
      </c>
      <c r="AB63" s="2935"/>
      <c r="AC63" s="2867"/>
      <c r="AD63" s="2867"/>
      <c r="AE63" s="2867"/>
      <c r="AF63" s="2867"/>
      <c r="AG63" s="2867"/>
      <c r="AH63" s="2867"/>
      <c r="AI63" s="2825"/>
      <c r="AJ63" s="2825"/>
      <c r="AK63" s="2825"/>
      <c r="AL63" s="2825"/>
      <c r="AM63" s="2825"/>
      <c r="AN63" s="1"/>
    </row>
    <row r="64" spans="1:40" ht="15" customHeight="1" thickBot="1">
      <c r="A64" s="3109" t="s">
        <v>219</v>
      </c>
      <c r="B64" s="3110"/>
      <c r="C64" s="629">
        <f t="shared" si="28"/>
        <v>0</v>
      </c>
      <c r="D64" s="2335"/>
      <c r="E64" s="2855"/>
      <c r="F64" s="2855"/>
      <c r="G64" s="2855"/>
      <c r="H64" s="2855"/>
      <c r="I64" s="2855"/>
      <c r="J64" s="2855"/>
      <c r="K64" s="2855"/>
      <c r="L64" s="2528">
        <f t="shared" si="55"/>
        <v>0.35491985185185182</v>
      </c>
      <c r="M64" s="3620"/>
      <c r="N64" s="2528">
        <f>SUM(N58:N63)</f>
        <v>5.2836518518518519E-2</v>
      </c>
      <c r="O64" s="2526">
        <f t="shared" si="2"/>
        <v>0</v>
      </c>
      <c r="P64" s="2855"/>
      <c r="Q64" s="2855"/>
      <c r="R64" s="3621">
        <f>SUM(R58:R63)</f>
        <v>3130</v>
      </c>
      <c r="S64" s="2844">
        <f t="shared" si="14"/>
        <v>0</v>
      </c>
      <c r="T64" s="2845">
        <f t="shared" si="15"/>
        <v>0</v>
      </c>
      <c r="U64" s="374">
        <f t="shared" si="16"/>
        <v>0</v>
      </c>
      <c r="V64" s="2846">
        <f t="shared" si="17"/>
        <v>0</v>
      </c>
      <c r="W64" s="2847">
        <f t="shared" si="18"/>
        <v>0</v>
      </c>
      <c r="X64" s="2848">
        <f t="shared" si="19"/>
        <v>0</v>
      </c>
      <c r="Y64" s="2849">
        <f t="shared" si="20"/>
        <v>0</v>
      </c>
      <c r="Z64" s="2850">
        <f t="shared" si="21"/>
        <v>0</v>
      </c>
      <c r="AA64" s="2851">
        <f t="shared" si="22"/>
        <v>0</v>
      </c>
      <c r="AB64" s="2935"/>
      <c r="AC64" s="2867"/>
      <c r="AD64" s="2867"/>
      <c r="AE64" s="2867"/>
      <c r="AF64" s="2867"/>
      <c r="AG64" s="2867"/>
      <c r="AH64" s="2867"/>
      <c r="AI64" s="2825"/>
      <c r="AJ64" s="2825"/>
      <c r="AK64" s="2825"/>
      <c r="AL64" s="2825"/>
      <c r="AM64" s="2825"/>
      <c r="AN64" s="1"/>
    </row>
    <row r="65" spans="1:40" ht="18" customHeight="1" thickTop="1" thickBot="1">
      <c r="A65" s="144"/>
      <c r="B65" s="144"/>
      <c r="C65" s="144"/>
      <c r="D65" s="906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3156"/>
      <c r="S65" s="3631"/>
      <c r="T65" s="3154"/>
      <c r="U65" s="3155">
        <f t="shared" ref="U65:AA65" si="56">SUM(U6:U64)</f>
        <v>4.2</v>
      </c>
      <c r="V65" s="3155">
        <f t="shared" si="56"/>
        <v>3.8</v>
      </c>
      <c r="W65" s="3155">
        <f t="shared" si="56"/>
        <v>4.4000000000000004</v>
      </c>
      <c r="X65" s="3155">
        <f t="shared" si="56"/>
        <v>2.0000000000000004</v>
      </c>
      <c r="Y65" s="3155">
        <f t="shared" si="56"/>
        <v>0</v>
      </c>
      <c r="Z65" s="3155">
        <f t="shared" si="56"/>
        <v>2.6250000000000004</v>
      </c>
      <c r="AA65" s="3155">
        <f t="shared" si="56"/>
        <v>2.5550000000000002</v>
      </c>
      <c r="AB65" s="3156">
        <f>U65+V65+W65+X65+Y65+Z65+AA65</f>
        <v>19.580000000000002</v>
      </c>
      <c r="AC65" s="2837"/>
      <c r="AD65" s="2838"/>
      <c r="AE65" s="2838"/>
      <c r="AF65" s="2838"/>
      <c r="AG65" s="2838"/>
      <c r="AH65" s="2838"/>
      <c r="AI65" s="2836"/>
      <c r="AN65" s="1"/>
    </row>
    <row r="66" spans="1:40" ht="14" thickTop="1">
      <c r="A66" s="144"/>
      <c r="B66" s="144"/>
      <c r="C66" s="144"/>
      <c r="D66" s="906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3157">
        <f>IF(U65&gt;0,U65,#REF!)</f>
        <v>4.2</v>
      </c>
      <c r="V66" s="3157">
        <f>IF(V65&gt;0,V65,#REF!)</f>
        <v>3.8</v>
      </c>
      <c r="W66" s="3157">
        <f>IF(W65&gt;0,W65,#REF!)</f>
        <v>4.4000000000000004</v>
      </c>
      <c r="X66" s="3157">
        <f>IF(X65&gt;0,X65,#REF!)</f>
        <v>2.0000000000000004</v>
      </c>
      <c r="Y66" s="3157" t="e">
        <f>IF(Y65&gt;0,Y65,#REF!)</f>
        <v>#REF!</v>
      </c>
      <c r="Z66" s="3157">
        <f>IF(Z65&gt;0,Z65,#REF!)</f>
        <v>2.6250000000000004</v>
      </c>
      <c r="AA66" s="3157">
        <f>IF(AA65&gt;0,AA65,#REF!)</f>
        <v>2.5550000000000002</v>
      </c>
      <c r="AB66" s="144"/>
      <c r="AC66" s="2867" t="s">
        <v>193</v>
      </c>
      <c r="AD66" s="2937"/>
      <c r="AE66" s="2937"/>
      <c r="AF66" s="2937"/>
      <c r="AG66" s="2937"/>
      <c r="AH66" s="2937"/>
      <c r="AI66" s="2935"/>
      <c r="AN66" s="1"/>
    </row>
    <row r="67" spans="1:40">
      <c r="A67" s="144"/>
      <c r="B67" s="144"/>
      <c r="C67" s="144"/>
      <c r="D67" s="906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3157">
        <f t="shared" ref="U67:AA82" si="57">IF(U66&gt;0,U66,U65)</f>
        <v>4.2</v>
      </c>
      <c r="V67" s="3157">
        <f t="shared" si="57"/>
        <v>3.8</v>
      </c>
      <c r="W67" s="3157">
        <f t="shared" si="57"/>
        <v>4.4000000000000004</v>
      </c>
      <c r="X67" s="3157">
        <f t="shared" si="57"/>
        <v>2.0000000000000004</v>
      </c>
      <c r="Y67" s="3157" t="e">
        <f t="shared" si="57"/>
        <v>#REF!</v>
      </c>
      <c r="Z67" s="3157">
        <f t="shared" si="57"/>
        <v>2.6250000000000004</v>
      </c>
      <c r="AA67" s="3157">
        <f t="shared" si="57"/>
        <v>2.5550000000000002</v>
      </c>
      <c r="AB67" s="144"/>
      <c r="AC67" s="2867">
        <v>0</v>
      </c>
      <c r="AD67" s="2867">
        <v>0</v>
      </c>
      <c r="AE67" s="2867">
        <v>0</v>
      </c>
      <c r="AF67" s="2867">
        <v>0</v>
      </c>
      <c r="AG67" s="2867">
        <v>0</v>
      </c>
      <c r="AH67" s="2867">
        <v>0</v>
      </c>
      <c r="AI67" s="2935"/>
      <c r="AN67" s="1"/>
    </row>
    <row r="68" spans="1:40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3157">
        <f t="shared" si="57"/>
        <v>4.2</v>
      </c>
      <c r="V68" s="3157">
        <f t="shared" si="57"/>
        <v>3.8</v>
      </c>
      <c r="W68" s="3157">
        <f t="shared" si="57"/>
        <v>4.4000000000000004</v>
      </c>
      <c r="X68" s="3157">
        <f t="shared" si="57"/>
        <v>2.0000000000000004</v>
      </c>
      <c r="Y68" s="3157" t="e">
        <f t="shared" si="57"/>
        <v>#REF!</v>
      </c>
      <c r="Z68" s="3157">
        <f t="shared" si="57"/>
        <v>2.6250000000000004</v>
      </c>
      <c r="AA68" s="3157">
        <f t="shared" si="57"/>
        <v>2.5550000000000002</v>
      </c>
      <c r="AB68" s="144"/>
      <c r="AC68" s="2867"/>
      <c r="AD68" s="2867"/>
      <c r="AE68" s="2867"/>
      <c r="AF68" s="2867"/>
      <c r="AG68" s="2867"/>
      <c r="AH68" s="2867"/>
      <c r="AI68" s="2935"/>
      <c r="AN68" s="1"/>
    </row>
    <row r="69" spans="1:40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3157">
        <f t="shared" si="57"/>
        <v>4.2</v>
      </c>
      <c r="V69" s="3157">
        <f t="shared" si="57"/>
        <v>3.8</v>
      </c>
      <c r="W69" s="3157">
        <f t="shared" si="57"/>
        <v>4.4000000000000004</v>
      </c>
      <c r="X69" s="3157">
        <f t="shared" si="57"/>
        <v>2.0000000000000004</v>
      </c>
      <c r="Y69" s="3157" t="e">
        <f t="shared" si="57"/>
        <v>#REF!</v>
      </c>
      <c r="Z69" s="3157">
        <f t="shared" si="57"/>
        <v>2.6250000000000004</v>
      </c>
      <c r="AA69" s="3157">
        <f t="shared" si="57"/>
        <v>2.5550000000000002</v>
      </c>
      <c r="AB69" s="144"/>
      <c r="AC69" s="2867"/>
      <c r="AD69" s="2867"/>
      <c r="AE69" s="2867"/>
      <c r="AF69" s="2867"/>
      <c r="AG69" s="2867"/>
      <c r="AH69" s="2867"/>
      <c r="AI69" s="2935"/>
      <c r="AN69" s="1"/>
    </row>
    <row r="70" spans="1:40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3157">
        <f t="shared" si="57"/>
        <v>4.2</v>
      </c>
      <c r="V70" s="3157">
        <f t="shared" si="57"/>
        <v>3.8</v>
      </c>
      <c r="W70" s="3157">
        <f t="shared" si="57"/>
        <v>4.4000000000000004</v>
      </c>
      <c r="X70" s="3157">
        <f t="shared" si="57"/>
        <v>2.0000000000000004</v>
      </c>
      <c r="Y70" s="3157" t="e">
        <f t="shared" si="57"/>
        <v>#REF!</v>
      </c>
      <c r="Z70" s="3157">
        <f t="shared" si="57"/>
        <v>2.6250000000000004</v>
      </c>
      <c r="AA70" s="3157">
        <f t="shared" si="57"/>
        <v>2.5550000000000002</v>
      </c>
      <c r="AB70" s="144"/>
      <c r="AC70" s="2867">
        <v>0</v>
      </c>
      <c r="AD70" s="2867">
        <v>0</v>
      </c>
      <c r="AE70" s="2867">
        <v>0</v>
      </c>
      <c r="AF70" s="2867">
        <v>0</v>
      </c>
      <c r="AG70" s="2867">
        <v>0</v>
      </c>
      <c r="AH70" s="2867">
        <v>0</v>
      </c>
      <c r="AI70" s="2935"/>
      <c r="AJ70" s="1"/>
      <c r="AK70" s="1"/>
      <c r="AL70" s="1"/>
      <c r="AM70" s="1"/>
      <c r="AN70" s="1"/>
    </row>
    <row r="71" spans="1:40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3157">
        <f t="shared" si="57"/>
        <v>4.2</v>
      </c>
      <c r="V71" s="3157">
        <f t="shared" si="57"/>
        <v>3.8</v>
      </c>
      <c r="W71" s="3157">
        <f t="shared" si="57"/>
        <v>4.4000000000000004</v>
      </c>
      <c r="X71" s="3157">
        <f t="shared" si="57"/>
        <v>2.0000000000000004</v>
      </c>
      <c r="Y71" s="3157" t="e">
        <f t="shared" si="57"/>
        <v>#REF!</v>
      </c>
      <c r="Z71" s="3157">
        <f t="shared" si="57"/>
        <v>2.6250000000000004</v>
      </c>
      <c r="AA71" s="3157">
        <f t="shared" si="57"/>
        <v>2.5550000000000002</v>
      </c>
      <c r="AB71" s="144"/>
      <c r="AC71" s="2867">
        <v>0</v>
      </c>
      <c r="AD71" s="2867">
        <v>0</v>
      </c>
      <c r="AE71" s="2867">
        <v>0</v>
      </c>
      <c r="AF71" s="2867">
        <v>0</v>
      </c>
      <c r="AG71" s="2867">
        <v>0</v>
      </c>
      <c r="AH71" s="2867">
        <v>0</v>
      </c>
      <c r="AI71" s="2825"/>
      <c r="AJ71" s="1"/>
      <c r="AK71" s="1"/>
      <c r="AL71" s="1"/>
      <c r="AM71" s="1"/>
      <c r="AN71" s="1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3157">
        <f t="shared" si="57"/>
        <v>4.2</v>
      </c>
      <c r="V72" s="3157">
        <f t="shared" si="57"/>
        <v>3.8</v>
      </c>
      <c r="W72" s="3157">
        <f t="shared" si="57"/>
        <v>4.4000000000000004</v>
      </c>
      <c r="X72" s="3157">
        <f t="shared" si="57"/>
        <v>2.0000000000000004</v>
      </c>
      <c r="Y72" s="3157" t="e">
        <f t="shared" si="57"/>
        <v>#REF!</v>
      </c>
      <c r="Z72" s="3157">
        <f t="shared" si="57"/>
        <v>2.6250000000000004</v>
      </c>
      <c r="AA72" s="3157">
        <f>IF(AA71&gt;0,AA71,AA70)</f>
        <v>2.5550000000000002</v>
      </c>
      <c r="AB72" s="144"/>
      <c r="AC72" s="2867"/>
      <c r="AD72" s="2867"/>
      <c r="AE72" s="2867"/>
      <c r="AF72" s="2867"/>
      <c r="AG72" s="2867"/>
      <c r="AH72" s="2867"/>
      <c r="AI72" s="2825"/>
      <c r="AJ72" s="1"/>
      <c r="AK72" s="1"/>
      <c r="AL72" s="1"/>
      <c r="AM72" s="1"/>
      <c r="AN72" s="1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3157">
        <f t="shared" si="57"/>
        <v>4.2</v>
      </c>
      <c r="V73" s="3157">
        <f t="shared" si="57"/>
        <v>3.8</v>
      </c>
      <c r="W73" s="3157">
        <f t="shared" si="57"/>
        <v>4.4000000000000004</v>
      </c>
      <c r="X73" s="3157">
        <f t="shared" si="57"/>
        <v>2.0000000000000004</v>
      </c>
      <c r="Y73" s="3157" t="e">
        <f t="shared" si="57"/>
        <v>#REF!</v>
      </c>
      <c r="Z73" s="3157">
        <f t="shared" si="57"/>
        <v>2.6250000000000004</v>
      </c>
      <c r="AA73" s="3157">
        <f t="shared" si="57"/>
        <v>2.5550000000000002</v>
      </c>
      <c r="AB73" s="144"/>
      <c r="AC73" s="2867"/>
      <c r="AD73" s="2867"/>
      <c r="AE73" s="2867"/>
      <c r="AF73" s="2867"/>
      <c r="AG73" s="2867"/>
      <c r="AH73" s="2867"/>
      <c r="AI73" s="2825"/>
      <c r="AJ73" s="1"/>
      <c r="AK73" s="1"/>
      <c r="AL73" s="1"/>
      <c r="AM73" s="1"/>
      <c r="AN73" s="1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3157">
        <f t="shared" si="57"/>
        <v>4.2</v>
      </c>
      <c r="V74" s="3157">
        <f t="shared" si="57"/>
        <v>3.8</v>
      </c>
      <c r="W74" s="3157">
        <f t="shared" si="57"/>
        <v>4.4000000000000004</v>
      </c>
      <c r="X74" s="3157">
        <f t="shared" si="57"/>
        <v>2.0000000000000004</v>
      </c>
      <c r="Y74" s="3157" t="e">
        <f t="shared" si="57"/>
        <v>#REF!</v>
      </c>
      <c r="Z74" s="3157">
        <f t="shared" si="57"/>
        <v>2.6250000000000004</v>
      </c>
      <c r="AA74" s="3157">
        <f t="shared" si="57"/>
        <v>2.5550000000000002</v>
      </c>
      <c r="AB74" s="144"/>
      <c r="AC74" s="2867">
        <v>0</v>
      </c>
      <c r="AD74" s="2867">
        <v>0</v>
      </c>
      <c r="AE74" s="2867">
        <v>0</v>
      </c>
      <c r="AF74" s="2867">
        <v>0</v>
      </c>
      <c r="AG74" s="2867">
        <v>0</v>
      </c>
      <c r="AH74" s="2867">
        <v>0</v>
      </c>
      <c r="AI74" s="2825"/>
      <c r="AJ74" s="1"/>
      <c r="AK74" s="1"/>
      <c r="AL74" s="1"/>
      <c r="AM74" s="1"/>
      <c r="AN74" s="1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3157">
        <f t="shared" si="57"/>
        <v>4.2</v>
      </c>
      <c r="V75" s="3157">
        <f t="shared" si="57"/>
        <v>3.8</v>
      </c>
      <c r="W75" s="3157">
        <f t="shared" si="57"/>
        <v>4.4000000000000004</v>
      </c>
      <c r="X75" s="3157">
        <f t="shared" si="57"/>
        <v>2.0000000000000004</v>
      </c>
      <c r="Y75" s="3157" t="e">
        <f t="shared" si="57"/>
        <v>#REF!</v>
      </c>
      <c r="Z75" s="3157">
        <f t="shared" si="57"/>
        <v>2.6250000000000004</v>
      </c>
      <c r="AA75" s="3157">
        <f t="shared" si="57"/>
        <v>2.5550000000000002</v>
      </c>
      <c r="AB75" s="144"/>
      <c r="AC75" s="2867">
        <v>0</v>
      </c>
      <c r="AD75" s="2867">
        <v>0</v>
      </c>
      <c r="AE75" s="2867">
        <v>0</v>
      </c>
      <c r="AF75" s="2867">
        <v>0</v>
      </c>
      <c r="AG75" s="2867">
        <v>0</v>
      </c>
      <c r="AH75" s="2867">
        <v>0</v>
      </c>
      <c r="AI75" s="2825"/>
      <c r="AJ75" s="1"/>
      <c r="AK75" s="1"/>
      <c r="AL75" s="1"/>
      <c r="AM75" s="1"/>
      <c r="AN75" s="1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3157">
        <f t="shared" si="57"/>
        <v>4.2</v>
      </c>
      <c r="V76" s="3157">
        <f t="shared" si="57"/>
        <v>3.8</v>
      </c>
      <c r="W76" s="3157">
        <f t="shared" si="57"/>
        <v>4.4000000000000004</v>
      </c>
      <c r="X76" s="3157">
        <f t="shared" si="57"/>
        <v>2.0000000000000004</v>
      </c>
      <c r="Y76" s="3157" t="e">
        <f t="shared" si="57"/>
        <v>#REF!</v>
      </c>
      <c r="Z76" s="3157">
        <f t="shared" si="57"/>
        <v>2.6250000000000004</v>
      </c>
      <c r="AA76" s="3157">
        <f t="shared" si="57"/>
        <v>2.5550000000000002</v>
      </c>
      <c r="AB76" s="144"/>
      <c r="AC76" s="2867">
        <v>0</v>
      </c>
      <c r="AD76" s="2867">
        <v>0</v>
      </c>
      <c r="AE76" s="2867">
        <v>0</v>
      </c>
      <c r="AF76" s="2867">
        <v>0</v>
      </c>
      <c r="AG76" s="2867">
        <v>0</v>
      </c>
      <c r="AH76" s="2867">
        <v>0</v>
      </c>
      <c r="AI76" s="2825"/>
      <c r="AJ76" s="1"/>
      <c r="AK76" s="1"/>
      <c r="AL76" s="1"/>
      <c r="AM76" s="1"/>
      <c r="AN76" s="1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3157">
        <f t="shared" si="57"/>
        <v>4.2</v>
      </c>
      <c r="V77" s="3157">
        <f t="shared" si="57"/>
        <v>3.8</v>
      </c>
      <c r="W77" s="3157">
        <f t="shared" si="57"/>
        <v>4.4000000000000004</v>
      </c>
      <c r="X77" s="3157">
        <f t="shared" si="57"/>
        <v>2.0000000000000004</v>
      </c>
      <c r="Y77" s="3157" t="e">
        <f t="shared" si="57"/>
        <v>#REF!</v>
      </c>
      <c r="Z77" s="3157">
        <f t="shared" si="57"/>
        <v>2.6250000000000004</v>
      </c>
      <c r="AA77" s="3157">
        <f t="shared" si="57"/>
        <v>2.5550000000000002</v>
      </c>
      <c r="AB77" s="144"/>
      <c r="AC77" s="2867">
        <v>0</v>
      </c>
      <c r="AD77" s="2867">
        <v>0</v>
      </c>
      <c r="AE77" s="2867">
        <v>0</v>
      </c>
      <c r="AF77" s="2867">
        <v>0</v>
      </c>
      <c r="AG77" s="2867">
        <v>0</v>
      </c>
      <c r="AH77" s="2867">
        <v>0</v>
      </c>
      <c r="AI77" s="2825"/>
      <c r="AJ77" s="1"/>
      <c r="AK77" s="1"/>
      <c r="AL77" s="1"/>
      <c r="AM77" s="1"/>
      <c r="AN77" s="1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3157">
        <f t="shared" si="57"/>
        <v>4.2</v>
      </c>
      <c r="V78" s="3157">
        <f t="shared" si="57"/>
        <v>3.8</v>
      </c>
      <c r="W78" s="3157">
        <f t="shared" si="57"/>
        <v>4.4000000000000004</v>
      </c>
      <c r="X78" s="3157">
        <f t="shared" si="57"/>
        <v>2.0000000000000004</v>
      </c>
      <c r="Y78" s="3157" t="e">
        <f t="shared" si="57"/>
        <v>#REF!</v>
      </c>
      <c r="Z78" s="3157">
        <f t="shared" si="57"/>
        <v>2.6250000000000004</v>
      </c>
      <c r="AA78" s="3157">
        <f t="shared" si="57"/>
        <v>2.5550000000000002</v>
      </c>
      <c r="AB78" s="144"/>
      <c r="AC78" s="2867"/>
      <c r="AD78" s="2867"/>
      <c r="AE78" s="2867"/>
      <c r="AF78" s="2867"/>
      <c r="AG78" s="2867"/>
      <c r="AH78" s="2867"/>
      <c r="AI78" s="2825"/>
      <c r="AJ78" s="1"/>
      <c r="AK78" s="1"/>
      <c r="AL78" s="1"/>
      <c r="AM78" s="1"/>
      <c r="AN78" s="1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3157">
        <f t="shared" si="57"/>
        <v>4.2</v>
      </c>
      <c r="V79" s="3157">
        <f t="shared" si="57"/>
        <v>3.8</v>
      </c>
      <c r="W79" s="3157">
        <f t="shared" si="57"/>
        <v>4.4000000000000004</v>
      </c>
      <c r="X79" s="3157">
        <f t="shared" si="57"/>
        <v>2.0000000000000004</v>
      </c>
      <c r="Y79" s="3157" t="e">
        <f t="shared" si="57"/>
        <v>#REF!</v>
      </c>
      <c r="Z79" s="3157">
        <f t="shared" si="57"/>
        <v>2.6250000000000004</v>
      </c>
      <c r="AA79" s="3157">
        <f t="shared" si="57"/>
        <v>2.5550000000000002</v>
      </c>
      <c r="AB79" s="144"/>
      <c r="AC79" s="2867"/>
      <c r="AD79" s="2867"/>
      <c r="AE79" s="2867"/>
      <c r="AF79" s="2867"/>
      <c r="AG79" s="2867"/>
      <c r="AH79" s="2867"/>
      <c r="AI79" s="2825"/>
      <c r="AJ79" s="1"/>
      <c r="AK79" s="1"/>
      <c r="AL79" s="1"/>
      <c r="AM79" s="1"/>
      <c r="AN79" s="1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3157">
        <f t="shared" si="57"/>
        <v>4.2</v>
      </c>
      <c r="V80" s="3157">
        <f t="shared" si="57"/>
        <v>3.8</v>
      </c>
      <c r="W80" s="3157">
        <f t="shared" si="57"/>
        <v>4.4000000000000004</v>
      </c>
      <c r="X80" s="3157">
        <f t="shared" si="57"/>
        <v>2.0000000000000004</v>
      </c>
      <c r="Y80" s="3157" t="e">
        <f t="shared" si="57"/>
        <v>#REF!</v>
      </c>
      <c r="Z80" s="3157">
        <f t="shared" si="57"/>
        <v>2.6250000000000004</v>
      </c>
      <c r="AA80" s="3157">
        <f t="shared" si="57"/>
        <v>2.5550000000000002</v>
      </c>
      <c r="AB80" s="144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825"/>
      <c r="AJ80" s="1"/>
      <c r="AK80" s="1"/>
      <c r="AL80" s="1"/>
      <c r="AM80" s="1"/>
      <c r="AN80" s="1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3157">
        <f t="shared" si="57"/>
        <v>4.2</v>
      </c>
      <c r="V81" s="3157">
        <f t="shared" si="57"/>
        <v>3.8</v>
      </c>
      <c r="W81" s="3157">
        <f t="shared" si="57"/>
        <v>4.4000000000000004</v>
      </c>
      <c r="X81" s="3157">
        <f t="shared" si="57"/>
        <v>2.0000000000000004</v>
      </c>
      <c r="Y81" s="3157" t="e">
        <f t="shared" si="57"/>
        <v>#REF!</v>
      </c>
      <c r="Z81" s="3157">
        <f t="shared" si="57"/>
        <v>2.6250000000000004</v>
      </c>
      <c r="AA81" s="3157">
        <f t="shared" si="57"/>
        <v>2.5550000000000002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3157">
        <f t="shared" si="57"/>
        <v>4.2</v>
      </c>
      <c r="V82" s="3157">
        <f t="shared" si="57"/>
        <v>3.8</v>
      </c>
      <c r="W82" s="3157">
        <f t="shared" si="57"/>
        <v>4.4000000000000004</v>
      </c>
      <c r="X82" s="3157">
        <f t="shared" si="57"/>
        <v>2.0000000000000004</v>
      </c>
      <c r="Y82" s="3157" t="e">
        <f t="shared" si="57"/>
        <v>#REF!</v>
      </c>
      <c r="Z82" s="3157">
        <f t="shared" si="57"/>
        <v>2.6250000000000004</v>
      </c>
      <c r="AA82" s="3157">
        <f t="shared" si="57"/>
        <v>2.5550000000000002</v>
      </c>
      <c r="AB82" s="144"/>
      <c r="AC82" s="2867">
        <v>0</v>
      </c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82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3157">
        <f t="shared" ref="U83:AA98" si="58">IF(U82&gt;0,U82,U81)</f>
        <v>4.2</v>
      </c>
      <c r="V83" s="3157">
        <f t="shared" si="58"/>
        <v>3.8</v>
      </c>
      <c r="W83" s="3157">
        <f t="shared" si="58"/>
        <v>4.4000000000000004</v>
      </c>
      <c r="X83" s="3157">
        <f t="shared" si="58"/>
        <v>2.0000000000000004</v>
      </c>
      <c r="Y83" s="3157" t="e">
        <f t="shared" si="58"/>
        <v>#REF!</v>
      </c>
      <c r="Z83" s="3157">
        <f t="shared" si="58"/>
        <v>2.6250000000000004</v>
      </c>
      <c r="AA83" s="3157">
        <f t="shared" si="58"/>
        <v>2.5550000000000002</v>
      </c>
      <c r="AB83" s="144"/>
      <c r="AC83" s="2867"/>
      <c r="AD83" s="2867"/>
      <c r="AE83" s="2867"/>
      <c r="AF83" s="2867"/>
      <c r="AG83" s="2867"/>
      <c r="AH83" s="2867"/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3157">
        <f t="shared" si="58"/>
        <v>4.2</v>
      </c>
      <c r="V84" s="3157">
        <f t="shared" si="58"/>
        <v>3.8</v>
      </c>
      <c r="W84" s="3157">
        <f t="shared" si="58"/>
        <v>4.4000000000000004</v>
      </c>
      <c r="X84" s="3157">
        <f t="shared" si="58"/>
        <v>2.0000000000000004</v>
      </c>
      <c r="Y84" s="3157" t="e">
        <f t="shared" si="58"/>
        <v>#REF!</v>
      </c>
      <c r="Z84" s="3157">
        <f t="shared" si="58"/>
        <v>2.6250000000000004</v>
      </c>
      <c r="AA84" s="3157">
        <f t="shared" si="58"/>
        <v>2.5550000000000002</v>
      </c>
      <c r="AB84" s="144"/>
      <c r="AC84" s="2867"/>
      <c r="AD84" s="2867"/>
      <c r="AE84" s="2867"/>
      <c r="AF84" s="2867"/>
      <c r="AG84" s="2867"/>
      <c r="AH84" s="2867"/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3157">
        <f t="shared" si="58"/>
        <v>4.2</v>
      </c>
      <c r="V85" s="3157">
        <f t="shared" si="58"/>
        <v>3.8</v>
      </c>
      <c r="W85" s="3157">
        <f t="shared" si="58"/>
        <v>4.4000000000000004</v>
      </c>
      <c r="X85" s="3157">
        <f t="shared" si="58"/>
        <v>2.0000000000000004</v>
      </c>
      <c r="Y85" s="3157" t="e">
        <f t="shared" si="58"/>
        <v>#REF!</v>
      </c>
      <c r="Z85" s="3157">
        <f t="shared" si="58"/>
        <v>2.6250000000000004</v>
      </c>
      <c r="AA85" s="3157">
        <f t="shared" si="58"/>
        <v>2.5550000000000002</v>
      </c>
      <c r="AB85" s="144"/>
      <c r="AC85" s="2867">
        <v>0</v>
      </c>
      <c r="AD85" s="2867">
        <v>0</v>
      </c>
      <c r="AE85" s="2867">
        <v>0</v>
      </c>
      <c r="AF85" s="2867">
        <v>0</v>
      </c>
      <c r="AG85" s="2867">
        <v>0</v>
      </c>
      <c r="AH85" s="2867">
        <v>0</v>
      </c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3157">
        <f t="shared" si="58"/>
        <v>4.2</v>
      </c>
      <c r="V86" s="3157">
        <f t="shared" si="58"/>
        <v>3.8</v>
      </c>
      <c r="W86" s="3157">
        <f t="shared" si="58"/>
        <v>4.4000000000000004</v>
      </c>
      <c r="X86" s="3157">
        <f t="shared" si="58"/>
        <v>2.0000000000000004</v>
      </c>
      <c r="Y86" s="3157" t="e">
        <f t="shared" si="58"/>
        <v>#REF!</v>
      </c>
      <c r="Z86" s="3157">
        <f t="shared" si="58"/>
        <v>2.6250000000000004</v>
      </c>
      <c r="AA86" s="3157">
        <f t="shared" si="58"/>
        <v>2.5550000000000002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3157">
        <f t="shared" si="58"/>
        <v>4.2</v>
      </c>
      <c r="V87" s="3157">
        <f t="shared" si="58"/>
        <v>3.8</v>
      </c>
      <c r="W87" s="3157">
        <f t="shared" si="58"/>
        <v>4.4000000000000004</v>
      </c>
      <c r="X87" s="3157">
        <f t="shared" si="58"/>
        <v>2.0000000000000004</v>
      </c>
      <c r="Y87" s="3157" t="e">
        <f t="shared" si="58"/>
        <v>#REF!</v>
      </c>
      <c r="Z87" s="3157">
        <f t="shared" si="58"/>
        <v>2.6250000000000004</v>
      </c>
      <c r="AA87" s="3157">
        <f t="shared" si="58"/>
        <v>2.5550000000000002</v>
      </c>
      <c r="AB87" s="144"/>
      <c r="AC87" s="2867">
        <v>0</v>
      </c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3157">
        <f t="shared" si="58"/>
        <v>4.2</v>
      </c>
      <c r="V88" s="3157">
        <f t="shared" si="58"/>
        <v>3.8</v>
      </c>
      <c r="W88" s="3157">
        <f t="shared" si="58"/>
        <v>4.4000000000000004</v>
      </c>
      <c r="X88" s="3157">
        <f t="shared" si="58"/>
        <v>2.0000000000000004</v>
      </c>
      <c r="Y88" s="3157" t="e">
        <f t="shared" si="58"/>
        <v>#REF!</v>
      </c>
      <c r="Z88" s="3157">
        <f t="shared" si="58"/>
        <v>2.6250000000000004</v>
      </c>
      <c r="AA88" s="3157">
        <f t="shared" si="58"/>
        <v>2.5550000000000002</v>
      </c>
      <c r="AB88" s="144"/>
      <c r="AC88" s="2867"/>
      <c r="AD88" s="2867"/>
      <c r="AE88" s="2867"/>
      <c r="AF88" s="2867"/>
      <c r="AG88" s="2867"/>
      <c r="AH88" s="2867"/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3157">
        <f t="shared" si="58"/>
        <v>4.2</v>
      </c>
      <c r="V89" s="3157">
        <f t="shared" si="58"/>
        <v>3.8</v>
      </c>
      <c r="W89" s="3157">
        <f t="shared" si="58"/>
        <v>4.4000000000000004</v>
      </c>
      <c r="X89" s="3157">
        <f t="shared" si="58"/>
        <v>2.0000000000000004</v>
      </c>
      <c r="Y89" s="3157" t="e">
        <f t="shared" si="58"/>
        <v>#REF!</v>
      </c>
      <c r="Z89" s="3157">
        <f t="shared" si="58"/>
        <v>2.6250000000000004</v>
      </c>
      <c r="AA89" s="3157">
        <f t="shared" si="58"/>
        <v>2.5550000000000002</v>
      </c>
      <c r="AB89" s="144"/>
      <c r="AC89" s="2867"/>
      <c r="AD89" s="2867"/>
      <c r="AE89" s="2867"/>
      <c r="AF89" s="2867"/>
      <c r="AG89" s="2867"/>
      <c r="AH89" s="2867"/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3157">
        <f t="shared" si="58"/>
        <v>4.2</v>
      </c>
      <c r="V90" s="3157">
        <f t="shared" si="58"/>
        <v>3.8</v>
      </c>
      <c r="W90" s="3157">
        <f t="shared" si="58"/>
        <v>4.4000000000000004</v>
      </c>
      <c r="X90" s="3157">
        <f t="shared" si="58"/>
        <v>2.0000000000000004</v>
      </c>
      <c r="Y90" s="3157" t="e">
        <f t="shared" si="58"/>
        <v>#REF!</v>
      </c>
      <c r="Z90" s="3157">
        <f t="shared" si="58"/>
        <v>2.6250000000000004</v>
      </c>
      <c r="AA90" s="3157">
        <f t="shared" si="58"/>
        <v>2.5550000000000002</v>
      </c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1"/>
      <c r="AK90" s="1"/>
      <c r="AL90" s="1"/>
      <c r="AM90" s="1"/>
      <c r="AN90" s="1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3157">
        <f t="shared" si="58"/>
        <v>4.2</v>
      </c>
      <c r="V91" s="3157">
        <f t="shared" si="58"/>
        <v>3.8</v>
      </c>
      <c r="W91" s="3157">
        <f t="shared" si="58"/>
        <v>4.4000000000000004</v>
      </c>
      <c r="X91" s="3157">
        <f t="shared" si="58"/>
        <v>2.0000000000000004</v>
      </c>
      <c r="Y91" s="3157" t="e">
        <f t="shared" si="58"/>
        <v>#REF!</v>
      </c>
      <c r="Z91" s="3157">
        <f t="shared" si="58"/>
        <v>2.6250000000000004</v>
      </c>
      <c r="AA91" s="3157">
        <f t="shared" si="58"/>
        <v>2.5550000000000002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3157">
        <f t="shared" si="58"/>
        <v>4.2</v>
      </c>
      <c r="V92" s="3157">
        <f t="shared" si="58"/>
        <v>3.8</v>
      </c>
      <c r="W92" s="3157">
        <f t="shared" si="58"/>
        <v>4.4000000000000004</v>
      </c>
      <c r="X92" s="3157">
        <f t="shared" si="58"/>
        <v>2.0000000000000004</v>
      </c>
      <c r="Y92" s="3157" t="e">
        <f t="shared" si="58"/>
        <v>#REF!</v>
      </c>
      <c r="Z92" s="3157">
        <f t="shared" si="58"/>
        <v>2.6250000000000004</v>
      </c>
      <c r="AA92" s="3157">
        <f t="shared" si="58"/>
        <v>2.5550000000000002</v>
      </c>
      <c r="AB92" s="144"/>
      <c r="AC92" s="2867"/>
      <c r="AD92" s="2867"/>
      <c r="AE92" s="2867"/>
      <c r="AF92" s="2867"/>
      <c r="AG92" s="2867"/>
      <c r="AH92" s="2867"/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3157">
        <f t="shared" si="58"/>
        <v>4.2</v>
      </c>
      <c r="V93" s="3157">
        <f t="shared" si="58"/>
        <v>3.8</v>
      </c>
      <c r="W93" s="3157">
        <f t="shared" si="58"/>
        <v>4.4000000000000004</v>
      </c>
      <c r="X93" s="3157">
        <f t="shared" si="58"/>
        <v>2.0000000000000004</v>
      </c>
      <c r="Y93" s="3157" t="e">
        <f t="shared" si="58"/>
        <v>#REF!</v>
      </c>
      <c r="Z93" s="3157">
        <f t="shared" si="58"/>
        <v>2.6250000000000004</v>
      </c>
      <c r="AA93" s="3157">
        <f t="shared" si="58"/>
        <v>2.5550000000000002</v>
      </c>
      <c r="AB93" s="144"/>
      <c r="AC93" s="2867"/>
      <c r="AD93" s="2867"/>
      <c r="AE93" s="2867"/>
      <c r="AF93" s="2867"/>
      <c r="AG93" s="2867"/>
      <c r="AH93" s="2867"/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3157">
        <f t="shared" si="58"/>
        <v>4.2</v>
      </c>
      <c r="V94" s="3157">
        <f t="shared" si="58"/>
        <v>3.8</v>
      </c>
      <c r="W94" s="3157">
        <f t="shared" si="58"/>
        <v>4.4000000000000004</v>
      </c>
      <c r="X94" s="3157">
        <f t="shared" si="58"/>
        <v>2.0000000000000004</v>
      </c>
      <c r="Y94" s="3157" t="e">
        <f t="shared" si="58"/>
        <v>#REF!</v>
      </c>
      <c r="Z94" s="3157">
        <f t="shared" si="58"/>
        <v>2.6250000000000004</v>
      </c>
      <c r="AA94" s="3157">
        <f t="shared" si="58"/>
        <v>2.5550000000000002</v>
      </c>
      <c r="AB94" s="144"/>
      <c r="AC94" s="2867">
        <v>0</v>
      </c>
      <c r="AD94" s="2867">
        <v>0</v>
      </c>
      <c r="AE94" s="2867">
        <v>0</v>
      </c>
      <c r="AF94" s="2867">
        <v>0</v>
      </c>
      <c r="AG94" s="2867">
        <v>0</v>
      </c>
      <c r="AH94" s="2867">
        <v>0</v>
      </c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3157">
        <f t="shared" si="58"/>
        <v>4.2</v>
      </c>
      <c r="V95" s="3157">
        <f t="shared" si="58"/>
        <v>3.8</v>
      </c>
      <c r="W95" s="3157">
        <f t="shared" si="58"/>
        <v>4.4000000000000004</v>
      </c>
      <c r="X95" s="3157">
        <f t="shared" si="58"/>
        <v>2.0000000000000004</v>
      </c>
      <c r="Y95" s="3157" t="e">
        <f t="shared" si="58"/>
        <v>#REF!</v>
      </c>
      <c r="Z95" s="3157">
        <f t="shared" si="58"/>
        <v>2.6250000000000004</v>
      </c>
      <c r="AA95" s="3157">
        <f t="shared" si="58"/>
        <v>2.5550000000000002</v>
      </c>
      <c r="AB95" s="144"/>
      <c r="AC95" s="2867">
        <v>0</v>
      </c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82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3157">
        <f t="shared" si="58"/>
        <v>4.2</v>
      </c>
      <c r="V96" s="3157">
        <f t="shared" si="58"/>
        <v>3.8</v>
      </c>
      <c r="W96" s="3157">
        <f t="shared" si="58"/>
        <v>4.4000000000000004</v>
      </c>
      <c r="X96" s="3157">
        <f t="shared" si="58"/>
        <v>2.0000000000000004</v>
      </c>
      <c r="Y96" s="3157" t="e">
        <f t="shared" si="58"/>
        <v>#REF!</v>
      </c>
      <c r="Z96" s="3157">
        <f t="shared" si="58"/>
        <v>2.6250000000000004</v>
      </c>
      <c r="AA96" s="3157">
        <f t="shared" si="58"/>
        <v>2.5550000000000002</v>
      </c>
      <c r="AB96" s="144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3157">
        <f t="shared" si="58"/>
        <v>4.2</v>
      </c>
      <c r="V97" s="3157">
        <f t="shared" si="58"/>
        <v>3.8</v>
      </c>
      <c r="W97" s="3157">
        <f t="shared" si="58"/>
        <v>4.4000000000000004</v>
      </c>
      <c r="X97" s="3157">
        <f t="shared" si="58"/>
        <v>2.0000000000000004</v>
      </c>
      <c r="Y97" s="3157" t="e">
        <f t="shared" si="58"/>
        <v>#REF!</v>
      </c>
      <c r="Z97" s="3157">
        <f t="shared" si="58"/>
        <v>2.6250000000000004</v>
      </c>
      <c r="AA97" s="3157">
        <f t="shared" si="58"/>
        <v>2.5550000000000002</v>
      </c>
      <c r="AB97" s="144"/>
      <c r="AC97" s="2867">
        <v>0</v>
      </c>
      <c r="AD97" s="2867">
        <v>0</v>
      </c>
      <c r="AE97" s="2867">
        <v>0</v>
      </c>
      <c r="AF97" s="2867">
        <v>0</v>
      </c>
      <c r="AG97" s="2867">
        <v>0</v>
      </c>
      <c r="AH97" s="2867">
        <v>0</v>
      </c>
      <c r="AI97" s="2825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3157">
        <f t="shared" si="58"/>
        <v>4.2</v>
      </c>
      <c r="V98" s="3157">
        <f t="shared" si="58"/>
        <v>3.8</v>
      </c>
      <c r="W98" s="3157">
        <f t="shared" si="58"/>
        <v>4.4000000000000004</v>
      </c>
      <c r="X98" s="3157">
        <f t="shared" si="58"/>
        <v>2.0000000000000004</v>
      </c>
      <c r="Y98" s="3157" t="e">
        <f t="shared" si="58"/>
        <v>#REF!</v>
      </c>
      <c r="Z98" s="3157">
        <f t="shared" si="58"/>
        <v>2.6250000000000004</v>
      </c>
      <c r="AA98" s="3157">
        <f t="shared" si="58"/>
        <v>2.5550000000000002</v>
      </c>
      <c r="AB98" s="144"/>
      <c r="AC98" s="2867"/>
      <c r="AD98" s="2867"/>
      <c r="AE98" s="2867"/>
      <c r="AF98" s="2867"/>
      <c r="AG98" s="2867"/>
      <c r="AH98" s="2867"/>
      <c r="AI98" s="2825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3157">
        <f t="shared" ref="U99:AA114" si="59">IF(U98&gt;0,U98,U97)</f>
        <v>4.2</v>
      </c>
      <c r="V99" s="3157">
        <f t="shared" si="59"/>
        <v>3.8</v>
      </c>
      <c r="W99" s="3157">
        <f t="shared" si="59"/>
        <v>4.4000000000000004</v>
      </c>
      <c r="X99" s="3157">
        <f t="shared" si="59"/>
        <v>2.0000000000000004</v>
      </c>
      <c r="Y99" s="3157" t="e">
        <f t="shared" si="59"/>
        <v>#REF!</v>
      </c>
      <c r="Z99" s="3157">
        <f t="shared" si="59"/>
        <v>2.6250000000000004</v>
      </c>
      <c r="AA99" s="3157">
        <f t="shared" si="59"/>
        <v>2.5550000000000002</v>
      </c>
      <c r="AB99" s="144"/>
      <c r="AC99" s="2867">
        <v>0</v>
      </c>
      <c r="AD99" s="2867">
        <v>0</v>
      </c>
      <c r="AE99" s="2867">
        <v>0</v>
      </c>
      <c r="AF99" s="2867">
        <v>0</v>
      </c>
      <c r="AG99" s="2867">
        <v>0</v>
      </c>
      <c r="AH99" s="2867">
        <v>0</v>
      </c>
      <c r="AI99" s="2825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3157">
        <f t="shared" si="59"/>
        <v>4.2</v>
      </c>
      <c r="V100" s="3157">
        <f t="shared" si="59"/>
        <v>3.8</v>
      </c>
      <c r="W100" s="3157">
        <f t="shared" si="59"/>
        <v>4.4000000000000004</v>
      </c>
      <c r="X100" s="3157">
        <f t="shared" si="59"/>
        <v>2.0000000000000004</v>
      </c>
      <c r="Y100" s="3157" t="e">
        <f t="shared" si="59"/>
        <v>#REF!</v>
      </c>
      <c r="Z100" s="3157">
        <f t="shared" si="59"/>
        <v>2.6250000000000004</v>
      </c>
      <c r="AA100" s="3157">
        <f t="shared" si="59"/>
        <v>2.5550000000000002</v>
      </c>
      <c r="AB100" s="144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3157">
        <f t="shared" si="59"/>
        <v>4.2</v>
      </c>
      <c r="V101" s="3157">
        <f t="shared" si="59"/>
        <v>3.8</v>
      </c>
      <c r="W101" s="3157">
        <f t="shared" si="59"/>
        <v>4.4000000000000004</v>
      </c>
      <c r="X101" s="3157">
        <f t="shared" si="59"/>
        <v>2.0000000000000004</v>
      </c>
      <c r="Y101" s="3157" t="e">
        <f t="shared" si="59"/>
        <v>#REF!</v>
      </c>
      <c r="Z101" s="3157">
        <f t="shared" si="59"/>
        <v>2.6250000000000004</v>
      </c>
      <c r="AA101" s="3157">
        <f t="shared" si="59"/>
        <v>2.5550000000000002</v>
      </c>
      <c r="AB101" s="144"/>
      <c r="AC101" s="2867"/>
      <c r="AD101" s="2867"/>
      <c r="AE101" s="2867"/>
      <c r="AF101" s="2867"/>
      <c r="AG101" s="2867"/>
      <c r="AH101" s="2867"/>
      <c r="AI101" s="2825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3157">
        <f t="shared" si="59"/>
        <v>4.2</v>
      </c>
      <c r="V102" s="3157">
        <f t="shared" si="59"/>
        <v>3.8</v>
      </c>
      <c r="W102" s="3157">
        <f t="shared" si="59"/>
        <v>4.4000000000000004</v>
      </c>
      <c r="X102" s="3157">
        <f t="shared" si="59"/>
        <v>2.0000000000000004</v>
      </c>
      <c r="Y102" s="3157" t="e">
        <f t="shared" si="59"/>
        <v>#REF!</v>
      </c>
      <c r="Z102" s="3157">
        <f t="shared" si="59"/>
        <v>2.6250000000000004</v>
      </c>
      <c r="AA102" s="3157">
        <f t="shared" si="59"/>
        <v>2.5550000000000002</v>
      </c>
      <c r="AB102" s="144"/>
      <c r="AC102" s="2867"/>
      <c r="AD102" s="2867"/>
      <c r="AE102" s="2867"/>
      <c r="AF102" s="2867"/>
      <c r="AG102" s="2867"/>
      <c r="AH102" s="2867"/>
      <c r="AI102" s="2825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3157">
        <f t="shared" si="59"/>
        <v>4.2</v>
      </c>
      <c r="V103" s="3157">
        <f t="shared" si="59"/>
        <v>3.8</v>
      </c>
      <c r="W103" s="3157">
        <f t="shared" si="59"/>
        <v>4.4000000000000004</v>
      </c>
      <c r="X103" s="3157">
        <f t="shared" si="59"/>
        <v>2.0000000000000004</v>
      </c>
      <c r="Y103" s="3157" t="e">
        <f t="shared" si="59"/>
        <v>#REF!</v>
      </c>
      <c r="Z103" s="3157">
        <f t="shared" si="59"/>
        <v>2.6250000000000004</v>
      </c>
      <c r="AA103" s="3157">
        <f t="shared" si="59"/>
        <v>2.5550000000000002</v>
      </c>
      <c r="AB103" s="144"/>
      <c r="AC103" s="2867">
        <v>0</v>
      </c>
      <c r="AD103" s="2867">
        <v>0</v>
      </c>
      <c r="AE103" s="2867">
        <v>0</v>
      </c>
      <c r="AF103" s="2867">
        <v>0</v>
      </c>
      <c r="AG103" s="2867">
        <v>0</v>
      </c>
      <c r="AH103" s="2867">
        <v>0</v>
      </c>
      <c r="AI103" s="2825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3157">
        <f t="shared" si="59"/>
        <v>4.2</v>
      </c>
      <c r="V104" s="3157">
        <f t="shared" si="59"/>
        <v>3.8</v>
      </c>
      <c r="W104" s="3157">
        <f t="shared" si="59"/>
        <v>4.4000000000000004</v>
      </c>
      <c r="X104" s="3157">
        <f t="shared" si="59"/>
        <v>2.0000000000000004</v>
      </c>
      <c r="Y104" s="3157" t="e">
        <f t="shared" si="59"/>
        <v>#REF!</v>
      </c>
      <c r="Z104" s="3157">
        <f t="shared" si="59"/>
        <v>2.6250000000000004</v>
      </c>
      <c r="AA104" s="3157">
        <f t="shared" si="59"/>
        <v>2.5550000000000002</v>
      </c>
      <c r="AB104" s="144"/>
      <c r="AC104" s="2867">
        <v>0</v>
      </c>
      <c r="AD104" s="2867">
        <v>0</v>
      </c>
      <c r="AE104" s="2867">
        <v>0</v>
      </c>
      <c r="AF104" s="2867">
        <v>0</v>
      </c>
      <c r="AG104" s="2867">
        <v>0</v>
      </c>
      <c r="AH104" s="2867">
        <v>0</v>
      </c>
      <c r="AI104" s="2825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3157">
        <f t="shared" si="59"/>
        <v>4.2</v>
      </c>
      <c r="V105" s="3157">
        <f t="shared" si="59"/>
        <v>3.8</v>
      </c>
      <c r="W105" s="3157">
        <f t="shared" si="59"/>
        <v>4.4000000000000004</v>
      </c>
      <c r="X105" s="3157">
        <f t="shared" si="59"/>
        <v>2.0000000000000004</v>
      </c>
      <c r="Y105" s="3157" t="e">
        <f t="shared" si="59"/>
        <v>#REF!</v>
      </c>
      <c r="Z105" s="3157">
        <f t="shared" si="59"/>
        <v>2.6250000000000004</v>
      </c>
      <c r="AA105" s="3157">
        <f t="shared" si="59"/>
        <v>2.5550000000000002</v>
      </c>
      <c r="AB105" s="144"/>
      <c r="AC105" s="2867">
        <v>0</v>
      </c>
      <c r="AD105" s="2867">
        <v>0</v>
      </c>
      <c r="AE105" s="2867">
        <v>0</v>
      </c>
      <c r="AF105" s="2867">
        <v>0</v>
      </c>
      <c r="AG105" s="2867">
        <v>0</v>
      </c>
      <c r="AH105" s="2867">
        <v>0</v>
      </c>
      <c r="AI105" s="2825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3157">
        <f t="shared" si="59"/>
        <v>4.2</v>
      </c>
      <c r="V106" s="3157">
        <f t="shared" si="59"/>
        <v>3.8</v>
      </c>
      <c r="W106" s="3157">
        <f t="shared" si="59"/>
        <v>4.4000000000000004</v>
      </c>
      <c r="X106" s="3157">
        <f t="shared" si="59"/>
        <v>2.0000000000000004</v>
      </c>
      <c r="Y106" s="3157" t="e">
        <f t="shared" si="59"/>
        <v>#REF!</v>
      </c>
      <c r="Z106" s="3157">
        <f t="shared" si="59"/>
        <v>2.6250000000000004</v>
      </c>
      <c r="AA106" s="3157">
        <f t="shared" si="59"/>
        <v>2.5550000000000002</v>
      </c>
      <c r="AB106" s="144"/>
      <c r="AC106" s="2867"/>
      <c r="AD106" s="2867"/>
      <c r="AE106" s="2867"/>
      <c r="AF106" s="2867"/>
      <c r="AG106" s="2867"/>
      <c r="AH106" s="2867"/>
      <c r="AI106" s="2825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3157">
        <f t="shared" si="59"/>
        <v>4.2</v>
      </c>
      <c r="V107" s="3157">
        <f t="shared" si="59"/>
        <v>3.8</v>
      </c>
      <c r="W107" s="3157">
        <f t="shared" si="59"/>
        <v>4.4000000000000004</v>
      </c>
      <c r="X107" s="3157">
        <f t="shared" si="59"/>
        <v>2.0000000000000004</v>
      </c>
      <c r="Y107" s="3157" t="e">
        <f t="shared" si="59"/>
        <v>#REF!</v>
      </c>
      <c r="Z107" s="3157">
        <f t="shared" si="59"/>
        <v>2.6250000000000004</v>
      </c>
      <c r="AA107" s="3157">
        <f t="shared" si="59"/>
        <v>2.5550000000000002</v>
      </c>
      <c r="AB107" s="144"/>
      <c r="AC107" s="2867"/>
      <c r="AD107" s="2867"/>
      <c r="AE107" s="2867"/>
      <c r="AF107" s="2867"/>
      <c r="AG107" s="2867"/>
      <c r="AH107" s="2867"/>
      <c r="AI107" s="2825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3157">
        <f t="shared" si="59"/>
        <v>4.2</v>
      </c>
      <c r="V108" s="3157">
        <f t="shared" si="59"/>
        <v>3.8</v>
      </c>
      <c r="W108" s="3157">
        <f t="shared" si="59"/>
        <v>4.4000000000000004</v>
      </c>
      <c r="X108" s="3157">
        <f t="shared" si="59"/>
        <v>2.0000000000000004</v>
      </c>
      <c r="Y108" s="3157" t="e">
        <f t="shared" si="59"/>
        <v>#REF!</v>
      </c>
      <c r="Z108" s="3157">
        <f t="shared" si="59"/>
        <v>2.6250000000000004</v>
      </c>
      <c r="AA108" s="3157">
        <f t="shared" si="59"/>
        <v>2.5550000000000002</v>
      </c>
      <c r="AB108" s="144"/>
      <c r="AC108" s="2867">
        <v>0</v>
      </c>
      <c r="AD108" s="2867">
        <v>0</v>
      </c>
      <c r="AE108" s="2867">
        <v>0</v>
      </c>
      <c r="AF108" s="2867">
        <v>0</v>
      </c>
      <c r="AG108" s="2867">
        <v>0</v>
      </c>
      <c r="AH108" s="2867">
        <v>0</v>
      </c>
      <c r="AI108" s="2825"/>
      <c r="AJ108" s="1"/>
      <c r="AK108" s="1"/>
      <c r="AL108" s="1"/>
      <c r="AM108" s="1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3157">
        <f t="shared" si="59"/>
        <v>4.2</v>
      </c>
      <c r="V109" s="3157">
        <f t="shared" si="59"/>
        <v>3.8</v>
      </c>
      <c r="W109" s="3157">
        <f t="shared" si="59"/>
        <v>4.4000000000000004</v>
      </c>
      <c r="X109" s="3157">
        <f t="shared" si="59"/>
        <v>2.0000000000000004</v>
      </c>
      <c r="Y109" s="3157" t="e">
        <f t="shared" si="59"/>
        <v>#REF!</v>
      </c>
      <c r="Z109" s="3157">
        <f t="shared" si="59"/>
        <v>2.6250000000000004</v>
      </c>
      <c r="AA109" s="3157">
        <f t="shared" si="59"/>
        <v>2.5550000000000002</v>
      </c>
      <c r="AB109" s="144"/>
      <c r="AC109" s="2867">
        <v>0</v>
      </c>
      <c r="AD109" s="2867">
        <v>0</v>
      </c>
      <c r="AE109" s="2867">
        <v>0</v>
      </c>
      <c r="AF109" s="2867">
        <v>0</v>
      </c>
      <c r="AG109" s="2867">
        <v>0</v>
      </c>
      <c r="AH109" s="2867">
        <v>0</v>
      </c>
      <c r="AI109" s="2825"/>
      <c r="AJ109" s="1"/>
      <c r="AK109" s="1"/>
      <c r="AL109" s="1"/>
      <c r="AM109" s="1"/>
      <c r="AN109" s="1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3157">
        <f t="shared" si="59"/>
        <v>4.2</v>
      </c>
      <c r="V110" s="3157">
        <f t="shared" si="59"/>
        <v>3.8</v>
      </c>
      <c r="W110" s="3157">
        <f t="shared" si="59"/>
        <v>4.4000000000000004</v>
      </c>
      <c r="X110" s="3157">
        <f t="shared" si="59"/>
        <v>2.0000000000000004</v>
      </c>
      <c r="Y110" s="3157" t="e">
        <f t="shared" si="59"/>
        <v>#REF!</v>
      </c>
      <c r="Z110" s="3157">
        <f t="shared" si="59"/>
        <v>2.6250000000000004</v>
      </c>
      <c r="AA110" s="3157">
        <f t="shared" si="59"/>
        <v>2.5550000000000002</v>
      </c>
      <c r="AB110" s="144"/>
      <c r="AC110" s="2867">
        <v>0</v>
      </c>
      <c r="AD110" s="2867">
        <v>0</v>
      </c>
      <c r="AE110" s="2867">
        <v>0</v>
      </c>
      <c r="AF110" s="2867">
        <v>0</v>
      </c>
      <c r="AG110" s="2867">
        <v>0</v>
      </c>
      <c r="AH110" s="2867">
        <v>0</v>
      </c>
      <c r="AI110" s="2825"/>
      <c r="AJ110" s="1"/>
      <c r="AK110" s="1"/>
      <c r="AL110" s="1"/>
      <c r="AM110" s="1"/>
      <c r="AN110" s="1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3157">
        <f t="shared" si="59"/>
        <v>4.2</v>
      </c>
      <c r="V111" s="3157">
        <f t="shared" si="59"/>
        <v>3.8</v>
      </c>
      <c r="W111" s="3157">
        <f t="shared" si="59"/>
        <v>4.4000000000000004</v>
      </c>
      <c r="X111" s="3157">
        <f t="shared" si="59"/>
        <v>2.0000000000000004</v>
      </c>
      <c r="Y111" s="3157" t="e">
        <f t="shared" si="59"/>
        <v>#REF!</v>
      </c>
      <c r="Z111" s="3157">
        <f t="shared" si="59"/>
        <v>2.6250000000000004</v>
      </c>
      <c r="AA111" s="3157">
        <f t="shared" si="59"/>
        <v>2.5550000000000002</v>
      </c>
      <c r="AB111" s="144"/>
      <c r="AC111" s="2867"/>
      <c r="AD111" s="2867"/>
      <c r="AE111" s="2867"/>
      <c r="AF111" s="2867"/>
      <c r="AG111" s="2867"/>
      <c r="AH111" s="2867"/>
      <c r="AI111" s="2825"/>
      <c r="AJ111" s="1"/>
      <c r="AK111" s="1"/>
      <c r="AL111" s="1"/>
      <c r="AM111" s="1"/>
      <c r="AN111" s="1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3157">
        <f t="shared" si="59"/>
        <v>4.2</v>
      </c>
      <c r="V112" s="3157">
        <f t="shared" si="59"/>
        <v>3.8</v>
      </c>
      <c r="W112" s="3157">
        <f t="shared" si="59"/>
        <v>4.4000000000000004</v>
      </c>
      <c r="X112" s="3157">
        <f t="shared" si="59"/>
        <v>2.0000000000000004</v>
      </c>
      <c r="Y112" s="3157" t="e">
        <f t="shared" si="59"/>
        <v>#REF!</v>
      </c>
      <c r="Z112" s="3157">
        <f t="shared" si="59"/>
        <v>2.6250000000000004</v>
      </c>
      <c r="AA112" s="3157">
        <f t="shared" si="59"/>
        <v>2.5550000000000002</v>
      </c>
      <c r="AB112" s="144"/>
      <c r="AC112" s="2867"/>
      <c r="AD112" s="2867"/>
      <c r="AE112" s="2867"/>
      <c r="AF112" s="2867"/>
      <c r="AG112" s="2867"/>
      <c r="AH112" s="2867"/>
      <c r="AI112" s="2825"/>
      <c r="AJ112" s="1"/>
      <c r="AK112" s="1"/>
      <c r="AL112" s="1"/>
      <c r="AM112" s="1"/>
      <c r="AN112" s="1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3157">
        <f t="shared" si="59"/>
        <v>4.2</v>
      </c>
      <c r="V113" s="3157">
        <f t="shared" si="59"/>
        <v>3.8</v>
      </c>
      <c r="W113" s="3157">
        <f t="shared" si="59"/>
        <v>4.4000000000000004</v>
      </c>
      <c r="X113" s="3157">
        <f t="shared" si="59"/>
        <v>2.0000000000000004</v>
      </c>
      <c r="Y113" s="3157" t="e">
        <f t="shared" si="59"/>
        <v>#REF!</v>
      </c>
      <c r="Z113" s="3157">
        <f t="shared" si="59"/>
        <v>2.6250000000000004</v>
      </c>
      <c r="AA113" s="3157">
        <f t="shared" si="59"/>
        <v>2.5550000000000002</v>
      </c>
      <c r="AB113" s="144"/>
      <c r="AC113" s="2867">
        <v>0</v>
      </c>
      <c r="AD113" s="2867">
        <v>0</v>
      </c>
      <c r="AE113" s="2867">
        <v>0</v>
      </c>
      <c r="AF113" s="2867">
        <v>0</v>
      </c>
      <c r="AG113" s="2867">
        <v>0</v>
      </c>
      <c r="AH113" s="2867">
        <v>0</v>
      </c>
      <c r="AI113" s="2825"/>
      <c r="AJ113" s="1"/>
      <c r="AK113" s="1"/>
      <c r="AL113" s="1"/>
      <c r="AM113" s="1"/>
      <c r="AN113" s="1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3157">
        <f t="shared" si="59"/>
        <v>4.2</v>
      </c>
      <c r="V114" s="3157">
        <f t="shared" si="59"/>
        <v>3.8</v>
      </c>
      <c r="W114" s="3157">
        <f t="shared" si="59"/>
        <v>4.4000000000000004</v>
      </c>
      <c r="X114" s="3157">
        <f t="shared" si="59"/>
        <v>2.0000000000000004</v>
      </c>
      <c r="Y114" s="3157" t="e">
        <f t="shared" si="59"/>
        <v>#REF!</v>
      </c>
      <c r="Z114" s="3157">
        <f t="shared" si="59"/>
        <v>2.6250000000000004</v>
      </c>
      <c r="AA114" s="3157">
        <f t="shared" si="59"/>
        <v>2.5550000000000002</v>
      </c>
      <c r="AB114" s="144"/>
      <c r="AC114" s="2867">
        <v>0</v>
      </c>
      <c r="AD114" s="2867">
        <v>0</v>
      </c>
      <c r="AE114" s="2867">
        <v>0</v>
      </c>
      <c r="AF114" s="2867">
        <v>0</v>
      </c>
      <c r="AG114" s="2867">
        <v>0</v>
      </c>
      <c r="AH114" s="2867">
        <v>0</v>
      </c>
      <c r="AI114" s="2825"/>
      <c r="AJ114" s="1"/>
      <c r="AK114" s="1"/>
      <c r="AL114" s="1"/>
      <c r="AM114" s="1"/>
      <c r="AN114" s="1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3157">
        <f t="shared" ref="U115:AA116" si="60">IF(U114&gt;0,U114,U113)</f>
        <v>4.2</v>
      </c>
      <c r="V115" s="3157">
        <f t="shared" si="60"/>
        <v>3.8</v>
      </c>
      <c r="W115" s="3157">
        <f t="shared" si="60"/>
        <v>4.4000000000000004</v>
      </c>
      <c r="X115" s="3157">
        <f t="shared" si="60"/>
        <v>2.0000000000000004</v>
      </c>
      <c r="Y115" s="3157" t="e">
        <f t="shared" si="60"/>
        <v>#REF!</v>
      </c>
      <c r="Z115" s="3157">
        <f t="shared" si="60"/>
        <v>2.6250000000000004</v>
      </c>
      <c r="AA115" s="3157">
        <f t="shared" si="60"/>
        <v>2.5550000000000002</v>
      </c>
      <c r="AB115" s="144"/>
      <c r="AC115" s="2867">
        <v>0</v>
      </c>
      <c r="AD115" s="2867">
        <v>0</v>
      </c>
      <c r="AE115" s="2867">
        <v>0</v>
      </c>
      <c r="AF115" s="2867">
        <v>0</v>
      </c>
      <c r="AG115" s="2867">
        <v>0</v>
      </c>
      <c r="AH115" s="2867">
        <v>0</v>
      </c>
      <c r="AI115" s="2825"/>
      <c r="AJ115" s="1"/>
      <c r="AK115" s="1"/>
      <c r="AL115" s="1"/>
      <c r="AM115" s="1"/>
      <c r="AN115" s="1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3158">
        <f>IF(U115&gt;0,U115,U114)</f>
        <v>4.2</v>
      </c>
      <c r="V116" s="3158">
        <f t="shared" si="60"/>
        <v>3.8</v>
      </c>
      <c r="W116" s="3158">
        <f t="shared" si="60"/>
        <v>4.4000000000000004</v>
      </c>
      <c r="X116" s="3158">
        <f t="shared" si="60"/>
        <v>2.0000000000000004</v>
      </c>
      <c r="Y116" s="3158" t="e">
        <f t="shared" si="60"/>
        <v>#REF!</v>
      </c>
      <c r="Z116" s="3158">
        <f t="shared" si="60"/>
        <v>2.6250000000000004</v>
      </c>
      <c r="AA116" s="3158">
        <f t="shared" si="60"/>
        <v>2.5550000000000002</v>
      </c>
      <c r="AB116" s="144"/>
      <c r="AC116" s="2867"/>
      <c r="AD116" s="2867"/>
      <c r="AE116" s="2867"/>
      <c r="AF116" s="2867"/>
      <c r="AG116" s="2867"/>
      <c r="AH116" s="2867"/>
      <c r="AI116" s="2825"/>
      <c r="AJ116" s="1"/>
      <c r="AK116" s="1"/>
      <c r="AL116" s="1"/>
      <c r="AM116" s="1"/>
      <c r="AN116" s="1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2838"/>
      <c r="V117" s="2838"/>
      <c r="W117" s="2838"/>
      <c r="X117" s="2838"/>
      <c r="Y117" s="2838"/>
      <c r="Z117" s="2838"/>
      <c r="AA117" s="2838"/>
      <c r="AB117" s="144"/>
      <c r="AC117" s="2867"/>
      <c r="AD117" s="2867"/>
      <c r="AE117" s="2867"/>
      <c r="AF117" s="2867"/>
      <c r="AG117" s="2867"/>
      <c r="AH117" s="2867"/>
      <c r="AI117" s="2825"/>
      <c r="AJ117" s="1"/>
      <c r="AK117" s="1"/>
      <c r="AL117" s="1"/>
      <c r="AM117" s="1"/>
      <c r="AN117" s="1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2838"/>
      <c r="V118" s="2838"/>
      <c r="W118" s="2838"/>
      <c r="X118" s="2838"/>
      <c r="Y118" s="2838"/>
      <c r="Z118" s="2838"/>
      <c r="AA118" s="2838"/>
      <c r="AB118" s="144"/>
      <c r="AC118" s="2867">
        <v>0</v>
      </c>
      <c r="AD118" s="2867">
        <v>0</v>
      </c>
      <c r="AE118" s="2867">
        <v>0</v>
      </c>
      <c r="AF118" s="2867">
        <v>0</v>
      </c>
      <c r="AG118" s="2867">
        <v>0</v>
      </c>
      <c r="AH118" s="2867">
        <v>0</v>
      </c>
      <c r="AI118" s="2825"/>
      <c r="AN118" s="1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2838"/>
      <c r="V119" s="2838"/>
      <c r="W119" s="2838"/>
      <c r="X119" s="2838"/>
      <c r="Y119" s="2838"/>
      <c r="Z119" s="2838"/>
      <c r="AA119" s="2838"/>
      <c r="AB119" s="144"/>
      <c r="AC119" s="2867"/>
      <c r="AD119" s="2867"/>
      <c r="AE119" s="2867"/>
      <c r="AF119" s="2867"/>
      <c r="AG119" s="2867"/>
      <c r="AH119" s="2867"/>
      <c r="AN119" s="1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2838"/>
      <c r="V120" s="2838"/>
      <c r="W120" s="2838"/>
      <c r="X120" s="2838"/>
      <c r="Y120" s="2838"/>
      <c r="Z120" s="2838"/>
      <c r="AA120" s="2838"/>
      <c r="AB120" s="144"/>
      <c r="AN120" s="1"/>
    </row>
    <row r="121" spans="1:40" ht="15" customHeight="1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2838"/>
      <c r="V121" s="2838"/>
      <c r="W121" s="2838"/>
      <c r="X121" s="2838"/>
      <c r="Y121" s="2838"/>
      <c r="Z121" s="2838"/>
      <c r="AA121" s="2838"/>
      <c r="AB121" s="144"/>
      <c r="AN121" s="1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2838"/>
      <c r="V122" s="2838"/>
      <c r="W122" s="2838"/>
      <c r="X122" s="2838"/>
      <c r="Y122" s="2838"/>
      <c r="Z122" s="2838"/>
      <c r="AA122" s="2838"/>
      <c r="AB122" s="144"/>
      <c r="AN122" s="1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2838"/>
      <c r="V123" s="2838"/>
      <c r="W123" s="2838"/>
      <c r="X123" s="2838"/>
      <c r="Y123" s="2838"/>
      <c r="Z123" s="2838"/>
      <c r="AA123" s="2838"/>
      <c r="AB123" s="144"/>
      <c r="AN123" s="1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2838"/>
      <c r="V124" s="2838"/>
      <c r="W124" s="2838"/>
      <c r="X124" s="2838"/>
      <c r="Y124" s="2838"/>
      <c r="Z124" s="2838"/>
      <c r="AA124" s="2838"/>
      <c r="AB124" s="144"/>
      <c r="AN124" s="1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2838"/>
      <c r="V125" s="2838"/>
      <c r="W125" s="2838"/>
      <c r="X125" s="2838"/>
      <c r="Y125" s="2838"/>
      <c r="Z125" s="2838"/>
      <c r="AA125" s="2838"/>
      <c r="AB125" s="144"/>
      <c r="AN125" s="1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2838"/>
      <c r="V126" s="2838"/>
      <c r="W126" s="2838"/>
      <c r="X126" s="2838"/>
      <c r="Y126" s="2838"/>
      <c r="Z126" s="2838"/>
      <c r="AA126" s="2838"/>
      <c r="AB126" s="144"/>
      <c r="AN126" s="1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2838"/>
      <c r="V127" s="2838"/>
      <c r="W127" s="2838"/>
      <c r="X127" s="2838"/>
      <c r="Y127" s="2838"/>
      <c r="Z127" s="2838"/>
      <c r="AA127" s="2838"/>
      <c r="AB127" s="144"/>
      <c r="AN127" s="1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2838"/>
      <c r="V128" s="2838"/>
      <c r="W128" s="2838"/>
      <c r="X128" s="2838"/>
      <c r="Y128" s="2838"/>
      <c r="Z128" s="2838"/>
      <c r="AA128" s="2838"/>
      <c r="AB128" s="144"/>
      <c r="AN128" s="1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2838"/>
      <c r="V129" s="2838"/>
      <c r="W129" s="2838"/>
      <c r="X129" s="2838"/>
      <c r="Y129" s="2838"/>
      <c r="Z129" s="2838"/>
      <c r="AA129" s="2838"/>
      <c r="AB129" s="144"/>
      <c r="AN129" s="1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2838"/>
      <c r="V130" s="2838"/>
      <c r="W130" s="2838"/>
      <c r="X130" s="2838"/>
      <c r="Y130" s="2838"/>
      <c r="Z130" s="2838"/>
      <c r="AA130" s="2838"/>
      <c r="AB130" s="144"/>
      <c r="AN130" s="1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2838"/>
      <c r="V131" s="2838"/>
      <c r="W131" s="2838"/>
      <c r="X131" s="2838"/>
      <c r="Y131" s="2838"/>
      <c r="Z131" s="2838"/>
      <c r="AA131" s="2838"/>
      <c r="AB131" s="144"/>
      <c r="AC131" s="2825"/>
      <c r="AD131" s="2825"/>
      <c r="AE131" s="2825"/>
      <c r="AF131" s="2825"/>
      <c r="AG131" s="2825"/>
      <c r="AH131" s="2825"/>
      <c r="AI131" s="2825"/>
      <c r="AJ131" s="2825"/>
      <c r="AK131" s="2825"/>
      <c r="AL131" s="2825"/>
      <c r="AM131" s="2825"/>
      <c r="AN131" s="1"/>
    </row>
    <row r="132" spans="1:40" s="3021" customFormat="1" ht="11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2838"/>
      <c r="V132" s="2838"/>
      <c r="W132" s="2838"/>
      <c r="X132" s="2838"/>
      <c r="Y132" s="2838"/>
      <c r="Z132" s="2838"/>
      <c r="AA132" s="2838"/>
      <c r="AB132" s="144"/>
      <c r="AC132" s="2826"/>
      <c r="AD132" s="2826"/>
      <c r="AE132" s="2826"/>
      <c r="AF132" s="2826"/>
      <c r="AG132" s="2826"/>
      <c r="AH132" s="2826"/>
      <c r="AI132" s="2826"/>
      <c r="AJ132" s="2826"/>
      <c r="AK132" s="2826"/>
      <c r="AL132" s="2826"/>
      <c r="AM132" s="2826"/>
    </row>
    <row r="133" spans="1:40" s="3021" customFormat="1" ht="11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2838"/>
      <c r="V133" s="2838"/>
      <c r="W133" s="2838"/>
      <c r="X133" s="2838"/>
      <c r="Y133" s="2838"/>
      <c r="Z133" s="2838"/>
      <c r="AA133" s="2838"/>
      <c r="AB133" s="144"/>
      <c r="AC133" s="2826"/>
      <c r="AD133" s="2826"/>
      <c r="AE133" s="2826"/>
      <c r="AF133" s="2826"/>
      <c r="AG133" s="2826"/>
      <c r="AH133" s="2826"/>
      <c r="AI133" s="2826"/>
      <c r="AJ133" s="2826"/>
      <c r="AK133" s="2826"/>
      <c r="AL133" s="2826"/>
      <c r="AM133" s="2826"/>
    </row>
    <row r="134" spans="1:40" s="3021" customFormat="1" ht="11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2838"/>
      <c r="V134" s="2838"/>
      <c r="W134" s="2838"/>
      <c r="X134" s="2838"/>
      <c r="Y134" s="2838"/>
      <c r="Z134" s="2838"/>
      <c r="AA134" s="2838"/>
      <c r="AB134" s="144"/>
      <c r="AC134" s="2826"/>
      <c r="AD134" s="2826"/>
      <c r="AE134" s="2826"/>
      <c r="AF134" s="2826"/>
      <c r="AG134" s="2826"/>
      <c r="AH134" s="2826"/>
      <c r="AI134" s="2826"/>
      <c r="AJ134" s="2826"/>
      <c r="AK134" s="2826"/>
      <c r="AL134" s="2826"/>
      <c r="AM134" s="2826"/>
    </row>
    <row r="135" spans="1:40" s="3021" customFormat="1" ht="11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2838"/>
      <c r="V135" s="2838"/>
      <c r="W135" s="2838"/>
      <c r="X135" s="2838"/>
      <c r="Y135" s="2838"/>
      <c r="Z135" s="2838"/>
      <c r="AA135" s="2838"/>
      <c r="AB135" s="144"/>
      <c r="AC135" s="2826"/>
      <c r="AD135" s="2826"/>
      <c r="AE135" s="2826"/>
      <c r="AF135" s="2826"/>
      <c r="AG135" s="2826"/>
      <c r="AH135" s="2826"/>
      <c r="AI135" s="2826"/>
      <c r="AJ135" s="2826"/>
      <c r="AK135" s="2826"/>
      <c r="AL135" s="2826"/>
      <c r="AM135" s="2826"/>
    </row>
    <row r="136" spans="1:40" s="3021" customFormat="1" ht="11">
      <c r="B136" s="144"/>
      <c r="C136" s="144"/>
      <c r="D136" s="907"/>
      <c r="E136" s="143"/>
      <c r="F136" s="145"/>
      <c r="G136" s="146"/>
      <c r="H136" s="146"/>
      <c r="I136" s="146"/>
      <c r="J136" s="146"/>
      <c r="K136" s="146"/>
      <c r="L136" s="144"/>
      <c r="M136" s="458"/>
      <c r="N136" s="145"/>
      <c r="O136" s="146"/>
      <c r="P136" s="146"/>
      <c r="Q136" s="147"/>
      <c r="R136" s="147"/>
      <c r="S136" s="142"/>
      <c r="T136" s="142"/>
      <c r="U136" s="2838"/>
      <c r="V136" s="2838"/>
      <c r="W136" s="2838"/>
      <c r="X136" s="2838"/>
      <c r="Y136" s="2838"/>
      <c r="Z136" s="2838"/>
      <c r="AA136" s="2838"/>
      <c r="AC136" s="2826"/>
      <c r="AD136" s="2826"/>
      <c r="AE136" s="2826"/>
      <c r="AF136" s="2826"/>
      <c r="AG136" s="2826"/>
      <c r="AH136" s="2826"/>
      <c r="AI136" s="2826"/>
      <c r="AJ136" s="2826"/>
      <c r="AK136" s="2826"/>
      <c r="AL136" s="2826"/>
      <c r="AM136" s="2826"/>
    </row>
    <row r="137" spans="1:40" s="3021" customFormat="1" ht="11">
      <c r="B137" s="144"/>
      <c r="C137" s="144"/>
      <c r="D137" s="907"/>
      <c r="E137" s="143"/>
      <c r="F137" s="145"/>
      <c r="G137" s="146"/>
      <c r="H137" s="146"/>
      <c r="I137" s="146"/>
      <c r="J137" s="146"/>
      <c r="K137" s="146"/>
      <c r="L137" s="144"/>
      <c r="M137" s="458"/>
      <c r="N137" s="145"/>
      <c r="O137" s="146"/>
      <c r="P137" s="146"/>
      <c r="Q137" s="147"/>
      <c r="R137" s="147"/>
      <c r="S137" s="142"/>
      <c r="T137" s="142"/>
      <c r="U137" s="2838"/>
      <c r="V137" s="2838"/>
      <c r="W137" s="2838"/>
      <c r="X137" s="2838"/>
      <c r="Y137" s="2838"/>
      <c r="Z137" s="2838"/>
      <c r="AA137" s="2838"/>
      <c r="AC137" s="2826"/>
      <c r="AD137" s="2826"/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1:40" s="3021" customFormat="1" ht="11">
      <c r="B138" s="144"/>
      <c r="C138" s="144"/>
      <c r="D138" s="907"/>
      <c r="E138" s="143"/>
      <c r="F138" s="145"/>
      <c r="G138" s="146"/>
      <c r="H138" s="146"/>
      <c r="I138" s="146"/>
      <c r="J138" s="146"/>
      <c r="K138" s="146"/>
      <c r="L138" s="144"/>
      <c r="M138" s="458"/>
      <c r="N138" s="145"/>
      <c r="O138" s="146"/>
      <c r="P138" s="146"/>
      <c r="Q138" s="147"/>
      <c r="R138" s="147"/>
      <c r="S138" s="142"/>
      <c r="T138" s="142"/>
      <c r="U138" s="2838"/>
      <c r="V138" s="2838"/>
      <c r="W138" s="2838"/>
      <c r="X138" s="2838"/>
      <c r="Y138" s="2838"/>
      <c r="Z138" s="2838"/>
      <c r="AA138" s="2838"/>
      <c r="AC138" s="2826"/>
      <c r="AD138" s="2826"/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1:40" s="3021" customFormat="1" ht="11">
      <c r="B139" s="144"/>
      <c r="C139" s="144"/>
      <c r="D139" s="907"/>
      <c r="E139" s="143"/>
      <c r="F139" s="145"/>
      <c r="G139" s="146"/>
      <c r="H139" s="146"/>
      <c r="I139" s="146"/>
      <c r="J139" s="146"/>
      <c r="K139" s="146"/>
      <c r="L139" s="144"/>
      <c r="M139" s="458"/>
      <c r="N139" s="145"/>
      <c r="O139" s="146"/>
      <c r="P139" s="146"/>
      <c r="Q139" s="147"/>
      <c r="R139" s="147"/>
      <c r="S139" s="142"/>
      <c r="T139" s="142"/>
      <c r="U139" s="2838"/>
      <c r="V139" s="2838"/>
      <c r="W139" s="2838"/>
      <c r="X139" s="2838"/>
      <c r="Y139" s="2838"/>
      <c r="Z139" s="2838"/>
      <c r="AA139" s="2838"/>
      <c r="AC139" s="282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1:40" s="3021" customFormat="1" ht="11">
      <c r="B140" s="144"/>
      <c r="C140" s="144"/>
      <c r="D140" s="907"/>
      <c r="E140" s="143"/>
      <c r="F140" s="145"/>
      <c r="G140" s="146"/>
      <c r="H140" s="146"/>
      <c r="I140" s="146"/>
      <c r="J140" s="146"/>
      <c r="K140" s="146"/>
      <c r="L140" s="144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826"/>
      <c r="AD140" s="2826"/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1:40" s="3021" customFormat="1" ht="11">
      <c r="B141" s="144"/>
      <c r="C141" s="144"/>
      <c r="D141" s="907"/>
      <c r="E141" s="143"/>
      <c r="F141" s="145"/>
      <c r="G141" s="146"/>
      <c r="H141" s="146"/>
      <c r="I141" s="146"/>
      <c r="J141" s="146"/>
      <c r="K141" s="146"/>
      <c r="L141" s="144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1:40" s="3021" customFormat="1" ht="11">
      <c r="B142" s="144"/>
      <c r="C142" s="144"/>
      <c r="D142" s="907"/>
      <c r="E142" s="143"/>
      <c r="F142" s="145"/>
      <c r="G142" s="146"/>
      <c r="H142" s="146"/>
      <c r="I142" s="146"/>
      <c r="J142" s="146"/>
      <c r="K142" s="146"/>
      <c r="L142" s="144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1:40" s="3021" customFormat="1" ht="11">
      <c r="B143" s="144"/>
      <c r="C143" s="144"/>
      <c r="D143" s="907"/>
      <c r="E143" s="143"/>
      <c r="F143" s="145"/>
      <c r="G143" s="146"/>
      <c r="H143" s="146"/>
      <c r="I143" s="146"/>
      <c r="J143" s="146"/>
      <c r="K143" s="146"/>
      <c r="L143" s="144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1:40" s="3021" customFormat="1" ht="11">
      <c r="B144" s="144"/>
      <c r="C144" s="144"/>
      <c r="D144" s="907"/>
      <c r="E144" s="143"/>
      <c r="F144" s="145"/>
      <c r="G144" s="146"/>
      <c r="H144" s="146"/>
      <c r="I144" s="146"/>
      <c r="J144" s="146"/>
      <c r="K144" s="146"/>
      <c r="L144" s="144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39" s="3021" customFormat="1" ht="11">
      <c r="B145" s="144"/>
      <c r="C145" s="144"/>
      <c r="D145" s="907"/>
      <c r="E145" s="143"/>
      <c r="F145" s="145"/>
      <c r="G145" s="146"/>
      <c r="H145" s="146"/>
      <c r="I145" s="146"/>
      <c r="J145" s="146"/>
      <c r="K145" s="146"/>
      <c r="L145" s="144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39" s="3021" customFormat="1" ht="11">
      <c r="B146" s="144"/>
      <c r="C146" s="144"/>
      <c r="D146" s="907"/>
      <c r="E146" s="143"/>
      <c r="F146" s="145"/>
      <c r="G146" s="146"/>
      <c r="H146" s="146"/>
      <c r="I146" s="146"/>
      <c r="J146" s="146"/>
      <c r="K146" s="146"/>
      <c r="L146" s="144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39" s="3021" customFormat="1" ht="11">
      <c r="B147" s="144"/>
      <c r="C147" s="144"/>
      <c r="D147" s="907"/>
      <c r="E147" s="143"/>
      <c r="F147" s="145"/>
      <c r="G147" s="146"/>
      <c r="H147" s="146"/>
      <c r="I147" s="146"/>
      <c r="J147" s="146"/>
      <c r="K147" s="146"/>
      <c r="L147" s="144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39" s="3021" customFormat="1" ht="11">
      <c r="B148" s="144"/>
      <c r="C148" s="144"/>
      <c r="D148" s="907"/>
      <c r="E148" s="143"/>
      <c r="F148" s="145"/>
      <c r="G148" s="146"/>
      <c r="H148" s="146"/>
      <c r="I148" s="146"/>
      <c r="J148" s="146"/>
      <c r="K148" s="146"/>
      <c r="L148" s="144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39" s="3021" customFormat="1" ht="11">
      <c r="B149" s="144"/>
      <c r="C149" s="144"/>
      <c r="D149" s="907"/>
      <c r="E149" s="143"/>
      <c r="F149" s="145"/>
      <c r="G149" s="146"/>
      <c r="H149" s="146"/>
      <c r="I149" s="146"/>
      <c r="J149" s="146"/>
      <c r="K149" s="146"/>
      <c r="L149" s="144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39" s="3021" customFormat="1" ht="11">
      <c r="B150" s="144"/>
      <c r="C150" s="144"/>
      <c r="D150" s="907"/>
      <c r="E150" s="143"/>
      <c r="F150" s="145"/>
      <c r="G150" s="146"/>
      <c r="H150" s="146"/>
      <c r="I150" s="146"/>
      <c r="J150" s="146"/>
      <c r="K150" s="146"/>
      <c r="L150" s="144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39" s="3021" customFormat="1" ht="11">
      <c r="B151" s="144"/>
      <c r="C151" s="144"/>
      <c r="D151" s="907"/>
      <c r="E151" s="143"/>
      <c r="F151" s="145"/>
      <c r="G151" s="146"/>
      <c r="H151" s="146"/>
      <c r="I151" s="146"/>
      <c r="J151" s="146"/>
      <c r="K151" s="146"/>
      <c r="L151" s="144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39" s="3021" customFormat="1" ht="11">
      <c r="B152" s="144"/>
      <c r="C152" s="144"/>
      <c r="D152" s="907"/>
      <c r="E152" s="143"/>
      <c r="F152" s="145"/>
      <c r="G152" s="146"/>
      <c r="H152" s="146"/>
      <c r="I152" s="146"/>
      <c r="J152" s="146"/>
      <c r="K152" s="146"/>
      <c r="L152" s="144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39" s="3021" customFormat="1" ht="11">
      <c r="B153" s="144"/>
      <c r="C153" s="144"/>
      <c r="D153" s="907"/>
      <c r="E153" s="143"/>
      <c r="F153" s="145"/>
      <c r="G153" s="146"/>
      <c r="H153" s="146"/>
      <c r="I153" s="146"/>
      <c r="J153" s="146"/>
      <c r="K153" s="146"/>
      <c r="L153" s="144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39" s="3021" customFormat="1" ht="11">
      <c r="B154" s="144"/>
      <c r="C154" s="144"/>
      <c r="D154" s="907"/>
      <c r="E154" s="143"/>
      <c r="F154" s="145"/>
      <c r="G154" s="146"/>
      <c r="H154" s="146"/>
      <c r="I154" s="146"/>
      <c r="J154" s="146"/>
      <c r="K154" s="146"/>
      <c r="L154" s="144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39" s="3021" customFormat="1" ht="11">
      <c r="B155" s="144"/>
      <c r="C155" s="144"/>
      <c r="D155" s="907"/>
      <c r="E155" s="143"/>
      <c r="F155" s="145"/>
      <c r="G155" s="146"/>
      <c r="H155" s="146"/>
      <c r="I155" s="146"/>
      <c r="J155" s="146"/>
      <c r="K155" s="146"/>
      <c r="L155" s="144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39" s="3021" customFormat="1" ht="11">
      <c r="B156" s="144"/>
      <c r="C156" s="144"/>
      <c r="D156" s="907"/>
      <c r="E156" s="143"/>
      <c r="F156" s="145"/>
      <c r="G156" s="146"/>
      <c r="H156" s="146"/>
      <c r="I156" s="146"/>
      <c r="J156" s="146"/>
      <c r="K156" s="146"/>
      <c r="L156" s="144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39" s="3021" customFormat="1" ht="11">
      <c r="B157" s="144"/>
      <c r="C157" s="144"/>
      <c r="D157" s="907"/>
      <c r="E157" s="143"/>
      <c r="F157" s="145"/>
      <c r="G157" s="146"/>
      <c r="H157" s="146"/>
      <c r="I157" s="146"/>
      <c r="J157" s="146"/>
      <c r="K157" s="146"/>
      <c r="L157" s="144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39" s="3021" customFormat="1" ht="11">
      <c r="B158" s="144"/>
      <c r="C158" s="144"/>
      <c r="D158" s="907"/>
      <c r="E158" s="143"/>
      <c r="F158" s="145"/>
      <c r="G158" s="146"/>
      <c r="H158" s="146"/>
      <c r="I158" s="146"/>
      <c r="J158" s="146"/>
      <c r="K158" s="146"/>
      <c r="L158" s="144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39" s="3021" customFormat="1" ht="11">
      <c r="B159" s="144"/>
      <c r="C159" s="144"/>
      <c r="D159" s="907"/>
      <c r="E159" s="143"/>
      <c r="F159" s="145"/>
      <c r="G159" s="146"/>
      <c r="H159" s="146"/>
      <c r="I159" s="146"/>
      <c r="J159" s="146"/>
      <c r="K159" s="146"/>
      <c r="L159" s="144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39" s="3021" customFormat="1" ht="11">
      <c r="B160" s="144"/>
      <c r="C160" s="144"/>
      <c r="D160" s="907"/>
      <c r="E160" s="143"/>
      <c r="F160" s="145"/>
      <c r="G160" s="146"/>
      <c r="H160" s="146"/>
      <c r="I160" s="146"/>
      <c r="J160" s="146"/>
      <c r="K160" s="146"/>
      <c r="L160" s="144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41" s="3021" customFormat="1" ht="11">
      <c r="B161" s="144"/>
      <c r="C161" s="144"/>
      <c r="D161" s="907"/>
      <c r="E161" s="143"/>
      <c r="F161" s="145"/>
      <c r="G161" s="146"/>
      <c r="H161" s="146"/>
      <c r="I161" s="146"/>
      <c r="J161" s="146"/>
      <c r="K161" s="146"/>
      <c r="L161" s="144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B161" s="3021">
        <f>SUBTOTAL(9,AB119:AB160)</f>
        <v>0</v>
      </c>
      <c r="AC161" s="2826">
        <f>SUBTOTAL(9,AC119:AC160)</f>
        <v>0</v>
      </c>
      <c r="AD161" s="2826">
        <f>SUBTOTAL(9,AD119:AD160)</f>
        <v>0</v>
      </c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41" s="3021" customFormat="1" ht="11">
      <c r="B162" s="144"/>
      <c r="C162" s="144"/>
      <c r="D162" s="907"/>
      <c r="E162" s="143"/>
      <c r="F162" s="145"/>
      <c r="G162" s="146"/>
      <c r="H162" s="146"/>
      <c r="I162" s="146"/>
      <c r="J162" s="146"/>
      <c r="K162" s="146"/>
      <c r="L162" s="144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B162" s="3021">
        <v>0</v>
      </c>
      <c r="AC162" s="2826">
        <v>0</v>
      </c>
      <c r="AD162" s="2826">
        <v>0</v>
      </c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41" s="3021" customFormat="1" ht="11">
      <c r="B163" s="144"/>
      <c r="C163" s="144"/>
      <c r="D163" s="907"/>
      <c r="E163" s="143"/>
      <c r="F163" s="145"/>
      <c r="G163" s="146"/>
      <c r="H163" s="146"/>
      <c r="I163" s="146"/>
      <c r="J163" s="146"/>
      <c r="K163" s="146"/>
      <c r="L163" s="144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B163" s="3021">
        <v>0</v>
      </c>
      <c r="AC163" s="2826">
        <v>0</v>
      </c>
      <c r="AD163" s="2826">
        <v>0</v>
      </c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41" s="3021" customFormat="1" ht="11">
      <c r="B164" s="144"/>
      <c r="C164" s="144"/>
      <c r="D164" s="907"/>
      <c r="E164" s="143"/>
      <c r="F164" s="145"/>
      <c r="G164" s="146"/>
      <c r="H164" s="146"/>
      <c r="I164" s="146"/>
      <c r="J164" s="146"/>
      <c r="K164" s="146"/>
      <c r="L164" s="144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B164" s="3021">
        <v>0</v>
      </c>
      <c r="AC164" s="2826">
        <v>0</v>
      </c>
      <c r="AD164" s="2826">
        <v>0</v>
      </c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41" s="3021" customFormat="1" ht="11">
      <c r="B165" s="144"/>
      <c r="C165" s="144"/>
      <c r="D165" s="907"/>
      <c r="E165" s="143"/>
      <c r="F165" s="145"/>
      <c r="G165" s="146"/>
      <c r="H165" s="146"/>
      <c r="I165" s="146"/>
      <c r="J165" s="146"/>
      <c r="K165" s="146"/>
      <c r="L165" s="144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B165" s="3021">
        <v>0</v>
      </c>
      <c r="AC165" s="2826">
        <v>0</v>
      </c>
      <c r="AD165" s="2826">
        <v>0</v>
      </c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41" s="3021" customFormat="1" ht="11">
      <c r="B166" s="144"/>
      <c r="C166" s="144"/>
      <c r="D166" s="907"/>
      <c r="E166" s="143"/>
      <c r="F166" s="145"/>
      <c r="G166" s="146"/>
      <c r="H166" s="146"/>
      <c r="I166" s="146"/>
      <c r="J166" s="146"/>
      <c r="K166" s="146"/>
      <c r="L166" s="144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B166" s="3021">
        <v>0</v>
      </c>
      <c r="AC166" s="2826">
        <v>0</v>
      </c>
      <c r="AD166" s="2826">
        <v>0</v>
      </c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41" s="3021" customFormat="1" ht="11">
      <c r="B167" s="144"/>
      <c r="C167" s="144"/>
      <c r="D167" s="907"/>
      <c r="E167" s="143"/>
      <c r="F167" s="145"/>
      <c r="G167" s="146"/>
      <c r="H167" s="146"/>
      <c r="I167" s="146"/>
      <c r="J167" s="146"/>
      <c r="K167" s="146"/>
      <c r="L167" s="144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B167" s="3021">
        <v>0</v>
      </c>
      <c r="AC167" s="2826">
        <v>0</v>
      </c>
      <c r="AD167" s="2826">
        <v>0</v>
      </c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41" s="3021" customFormat="1" ht="11">
      <c r="B168" s="144"/>
      <c r="C168" s="144"/>
      <c r="D168" s="907"/>
      <c r="E168" s="143"/>
      <c r="F168" s="145"/>
      <c r="G168" s="146"/>
      <c r="H168" s="146"/>
      <c r="I168" s="146"/>
      <c r="J168" s="146"/>
      <c r="K168" s="146"/>
      <c r="L168" s="144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B168" s="3021">
        <v>0</v>
      </c>
      <c r="AC168" s="2826">
        <v>0</v>
      </c>
      <c r="AD168" s="2826">
        <v>0</v>
      </c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41" s="3021" customFormat="1" ht="11">
      <c r="B169" s="144"/>
      <c r="C169" s="144"/>
      <c r="D169" s="907"/>
      <c r="E169" s="143"/>
      <c r="F169" s="145"/>
      <c r="G169" s="146"/>
      <c r="H169" s="146"/>
      <c r="I169" s="146"/>
      <c r="J169" s="146"/>
      <c r="K169" s="146"/>
      <c r="L169" s="144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B169" s="3021">
        <v>0</v>
      </c>
      <c r="AC169" s="2826">
        <v>0</v>
      </c>
      <c r="AD169" s="2826">
        <v>0</v>
      </c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41" s="3021" customFormat="1" ht="11">
      <c r="B170" s="144"/>
      <c r="C170" s="144"/>
      <c r="D170" s="907"/>
      <c r="E170" s="143"/>
      <c r="F170" s="145"/>
      <c r="G170" s="146"/>
      <c r="H170" s="146"/>
      <c r="I170" s="146"/>
      <c r="J170" s="146"/>
      <c r="K170" s="146"/>
      <c r="L170" s="144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B170" s="3021">
        <v>0</v>
      </c>
      <c r="AC170" s="2826">
        <v>0</v>
      </c>
      <c r="AD170" s="2826">
        <v>0</v>
      </c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41" s="3021" customFormat="1" ht="11">
      <c r="B171" s="144"/>
      <c r="C171" s="144"/>
      <c r="D171" s="907"/>
      <c r="E171" s="143"/>
      <c r="F171" s="145"/>
      <c r="G171" s="146"/>
      <c r="H171" s="146"/>
      <c r="I171" s="146"/>
      <c r="J171" s="146"/>
      <c r="K171" s="146"/>
      <c r="L171" s="144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B171" s="3021">
        <v>0</v>
      </c>
      <c r="AC171" s="2826">
        <v>0</v>
      </c>
      <c r="AD171" s="2826">
        <v>0</v>
      </c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41" s="3021" customFormat="1" ht="11">
      <c r="B172" s="144"/>
      <c r="C172" s="144"/>
      <c r="D172" s="907"/>
      <c r="E172" s="143"/>
      <c r="F172" s="145"/>
      <c r="G172" s="146"/>
      <c r="H172" s="146"/>
      <c r="I172" s="146"/>
      <c r="J172" s="146"/>
      <c r="K172" s="146"/>
      <c r="L172" s="144"/>
      <c r="M172" s="458"/>
      <c r="N172" s="145"/>
      <c r="O172" s="146"/>
      <c r="P172" s="146"/>
      <c r="Q172" s="147"/>
      <c r="R172" s="147"/>
      <c r="S172" s="142"/>
      <c r="T172" s="142"/>
      <c r="U172" s="146">
        <f>SUBTOTAL(9,U130:U171)</f>
        <v>0</v>
      </c>
      <c r="V172" s="146">
        <f t="shared" ref="V172:AA172" si="61">SUBTOTAL(9,V130:V171)</f>
        <v>0</v>
      </c>
      <c r="W172" s="146">
        <f t="shared" si="61"/>
        <v>0</v>
      </c>
      <c r="X172" s="146">
        <f t="shared" si="61"/>
        <v>0</v>
      </c>
      <c r="Y172" s="146">
        <f t="shared" si="61"/>
        <v>0</v>
      </c>
      <c r="Z172" s="146">
        <f t="shared" si="61"/>
        <v>0</v>
      </c>
      <c r="AA172" s="146">
        <f t="shared" si="61"/>
        <v>0</v>
      </c>
      <c r="AB172" s="3021">
        <v>0</v>
      </c>
      <c r="AC172" s="2826">
        <v>0</v>
      </c>
      <c r="AD172" s="2826">
        <v>0</v>
      </c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41" s="2825" customFormat="1" ht="14" thickBot="1">
      <c r="B173" s="139"/>
      <c r="C173" s="139"/>
      <c r="D173" s="908"/>
      <c r="E173" s="138"/>
      <c r="F173" s="140"/>
      <c r="G173" s="141"/>
      <c r="H173" s="141"/>
      <c r="I173" s="141"/>
      <c r="J173" s="141"/>
      <c r="K173" s="141"/>
      <c r="L173" s="139"/>
      <c r="M173" s="458"/>
      <c r="N173" s="140"/>
      <c r="O173" s="141"/>
      <c r="P173" s="141"/>
      <c r="Q173" s="148"/>
      <c r="R173" s="148"/>
      <c r="S173" s="149"/>
      <c r="T173" s="149"/>
      <c r="U173" s="150"/>
      <c r="V173" s="150"/>
      <c r="W173" s="150"/>
      <c r="X173" s="150"/>
      <c r="Y173" s="150"/>
      <c r="Z173" s="150"/>
      <c r="AA173" s="150"/>
      <c r="AC173" s="282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41" s="2825" customFormat="1" ht="15" thickTop="1" thickBot="1">
      <c r="B174" s="139"/>
      <c r="C174" s="139"/>
      <c r="D174" s="908"/>
      <c r="E174" s="138"/>
      <c r="F174" s="140"/>
      <c r="G174" s="141"/>
      <c r="H174" s="141"/>
      <c r="I174" s="141"/>
      <c r="J174" s="141"/>
      <c r="K174" s="141"/>
      <c r="L174" s="139"/>
      <c r="M174" s="458"/>
      <c r="N174" s="140"/>
      <c r="O174" s="141"/>
      <c r="P174" s="141"/>
      <c r="Q174" s="148"/>
      <c r="R174" s="148"/>
      <c r="S174" s="148"/>
      <c r="T174" s="149"/>
      <c r="U174" s="151"/>
      <c r="V174" s="152"/>
      <c r="W174" s="153"/>
      <c r="X174" s="153"/>
      <c r="Y174" s="153"/>
      <c r="Z174" s="153"/>
      <c r="AA174" s="154"/>
      <c r="AB174" s="3022"/>
      <c r="AC174" s="3022"/>
      <c r="AE174" s="2826"/>
      <c r="AF174" s="2826"/>
      <c r="AG174" s="2826"/>
      <c r="AH174" s="2826"/>
      <c r="AI174" s="2826"/>
      <c r="AJ174" s="2826"/>
      <c r="AK174" s="2826"/>
      <c r="AL174" s="2826"/>
      <c r="AM174" s="2826"/>
      <c r="AN174" s="2826"/>
      <c r="AO174" s="2826"/>
    </row>
    <row r="175" spans="2:41" s="3021" customFormat="1" ht="12" thickTop="1">
      <c r="B175" s="144"/>
      <c r="C175" s="144"/>
      <c r="D175" s="907"/>
      <c r="E175" s="143"/>
      <c r="F175" s="145"/>
      <c r="G175" s="146"/>
      <c r="H175" s="146"/>
      <c r="I175" s="146"/>
      <c r="J175" s="146"/>
      <c r="K175" s="146"/>
      <c r="L175" s="144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826"/>
      <c r="AD175" s="2826"/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41" s="3021" customFormat="1" ht="11">
      <c r="B176" s="144"/>
      <c r="C176" s="144"/>
      <c r="D176" s="907"/>
      <c r="E176" s="143"/>
      <c r="F176" s="145"/>
      <c r="G176" s="146"/>
      <c r="H176" s="146"/>
      <c r="I176" s="146"/>
      <c r="J176" s="146"/>
      <c r="K176" s="146"/>
      <c r="L176" s="144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82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39" s="3021" customFormat="1" ht="11">
      <c r="B177" s="144"/>
      <c r="C177" s="144"/>
      <c r="D177" s="907"/>
      <c r="E177" s="143"/>
      <c r="F177" s="145"/>
      <c r="G177" s="146"/>
      <c r="H177" s="146"/>
      <c r="I177" s="146"/>
      <c r="J177" s="146"/>
      <c r="K177" s="146"/>
      <c r="L177" s="144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39" s="3021" customFormat="1" ht="11">
      <c r="B178" s="144"/>
      <c r="C178" s="144"/>
      <c r="D178" s="907"/>
      <c r="E178" s="143"/>
      <c r="F178" s="145"/>
      <c r="G178" s="146"/>
      <c r="H178" s="146"/>
      <c r="I178" s="146"/>
      <c r="J178" s="146"/>
      <c r="K178" s="146"/>
      <c r="L178" s="144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39" s="3021" customFormat="1" ht="11">
      <c r="B179" s="144"/>
      <c r="C179" s="144"/>
      <c r="D179" s="907"/>
      <c r="E179" s="143"/>
      <c r="F179" s="145"/>
      <c r="G179" s="146"/>
      <c r="H179" s="146"/>
      <c r="I179" s="146"/>
      <c r="J179" s="146"/>
      <c r="K179" s="146"/>
      <c r="L179" s="144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39" s="3021" customFormat="1" ht="11">
      <c r="B180" s="144"/>
      <c r="C180" s="144"/>
      <c r="D180" s="907"/>
      <c r="E180" s="143"/>
      <c r="F180" s="145"/>
      <c r="G180" s="146"/>
      <c r="H180" s="146"/>
      <c r="I180" s="146"/>
      <c r="J180" s="146"/>
      <c r="K180" s="146"/>
      <c r="L180" s="144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39" s="3021" customFormat="1" ht="11">
      <c r="B181" s="144"/>
      <c r="C181" s="144"/>
      <c r="D181" s="907"/>
      <c r="E181" s="143"/>
      <c r="F181" s="145"/>
      <c r="G181" s="146"/>
      <c r="H181" s="146"/>
      <c r="I181" s="146"/>
      <c r="J181" s="146"/>
      <c r="K181" s="146"/>
      <c r="L181" s="144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39" s="3021" customFormat="1" ht="11">
      <c r="B182" s="144"/>
      <c r="C182" s="144"/>
      <c r="D182" s="907"/>
      <c r="E182" s="143"/>
      <c r="F182" s="145"/>
      <c r="G182" s="146"/>
      <c r="H182" s="146"/>
      <c r="I182" s="146"/>
      <c r="J182" s="146"/>
      <c r="K182" s="146"/>
      <c r="L182" s="144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39" s="3021" customFormat="1" ht="11">
      <c r="B183" s="144"/>
      <c r="C183" s="144"/>
      <c r="D183" s="907"/>
      <c r="E183" s="143"/>
      <c r="F183" s="145"/>
      <c r="G183" s="146"/>
      <c r="H183" s="146"/>
      <c r="I183" s="146"/>
      <c r="J183" s="146"/>
      <c r="K183" s="146"/>
      <c r="L183" s="144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39" s="3021" customFormat="1" ht="11">
      <c r="B184" s="144"/>
      <c r="C184" s="144"/>
      <c r="D184" s="907"/>
      <c r="E184" s="143"/>
      <c r="F184" s="145"/>
      <c r="G184" s="146"/>
      <c r="H184" s="146"/>
      <c r="I184" s="146"/>
      <c r="J184" s="146"/>
      <c r="K184" s="146"/>
      <c r="L184" s="144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39" s="3021" customFormat="1" ht="11">
      <c r="B185" s="144"/>
      <c r="C185" s="144"/>
      <c r="D185" s="907"/>
      <c r="E185" s="143"/>
      <c r="F185" s="145"/>
      <c r="G185" s="146"/>
      <c r="H185" s="146"/>
      <c r="I185" s="146"/>
      <c r="J185" s="146"/>
      <c r="K185" s="146"/>
      <c r="L185" s="144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39" s="3021" customFormat="1" ht="11">
      <c r="B186" s="144"/>
      <c r="C186" s="144"/>
      <c r="D186" s="907"/>
      <c r="E186" s="143"/>
      <c r="F186" s="145"/>
      <c r="G186" s="146"/>
      <c r="H186" s="146"/>
      <c r="I186" s="146"/>
      <c r="J186" s="146"/>
      <c r="K186" s="146"/>
      <c r="L186" s="144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39" s="3021" customFormat="1" ht="11">
      <c r="B187" s="144"/>
      <c r="C187" s="144"/>
      <c r="D187" s="907"/>
      <c r="E187" s="143"/>
      <c r="F187" s="145"/>
      <c r="G187" s="146"/>
      <c r="H187" s="146"/>
      <c r="I187" s="146"/>
      <c r="J187" s="146"/>
      <c r="K187" s="146"/>
      <c r="L187" s="144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39" s="3021" customFormat="1" ht="11">
      <c r="B188" s="144"/>
      <c r="C188" s="144"/>
      <c r="D188" s="907"/>
      <c r="E188" s="143"/>
      <c r="F188" s="145"/>
      <c r="G188" s="146"/>
      <c r="H188" s="146"/>
      <c r="I188" s="146"/>
      <c r="J188" s="146"/>
      <c r="K188" s="146"/>
      <c r="L188" s="144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39" s="3021" customFormat="1" ht="11">
      <c r="B189" s="144"/>
      <c r="C189" s="144"/>
      <c r="D189" s="907"/>
      <c r="E189" s="143"/>
      <c r="F189" s="145"/>
      <c r="G189" s="146"/>
      <c r="H189" s="146"/>
      <c r="I189" s="146"/>
      <c r="J189" s="146"/>
      <c r="K189" s="146"/>
      <c r="L189" s="144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39" s="3021" customFormat="1" ht="11">
      <c r="B190" s="144"/>
      <c r="C190" s="144"/>
      <c r="D190" s="907"/>
      <c r="E190" s="143"/>
      <c r="F190" s="145"/>
      <c r="G190" s="146"/>
      <c r="H190" s="146"/>
      <c r="I190" s="146"/>
      <c r="J190" s="146"/>
      <c r="K190" s="146"/>
      <c r="L190" s="144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39" s="3021" customFormat="1" ht="11">
      <c r="B191" s="144"/>
      <c r="C191" s="144"/>
      <c r="D191" s="907"/>
      <c r="E191" s="143"/>
      <c r="F191" s="145"/>
      <c r="G191" s="146"/>
      <c r="H191" s="146"/>
      <c r="I191" s="146"/>
      <c r="J191" s="146"/>
      <c r="K191" s="146"/>
      <c r="L191" s="144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39" s="3021" customFormat="1" ht="11">
      <c r="B192" s="144"/>
      <c r="C192" s="144"/>
      <c r="D192" s="907"/>
      <c r="E192" s="143"/>
      <c r="F192" s="145"/>
      <c r="G192" s="146"/>
      <c r="H192" s="146"/>
      <c r="I192" s="146"/>
      <c r="J192" s="146"/>
      <c r="K192" s="146"/>
      <c r="L192" s="144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3021" customFormat="1" ht="11">
      <c r="B193" s="144"/>
      <c r="C193" s="144"/>
      <c r="D193" s="907"/>
      <c r="E193" s="143"/>
      <c r="F193" s="145"/>
      <c r="G193" s="146"/>
      <c r="H193" s="146"/>
      <c r="I193" s="146"/>
      <c r="J193" s="146"/>
      <c r="K193" s="146"/>
      <c r="L193" s="144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3021" customFormat="1" ht="11">
      <c r="B194" s="144"/>
      <c r="C194" s="144"/>
      <c r="D194" s="907"/>
      <c r="E194" s="143"/>
      <c r="F194" s="145"/>
      <c r="G194" s="146"/>
      <c r="H194" s="146"/>
      <c r="I194" s="146"/>
      <c r="J194" s="146"/>
      <c r="K194" s="146"/>
      <c r="L194" s="144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3021" customFormat="1" ht="11">
      <c r="B195" s="144"/>
      <c r="C195" s="144"/>
      <c r="D195" s="907"/>
      <c r="E195" s="143"/>
      <c r="F195" s="145"/>
      <c r="G195" s="146"/>
      <c r="H195" s="146"/>
      <c r="I195" s="146"/>
      <c r="J195" s="146"/>
      <c r="K195" s="146"/>
      <c r="L195" s="144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3021" customFormat="1" ht="11">
      <c r="B196" s="144"/>
      <c r="C196" s="144"/>
      <c r="D196" s="907"/>
      <c r="E196" s="143"/>
      <c r="F196" s="145"/>
      <c r="G196" s="146"/>
      <c r="H196" s="146"/>
      <c r="I196" s="146"/>
      <c r="J196" s="146"/>
      <c r="K196" s="146"/>
      <c r="L196" s="144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3021" customFormat="1" ht="11">
      <c r="B197" s="144"/>
      <c r="C197" s="144"/>
      <c r="D197" s="907"/>
      <c r="E197" s="143"/>
      <c r="F197" s="145"/>
      <c r="G197" s="146"/>
      <c r="H197" s="146"/>
      <c r="I197" s="146"/>
      <c r="J197" s="146"/>
      <c r="K197" s="146"/>
      <c r="L197" s="144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3021" customFormat="1" ht="11">
      <c r="B198" s="144"/>
      <c r="C198" s="144"/>
      <c r="D198" s="907"/>
      <c r="E198" s="143"/>
      <c r="F198" s="145"/>
      <c r="G198" s="146"/>
      <c r="H198" s="146"/>
      <c r="I198" s="146"/>
      <c r="J198" s="146"/>
      <c r="K198" s="146"/>
      <c r="L198" s="144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3021" customFormat="1" ht="11">
      <c r="B199" s="144"/>
      <c r="C199" s="144"/>
      <c r="D199" s="907"/>
      <c r="E199" s="143"/>
      <c r="F199" s="145"/>
      <c r="G199" s="146"/>
      <c r="H199" s="146"/>
      <c r="I199" s="146"/>
      <c r="J199" s="146"/>
      <c r="K199" s="146"/>
      <c r="L199" s="144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3021" customFormat="1" ht="11">
      <c r="B200" s="144"/>
      <c r="C200" s="144"/>
      <c r="D200" s="907"/>
      <c r="E200" s="143"/>
      <c r="F200" s="145"/>
      <c r="G200" s="146"/>
      <c r="H200" s="146"/>
      <c r="I200" s="146"/>
      <c r="J200" s="146"/>
      <c r="K200" s="146"/>
      <c r="L200" s="144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3021" customFormat="1" ht="11">
      <c r="B201" s="144"/>
      <c r="C201" s="144"/>
      <c r="D201" s="907"/>
      <c r="E201" s="143"/>
      <c r="F201" s="145"/>
      <c r="G201" s="146"/>
      <c r="H201" s="146"/>
      <c r="I201" s="146"/>
      <c r="J201" s="146"/>
      <c r="K201" s="146"/>
      <c r="L201" s="144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3021" customFormat="1" ht="11">
      <c r="B202" s="144"/>
      <c r="C202" s="144"/>
      <c r="D202" s="907"/>
      <c r="E202" s="143"/>
      <c r="F202" s="145"/>
      <c r="G202" s="146"/>
      <c r="H202" s="146"/>
      <c r="I202" s="146"/>
      <c r="J202" s="146"/>
      <c r="K202" s="146"/>
      <c r="L202" s="144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3021" customFormat="1" ht="11">
      <c r="B203" s="144"/>
      <c r="C203" s="144"/>
      <c r="D203" s="907"/>
      <c r="E203" s="143"/>
      <c r="F203" s="145"/>
      <c r="G203" s="146"/>
      <c r="H203" s="146"/>
      <c r="I203" s="146"/>
      <c r="J203" s="146"/>
      <c r="K203" s="146"/>
      <c r="L203" s="144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3021" customFormat="1" ht="11">
      <c r="B204" s="144"/>
      <c r="C204" s="144"/>
      <c r="D204" s="907"/>
      <c r="E204" s="143"/>
      <c r="F204" s="145"/>
      <c r="G204" s="146"/>
      <c r="H204" s="146"/>
      <c r="I204" s="146"/>
      <c r="J204" s="146"/>
      <c r="K204" s="146"/>
      <c r="L204" s="144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3021" customFormat="1" ht="11">
      <c r="B205" s="144"/>
      <c r="C205" s="144"/>
      <c r="D205" s="907"/>
      <c r="E205" s="143"/>
      <c r="F205" s="145"/>
      <c r="G205" s="146"/>
      <c r="H205" s="146"/>
      <c r="I205" s="146"/>
      <c r="J205" s="146"/>
      <c r="K205" s="146"/>
      <c r="L205" s="144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3021" customFormat="1" ht="11">
      <c r="B206" s="144"/>
      <c r="C206" s="144"/>
      <c r="D206" s="907"/>
      <c r="E206" s="143"/>
      <c r="F206" s="145"/>
      <c r="G206" s="146"/>
      <c r="H206" s="146"/>
      <c r="I206" s="146"/>
      <c r="J206" s="146"/>
      <c r="K206" s="146"/>
      <c r="L206" s="144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3021" customFormat="1" ht="11">
      <c r="B207" s="144"/>
      <c r="C207" s="144"/>
      <c r="D207" s="907"/>
      <c r="E207" s="143"/>
      <c r="F207" s="145"/>
      <c r="G207" s="146"/>
      <c r="H207" s="146"/>
      <c r="I207" s="146"/>
      <c r="J207" s="146"/>
      <c r="K207" s="146"/>
      <c r="L207" s="144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3021" customFormat="1" ht="11">
      <c r="B208" s="144"/>
      <c r="C208" s="144"/>
      <c r="D208" s="907"/>
      <c r="E208" s="143"/>
      <c r="F208" s="145"/>
      <c r="G208" s="146"/>
      <c r="H208" s="146"/>
      <c r="I208" s="146"/>
      <c r="J208" s="146"/>
      <c r="K208" s="146"/>
      <c r="L208" s="144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41" s="3021" customFormat="1" ht="11">
      <c r="B209" s="144"/>
      <c r="C209" s="144"/>
      <c r="D209" s="907"/>
      <c r="E209" s="143"/>
      <c r="F209" s="145"/>
      <c r="G209" s="146"/>
      <c r="H209" s="146"/>
      <c r="I209" s="146"/>
      <c r="J209" s="146"/>
      <c r="K209" s="146"/>
      <c r="L209" s="144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41" s="3021" customFormat="1" ht="11">
      <c r="B210" s="144"/>
      <c r="C210" s="144"/>
      <c r="D210" s="907"/>
      <c r="E210" s="143"/>
      <c r="F210" s="145"/>
      <c r="G210" s="146"/>
      <c r="H210" s="146"/>
      <c r="I210" s="146"/>
      <c r="J210" s="146"/>
      <c r="K210" s="146"/>
      <c r="L210" s="144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41" s="3021" customFormat="1" ht="11">
      <c r="B211" s="3159"/>
      <c r="C211" s="3159"/>
      <c r="D211" s="3160"/>
      <c r="F211" s="3023"/>
      <c r="G211" s="3024"/>
      <c r="H211" s="3024"/>
      <c r="I211" s="3024"/>
      <c r="J211" s="3024"/>
      <c r="K211" s="3024"/>
      <c r="L211" s="3159"/>
      <c r="M211" s="3025"/>
      <c r="N211" s="3023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41" s="3021" customFormat="1" ht="11">
      <c r="B212" s="3159"/>
      <c r="C212" s="3159"/>
      <c r="D212" s="3160"/>
      <c r="F212" s="3023"/>
      <c r="G212" s="3024"/>
      <c r="H212" s="3024"/>
      <c r="I212" s="3024"/>
      <c r="J212" s="3024"/>
      <c r="K212" s="3024"/>
      <c r="L212" s="3159"/>
      <c r="M212" s="3025"/>
      <c r="N212" s="3023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41" s="3021" customFormat="1" ht="11">
      <c r="B213" s="3159"/>
      <c r="C213" s="3159"/>
      <c r="D213" s="3160"/>
      <c r="F213" s="3023"/>
      <c r="G213" s="3024"/>
      <c r="H213" s="3024"/>
      <c r="I213" s="3024"/>
      <c r="J213" s="3024"/>
      <c r="K213" s="3024"/>
      <c r="L213" s="3159"/>
      <c r="M213" s="3025"/>
      <c r="N213" s="3023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41" s="3021" customFormat="1" ht="11">
      <c r="B214" s="3159"/>
      <c r="C214" s="3159"/>
      <c r="D214" s="3160"/>
      <c r="F214" s="3023"/>
      <c r="G214" s="3024"/>
      <c r="H214" s="3024"/>
      <c r="I214" s="3024"/>
      <c r="J214" s="3024"/>
      <c r="K214" s="3024"/>
      <c r="L214" s="3159"/>
      <c r="M214" s="3025"/>
      <c r="N214" s="3023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41" s="3021" customFormat="1" ht="11">
      <c r="B215" s="3159"/>
      <c r="C215" s="3159"/>
      <c r="D215" s="3160"/>
      <c r="F215" s="3023"/>
      <c r="G215" s="3024"/>
      <c r="H215" s="3024"/>
      <c r="I215" s="3024"/>
      <c r="J215" s="3024"/>
      <c r="K215" s="3024"/>
      <c r="L215" s="3159"/>
      <c r="M215" s="3025"/>
      <c r="N215" s="3023"/>
      <c r="O215" s="146"/>
      <c r="P215" s="146"/>
      <c r="Q215" s="147"/>
      <c r="R215" s="147"/>
      <c r="S215" s="142"/>
      <c r="T215" s="142"/>
      <c r="U215" s="146">
        <f>SUBTOTAL(9,U173:U214)</f>
        <v>0</v>
      </c>
      <c r="V215" s="146">
        <f t="shared" ref="V215:AA215" si="62">SUBTOTAL(9,V173:V214)</f>
        <v>0</v>
      </c>
      <c r="W215" s="146">
        <f t="shared" si="62"/>
        <v>0</v>
      </c>
      <c r="X215" s="146">
        <f t="shared" si="62"/>
        <v>0</v>
      </c>
      <c r="Y215" s="146">
        <f t="shared" si="62"/>
        <v>0</v>
      </c>
      <c r="Z215" s="146">
        <f t="shared" si="62"/>
        <v>0</v>
      </c>
      <c r="AA215" s="146">
        <f t="shared" si="62"/>
        <v>0</v>
      </c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41" s="2825" customFormat="1" ht="14" thickBot="1">
      <c r="B216" s="2935"/>
      <c r="C216" s="2935"/>
      <c r="D216" s="3161"/>
      <c r="F216" s="3026"/>
      <c r="G216" s="3027"/>
      <c r="H216" s="3027"/>
      <c r="I216" s="3027"/>
      <c r="J216" s="3027"/>
      <c r="K216" s="3027"/>
      <c r="L216" s="2935"/>
      <c r="M216" s="3025"/>
      <c r="N216" s="3026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41" s="2825" customFormat="1" ht="15" thickTop="1" thickBot="1">
      <c r="B217" s="2935"/>
      <c r="C217" s="2935"/>
      <c r="D217" s="3161"/>
      <c r="F217" s="3026"/>
      <c r="G217" s="3027"/>
      <c r="H217" s="3027"/>
      <c r="I217" s="3027"/>
      <c r="J217" s="3027"/>
      <c r="K217" s="3027"/>
      <c r="L217" s="2935"/>
      <c r="M217" s="3025"/>
      <c r="N217" s="3026"/>
      <c r="O217" s="141"/>
      <c r="P217" s="141"/>
      <c r="Q217" s="148"/>
      <c r="R217" s="148"/>
      <c r="S217" s="148"/>
      <c r="T217" s="148"/>
      <c r="U217" s="151">
        <f>SUBTOTAL(9,U175:U216)</f>
        <v>0</v>
      </c>
      <c r="V217" s="152">
        <f t="shared" ref="V217:AA217" si="63">SUBTOTAL(9,V175:V216)</f>
        <v>0</v>
      </c>
      <c r="W217" s="153">
        <f t="shared" si="63"/>
        <v>0</v>
      </c>
      <c r="X217" s="153">
        <f t="shared" si="63"/>
        <v>0</v>
      </c>
      <c r="Y217" s="153">
        <f t="shared" si="63"/>
        <v>0</v>
      </c>
      <c r="Z217" s="153">
        <f t="shared" si="63"/>
        <v>0</v>
      </c>
      <c r="AA217" s="154">
        <f t="shared" si="63"/>
        <v>0</v>
      </c>
      <c r="AB217" s="3022"/>
      <c r="AC217" s="3022"/>
      <c r="AE217" s="2826"/>
      <c r="AF217" s="2826"/>
      <c r="AG217" s="2826"/>
      <c r="AH217" s="2826"/>
      <c r="AI217" s="2826"/>
      <c r="AJ217" s="2826"/>
      <c r="AK217" s="2826"/>
      <c r="AL217" s="2826"/>
      <c r="AM217" s="2826"/>
      <c r="AN217" s="2826"/>
      <c r="AO217" s="2826"/>
    </row>
    <row r="218" spans="2:41" s="2825" customFormat="1" ht="14" thickTop="1">
      <c r="B218" s="2935"/>
      <c r="C218" s="2935"/>
      <c r="D218" s="3161"/>
      <c r="F218" s="3026"/>
      <c r="G218" s="3027"/>
      <c r="H218" s="3027"/>
      <c r="I218" s="3027"/>
      <c r="J218" s="3027"/>
      <c r="K218" s="3027"/>
      <c r="L218" s="2935"/>
      <c r="M218" s="3025"/>
      <c r="N218" s="3026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41" s="2825" customFormat="1">
      <c r="B219" s="2935"/>
      <c r="C219" s="2935"/>
      <c r="D219" s="3161"/>
      <c r="F219" s="3026"/>
      <c r="G219" s="3027"/>
      <c r="H219" s="3027"/>
      <c r="I219" s="3027"/>
      <c r="J219" s="3027"/>
      <c r="K219" s="3027"/>
      <c r="L219" s="2935"/>
      <c r="M219" s="3025"/>
      <c r="N219" s="3026"/>
      <c r="O219" s="141"/>
      <c r="P219" s="141"/>
      <c r="Q219" s="148"/>
      <c r="R219" s="148"/>
      <c r="S219" s="149"/>
      <c r="T219" s="149"/>
      <c r="U219" s="150"/>
      <c r="V219" s="150"/>
      <c r="W219" s="150"/>
      <c r="X219" s="150"/>
      <c r="Y219" s="150"/>
      <c r="Z219" s="150"/>
      <c r="AA219" s="150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41" s="2825" customFormat="1">
      <c r="B220" s="2935"/>
      <c r="C220" s="2935"/>
      <c r="D220" s="3161"/>
      <c r="F220" s="3026"/>
      <c r="G220" s="3027"/>
      <c r="H220" s="3027"/>
      <c r="I220" s="3027"/>
      <c r="J220" s="3027"/>
      <c r="K220" s="3027"/>
      <c r="L220" s="2935"/>
      <c r="M220" s="3025"/>
      <c r="N220" s="3026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41" s="2825" customFormat="1">
      <c r="B221" s="2935"/>
      <c r="C221" s="2935"/>
      <c r="D221" s="3161"/>
      <c r="F221" s="3026"/>
      <c r="G221" s="3027"/>
      <c r="H221" s="3027"/>
      <c r="I221" s="3027"/>
      <c r="J221" s="3027"/>
      <c r="K221" s="3027"/>
      <c r="L221" s="2935"/>
      <c r="M221" s="3025"/>
      <c r="N221" s="3026"/>
      <c r="O221" s="141"/>
      <c r="P221" s="141"/>
      <c r="Q221" s="148"/>
      <c r="R221" s="148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41" s="2825" customFormat="1">
      <c r="B222" s="2935"/>
      <c r="C222" s="2935"/>
      <c r="D222" s="3161"/>
      <c r="F222" s="3026"/>
      <c r="G222" s="3027"/>
      <c r="H222" s="3027"/>
      <c r="I222" s="3027"/>
      <c r="J222" s="3027"/>
      <c r="K222" s="3027"/>
      <c r="L222" s="2935"/>
      <c r="M222" s="3025"/>
      <c r="N222" s="3026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41" s="2825" customFormat="1">
      <c r="B223" s="2935"/>
      <c r="C223" s="2935"/>
      <c r="D223" s="3161"/>
      <c r="F223" s="3026"/>
      <c r="G223" s="3027"/>
      <c r="H223" s="3027"/>
      <c r="I223" s="3027"/>
      <c r="J223" s="3027"/>
      <c r="K223" s="3027"/>
      <c r="L223" s="2935"/>
      <c r="M223" s="3025"/>
      <c r="N223" s="3026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41" s="2825" customFormat="1">
      <c r="B224" s="2935"/>
      <c r="C224" s="2935"/>
      <c r="D224" s="3161"/>
      <c r="F224" s="3026"/>
      <c r="G224" s="3027"/>
      <c r="H224" s="3027"/>
      <c r="I224" s="3027"/>
      <c r="J224" s="3027"/>
      <c r="K224" s="3027"/>
      <c r="L224" s="2935"/>
      <c r="M224" s="3025"/>
      <c r="N224" s="3026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2:39" s="2825" customFormat="1">
      <c r="B225" s="2935"/>
      <c r="C225" s="2935"/>
      <c r="D225" s="3161"/>
      <c r="F225" s="3026"/>
      <c r="G225" s="3027"/>
      <c r="H225" s="3027"/>
      <c r="I225" s="3027"/>
      <c r="J225" s="3027"/>
      <c r="K225" s="3027"/>
      <c r="L225" s="2935"/>
      <c r="M225" s="3025"/>
      <c r="N225" s="3026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39" s="2825" customFormat="1">
      <c r="B226" s="2935"/>
      <c r="C226" s="2935"/>
      <c r="D226" s="3161"/>
      <c r="F226" s="3026"/>
      <c r="G226" s="3027"/>
      <c r="H226" s="3027"/>
      <c r="I226" s="3027"/>
      <c r="J226" s="3027"/>
      <c r="K226" s="3027"/>
      <c r="L226" s="2935"/>
      <c r="M226" s="3025"/>
      <c r="N226" s="3026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2:39" s="2825" customFormat="1">
      <c r="B227" s="2935"/>
      <c r="C227" s="2935"/>
      <c r="D227" s="3161"/>
      <c r="F227" s="3026"/>
      <c r="G227" s="3027"/>
      <c r="H227" s="3027"/>
      <c r="I227" s="3027"/>
      <c r="J227" s="3027"/>
      <c r="K227" s="3027"/>
      <c r="L227" s="2935"/>
      <c r="M227" s="3025"/>
      <c r="N227" s="3026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2:39" s="2825" customFormat="1">
      <c r="B228" s="2935"/>
      <c r="C228" s="2935"/>
      <c r="D228" s="3161"/>
      <c r="F228" s="3026"/>
      <c r="G228" s="3027"/>
      <c r="H228" s="3027"/>
      <c r="I228" s="3027"/>
      <c r="J228" s="3027"/>
      <c r="K228" s="3027"/>
      <c r="L228" s="2935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39" s="2825" customFormat="1">
      <c r="B229" s="2935"/>
      <c r="C229" s="2935"/>
      <c r="D229" s="3161"/>
      <c r="F229" s="3026"/>
      <c r="G229" s="3027"/>
      <c r="H229" s="3027"/>
      <c r="I229" s="3027"/>
      <c r="J229" s="3027"/>
      <c r="K229" s="3027"/>
      <c r="L229" s="2935"/>
      <c r="M229" s="3025"/>
      <c r="N229" s="3026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2:39" s="2825" customFormat="1">
      <c r="B230" s="2935"/>
      <c r="C230" s="2935"/>
      <c r="D230" s="3161"/>
      <c r="F230" s="3026"/>
      <c r="G230" s="3027"/>
      <c r="H230" s="3027"/>
      <c r="I230" s="3027"/>
      <c r="J230" s="3027"/>
      <c r="K230" s="3027"/>
      <c r="L230" s="2935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39" s="2825" customFormat="1">
      <c r="B231" s="2935"/>
      <c r="C231" s="2935"/>
      <c r="D231" s="3161"/>
      <c r="F231" s="3026"/>
      <c r="G231" s="3027"/>
      <c r="H231" s="3027"/>
      <c r="I231" s="3027"/>
      <c r="J231" s="3027"/>
      <c r="K231" s="3027"/>
      <c r="L231" s="2935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39" s="2825" customFormat="1">
      <c r="B232" s="2935"/>
      <c r="C232" s="2935"/>
      <c r="D232" s="3161"/>
      <c r="F232" s="3026"/>
      <c r="G232" s="3027"/>
      <c r="H232" s="3027"/>
      <c r="I232" s="3027"/>
      <c r="J232" s="3027"/>
      <c r="K232" s="3027"/>
      <c r="L232" s="2935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39" s="2825" customFormat="1">
      <c r="B233" s="2935"/>
      <c r="C233" s="2935"/>
      <c r="D233" s="3161"/>
      <c r="F233" s="3026"/>
      <c r="G233" s="3027"/>
      <c r="H233" s="3027"/>
      <c r="I233" s="3027"/>
      <c r="J233" s="3027"/>
      <c r="K233" s="3027"/>
      <c r="L233" s="2935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39" s="2825" customFormat="1">
      <c r="B234" s="2935"/>
      <c r="C234" s="2935"/>
      <c r="D234" s="3161"/>
      <c r="F234" s="3026"/>
      <c r="G234" s="3027"/>
      <c r="H234" s="3027"/>
      <c r="I234" s="3027"/>
      <c r="J234" s="3027"/>
      <c r="K234" s="3027"/>
      <c r="L234" s="2935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39" s="2825" customFormat="1">
      <c r="B235" s="2935"/>
      <c r="C235" s="2935"/>
      <c r="D235" s="3161"/>
      <c r="F235" s="3026"/>
      <c r="G235" s="3027"/>
      <c r="H235" s="3027"/>
      <c r="I235" s="3027"/>
      <c r="J235" s="3027"/>
      <c r="K235" s="3027"/>
      <c r="L235" s="2935"/>
      <c r="M235" s="3025"/>
      <c r="N235" s="3026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39" s="2825" customFormat="1">
      <c r="B236" s="2935"/>
      <c r="C236" s="2935"/>
      <c r="D236" s="3161"/>
      <c r="F236" s="3026"/>
      <c r="G236" s="3027"/>
      <c r="H236" s="3027"/>
      <c r="I236" s="3027"/>
      <c r="J236" s="3027"/>
      <c r="K236" s="3027"/>
      <c r="L236" s="2935"/>
      <c r="M236" s="3025"/>
      <c r="N236" s="3026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39" s="2825" customFormat="1">
      <c r="B237" s="2935"/>
      <c r="C237" s="2935"/>
      <c r="D237" s="3161"/>
      <c r="F237" s="3026"/>
      <c r="G237" s="3027"/>
      <c r="H237" s="3027"/>
      <c r="I237" s="3027"/>
      <c r="J237" s="3027"/>
      <c r="K237" s="3027"/>
      <c r="L237" s="2935"/>
      <c r="M237" s="3025"/>
      <c r="N237" s="3026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39" s="2825" customFormat="1">
      <c r="B238" s="2935"/>
      <c r="C238" s="2935"/>
      <c r="D238" s="3161"/>
      <c r="F238" s="3026"/>
      <c r="G238" s="3027"/>
      <c r="H238" s="3027"/>
      <c r="I238" s="3027"/>
      <c r="J238" s="3027"/>
      <c r="K238" s="3027"/>
      <c r="L238" s="2935"/>
      <c r="M238" s="3025"/>
      <c r="N238" s="3026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39" s="2825" customFormat="1">
      <c r="B239" s="2935"/>
      <c r="C239" s="2935"/>
      <c r="D239" s="3161"/>
      <c r="F239" s="3026"/>
      <c r="G239" s="3027"/>
      <c r="H239" s="3027"/>
      <c r="I239" s="3027"/>
      <c r="J239" s="3027"/>
      <c r="K239" s="3027"/>
      <c r="L239" s="2935"/>
      <c r="M239" s="3025"/>
      <c r="N239" s="3026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39" s="2825" customFormat="1">
      <c r="B240" s="2935"/>
      <c r="C240" s="2935"/>
      <c r="D240" s="3161"/>
      <c r="F240" s="3026"/>
      <c r="G240" s="3027"/>
      <c r="H240" s="3027"/>
      <c r="I240" s="3027"/>
      <c r="J240" s="3027"/>
      <c r="K240" s="3027"/>
      <c r="L240" s="2935"/>
      <c r="M240" s="3025"/>
      <c r="N240" s="3026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1:40" s="2825" customFormat="1">
      <c r="B241" s="2935"/>
      <c r="C241" s="2935"/>
      <c r="D241" s="3161"/>
      <c r="F241" s="3026"/>
      <c r="G241" s="3027"/>
      <c r="H241" s="3027"/>
      <c r="I241" s="3027"/>
      <c r="J241" s="3027"/>
      <c r="K241" s="3027"/>
      <c r="L241" s="2935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1:40" s="2825" customFormat="1">
      <c r="B242" s="2935"/>
      <c r="C242" s="2935"/>
      <c r="D242" s="3161"/>
      <c r="F242" s="3026"/>
      <c r="G242" s="3027"/>
      <c r="H242" s="3027"/>
      <c r="I242" s="3027"/>
      <c r="J242" s="3027"/>
      <c r="K242" s="3027"/>
      <c r="L242" s="2935"/>
      <c r="M242" s="3025"/>
      <c r="N242" s="3026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826"/>
      <c r="AD242" s="2826"/>
      <c r="AE242" s="2826"/>
      <c r="AF242" s="2826"/>
      <c r="AG242" s="2826"/>
      <c r="AH242" s="2826"/>
      <c r="AI242" s="2826"/>
      <c r="AJ242" s="2826"/>
      <c r="AK242" s="2826"/>
      <c r="AL242" s="2826"/>
      <c r="AM242" s="2826"/>
    </row>
    <row r="243" spans="1:40" s="2825" customFormat="1">
      <c r="B243" s="2935"/>
      <c r="C243" s="2935"/>
      <c r="D243" s="3161"/>
      <c r="F243" s="3026"/>
      <c r="G243" s="3027"/>
      <c r="H243" s="3027"/>
      <c r="I243" s="3027"/>
      <c r="J243" s="3027"/>
      <c r="K243" s="3027"/>
      <c r="L243" s="2935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1:40" s="2825" customFormat="1">
      <c r="B244" s="2935"/>
      <c r="C244" s="2935"/>
      <c r="D244" s="3161"/>
      <c r="F244" s="3026"/>
      <c r="G244" s="3027"/>
      <c r="H244" s="3027"/>
      <c r="I244" s="3027"/>
      <c r="J244" s="3027"/>
      <c r="K244" s="3027"/>
      <c r="L244" s="2935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1:40" s="2825" customFormat="1">
      <c r="B245" s="2935"/>
      <c r="C245" s="2935"/>
      <c r="D245" s="3161"/>
      <c r="F245" s="3026"/>
      <c r="G245" s="3027"/>
      <c r="H245" s="3027"/>
      <c r="I245" s="3027"/>
      <c r="J245" s="3027"/>
      <c r="K245" s="3027"/>
      <c r="L245" s="2935"/>
      <c r="M245" s="3025"/>
      <c r="N245" s="3026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826"/>
      <c r="AD245" s="2826"/>
      <c r="AE245" s="2826"/>
      <c r="AF245" s="2826"/>
      <c r="AG245" s="2826"/>
      <c r="AH245" s="2826"/>
      <c r="AI245" s="2826"/>
      <c r="AJ245" s="2826"/>
      <c r="AK245" s="2826"/>
      <c r="AL245" s="2826"/>
      <c r="AM245" s="2826"/>
    </row>
    <row r="246" spans="1:40" s="2825" customFormat="1">
      <c r="B246" s="2935"/>
      <c r="C246" s="2935"/>
      <c r="D246" s="3161"/>
      <c r="F246" s="3026"/>
      <c r="G246" s="3027"/>
      <c r="H246" s="3027"/>
      <c r="I246" s="3027"/>
      <c r="J246" s="3027"/>
      <c r="K246" s="3027"/>
      <c r="L246" s="2935"/>
      <c r="M246" s="3025"/>
      <c r="N246" s="3026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826"/>
      <c r="AD246" s="2826"/>
      <c r="AE246" s="2826"/>
      <c r="AF246" s="2826"/>
      <c r="AG246" s="2826"/>
      <c r="AH246" s="2826"/>
      <c r="AI246" s="2826"/>
      <c r="AJ246" s="2826"/>
      <c r="AK246" s="2826"/>
      <c r="AL246" s="2826"/>
      <c r="AM246" s="2826"/>
    </row>
    <row r="247" spans="1:40" s="2825" customFormat="1">
      <c r="B247" s="2935"/>
      <c r="C247" s="2935"/>
      <c r="D247" s="3161"/>
      <c r="F247" s="3026"/>
      <c r="G247" s="3027"/>
      <c r="H247" s="3027"/>
      <c r="I247" s="3027"/>
      <c r="J247" s="3027"/>
      <c r="K247" s="3027"/>
      <c r="L247" s="2935"/>
      <c r="M247" s="3025"/>
      <c r="N247" s="3026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826"/>
      <c r="AD247" s="2826"/>
      <c r="AE247" s="2826"/>
      <c r="AF247" s="2826"/>
      <c r="AG247" s="2826"/>
      <c r="AH247" s="2826"/>
      <c r="AI247" s="2826"/>
      <c r="AJ247" s="2826"/>
      <c r="AK247" s="2826"/>
      <c r="AL247" s="2826"/>
      <c r="AM247" s="2826"/>
    </row>
    <row r="248" spans="1:40" s="2825" customFormat="1">
      <c r="B248" s="2935"/>
      <c r="C248" s="2935"/>
      <c r="D248" s="3161"/>
      <c r="F248" s="3026"/>
      <c r="G248" s="3027"/>
      <c r="H248" s="3027"/>
      <c r="I248" s="3027"/>
      <c r="J248" s="3027"/>
      <c r="K248" s="3027"/>
      <c r="L248" s="2935"/>
      <c r="M248" s="3025"/>
      <c r="N248" s="3026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826"/>
      <c r="AD248" s="2826"/>
      <c r="AE248" s="2826"/>
      <c r="AF248" s="2826"/>
      <c r="AG248" s="2826"/>
      <c r="AH248" s="2826"/>
      <c r="AI248" s="2826"/>
      <c r="AJ248" s="2826"/>
      <c r="AK248" s="2826"/>
      <c r="AL248" s="2826"/>
      <c r="AM248" s="2826"/>
    </row>
    <row r="249" spans="1:40">
      <c r="A249" s="1"/>
      <c r="O249" s="155"/>
      <c r="P249" s="155"/>
      <c r="Q249" s="1131"/>
      <c r="R249" s="1131"/>
      <c r="S249" s="251"/>
      <c r="T249" s="251"/>
      <c r="U249" s="1132"/>
      <c r="V249" s="1132"/>
      <c r="W249" s="1132"/>
      <c r="X249" s="1132"/>
      <c r="Y249" s="1132"/>
      <c r="Z249" s="1132"/>
      <c r="AA249" s="1132"/>
      <c r="AN249" s="1"/>
    </row>
    <row r="250" spans="1:40">
      <c r="A250" s="1"/>
      <c r="O250" s="155"/>
      <c r="P250" s="155"/>
      <c r="Q250" s="1131"/>
      <c r="R250" s="1131"/>
      <c r="S250" s="251"/>
      <c r="T250" s="251"/>
      <c r="U250" s="1132"/>
      <c r="V250" s="1132"/>
      <c r="W250" s="1132"/>
      <c r="X250" s="1132"/>
      <c r="Y250" s="1132"/>
      <c r="Z250" s="1132"/>
      <c r="AA250" s="1132"/>
      <c r="AN250" s="1"/>
    </row>
    <row r="251" spans="1:40">
      <c r="A251" s="1"/>
      <c r="O251" s="155"/>
      <c r="P251" s="155"/>
      <c r="Q251" s="1131"/>
      <c r="R251" s="1131"/>
      <c r="S251" s="251"/>
      <c r="T251" s="251"/>
      <c r="U251" s="1132"/>
      <c r="V251" s="1132"/>
      <c r="W251" s="1132"/>
      <c r="X251" s="1132"/>
      <c r="Y251" s="1132"/>
      <c r="Z251" s="1132"/>
      <c r="AA251" s="1132"/>
      <c r="AN251" s="1"/>
    </row>
    <row r="252" spans="1:40">
      <c r="A252" s="1"/>
      <c r="O252" s="155"/>
      <c r="P252" s="155"/>
      <c r="Q252" s="1131"/>
      <c r="R252" s="1131"/>
      <c r="S252" s="251"/>
      <c r="T252" s="251"/>
      <c r="U252" s="1132"/>
      <c r="V252" s="1132"/>
      <c r="W252" s="1132"/>
      <c r="X252" s="1132"/>
      <c r="Y252" s="1132"/>
      <c r="Z252" s="1132"/>
      <c r="AA252" s="1132"/>
      <c r="AN252" s="1"/>
    </row>
    <row r="253" spans="1:40">
      <c r="A253" s="1"/>
      <c r="O253" s="155"/>
      <c r="P253" s="155"/>
      <c r="Q253" s="1131"/>
      <c r="R253" s="1131"/>
      <c r="S253" s="251"/>
      <c r="T253" s="251"/>
      <c r="U253" s="1132"/>
      <c r="V253" s="1132"/>
      <c r="W253" s="1132"/>
      <c r="X253" s="1132"/>
      <c r="Y253" s="1132"/>
      <c r="Z253" s="1132"/>
      <c r="AA253" s="1132"/>
      <c r="AN253" s="1"/>
    </row>
    <row r="254" spans="1:40">
      <c r="A254" s="1"/>
      <c r="O254" s="155"/>
      <c r="P254" s="155"/>
      <c r="Q254" s="1131"/>
      <c r="R254" s="1131"/>
      <c r="S254" s="251"/>
      <c r="T254" s="251"/>
      <c r="U254" s="1132"/>
      <c r="V254" s="1132"/>
      <c r="W254" s="1132"/>
      <c r="X254" s="1132"/>
      <c r="Y254" s="1132"/>
      <c r="Z254" s="1132"/>
      <c r="AA254" s="1132"/>
      <c r="AN254" s="1"/>
    </row>
    <row r="255" spans="1:40">
      <c r="A255" s="1"/>
      <c r="O255" s="155"/>
      <c r="P255" s="155"/>
      <c r="Q255" s="1131"/>
      <c r="R255" s="1131"/>
      <c r="S255" s="251"/>
      <c r="T255" s="251"/>
      <c r="U255" s="1132"/>
      <c r="V255" s="1132"/>
      <c r="W255" s="1132"/>
      <c r="X255" s="1132"/>
      <c r="Y255" s="1132"/>
      <c r="Z255" s="1132"/>
      <c r="AA255" s="1132"/>
      <c r="AN255" s="1"/>
    </row>
    <row r="256" spans="1:40">
      <c r="A256" s="1"/>
      <c r="O256" s="155"/>
      <c r="P256" s="155"/>
      <c r="Q256" s="1131"/>
      <c r="R256" s="1131"/>
      <c r="S256" s="251"/>
      <c r="T256" s="251"/>
      <c r="U256" s="1132"/>
      <c r="V256" s="1132"/>
      <c r="W256" s="1132"/>
      <c r="X256" s="1132"/>
      <c r="Y256" s="1132"/>
      <c r="Z256" s="1132"/>
      <c r="AA256" s="1132"/>
      <c r="AN256" s="1"/>
    </row>
    <row r="257" spans="1:40">
      <c r="A257" s="1"/>
      <c r="O257" s="155"/>
      <c r="P257" s="155"/>
      <c r="Q257" s="1131"/>
      <c r="R257" s="1131"/>
      <c r="S257" s="251"/>
      <c r="T257" s="251"/>
      <c r="U257" s="1132"/>
      <c r="V257" s="1132"/>
      <c r="W257" s="1132"/>
      <c r="X257" s="1132"/>
      <c r="Y257" s="1132"/>
      <c r="Z257" s="1132"/>
      <c r="AA257" s="1132"/>
      <c r="AN257" s="1"/>
    </row>
    <row r="258" spans="1:40">
      <c r="A258" s="1"/>
      <c r="O258" s="155"/>
      <c r="P258" s="155"/>
      <c r="Q258" s="1131"/>
      <c r="R258" s="1131"/>
      <c r="S258" s="251"/>
      <c r="T258" s="251"/>
      <c r="U258" s="1132"/>
      <c r="V258" s="1132"/>
      <c r="W258" s="1132"/>
      <c r="X258" s="1132"/>
      <c r="Y258" s="1132"/>
      <c r="Z258" s="1132"/>
      <c r="AA258" s="1132"/>
      <c r="AN258" s="1"/>
    </row>
    <row r="259" spans="1:40">
      <c r="A259" s="1"/>
      <c r="O259" s="155"/>
      <c r="P259" s="155"/>
      <c r="Q259" s="1131"/>
      <c r="R259" s="1131"/>
      <c r="S259" s="251"/>
      <c r="T259" s="251"/>
      <c r="U259" s="1132"/>
      <c r="V259" s="1132"/>
      <c r="W259" s="1132"/>
      <c r="X259" s="1132"/>
      <c r="Y259" s="1132"/>
      <c r="Z259" s="1132"/>
      <c r="AA259" s="1132"/>
      <c r="AN259" s="1"/>
    </row>
    <row r="260" spans="1:40">
      <c r="A260" s="1"/>
      <c r="O260" s="155"/>
      <c r="P260" s="155"/>
      <c r="Q260" s="1131"/>
      <c r="R260" s="1131"/>
      <c r="S260" s="251"/>
      <c r="T260" s="251"/>
      <c r="U260" s="1132"/>
      <c r="V260" s="1132"/>
      <c r="W260" s="1132"/>
      <c r="X260" s="1132"/>
      <c r="Y260" s="1132"/>
      <c r="Z260" s="1132"/>
      <c r="AA260" s="1132"/>
      <c r="AN260" s="1"/>
    </row>
    <row r="261" spans="1:40">
      <c r="A261" s="1"/>
      <c r="O261" s="155"/>
      <c r="P261" s="155"/>
      <c r="Q261" s="1131"/>
      <c r="R261" s="1131"/>
      <c r="S261" s="251"/>
      <c r="T261" s="251"/>
      <c r="U261" s="1132"/>
      <c r="V261" s="1132"/>
      <c r="W261" s="1132"/>
      <c r="X261" s="1132"/>
      <c r="Y261" s="1132"/>
      <c r="Z261" s="1132"/>
      <c r="AA261" s="1132"/>
      <c r="AN261" s="1"/>
    </row>
    <row r="262" spans="1:40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</sheetData>
  <printOptions horizontalCentered="1" verticalCentered="1"/>
  <pageMargins left="0" right="0" top="0.59055118110236227" bottom="0.59055118110236227" header="0.19685039370078741" footer="0"/>
  <pageSetup paperSize="9" scale="105" orientation="landscape" horizontalDpi="0" verticalDpi="0"/>
  <headerFooter>
    <oddHeader>&amp;C&amp;K000000&amp;F&amp;A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B892A-9475-AC4E-8510-21E44A0AA7DC}">
  <sheetPr codeName="Hoja56"/>
  <dimension ref="A1:AO273"/>
  <sheetViews>
    <sheetView topLeftCell="D48" zoomScale="400" zoomScaleNormal="254" workbookViewId="0">
      <selection activeCell="D57" sqref="D57:R59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83203125" style="1" customWidth="1"/>
    <col min="4" max="4" width="1.1640625" style="3082" customWidth="1"/>
    <col min="5" max="5" width="2.83203125" style="1" customWidth="1"/>
    <col min="6" max="6" width="4" style="2818" customWidth="1"/>
    <col min="7" max="7" width="6.1640625" style="780" customWidth="1"/>
    <col min="8" max="8" width="6.6640625" style="780" customWidth="1"/>
    <col min="9" max="10" width="7.5" style="780" customWidth="1"/>
    <col min="11" max="11" width="29.6640625" style="780" customWidth="1"/>
    <col min="12" max="12" width="7.83203125" style="780" customWidth="1"/>
    <col min="13" max="13" width="1.1640625" style="2820" customWidth="1"/>
    <col min="14" max="14" width="8.83203125" style="2818" customWidth="1"/>
    <col min="15" max="15" width="1" style="780" customWidth="1"/>
    <col min="16" max="16" width="9" style="780" customWidth="1"/>
    <col min="17" max="17" width="7.5" style="2821" customWidth="1"/>
    <col min="18" max="18" width="7.33203125" style="2821" customWidth="1"/>
    <col min="19" max="19" width="1.33203125" style="2822" customWidth="1"/>
    <col min="20" max="20" width="0.5" style="2822" customWidth="1"/>
    <col min="21" max="21" width="6" style="2823" customWidth="1"/>
    <col min="22" max="22" width="5.6640625" style="2823" customWidth="1"/>
    <col min="23" max="23" width="6.33203125" style="2823" customWidth="1"/>
    <col min="24" max="24" width="5.5" style="2823" customWidth="1"/>
    <col min="25" max="25" width="6" style="2823" customWidth="1"/>
    <col min="26" max="27" width="5.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5" style="2826" customWidth="1"/>
    <col min="40" max="40" width="11.5" style="2825"/>
    <col min="41" max="16384" width="11.5" style="1"/>
  </cols>
  <sheetData>
    <row r="1" spans="1:40" ht="20.25" customHeight="1" thickBot="1">
      <c r="A1" s="3080" t="s">
        <v>344</v>
      </c>
      <c r="B1" s="1"/>
      <c r="C1" s="2816"/>
      <c r="D1" s="3081"/>
      <c r="E1" s="2817"/>
      <c r="V1" s="2824"/>
      <c r="AI1" s="2825"/>
      <c r="AJ1" s="2825"/>
      <c r="AK1" s="2825"/>
      <c r="AL1" s="2825"/>
      <c r="AM1" s="2825"/>
    </row>
    <row r="2" spans="1:40" ht="20.25" customHeight="1" thickBot="1">
      <c r="A2" s="3080"/>
      <c r="B2" s="1"/>
      <c r="C2" s="2816"/>
      <c r="D2" s="3081"/>
      <c r="E2" s="1872"/>
      <c r="F2" s="1873"/>
      <c r="G2" s="1874"/>
      <c r="H2" s="3911" t="s">
        <v>985</v>
      </c>
      <c r="I2" s="1874"/>
      <c r="J2" s="1875"/>
      <c r="K2" s="1873">
        <v>44690</v>
      </c>
      <c r="V2" s="2824"/>
      <c r="AI2" s="2825"/>
      <c r="AJ2" s="2825"/>
      <c r="AK2" s="2825"/>
      <c r="AL2" s="2825"/>
      <c r="AM2" s="2825"/>
    </row>
    <row r="3" spans="1:40" s="2839" customFormat="1" ht="76.5" customHeight="1" thickTop="1" thickBot="1">
      <c r="A3" s="3084" t="s">
        <v>346</v>
      </c>
      <c r="B3" s="3085" t="s">
        <v>347</v>
      </c>
      <c r="C3" s="3086" t="s">
        <v>348</v>
      </c>
      <c r="D3" s="3087"/>
      <c r="E3" s="3086" t="s">
        <v>349</v>
      </c>
      <c r="F3" s="3088" t="s">
        <v>350</v>
      </c>
      <c r="G3" s="3089" t="s">
        <v>351</v>
      </c>
      <c r="H3" s="3089" t="s">
        <v>624</v>
      </c>
      <c r="I3" s="3089" t="s">
        <v>352</v>
      </c>
      <c r="J3" s="3088" t="s">
        <v>353</v>
      </c>
      <c r="K3" s="3089" t="s">
        <v>354</v>
      </c>
      <c r="L3" s="3089"/>
      <c r="M3" s="3090" t="s">
        <v>355</v>
      </c>
      <c r="N3" s="3089" t="s">
        <v>445</v>
      </c>
      <c r="O3" s="3086" t="s">
        <v>446</v>
      </c>
      <c r="P3" s="3086" t="s">
        <v>447</v>
      </c>
      <c r="Q3" s="3091" t="s">
        <v>448</v>
      </c>
      <c r="R3" s="3092" t="s">
        <v>371</v>
      </c>
      <c r="S3" s="2828" t="s">
        <v>449</v>
      </c>
      <c r="T3" s="2828" t="s">
        <v>450</v>
      </c>
      <c r="U3" s="2829" t="s">
        <v>451</v>
      </c>
      <c r="V3" s="2830" t="s">
        <v>452</v>
      </c>
      <c r="W3" s="2831" t="s">
        <v>453</v>
      </c>
      <c r="X3" s="2832" t="s">
        <v>454</v>
      </c>
      <c r="Y3" s="2833" t="s">
        <v>455</v>
      </c>
      <c r="Z3" s="2834" t="s">
        <v>456</v>
      </c>
      <c r="AA3" s="2835" t="s">
        <v>457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2839" customFormat="1" ht="6" customHeight="1" thickBot="1">
      <c r="A4" s="3093"/>
      <c r="B4" s="3912"/>
      <c r="C4" s="3913"/>
      <c r="D4" s="3914"/>
      <c r="E4" s="3913"/>
      <c r="F4" s="3915"/>
      <c r="G4" s="3913"/>
      <c r="H4" s="3913"/>
      <c r="I4" s="3913"/>
      <c r="J4" s="3915"/>
      <c r="K4" s="3913"/>
      <c r="L4" s="3913"/>
      <c r="M4" s="3916"/>
      <c r="N4" s="3913"/>
      <c r="O4" s="3913"/>
      <c r="P4" s="3913"/>
      <c r="Q4" s="3917"/>
      <c r="R4" s="3918"/>
      <c r="S4" s="3919"/>
      <c r="T4" s="3919"/>
      <c r="U4" s="3920">
        <v>9.3287037037037058E-4</v>
      </c>
      <c r="V4" s="3921">
        <v>8.6111111111111121E-4</v>
      </c>
      <c r="W4" s="3921">
        <v>7.8935185185185206E-4</v>
      </c>
      <c r="X4" s="3921">
        <v>7.175925925925927E-4</v>
      </c>
      <c r="Y4" s="3921">
        <v>7.1400462962962975E-4</v>
      </c>
      <c r="Z4" s="3921">
        <v>7.0324074074074082E-4</v>
      </c>
      <c r="AA4" s="3922">
        <v>6.8888888888888895E-4</v>
      </c>
      <c r="AB4" s="2836"/>
      <c r="AC4" s="2837"/>
      <c r="AD4" s="2838"/>
      <c r="AE4" s="2838"/>
      <c r="AF4" s="2838"/>
      <c r="AG4" s="2838"/>
      <c r="AH4" s="2838"/>
      <c r="AI4" s="2836"/>
      <c r="AJ4" s="2836"/>
      <c r="AK4" s="2836"/>
      <c r="AL4" s="2836"/>
      <c r="AM4" s="2836"/>
      <c r="AN4" s="2836"/>
    </row>
    <row r="5" spans="1:40" s="63" customFormat="1" ht="10.5" customHeight="1" thickBot="1">
      <c r="A5" s="3101"/>
      <c r="B5" s="3923"/>
      <c r="C5" s="3396"/>
      <c r="D5" s="3397"/>
      <c r="E5" s="3396"/>
      <c r="F5" s="3398"/>
      <c r="G5" s="3399"/>
      <c r="H5" s="3399"/>
      <c r="I5" s="3399"/>
      <c r="J5" s="3398"/>
      <c r="K5" s="3399"/>
      <c r="L5" s="3399"/>
      <c r="M5" s="3606"/>
      <c r="N5" s="3641"/>
      <c r="O5" s="3396"/>
      <c r="P5" s="3396"/>
      <c r="Q5" s="3396"/>
      <c r="R5" s="3607"/>
      <c r="S5" s="3404"/>
      <c r="T5" s="3404"/>
      <c r="U5" s="2843">
        <f>U4/4</f>
        <v>2.3321759259259265E-4</v>
      </c>
      <c r="V5" s="2843">
        <f t="shared" ref="V5:AA5" si="0">V4/4</f>
        <v>2.152777777777778E-4</v>
      </c>
      <c r="W5" s="2843">
        <f t="shared" si="0"/>
        <v>1.9733796296296302E-4</v>
      </c>
      <c r="X5" s="2843">
        <f t="shared" si="0"/>
        <v>1.7939814814814817E-4</v>
      </c>
      <c r="Y5" s="2843">
        <f t="shared" si="0"/>
        <v>1.7850115740740744E-4</v>
      </c>
      <c r="Z5" s="2843">
        <f t="shared" si="0"/>
        <v>1.7581018518518521E-4</v>
      </c>
      <c r="AA5" s="2843">
        <f t="shared" si="0"/>
        <v>1.7222222222222224E-4</v>
      </c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ht="13.5" customHeight="1" thickTop="1" thickBot="1">
      <c r="A6" s="3930" t="s">
        <v>214</v>
      </c>
      <c r="B6" s="3930" t="s">
        <v>461</v>
      </c>
      <c r="C6" s="629">
        <f t="shared" ref="C6:C11" si="1">IF(D6=1,U$5,IF(D6=2,V$5,IF(D6=3,W$5,IF(D6=4,X$5,IF(D6=5,Y$5,IF(D6=6,Z$5,IF(D6=7,AA$5,0)))))))</f>
        <v>2.3321759259259265E-4</v>
      </c>
      <c r="D6" s="3942">
        <v>1</v>
      </c>
      <c r="E6" s="3943">
        <v>1</v>
      </c>
      <c r="F6" s="3943">
        <v>1</v>
      </c>
      <c r="G6" s="3943">
        <v>300</v>
      </c>
      <c r="H6" s="3944"/>
      <c r="I6" s="3944">
        <v>1.1574074074074073E-4</v>
      </c>
      <c r="J6" s="3944">
        <v>1.3888888888888889E-3</v>
      </c>
      <c r="K6" s="3945" t="s">
        <v>1023</v>
      </c>
      <c r="L6" s="3946">
        <v>0.79861111111111116</v>
      </c>
      <c r="M6" s="3947">
        <v>1</v>
      </c>
      <c r="N6" s="4026">
        <f t="shared" ref="N6:N11" si="2">P6*E6*F6+I6*E6*F6+J6*E6</f>
        <v>4.4151851851851861E-3</v>
      </c>
      <c r="O6" s="3944">
        <f>C6*(G6/25)*1.04</f>
        <v>2.9105555555555564E-3</v>
      </c>
      <c r="P6" s="3948">
        <f t="shared" ref="P6:P11" si="3">O6*M6</f>
        <v>2.9105555555555564E-3</v>
      </c>
      <c r="Q6" s="3949" t="s">
        <v>278</v>
      </c>
      <c r="R6" s="3943">
        <f t="shared" ref="R6:R11" si="4">E6*F6*G6</f>
        <v>300</v>
      </c>
      <c r="S6" s="2844">
        <f>E6*F6*G6/1000</f>
        <v>0.3</v>
      </c>
      <c r="T6" s="2845">
        <f>E6*F6*O6*4</f>
        <v>1.1642222222222226E-2</v>
      </c>
      <c r="U6" s="374">
        <f>IF(C6*4&gt;=$U$4,S6,0)</f>
        <v>0.3</v>
      </c>
      <c r="V6" s="2846">
        <f>IF(AND(C6*4&gt;=$V$4,C6*4&lt;$U$4),S6,0)</f>
        <v>0</v>
      </c>
      <c r="W6" s="2847">
        <f>IF(AND(C6*4&gt;=$W$4,C6*4&lt;$V$4),S6,0)</f>
        <v>0</v>
      </c>
      <c r="X6" s="2848">
        <f>IF(AND(C6*4&gt;=$X$4,C6*4&lt;$W$4),S6,0)</f>
        <v>0</v>
      </c>
      <c r="Y6" s="2849">
        <f>IF(AND(C6*4&gt;=$Y$4,C6*4&lt;$X$4),S6,0)</f>
        <v>0</v>
      </c>
      <c r="Z6" s="2850">
        <f>IF(AND(C6*4&gt;=$Z$4,C6*4&lt;$Y$4),S6,0)</f>
        <v>0</v>
      </c>
      <c r="AA6" s="2851">
        <f>IF(AND(C6*4&gt;=$AA$4,C6*4&lt;$Z$4),S6,0)</f>
        <v>0</v>
      </c>
      <c r="AC6" s="2867"/>
      <c r="AD6" s="2867"/>
      <c r="AE6" s="2867"/>
      <c r="AF6" s="2867"/>
      <c r="AG6" s="2867"/>
      <c r="AH6" s="2867"/>
      <c r="AI6" s="2825"/>
      <c r="AJ6" s="2825"/>
      <c r="AK6" s="2825"/>
      <c r="AL6" s="2825"/>
      <c r="AM6" s="2825"/>
    </row>
    <row r="7" spans="1:40" ht="13.5" customHeight="1" thickBot="1">
      <c r="A7" s="3930" t="s">
        <v>459</v>
      </c>
      <c r="B7" s="3930" t="s">
        <v>461</v>
      </c>
      <c r="C7" s="629">
        <f t="shared" si="1"/>
        <v>1.7939814814814817E-4</v>
      </c>
      <c r="D7" s="3950">
        <v>4</v>
      </c>
      <c r="E7" s="3951">
        <v>1</v>
      </c>
      <c r="F7" s="3951">
        <v>10</v>
      </c>
      <c r="G7" s="3951">
        <v>50</v>
      </c>
      <c r="H7" s="3952">
        <v>6.9444444444444447E-4</v>
      </c>
      <c r="I7" s="3952">
        <v>0</v>
      </c>
      <c r="J7" s="3952">
        <v>0</v>
      </c>
      <c r="K7" s="3953" t="s">
        <v>1815</v>
      </c>
      <c r="L7" s="3954">
        <f>L6+N6</f>
        <v>0.80302629629629629</v>
      </c>
      <c r="M7" s="3955">
        <v>1.1499999999999999</v>
      </c>
      <c r="N7" s="4027">
        <f>H7*F7*E7</f>
        <v>6.9444444444444449E-3</v>
      </c>
      <c r="O7" s="3956">
        <f>C7*(G7/25)</f>
        <v>3.5879629629629635E-4</v>
      </c>
      <c r="P7" s="3956">
        <f t="shared" si="3"/>
        <v>4.1261574074074079E-4</v>
      </c>
      <c r="Q7" s="3957">
        <v>166</v>
      </c>
      <c r="R7" s="3951">
        <f t="shared" si="4"/>
        <v>500</v>
      </c>
      <c r="S7" s="2844">
        <f>E7*F7*G7/1000</f>
        <v>0.5</v>
      </c>
      <c r="T7" s="2845">
        <f>E7*F7*O7*4</f>
        <v>1.4351851851851853E-2</v>
      </c>
      <c r="U7" s="374">
        <f>IF(C7*4&gt;=$U$4,S7,0)</f>
        <v>0</v>
      </c>
      <c r="V7" s="2846">
        <f>IF(AND(C7*4&gt;=$V$4,C7*4&lt;$U$4),S7,0)</f>
        <v>0</v>
      </c>
      <c r="W7" s="2847">
        <f>IF(AND(C7*4&gt;=$W$4,C7*4&lt;$V$4),S7,0)</f>
        <v>0</v>
      </c>
      <c r="X7" s="2848">
        <f>IF(AND(C7*4&gt;=$X$4,C7*4&lt;$W$4),S7,0)</f>
        <v>0.5</v>
      </c>
      <c r="Y7" s="2849">
        <f>IF(AND(C7*4&gt;=$Y$4,C7*4&lt;$X$4),S7,0)</f>
        <v>0</v>
      </c>
      <c r="Z7" s="2850">
        <f>IF(AND(C7*4&gt;=$Z$4,C7*4&lt;$Y$4),S7,0)</f>
        <v>0</v>
      </c>
      <c r="AA7" s="2851">
        <f>IF(AND(C7*4&gt;=$AA$4,C7*4&lt;$Z$4),S7,0)</f>
        <v>0</v>
      </c>
      <c r="AC7" s="2867"/>
      <c r="AD7" s="2867"/>
      <c r="AE7" s="2867"/>
      <c r="AF7" s="2867"/>
      <c r="AG7" s="2867"/>
      <c r="AH7" s="2867"/>
      <c r="AI7" s="2825"/>
      <c r="AJ7" s="2825"/>
      <c r="AK7" s="2825"/>
      <c r="AL7" s="2825"/>
      <c r="AM7" s="2825"/>
    </row>
    <row r="8" spans="1:40" ht="13.5" customHeight="1" thickBot="1">
      <c r="A8" s="3930" t="s">
        <v>460</v>
      </c>
      <c r="B8" s="3930" t="s">
        <v>461</v>
      </c>
      <c r="C8" s="629">
        <f t="shared" si="1"/>
        <v>2.152777777777778E-4</v>
      </c>
      <c r="D8" s="3958">
        <v>2</v>
      </c>
      <c r="E8" s="3959">
        <v>1</v>
      </c>
      <c r="F8" s="3959">
        <v>5</v>
      </c>
      <c r="G8" s="3959">
        <v>200</v>
      </c>
      <c r="H8" s="3960"/>
      <c r="I8" s="3960">
        <v>1.3888888888888889E-4</v>
      </c>
      <c r="J8" s="3960">
        <v>1.3888888888888889E-3</v>
      </c>
      <c r="K8" s="3961" t="s">
        <v>1024</v>
      </c>
      <c r="L8" s="3960">
        <f t="shared" ref="L8:L12" si="5">L7+N7</f>
        <v>0.80997074074074071</v>
      </c>
      <c r="M8" s="3962">
        <v>1.2</v>
      </c>
      <c r="N8" s="4028">
        <f t="shared" si="2"/>
        <v>1.2829999999999999E-2</v>
      </c>
      <c r="O8" s="3963">
        <f>C8*(G8/25)*1.04</f>
        <v>1.7911111111111114E-3</v>
      </c>
      <c r="P8" s="3963">
        <f t="shared" si="3"/>
        <v>2.1493333333333334E-3</v>
      </c>
      <c r="Q8" s="3964" t="s">
        <v>278</v>
      </c>
      <c r="R8" s="3965">
        <f t="shared" si="4"/>
        <v>1000</v>
      </c>
      <c r="S8" s="2844">
        <f t="shared" ref="S8:S61" si="6">E8*F8*G8/1000</f>
        <v>1</v>
      </c>
      <c r="T8" s="2845">
        <f t="shared" ref="T8:T61" si="7">E8*F8*O8*4</f>
        <v>3.5822222222222228E-2</v>
      </c>
      <c r="U8" s="374">
        <f t="shared" ref="U8:U61" si="8">IF(C8*4&gt;=$U$4,S8,0)</f>
        <v>0</v>
      </c>
      <c r="V8" s="2846">
        <f t="shared" ref="V8:V61" si="9">IF(AND(C8*4&gt;=$V$4,C8*4&lt;$U$4),S8,0)</f>
        <v>1</v>
      </c>
      <c r="W8" s="2847">
        <f t="shared" ref="W8:W61" si="10">IF(AND(C8*4&gt;=$W$4,C8*4&lt;$V$4),S8,0)</f>
        <v>0</v>
      </c>
      <c r="X8" s="2848">
        <f t="shared" ref="X8:X61" si="11">IF(AND(C8*4&gt;=$X$4,C8*4&lt;$W$4),S8,0)</f>
        <v>0</v>
      </c>
      <c r="Y8" s="2849">
        <f t="shared" ref="Y8:Y61" si="12">IF(AND(C8*4&gt;=$Y$4,C8*4&lt;$X$4),S8,0)</f>
        <v>0</v>
      </c>
      <c r="Z8" s="2850">
        <f t="shared" ref="Z8:Z61" si="13">IF(AND(C8*4&gt;=$Z$4,C8*4&lt;$Y$4),S8,0)</f>
        <v>0</v>
      </c>
      <c r="AA8" s="2851">
        <f t="shared" ref="AA8:AA61" si="14">IF(AND(C8*4&gt;=$AA$4,C8*4&lt;$Z$4),S8,0)</f>
        <v>0</v>
      </c>
      <c r="AC8" s="2867"/>
      <c r="AD8" s="2867"/>
      <c r="AE8" s="2867"/>
      <c r="AF8" s="2867"/>
      <c r="AG8" s="2867"/>
      <c r="AH8" s="2867"/>
      <c r="AI8" s="2825"/>
      <c r="AJ8" s="2825"/>
      <c r="AK8" s="2825"/>
      <c r="AL8" s="2825"/>
      <c r="AM8" s="2825"/>
    </row>
    <row r="9" spans="1:40" ht="13.5" customHeight="1" thickBot="1">
      <c r="A9" s="3930" t="s">
        <v>458</v>
      </c>
      <c r="B9" s="3930" t="s">
        <v>461</v>
      </c>
      <c r="C9" s="629">
        <f t="shared" si="1"/>
        <v>1.9733796296296302E-4</v>
      </c>
      <c r="D9" s="3966">
        <v>3</v>
      </c>
      <c r="E9" s="3967">
        <v>1</v>
      </c>
      <c r="F9" s="3967">
        <v>5</v>
      </c>
      <c r="G9" s="3967">
        <v>150</v>
      </c>
      <c r="H9" s="3968"/>
      <c r="I9" s="3968">
        <v>2.8935185185185189E-4</v>
      </c>
      <c r="J9" s="3968">
        <v>1.3888888888888889E-3</v>
      </c>
      <c r="K9" s="3969" t="s">
        <v>1816</v>
      </c>
      <c r="L9" s="3968">
        <f t="shared" si="5"/>
        <v>0.82280074074074072</v>
      </c>
      <c r="M9" s="3970">
        <v>1.2</v>
      </c>
      <c r="N9" s="4029">
        <f t="shared" si="2"/>
        <v>1.0223981481481483E-2</v>
      </c>
      <c r="O9" s="3968">
        <f>C9*(G9/25)*1.04</f>
        <v>1.2313888888888893E-3</v>
      </c>
      <c r="P9" s="3971">
        <f t="shared" si="3"/>
        <v>1.4776666666666671E-3</v>
      </c>
      <c r="Q9" s="3972" t="s">
        <v>278</v>
      </c>
      <c r="R9" s="3967">
        <f t="shared" si="4"/>
        <v>750</v>
      </c>
      <c r="S9" s="2844">
        <f t="shared" si="6"/>
        <v>0.75</v>
      </c>
      <c r="T9" s="2845">
        <f t="shared" si="7"/>
        <v>2.4627777777777787E-2</v>
      </c>
      <c r="U9" s="374">
        <f t="shared" si="8"/>
        <v>0</v>
      </c>
      <c r="V9" s="2846">
        <f t="shared" si="9"/>
        <v>0</v>
      </c>
      <c r="W9" s="2847">
        <f t="shared" si="10"/>
        <v>0.75</v>
      </c>
      <c r="X9" s="2848">
        <f t="shared" si="11"/>
        <v>0</v>
      </c>
      <c r="Y9" s="2849">
        <f t="shared" si="12"/>
        <v>0</v>
      </c>
      <c r="Z9" s="2850">
        <f t="shared" si="13"/>
        <v>0</v>
      </c>
      <c r="AA9" s="2851">
        <f t="shared" si="14"/>
        <v>0</v>
      </c>
      <c r="AC9" s="2867"/>
      <c r="AD9" s="2867"/>
      <c r="AE9" s="2867"/>
      <c r="AF9" s="2867"/>
      <c r="AG9" s="2867"/>
      <c r="AH9" s="2867"/>
      <c r="AI9" s="2825"/>
      <c r="AJ9" s="2825"/>
      <c r="AK9" s="2825"/>
      <c r="AL9" s="2825"/>
      <c r="AM9" s="2825"/>
    </row>
    <row r="10" spans="1:40" ht="13.5" customHeight="1" thickBot="1">
      <c r="A10" s="3930" t="s">
        <v>219</v>
      </c>
      <c r="B10" s="3930" t="s">
        <v>461</v>
      </c>
      <c r="C10" s="629">
        <f t="shared" si="1"/>
        <v>1.7581018518518521E-4</v>
      </c>
      <c r="D10" s="3436">
        <v>6</v>
      </c>
      <c r="E10" s="3924">
        <v>1</v>
      </c>
      <c r="F10" s="3924">
        <v>4</v>
      </c>
      <c r="G10" s="3924">
        <v>100</v>
      </c>
      <c r="H10" s="3925"/>
      <c r="I10" s="3925">
        <v>1.3888888888888889E-3</v>
      </c>
      <c r="J10" s="3925">
        <v>0</v>
      </c>
      <c r="K10" s="3926" t="s">
        <v>1229</v>
      </c>
      <c r="L10" s="3925">
        <f t="shared" si="5"/>
        <v>0.83302472222222224</v>
      </c>
      <c r="M10" s="3738">
        <v>1.1000000000000001</v>
      </c>
      <c r="N10" s="4030">
        <f t="shared" si="2"/>
        <v>8.773585185185187E-3</v>
      </c>
      <c r="O10" s="3927">
        <f>C10*(G10/25)*1.04</f>
        <v>7.3137037037037051E-4</v>
      </c>
      <c r="P10" s="3928">
        <f t="shared" si="3"/>
        <v>8.045074074074076E-4</v>
      </c>
      <c r="Q10" s="3929">
        <v>177</v>
      </c>
      <c r="R10" s="3924">
        <f t="shared" si="4"/>
        <v>400</v>
      </c>
      <c r="S10" s="2844">
        <f t="shared" si="6"/>
        <v>0.4</v>
      </c>
      <c r="T10" s="2845">
        <f t="shared" si="7"/>
        <v>1.1701925925925928E-2</v>
      </c>
      <c r="U10" s="374">
        <f t="shared" si="8"/>
        <v>0</v>
      </c>
      <c r="V10" s="2846">
        <f t="shared" si="9"/>
        <v>0</v>
      </c>
      <c r="W10" s="2847">
        <f t="shared" si="10"/>
        <v>0</v>
      </c>
      <c r="X10" s="2848">
        <f t="shared" si="11"/>
        <v>0</v>
      </c>
      <c r="Y10" s="2849">
        <f t="shared" si="12"/>
        <v>0</v>
      </c>
      <c r="Z10" s="2850">
        <f t="shared" si="13"/>
        <v>0.4</v>
      </c>
      <c r="AA10" s="2851">
        <f t="shared" si="14"/>
        <v>0</v>
      </c>
      <c r="AC10" s="2867"/>
      <c r="AD10" s="2867"/>
      <c r="AE10" s="2867"/>
      <c r="AF10" s="2867"/>
      <c r="AG10" s="2867"/>
      <c r="AH10" s="2867"/>
      <c r="AI10" s="2825"/>
      <c r="AJ10" s="2825"/>
      <c r="AK10" s="2825"/>
      <c r="AL10" s="2825"/>
      <c r="AM10" s="2825"/>
    </row>
    <row r="11" spans="1:40" ht="15" customHeight="1" thickBot="1">
      <c r="A11" s="3930"/>
      <c r="B11" s="3930" t="s">
        <v>461</v>
      </c>
      <c r="C11" s="629">
        <f t="shared" si="1"/>
        <v>1.7222222222222224E-4</v>
      </c>
      <c r="D11" s="3931">
        <v>7</v>
      </c>
      <c r="E11" s="3932">
        <v>1</v>
      </c>
      <c r="F11" s="3932">
        <v>8</v>
      </c>
      <c r="G11" s="3932">
        <v>12.5</v>
      </c>
      <c r="H11" s="3933"/>
      <c r="I11" s="3933">
        <v>1.0416666666666667E-3</v>
      </c>
      <c r="J11" s="3933">
        <v>0</v>
      </c>
      <c r="K11" s="3934" t="s">
        <v>1817</v>
      </c>
      <c r="L11" s="3933">
        <f t="shared" si="5"/>
        <v>0.84179830740740746</v>
      </c>
      <c r="M11" s="3935">
        <v>1</v>
      </c>
      <c r="N11" s="4031">
        <f t="shared" si="2"/>
        <v>9.0222222222222214E-3</v>
      </c>
      <c r="O11" s="3936">
        <f>C11*(G11/25)</f>
        <v>8.6111111111111119E-5</v>
      </c>
      <c r="P11" s="3937">
        <f t="shared" si="3"/>
        <v>8.6111111111111119E-5</v>
      </c>
      <c r="Q11" s="3938" t="s">
        <v>278</v>
      </c>
      <c r="R11" s="3939">
        <f t="shared" si="4"/>
        <v>100</v>
      </c>
      <c r="S11" s="2844">
        <f t="shared" si="6"/>
        <v>0.1</v>
      </c>
      <c r="T11" s="2845">
        <f t="shared" si="7"/>
        <v>2.7555555555555558E-3</v>
      </c>
      <c r="U11" s="374">
        <f t="shared" si="8"/>
        <v>0</v>
      </c>
      <c r="V11" s="2846">
        <f t="shared" si="9"/>
        <v>0</v>
      </c>
      <c r="W11" s="2847">
        <f t="shared" si="10"/>
        <v>0</v>
      </c>
      <c r="X11" s="2848">
        <f t="shared" si="11"/>
        <v>0</v>
      </c>
      <c r="Y11" s="2849">
        <f t="shared" si="12"/>
        <v>0</v>
      </c>
      <c r="Z11" s="2850">
        <f t="shared" si="13"/>
        <v>0</v>
      </c>
      <c r="AA11" s="2851">
        <f t="shared" si="14"/>
        <v>0.1</v>
      </c>
      <c r="AC11" s="2867"/>
      <c r="AD11" s="2867"/>
      <c r="AE11" s="2867"/>
      <c r="AF11" s="2867"/>
      <c r="AG11" s="2867"/>
      <c r="AH11" s="2867"/>
      <c r="AI11" s="2825"/>
      <c r="AJ11" s="2825"/>
      <c r="AK11" s="2825"/>
      <c r="AL11" s="2825"/>
      <c r="AM11" s="2825"/>
    </row>
    <row r="12" spans="1:40" ht="14" customHeight="1" thickBot="1">
      <c r="A12" s="3930"/>
      <c r="B12" s="3930"/>
      <c r="C12" s="629">
        <f>IF(D12=1,U$6,IF(D12=2,V$6,IF(D12=3,W$6,IF(D12=4,X$6,IF(D12=5,Y$6,IF(D12=6,Z$6,IF(D12=7,AA$6,0)))))))</f>
        <v>0</v>
      </c>
      <c r="D12" s="3453"/>
      <c r="E12" s="3454"/>
      <c r="F12" s="3454"/>
      <c r="G12" s="3454"/>
      <c r="H12" s="3454"/>
      <c r="I12" s="3454"/>
      <c r="J12" s="3454"/>
      <c r="K12" s="3454"/>
      <c r="L12" s="683">
        <f t="shared" si="5"/>
        <v>0.85082052962962973</v>
      </c>
      <c r="M12" s="3940"/>
      <c r="N12" s="4032">
        <f>SUM(N6:N11)</f>
        <v>5.2209418518518527E-2</v>
      </c>
      <c r="O12" s="3454"/>
      <c r="P12" s="3454"/>
      <c r="Q12" s="3454"/>
      <c r="R12" s="3941">
        <f>SUM(R6:R11)</f>
        <v>3050</v>
      </c>
      <c r="S12" s="2844">
        <f t="shared" si="6"/>
        <v>0</v>
      </c>
      <c r="T12" s="2845">
        <f t="shared" si="7"/>
        <v>0</v>
      </c>
      <c r="U12" s="374">
        <f t="shared" si="8"/>
        <v>0</v>
      </c>
      <c r="V12" s="2846">
        <f t="shared" si="9"/>
        <v>0</v>
      </c>
      <c r="W12" s="2847">
        <f t="shared" si="10"/>
        <v>0</v>
      </c>
      <c r="X12" s="2848">
        <f t="shared" si="11"/>
        <v>0</v>
      </c>
      <c r="Y12" s="2849">
        <f t="shared" si="12"/>
        <v>0</v>
      </c>
      <c r="Z12" s="2850">
        <f t="shared" si="13"/>
        <v>0</v>
      </c>
      <c r="AA12" s="2851">
        <f t="shared" si="14"/>
        <v>0</v>
      </c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</row>
    <row r="13" spans="1:40" ht="15" customHeight="1" thickBot="1">
      <c r="A13" s="2889" t="s">
        <v>215</v>
      </c>
      <c r="B13" s="3405" t="s">
        <v>215</v>
      </c>
      <c r="C13" s="629">
        <f t="shared" ref="C13:C46" si="15">IF(D13=1,U$5,IF(D13=2,V$5,IF(D13=3,W$5,IF(D13=4,X$5,IF(D13=5,Y$5,IF(D13=6,Z$5,IF(D13=7,AA$5,0)))))))</f>
        <v>2.3321759259259265E-4</v>
      </c>
      <c r="D13" s="3942">
        <v>1</v>
      </c>
      <c r="E13" s="3943">
        <v>1</v>
      </c>
      <c r="F13" s="3943">
        <v>1</v>
      </c>
      <c r="G13" s="3943">
        <v>300</v>
      </c>
      <c r="H13" s="3944"/>
      <c r="I13" s="3944">
        <v>0</v>
      </c>
      <c r="J13" s="3944">
        <v>0</v>
      </c>
      <c r="K13" s="3973" t="s">
        <v>1818</v>
      </c>
      <c r="L13" s="3946">
        <v>0.38194444444444442</v>
      </c>
      <c r="M13" s="3947">
        <v>1</v>
      </c>
      <c r="N13" s="4026">
        <f t="shared" ref="N13:N18" si="16">P13*E13*F13+I13*E13*F13+J13*E13</f>
        <v>2.9105555555555564E-3</v>
      </c>
      <c r="O13" s="3944">
        <f>C13*(G13/25)*1.04</f>
        <v>2.9105555555555564E-3</v>
      </c>
      <c r="P13" s="3948">
        <f t="shared" ref="P13:P18" si="17">O13*M13</f>
        <v>2.9105555555555564E-3</v>
      </c>
      <c r="Q13" s="3949" t="s">
        <v>278</v>
      </c>
      <c r="R13" s="3943">
        <f t="shared" ref="R13:R18" si="18">E13*F13*G13</f>
        <v>300</v>
      </c>
      <c r="S13" s="2844">
        <f t="shared" si="6"/>
        <v>0.3</v>
      </c>
      <c r="T13" s="2845">
        <f t="shared" si="7"/>
        <v>1.1642222222222226E-2</v>
      </c>
      <c r="U13" s="374">
        <f t="shared" si="8"/>
        <v>0.3</v>
      </c>
      <c r="V13" s="2846">
        <f t="shared" si="9"/>
        <v>0</v>
      </c>
      <c r="W13" s="2847">
        <f t="shared" si="10"/>
        <v>0</v>
      </c>
      <c r="X13" s="2848">
        <f t="shared" si="11"/>
        <v>0</v>
      </c>
      <c r="Y13" s="2849">
        <f t="shared" si="12"/>
        <v>0</v>
      </c>
      <c r="Z13" s="2850">
        <f t="shared" si="13"/>
        <v>0</v>
      </c>
      <c r="AA13" s="2851">
        <f t="shared" si="14"/>
        <v>0</v>
      </c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</row>
    <row r="14" spans="1:40" ht="14" customHeight="1" thickBot="1">
      <c r="A14" s="2889" t="s">
        <v>138</v>
      </c>
      <c r="B14" s="3405" t="s">
        <v>215</v>
      </c>
      <c r="C14" s="629">
        <f t="shared" si="15"/>
        <v>1.7939814814814817E-4</v>
      </c>
      <c r="D14" s="3950">
        <v>4</v>
      </c>
      <c r="E14" s="3951">
        <v>4</v>
      </c>
      <c r="F14" s="3951">
        <v>4</v>
      </c>
      <c r="G14" s="3951">
        <v>50</v>
      </c>
      <c r="H14" s="3952">
        <v>5.7870370370370378E-4</v>
      </c>
      <c r="I14" s="3952"/>
      <c r="J14" s="3952">
        <v>1.3888888888888889E-3</v>
      </c>
      <c r="K14" s="3953" t="s">
        <v>1230</v>
      </c>
      <c r="L14" s="3954">
        <f>L13+N13</f>
        <v>0.384855</v>
      </c>
      <c r="M14" s="3955">
        <v>1.1499999999999999</v>
      </c>
      <c r="N14" s="4027">
        <f>H14*F14*E14</f>
        <v>9.2592592592592605E-3</v>
      </c>
      <c r="O14" s="3956">
        <f>C14*(G14/25)</f>
        <v>3.5879629629629635E-4</v>
      </c>
      <c r="P14" s="3956">
        <f t="shared" si="17"/>
        <v>4.1261574074074079E-4</v>
      </c>
      <c r="Q14" s="3957">
        <v>166</v>
      </c>
      <c r="R14" s="3951">
        <f t="shared" si="18"/>
        <v>800</v>
      </c>
      <c r="S14" s="2844">
        <f t="shared" si="6"/>
        <v>0.8</v>
      </c>
      <c r="T14" s="2845">
        <f t="shared" si="7"/>
        <v>2.2962962962962966E-2</v>
      </c>
      <c r="U14" s="374">
        <f t="shared" si="8"/>
        <v>0</v>
      </c>
      <c r="V14" s="2846">
        <f t="shared" si="9"/>
        <v>0</v>
      </c>
      <c r="W14" s="2847">
        <f t="shared" si="10"/>
        <v>0</v>
      </c>
      <c r="X14" s="2848">
        <f t="shared" si="11"/>
        <v>0.8</v>
      </c>
      <c r="Y14" s="2849">
        <f t="shared" si="12"/>
        <v>0</v>
      </c>
      <c r="Z14" s="2850">
        <f t="shared" si="13"/>
        <v>0</v>
      </c>
      <c r="AA14" s="2851">
        <f t="shared" si="14"/>
        <v>0</v>
      </c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</row>
    <row r="15" spans="1:40" ht="15" customHeight="1" thickBot="1">
      <c r="A15" s="2889" t="s">
        <v>462</v>
      </c>
      <c r="B15" s="3405" t="s">
        <v>215</v>
      </c>
      <c r="C15" s="629">
        <f t="shared" si="15"/>
        <v>1.9733796296296302E-4</v>
      </c>
      <c r="D15" s="3966">
        <v>3</v>
      </c>
      <c r="E15" s="3967">
        <v>1</v>
      </c>
      <c r="F15" s="3974">
        <v>12</v>
      </c>
      <c r="G15" s="3967">
        <v>25</v>
      </c>
      <c r="H15" s="3968"/>
      <c r="I15" s="3968">
        <v>1.1574074074074073E-4</v>
      </c>
      <c r="J15" s="3968">
        <v>1.3888888888888889E-3</v>
      </c>
      <c r="K15" s="3975" t="s">
        <v>1819</v>
      </c>
      <c r="L15" s="3968">
        <f t="shared" ref="L15:L19" si="19">L14+N14</f>
        <v>0.39411425925925925</v>
      </c>
      <c r="M15" s="3970">
        <v>1.1000000000000001</v>
      </c>
      <c r="N15" s="4029">
        <f>P15*E15*F15+I15*E15*F15+J15*E15</f>
        <v>5.4868333333333349E-3</v>
      </c>
      <c r="O15" s="3968">
        <f>C15*(G15/25)*1.04</f>
        <v>2.0523148148148153E-4</v>
      </c>
      <c r="P15" s="3971">
        <f>O15*M15</f>
        <v>2.257546296296297E-4</v>
      </c>
      <c r="Q15" s="3972" t="s">
        <v>278</v>
      </c>
      <c r="R15" s="3967">
        <f>E15*F15*G15</f>
        <v>300</v>
      </c>
      <c r="S15" s="2844">
        <f t="shared" si="6"/>
        <v>0.3</v>
      </c>
      <c r="T15" s="2845">
        <f t="shared" si="7"/>
        <v>9.8511111111111126E-3</v>
      </c>
      <c r="U15" s="374">
        <f t="shared" si="8"/>
        <v>0</v>
      </c>
      <c r="V15" s="2846">
        <f t="shared" si="9"/>
        <v>0</v>
      </c>
      <c r="W15" s="2847">
        <f t="shared" si="10"/>
        <v>0.3</v>
      </c>
      <c r="X15" s="2848">
        <f t="shared" si="11"/>
        <v>0</v>
      </c>
      <c r="Y15" s="2849">
        <f t="shared" si="12"/>
        <v>0</v>
      </c>
      <c r="Z15" s="2850">
        <f t="shared" si="13"/>
        <v>0</v>
      </c>
      <c r="AA15" s="2851">
        <f t="shared" si="14"/>
        <v>0</v>
      </c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</row>
    <row r="16" spans="1:40" ht="14" customHeight="1" thickBot="1">
      <c r="A16" s="2889" t="s">
        <v>461</v>
      </c>
      <c r="B16" s="3405" t="s">
        <v>215</v>
      </c>
      <c r="C16" s="629">
        <f t="shared" si="15"/>
        <v>2.152777777777778E-4</v>
      </c>
      <c r="D16" s="3958">
        <v>2</v>
      </c>
      <c r="E16" s="3959">
        <v>1</v>
      </c>
      <c r="F16" s="3959">
        <v>12</v>
      </c>
      <c r="G16" s="3959">
        <v>50</v>
      </c>
      <c r="H16" s="3960"/>
      <c r="I16" s="3960">
        <v>1.1574074074074073E-4</v>
      </c>
      <c r="J16" s="3960">
        <v>1.3888888888888889E-3</v>
      </c>
      <c r="K16" s="3961" t="s">
        <v>703</v>
      </c>
      <c r="L16" s="3960">
        <f t="shared" si="19"/>
        <v>0.39960109259259258</v>
      </c>
      <c r="M16" s="3962">
        <v>1</v>
      </c>
      <c r="N16" s="4028">
        <f t="shared" si="16"/>
        <v>8.1511111111111124E-3</v>
      </c>
      <c r="O16" s="3963">
        <f>C16*(G16/25)*1.04</f>
        <v>4.4777777777777784E-4</v>
      </c>
      <c r="P16" s="3963">
        <f t="shared" si="17"/>
        <v>4.4777777777777784E-4</v>
      </c>
      <c r="Q16" s="3964" t="s">
        <v>278</v>
      </c>
      <c r="R16" s="3965">
        <f t="shared" si="18"/>
        <v>600</v>
      </c>
      <c r="S16" s="2844">
        <f t="shared" si="6"/>
        <v>0.6</v>
      </c>
      <c r="T16" s="2845">
        <f t="shared" si="7"/>
        <v>2.1493333333333337E-2</v>
      </c>
      <c r="U16" s="374">
        <f t="shared" si="8"/>
        <v>0</v>
      </c>
      <c r="V16" s="2846">
        <f t="shared" si="9"/>
        <v>0.6</v>
      </c>
      <c r="W16" s="2847">
        <f t="shared" si="10"/>
        <v>0</v>
      </c>
      <c r="X16" s="2848">
        <f t="shared" si="11"/>
        <v>0</v>
      </c>
      <c r="Y16" s="2849">
        <f t="shared" si="12"/>
        <v>0</v>
      </c>
      <c r="Z16" s="2850">
        <f t="shared" si="13"/>
        <v>0</v>
      </c>
      <c r="AA16" s="2851">
        <f t="shared" si="14"/>
        <v>0</v>
      </c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</row>
    <row r="17" spans="1:40" ht="14" customHeight="1" thickBot="1">
      <c r="A17" s="2889" t="s">
        <v>458</v>
      </c>
      <c r="B17" s="3405" t="s">
        <v>215</v>
      </c>
      <c r="C17" s="629">
        <f t="shared" si="15"/>
        <v>1.7222222222222224E-4</v>
      </c>
      <c r="D17" s="3931">
        <v>7</v>
      </c>
      <c r="E17" s="3932">
        <v>3</v>
      </c>
      <c r="F17" s="3932">
        <v>4</v>
      </c>
      <c r="G17" s="3932">
        <v>14</v>
      </c>
      <c r="H17" s="3933"/>
      <c r="I17" s="3933">
        <v>4.6296296296296293E-4</v>
      </c>
      <c r="J17" s="3933">
        <v>2.0833333333333333E-3</v>
      </c>
      <c r="K17" s="3976" t="s">
        <v>1831</v>
      </c>
      <c r="L17" s="3933">
        <f t="shared" si="19"/>
        <v>0.40775220370370369</v>
      </c>
      <c r="M17" s="3977">
        <v>1</v>
      </c>
      <c r="N17" s="4031">
        <f t="shared" si="16"/>
        <v>1.3009182222222223E-2</v>
      </c>
      <c r="O17" s="3936">
        <f>C17*(G17/25)*1.04</f>
        <v>1.0030222222222225E-4</v>
      </c>
      <c r="P17" s="3937">
        <f t="shared" si="17"/>
        <v>1.0030222222222225E-4</v>
      </c>
      <c r="Q17" s="3938" t="s">
        <v>278</v>
      </c>
      <c r="R17" s="3939">
        <f t="shared" si="18"/>
        <v>168</v>
      </c>
      <c r="S17" s="2844">
        <f t="shared" si="6"/>
        <v>0.16800000000000001</v>
      </c>
      <c r="T17" s="2845">
        <f t="shared" si="7"/>
        <v>4.8145066666666677E-3</v>
      </c>
      <c r="U17" s="374">
        <f t="shared" si="8"/>
        <v>0</v>
      </c>
      <c r="V17" s="2846">
        <f t="shared" si="9"/>
        <v>0</v>
      </c>
      <c r="W17" s="2847">
        <f t="shared" si="10"/>
        <v>0</v>
      </c>
      <c r="X17" s="2848">
        <f t="shared" si="11"/>
        <v>0</v>
      </c>
      <c r="Y17" s="2849">
        <f t="shared" si="12"/>
        <v>0</v>
      </c>
      <c r="Z17" s="2850">
        <f t="shared" si="13"/>
        <v>0</v>
      </c>
      <c r="AA17" s="2851">
        <f t="shared" si="14"/>
        <v>0.16800000000000001</v>
      </c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</row>
    <row r="18" spans="1:40" ht="13" customHeight="1" thickBot="1">
      <c r="A18" s="2889" t="s">
        <v>219</v>
      </c>
      <c r="B18" s="3515" t="s">
        <v>215</v>
      </c>
      <c r="C18" s="629">
        <f t="shared" si="15"/>
        <v>1.7222222222222224E-4</v>
      </c>
      <c r="D18" s="3931">
        <v>7</v>
      </c>
      <c r="E18" s="3932">
        <v>1</v>
      </c>
      <c r="F18" s="3932">
        <v>8</v>
      </c>
      <c r="G18" s="3932">
        <v>12.5</v>
      </c>
      <c r="H18" s="3933"/>
      <c r="I18" s="3933">
        <v>1.0416666666666667E-3</v>
      </c>
      <c r="J18" s="3933">
        <v>0</v>
      </c>
      <c r="K18" s="3934" t="s">
        <v>1817</v>
      </c>
      <c r="L18" s="3933">
        <f t="shared" si="19"/>
        <v>0.42076138592592593</v>
      </c>
      <c r="M18" s="3935">
        <v>1</v>
      </c>
      <c r="N18" s="4031">
        <f t="shared" si="16"/>
        <v>9.0222222222222214E-3</v>
      </c>
      <c r="O18" s="3936">
        <f>C18*(G18/25)</f>
        <v>8.6111111111111119E-5</v>
      </c>
      <c r="P18" s="3937">
        <f t="shared" si="17"/>
        <v>8.6111111111111119E-5</v>
      </c>
      <c r="Q18" s="3938" t="s">
        <v>278</v>
      </c>
      <c r="R18" s="3939">
        <f t="shared" si="18"/>
        <v>100</v>
      </c>
      <c r="S18" s="2844">
        <f t="shared" si="6"/>
        <v>0.1</v>
      </c>
      <c r="T18" s="2845">
        <f t="shared" si="7"/>
        <v>2.7555555555555558E-3</v>
      </c>
      <c r="U18" s="374">
        <f t="shared" si="8"/>
        <v>0</v>
      </c>
      <c r="V18" s="2846">
        <f t="shared" si="9"/>
        <v>0</v>
      </c>
      <c r="W18" s="2847">
        <f t="shared" si="10"/>
        <v>0</v>
      </c>
      <c r="X18" s="2848">
        <f t="shared" si="11"/>
        <v>0</v>
      </c>
      <c r="Y18" s="2849">
        <f t="shared" si="12"/>
        <v>0</v>
      </c>
      <c r="Z18" s="2850">
        <f t="shared" si="13"/>
        <v>0</v>
      </c>
      <c r="AA18" s="2851">
        <f t="shared" si="14"/>
        <v>0.1</v>
      </c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</row>
    <row r="19" spans="1:40" ht="14" customHeight="1" thickBot="1">
      <c r="A19" s="2889"/>
      <c r="B19" s="3405"/>
      <c r="C19" s="629">
        <f t="shared" si="15"/>
        <v>0</v>
      </c>
      <c r="D19" s="3432"/>
      <c r="E19" s="3433"/>
      <c r="F19" s="3433"/>
      <c r="G19" s="3433"/>
      <c r="H19" s="3433"/>
      <c r="I19" s="3433"/>
      <c r="J19" s="3433"/>
      <c r="K19" s="3433"/>
      <c r="L19" s="683">
        <f t="shared" si="19"/>
        <v>0.42978360814814814</v>
      </c>
      <c r="M19" s="3978"/>
      <c r="N19" s="4033">
        <f>SUM(N13:N18)</f>
        <v>4.783916370370371E-2</v>
      </c>
      <c r="O19" s="3433"/>
      <c r="P19" s="3433"/>
      <c r="Q19" s="3433"/>
      <c r="R19" s="3979">
        <f>SUM(R13:R18)</f>
        <v>2268</v>
      </c>
      <c r="S19" s="2844">
        <f t="shared" si="6"/>
        <v>0</v>
      </c>
      <c r="T19" s="2845">
        <f t="shared" si="7"/>
        <v>0</v>
      </c>
      <c r="U19" s="374">
        <f t="shared" si="8"/>
        <v>0</v>
      </c>
      <c r="V19" s="2846">
        <f t="shared" si="9"/>
        <v>0</v>
      </c>
      <c r="W19" s="2847">
        <f t="shared" si="10"/>
        <v>0</v>
      </c>
      <c r="X19" s="2848">
        <f t="shared" si="11"/>
        <v>0</v>
      </c>
      <c r="Y19" s="2849">
        <f t="shared" si="12"/>
        <v>0</v>
      </c>
      <c r="Z19" s="2850">
        <f t="shared" si="13"/>
        <v>0</v>
      </c>
      <c r="AA19" s="2851">
        <f t="shared" si="14"/>
        <v>0</v>
      </c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</row>
    <row r="20" spans="1:40" ht="14" customHeight="1" thickBot="1">
      <c r="A20" s="2889" t="s">
        <v>215</v>
      </c>
      <c r="B20" s="3515" t="s">
        <v>461</v>
      </c>
      <c r="C20" s="629">
        <f t="shared" si="15"/>
        <v>2.3321759259259265E-4</v>
      </c>
      <c r="D20" s="3942">
        <v>1</v>
      </c>
      <c r="E20" s="3943">
        <v>1</v>
      </c>
      <c r="F20" s="3943">
        <v>1</v>
      </c>
      <c r="G20" s="3943">
        <v>200</v>
      </c>
      <c r="H20" s="3944"/>
      <c r="I20" s="3944">
        <v>0</v>
      </c>
      <c r="J20" s="3944">
        <v>1.1574074074074073E-4</v>
      </c>
      <c r="K20" s="3945" t="s">
        <v>374</v>
      </c>
      <c r="L20" s="3946">
        <v>0.79861111111111116</v>
      </c>
      <c r="M20" s="3947">
        <v>1.2</v>
      </c>
      <c r="N20" s="4026">
        <f t="shared" ref="N20:N26" si="20">P20*E20*F20+I20*E20*F20+J20*E20</f>
        <v>2.444185185185186E-3</v>
      </c>
      <c r="O20" s="3944">
        <f t="shared" ref="O20:O25" si="21">C20*(G20/25)*1.04</f>
        <v>1.9403703703703709E-3</v>
      </c>
      <c r="P20" s="3948">
        <f t="shared" ref="P20:P26" si="22">O20*M20</f>
        <v>2.328444444444445E-3</v>
      </c>
      <c r="Q20" s="3949" t="s">
        <v>278</v>
      </c>
      <c r="R20" s="3943">
        <f t="shared" ref="R20:R26" si="23">E20*F20*G20</f>
        <v>200</v>
      </c>
      <c r="S20" s="2844">
        <f t="shared" si="6"/>
        <v>0.2</v>
      </c>
      <c r="T20" s="2845">
        <f t="shared" si="7"/>
        <v>7.7614814814814838E-3</v>
      </c>
      <c r="U20" s="374">
        <f t="shared" si="8"/>
        <v>0.2</v>
      </c>
      <c r="V20" s="2846">
        <f t="shared" si="9"/>
        <v>0</v>
      </c>
      <c r="W20" s="2847">
        <f t="shared" si="10"/>
        <v>0</v>
      </c>
      <c r="X20" s="2848">
        <f t="shared" si="11"/>
        <v>0</v>
      </c>
      <c r="Y20" s="2849">
        <f t="shared" si="12"/>
        <v>0</v>
      </c>
      <c r="Z20" s="2850">
        <f t="shared" si="13"/>
        <v>0</v>
      </c>
      <c r="AA20" s="2851">
        <f t="shared" si="14"/>
        <v>0</v>
      </c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</row>
    <row r="21" spans="1:40" s="2914" customFormat="1" ht="13.5" customHeight="1" thickBot="1">
      <c r="A21" s="2889" t="s">
        <v>138</v>
      </c>
      <c r="B21" s="3515" t="s">
        <v>461</v>
      </c>
      <c r="C21" s="629">
        <f t="shared" si="15"/>
        <v>1.7939814814814817E-4</v>
      </c>
      <c r="D21" s="3950">
        <v>4</v>
      </c>
      <c r="E21" s="3951">
        <v>1</v>
      </c>
      <c r="F21" s="3951">
        <v>5</v>
      </c>
      <c r="G21" s="3951">
        <v>200</v>
      </c>
      <c r="H21" s="3952"/>
      <c r="I21" s="3952">
        <v>6.9444444444444447E-4</v>
      </c>
      <c r="J21" s="3952">
        <v>1.3888888888888889E-3</v>
      </c>
      <c r="K21" s="3953" t="s">
        <v>1820</v>
      </c>
      <c r="L21" s="3952">
        <f t="shared" ref="L21:L27" si="24">L20+N20</f>
        <v>0.80105529629629635</v>
      </c>
      <c r="M21" s="3955">
        <v>1.1000000000000001</v>
      </c>
      <c r="N21" s="4027">
        <f>P21*E21*F21+I21*E21*F21+J21*E21</f>
        <v>1.3228240740740744E-2</v>
      </c>
      <c r="O21" s="3956">
        <f>C21*(G21/25)*1.06</f>
        <v>1.5212962962962966E-3</v>
      </c>
      <c r="P21" s="3956">
        <f t="shared" si="22"/>
        <v>1.6734259259259265E-3</v>
      </c>
      <c r="Q21" s="3957">
        <v>166</v>
      </c>
      <c r="R21" s="3951">
        <f t="shared" si="23"/>
        <v>1000</v>
      </c>
      <c r="S21" s="2844">
        <f t="shared" si="6"/>
        <v>1</v>
      </c>
      <c r="T21" s="2845">
        <f t="shared" si="7"/>
        <v>3.0425925925925933E-2</v>
      </c>
      <c r="U21" s="374">
        <f t="shared" si="8"/>
        <v>0</v>
      </c>
      <c r="V21" s="2846">
        <f t="shared" si="9"/>
        <v>0</v>
      </c>
      <c r="W21" s="2847">
        <f t="shared" si="10"/>
        <v>0</v>
      </c>
      <c r="X21" s="2848">
        <f t="shared" si="11"/>
        <v>1</v>
      </c>
      <c r="Y21" s="2849">
        <f t="shared" si="12"/>
        <v>0</v>
      </c>
      <c r="Z21" s="2850">
        <f t="shared" si="13"/>
        <v>0</v>
      </c>
      <c r="AA21" s="2851">
        <f t="shared" si="14"/>
        <v>0</v>
      </c>
      <c r="AB21" s="3156">
        <f>SUM(U21:AA21)</f>
        <v>1</v>
      </c>
      <c r="AC21" s="2826"/>
      <c r="AD21" s="2826"/>
      <c r="AE21" s="2838"/>
      <c r="AF21" s="2838"/>
      <c r="AG21" s="2838"/>
      <c r="AH21" s="2838"/>
      <c r="AI21" s="2838"/>
      <c r="AJ21" s="2826"/>
      <c r="AK21" s="2826"/>
      <c r="AL21" s="2826"/>
      <c r="AM21" s="2826"/>
      <c r="AN21" s="2913"/>
    </row>
    <row r="22" spans="1:40" s="2914" customFormat="1" ht="15" customHeight="1" thickBot="1">
      <c r="A22" s="2889" t="s">
        <v>462</v>
      </c>
      <c r="B22" s="3515" t="s">
        <v>461</v>
      </c>
      <c r="C22" s="629">
        <f t="shared" si="15"/>
        <v>1.9733796296296302E-4</v>
      </c>
      <c r="D22" s="3966">
        <v>3</v>
      </c>
      <c r="E22" s="3967">
        <v>1</v>
      </c>
      <c r="F22" s="3967">
        <v>8</v>
      </c>
      <c r="G22" s="3967">
        <v>50</v>
      </c>
      <c r="H22" s="3968"/>
      <c r="I22" s="3968">
        <v>3.4722222222222224E-4</v>
      </c>
      <c r="J22" s="3968">
        <v>0</v>
      </c>
      <c r="K22" s="3975" t="s">
        <v>670</v>
      </c>
      <c r="L22" s="3968">
        <f t="shared" si="24"/>
        <v>0.81428353703703704</v>
      </c>
      <c r="M22" s="3970">
        <v>1.2</v>
      </c>
      <c r="N22" s="4029">
        <f t="shared" si="20"/>
        <v>6.7182222222222227E-3</v>
      </c>
      <c r="O22" s="3968">
        <f t="shared" si="21"/>
        <v>4.1046296296296306E-4</v>
      </c>
      <c r="P22" s="3971">
        <f t="shared" si="22"/>
        <v>4.9255555555555565E-4</v>
      </c>
      <c r="Q22" s="3972" t="s">
        <v>278</v>
      </c>
      <c r="R22" s="3967">
        <f t="shared" si="23"/>
        <v>400</v>
      </c>
      <c r="S22" s="2844">
        <f t="shared" si="6"/>
        <v>0.4</v>
      </c>
      <c r="T22" s="2845">
        <f t="shared" si="7"/>
        <v>1.3134814814814818E-2</v>
      </c>
      <c r="U22" s="374">
        <f t="shared" si="8"/>
        <v>0</v>
      </c>
      <c r="V22" s="2846">
        <f t="shared" si="9"/>
        <v>0</v>
      </c>
      <c r="W22" s="2847">
        <f t="shared" si="10"/>
        <v>0.4</v>
      </c>
      <c r="X22" s="2848">
        <f t="shared" si="11"/>
        <v>0</v>
      </c>
      <c r="Y22" s="2849">
        <f t="shared" si="12"/>
        <v>0</v>
      </c>
      <c r="Z22" s="2850">
        <f t="shared" si="13"/>
        <v>0</v>
      </c>
      <c r="AA22" s="2851">
        <f t="shared" si="14"/>
        <v>0</v>
      </c>
      <c r="AB22" s="3156"/>
      <c r="AC22" s="2826"/>
      <c r="AD22" s="2826"/>
      <c r="AE22" s="2838"/>
      <c r="AF22" s="2838"/>
      <c r="AG22" s="2838"/>
      <c r="AH22" s="2838"/>
      <c r="AI22" s="2838"/>
      <c r="AJ22" s="2826"/>
      <c r="AK22" s="2826"/>
      <c r="AL22" s="2826"/>
      <c r="AM22" s="2826"/>
      <c r="AN22" s="2913"/>
    </row>
    <row r="23" spans="1:40" ht="14" thickBot="1">
      <c r="A23" s="2889" t="s">
        <v>461</v>
      </c>
      <c r="B23" s="3515" t="s">
        <v>461</v>
      </c>
      <c r="C23" s="629">
        <f t="shared" si="15"/>
        <v>1.7850115740740744E-4</v>
      </c>
      <c r="D23" s="2505">
        <v>5</v>
      </c>
      <c r="E23" s="3980">
        <v>1</v>
      </c>
      <c r="F23" s="3980">
        <v>8</v>
      </c>
      <c r="G23" s="3980">
        <v>50</v>
      </c>
      <c r="H23" s="3981"/>
      <c r="I23" s="3981">
        <v>5.7870370370370366E-5</v>
      </c>
      <c r="J23" s="3981">
        <v>6.9444444444444447E-4</v>
      </c>
      <c r="K23" s="3982" t="s">
        <v>1025</v>
      </c>
      <c r="L23" s="3981">
        <f t="shared" si="24"/>
        <v>0.82100175925925922</v>
      </c>
      <c r="M23" s="2509">
        <v>1</v>
      </c>
      <c r="N23" s="4034">
        <f t="shared" si="20"/>
        <v>4.1276666666666666E-3</v>
      </c>
      <c r="O23" s="3981">
        <f t="shared" si="21"/>
        <v>3.7128240740740747E-4</v>
      </c>
      <c r="P23" s="3983">
        <f t="shared" si="22"/>
        <v>3.7128240740740747E-4</v>
      </c>
      <c r="Q23" s="3984" t="s">
        <v>278</v>
      </c>
      <c r="R23" s="3984">
        <f t="shared" si="23"/>
        <v>400</v>
      </c>
      <c r="S23" s="2844">
        <f t="shared" si="6"/>
        <v>0.4</v>
      </c>
      <c r="T23" s="2845">
        <f t="shared" si="7"/>
        <v>1.1881037037037039E-2</v>
      </c>
      <c r="U23" s="374">
        <f t="shared" si="8"/>
        <v>0</v>
      </c>
      <c r="V23" s="2846">
        <f t="shared" si="9"/>
        <v>0</v>
      </c>
      <c r="W23" s="2847">
        <f t="shared" si="10"/>
        <v>0</v>
      </c>
      <c r="X23" s="2848">
        <f t="shared" si="11"/>
        <v>0</v>
      </c>
      <c r="Y23" s="2849">
        <f t="shared" si="12"/>
        <v>0.4</v>
      </c>
      <c r="Z23" s="2850">
        <f t="shared" si="13"/>
        <v>0</v>
      </c>
      <c r="AA23" s="2851">
        <f t="shared" si="14"/>
        <v>0</v>
      </c>
      <c r="AB23" s="144"/>
      <c r="AC23" s="2867" t="s">
        <v>193</v>
      </c>
      <c r="AD23" s="2937"/>
      <c r="AE23" s="2937"/>
      <c r="AF23" s="2937"/>
      <c r="AG23" s="2937"/>
      <c r="AH23" s="2937"/>
      <c r="AI23" s="2935"/>
    </row>
    <row r="24" spans="1:40" ht="14" thickBot="1">
      <c r="A24" s="2889" t="s">
        <v>458</v>
      </c>
      <c r="B24" s="3515" t="s">
        <v>461</v>
      </c>
      <c r="C24" s="629">
        <f t="shared" si="15"/>
        <v>2.152777777777778E-4</v>
      </c>
      <c r="D24" s="3958">
        <v>2</v>
      </c>
      <c r="E24" s="3959">
        <v>2</v>
      </c>
      <c r="F24" s="3959">
        <v>3</v>
      </c>
      <c r="G24" s="3959">
        <v>100</v>
      </c>
      <c r="H24" s="3960"/>
      <c r="I24" s="3960">
        <v>1.7361111111111112E-4</v>
      </c>
      <c r="J24" s="3960">
        <v>1.3888888888888889E-3</v>
      </c>
      <c r="K24" s="3961" t="s">
        <v>703</v>
      </c>
      <c r="L24" s="3960">
        <f t="shared" si="24"/>
        <v>0.82512942592592586</v>
      </c>
      <c r="M24" s="3962">
        <v>1</v>
      </c>
      <c r="N24" s="4028">
        <f t="shared" si="20"/>
        <v>9.1927777777777789E-3</v>
      </c>
      <c r="O24" s="3963">
        <f t="shared" si="21"/>
        <v>8.9555555555555569E-4</v>
      </c>
      <c r="P24" s="3963">
        <f t="shared" si="22"/>
        <v>8.9555555555555569E-4</v>
      </c>
      <c r="Q24" s="3964" t="s">
        <v>278</v>
      </c>
      <c r="R24" s="3965">
        <f t="shared" si="23"/>
        <v>600</v>
      </c>
      <c r="S24" s="2844">
        <f t="shared" si="6"/>
        <v>0.6</v>
      </c>
      <c r="T24" s="2845">
        <f t="shared" si="7"/>
        <v>2.1493333333333337E-2</v>
      </c>
      <c r="U24" s="374">
        <f t="shared" si="8"/>
        <v>0</v>
      </c>
      <c r="V24" s="2846">
        <f t="shared" si="9"/>
        <v>0.6</v>
      </c>
      <c r="W24" s="2847">
        <f t="shared" si="10"/>
        <v>0</v>
      </c>
      <c r="X24" s="2848">
        <f t="shared" si="11"/>
        <v>0</v>
      </c>
      <c r="Y24" s="2849">
        <f t="shared" si="12"/>
        <v>0</v>
      </c>
      <c r="Z24" s="2850">
        <f t="shared" si="13"/>
        <v>0</v>
      </c>
      <c r="AA24" s="2851">
        <f t="shared" si="14"/>
        <v>0</v>
      </c>
      <c r="AB24" s="144"/>
      <c r="AC24" s="2867"/>
      <c r="AD24" s="2937"/>
      <c r="AE24" s="2937"/>
      <c r="AF24" s="2937"/>
      <c r="AG24" s="2937"/>
      <c r="AH24" s="2937"/>
      <c r="AI24" s="2935"/>
    </row>
    <row r="25" spans="1:40" ht="14" thickBot="1">
      <c r="A25" s="2889" t="s">
        <v>219</v>
      </c>
      <c r="B25" s="3515" t="s">
        <v>461</v>
      </c>
      <c r="C25" s="629">
        <f t="shared" si="15"/>
        <v>1.9733796296296302E-4</v>
      </c>
      <c r="D25" s="3966">
        <v>3</v>
      </c>
      <c r="E25" s="3967">
        <v>1</v>
      </c>
      <c r="F25" s="3967">
        <v>10</v>
      </c>
      <c r="G25" s="3967">
        <v>75</v>
      </c>
      <c r="H25" s="5629" t="s">
        <v>2140</v>
      </c>
      <c r="I25" s="3968">
        <v>4.0509259259259258E-4</v>
      </c>
      <c r="J25" s="3968">
        <v>1.3888888888888889E-3</v>
      </c>
      <c r="K25" s="3985" t="s">
        <v>2141</v>
      </c>
      <c r="L25" s="3968">
        <f t="shared" si="24"/>
        <v>0.83432220370370369</v>
      </c>
      <c r="M25" s="3970">
        <v>1.2</v>
      </c>
      <c r="N25" s="4029">
        <f t="shared" si="20"/>
        <v>1.2828148148148149E-2</v>
      </c>
      <c r="O25" s="3968">
        <f t="shared" si="21"/>
        <v>6.1569444444444464E-4</v>
      </c>
      <c r="P25" s="3971">
        <f t="shared" si="22"/>
        <v>7.3883333333333353E-4</v>
      </c>
      <c r="Q25" s="3972" t="s">
        <v>278</v>
      </c>
      <c r="R25" s="3967">
        <f t="shared" si="23"/>
        <v>750</v>
      </c>
      <c r="S25" s="2844">
        <f t="shared" si="6"/>
        <v>0.75</v>
      </c>
      <c r="T25" s="2845">
        <f t="shared" si="7"/>
        <v>2.4627777777777787E-2</v>
      </c>
      <c r="U25" s="374">
        <f t="shared" si="8"/>
        <v>0</v>
      </c>
      <c r="V25" s="2846">
        <f t="shared" si="9"/>
        <v>0</v>
      </c>
      <c r="W25" s="2847">
        <f t="shared" si="10"/>
        <v>0.75</v>
      </c>
      <c r="X25" s="2848">
        <f t="shared" si="11"/>
        <v>0</v>
      </c>
      <c r="Y25" s="2849">
        <f t="shared" si="12"/>
        <v>0</v>
      </c>
      <c r="Z25" s="2850">
        <f t="shared" si="13"/>
        <v>0</v>
      </c>
      <c r="AA25" s="2851">
        <f t="shared" si="14"/>
        <v>0</v>
      </c>
      <c r="AB25" s="144"/>
      <c r="AC25" s="2867">
        <v>0</v>
      </c>
      <c r="AD25" s="2867">
        <v>0</v>
      </c>
      <c r="AE25" s="2867">
        <v>0</v>
      </c>
      <c r="AF25" s="2867">
        <v>0</v>
      </c>
      <c r="AG25" s="2867">
        <v>0</v>
      </c>
      <c r="AH25" s="2867">
        <v>0</v>
      </c>
      <c r="AI25" s="2935"/>
    </row>
    <row r="26" spans="1:40" ht="14" thickBot="1">
      <c r="A26" s="2889"/>
      <c r="B26" s="3515" t="s">
        <v>459</v>
      </c>
      <c r="C26" s="629">
        <f t="shared" ref="C26" si="25">IF(D26=1,U$5,IF(D26=2,V$5,IF(D26=3,W$5,IF(D26=4,X$5,IF(D26=5,Y$5,IF(D26=6,Z$5,IF(D26=7,AA$5,0)))))))</f>
        <v>1.7222222222222224E-4</v>
      </c>
      <c r="D26" s="3931">
        <v>7</v>
      </c>
      <c r="E26" s="3932">
        <v>1</v>
      </c>
      <c r="F26" s="3932">
        <v>8</v>
      </c>
      <c r="G26" s="3932">
        <v>12.5</v>
      </c>
      <c r="H26" s="3933"/>
      <c r="I26" s="3933">
        <v>1.0416666666666667E-3</v>
      </c>
      <c r="J26" s="3933">
        <v>0</v>
      </c>
      <c r="K26" s="3934" t="s">
        <v>1817</v>
      </c>
      <c r="L26" s="3933">
        <f t="shared" si="24"/>
        <v>0.84715035185185183</v>
      </c>
      <c r="M26" s="3935">
        <v>1</v>
      </c>
      <c r="N26" s="4031">
        <f t="shared" si="20"/>
        <v>9.0222222222222214E-3</v>
      </c>
      <c r="O26" s="3936">
        <f>C26*(G26/25)</f>
        <v>8.6111111111111119E-5</v>
      </c>
      <c r="P26" s="3937">
        <f t="shared" si="22"/>
        <v>8.6111111111111119E-5</v>
      </c>
      <c r="Q26" s="3938" t="s">
        <v>278</v>
      </c>
      <c r="R26" s="3939">
        <f t="shared" si="23"/>
        <v>100</v>
      </c>
      <c r="S26" s="2844">
        <f t="shared" si="6"/>
        <v>0.1</v>
      </c>
      <c r="T26" s="2845">
        <f t="shared" si="7"/>
        <v>2.7555555555555558E-3</v>
      </c>
      <c r="U26" s="374">
        <f t="shared" si="8"/>
        <v>0</v>
      </c>
      <c r="V26" s="2846">
        <f t="shared" si="9"/>
        <v>0</v>
      </c>
      <c r="W26" s="2847">
        <f t="shared" si="10"/>
        <v>0</v>
      </c>
      <c r="X26" s="2848">
        <f t="shared" si="11"/>
        <v>0</v>
      </c>
      <c r="Y26" s="2849">
        <f t="shared" si="12"/>
        <v>0</v>
      </c>
      <c r="Z26" s="2850">
        <f t="shared" si="13"/>
        <v>0</v>
      </c>
      <c r="AA26" s="2851">
        <f t="shared" si="14"/>
        <v>0.1</v>
      </c>
      <c r="AB26" s="144"/>
      <c r="AC26" s="2867"/>
      <c r="AD26" s="2867"/>
      <c r="AE26" s="2867"/>
      <c r="AF26" s="2867"/>
      <c r="AG26" s="2867"/>
      <c r="AH26" s="2867"/>
      <c r="AI26" s="2935"/>
    </row>
    <row r="27" spans="1:40" ht="14" thickBot="1">
      <c r="A27" s="2889"/>
      <c r="B27" s="3405"/>
      <c r="C27" s="629">
        <f t="shared" si="15"/>
        <v>0</v>
      </c>
      <c r="D27" s="3432"/>
      <c r="E27" s="3745"/>
      <c r="F27" s="3745"/>
      <c r="G27" s="3745"/>
      <c r="H27" s="3745"/>
      <c r="I27" s="3745"/>
      <c r="J27" s="3745"/>
      <c r="K27" s="3745"/>
      <c r="L27" s="3986">
        <f t="shared" si="24"/>
        <v>0.8561725740740741</v>
      </c>
      <c r="M27" s="3987"/>
      <c r="N27" s="4035">
        <f>SUM(N20:N26)</f>
        <v>5.7561462962962974E-2</v>
      </c>
      <c r="O27" s="3745"/>
      <c r="P27" s="3745"/>
      <c r="Q27" s="3745"/>
      <c r="R27" s="3979">
        <f>SUM(R20:R26)</f>
        <v>3450</v>
      </c>
      <c r="S27" s="2844">
        <f t="shared" si="6"/>
        <v>0</v>
      </c>
      <c r="T27" s="2845">
        <f t="shared" si="7"/>
        <v>0</v>
      </c>
      <c r="U27" s="374">
        <f t="shared" si="8"/>
        <v>0</v>
      </c>
      <c r="V27" s="2846">
        <f t="shared" si="9"/>
        <v>0</v>
      </c>
      <c r="W27" s="2847">
        <f t="shared" si="10"/>
        <v>0</v>
      </c>
      <c r="X27" s="2848">
        <f t="shared" si="11"/>
        <v>0</v>
      </c>
      <c r="Y27" s="2849">
        <f t="shared" si="12"/>
        <v>0</v>
      </c>
      <c r="Z27" s="2850">
        <f t="shared" si="13"/>
        <v>0</v>
      </c>
      <c r="AA27" s="2851">
        <f t="shared" si="14"/>
        <v>0</v>
      </c>
      <c r="AB27" s="144"/>
      <c r="AC27" s="2867"/>
      <c r="AD27" s="2867"/>
      <c r="AE27" s="2867"/>
      <c r="AF27" s="2867"/>
      <c r="AG27" s="2867"/>
      <c r="AH27" s="2867"/>
      <c r="AI27" s="2935"/>
    </row>
    <row r="28" spans="1:40" ht="14" thickBot="1">
      <c r="A28" s="3457" t="s">
        <v>215</v>
      </c>
      <c r="B28" s="3988" t="s">
        <v>215</v>
      </c>
      <c r="C28" s="629">
        <f t="shared" si="15"/>
        <v>2.3321759259259265E-4</v>
      </c>
      <c r="D28" s="3942">
        <v>1</v>
      </c>
      <c r="E28" s="3943">
        <v>1</v>
      </c>
      <c r="F28" s="3943">
        <v>1</v>
      </c>
      <c r="G28" s="3943">
        <v>500</v>
      </c>
      <c r="H28" s="3944"/>
      <c r="I28" s="3944">
        <v>0</v>
      </c>
      <c r="J28" s="3944">
        <v>0</v>
      </c>
      <c r="K28" s="3945" t="s">
        <v>1821</v>
      </c>
      <c r="L28" s="3946">
        <v>0.30208333333333331</v>
      </c>
      <c r="M28" s="3947">
        <v>1</v>
      </c>
      <c r="N28" s="4026">
        <f>P28*E28*F28+I28*E28*F28+J28*E28</f>
        <v>4.8509259259259269E-3</v>
      </c>
      <c r="O28" s="3944">
        <f>C28*(G28/25)*1.04</f>
        <v>4.8509259259259269E-3</v>
      </c>
      <c r="P28" s="3948">
        <f>O28*M28</f>
        <v>4.8509259259259269E-3</v>
      </c>
      <c r="Q28" s="3949" t="s">
        <v>278</v>
      </c>
      <c r="R28" s="3943">
        <f>E28*F28*G28</f>
        <v>500</v>
      </c>
      <c r="S28" s="2844">
        <f t="shared" si="6"/>
        <v>0.5</v>
      </c>
      <c r="T28" s="2845">
        <f t="shared" si="7"/>
        <v>1.9403703703703708E-2</v>
      </c>
      <c r="U28" s="374">
        <f t="shared" si="8"/>
        <v>0.5</v>
      </c>
      <c r="V28" s="2846">
        <f t="shared" si="9"/>
        <v>0</v>
      </c>
      <c r="W28" s="2847">
        <f t="shared" si="10"/>
        <v>0</v>
      </c>
      <c r="X28" s="2848">
        <f t="shared" si="11"/>
        <v>0</v>
      </c>
      <c r="Y28" s="2849">
        <f t="shared" si="12"/>
        <v>0</v>
      </c>
      <c r="Z28" s="2850">
        <f t="shared" si="13"/>
        <v>0</v>
      </c>
      <c r="AA28" s="2851">
        <f t="shared" si="14"/>
        <v>0</v>
      </c>
      <c r="AB28" s="144"/>
      <c r="AC28" s="2867">
        <v>0</v>
      </c>
      <c r="AD28" s="2867">
        <v>0</v>
      </c>
      <c r="AE28" s="2867">
        <v>0</v>
      </c>
      <c r="AF28" s="2867">
        <v>0</v>
      </c>
      <c r="AG28" s="2867">
        <v>0</v>
      </c>
      <c r="AH28" s="2867">
        <v>0</v>
      </c>
      <c r="AI28" s="2825"/>
    </row>
    <row r="29" spans="1:40" ht="14" thickBot="1">
      <c r="A29" s="3457" t="s">
        <v>139</v>
      </c>
      <c r="B29" s="3988" t="s">
        <v>215</v>
      </c>
      <c r="C29" s="629">
        <f t="shared" si="15"/>
        <v>1.9733796296296302E-4</v>
      </c>
      <c r="D29" s="3966">
        <v>3</v>
      </c>
      <c r="E29" s="3967">
        <v>1</v>
      </c>
      <c r="F29" s="3967">
        <v>20</v>
      </c>
      <c r="G29" s="3967">
        <v>50</v>
      </c>
      <c r="H29" s="3968">
        <v>5.7870370370370378E-4</v>
      </c>
      <c r="I29" s="3968"/>
      <c r="J29" s="3968">
        <v>0</v>
      </c>
      <c r="K29" s="3985" t="s">
        <v>1822</v>
      </c>
      <c r="L29" s="3968">
        <f>L28+N28</f>
        <v>0.30693425925925927</v>
      </c>
      <c r="M29" s="3970">
        <v>1</v>
      </c>
      <c r="N29" s="4029">
        <f>P29*E29*F29+I29*E29*F29+J29*E29</f>
        <v>8.2092592592592616E-3</v>
      </c>
      <c r="O29" s="3968">
        <f>C29*(G29/25)*1.04</f>
        <v>4.1046296296296306E-4</v>
      </c>
      <c r="P29" s="3971">
        <f>O29*M29</f>
        <v>4.1046296296296306E-4</v>
      </c>
      <c r="Q29" s="3972" t="s">
        <v>278</v>
      </c>
      <c r="R29" s="3967">
        <f>E29*F29*G29</f>
        <v>1000</v>
      </c>
      <c r="S29" s="2844">
        <f t="shared" si="6"/>
        <v>1</v>
      </c>
      <c r="T29" s="2845">
        <f t="shared" si="7"/>
        <v>3.2837037037037047E-2</v>
      </c>
      <c r="U29" s="374">
        <f t="shared" si="8"/>
        <v>0</v>
      </c>
      <c r="V29" s="2846">
        <f t="shared" si="9"/>
        <v>0</v>
      </c>
      <c r="W29" s="2847">
        <f t="shared" si="10"/>
        <v>1</v>
      </c>
      <c r="X29" s="2848">
        <f t="shared" si="11"/>
        <v>0</v>
      </c>
      <c r="Y29" s="2849">
        <f t="shared" si="12"/>
        <v>0</v>
      </c>
      <c r="Z29" s="2850">
        <f t="shared" si="13"/>
        <v>0</v>
      </c>
      <c r="AA29" s="2851">
        <f t="shared" si="14"/>
        <v>0</v>
      </c>
      <c r="AB29" s="144"/>
      <c r="AC29" s="2867"/>
      <c r="AD29" s="2867"/>
      <c r="AE29" s="2867"/>
      <c r="AF29" s="2867"/>
      <c r="AG29" s="2867"/>
      <c r="AH29" s="2867"/>
      <c r="AI29" s="2825"/>
    </row>
    <row r="30" spans="1:40" ht="14" thickBot="1">
      <c r="A30" s="3457" t="s">
        <v>458</v>
      </c>
      <c r="B30" s="3988" t="s">
        <v>215</v>
      </c>
      <c r="C30" s="629">
        <f t="shared" si="15"/>
        <v>1.7581018518518521E-4</v>
      </c>
      <c r="D30" s="3436">
        <v>6</v>
      </c>
      <c r="E30" s="3924">
        <v>1</v>
      </c>
      <c r="F30" s="3924">
        <v>8</v>
      </c>
      <c r="G30" s="3924">
        <v>50</v>
      </c>
      <c r="H30" s="3925">
        <v>1.0416666666666667E-3</v>
      </c>
      <c r="I30" s="3925"/>
      <c r="J30" s="3925">
        <v>0</v>
      </c>
      <c r="K30" s="3926" t="s">
        <v>1823</v>
      </c>
      <c r="L30" s="3925">
        <f t="shared" ref="L30:L33" si="26">L29+N29</f>
        <v>0.31514351851851852</v>
      </c>
      <c r="M30" s="3738">
        <v>1.08</v>
      </c>
      <c r="N30" s="4030">
        <f>H30*F30*E30</f>
        <v>8.3333333333333332E-3</v>
      </c>
      <c r="O30" s="3927">
        <f>C30*(G30/25)*1.02</f>
        <v>3.5865277777777783E-4</v>
      </c>
      <c r="P30" s="3928">
        <f t="shared" ref="P30" si="27">O30*M30</f>
        <v>3.8734500000000009E-4</v>
      </c>
      <c r="Q30" s="3929">
        <v>177</v>
      </c>
      <c r="R30" s="3924">
        <f t="shared" ref="R30" si="28">E30*F30*G30</f>
        <v>400</v>
      </c>
      <c r="S30" s="2844">
        <f t="shared" si="6"/>
        <v>0.4</v>
      </c>
      <c r="T30" s="2845">
        <f t="shared" si="7"/>
        <v>1.1476888888888891E-2</v>
      </c>
      <c r="U30" s="374">
        <f t="shared" si="8"/>
        <v>0</v>
      </c>
      <c r="V30" s="2846">
        <f t="shared" si="9"/>
        <v>0</v>
      </c>
      <c r="W30" s="2847">
        <f t="shared" si="10"/>
        <v>0</v>
      </c>
      <c r="X30" s="2848">
        <f t="shared" si="11"/>
        <v>0</v>
      </c>
      <c r="Y30" s="2849">
        <f t="shared" si="12"/>
        <v>0</v>
      </c>
      <c r="Z30" s="2850">
        <f t="shared" si="13"/>
        <v>0.4</v>
      </c>
      <c r="AA30" s="2851">
        <f t="shared" si="14"/>
        <v>0</v>
      </c>
      <c r="AB30" s="144"/>
      <c r="AC30" s="2867"/>
      <c r="AD30" s="2867"/>
      <c r="AE30" s="2867"/>
      <c r="AF30" s="2867"/>
      <c r="AG30" s="2867"/>
      <c r="AH30" s="2867"/>
      <c r="AI30" s="2825"/>
    </row>
    <row r="31" spans="1:40" ht="14" thickBot="1">
      <c r="A31" s="3457" t="s">
        <v>462</v>
      </c>
      <c r="B31" s="3988" t="s">
        <v>215</v>
      </c>
      <c r="C31" s="629">
        <f t="shared" si="15"/>
        <v>2.152777777777778E-4</v>
      </c>
      <c r="D31" s="3958">
        <v>2</v>
      </c>
      <c r="E31" s="3959">
        <v>1</v>
      </c>
      <c r="F31" s="3959">
        <v>8</v>
      </c>
      <c r="G31" s="3959">
        <v>100</v>
      </c>
      <c r="H31" s="3960"/>
      <c r="I31" s="3960">
        <v>1.7361111111111112E-4</v>
      </c>
      <c r="J31" s="3960">
        <v>1.3888888888888889E-3</v>
      </c>
      <c r="K31" s="3961" t="s">
        <v>1824</v>
      </c>
      <c r="L31" s="3960">
        <f t="shared" si="26"/>
        <v>0.32347685185185188</v>
      </c>
      <c r="M31" s="3962">
        <v>1.2</v>
      </c>
      <c r="N31" s="4028">
        <f>P31*E31*F31+I31*E31*F31+J31*E31</f>
        <v>1.1375111111111112E-2</v>
      </c>
      <c r="O31" s="3963">
        <f>C31*(G31/25)*1.04</f>
        <v>8.9555555555555569E-4</v>
      </c>
      <c r="P31" s="3963">
        <f>O31*M31</f>
        <v>1.0746666666666667E-3</v>
      </c>
      <c r="Q31" s="3964" t="s">
        <v>278</v>
      </c>
      <c r="R31" s="3965">
        <f>E31*F31*G31</f>
        <v>800</v>
      </c>
      <c r="S31" s="2844">
        <f t="shared" si="6"/>
        <v>0.8</v>
      </c>
      <c r="T31" s="2845">
        <f t="shared" si="7"/>
        <v>2.8657777777777782E-2</v>
      </c>
      <c r="U31" s="374">
        <f t="shared" si="8"/>
        <v>0</v>
      </c>
      <c r="V31" s="2846">
        <f t="shared" si="9"/>
        <v>0.8</v>
      </c>
      <c r="W31" s="2847">
        <f t="shared" si="10"/>
        <v>0</v>
      </c>
      <c r="X31" s="2848">
        <f t="shared" si="11"/>
        <v>0</v>
      </c>
      <c r="Y31" s="2849">
        <f t="shared" si="12"/>
        <v>0</v>
      </c>
      <c r="Z31" s="2850">
        <f t="shared" si="13"/>
        <v>0</v>
      </c>
      <c r="AA31" s="2851">
        <f t="shared" si="14"/>
        <v>0</v>
      </c>
      <c r="AB31" s="144"/>
      <c r="AC31" s="2867"/>
      <c r="AD31" s="2867"/>
      <c r="AE31" s="2867"/>
      <c r="AF31" s="2867"/>
      <c r="AG31" s="2867"/>
      <c r="AH31" s="2867"/>
      <c r="AI31" s="2825"/>
    </row>
    <row r="32" spans="1:40" ht="14" thickBot="1">
      <c r="A32" s="3457" t="s">
        <v>140</v>
      </c>
      <c r="B32" s="3988" t="s">
        <v>215</v>
      </c>
      <c r="C32" s="629">
        <f t="shared" ref="C32" si="29">IF(D32=1,U$5,IF(D32=2,V$5,IF(D32=3,W$5,IF(D32=4,X$5,IF(D32=5,Y$5,IF(D32=6,Z$5,IF(D32=7,AA$5,0)))))))</f>
        <v>1.7222222222222224E-4</v>
      </c>
      <c r="D32" s="3931">
        <v>7</v>
      </c>
      <c r="E32" s="3932">
        <v>1</v>
      </c>
      <c r="F32" s="3932">
        <v>8</v>
      </c>
      <c r="G32" s="3932">
        <v>12.5</v>
      </c>
      <c r="H32" s="3933"/>
      <c r="I32" s="3933">
        <v>1.0416666666666667E-3</v>
      </c>
      <c r="J32" s="3933">
        <v>0</v>
      </c>
      <c r="K32" s="3934" t="s">
        <v>1817</v>
      </c>
      <c r="L32" s="3933">
        <f t="shared" si="26"/>
        <v>0.33485196296296299</v>
      </c>
      <c r="M32" s="3935">
        <v>1</v>
      </c>
      <c r="N32" s="4031">
        <f t="shared" ref="N32" si="30">P32*E32*F32+I32*E32*F32+J32*E32</f>
        <v>9.0222222222222214E-3</v>
      </c>
      <c r="O32" s="3936">
        <f>C32*(G32/25)</f>
        <v>8.6111111111111119E-5</v>
      </c>
      <c r="P32" s="3937">
        <f t="shared" ref="P32" si="31">O32*M32</f>
        <v>8.6111111111111119E-5</v>
      </c>
      <c r="Q32" s="3938" t="s">
        <v>278</v>
      </c>
      <c r="R32" s="3939">
        <f t="shared" ref="R32" si="32">E32*F32*G32</f>
        <v>100</v>
      </c>
      <c r="S32" s="2844">
        <f t="shared" si="6"/>
        <v>0.1</v>
      </c>
      <c r="T32" s="2845">
        <f t="shared" si="7"/>
        <v>2.7555555555555558E-3</v>
      </c>
      <c r="U32" s="374">
        <f t="shared" si="8"/>
        <v>0</v>
      </c>
      <c r="V32" s="2846">
        <f t="shared" si="9"/>
        <v>0</v>
      </c>
      <c r="W32" s="2847">
        <f t="shared" si="10"/>
        <v>0</v>
      </c>
      <c r="X32" s="2848">
        <f t="shared" si="11"/>
        <v>0</v>
      </c>
      <c r="Y32" s="2849">
        <f t="shared" si="12"/>
        <v>0</v>
      </c>
      <c r="Z32" s="2850">
        <f t="shared" si="13"/>
        <v>0</v>
      </c>
      <c r="AA32" s="2851">
        <f t="shared" si="14"/>
        <v>0.1</v>
      </c>
      <c r="AB32" s="144"/>
      <c r="AC32" s="2867">
        <v>0</v>
      </c>
      <c r="AD32" s="2867">
        <v>0</v>
      </c>
      <c r="AE32" s="2867">
        <v>0</v>
      </c>
      <c r="AF32" s="2867">
        <v>0</v>
      </c>
      <c r="AG32" s="2867">
        <v>0</v>
      </c>
      <c r="AH32" s="2867">
        <v>0</v>
      </c>
      <c r="AI32" s="2825"/>
      <c r="AJ32" s="1"/>
      <c r="AK32" s="1"/>
      <c r="AL32" s="1"/>
      <c r="AM32" s="1"/>
      <c r="AN32" s="1"/>
    </row>
    <row r="33" spans="1:40" ht="14" thickBot="1">
      <c r="A33" s="3457" t="s">
        <v>674</v>
      </c>
      <c r="B33" s="3988"/>
      <c r="C33" s="629">
        <f t="shared" si="15"/>
        <v>0</v>
      </c>
      <c r="D33" s="3453"/>
      <c r="E33" s="849"/>
      <c r="F33" s="849"/>
      <c r="G33" s="849"/>
      <c r="H33" s="849"/>
      <c r="I33" s="849"/>
      <c r="J33" s="849"/>
      <c r="K33" s="849"/>
      <c r="L33" s="3989">
        <f t="shared" si="26"/>
        <v>0.3438741851851852</v>
      </c>
      <c r="M33" s="3990"/>
      <c r="N33" s="4036">
        <f>SUM(N28:N32)</f>
        <v>4.1790851851851857E-2</v>
      </c>
      <c r="O33" s="849"/>
      <c r="P33" s="849"/>
      <c r="Q33" s="849"/>
      <c r="R33" s="3941">
        <f>SUM(R28:R32)</f>
        <v>2800</v>
      </c>
      <c r="S33" s="2844">
        <f t="shared" si="6"/>
        <v>0</v>
      </c>
      <c r="T33" s="2845">
        <f t="shared" si="7"/>
        <v>0</v>
      </c>
      <c r="U33" s="374">
        <f t="shared" si="8"/>
        <v>0</v>
      </c>
      <c r="V33" s="2846">
        <f t="shared" si="9"/>
        <v>0</v>
      </c>
      <c r="W33" s="2847">
        <f t="shared" si="10"/>
        <v>0</v>
      </c>
      <c r="X33" s="2848">
        <f t="shared" si="11"/>
        <v>0</v>
      </c>
      <c r="Y33" s="2849">
        <f t="shared" si="12"/>
        <v>0</v>
      </c>
      <c r="Z33" s="2850">
        <f t="shared" si="13"/>
        <v>0</v>
      </c>
      <c r="AA33" s="2851">
        <f t="shared" si="14"/>
        <v>0</v>
      </c>
      <c r="AB33" s="144"/>
      <c r="AC33" s="2867">
        <v>0</v>
      </c>
      <c r="AD33" s="2867">
        <v>0</v>
      </c>
      <c r="AE33" s="2867">
        <v>0</v>
      </c>
      <c r="AF33" s="2867">
        <v>0</v>
      </c>
      <c r="AG33" s="2867">
        <v>0</v>
      </c>
      <c r="AH33" s="2867">
        <v>0</v>
      </c>
      <c r="AI33" s="2825"/>
      <c r="AJ33" s="1"/>
      <c r="AK33" s="1"/>
      <c r="AL33" s="1"/>
      <c r="AM33" s="1"/>
      <c r="AN33" s="1"/>
    </row>
    <row r="34" spans="1:40" ht="14" thickBot="1">
      <c r="A34" s="3457"/>
      <c r="B34" s="3988" t="s">
        <v>461</v>
      </c>
      <c r="C34" s="629">
        <f t="shared" si="15"/>
        <v>2.3321759259259265E-4</v>
      </c>
      <c r="D34" s="3942">
        <v>1</v>
      </c>
      <c r="E34" s="3943">
        <v>1</v>
      </c>
      <c r="F34" s="3943">
        <v>1</v>
      </c>
      <c r="G34" s="3943">
        <v>800</v>
      </c>
      <c r="H34" s="3944"/>
      <c r="I34" s="3944">
        <v>0</v>
      </c>
      <c r="J34" s="3944">
        <v>0</v>
      </c>
      <c r="K34" s="3945" t="s">
        <v>194</v>
      </c>
      <c r="L34" s="3946">
        <v>0.80208333333333337</v>
      </c>
      <c r="M34" s="3947">
        <v>1</v>
      </c>
      <c r="N34" s="4026">
        <f>P34*E34*F34+I34*E34*F34+J34*E34</f>
        <v>7.7614814814814838E-3</v>
      </c>
      <c r="O34" s="3944">
        <f>C34*(G34/25)*1.04</f>
        <v>7.7614814814814838E-3</v>
      </c>
      <c r="P34" s="3948">
        <f>O34*M34</f>
        <v>7.7614814814814838E-3</v>
      </c>
      <c r="Q34" s="3949" t="s">
        <v>278</v>
      </c>
      <c r="R34" s="3943">
        <f>E34*F34*G34</f>
        <v>800</v>
      </c>
      <c r="S34" s="2844">
        <f t="shared" si="6"/>
        <v>0.8</v>
      </c>
      <c r="T34" s="2845">
        <f t="shared" si="7"/>
        <v>3.1045925925925935E-2</v>
      </c>
      <c r="U34" s="374">
        <f t="shared" si="8"/>
        <v>0.8</v>
      </c>
      <c r="V34" s="2846">
        <f t="shared" si="9"/>
        <v>0</v>
      </c>
      <c r="W34" s="2847">
        <f t="shared" si="10"/>
        <v>0</v>
      </c>
      <c r="X34" s="2848">
        <f t="shared" si="11"/>
        <v>0</v>
      </c>
      <c r="Y34" s="2849">
        <f t="shared" si="12"/>
        <v>0</v>
      </c>
      <c r="Z34" s="2850">
        <f t="shared" si="13"/>
        <v>0</v>
      </c>
      <c r="AA34" s="2851">
        <f t="shared" si="14"/>
        <v>0</v>
      </c>
      <c r="AB34" s="144"/>
      <c r="AC34" s="2867">
        <v>0</v>
      </c>
      <c r="AD34" s="2867">
        <v>0</v>
      </c>
      <c r="AE34" s="2867">
        <v>0</v>
      </c>
      <c r="AF34" s="2867">
        <v>0</v>
      </c>
      <c r="AG34" s="2867">
        <v>0</v>
      </c>
      <c r="AH34" s="2867">
        <v>0</v>
      </c>
      <c r="AI34" s="2825"/>
      <c r="AJ34" s="1"/>
      <c r="AK34" s="1"/>
      <c r="AL34" s="1"/>
      <c r="AM34" s="1"/>
      <c r="AN34" s="1"/>
    </row>
    <row r="35" spans="1:40" ht="14" thickBot="1">
      <c r="A35" s="3514" t="s">
        <v>215</v>
      </c>
      <c r="B35" s="3991" t="s">
        <v>461</v>
      </c>
      <c r="C35" s="629">
        <f t="shared" si="15"/>
        <v>1.9733796296296302E-4</v>
      </c>
      <c r="D35" s="3966">
        <v>3</v>
      </c>
      <c r="E35" s="3967">
        <v>4</v>
      </c>
      <c r="F35" s="3967">
        <v>2</v>
      </c>
      <c r="G35" s="3967">
        <v>100</v>
      </c>
      <c r="H35" s="3968">
        <v>9.8379629629629642E-4</v>
      </c>
      <c r="I35" s="3968"/>
      <c r="J35" s="3968">
        <v>1.3888888888888889E-3</v>
      </c>
      <c r="K35" s="3985" t="s">
        <v>1833</v>
      </c>
      <c r="L35" s="3968">
        <f>L34+N34</f>
        <v>0.80984481481481485</v>
      </c>
      <c r="M35" s="3970">
        <v>1.2</v>
      </c>
      <c r="N35" s="4029">
        <f>P35*E35*F35+I35*E35*F35+J35*E35</f>
        <v>1.3436444444444445E-2</v>
      </c>
      <c r="O35" s="3968">
        <f>C35*(G35/25)*1.04</f>
        <v>8.2092592592592612E-4</v>
      </c>
      <c r="P35" s="3971">
        <f>O35*M35</f>
        <v>9.851111111111113E-4</v>
      </c>
      <c r="Q35" s="3972" t="s">
        <v>278</v>
      </c>
      <c r="R35" s="3967">
        <f>E35*F35*G35</f>
        <v>800</v>
      </c>
      <c r="S35" s="2844">
        <f t="shared" si="6"/>
        <v>0.8</v>
      </c>
      <c r="T35" s="2845">
        <f t="shared" si="7"/>
        <v>2.6269629629629636E-2</v>
      </c>
      <c r="U35" s="374">
        <f t="shared" si="8"/>
        <v>0</v>
      </c>
      <c r="V35" s="2846">
        <f t="shared" si="9"/>
        <v>0</v>
      </c>
      <c r="W35" s="2847">
        <f t="shared" si="10"/>
        <v>0.8</v>
      </c>
      <c r="X35" s="2848">
        <f t="shared" si="11"/>
        <v>0</v>
      </c>
      <c r="Y35" s="2849">
        <f t="shared" si="12"/>
        <v>0</v>
      </c>
      <c r="Z35" s="2850">
        <f t="shared" si="13"/>
        <v>0</v>
      </c>
      <c r="AA35" s="2851">
        <f t="shared" si="14"/>
        <v>0</v>
      </c>
      <c r="AB35" s="144"/>
      <c r="AC35" s="2867">
        <v>0</v>
      </c>
      <c r="AD35" s="2867">
        <v>0</v>
      </c>
      <c r="AE35" s="2867">
        <v>0</v>
      </c>
      <c r="AF35" s="2867">
        <v>0</v>
      </c>
      <c r="AG35" s="2867">
        <v>0</v>
      </c>
      <c r="AH35" s="2867">
        <v>0</v>
      </c>
      <c r="AI35" s="2825"/>
      <c r="AJ35" s="1"/>
      <c r="AK35" s="1"/>
      <c r="AL35" s="1"/>
      <c r="AM35" s="1"/>
      <c r="AN35" s="1"/>
    </row>
    <row r="36" spans="1:40" ht="14" thickBot="1">
      <c r="A36" s="3514" t="s">
        <v>139</v>
      </c>
      <c r="B36" s="3991" t="s">
        <v>461</v>
      </c>
      <c r="C36" s="629">
        <f t="shared" si="15"/>
        <v>1.7581018518518521E-4</v>
      </c>
      <c r="D36" s="3436">
        <v>6</v>
      </c>
      <c r="E36" s="3924">
        <v>1</v>
      </c>
      <c r="F36" s="3924">
        <v>2</v>
      </c>
      <c r="G36" s="3924">
        <v>150</v>
      </c>
      <c r="H36" s="3925"/>
      <c r="I36" s="3925">
        <v>2.0833333333333333E-3</v>
      </c>
      <c r="J36" s="3925">
        <v>0</v>
      </c>
      <c r="K36" s="3926" t="s">
        <v>1832</v>
      </c>
      <c r="L36" s="3925">
        <f t="shared" ref="L36:L39" si="33">L35+N35</f>
        <v>0.82328125925925932</v>
      </c>
      <c r="M36" s="3738">
        <v>1.1000000000000001</v>
      </c>
      <c r="N36" s="4030">
        <f t="shared" ref="N36" si="34">P36*E36*F36+I36*E36*F36+J36*E36</f>
        <v>6.4873611111111121E-3</v>
      </c>
      <c r="O36" s="3927">
        <f>C36*(G36/25)</f>
        <v>1.0548611111111112E-3</v>
      </c>
      <c r="P36" s="3928">
        <f t="shared" ref="P36" si="35">O36*M36</f>
        <v>1.1603472222222226E-3</v>
      </c>
      <c r="Q36" s="3929">
        <v>177</v>
      </c>
      <c r="R36" s="3924">
        <f t="shared" ref="R36" si="36">E36*F36*G36</f>
        <v>300</v>
      </c>
      <c r="S36" s="2844">
        <f t="shared" si="6"/>
        <v>0.3</v>
      </c>
      <c r="T36" s="2845">
        <f t="shared" si="7"/>
        <v>8.4388888888888899E-3</v>
      </c>
      <c r="U36" s="374">
        <f t="shared" si="8"/>
        <v>0</v>
      </c>
      <c r="V36" s="2846">
        <f t="shared" si="9"/>
        <v>0</v>
      </c>
      <c r="W36" s="2847">
        <f t="shared" si="10"/>
        <v>0</v>
      </c>
      <c r="X36" s="2848">
        <f t="shared" si="11"/>
        <v>0</v>
      </c>
      <c r="Y36" s="2849">
        <f t="shared" si="12"/>
        <v>0</v>
      </c>
      <c r="Z36" s="2850">
        <f t="shared" si="13"/>
        <v>0.3</v>
      </c>
      <c r="AA36" s="2851">
        <f t="shared" si="14"/>
        <v>0</v>
      </c>
      <c r="AB36" s="144"/>
      <c r="AC36" s="2867"/>
      <c r="AD36" s="2867"/>
      <c r="AE36" s="2867"/>
      <c r="AF36" s="2867"/>
      <c r="AG36" s="2867"/>
      <c r="AH36" s="2867"/>
      <c r="AI36" s="2825"/>
      <c r="AJ36" s="1"/>
      <c r="AK36" s="1"/>
      <c r="AL36" s="1"/>
      <c r="AM36" s="1"/>
      <c r="AN36" s="1"/>
    </row>
    <row r="37" spans="1:40" ht="14" thickBot="1">
      <c r="A37" s="3514" t="s">
        <v>458</v>
      </c>
      <c r="B37" s="3991" t="s">
        <v>461</v>
      </c>
      <c r="C37" s="629">
        <f t="shared" si="15"/>
        <v>2.152777777777778E-4</v>
      </c>
      <c r="D37" s="3958">
        <v>2</v>
      </c>
      <c r="E37" s="3959">
        <v>1</v>
      </c>
      <c r="F37" s="3959">
        <v>8</v>
      </c>
      <c r="G37" s="3959">
        <v>25</v>
      </c>
      <c r="H37" s="3960"/>
      <c r="I37" s="3960">
        <v>5.7870370370370366E-5</v>
      </c>
      <c r="J37" s="3960">
        <v>1.3888888888888889E-3</v>
      </c>
      <c r="K37" s="3961" t="s">
        <v>1825</v>
      </c>
      <c r="L37" s="3960">
        <f t="shared" si="33"/>
        <v>0.82976862037037047</v>
      </c>
      <c r="M37" s="3962">
        <v>1.2</v>
      </c>
      <c r="N37" s="4028">
        <f>P37*E37*F37+I37*E37*F37+J37*E37</f>
        <v>4.0011851851851849E-3</v>
      </c>
      <c r="O37" s="3963">
        <f>C37*(G37/25)*1.04</f>
        <v>2.2388888888888892E-4</v>
      </c>
      <c r="P37" s="3963">
        <f>O37*M37</f>
        <v>2.6866666666666667E-4</v>
      </c>
      <c r="Q37" s="3964" t="s">
        <v>278</v>
      </c>
      <c r="R37" s="3965">
        <f>E37*F37*G37</f>
        <v>200</v>
      </c>
      <c r="S37" s="2844">
        <f t="shared" si="6"/>
        <v>0.2</v>
      </c>
      <c r="T37" s="2845">
        <f t="shared" si="7"/>
        <v>7.1644444444444455E-3</v>
      </c>
      <c r="U37" s="374">
        <f t="shared" si="8"/>
        <v>0</v>
      </c>
      <c r="V37" s="2846">
        <f t="shared" si="9"/>
        <v>0.2</v>
      </c>
      <c r="W37" s="2847">
        <f t="shared" si="10"/>
        <v>0</v>
      </c>
      <c r="X37" s="2848">
        <f t="shared" si="11"/>
        <v>0</v>
      </c>
      <c r="Y37" s="2849">
        <f t="shared" si="12"/>
        <v>0</v>
      </c>
      <c r="Z37" s="2850">
        <f t="shared" si="13"/>
        <v>0</v>
      </c>
      <c r="AA37" s="2851">
        <f t="shared" si="14"/>
        <v>0</v>
      </c>
      <c r="AB37" s="144"/>
      <c r="AC37" s="2867"/>
      <c r="AD37" s="2867"/>
      <c r="AE37" s="2867"/>
      <c r="AF37" s="2867"/>
      <c r="AG37" s="2867"/>
      <c r="AH37" s="2867"/>
      <c r="AI37" s="2825"/>
      <c r="AJ37" s="1"/>
      <c r="AK37" s="1"/>
      <c r="AL37" s="1"/>
      <c r="AM37" s="1"/>
      <c r="AN37" s="1"/>
    </row>
    <row r="38" spans="1:40" ht="14" thickBot="1">
      <c r="A38" s="3514" t="s">
        <v>462</v>
      </c>
      <c r="B38" s="3991" t="s">
        <v>461</v>
      </c>
      <c r="C38" s="629">
        <f t="shared" ref="C38" si="37">IF(D38=1,U$5,IF(D38=2,V$5,IF(D38=3,W$5,IF(D38=4,X$5,IF(D38=5,Y$5,IF(D38=6,Z$5,IF(D38=7,AA$5,0)))))))</f>
        <v>1.7222222222222224E-4</v>
      </c>
      <c r="D38" s="3931">
        <v>7</v>
      </c>
      <c r="E38" s="3932">
        <v>1</v>
      </c>
      <c r="F38" s="3932">
        <v>8</v>
      </c>
      <c r="G38" s="3932">
        <v>12.5</v>
      </c>
      <c r="H38" s="3933"/>
      <c r="I38" s="3933">
        <v>1.0416666666666667E-3</v>
      </c>
      <c r="J38" s="3933">
        <v>0</v>
      </c>
      <c r="K38" s="3934" t="s">
        <v>1817</v>
      </c>
      <c r="L38" s="3933">
        <f t="shared" si="33"/>
        <v>0.83376980555555569</v>
      </c>
      <c r="M38" s="3935">
        <v>1</v>
      </c>
      <c r="N38" s="4031">
        <f t="shared" ref="N38" si="38">P38*E38*F38+I38*E38*F38+J38*E38</f>
        <v>9.0222222222222214E-3</v>
      </c>
      <c r="O38" s="3936">
        <f>C38*(G38/25)</f>
        <v>8.6111111111111119E-5</v>
      </c>
      <c r="P38" s="3937">
        <f t="shared" ref="P38" si="39">O38*M38</f>
        <v>8.6111111111111119E-5</v>
      </c>
      <c r="Q38" s="3938" t="s">
        <v>278</v>
      </c>
      <c r="R38" s="3939">
        <f t="shared" ref="R38" si="40">E38*F38*G38</f>
        <v>100</v>
      </c>
      <c r="S38" s="2844">
        <f t="shared" si="6"/>
        <v>0.1</v>
      </c>
      <c r="T38" s="2845">
        <f t="shared" si="7"/>
        <v>2.7555555555555558E-3</v>
      </c>
      <c r="U38" s="374">
        <f t="shared" si="8"/>
        <v>0</v>
      </c>
      <c r="V38" s="2846">
        <f t="shared" si="9"/>
        <v>0</v>
      </c>
      <c r="W38" s="2847">
        <f t="shared" si="10"/>
        <v>0</v>
      </c>
      <c r="X38" s="2848">
        <f t="shared" si="11"/>
        <v>0</v>
      </c>
      <c r="Y38" s="2849">
        <f t="shared" si="12"/>
        <v>0</v>
      </c>
      <c r="Z38" s="2850">
        <f t="shared" si="13"/>
        <v>0</v>
      </c>
      <c r="AA38" s="2851">
        <f t="shared" si="14"/>
        <v>0.1</v>
      </c>
      <c r="AB38" s="144"/>
      <c r="AC38" s="2867">
        <v>0</v>
      </c>
      <c r="AD38" s="2867">
        <v>0</v>
      </c>
      <c r="AE38" s="2867">
        <v>0</v>
      </c>
      <c r="AF38" s="2867">
        <v>0</v>
      </c>
      <c r="AG38" s="2867">
        <v>0</v>
      </c>
      <c r="AH38" s="2867">
        <v>0</v>
      </c>
      <c r="AI38" s="2825"/>
      <c r="AJ38" s="1"/>
      <c r="AK38" s="1"/>
      <c r="AL38" s="1"/>
      <c r="AM38" s="1"/>
      <c r="AN38" s="1"/>
    </row>
    <row r="39" spans="1:40" ht="14" thickBot="1">
      <c r="A39" s="3514"/>
      <c r="B39" s="3991"/>
      <c r="C39" s="629">
        <f t="shared" si="15"/>
        <v>0</v>
      </c>
      <c r="D39" s="3453"/>
      <c r="E39" s="849"/>
      <c r="F39" s="849"/>
      <c r="G39" s="849"/>
      <c r="H39" s="849"/>
      <c r="I39" s="849"/>
      <c r="J39" s="849"/>
      <c r="K39" s="849"/>
      <c r="L39" s="3989">
        <f t="shared" si="33"/>
        <v>0.84279202777777795</v>
      </c>
      <c r="M39" s="3990"/>
      <c r="N39" s="4036">
        <f>SUM(N34:N38)</f>
        <v>4.070869444444445E-2</v>
      </c>
      <c r="O39" s="849"/>
      <c r="P39" s="849"/>
      <c r="Q39" s="849"/>
      <c r="R39" s="3941">
        <f>SUM(R34:R38)</f>
        <v>2200</v>
      </c>
      <c r="S39" s="2844">
        <f t="shared" si="6"/>
        <v>0</v>
      </c>
      <c r="T39" s="2845">
        <f t="shared" si="7"/>
        <v>0</v>
      </c>
      <c r="U39" s="374">
        <f t="shared" si="8"/>
        <v>0</v>
      </c>
      <c r="V39" s="2846">
        <f t="shared" si="9"/>
        <v>0</v>
      </c>
      <c r="W39" s="2847">
        <f t="shared" si="10"/>
        <v>0</v>
      </c>
      <c r="X39" s="2848">
        <f t="shared" si="11"/>
        <v>0</v>
      </c>
      <c r="Y39" s="2849">
        <f t="shared" si="12"/>
        <v>0</v>
      </c>
      <c r="Z39" s="2850">
        <f t="shared" si="13"/>
        <v>0</v>
      </c>
      <c r="AA39" s="2851">
        <f t="shared" si="14"/>
        <v>0</v>
      </c>
      <c r="AB39" s="144"/>
      <c r="AC39" s="2867">
        <v>0</v>
      </c>
      <c r="AD39" s="2867">
        <v>0</v>
      </c>
      <c r="AE39" s="2867">
        <v>0</v>
      </c>
      <c r="AF39" s="2867">
        <v>0</v>
      </c>
      <c r="AG39" s="2867">
        <v>0</v>
      </c>
      <c r="AH39" s="2867">
        <v>0</v>
      </c>
      <c r="AI39" s="2825"/>
      <c r="AJ39" s="1"/>
      <c r="AK39" s="1"/>
      <c r="AL39" s="1"/>
      <c r="AM39" s="1"/>
      <c r="AN39" s="1"/>
    </row>
    <row r="40" spans="1:40" ht="14" thickBot="1">
      <c r="A40" s="2889" t="s">
        <v>217</v>
      </c>
      <c r="B40" s="3515" t="s">
        <v>461</v>
      </c>
      <c r="C40" s="629">
        <f t="shared" si="15"/>
        <v>1.9733796296296302E-4</v>
      </c>
      <c r="D40" s="3992">
        <v>3</v>
      </c>
      <c r="E40" s="3993">
        <v>1</v>
      </c>
      <c r="F40" s="3993">
        <v>8</v>
      </c>
      <c r="G40" s="3993">
        <v>75</v>
      </c>
      <c r="H40" s="3994"/>
      <c r="I40" s="3994">
        <v>1.1574074074074073E-4</v>
      </c>
      <c r="J40" s="3994">
        <v>1.3888888888888889E-3</v>
      </c>
      <c r="K40" s="3995" t="s">
        <v>424</v>
      </c>
      <c r="L40" s="3996">
        <v>0.79861111111111116</v>
      </c>
      <c r="M40" s="3997">
        <v>1</v>
      </c>
      <c r="N40" s="4037">
        <f t="shared" ref="N40:N45" si="41">P40*E40*F40+I40*E40*F40+J40*E40</f>
        <v>7.0509259259259275E-3</v>
      </c>
      <c r="O40" s="3998">
        <f t="shared" ref="O40:O44" si="42">C40*(G40/25)</f>
        <v>5.920138888888891E-4</v>
      </c>
      <c r="P40" s="3998">
        <f t="shared" ref="P40:P45" si="43">O40*M40</f>
        <v>5.920138888888891E-4</v>
      </c>
      <c r="Q40" s="3999">
        <v>164</v>
      </c>
      <c r="R40" s="3993">
        <f t="shared" ref="R40:R45" si="44">E40*F40*G40</f>
        <v>600</v>
      </c>
      <c r="S40" s="2844">
        <f t="shared" si="6"/>
        <v>0.6</v>
      </c>
      <c r="T40" s="2845">
        <f t="shared" si="7"/>
        <v>1.8944444444444451E-2</v>
      </c>
      <c r="U40" s="374">
        <f t="shared" si="8"/>
        <v>0</v>
      </c>
      <c r="V40" s="2846">
        <f t="shared" si="9"/>
        <v>0</v>
      </c>
      <c r="W40" s="2847">
        <f t="shared" si="10"/>
        <v>0.6</v>
      </c>
      <c r="X40" s="2848">
        <f t="shared" si="11"/>
        <v>0</v>
      </c>
      <c r="Y40" s="2849">
        <f t="shared" si="12"/>
        <v>0</v>
      </c>
      <c r="Z40" s="2850">
        <f t="shared" si="13"/>
        <v>0</v>
      </c>
      <c r="AA40" s="2851">
        <f t="shared" si="14"/>
        <v>0</v>
      </c>
      <c r="AB40" s="144"/>
      <c r="AC40" s="2867"/>
      <c r="AD40" s="2867"/>
      <c r="AE40" s="2867"/>
      <c r="AF40" s="2867"/>
      <c r="AG40" s="2867"/>
      <c r="AH40" s="2867"/>
      <c r="AI40" s="2825"/>
      <c r="AJ40" s="1"/>
      <c r="AK40" s="1"/>
      <c r="AL40" s="1"/>
      <c r="AM40" s="1"/>
      <c r="AN40" s="1"/>
    </row>
    <row r="41" spans="1:40" ht="14" thickBot="1">
      <c r="A41" s="2889" t="s">
        <v>459</v>
      </c>
      <c r="B41" s="3515" t="s">
        <v>461</v>
      </c>
      <c r="C41" s="629">
        <f t="shared" si="15"/>
        <v>2.152777777777778E-4</v>
      </c>
      <c r="D41" s="4000">
        <v>2</v>
      </c>
      <c r="E41" s="4001">
        <v>1</v>
      </c>
      <c r="F41" s="4001">
        <v>8</v>
      </c>
      <c r="G41" s="4001">
        <v>75</v>
      </c>
      <c r="H41" s="4002"/>
      <c r="I41" s="4002">
        <v>1.3888888888888889E-4</v>
      </c>
      <c r="J41" s="4002">
        <v>1.3888888888888889E-3</v>
      </c>
      <c r="K41" s="4003" t="s">
        <v>1826</v>
      </c>
      <c r="L41" s="4004">
        <f t="shared" ref="L41:L46" si="45">L40+N40</f>
        <v>0.80566203703703709</v>
      </c>
      <c r="M41" s="4005">
        <v>1</v>
      </c>
      <c r="N41" s="4038">
        <f t="shared" si="41"/>
        <v>7.666666666666668E-3</v>
      </c>
      <c r="O41" s="4006">
        <f t="shared" si="42"/>
        <v>6.4583333333333344E-4</v>
      </c>
      <c r="P41" s="4006">
        <f t="shared" si="43"/>
        <v>6.4583333333333344E-4</v>
      </c>
      <c r="Q41" s="4007">
        <v>146</v>
      </c>
      <c r="R41" s="4008">
        <f t="shared" si="44"/>
        <v>600</v>
      </c>
      <c r="S41" s="2844">
        <f t="shared" si="6"/>
        <v>0.6</v>
      </c>
      <c r="T41" s="2845">
        <f t="shared" si="7"/>
        <v>2.066666666666667E-2</v>
      </c>
      <c r="U41" s="374">
        <f t="shared" si="8"/>
        <v>0</v>
      </c>
      <c r="V41" s="2846">
        <f t="shared" si="9"/>
        <v>0.6</v>
      </c>
      <c r="W41" s="2847">
        <f t="shared" si="10"/>
        <v>0</v>
      </c>
      <c r="X41" s="2848">
        <f t="shared" si="11"/>
        <v>0</v>
      </c>
      <c r="Y41" s="2849">
        <f t="shared" si="12"/>
        <v>0</v>
      </c>
      <c r="Z41" s="2850">
        <f t="shared" si="13"/>
        <v>0</v>
      </c>
      <c r="AA41" s="2851">
        <f t="shared" si="14"/>
        <v>0</v>
      </c>
      <c r="AB41" s="144"/>
      <c r="AC41" s="2867"/>
      <c r="AD41" s="2867"/>
      <c r="AE41" s="2867"/>
      <c r="AF41" s="2867"/>
      <c r="AG41" s="2867"/>
      <c r="AH41" s="2867"/>
      <c r="AI41" s="2825"/>
      <c r="AJ41" s="1"/>
      <c r="AK41" s="1"/>
      <c r="AL41" s="1"/>
      <c r="AM41" s="1"/>
      <c r="AN41" s="1"/>
    </row>
    <row r="42" spans="1:40" ht="14" thickBot="1">
      <c r="A42" s="2889" t="s">
        <v>458</v>
      </c>
      <c r="B42" s="3515" t="s">
        <v>461</v>
      </c>
      <c r="C42" s="629">
        <f t="shared" si="15"/>
        <v>1.9733796296296302E-4</v>
      </c>
      <c r="D42" s="3992">
        <v>3</v>
      </c>
      <c r="E42" s="3993">
        <v>1</v>
      </c>
      <c r="F42" s="3993">
        <v>20</v>
      </c>
      <c r="G42" s="3993">
        <v>25</v>
      </c>
      <c r="H42" s="3994"/>
      <c r="I42" s="3994">
        <v>1.7361111111111112E-4</v>
      </c>
      <c r="J42" s="3994">
        <v>1.3888888888888889E-3</v>
      </c>
      <c r="K42" s="3995" t="s">
        <v>981</v>
      </c>
      <c r="L42" s="3996">
        <f t="shared" si="45"/>
        <v>0.8133287037037038</v>
      </c>
      <c r="M42" s="3997">
        <v>0.9</v>
      </c>
      <c r="N42" s="4037">
        <f t="shared" si="41"/>
        <v>8.4131944444444454E-3</v>
      </c>
      <c r="O42" s="3998">
        <f t="shared" si="42"/>
        <v>1.9733796296296302E-4</v>
      </c>
      <c r="P42" s="3998">
        <f t="shared" si="43"/>
        <v>1.7760416666666673E-4</v>
      </c>
      <c r="Q42" s="3999">
        <v>164</v>
      </c>
      <c r="R42" s="3993">
        <f t="shared" si="44"/>
        <v>500</v>
      </c>
      <c r="S42" s="2844">
        <f t="shared" si="6"/>
        <v>0.5</v>
      </c>
      <c r="T42" s="2845">
        <f t="shared" si="7"/>
        <v>1.578703703703704E-2</v>
      </c>
      <c r="U42" s="374">
        <f t="shared" si="8"/>
        <v>0</v>
      </c>
      <c r="V42" s="2846">
        <f t="shared" si="9"/>
        <v>0</v>
      </c>
      <c r="W42" s="2847">
        <f t="shared" si="10"/>
        <v>0.5</v>
      </c>
      <c r="X42" s="2848">
        <f t="shared" si="11"/>
        <v>0</v>
      </c>
      <c r="Y42" s="2849">
        <f t="shared" si="12"/>
        <v>0</v>
      </c>
      <c r="Z42" s="2850">
        <f t="shared" si="13"/>
        <v>0</v>
      </c>
      <c r="AA42" s="2851">
        <f t="shared" si="14"/>
        <v>0</v>
      </c>
      <c r="AB42" s="144"/>
      <c r="AC42" s="2867"/>
      <c r="AD42" s="2867"/>
      <c r="AE42" s="2867"/>
      <c r="AF42" s="2867"/>
      <c r="AG42" s="2867"/>
      <c r="AH42" s="2867"/>
      <c r="AI42" s="2825"/>
      <c r="AJ42" s="1"/>
      <c r="AK42" s="1"/>
      <c r="AL42" s="1"/>
      <c r="AM42" s="1"/>
      <c r="AN42" s="1"/>
    </row>
    <row r="43" spans="1:40" ht="14" thickBot="1">
      <c r="A43" s="2889" t="s">
        <v>218</v>
      </c>
      <c r="B43" s="3515" t="s">
        <v>461</v>
      </c>
      <c r="C43" s="629">
        <f t="shared" si="15"/>
        <v>1.9733796296296302E-4</v>
      </c>
      <c r="D43" s="3992">
        <v>3</v>
      </c>
      <c r="E43" s="3993">
        <v>1</v>
      </c>
      <c r="F43" s="3993">
        <v>2</v>
      </c>
      <c r="G43" s="3993">
        <v>100</v>
      </c>
      <c r="H43" s="3994"/>
      <c r="I43" s="3994">
        <v>3.4722222222222224E-4</v>
      </c>
      <c r="J43" s="3994">
        <v>1.3888888888888889E-3</v>
      </c>
      <c r="K43" s="3995" t="s">
        <v>1827</v>
      </c>
      <c r="L43" s="3996">
        <f t="shared" si="45"/>
        <v>0.82174189814814824</v>
      </c>
      <c r="M43" s="3997">
        <v>1</v>
      </c>
      <c r="N43" s="4037">
        <f t="shared" si="41"/>
        <v>3.6620370370370374E-3</v>
      </c>
      <c r="O43" s="3998">
        <f t="shared" si="42"/>
        <v>7.8935185185185206E-4</v>
      </c>
      <c r="P43" s="3998">
        <f t="shared" si="43"/>
        <v>7.8935185185185206E-4</v>
      </c>
      <c r="Q43" s="3999" t="s">
        <v>278</v>
      </c>
      <c r="R43" s="3993">
        <f t="shared" si="44"/>
        <v>200</v>
      </c>
      <c r="S43" s="2844">
        <f t="shared" si="6"/>
        <v>0.2</v>
      </c>
      <c r="T43" s="2845">
        <f t="shared" si="7"/>
        <v>6.3148148148148165E-3</v>
      </c>
      <c r="U43" s="374">
        <f t="shared" si="8"/>
        <v>0</v>
      </c>
      <c r="V43" s="2846">
        <f t="shared" si="9"/>
        <v>0</v>
      </c>
      <c r="W43" s="2847">
        <f t="shared" si="10"/>
        <v>0.2</v>
      </c>
      <c r="X43" s="2848">
        <f t="shared" si="11"/>
        <v>0</v>
      </c>
      <c r="Y43" s="2849">
        <f t="shared" si="12"/>
        <v>0</v>
      </c>
      <c r="Z43" s="2850">
        <f t="shared" si="13"/>
        <v>0</v>
      </c>
      <c r="AA43" s="2851">
        <f t="shared" si="14"/>
        <v>0</v>
      </c>
      <c r="AB43" s="144"/>
      <c r="AC43" s="2867"/>
      <c r="AD43" s="2867"/>
      <c r="AE43" s="2867"/>
      <c r="AF43" s="2867"/>
      <c r="AG43" s="2867"/>
      <c r="AH43" s="2867"/>
      <c r="AI43" s="2825"/>
      <c r="AJ43" s="1"/>
      <c r="AK43" s="1"/>
      <c r="AL43" s="1"/>
      <c r="AM43" s="1"/>
      <c r="AN43" s="1"/>
    </row>
    <row r="44" spans="1:40" ht="14" thickBot="1">
      <c r="A44" s="2889" t="s">
        <v>458</v>
      </c>
      <c r="B44" s="3515" t="s">
        <v>461</v>
      </c>
      <c r="C44" s="629">
        <f t="shared" si="15"/>
        <v>1.7222222222222224E-4</v>
      </c>
      <c r="D44" s="4009">
        <v>7</v>
      </c>
      <c r="E44" s="4010">
        <v>1</v>
      </c>
      <c r="F44" s="4010">
        <v>4</v>
      </c>
      <c r="G44" s="4010">
        <v>20</v>
      </c>
      <c r="H44" s="4011"/>
      <c r="I44" s="4011">
        <v>4.6296296296296293E-4</v>
      </c>
      <c r="J44" s="4012">
        <v>6.9444444444444447E-4</v>
      </c>
      <c r="K44" s="2181" t="s">
        <v>2142</v>
      </c>
      <c r="L44" s="4013">
        <f t="shared" si="45"/>
        <v>0.82540393518518529</v>
      </c>
      <c r="M44" s="4014">
        <v>1</v>
      </c>
      <c r="N44" s="4039">
        <f t="shared" si="41"/>
        <v>3.0974074074074072E-3</v>
      </c>
      <c r="O44" s="4015">
        <f t="shared" si="42"/>
        <v>1.3777777777777779E-4</v>
      </c>
      <c r="P44" s="3074">
        <f t="shared" si="43"/>
        <v>1.3777777777777779E-4</v>
      </c>
      <c r="Q44" s="4016" t="s">
        <v>274</v>
      </c>
      <c r="R44" s="4010">
        <f t="shared" si="44"/>
        <v>80</v>
      </c>
      <c r="S44" s="2844">
        <f t="shared" si="6"/>
        <v>0.08</v>
      </c>
      <c r="T44" s="2845">
        <f t="shared" si="7"/>
        <v>2.2044444444444446E-3</v>
      </c>
      <c r="U44" s="374">
        <f t="shared" si="8"/>
        <v>0</v>
      </c>
      <c r="V44" s="2846">
        <f t="shared" si="9"/>
        <v>0</v>
      </c>
      <c r="W44" s="2847">
        <f t="shared" si="10"/>
        <v>0</v>
      </c>
      <c r="X44" s="2848">
        <f t="shared" si="11"/>
        <v>0</v>
      </c>
      <c r="Y44" s="2849">
        <f t="shared" si="12"/>
        <v>0</v>
      </c>
      <c r="Z44" s="2850">
        <f t="shared" si="13"/>
        <v>0</v>
      </c>
      <c r="AA44" s="2851">
        <f t="shared" si="14"/>
        <v>0.08</v>
      </c>
      <c r="AB44" s="144"/>
      <c r="AC44" s="2867"/>
      <c r="AD44" s="2867"/>
      <c r="AE44" s="2867"/>
      <c r="AF44" s="2867"/>
      <c r="AG44" s="2867"/>
      <c r="AH44" s="2867"/>
      <c r="AI44" s="2825"/>
      <c r="AJ44" s="1"/>
      <c r="AK44" s="1"/>
      <c r="AL44" s="1"/>
      <c r="AM44" s="1"/>
      <c r="AN44" s="1"/>
    </row>
    <row r="45" spans="1:40" ht="14" thickBot="1">
      <c r="A45" s="2889" t="s">
        <v>219</v>
      </c>
      <c r="B45" s="3515" t="s">
        <v>461</v>
      </c>
      <c r="C45" s="629">
        <f t="shared" ref="C45" si="46">IF(D45=1,U$5,IF(D45=2,V$5,IF(D45=3,W$5,IF(D45=4,X$5,IF(D45=5,Y$5,IF(D45=6,Z$5,IF(D45=7,AA$5,0)))))))</f>
        <v>1.7222222222222224E-4</v>
      </c>
      <c r="D45" s="3931">
        <v>7</v>
      </c>
      <c r="E45" s="3932">
        <v>1</v>
      </c>
      <c r="F45" s="3932">
        <v>8</v>
      </c>
      <c r="G45" s="3932">
        <v>12.5</v>
      </c>
      <c r="H45" s="3933"/>
      <c r="I45" s="3933">
        <v>1.0416666666666667E-3</v>
      </c>
      <c r="J45" s="3933">
        <v>0</v>
      </c>
      <c r="K45" s="3934" t="s">
        <v>1817</v>
      </c>
      <c r="L45" s="3933">
        <f t="shared" si="45"/>
        <v>0.82850134259259267</v>
      </c>
      <c r="M45" s="3935">
        <v>1</v>
      </c>
      <c r="N45" s="4031">
        <f t="shared" si="41"/>
        <v>9.0222222222222214E-3</v>
      </c>
      <c r="O45" s="3936">
        <f>C45*(G45/25)</f>
        <v>8.6111111111111119E-5</v>
      </c>
      <c r="P45" s="3937">
        <f t="shared" si="43"/>
        <v>8.6111111111111119E-5</v>
      </c>
      <c r="Q45" s="3938" t="s">
        <v>278</v>
      </c>
      <c r="R45" s="3939">
        <f t="shared" si="44"/>
        <v>100</v>
      </c>
      <c r="S45" s="2844">
        <f t="shared" si="6"/>
        <v>0.1</v>
      </c>
      <c r="T45" s="2845">
        <f t="shared" si="7"/>
        <v>2.7555555555555558E-3</v>
      </c>
      <c r="U45" s="374">
        <f t="shared" si="8"/>
        <v>0</v>
      </c>
      <c r="V45" s="2846">
        <f t="shared" si="9"/>
        <v>0</v>
      </c>
      <c r="W45" s="2847">
        <f t="shared" si="10"/>
        <v>0</v>
      </c>
      <c r="X45" s="2848">
        <f t="shared" si="11"/>
        <v>0</v>
      </c>
      <c r="Y45" s="2849">
        <f t="shared" si="12"/>
        <v>0</v>
      </c>
      <c r="Z45" s="2850">
        <f t="shared" si="13"/>
        <v>0</v>
      </c>
      <c r="AA45" s="2851">
        <f t="shared" si="14"/>
        <v>0.1</v>
      </c>
      <c r="AB45" s="144"/>
      <c r="AC45" s="2867"/>
      <c r="AD45" s="2867"/>
      <c r="AE45" s="2867"/>
      <c r="AF45" s="2867"/>
      <c r="AG45" s="2867"/>
      <c r="AH45" s="2867"/>
      <c r="AI45" s="2825"/>
      <c r="AJ45" s="1"/>
      <c r="AK45" s="1"/>
      <c r="AL45" s="1"/>
      <c r="AM45" s="1"/>
      <c r="AN45" s="1"/>
    </row>
    <row r="46" spans="1:40" ht="14" thickBot="1">
      <c r="A46" s="3514" t="s">
        <v>218</v>
      </c>
      <c r="B46" s="3514"/>
      <c r="C46" s="629">
        <f t="shared" si="15"/>
        <v>0</v>
      </c>
      <c r="D46" s="2801"/>
      <c r="E46" s="1554"/>
      <c r="F46" s="1554"/>
      <c r="G46" s="1554"/>
      <c r="H46" s="1554"/>
      <c r="I46" s="1554"/>
      <c r="J46" s="1554"/>
      <c r="K46" s="1554"/>
      <c r="L46" s="4017">
        <f t="shared" si="45"/>
        <v>0.83752356481481494</v>
      </c>
      <c r="M46" s="1555"/>
      <c r="N46" s="4040">
        <f>SUM(N40:N45)</f>
        <v>3.8912453703703706E-2</v>
      </c>
      <c r="O46" s="1554"/>
      <c r="P46" s="1554"/>
      <c r="Q46" s="1554"/>
      <c r="R46" s="3485">
        <f>SUM(R40:R45)</f>
        <v>2080</v>
      </c>
      <c r="S46" s="2844">
        <f t="shared" si="6"/>
        <v>0</v>
      </c>
      <c r="T46" s="2845">
        <f t="shared" si="7"/>
        <v>0</v>
      </c>
      <c r="U46" s="374">
        <f t="shared" si="8"/>
        <v>0</v>
      </c>
      <c r="V46" s="2846">
        <f t="shared" si="9"/>
        <v>0</v>
      </c>
      <c r="W46" s="2847">
        <f t="shared" si="10"/>
        <v>0</v>
      </c>
      <c r="X46" s="2848">
        <f t="shared" si="11"/>
        <v>0</v>
      </c>
      <c r="Y46" s="2849">
        <f t="shared" si="12"/>
        <v>0</v>
      </c>
      <c r="Z46" s="2850">
        <f t="shared" si="13"/>
        <v>0</v>
      </c>
      <c r="AA46" s="2851">
        <f t="shared" si="14"/>
        <v>0</v>
      </c>
      <c r="AB46" s="144"/>
      <c r="AC46" s="2867"/>
      <c r="AD46" s="2867"/>
      <c r="AE46" s="2867"/>
      <c r="AF46" s="2867"/>
      <c r="AG46" s="2867"/>
      <c r="AH46" s="2867"/>
      <c r="AI46" s="2825"/>
      <c r="AJ46" s="1"/>
      <c r="AK46" s="1"/>
      <c r="AL46" s="1"/>
      <c r="AM46" s="1"/>
      <c r="AN46" s="1"/>
    </row>
    <row r="47" spans="1:40">
      <c r="A47" s="812"/>
      <c r="B47" s="1386"/>
      <c r="C47" s="274" t="e">
        <f>IF(D47=1,#REF!,IF(D47=2,#REF!,IF(D47=3,#REF!,IF(D47=4,#REF!,IF(D47=5,#REF!,IF(D47=6,#REF!,IF(D47=7,#REF!,0)))))))</f>
        <v>#REF!</v>
      </c>
      <c r="D47" s="813">
        <v>3</v>
      </c>
      <c r="E47" s="347"/>
      <c r="F47" s="347"/>
      <c r="G47" s="347"/>
      <c r="H47" s="347"/>
      <c r="I47" s="348"/>
      <c r="J47" s="348"/>
      <c r="K47" s="1786" t="s">
        <v>1199</v>
      </c>
      <c r="L47" s="1399" t="s">
        <v>2147</v>
      </c>
      <c r="M47" s="824">
        <v>1</v>
      </c>
      <c r="N47" s="4041"/>
      <c r="O47" s="1389" t="e">
        <f t="shared" ref="O47:O61" si="47">C47*(G47/25)</f>
        <v>#REF!</v>
      </c>
      <c r="P47" s="1389"/>
      <c r="Q47" s="349"/>
      <c r="R47" s="1390"/>
      <c r="S47" s="2844">
        <f t="shared" ref="S47:S57" si="48">E47*F47*G47/1000</f>
        <v>0</v>
      </c>
      <c r="T47" s="2845" t="e">
        <f t="shared" ref="T47:T57" si="49">E47*F47*O47*4</f>
        <v>#REF!</v>
      </c>
      <c r="U47" s="374"/>
      <c r="V47" s="2846"/>
      <c r="W47" s="2847"/>
      <c r="X47" s="2848"/>
      <c r="Y47" s="2849"/>
      <c r="Z47" s="2850"/>
      <c r="AA47" s="2851"/>
      <c r="AB47" s="144"/>
      <c r="AC47" s="2867"/>
      <c r="AD47" s="2867"/>
      <c r="AE47" s="2867"/>
      <c r="AF47" s="2867"/>
      <c r="AG47" s="2867"/>
      <c r="AH47" s="2867"/>
      <c r="AI47" s="2825"/>
      <c r="AJ47" s="1"/>
      <c r="AK47" s="1"/>
      <c r="AL47" s="1"/>
      <c r="AM47" s="1"/>
      <c r="AN47" s="1"/>
    </row>
    <row r="48" spans="1:40">
      <c r="A48" s="812"/>
      <c r="B48" s="1386"/>
      <c r="C48" s="274">
        <f>IF(D48=1,#REF!,IF(D48=2,#REF!,IF(D48=3,#REF!,IF(D48=4,#REF!,IF(D48=5,#REF!,IF(D48=6,#REF!,IF(D48=7,#REF!,0)))))))</f>
        <v>0</v>
      </c>
      <c r="D48" s="4022"/>
      <c r="E48" s="1321">
        <v>1</v>
      </c>
      <c r="F48" s="1321">
        <v>1</v>
      </c>
      <c r="G48" s="5639">
        <v>50</v>
      </c>
      <c r="H48" s="1322" t="s">
        <v>1169</v>
      </c>
      <c r="I48" s="3933"/>
      <c r="J48" s="1322" t="s">
        <v>1232</v>
      </c>
      <c r="K48" s="1038" t="s">
        <v>1828</v>
      </c>
      <c r="L48" s="3664">
        <v>3.1412037037037037E-4</v>
      </c>
      <c r="M48" s="4023"/>
      <c r="N48" s="4042"/>
      <c r="O48" s="4024"/>
      <c r="P48" s="4015"/>
      <c r="Q48" s="4025"/>
      <c r="R48" s="5639">
        <v>50</v>
      </c>
      <c r="S48" s="2844">
        <f t="shared" si="48"/>
        <v>0.05</v>
      </c>
      <c r="T48" s="2845">
        <f t="shared" si="49"/>
        <v>0</v>
      </c>
      <c r="U48" s="374">
        <f t="shared" ref="U48:U57" si="50">IF(C48*4&gt;=$U$4,S48,0)</f>
        <v>0</v>
      </c>
      <c r="V48" s="2846">
        <f t="shared" ref="V48:V57" si="51">IF(AND(C48*4&gt;=$V$4,C48*4&lt;$U$4),S48,0)</f>
        <v>0</v>
      </c>
      <c r="W48" s="2847">
        <f t="shared" ref="W48:W57" si="52">IF(AND(C48*4&gt;=$W$4,C48*4&lt;$V$4),S48,0)</f>
        <v>0</v>
      </c>
      <c r="X48" s="2848">
        <f t="shared" ref="X48:X57" si="53">IF(AND(C48*4&gt;=$X$4,C48*4&lt;$W$4),S48,0)</f>
        <v>0</v>
      </c>
      <c r="Y48" s="2849">
        <f t="shared" ref="Y48:Y57" si="54">IF(AND(C48*4&gt;=$Y$4,C48*4&lt;$X$4),S48,0)</f>
        <v>0</v>
      </c>
      <c r="Z48" s="2850">
        <f t="shared" ref="Z48:Z57" si="55">IF(AND(C48*4&gt;=$Z$4,C48*4&lt;$Y$4),S48,0)</f>
        <v>0</v>
      </c>
      <c r="AA48" s="2851">
        <f t="shared" ref="AA48:AA57" si="56">IF(AND(C48*4&gt;=$AA$4,C48*4&lt;$Z$4),S48,0)</f>
        <v>0</v>
      </c>
      <c r="AB48" s="144"/>
      <c r="AC48" s="2867"/>
      <c r="AD48" s="2867"/>
      <c r="AE48" s="2867"/>
      <c r="AF48" s="2867"/>
      <c r="AG48" s="2867"/>
      <c r="AH48" s="2867"/>
      <c r="AI48" s="2825"/>
      <c r="AJ48" s="1"/>
      <c r="AK48" s="1"/>
      <c r="AL48" s="1"/>
      <c r="AM48" s="1"/>
      <c r="AN48" s="1"/>
    </row>
    <row r="49" spans="1:40">
      <c r="A49" s="812"/>
      <c r="B49" s="1386"/>
      <c r="C49" s="274">
        <f>IF(D49=1,#REF!,IF(D49=2,#REF!,IF(D49=3,#REF!,IF(D49=4,#REF!,IF(D49=5,#REF!,IF(D49=6,#REF!,IF(D49=7,#REF!,0)))))))</f>
        <v>0</v>
      </c>
      <c r="D49" s="4022"/>
      <c r="E49" s="1321">
        <v>1</v>
      </c>
      <c r="F49" s="1321">
        <v>1</v>
      </c>
      <c r="G49" s="5639">
        <v>50</v>
      </c>
      <c r="H49" s="1322" t="s">
        <v>1169</v>
      </c>
      <c r="I49" s="3933"/>
      <c r="J49" s="1322" t="s">
        <v>1232</v>
      </c>
      <c r="K49" s="1038" t="s">
        <v>1829</v>
      </c>
      <c r="L49" s="3664">
        <v>3.1620370370370369E-4</v>
      </c>
      <c r="M49" s="4023"/>
      <c r="N49" s="4042"/>
      <c r="O49" s="4024"/>
      <c r="P49" s="4015"/>
      <c r="Q49" s="4025"/>
      <c r="R49" s="5639">
        <v>50</v>
      </c>
      <c r="S49" s="2844">
        <f t="shared" si="48"/>
        <v>0.05</v>
      </c>
      <c r="T49" s="2845">
        <f t="shared" si="49"/>
        <v>0</v>
      </c>
      <c r="U49" s="374">
        <f t="shared" si="50"/>
        <v>0</v>
      </c>
      <c r="V49" s="2846">
        <f t="shared" si="51"/>
        <v>0</v>
      </c>
      <c r="W49" s="2847">
        <f t="shared" si="52"/>
        <v>0</v>
      </c>
      <c r="X49" s="2848">
        <f t="shared" si="53"/>
        <v>0</v>
      </c>
      <c r="Y49" s="2849">
        <f t="shared" si="54"/>
        <v>0</v>
      </c>
      <c r="Z49" s="2850">
        <f t="shared" si="55"/>
        <v>0</v>
      </c>
      <c r="AA49" s="2851">
        <f t="shared" si="56"/>
        <v>0</v>
      </c>
      <c r="AB49" s="144"/>
      <c r="AC49" s="2867"/>
      <c r="AD49" s="2867"/>
      <c r="AE49" s="2867"/>
      <c r="AF49" s="2867"/>
      <c r="AG49" s="2867"/>
      <c r="AH49" s="2867"/>
      <c r="AI49" s="2825"/>
      <c r="AJ49" s="1"/>
      <c r="AK49" s="1"/>
      <c r="AL49" s="1"/>
      <c r="AM49" s="1"/>
      <c r="AN49" s="1"/>
    </row>
    <row r="50" spans="1:40">
      <c r="A50" s="812"/>
      <c r="B50" s="1386"/>
      <c r="C50" s="274" t="e">
        <f>IF(D50=1,#REF!,IF(D50=2,#REF!,IF(D50=3,#REF!,IF(D50=4,#REF!,IF(D50=5,#REF!,IF(D50=6,#REF!,IF(D50=7,#REF!,0)))))))</f>
        <v>#REF!</v>
      </c>
      <c r="D50" s="1794">
        <v>7</v>
      </c>
      <c r="E50" s="1321">
        <v>1</v>
      </c>
      <c r="F50" s="1321">
        <v>1</v>
      </c>
      <c r="G50" s="5639">
        <v>50</v>
      </c>
      <c r="H50" s="1322" t="s">
        <v>1169</v>
      </c>
      <c r="I50" s="1322"/>
      <c r="J50" s="1322" t="s">
        <v>1232</v>
      </c>
      <c r="K50" s="1038" t="s">
        <v>1577</v>
      </c>
      <c r="L50" s="3664">
        <v>3.1585648148148147E-4</v>
      </c>
      <c r="M50" s="1763">
        <v>0.85</v>
      </c>
      <c r="N50" s="4043"/>
      <c r="O50" s="1541" t="e">
        <f>C50*(G50/25)</f>
        <v>#REF!</v>
      </c>
      <c r="P50" s="1709"/>
      <c r="Q50" s="4025"/>
      <c r="R50" s="5639">
        <v>50</v>
      </c>
      <c r="S50" s="2844">
        <f t="shared" si="48"/>
        <v>0.05</v>
      </c>
      <c r="T50" s="2845" t="e">
        <f t="shared" si="49"/>
        <v>#REF!</v>
      </c>
      <c r="U50" s="374"/>
      <c r="V50" s="2846"/>
      <c r="W50" s="2847"/>
      <c r="X50" s="2848"/>
      <c r="Y50" s="2849"/>
      <c r="Z50" s="2850"/>
      <c r="AA50" s="2851"/>
      <c r="AB50" s="144"/>
      <c r="AC50" s="2867"/>
      <c r="AD50" s="2867"/>
      <c r="AE50" s="2867"/>
      <c r="AF50" s="2867"/>
      <c r="AG50" s="2867"/>
      <c r="AH50" s="2867"/>
      <c r="AI50" s="2825"/>
      <c r="AJ50" s="1"/>
      <c r="AK50" s="1"/>
      <c r="AL50" s="1"/>
      <c r="AM50" s="1"/>
      <c r="AN50" s="1"/>
    </row>
    <row r="51" spans="1:40">
      <c r="A51" s="812"/>
      <c r="B51" s="1386"/>
      <c r="C51" s="274">
        <f>IF(D51=1,#REF!,IF(D51=2,#REF!,IF(D51=3,#REF!,IF(D51=4,#REF!,IF(D51=5,#REF!,IF(D51=6,#REF!,IF(D51=7,#REF!,0)))))))</f>
        <v>0</v>
      </c>
      <c r="D51" s="5631"/>
      <c r="E51" s="1321">
        <v>1</v>
      </c>
      <c r="F51" s="1321">
        <v>1</v>
      </c>
      <c r="G51" s="1321">
        <v>100</v>
      </c>
      <c r="H51" s="1322" t="s">
        <v>558</v>
      </c>
      <c r="I51" s="1322"/>
      <c r="J51" s="1322"/>
      <c r="K51" s="1038" t="s">
        <v>2145</v>
      </c>
      <c r="L51" s="3664">
        <v>7.1597222222222212E-4</v>
      </c>
      <c r="M51" s="5632"/>
      <c r="N51" s="5633"/>
      <c r="O51" s="5634"/>
      <c r="P51" s="3664">
        <v>3.3020833333333334E-4</v>
      </c>
      <c r="Q51" s="3664">
        <v>3.8576388888888889E-4</v>
      </c>
      <c r="R51" s="1321">
        <v>100</v>
      </c>
      <c r="S51" s="2844">
        <f t="shared" si="48"/>
        <v>0.1</v>
      </c>
      <c r="T51" s="2845">
        <f t="shared" si="49"/>
        <v>0</v>
      </c>
      <c r="U51" s="374">
        <f t="shared" si="50"/>
        <v>0</v>
      </c>
      <c r="V51" s="2846">
        <f t="shared" si="51"/>
        <v>0</v>
      </c>
      <c r="W51" s="2847">
        <f t="shared" si="52"/>
        <v>0</v>
      </c>
      <c r="X51" s="2848">
        <f t="shared" si="53"/>
        <v>0</v>
      </c>
      <c r="Y51" s="2849">
        <f t="shared" si="54"/>
        <v>0</v>
      </c>
      <c r="Z51" s="2850">
        <f t="shared" si="55"/>
        <v>0</v>
      </c>
      <c r="AA51" s="2851">
        <f t="shared" si="56"/>
        <v>0</v>
      </c>
      <c r="AB51" s="144"/>
      <c r="AC51" s="2867"/>
      <c r="AD51" s="2867"/>
      <c r="AE51" s="2867"/>
      <c r="AF51" s="2867"/>
      <c r="AG51" s="2867"/>
      <c r="AH51" s="2867"/>
      <c r="AI51" s="2825"/>
      <c r="AJ51" s="1"/>
      <c r="AK51" s="1"/>
      <c r="AL51" s="1"/>
      <c r="AM51" s="1"/>
      <c r="AN51" s="1"/>
    </row>
    <row r="52" spans="1:40">
      <c r="A52" s="812"/>
      <c r="B52" s="1386"/>
      <c r="C52" s="274">
        <f>IF(D52=1,#REF!,IF(D52=2,#REF!,IF(D52=3,#REF!,IF(D52=4,#REF!,IF(D52=5,#REF!,IF(D52=6,#REF!,IF(D52=7,#REF!,0)))))))</f>
        <v>0</v>
      </c>
      <c r="D52" s="5631"/>
      <c r="E52" s="1321">
        <v>1</v>
      </c>
      <c r="F52" s="1321">
        <v>1</v>
      </c>
      <c r="G52" s="1321">
        <v>100</v>
      </c>
      <c r="H52" s="1322" t="s">
        <v>558</v>
      </c>
      <c r="I52" s="1322"/>
      <c r="J52" s="1322"/>
      <c r="K52" s="1038" t="s">
        <v>2146</v>
      </c>
      <c r="L52" s="3664">
        <v>6.9722222222222223E-4</v>
      </c>
      <c r="M52" s="5632"/>
      <c r="N52" s="5636"/>
      <c r="O52" s="5634"/>
      <c r="P52" s="3664">
        <v>3.2222222222222222E-4</v>
      </c>
      <c r="Q52" s="3664">
        <v>3.7499999999999995E-4</v>
      </c>
      <c r="R52" s="1321">
        <v>100</v>
      </c>
      <c r="S52" s="2844">
        <f t="shared" si="48"/>
        <v>0.1</v>
      </c>
      <c r="T52" s="2845">
        <f t="shared" si="49"/>
        <v>0</v>
      </c>
      <c r="U52" s="374">
        <f t="shared" si="50"/>
        <v>0</v>
      </c>
      <c r="V52" s="2846">
        <f t="shared" si="51"/>
        <v>0</v>
      </c>
      <c r="W52" s="2847">
        <f t="shared" si="52"/>
        <v>0</v>
      </c>
      <c r="X52" s="2848">
        <f t="shared" si="53"/>
        <v>0</v>
      </c>
      <c r="Y52" s="2849">
        <f t="shared" si="54"/>
        <v>0</v>
      </c>
      <c r="Z52" s="2850">
        <f t="shared" si="55"/>
        <v>0</v>
      </c>
      <c r="AA52" s="2851">
        <f t="shared" si="56"/>
        <v>0</v>
      </c>
      <c r="AB52" s="144"/>
      <c r="AC52" s="2867"/>
      <c r="AD52" s="2867"/>
      <c r="AE52" s="2867"/>
      <c r="AF52" s="2867"/>
      <c r="AG52" s="2867"/>
      <c r="AH52" s="2867"/>
      <c r="AI52" s="2825"/>
      <c r="AJ52" s="1"/>
      <c r="AK52" s="1"/>
      <c r="AL52" s="1"/>
      <c r="AM52" s="1"/>
      <c r="AN52" s="1"/>
    </row>
    <row r="53" spans="1:40">
      <c r="A53" s="812"/>
      <c r="B53" s="1386"/>
      <c r="C53" s="274">
        <f>IF(D53=1,#REF!,IF(D53=2,#REF!,IF(D53=3,#REF!,IF(D53=4,#REF!,IF(D53=5,#REF!,IF(D53=6,#REF!,IF(D53=7,#REF!,0)))))))</f>
        <v>0</v>
      </c>
      <c r="D53" s="5631"/>
      <c r="E53" s="1321">
        <v>1</v>
      </c>
      <c r="F53" s="1321">
        <v>1</v>
      </c>
      <c r="G53" s="1321">
        <v>100</v>
      </c>
      <c r="H53" s="1322" t="s">
        <v>558</v>
      </c>
      <c r="I53" s="1322"/>
      <c r="J53" s="1322"/>
      <c r="K53" s="1038" t="s">
        <v>2143</v>
      </c>
      <c r="L53" s="3664">
        <v>7.1203703703703707E-4</v>
      </c>
      <c r="M53" s="5632"/>
      <c r="N53" s="5633"/>
      <c r="O53" s="5634"/>
      <c r="P53" s="3664">
        <v>3.3078703703703704E-4</v>
      </c>
      <c r="Q53" s="3664">
        <v>3.8124999999999992E-4</v>
      </c>
      <c r="R53" s="1321">
        <v>100</v>
      </c>
      <c r="S53" s="2844">
        <f t="shared" si="48"/>
        <v>0.1</v>
      </c>
      <c r="T53" s="2845">
        <f t="shared" si="49"/>
        <v>0</v>
      </c>
      <c r="U53" s="374">
        <f t="shared" si="50"/>
        <v>0</v>
      </c>
      <c r="V53" s="2846">
        <f t="shared" si="51"/>
        <v>0</v>
      </c>
      <c r="W53" s="2847">
        <f t="shared" si="52"/>
        <v>0</v>
      </c>
      <c r="X53" s="2848">
        <f t="shared" si="53"/>
        <v>0</v>
      </c>
      <c r="Y53" s="2849">
        <f t="shared" si="54"/>
        <v>0</v>
      </c>
      <c r="Z53" s="2850">
        <f t="shared" si="55"/>
        <v>0</v>
      </c>
      <c r="AA53" s="2851">
        <f t="shared" si="56"/>
        <v>0</v>
      </c>
      <c r="AB53" s="144"/>
      <c r="AC53" s="2867"/>
      <c r="AD53" s="2867"/>
      <c r="AE53" s="2867"/>
      <c r="AF53" s="2867"/>
      <c r="AG53" s="2867"/>
      <c r="AH53" s="2867"/>
      <c r="AI53" s="2825"/>
      <c r="AJ53" s="1"/>
      <c r="AK53" s="1"/>
      <c r="AL53" s="1"/>
      <c r="AM53" s="1"/>
      <c r="AN53" s="1"/>
    </row>
    <row r="54" spans="1:40" ht="14" thickBot="1">
      <c r="A54" s="812"/>
      <c r="B54" s="1386"/>
      <c r="C54" s="274">
        <f>IF(D54=1,#REF!,IF(D54=2,#REF!,IF(D54=3,#REF!,IF(D54=4,#REF!,IF(D54=5,#REF!,IF(D54=6,#REF!,IF(D54=7,#REF!,0)))))))</f>
        <v>0</v>
      </c>
      <c r="D54" s="5631"/>
      <c r="E54" s="1321">
        <v>1</v>
      </c>
      <c r="F54" s="1321">
        <v>1</v>
      </c>
      <c r="G54" s="1321">
        <v>100</v>
      </c>
      <c r="H54" s="1322" t="s">
        <v>558</v>
      </c>
      <c r="I54" s="1322"/>
      <c r="J54" s="1322"/>
      <c r="K54" s="1038" t="s">
        <v>2144</v>
      </c>
      <c r="L54" s="3664">
        <v>7.1180555555555548E-4</v>
      </c>
      <c r="M54" s="5632"/>
      <c r="N54" s="5637"/>
      <c r="O54" s="5634"/>
      <c r="P54" s="3664">
        <v>3.3379629629629628E-4</v>
      </c>
      <c r="Q54" s="3664">
        <v>3.7800925925925919E-4</v>
      </c>
      <c r="R54" s="1321">
        <v>100</v>
      </c>
      <c r="S54" s="2844">
        <f t="shared" si="48"/>
        <v>0.1</v>
      </c>
      <c r="T54" s="2845">
        <f t="shared" si="49"/>
        <v>0</v>
      </c>
      <c r="U54" s="374">
        <f t="shared" si="50"/>
        <v>0</v>
      </c>
      <c r="V54" s="2846">
        <f t="shared" si="51"/>
        <v>0</v>
      </c>
      <c r="W54" s="2847">
        <f t="shared" si="52"/>
        <v>0</v>
      </c>
      <c r="X54" s="2848">
        <f t="shared" si="53"/>
        <v>0</v>
      </c>
      <c r="Y54" s="2849">
        <f t="shared" si="54"/>
        <v>0</v>
      </c>
      <c r="Z54" s="2850">
        <f t="shared" si="55"/>
        <v>0</v>
      </c>
      <c r="AA54" s="2851">
        <f t="shared" si="56"/>
        <v>0</v>
      </c>
      <c r="AB54" s="144"/>
      <c r="AC54" s="2867"/>
      <c r="AD54" s="2867"/>
      <c r="AE54" s="2867"/>
      <c r="AF54" s="2867"/>
      <c r="AG54" s="2867"/>
      <c r="AH54" s="2867"/>
      <c r="AI54" s="2825"/>
      <c r="AJ54" s="1"/>
      <c r="AK54" s="1"/>
      <c r="AL54" s="1"/>
      <c r="AM54" s="1"/>
      <c r="AN54" s="1"/>
    </row>
    <row r="55" spans="1:40">
      <c r="A55" s="1344" t="s">
        <v>219</v>
      </c>
      <c r="B55" s="961" t="s">
        <v>215</v>
      </c>
      <c r="C55" s="274" t="e">
        <f>IF(D55=1,#REF!,IF(D55=2,#REF!,IF(D55=3,#REF!,IF(D55=4,#REF!,IF(D55=5,#REF!,IF(D55=6,#REF!,IF(D55=7,#REF!,0)))))))</f>
        <v>#REF!</v>
      </c>
      <c r="D55" s="1794">
        <v>7</v>
      </c>
      <c r="E55" s="1321">
        <v>1</v>
      </c>
      <c r="F55" s="1321">
        <v>1</v>
      </c>
      <c r="G55" s="1321">
        <v>100</v>
      </c>
      <c r="H55" s="1322" t="s">
        <v>558</v>
      </c>
      <c r="I55" s="1322"/>
      <c r="J55" s="1322" t="s">
        <v>1232</v>
      </c>
      <c r="K55" s="1038" t="s">
        <v>1828</v>
      </c>
      <c r="L55" s="3664">
        <v>7.0902777777777772E-4</v>
      </c>
      <c r="M55" s="1763">
        <v>0.85</v>
      </c>
      <c r="N55" s="5633"/>
      <c r="O55" s="1541" t="e">
        <f>C55*(G55/25)</f>
        <v>#REF!</v>
      </c>
      <c r="P55" s="3664">
        <v>3.3148148148148148E-4</v>
      </c>
      <c r="Q55" s="3664">
        <v>3.7754629629629623E-4</v>
      </c>
      <c r="R55" s="1321">
        <v>100</v>
      </c>
      <c r="S55" s="2844">
        <f t="shared" si="48"/>
        <v>0.1</v>
      </c>
      <c r="T55" s="2845" t="e">
        <f t="shared" si="49"/>
        <v>#REF!</v>
      </c>
      <c r="U55" s="374"/>
      <c r="V55" s="2846"/>
      <c r="W55" s="2847"/>
      <c r="X55" s="2848"/>
      <c r="Y55" s="2849"/>
      <c r="Z55" s="2850"/>
      <c r="AA55" s="2851"/>
      <c r="AB55" s="144"/>
      <c r="AC55" s="2867"/>
      <c r="AD55" s="2867"/>
      <c r="AE55" s="2867"/>
      <c r="AF55" s="2867"/>
      <c r="AG55" s="2867"/>
      <c r="AH55" s="2867"/>
      <c r="AI55" s="2825"/>
      <c r="AJ55" s="1"/>
      <c r="AK55" s="1"/>
      <c r="AL55" s="1"/>
      <c r="AM55" s="1"/>
      <c r="AN55" s="1"/>
    </row>
    <row r="56" spans="1:40" ht="14" thickBot="1">
      <c r="A56" s="1344" t="s">
        <v>138</v>
      </c>
      <c r="B56" s="833" t="s">
        <v>461</v>
      </c>
      <c r="C56" s="274" t="e">
        <f>IF(D56=1,#REF!,IF(D56=2,#REF!,IF(D56=3,#REF!,IF(D56=4,#REF!,IF(D56=5,#REF!,IF(D56=6,#REF!,IF(D56=7,#REF!,0)))))))</f>
        <v>#REF!</v>
      </c>
      <c r="D56" s="1794">
        <v>7</v>
      </c>
      <c r="E56" s="1321">
        <v>1</v>
      </c>
      <c r="F56" s="1321">
        <v>1</v>
      </c>
      <c r="G56" s="1321">
        <v>100</v>
      </c>
      <c r="H56" s="1322" t="s">
        <v>558</v>
      </c>
      <c r="I56" s="1322"/>
      <c r="J56" s="1322" t="s">
        <v>1232</v>
      </c>
      <c r="K56" s="1038" t="s">
        <v>1577</v>
      </c>
      <c r="L56" s="3664">
        <v>7.1192129629629633E-4</v>
      </c>
      <c r="M56" s="1763">
        <v>1.85</v>
      </c>
      <c r="N56" s="5635"/>
      <c r="O56" s="1541" t="e">
        <f>C56*(G56/25)</f>
        <v>#REF!</v>
      </c>
      <c r="P56" s="3664">
        <v>3.3171296296296296E-4</v>
      </c>
      <c r="Q56" s="3664">
        <v>3.8020833333333331E-4</v>
      </c>
      <c r="R56" s="1321">
        <v>100</v>
      </c>
      <c r="S56" s="2844">
        <f t="shared" si="48"/>
        <v>0.1</v>
      </c>
      <c r="T56" s="2845" t="e">
        <f t="shared" si="49"/>
        <v>#REF!</v>
      </c>
      <c r="U56" s="374"/>
      <c r="V56" s="2846"/>
      <c r="W56" s="2847"/>
      <c r="X56" s="2848"/>
      <c r="Y56" s="2849"/>
      <c r="Z56" s="2850"/>
      <c r="AA56" s="2851"/>
      <c r="AB56" s="144"/>
      <c r="AC56" s="2867"/>
      <c r="AD56" s="2867"/>
      <c r="AE56" s="2867"/>
      <c r="AF56" s="2867"/>
      <c r="AG56" s="2867"/>
      <c r="AH56" s="2867"/>
      <c r="AI56" s="2825"/>
      <c r="AJ56" s="1"/>
      <c r="AK56" s="1"/>
      <c r="AL56" s="1"/>
      <c r="AM56" s="1"/>
      <c r="AN56" s="1"/>
    </row>
    <row r="57" spans="1:40">
      <c r="A57" s="3514" t="s">
        <v>220</v>
      </c>
      <c r="B57" s="3665" t="s">
        <v>215</v>
      </c>
      <c r="C57" s="274">
        <f>IF(D57=1,#REF!,IF(D57=2,#REF!,IF(D57=3,#REF!,IF(D57=4,#REF!,IF(D57=5,#REF!,IF(D57=6,#REF!,IF(D57=7,#REF!,0)))))))</f>
        <v>0</v>
      </c>
      <c r="D57" s="4022"/>
      <c r="E57" s="1321">
        <v>1</v>
      </c>
      <c r="F57" s="1321">
        <v>1</v>
      </c>
      <c r="G57" s="5639">
        <v>50</v>
      </c>
      <c r="H57" s="1322" t="s">
        <v>558</v>
      </c>
      <c r="I57" s="3933"/>
      <c r="J57" s="1322" t="s">
        <v>1232</v>
      </c>
      <c r="K57" s="1038" t="s">
        <v>1828</v>
      </c>
      <c r="L57" s="3664">
        <v>3.2407407407407406E-4</v>
      </c>
      <c r="M57" s="4023"/>
      <c r="N57" s="4042"/>
      <c r="O57" s="4024"/>
      <c r="P57" s="4015"/>
      <c r="Q57" s="4025"/>
      <c r="R57" s="5639">
        <v>50</v>
      </c>
      <c r="S57" s="2844">
        <f t="shared" si="48"/>
        <v>0.05</v>
      </c>
      <c r="T57" s="2845">
        <f t="shared" si="49"/>
        <v>0</v>
      </c>
      <c r="U57" s="374">
        <f t="shared" si="50"/>
        <v>0</v>
      </c>
      <c r="V57" s="2846">
        <f t="shared" si="51"/>
        <v>0</v>
      </c>
      <c r="W57" s="2847">
        <f t="shared" si="52"/>
        <v>0</v>
      </c>
      <c r="X57" s="2848">
        <f t="shared" si="53"/>
        <v>0</v>
      </c>
      <c r="Y57" s="2849">
        <f t="shared" si="54"/>
        <v>0</v>
      </c>
      <c r="Z57" s="2850">
        <f t="shared" si="55"/>
        <v>0</v>
      </c>
      <c r="AA57" s="2851">
        <f t="shared" si="56"/>
        <v>0</v>
      </c>
      <c r="AB57" s="144"/>
      <c r="AC57" s="2867"/>
      <c r="AD57" s="2867"/>
      <c r="AE57" s="2867"/>
      <c r="AF57" s="2867"/>
      <c r="AG57" s="2867"/>
      <c r="AH57" s="2867"/>
      <c r="AI57" s="2825"/>
      <c r="AJ57" s="1"/>
      <c r="AK57" s="1"/>
      <c r="AL57" s="1"/>
      <c r="AM57" s="1"/>
      <c r="AN57" s="1"/>
    </row>
    <row r="58" spans="1:40">
      <c r="A58" s="3514" t="s">
        <v>674</v>
      </c>
      <c r="B58" s="3665" t="s">
        <v>461</v>
      </c>
      <c r="C58" s="274">
        <f>IF(D58=1,#REF!,IF(D58=2,#REF!,IF(D58=3,#REF!,IF(D58=4,#REF!,IF(D58=5,#REF!,IF(D58=6,#REF!,IF(D58=7,#REF!,0)))))))</f>
        <v>0</v>
      </c>
      <c r="D58" s="4022"/>
      <c r="E58" s="1321">
        <v>1</v>
      </c>
      <c r="F58" s="1321">
        <v>1</v>
      </c>
      <c r="G58" s="5639">
        <v>50</v>
      </c>
      <c r="H58" s="1322" t="s">
        <v>558</v>
      </c>
      <c r="I58" s="3933"/>
      <c r="J58" s="1322" t="s">
        <v>1232</v>
      </c>
      <c r="K58" s="1038" t="s">
        <v>1829</v>
      </c>
      <c r="L58" s="3664">
        <v>3.2766203703703706E-4</v>
      </c>
      <c r="M58" s="4023"/>
      <c r="N58" s="4042"/>
      <c r="O58" s="4024"/>
      <c r="P58" s="4015"/>
      <c r="Q58" s="4025"/>
      <c r="R58" s="5639">
        <v>50</v>
      </c>
      <c r="S58" s="2844">
        <f t="shared" ref="S58:S59" si="57">E58*F58*G58/1000</f>
        <v>0.05</v>
      </c>
      <c r="T58" s="2845">
        <f t="shared" ref="T58:T59" si="58">E58*F58*O58*4</f>
        <v>0</v>
      </c>
      <c r="U58" s="374">
        <f t="shared" ref="U58" si="59">IF(C58*4&gt;=$U$4,S58,0)</f>
        <v>0</v>
      </c>
      <c r="V58" s="2846">
        <f t="shared" ref="V58" si="60">IF(AND(C58*4&gt;=$V$4,C58*4&lt;$U$4),S58,0)</f>
        <v>0</v>
      </c>
      <c r="W58" s="2847">
        <f t="shared" ref="W58" si="61">IF(AND(C58*4&gt;=$W$4,C58*4&lt;$V$4),S58,0)</f>
        <v>0</v>
      </c>
      <c r="X58" s="2848">
        <f t="shared" ref="X58" si="62">IF(AND(C58*4&gt;=$X$4,C58*4&lt;$W$4),S58,0)</f>
        <v>0</v>
      </c>
      <c r="Y58" s="2849">
        <f t="shared" ref="Y58" si="63">IF(AND(C58*4&gt;=$Y$4,C58*4&lt;$X$4),S58,0)</f>
        <v>0</v>
      </c>
      <c r="Z58" s="2850">
        <f t="shared" ref="Z58" si="64">IF(AND(C58*4&gt;=$Z$4,C58*4&lt;$Y$4),S58,0)</f>
        <v>0</v>
      </c>
      <c r="AA58" s="2851">
        <f t="shared" ref="AA58" si="65">IF(AND(C58*4&gt;=$AA$4,C58*4&lt;$Z$4),S58,0)</f>
        <v>0</v>
      </c>
      <c r="AB58" s="144"/>
      <c r="AC58" s="2867"/>
      <c r="AD58" s="2867"/>
      <c r="AE58" s="2867"/>
      <c r="AF58" s="2867"/>
      <c r="AG58" s="2867"/>
      <c r="AH58" s="2867"/>
      <c r="AI58" s="2825"/>
      <c r="AJ58" s="1"/>
      <c r="AK58" s="1"/>
      <c r="AL58" s="1"/>
      <c r="AM58" s="1"/>
      <c r="AN58" s="1"/>
    </row>
    <row r="59" spans="1:40">
      <c r="A59" s="3514" t="s">
        <v>215</v>
      </c>
      <c r="B59" s="3665" t="s">
        <v>461</v>
      </c>
      <c r="C59" s="274" t="e">
        <f>IF(D59=1,#REF!,IF(D59=2,#REF!,IF(D59=3,#REF!,IF(D59=4,#REF!,IF(D59=5,#REF!,IF(D59=6,#REF!,IF(D59=7,#REF!,0)))))))</f>
        <v>#REF!</v>
      </c>
      <c r="D59" s="1794">
        <v>7</v>
      </c>
      <c r="E59" s="1321">
        <v>1</v>
      </c>
      <c r="F59" s="1321">
        <v>1</v>
      </c>
      <c r="G59" s="5639">
        <v>50</v>
      </c>
      <c r="H59" s="1322" t="s">
        <v>558</v>
      </c>
      <c r="I59" s="1322"/>
      <c r="J59" s="1322" t="s">
        <v>1232</v>
      </c>
      <c r="K59" s="1038" t="s">
        <v>1577</v>
      </c>
      <c r="L59" s="3664">
        <v>3.2638888888888887E-4</v>
      </c>
      <c r="M59" s="1763">
        <v>0.85</v>
      </c>
      <c r="N59" s="5638"/>
      <c r="O59" s="1541" t="e">
        <f>C59*(G59/25)</f>
        <v>#REF!</v>
      </c>
      <c r="P59" s="1709"/>
      <c r="Q59" s="4025"/>
      <c r="R59" s="5639">
        <v>50</v>
      </c>
      <c r="S59" s="2844">
        <f t="shared" si="57"/>
        <v>0.05</v>
      </c>
      <c r="T59" s="2845" t="e">
        <f t="shared" si="58"/>
        <v>#REF!</v>
      </c>
      <c r="U59" s="374"/>
      <c r="V59" s="2846"/>
      <c r="W59" s="2847"/>
      <c r="X59" s="2848"/>
      <c r="Y59" s="2849"/>
      <c r="Z59" s="2850"/>
      <c r="AA59" s="2851"/>
      <c r="AB59" s="144"/>
      <c r="AC59" s="2867"/>
      <c r="AD59" s="2867"/>
      <c r="AE59" s="2867"/>
      <c r="AF59" s="2867"/>
      <c r="AG59" s="2867"/>
      <c r="AH59" s="2867"/>
      <c r="AI59" s="2825"/>
      <c r="AJ59" s="1"/>
      <c r="AK59" s="1"/>
      <c r="AL59" s="1"/>
      <c r="AM59" s="1"/>
      <c r="AN59" s="1"/>
    </row>
    <row r="60" spans="1:40" ht="14" thickBot="1">
      <c r="A60" s="812"/>
      <c r="B60" s="1386"/>
      <c r="C60" s="274">
        <f>IF(D60=1,#REF!,IF(D60=2,#REF!,IF(D60=3,#REF!,IF(D60=4,#REF!,IF(D60=5,#REF!,IF(D60=6,#REF!,IF(D60=7,#REF!,0)))))))</f>
        <v>0</v>
      </c>
      <c r="D60" s="825"/>
      <c r="E60" s="826"/>
      <c r="F60" s="275"/>
      <c r="G60" s="275"/>
      <c r="H60" s="275"/>
      <c r="I60" s="657"/>
      <c r="J60" s="657"/>
      <c r="K60" s="827"/>
      <c r="L60" s="1401"/>
      <c r="M60" s="827"/>
      <c r="N60" s="4044"/>
      <c r="O60" s="828">
        <f t="shared" si="47"/>
        <v>0</v>
      </c>
      <c r="P60" s="819"/>
      <c r="Q60" s="819"/>
      <c r="R60" s="972"/>
      <c r="S60" s="2844">
        <f t="shared" si="6"/>
        <v>0</v>
      </c>
      <c r="T60" s="2845">
        <f t="shared" si="7"/>
        <v>0</v>
      </c>
      <c r="U60" s="374">
        <f t="shared" si="8"/>
        <v>0</v>
      </c>
      <c r="V60" s="2846">
        <f t="shared" si="9"/>
        <v>0</v>
      </c>
      <c r="W60" s="2847">
        <f t="shared" si="10"/>
        <v>0</v>
      </c>
      <c r="X60" s="2848">
        <f t="shared" si="11"/>
        <v>0</v>
      </c>
      <c r="Y60" s="2849">
        <f t="shared" si="12"/>
        <v>0</v>
      </c>
      <c r="Z60" s="2850">
        <f t="shared" si="13"/>
        <v>0</v>
      </c>
      <c r="AA60" s="2851">
        <f t="shared" si="14"/>
        <v>0</v>
      </c>
      <c r="AB60" s="144"/>
      <c r="AC60" s="2867"/>
      <c r="AD60" s="2867"/>
      <c r="AE60" s="2867"/>
      <c r="AF60" s="2867"/>
      <c r="AG60" s="2867"/>
      <c r="AH60" s="2867"/>
      <c r="AI60" s="2825"/>
      <c r="AJ60" s="1"/>
      <c r="AK60" s="1"/>
      <c r="AL60" s="1"/>
      <c r="AM60" s="1"/>
      <c r="AN60" s="1"/>
    </row>
    <row r="61" spans="1:40" ht="19" thickBot="1">
      <c r="A61" s="961"/>
      <c r="B61" s="961"/>
      <c r="C61" s="973"/>
      <c r="D61" s="973">
        <v>7</v>
      </c>
      <c r="E61" s="1064"/>
      <c r="F61" s="974"/>
      <c r="G61" s="974"/>
      <c r="H61" s="974"/>
      <c r="I61" s="974"/>
      <c r="J61" s="973"/>
      <c r="K61" s="975" t="s">
        <v>1830</v>
      </c>
      <c r="L61" s="1402"/>
      <c r="M61" s="975"/>
      <c r="N61" s="4045"/>
      <c r="O61" s="1397">
        <f t="shared" si="47"/>
        <v>0</v>
      </c>
      <c r="P61" s="1397"/>
      <c r="Q61" s="976"/>
      <c r="R61" s="1398"/>
      <c r="S61" s="2844">
        <f t="shared" si="6"/>
        <v>0</v>
      </c>
      <c r="T61" s="2845">
        <f t="shared" si="7"/>
        <v>0</v>
      </c>
      <c r="U61" s="374">
        <f t="shared" si="8"/>
        <v>0</v>
      </c>
      <c r="V61" s="2846">
        <f t="shared" si="9"/>
        <v>0</v>
      </c>
      <c r="W61" s="2847">
        <f t="shared" si="10"/>
        <v>0</v>
      </c>
      <c r="X61" s="2848">
        <f t="shared" si="11"/>
        <v>0</v>
      </c>
      <c r="Y61" s="2849">
        <f t="shared" si="12"/>
        <v>0</v>
      </c>
      <c r="Z61" s="2850">
        <f t="shared" si="13"/>
        <v>0</v>
      </c>
      <c r="AA61" s="2851">
        <f t="shared" si="14"/>
        <v>0</v>
      </c>
      <c r="AB61" s="144"/>
      <c r="AC61" s="2867"/>
      <c r="AD61" s="2867"/>
      <c r="AE61" s="2867"/>
      <c r="AF61" s="2867"/>
      <c r="AG61" s="2867"/>
      <c r="AH61" s="2867"/>
      <c r="AI61" s="2825"/>
      <c r="AJ61" s="1"/>
      <c r="AK61" s="1"/>
      <c r="AL61" s="1"/>
      <c r="AM61" s="1"/>
      <c r="AN61" s="1"/>
    </row>
    <row r="62" spans="1:40" ht="20" thickTop="1" thickBot="1">
      <c r="A62" s="4018"/>
      <c r="B62" s="4018"/>
      <c r="C62" s="4019"/>
      <c r="D62" s="4019"/>
      <c r="E62" s="4019"/>
      <c r="F62" s="4019"/>
      <c r="G62" s="4019"/>
      <c r="H62" s="4020"/>
      <c r="I62" s="4020"/>
      <c r="J62" s="4021"/>
      <c r="K62" s="4021"/>
      <c r="L62" s="4018"/>
      <c r="M62" s="4018"/>
      <c r="N62" s="4046"/>
      <c r="O62" s="4018"/>
      <c r="P62" s="4018"/>
      <c r="Q62" s="4018"/>
      <c r="R62" s="4018"/>
      <c r="S62" s="144"/>
      <c r="T62" s="3154"/>
      <c r="U62" s="3155">
        <f t="shared" ref="U62:AA62" si="66">SUM(U6:U61)</f>
        <v>2.1</v>
      </c>
      <c r="V62" s="3155">
        <f t="shared" si="66"/>
        <v>3.8000000000000003</v>
      </c>
      <c r="W62" s="3155">
        <f t="shared" si="66"/>
        <v>5.3</v>
      </c>
      <c r="X62" s="3155">
        <f t="shared" si="66"/>
        <v>2.2999999999999998</v>
      </c>
      <c r="Y62" s="3155">
        <f t="shared" si="66"/>
        <v>0.4</v>
      </c>
      <c r="Z62" s="3155">
        <f t="shared" si="66"/>
        <v>1.1000000000000001</v>
      </c>
      <c r="AA62" s="3155">
        <f t="shared" si="66"/>
        <v>0.84799999999999986</v>
      </c>
      <c r="AB62" s="3516">
        <f>SUM(U62:AA62)</f>
        <v>15.847999999999999</v>
      </c>
      <c r="AC62" s="2867">
        <v>0</v>
      </c>
      <c r="AD62" s="2867">
        <v>0</v>
      </c>
      <c r="AE62" s="2867">
        <v>0</v>
      </c>
      <c r="AF62" s="2867">
        <v>0</v>
      </c>
      <c r="AG62" s="2867">
        <v>0</v>
      </c>
      <c r="AH62" s="2867">
        <v>0</v>
      </c>
      <c r="AI62" s="2825"/>
      <c r="AJ62" s="1"/>
      <c r="AK62" s="1"/>
      <c r="AL62" s="1"/>
      <c r="AM62" s="1"/>
      <c r="AN62" s="1"/>
    </row>
    <row r="63" spans="1:40" ht="14" thickTop="1">
      <c r="A63" s="3945"/>
      <c r="B63" s="3945"/>
      <c r="C63" s="3945"/>
      <c r="D63" s="3945"/>
      <c r="E63" s="3945"/>
      <c r="F63" s="3945"/>
      <c r="G63" s="3945"/>
      <c r="H63" s="3945"/>
      <c r="I63" s="3945"/>
      <c r="J63" s="3945"/>
      <c r="K63" s="3945"/>
      <c r="L63" s="3945"/>
      <c r="M63" s="3945"/>
      <c r="N63" s="4047"/>
      <c r="O63" s="3945"/>
      <c r="P63" s="3945"/>
      <c r="Q63" s="3945"/>
      <c r="R63" s="3945"/>
      <c r="S63" s="144"/>
      <c r="T63" s="144"/>
      <c r="U63" s="3157" t="e">
        <f>IF(#REF!&gt;0,#REF!,#REF!)</f>
        <v>#REF!</v>
      </c>
      <c r="V63" s="3157" t="e">
        <f>IF(#REF!&gt;0,#REF!,#REF!)</f>
        <v>#REF!</v>
      </c>
      <c r="W63" s="3157" t="e">
        <f>IF(#REF!&gt;0,#REF!,#REF!)</f>
        <v>#REF!</v>
      </c>
      <c r="X63" s="3157" t="e">
        <f>IF(#REF!&gt;0,#REF!,#REF!)</f>
        <v>#REF!</v>
      </c>
      <c r="Y63" s="3157" t="e">
        <f>IF(#REF!&gt;0,#REF!,#REF!)</f>
        <v>#REF!</v>
      </c>
      <c r="Z63" s="3157" t="e">
        <f>IF(#REF!&gt;0,#REF!,#REF!)</f>
        <v>#REF!</v>
      </c>
      <c r="AA63" s="3157" t="e">
        <f>IF(#REF!&gt;0,#REF!,#REF!)</f>
        <v>#REF!</v>
      </c>
      <c r="AB63" s="144"/>
      <c r="AC63" s="2867">
        <v>0</v>
      </c>
      <c r="AD63" s="2867">
        <v>0</v>
      </c>
      <c r="AE63" s="2867">
        <v>0</v>
      </c>
      <c r="AF63" s="2867">
        <v>0</v>
      </c>
      <c r="AG63" s="2867">
        <v>0</v>
      </c>
      <c r="AH63" s="2867">
        <v>0</v>
      </c>
      <c r="AI63" s="2825"/>
      <c r="AJ63" s="1"/>
      <c r="AK63" s="1"/>
      <c r="AL63" s="1"/>
      <c r="AM63" s="1"/>
      <c r="AN63" s="1"/>
    </row>
    <row r="64" spans="1:40">
      <c r="A64" s="3945"/>
      <c r="B64" s="3945"/>
      <c r="C64" s="3945"/>
      <c r="D64" s="3945"/>
      <c r="E64" s="3945"/>
      <c r="F64" s="3945"/>
      <c r="G64" s="3945"/>
      <c r="H64" s="3945"/>
      <c r="I64" s="3945"/>
      <c r="J64" s="3945"/>
      <c r="K64" s="3945"/>
      <c r="L64" s="3945"/>
      <c r="M64" s="3945"/>
      <c r="N64" s="4047"/>
      <c r="O64" s="3945"/>
      <c r="P64" s="3945"/>
      <c r="Q64" s="3945"/>
      <c r="R64" s="3945"/>
      <c r="S64" s="144"/>
      <c r="T64" s="144"/>
      <c r="U64" s="3157" t="e">
        <f>IF(U63&gt;0,U63,#REF!)</f>
        <v>#REF!</v>
      </c>
      <c r="V64" s="3157" t="e">
        <f>IF(V63&gt;0,V63,#REF!)</f>
        <v>#REF!</v>
      </c>
      <c r="W64" s="3157" t="e">
        <f>IF(W63&gt;0,W63,#REF!)</f>
        <v>#REF!</v>
      </c>
      <c r="X64" s="3157" t="e">
        <f>IF(X63&gt;0,X63,#REF!)</f>
        <v>#REF!</v>
      </c>
      <c r="Y64" s="3157" t="e">
        <f>IF(Y63&gt;0,Y63,#REF!)</f>
        <v>#REF!</v>
      </c>
      <c r="Z64" s="3157" t="e">
        <f>IF(Z63&gt;0,Z63,#REF!)</f>
        <v>#REF!</v>
      </c>
      <c r="AA64" s="3157" t="e">
        <f>IF(AA63&gt;0,AA63,#REF!)</f>
        <v>#REF!</v>
      </c>
      <c r="AB64" s="144"/>
      <c r="AC64" s="2867"/>
      <c r="AD64" s="2867"/>
      <c r="AE64" s="2867"/>
      <c r="AF64" s="2867"/>
      <c r="AG64" s="2867"/>
      <c r="AH64" s="2867"/>
      <c r="AI64" s="2825"/>
      <c r="AJ64" s="1"/>
      <c r="AK64" s="1"/>
      <c r="AL64" s="1"/>
      <c r="AM64" s="1"/>
      <c r="AN64" s="1"/>
    </row>
    <row r="65" spans="1:40">
      <c r="A65" s="3945"/>
      <c r="B65" s="3945"/>
      <c r="C65" s="3945"/>
      <c r="D65" s="3945"/>
      <c r="E65" s="3945"/>
      <c r="F65" s="3945"/>
      <c r="G65" s="3945"/>
      <c r="H65" s="3945"/>
      <c r="I65" s="3945"/>
      <c r="J65" s="3945"/>
      <c r="K65" s="3945"/>
      <c r="L65" s="3945"/>
      <c r="M65" s="3945"/>
      <c r="N65" s="4047"/>
      <c r="O65" s="3945"/>
      <c r="P65" s="3945"/>
      <c r="Q65" s="3945"/>
      <c r="R65" s="3945"/>
      <c r="S65" s="144"/>
      <c r="T65" s="144"/>
      <c r="U65" s="3157" t="e">
        <f t="shared" ref="U65:AA80" si="67">IF(U64&gt;0,U64,U63)</f>
        <v>#REF!</v>
      </c>
      <c r="V65" s="3157" t="e">
        <f t="shared" si="67"/>
        <v>#REF!</v>
      </c>
      <c r="W65" s="3157" t="e">
        <f t="shared" si="67"/>
        <v>#REF!</v>
      </c>
      <c r="X65" s="3157" t="e">
        <f t="shared" si="67"/>
        <v>#REF!</v>
      </c>
      <c r="Y65" s="3157" t="e">
        <f t="shared" si="67"/>
        <v>#REF!</v>
      </c>
      <c r="Z65" s="3157" t="e">
        <f t="shared" si="67"/>
        <v>#REF!</v>
      </c>
      <c r="AA65" s="3157" t="e">
        <f t="shared" si="67"/>
        <v>#REF!</v>
      </c>
      <c r="AB65" s="144"/>
      <c r="AC65" s="2867"/>
      <c r="AD65" s="2867"/>
      <c r="AE65" s="2867"/>
      <c r="AF65" s="2867"/>
      <c r="AG65" s="2867"/>
      <c r="AH65" s="2867"/>
      <c r="AI65" s="2825"/>
      <c r="AJ65" s="1"/>
      <c r="AK65" s="1"/>
      <c r="AL65" s="1"/>
      <c r="AM65" s="1"/>
      <c r="AN65" s="1"/>
    </row>
    <row r="66" spans="1:40">
      <c r="A66" s="3945"/>
      <c r="B66" s="3945"/>
      <c r="C66" s="3945"/>
      <c r="D66" s="3945"/>
      <c r="E66" s="3945"/>
      <c r="F66" s="3945"/>
      <c r="G66" s="3945"/>
      <c r="H66" s="3945"/>
      <c r="I66" s="3945"/>
      <c r="J66" s="3945"/>
      <c r="K66" s="3945"/>
      <c r="L66" s="3945"/>
      <c r="M66" s="3945"/>
      <c r="N66" s="4047"/>
      <c r="O66" s="3945"/>
      <c r="P66" s="3945"/>
      <c r="Q66" s="3945"/>
      <c r="R66" s="3945"/>
      <c r="S66" s="144"/>
      <c r="T66" s="144"/>
      <c r="U66" s="3157" t="e">
        <f t="shared" si="67"/>
        <v>#REF!</v>
      </c>
      <c r="V66" s="3157" t="e">
        <f t="shared" si="67"/>
        <v>#REF!</v>
      </c>
      <c r="W66" s="3157" t="e">
        <f t="shared" si="67"/>
        <v>#REF!</v>
      </c>
      <c r="X66" s="3157" t="e">
        <f t="shared" si="67"/>
        <v>#REF!</v>
      </c>
      <c r="Y66" s="3157" t="e">
        <f t="shared" si="67"/>
        <v>#REF!</v>
      </c>
      <c r="Z66" s="3157" t="e">
        <f t="shared" si="67"/>
        <v>#REF!</v>
      </c>
      <c r="AA66" s="3157" t="e">
        <f t="shared" si="67"/>
        <v>#REF!</v>
      </c>
      <c r="AB66" s="144"/>
      <c r="AC66" s="2867">
        <v>0</v>
      </c>
      <c r="AD66" s="2867">
        <v>0</v>
      </c>
      <c r="AE66" s="2867">
        <v>0</v>
      </c>
      <c r="AF66" s="2867">
        <v>0</v>
      </c>
      <c r="AG66" s="2867">
        <v>0</v>
      </c>
      <c r="AH66" s="2867">
        <v>0</v>
      </c>
      <c r="AI66" s="2825"/>
      <c r="AJ66" s="1"/>
      <c r="AK66" s="1"/>
      <c r="AL66" s="1"/>
      <c r="AM66" s="1"/>
      <c r="AN66" s="1"/>
    </row>
    <row r="67" spans="1:40">
      <c r="A67" s="3945"/>
      <c r="B67" s="3945"/>
      <c r="C67" s="3945"/>
      <c r="D67" s="3945"/>
      <c r="E67" s="3945"/>
      <c r="F67" s="3945"/>
      <c r="G67" s="3945"/>
      <c r="H67" s="3945"/>
      <c r="I67" s="3945"/>
      <c r="J67" s="3945"/>
      <c r="K67" s="3945"/>
      <c r="L67" s="3945"/>
      <c r="M67" s="3945"/>
      <c r="N67" s="4047"/>
      <c r="O67" s="3945"/>
      <c r="P67" s="3945"/>
      <c r="Q67" s="3945"/>
      <c r="R67" s="3945"/>
      <c r="S67" s="144"/>
      <c r="T67" s="144"/>
      <c r="U67" s="3157" t="e">
        <f t="shared" si="67"/>
        <v>#REF!</v>
      </c>
      <c r="V67" s="3157" t="e">
        <f t="shared" si="67"/>
        <v>#REF!</v>
      </c>
      <c r="W67" s="3157" t="e">
        <f t="shared" si="67"/>
        <v>#REF!</v>
      </c>
      <c r="X67" s="3157" t="e">
        <f t="shared" si="67"/>
        <v>#REF!</v>
      </c>
      <c r="Y67" s="3157" t="e">
        <f t="shared" si="67"/>
        <v>#REF!</v>
      </c>
      <c r="Z67" s="3157" t="e">
        <f t="shared" si="67"/>
        <v>#REF!</v>
      </c>
      <c r="AA67" s="3157" t="e">
        <f t="shared" si="67"/>
        <v>#REF!</v>
      </c>
      <c r="AB67" s="144"/>
      <c r="AC67" s="2867">
        <v>0</v>
      </c>
      <c r="AD67" s="2867">
        <v>0</v>
      </c>
      <c r="AE67" s="2867">
        <v>0</v>
      </c>
      <c r="AF67" s="2867">
        <v>0</v>
      </c>
      <c r="AG67" s="2867">
        <v>0</v>
      </c>
      <c r="AH67" s="2867">
        <v>0</v>
      </c>
      <c r="AI67" s="2825"/>
      <c r="AJ67" s="1"/>
      <c r="AK67" s="1"/>
      <c r="AL67" s="1"/>
      <c r="AM67" s="1"/>
      <c r="AN67" s="1"/>
    </row>
    <row r="68" spans="1:40">
      <c r="A68" s="3945"/>
      <c r="B68" s="3945" t="s">
        <v>459</v>
      </c>
      <c r="C68" s="3945"/>
      <c r="D68" s="3945"/>
      <c r="E68" s="3945"/>
      <c r="F68" s="3945"/>
      <c r="G68" s="3945"/>
      <c r="H68" s="3945"/>
      <c r="I68" s="3945"/>
      <c r="J68" s="3945"/>
      <c r="K68" s="3945"/>
      <c r="L68" s="3945"/>
      <c r="M68" s="3945"/>
      <c r="N68" s="4047"/>
      <c r="O68" s="3945"/>
      <c r="P68" s="3945"/>
      <c r="Q68" s="3945"/>
      <c r="R68" s="3945"/>
      <c r="S68" s="144"/>
      <c r="T68" s="144"/>
      <c r="U68" s="3157" t="e">
        <f t="shared" si="67"/>
        <v>#REF!</v>
      </c>
      <c r="V68" s="3157" t="e">
        <f t="shared" si="67"/>
        <v>#REF!</v>
      </c>
      <c r="W68" s="3157" t="e">
        <f t="shared" si="67"/>
        <v>#REF!</v>
      </c>
      <c r="X68" s="3157" t="e">
        <f t="shared" si="67"/>
        <v>#REF!</v>
      </c>
      <c r="Y68" s="3157" t="e">
        <f t="shared" si="67"/>
        <v>#REF!</v>
      </c>
      <c r="Z68" s="3157" t="e">
        <f t="shared" si="67"/>
        <v>#REF!</v>
      </c>
      <c r="AA68" s="3157" t="e">
        <f t="shared" si="67"/>
        <v>#REF!</v>
      </c>
      <c r="AB68" s="144"/>
      <c r="AC68" s="2867">
        <v>0</v>
      </c>
      <c r="AD68" s="2867">
        <v>0</v>
      </c>
      <c r="AE68" s="2867">
        <v>0</v>
      </c>
      <c r="AF68" s="2867">
        <v>0</v>
      </c>
      <c r="AG68" s="2867">
        <v>0</v>
      </c>
      <c r="AH68" s="2867">
        <v>0</v>
      </c>
      <c r="AI68" s="2825"/>
      <c r="AJ68" s="1"/>
      <c r="AK68" s="1"/>
      <c r="AL68" s="1"/>
      <c r="AM68" s="1"/>
      <c r="AN68" s="1"/>
    </row>
    <row r="69" spans="1:40">
      <c r="A69" s="3945"/>
      <c r="B69" s="3945"/>
      <c r="C69" s="3945"/>
      <c r="D69" s="3945"/>
      <c r="E69" s="3945"/>
      <c r="F69" s="3945"/>
      <c r="G69" s="3945"/>
      <c r="H69" s="3945"/>
      <c r="I69" s="3945"/>
      <c r="J69" s="3945"/>
      <c r="K69" s="3945"/>
      <c r="L69" s="3945"/>
      <c r="M69" s="3945"/>
      <c r="N69" s="4047"/>
      <c r="O69" s="3945"/>
      <c r="P69" s="3945"/>
      <c r="Q69" s="3945"/>
      <c r="R69" s="3945"/>
      <c r="S69" s="144"/>
      <c r="T69" s="144"/>
      <c r="U69" s="3157" t="e">
        <f t="shared" si="67"/>
        <v>#REF!</v>
      </c>
      <c r="V69" s="3157" t="e">
        <f t="shared" si="67"/>
        <v>#REF!</v>
      </c>
      <c r="W69" s="3157" t="e">
        <f t="shared" si="67"/>
        <v>#REF!</v>
      </c>
      <c r="X69" s="3157" t="e">
        <f t="shared" si="67"/>
        <v>#REF!</v>
      </c>
      <c r="Y69" s="3157" t="e">
        <f t="shared" si="67"/>
        <v>#REF!</v>
      </c>
      <c r="Z69" s="3157" t="e">
        <f t="shared" si="67"/>
        <v>#REF!</v>
      </c>
      <c r="AA69" s="3157" t="e">
        <f t="shared" si="67"/>
        <v>#REF!</v>
      </c>
      <c r="AB69" s="144"/>
      <c r="AC69" s="2867">
        <v>0</v>
      </c>
      <c r="AD69" s="2867">
        <v>0</v>
      </c>
      <c r="AE69" s="2867">
        <v>0</v>
      </c>
      <c r="AF69" s="2867">
        <v>0</v>
      </c>
      <c r="AG69" s="2867">
        <v>0</v>
      </c>
      <c r="AH69" s="2867">
        <v>0</v>
      </c>
      <c r="AI69" s="2825"/>
      <c r="AJ69" s="1"/>
      <c r="AK69" s="1"/>
      <c r="AL69" s="1"/>
      <c r="AM69" s="1"/>
      <c r="AN69" s="1"/>
    </row>
    <row r="70" spans="1:40">
      <c r="A70" s="3945"/>
      <c r="B70" s="3945"/>
      <c r="C70" s="3945"/>
      <c r="D70" s="3945"/>
      <c r="E70" s="3945"/>
      <c r="F70" s="3945"/>
      <c r="G70" s="3945"/>
      <c r="H70" s="3945"/>
      <c r="I70" s="3945"/>
      <c r="J70" s="3945"/>
      <c r="K70" s="3945"/>
      <c r="L70" s="3945"/>
      <c r="M70" s="3945"/>
      <c r="N70" s="4047"/>
      <c r="O70" s="3945"/>
      <c r="P70" s="3945"/>
      <c r="Q70" s="3945"/>
      <c r="R70" s="3945"/>
      <c r="S70" s="144"/>
      <c r="T70" s="144"/>
      <c r="U70" s="3157" t="e">
        <f t="shared" si="67"/>
        <v>#REF!</v>
      </c>
      <c r="V70" s="3157" t="e">
        <f t="shared" si="67"/>
        <v>#REF!</v>
      </c>
      <c r="W70" s="3157" t="e">
        <f t="shared" si="67"/>
        <v>#REF!</v>
      </c>
      <c r="X70" s="3157" t="e">
        <f t="shared" si="67"/>
        <v>#REF!</v>
      </c>
      <c r="Y70" s="3157" t="e">
        <f t="shared" si="67"/>
        <v>#REF!</v>
      </c>
      <c r="Z70" s="3157" t="e">
        <f t="shared" si="67"/>
        <v>#REF!</v>
      </c>
      <c r="AA70" s="3157" t="e">
        <f t="shared" si="67"/>
        <v>#REF!</v>
      </c>
      <c r="AB70" s="144"/>
      <c r="AC70" s="2867"/>
      <c r="AD70" s="2867"/>
      <c r="AE70" s="2867"/>
      <c r="AF70" s="2867"/>
      <c r="AG70" s="2867"/>
      <c r="AH70" s="2867"/>
      <c r="AI70" s="2825"/>
      <c r="AJ70" s="1"/>
      <c r="AK70" s="1"/>
      <c r="AL70" s="1"/>
      <c r="AM70" s="1"/>
      <c r="AN70" s="1"/>
    </row>
    <row r="71" spans="1:40">
      <c r="A71" s="3945"/>
      <c r="B71" s="3945"/>
      <c r="C71" s="3945"/>
      <c r="D71" s="3945"/>
      <c r="E71" s="3945"/>
      <c r="F71" s="3945"/>
      <c r="G71" s="3945"/>
      <c r="H71" s="3945"/>
      <c r="I71" s="3945"/>
      <c r="J71" s="3945"/>
      <c r="K71" s="3945"/>
      <c r="L71" s="3945"/>
      <c r="M71" s="3945"/>
      <c r="N71" s="4047"/>
      <c r="O71" s="3945"/>
      <c r="P71" s="3945"/>
      <c r="Q71" s="3945"/>
      <c r="R71" s="3945"/>
      <c r="S71" s="144"/>
      <c r="T71" s="144"/>
      <c r="U71" s="3157" t="e">
        <f t="shared" si="67"/>
        <v>#REF!</v>
      </c>
      <c r="V71" s="3157" t="e">
        <f t="shared" si="67"/>
        <v>#REF!</v>
      </c>
      <c r="W71" s="3157" t="e">
        <f t="shared" si="67"/>
        <v>#REF!</v>
      </c>
      <c r="X71" s="3157" t="e">
        <f t="shared" si="67"/>
        <v>#REF!</v>
      </c>
      <c r="Y71" s="3157" t="e">
        <f t="shared" si="67"/>
        <v>#REF!</v>
      </c>
      <c r="Z71" s="3157" t="e">
        <f t="shared" si="67"/>
        <v>#REF!</v>
      </c>
      <c r="AA71" s="3157" t="e">
        <f t="shared" si="67"/>
        <v>#REF!</v>
      </c>
      <c r="AB71" s="144"/>
      <c r="AC71" s="2867">
        <v>0</v>
      </c>
      <c r="AD71" s="2867">
        <v>0</v>
      </c>
      <c r="AE71" s="2867">
        <v>0</v>
      </c>
      <c r="AF71" s="2867">
        <v>0</v>
      </c>
      <c r="AG71" s="2867">
        <v>0</v>
      </c>
      <c r="AH71" s="2867">
        <v>0</v>
      </c>
      <c r="AI71" s="2825"/>
      <c r="AJ71" s="1"/>
      <c r="AK71" s="1"/>
      <c r="AL71" s="1"/>
      <c r="AM71" s="1"/>
      <c r="AN71" s="1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6"/>
      <c r="O72" s="144"/>
      <c r="P72" s="144"/>
      <c r="Q72" s="144"/>
      <c r="R72" s="144"/>
      <c r="S72" s="144"/>
      <c r="T72" s="144"/>
      <c r="U72" s="3157" t="e">
        <f t="shared" si="67"/>
        <v>#REF!</v>
      </c>
      <c r="V72" s="3157" t="e">
        <f t="shared" si="67"/>
        <v>#REF!</v>
      </c>
      <c r="W72" s="3157" t="e">
        <f t="shared" si="67"/>
        <v>#REF!</v>
      </c>
      <c r="X72" s="3157" t="e">
        <f t="shared" si="67"/>
        <v>#REF!</v>
      </c>
      <c r="Y72" s="3157" t="e">
        <f t="shared" si="67"/>
        <v>#REF!</v>
      </c>
      <c r="Z72" s="3157" t="e">
        <f t="shared" si="67"/>
        <v>#REF!</v>
      </c>
      <c r="AA72" s="3157" t="e">
        <f t="shared" si="67"/>
        <v>#REF!</v>
      </c>
      <c r="AB72" s="144"/>
      <c r="AC72" s="2867">
        <v>0</v>
      </c>
      <c r="AD72" s="2867">
        <v>0</v>
      </c>
      <c r="AE72" s="2867">
        <v>0</v>
      </c>
      <c r="AF72" s="2867">
        <v>0</v>
      </c>
      <c r="AG72" s="2867">
        <v>0</v>
      </c>
      <c r="AH72" s="2867">
        <v>0</v>
      </c>
      <c r="AI72" s="2825"/>
      <c r="AJ72" s="1"/>
      <c r="AK72" s="1"/>
      <c r="AL72" s="1"/>
      <c r="AM72" s="1"/>
      <c r="AN72" s="1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6"/>
      <c r="O73" s="144"/>
      <c r="P73" s="144"/>
      <c r="Q73" s="144"/>
      <c r="R73" s="144"/>
      <c r="S73" s="144"/>
      <c r="T73" s="144"/>
      <c r="U73" s="3157" t="e">
        <f t="shared" si="67"/>
        <v>#REF!</v>
      </c>
      <c r="V73" s="3157" t="e">
        <f t="shared" si="67"/>
        <v>#REF!</v>
      </c>
      <c r="W73" s="3157" t="e">
        <f t="shared" si="67"/>
        <v>#REF!</v>
      </c>
      <c r="X73" s="3157" t="e">
        <f t="shared" si="67"/>
        <v>#REF!</v>
      </c>
      <c r="Y73" s="3157" t="e">
        <f t="shared" si="67"/>
        <v>#REF!</v>
      </c>
      <c r="Z73" s="3157" t="e">
        <f t="shared" si="67"/>
        <v>#REF!</v>
      </c>
      <c r="AA73" s="3157" t="e">
        <f t="shared" si="67"/>
        <v>#REF!</v>
      </c>
      <c r="AB73" s="144"/>
      <c r="AC73" s="2867"/>
      <c r="AD73" s="2867"/>
      <c r="AE73" s="2867"/>
      <c r="AF73" s="2867"/>
      <c r="AG73" s="2867"/>
      <c r="AH73" s="2867"/>
      <c r="AI73" s="2825"/>
      <c r="AJ73" s="1"/>
      <c r="AK73" s="1"/>
      <c r="AL73" s="1"/>
      <c r="AM73" s="1"/>
      <c r="AN73" s="1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6"/>
      <c r="O74" s="144"/>
      <c r="P74" s="144"/>
      <c r="Q74" s="144"/>
      <c r="R74" s="144"/>
      <c r="S74" s="144"/>
      <c r="T74" s="144"/>
      <c r="U74" s="3157" t="e">
        <f t="shared" si="67"/>
        <v>#REF!</v>
      </c>
      <c r="V74" s="3157" t="e">
        <f t="shared" si="67"/>
        <v>#REF!</v>
      </c>
      <c r="W74" s="3157" t="e">
        <f t="shared" si="67"/>
        <v>#REF!</v>
      </c>
      <c r="X74" s="3157" t="e">
        <f t="shared" si="67"/>
        <v>#REF!</v>
      </c>
      <c r="Y74" s="3157" t="e">
        <f t="shared" si="67"/>
        <v>#REF!</v>
      </c>
      <c r="Z74" s="3157" t="e">
        <f t="shared" si="67"/>
        <v>#REF!</v>
      </c>
      <c r="AA74" s="3157" t="e">
        <f t="shared" si="67"/>
        <v>#REF!</v>
      </c>
      <c r="AB74" s="144"/>
      <c r="AC74" s="2867"/>
      <c r="AD74" s="2867"/>
      <c r="AE74" s="2867"/>
      <c r="AF74" s="2867"/>
      <c r="AG74" s="2867"/>
      <c r="AH74" s="2867"/>
      <c r="AI74" s="2825"/>
      <c r="AJ74" s="1"/>
      <c r="AK74" s="1"/>
      <c r="AL74" s="1"/>
      <c r="AM74" s="1"/>
      <c r="AN74" s="1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6"/>
      <c r="O75" s="144"/>
      <c r="P75" s="144"/>
      <c r="Q75" s="144"/>
      <c r="R75" s="144"/>
      <c r="S75" s="144"/>
      <c r="T75" s="144"/>
      <c r="U75" s="3157" t="e">
        <f t="shared" si="67"/>
        <v>#REF!</v>
      </c>
      <c r="V75" s="3157" t="e">
        <f t="shared" si="67"/>
        <v>#REF!</v>
      </c>
      <c r="W75" s="3157" t="e">
        <f t="shared" si="67"/>
        <v>#REF!</v>
      </c>
      <c r="X75" s="3157" t="e">
        <f t="shared" si="67"/>
        <v>#REF!</v>
      </c>
      <c r="Y75" s="3157" t="e">
        <f t="shared" si="67"/>
        <v>#REF!</v>
      </c>
      <c r="Z75" s="3157" t="e">
        <f t="shared" si="67"/>
        <v>#REF!</v>
      </c>
      <c r="AA75" s="3157" t="e">
        <f t="shared" si="67"/>
        <v>#REF!</v>
      </c>
      <c r="AB75" s="144"/>
      <c r="AC75" s="2867">
        <v>0</v>
      </c>
      <c r="AD75" s="2867">
        <v>0</v>
      </c>
      <c r="AE75" s="2867">
        <v>0</v>
      </c>
      <c r="AF75" s="2867">
        <v>0</v>
      </c>
      <c r="AG75" s="2867">
        <v>0</v>
      </c>
      <c r="AH75" s="2867">
        <v>0</v>
      </c>
      <c r="AI75" s="2825"/>
      <c r="AJ75" s="1"/>
      <c r="AK75" s="1"/>
      <c r="AL75" s="1"/>
      <c r="AM75" s="1"/>
      <c r="AN75" s="1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6"/>
      <c r="O76" s="144"/>
      <c r="P76" s="144"/>
      <c r="Q76" s="144"/>
      <c r="R76" s="144"/>
      <c r="S76" s="144"/>
      <c r="T76" s="144"/>
      <c r="U76" s="3157" t="e">
        <f t="shared" si="67"/>
        <v>#REF!</v>
      </c>
      <c r="V76" s="3157" t="e">
        <f t="shared" si="67"/>
        <v>#REF!</v>
      </c>
      <c r="W76" s="3157" t="e">
        <f t="shared" si="67"/>
        <v>#REF!</v>
      </c>
      <c r="X76" s="3157" t="e">
        <f t="shared" si="67"/>
        <v>#REF!</v>
      </c>
      <c r="Y76" s="3157" t="e">
        <f t="shared" si="67"/>
        <v>#REF!</v>
      </c>
      <c r="Z76" s="3157" t="e">
        <f t="shared" si="67"/>
        <v>#REF!</v>
      </c>
      <c r="AA76" s="3157" t="e">
        <f t="shared" si="67"/>
        <v>#REF!</v>
      </c>
      <c r="AB76" s="144"/>
      <c r="AC76" s="2867">
        <v>0</v>
      </c>
      <c r="AD76" s="2867">
        <v>0</v>
      </c>
      <c r="AE76" s="2867">
        <v>0</v>
      </c>
      <c r="AF76" s="2867">
        <v>0</v>
      </c>
      <c r="AG76" s="2867">
        <v>0</v>
      </c>
      <c r="AH76" s="2867">
        <v>0</v>
      </c>
      <c r="AI76" s="2825"/>
      <c r="AJ76" s="1"/>
      <c r="AK76" s="1"/>
      <c r="AL76" s="1"/>
      <c r="AM76" s="1"/>
      <c r="AN76" s="1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6"/>
      <c r="O77" s="144"/>
      <c r="P77" s="144"/>
      <c r="Q77" s="144"/>
      <c r="R77" s="144"/>
      <c r="S77" s="144"/>
      <c r="T77" s="144"/>
      <c r="U77" s="3157" t="e">
        <f t="shared" si="67"/>
        <v>#REF!</v>
      </c>
      <c r="V77" s="3157" t="e">
        <f t="shared" si="67"/>
        <v>#REF!</v>
      </c>
      <c r="W77" s="3157" t="e">
        <f t="shared" si="67"/>
        <v>#REF!</v>
      </c>
      <c r="X77" s="3157" t="e">
        <f t="shared" si="67"/>
        <v>#REF!</v>
      </c>
      <c r="Y77" s="3157" t="e">
        <f t="shared" si="67"/>
        <v>#REF!</v>
      </c>
      <c r="Z77" s="3157" t="e">
        <f t="shared" si="67"/>
        <v>#REF!</v>
      </c>
      <c r="AA77" s="3157" t="e">
        <f t="shared" si="67"/>
        <v>#REF!</v>
      </c>
      <c r="AB77" s="144"/>
      <c r="AC77" s="2867">
        <v>0</v>
      </c>
      <c r="AD77" s="2867">
        <v>0</v>
      </c>
      <c r="AE77" s="2867">
        <v>0</v>
      </c>
      <c r="AF77" s="2867">
        <v>0</v>
      </c>
      <c r="AG77" s="2867">
        <v>0</v>
      </c>
      <c r="AH77" s="2867">
        <v>0</v>
      </c>
      <c r="AI77" s="2825"/>
      <c r="AJ77" s="1"/>
      <c r="AK77" s="1"/>
      <c r="AL77" s="1"/>
      <c r="AM77" s="1"/>
      <c r="AN77" s="1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6"/>
      <c r="O78" s="144"/>
      <c r="P78" s="144"/>
      <c r="Q78" s="144"/>
      <c r="R78" s="144"/>
      <c r="S78" s="144"/>
      <c r="T78" s="144"/>
      <c r="U78" s="3157" t="e">
        <f t="shared" si="67"/>
        <v>#REF!</v>
      </c>
      <c r="V78" s="3157" t="e">
        <f t="shared" si="67"/>
        <v>#REF!</v>
      </c>
      <c r="W78" s="3157" t="e">
        <f t="shared" si="67"/>
        <v>#REF!</v>
      </c>
      <c r="X78" s="3157" t="e">
        <f t="shared" si="67"/>
        <v>#REF!</v>
      </c>
      <c r="Y78" s="3157" t="e">
        <f t="shared" si="67"/>
        <v>#REF!</v>
      </c>
      <c r="Z78" s="3157" t="e">
        <f t="shared" si="67"/>
        <v>#REF!</v>
      </c>
      <c r="AA78" s="3157" t="e">
        <f t="shared" si="67"/>
        <v>#REF!</v>
      </c>
      <c r="AB78" s="144"/>
      <c r="AC78" s="2867"/>
      <c r="AD78" s="2867"/>
      <c r="AE78" s="2867"/>
      <c r="AF78" s="2867"/>
      <c r="AG78" s="2867"/>
      <c r="AH78" s="2867"/>
      <c r="AI78" s="2825"/>
      <c r="AJ78" s="1"/>
      <c r="AK78" s="1"/>
      <c r="AL78" s="1"/>
      <c r="AM78" s="1"/>
      <c r="AN78" s="1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6"/>
      <c r="O79" s="144"/>
      <c r="P79" s="144"/>
      <c r="Q79" s="144"/>
      <c r="R79" s="144"/>
      <c r="S79" s="144"/>
      <c r="T79" s="144"/>
      <c r="U79" s="3157" t="e">
        <f t="shared" si="67"/>
        <v>#REF!</v>
      </c>
      <c r="V79" s="3157" t="e">
        <f t="shared" si="67"/>
        <v>#REF!</v>
      </c>
      <c r="W79" s="3157" t="e">
        <f t="shared" si="67"/>
        <v>#REF!</v>
      </c>
      <c r="X79" s="3157" t="e">
        <f t="shared" si="67"/>
        <v>#REF!</v>
      </c>
      <c r="Y79" s="3157" t="e">
        <f t="shared" si="67"/>
        <v>#REF!</v>
      </c>
      <c r="Z79" s="3157" t="e">
        <f t="shared" si="67"/>
        <v>#REF!</v>
      </c>
      <c r="AA79" s="3157" t="e">
        <f t="shared" si="67"/>
        <v>#REF!</v>
      </c>
      <c r="AB79" s="144"/>
      <c r="AC79" s="2867"/>
      <c r="AD79" s="2867"/>
      <c r="AE79" s="2867"/>
      <c r="AF79" s="2867"/>
      <c r="AG79" s="2867"/>
      <c r="AH79" s="2867"/>
      <c r="AI79" s="2825"/>
      <c r="AJ79" s="1"/>
      <c r="AK79" s="1"/>
      <c r="AL79" s="1"/>
      <c r="AM79" s="1"/>
      <c r="AN79" s="1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6"/>
      <c r="O80" s="144"/>
      <c r="P80" s="144"/>
      <c r="Q80" s="144"/>
      <c r="R80" s="144"/>
      <c r="S80" s="144"/>
      <c r="T80" s="144"/>
      <c r="U80" s="3157" t="e">
        <f t="shared" si="67"/>
        <v>#REF!</v>
      </c>
      <c r="V80" s="3157" t="e">
        <f t="shared" si="67"/>
        <v>#REF!</v>
      </c>
      <c r="W80" s="3157" t="e">
        <f t="shared" si="67"/>
        <v>#REF!</v>
      </c>
      <c r="X80" s="3157" t="e">
        <f t="shared" si="67"/>
        <v>#REF!</v>
      </c>
      <c r="Y80" s="3157" t="e">
        <f t="shared" si="67"/>
        <v>#REF!</v>
      </c>
      <c r="Z80" s="3157" t="e">
        <f t="shared" si="67"/>
        <v>#REF!</v>
      </c>
      <c r="AA80" s="3157" t="e">
        <f t="shared" si="67"/>
        <v>#REF!</v>
      </c>
      <c r="AB80" s="144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825"/>
      <c r="AJ80" s="1"/>
      <c r="AK80" s="1"/>
      <c r="AL80" s="1"/>
      <c r="AM80" s="1"/>
      <c r="AN80" s="1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6"/>
      <c r="O81" s="144"/>
      <c r="P81" s="144"/>
      <c r="Q81" s="144"/>
      <c r="R81" s="144"/>
      <c r="S81" s="144"/>
      <c r="T81" s="144"/>
      <c r="U81" s="3157" t="e">
        <f t="shared" ref="U81:AA88" si="68">IF(U80&gt;0,U80,U79)</f>
        <v>#REF!</v>
      </c>
      <c r="V81" s="3157" t="e">
        <f t="shared" si="68"/>
        <v>#REF!</v>
      </c>
      <c r="W81" s="3157" t="e">
        <f t="shared" si="68"/>
        <v>#REF!</v>
      </c>
      <c r="X81" s="3157" t="e">
        <f t="shared" si="68"/>
        <v>#REF!</v>
      </c>
      <c r="Y81" s="3157" t="e">
        <f t="shared" si="68"/>
        <v>#REF!</v>
      </c>
      <c r="Z81" s="3157" t="e">
        <f t="shared" si="68"/>
        <v>#REF!</v>
      </c>
      <c r="AA81" s="3157" t="e">
        <f t="shared" si="68"/>
        <v>#REF!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6"/>
      <c r="O82" s="144"/>
      <c r="P82" s="144"/>
      <c r="Q82" s="144"/>
      <c r="R82" s="144"/>
      <c r="S82" s="144"/>
      <c r="T82" s="144"/>
      <c r="U82" s="3157" t="e">
        <f t="shared" si="68"/>
        <v>#REF!</v>
      </c>
      <c r="V82" s="3157" t="e">
        <f t="shared" si="68"/>
        <v>#REF!</v>
      </c>
      <c r="W82" s="3157" t="e">
        <f t="shared" si="68"/>
        <v>#REF!</v>
      </c>
      <c r="X82" s="3157" t="e">
        <f t="shared" si="68"/>
        <v>#REF!</v>
      </c>
      <c r="Y82" s="3157" t="e">
        <f t="shared" si="68"/>
        <v>#REF!</v>
      </c>
      <c r="Z82" s="3157" t="e">
        <f t="shared" si="68"/>
        <v>#REF!</v>
      </c>
      <c r="AA82" s="3157" t="e">
        <f t="shared" si="68"/>
        <v>#REF!</v>
      </c>
      <c r="AB82" s="144"/>
      <c r="AC82" s="2867">
        <v>0</v>
      </c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82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6"/>
      <c r="O83" s="144"/>
      <c r="P83" s="144"/>
      <c r="Q83" s="144"/>
      <c r="R83" s="144"/>
      <c r="S83" s="144"/>
      <c r="T83" s="144"/>
      <c r="U83" s="3157" t="e">
        <f t="shared" si="68"/>
        <v>#REF!</v>
      </c>
      <c r="V83" s="3157" t="e">
        <f t="shared" si="68"/>
        <v>#REF!</v>
      </c>
      <c r="W83" s="3157" t="e">
        <f t="shared" si="68"/>
        <v>#REF!</v>
      </c>
      <c r="X83" s="3157" t="e">
        <f t="shared" si="68"/>
        <v>#REF!</v>
      </c>
      <c r="Y83" s="3157" t="e">
        <f t="shared" si="68"/>
        <v>#REF!</v>
      </c>
      <c r="Z83" s="3157" t="e">
        <f t="shared" si="68"/>
        <v>#REF!</v>
      </c>
      <c r="AA83" s="3157" t="e">
        <f t="shared" si="68"/>
        <v>#REF!</v>
      </c>
      <c r="AB83" s="144"/>
      <c r="AC83" s="2867"/>
      <c r="AD83" s="2867"/>
      <c r="AE83" s="2867"/>
      <c r="AF83" s="2867"/>
      <c r="AG83" s="2867"/>
      <c r="AH83" s="2867"/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6"/>
      <c r="O84" s="144"/>
      <c r="P84" s="144"/>
      <c r="Q84" s="144"/>
      <c r="R84" s="144"/>
      <c r="S84" s="144"/>
      <c r="T84" s="144"/>
      <c r="U84" s="3157" t="e">
        <f t="shared" si="68"/>
        <v>#REF!</v>
      </c>
      <c r="V84" s="3157" t="e">
        <f t="shared" si="68"/>
        <v>#REF!</v>
      </c>
      <c r="W84" s="3157" t="e">
        <f t="shared" si="68"/>
        <v>#REF!</v>
      </c>
      <c r="X84" s="3157" t="e">
        <f t="shared" si="68"/>
        <v>#REF!</v>
      </c>
      <c r="Y84" s="3157" t="e">
        <f t="shared" si="68"/>
        <v>#REF!</v>
      </c>
      <c r="Z84" s="3157" t="e">
        <f t="shared" si="68"/>
        <v>#REF!</v>
      </c>
      <c r="AA84" s="3157" t="e">
        <f t="shared" si="68"/>
        <v>#REF!</v>
      </c>
      <c r="AB84" s="144"/>
      <c r="AC84" s="2867"/>
      <c r="AD84" s="2867"/>
      <c r="AE84" s="2867"/>
      <c r="AF84" s="2867"/>
      <c r="AG84" s="2867"/>
      <c r="AH84" s="2867"/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6"/>
      <c r="O85" s="144"/>
      <c r="P85" s="144"/>
      <c r="Q85" s="144"/>
      <c r="R85" s="144"/>
      <c r="S85" s="144"/>
      <c r="T85" s="144"/>
      <c r="U85" s="3157" t="e">
        <f t="shared" si="68"/>
        <v>#REF!</v>
      </c>
      <c r="V85" s="3157" t="e">
        <f t="shared" si="68"/>
        <v>#REF!</v>
      </c>
      <c r="W85" s="3157" t="e">
        <f t="shared" si="68"/>
        <v>#REF!</v>
      </c>
      <c r="X85" s="3157" t="e">
        <f t="shared" si="68"/>
        <v>#REF!</v>
      </c>
      <c r="Y85" s="3157" t="e">
        <f t="shared" si="68"/>
        <v>#REF!</v>
      </c>
      <c r="Z85" s="3157" t="e">
        <f t="shared" si="68"/>
        <v>#REF!</v>
      </c>
      <c r="AA85" s="3157" t="e">
        <f t="shared" si="68"/>
        <v>#REF!</v>
      </c>
      <c r="AB85" s="144"/>
      <c r="AC85" s="2867">
        <v>0</v>
      </c>
      <c r="AD85" s="2867">
        <v>0</v>
      </c>
      <c r="AE85" s="2867">
        <v>0</v>
      </c>
      <c r="AF85" s="2867">
        <v>0</v>
      </c>
      <c r="AG85" s="2867">
        <v>0</v>
      </c>
      <c r="AH85" s="2867">
        <v>0</v>
      </c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6"/>
      <c r="O86" s="144"/>
      <c r="P86" s="144"/>
      <c r="Q86" s="144"/>
      <c r="R86" s="144"/>
      <c r="S86" s="144"/>
      <c r="T86" s="144"/>
      <c r="U86" s="3157" t="e">
        <f t="shared" si="68"/>
        <v>#REF!</v>
      </c>
      <c r="V86" s="3157" t="e">
        <f t="shared" si="68"/>
        <v>#REF!</v>
      </c>
      <c r="W86" s="3157" t="e">
        <f t="shared" si="68"/>
        <v>#REF!</v>
      </c>
      <c r="X86" s="3157" t="e">
        <f t="shared" si="68"/>
        <v>#REF!</v>
      </c>
      <c r="Y86" s="3157" t="e">
        <f t="shared" si="68"/>
        <v>#REF!</v>
      </c>
      <c r="Z86" s="3157" t="e">
        <f t="shared" si="68"/>
        <v>#REF!</v>
      </c>
      <c r="AA86" s="3157" t="e">
        <f t="shared" si="68"/>
        <v>#REF!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6"/>
      <c r="O87" s="144"/>
      <c r="P87" s="144"/>
      <c r="Q87" s="144"/>
      <c r="R87" s="144"/>
      <c r="S87" s="144"/>
      <c r="T87" s="144"/>
      <c r="U87" s="3157" t="e">
        <f t="shared" si="68"/>
        <v>#REF!</v>
      </c>
      <c r="V87" s="3157" t="e">
        <f t="shared" si="68"/>
        <v>#REF!</v>
      </c>
      <c r="W87" s="3157" t="e">
        <f t="shared" si="68"/>
        <v>#REF!</v>
      </c>
      <c r="X87" s="3157" t="e">
        <f t="shared" si="68"/>
        <v>#REF!</v>
      </c>
      <c r="Y87" s="3157" t="e">
        <f t="shared" si="68"/>
        <v>#REF!</v>
      </c>
      <c r="Z87" s="3157" t="e">
        <f t="shared" si="68"/>
        <v>#REF!</v>
      </c>
      <c r="AA87" s="3157" t="e">
        <f t="shared" si="68"/>
        <v>#REF!</v>
      </c>
      <c r="AB87" s="144"/>
      <c r="AC87" s="2867">
        <v>0</v>
      </c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6"/>
      <c r="O88" s="144"/>
      <c r="P88" s="144"/>
      <c r="Q88" s="144"/>
      <c r="R88" s="144"/>
      <c r="S88" s="144"/>
      <c r="T88" s="144"/>
      <c r="U88" s="3158" t="e">
        <f>IF(U87&gt;0,U87,U86)</f>
        <v>#REF!</v>
      </c>
      <c r="V88" s="3158" t="e">
        <f t="shared" si="68"/>
        <v>#REF!</v>
      </c>
      <c r="W88" s="3158" t="e">
        <f t="shared" si="68"/>
        <v>#REF!</v>
      </c>
      <c r="X88" s="3158" t="e">
        <f t="shared" si="68"/>
        <v>#REF!</v>
      </c>
      <c r="Y88" s="3158" t="e">
        <f t="shared" si="68"/>
        <v>#REF!</v>
      </c>
      <c r="Z88" s="3158" t="e">
        <f t="shared" si="68"/>
        <v>#REF!</v>
      </c>
      <c r="AA88" s="3158" t="e">
        <f t="shared" si="68"/>
        <v>#REF!</v>
      </c>
      <c r="AB88" s="144"/>
      <c r="AC88" s="2867"/>
      <c r="AD88" s="2867"/>
      <c r="AE88" s="2867"/>
      <c r="AF88" s="2867"/>
      <c r="AG88" s="2867"/>
      <c r="AH88" s="2867"/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6"/>
      <c r="O89" s="144"/>
      <c r="P89" s="144"/>
      <c r="Q89" s="144"/>
      <c r="R89" s="144"/>
      <c r="S89" s="144"/>
      <c r="T89" s="144"/>
      <c r="U89" s="2838"/>
      <c r="V89" s="2838"/>
      <c r="W89" s="2838"/>
      <c r="X89" s="2838"/>
      <c r="Y89" s="2838"/>
      <c r="Z89" s="2838"/>
      <c r="AA89" s="2838"/>
      <c r="AB89" s="144"/>
      <c r="AC89" s="2867"/>
      <c r="AD89" s="2867"/>
      <c r="AE89" s="2867"/>
      <c r="AF89" s="2867"/>
      <c r="AG89" s="2867"/>
      <c r="AH89" s="2867"/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6"/>
      <c r="O90" s="144"/>
      <c r="P90" s="144"/>
      <c r="Q90" s="144"/>
      <c r="R90" s="144"/>
      <c r="S90" s="144"/>
      <c r="T90" s="144"/>
      <c r="U90" s="2838"/>
      <c r="V90" s="2838"/>
      <c r="W90" s="2838"/>
      <c r="X90" s="2838"/>
      <c r="Y90" s="2838"/>
      <c r="Z90" s="2838"/>
      <c r="AA90" s="2838"/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1"/>
      <c r="AK90" s="1"/>
      <c r="AL90" s="1"/>
      <c r="AM90" s="1"/>
      <c r="AN90" s="1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6"/>
      <c r="O91" s="144"/>
      <c r="P91" s="144"/>
      <c r="Q91" s="144"/>
      <c r="R91" s="144"/>
      <c r="S91" s="144"/>
      <c r="T91" s="144"/>
      <c r="U91" s="2838"/>
      <c r="V91" s="2838"/>
      <c r="W91" s="2838"/>
      <c r="X91" s="2838"/>
      <c r="Y91" s="2838"/>
      <c r="Z91" s="2838"/>
      <c r="AA91" s="2838"/>
      <c r="AB91" s="144"/>
      <c r="AC91" s="2867"/>
      <c r="AD91" s="2867"/>
      <c r="AE91" s="2867"/>
      <c r="AF91" s="2867"/>
      <c r="AG91" s="2867"/>
      <c r="AH91" s="2867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6"/>
      <c r="O92" s="144"/>
      <c r="P92" s="144"/>
      <c r="Q92" s="144"/>
      <c r="R92" s="144"/>
      <c r="S92" s="144"/>
      <c r="T92" s="144"/>
      <c r="U92" s="2838"/>
      <c r="V92" s="2838"/>
      <c r="W92" s="2838"/>
      <c r="X92" s="2838"/>
      <c r="Y92" s="2838"/>
      <c r="Z92" s="2838"/>
      <c r="AA92" s="2838"/>
      <c r="AB92" s="144"/>
      <c r="AJ92" s="1"/>
      <c r="AK92" s="1"/>
      <c r="AL92" s="1"/>
      <c r="AM92" s="1"/>
      <c r="AN92" s="1"/>
    </row>
    <row r="93" spans="1:40" ht="15" customHeight="1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6"/>
      <c r="O93" s="144"/>
      <c r="P93" s="144"/>
      <c r="Q93" s="144"/>
      <c r="R93" s="144"/>
      <c r="S93" s="144"/>
      <c r="T93" s="144"/>
      <c r="U93" s="2838"/>
      <c r="V93" s="2838"/>
      <c r="W93" s="2838"/>
      <c r="X93" s="2838"/>
      <c r="Y93" s="2838"/>
      <c r="Z93" s="2838"/>
      <c r="AA93" s="2838"/>
      <c r="AB93" s="144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6"/>
      <c r="O94" s="144"/>
      <c r="P94" s="144"/>
      <c r="Q94" s="144"/>
      <c r="R94" s="144"/>
      <c r="S94" s="144"/>
      <c r="T94" s="144"/>
      <c r="U94" s="2838"/>
      <c r="V94" s="2838"/>
      <c r="W94" s="2838"/>
      <c r="X94" s="2838"/>
      <c r="Y94" s="2838"/>
      <c r="Z94" s="2838"/>
      <c r="AA94" s="2838"/>
      <c r="AB94" s="144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6"/>
      <c r="O95" s="144"/>
      <c r="P95" s="144"/>
      <c r="Q95" s="144"/>
      <c r="R95" s="144"/>
      <c r="S95" s="144"/>
      <c r="T95" s="144"/>
      <c r="U95" s="2838"/>
      <c r="V95" s="2838"/>
      <c r="W95" s="2838"/>
      <c r="X95" s="2838"/>
      <c r="Y95" s="2838"/>
      <c r="Z95" s="2838"/>
      <c r="AA95" s="2838"/>
      <c r="AB95" s="144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6"/>
      <c r="O96" s="144"/>
      <c r="P96" s="144"/>
      <c r="Q96" s="144"/>
      <c r="R96" s="144"/>
      <c r="S96" s="144"/>
      <c r="T96" s="144"/>
      <c r="U96" s="2838"/>
      <c r="V96" s="2838"/>
      <c r="W96" s="2838"/>
      <c r="X96" s="2838"/>
      <c r="Y96" s="2838"/>
      <c r="Z96" s="2838"/>
      <c r="AA96" s="2838"/>
      <c r="AB96" s="144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6"/>
      <c r="O97" s="144"/>
      <c r="P97" s="144"/>
      <c r="Q97" s="144"/>
      <c r="R97" s="144"/>
      <c r="S97" s="144"/>
      <c r="T97" s="144"/>
      <c r="U97" s="2838"/>
      <c r="V97" s="2838"/>
      <c r="W97" s="2838"/>
      <c r="X97" s="2838"/>
      <c r="Y97" s="2838"/>
      <c r="Z97" s="2838"/>
      <c r="AA97" s="2838"/>
      <c r="AB97" s="144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6"/>
      <c r="O98" s="144"/>
      <c r="P98" s="144"/>
      <c r="Q98" s="144"/>
      <c r="R98" s="144"/>
      <c r="S98" s="144"/>
      <c r="T98" s="144"/>
      <c r="U98" s="2838"/>
      <c r="V98" s="2838"/>
      <c r="W98" s="2838"/>
      <c r="X98" s="2838"/>
      <c r="Y98" s="2838"/>
      <c r="Z98" s="2838"/>
      <c r="AA98" s="2838"/>
      <c r="AB98" s="144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6"/>
      <c r="O99" s="144"/>
      <c r="P99" s="144"/>
      <c r="Q99" s="144"/>
      <c r="R99" s="144"/>
      <c r="S99" s="144"/>
      <c r="T99" s="144"/>
      <c r="U99" s="2838"/>
      <c r="V99" s="2838"/>
      <c r="W99" s="2838"/>
      <c r="X99" s="2838"/>
      <c r="Y99" s="2838"/>
      <c r="Z99" s="2838"/>
      <c r="AA99" s="2838"/>
      <c r="AB99" s="144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6"/>
      <c r="O100" s="144"/>
      <c r="P100" s="144"/>
      <c r="Q100" s="144"/>
      <c r="R100" s="144"/>
      <c r="S100" s="144"/>
      <c r="T100" s="144"/>
      <c r="U100" s="2838"/>
      <c r="V100" s="2838"/>
      <c r="W100" s="2838"/>
      <c r="X100" s="2838"/>
      <c r="Y100" s="2838"/>
      <c r="Z100" s="2838"/>
      <c r="AA100" s="2838"/>
      <c r="AB100" s="144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6"/>
      <c r="O101" s="144"/>
      <c r="P101" s="144"/>
      <c r="Q101" s="144"/>
      <c r="R101" s="144"/>
      <c r="S101" s="144"/>
      <c r="T101" s="144"/>
      <c r="U101" s="2838"/>
      <c r="V101" s="2838"/>
      <c r="W101" s="2838"/>
      <c r="X101" s="2838"/>
      <c r="Y101" s="2838"/>
      <c r="Z101" s="2838"/>
      <c r="AA101" s="2838"/>
      <c r="AB101" s="144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6"/>
      <c r="O102" s="144"/>
      <c r="P102" s="144"/>
      <c r="Q102" s="144"/>
      <c r="R102" s="144"/>
      <c r="S102" s="144"/>
      <c r="T102" s="144"/>
      <c r="U102" s="2838"/>
      <c r="V102" s="2838"/>
      <c r="W102" s="2838"/>
      <c r="X102" s="2838"/>
      <c r="Y102" s="2838"/>
      <c r="Z102" s="2838"/>
      <c r="AA102" s="2838"/>
      <c r="AB102" s="144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6"/>
      <c r="O103" s="144"/>
      <c r="P103" s="144"/>
      <c r="Q103" s="144"/>
      <c r="R103" s="144"/>
      <c r="S103" s="144"/>
      <c r="T103" s="144"/>
      <c r="U103" s="2838"/>
      <c r="V103" s="2838"/>
      <c r="W103" s="2838"/>
      <c r="X103" s="2838"/>
      <c r="Y103" s="2838"/>
      <c r="Z103" s="2838"/>
      <c r="AA103" s="2838"/>
      <c r="AB103" s="144"/>
      <c r="AC103" s="2825"/>
      <c r="AD103" s="2825"/>
      <c r="AE103" s="2825"/>
      <c r="AF103" s="2825"/>
      <c r="AG103" s="2825"/>
      <c r="AH103" s="2825"/>
      <c r="AI103" s="2825"/>
      <c r="AJ103" s="2825"/>
      <c r="AK103" s="2825"/>
      <c r="AL103" s="2825"/>
      <c r="AM103" s="2825"/>
      <c r="AN103" s="1"/>
    </row>
    <row r="104" spans="1:40" s="3021" customFormat="1" ht="11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6"/>
      <c r="O104" s="144"/>
      <c r="P104" s="144"/>
      <c r="Q104" s="144"/>
      <c r="R104" s="144"/>
      <c r="S104" s="144"/>
      <c r="T104" s="144"/>
      <c r="U104" s="2838"/>
      <c r="V104" s="2838"/>
      <c r="W104" s="2838"/>
      <c r="X104" s="2838"/>
      <c r="Y104" s="2838"/>
      <c r="Z104" s="2838"/>
      <c r="AA104" s="2838"/>
      <c r="AB104" s="144"/>
      <c r="AC104" s="2826"/>
      <c r="AD104" s="2826"/>
      <c r="AE104" s="2826"/>
      <c r="AF104" s="2826"/>
      <c r="AG104" s="2826"/>
      <c r="AH104" s="2826"/>
      <c r="AI104" s="2826"/>
      <c r="AJ104" s="2826"/>
      <c r="AK104" s="2826"/>
      <c r="AL104" s="2826"/>
      <c r="AM104" s="2826"/>
    </row>
    <row r="105" spans="1:40" s="3021" customFormat="1" ht="11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6"/>
      <c r="O105" s="144"/>
      <c r="P105" s="144"/>
      <c r="Q105" s="144"/>
      <c r="R105" s="144"/>
      <c r="S105" s="144"/>
      <c r="T105" s="144"/>
      <c r="U105" s="2838"/>
      <c r="V105" s="2838"/>
      <c r="W105" s="2838"/>
      <c r="X105" s="2838"/>
      <c r="Y105" s="2838"/>
      <c r="Z105" s="2838"/>
      <c r="AA105" s="2838"/>
      <c r="AB105" s="144"/>
      <c r="AC105" s="2826"/>
      <c r="AD105" s="2826"/>
      <c r="AE105" s="2826"/>
      <c r="AF105" s="2826"/>
      <c r="AG105" s="2826"/>
      <c r="AH105" s="2826"/>
      <c r="AI105" s="2826"/>
      <c r="AJ105" s="2826"/>
      <c r="AK105" s="2826"/>
      <c r="AL105" s="2826"/>
      <c r="AM105" s="2826"/>
    </row>
    <row r="106" spans="1:40" s="3021" customFormat="1" ht="11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6"/>
      <c r="O106" s="144"/>
      <c r="P106" s="144"/>
      <c r="Q106" s="144"/>
      <c r="R106" s="144"/>
      <c r="S106" s="144"/>
      <c r="T106" s="144"/>
      <c r="U106" s="2838"/>
      <c r="V106" s="2838"/>
      <c r="W106" s="2838"/>
      <c r="X106" s="2838"/>
      <c r="Y106" s="2838"/>
      <c r="Z106" s="2838"/>
      <c r="AA106" s="2838"/>
      <c r="AB106" s="144"/>
      <c r="AC106" s="2826"/>
      <c r="AD106" s="2826"/>
      <c r="AE106" s="2826"/>
      <c r="AF106" s="2826"/>
      <c r="AG106" s="2826"/>
      <c r="AH106" s="2826"/>
      <c r="AI106" s="2826"/>
      <c r="AJ106" s="2826"/>
      <c r="AK106" s="2826"/>
      <c r="AL106" s="2826"/>
      <c r="AM106" s="2826"/>
    </row>
    <row r="107" spans="1:40" s="3021" customFormat="1" ht="11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6"/>
      <c r="O107" s="144"/>
      <c r="P107" s="144"/>
      <c r="Q107" s="144"/>
      <c r="R107" s="144"/>
      <c r="S107" s="144"/>
      <c r="T107" s="144"/>
      <c r="U107" s="2838"/>
      <c r="V107" s="2838"/>
      <c r="W107" s="2838"/>
      <c r="X107" s="2838"/>
      <c r="Y107" s="2838"/>
      <c r="Z107" s="2838"/>
      <c r="AA107" s="2838"/>
      <c r="AB107" s="144"/>
      <c r="AC107" s="2826"/>
      <c r="AD107" s="2826"/>
      <c r="AE107" s="2826"/>
      <c r="AF107" s="2826"/>
      <c r="AG107" s="2826"/>
      <c r="AH107" s="2826"/>
      <c r="AI107" s="2826"/>
      <c r="AJ107" s="2826"/>
      <c r="AK107" s="2826"/>
      <c r="AL107" s="2826"/>
      <c r="AM107" s="2826"/>
    </row>
    <row r="108" spans="1:40" s="3021" customFormat="1" ht="11">
      <c r="B108" s="144"/>
      <c r="C108" s="143"/>
      <c r="D108" s="907"/>
      <c r="E108" s="143"/>
      <c r="F108" s="145"/>
      <c r="G108" s="146"/>
      <c r="H108" s="146"/>
      <c r="I108" s="146"/>
      <c r="J108" s="146"/>
      <c r="K108" s="146"/>
      <c r="L108" s="146"/>
      <c r="M108" s="458"/>
      <c r="N108" s="145"/>
      <c r="O108" s="146"/>
      <c r="P108" s="146"/>
      <c r="Q108" s="147"/>
      <c r="R108" s="147"/>
      <c r="S108" s="142"/>
      <c r="T108" s="142"/>
      <c r="U108" s="2838"/>
      <c r="V108" s="2838"/>
      <c r="W108" s="2838"/>
      <c r="X108" s="2838"/>
      <c r="Y108" s="2838"/>
      <c r="Z108" s="2838"/>
      <c r="AA108" s="2838"/>
      <c r="AC108" s="2826"/>
      <c r="AD108" s="2826"/>
      <c r="AE108" s="2826"/>
      <c r="AF108" s="2826"/>
      <c r="AG108" s="2826"/>
      <c r="AH108" s="2826"/>
      <c r="AI108" s="2826"/>
      <c r="AJ108" s="2826"/>
      <c r="AK108" s="2826"/>
      <c r="AL108" s="2826"/>
      <c r="AM108" s="2826"/>
    </row>
    <row r="109" spans="1:40" s="3021" customFormat="1" ht="11">
      <c r="B109" s="144"/>
      <c r="C109" s="143"/>
      <c r="D109" s="907"/>
      <c r="E109" s="143"/>
      <c r="F109" s="145"/>
      <c r="G109" s="146"/>
      <c r="H109" s="146"/>
      <c r="I109" s="146"/>
      <c r="J109" s="146"/>
      <c r="K109" s="146"/>
      <c r="L109" s="146"/>
      <c r="M109" s="458"/>
      <c r="N109" s="145"/>
      <c r="O109" s="146"/>
      <c r="P109" s="146"/>
      <c r="Q109" s="147"/>
      <c r="R109" s="147"/>
      <c r="S109" s="142"/>
      <c r="T109" s="142"/>
      <c r="U109" s="2838"/>
      <c r="V109" s="2838"/>
      <c r="W109" s="2838"/>
      <c r="X109" s="2838"/>
      <c r="Y109" s="2838"/>
      <c r="Z109" s="2838"/>
      <c r="AA109" s="2838"/>
      <c r="AC109" s="2826"/>
      <c r="AD109" s="2826"/>
      <c r="AE109" s="2826"/>
      <c r="AF109" s="2826"/>
      <c r="AG109" s="2826"/>
      <c r="AH109" s="2826"/>
      <c r="AI109" s="2826"/>
      <c r="AJ109" s="2826"/>
      <c r="AK109" s="2826"/>
      <c r="AL109" s="2826"/>
      <c r="AM109" s="2826"/>
    </row>
    <row r="110" spans="1:40" s="3021" customFormat="1" ht="11">
      <c r="B110" s="144"/>
      <c r="C110" s="143"/>
      <c r="D110" s="907"/>
      <c r="E110" s="143"/>
      <c r="F110" s="145"/>
      <c r="G110" s="146"/>
      <c r="H110" s="146"/>
      <c r="I110" s="146"/>
      <c r="J110" s="146"/>
      <c r="K110" s="146"/>
      <c r="L110" s="146"/>
      <c r="M110" s="458"/>
      <c r="N110" s="145"/>
      <c r="O110" s="146"/>
      <c r="P110" s="146"/>
      <c r="Q110" s="147"/>
      <c r="R110" s="147"/>
      <c r="S110" s="142"/>
      <c r="T110" s="142"/>
      <c r="U110" s="2838"/>
      <c r="V110" s="2838"/>
      <c r="W110" s="2838"/>
      <c r="X110" s="2838"/>
      <c r="Y110" s="2838"/>
      <c r="Z110" s="2838"/>
      <c r="AA110" s="2838"/>
      <c r="AC110" s="2826"/>
      <c r="AD110" s="2826"/>
      <c r="AE110" s="2826"/>
      <c r="AF110" s="2826"/>
      <c r="AG110" s="2826"/>
      <c r="AH110" s="2826"/>
      <c r="AI110" s="2826"/>
      <c r="AJ110" s="2826"/>
      <c r="AK110" s="2826"/>
      <c r="AL110" s="2826"/>
      <c r="AM110" s="2826"/>
    </row>
    <row r="111" spans="1:40" s="3021" customFormat="1" ht="11">
      <c r="B111" s="144"/>
      <c r="C111" s="143"/>
      <c r="D111" s="907"/>
      <c r="E111" s="143"/>
      <c r="F111" s="145"/>
      <c r="G111" s="146"/>
      <c r="H111" s="146"/>
      <c r="I111" s="146"/>
      <c r="J111" s="146"/>
      <c r="K111" s="146"/>
      <c r="L111" s="146"/>
      <c r="M111" s="458"/>
      <c r="N111" s="145"/>
      <c r="O111" s="146"/>
      <c r="P111" s="146"/>
      <c r="Q111" s="147"/>
      <c r="R111" s="147"/>
      <c r="S111" s="142"/>
      <c r="T111" s="142"/>
      <c r="U111" s="2838"/>
      <c r="V111" s="2838"/>
      <c r="W111" s="2838"/>
      <c r="X111" s="2838"/>
      <c r="Y111" s="2838"/>
      <c r="Z111" s="2838"/>
      <c r="AA111" s="2838"/>
      <c r="AC111" s="2826"/>
      <c r="AD111" s="2826"/>
      <c r="AE111" s="2826"/>
      <c r="AF111" s="2826"/>
      <c r="AG111" s="2826"/>
      <c r="AH111" s="2826"/>
      <c r="AI111" s="2826"/>
      <c r="AJ111" s="2826"/>
      <c r="AK111" s="2826"/>
      <c r="AL111" s="2826"/>
      <c r="AM111" s="2826"/>
    </row>
    <row r="112" spans="1:40" s="3021" customFormat="1" ht="11">
      <c r="B112" s="144"/>
      <c r="C112" s="143"/>
      <c r="D112" s="907"/>
      <c r="E112" s="143"/>
      <c r="F112" s="145"/>
      <c r="G112" s="146"/>
      <c r="H112" s="146"/>
      <c r="I112" s="146"/>
      <c r="J112" s="146"/>
      <c r="K112" s="146"/>
      <c r="L112" s="146"/>
      <c r="M112" s="458"/>
      <c r="N112" s="145"/>
      <c r="O112" s="146"/>
      <c r="P112" s="146"/>
      <c r="Q112" s="147"/>
      <c r="R112" s="147"/>
      <c r="S112" s="142"/>
      <c r="T112" s="142"/>
      <c r="U112" s="146"/>
      <c r="V112" s="146"/>
      <c r="W112" s="146"/>
      <c r="X112" s="146"/>
      <c r="Y112" s="146"/>
      <c r="Z112" s="146"/>
      <c r="AA112" s="146"/>
      <c r="AC112" s="2826"/>
      <c r="AD112" s="2826"/>
      <c r="AE112" s="2826"/>
      <c r="AF112" s="2826"/>
      <c r="AG112" s="2826"/>
      <c r="AH112" s="2826"/>
      <c r="AI112" s="2826"/>
      <c r="AJ112" s="2826"/>
      <c r="AK112" s="2826"/>
      <c r="AL112" s="2826"/>
      <c r="AM112" s="2826"/>
    </row>
    <row r="113" spans="2:39" s="3021" customFormat="1" ht="11">
      <c r="B113" s="144"/>
      <c r="C113" s="143"/>
      <c r="D113" s="907"/>
      <c r="E113" s="143"/>
      <c r="F113" s="145"/>
      <c r="G113" s="146"/>
      <c r="H113" s="146"/>
      <c r="I113" s="146"/>
      <c r="J113" s="146"/>
      <c r="K113" s="146"/>
      <c r="L113" s="146"/>
      <c r="M113" s="458"/>
      <c r="N113" s="145"/>
      <c r="O113" s="146"/>
      <c r="P113" s="146"/>
      <c r="Q113" s="147"/>
      <c r="R113" s="147"/>
      <c r="S113" s="142"/>
      <c r="T113" s="142"/>
      <c r="U113" s="146"/>
      <c r="V113" s="146"/>
      <c r="W113" s="146"/>
      <c r="X113" s="146"/>
      <c r="Y113" s="146"/>
      <c r="Z113" s="146"/>
      <c r="AA113" s="146"/>
      <c r="AC113" s="2826"/>
      <c r="AD113" s="2826"/>
      <c r="AE113" s="2826"/>
      <c r="AF113" s="2826"/>
      <c r="AG113" s="2826"/>
      <c r="AH113" s="2826"/>
      <c r="AI113" s="2826"/>
      <c r="AJ113" s="2826"/>
      <c r="AK113" s="2826"/>
      <c r="AL113" s="2826"/>
      <c r="AM113" s="2826"/>
    </row>
    <row r="114" spans="2:39" s="3021" customFormat="1" ht="11">
      <c r="B114" s="144"/>
      <c r="C114" s="143"/>
      <c r="D114" s="907"/>
      <c r="E114" s="143"/>
      <c r="F114" s="145"/>
      <c r="G114" s="146"/>
      <c r="H114" s="146"/>
      <c r="I114" s="146"/>
      <c r="J114" s="146"/>
      <c r="K114" s="146"/>
      <c r="L114" s="146"/>
      <c r="M114" s="458"/>
      <c r="N114" s="145"/>
      <c r="O114" s="146"/>
      <c r="P114" s="146"/>
      <c r="Q114" s="147"/>
      <c r="R114" s="147"/>
      <c r="S114" s="142"/>
      <c r="T114" s="142"/>
      <c r="U114" s="146"/>
      <c r="V114" s="146"/>
      <c r="W114" s="146"/>
      <c r="X114" s="146"/>
      <c r="Y114" s="146"/>
      <c r="Z114" s="146"/>
      <c r="AA114" s="146"/>
      <c r="AC114" s="2826"/>
      <c r="AD114" s="2826"/>
      <c r="AE114" s="2826"/>
      <c r="AF114" s="2826"/>
      <c r="AG114" s="2826"/>
      <c r="AH114" s="2826"/>
      <c r="AI114" s="2826"/>
      <c r="AJ114" s="2826"/>
      <c r="AK114" s="2826"/>
      <c r="AL114" s="2826"/>
      <c r="AM114" s="2826"/>
    </row>
    <row r="115" spans="2:39" s="3021" customFormat="1" ht="11">
      <c r="B115" s="144"/>
      <c r="C115" s="143"/>
      <c r="D115" s="907"/>
      <c r="E115" s="143"/>
      <c r="F115" s="145"/>
      <c r="G115" s="146"/>
      <c r="H115" s="146"/>
      <c r="I115" s="146"/>
      <c r="J115" s="146"/>
      <c r="K115" s="146"/>
      <c r="L115" s="146"/>
      <c r="M115" s="458"/>
      <c r="N115" s="145"/>
      <c r="O115" s="146"/>
      <c r="P115" s="146"/>
      <c r="Q115" s="147"/>
      <c r="R115" s="147"/>
      <c r="S115" s="142"/>
      <c r="T115" s="142"/>
      <c r="U115" s="146"/>
      <c r="V115" s="146"/>
      <c r="W115" s="146"/>
      <c r="X115" s="146"/>
      <c r="Y115" s="146"/>
      <c r="Z115" s="146"/>
      <c r="AA115" s="146"/>
      <c r="AC115" s="2826"/>
      <c r="AD115" s="2826"/>
      <c r="AE115" s="2826"/>
      <c r="AF115" s="2826"/>
      <c r="AG115" s="2826"/>
      <c r="AH115" s="2826"/>
      <c r="AI115" s="2826"/>
      <c r="AJ115" s="2826"/>
      <c r="AK115" s="2826"/>
      <c r="AL115" s="2826"/>
      <c r="AM115" s="2826"/>
    </row>
    <row r="116" spans="2:39" s="3021" customFormat="1" ht="11">
      <c r="B116" s="144"/>
      <c r="C116" s="143"/>
      <c r="D116" s="907"/>
      <c r="E116" s="143"/>
      <c r="F116" s="145"/>
      <c r="G116" s="146"/>
      <c r="H116" s="146"/>
      <c r="I116" s="146"/>
      <c r="J116" s="146"/>
      <c r="K116" s="146"/>
      <c r="L116" s="146"/>
      <c r="M116" s="458"/>
      <c r="N116" s="145"/>
      <c r="O116" s="146"/>
      <c r="P116" s="146"/>
      <c r="Q116" s="147"/>
      <c r="R116" s="147"/>
      <c r="S116" s="142"/>
      <c r="T116" s="142"/>
      <c r="U116" s="146"/>
      <c r="V116" s="146"/>
      <c r="W116" s="146"/>
      <c r="X116" s="146"/>
      <c r="Y116" s="146"/>
      <c r="Z116" s="146"/>
      <c r="AA116" s="146"/>
      <c r="AC116" s="2826"/>
      <c r="AD116" s="2826"/>
      <c r="AE116" s="2826"/>
      <c r="AF116" s="2826"/>
      <c r="AG116" s="2826"/>
      <c r="AH116" s="2826"/>
      <c r="AI116" s="2826"/>
      <c r="AJ116" s="2826"/>
      <c r="AK116" s="2826"/>
      <c r="AL116" s="2826"/>
      <c r="AM116" s="2826"/>
    </row>
    <row r="117" spans="2:39" s="3021" customFormat="1" ht="11">
      <c r="B117" s="144"/>
      <c r="C117" s="143"/>
      <c r="D117" s="907"/>
      <c r="E117" s="143"/>
      <c r="F117" s="145"/>
      <c r="G117" s="146"/>
      <c r="H117" s="146"/>
      <c r="I117" s="146"/>
      <c r="J117" s="146"/>
      <c r="K117" s="146"/>
      <c r="L117" s="146"/>
      <c r="M117" s="458"/>
      <c r="N117" s="145"/>
      <c r="O117" s="146"/>
      <c r="P117" s="146"/>
      <c r="Q117" s="147"/>
      <c r="R117" s="147"/>
      <c r="S117" s="142"/>
      <c r="T117" s="142"/>
      <c r="U117" s="146"/>
      <c r="V117" s="146"/>
      <c r="W117" s="146"/>
      <c r="X117" s="146"/>
      <c r="Y117" s="146"/>
      <c r="Z117" s="146"/>
      <c r="AA117" s="146"/>
      <c r="AC117" s="2826"/>
      <c r="AD117" s="2826"/>
      <c r="AE117" s="2826"/>
      <c r="AF117" s="2826"/>
      <c r="AG117" s="2826"/>
      <c r="AH117" s="2826"/>
      <c r="AI117" s="2826"/>
      <c r="AJ117" s="2826"/>
      <c r="AK117" s="2826"/>
      <c r="AL117" s="2826"/>
      <c r="AM117" s="2826"/>
    </row>
    <row r="118" spans="2:39" s="3021" customFormat="1" ht="11">
      <c r="B118" s="144"/>
      <c r="C118" s="143"/>
      <c r="D118" s="907"/>
      <c r="E118" s="143"/>
      <c r="F118" s="145"/>
      <c r="G118" s="146"/>
      <c r="H118" s="146"/>
      <c r="I118" s="146"/>
      <c r="J118" s="146"/>
      <c r="K118" s="146"/>
      <c r="L118" s="146"/>
      <c r="M118" s="458"/>
      <c r="N118" s="145"/>
      <c r="O118" s="146"/>
      <c r="P118" s="146"/>
      <c r="Q118" s="147"/>
      <c r="R118" s="147"/>
      <c r="S118" s="142"/>
      <c r="T118" s="142"/>
      <c r="U118" s="146"/>
      <c r="V118" s="146"/>
      <c r="W118" s="146"/>
      <c r="X118" s="146"/>
      <c r="Y118" s="146"/>
      <c r="Z118" s="146"/>
      <c r="AA118" s="146"/>
      <c r="AC118" s="2826"/>
      <c r="AD118" s="2826"/>
      <c r="AE118" s="2826"/>
      <c r="AF118" s="2826"/>
      <c r="AG118" s="2826"/>
      <c r="AH118" s="2826"/>
      <c r="AI118" s="2826"/>
      <c r="AJ118" s="2826"/>
      <c r="AK118" s="2826"/>
      <c r="AL118" s="2826"/>
      <c r="AM118" s="2826"/>
    </row>
    <row r="119" spans="2:39" s="3021" customFormat="1" ht="11">
      <c r="B119" s="144"/>
      <c r="C119" s="143"/>
      <c r="D119" s="907"/>
      <c r="E119" s="143"/>
      <c r="F119" s="145"/>
      <c r="G119" s="146"/>
      <c r="H119" s="146"/>
      <c r="I119" s="146"/>
      <c r="J119" s="146"/>
      <c r="K119" s="146"/>
      <c r="L119" s="146"/>
      <c r="M119" s="458"/>
      <c r="N119" s="145"/>
      <c r="O119" s="146"/>
      <c r="P119" s="146"/>
      <c r="Q119" s="147"/>
      <c r="R119" s="147"/>
      <c r="S119" s="142"/>
      <c r="T119" s="142"/>
      <c r="U119" s="146"/>
      <c r="V119" s="146"/>
      <c r="W119" s="146"/>
      <c r="X119" s="146"/>
      <c r="Y119" s="146"/>
      <c r="Z119" s="146"/>
      <c r="AA119" s="146"/>
      <c r="AC119" s="2826"/>
      <c r="AD119" s="2826"/>
      <c r="AE119" s="2826"/>
      <c r="AF119" s="2826"/>
      <c r="AG119" s="2826"/>
      <c r="AH119" s="2826"/>
      <c r="AI119" s="2826"/>
      <c r="AJ119" s="2826"/>
      <c r="AK119" s="2826"/>
      <c r="AL119" s="2826"/>
      <c r="AM119" s="2826"/>
    </row>
    <row r="120" spans="2:39" s="3021" customFormat="1" ht="11">
      <c r="B120" s="144"/>
      <c r="C120" s="143"/>
      <c r="D120" s="907"/>
      <c r="E120" s="143"/>
      <c r="F120" s="145"/>
      <c r="G120" s="146"/>
      <c r="H120" s="146"/>
      <c r="I120" s="146"/>
      <c r="J120" s="146"/>
      <c r="K120" s="146"/>
      <c r="L120" s="146"/>
      <c r="M120" s="458"/>
      <c r="N120" s="145"/>
      <c r="O120" s="146"/>
      <c r="P120" s="146"/>
      <c r="Q120" s="147"/>
      <c r="R120" s="147"/>
      <c r="S120" s="142"/>
      <c r="T120" s="142"/>
      <c r="U120" s="146"/>
      <c r="V120" s="146"/>
      <c r="W120" s="146"/>
      <c r="X120" s="146"/>
      <c r="Y120" s="146"/>
      <c r="Z120" s="146"/>
      <c r="AA120" s="146"/>
      <c r="AC120" s="2826"/>
      <c r="AD120" s="2826"/>
      <c r="AE120" s="2826"/>
      <c r="AF120" s="2826"/>
      <c r="AG120" s="2826"/>
      <c r="AH120" s="2826"/>
      <c r="AI120" s="2826"/>
      <c r="AJ120" s="2826"/>
      <c r="AK120" s="2826"/>
      <c r="AL120" s="2826"/>
      <c r="AM120" s="2826"/>
    </row>
    <row r="121" spans="2:39" s="3021" customFormat="1" ht="11">
      <c r="B121" s="144"/>
      <c r="C121" s="143"/>
      <c r="D121" s="907"/>
      <c r="E121" s="143"/>
      <c r="F121" s="145"/>
      <c r="G121" s="146"/>
      <c r="H121" s="146"/>
      <c r="I121" s="146"/>
      <c r="J121" s="146"/>
      <c r="K121" s="146"/>
      <c r="L121" s="146"/>
      <c r="M121" s="458"/>
      <c r="N121" s="145"/>
      <c r="O121" s="146"/>
      <c r="P121" s="146"/>
      <c r="Q121" s="147"/>
      <c r="R121" s="147"/>
      <c r="S121" s="142"/>
      <c r="T121" s="142"/>
      <c r="U121" s="146"/>
      <c r="V121" s="146"/>
      <c r="W121" s="146"/>
      <c r="X121" s="146"/>
      <c r="Y121" s="146"/>
      <c r="Z121" s="146"/>
      <c r="AA121" s="146"/>
      <c r="AC121" s="2826"/>
      <c r="AD121" s="2826"/>
      <c r="AE121" s="2826"/>
      <c r="AF121" s="2826"/>
      <c r="AG121" s="2826"/>
      <c r="AH121" s="2826"/>
      <c r="AI121" s="2826"/>
      <c r="AJ121" s="2826"/>
      <c r="AK121" s="2826"/>
      <c r="AL121" s="2826"/>
      <c r="AM121" s="2826"/>
    </row>
    <row r="122" spans="2:39" s="3021" customFormat="1" ht="11">
      <c r="B122" s="144"/>
      <c r="C122" s="143"/>
      <c r="D122" s="907"/>
      <c r="E122" s="143"/>
      <c r="F122" s="145"/>
      <c r="G122" s="146"/>
      <c r="H122" s="146"/>
      <c r="I122" s="146"/>
      <c r="J122" s="146"/>
      <c r="K122" s="146"/>
      <c r="L122" s="146"/>
      <c r="M122" s="458"/>
      <c r="N122" s="145"/>
      <c r="O122" s="146"/>
      <c r="P122" s="146"/>
      <c r="Q122" s="147"/>
      <c r="R122" s="147"/>
      <c r="S122" s="142"/>
      <c r="T122" s="142"/>
      <c r="U122" s="146"/>
      <c r="V122" s="146"/>
      <c r="W122" s="146"/>
      <c r="X122" s="146"/>
      <c r="Y122" s="146"/>
      <c r="Z122" s="146"/>
      <c r="AA122" s="146"/>
      <c r="AC122" s="2826"/>
      <c r="AD122" s="2826"/>
      <c r="AE122" s="2826"/>
      <c r="AF122" s="2826"/>
      <c r="AG122" s="2826"/>
      <c r="AH122" s="2826"/>
      <c r="AI122" s="2826"/>
      <c r="AJ122" s="2826"/>
      <c r="AK122" s="2826"/>
      <c r="AL122" s="2826"/>
      <c r="AM122" s="2826"/>
    </row>
    <row r="123" spans="2:39" s="3021" customFormat="1" ht="11">
      <c r="B123" s="144"/>
      <c r="C123" s="143"/>
      <c r="D123" s="907"/>
      <c r="E123" s="143"/>
      <c r="F123" s="145"/>
      <c r="G123" s="146"/>
      <c r="H123" s="146"/>
      <c r="I123" s="146"/>
      <c r="J123" s="146"/>
      <c r="K123" s="146"/>
      <c r="L123" s="146"/>
      <c r="M123" s="458"/>
      <c r="N123" s="145"/>
      <c r="O123" s="146"/>
      <c r="P123" s="146"/>
      <c r="Q123" s="147"/>
      <c r="R123" s="147"/>
      <c r="S123" s="142"/>
      <c r="T123" s="142"/>
      <c r="U123" s="146"/>
      <c r="V123" s="146"/>
      <c r="W123" s="146"/>
      <c r="X123" s="146"/>
      <c r="Y123" s="146"/>
      <c r="Z123" s="146"/>
      <c r="AA123" s="146"/>
      <c r="AC123" s="2826"/>
      <c r="AD123" s="2826"/>
      <c r="AE123" s="2826"/>
      <c r="AF123" s="2826"/>
      <c r="AG123" s="2826"/>
      <c r="AH123" s="2826"/>
      <c r="AI123" s="2826"/>
      <c r="AJ123" s="2826"/>
      <c r="AK123" s="2826"/>
      <c r="AL123" s="2826"/>
      <c r="AM123" s="2826"/>
    </row>
    <row r="124" spans="2:39" s="3021" customFormat="1" ht="11">
      <c r="B124" s="144"/>
      <c r="C124" s="143"/>
      <c r="D124" s="907"/>
      <c r="E124" s="143"/>
      <c r="F124" s="145"/>
      <c r="G124" s="146"/>
      <c r="H124" s="146"/>
      <c r="I124" s="146"/>
      <c r="J124" s="146"/>
      <c r="K124" s="146"/>
      <c r="L124" s="146"/>
      <c r="M124" s="458"/>
      <c r="N124" s="145"/>
      <c r="O124" s="146"/>
      <c r="P124" s="146"/>
      <c r="Q124" s="147"/>
      <c r="R124" s="147"/>
      <c r="S124" s="142"/>
      <c r="T124" s="142"/>
      <c r="U124" s="146"/>
      <c r="V124" s="146"/>
      <c r="W124" s="146"/>
      <c r="X124" s="146"/>
      <c r="Y124" s="146"/>
      <c r="Z124" s="146"/>
      <c r="AA124" s="146"/>
      <c r="AC124" s="2826"/>
      <c r="AD124" s="2826"/>
      <c r="AE124" s="2826"/>
      <c r="AF124" s="2826"/>
      <c r="AG124" s="2826"/>
      <c r="AH124" s="2826"/>
      <c r="AI124" s="2826"/>
      <c r="AJ124" s="2826"/>
      <c r="AK124" s="2826"/>
      <c r="AL124" s="2826"/>
      <c r="AM124" s="2826"/>
    </row>
    <row r="125" spans="2:39" s="3021" customFormat="1" ht="11">
      <c r="B125" s="144"/>
      <c r="C125" s="143"/>
      <c r="D125" s="907"/>
      <c r="E125" s="143"/>
      <c r="F125" s="145"/>
      <c r="G125" s="146"/>
      <c r="H125" s="146"/>
      <c r="I125" s="146"/>
      <c r="J125" s="146"/>
      <c r="K125" s="146"/>
      <c r="L125" s="146"/>
      <c r="M125" s="458"/>
      <c r="N125" s="145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C125" s="2826"/>
      <c r="AD125" s="2826"/>
      <c r="AE125" s="2826"/>
      <c r="AF125" s="2826"/>
      <c r="AG125" s="2826"/>
      <c r="AH125" s="2826"/>
      <c r="AI125" s="2826"/>
      <c r="AJ125" s="2826"/>
      <c r="AK125" s="2826"/>
      <c r="AL125" s="2826"/>
      <c r="AM125" s="2826"/>
    </row>
    <row r="126" spans="2:39" s="3021" customFormat="1" ht="11">
      <c r="B126" s="144"/>
      <c r="C126" s="143"/>
      <c r="D126" s="907"/>
      <c r="E126" s="143"/>
      <c r="F126" s="145"/>
      <c r="G126" s="146"/>
      <c r="H126" s="146"/>
      <c r="I126" s="146"/>
      <c r="J126" s="146"/>
      <c r="K126" s="146"/>
      <c r="L126" s="146"/>
      <c r="M126" s="458"/>
      <c r="N126" s="145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C126" s="2826"/>
      <c r="AD126" s="2826"/>
      <c r="AE126" s="2826"/>
      <c r="AF126" s="2826"/>
      <c r="AG126" s="2826"/>
      <c r="AH126" s="2826"/>
      <c r="AI126" s="2826"/>
      <c r="AJ126" s="2826"/>
      <c r="AK126" s="2826"/>
      <c r="AL126" s="2826"/>
      <c r="AM126" s="2826"/>
    </row>
    <row r="127" spans="2:39" s="3021" customFormat="1" ht="11">
      <c r="B127" s="144"/>
      <c r="C127" s="143"/>
      <c r="D127" s="907"/>
      <c r="E127" s="143"/>
      <c r="F127" s="145"/>
      <c r="G127" s="146"/>
      <c r="H127" s="146"/>
      <c r="I127" s="146"/>
      <c r="J127" s="146"/>
      <c r="K127" s="146"/>
      <c r="L127" s="146"/>
      <c r="M127" s="458"/>
      <c r="N127" s="145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C127" s="2826"/>
      <c r="AD127" s="2826"/>
      <c r="AE127" s="2826"/>
      <c r="AF127" s="2826"/>
      <c r="AG127" s="2826"/>
      <c r="AH127" s="2826"/>
      <c r="AI127" s="2826"/>
      <c r="AJ127" s="2826"/>
      <c r="AK127" s="2826"/>
      <c r="AL127" s="2826"/>
      <c r="AM127" s="2826"/>
    </row>
    <row r="128" spans="2:39" s="3021" customFormat="1" ht="11">
      <c r="B128" s="144"/>
      <c r="C128" s="143"/>
      <c r="D128" s="907"/>
      <c r="E128" s="143"/>
      <c r="F128" s="145"/>
      <c r="G128" s="146"/>
      <c r="H128" s="146"/>
      <c r="I128" s="146"/>
      <c r="J128" s="146"/>
      <c r="K128" s="146"/>
      <c r="L128" s="146"/>
      <c r="M128" s="458"/>
      <c r="N128" s="145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C128" s="2826"/>
      <c r="AD128" s="2826"/>
      <c r="AE128" s="2826"/>
      <c r="AF128" s="2826"/>
      <c r="AG128" s="2826"/>
      <c r="AH128" s="2826"/>
      <c r="AI128" s="2826"/>
      <c r="AJ128" s="2826"/>
      <c r="AK128" s="2826"/>
      <c r="AL128" s="2826"/>
      <c r="AM128" s="2826"/>
    </row>
    <row r="129" spans="2:39" s="3021" customFormat="1" ht="11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146"/>
      <c r="M129" s="458"/>
      <c r="N129" s="145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C129" s="2826"/>
      <c r="AD129" s="2826"/>
      <c r="AE129" s="2826"/>
      <c r="AF129" s="2826"/>
      <c r="AG129" s="2826"/>
      <c r="AH129" s="2826"/>
      <c r="AI129" s="2826"/>
      <c r="AJ129" s="2826"/>
      <c r="AK129" s="2826"/>
      <c r="AL129" s="2826"/>
      <c r="AM129" s="2826"/>
    </row>
    <row r="130" spans="2:39" s="3021" customFormat="1" ht="11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146"/>
      <c r="M130" s="458"/>
      <c r="N130" s="145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C130" s="2826"/>
      <c r="AD130" s="2826"/>
      <c r="AE130" s="2826"/>
      <c r="AF130" s="2826"/>
      <c r="AG130" s="2826"/>
      <c r="AH130" s="2826"/>
      <c r="AI130" s="2826"/>
      <c r="AJ130" s="2826"/>
      <c r="AK130" s="2826"/>
      <c r="AL130" s="2826"/>
      <c r="AM130" s="2826"/>
    </row>
    <row r="131" spans="2:39" s="3021" customFormat="1" ht="11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146"/>
      <c r="M131" s="458"/>
      <c r="N131" s="145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C131" s="2826"/>
      <c r="AD131" s="2826"/>
      <c r="AE131" s="2826"/>
      <c r="AF131" s="2826"/>
      <c r="AG131" s="2826"/>
      <c r="AH131" s="2826"/>
      <c r="AI131" s="2826"/>
      <c r="AJ131" s="2826"/>
      <c r="AK131" s="2826"/>
      <c r="AL131" s="2826"/>
      <c r="AM131" s="2826"/>
    </row>
    <row r="132" spans="2:39" s="3021" customFormat="1" ht="11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146"/>
      <c r="M132" s="458"/>
      <c r="N132" s="145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C132" s="2826"/>
      <c r="AD132" s="2826"/>
      <c r="AE132" s="2826"/>
      <c r="AF132" s="2826"/>
      <c r="AG132" s="2826"/>
      <c r="AH132" s="2826"/>
      <c r="AI132" s="2826"/>
      <c r="AJ132" s="2826"/>
      <c r="AK132" s="2826"/>
      <c r="AL132" s="2826"/>
      <c r="AM132" s="2826"/>
    </row>
    <row r="133" spans="2:39" s="3021" customFormat="1" ht="11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146"/>
      <c r="M133" s="458"/>
      <c r="N133" s="145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B133" s="3021">
        <f>SUBTOTAL(9,AB91:AB132)</f>
        <v>0</v>
      </c>
      <c r="AC133" s="2826">
        <f>SUBTOTAL(9,AC91:AC132)</f>
        <v>0</v>
      </c>
      <c r="AD133" s="2826">
        <f>SUBTOTAL(9,AD91:AD132)</f>
        <v>0</v>
      </c>
      <c r="AE133" s="2826"/>
      <c r="AF133" s="2826"/>
      <c r="AG133" s="2826"/>
      <c r="AH133" s="2826"/>
      <c r="AI133" s="2826"/>
      <c r="AJ133" s="2826"/>
      <c r="AK133" s="2826"/>
      <c r="AL133" s="2826"/>
      <c r="AM133" s="2826"/>
    </row>
    <row r="134" spans="2:39" s="3021" customFormat="1" ht="1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146"/>
      <c r="M134" s="458"/>
      <c r="N134" s="145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B134" s="3021">
        <v>0</v>
      </c>
      <c r="AC134" s="2826">
        <v>0</v>
      </c>
      <c r="AD134" s="2826">
        <v>0</v>
      </c>
      <c r="AE134" s="2826"/>
      <c r="AF134" s="2826"/>
      <c r="AG134" s="2826"/>
      <c r="AH134" s="2826"/>
      <c r="AI134" s="2826"/>
      <c r="AJ134" s="2826"/>
      <c r="AK134" s="2826"/>
      <c r="AL134" s="2826"/>
      <c r="AM134" s="2826"/>
    </row>
    <row r="135" spans="2:39" s="3021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146"/>
      <c r="M135" s="458"/>
      <c r="N135" s="145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B135" s="3021">
        <v>0</v>
      </c>
      <c r="AC135" s="2826">
        <v>0</v>
      </c>
      <c r="AD135" s="2826">
        <v>0</v>
      </c>
      <c r="AE135" s="2826"/>
      <c r="AF135" s="2826"/>
      <c r="AG135" s="2826"/>
      <c r="AH135" s="2826"/>
      <c r="AI135" s="2826"/>
      <c r="AJ135" s="2826"/>
      <c r="AK135" s="2826"/>
      <c r="AL135" s="2826"/>
      <c r="AM135" s="2826"/>
    </row>
    <row r="136" spans="2:39" s="3021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146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B136" s="3021">
        <v>0</v>
      </c>
      <c r="AC136" s="2826">
        <v>0</v>
      </c>
      <c r="AD136" s="2826">
        <v>0</v>
      </c>
      <c r="AE136" s="2826"/>
      <c r="AF136" s="2826"/>
      <c r="AG136" s="2826"/>
      <c r="AH136" s="2826"/>
      <c r="AI136" s="2826"/>
      <c r="AJ136" s="2826"/>
      <c r="AK136" s="2826"/>
      <c r="AL136" s="2826"/>
      <c r="AM136" s="2826"/>
    </row>
    <row r="137" spans="2:39" s="3021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146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B137" s="3021">
        <v>0</v>
      </c>
      <c r="AC137" s="2826">
        <v>0</v>
      </c>
      <c r="AD137" s="2826">
        <v>0</v>
      </c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2:39" s="3021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146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B138" s="3021">
        <v>0</v>
      </c>
      <c r="AC138" s="2826">
        <v>0</v>
      </c>
      <c r="AD138" s="2826">
        <v>0</v>
      </c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2:39" s="3021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146"/>
      <c r="M139" s="458"/>
      <c r="N139" s="145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B139" s="3021">
        <v>0</v>
      </c>
      <c r="AC139" s="2826">
        <v>0</v>
      </c>
      <c r="AD139" s="2826">
        <v>0</v>
      </c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2:39" s="3021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B140" s="3021">
        <v>0</v>
      </c>
      <c r="AC140" s="2826">
        <v>0</v>
      </c>
      <c r="AD140" s="2826">
        <v>0</v>
      </c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2:39" s="3021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B141" s="3021">
        <v>0</v>
      </c>
      <c r="AC141" s="2826">
        <v>0</v>
      </c>
      <c r="AD141" s="2826">
        <v>0</v>
      </c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2:39" s="3021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B142" s="3021">
        <v>0</v>
      </c>
      <c r="AC142" s="2826">
        <v>0</v>
      </c>
      <c r="AD142" s="2826">
        <v>0</v>
      </c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2:39" s="3021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B143" s="3021">
        <v>0</v>
      </c>
      <c r="AC143" s="2826">
        <v>0</v>
      </c>
      <c r="AD143" s="2826">
        <v>0</v>
      </c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2:39" s="3021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146">
        <f>SUBTOTAL(9,U102:U143)</f>
        <v>0</v>
      </c>
      <c r="V144" s="146">
        <f t="shared" ref="V144:AA144" si="69">SUBTOTAL(9,V102:V143)</f>
        <v>0</v>
      </c>
      <c r="W144" s="146">
        <f t="shared" si="69"/>
        <v>0</v>
      </c>
      <c r="X144" s="146">
        <f t="shared" si="69"/>
        <v>0</v>
      </c>
      <c r="Y144" s="146">
        <f t="shared" si="69"/>
        <v>0</v>
      </c>
      <c r="Z144" s="146">
        <f t="shared" si="69"/>
        <v>0</v>
      </c>
      <c r="AA144" s="146">
        <f t="shared" si="69"/>
        <v>0</v>
      </c>
      <c r="AB144" s="3021">
        <v>0</v>
      </c>
      <c r="AC144" s="2826">
        <v>0</v>
      </c>
      <c r="AD144" s="2826">
        <v>0</v>
      </c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41" s="2825" customFormat="1" ht="14" thickBot="1">
      <c r="B145" s="139"/>
      <c r="C145" s="138"/>
      <c r="D145" s="908"/>
      <c r="E145" s="138"/>
      <c r="F145" s="140"/>
      <c r="G145" s="141"/>
      <c r="H145" s="141"/>
      <c r="I145" s="141"/>
      <c r="J145" s="141"/>
      <c r="K145" s="141"/>
      <c r="L145" s="141"/>
      <c r="M145" s="458"/>
      <c r="N145" s="140"/>
      <c r="O145" s="141"/>
      <c r="P145" s="141"/>
      <c r="Q145" s="148"/>
      <c r="R145" s="148"/>
      <c r="S145" s="149"/>
      <c r="T145" s="149"/>
      <c r="U145" s="150"/>
      <c r="V145" s="150"/>
      <c r="W145" s="150"/>
      <c r="X145" s="150"/>
      <c r="Y145" s="150"/>
      <c r="Z145" s="150"/>
      <c r="AA145" s="150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41" s="2825" customFormat="1" ht="15" thickTop="1" thickBot="1">
      <c r="B146" s="139"/>
      <c r="C146" s="138"/>
      <c r="D146" s="908"/>
      <c r="E146" s="138"/>
      <c r="F146" s="140"/>
      <c r="G146" s="141"/>
      <c r="H146" s="141"/>
      <c r="I146" s="141"/>
      <c r="J146" s="141"/>
      <c r="K146" s="141"/>
      <c r="L146" s="141"/>
      <c r="M146" s="458"/>
      <c r="N146" s="140"/>
      <c r="O146" s="141"/>
      <c r="P146" s="141"/>
      <c r="Q146" s="148"/>
      <c r="R146" s="148"/>
      <c r="S146" s="148"/>
      <c r="T146" s="149"/>
      <c r="U146" s="151"/>
      <c r="V146" s="152"/>
      <c r="W146" s="153"/>
      <c r="X146" s="153"/>
      <c r="Y146" s="153"/>
      <c r="Z146" s="153"/>
      <c r="AA146" s="154"/>
      <c r="AB146" s="3022"/>
      <c r="AC146" s="3022"/>
      <c r="AE146" s="2826"/>
      <c r="AF146" s="2826"/>
      <c r="AG146" s="2826"/>
      <c r="AH146" s="2826"/>
      <c r="AI146" s="2826"/>
      <c r="AJ146" s="2826"/>
      <c r="AK146" s="2826"/>
      <c r="AL146" s="2826"/>
      <c r="AM146" s="2826"/>
      <c r="AN146" s="2826"/>
      <c r="AO146" s="2826"/>
    </row>
    <row r="147" spans="2:41" s="3021" customFormat="1" ht="12" thickTop="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41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41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41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41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41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41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41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41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41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41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41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41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41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82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826"/>
      <c r="AD174" s="2826"/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826"/>
      <c r="AD175" s="2826"/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82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41" s="3021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41" s="3021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41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41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3021" customFormat="1" ht="11">
      <c r="B183" s="3159"/>
      <c r="D183" s="3160"/>
      <c r="F183" s="3023"/>
      <c r="G183" s="3024"/>
      <c r="H183" s="3024"/>
      <c r="I183" s="3024"/>
      <c r="J183" s="3024"/>
      <c r="K183" s="3024"/>
      <c r="L183" s="3024"/>
      <c r="M183" s="3025"/>
      <c r="N183" s="3023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41" s="3021" customFormat="1" ht="11">
      <c r="B184" s="3159"/>
      <c r="D184" s="3160"/>
      <c r="F184" s="3023"/>
      <c r="G184" s="3024"/>
      <c r="H184" s="3024"/>
      <c r="I184" s="3024"/>
      <c r="J184" s="3024"/>
      <c r="K184" s="3024"/>
      <c r="L184" s="3024"/>
      <c r="M184" s="3025"/>
      <c r="N184" s="3023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41" s="3021" customFormat="1" ht="11">
      <c r="B185" s="3159"/>
      <c r="D185" s="3160"/>
      <c r="F185" s="3023"/>
      <c r="G185" s="3024"/>
      <c r="H185" s="3024"/>
      <c r="I185" s="3024"/>
      <c r="J185" s="3024"/>
      <c r="K185" s="3024"/>
      <c r="L185" s="3024"/>
      <c r="M185" s="3025"/>
      <c r="N185" s="3023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3021" customFormat="1" ht="11">
      <c r="B186" s="3159"/>
      <c r="D186" s="3160"/>
      <c r="F186" s="3023"/>
      <c r="G186" s="3024"/>
      <c r="H186" s="3024"/>
      <c r="I186" s="3024"/>
      <c r="J186" s="3024"/>
      <c r="K186" s="3024"/>
      <c r="L186" s="3024"/>
      <c r="M186" s="3025"/>
      <c r="N186" s="3023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41" s="3021" customFormat="1" ht="11">
      <c r="B187" s="3159"/>
      <c r="D187" s="3160"/>
      <c r="F187" s="3023"/>
      <c r="G187" s="3024"/>
      <c r="H187" s="3024"/>
      <c r="I187" s="3024"/>
      <c r="J187" s="3024"/>
      <c r="K187" s="3024"/>
      <c r="L187" s="3024"/>
      <c r="M187" s="3025"/>
      <c r="N187" s="3023"/>
      <c r="O187" s="146"/>
      <c r="P187" s="146"/>
      <c r="Q187" s="147"/>
      <c r="R187" s="147"/>
      <c r="S187" s="142"/>
      <c r="T187" s="142"/>
      <c r="U187" s="146">
        <f>SUBTOTAL(9,U145:U186)</f>
        <v>0</v>
      </c>
      <c r="V187" s="146">
        <f t="shared" ref="V187:AA187" si="70">SUBTOTAL(9,V145:V186)</f>
        <v>0</v>
      </c>
      <c r="W187" s="146">
        <f t="shared" si="70"/>
        <v>0</v>
      </c>
      <c r="X187" s="146">
        <f t="shared" si="70"/>
        <v>0</v>
      </c>
      <c r="Y187" s="146">
        <f t="shared" si="70"/>
        <v>0</v>
      </c>
      <c r="Z187" s="146">
        <f t="shared" si="70"/>
        <v>0</v>
      </c>
      <c r="AA187" s="146">
        <f t="shared" si="70"/>
        <v>0</v>
      </c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41" s="2825" customFormat="1" ht="14" thickBot="1">
      <c r="B188" s="2935"/>
      <c r="D188" s="3161"/>
      <c r="F188" s="3026"/>
      <c r="G188" s="3027"/>
      <c r="H188" s="3027"/>
      <c r="I188" s="3027"/>
      <c r="J188" s="3027"/>
      <c r="K188" s="3027"/>
      <c r="L188" s="3027"/>
      <c r="M188" s="3025"/>
      <c r="N188" s="3026"/>
      <c r="O188" s="141"/>
      <c r="P188" s="141"/>
      <c r="Q188" s="148"/>
      <c r="R188" s="148"/>
      <c r="S188" s="149"/>
      <c r="T188" s="149"/>
      <c r="U188" s="150"/>
      <c r="V188" s="150"/>
      <c r="W188" s="150"/>
      <c r="X188" s="150"/>
      <c r="Y188" s="150"/>
      <c r="Z188" s="150"/>
      <c r="AA188" s="150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2825" customFormat="1" ht="15" thickTop="1" thickBot="1">
      <c r="B189" s="2935"/>
      <c r="D189" s="3161"/>
      <c r="F189" s="3026"/>
      <c r="G189" s="3027"/>
      <c r="H189" s="3027"/>
      <c r="I189" s="3027"/>
      <c r="J189" s="3027"/>
      <c r="K189" s="3027"/>
      <c r="L189" s="3027"/>
      <c r="M189" s="3025"/>
      <c r="N189" s="3026"/>
      <c r="O189" s="141"/>
      <c r="P189" s="141"/>
      <c r="Q189" s="148"/>
      <c r="R189" s="148"/>
      <c r="S189" s="148"/>
      <c r="T189" s="148"/>
      <c r="U189" s="151">
        <f>SUBTOTAL(9,U147:U188)</f>
        <v>0</v>
      </c>
      <c r="V189" s="152">
        <f t="shared" ref="V189:AA189" si="71">SUBTOTAL(9,V147:V188)</f>
        <v>0</v>
      </c>
      <c r="W189" s="153">
        <f t="shared" si="71"/>
        <v>0</v>
      </c>
      <c r="X189" s="153">
        <f t="shared" si="71"/>
        <v>0</v>
      </c>
      <c r="Y189" s="153">
        <f t="shared" si="71"/>
        <v>0</v>
      </c>
      <c r="Z189" s="153">
        <f t="shared" si="71"/>
        <v>0</v>
      </c>
      <c r="AA189" s="154">
        <f t="shared" si="71"/>
        <v>0</v>
      </c>
      <c r="AB189" s="3022"/>
      <c r="AC189" s="3022"/>
      <c r="AE189" s="2826"/>
      <c r="AF189" s="2826"/>
      <c r="AG189" s="2826"/>
      <c r="AH189" s="2826"/>
      <c r="AI189" s="2826"/>
      <c r="AJ189" s="2826"/>
      <c r="AK189" s="2826"/>
      <c r="AL189" s="2826"/>
      <c r="AM189" s="2826"/>
      <c r="AN189" s="2826"/>
      <c r="AO189" s="2826"/>
    </row>
    <row r="190" spans="2:41" s="2825" customFormat="1" ht="14" thickTop="1">
      <c r="B190" s="2935"/>
      <c r="D190" s="3161"/>
      <c r="F190" s="3026"/>
      <c r="G190" s="3027"/>
      <c r="H190" s="3027"/>
      <c r="I190" s="3027"/>
      <c r="J190" s="3027"/>
      <c r="K190" s="3027"/>
      <c r="L190" s="3027"/>
      <c r="M190" s="3025"/>
      <c r="N190" s="3026"/>
      <c r="O190" s="141"/>
      <c r="P190" s="141"/>
      <c r="Q190" s="148"/>
      <c r="R190" s="148"/>
      <c r="S190" s="149"/>
      <c r="T190" s="149"/>
      <c r="U190" s="150"/>
      <c r="V190" s="150"/>
      <c r="W190" s="150"/>
      <c r="X190" s="150"/>
      <c r="Y190" s="150"/>
      <c r="Z190" s="150"/>
      <c r="AA190" s="150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2825" customFormat="1">
      <c r="B191" s="2935"/>
      <c r="D191" s="3161"/>
      <c r="F191" s="3026"/>
      <c r="G191" s="3027"/>
      <c r="H191" s="3027"/>
      <c r="I191" s="3027"/>
      <c r="J191" s="3027"/>
      <c r="K191" s="3027"/>
      <c r="L191" s="3027"/>
      <c r="M191" s="3025"/>
      <c r="N191" s="3026"/>
      <c r="O191" s="141"/>
      <c r="P191" s="141"/>
      <c r="Q191" s="148"/>
      <c r="R191" s="148"/>
      <c r="S191" s="149"/>
      <c r="T191" s="149"/>
      <c r="U191" s="150"/>
      <c r="V191" s="150"/>
      <c r="W191" s="150"/>
      <c r="X191" s="150"/>
      <c r="Y191" s="150"/>
      <c r="Z191" s="150"/>
      <c r="AA191" s="150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2825" customFormat="1">
      <c r="B192" s="2935"/>
      <c r="D192" s="3161"/>
      <c r="F192" s="3026"/>
      <c r="G192" s="3027"/>
      <c r="H192" s="3027"/>
      <c r="I192" s="3027"/>
      <c r="J192" s="3027"/>
      <c r="K192" s="3027"/>
      <c r="L192" s="3027"/>
      <c r="M192" s="3025"/>
      <c r="N192" s="3026"/>
      <c r="O192" s="141"/>
      <c r="P192" s="141"/>
      <c r="Q192" s="148"/>
      <c r="R192" s="148"/>
      <c r="S192" s="149"/>
      <c r="T192" s="149"/>
      <c r="U192" s="150"/>
      <c r="V192" s="150"/>
      <c r="W192" s="150"/>
      <c r="X192" s="150"/>
      <c r="Y192" s="150"/>
      <c r="Z192" s="150"/>
      <c r="AA192" s="150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2825" customFormat="1">
      <c r="B193" s="2935"/>
      <c r="D193" s="3161"/>
      <c r="F193" s="3026"/>
      <c r="G193" s="3027"/>
      <c r="H193" s="3027"/>
      <c r="I193" s="3027"/>
      <c r="J193" s="3027"/>
      <c r="K193" s="3027"/>
      <c r="L193" s="3027"/>
      <c r="M193" s="3025"/>
      <c r="N193" s="3026"/>
      <c r="O193" s="141"/>
      <c r="P193" s="141"/>
      <c r="Q193" s="148"/>
      <c r="R193" s="148"/>
      <c r="S193" s="149"/>
      <c r="T193" s="149"/>
      <c r="U193" s="150"/>
      <c r="V193" s="150"/>
      <c r="W193" s="150"/>
      <c r="X193" s="150"/>
      <c r="Y193" s="150"/>
      <c r="Z193" s="150"/>
      <c r="AA193" s="150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2825" customFormat="1">
      <c r="B194" s="2935"/>
      <c r="D194" s="3161"/>
      <c r="F194" s="3026"/>
      <c r="G194" s="3027"/>
      <c r="H194" s="3027"/>
      <c r="I194" s="3027"/>
      <c r="J194" s="3027"/>
      <c r="K194" s="3027"/>
      <c r="L194" s="3027"/>
      <c r="M194" s="3025"/>
      <c r="N194" s="3026"/>
      <c r="O194" s="141"/>
      <c r="P194" s="141"/>
      <c r="Q194" s="148"/>
      <c r="R194" s="148"/>
      <c r="S194" s="149"/>
      <c r="T194" s="149"/>
      <c r="U194" s="150"/>
      <c r="V194" s="150"/>
      <c r="W194" s="150"/>
      <c r="X194" s="150"/>
      <c r="Y194" s="150"/>
      <c r="Z194" s="150"/>
      <c r="AA194" s="150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2825" customFormat="1">
      <c r="B195" s="2935"/>
      <c r="D195" s="3161"/>
      <c r="F195" s="3026"/>
      <c r="G195" s="3027"/>
      <c r="H195" s="3027"/>
      <c r="I195" s="3027"/>
      <c r="J195" s="3027"/>
      <c r="K195" s="3027"/>
      <c r="L195" s="3027"/>
      <c r="M195" s="3025"/>
      <c r="N195" s="3026"/>
      <c r="O195" s="141"/>
      <c r="P195" s="141"/>
      <c r="Q195" s="148"/>
      <c r="R195" s="148"/>
      <c r="S195" s="149"/>
      <c r="T195" s="149"/>
      <c r="U195" s="150"/>
      <c r="V195" s="150"/>
      <c r="W195" s="150"/>
      <c r="X195" s="150"/>
      <c r="Y195" s="150"/>
      <c r="Z195" s="150"/>
      <c r="AA195" s="150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2825" customFormat="1">
      <c r="B196" s="2935"/>
      <c r="D196" s="3161"/>
      <c r="F196" s="3026"/>
      <c r="G196" s="3027"/>
      <c r="H196" s="3027"/>
      <c r="I196" s="3027"/>
      <c r="J196" s="3027"/>
      <c r="K196" s="3027"/>
      <c r="L196" s="3027"/>
      <c r="M196" s="3025"/>
      <c r="N196" s="3026"/>
      <c r="O196" s="141"/>
      <c r="P196" s="141"/>
      <c r="Q196" s="148"/>
      <c r="R196" s="148"/>
      <c r="S196" s="149"/>
      <c r="T196" s="149"/>
      <c r="U196" s="150"/>
      <c r="V196" s="150"/>
      <c r="W196" s="150"/>
      <c r="X196" s="150"/>
      <c r="Y196" s="150"/>
      <c r="Z196" s="150"/>
      <c r="AA196" s="150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2825" customFormat="1">
      <c r="B197" s="2935"/>
      <c r="D197" s="3161"/>
      <c r="F197" s="3026"/>
      <c r="G197" s="3027"/>
      <c r="H197" s="3027"/>
      <c r="I197" s="3027"/>
      <c r="J197" s="3027"/>
      <c r="K197" s="3027"/>
      <c r="L197" s="3027"/>
      <c r="M197" s="3025"/>
      <c r="N197" s="3026"/>
      <c r="O197" s="141"/>
      <c r="P197" s="141"/>
      <c r="Q197" s="148"/>
      <c r="R197" s="148"/>
      <c r="S197" s="149"/>
      <c r="T197" s="149"/>
      <c r="U197" s="150"/>
      <c r="V197" s="150"/>
      <c r="W197" s="150"/>
      <c r="X197" s="150"/>
      <c r="Y197" s="150"/>
      <c r="Z197" s="150"/>
      <c r="AA197" s="150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2825" customFormat="1">
      <c r="B198" s="2935"/>
      <c r="D198" s="3161"/>
      <c r="F198" s="3026"/>
      <c r="G198" s="3027"/>
      <c r="H198" s="3027"/>
      <c r="I198" s="3027"/>
      <c r="J198" s="3027"/>
      <c r="K198" s="3027"/>
      <c r="L198" s="3027"/>
      <c r="M198" s="3025"/>
      <c r="N198" s="3026"/>
      <c r="O198" s="141"/>
      <c r="P198" s="141"/>
      <c r="Q198" s="148"/>
      <c r="R198" s="148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2825" customFormat="1">
      <c r="B199" s="2935"/>
      <c r="D199" s="3161"/>
      <c r="F199" s="3026"/>
      <c r="G199" s="3027"/>
      <c r="H199" s="3027"/>
      <c r="I199" s="3027"/>
      <c r="J199" s="3027"/>
      <c r="K199" s="3027"/>
      <c r="L199" s="3027"/>
      <c r="M199" s="3025"/>
      <c r="N199" s="3026"/>
      <c r="O199" s="141"/>
      <c r="P199" s="141"/>
      <c r="Q199" s="148"/>
      <c r="R199" s="148"/>
      <c r="S199" s="149"/>
      <c r="T199" s="149"/>
      <c r="U199" s="150"/>
      <c r="V199" s="150"/>
      <c r="W199" s="150"/>
      <c r="X199" s="150"/>
      <c r="Y199" s="150"/>
      <c r="Z199" s="150"/>
      <c r="AA199" s="150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2825" customFormat="1">
      <c r="B200" s="2935"/>
      <c r="D200" s="3161"/>
      <c r="F200" s="3026"/>
      <c r="G200" s="3027"/>
      <c r="H200" s="3027"/>
      <c r="I200" s="3027"/>
      <c r="J200" s="3027"/>
      <c r="K200" s="3027"/>
      <c r="L200" s="3027"/>
      <c r="M200" s="3025"/>
      <c r="N200" s="3026"/>
      <c r="O200" s="141"/>
      <c r="P200" s="141"/>
      <c r="Q200" s="148"/>
      <c r="R200" s="148"/>
      <c r="S200" s="149"/>
      <c r="T200" s="149"/>
      <c r="U200" s="150"/>
      <c r="V200" s="150"/>
      <c r="W200" s="150"/>
      <c r="X200" s="150"/>
      <c r="Y200" s="150"/>
      <c r="Z200" s="150"/>
      <c r="AA200" s="150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2825" customFormat="1">
      <c r="B201" s="2935"/>
      <c r="D201" s="3161"/>
      <c r="F201" s="3026"/>
      <c r="G201" s="3027"/>
      <c r="H201" s="3027"/>
      <c r="I201" s="3027"/>
      <c r="J201" s="3027"/>
      <c r="K201" s="3027"/>
      <c r="L201" s="3027"/>
      <c r="M201" s="3025"/>
      <c r="N201" s="3026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2825" customFormat="1">
      <c r="B202" s="2935"/>
      <c r="D202" s="3161"/>
      <c r="F202" s="3026"/>
      <c r="G202" s="3027"/>
      <c r="H202" s="3027"/>
      <c r="I202" s="3027"/>
      <c r="J202" s="3027"/>
      <c r="K202" s="3027"/>
      <c r="L202" s="3027"/>
      <c r="M202" s="3025"/>
      <c r="N202" s="3026"/>
      <c r="O202" s="141"/>
      <c r="P202" s="141"/>
      <c r="Q202" s="148"/>
      <c r="R202" s="148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2825" customFormat="1">
      <c r="B203" s="2935"/>
      <c r="D203" s="3161"/>
      <c r="F203" s="3026"/>
      <c r="G203" s="3027"/>
      <c r="H203" s="3027"/>
      <c r="I203" s="3027"/>
      <c r="J203" s="3027"/>
      <c r="K203" s="3027"/>
      <c r="L203" s="3027"/>
      <c r="M203" s="3025"/>
      <c r="N203" s="3026"/>
      <c r="O203" s="141"/>
      <c r="P203" s="141"/>
      <c r="Q203" s="148"/>
      <c r="R203" s="148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2825" customFormat="1">
      <c r="B204" s="2935"/>
      <c r="D204" s="3161"/>
      <c r="F204" s="3026"/>
      <c r="G204" s="3027"/>
      <c r="H204" s="3027"/>
      <c r="I204" s="3027"/>
      <c r="J204" s="3027"/>
      <c r="K204" s="3027"/>
      <c r="L204" s="3027"/>
      <c r="M204" s="3025"/>
      <c r="N204" s="3026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2825" customFormat="1">
      <c r="B205" s="2935"/>
      <c r="D205" s="3161"/>
      <c r="F205" s="3026"/>
      <c r="G205" s="3027"/>
      <c r="H205" s="3027"/>
      <c r="I205" s="3027"/>
      <c r="J205" s="3027"/>
      <c r="K205" s="3027"/>
      <c r="L205" s="3027"/>
      <c r="M205" s="3025"/>
      <c r="N205" s="3026"/>
      <c r="O205" s="141"/>
      <c r="P205" s="141"/>
      <c r="Q205" s="148"/>
      <c r="R205" s="148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2825" customFormat="1">
      <c r="B206" s="2935"/>
      <c r="D206" s="3161"/>
      <c r="F206" s="3026"/>
      <c r="G206" s="3027"/>
      <c r="H206" s="3027"/>
      <c r="I206" s="3027"/>
      <c r="J206" s="3027"/>
      <c r="K206" s="3027"/>
      <c r="L206" s="3027"/>
      <c r="M206" s="3025"/>
      <c r="N206" s="3026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2825" customFormat="1">
      <c r="B207" s="2935"/>
      <c r="D207" s="3161"/>
      <c r="F207" s="3026"/>
      <c r="G207" s="3027"/>
      <c r="H207" s="3027"/>
      <c r="I207" s="3027"/>
      <c r="J207" s="3027"/>
      <c r="K207" s="3027"/>
      <c r="L207" s="3027"/>
      <c r="M207" s="3025"/>
      <c r="N207" s="3026"/>
      <c r="O207" s="141"/>
      <c r="P207" s="141"/>
      <c r="Q207" s="148"/>
      <c r="R207" s="148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2825" customFormat="1">
      <c r="B208" s="2935"/>
      <c r="D208" s="3161"/>
      <c r="F208" s="3026"/>
      <c r="G208" s="3027"/>
      <c r="H208" s="3027"/>
      <c r="I208" s="3027"/>
      <c r="J208" s="3027"/>
      <c r="K208" s="3027"/>
      <c r="L208" s="3027"/>
      <c r="M208" s="3025"/>
      <c r="N208" s="3026"/>
      <c r="O208" s="141"/>
      <c r="P208" s="141"/>
      <c r="Q208" s="148"/>
      <c r="R208" s="148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1:40" s="2825" customFormat="1">
      <c r="B209" s="2935"/>
      <c r="D209" s="3161"/>
      <c r="F209" s="3026"/>
      <c r="G209" s="3027"/>
      <c r="H209" s="3027"/>
      <c r="I209" s="3027"/>
      <c r="J209" s="3027"/>
      <c r="K209" s="3027"/>
      <c r="L209" s="3027"/>
      <c r="M209" s="3025"/>
      <c r="N209" s="3026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1:40" s="2825" customFormat="1">
      <c r="B210" s="2935"/>
      <c r="D210" s="3161"/>
      <c r="F210" s="3026"/>
      <c r="G210" s="3027"/>
      <c r="H210" s="3027"/>
      <c r="I210" s="3027"/>
      <c r="J210" s="3027"/>
      <c r="K210" s="3027"/>
      <c r="L210" s="3027"/>
      <c r="M210" s="3025"/>
      <c r="N210" s="3026"/>
      <c r="O210" s="141"/>
      <c r="P210" s="141"/>
      <c r="Q210" s="148"/>
      <c r="R210" s="148"/>
      <c r="S210" s="149"/>
      <c r="T210" s="149"/>
      <c r="U210" s="150"/>
      <c r="V210" s="150"/>
      <c r="W210" s="150"/>
      <c r="X210" s="150"/>
      <c r="Y210" s="150"/>
      <c r="Z210" s="150"/>
      <c r="AA210" s="150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1:40" s="2825" customFormat="1">
      <c r="B211" s="2935"/>
      <c r="D211" s="3161"/>
      <c r="F211" s="3026"/>
      <c r="G211" s="3027"/>
      <c r="H211" s="3027"/>
      <c r="I211" s="3027"/>
      <c r="J211" s="3027"/>
      <c r="K211" s="3027"/>
      <c r="L211" s="3027"/>
      <c r="M211" s="3025"/>
      <c r="N211" s="3026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1:40" s="2825" customFormat="1">
      <c r="B212" s="2935"/>
      <c r="D212" s="3161"/>
      <c r="F212" s="3026"/>
      <c r="G212" s="3027"/>
      <c r="H212" s="3027"/>
      <c r="I212" s="3027"/>
      <c r="J212" s="3027"/>
      <c r="K212" s="3027"/>
      <c r="L212" s="3027"/>
      <c r="M212" s="3025"/>
      <c r="N212" s="3026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1:40" s="2825" customFormat="1">
      <c r="B213" s="2935"/>
      <c r="D213" s="3161"/>
      <c r="F213" s="3026"/>
      <c r="G213" s="3027"/>
      <c r="H213" s="3027"/>
      <c r="I213" s="3027"/>
      <c r="J213" s="3027"/>
      <c r="K213" s="3027"/>
      <c r="L213" s="3027"/>
      <c r="M213" s="3025"/>
      <c r="N213" s="3026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1:40" s="2825" customFormat="1">
      <c r="B214" s="2935"/>
      <c r="D214" s="3161"/>
      <c r="F214" s="3026"/>
      <c r="G214" s="3027"/>
      <c r="H214" s="3027"/>
      <c r="I214" s="3027"/>
      <c r="J214" s="3027"/>
      <c r="K214" s="3027"/>
      <c r="L214" s="3027"/>
      <c r="M214" s="3025"/>
      <c r="N214" s="3026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1:40" s="2825" customFormat="1">
      <c r="B215" s="2935"/>
      <c r="D215" s="3161"/>
      <c r="F215" s="3026"/>
      <c r="G215" s="3027"/>
      <c r="H215" s="3027"/>
      <c r="I215" s="3027"/>
      <c r="J215" s="3027"/>
      <c r="K215" s="3027"/>
      <c r="L215" s="3027"/>
      <c r="M215" s="3025"/>
      <c r="N215" s="3026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1:40" s="2825" customFormat="1">
      <c r="B216" s="2935"/>
      <c r="D216" s="3161"/>
      <c r="F216" s="3026"/>
      <c r="G216" s="3027"/>
      <c r="H216" s="3027"/>
      <c r="I216" s="3027"/>
      <c r="J216" s="3027"/>
      <c r="K216" s="3027"/>
      <c r="L216" s="3027"/>
      <c r="M216" s="3025"/>
      <c r="N216" s="3026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1:40" s="2825" customFormat="1">
      <c r="B217" s="2935"/>
      <c r="D217" s="3161"/>
      <c r="F217" s="3026"/>
      <c r="G217" s="3027"/>
      <c r="H217" s="3027"/>
      <c r="I217" s="3027"/>
      <c r="J217" s="3027"/>
      <c r="K217" s="3027"/>
      <c r="L217" s="3027"/>
      <c r="M217" s="3025"/>
      <c r="N217" s="3026"/>
      <c r="O217" s="141"/>
      <c r="P217" s="141"/>
      <c r="Q217" s="148"/>
      <c r="R217" s="148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1:40" s="2825" customFormat="1">
      <c r="B218" s="2935"/>
      <c r="D218" s="3161"/>
      <c r="F218" s="3026"/>
      <c r="G218" s="3027"/>
      <c r="H218" s="3027"/>
      <c r="I218" s="3027"/>
      <c r="J218" s="3027"/>
      <c r="K218" s="3027"/>
      <c r="L218" s="3027"/>
      <c r="M218" s="3025"/>
      <c r="N218" s="3026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1:40" s="2825" customFormat="1">
      <c r="B219" s="2935"/>
      <c r="D219" s="3161"/>
      <c r="F219" s="3026"/>
      <c r="G219" s="3027"/>
      <c r="H219" s="3027"/>
      <c r="I219" s="3027"/>
      <c r="J219" s="3027"/>
      <c r="K219" s="3027"/>
      <c r="L219" s="3027"/>
      <c r="M219" s="3025"/>
      <c r="N219" s="3026"/>
      <c r="O219" s="141"/>
      <c r="P219" s="141"/>
      <c r="Q219" s="148"/>
      <c r="R219" s="148"/>
      <c r="S219" s="149"/>
      <c r="T219" s="149"/>
      <c r="U219" s="150"/>
      <c r="V219" s="150"/>
      <c r="W219" s="150"/>
      <c r="X219" s="150"/>
      <c r="Y219" s="150"/>
      <c r="Z219" s="150"/>
      <c r="AA219" s="150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1:40" s="2825" customFormat="1">
      <c r="B220" s="2935"/>
      <c r="D220" s="3161"/>
      <c r="F220" s="3026"/>
      <c r="G220" s="3027"/>
      <c r="H220" s="3027"/>
      <c r="I220" s="3027"/>
      <c r="J220" s="3027"/>
      <c r="K220" s="3027"/>
      <c r="L220" s="3027"/>
      <c r="M220" s="3025"/>
      <c r="N220" s="3026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1:40">
      <c r="A221" s="1"/>
      <c r="O221" s="155"/>
      <c r="P221" s="155"/>
      <c r="Q221" s="1131"/>
      <c r="R221" s="1131"/>
      <c r="S221" s="251"/>
      <c r="T221" s="251"/>
      <c r="U221" s="1132"/>
      <c r="V221" s="1132"/>
      <c r="W221" s="1132"/>
      <c r="X221" s="1132"/>
      <c r="Y221" s="1132"/>
      <c r="Z221" s="1132"/>
      <c r="AA221" s="1132"/>
      <c r="AN221" s="1"/>
    </row>
    <row r="222" spans="1:40">
      <c r="A222" s="1"/>
      <c r="B222" s="1"/>
      <c r="D222" s="1"/>
      <c r="F222" s="1"/>
      <c r="G222" s="1"/>
      <c r="H222" s="1"/>
      <c r="I222" s="1"/>
      <c r="J222" s="1"/>
      <c r="K222" s="1"/>
      <c r="L222" s="1"/>
      <c r="M222" s="1"/>
      <c r="N222" s="52"/>
      <c r="O222" s="155"/>
      <c r="P222" s="155"/>
      <c r="Q222" s="1131"/>
      <c r="R222" s="1131"/>
      <c r="S222" s="251"/>
      <c r="T222" s="251"/>
      <c r="U222" s="1132"/>
      <c r="V222" s="1132"/>
      <c r="W222" s="1132"/>
      <c r="X222" s="1132"/>
      <c r="Y222" s="1132"/>
      <c r="Z222" s="1132"/>
      <c r="AA222" s="1132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>
      <c r="A223" s="1"/>
      <c r="B223" s="1"/>
      <c r="D223" s="1"/>
      <c r="F223" s="1"/>
      <c r="G223" s="1"/>
      <c r="H223" s="1"/>
      <c r="I223" s="1"/>
      <c r="J223" s="1"/>
      <c r="K223" s="1"/>
      <c r="L223" s="1"/>
      <c r="M223" s="1"/>
      <c r="N223" s="52"/>
      <c r="O223" s="155"/>
      <c r="P223" s="155"/>
      <c r="Q223" s="1131"/>
      <c r="R223" s="1131"/>
      <c r="S223" s="251"/>
      <c r="T223" s="251"/>
      <c r="U223" s="1132"/>
      <c r="V223" s="1132"/>
      <c r="W223" s="1132"/>
      <c r="X223" s="1132"/>
      <c r="Y223" s="1132"/>
      <c r="Z223" s="1132"/>
      <c r="AA223" s="1132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>
      <c r="A224" s="1"/>
      <c r="B224" s="1"/>
      <c r="D224" s="1"/>
      <c r="F224" s="1"/>
      <c r="G224" s="1"/>
      <c r="H224" s="1"/>
      <c r="I224" s="1"/>
      <c r="J224" s="1"/>
      <c r="K224" s="1"/>
      <c r="L224" s="1"/>
      <c r="M224" s="1"/>
      <c r="N224" s="52"/>
      <c r="O224" s="155"/>
      <c r="P224" s="155"/>
      <c r="Q224" s="1131"/>
      <c r="R224" s="1131"/>
      <c r="S224" s="251"/>
      <c r="T224" s="251"/>
      <c r="U224" s="1132"/>
      <c r="V224" s="1132"/>
      <c r="W224" s="1132"/>
      <c r="X224" s="1132"/>
      <c r="Y224" s="1132"/>
      <c r="Z224" s="1132"/>
      <c r="AA224" s="1132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>
      <c r="A225" s="1"/>
      <c r="B225" s="1"/>
      <c r="D225" s="1"/>
      <c r="F225" s="1"/>
      <c r="G225" s="1"/>
      <c r="H225" s="1"/>
      <c r="I225" s="1"/>
      <c r="J225" s="1"/>
      <c r="K225" s="1"/>
      <c r="L225" s="1"/>
      <c r="M225" s="1"/>
      <c r="N225" s="52"/>
      <c r="O225" s="155"/>
      <c r="P225" s="155"/>
      <c r="Q225" s="1131"/>
      <c r="R225" s="1131"/>
      <c r="S225" s="251"/>
      <c r="T225" s="251"/>
      <c r="U225" s="1132"/>
      <c r="V225" s="1132"/>
      <c r="W225" s="1132"/>
      <c r="X225" s="1132"/>
      <c r="Y225" s="1132"/>
      <c r="Z225" s="1132"/>
      <c r="AA225" s="1132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>
      <c r="A226" s="1"/>
      <c r="B226" s="1"/>
      <c r="D226" s="1"/>
      <c r="F226" s="1"/>
      <c r="G226" s="1"/>
      <c r="H226" s="1"/>
      <c r="I226" s="1"/>
      <c r="J226" s="1"/>
      <c r="K226" s="1"/>
      <c r="L226" s="1"/>
      <c r="M226" s="1"/>
      <c r="N226" s="52"/>
      <c r="O226" s="155"/>
      <c r="P226" s="155"/>
      <c r="Q226" s="1131"/>
      <c r="R226" s="1131"/>
      <c r="S226" s="251"/>
      <c r="T226" s="251"/>
      <c r="U226" s="1132"/>
      <c r="V226" s="1132"/>
      <c r="W226" s="1132"/>
      <c r="X226" s="1132"/>
      <c r="Y226" s="1132"/>
      <c r="Z226" s="1132"/>
      <c r="AA226" s="1132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>
      <c r="A227" s="1"/>
      <c r="B227" s="1"/>
      <c r="D227" s="1"/>
      <c r="F227" s="1"/>
      <c r="G227" s="1"/>
      <c r="H227" s="1"/>
      <c r="I227" s="1"/>
      <c r="J227" s="1"/>
      <c r="K227" s="1"/>
      <c r="L227" s="1"/>
      <c r="M227" s="1"/>
      <c r="N227" s="52"/>
      <c r="O227" s="155"/>
      <c r="P227" s="155"/>
      <c r="Q227" s="1131"/>
      <c r="R227" s="1131"/>
      <c r="S227" s="251"/>
      <c r="T227" s="251"/>
      <c r="U227" s="1132"/>
      <c r="V227" s="1132"/>
      <c r="W227" s="1132"/>
      <c r="X227" s="1132"/>
      <c r="Y227" s="1132"/>
      <c r="Z227" s="1132"/>
      <c r="AA227" s="1132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>
      <c r="A228" s="1"/>
      <c r="B228" s="1"/>
      <c r="D228" s="1"/>
      <c r="F228" s="1"/>
      <c r="G228" s="1"/>
      <c r="H228" s="1"/>
      <c r="I228" s="1"/>
      <c r="J228" s="1"/>
      <c r="K228" s="1"/>
      <c r="L228" s="1"/>
      <c r="M228" s="1"/>
      <c r="N228" s="52"/>
      <c r="O228" s="155"/>
      <c r="P228" s="155"/>
      <c r="Q228" s="1131"/>
      <c r="R228" s="1131"/>
      <c r="S228" s="251"/>
      <c r="T228" s="251"/>
      <c r="U228" s="1132"/>
      <c r="V228" s="1132"/>
      <c r="W228" s="1132"/>
      <c r="X228" s="1132"/>
      <c r="Y228" s="1132"/>
      <c r="Z228" s="1132"/>
      <c r="AA228" s="1132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>
      <c r="A229" s="1"/>
      <c r="B229" s="1"/>
      <c r="D229" s="1"/>
      <c r="F229" s="1"/>
      <c r="G229" s="1"/>
      <c r="H229" s="1"/>
      <c r="I229" s="1"/>
      <c r="J229" s="1"/>
      <c r="K229" s="1"/>
      <c r="L229" s="1"/>
      <c r="M229" s="1"/>
      <c r="N229" s="52"/>
      <c r="O229" s="155"/>
      <c r="P229" s="155"/>
      <c r="Q229" s="1131"/>
      <c r="R229" s="1131"/>
      <c r="S229" s="251"/>
      <c r="T229" s="251"/>
      <c r="U229" s="1132"/>
      <c r="V229" s="1132"/>
      <c r="W229" s="1132"/>
      <c r="X229" s="1132"/>
      <c r="Y229" s="1132"/>
      <c r="Z229" s="1132"/>
      <c r="AA229" s="1132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>
      <c r="A230" s="1"/>
      <c r="B230" s="1"/>
      <c r="D230" s="1"/>
      <c r="F230" s="1"/>
      <c r="G230" s="1"/>
      <c r="H230" s="1"/>
      <c r="I230" s="1"/>
      <c r="J230" s="1"/>
      <c r="K230" s="1"/>
      <c r="L230" s="1"/>
      <c r="M230" s="1"/>
      <c r="N230" s="52"/>
      <c r="O230" s="155"/>
      <c r="P230" s="155"/>
      <c r="Q230" s="1131"/>
      <c r="R230" s="1131"/>
      <c r="S230" s="251"/>
      <c r="T230" s="251"/>
      <c r="U230" s="1132"/>
      <c r="V230" s="1132"/>
      <c r="W230" s="1132"/>
      <c r="X230" s="1132"/>
      <c r="Y230" s="1132"/>
      <c r="Z230" s="1132"/>
      <c r="AA230" s="1132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>
      <c r="A231" s="1"/>
      <c r="B231" s="1"/>
      <c r="D231" s="1"/>
      <c r="F231" s="1"/>
      <c r="G231" s="1"/>
      <c r="H231" s="1"/>
      <c r="I231" s="1"/>
      <c r="J231" s="1"/>
      <c r="K231" s="1"/>
      <c r="L231" s="1"/>
      <c r="M231" s="1"/>
      <c r="N231" s="52"/>
      <c r="O231" s="155"/>
      <c r="P231" s="155"/>
      <c r="Q231" s="1131"/>
      <c r="R231" s="1131"/>
      <c r="S231" s="251"/>
      <c r="T231" s="251"/>
      <c r="U231" s="1132"/>
      <c r="V231" s="1132"/>
      <c r="W231" s="1132"/>
      <c r="X231" s="1132"/>
      <c r="Y231" s="1132"/>
      <c r="Z231" s="1132"/>
      <c r="AA231" s="1132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>
      <c r="A232" s="1"/>
      <c r="B232" s="1"/>
      <c r="D232" s="1"/>
      <c r="F232" s="1"/>
      <c r="G232" s="1"/>
      <c r="H232" s="1"/>
      <c r="I232" s="1"/>
      <c r="J232" s="1"/>
      <c r="K232" s="1"/>
      <c r="L232" s="1"/>
      <c r="M232" s="1"/>
      <c r="N232" s="52"/>
      <c r="O232" s="155"/>
      <c r="P232" s="155"/>
      <c r="Q232" s="1131"/>
      <c r="R232" s="1131"/>
      <c r="S232" s="251"/>
      <c r="T232" s="251"/>
      <c r="U232" s="1132"/>
      <c r="V232" s="1132"/>
      <c r="W232" s="1132"/>
      <c r="X232" s="1132"/>
      <c r="Y232" s="1132"/>
      <c r="Z232" s="1132"/>
      <c r="AA232" s="1132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>
      <c r="A233" s="1"/>
      <c r="B233" s="1"/>
      <c r="D233" s="1"/>
      <c r="F233" s="1"/>
      <c r="G233" s="1"/>
      <c r="H233" s="1"/>
      <c r="I233" s="1"/>
      <c r="J233" s="1"/>
      <c r="K233" s="1"/>
      <c r="L233" s="1"/>
      <c r="M233" s="1"/>
      <c r="N233" s="52"/>
      <c r="O233" s="155"/>
      <c r="P233" s="155"/>
      <c r="Q233" s="1131"/>
      <c r="R233" s="1131"/>
      <c r="S233" s="251"/>
      <c r="T233" s="251"/>
      <c r="U233" s="1132"/>
      <c r="V233" s="1132"/>
      <c r="W233" s="1132"/>
      <c r="X233" s="1132"/>
      <c r="Y233" s="1132"/>
      <c r="Z233" s="1132"/>
      <c r="AA233" s="1132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49" spans="1:40">
      <c r="A249" s="1"/>
      <c r="B249" s="1"/>
      <c r="D249" s="1"/>
      <c r="F249" s="1"/>
      <c r="G249" s="1"/>
      <c r="H249" s="1"/>
      <c r="I249" s="1"/>
      <c r="J249" s="1"/>
      <c r="K249" s="1"/>
      <c r="L249" s="1"/>
      <c r="M249" s="1"/>
      <c r="N249" s="52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>
      <c r="A250" s="1"/>
      <c r="B250" s="1"/>
      <c r="D250" s="1"/>
      <c r="F250" s="1"/>
      <c r="G250" s="1"/>
      <c r="H250" s="1"/>
      <c r="I250" s="1"/>
      <c r="J250" s="1"/>
      <c r="K250" s="1"/>
      <c r="L250" s="1"/>
      <c r="M250" s="1"/>
      <c r="N250" s="52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>
      <c r="A251" s="1"/>
      <c r="B251" s="1"/>
      <c r="D251" s="1"/>
      <c r="F251" s="1"/>
      <c r="G251" s="1"/>
      <c r="H251" s="1"/>
      <c r="I251" s="1"/>
      <c r="J251" s="1"/>
      <c r="K251" s="1"/>
      <c r="L251" s="1"/>
      <c r="M251" s="1"/>
      <c r="N251" s="52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>
      <c r="A252" s="1"/>
      <c r="B252" s="1"/>
      <c r="D252" s="1"/>
      <c r="F252" s="1"/>
      <c r="G252" s="1"/>
      <c r="H252" s="1"/>
      <c r="I252" s="1"/>
      <c r="J252" s="1"/>
      <c r="K252" s="1"/>
      <c r="L252" s="1"/>
      <c r="M252" s="1"/>
      <c r="N252" s="52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>
      <c r="A253" s="1"/>
      <c r="B253" s="1"/>
      <c r="D253" s="1"/>
      <c r="F253" s="1"/>
      <c r="G253" s="1"/>
      <c r="H253" s="1"/>
      <c r="I253" s="1"/>
      <c r="J253" s="1"/>
      <c r="K253" s="1"/>
      <c r="L253" s="1"/>
      <c r="M253" s="1"/>
      <c r="N253" s="52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>
      <c r="A254" s="1"/>
      <c r="B254" s="1"/>
      <c r="D254" s="1"/>
      <c r="F254" s="1"/>
      <c r="G254" s="1"/>
      <c r="H254" s="1"/>
      <c r="I254" s="1"/>
      <c r="J254" s="1"/>
      <c r="K254" s="1"/>
      <c r="L254" s="1"/>
      <c r="M254" s="1"/>
      <c r="N254" s="52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>
      <c r="A255" s="1"/>
      <c r="B255" s="1"/>
      <c r="D255" s="1"/>
      <c r="F255" s="1"/>
      <c r="G255" s="1"/>
      <c r="H255" s="1"/>
      <c r="I255" s="1"/>
      <c r="J255" s="1"/>
      <c r="K255" s="1"/>
      <c r="L255" s="1"/>
      <c r="M255" s="1"/>
      <c r="N255" s="52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>
      <c r="A256" s="1"/>
      <c r="B256" s="1"/>
      <c r="D256" s="1"/>
      <c r="F256" s="1"/>
      <c r="G256" s="1"/>
      <c r="H256" s="1"/>
      <c r="I256" s="1"/>
      <c r="J256" s="1"/>
      <c r="K256" s="1"/>
      <c r="L256" s="1"/>
      <c r="M256" s="1"/>
      <c r="N256" s="52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>
      <c r="A257" s="1"/>
      <c r="B257" s="1"/>
      <c r="D257" s="1"/>
      <c r="F257" s="1"/>
      <c r="G257" s="1"/>
      <c r="H257" s="1"/>
      <c r="I257" s="1"/>
      <c r="J257" s="1"/>
      <c r="K257" s="1"/>
      <c r="L257" s="1"/>
      <c r="M257" s="1"/>
      <c r="N257" s="52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>
      <c r="A258" s="1"/>
      <c r="B258" s="1"/>
      <c r="D258" s="1"/>
      <c r="F258" s="1"/>
      <c r="G258" s="1"/>
      <c r="H258" s="1"/>
      <c r="I258" s="1"/>
      <c r="J258" s="1"/>
      <c r="K258" s="1"/>
      <c r="L258" s="1"/>
      <c r="M258" s="1"/>
      <c r="N258" s="52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>
      <c r="A259" s="1"/>
      <c r="B259" s="1"/>
      <c r="D259" s="1"/>
      <c r="F259" s="1"/>
      <c r="G259" s="1"/>
      <c r="H259" s="1"/>
      <c r="I259" s="1"/>
      <c r="J259" s="1"/>
      <c r="K259" s="1"/>
      <c r="L259" s="1"/>
      <c r="M259" s="1"/>
      <c r="N259" s="52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>
      <c r="A260" s="1"/>
      <c r="B260" s="1"/>
      <c r="D260" s="1"/>
      <c r="F260" s="1"/>
      <c r="G260" s="1"/>
      <c r="H260" s="1"/>
      <c r="I260" s="1"/>
      <c r="J260" s="1"/>
      <c r="K260" s="1"/>
      <c r="L260" s="1"/>
      <c r="M260" s="1"/>
      <c r="N260" s="52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>
      <c r="A261" s="1"/>
      <c r="B261" s="1"/>
      <c r="D261" s="1"/>
      <c r="F261" s="1"/>
      <c r="G261" s="1"/>
      <c r="H261" s="1"/>
      <c r="I261" s="1"/>
      <c r="J261" s="1"/>
      <c r="K261" s="1"/>
      <c r="L261" s="1"/>
      <c r="M261" s="1"/>
      <c r="N261" s="52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>
      <c r="A262" s="1"/>
      <c r="B262" s="1"/>
      <c r="D262" s="1"/>
      <c r="F262" s="1"/>
      <c r="G262" s="1"/>
      <c r="H262" s="1"/>
      <c r="I262" s="1"/>
      <c r="J262" s="1"/>
      <c r="K262" s="1"/>
      <c r="L262" s="1"/>
      <c r="M262" s="1"/>
      <c r="N262" s="52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>
      <c r="A263" s="1"/>
      <c r="B263" s="1"/>
      <c r="D263" s="1"/>
      <c r="F263" s="1"/>
      <c r="G263" s="1"/>
      <c r="H263" s="1"/>
      <c r="I263" s="1"/>
      <c r="J263" s="1"/>
      <c r="K263" s="1"/>
      <c r="L263" s="1"/>
      <c r="M263" s="1"/>
      <c r="N263" s="52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>
      <c r="A264" s="1"/>
      <c r="B264" s="1"/>
      <c r="D264" s="1"/>
      <c r="F264" s="1"/>
      <c r="G264" s="1"/>
      <c r="H264" s="1"/>
      <c r="I264" s="1"/>
      <c r="J264" s="1"/>
      <c r="K264" s="1"/>
      <c r="L264" s="1"/>
      <c r="M264" s="1"/>
      <c r="N264" s="52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>
      <c r="A265" s="1"/>
      <c r="B265" s="1"/>
      <c r="D265" s="1"/>
      <c r="F265" s="1"/>
      <c r="G265" s="1"/>
      <c r="H265" s="1"/>
      <c r="I265" s="1"/>
      <c r="J265" s="1"/>
      <c r="K265" s="1"/>
      <c r="L265" s="1"/>
      <c r="M265" s="1"/>
      <c r="N265" s="52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>
      <c r="A266" s="1"/>
      <c r="B266" s="1"/>
      <c r="D266" s="1"/>
      <c r="F266" s="1"/>
      <c r="G266" s="1"/>
      <c r="H266" s="1"/>
      <c r="I266" s="1"/>
      <c r="J266" s="1"/>
      <c r="K266" s="1"/>
      <c r="L266" s="1"/>
      <c r="M266" s="1"/>
      <c r="N266" s="52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>
      <c r="A267" s="1"/>
      <c r="B267" s="1"/>
      <c r="D267" s="1"/>
      <c r="F267" s="1"/>
      <c r="G267" s="1"/>
      <c r="H267" s="1"/>
      <c r="I267" s="1"/>
      <c r="J267" s="1"/>
      <c r="K267" s="1"/>
      <c r="L267" s="1"/>
      <c r="M267" s="1"/>
      <c r="N267" s="52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>
      <c r="A268" s="1"/>
      <c r="B268" s="1"/>
      <c r="D268" s="1"/>
      <c r="F268" s="1"/>
      <c r="G268" s="1"/>
      <c r="H268" s="1"/>
      <c r="I268" s="1"/>
      <c r="J268" s="1"/>
      <c r="K268" s="1"/>
      <c r="L268" s="1"/>
      <c r="M268" s="1"/>
      <c r="N268" s="52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>
      <c r="A269" s="1"/>
      <c r="B269" s="1"/>
      <c r="D269" s="1"/>
      <c r="F269" s="1"/>
      <c r="G269" s="1"/>
      <c r="H269" s="1"/>
      <c r="I269" s="1"/>
      <c r="J269" s="1"/>
      <c r="K269" s="1"/>
      <c r="L269" s="1"/>
      <c r="M269" s="1"/>
      <c r="N269" s="52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>
      <c r="A270" s="1"/>
      <c r="B270" s="1"/>
      <c r="D270" s="1"/>
      <c r="F270" s="1"/>
      <c r="G270" s="1"/>
      <c r="H270" s="1"/>
      <c r="I270" s="1"/>
      <c r="J270" s="1"/>
      <c r="K270" s="1"/>
      <c r="L270" s="1"/>
      <c r="M270" s="1"/>
      <c r="N270" s="52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>
      <c r="A271" s="1"/>
      <c r="B271" s="1"/>
      <c r="D271" s="1"/>
      <c r="F271" s="1"/>
      <c r="G271" s="1"/>
      <c r="H271" s="1"/>
      <c r="I271" s="1"/>
      <c r="J271" s="1"/>
      <c r="K271" s="1"/>
      <c r="L271" s="1"/>
      <c r="M271" s="1"/>
      <c r="N271" s="52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>
      <c r="A272" s="1"/>
      <c r="B272" s="1"/>
      <c r="D272" s="1"/>
      <c r="F272" s="1"/>
      <c r="G272" s="1"/>
      <c r="H272" s="1"/>
      <c r="I272" s="1"/>
      <c r="J272" s="1"/>
      <c r="K272" s="1"/>
      <c r="L272" s="1"/>
      <c r="M272" s="1"/>
      <c r="N272" s="52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>
      <c r="A273" s="1"/>
      <c r="B273" s="1"/>
      <c r="D273" s="1"/>
      <c r="F273" s="1"/>
      <c r="G273" s="1"/>
      <c r="H273" s="1"/>
      <c r="I273" s="1"/>
      <c r="J273" s="1"/>
      <c r="K273" s="1"/>
      <c r="L273" s="1"/>
      <c r="M273" s="1"/>
      <c r="N273" s="52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</sheetData>
  <printOptions horizontalCentered="1" verticalCentered="1"/>
  <pageMargins left="0" right="0" top="0.78740157480314965" bottom="0.59055118110236227" header="0" footer="0"/>
  <pageSetup paperSize="9" scale="110" orientation="landscape" horizontalDpi="0" verticalDpi="0"/>
  <headerFooter>
    <oddHeader>&amp;C&amp;K000000&amp;F&amp;A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F0B0A-5D71-C44F-84AA-2025246C9A42}">
  <sheetPr codeName="Hoja57"/>
  <dimension ref="A1:AO301"/>
  <sheetViews>
    <sheetView topLeftCell="A37" zoomScale="180" zoomScaleNormal="180" workbookViewId="0">
      <selection activeCell="A59" sqref="A59:R68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6640625" style="1" customWidth="1"/>
    <col min="4" max="4" width="0.83203125" style="3082" customWidth="1"/>
    <col min="5" max="5" width="2.33203125" style="1" customWidth="1"/>
    <col min="6" max="6" width="2.6640625" style="2818" customWidth="1"/>
    <col min="7" max="7" width="5.6640625" style="780" customWidth="1"/>
    <col min="8" max="8" width="8" style="780" customWidth="1"/>
    <col min="9" max="9" width="8.83203125" style="780" customWidth="1"/>
    <col min="10" max="10" width="9" style="780" customWidth="1"/>
    <col min="11" max="11" width="29.83203125" style="780" customWidth="1"/>
    <col min="12" max="12" width="7.1640625" style="780" customWidth="1"/>
    <col min="13" max="13" width="1" style="2820" customWidth="1"/>
    <col min="14" max="14" width="10.1640625" style="2818" customWidth="1"/>
    <col min="15" max="15" width="0.33203125" style="780" customWidth="1"/>
    <col min="16" max="16" width="9" style="780" customWidth="1"/>
    <col min="17" max="18" width="6" style="2821" customWidth="1"/>
    <col min="19" max="19" width="1.33203125" style="2822" customWidth="1"/>
    <col min="20" max="20" width="0.33203125" style="2822" customWidth="1"/>
    <col min="21" max="21" width="6.33203125" style="2823" customWidth="1"/>
    <col min="22" max="22" width="5.6640625" style="2823" customWidth="1"/>
    <col min="23" max="23" width="6.33203125" style="2823" customWidth="1"/>
    <col min="24" max="24" width="5.33203125" style="2823" customWidth="1"/>
    <col min="25" max="25" width="6" style="2823" customWidth="1"/>
    <col min="26" max="26" width="5.33203125" style="2823" customWidth="1"/>
    <col min="27" max="27" width="5.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33203125" style="2826" customWidth="1"/>
    <col min="40" max="40" width="11.5" style="2825"/>
    <col min="41" max="16384" width="11.5" style="1"/>
  </cols>
  <sheetData>
    <row r="1" spans="1:40" ht="18" customHeight="1">
      <c r="A1" s="3080" t="s">
        <v>2164</v>
      </c>
      <c r="B1" s="1"/>
      <c r="C1" s="2816"/>
      <c r="D1" s="3081"/>
      <c r="E1" s="2817"/>
      <c r="V1" s="2824"/>
      <c r="AI1" s="2825"/>
      <c r="AJ1" s="2825"/>
      <c r="AK1" s="2825"/>
      <c r="AL1" s="2825"/>
      <c r="AM1" s="2825"/>
    </row>
    <row r="2" spans="1:40" ht="12" customHeight="1" thickBot="1">
      <c r="F2" s="527"/>
      <c r="G2" s="155"/>
      <c r="H2" s="155"/>
      <c r="I2" s="155"/>
      <c r="J2" s="3083"/>
      <c r="K2" s="4176" t="s">
        <v>2163</v>
      </c>
      <c r="L2" s="583"/>
      <c r="U2" s="2827" t="s">
        <v>345</v>
      </c>
      <c r="AI2" s="2825"/>
      <c r="AJ2" s="2825"/>
      <c r="AK2" s="2825"/>
      <c r="AL2" s="2825"/>
      <c r="AM2" s="2825"/>
    </row>
    <row r="3" spans="1:40" s="2839" customFormat="1" ht="61.5" customHeight="1" thickTop="1" thickBot="1">
      <c r="A3" s="5645" t="s">
        <v>346</v>
      </c>
      <c r="B3" s="3085" t="s">
        <v>347</v>
      </c>
      <c r="C3" s="3086" t="s">
        <v>348</v>
      </c>
      <c r="D3" s="3087"/>
      <c r="E3" s="3086" t="s">
        <v>349</v>
      </c>
      <c r="F3" s="5646" t="s">
        <v>350</v>
      </c>
      <c r="G3" s="5647" t="s">
        <v>351</v>
      </c>
      <c r="H3" s="5647" t="s">
        <v>624</v>
      </c>
      <c r="I3" s="5647" t="s">
        <v>352</v>
      </c>
      <c r="J3" s="5646" t="s">
        <v>353</v>
      </c>
      <c r="K3" s="5647" t="s">
        <v>354</v>
      </c>
      <c r="L3" s="5647"/>
      <c r="M3" s="5648" t="s">
        <v>355</v>
      </c>
      <c r="N3" s="5647" t="s">
        <v>445</v>
      </c>
      <c r="O3" s="3086" t="s">
        <v>446</v>
      </c>
      <c r="P3" s="3086" t="s">
        <v>447</v>
      </c>
      <c r="Q3" s="3091" t="s">
        <v>448</v>
      </c>
      <c r="R3" s="3092" t="s">
        <v>371</v>
      </c>
      <c r="S3" s="5649" t="s">
        <v>449</v>
      </c>
      <c r="T3" s="5649" t="s">
        <v>450</v>
      </c>
      <c r="U3" s="5650" t="s">
        <v>451</v>
      </c>
      <c r="V3" s="5651" t="s">
        <v>452</v>
      </c>
      <c r="W3" s="5652" t="s">
        <v>453</v>
      </c>
      <c r="X3" s="5653" t="s">
        <v>454</v>
      </c>
      <c r="Y3" s="5654" t="s">
        <v>455</v>
      </c>
      <c r="Z3" s="5655" t="s">
        <v>456</v>
      </c>
      <c r="AA3" s="5656" t="s">
        <v>457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2839" customFormat="1" ht="9" customHeight="1" thickBot="1">
      <c r="A4" s="3093"/>
      <c r="B4" s="3912"/>
      <c r="C4" s="3913"/>
      <c r="D4" s="3914"/>
      <c r="E4" s="3913"/>
      <c r="F4" s="3915"/>
      <c r="G4" s="3913"/>
      <c r="H4" s="3913"/>
      <c r="I4" s="3913"/>
      <c r="J4" s="3915"/>
      <c r="K4" s="3913"/>
      <c r="L4" s="3913"/>
      <c r="M4" s="3916"/>
      <c r="N4" s="3913"/>
      <c r="O4" s="3913"/>
      <c r="P4" s="3913"/>
      <c r="Q4" s="3917"/>
      <c r="R4" s="3918"/>
      <c r="S4" s="3919"/>
      <c r="T4" s="3919"/>
      <c r="U4" s="2843">
        <f>[7]Test!$D$29</f>
        <v>9.1523857526881758E-4</v>
      </c>
      <c r="V4" s="2843">
        <f>[7]Test!$D$31</f>
        <v>8.7635030864197572E-4</v>
      </c>
      <c r="W4" s="2843">
        <f>[7]Test!$D$33</f>
        <v>8.4888763197586746E-4</v>
      </c>
      <c r="X4" s="2843">
        <f>[7]Test!$D$35</f>
        <v>8.0990657955066516E-4</v>
      </c>
      <c r="Y4" s="2843">
        <f>[7]Test!$D$37</f>
        <v>7.5735749690210676E-4</v>
      </c>
      <c r="Z4" s="2843">
        <f>[7]Test!$D$39</f>
        <v>7.2916666666666692E-4</v>
      </c>
      <c r="AA4" s="3043">
        <f>[7]Test!$D$41</f>
        <v>7.0729166666666694E-4</v>
      </c>
      <c r="AB4" s="2836"/>
      <c r="AC4" s="2837"/>
      <c r="AD4" s="2838"/>
      <c r="AE4" s="2838"/>
      <c r="AF4" s="2838"/>
      <c r="AG4" s="2838"/>
      <c r="AH4" s="2838"/>
      <c r="AI4" s="2836"/>
      <c r="AJ4" s="2836"/>
      <c r="AK4" s="2836"/>
      <c r="AL4" s="2836"/>
      <c r="AM4" s="2836"/>
      <c r="AN4" s="2836"/>
    </row>
    <row r="5" spans="1:40" s="63" customFormat="1" ht="3" customHeight="1" thickBot="1">
      <c r="A5" s="3101"/>
      <c r="B5" s="3923"/>
      <c r="C5" s="4696"/>
      <c r="D5" s="4697"/>
      <c r="E5" s="4696"/>
      <c r="F5" s="4698"/>
      <c r="G5" s="4699"/>
      <c r="H5" s="4699"/>
      <c r="I5" s="4699"/>
      <c r="J5" s="4698"/>
      <c r="K5" s="4699"/>
      <c r="L5" s="4699"/>
      <c r="M5" s="4700"/>
      <c r="N5" s="4699"/>
      <c r="O5" s="4696"/>
      <c r="P5" s="4696"/>
      <c r="Q5" s="4696"/>
      <c r="R5" s="4702"/>
      <c r="S5" s="2842"/>
      <c r="T5" s="2842"/>
      <c r="U5" s="2843">
        <f>U4/4</f>
        <v>2.2880964381720439E-4</v>
      </c>
      <c r="V5" s="2843">
        <f t="shared" ref="V5:AA5" si="0">V4/4</f>
        <v>2.1908757716049393E-4</v>
      </c>
      <c r="W5" s="2843">
        <f t="shared" si="0"/>
        <v>2.1222190799396687E-4</v>
      </c>
      <c r="X5" s="2843">
        <f t="shared" si="0"/>
        <v>2.0247664488766629E-4</v>
      </c>
      <c r="Y5" s="2843">
        <f t="shared" si="0"/>
        <v>1.8933937422552669E-4</v>
      </c>
      <c r="Z5" s="2843">
        <f t="shared" si="0"/>
        <v>1.8229166666666673E-4</v>
      </c>
      <c r="AA5" s="2843">
        <f t="shared" si="0"/>
        <v>1.7682291666666674E-4</v>
      </c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s="63" customFormat="1" ht="14" customHeight="1" thickTop="1">
      <c r="A6" s="4145" t="s">
        <v>897</v>
      </c>
      <c r="B6" s="4145" t="s">
        <v>897</v>
      </c>
      <c r="C6" s="5630">
        <f t="shared" ref="C6:C21" si="1">IF(D6=1,U$5,IF(D6=2,V$5,IF(D6=3,W$5,IF(D6=4,X$5,IF(D6=5,Y$5,IF(D6=6,Z$5,IF(D6=7,AA$5,0)))))))</f>
        <v>1.7682291666666674E-4</v>
      </c>
      <c r="D6" s="5657">
        <v>7</v>
      </c>
      <c r="E6" s="8016" t="s">
        <v>2158</v>
      </c>
      <c r="F6" s="8017"/>
      <c r="G6" s="8017"/>
      <c r="H6" s="8018"/>
      <c r="I6" s="5658" t="s">
        <v>1497</v>
      </c>
      <c r="J6" s="5659"/>
      <c r="K6" s="3112" t="s">
        <v>1498</v>
      </c>
      <c r="L6" s="3112"/>
      <c r="M6" s="3112"/>
      <c r="N6" s="3113" t="s">
        <v>1499</v>
      </c>
      <c r="O6" s="3113"/>
      <c r="P6" s="3114"/>
      <c r="Q6" s="5660"/>
      <c r="R6" s="3112"/>
      <c r="S6" s="2844" t="e">
        <f t="shared" ref="S6:S68" si="2">E6*F6*G6/1000</f>
        <v>#VALUE!</v>
      </c>
      <c r="T6" s="2845" t="e">
        <f t="shared" ref="T6:T68" si="3">E6*F6*O6*4</f>
        <v>#VALUE!</v>
      </c>
      <c r="U6" s="374"/>
      <c r="V6" s="2846"/>
      <c r="W6" s="2847"/>
      <c r="X6" s="2848"/>
      <c r="Y6" s="2849"/>
      <c r="Z6" s="2850"/>
      <c r="AA6" s="2851"/>
      <c r="AB6" s="2935"/>
      <c r="AC6" s="2867"/>
      <c r="AD6" s="2867"/>
      <c r="AE6" s="2867"/>
      <c r="AF6" s="2867"/>
      <c r="AG6" s="2867"/>
      <c r="AH6" s="2867"/>
      <c r="AI6" s="2935"/>
      <c r="AJ6" s="2935"/>
      <c r="AK6" s="2935"/>
      <c r="AL6" s="2935"/>
      <c r="AM6" s="2935"/>
      <c r="AN6" s="2935"/>
    </row>
    <row r="7" spans="1:40" s="63" customFormat="1" ht="14" customHeight="1">
      <c r="A7" s="3115" t="s">
        <v>897</v>
      </c>
      <c r="B7" s="3115" t="s">
        <v>897</v>
      </c>
      <c r="C7" s="5630">
        <f t="shared" si="1"/>
        <v>0</v>
      </c>
      <c r="D7" s="5657"/>
      <c r="E7" s="8016" t="s">
        <v>1889</v>
      </c>
      <c r="F7" s="8017"/>
      <c r="G7" s="8017"/>
      <c r="H7" s="8018"/>
      <c r="I7" s="5658" t="s">
        <v>1501</v>
      </c>
      <c r="J7" s="5659"/>
      <c r="K7" s="3112" t="s">
        <v>1502</v>
      </c>
      <c r="L7" s="3112"/>
      <c r="M7" s="3112"/>
      <c r="N7" s="3113" t="s">
        <v>1503</v>
      </c>
      <c r="O7" s="3113"/>
      <c r="P7" s="3114"/>
      <c r="Q7" s="5660"/>
      <c r="R7" s="3112" t="s">
        <v>1504</v>
      </c>
      <c r="S7" s="2844" t="e">
        <f t="shared" si="2"/>
        <v>#VALUE!</v>
      </c>
      <c r="T7" s="2845" t="e">
        <f t="shared" si="3"/>
        <v>#VALUE!</v>
      </c>
      <c r="U7" s="374"/>
      <c r="V7" s="2846"/>
      <c r="W7" s="2847"/>
      <c r="X7" s="2848"/>
      <c r="Y7" s="2849"/>
      <c r="Z7" s="2850"/>
      <c r="AA7" s="2851"/>
      <c r="AB7" s="2935"/>
      <c r="AC7" s="2867"/>
      <c r="AD7" s="2867"/>
      <c r="AE7" s="2867"/>
      <c r="AF7" s="2867"/>
      <c r="AG7" s="2867"/>
      <c r="AH7" s="2867"/>
      <c r="AI7" s="2935"/>
      <c r="AJ7" s="2935"/>
      <c r="AK7" s="2935"/>
      <c r="AL7" s="2935"/>
      <c r="AM7" s="2935"/>
      <c r="AN7" s="2935"/>
    </row>
    <row r="8" spans="1:40" s="63" customFormat="1" ht="14" customHeight="1" thickBot="1">
      <c r="A8" s="4162"/>
      <c r="B8" s="4163"/>
      <c r="C8" s="5661">
        <f t="shared" si="1"/>
        <v>0</v>
      </c>
      <c r="D8" s="4160"/>
      <c r="E8" s="4161"/>
      <c r="F8" s="4161"/>
      <c r="G8" s="4161"/>
      <c r="H8" s="4161"/>
      <c r="I8" s="4161"/>
      <c r="J8" s="4161"/>
      <c r="K8" s="4161"/>
      <c r="L8" s="4173"/>
      <c r="M8" s="4174"/>
      <c r="N8" s="5662"/>
      <c r="O8" s="4161"/>
      <c r="P8" s="4161"/>
      <c r="Q8" s="4161"/>
      <c r="R8" s="3118" t="s">
        <v>1505</v>
      </c>
      <c r="S8" s="2844">
        <f t="shared" si="2"/>
        <v>0</v>
      </c>
      <c r="T8" s="2845">
        <f t="shared" si="3"/>
        <v>0</v>
      </c>
      <c r="U8" s="374">
        <f t="shared" ref="U8:U68" si="4">IF(C8*4&gt;=$U$4,S8,0)</f>
        <v>0</v>
      </c>
      <c r="V8" s="2846">
        <f t="shared" ref="V8:V68" si="5">IF(AND(C8*4&gt;=$V$4,C8*4&lt;$U$4),S8,0)</f>
        <v>0</v>
      </c>
      <c r="W8" s="2847">
        <f t="shared" ref="W8:W68" si="6">IF(AND(C8*4&gt;=$W$4,C8*4&lt;$V$4),S8,0)</f>
        <v>0</v>
      </c>
      <c r="X8" s="2848">
        <f t="shared" ref="X8:X68" si="7">IF(AND(C8*4&gt;=$X$4,C8*4&lt;$W$4),S8,0)</f>
        <v>0</v>
      </c>
      <c r="Y8" s="2849">
        <f t="shared" ref="Y8:Y68" si="8">IF(AND(C8*4&gt;=$Y$4,C8*4&lt;$X$4),S8,0)</f>
        <v>0</v>
      </c>
      <c r="Z8" s="2850">
        <f t="shared" ref="Z8:Z68" si="9">IF(AND(C8*4&gt;=$Z$4,C8*4&lt;$Y$4),S8,0)</f>
        <v>0</v>
      </c>
      <c r="AA8" s="2851">
        <f t="shared" ref="AA8:AA68" si="10">IF(AND(C8*4&gt;=$AA$4,C8*4&lt;$Z$4),S8,0)</f>
        <v>0</v>
      </c>
      <c r="AB8" s="2935"/>
      <c r="AC8" s="2867"/>
      <c r="AD8" s="2867"/>
      <c r="AE8" s="2867"/>
      <c r="AF8" s="2867"/>
      <c r="AG8" s="2867"/>
      <c r="AH8" s="2867"/>
      <c r="AI8" s="2935"/>
      <c r="AJ8" s="2935"/>
      <c r="AK8" s="2935"/>
      <c r="AL8" s="2935"/>
      <c r="AM8" s="2935"/>
      <c r="AN8" s="2935"/>
    </row>
    <row r="9" spans="1:40" s="63" customFormat="1" ht="14" customHeight="1">
      <c r="A9" s="3109" t="s">
        <v>215</v>
      </c>
      <c r="B9" s="3115" t="s">
        <v>215</v>
      </c>
      <c r="C9" s="5630">
        <f t="shared" si="1"/>
        <v>2.2880964381720439E-4</v>
      </c>
      <c r="D9" s="920">
        <v>1</v>
      </c>
      <c r="E9" s="1979">
        <v>1</v>
      </c>
      <c r="F9" s="1979">
        <v>1</v>
      </c>
      <c r="G9" s="1979">
        <v>800</v>
      </c>
      <c r="H9" s="1979"/>
      <c r="I9" s="5663">
        <v>0</v>
      </c>
      <c r="J9" s="5663">
        <v>8.1018518518518516E-4</v>
      </c>
      <c r="K9" s="2099" t="s">
        <v>1163</v>
      </c>
      <c r="L9" s="5664">
        <v>0.3125</v>
      </c>
      <c r="M9" s="5665">
        <v>1</v>
      </c>
      <c r="N9" s="5666">
        <f t="shared" ref="N9" si="11">P9*E9*F9+I9*F9*E9+J9*E9</f>
        <v>8.1320937873357261E-3</v>
      </c>
      <c r="O9" s="5667">
        <f t="shared" ref="O9:O13" si="12">C9*(G9/25)</f>
        <v>7.3219086021505406E-3</v>
      </c>
      <c r="P9" s="5666">
        <f t="shared" ref="P9:P13" si="13">O9*M9</f>
        <v>7.3219086021505406E-3</v>
      </c>
      <c r="Q9" s="5668">
        <v>145</v>
      </c>
      <c r="R9" s="5669">
        <f t="shared" ref="R9:R13" si="14">E9*F9*G9</f>
        <v>800</v>
      </c>
      <c r="S9" s="2844">
        <f t="shared" si="2"/>
        <v>0.8</v>
      </c>
      <c r="T9" s="2845">
        <f t="shared" si="3"/>
        <v>2.9287634408602162E-2</v>
      </c>
      <c r="U9" s="374">
        <f t="shared" si="4"/>
        <v>0.8</v>
      </c>
      <c r="V9" s="2846">
        <f t="shared" si="5"/>
        <v>0</v>
      </c>
      <c r="W9" s="2847">
        <f t="shared" si="6"/>
        <v>0</v>
      </c>
      <c r="X9" s="2848">
        <f t="shared" si="7"/>
        <v>0</v>
      </c>
      <c r="Y9" s="2849">
        <f t="shared" si="8"/>
        <v>0</v>
      </c>
      <c r="Z9" s="2850">
        <f t="shared" si="9"/>
        <v>0</v>
      </c>
      <c r="AA9" s="2851">
        <f t="shared" si="10"/>
        <v>0</v>
      </c>
      <c r="AB9" s="2935"/>
      <c r="AC9" s="2867"/>
      <c r="AD9" s="2867"/>
      <c r="AE9" s="2867"/>
      <c r="AF9" s="2867"/>
      <c r="AG9" s="2867"/>
      <c r="AH9" s="2867"/>
      <c r="AI9" s="2935"/>
      <c r="AJ9" s="2935"/>
      <c r="AK9" s="2935"/>
      <c r="AL9" s="2935"/>
      <c r="AM9" s="2935"/>
      <c r="AN9" s="2935"/>
    </row>
    <row r="10" spans="1:40" s="63" customFormat="1" ht="14" customHeight="1">
      <c r="A10" s="3109" t="s">
        <v>138</v>
      </c>
      <c r="B10" s="3115" t="s">
        <v>215</v>
      </c>
      <c r="C10" s="5630">
        <f t="shared" si="1"/>
        <v>1.8229166666666673E-4</v>
      </c>
      <c r="D10" s="5670">
        <v>6</v>
      </c>
      <c r="E10" s="5671">
        <v>1</v>
      </c>
      <c r="F10" s="5671">
        <v>1</v>
      </c>
      <c r="G10" s="5671">
        <v>290</v>
      </c>
      <c r="H10" s="5672"/>
      <c r="I10" s="5673">
        <v>2.3148148148148151E-3</v>
      </c>
      <c r="J10" s="5673">
        <v>1.3888888888888889E-3</v>
      </c>
      <c r="K10" s="3926" t="s">
        <v>1426</v>
      </c>
      <c r="L10" s="5674">
        <f>L9+N9</f>
        <v>0.3206320937873357</v>
      </c>
      <c r="M10" s="5675">
        <v>1</v>
      </c>
      <c r="N10" s="5674">
        <f t="shared" ref="N10:N13" si="15">P10*E10*F10+I10*E10*F10+J10*E10</f>
        <v>5.8182870370370385E-3</v>
      </c>
      <c r="O10" s="5676">
        <f t="shared" si="12"/>
        <v>2.1145833333333342E-3</v>
      </c>
      <c r="P10" s="3442">
        <f t="shared" si="13"/>
        <v>2.1145833333333342E-3</v>
      </c>
      <c r="Q10" s="5677" t="s">
        <v>316</v>
      </c>
      <c r="R10" s="3926">
        <f t="shared" si="14"/>
        <v>290</v>
      </c>
      <c r="S10" s="2844">
        <f t="shared" si="2"/>
        <v>0.28999999999999998</v>
      </c>
      <c r="T10" s="2845">
        <f t="shared" si="3"/>
        <v>8.4583333333333368E-3</v>
      </c>
      <c r="U10" s="374">
        <f t="shared" si="4"/>
        <v>0</v>
      </c>
      <c r="V10" s="2846">
        <f t="shared" si="5"/>
        <v>0</v>
      </c>
      <c r="W10" s="2847">
        <f t="shared" si="6"/>
        <v>0</v>
      </c>
      <c r="X10" s="2848">
        <f t="shared" si="7"/>
        <v>0</v>
      </c>
      <c r="Y10" s="2849">
        <f t="shared" si="8"/>
        <v>0</v>
      </c>
      <c r="Z10" s="2850">
        <f t="shared" si="9"/>
        <v>0.28999999999999998</v>
      </c>
      <c r="AA10" s="2851">
        <f t="shared" si="10"/>
        <v>0</v>
      </c>
      <c r="AB10" s="2935"/>
      <c r="AC10" s="2867"/>
      <c r="AD10" s="2867"/>
      <c r="AE10" s="2867"/>
      <c r="AF10" s="2867"/>
      <c r="AG10" s="2867"/>
      <c r="AH10" s="2867"/>
      <c r="AI10" s="2935"/>
      <c r="AJ10" s="2935"/>
      <c r="AK10" s="2935"/>
      <c r="AL10" s="2935"/>
      <c r="AM10" s="2935"/>
      <c r="AN10" s="2935"/>
    </row>
    <row r="11" spans="1:40" s="63" customFormat="1" ht="14" customHeight="1">
      <c r="A11" s="3109" t="s">
        <v>462</v>
      </c>
      <c r="B11" s="3115" t="s">
        <v>215</v>
      </c>
      <c r="C11" s="5630">
        <f t="shared" si="1"/>
        <v>2.1908757716049393E-4</v>
      </c>
      <c r="D11" s="5678">
        <v>2</v>
      </c>
      <c r="E11" s="5679">
        <v>1</v>
      </c>
      <c r="F11" s="5680">
        <v>1</v>
      </c>
      <c r="G11" s="5680">
        <v>400</v>
      </c>
      <c r="H11" s="5681" t="s">
        <v>218</v>
      </c>
      <c r="I11" s="5666">
        <v>1.1574074074074073E-4</v>
      </c>
      <c r="J11" s="5666">
        <v>6.9444444444444447E-4</v>
      </c>
      <c r="K11" s="5665" t="s">
        <v>942</v>
      </c>
      <c r="L11" s="5666">
        <f t="shared" ref="L11:L14" si="16">L10+N10</f>
        <v>0.32645038082437272</v>
      </c>
      <c r="M11" s="5682">
        <v>1</v>
      </c>
      <c r="N11" s="5666">
        <f t="shared" si="15"/>
        <v>4.3155864197530879E-3</v>
      </c>
      <c r="O11" s="5683">
        <f t="shared" si="12"/>
        <v>3.5054012345679029E-3</v>
      </c>
      <c r="P11" s="5667">
        <f t="shared" si="13"/>
        <v>3.5054012345679029E-3</v>
      </c>
      <c r="Q11" s="5684">
        <v>146</v>
      </c>
      <c r="R11" s="5669">
        <f t="shared" si="14"/>
        <v>400</v>
      </c>
      <c r="S11" s="2844">
        <f t="shared" si="2"/>
        <v>0.4</v>
      </c>
      <c r="T11" s="2845">
        <f t="shared" si="3"/>
        <v>1.4021604938271611E-2</v>
      </c>
      <c r="U11" s="374">
        <f t="shared" si="4"/>
        <v>0</v>
      </c>
      <c r="V11" s="2846">
        <f t="shared" si="5"/>
        <v>0.4</v>
      </c>
      <c r="W11" s="2847">
        <f t="shared" si="6"/>
        <v>0</v>
      </c>
      <c r="X11" s="2848">
        <f t="shared" si="7"/>
        <v>0</v>
      </c>
      <c r="Y11" s="2849">
        <f t="shared" si="8"/>
        <v>0</v>
      </c>
      <c r="Z11" s="2850">
        <f t="shared" si="9"/>
        <v>0</v>
      </c>
      <c r="AA11" s="2851">
        <f t="shared" si="10"/>
        <v>0</v>
      </c>
      <c r="AB11" s="2935"/>
      <c r="AC11" s="2867"/>
      <c r="AD11" s="2867"/>
      <c r="AE11" s="2867"/>
      <c r="AF11" s="2867"/>
      <c r="AG11" s="2867"/>
      <c r="AH11" s="2867"/>
      <c r="AI11" s="2935"/>
      <c r="AJ11" s="2935"/>
      <c r="AK11" s="2935"/>
      <c r="AL11" s="2935"/>
      <c r="AM11" s="2935"/>
      <c r="AN11" s="2935"/>
    </row>
    <row r="12" spans="1:40" s="63" customFormat="1" ht="14" customHeight="1">
      <c r="A12" s="3109" t="s">
        <v>461</v>
      </c>
      <c r="B12" s="3115" t="s">
        <v>215</v>
      </c>
      <c r="C12" s="5630">
        <f t="shared" si="1"/>
        <v>1.8933937422552669E-4</v>
      </c>
      <c r="D12" s="1433">
        <v>5</v>
      </c>
      <c r="E12" s="5685">
        <v>1</v>
      </c>
      <c r="F12" s="5686">
        <v>4</v>
      </c>
      <c r="G12" s="5687">
        <v>50</v>
      </c>
      <c r="H12" s="5688" t="s">
        <v>944</v>
      </c>
      <c r="I12" s="5689">
        <v>5.7870370370370366E-5</v>
      </c>
      <c r="J12" s="5689">
        <v>1.3888888888888889E-3</v>
      </c>
      <c r="K12" s="5690" t="s">
        <v>1890</v>
      </c>
      <c r="L12" s="5691">
        <f t="shared" si="16"/>
        <v>0.33076596724412582</v>
      </c>
      <c r="M12" s="3448">
        <v>1</v>
      </c>
      <c r="N12" s="5689">
        <f t="shared" si="15"/>
        <v>3.1350853641745838E-3</v>
      </c>
      <c r="O12" s="5692">
        <f t="shared" si="12"/>
        <v>3.7867874845105338E-4</v>
      </c>
      <c r="P12" s="4148">
        <f t="shared" si="13"/>
        <v>3.7867874845105338E-4</v>
      </c>
      <c r="Q12" s="5693" t="s">
        <v>278</v>
      </c>
      <c r="R12" s="5687">
        <f t="shared" si="14"/>
        <v>200</v>
      </c>
      <c r="S12" s="2844">
        <f t="shared" si="2"/>
        <v>0.2</v>
      </c>
      <c r="T12" s="2845">
        <f t="shared" si="3"/>
        <v>6.0588599752168541E-3</v>
      </c>
      <c r="U12" s="374">
        <f t="shared" si="4"/>
        <v>0</v>
      </c>
      <c r="V12" s="2846">
        <f t="shared" si="5"/>
        <v>0</v>
      </c>
      <c r="W12" s="2847">
        <f t="shared" si="6"/>
        <v>0</v>
      </c>
      <c r="X12" s="2848">
        <f t="shared" si="7"/>
        <v>0</v>
      </c>
      <c r="Y12" s="2849">
        <f t="shared" si="8"/>
        <v>0.2</v>
      </c>
      <c r="Z12" s="2850">
        <f t="shared" si="9"/>
        <v>0</v>
      </c>
      <c r="AA12" s="2851">
        <f t="shared" si="10"/>
        <v>0</v>
      </c>
      <c r="AB12" s="2935"/>
      <c r="AC12" s="2867"/>
      <c r="AD12" s="2867"/>
      <c r="AE12" s="2867"/>
      <c r="AF12" s="2867"/>
      <c r="AG12" s="2867"/>
      <c r="AH12" s="2867"/>
      <c r="AI12" s="2935"/>
      <c r="AJ12" s="2935"/>
      <c r="AK12" s="2935"/>
      <c r="AL12" s="2935"/>
      <c r="AM12" s="2935"/>
      <c r="AN12" s="2935"/>
    </row>
    <row r="13" spans="1:40" s="63" customFormat="1" ht="14" customHeight="1">
      <c r="A13" s="3109" t="s">
        <v>458</v>
      </c>
      <c r="B13" s="3115" t="s">
        <v>215</v>
      </c>
      <c r="C13" s="5694">
        <f t="shared" si="1"/>
        <v>2.1908757716049393E-4</v>
      </c>
      <c r="D13" s="1433">
        <v>2</v>
      </c>
      <c r="E13" s="5695">
        <v>2</v>
      </c>
      <c r="F13" s="5696">
        <v>1</v>
      </c>
      <c r="G13" s="5696">
        <v>200</v>
      </c>
      <c r="H13" s="5697" t="s">
        <v>944</v>
      </c>
      <c r="I13" s="5698">
        <v>8.6805555555555551E-4</v>
      </c>
      <c r="J13" s="5698">
        <v>1.3888888888888889E-3</v>
      </c>
      <c r="K13" s="5699" t="s">
        <v>983</v>
      </c>
      <c r="L13" s="5700">
        <f t="shared" si="16"/>
        <v>0.33390105260830039</v>
      </c>
      <c r="M13" s="5701">
        <v>1</v>
      </c>
      <c r="N13" s="5698">
        <f t="shared" si="15"/>
        <v>8.0192901234567918E-3</v>
      </c>
      <c r="O13" s="5702">
        <f t="shared" si="12"/>
        <v>1.7527006172839514E-3</v>
      </c>
      <c r="P13" s="5702">
        <f t="shared" si="13"/>
        <v>1.7527006172839514E-3</v>
      </c>
      <c r="Q13" s="5703" t="s">
        <v>278</v>
      </c>
      <c r="R13" s="5704">
        <f t="shared" si="14"/>
        <v>400</v>
      </c>
      <c r="S13" s="2844">
        <f t="shared" si="2"/>
        <v>0.4</v>
      </c>
      <c r="T13" s="2845">
        <f t="shared" si="3"/>
        <v>1.4021604938271611E-2</v>
      </c>
      <c r="U13" s="374">
        <f t="shared" si="4"/>
        <v>0</v>
      </c>
      <c r="V13" s="2846">
        <f t="shared" si="5"/>
        <v>0.4</v>
      </c>
      <c r="W13" s="2847">
        <f t="shared" si="6"/>
        <v>0</v>
      </c>
      <c r="X13" s="2848">
        <f t="shared" si="7"/>
        <v>0</v>
      </c>
      <c r="Y13" s="2849">
        <f t="shared" si="8"/>
        <v>0</v>
      </c>
      <c r="Z13" s="2850">
        <f t="shared" si="9"/>
        <v>0</v>
      </c>
      <c r="AA13" s="2851">
        <f t="shared" si="10"/>
        <v>0</v>
      </c>
      <c r="AB13" s="2935"/>
      <c r="AC13" s="2867"/>
      <c r="AD13" s="2867"/>
      <c r="AE13" s="2867"/>
      <c r="AF13" s="2867"/>
      <c r="AG13" s="2867"/>
      <c r="AH13" s="2867"/>
      <c r="AI13" s="2935"/>
      <c r="AJ13" s="2935"/>
      <c r="AK13" s="2935"/>
      <c r="AL13" s="2935"/>
      <c r="AM13" s="2935"/>
      <c r="AN13" s="2935"/>
    </row>
    <row r="14" spans="1:40" s="63" customFormat="1" ht="14" customHeight="1">
      <c r="A14" s="3109" t="s">
        <v>219</v>
      </c>
      <c r="B14" s="3115" t="s">
        <v>215</v>
      </c>
      <c r="C14" s="5694">
        <f t="shared" si="1"/>
        <v>1.7682291666666674E-4</v>
      </c>
      <c r="D14" s="5705">
        <v>7</v>
      </c>
      <c r="E14" s="5706">
        <v>1</v>
      </c>
      <c r="F14" s="5706">
        <v>8</v>
      </c>
      <c r="G14" s="5706">
        <v>15</v>
      </c>
      <c r="H14" s="5707"/>
      <c r="I14" s="5708">
        <v>4.6296296296296293E-4</v>
      </c>
      <c r="J14" s="5708">
        <v>4.1666666666666666E-3</v>
      </c>
      <c r="K14" s="5709" t="s">
        <v>1178</v>
      </c>
      <c r="L14" s="5710">
        <f t="shared" si="16"/>
        <v>0.3419203427317572</v>
      </c>
      <c r="M14" s="5711">
        <v>1</v>
      </c>
      <c r="N14" s="5710">
        <f>P14*E14*F14+I14*F14+J14*E14</f>
        <v>8.7191203703703701E-3</v>
      </c>
      <c r="O14" s="5712">
        <f>C14*(G14/25)</f>
        <v>1.0609375000000004E-4</v>
      </c>
      <c r="P14" s="5713">
        <f>O14*M14</f>
        <v>1.0609375000000004E-4</v>
      </c>
      <c r="Q14" s="5709" t="s">
        <v>274</v>
      </c>
      <c r="R14" s="5714">
        <f>E14*F14*G14</f>
        <v>120</v>
      </c>
      <c r="S14" s="2844">
        <f t="shared" si="2"/>
        <v>0.12</v>
      </c>
      <c r="T14" s="2845">
        <f t="shared" si="3"/>
        <v>3.3950000000000013E-3</v>
      </c>
      <c r="U14" s="374">
        <f t="shared" si="4"/>
        <v>0</v>
      </c>
      <c r="V14" s="2846">
        <f t="shared" si="5"/>
        <v>0</v>
      </c>
      <c r="W14" s="2847">
        <f t="shared" si="6"/>
        <v>0</v>
      </c>
      <c r="X14" s="2848">
        <f t="shared" si="7"/>
        <v>0</v>
      </c>
      <c r="Y14" s="2849">
        <f t="shared" si="8"/>
        <v>0</v>
      </c>
      <c r="Z14" s="2850">
        <f t="shared" si="9"/>
        <v>0</v>
      </c>
      <c r="AA14" s="2851">
        <f t="shared" si="10"/>
        <v>0.12</v>
      </c>
      <c r="AB14" s="2935"/>
      <c r="AC14" s="2867"/>
      <c r="AD14" s="2867"/>
      <c r="AE14" s="2867"/>
      <c r="AF14" s="2867"/>
      <c r="AG14" s="2867"/>
      <c r="AH14" s="2867"/>
      <c r="AI14" s="2935"/>
      <c r="AJ14" s="2935"/>
      <c r="AK14" s="2935"/>
      <c r="AL14" s="2935"/>
      <c r="AM14" s="2935"/>
      <c r="AN14" s="2935"/>
    </row>
    <row r="15" spans="1:40" s="63" customFormat="1" ht="14" customHeight="1" thickBot="1">
      <c r="A15" s="3109"/>
      <c r="B15" s="3115"/>
      <c r="C15" s="5694">
        <f t="shared" si="1"/>
        <v>0</v>
      </c>
      <c r="D15" s="5715"/>
      <c r="E15" s="2855"/>
      <c r="F15" s="2855"/>
      <c r="G15" s="2855"/>
      <c r="H15" s="2855"/>
      <c r="I15" s="2855"/>
      <c r="J15" s="2855"/>
      <c r="K15" s="2855"/>
      <c r="L15" s="5716">
        <f>L14+N14</f>
        <v>0.35063946310212757</v>
      </c>
      <c r="M15" s="5717">
        <v>1</v>
      </c>
      <c r="N15" s="5716">
        <f>SUM(N9:N14)</f>
        <v>3.8139463102127596E-2</v>
      </c>
      <c r="O15" s="2855">
        <f>C15*20/25</f>
        <v>0</v>
      </c>
      <c r="P15" s="2855"/>
      <c r="Q15" s="2855"/>
      <c r="R15" s="4155">
        <f>SUM(R9:R14)</f>
        <v>2210</v>
      </c>
      <c r="S15" s="2844">
        <f t="shared" si="2"/>
        <v>0</v>
      </c>
      <c r="T15" s="2845">
        <f t="shared" si="3"/>
        <v>0</v>
      </c>
      <c r="U15" s="374">
        <f t="shared" si="4"/>
        <v>0</v>
      </c>
      <c r="V15" s="2846">
        <f t="shared" si="5"/>
        <v>0</v>
      </c>
      <c r="W15" s="2847">
        <f t="shared" si="6"/>
        <v>0</v>
      </c>
      <c r="X15" s="2848">
        <f t="shared" si="7"/>
        <v>0</v>
      </c>
      <c r="Y15" s="2849">
        <f t="shared" si="8"/>
        <v>0</v>
      </c>
      <c r="Z15" s="2850">
        <f t="shared" si="9"/>
        <v>0</v>
      </c>
      <c r="AA15" s="2851">
        <f t="shared" si="10"/>
        <v>0</v>
      </c>
      <c r="AB15" s="2935"/>
      <c r="AC15" s="2867"/>
      <c r="AD15" s="2867"/>
      <c r="AE15" s="2867"/>
      <c r="AF15" s="2867"/>
      <c r="AG15" s="2867"/>
      <c r="AH15" s="2867"/>
      <c r="AI15" s="2935"/>
      <c r="AJ15" s="2935"/>
      <c r="AK15" s="2935"/>
      <c r="AL15" s="2935"/>
      <c r="AM15" s="2935"/>
      <c r="AN15" s="2935"/>
    </row>
    <row r="16" spans="1:40" s="63" customFormat="1" ht="14" customHeight="1">
      <c r="A16" s="3109"/>
      <c r="B16" s="3115" t="s">
        <v>461</v>
      </c>
      <c r="C16" s="5694">
        <f t="shared" si="1"/>
        <v>2.2880964381720439E-4</v>
      </c>
      <c r="D16" s="920">
        <v>1</v>
      </c>
      <c r="E16" s="1979">
        <v>1</v>
      </c>
      <c r="F16" s="1979">
        <v>1</v>
      </c>
      <c r="G16" s="1979">
        <v>800</v>
      </c>
      <c r="H16" s="1979"/>
      <c r="I16" s="5663">
        <v>0</v>
      </c>
      <c r="J16" s="5663">
        <v>8.1018518518518516E-4</v>
      </c>
      <c r="K16" s="2099" t="s">
        <v>1429</v>
      </c>
      <c r="L16" s="5700">
        <v>0.79861111111111116</v>
      </c>
      <c r="M16" s="5699">
        <v>1</v>
      </c>
      <c r="N16" s="5698">
        <f t="shared" ref="N16" si="17">P16*E16*F16+I16*F16*E16+J16*E16</f>
        <v>8.1320937873357261E-3</v>
      </c>
      <c r="O16" s="5702">
        <f t="shared" ref="O16:O22" si="18">C16*(G16/25)</f>
        <v>7.3219086021505406E-3</v>
      </c>
      <c r="P16" s="5718">
        <f t="shared" ref="P16:P22" si="19">O16*M16</f>
        <v>7.3219086021505406E-3</v>
      </c>
      <c r="Q16" s="5719">
        <v>145</v>
      </c>
      <c r="R16" s="5720">
        <f t="shared" ref="R16:R22" si="20">E16*F16*G16</f>
        <v>800</v>
      </c>
      <c r="S16" s="2844">
        <f t="shared" si="2"/>
        <v>0.8</v>
      </c>
      <c r="T16" s="2845">
        <f t="shared" si="3"/>
        <v>2.9287634408602162E-2</v>
      </c>
      <c r="U16" s="374">
        <f t="shared" si="4"/>
        <v>0.8</v>
      </c>
      <c r="V16" s="2846">
        <f t="shared" si="5"/>
        <v>0</v>
      </c>
      <c r="W16" s="2847">
        <f t="shared" si="6"/>
        <v>0</v>
      </c>
      <c r="X16" s="2848">
        <f t="shared" si="7"/>
        <v>0</v>
      </c>
      <c r="Y16" s="2849">
        <f t="shared" si="8"/>
        <v>0</v>
      </c>
      <c r="Z16" s="2850">
        <f t="shared" si="9"/>
        <v>0</v>
      </c>
      <c r="AA16" s="2851">
        <f t="shared" si="10"/>
        <v>0</v>
      </c>
      <c r="AB16" s="2935"/>
      <c r="AC16" s="2867"/>
      <c r="AD16" s="2867"/>
      <c r="AE16" s="2867"/>
      <c r="AF16" s="2867"/>
      <c r="AG16" s="2867"/>
      <c r="AH16" s="2867"/>
      <c r="AI16" s="2935"/>
      <c r="AJ16" s="2935"/>
      <c r="AK16" s="2935"/>
      <c r="AL16" s="2935"/>
      <c r="AM16" s="2935"/>
      <c r="AN16" s="2935"/>
    </row>
    <row r="17" spans="1:40" s="63" customFormat="1" ht="14" customHeight="1">
      <c r="A17" s="3109" t="s">
        <v>215</v>
      </c>
      <c r="B17" s="3115" t="s">
        <v>461</v>
      </c>
      <c r="C17" s="5694">
        <f t="shared" si="1"/>
        <v>1.8229166666666673E-4</v>
      </c>
      <c r="D17" s="5721">
        <v>6</v>
      </c>
      <c r="E17" s="5722">
        <v>2</v>
      </c>
      <c r="F17" s="5723">
        <v>5</v>
      </c>
      <c r="G17" s="5723">
        <v>50</v>
      </c>
      <c r="H17" s="5724"/>
      <c r="I17" s="5725">
        <v>9.2592592592592585E-4</v>
      </c>
      <c r="J17" s="5725">
        <v>1.3888888888888889E-3</v>
      </c>
      <c r="K17" s="5726" t="s">
        <v>1164</v>
      </c>
      <c r="L17" s="5727">
        <f>L16+N16</f>
        <v>0.80674320489844686</v>
      </c>
      <c r="M17" s="5675">
        <v>1</v>
      </c>
      <c r="N17" s="5727">
        <f t="shared" ref="N17:N22" si="21">P17*E17*F17+I17*E17*F17+J17*E17</f>
        <v>1.5682870370370371E-2</v>
      </c>
      <c r="O17" s="5728">
        <f t="shared" si="18"/>
        <v>3.6458333333333346E-4</v>
      </c>
      <c r="P17" s="3442">
        <f t="shared" si="19"/>
        <v>3.6458333333333346E-4</v>
      </c>
      <c r="Q17" s="5729" t="s">
        <v>316</v>
      </c>
      <c r="R17" s="5726">
        <f t="shared" si="20"/>
        <v>500</v>
      </c>
      <c r="S17" s="2844">
        <f t="shared" si="2"/>
        <v>0.5</v>
      </c>
      <c r="T17" s="2845">
        <f t="shared" si="3"/>
        <v>1.4583333333333339E-2</v>
      </c>
      <c r="U17" s="374">
        <f t="shared" si="4"/>
        <v>0</v>
      </c>
      <c r="V17" s="2846">
        <f t="shared" si="5"/>
        <v>0</v>
      </c>
      <c r="W17" s="2847">
        <f t="shared" si="6"/>
        <v>0</v>
      </c>
      <c r="X17" s="2848">
        <f t="shared" si="7"/>
        <v>0</v>
      </c>
      <c r="Y17" s="2849">
        <f t="shared" si="8"/>
        <v>0</v>
      </c>
      <c r="Z17" s="2850">
        <f t="shared" si="9"/>
        <v>0.5</v>
      </c>
      <c r="AA17" s="2851">
        <f t="shared" si="10"/>
        <v>0</v>
      </c>
      <c r="AB17" s="2935"/>
      <c r="AC17" s="2867"/>
      <c r="AD17" s="2867"/>
      <c r="AE17" s="2867"/>
      <c r="AF17" s="2867"/>
      <c r="AG17" s="2867"/>
      <c r="AH17" s="2867"/>
      <c r="AI17" s="2935"/>
      <c r="AJ17" s="2935"/>
      <c r="AK17" s="2935"/>
      <c r="AL17" s="2935"/>
      <c r="AM17" s="2935"/>
      <c r="AN17" s="2935"/>
    </row>
    <row r="18" spans="1:40" s="63" customFormat="1" ht="14" customHeight="1">
      <c r="A18" s="3109" t="s">
        <v>138</v>
      </c>
      <c r="B18" s="3115" t="s">
        <v>461</v>
      </c>
      <c r="C18" s="5730">
        <f t="shared" si="1"/>
        <v>1.8229166666666673E-4</v>
      </c>
      <c r="D18" s="5731">
        <v>6</v>
      </c>
      <c r="E18" s="5732">
        <v>2</v>
      </c>
      <c r="F18" s="5733">
        <v>5</v>
      </c>
      <c r="G18" s="5733">
        <v>50</v>
      </c>
      <c r="H18" s="5734"/>
      <c r="I18" s="5735">
        <v>9.2592592592592585E-4</v>
      </c>
      <c r="J18" s="5735">
        <v>1.3888888888888889E-3</v>
      </c>
      <c r="K18" s="5736" t="s">
        <v>1427</v>
      </c>
      <c r="L18" s="5737">
        <f t="shared" ref="L18:L20" si="22">L17+N17</f>
        <v>0.82242607526881728</v>
      </c>
      <c r="M18" s="5675">
        <v>1</v>
      </c>
      <c r="N18" s="5737">
        <f t="shared" si="21"/>
        <v>1.5682870370370371E-2</v>
      </c>
      <c r="O18" s="5738">
        <f t="shared" si="18"/>
        <v>3.6458333333333346E-4</v>
      </c>
      <c r="P18" s="3442">
        <f t="shared" si="19"/>
        <v>3.6458333333333346E-4</v>
      </c>
      <c r="Q18" s="5739">
        <v>146</v>
      </c>
      <c r="R18" s="5736">
        <f t="shared" si="20"/>
        <v>500</v>
      </c>
      <c r="S18" s="2844">
        <f t="shared" si="2"/>
        <v>0.5</v>
      </c>
      <c r="T18" s="2845">
        <f t="shared" si="3"/>
        <v>1.4583333333333339E-2</v>
      </c>
      <c r="U18" s="374">
        <f t="shared" si="4"/>
        <v>0</v>
      </c>
      <c r="V18" s="2846">
        <f t="shared" si="5"/>
        <v>0</v>
      </c>
      <c r="W18" s="2847">
        <f t="shared" si="6"/>
        <v>0</v>
      </c>
      <c r="X18" s="2848">
        <f t="shared" si="7"/>
        <v>0</v>
      </c>
      <c r="Y18" s="2849">
        <f t="shared" si="8"/>
        <v>0</v>
      </c>
      <c r="Z18" s="2850">
        <f t="shared" si="9"/>
        <v>0.5</v>
      </c>
      <c r="AA18" s="2851">
        <f t="shared" si="10"/>
        <v>0</v>
      </c>
      <c r="AB18" s="2935"/>
      <c r="AC18" s="2867"/>
      <c r="AD18" s="2867"/>
      <c r="AE18" s="2867"/>
      <c r="AF18" s="2867"/>
      <c r="AG18" s="2867"/>
      <c r="AH18" s="2867"/>
      <c r="AI18" s="2935"/>
      <c r="AJ18" s="2935"/>
      <c r="AK18" s="2935"/>
      <c r="AL18" s="2935"/>
      <c r="AM18" s="2935"/>
      <c r="AN18" s="2935"/>
    </row>
    <row r="19" spans="1:40" s="63" customFormat="1" ht="14" customHeight="1">
      <c r="A19" s="3109" t="s">
        <v>462</v>
      </c>
      <c r="B19" s="3115" t="s">
        <v>461</v>
      </c>
      <c r="C19" s="5740">
        <f t="shared" si="1"/>
        <v>1.8229166666666673E-4</v>
      </c>
      <c r="D19" s="5741">
        <v>6</v>
      </c>
      <c r="E19" s="5742">
        <v>2</v>
      </c>
      <c r="F19" s="5743">
        <v>5</v>
      </c>
      <c r="G19" s="5743">
        <v>50</v>
      </c>
      <c r="H19" s="5744"/>
      <c r="I19" s="5745">
        <v>9.2592592592592585E-4</v>
      </c>
      <c r="J19" s="5745">
        <v>1.3888888888888889E-3</v>
      </c>
      <c r="K19" s="5746" t="s">
        <v>1165</v>
      </c>
      <c r="L19" s="5747">
        <f t="shared" si="22"/>
        <v>0.8381089456391877</v>
      </c>
      <c r="M19" s="5675">
        <v>1</v>
      </c>
      <c r="N19" s="5747">
        <f t="shared" si="21"/>
        <v>1.5682870370370371E-2</v>
      </c>
      <c r="O19" s="5748">
        <f t="shared" si="18"/>
        <v>3.6458333333333346E-4</v>
      </c>
      <c r="P19" s="3442">
        <f t="shared" si="19"/>
        <v>3.6458333333333346E-4</v>
      </c>
      <c r="Q19" s="5749">
        <v>164</v>
      </c>
      <c r="R19" s="5746">
        <f t="shared" si="20"/>
        <v>500</v>
      </c>
      <c r="S19" s="2844">
        <f t="shared" si="2"/>
        <v>0.5</v>
      </c>
      <c r="T19" s="2845">
        <f t="shared" si="3"/>
        <v>1.4583333333333339E-2</v>
      </c>
      <c r="U19" s="374">
        <f t="shared" si="4"/>
        <v>0</v>
      </c>
      <c r="V19" s="2846">
        <f t="shared" si="5"/>
        <v>0</v>
      </c>
      <c r="W19" s="2847">
        <f t="shared" si="6"/>
        <v>0</v>
      </c>
      <c r="X19" s="2848">
        <f t="shared" si="7"/>
        <v>0</v>
      </c>
      <c r="Y19" s="2849">
        <f t="shared" si="8"/>
        <v>0</v>
      </c>
      <c r="Z19" s="2850">
        <f t="shared" si="9"/>
        <v>0.5</v>
      </c>
      <c r="AA19" s="2851">
        <f t="shared" si="10"/>
        <v>0</v>
      </c>
      <c r="AB19" s="2935"/>
      <c r="AC19" s="2867"/>
      <c r="AD19" s="2867"/>
      <c r="AE19" s="2867"/>
      <c r="AF19" s="2867"/>
      <c r="AG19" s="2867"/>
      <c r="AH19" s="2867"/>
      <c r="AI19" s="2935"/>
      <c r="AJ19" s="2935"/>
      <c r="AK19" s="2935"/>
      <c r="AL19" s="2935"/>
      <c r="AM19" s="2935"/>
      <c r="AN19" s="2935"/>
    </row>
    <row r="20" spans="1:40" s="63" customFormat="1" ht="14" customHeight="1">
      <c r="A20" s="3109" t="s">
        <v>461</v>
      </c>
      <c r="B20" s="3115" t="s">
        <v>461</v>
      </c>
      <c r="C20" s="5750">
        <f t="shared" si="1"/>
        <v>2.1908757716049393E-4</v>
      </c>
      <c r="D20" s="5751">
        <v>2</v>
      </c>
      <c r="E20" s="5679">
        <v>1</v>
      </c>
      <c r="F20" s="5752">
        <v>1</v>
      </c>
      <c r="G20" s="5752">
        <v>200</v>
      </c>
      <c r="H20" s="5753" t="s">
        <v>218</v>
      </c>
      <c r="I20" s="5754">
        <v>1.1574074074074073E-4</v>
      </c>
      <c r="J20" s="5754">
        <v>6.9444444444444447E-4</v>
      </c>
      <c r="K20" s="5755" t="s">
        <v>942</v>
      </c>
      <c r="L20" s="5754">
        <f t="shared" si="22"/>
        <v>0.85379181600955811</v>
      </c>
      <c r="M20" s="5756">
        <v>1</v>
      </c>
      <c r="N20" s="5754">
        <f t="shared" si="21"/>
        <v>2.5628858024691367E-3</v>
      </c>
      <c r="O20" s="5757">
        <f t="shared" si="18"/>
        <v>1.7527006172839514E-3</v>
      </c>
      <c r="P20" s="5758">
        <f t="shared" si="19"/>
        <v>1.7527006172839514E-3</v>
      </c>
      <c r="Q20" s="5759">
        <v>146</v>
      </c>
      <c r="R20" s="5760">
        <f t="shared" si="20"/>
        <v>200</v>
      </c>
      <c r="S20" s="2844">
        <f t="shared" si="2"/>
        <v>0.2</v>
      </c>
      <c r="T20" s="2845">
        <f t="shared" si="3"/>
        <v>7.0108024691358057E-3</v>
      </c>
      <c r="U20" s="374">
        <f t="shared" si="4"/>
        <v>0</v>
      </c>
      <c r="V20" s="2846">
        <f t="shared" si="5"/>
        <v>0.2</v>
      </c>
      <c r="W20" s="2847">
        <f t="shared" si="6"/>
        <v>0</v>
      </c>
      <c r="X20" s="2848">
        <f t="shared" si="7"/>
        <v>0</v>
      </c>
      <c r="Y20" s="2849">
        <f t="shared" si="8"/>
        <v>0</v>
      </c>
      <c r="Z20" s="2850">
        <f t="shared" si="9"/>
        <v>0</v>
      </c>
      <c r="AA20" s="2851">
        <f t="shared" si="10"/>
        <v>0</v>
      </c>
      <c r="AB20" s="2935"/>
      <c r="AC20" s="2867"/>
      <c r="AD20" s="2867"/>
      <c r="AE20" s="2867"/>
      <c r="AF20" s="2867"/>
      <c r="AG20" s="2867"/>
      <c r="AH20" s="2867"/>
      <c r="AI20" s="2935"/>
      <c r="AJ20" s="2935"/>
      <c r="AK20" s="2935"/>
      <c r="AL20" s="2935"/>
      <c r="AM20" s="2935"/>
      <c r="AN20" s="2935"/>
    </row>
    <row r="21" spans="1:40" s="63" customFormat="1" ht="14" customHeight="1">
      <c r="A21" s="3109" t="s">
        <v>458</v>
      </c>
      <c r="B21" s="3115" t="s">
        <v>461</v>
      </c>
      <c r="C21" s="5750">
        <f t="shared" si="1"/>
        <v>1.8933937422552669E-4</v>
      </c>
      <c r="D21" s="1433">
        <v>5</v>
      </c>
      <c r="E21" s="5761">
        <v>1</v>
      </c>
      <c r="F21" s="5762">
        <v>4</v>
      </c>
      <c r="G21" s="5763">
        <v>75</v>
      </c>
      <c r="H21" s="5764" t="s">
        <v>944</v>
      </c>
      <c r="I21" s="5765">
        <v>5.7870370370370366E-5</v>
      </c>
      <c r="J21" s="5765">
        <v>1.3888888888888889E-3</v>
      </c>
      <c r="K21" s="5766" t="s">
        <v>1428</v>
      </c>
      <c r="L21" s="5767">
        <f>L19+N19</f>
        <v>0.85379181600955811</v>
      </c>
      <c r="M21" s="3448">
        <v>1</v>
      </c>
      <c r="N21" s="5765">
        <f t="shared" si="21"/>
        <v>3.8924428610766903E-3</v>
      </c>
      <c r="O21" s="5768">
        <f t="shared" si="18"/>
        <v>5.6801812267658004E-4</v>
      </c>
      <c r="P21" s="4148">
        <f t="shared" si="19"/>
        <v>5.6801812267658004E-4</v>
      </c>
      <c r="Q21" s="5769" t="s">
        <v>278</v>
      </c>
      <c r="R21" s="5763">
        <f t="shared" si="20"/>
        <v>300</v>
      </c>
      <c r="S21" s="2844">
        <f t="shared" si="2"/>
        <v>0.3</v>
      </c>
      <c r="T21" s="2845">
        <f t="shared" si="3"/>
        <v>9.0882899628252807E-3</v>
      </c>
      <c r="U21" s="374">
        <f t="shared" si="4"/>
        <v>0</v>
      </c>
      <c r="V21" s="2846">
        <f t="shared" si="5"/>
        <v>0</v>
      </c>
      <c r="W21" s="2847">
        <f t="shared" si="6"/>
        <v>0</v>
      </c>
      <c r="X21" s="2848">
        <f t="shared" si="7"/>
        <v>0</v>
      </c>
      <c r="Y21" s="2849">
        <f t="shared" si="8"/>
        <v>0.3</v>
      </c>
      <c r="Z21" s="2850">
        <f t="shared" si="9"/>
        <v>0</v>
      </c>
      <c r="AA21" s="2851">
        <f t="shared" si="10"/>
        <v>0</v>
      </c>
      <c r="AB21" s="2935"/>
      <c r="AC21" s="2867"/>
      <c r="AD21" s="2867"/>
      <c r="AE21" s="2867"/>
      <c r="AF21" s="2867"/>
      <c r="AG21" s="2867"/>
      <c r="AH21" s="2867"/>
      <c r="AI21" s="2935"/>
      <c r="AJ21" s="2935"/>
      <c r="AK21" s="2935"/>
      <c r="AL21" s="2935"/>
      <c r="AM21" s="2935"/>
      <c r="AN21" s="2935"/>
    </row>
    <row r="22" spans="1:40" s="63" customFormat="1" ht="14" customHeight="1">
      <c r="A22" s="3109" t="s">
        <v>219</v>
      </c>
      <c r="B22" s="3115" t="s">
        <v>461</v>
      </c>
      <c r="C22" s="5770"/>
      <c r="D22" s="1433">
        <v>2</v>
      </c>
      <c r="E22" s="5695">
        <v>2</v>
      </c>
      <c r="F22" s="5771">
        <v>1</v>
      </c>
      <c r="G22" s="5771">
        <v>200</v>
      </c>
      <c r="H22" s="5772" t="s">
        <v>944</v>
      </c>
      <c r="I22" s="5773">
        <v>8.6805555555555551E-4</v>
      </c>
      <c r="J22" s="5773">
        <v>1.3888888888888889E-3</v>
      </c>
      <c r="K22" s="5774" t="s">
        <v>983</v>
      </c>
      <c r="L22" s="5775">
        <f>L20+N20</f>
        <v>0.85635470181202722</v>
      </c>
      <c r="M22" s="5776">
        <v>1</v>
      </c>
      <c r="N22" s="5773">
        <f t="shared" si="21"/>
        <v>4.5138888888888885E-3</v>
      </c>
      <c r="O22" s="5777">
        <f t="shared" si="18"/>
        <v>0</v>
      </c>
      <c r="P22" s="5777">
        <f t="shared" si="19"/>
        <v>0</v>
      </c>
      <c r="Q22" s="5778" t="s">
        <v>278</v>
      </c>
      <c r="R22" s="5779">
        <f t="shared" si="20"/>
        <v>400</v>
      </c>
      <c r="S22" s="2844">
        <f t="shared" si="2"/>
        <v>0.4</v>
      </c>
      <c r="T22" s="2845">
        <f t="shared" si="3"/>
        <v>0</v>
      </c>
      <c r="U22" s="374">
        <f t="shared" si="4"/>
        <v>0</v>
      </c>
      <c r="V22" s="2846">
        <f t="shared" si="5"/>
        <v>0</v>
      </c>
      <c r="W22" s="2847">
        <f t="shared" si="6"/>
        <v>0</v>
      </c>
      <c r="X22" s="2848">
        <f t="shared" si="7"/>
        <v>0</v>
      </c>
      <c r="Y22" s="2849">
        <f t="shared" si="8"/>
        <v>0</v>
      </c>
      <c r="Z22" s="2850">
        <f t="shared" si="9"/>
        <v>0</v>
      </c>
      <c r="AA22" s="2851">
        <f t="shared" si="10"/>
        <v>0</v>
      </c>
      <c r="AB22" s="2935"/>
      <c r="AC22" s="2867"/>
      <c r="AD22" s="2867"/>
      <c r="AE22" s="2867"/>
      <c r="AF22" s="2867"/>
      <c r="AG22" s="2867"/>
      <c r="AH22" s="2867"/>
      <c r="AI22" s="2935"/>
      <c r="AJ22" s="2935"/>
      <c r="AK22" s="2935"/>
      <c r="AL22" s="2935"/>
      <c r="AM22" s="2935"/>
      <c r="AN22" s="2935"/>
    </row>
    <row r="23" spans="1:40" s="63" customFormat="1" ht="14" customHeight="1" thickBot="1">
      <c r="A23" s="4162"/>
      <c r="B23" s="4163"/>
      <c r="C23" s="5780"/>
      <c r="D23" s="5781"/>
      <c r="E23" s="5782"/>
      <c r="F23" s="5782"/>
      <c r="G23" s="5782"/>
      <c r="H23" s="5782"/>
      <c r="I23" s="5782"/>
      <c r="J23" s="5782"/>
      <c r="K23" s="5782"/>
      <c r="L23" s="5783">
        <f>L22+N22</f>
        <v>0.86086859070091615</v>
      </c>
      <c r="M23" s="5784">
        <v>1</v>
      </c>
      <c r="N23" s="5785">
        <f>SUM(N16:N22)</f>
        <v>6.6149922450881554E-2</v>
      </c>
      <c r="O23" s="5782">
        <f>C23*20/25</f>
        <v>0</v>
      </c>
      <c r="P23" s="5782"/>
      <c r="Q23" s="5782"/>
      <c r="R23" s="4155">
        <f>SUM(R16:R22)</f>
        <v>3200</v>
      </c>
      <c r="S23" s="2844">
        <f t="shared" si="2"/>
        <v>0</v>
      </c>
      <c r="T23" s="2845">
        <f t="shared" si="3"/>
        <v>0</v>
      </c>
      <c r="U23" s="374">
        <f t="shared" si="4"/>
        <v>0</v>
      </c>
      <c r="V23" s="2846">
        <f t="shared" si="5"/>
        <v>0</v>
      </c>
      <c r="W23" s="2847">
        <f t="shared" si="6"/>
        <v>0</v>
      </c>
      <c r="X23" s="2848">
        <f t="shared" si="7"/>
        <v>0</v>
      </c>
      <c r="Y23" s="2849">
        <f t="shared" si="8"/>
        <v>0</v>
      </c>
      <c r="Z23" s="2850">
        <f t="shared" si="9"/>
        <v>0</v>
      </c>
      <c r="AA23" s="2851">
        <f t="shared" si="10"/>
        <v>0</v>
      </c>
      <c r="AB23" s="2935"/>
      <c r="AC23" s="2867"/>
      <c r="AD23" s="2867"/>
      <c r="AE23" s="2867"/>
      <c r="AF23" s="2867"/>
      <c r="AG23" s="2867"/>
      <c r="AH23" s="2867"/>
      <c r="AI23" s="2935"/>
      <c r="AJ23" s="2935"/>
      <c r="AK23" s="2935"/>
      <c r="AL23" s="2935"/>
      <c r="AM23" s="2935"/>
      <c r="AN23" s="2935"/>
    </row>
    <row r="24" spans="1:40" ht="12.75" customHeight="1" thickBot="1">
      <c r="A24" s="2183" t="s">
        <v>215</v>
      </c>
      <c r="B24" s="2530" t="s">
        <v>215</v>
      </c>
      <c r="C24" s="5770">
        <f t="shared" ref="C24:C41" si="23">IF(D24=1,U$5,IF(D24=2,V$5,IF(D24=3,W$5,IF(D24=4,X$5,IF(D24=5,Y$5,IF(D24=6,Z$5,IF(D24=7,AA$5,0)))))))</f>
        <v>2.1908757716049393E-4</v>
      </c>
      <c r="D24" s="5794">
        <v>2</v>
      </c>
      <c r="E24" s="5817">
        <v>1</v>
      </c>
      <c r="F24" s="5817">
        <v>1</v>
      </c>
      <c r="G24" s="5817">
        <v>400</v>
      </c>
      <c r="H24" s="5818"/>
      <c r="I24" s="5818"/>
      <c r="J24" s="5818">
        <v>1.3888888888888889E-3</v>
      </c>
      <c r="K24" s="5819" t="s">
        <v>703</v>
      </c>
      <c r="L24" s="4903">
        <v>0.3125</v>
      </c>
      <c r="M24" s="5820">
        <v>1</v>
      </c>
      <c r="N24" s="4903">
        <v>9.5138888888888894E-3</v>
      </c>
      <c r="O24" s="5821">
        <v>4.0624999999999993E-3</v>
      </c>
      <c r="P24" s="5822">
        <v>4.0624999999999993E-3</v>
      </c>
      <c r="Q24" s="5823">
        <v>146</v>
      </c>
      <c r="R24" s="5779">
        <f t="shared" ref="R24:R34" si="24">E24*F24*G24</f>
        <v>400</v>
      </c>
      <c r="S24" s="2844">
        <f t="shared" si="2"/>
        <v>0.4</v>
      </c>
      <c r="T24" s="2845">
        <f t="shared" si="3"/>
        <v>1.6249999999999997E-2</v>
      </c>
      <c r="U24" s="374">
        <f t="shared" si="4"/>
        <v>0</v>
      </c>
      <c r="V24" s="2846">
        <f t="shared" si="5"/>
        <v>0.4</v>
      </c>
      <c r="W24" s="2847">
        <f t="shared" si="6"/>
        <v>0</v>
      </c>
      <c r="X24" s="2848">
        <f t="shared" si="7"/>
        <v>0</v>
      </c>
      <c r="Y24" s="2849">
        <f t="shared" si="8"/>
        <v>0</v>
      </c>
      <c r="Z24" s="2850">
        <f t="shared" si="9"/>
        <v>0</v>
      </c>
      <c r="AA24" s="2851">
        <f t="shared" si="10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2.75" customHeight="1" thickBot="1">
      <c r="A25" s="2183" t="s">
        <v>139</v>
      </c>
      <c r="B25" s="2530" t="s">
        <v>215</v>
      </c>
      <c r="C25" s="5770">
        <f t="shared" si="23"/>
        <v>2.0247664488766629E-4</v>
      </c>
      <c r="D25" s="5824">
        <v>4</v>
      </c>
      <c r="E25" s="5825">
        <v>1</v>
      </c>
      <c r="F25" s="5825">
        <v>5</v>
      </c>
      <c r="G25" s="5825">
        <v>50</v>
      </c>
      <c r="H25" s="5826" t="s">
        <v>710</v>
      </c>
      <c r="I25" s="5827">
        <v>5.2083333333333333E-4</v>
      </c>
      <c r="J25" s="5827">
        <v>1.3888888888888889E-3</v>
      </c>
      <c r="K25" s="5828" t="s">
        <v>1180</v>
      </c>
      <c r="L25" s="5827">
        <f t="shared" ref="L25:L34" si="25">L24+N24</f>
        <v>0.32201388888888888</v>
      </c>
      <c r="M25" s="5829">
        <v>1</v>
      </c>
      <c r="N25" s="5830">
        <f>P25*E25*F25+I25*E25*F25+J25*E25</f>
        <v>6.0178220044322184E-3</v>
      </c>
      <c r="O25" s="5791">
        <f t="shared" ref="O25:O34" si="26">C25*(G25/25)</f>
        <v>4.0495328977533258E-4</v>
      </c>
      <c r="P25" s="5831">
        <f t="shared" ref="P25:P34" si="27">O25*M25</f>
        <v>4.0495328977533258E-4</v>
      </c>
      <c r="Q25" s="5832" t="s">
        <v>316</v>
      </c>
      <c r="R25" s="5833">
        <f t="shared" si="24"/>
        <v>250</v>
      </c>
      <c r="S25" s="2844">
        <f t="shared" si="2"/>
        <v>0.25</v>
      </c>
      <c r="T25" s="2845">
        <f t="shared" si="3"/>
        <v>8.0990657955066509E-3</v>
      </c>
      <c r="U25" s="374">
        <f t="shared" si="4"/>
        <v>0</v>
      </c>
      <c r="V25" s="2846">
        <f t="shared" si="5"/>
        <v>0</v>
      </c>
      <c r="W25" s="2847">
        <f t="shared" si="6"/>
        <v>0</v>
      </c>
      <c r="X25" s="2848">
        <f t="shared" si="7"/>
        <v>0.25</v>
      </c>
      <c r="Y25" s="2849">
        <f t="shared" si="8"/>
        <v>0</v>
      </c>
      <c r="Z25" s="2850">
        <f t="shared" si="9"/>
        <v>0</v>
      </c>
      <c r="AA25" s="2851">
        <f t="shared" si="10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2.75" customHeight="1" thickBot="1">
      <c r="A26" s="2183" t="s">
        <v>458</v>
      </c>
      <c r="B26" s="2530" t="s">
        <v>215</v>
      </c>
      <c r="C26" s="5770">
        <f t="shared" si="23"/>
        <v>2.1908757716049393E-4</v>
      </c>
      <c r="D26" s="5834">
        <v>2</v>
      </c>
      <c r="E26" s="5835">
        <v>1</v>
      </c>
      <c r="F26" s="5835">
        <v>1</v>
      </c>
      <c r="G26" s="5835">
        <v>200</v>
      </c>
      <c r="H26" s="5836" t="s">
        <v>713</v>
      </c>
      <c r="I26" s="4903">
        <v>1.1574074074074073E-4</v>
      </c>
      <c r="J26" s="4903">
        <v>6.9444444444444447E-4</v>
      </c>
      <c r="K26" s="5837" t="s">
        <v>1181</v>
      </c>
      <c r="L26" s="4903">
        <f t="shared" si="25"/>
        <v>0.32803171089332112</v>
      </c>
      <c r="M26" s="5776">
        <v>1</v>
      </c>
      <c r="N26" s="5773">
        <f t="shared" ref="N26:N34" si="28">P26*E26*F26+I26*E26*F26+J26*E26</f>
        <v>2.5628858024691367E-3</v>
      </c>
      <c r="O26" s="5791">
        <f t="shared" si="26"/>
        <v>1.7527006172839514E-3</v>
      </c>
      <c r="P26" s="5777">
        <f t="shared" si="27"/>
        <v>1.7527006172839514E-3</v>
      </c>
      <c r="Q26" s="5778">
        <v>146</v>
      </c>
      <c r="R26" s="5779">
        <f t="shared" si="24"/>
        <v>200</v>
      </c>
      <c r="S26" s="2844">
        <f t="shared" si="2"/>
        <v>0.2</v>
      </c>
      <c r="T26" s="2845">
        <f t="shared" si="3"/>
        <v>7.0108024691358057E-3</v>
      </c>
      <c r="U26" s="374">
        <f t="shared" si="4"/>
        <v>0</v>
      </c>
      <c r="V26" s="2846">
        <f t="shared" si="5"/>
        <v>0.2</v>
      </c>
      <c r="W26" s="2847">
        <f t="shared" si="6"/>
        <v>0</v>
      </c>
      <c r="X26" s="2848">
        <f t="shared" si="7"/>
        <v>0</v>
      </c>
      <c r="Y26" s="2849">
        <f t="shared" si="8"/>
        <v>0</v>
      </c>
      <c r="Z26" s="2850">
        <f t="shared" si="9"/>
        <v>0</v>
      </c>
      <c r="AA26" s="2851">
        <f t="shared" si="10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2.75" customHeight="1" thickBot="1">
      <c r="A27" s="2183" t="s">
        <v>462</v>
      </c>
      <c r="B27" s="2530" t="s">
        <v>215</v>
      </c>
      <c r="C27" s="5770">
        <f t="shared" si="23"/>
        <v>1.8229166666666673E-4</v>
      </c>
      <c r="D27" s="3436">
        <v>6</v>
      </c>
      <c r="E27" s="5838">
        <v>1</v>
      </c>
      <c r="F27" s="5838">
        <v>4</v>
      </c>
      <c r="G27" s="5838">
        <v>50</v>
      </c>
      <c r="H27" s="5839" t="s">
        <v>20</v>
      </c>
      <c r="I27" s="5840">
        <v>9.2592592592592585E-4</v>
      </c>
      <c r="J27" s="5840">
        <v>1.736111111111111E-3</v>
      </c>
      <c r="K27" s="5841" t="s">
        <v>1172</v>
      </c>
      <c r="L27" s="5842">
        <f t="shared" si="25"/>
        <v>0.33059459669579028</v>
      </c>
      <c r="M27" s="5675">
        <v>1</v>
      </c>
      <c r="N27" s="5842">
        <f t="shared" si="28"/>
        <v>6.898148148148148E-3</v>
      </c>
      <c r="O27" s="5843">
        <f t="shared" si="26"/>
        <v>3.6458333333333346E-4</v>
      </c>
      <c r="P27" s="3442">
        <f t="shared" si="27"/>
        <v>3.6458333333333346E-4</v>
      </c>
      <c r="Q27" s="5844">
        <v>164</v>
      </c>
      <c r="R27" s="5841">
        <f t="shared" si="24"/>
        <v>200</v>
      </c>
      <c r="S27" s="2844">
        <f t="shared" si="2"/>
        <v>0.2</v>
      </c>
      <c r="T27" s="2845">
        <f t="shared" si="3"/>
        <v>5.8333333333333353E-3</v>
      </c>
      <c r="U27" s="374">
        <f t="shared" si="4"/>
        <v>0</v>
      </c>
      <c r="V27" s="2846">
        <f t="shared" si="5"/>
        <v>0</v>
      </c>
      <c r="W27" s="2847">
        <f t="shared" si="6"/>
        <v>0</v>
      </c>
      <c r="X27" s="2848">
        <f t="shared" si="7"/>
        <v>0</v>
      </c>
      <c r="Y27" s="2849">
        <f t="shared" si="8"/>
        <v>0</v>
      </c>
      <c r="Z27" s="2850">
        <f t="shared" si="9"/>
        <v>0.2</v>
      </c>
      <c r="AA27" s="2851">
        <f t="shared" si="10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2.75" customHeight="1" thickBot="1">
      <c r="A28" s="2183" t="s">
        <v>140</v>
      </c>
      <c r="B28" s="2530" t="s">
        <v>215</v>
      </c>
      <c r="C28" s="5770">
        <f t="shared" si="23"/>
        <v>2.1908757716049393E-4</v>
      </c>
      <c r="D28" s="5834">
        <v>2</v>
      </c>
      <c r="E28" s="5837">
        <v>1</v>
      </c>
      <c r="F28" s="5837">
        <v>1</v>
      </c>
      <c r="G28" s="5837">
        <v>200</v>
      </c>
      <c r="H28" s="5845" t="s">
        <v>218</v>
      </c>
      <c r="I28" s="5846">
        <v>1.1574074074074073E-4</v>
      </c>
      <c r="J28" s="5846">
        <v>6.9444444444444447E-4</v>
      </c>
      <c r="K28" s="5837" t="s">
        <v>1170</v>
      </c>
      <c r="L28" s="5846">
        <f t="shared" si="25"/>
        <v>0.33749274484393843</v>
      </c>
      <c r="M28" s="5847">
        <v>1</v>
      </c>
      <c r="N28" s="5848">
        <f t="shared" si="28"/>
        <v>2.5628858024691367E-3</v>
      </c>
      <c r="O28" s="5791">
        <f t="shared" si="26"/>
        <v>1.7527006172839514E-3</v>
      </c>
      <c r="P28" s="5777">
        <f t="shared" si="27"/>
        <v>1.7527006172839514E-3</v>
      </c>
      <c r="Q28" s="5778">
        <v>146</v>
      </c>
      <c r="R28" s="5849">
        <f t="shared" si="24"/>
        <v>200</v>
      </c>
      <c r="S28" s="2844">
        <f t="shared" si="2"/>
        <v>0.2</v>
      </c>
      <c r="T28" s="2845">
        <f t="shared" si="3"/>
        <v>7.0108024691358057E-3</v>
      </c>
      <c r="U28" s="374">
        <f t="shared" si="4"/>
        <v>0</v>
      </c>
      <c r="V28" s="2846">
        <f t="shared" si="5"/>
        <v>0.2</v>
      </c>
      <c r="W28" s="2847">
        <f t="shared" si="6"/>
        <v>0</v>
      </c>
      <c r="X28" s="2848">
        <f t="shared" si="7"/>
        <v>0</v>
      </c>
      <c r="Y28" s="2849">
        <f t="shared" si="8"/>
        <v>0</v>
      </c>
      <c r="Z28" s="2850">
        <f t="shared" si="9"/>
        <v>0</v>
      </c>
      <c r="AA28" s="2851">
        <f t="shared" si="10"/>
        <v>0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2.75" customHeight="1" thickBot="1">
      <c r="A29" s="2183" t="s">
        <v>674</v>
      </c>
      <c r="B29" s="2530" t="s">
        <v>215</v>
      </c>
      <c r="C29" s="5770">
        <f t="shared" si="23"/>
        <v>1.8229166666666673E-4</v>
      </c>
      <c r="D29" s="3436">
        <v>6</v>
      </c>
      <c r="E29" s="5838">
        <v>1</v>
      </c>
      <c r="F29" s="5838">
        <v>4</v>
      </c>
      <c r="G29" s="5838">
        <v>50</v>
      </c>
      <c r="H29" s="5839" t="s">
        <v>20</v>
      </c>
      <c r="I29" s="5840">
        <v>9.2592592592592585E-4</v>
      </c>
      <c r="J29" s="5840">
        <v>1.736111111111111E-3</v>
      </c>
      <c r="K29" s="5841" t="s">
        <v>1182</v>
      </c>
      <c r="L29" s="5842">
        <f t="shared" si="25"/>
        <v>0.34005563064640759</v>
      </c>
      <c r="M29" s="5675">
        <v>1</v>
      </c>
      <c r="N29" s="5842">
        <f t="shared" si="28"/>
        <v>6.898148148148148E-3</v>
      </c>
      <c r="O29" s="5843">
        <f t="shared" si="26"/>
        <v>3.6458333333333346E-4</v>
      </c>
      <c r="P29" s="3442">
        <f t="shared" si="27"/>
        <v>3.6458333333333346E-4</v>
      </c>
      <c r="Q29" s="5844">
        <v>165</v>
      </c>
      <c r="R29" s="5841">
        <f t="shared" si="24"/>
        <v>200</v>
      </c>
      <c r="S29" s="2844">
        <f t="shared" si="2"/>
        <v>0.2</v>
      </c>
      <c r="T29" s="2845">
        <f t="shared" si="3"/>
        <v>5.8333333333333353E-3</v>
      </c>
      <c r="U29" s="374">
        <f t="shared" si="4"/>
        <v>0</v>
      </c>
      <c r="V29" s="2846">
        <f t="shared" si="5"/>
        <v>0</v>
      </c>
      <c r="W29" s="2847">
        <f t="shared" si="6"/>
        <v>0</v>
      </c>
      <c r="X29" s="2848">
        <f t="shared" si="7"/>
        <v>0</v>
      </c>
      <c r="Y29" s="2849">
        <f t="shared" si="8"/>
        <v>0</v>
      </c>
      <c r="Z29" s="2850">
        <f t="shared" si="9"/>
        <v>0.2</v>
      </c>
      <c r="AA29" s="2851">
        <f t="shared" si="10"/>
        <v>0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2.75" customHeight="1" thickBot="1">
      <c r="A30" s="2183" t="s">
        <v>214</v>
      </c>
      <c r="B30" s="2530" t="s">
        <v>215</v>
      </c>
      <c r="C30" s="5770">
        <f t="shared" si="23"/>
        <v>2.1908757716049393E-4</v>
      </c>
      <c r="D30" s="5834">
        <v>2</v>
      </c>
      <c r="E30" s="5835">
        <v>1</v>
      </c>
      <c r="F30" s="5835">
        <v>1</v>
      </c>
      <c r="G30" s="5835">
        <v>400</v>
      </c>
      <c r="H30" s="5836" t="s">
        <v>218</v>
      </c>
      <c r="I30" s="4903">
        <v>1.1574074074074073E-4</v>
      </c>
      <c r="J30" s="4903">
        <v>6.9444444444444447E-4</v>
      </c>
      <c r="K30" s="5837" t="s">
        <v>1173</v>
      </c>
      <c r="L30" s="4903">
        <f t="shared" si="25"/>
        <v>0.34695377879455574</v>
      </c>
      <c r="M30" s="5776">
        <v>1</v>
      </c>
      <c r="N30" s="5773">
        <f t="shared" si="28"/>
        <v>4.3155864197530879E-3</v>
      </c>
      <c r="O30" s="5791">
        <f t="shared" si="26"/>
        <v>3.5054012345679029E-3</v>
      </c>
      <c r="P30" s="5777">
        <f t="shared" si="27"/>
        <v>3.5054012345679029E-3</v>
      </c>
      <c r="Q30" s="5778">
        <v>146</v>
      </c>
      <c r="R30" s="5779">
        <f t="shared" si="24"/>
        <v>400</v>
      </c>
      <c r="S30" s="2844">
        <f t="shared" si="2"/>
        <v>0.4</v>
      </c>
      <c r="T30" s="2845">
        <f t="shared" si="3"/>
        <v>1.4021604938271611E-2</v>
      </c>
      <c r="U30" s="374">
        <f t="shared" si="4"/>
        <v>0</v>
      </c>
      <c r="V30" s="2846">
        <f t="shared" si="5"/>
        <v>0.4</v>
      </c>
      <c r="W30" s="2847">
        <f t="shared" si="6"/>
        <v>0</v>
      </c>
      <c r="X30" s="2848">
        <f t="shared" si="7"/>
        <v>0</v>
      </c>
      <c r="Y30" s="2849">
        <f t="shared" si="8"/>
        <v>0</v>
      </c>
      <c r="Z30" s="2850">
        <f t="shared" si="9"/>
        <v>0</v>
      </c>
      <c r="AA30" s="2851">
        <f t="shared" si="10"/>
        <v>0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2.75" customHeight="1" thickBot="1">
      <c r="A31" s="2183" t="s">
        <v>458</v>
      </c>
      <c r="B31" s="2530" t="s">
        <v>215</v>
      </c>
      <c r="C31" s="5770">
        <f t="shared" si="23"/>
        <v>1.8933937422552669E-4</v>
      </c>
      <c r="D31" s="1433">
        <v>5</v>
      </c>
      <c r="E31" s="5763">
        <v>2</v>
      </c>
      <c r="F31" s="5762">
        <v>1</v>
      </c>
      <c r="G31" s="5762">
        <v>75</v>
      </c>
      <c r="H31" s="5850" t="s">
        <v>944</v>
      </c>
      <c r="I31" s="5851">
        <v>5.7870370370370366E-5</v>
      </c>
      <c r="J31" s="5851">
        <v>1.3888888888888889E-3</v>
      </c>
      <c r="K31" s="5852" t="s">
        <v>1183</v>
      </c>
      <c r="L31" s="5853">
        <f t="shared" si="25"/>
        <v>0.35126936521430885</v>
      </c>
      <c r="M31" s="3448">
        <v>1</v>
      </c>
      <c r="N31" s="5765">
        <f t="shared" si="28"/>
        <v>4.0295547638716789E-3</v>
      </c>
      <c r="O31" s="5768">
        <f t="shared" si="26"/>
        <v>5.6801812267658004E-4</v>
      </c>
      <c r="P31" s="4148">
        <f t="shared" si="27"/>
        <v>5.6801812267658004E-4</v>
      </c>
      <c r="Q31" s="5769" t="s">
        <v>278</v>
      </c>
      <c r="R31" s="5763">
        <f t="shared" si="24"/>
        <v>150</v>
      </c>
      <c r="S31" s="2844">
        <f t="shared" si="2"/>
        <v>0.15</v>
      </c>
      <c r="T31" s="2845">
        <f t="shared" si="3"/>
        <v>4.5441449814126404E-3</v>
      </c>
      <c r="U31" s="374">
        <f t="shared" si="4"/>
        <v>0</v>
      </c>
      <c r="V31" s="2846">
        <f t="shared" si="5"/>
        <v>0</v>
      </c>
      <c r="W31" s="2847">
        <f t="shared" si="6"/>
        <v>0</v>
      </c>
      <c r="X31" s="2848">
        <f t="shared" si="7"/>
        <v>0</v>
      </c>
      <c r="Y31" s="2849">
        <f t="shared" si="8"/>
        <v>0.15</v>
      </c>
      <c r="Z31" s="2850">
        <f t="shared" si="9"/>
        <v>0</v>
      </c>
      <c r="AA31" s="2851">
        <f t="shared" si="10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2.75" customHeight="1" thickBot="1">
      <c r="A32" s="2183" t="s">
        <v>219</v>
      </c>
      <c r="B32" s="2530" t="s">
        <v>215</v>
      </c>
      <c r="C32" s="5770">
        <f t="shared" si="23"/>
        <v>2.1908757716049393E-4</v>
      </c>
      <c r="D32" s="5834">
        <v>2</v>
      </c>
      <c r="E32" s="5835">
        <v>1</v>
      </c>
      <c r="F32" s="5835">
        <v>1</v>
      </c>
      <c r="G32" s="5835">
        <v>200</v>
      </c>
      <c r="H32" s="5836" t="s">
        <v>218</v>
      </c>
      <c r="I32" s="4903">
        <v>1.1574074074074073E-4</v>
      </c>
      <c r="J32" s="4903">
        <v>6.9444444444444447E-4</v>
      </c>
      <c r="K32" s="5837" t="s">
        <v>1169</v>
      </c>
      <c r="L32" s="4903">
        <f t="shared" si="25"/>
        <v>0.35529891997818053</v>
      </c>
      <c r="M32" s="5776">
        <v>1</v>
      </c>
      <c r="N32" s="5773">
        <f t="shared" si="28"/>
        <v>2.5628858024691367E-3</v>
      </c>
      <c r="O32" s="5791">
        <f t="shared" si="26"/>
        <v>1.7527006172839514E-3</v>
      </c>
      <c r="P32" s="5777">
        <f t="shared" si="27"/>
        <v>1.7527006172839514E-3</v>
      </c>
      <c r="Q32" s="5778">
        <v>146</v>
      </c>
      <c r="R32" s="5779">
        <f t="shared" si="24"/>
        <v>200</v>
      </c>
      <c r="S32" s="2844">
        <f t="shared" si="2"/>
        <v>0.2</v>
      </c>
      <c r="T32" s="2845">
        <f t="shared" si="3"/>
        <v>7.0108024691358057E-3</v>
      </c>
      <c r="U32" s="374">
        <f t="shared" si="4"/>
        <v>0</v>
      </c>
      <c r="V32" s="2846">
        <f t="shared" si="5"/>
        <v>0.2</v>
      </c>
      <c r="W32" s="2847">
        <f t="shared" si="6"/>
        <v>0</v>
      </c>
      <c r="X32" s="2848">
        <f t="shared" si="7"/>
        <v>0</v>
      </c>
      <c r="Y32" s="2849">
        <f t="shared" si="8"/>
        <v>0</v>
      </c>
      <c r="Z32" s="2850">
        <f t="shared" si="9"/>
        <v>0</v>
      </c>
      <c r="AA32" s="2851">
        <f t="shared" si="10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2.75" customHeight="1" thickBot="1">
      <c r="A33" s="2183"/>
      <c r="B33" s="2530" t="s">
        <v>215</v>
      </c>
      <c r="C33" s="5770">
        <f t="shared" si="23"/>
        <v>1.8933937422552669E-4</v>
      </c>
      <c r="D33" s="1433">
        <v>5</v>
      </c>
      <c r="E33" s="5763">
        <v>2</v>
      </c>
      <c r="F33" s="5762">
        <v>1</v>
      </c>
      <c r="G33" s="5762">
        <v>75</v>
      </c>
      <c r="H33" s="5850" t="s">
        <v>944</v>
      </c>
      <c r="I33" s="5851">
        <v>5.7870370370370366E-5</v>
      </c>
      <c r="J33" s="5851">
        <v>1.3888888888888889E-3</v>
      </c>
      <c r="K33" s="5852" t="s">
        <v>1184</v>
      </c>
      <c r="L33" s="5853">
        <f t="shared" si="25"/>
        <v>0.35786180578064969</v>
      </c>
      <c r="M33" s="3448">
        <v>1</v>
      </c>
      <c r="N33" s="5765">
        <f t="shared" si="28"/>
        <v>4.0295547638716789E-3</v>
      </c>
      <c r="O33" s="5768">
        <f t="shared" si="26"/>
        <v>5.6801812267658004E-4</v>
      </c>
      <c r="P33" s="4148">
        <f t="shared" si="27"/>
        <v>5.6801812267658004E-4</v>
      </c>
      <c r="Q33" s="5769" t="s">
        <v>278</v>
      </c>
      <c r="R33" s="5763">
        <f t="shared" si="24"/>
        <v>150</v>
      </c>
      <c r="S33" s="2844">
        <f t="shared" si="2"/>
        <v>0.15</v>
      </c>
      <c r="T33" s="2845">
        <f t="shared" si="3"/>
        <v>4.5441449814126404E-3</v>
      </c>
      <c r="U33" s="374">
        <f t="shared" si="4"/>
        <v>0</v>
      </c>
      <c r="V33" s="2846">
        <f t="shared" si="5"/>
        <v>0</v>
      </c>
      <c r="W33" s="2847">
        <f t="shared" si="6"/>
        <v>0</v>
      </c>
      <c r="X33" s="2848">
        <f t="shared" si="7"/>
        <v>0</v>
      </c>
      <c r="Y33" s="2849">
        <f t="shared" si="8"/>
        <v>0.15</v>
      </c>
      <c r="Z33" s="2850">
        <f t="shared" si="9"/>
        <v>0</v>
      </c>
      <c r="AA33" s="2851">
        <f t="shared" si="10"/>
        <v>0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2.75" customHeight="1" thickBot="1">
      <c r="A34" s="2183" t="s">
        <v>215</v>
      </c>
      <c r="B34" s="2530" t="s">
        <v>215</v>
      </c>
      <c r="C34" s="5770">
        <f t="shared" si="23"/>
        <v>2.1908757716049393E-4</v>
      </c>
      <c r="D34" s="5794">
        <v>2</v>
      </c>
      <c r="E34" s="5817">
        <v>1</v>
      </c>
      <c r="F34" s="5817">
        <v>1</v>
      </c>
      <c r="G34" s="5817">
        <v>400</v>
      </c>
      <c r="H34" s="5818"/>
      <c r="I34" s="5818"/>
      <c r="J34" s="5818">
        <v>1.3888888888888889E-3</v>
      </c>
      <c r="K34" s="5819" t="s">
        <v>703</v>
      </c>
      <c r="L34" s="4903">
        <f t="shared" si="25"/>
        <v>0.36189136054452137</v>
      </c>
      <c r="M34" s="5776">
        <v>1</v>
      </c>
      <c r="N34" s="5773">
        <f t="shared" si="28"/>
        <v>4.8942901234567916E-3</v>
      </c>
      <c r="O34" s="5791">
        <f t="shared" si="26"/>
        <v>3.5054012345679029E-3</v>
      </c>
      <c r="P34" s="5777">
        <f t="shared" si="27"/>
        <v>3.5054012345679029E-3</v>
      </c>
      <c r="Q34" s="5778">
        <v>146</v>
      </c>
      <c r="R34" s="5779">
        <f t="shared" si="24"/>
        <v>400</v>
      </c>
      <c r="S34" s="2844">
        <f t="shared" si="2"/>
        <v>0.4</v>
      </c>
      <c r="T34" s="2845">
        <f t="shared" si="3"/>
        <v>1.4021604938271611E-2</v>
      </c>
      <c r="U34" s="374">
        <f t="shared" si="4"/>
        <v>0</v>
      </c>
      <c r="V34" s="2846">
        <f t="shared" si="5"/>
        <v>0.4</v>
      </c>
      <c r="W34" s="2847">
        <f t="shared" si="6"/>
        <v>0</v>
      </c>
      <c r="X34" s="2848">
        <f t="shared" si="7"/>
        <v>0</v>
      </c>
      <c r="Y34" s="2849">
        <f t="shared" si="8"/>
        <v>0</v>
      </c>
      <c r="Z34" s="2850">
        <f t="shared" si="9"/>
        <v>0</v>
      </c>
      <c r="AA34" s="2851">
        <f t="shared" si="10"/>
        <v>0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2.75" customHeight="1" thickBot="1">
      <c r="A35" s="2183" t="s">
        <v>139</v>
      </c>
      <c r="B35" s="2530"/>
      <c r="C35" s="5770">
        <f t="shared" si="23"/>
        <v>0</v>
      </c>
      <c r="D35" s="5854"/>
      <c r="E35" s="5855"/>
      <c r="F35" s="5855"/>
      <c r="G35" s="5855"/>
      <c r="H35" s="5856"/>
      <c r="I35" s="5856"/>
      <c r="J35" s="5856"/>
      <c r="K35" s="5814" t="s">
        <v>1437</v>
      </c>
      <c r="L35" s="5857"/>
      <c r="M35" s="4154">
        <v>1</v>
      </c>
      <c r="N35" s="5858"/>
      <c r="O35" s="3744">
        <v>0</v>
      </c>
      <c r="P35" s="3744"/>
      <c r="Q35" s="3744"/>
      <c r="R35" s="4155">
        <f>SUM(R24:R34)</f>
        <v>2750</v>
      </c>
      <c r="S35" s="2844">
        <f t="shared" si="2"/>
        <v>0</v>
      </c>
      <c r="T35" s="2845">
        <f t="shared" si="3"/>
        <v>0</v>
      </c>
      <c r="U35" s="374">
        <f t="shared" si="4"/>
        <v>0</v>
      </c>
      <c r="V35" s="2846">
        <f t="shared" si="5"/>
        <v>0</v>
      </c>
      <c r="W35" s="2847">
        <f t="shared" si="6"/>
        <v>0</v>
      </c>
      <c r="X35" s="2848">
        <f t="shared" si="7"/>
        <v>0</v>
      </c>
      <c r="Y35" s="2849">
        <f t="shared" si="8"/>
        <v>0</v>
      </c>
      <c r="Z35" s="2850">
        <f t="shared" si="9"/>
        <v>0</v>
      </c>
      <c r="AA35" s="2851">
        <f t="shared" si="10"/>
        <v>0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2.75" customHeight="1" thickBot="1">
      <c r="A36" s="2183" t="s">
        <v>458</v>
      </c>
      <c r="B36" s="2530" t="s">
        <v>461</v>
      </c>
      <c r="C36" s="5770">
        <f t="shared" si="23"/>
        <v>2.1908757716049393E-4</v>
      </c>
      <c r="D36" s="5794">
        <v>2</v>
      </c>
      <c r="E36" s="5795">
        <v>1</v>
      </c>
      <c r="F36" s="5795">
        <v>4</v>
      </c>
      <c r="G36" s="5795">
        <v>100</v>
      </c>
      <c r="H36" s="5796"/>
      <c r="I36" s="5796">
        <v>2.3148148148148146E-4</v>
      </c>
      <c r="J36" s="5796">
        <v>1.3888888888888889E-3</v>
      </c>
      <c r="K36" s="5774" t="s">
        <v>1331</v>
      </c>
      <c r="L36" s="5797">
        <v>0.79861111111111116</v>
      </c>
      <c r="M36" s="5776">
        <v>1</v>
      </c>
      <c r="N36" s="5773">
        <f>P36*E36*F36+I36*E36*F36+J36*E36</f>
        <v>5.820216049382718E-3</v>
      </c>
      <c r="O36" s="5777">
        <f t="shared" ref="O36:O49" si="29">C36*(G36/25)</f>
        <v>8.7635030864197572E-4</v>
      </c>
      <c r="P36" s="5777">
        <f t="shared" ref="P36:P41" si="30">O36*M36</f>
        <v>8.7635030864197572E-4</v>
      </c>
      <c r="Q36" s="5778">
        <v>129</v>
      </c>
      <c r="R36" s="5779">
        <f t="shared" ref="R36:R41" si="31">E36*F36*G36</f>
        <v>400</v>
      </c>
      <c r="S36" s="2844">
        <f t="shared" si="2"/>
        <v>0.4</v>
      </c>
      <c r="T36" s="2845">
        <f t="shared" si="3"/>
        <v>1.4021604938271611E-2</v>
      </c>
      <c r="U36" s="374">
        <f t="shared" si="4"/>
        <v>0</v>
      </c>
      <c r="V36" s="2846">
        <f t="shared" si="5"/>
        <v>0.4</v>
      </c>
      <c r="W36" s="2847">
        <f t="shared" si="6"/>
        <v>0</v>
      </c>
      <c r="X36" s="2848">
        <f t="shared" si="7"/>
        <v>0</v>
      </c>
      <c r="Y36" s="2849">
        <f t="shared" si="8"/>
        <v>0</v>
      </c>
      <c r="Z36" s="2850">
        <f t="shared" si="9"/>
        <v>0</v>
      </c>
      <c r="AA36" s="2851">
        <f t="shared" si="10"/>
        <v>0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2.75" customHeight="1" thickBot="1">
      <c r="A37" s="2183" t="s">
        <v>462</v>
      </c>
      <c r="B37" s="2530" t="s">
        <v>461</v>
      </c>
      <c r="C37" s="5770">
        <f t="shared" si="23"/>
        <v>2.1908757716049393E-4</v>
      </c>
      <c r="D37" s="5794">
        <v>2</v>
      </c>
      <c r="E37" s="5795">
        <v>1</v>
      </c>
      <c r="F37" s="5795">
        <v>8</v>
      </c>
      <c r="G37" s="5795">
        <v>50</v>
      </c>
      <c r="H37" s="5796"/>
      <c r="I37" s="5796">
        <v>1.7361111111111112E-4</v>
      </c>
      <c r="J37" s="5796">
        <v>1.3888888888888889E-3</v>
      </c>
      <c r="K37" s="5774" t="s">
        <v>300</v>
      </c>
      <c r="L37" s="5797">
        <f>L36+N36</f>
        <v>0.80443132716049393</v>
      </c>
      <c r="M37" s="5776">
        <v>1</v>
      </c>
      <c r="N37" s="5773">
        <f>P37*E37*F37+I37*E37*F37+J37*E37</f>
        <v>6.2831790123456807E-3</v>
      </c>
      <c r="O37" s="5777">
        <f t="shared" si="29"/>
        <v>4.3817515432098786E-4</v>
      </c>
      <c r="P37" s="5777">
        <f t="shared" si="30"/>
        <v>4.3817515432098786E-4</v>
      </c>
      <c r="Q37" s="5778">
        <v>165</v>
      </c>
      <c r="R37" s="5779">
        <f t="shared" si="31"/>
        <v>400</v>
      </c>
      <c r="S37" s="2844">
        <f t="shared" si="2"/>
        <v>0.4</v>
      </c>
      <c r="T37" s="2845">
        <f t="shared" si="3"/>
        <v>1.4021604938271611E-2</v>
      </c>
      <c r="U37" s="374">
        <f t="shared" si="4"/>
        <v>0</v>
      </c>
      <c r="V37" s="2846">
        <f t="shared" si="5"/>
        <v>0.4</v>
      </c>
      <c r="W37" s="2847">
        <f t="shared" si="6"/>
        <v>0</v>
      </c>
      <c r="X37" s="2848">
        <f t="shared" si="7"/>
        <v>0</v>
      </c>
      <c r="Y37" s="2849">
        <f t="shared" si="8"/>
        <v>0</v>
      </c>
      <c r="Z37" s="2850">
        <f t="shared" si="9"/>
        <v>0</v>
      </c>
      <c r="AA37" s="2851">
        <f t="shared" si="10"/>
        <v>0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1"/>
    </row>
    <row r="38" spans="1:40" ht="12.75" customHeight="1" thickBot="1">
      <c r="A38" s="2183" t="s">
        <v>140</v>
      </c>
      <c r="B38" s="2530" t="s">
        <v>461</v>
      </c>
      <c r="C38" s="5770">
        <f t="shared" si="23"/>
        <v>2.1222190799396687E-4</v>
      </c>
      <c r="D38" s="5798">
        <v>3</v>
      </c>
      <c r="E38" s="5799">
        <v>1</v>
      </c>
      <c r="F38" s="5799">
        <v>6</v>
      </c>
      <c r="G38" s="5799">
        <v>50</v>
      </c>
      <c r="H38" s="5800"/>
      <c r="I38" s="5800">
        <v>3.4722222222222224E-4</v>
      </c>
      <c r="J38" s="5800">
        <v>1.3888888888888889E-3</v>
      </c>
      <c r="K38" s="5859" t="s">
        <v>895</v>
      </c>
      <c r="L38" s="5801">
        <f>L37+N37</f>
        <v>0.81071450617283958</v>
      </c>
      <c r="M38" s="5802">
        <v>1</v>
      </c>
      <c r="N38" s="5803">
        <f>P38*E38*F38+I38*E38*F38+J38*E38</f>
        <v>6.0188851181498249E-3</v>
      </c>
      <c r="O38" s="5804">
        <f t="shared" si="29"/>
        <v>4.2444381598793373E-4</v>
      </c>
      <c r="P38" s="5804">
        <f t="shared" si="30"/>
        <v>4.2444381598793373E-4</v>
      </c>
      <c r="Q38" s="5860">
        <v>147</v>
      </c>
      <c r="R38" s="5861">
        <f t="shared" si="31"/>
        <v>300</v>
      </c>
      <c r="S38" s="2844">
        <f t="shared" si="2"/>
        <v>0.3</v>
      </c>
      <c r="T38" s="2845">
        <f t="shared" si="3"/>
        <v>1.018665158371041E-2</v>
      </c>
      <c r="U38" s="374">
        <f t="shared" si="4"/>
        <v>0</v>
      </c>
      <c r="V38" s="2846">
        <f t="shared" si="5"/>
        <v>0</v>
      </c>
      <c r="W38" s="2847">
        <f t="shared" si="6"/>
        <v>0.3</v>
      </c>
      <c r="X38" s="2848">
        <f t="shared" si="7"/>
        <v>0</v>
      </c>
      <c r="Y38" s="2849">
        <f t="shared" si="8"/>
        <v>0</v>
      </c>
      <c r="Z38" s="2850">
        <f t="shared" si="9"/>
        <v>0</v>
      </c>
      <c r="AA38" s="2851">
        <f t="shared" si="10"/>
        <v>0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1"/>
    </row>
    <row r="39" spans="1:40" ht="12.75" customHeight="1" thickBot="1">
      <c r="A39" s="2183" t="s">
        <v>674</v>
      </c>
      <c r="B39" s="2530" t="s">
        <v>461</v>
      </c>
      <c r="C39" s="5770">
        <f t="shared" si="23"/>
        <v>2.2880964381720439E-4</v>
      </c>
      <c r="D39" s="5786">
        <v>1</v>
      </c>
      <c r="E39" s="5787">
        <v>1</v>
      </c>
      <c r="F39" s="5787">
        <v>1</v>
      </c>
      <c r="G39" s="5787">
        <v>200</v>
      </c>
      <c r="H39" s="5788">
        <v>1.9097222222222222E-3</v>
      </c>
      <c r="I39" s="5788"/>
      <c r="J39" s="5788">
        <v>1.3888888888888889E-3</v>
      </c>
      <c r="K39" s="5789" t="s">
        <v>1332</v>
      </c>
      <c r="L39" s="5862">
        <f>L38+N38</f>
        <v>0.81673339129098943</v>
      </c>
      <c r="M39" s="5790">
        <v>1</v>
      </c>
      <c r="N39" s="5770">
        <f>H39*F39*E39</f>
        <v>1.9097222222222222E-3</v>
      </c>
      <c r="O39" s="5791">
        <f t="shared" si="29"/>
        <v>1.8304771505376352E-3</v>
      </c>
      <c r="P39" s="5791">
        <f t="shared" si="30"/>
        <v>1.8304771505376352E-3</v>
      </c>
      <c r="Q39" s="5792">
        <v>164</v>
      </c>
      <c r="R39" s="5793">
        <f t="shared" si="31"/>
        <v>200</v>
      </c>
      <c r="S39" s="2844">
        <f t="shared" si="2"/>
        <v>0.2</v>
      </c>
      <c r="T39" s="2845">
        <f t="shared" si="3"/>
        <v>7.3219086021505406E-3</v>
      </c>
      <c r="U39" s="374">
        <f t="shared" si="4"/>
        <v>0.2</v>
      </c>
      <c r="V39" s="2846">
        <f t="shared" si="5"/>
        <v>0</v>
      </c>
      <c r="W39" s="2847">
        <f t="shared" si="6"/>
        <v>0</v>
      </c>
      <c r="X39" s="2848">
        <f t="shared" si="7"/>
        <v>0</v>
      </c>
      <c r="Y39" s="2849">
        <f t="shared" si="8"/>
        <v>0</v>
      </c>
      <c r="Z39" s="2850">
        <f t="shared" si="9"/>
        <v>0</v>
      </c>
      <c r="AA39" s="2851">
        <f t="shared" si="10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1"/>
    </row>
    <row r="40" spans="1:40" ht="12.75" customHeight="1" thickBot="1">
      <c r="A40" s="2183" t="s">
        <v>214</v>
      </c>
      <c r="B40" s="2530" t="s">
        <v>461</v>
      </c>
      <c r="C40" s="5770">
        <f t="shared" si="23"/>
        <v>1.7682291666666674E-4</v>
      </c>
      <c r="D40" s="5863">
        <v>7</v>
      </c>
      <c r="E40" s="5864">
        <v>4</v>
      </c>
      <c r="F40" s="5864">
        <v>4</v>
      </c>
      <c r="G40" s="5864" t="s">
        <v>2159</v>
      </c>
      <c r="H40" s="5809" t="s">
        <v>1508</v>
      </c>
      <c r="I40" s="5809">
        <v>3.4722222222222224E-4</v>
      </c>
      <c r="J40" s="5809">
        <v>6.9444444444444447E-4</v>
      </c>
      <c r="K40" s="5865" t="s">
        <v>1513</v>
      </c>
      <c r="L40" s="5810">
        <f>L39+N39</f>
        <v>0.81864311351321162</v>
      </c>
      <c r="M40" s="5811">
        <v>1</v>
      </c>
      <c r="N40" s="5812"/>
      <c r="O40" s="5813" t="e">
        <f>C40*(G40/25)</f>
        <v>#VALUE!</v>
      </c>
      <c r="P40" s="4151"/>
      <c r="Q40" s="5816" t="s">
        <v>316</v>
      </c>
      <c r="R40" s="5808"/>
      <c r="S40" s="2844" t="e">
        <f t="shared" si="2"/>
        <v>#VALUE!</v>
      </c>
      <c r="T40" s="2845" t="e">
        <f t="shared" si="3"/>
        <v>#VALUE!</v>
      </c>
      <c r="U40" s="374">
        <f t="shared" si="4"/>
        <v>0</v>
      </c>
      <c r="V40" s="2846">
        <f t="shared" si="5"/>
        <v>0</v>
      </c>
      <c r="W40" s="2847">
        <f t="shared" si="6"/>
        <v>0</v>
      </c>
      <c r="X40" s="2848">
        <f t="shared" si="7"/>
        <v>0</v>
      </c>
      <c r="Y40" s="2849">
        <f t="shared" si="8"/>
        <v>0</v>
      </c>
      <c r="Z40" s="2850">
        <f t="shared" si="9"/>
        <v>0</v>
      </c>
      <c r="AA40" s="2851" t="e">
        <f t="shared" si="10"/>
        <v>#VALUE!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  <c r="AN40" s="1"/>
    </row>
    <row r="41" spans="1:40" ht="12.75" customHeight="1" thickBot="1">
      <c r="A41" s="2183" t="s">
        <v>458</v>
      </c>
      <c r="B41" s="2530" t="s">
        <v>461</v>
      </c>
      <c r="C41" s="5770">
        <f t="shared" si="23"/>
        <v>2.0247664488766629E-4</v>
      </c>
      <c r="D41" s="5866">
        <v>4</v>
      </c>
      <c r="E41" s="5867">
        <v>1</v>
      </c>
      <c r="F41" s="5867">
        <v>4</v>
      </c>
      <c r="G41" s="5867">
        <v>300</v>
      </c>
      <c r="H41" s="5868" t="s">
        <v>1784</v>
      </c>
      <c r="I41" s="5868">
        <v>6.3657407407407402E-4</v>
      </c>
      <c r="J41" s="5868">
        <v>1.3888888888888889E-3</v>
      </c>
      <c r="K41" s="5869" t="s">
        <v>1514</v>
      </c>
      <c r="L41" s="5870">
        <f>L39+N39</f>
        <v>0.81864311351321162</v>
      </c>
      <c r="M41" s="5829">
        <v>1</v>
      </c>
      <c r="N41" s="5830">
        <f>P41*E41*F41+I41*E41*F41+J41*E41</f>
        <v>1.3654064139793167E-2</v>
      </c>
      <c r="O41" s="5831">
        <f t="shared" si="29"/>
        <v>2.4297197386519954E-3</v>
      </c>
      <c r="P41" s="5831">
        <f t="shared" si="30"/>
        <v>2.4297197386519954E-3</v>
      </c>
      <c r="Q41" s="5871">
        <v>196</v>
      </c>
      <c r="R41" s="5872">
        <f t="shared" si="31"/>
        <v>1200</v>
      </c>
      <c r="S41" s="2844">
        <f t="shared" si="2"/>
        <v>1.2</v>
      </c>
      <c r="T41" s="2845">
        <f t="shared" si="3"/>
        <v>3.8875515818431926E-2</v>
      </c>
      <c r="U41" s="374">
        <f t="shared" si="4"/>
        <v>0</v>
      </c>
      <c r="V41" s="2846">
        <f t="shared" si="5"/>
        <v>0</v>
      </c>
      <c r="W41" s="2847">
        <f t="shared" si="6"/>
        <v>0</v>
      </c>
      <c r="X41" s="2848">
        <f t="shared" si="7"/>
        <v>1.2</v>
      </c>
      <c r="Y41" s="2849">
        <f t="shared" si="8"/>
        <v>0</v>
      </c>
      <c r="Z41" s="2850">
        <f t="shared" si="9"/>
        <v>0</v>
      </c>
      <c r="AA41" s="2851">
        <f t="shared" si="10"/>
        <v>0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  <c r="AN41" s="1"/>
    </row>
    <row r="42" spans="1:40" ht="12.75" customHeight="1" thickBot="1">
      <c r="A42" s="4162" t="s">
        <v>219</v>
      </c>
      <c r="B42" s="4165"/>
      <c r="C42" s="5780"/>
      <c r="D42" s="5873"/>
      <c r="E42" s="5874"/>
      <c r="F42" s="5874"/>
      <c r="G42" s="5874"/>
      <c r="H42" s="5875"/>
      <c r="I42" s="5875"/>
      <c r="J42" s="5875"/>
      <c r="K42" s="5876"/>
      <c r="L42" s="2182">
        <f>L41+N41</f>
        <v>0.83229717765300482</v>
      </c>
      <c r="M42" s="5790">
        <v>1</v>
      </c>
      <c r="N42" s="5785"/>
      <c r="O42" s="5877">
        <f t="shared" si="29"/>
        <v>0</v>
      </c>
      <c r="P42" s="5877"/>
      <c r="Q42" s="5878"/>
      <c r="R42" s="5879"/>
      <c r="S42" s="2844">
        <f t="shared" si="2"/>
        <v>0</v>
      </c>
      <c r="T42" s="2845">
        <f t="shared" si="3"/>
        <v>0</v>
      </c>
      <c r="U42" s="374">
        <f t="shared" si="4"/>
        <v>0</v>
      </c>
      <c r="V42" s="2846">
        <f t="shared" si="5"/>
        <v>0</v>
      </c>
      <c r="W42" s="2847">
        <f t="shared" si="6"/>
        <v>0</v>
      </c>
      <c r="X42" s="2848">
        <f t="shared" si="7"/>
        <v>0</v>
      </c>
      <c r="Y42" s="2849">
        <f t="shared" si="8"/>
        <v>0</v>
      </c>
      <c r="Z42" s="2850">
        <f t="shared" si="9"/>
        <v>0</v>
      </c>
      <c r="AA42" s="2851">
        <f t="shared" si="10"/>
        <v>0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</row>
    <row r="43" spans="1:40" ht="12.75" customHeight="1" thickBot="1">
      <c r="A43" s="3109"/>
      <c r="B43" s="3110" t="s">
        <v>215</v>
      </c>
      <c r="C43" s="5770">
        <f>IF(D43=1,U$5,IF(D43=2,V$5,IF(D43=3,W$5,IF(D43=4,X$5,IF(D43=5,Y$5,IF(D43=6,Z$5,IF(D43=7,AA$5,0)))))))</f>
        <v>2.1908757716049393E-4</v>
      </c>
      <c r="D43" s="5794">
        <v>2</v>
      </c>
      <c r="E43" s="5795">
        <v>1</v>
      </c>
      <c r="F43" s="5795">
        <v>2</v>
      </c>
      <c r="G43" s="5795">
        <v>350</v>
      </c>
      <c r="H43" s="5796"/>
      <c r="I43" s="5796">
        <v>1.7361111111111112E-4</v>
      </c>
      <c r="J43" s="5796">
        <v>1.3888888888888889E-3</v>
      </c>
      <c r="K43" s="5774" t="s">
        <v>1333</v>
      </c>
      <c r="L43" s="5797">
        <v>0.3125</v>
      </c>
      <c r="M43" s="5776">
        <v>1</v>
      </c>
      <c r="N43" s="5773">
        <f>P43*E43*F43+I43*E43*F43+J43*E43</f>
        <v>7.8705632716049405E-3</v>
      </c>
      <c r="O43" s="5777">
        <f t="shared" si="29"/>
        <v>3.0672260802469152E-3</v>
      </c>
      <c r="P43" s="5777">
        <f>O43*M43</f>
        <v>3.0672260802469152E-3</v>
      </c>
      <c r="Q43" s="5778">
        <v>164</v>
      </c>
      <c r="R43" s="5779">
        <f>E43*F43*G43</f>
        <v>700</v>
      </c>
      <c r="S43" s="2844">
        <f t="shared" si="2"/>
        <v>0.7</v>
      </c>
      <c r="T43" s="2845">
        <f t="shared" si="3"/>
        <v>2.4537808641975321E-2</v>
      </c>
      <c r="U43" s="374">
        <f t="shared" si="4"/>
        <v>0</v>
      </c>
      <c r="V43" s="2846">
        <f t="shared" si="5"/>
        <v>0.7</v>
      </c>
      <c r="W43" s="2847">
        <f t="shared" si="6"/>
        <v>0</v>
      </c>
      <c r="X43" s="2848">
        <f t="shared" si="7"/>
        <v>0</v>
      </c>
      <c r="Y43" s="2849">
        <f t="shared" si="8"/>
        <v>0</v>
      </c>
      <c r="Z43" s="2850">
        <f t="shared" si="9"/>
        <v>0</v>
      </c>
      <c r="AA43" s="2851">
        <f t="shared" si="10"/>
        <v>0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</row>
    <row r="44" spans="1:40" ht="12.75" customHeight="1" thickBot="1">
      <c r="A44" s="3109" t="s">
        <v>217</v>
      </c>
      <c r="B44" s="3110" t="s">
        <v>215</v>
      </c>
      <c r="C44" s="5770">
        <f t="shared" ref="C44:C49" si="32">IF(D44=1,U$5,IF(D44=2,V$5,IF(D44=3,W$5,IF(D44=4,X$5,IF(D44=5,Y$5,IF(D44=6,Z$5,IF(D44=7,AA$5,0)))))))</f>
        <v>2.1222190799396687E-4</v>
      </c>
      <c r="D44" s="5798">
        <v>3</v>
      </c>
      <c r="E44" s="5799">
        <v>1</v>
      </c>
      <c r="F44" s="5799">
        <v>14</v>
      </c>
      <c r="G44" s="5799">
        <v>50</v>
      </c>
      <c r="H44" s="5800"/>
      <c r="I44" s="5800">
        <v>1.7361111111111112E-4</v>
      </c>
      <c r="J44" s="5800">
        <v>1.3888888888888889E-3</v>
      </c>
      <c r="K44" s="5880" t="s">
        <v>1334</v>
      </c>
      <c r="L44" s="5801">
        <f t="shared" ref="L44:L46" si="33">L43+N43</f>
        <v>0.32037056327160496</v>
      </c>
      <c r="M44" s="5802">
        <v>1</v>
      </c>
      <c r="N44" s="5803">
        <f t="shared" ref="N44:N46" si="34">P44*E44*F44+I44*E44*F44+J44*E44</f>
        <v>9.7616578682755174E-3</v>
      </c>
      <c r="O44" s="5804">
        <f t="shared" si="29"/>
        <v>4.2444381598793373E-4</v>
      </c>
      <c r="P44" s="5804">
        <f t="shared" ref="P44:P46" si="35">O44*M44</f>
        <v>4.2444381598793373E-4</v>
      </c>
      <c r="Q44" s="5860">
        <v>164</v>
      </c>
      <c r="R44" s="5861">
        <f t="shared" ref="R44:R46" si="36">E44*F44*G44</f>
        <v>700</v>
      </c>
      <c r="S44" s="2844">
        <f t="shared" si="2"/>
        <v>0.7</v>
      </c>
      <c r="T44" s="2845">
        <f t="shared" si="3"/>
        <v>2.3768853695324291E-2</v>
      </c>
      <c r="U44" s="374">
        <f t="shared" si="4"/>
        <v>0</v>
      </c>
      <c r="V44" s="2846">
        <f t="shared" si="5"/>
        <v>0</v>
      </c>
      <c r="W44" s="2847">
        <f t="shared" si="6"/>
        <v>0.7</v>
      </c>
      <c r="X44" s="2848">
        <f t="shared" si="7"/>
        <v>0</v>
      </c>
      <c r="Y44" s="2849">
        <f t="shared" si="8"/>
        <v>0</v>
      </c>
      <c r="Z44" s="2850">
        <f t="shared" si="9"/>
        <v>0</v>
      </c>
      <c r="AA44" s="2851">
        <f t="shared" si="10"/>
        <v>0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</row>
    <row r="45" spans="1:40" ht="12.75" customHeight="1" thickBot="1">
      <c r="A45" s="3109" t="s">
        <v>459</v>
      </c>
      <c r="B45" s="3110" t="s">
        <v>215</v>
      </c>
      <c r="C45" s="5770">
        <f t="shared" si="32"/>
        <v>1.8933937422552669E-4</v>
      </c>
      <c r="D45" s="2505">
        <v>5</v>
      </c>
      <c r="E45" s="5805">
        <v>1</v>
      </c>
      <c r="F45" s="5805">
        <v>8</v>
      </c>
      <c r="G45" s="5805">
        <v>20</v>
      </c>
      <c r="H45" s="5806"/>
      <c r="I45" s="5806">
        <v>8.6805555555555551E-4</v>
      </c>
      <c r="J45" s="5806">
        <v>1.3888888888888889E-3</v>
      </c>
      <c r="K45" s="5815" t="s">
        <v>1891</v>
      </c>
      <c r="L45" s="5767">
        <f t="shared" si="33"/>
        <v>0.3301322211398805</v>
      </c>
      <c r="M45" s="3448">
        <v>1</v>
      </c>
      <c r="N45" s="5765">
        <f t="shared" si="34"/>
        <v>9.5451053283767042E-3</v>
      </c>
      <c r="O45" s="5768">
        <f t="shared" si="29"/>
        <v>1.5147149938042137E-4</v>
      </c>
      <c r="P45" s="4148">
        <f t="shared" si="35"/>
        <v>1.5147149938042137E-4</v>
      </c>
      <c r="Q45" s="5769">
        <v>164</v>
      </c>
      <c r="R45" s="5763">
        <f t="shared" si="36"/>
        <v>160</v>
      </c>
      <c r="S45" s="2844">
        <f t="shared" si="2"/>
        <v>0.16</v>
      </c>
      <c r="T45" s="2845">
        <f t="shared" si="3"/>
        <v>4.847087980173484E-3</v>
      </c>
      <c r="U45" s="374">
        <f t="shared" si="4"/>
        <v>0</v>
      </c>
      <c r="V45" s="2846">
        <f t="shared" si="5"/>
        <v>0</v>
      </c>
      <c r="W45" s="2847">
        <f t="shared" si="6"/>
        <v>0</v>
      </c>
      <c r="X45" s="2848">
        <f t="shared" si="7"/>
        <v>0</v>
      </c>
      <c r="Y45" s="2849">
        <f t="shared" si="8"/>
        <v>0.16</v>
      </c>
      <c r="Z45" s="2850">
        <f t="shared" si="9"/>
        <v>0</v>
      </c>
      <c r="AA45" s="2851">
        <f t="shared" si="10"/>
        <v>0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</row>
    <row r="46" spans="1:40" ht="12.75" customHeight="1" thickBot="1">
      <c r="A46" s="3109" t="s">
        <v>458</v>
      </c>
      <c r="B46" s="3110" t="s">
        <v>215</v>
      </c>
      <c r="C46" s="5770">
        <f t="shared" si="32"/>
        <v>2.1222190799396687E-4</v>
      </c>
      <c r="D46" s="5798">
        <v>3</v>
      </c>
      <c r="E46" s="5799">
        <v>1</v>
      </c>
      <c r="F46" s="5799">
        <v>1</v>
      </c>
      <c r="G46" s="5799">
        <v>300</v>
      </c>
      <c r="H46" s="5800"/>
      <c r="I46" s="5800">
        <v>2.8935185185185189E-4</v>
      </c>
      <c r="J46" s="5800">
        <v>1.3888888888888889E-3</v>
      </c>
      <c r="K46" s="5880" t="s">
        <v>1335</v>
      </c>
      <c r="L46" s="5801">
        <f t="shared" si="33"/>
        <v>0.33967732646825721</v>
      </c>
      <c r="M46" s="5802">
        <v>1</v>
      </c>
      <c r="N46" s="5803">
        <f t="shared" si="34"/>
        <v>4.2249036366683434E-3</v>
      </c>
      <c r="O46" s="5804">
        <f t="shared" si="29"/>
        <v>2.5466628959276024E-3</v>
      </c>
      <c r="P46" s="5804">
        <f t="shared" si="35"/>
        <v>2.5466628959276024E-3</v>
      </c>
      <c r="Q46" s="5860">
        <v>164</v>
      </c>
      <c r="R46" s="5861">
        <f t="shared" si="36"/>
        <v>300</v>
      </c>
      <c r="S46" s="2844">
        <f t="shared" si="2"/>
        <v>0.3</v>
      </c>
      <c r="T46" s="2845">
        <f t="shared" si="3"/>
        <v>1.018665158371041E-2</v>
      </c>
      <c r="U46" s="374">
        <f t="shared" si="4"/>
        <v>0</v>
      </c>
      <c r="V46" s="2846">
        <f t="shared" si="5"/>
        <v>0</v>
      </c>
      <c r="W46" s="2847">
        <f t="shared" si="6"/>
        <v>0.3</v>
      </c>
      <c r="X46" s="2848">
        <f t="shared" si="7"/>
        <v>0</v>
      </c>
      <c r="Y46" s="2849">
        <f t="shared" si="8"/>
        <v>0</v>
      </c>
      <c r="Z46" s="2850">
        <f t="shared" si="9"/>
        <v>0</v>
      </c>
      <c r="AA46" s="2851">
        <f t="shared" si="10"/>
        <v>0</v>
      </c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</row>
    <row r="47" spans="1:40" ht="12.75" customHeight="1" thickBot="1">
      <c r="A47" s="3109" t="s">
        <v>218</v>
      </c>
      <c r="B47" s="3110" t="s">
        <v>215</v>
      </c>
      <c r="C47" s="5770">
        <f t="shared" si="32"/>
        <v>2.0247664488766629E-4</v>
      </c>
      <c r="D47" s="5866">
        <v>4</v>
      </c>
      <c r="E47" s="5867">
        <v>1</v>
      </c>
      <c r="F47" s="5867">
        <v>8</v>
      </c>
      <c r="G47" s="5867">
        <v>50</v>
      </c>
      <c r="H47" s="5868">
        <v>8.6805555555555551E-4</v>
      </c>
      <c r="I47" s="5868"/>
      <c r="J47" s="5868">
        <v>1.3888888888888889E-3</v>
      </c>
      <c r="K47" s="5869" t="s">
        <v>1336</v>
      </c>
      <c r="L47" s="5870">
        <f>L46+N46</f>
        <v>0.34390223010492554</v>
      </c>
      <c r="M47" s="5829">
        <v>1</v>
      </c>
      <c r="N47" s="5830">
        <f>H47*F47*E47</f>
        <v>6.9444444444444441E-3</v>
      </c>
      <c r="O47" s="5831">
        <f t="shared" si="29"/>
        <v>4.0495328977533258E-4</v>
      </c>
      <c r="P47" s="4151">
        <f>O47*M47</f>
        <v>4.0495328977533258E-4</v>
      </c>
      <c r="Q47" s="5807">
        <v>166</v>
      </c>
      <c r="R47" s="5881">
        <f>E47*F47*G47</f>
        <v>400</v>
      </c>
      <c r="S47" s="2844">
        <f t="shared" si="2"/>
        <v>0.4</v>
      </c>
      <c r="T47" s="2845">
        <f t="shared" si="3"/>
        <v>1.2958505272810643E-2</v>
      </c>
      <c r="U47" s="374">
        <f t="shared" si="4"/>
        <v>0</v>
      </c>
      <c r="V47" s="2846">
        <f t="shared" si="5"/>
        <v>0</v>
      </c>
      <c r="W47" s="2847">
        <f t="shared" si="6"/>
        <v>0</v>
      </c>
      <c r="X47" s="2848">
        <f t="shared" si="7"/>
        <v>0.4</v>
      </c>
      <c r="Y47" s="2849">
        <f t="shared" si="8"/>
        <v>0</v>
      </c>
      <c r="Z47" s="2850">
        <f t="shared" si="9"/>
        <v>0</v>
      </c>
      <c r="AA47" s="2851">
        <f t="shared" si="10"/>
        <v>0</v>
      </c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</row>
    <row r="48" spans="1:40" ht="12.75" customHeight="1" thickBot="1">
      <c r="A48" s="3109" t="s">
        <v>458</v>
      </c>
      <c r="B48" s="3110" t="s">
        <v>215</v>
      </c>
      <c r="C48" s="5770">
        <f t="shared" si="32"/>
        <v>2.1908757716049393E-4</v>
      </c>
      <c r="D48" s="5794">
        <v>2</v>
      </c>
      <c r="E48" s="5795">
        <v>1</v>
      </c>
      <c r="F48" s="5795">
        <v>1</v>
      </c>
      <c r="G48" s="5795">
        <v>400</v>
      </c>
      <c r="H48" s="5796"/>
      <c r="I48" s="5796">
        <v>5.7870370370370366E-5</v>
      </c>
      <c r="J48" s="5796">
        <v>2.3148148148148146E-4</v>
      </c>
      <c r="K48" s="5774" t="s">
        <v>882</v>
      </c>
      <c r="L48" s="5797">
        <f>L47+N47</f>
        <v>0.35084667454936996</v>
      </c>
      <c r="M48" s="5776">
        <v>1</v>
      </c>
      <c r="N48" s="5773">
        <f>P48*E48*F48+I48*E48*F48+J48*E48</f>
        <v>3.7947530864197547E-3</v>
      </c>
      <c r="O48" s="5777">
        <f t="shared" si="29"/>
        <v>3.5054012345679029E-3</v>
      </c>
      <c r="P48" s="5777">
        <f>O48*M48</f>
        <v>3.5054012345679029E-3</v>
      </c>
      <c r="Q48" s="5778">
        <v>147</v>
      </c>
      <c r="R48" s="5779">
        <f>E48*F48*G48</f>
        <v>400</v>
      </c>
      <c r="S48" s="2844">
        <f t="shared" si="2"/>
        <v>0.4</v>
      </c>
      <c r="T48" s="2845">
        <f t="shared" si="3"/>
        <v>1.4021604938271611E-2</v>
      </c>
      <c r="U48" s="374">
        <f t="shared" si="4"/>
        <v>0</v>
      </c>
      <c r="V48" s="2846">
        <f t="shared" si="5"/>
        <v>0.4</v>
      </c>
      <c r="W48" s="2847">
        <f t="shared" si="6"/>
        <v>0</v>
      </c>
      <c r="X48" s="2848">
        <f t="shared" si="7"/>
        <v>0</v>
      </c>
      <c r="Y48" s="2849">
        <f t="shared" si="8"/>
        <v>0</v>
      </c>
      <c r="Z48" s="2850">
        <f t="shared" si="9"/>
        <v>0</v>
      </c>
      <c r="AA48" s="2851">
        <f t="shared" si="10"/>
        <v>0</v>
      </c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</row>
    <row r="49" spans="1:39" ht="12.75" customHeight="1">
      <c r="A49" s="3109" t="s">
        <v>219</v>
      </c>
      <c r="B49" s="3110" t="s">
        <v>215</v>
      </c>
      <c r="C49" s="5770">
        <f t="shared" si="32"/>
        <v>1.7682291666666674E-4</v>
      </c>
      <c r="D49" s="5863">
        <v>7</v>
      </c>
      <c r="E49" s="5864">
        <v>1</v>
      </c>
      <c r="F49" s="5864">
        <v>5</v>
      </c>
      <c r="G49" s="5864">
        <v>15</v>
      </c>
      <c r="H49" s="5882"/>
      <c r="I49" s="5882">
        <v>1.1574074074074073E-4</v>
      </c>
      <c r="J49" s="5882">
        <v>2.3148148148148146E-4</v>
      </c>
      <c r="K49" s="5865" t="s">
        <v>410</v>
      </c>
      <c r="L49" s="5810">
        <f>L48+N48</f>
        <v>0.35464142763578971</v>
      </c>
      <c r="M49" s="5883">
        <v>1</v>
      </c>
      <c r="N49" s="5884">
        <f>P49*E49*F49+I49*E49*F49+J49*E49</f>
        <v>1.3406539351851852E-3</v>
      </c>
      <c r="O49" s="5813">
        <f t="shared" si="29"/>
        <v>1.0609375000000004E-4</v>
      </c>
      <c r="P49" s="4151">
        <f>O49*M49</f>
        <v>1.0609375000000004E-4</v>
      </c>
      <c r="Q49" s="5807" t="s">
        <v>316</v>
      </c>
      <c r="R49" s="5881">
        <f>E49*F49*G49</f>
        <v>75</v>
      </c>
      <c r="S49" s="2844">
        <f t="shared" si="2"/>
        <v>7.4999999999999997E-2</v>
      </c>
      <c r="T49" s="2845">
        <f t="shared" si="3"/>
        <v>2.1218750000000009E-3</v>
      </c>
      <c r="U49" s="374">
        <f t="shared" si="4"/>
        <v>0</v>
      </c>
      <c r="V49" s="2846">
        <f t="shared" si="5"/>
        <v>0</v>
      </c>
      <c r="W49" s="2847">
        <f t="shared" si="6"/>
        <v>0</v>
      </c>
      <c r="X49" s="2848">
        <f t="shared" si="7"/>
        <v>0</v>
      </c>
      <c r="Y49" s="2849">
        <f t="shared" si="8"/>
        <v>0</v>
      </c>
      <c r="Z49" s="2850">
        <f t="shared" si="9"/>
        <v>0</v>
      </c>
      <c r="AA49" s="2851">
        <f t="shared" si="10"/>
        <v>7.4999999999999997E-2</v>
      </c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</row>
    <row r="50" spans="1:39" ht="12.75" customHeight="1" thickBot="1">
      <c r="A50" s="4162"/>
      <c r="B50" s="4163"/>
      <c r="C50" s="5780"/>
      <c r="D50" s="5873"/>
      <c r="E50" s="5874"/>
      <c r="F50" s="5874"/>
      <c r="G50" s="5874"/>
      <c r="H50" s="5875"/>
      <c r="I50" s="5875"/>
      <c r="J50" s="5875"/>
      <c r="K50" s="5876"/>
      <c r="L50" s="2182">
        <f>L49+N49</f>
        <v>0.35598208157097488</v>
      </c>
      <c r="M50" s="5790">
        <v>1</v>
      </c>
      <c r="N50" s="5785">
        <f>SUM(N43:N49)</f>
        <v>4.3482081570974891E-2</v>
      </c>
      <c r="O50" s="5877"/>
      <c r="P50" s="5877"/>
      <c r="Q50" s="5878"/>
      <c r="R50" s="5879">
        <f>SUM(R43:R49)</f>
        <v>2735</v>
      </c>
      <c r="S50" s="2844">
        <f t="shared" si="2"/>
        <v>0</v>
      </c>
      <c r="T50" s="2845">
        <f t="shared" si="3"/>
        <v>0</v>
      </c>
      <c r="U50" s="374">
        <f t="shared" si="4"/>
        <v>0</v>
      </c>
      <c r="V50" s="2846">
        <f t="shared" si="5"/>
        <v>0</v>
      </c>
      <c r="W50" s="2847">
        <f t="shared" si="6"/>
        <v>0</v>
      </c>
      <c r="X50" s="2848">
        <f t="shared" si="7"/>
        <v>0</v>
      </c>
      <c r="Y50" s="2849">
        <f t="shared" si="8"/>
        <v>0</v>
      </c>
      <c r="Z50" s="2850">
        <f t="shared" si="9"/>
        <v>0</v>
      </c>
      <c r="AA50" s="2851">
        <f t="shared" si="10"/>
        <v>0</v>
      </c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</row>
    <row r="51" spans="1:39" ht="12.75" customHeight="1" thickBot="1">
      <c r="A51" s="5891"/>
      <c r="B51" s="5892"/>
      <c r="C51" s="5770">
        <f t="shared" ref="C51:C57" si="37">IF(D51=1,U$5,IF(D51=2,V$5,IF(D51=3,W$5,IF(D51=4,X$5,IF(D51=5,Y$5,IF(D51=6,Z$5,IF(D51=7,AA$5,0)))))))</f>
        <v>2.1222190799396687E-4</v>
      </c>
      <c r="D51" s="5798">
        <v>3</v>
      </c>
      <c r="E51" s="5799"/>
      <c r="F51" s="5799"/>
      <c r="G51" s="5799"/>
      <c r="H51" s="5800"/>
      <c r="I51" s="5885" t="s">
        <v>1597</v>
      </c>
      <c r="J51" s="5885"/>
      <c r="K51" s="5885" t="s">
        <v>2160</v>
      </c>
      <c r="L51" s="5885" t="s">
        <v>2161</v>
      </c>
      <c r="M51" s="5886">
        <v>1</v>
      </c>
      <c r="N51" s="5886"/>
      <c r="O51" s="5886" t="s">
        <v>1452</v>
      </c>
      <c r="P51" s="5887"/>
      <c r="Q51" s="4159"/>
      <c r="R51" s="5861" t="s">
        <v>1496</v>
      </c>
      <c r="S51" s="2844">
        <f t="shared" si="2"/>
        <v>0</v>
      </c>
      <c r="T51" s="2845" t="e">
        <f t="shared" si="3"/>
        <v>#VALUE!</v>
      </c>
      <c r="U51" s="374">
        <f t="shared" si="4"/>
        <v>0</v>
      </c>
      <c r="V51" s="2846">
        <f t="shared" si="5"/>
        <v>0</v>
      </c>
      <c r="W51" s="2847">
        <f t="shared" si="6"/>
        <v>0</v>
      </c>
      <c r="X51" s="2848">
        <f t="shared" si="7"/>
        <v>0</v>
      </c>
      <c r="Y51" s="2849">
        <f t="shared" si="8"/>
        <v>0</v>
      </c>
      <c r="Z51" s="2850">
        <f t="shared" si="9"/>
        <v>0</v>
      </c>
      <c r="AA51" s="2851">
        <f t="shared" si="10"/>
        <v>0</v>
      </c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</row>
    <row r="52" spans="1:39" ht="12.75" customHeight="1" thickBot="1">
      <c r="A52" s="5891" t="s">
        <v>218</v>
      </c>
      <c r="B52" s="5892" t="s">
        <v>461</v>
      </c>
      <c r="C52" s="5770">
        <f t="shared" si="37"/>
        <v>2.1908757716049393E-4</v>
      </c>
      <c r="D52" s="5794">
        <v>2</v>
      </c>
      <c r="E52" s="5795">
        <v>1</v>
      </c>
      <c r="F52" s="5795">
        <v>2</v>
      </c>
      <c r="G52" s="5795">
        <v>100</v>
      </c>
      <c r="H52" s="5796"/>
      <c r="I52" s="5796">
        <v>2.3148148148148146E-4</v>
      </c>
      <c r="J52" s="5796">
        <v>1.3888888888888889E-3</v>
      </c>
      <c r="K52" s="5774" t="s">
        <v>1518</v>
      </c>
      <c r="L52" s="5797" t="s">
        <v>2162</v>
      </c>
      <c r="M52" s="5776">
        <v>1</v>
      </c>
      <c r="N52" s="5773">
        <f>P52*E52*F52+I52*E52*F52+J52*E52</f>
        <v>3.6045524691358036E-3</v>
      </c>
      <c r="O52" s="5777">
        <f t="shared" ref="O52:O55" si="38">C52*(G52/25)</f>
        <v>8.7635030864197572E-4</v>
      </c>
      <c r="P52" s="5777">
        <f t="shared" ref="P52:P55" si="39">O52*M52</f>
        <v>8.7635030864197572E-4</v>
      </c>
      <c r="Q52" s="5778">
        <v>129</v>
      </c>
      <c r="R52" s="5888">
        <f t="shared" ref="R52:R55" si="40">E52*F52*G52</f>
        <v>200</v>
      </c>
      <c r="S52" s="2844">
        <f t="shared" si="2"/>
        <v>0.2</v>
      </c>
      <c r="T52" s="2845">
        <f t="shared" si="3"/>
        <v>7.0108024691358057E-3</v>
      </c>
      <c r="U52" s="374">
        <f t="shared" si="4"/>
        <v>0</v>
      </c>
      <c r="V52" s="2846">
        <f t="shared" si="5"/>
        <v>0.2</v>
      </c>
      <c r="W52" s="2847">
        <f t="shared" si="6"/>
        <v>0</v>
      </c>
      <c r="X52" s="2848">
        <f t="shared" si="7"/>
        <v>0</v>
      </c>
      <c r="Y52" s="2849">
        <f t="shared" si="8"/>
        <v>0</v>
      </c>
      <c r="Z52" s="2850">
        <f t="shared" si="9"/>
        <v>0</v>
      </c>
      <c r="AA52" s="2851">
        <f t="shared" si="10"/>
        <v>0</v>
      </c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</row>
    <row r="53" spans="1:39" ht="12.75" customHeight="1" thickBot="1">
      <c r="A53" s="5891" t="s">
        <v>139</v>
      </c>
      <c r="B53" s="5892" t="s">
        <v>461</v>
      </c>
      <c r="C53" s="5770">
        <f t="shared" si="37"/>
        <v>2.1908757716049393E-4</v>
      </c>
      <c r="D53" s="5794">
        <v>2</v>
      </c>
      <c r="E53" s="5795">
        <v>1</v>
      </c>
      <c r="F53" s="5795">
        <v>8</v>
      </c>
      <c r="G53" s="5795">
        <v>50</v>
      </c>
      <c r="H53" s="5796"/>
      <c r="I53" s="5796">
        <v>1.7361111111111112E-4</v>
      </c>
      <c r="J53" s="5796">
        <v>1.3888888888888889E-3</v>
      </c>
      <c r="K53" s="5774" t="s">
        <v>1519</v>
      </c>
      <c r="L53" s="5797"/>
      <c r="M53" s="5776">
        <v>1</v>
      </c>
      <c r="N53" s="5773">
        <f>P53*E53*F53+I53*E53*F53+J53*E53</f>
        <v>6.2831790123456807E-3</v>
      </c>
      <c r="O53" s="5777">
        <f t="shared" si="38"/>
        <v>4.3817515432098786E-4</v>
      </c>
      <c r="P53" s="5777">
        <f t="shared" si="39"/>
        <v>4.3817515432098786E-4</v>
      </c>
      <c r="Q53" s="5889">
        <v>165</v>
      </c>
      <c r="R53" s="5888">
        <f t="shared" si="40"/>
        <v>400</v>
      </c>
      <c r="S53" s="2844">
        <f t="shared" si="2"/>
        <v>0.4</v>
      </c>
      <c r="T53" s="2845">
        <f t="shared" si="3"/>
        <v>1.4021604938271611E-2</v>
      </c>
      <c r="U53" s="374">
        <f t="shared" si="4"/>
        <v>0</v>
      </c>
      <c r="V53" s="2846">
        <f t="shared" si="5"/>
        <v>0.4</v>
      </c>
      <c r="W53" s="2847">
        <f t="shared" si="6"/>
        <v>0</v>
      </c>
      <c r="X53" s="2848">
        <f t="shared" si="7"/>
        <v>0</v>
      </c>
      <c r="Y53" s="2849">
        <f t="shared" si="8"/>
        <v>0</v>
      </c>
      <c r="Z53" s="2850">
        <f t="shared" si="9"/>
        <v>0</v>
      </c>
      <c r="AA53" s="2851">
        <f t="shared" si="10"/>
        <v>0</v>
      </c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</row>
    <row r="54" spans="1:39" ht="12.75" customHeight="1" thickBot="1">
      <c r="A54" s="5891" t="s">
        <v>458</v>
      </c>
      <c r="B54" s="5892" t="s">
        <v>461</v>
      </c>
      <c r="C54" s="5770">
        <f t="shared" si="37"/>
        <v>2.1222190799396687E-4</v>
      </c>
      <c r="D54" s="5798">
        <v>3</v>
      </c>
      <c r="E54" s="5799">
        <v>1</v>
      </c>
      <c r="F54" s="5799">
        <v>4</v>
      </c>
      <c r="G54" s="5799">
        <v>50</v>
      </c>
      <c r="H54" s="5800"/>
      <c r="I54" s="5800">
        <v>3.4722222222222224E-4</v>
      </c>
      <c r="J54" s="5800">
        <v>1.3888888888888889E-3</v>
      </c>
      <c r="K54" s="5859" t="s">
        <v>2165</v>
      </c>
      <c r="L54" s="5801"/>
      <c r="M54" s="5802">
        <v>1</v>
      </c>
      <c r="N54" s="5803">
        <f>P54*E54*F54+I54*E54*F54+J54*E54</f>
        <v>4.4755530417295132E-3</v>
      </c>
      <c r="O54" s="5804">
        <f t="shared" si="38"/>
        <v>4.2444381598793373E-4</v>
      </c>
      <c r="P54" s="5804">
        <f t="shared" si="39"/>
        <v>4.2444381598793373E-4</v>
      </c>
      <c r="Q54" s="5860">
        <v>147</v>
      </c>
      <c r="R54" s="5861">
        <f t="shared" si="40"/>
        <v>200</v>
      </c>
      <c r="S54" s="2844">
        <f t="shared" si="2"/>
        <v>0.2</v>
      </c>
      <c r="T54" s="2845">
        <f t="shared" si="3"/>
        <v>6.7911010558069397E-3</v>
      </c>
      <c r="U54" s="374">
        <f t="shared" si="4"/>
        <v>0</v>
      </c>
      <c r="V54" s="2846">
        <f t="shared" si="5"/>
        <v>0</v>
      </c>
      <c r="W54" s="2847">
        <f t="shared" si="6"/>
        <v>0.2</v>
      </c>
      <c r="X54" s="2848">
        <f t="shared" si="7"/>
        <v>0</v>
      </c>
      <c r="Y54" s="2849">
        <f t="shared" si="8"/>
        <v>0</v>
      </c>
      <c r="Z54" s="2850">
        <f t="shared" si="9"/>
        <v>0</v>
      </c>
      <c r="AA54" s="2851">
        <f t="shared" si="10"/>
        <v>0</v>
      </c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</row>
    <row r="55" spans="1:39" ht="12.75" customHeight="1" thickBot="1">
      <c r="A55" s="5891" t="s">
        <v>462</v>
      </c>
      <c r="B55" s="5892" t="s">
        <v>461</v>
      </c>
      <c r="C55" s="5770">
        <f t="shared" si="37"/>
        <v>2.2880964381720439E-4</v>
      </c>
      <c r="D55" s="5786">
        <v>1</v>
      </c>
      <c r="E55" s="5787">
        <v>1</v>
      </c>
      <c r="F55" s="5787">
        <v>1</v>
      </c>
      <c r="G55" s="5787">
        <v>200</v>
      </c>
      <c r="H55" s="5788">
        <v>1.9097222222222222E-3</v>
      </c>
      <c r="I55" s="5788"/>
      <c r="J55" s="5788">
        <v>1.3888888888888889E-3</v>
      </c>
      <c r="K55" s="5789" t="s">
        <v>1332</v>
      </c>
      <c r="L55" s="5862"/>
      <c r="M55" s="5790">
        <v>1</v>
      </c>
      <c r="N55" s="5770">
        <f>H55*F55*E55</f>
        <v>1.9097222222222222E-3</v>
      </c>
      <c r="O55" s="5791">
        <f t="shared" si="38"/>
        <v>1.8304771505376352E-3</v>
      </c>
      <c r="P55" s="5791">
        <f t="shared" si="39"/>
        <v>1.8304771505376352E-3</v>
      </c>
      <c r="Q55" s="5792">
        <v>164</v>
      </c>
      <c r="R55" s="5793">
        <f t="shared" si="40"/>
        <v>200</v>
      </c>
      <c r="S55" s="2844">
        <f t="shared" si="2"/>
        <v>0.2</v>
      </c>
      <c r="T55" s="2845">
        <f t="shared" si="3"/>
        <v>7.3219086021505406E-3</v>
      </c>
      <c r="U55" s="374">
        <f t="shared" si="4"/>
        <v>0.2</v>
      </c>
      <c r="V55" s="2846">
        <f t="shared" si="5"/>
        <v>0</v>
      </c>
      <c r="W55" s="2847">
        <f t="shared" si="6"/>
        <v>0</v>
      </c>
      <c r="X55" s="2848">
        <f t="shared" si="7"/>
        <v>0</v>
      </c>
      <c r="Y55" s="2849">
        <f t="shared" si="8"/>
        <v>0</v>
      </c>
      <c r="Z55" s="2850">
        <f t="shared" si="9"/>
        <v>0</v>
      </c>
      <c r="AA55" s="2851">
        <f t="shared" si="10"/>
        <v>0</v>
      </c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</row>
    <row r="56" spans="1:39" ht="12.75" customHeight="1" thickBot="1">
      <c r="A56" s="5891" t="s">
        <v>1500</v>
      </c>
      <c r="B56" s="5892" t="s">
        <v>461</v>
      </c>
      <c r="C56" s="5770">
        <f t="shared" si="37"/>
        <v>1.7682291666666674E-4</v>
      </c>
      <c r="D56" s="5863">
        <v>7</v>
      </c>
      <c r="E56" s="5864">
        <v>1</v>
      </c>
      <c r="F56" s="5864">
        <v>4</v>
      </c>
      <c r="G56" s="5864">
        <v>25</v>
      </c>
      <c r="H56" s="5809" t="s">
        <v>1508</v>
      </c>
      <c r="I56" s="5809">
        <v>3.4722222222222224E-4</v>
      </c>
      <c r="J56" s="5809">
        <v>6.9444444444444447E-4</v>
      </c>
      <c r="K56" s="5865" t="s">
        <v>1513</v>
      </c>
      <c r="L56" s="5810"/>
      <c r="M56" s="5811">
        <v>1</v>
      </c>
      <c r="N56" s="5812">
        <f>P56*E56*F56+I56*E56*F56+J56*E56</f>
        <v>2.7906250000000006E-3</v>
      </c>
      <c r="O56" s="5813">
        <f>C56*(G56/25)</f>
        <v>1.7682291666666674E-4</v>
      </c>
      <c r="P56" s="4151">
        <f>O56*M56</f>
        <v>1.7682291666666674E-4</v>
      </c>
      <c r="Q56" s="5816" t="s">
        <v>316</v>
      </c>
      <c r="R56" s="5808">
        <f>E56*F56*G56</f>
        <v>100</v>
      </c>
      <c r="S56" s="2844">
        <f t="shared" si="2"/>
        <v>0.1</v>
      </c>
      <c r="T56" s="2845">
        <f t="shared" si="3"/>
        <v>2.8291666666666678E-3</v>
      </c>
      <c r="U56" s="374">
        <f t="shared" si="4"/>
        <v>0</v>
      </c>
      <c r="V56" s="2846">
        <f t="shared" si="5"/>
        <v>0</v>
      </c>
      <c r="W56" s="2847">
        <f t="shared" si="6"/>
        <v>0</v>
      </c>
      <c r="X56" s="2848">
        <f t="shared" si="7"/>
        <v>0</v>
      </c>
      <c r="Y56" s="2849">
        <f t="shared" si="8"/>
        <v>0</v>
      </c>
      <c r="Z56" s="2850">
        <f t="shared" si="9"/>
        <v>0</v>
      </c>
      <c r="AA56" s="2851">
        <f t="shared" si="10"/>
        <v>0.1</v>
      </c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</row>
    <row r="57" spans="1:39" ht="12.75" customHeight="1" thickBot="1">
      <c r="A57" s="5891" t="s">
        <v>458</v>
      </c>
      <c r="B57" s="5892" t="s">
        <v>461</v>
      </c>
      <c r="C57" s="5770">
        <f t="shared" si="37"/>
        <v>2.0247664488766629E-4</v>
      </c>
      <c r="D57" s="5866">
        <v>4</v>
      </c>
      <c r="E57" s="5867">
        <v>1</v>
      </c>
      <c r="F57" s="5867">
        <v>1</v>
      </c>
      <c r="G57" s="5867">
        <v>300</v>
      </c>
      <c r="H57" s="5868"/>
      <c r="I57" s="5868">
        <v>6.3657407407407402E-4</v>
      </c>
      <c r="J57" s="5868">
        <v>1.3888888888888889E-3</v>
      </c>
      <c r="K57" s="5869" t="s">
        <v>1514</v>
      </c>
      <c r="L57" s="5870"/>
      <c r="M57" s="5829">
        <v>1</v>
      </c>
      <c r="N57" s="5830">
        <f>P57*E57*F57+I57*E57*F57+J57*E57</f>
        <v>4.4551827016149582E-3</v>
      </c>
      <c r="O57" s="5831">
        <f t="shared" ref="O57:O58" si="41">C57*(G57/25)</f>
        <v>2.4297197386519954E-3</v>
      </c>
      <c r="P57" s="5831">
        <f t="shared" ref="P57" si="42">O57*M57</f>
        <v>2.4297197386519954E-3</v>
      </c>
      <c r="Q57" s="5871">
        <v>196</v>
      </c>
      <c r="R57" s="5872">
        <f t="shared" ref="R57" si="43">E57*F57*G57</f>
        <v>300</v>
      </c>
      <c r="S57" s="2844">
        <f t="shared" si="2"/>
        <v>0.3</v>
      </c>
      <c r="T57" s="2845">
        <f t="shared" si="3"/>
        <v>9.7188789546079814E-3</v>
      </c>
      <c r="U57" s="374">
        <f t="shared" si="4"/>
        <v>0</v>
      </c>
      <c r="V57" s="2846">
        <f t="shared" si="5"/>
        <v>0</v>
      </c>
      <c r="W57" s="2847">
        <f t="shared" si="6"/>
        <v>0</v>
      </c>
      <c r="X57" s="2848">
        <f t="shared" si="7"/>
        <v>0.3</v>
      </c>
      <c r="Y57" s="2849">
        <f t="shared" si="8"/>
        <v>0</v>
      </c>
      <c r="Z57" s="2850">
        <f t="shared" si="9"/>
        <v>0</v>
      </c>
      <c r="AA57" s="2851">
        <f t="shared" si="10"/>
        <v>0</v>
      </c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</row>
    <row r="58" spans="1:39" ht="12.75" customHeight="1" thickBot="1">
      <c r="A58" s="4162" t="s">
        <v>219</v>
      </c>
      <c r="B58" s="4165"/>
      <c r="C58" s="5780"/>
      <c r="D58" s="5873"/>
      <c r="E58" s="5874"/>
      <c r="F58" s="5874"/>
      <c r="G58" s="5874"/>
      <c r="H58" s="5875"/>
      <c r="I58" s="5875"/>
      <c r="J58" s="5875"/>
      <c r="K58" s="5876"/>
      <c r="L58" s="2182"/>
      <c r="M58" s="5790">
        <v>1</v>
      </c>
      <c r="N58" s="5785">
        <f>SUM(N52:N57)</f>
        <v>2.3518814447048179E-2</v>
      </c>
      <c r="O58" s="5877">
        <f t="shared" si="41"/>
        <v>0</v>
      </c>
      <c r="P58" s="5877"/>
      <c r="Q58" s="5878"/>
      <c r="R58" s="5879">
        <f>SUM(R52:R57)</f>
        <v>1400</v>
      </c>
      <c r="S58" s="2844">
        <f t="shared" si="2"/>
        <v>0</v>
      </c>
      <c r="T58" s="2845">
        <f t="shared" si="3"/>
        <v>0</v>
      </c>
      <c r="U58" s="374">
        <f t="shared" si="4"/>
        <v>0</v>
      </c>
      <c r="V58" s="2846">
        <f t="shared" si="5"/>
        <v>0</v>
      </c>
      <c r="W58" s="2847">
        <f t="shared" si="6"/>
        <v>0</v>
      </c>
      <c r="X58" s="2848">
        <f t="shared" si="7"/>
        <v>0</v>
      </c>
      <c r="Y58" s="2849">
        <f t="shared" si="8"/>
        <v>0</v>
      </c>
      <c r="Z58" s="2850">
        <f t="shared" si="9"/>
        <v>0</v>
      </c>
      <c r="AA58" s="2851">
        <f t="shared" si="10"/>
        <v>0</v>
      </c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</row>
    <row r="59" spans="1:39" ht="12.75" customHeight="1" thickBot="1">
      <c r="A59" s="5891" t="s">
        <v>219</v>
      </c>
      <c r="B59" s="5892"/>
      <c r="C59" s="5770">
        <f>IF(D59=1,U$5,IF(D59=2,V$5,IF(D59=3,W$5,IF(D59=4,X$5,IF(D59=5,Y$5,IF(D59=6,Z$5,IF(D59=7,AA$5,0)))))))</f>
        <v>2.0247664488766629E-4</v>
      </c>
      <c r="D59" s="5866">
        <v>4</v>
      </c>
      <c r="E59" s="5867">
        <v>1</v>
      </c>
      <c r="F59" s="5867">
        <v>1</v>
      </c>
      <c r="G59" s="5867">
        <v>300</v>
      </c>
      <c r="H59" s="5868"/>
      <c r="I59" s="5868">
        <v>6.3657407407407402E-4</v>
      </c>
      <c r="J59" s="5868">
        <v>1.3888888888888889E-3</v>
      </c>
      <c r="K59" s="5869" t="s">
        <v>709</v>
      </c>
      <c r="L59" s="5797" t="s">
        <v>2162</v>
      </c>
      <c r="M59" s="5829">
        <v>1</v>
      </c>
      <c r="N59" s="5830">
        <f>P59*E59*F59+I59*E59*F59+J59*E59</f>
        <v>4.4551827016149582E-3</v>
      </c>
      <c r="O59" s="5831">
        <f t="shared" ref="O59" si="44">C59*(G59/25)</f>
        <v>2.4297197386519954E-3</v>
      </c>
      <c r="P59" s="5831">
        <f t="shared" ref="P59" si="45">O59*M59</f>
        <v>2.4297197386519954E-3</v>
      </c>
      <c r="Q59" s="5871">
        <v>196</v>
      </c>
      <c r="R59" s="5872">
        <f t="shared" ref="R59" si="46">E59*F59*G59</f>
        <v>300</v>
      </c>
      <c r="S59" s="2844">
        <f t="shared" si="2"/>
        <v>0.3</v>
      </c>
      <c r="T59" s="2845">
        <f t="shared" si="3"/>
        <v>9.7188789546079814E-3</v>
      </c>
      <c r="U59" s="374">
        <f t="shared" si="4"/>
        <v>0</v>
      </c>
      <c r="V59" s="2846">
        <f t="shared" si="5"/>
        <v>0</v>
      </c>
      <c r="W59" s="2847">
        <f t="shared" si="6"/>
        <v>0</v>
      </c>
      <c r="X59" s="2848">
        <f t="shared" si="7"/>
        <v>0.3</v>
      </c>
      <c r="Y59" s="2849">
        <f t="shared" si="8"/>
        <v>0</v>
      </c>
      <c r="Z59" s="2850">
        <f t="shared" si="9"/>
        <v>0</v>
      </c>
      <c r="AA59" s="2851">
        <f t="shared" si="10"/>
        <v>0</v>
      </c>
      <c r="AC59" s="2867"/>
      <c r="AD59" s="2867"/>
      <c r="AE59" s="2867"/>
      <c r="AF59" s="2867"/>
      <c r="AG59" s="2867"/>
      <c r="AH59" s="2867"/>
      <c r="AI59" s="2825"/>
      <c r="AJ59" s="2825"/>
      <c r="AK59" s="2825"/>
      <c r="AL59" s="2825"/>
      <c r="AM59" s="2825"/>
    </row>
    <row r="60" spans="1:39" ht="12.75" customHeight="1" thickBot="1">
      <c r="A60" s="5891" t="s">
        <v>138</v>
      </c>
      <c r="B60" s="5892"/>
      <c r="C60" s="5630"/>
      <c r="D60" s="4022"/>
      <c r="E60" s="1321">
        <v>1</v>
      </c>
      <c r="F60" s="1321">
        <v>1</v>
      </c>
      <c r="G60" s="5639">
        <v>100</v>
      </c>
      <c r="H60" s="1322" t="s">
        <v>1169</v>
      </c>
      <c r="I60" s="3933"/>
      <c r="J60" s="1322" t="s">
        <v>1232</v>
      </c>
      <c r="K60" s="1038" t="s">
        <v>2168</v>
      </c>
      <c r="L60" s="3664"/>
      <c r="M60" s="4023"/>
      <c r="N60" s="4042"/>
      <c r="O60" s="4024"/>
      <c r="P60" s="4015"/>
      <c r="Q60" s="4025"/>
      <c r="R60" s="5639">
        <v>50</v>
      </c>
      <c r="S60" s="2844">
        <f t="shared" ref="S60:S63" si="47">E60*F60*G60/1000</f>
        <v>0.1</v>
      </c>
      <c r="T60" s="2845">
        <f t="shared" ref="T60:T63" si="48">E60*F60*O60*4</f>
        <v>0</v>
      </c>
      <c r="U60" s="374">
        <f t="shared" ref="U60:U63" si="49">IF(C60*4&gt;=$U$4,S60,0)</f>
        <v>0</v>
      </c>
      <c r="V60" s="2846">
        <f t="shared" ref="V60:V63" si="50">IF(AND(C60*4&gt;=$V$4,C60*4&lt;$U$4),S60,0)</f>
        <v>0</v>
      </c>
      <c r="W60" s="2847">
        <f t="shared" ref="W60:W63" si="51">IF(AND(C60*4&gt;=$W$4,C60*4&lt;$V$4),S60,0)</f>
        <v>0</v>
      </c>
      <c r="X60" s="2848">
        <f t="shared" ref="X60:X63" si="52">IF(AND(C60*4&gt;=$X$4,C60*4&lt;$W$4),S60,0)</f>
        <v>0</v>
      </c>
      <c r="Y60" s="2849">
        <f t="shared" ref="Y60:Y63" si="53">IF(AND(C60*4&gt;=$Y$4,C60*4&lt;$X$4),S60,0)</f>
        <v>0</v>
      </c>
      <c r="Z60" s="2850">
        <f t="shared" ref="Z60:Z63" si="54">IF(AND(C60*4&gt;=$Z$4,C60*4&lt;$Y$4),S60,0)</f>
        <v>0</v>
      </c>
      <c r="AA60" s="2851">
        <f t="shared" ref="AA60:AA63" si="55">IF(AND(C60*4&gt;=$AA$4,C60*4&lt;$Z$4),S60,0)</f>
        <v>0</v>
      </c>
      <c r="AC60" s="2867"/>
      <c r="AD60" s="2867"/>
      <c r="AE60" s="2867"/>
      <c r="AF60" s="2867"/>
      <c r="AG60" s="2867"/>
      <c r="AH60" s="2867"/>
      <c r="AI60" s="2825"/>
      <c r="AJ60" s="2825"/>
      <c r="AK60" s="2825"/>
      <c r="AL60" s="2825"/>
      <c r="AM60" s="2825"/>
    </row>
    <row r="61" spans="1:39" ht="12.75" customHeight="1" thickBot="1">
      <c r="A61" s="5891" t="s">
        <v>779</v>
      </c>
      <c r="B61" s="5892"/>
      <c r="C61" s="5630"/>
      <c r="D61" s="1794">
        <v>7</v>
      </c>
      <c r="E61" s="1321">
        <v>1</v>
      </c>
      <c r="F61" s="1321">
        <v>1</v>
      </c>
      <c r="G61" s="5639">
        <v>100</v>
      </c>
      <c r="H61" s="1322" t="s">
        <v>1169</v>
      </c>
      <c r="I61" s="1322"/>
      <c r="J61" s="1322" t="s">
        <v>1232</v>
      </c>
      <c r="K61" s="1038" t="s">
        <v>2169</v>
      </c>
      <c r="L61" s="3664"/>
      <c r="M61" s="1763">
        <v>0.85</v>
      </c>
      <c r="N61" s="4043"/>
      <c r="O61" s="1541">
        <f>C61*(G61/25)</f>
        <v>0</v>
      </c>
      <c r="P61" s="1709"/>
      <c r="Q61" s="4025"/>
      <c r="R61" s="5639">
        <v>50</v>
      </c>
      <c r="S61" s="2844">
        <f t="shared" si="47"/>
        <v>0.1</v>
      </c>
      <c r="T61" s="2845">
        <f t="shared" si="48"/>
        <v>0</v>
      </c>
      <c r="U61" s="374">
        <f t="shared" si="49"/>
        <v>0</v>
      </c>
      <c r="V61" s="2846">
        <f t="shared" si="50"/>
        <v>0</v>
      </c>
      <c r="W61" s="2847">
        <f t="shared" si="51"/>
        <v>0</v>
      </c>
      <c r="X61" s="2848">
        <f t="shared" si="52"/>
        <v>0</v>
      </c>
      <c r="Y61" s="2849">
        <f t="shared" si="53"/>
        <v>0</v>
      </c>
      <c r="Z61" s="2850">
        <f t="shared" si="54"/>
        <v>0</v>
      </c>
      <c r="AA61" s="2851">
        <f t="shared" si="55"/>
        <v>0</v>
      </c>
      <c r="AC61" s="2867"/>
      <c r="AD61" s="2867"/>
      <c r="AE61" s="2867"/>
      <c r="AF61" s="2867"/>
      <c r="AG61" s="2867"/>
      <c r="AH61" s="2867"/>
      <c r="AI61" s="2825"/>
      <c r="AJ61" s="2825"/>
      <c r="AK61" s="2825"/>
      <c r="AL61" s="2825"/>
      <c r="AM61" s="2825"/>
    </row>
    <row r="62" spans="1:39" ht="12.75" customHeight="1" thickBot="1">
      <c r="A62" s="5891" t="s">
        <v>138</v>
      </c>
      <c r="B62" s="5892"/>
      <c r="C62" s="5630"/>
      <c r="D62" s="5631"/>
      <c r="E62" s="1321">
        <v>1</v>
      </c>
      <c r="F62" s="1321">
        <v>1</v>
      </c>
      <c r="G62" s="1321">
        <v>100</v>
      </c>
      <c r="H62" s="1322" t="s">
        <v>558</v>
      </c>
      <c r="I62" s="1322"/>
      <c r="J62" s="1322" t="s">
        <v>1232</v>
      </c>
      <c r="K62" s="1038" t="s">
        <v>2168</v>
      </c>
      <c r="L62" s="3664">
        <v>7.0532407407407403E-4</v>
      </c>
      <c r="M62" s="5632"/>
      <c r="N62" s="5893" t="s">
        <v>2172</v>
      </c>
      <c r="O62" s="5634"/>
      <c r="P62" s="3664"/>
      <c r="Q62" s="3664"/>
      <c r="R62" s="1321">
        <v>100</v>
      </c>
      <c r="S62" s="2844">
        <f t="shared" si="47"/>
        <v>0.1</v>
      </c>
      <c r="T62" s="2845">
        <f t="shared" si="48"/>
        <v>0</v>
      </c>
      <c r="U62" s="374">
        <f t="shared" si="49"/>
        <v>0</v>
      </c>
      <c r="V62" s="2846">
        <f t="shared" si="50"/>
        <v>0</v>
      </c>
      <c r="W62" s="2847">
        <f t="shared" si="51"/>
        <v>0</v>
      </c>
      <c r="X62" s="2848">
        <f t="shared" si="52"/>
        <v>0</v>
      </c>
      <c r="Y62" s="2849">
        <f t="shared" si="53"/>
        <v>0</v>
      </c>
      <c r="Z62" s="2850">
        <f t="shared" si="54"/>
        <v>0</v>
      </c>
      <c r="AA62" s="2851">
        <f t="shared" si="55"/>
        <v>0</v>
      </c>
      <c r="AC62" s="2867"/>
      <c r="AD62" s="2867"/>
      <c r="AE62" s="2867"/>
      <c r="AF62" s="2867"/>
      <c r="AG62" s="2867"/>
      <c r="AH62" s="2867"/>
      <c r="AI62" s="2825"/>
      <c r="AJ62" s="2825"/>
      <c r="AK62" s="2825"/>
      <c r="AL62" s="2825"/>
      <c r="AM62" s="2825"/>
    </row>
    <row r="63" spans="1:39" ht="12.75" customHeight="1" thickBot="1">
      <c r="A63" s="5891"/>
      <c r="B63" s="5892"/>
      <c r="C63" s="5630"/>
      <c r="D63" s="5631"/>
      <c r="E63" s="1321">
        <v>1</v>
      </c>
      <c r="F63" s="1321">
        <v>1</v>
      </c>
      <c r="G63" s="1321">
        <v>100</v>
      </c>
      <c r="H63" s="1322" t="s">
        <v>558</v>
      </c>
      <c r="I63" s="1322"/>
      <c r="J63" s="1322" t="s">
        <v>1232</v>
      </c>
      <c r="K63" s="1038" t="s">
        <v>2169</v>
      </c>
      <c r="L63" s="3664">
        <v>7.144675925925925E-4</v>
      </c>
      <c r="M63" s="5632"/>
      <c r="N63" s="5893" t="s">
        <v>2172</v>
      </c>
      <c r="O63" s="5634"/>
      <c r="P63" s="3664"/>
      <c r="Q63" s="3664"/>
      <c r="R63" s="1321">
        <v>100</v>
      </c>
      <c r="S63" s="2844">
        <f t="shared" si="47"/>
        <v>0.1</v>
      </c>
      <c r="T63" s="2845">
        <f t="shared" si="48"/>
        <v>0</v>
      </c>
      <c r="U63" s="374">
        <f t="shared" si="49"/>
        <v>0</v>
      </c>
      <c r="V63" s="2846">
        <f t="shared" si="50"/>
        <v>0</v>
      </c>
      <c r="W63" s="2847">
        <f t="shared" si="51"/>
        <v>0</v>
      </c>
      <c r="X63" s="2848">
        <f t="shared" si="52"/>
        <v>0</v>
      </c>
      <c r="Y63" s="2849">
        <f t="shared" si="53"/>
        <v>0</v>
      </c>
      <c r="Z63" s="2850">
        <f t="shared" si="54"/>
        <v>0</v>
      </c>
      <c r="AA63" s="2851">
        <f t="shared" si="55"/>
        <v>0</v>
      </c>
      <c r="AC63" s="2867"/>
      <c r="AD63" s="2867"/>
      <c r="AE63" s="2867"/>
      <c r="AF63" s="2867"/>
      <c r="AG63" s="2867"/>
      <c r="AH63" s="2867"/>
      <c r="AI63" s="2825"/>
      <c r="AJ63" s="2825"/>
      <c r="AK63" s="2825"/>
      <c r="AL63" s="2825"/>
      <c r="AM63" s="2825"/>
    </row>
    <row r="64" spans="1:39" ht="12.75" customHeight="1" thickBot="1">
      <c r="A64" s="5891" t="s">
        <v>220</v>
      </c>
      <c r="B64" s="5892" t="s">
        <v>461</v>
      </c>
      <c r="C64" s="5770">
        <f t="shared" ref="C64:C67" si="56">IF(D64=1,U$5,IF(D64=2,V$5,IF(D64=3,W$5,IF(D64=4,X$5,IF(D64=5,Y$5,IF(D64=6,Z$5,IF(D64=7,AA$5,0)))))))</f>
        <v>1.7682291666666674E-4</v>
      </c>
      <c r="D64" s="5863">
        <v>7</v>
      </c>
      <c r="E64" s="5864">
        <v>1</v>
      </c>
      <c r="F64" s="5864">
        <v>1</v>
      </c>
      <c r="G64" s="5864">
        <v>50</v>
      </c>
      <c r="H64" s="1322" t="s">
        <v>558</v>
      </c>
      <c r="I64" s="5882"/>
      <c r="J64" s="1322" t="s">
        <v>1232</v>
      </c>
      <c r="K64" s="5865" t="s">
        <v>2170</v>
      </c>
      <c r="L64" s="3664">
        <v>3.2557870370370374E-4</v>
      </c>
      <c r="M64" s="5883">
        <v>1</v>
      </c>
      <c r="N64" s="5884" t="s">
        <v>2173</v>
      </c>
      <c r="O64" s="5813">
        <f t="shared" ref="O64" si="57">C64*(G64/25)</f>
        <v>3.5364583333333347E-4</v>
      </c>
      <c r="P64" s="4151"/>
      <c r="Q64" s="5871"/>
      <c r="R64" s="5872">
        <f t="shared" ref="R64" si="58">E64*F64*G64</f>
        <v>50</v>
      </c>
      <c r="S64" s="2844">
        <f t="shared" si="2"/>
        <v>0.05</v>
      </c>
      <c r="T64" s="2845">
        <f t="shared" si="3"/>
        <v>1.4145833333333339E-3</v>
      </c>
      <c r="U64" s="374">
        <f t="shared" si="4"/>
        <v>0</v>
      </c>
      <c r="V64" s="2846">
        <f t="shared" si="5"/>
        <v>0</v>
      </c>
      <c r="W64" s="2847">
        <f t="shared" si="6"/>
        <v>0</v>
      </c>
      <c r="X64" s="2848">
        <f t="shared" si="7"/>
        <v>0</v>
      </c>
      <c r="Y64" s="2849">
        <f t="shared" si="8"/>
        <v>0</v>
      </c>
      <c r="Z64" s="2850">
        <f t="shared" si="9"/>
        <v>0</v>
      </c>
      <c r="AA64" s="2851">
        <f t="shared" si="10"/>
        <v>0.05</v>
      </c>
      <c r="AC64" s="2867"/>
      <c r="AD64" s="2867"/>
      <c r="AE64" s="2867"/>
      <c r="AF64" s="2867"/>
      <c r="AG64" s="2867"/>
      <c r="AH64" s="2867"/>
      <c r="AI64" s="2825"/>
      <c r="AJ64" s="2825"/>
      <c r="AK64" s="2825"/>
      <c r="AL64" s="2825"/>
      <c r="AM64" s="2825"/>
    </row>
    <row r="65" spans="1:40" ht="12.75" customHeight="1" thickBot="1">
      <c r="A65" s="5891" t="s">
        <v>674</v>
      </c>
      <c r="B65" s="5892" t="s">
        <v>461</v>
      </c>
      <c r="C65" s="5770">
        <f t="shared" si="56"/>
        <v>0</v>
      </c>
      <c r="D65" s="4022"/>
      <c r="E65" s="1321">
        <v>1</v>
      </c>
      <c r="F65" s="1321">
        <v>1</v>
      </c>
      <c r="G65" s="5639">
        <v>50</v>
      </c>
      <c r="H65" s="1322" t="s">
        <v>558</v>
      </c>
      <c r="I65" s="3933"/>
      <c r="J65" s="1322" t="s">
        <v>1232</v>
      </c>
      <c r="K65" s="1038" t="s">
        <v>2171</v>
      </c>
      <c r="L65" s="3664">
        <v>3.3518518518518516E-4</v>
      </c>
      <c r="M65" s="4023"/>
      <c r="N65" s="5884" t="s">
        <v>2174</v>
      </c>
      <c r="O65" s="4024"/>
      <c r="P65" s="4015"/>
      <c r="Q65" s="4025"/>
      <c r="R65" s="5639">
        <v>50</v>
      </c>
      <c r="S65" s="2844">
        <f t="shared" si="2"/>
        <v>0.05</v>
      </c>
      <c r="T65" s="2845">
        <f t="shared" si="3"/>
        <v>0</v>
      </c>
      <c r="U65" s="374">
        <f t="shared" si="4"/>
        <v>0</v>
      </c>
      <c r="V65" s="2846">
        <f t="shared" si="5"/>
        <v>0</v>
      </c>
      <c r="W65" s="2847">
        <f t="shared" si="6"/>
        <v>0</v>
      </c>
      <c r="X65" s="2848">
        <f t="shared" si="7"/>
        <v>0</v>
      </c>
      <c r="Y65" s="2849">
        <f t="shared" si="8"/>
        <v>0</v>
      </c>
      <c r="Z65" s="2850">
        <f t="shared" si="9"/>
        <v>0</v>
      </c>
      <c r="AA65" s="2851">
        <f t="shared" si="10"/>
        <v>0</v>
      </c>
      <c r="AC65" s="2867"/>
      <c r="AD65" s="2867"/>
      <c r="AE65" s="2867"/>
      <c r="AF65" s="2867"/>
      <c r="AG65" s="2867"/>
      <c r="AH65" s="2867"/>
      <c r="AI65" s="2825"/>
      <c r="AJ65" s="2825"/>
      <c r="AK65" s="2825"/>
      <c r="AL65" s="2825"/>
      <c r="AM65" s="2825"/>
    </row>
    <row r="66" spans="1:40" ht="12.75" customHeight="1" thickBot="1">
      <c r="A66" s="5891" t="s">
        <v>139</v>
      </c>
      <c r="B66" s="5892" t="s">
        <v>461</v>
      </c>
      <c r="C66" s="5770">
        <f t="shared" si="56"/>
        <v>0</v>
      </c>
      <c r="D66" s="4022"/>
      <c r="E66" s="1321">
        <v>1</v>
      </c>
      <c r="F66" s="1321">
        <v>1</v>
      </c>
      <c r="G66" s="5639">
        <v>50</v>
      </c>
      <c r="H66" s="1322" t="s">
        <v>558</v>
      </c>
      <c r="I66" s="3933"/>
      <c r="J66" s="1322" t="s">
        <v>1232</v>
      </c>
      <c r="K66" s="1038" t="s">
        <v>2166</v>
      </c>
      <c r="L66" s="3664"/>
      <c r="M66" s="4023"/>
      <c r="N66" s="4042"/>
      <c r="O66" s="4024"/>
      <c r="P66" s="4015"/>
      <c r="Q66" s="4025"/>
      <c r="R66" s="5639">
        <v>50</v>
      </c>
      <c r="S66" s="2844">
        <f t="shared" si="2"/>
        <v>0.05</v>
      </c>
      <c r="T66" s="2845">
        <f t="shared" si="3"/>
        <v>0</v>
      </c>
      <c r="U66" s="374">
        <f t="shared" si="4"/>
        <v>0</v>
      </c>
      <c r="V66" s="2846">
        <f t="shared" si="5"/>
        <v>0</v>
      </c>
      <c r="W66" s="2847">
        <f t="shared" si="6"/>
        <v>0</v>
      </c>
      <c r="X66" s="2848">
        <f t="shared" si="7"/>
        <v>0</v>
      </c>
      <c r="Y66" s="2849">
        <f t="shared" si="8"/>
        <v>0</v>
      </c>
      <c r="Z66" s="2850">
        <f t="shared" si="9"/>
        <v>0</v>
      </c>
      <c r="AA66" s="2851">
        <f t="shared" si="10"/>
        <v>0</v>
      </c>
      <c r="AC66" s="2867"/>
      <c r="AD66" s="2867"/>
      <c r="AE66" s="2867"/>
      <c r="AF66" s="2867"/>
      <c r="AG66" s="2867"/>
      <c r="AH66" s="2867"/>
      <c r="AI66" s="2825"/>
      <c r="AJ66" s="2825"/>
      <c r="AK66" s="2825"/>
      <c r="AL66" s="2825"/>
      <c r="AM66" s="2825"/>
    </row>
    <row r="67" spans="1:40" ht="12.75" customHeight="1">
      <c r="A67" s="5891" t="s">
        <v>1500</v>
      </c>
      <c r="B67" s="5892" t="s">
        <v>461</v>
      </c>
      <c r="C67" s="5770">
        <f t="shared" si="56"/>
        <v>1.7682291666666674E-4</v>
      </c>
      <c r="D67" s="1794">
        <v>7</v>
      </c>
      <c r="E67" s="1321">
        <v>1</v>
      </c>
      <c r="F67" s="1321">
        <v>1</v>
      </c>
      <c r="G67" s="5639">
        <v>50</v>
      </c>
      <c r="H67" s="1322" t="s">
        <v>558</v>
      </c>
      <c r="I67" s="1322"/>
      <c r="J67" s="1322" t="s">
        <v>1232</v>
      </c>
      <c r="K67" s="1038" t="s">
        <v>2167</v>
      </c>
      <c r="L67" s="3664"/>
      <c r="M67" s="1763">
        <v>0.85</v>
      </c>
      <c r="N67" s="5638"/>
      <c r="O67" s="1541">
        <f>C67*(G67/25)</f>
        <v>3.5364583333333347E-4</v>
      </c>
      <c r="P67" s="1709"/>
      <c r="Q67" s="4025"/>
      <c r="R67" s="5639">
        <v>50</v>
      </c>
      <c r="S67" s="2844">
        <f t="shared" si="2"/>
        <v>0.05</v>
      </c>
      <c r="T67" s="2845">
        <f t="shared" si="3"/>
        <v>1.4145833333333339E-3</v>
      </c>
      <c r="U67" s="374">
        <f t="shared" si="4"/>
        <v>0</v>
      </c>
      <c r="V67" s="2846">
        <f t="shared" si="5"/>
        <v>0</v>
      </c>
      <c r="W67" s="2847">
        <f t="shared" si="6"/>
        <v>0</v>
      </c>
      <c r="X67" s="2848">
        <f t="shared" si="7"/>
        <v>0</v>
      </c>
      <c r="Y67" s="2849">
        <f t="shared" si="8"/>
        <v>0</v>
      </c>
      <c r="Z67" s="2850">
        <f t="shared" si="9"/>
        <v>0</v>
      </c>
      <c r="AA67" s="2851">
        <f t="shared" si="10"/>
        <v>0.05</v>
      </c>
      <c r="AC67" s="2867"/>
      <c r="AD67" s="2867"/>
      <c r="AE67" s="2867"/>
      <c r="AF67" s="2867"/>
      <c r="AG67" s="2867"/>
      <c r="AH67" s="2867"/>
      <c r="AI67" s="2825"/>
      <c r="AJ67" s="2825"/>
      <c r="AK67" s="2825"/>
      <c r="AL67" s="2825"/>
      <c r="AM67" s="2825"/>
    </row>
    <row r="68" spans="1:40" ht="12.75" customHeight="1" thickBot="1">
      <c r="A68" s="4162"/>
      <c r="B68" s="4163"/>
      <c r="C68" s="5780"/>
      <c r="D68" s="5873"/>
      <c r="E68" s="5874"/>
      <c r="F68" s="5874"/>
      <c r="G68" s="5874"/>
      <c r="H68" s="5875"/>
      <c r="I68" s="5875"/>
      <c r="J68" s="5875"/>
      <c r="K68" s="5876"/>
      <c r="L68" s="2182">
        <f t="shared" ref="L68" si="59">L67+N67</f>
        <v>0</v>
      </c>
      <c r="M68" s="5790">
        <v>1</v>
      </c>
      <c r="N68" s="5785">
        <f>SUM(N59:N67)</f>
        <v>4.4551827016149582E-3</v>
      </c>
      <c r="O68" s="5877"/>
      <c r="P68" s="5877"/>
      <c r="Q68" s="5878"/>
      <c r="R68" s="5879">
        <f>SUM(R59:R67)</f>
        <v>800</v>
      </c>
      <c r="S68" s="2844">
        <f t="shared" si="2"/>
        <v>0</v>
      </c>
      <c r="T68" s="2845">
        <f t="shared" si="3"/>
        <v>0</v>
      </c>
      <c r="U68" s="374">
        <f t="shared" si="4"/>
        <v>0</v>
      </c>
      <c r="V68" s="2846">
        <f t="shared" si="5"/>
        <v>0</v>
      </c>
      <c r="W68" s="2847">
        <f t="shared" si="6"/>
        <v>0</v>
      </c>
      <c r="X68" s="2848">
        <f t="shared" si="7"/>
        <v>0</v>
      </c>
      <c r="Y68" s="2849">
        <f t="shared" si="8"/>
        <v>0</v>
      </c>
      <c r="Z68" s="2850">
        <f t="shared" si="9"/>
        <v>0</v>
      </c>
      <c r="AA68" s="2851">
        <f t="shared" si="10"/>
        <v>0</v>
      </c>
      <c r="AC68" s="2867"/>
      <c r="AD68" s="2867"/>
      <c r="AE68" s="2867"/>
      <c r="AF68" s="2867"/>
      <c r="AG68" s="2867"/>
      <c r="AH68" s="2867"/>
      <c r="AI68" s="2825"/>
      <c r="AJ68" s="2825"/>
      <c r="AK68" s="2825"/>
      <c r="AL68" s="2825"/>
      <c r="AM68" s="2825"/>
    </row>
    <row r="69" spans="1:40" ht="16.5" customHeight="1" thickTop="1" thickBot="1">
      <c r="A69" s="1"/>
      <c r="B69" s="1"/>
      <c r="C69" s="2816"/>
      <c r="D69" s="3081"/>
      <c r="E69" s="2817"/>
      <c r="F69" s="3146"/>
      <c r="G69" s="3147"/>
      <c r="H69" s="3147"/>
      <c r="I69" s="3148"/>
      <c r="J69" s="3147"/>
      <c r="K69" s="3149" cm="1">
        <f t="array" aca="1" ref="K69" ca="1">+K69:K70</f>
        <v>0</v>
      </c>
      <c r="L69" s="3149"/>
      <c r="M69" s="3150"/>
      <c r="N69" s="3147"/>
      <c r="O69" s="3147"/>
      <c r="P69" s="3147"/>
      <c r="Q69" s="3151"/>
      <c r="R69" s="3152"/>
      <c r="S69" s="3153"/>
      <c r="T69" s="3154"/>
      <c r="U69" s="5890">
        <f t="shared" ref="U69:AA69" si="60">SUM(U6:U68)</f>
        <v>2</v>
      </c>
      <c r="V69" s="5890">
        <f t="shared" si="60"/>
        <v>5.3000000000000007</v>
      </c>
      <c r="W69" s="5890">
        <f t="shared" si="60"/>
        <v>1.5</v>
      </c>
      <c r="X69" s="5890">
        <f t="shared" si="60"/>
        <v>2.4499999999999997</v>
      </c>
      <c r="Y69" s="5890">
        <f t="shared" si="60"/>
        <v>0.96000000000000008</v>
      </c>
      <c r="Z69" s="5890">
        <f t="shared" si="60"/>
        <v>2.19</v>
      </c>
      <c r="AA69" s="5890" t="e">
        <f t="shared" si="60"/>
        <v>#VALUE!</v>
      </c>
      <c r="AB69" s="3156" t="e">
        <f>SUM(U69:AA69)</f>
        <v>#VALUE!</v>
      </c>
      <c r="AC69" s="2867">
        <v>0</v>
      </c>
      <c r="AD69" s="2867">
        <v>0</v>
      </c>
      <c r="AE69" s="2838"/>
      <c r="AF69" s="2838"/>
      <c r="AG69" s="2838"/>
      <c r="AH69" s="2838"/>
      <c r="AI69" s="2838"/>
    </row>
    <row r="70" spans="1:40" ht="20.25" customHeight="1" thickTop="1">
      <c r="A70" s="144" t="s">
        <v>60</v>
      </c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3157">
        <f>IF(U69&gt;0,U69,#REF!)</f>
        <v>2</v>
      </c>
      <c r="V70" s="3157">
        <f>IF(V69&gt;0,V69,#REF!)</f>
        <v>5.3000000000000007</v>
      </c>
      <c r="W70" s="3157">
        <f>IF(W69&gt;0,W69,#REF!)</f>
        <v>1.5</v>
      </c>
      <c r="X70" s="3157">
        <f>IF(X69&gt;0,X69,#REF!)</f>
        <v>2.4499999999999997</v>
      </c>
      <c r="Y70" s="3157">
        <f>IF(Y69&gt;0,Y69,#REF!)</f>
        <v>0.96000000000000008</v>
      </c>
      <c r="Z70" s="3157">
        <f>IF(Z69&gt;0,Z69,#REF!)</f>
        <v>2.19</v>
      </c>
      <c r="AA70" s="3157" t="e">
        <f>IF(AA69&gt;0,AA69,#REF!)</f>
        <v>#VALUE!</v>
      </c>
      <c r="AB70" s="144"/>
      <c r="AC70" s="2825"/>
      <c r="AD70" s="2825"/>
      <c r="AE70" s="2838"/>
      <c r="AF70" s="2838"/>
      <c r="AG70" s="2838"/>
      <c r="AH70" s="2838"/>
      <c r="AI70" s="2838"/>
      <c r="AJ70" s="2825"/>
      <c r="AK70" s="2825"/>
      <c r="AL70" s="2825"/>
      <c r="AM70" s="2825"/>
    </row>
    <row r="71" spans="1:40" s="2914" customFormat="1" ht="19.5" customHeight="1">
      <c r="A71" s="144"/>
      <c r="B71" s="144"/>
      <c r="C71" s="144"/>
      <c r="D71" s="906"/>
      <c r="E71" s="144"/>
      <c r="F71" s="144"/>
      <c r="G71" s="144"/>
      <c r="H71" s="144"/>
      <c r="I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3157">
        <f t="shared" ref="U71:AA86" si="61">IF(U70&gt;0,U70,U69)</f>
        <v>2</v>
      </c>
      <c r="V71" s="3157">
        <f t="shared" si="61"/>
        <v>5.3000000000000007</v>
      </c>
      <c r="W71" s="3157">
        <f t="shared" si="61"/>
        <v>1.5</v>
      </c>
      <c r="X71" s="3157">
        <f t="shared" si="61"/>
        <v>2.4499999999999997</v>
      </c>
      <c r="Y71" s="3157">
        <f t="shared" si="61"/>
        <v>0.96000000000000008</v>
      </c>
      <c r="Z71" s="3157">
        <f t="shared" si="61"/>
        <v>2.19</v>
      </c>
      <c r="AA71" s="3157" t="e">
        <f t="shared" si="61"/>
        <v>#VALUE!</v>
      </c>
      <c r="AB71" s="144"/>
      <c r="AC71" s="2826"/>
      <c r="AD71" s="2826"/>
      <c r="AE71" s="2838"/>
      <c r="AF71" s="2838"/>
      <c r="AG71" s="2838"/>
      <c r="AH71" s="2838"/>
      <c r="AI71" s="2838"/>
      <c r="AJ71" s="2826"/>
      <c r="AK71" s="2826"/>
      <c r="AL71" s="2826"/>
      <c r="AM71" s="2826"/>
      <c r="AN71" s="2913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3157">
        <f t="shared" si="61"/>
        <v>2</v>
      </c>
      <c r="V72" s="3157">
        <f t="shared" si="61"/>
        <v>5.3000000000000007</v>
      </c>
      <c r="W72" s="3157">
        <f t="shared" si="61"/>
        <v>1.5</v>
      </c>
      <c r="X72" s="3157">
        <f t="shared" si="61"/>
        <v>2.4499999999999997</v>
      </c>
      <c r="Y72" s="3157">
        <f t="shared" si="61"/>
        <v>0.96000000000000008</v>
      </c>
      <c r="Z72" s="3157">
        <f t="shared" si="61"/>
        <v>2.19</v>
      </c>
      <c r="AA72" s="3157" t="e">
        <f t="shared" si="61"/>
        <v>#VALUE!</v>
      </c>
      <c r="AB72" s="144"/>
      <c r="AE72" s="2838"/>
      <c r="AF72" s="2838"/>
      <c r="AG72" s="2838"/>
      <c r="AH72" s="2838"/>
      <c r="AI72" s="2838"/>
    </row>
    <row r="73" spans="1:40" ht="15.75" customHeight="1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3157">
        <f t="shared" si="61"/>
        <v>2</v>
      </c>
      <c r="V73" s="3157">
        <f t="shared" si="61"/>
        <v>5.3000000000000007</v>
      </c>
      <c r="W73" s="3157">
        <f t="shared" si="61"/>
        <v>1.5</v>
      </c>
      <c r="X73" s="3157">
        <f t="shared" si="61"/>
        <v>2.4499999999999997</v>
      </c>
      <c r="Y73" s="3157">
        <f t="shared" si="61"/>
        <v>0.96000000000000008</v>
      </c>
      <c r="Z73" s="3157">
        <f t="shared" si="61"/>
        <v>2.19</v>
      </c>
      <c r="AA73" s="3157" t="e">
        <f t="shared" si="61"/>
        <v>#VALUE!</v>
      </c>
      <c r="AB73" s="144"/>
    </row>
    <row r="74" spans="1:40" ht="72" customHeight="1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3157">
        <f t="shared" si="61"/>
        <v>2</v>
      </c>
      <c r="V74" s="3157">
        <f t="shared" si="61"/>
        <v>5.3000000000000007</v>
      </c>
      <c r="W74" s="3157">
        <f t="shared" si="61"/>
        <v>1.5</v>
      </c>
      <c r="X74" s="3157">
        <f t="shared" si="61"/>
        <v>2.4499999999999997</v>
      </c>
      <c r="Y74" s="3157">
        <f t="shared" si="61"/>
        <v>0.96000000000000008</v>
      </c>
      <c r="Z74" s="3157">
        <f t="shared" si="61"/>
        <v>2.19</v>
      </c>
      <c r="AA74" s="3157" t="e">
        <f t="shared" si="61"/>
        <v>#VALUE!</v>
      </c>
      <c r="AB74" s="144"/>
      <c r="AC74" s="2837"/>
      <c r="AD74" s="2838"/>
      <c r="AE74" s="2838"/>
      <c r="AF74" s="2838"/>
      <c r="AG74" s="2838"/>
      <c r="AH74" s="2838"/>
      <c r="AI74" s="2836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3157">
        <f t="shared" si="61"/>
        <v>2</v>
      </c>
      <c r="V75" s="3157">
        <f t="shared" si="61"/>
        <v>5.3000000000000007</v>
      </c>
      <c r="W75" s="3157">
        <f t="shared" si="61"/>
        <v>1.5</v>
      </c>
      <c r="X75" s="3157">
        <f t="shared" si="61"/>
        <v>2.4499999999999997</v>
      </c>
      <c r="Y75" s="3157">
        <f t="shared" si="61"/>
        <v>0.96000000000000008</v>
      </c>
      <c r="Z75" s="3157">
        <f t="shared" si="61"/>
        <v>2.19</v>
      </c>
      <c r="AA75" s="3157" t="e">
        <f t="shared" si="61"/>
        <v>#VALUE!</v>
      </c>
      <c r="AB75" s="144"/>
      <c r="AC75" s="2867" t="s">
        <v>193</v>
      </c>
      <c r="AD75" s="2937"/>
      <c r="AE75" s="2937"/>
      <c r="AF75" s="2937"/>
      <c r="AG75" s="2937"/>
      <c r="AH75" s="2937"/>
      <c r="AI75" s="2935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3157">
        <f t="shared" si="61"/>
        <v>2</v>
      </c>
      <c r="V76" s="3157">
        <f t="shared" si="61"/>
        <v>5.3000000000000007</v>
      </c>
      <c r="W76" s="3157">
        <f t="shared" si="61"/>
        <v>1.5</v>
      </c>
      <c r="X76" s="3157">
        <f t="shared" si="61"/>
        <v>2.4499999999999997</v>
      </c>
      <c r="Y76" s="3157">
        <f t="shared" si="61"/>
        <v>0.96000000000000008</v>
      </c>
      <c r="Z76" s="3157">
        <f t="shared" si="61"/>
        <v>2.19</v>
      </c>
      <c r="AA76" s="3157" t="e">
        <f t="shared" si="61"/>
        <v>#VALUE!</v>
      </c>
      <c r="AB76" s="144"/>
      <c r="AC76" s="2867">
        <v>0</v>
      </c>
      <c r="AD76" s="2867">
        <v>0</v>
      </c>
      <c r="AE76" s="2867">
        <v>0</v>
      </c>
      <c r="AF76" s="2867">
        <v>0</v>
      </c>
      <c r="AG76" s="2867">
        <v>0</v>
      </c>
      <c r="AH76" s="2867">
        <v>0</v>
      </c>
      <c r="AI76" s="2935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3157">
        <f t="shared" si="61"/>
        <v>2</v>
      </c>
      <c r="V77" s="3157">
        <f t="shared" si="61"/>
        <v>5.3000000000000007</v>
      </c>
      <c r="W77" s="3157">
        <f t="shared" si="61"/>
        <v>1.5</v>
      </c>
      <c r="X77" s="3157">
        <f t="shared" si="61"/>
        <v>2.4499999999999997</v>
      </c>
      <c r="Y77" s="3157">
        <f t="shared" si="61"/>
        <v>0.96000000000000008</v>
      </c>
      <c r="Z77" s="3157">
        <f t="shared" si="61"/>
        <v>2.19</v>
      </c>
      <c r="AA77" s="3157" t="e">
        <f t="shared" si="61"/>
        <v>#VALUE!</v>
      </c>
      <c r="AB77" s="144"/>
      <c r="AC77" s="2867"/>
      <c r="AD77" s="2867"/>
      <c r="AE77" s="2867"/>
      <c r="AF77" s="2867"/>
      <c r="AG77" s="2867"/>
      <c r="AH77" s="2867"/>
      <c r="AI77" s="2935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3157">
        <f t="shared" si="61"/>
        <v>2</v>
      </c>
      <c r="V78" s="3157">
        <f t="shared" si="61"/>
        <v>5.3000000000000007</v>
      </c>
      <c r="W78" s="3157">
        <f t="shared" si="61"/>
        <v>1.5</v>
      </c>
      <c r="X78" s="3157">
        <f t="shared" si="61"/>
        <v>2.4499999999999997</v>
      </c>
      <c r="Y78" s="3157">
        <f t="shared" si="61"/>
        <v>0.96000000000000008</v>
      </c>
      <c r="Z78" s="3157">
        <f t="shared" si="61"/>
        <v>2.19</v>
      </c>
      <c r="AA78" s="3157" t="e">
        <f t="shared" si="61"/>
        <v>#VALUE!</v>
      </c>
      <c r="AB78" s="144"/>
      <c r="AC78" s="2867"/>
      <c r="AD78" s="2867"/>
      <c r="AE78" s="2867"/>
      <c r="AF78" s="2867"/>
      <c r="AG78" s="2867"/>
      <c r="AH78" s="2867"/>
      <c r="AI78" s="2935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3157">
        <f t="shared" si="61"/>
        <v>2</v>
      </c>
      <c r="V79" s="3157">
        <f t="shared" si="61"/>
        <v>5.3000000000000007</v>
      </c>
      <c r="W79" s="3157">
        <f t="shared" si="61"/>
        <v>1.5</v>
      </c>
      <c r="X79" s="3157">
        <f t="shared" si="61"/>
        <v>2.4499999999999997</v>
      </c>
      <c r="Y79" s="3157">
        <f t="shared" si="61"/>
        <v>0.96000000000000008</v>
      </c>
      <c r="Z79" s="3157">
        <f t="shared" si="61"/>
        <v>2.19</v>
      </c>
      <c r="AA79" s="3157" t="e">
        <f t="shared" si="61"/>
        <v>#VALUE!</v>
      </c>
      <c r="AB79" s="144"/>
      <c r="AC79" s="2867">
        <v>0</v>
      </c>
      <c r="AD79" s="2867">
        <v>0</v>
      </c>
      <c r="AE79" s="2867">
        <v>0</v>
      </c>
      <c r="AF79" s="2867">
        <v>0</v>
      </c>
      <c r="AG79" s="2867">
        <v>0</v>
      </c>
      <c r="AH79" s="2867">
        <v>0</v>
      </c>
      <c r="AI79" s="2935"/>
      <c r="AJ79" s="1"/>
      <c r="AK79" s="1"/>
      <c r="AL79" s="1"/>
      <c r="AM79" s="1"/>
      <c r="AN79" s="1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3157">
        <f t="shared" si="61"/>
        <v>2</v>
      </c>
      <c r="V80" s="3157">
        <f t="shared" si="61"/>
        <v>5.3000000000000007</v>
      </c>
      <c r="W80" s="3157">
        <f t="shared" si="61"/>
        <v>1.5</v>
      </c>
      <c r="X80" s="3157">
        <f t="shared" si="61"/>
        <v>2.4499999999999997</v>
      </c>
      <c r="Y80" s="3157">
        <f t="shared" si="61"/>
        <v>0.96000000000000008</v>
      </c>
      <c r="Z80" s="3157">
        <f t="shared" si="61"/>
        <v>2.19</v>
      </c>
      <c r="AA80" s="3157" t="e">
        <f t="shared" si="61"/>
        <v>#VALUE!</v>
      </c>
      <c r="AB80" s="144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825"/>
      <c r="AJ80" s="1"/>
      <c r="AK80" s="1"/>
      <c r="AL80" s="1"/>
      <c r="AM80" s="1"/>
      <c r="AN80" s="1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3157">
        <f t="shared" si="61"/>
        <v>2</v>
      </c>
      <c r="V81" s="3157">
        <f t="shared" si="61"/>
        <v>5.3000000000000007</v>
      </c>
      <c r="W81" s="3157">
        <f t="shared" si="61"/>
        <v>1.5</v>
      </c>
      <c r="X81" s="3157">
        <f t="shared" si="61"/>
        <v>2.4499999999999997</v>
      </c>
      <c r="Y81" s="3157">
        <f t="shared" si="61"/>
        <v>0.96000000000000008</v>
      </c>
      <c r="Z81" s="3157">
        <f t="shared" si="61"/>
        <v>2.19</v>
      </c>
      <c r="AA81" s="3157" t="e">
        <f t="shared" si="61"/>
        <v>#VALUE!</v>
      </c>
      <c r="AB81" s="144"/>
      <c r="AC81" s="2867"/>
      <c r="AD81" s="2867"/>
      <c r="AE81" s="2867"/>
      <c r="AF81" s="2867"/>
      <c r="AG81" s="2867"/>
      <c r="AH81" s="2867"/>
      <c r="AI81" s="2825"/>
      <c r="AJ81" s="1"/>
      <c r="AK81" s="1"/>
      <c r="AL81" s="1"/>
      <c r="AM81" s="1"/>
      <c r="AN81" s="1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3157">
        <f t="shared" si="61"/>
        <v>2</v>
      </c>
      <c r="V82" s="3157">
        <f t="shared" si="61"/>
        <v>5.3000000000000007</v>
      </c>
      <c r="W82" s="3157">
        <f t="shared" si="61"/>
        <v>1.5</v>
      </c>
      <c r="X82" s="3157">
        <f t="shared" si="61"/>
        <v>2.4499999999999997</v>
      </c>
      <c r="Y82" s="3157">
        <f t="shared" si="61"/>
        <v>0.96000000000000008</v>
      </c>
      <c r="Z82" s="3157">
        <f t="shared" si="61"/>
        <v>2.19</v>
      </c>
      <c r="AA82" s="3157" t="e">
        <f t="shared" si="61"/>
        <v>#VALUE!</v>
      </c>
      <c r="AB82" s="144"/>
      <c r="AC82" s="2867"/>
      <c r="AD82" s="2867"/>
      <c r="AE82" s="2867"/>
      <c r="AF82" s="2867"/>
      <c r="AG82" s="2867"/>
      <c r="AH82" s="2867"/>
      <c r="AI82" s="282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3157">
        <f t="shared" si="61"/>
        <v>2</v>
      </c>
      <c r="V83" s="3157">
        <f t="shared" si="61"/>
        <v>5.3000000000000007</v>
      </c>
      <c r="W83" s="3157">
        <f t="shared" si="61"/>
        <v>1.5</v>
      </c>
      <c r="X83" s="3157">
        <f t="shared" si="61"/>
        <v>2.4499999999999997</v>
      </c>
      <c r="Y83" s="3157">
        <f t="shared" si="61"/>
        <v>0.96000000000000008</v>
      </c>
      <c r="Z83" s="3157">
        <f t="shared" si="61"/>
        <v>2.19</v>
      </c>
      <c r="AA83" s="3157" t="e">
        <f t="shared" si="61"/>
        <v>#VALUE!</v>
      </c>
      <c r="AB83" s="144"/>
      <c r="AC83" s="2867">
        <v>0</v>
      </c>
      <c r="AD83" s="2867">
        <v>0</v>
      </c>
      <c r="AE83" s="2867">
        <v>0</v>
      </c>
      <c r="AF83" s="2867">
        <v>0</v>
      </c>
      <c r="AG83" s="2867">
        <v>0</v>
      </c>
      <c r="AH83" s="2867">
        <v>0</v>
      </c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3157">
        <f t="shared" si="61"/>
        <v>2</v>
      </c>
      <c r="V84" s="3157">
        <f t="shared" si="61"/>
        <v>5.3000000000000007</v>
      </c>
      <c r="W84" s="3157">
        <f t="shared" si="61"/>
        <v>1.5</v>
      </c>
      <c r="X84" s="3157">
        <f t="shared" si="61"/>
        <v>2.4499999999999997</v>
      </c>
      <c r="Y84" s="3157">
        <f t="shared" si="61"/>
        <v>0.96000000000000008</v>
      </c>
      <c r="Z84" s="3157">
        <f t="shared" si="61"/>
        <v>2.19</v>
      </c>
      <c r="AA84" s="3157" t="e">
        <f t="shared" si="61"/>
        <v>#VALUE!</v>
      </c>
      <c r="AB84" s="144"/>
      <c r="AC84" s="2867">
        <v>0</v>
      </c>
      <c r="AD84" s="2867">
        <v>0</v>
      </c>
      <c r="AE84" s="2867">
        <v>0</v>
      </c>
      <c r="AF84" s="2867">
        <v>0</v>
      </c>
      <c r="AG84" s="2867">
        <v>0</v>
      </c>
      <c r="AH84" s="2867">
        <v>0</v>
      </c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3157">
        <f t="shared" si="61"/>
        <v>2</v>
      </c>
      <c r="V85" s="3157">
        <f t="shared" si="61"/>
        <v>5.3000000000000007</v>
      </c>
      <c r="W85" s="3157">
        <f t="shared" si="61"/>
        <v>1.5</v>
      </c>
      <c r="X85" s="3157">
        <f t="shared" si="61"/>
        <v>2.4499999999999997</v>
      </c>
      <c r="Y85" s="3157">
        <f t="shared" si="61"/>
        <v>0.96000000000000008</v>
      </c>
      <c r="Z85" s="3157">
        <f t="shared" si="61"/>
        <v>2.19</v>
      </c>
      <c r="AA85" s="3157" t="e">
        <f t="shared" si="61"/>
        <v>#VALUE!</v>
      </c>
      <c r="AB85" s="144"/>
      <c r="AC85" s="2867">
        <v>0</v>
      </c>
      <c r="AD85" s="2867">
        <v>0</v>
      </c>
      <c r="AE85" s="2867">
        <v>0</v>
      </c>
      <c r="AF85" s="2867">
        <v>0</v>
      </c>
      <c r="AG85" s="2867">
        <v>0</v>
      </c>
      <c r="AH85" s="2867">
        <v>0</v>
      </c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3157">
        <f t="shared" si="61"/>
        <v>2</v>
      </c>
      <c r="V86" s="3157">
        <f t="shared" si="61"/>
        <v>5.3000000000000007</v>
      </c>
      <c r="W86" s="3157">
        <f t="shared" si="61"/>
        <v>1.5</v>
      </c>
      <c r="X86" s="3157">
        <f t="shared" si="61"/>
        <v>2.4499999999999997</v>
      </c>
      <c r="Y86" s="3157">
        <f t="shared" si="61"/>
        <v>0.96000000000000008</v>
      </c>
      <c r="Z86" s="3157">
        <f t="shared" si="61"/>
        <v>2.19</v>
      </c>
      <c r="AA86" s="3157" t="e">
        <f t="shared" si="61"/>
        <v>#VALUE!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3157">
        <f t="shared" ref="U87:AA102" si="62">IF(U86&gt;0,U86,U85)</f>
        <v>2</v>
      </c>
      <c r="V87" s="3157">
        <f t="shared" si="62"/>
        <v>5.3000000000000007</v>
      </c>
      <c r="W87" s="3157">
        <f t="shared" si="62"/>
        <v>1.5</v>
      </c>
      <c r="X87" s="3157">
        <f t="shared" si="62"/>
        <v>2.4499999999999997</v>
      </c>
      <c r="Y87" s="3157">
        <f t="shared" si="62"/>
        <v>0.96000000000000008</v>
      </c>
      <c r="Z87" s="3157">
        <f t="shared" si="62"/>
        <v>2.19</v>
      </c>
      <c r="AA87" s="3157" t="e">
        <f t="shared" si="62"/>
        <v>#VALUE!</v>
      </c>
      <c r="AB87" s="144"/>
      <c r="AC87" s="2867"/>
      <c r="AD87" s="2867"/>
      <c r="AE87" s="2867"/>
      <c r="AF87" s="2867"/>
      <c r="AG87" s="2867"/>
      <c r="AH87" s="2867"/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3157">
        <f t="shared" si="62"/>
        <v>2</v>
      </c>
      <c r="V88" s="3157">
        <f t="shared" si="62"/>
        <v>5.3000000000000007</v>
      </c>
      <c r="W88" s="3157">
        <f t="shared" si="62"/>
        <v>1.5</v>
      </c>
      <c r="X88" s="3157">
        <f t="shared" si="62"/>
        <v>2.4499999999999997</v>
      </c>
      <c r="Y88" s="3157">
        <f t="shared" si="62"/>
        <v>0.96000000000000008</v>
      </c>
      <c r="Z88" s="3157">
        <f t="shared" si="62"/>
        <v>2.19</v>
      </c>
      <c r="AA88" s="3157" t="e">
        <f t="shared" si="62"/>
        <v>#VALUE!</v>
      </c>
      <c r="AB88" s="144"/>
      <c r="AC88" s="2867"/>
      <c r="AD88" s="2867"/>
      <c r="AE88" s="2867"/>
      <c r="AF88" s="2867"/>
      <c r="AG88" s="2867"/>
      <c r="AH88" s="2867"/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3157">
        <f t="shared" si="62"/>
        <v>2</v>
      </c>
      <c r="V89" s="3157">
        <f t="shared" si="62"/>
        <v>5.3000000000000007</v>
      </c>
      <c r="W89" s="3157">
        <f t="shared" si="62"/>
        <v>1.5</v>
      </c>
      <c r="X89" s="3157">
        <f t="shared" si="62"/>
        <v>2.4499999999999997</v>
      </c>
      <c r="Y89" s="3157">
        <f t="shared" si="62"/>
        <v>0.96000000000000008</v>
      </c>
      <c r="Z89" s="3157">
        <f t="shared" si="62"/>
        <v>2.19</v>
      </c>
      <c r="AA89" s="3157" t="e">
        <f t="shared" si="62"/>
        <v>#VALUE!</v>
      </c>
      <c r="AB89" s="144"/>
      <c r="AC89" s="2867">
        <v>0</v>
      </c>
      <c r="AD89" s="2867">
        <v>0</v>
      </c>
      <c r="AE89" s="2867">
        <v>0</v>
      </c>
      <c r="AF89" s="2867">
        <v>0</v>
      </c>
      <c r="AG89" s="2867">
        <v>0</v>
      </c>
      <c r="AH89" s="2867">
        <v>0</v>
      </c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3157">
        <f t="shared" si="62"/>
        <v>2</v>
      </c>
      <c r="V90" s="3157">
        <f t="shared" si="62"/>
        <v>5.3000000000000007</v>
      </c>
      <c r="W90" s="3157">
        <f t="shared" si="62"/>
        <v>1.5</v>
      </c>
      <c r="X90" s="3157">
        <f t="shared" si="62"/>
        <v>2.4499999999999997</v>
      </c>
      <c r="Y90" s="3157">
        <f t="shared" si="62"/>
        <v>0.96000000000000008</v>
      </c>
      <c r="Z90" s="3157">
        <f t="shared" si="62"/>
        <v>2.19</v>
      </c>
      <c r="AA90" s="3157" t="e">
        <f t="shared" si="62"/>
        <v>#VALUE!</v>
      </c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1"/>
      <c r="AK90" s="1"/>
      <c r="AL90" s="1"/>
      <c r="AM90" s="1"/>
      <c r="AN90" s="1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3157">
        <f t="shared" si="62"/>
        <v>2</v>
      </c>
      <c r="V91" s="3157">
        <f t="shared" si="62"/>
        <v>5.3000000000000007</v>
      </c>
      <c r="W91" s="3157">
        <f t="shared" si="62"/>
        <v>1.5</v>
      </c>
      <c r="X91" s="3157">
        <f t="shared" si="62"/>
        <v>2.4499999999999997</v>
      </c>
      <c r="Y91" s="3157">
        <f t="shared" si="62"/>
        <v>0.96000000000000008</v>
      </c>
      <c r="Z91" s="3157">
        <f t="shared" si="62"/>
        <v>2.19</v>
      </c>
      <c r="AA91" s="3157" t="e">
        <f t="shared" si="62"/>
        <v>#VALUE!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3157">
        <f t="shared" si="62"/>
        <v>2</v>
      </c>
      <c r="V92" s="3157">
        <f t="shared" si="62"/>
        <v>5.3000000000000007</v>
      </c>
      <c r="W92" s="3157">
        <f t="shared" si="62"/>
        <v>1.5</v>
      </c>
      <c r="X92" s="3157">
        <f t="shared" si="62"/>
        <v>2.4499999999999997</v>
      </c>
      <c r="Y92" s="3157">
        <f t="shared" si="62"/>
        <v>0.96000000000000008</v>
      </c>
      <c r="Z92" s="3157">
        <f t="shared" si="62"/>
        <v>2.19</v>
      </c>
      <c r="AA92" s="3157" t="e">
        <f t="shared" si="62"/>
        <v>#VALUE!</v>
      </c>
      <c r="AB92" s="144"/>
      <c r="AC92" s="2867"/>
      <c r="AD92" s="2867"/>
      <c r="AE92" s="2867"/>
      <c r="AF92" s="2867"/>
      <c r="AG92" s="2867"/>
      <c r="AH92" s="2867"/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3157">
        <f t="shared" si="62"/>
        <v>2</v>
      </c>
      <c r="V93" s="3157">
        <f t="shared" si="62"/>
        <v>5.3000000000000007</v>
      </c>
      <c r="W93" s="3157">
        <f t="shared" si="62"/>
        <v>1.5</v>
      </c>
      <c r="X93" s="3157">
        <f t="shared" si="62"/>
        <v>2.4499999999999997</v>
      </c>
      <c r="Y93" s="3157">
        <f t="shared" si="62"/>
        <v>0.96000000000000008</v>
      </c>
      <c r="Z93" s="3157">
        <f t="shared" si="62"/>
        <v>2.19</v>
      </c>
      <c r="AA93" s="3157" t="e">
        <f t="shared" si="62"/>
        <v>#VALUE!</v>
      </c>
      <c r="AB93" s="144"/>
      <c r="AC93" s="2867"/>
      <c r="AD93" s="2867"/>
      <c r="AE93" s="2867"/>
      <c r="AF93" s="2867"/>
      <c r="AG93" s="2867"/>
      <c r="AH93" s="2867"/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3157">
        <f t="shared" si="62"/>
        <v>2</v>
      </c>
      <c r="V94" s="3157">
        <f t="shared" si="62"/>
        <v>5.3000000000000007</v>
      </c>
      <c r="W94" s="3157">
        <f t="shared" si="62"/>
        <v>1.5</v>
      </c>
      <c r="X94" s="3157">
        <f t="shared" si="62"/>
        <v>2.4499999999999997</v>
      </c>
      <c r="Y94" s="3157">
        <f t="shared" si="62"/>
        <v>0.96000000000000008</v>
      </c>
      <c r="Z94" s="3157">
        <f t="shared" si="62"/>
        <v>2.19</v>
      </c>
      <c r="AA94" s="3157" t="e">
        <f t="shared" si="62"/>
        <v>#VALUE!</v>
      </c>
      <c r="AB94" s="144"/>
      <c r="AC94" s="2867">
        <v>0</v>
      </c>
      <c r="AD94" s="2867">
        <v>0</v>
      </c>
      <c r="AE94" s="2867">
        <v>0</v>
      </c>
      <c r="AF94" s="2867">
        <v>0</v>
      </c>
      <c r="AG94" s="2867">
        <v>0</v>
      </c>
      <c r="AH94" s="2867">
        <v>0</v>
      </c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3157">
        <f t="shared" si="62"/>
        <v>2</v>
      </c>
      <c r="V95" s="3157">
        <f t="shared" si="62"/>
        <v>5.3000000000000007</v>
      </c>
      <c r="W95" s="3157">
        <f t="shared" si="62"/>
        <v>1.5</v>
      </c>
      <c r="X95" s="3157">
        <f t="shared" si="62"/>
        <v>2.4499999999999997</v>
      </c>
      <c r="Y95" s="3157">
        <f t="shared" si="62"/>
        <v>0.96000000000000008</v>
      </c>
      <c r="Z95" s="3157">
        <f t="shared" si="62"/>
        <v>2.19</v>
      </c>
      <c r="AA95" s="3157" t="e">
        <f t="shared" si="62"/>
        <v>#VALUE!</v>
      </c>
      <c r="AB95" s="144"/>
      <c r="AC95" s="2867">
        <v>0</v>
      </c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82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3157">
        <f t="shared" si="62"/>
        <v>2</v>
      </c>
      <c r="V96" s="3157">
        <f t="shared" si="62"/>
        <v>5.3000000000000007</v>
      </c>
      <c r="W96" s="3157">
        <f t="shared" si="62"/>
        <v>1.5</v>
      </c>
      <c r="X96" s="3157">
        <f t="shared" si="62"/>
        <v>2.4499999999999997</v>
      </c>
      <c r="Y96" s="3157">
        <f t="shared" si="62"/>
        <v>0.96000000000000008</v>
      </c>
      <c r="Z96" s="3157">
        <f t="shared" si="62"/>
        <v>2.19</v>
      </c>
      <c r="AA96" s="3157" t="e">
        <f t="shared" si="62"/>
        <v>#VALUE!</v>
      </c>
      <c r="AB96" s="144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3157">
        <f t="shared" si="62"/>
        <v>2</v>
      </c>
      <c r="V97" s="3157">
        <f t="shared" si="62"/>
        <v>5.3000000000000007</v>
      </c>
      <c r="W97" s="3157">
        <f t="shared" si="62"/>
        <v>1.5</v>
      </c>
      <c r="X97" s="3157">
        <f t="shared" si="62"/>
        <v>2.4499999999999997</v>
      </c>
      <c r="Y97" s="3157">
        <f t="shared" si="62"/>
        <v>0.96000000000000008</v>
      </c>
      <c r="Z97" s="3157">
        <f t="shared" si="62"/>
        <v>2.19</v>
      </c>
      <c r="AA97" s="3157" t="e">
        <f t="shared" si="62"/>
        <v>#VALUE!</v>
      </c>
      <c r="AB97" s="144"/>
      <c r="AC97" s="2867"/>
      <c r="AD97" s="2867"/>
      <c r="AE97" s="2867"/>
      <c r="AF97" s="2867"/>
      <c r="AG97" s="2867"/>
      <c r="AH97" s="2867"/>
      <c r="AI97" s="2825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3157">
        <f t="shared" si="62"/>
        <v>2</v>
      </c>
      <c r="V98" s="3157">
        <f t="shared" si="62"/>
        <v>5.3000000000000007</v>
      </c>
      <c r="W98" s="3157">
        <f t="shared" si="62"/>
        <v>1.5</v>
      </c>
      <c r="X98" s="3157">
        <f t="shared" si="62"/>
        <v>2.4499999999999997</v>
      </c>
      <c r="Y98" s="3157">
        <f t="shared" si="62"/>
        <v>0.96000000000000008</v>
      </c>
      <c r="Z98" s="3157">
        <f t="shared" si="62"/>
        <v>2.19</v>
      </c>
      <c r="AA98" s="3157" t="e">
        <f t="shared" si="62"/>
        <v>#VALUE!</v>
      </c>
      <c r="AB98" s="144"/>
      <c r="AC98" s="2867"/>
      <c r="AD98" s="2867"/>
      <c r="AE98" s="2867"/>
      <c r="AF98" s="2867"/>
      <c r="AG98" s="2867"/>
      <c r="AH98" s="2867"/>
      <c r="AI98" s="2825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3157">
        <f t="shared" si="62"/>
        <v>2</v>
      </c>
      <c r="V99" s="3157">
        <f t="shared" si="62"/>
        <v>5.3000000000000007</v>
      </c>
      <c r="W99" s="3157">
        <f t="shared" si="62"/>
        <v>1.5</v>
      </c>
      <c r="X99" s="3157">
        <f t="shared" si="62"/>
        <v>2.4499999999999997</v>
      </c>
      <c r="Y99" s="3157">
        <f t="shared" si="62"/>
        <v>0.96000000000000008</v>
      </c>
      <c r="Z99" s="3157">
        <f t="shared" si="62"/>
        <v>2.19</v>
      </c>
      <c r="AA99" s="3157" t="e">
        <f t="shared" si="62"/>
        <v>#VALUE!</v>
      </c>
      <c r="AB99" s="144"/>
      <c r="AC99" s="2867">
        <v>0</v>
      </c>
      <c r="AD99" s="2867">
        <v>0</v>
      </c>
      <c r="AE99" s="2867">
        <v>0</v>
      </c>
      <c r="AF99" s="2867">
        <v>0</v>
      </c>
      <c r="AG99" s="2867">
        <v>0</v>
      </c>
      <c r="AH99" s="2867">
        <v>0</v>
      </c>
      <c r="AI99" s="2825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3157">
        <f t="shared" si="62"/>
        <v>2</v>
      </c>
      <c r="V100" s="3157">
        <f t="shared" si="62"/>
        <v>5.3000000000000007</v>
      </c>
      <c r="W100" s="3157">
        <f t="shared" si="62"/>
        <v>1.5</v>
      </c>
      <c r="X100" s="3157">
        <f t="shared" si="62"/>
        <v>2.4499999999999997</v>
      </c>
      <c r="Y100" s="3157">
        <f t="shared" si="62"/>
        <v>0.96000000000000008</v>
      </c>
      <c r="Z100" s="3157">
        <f t="shared" si="62"/>
        <v>2.19</v>
      </c>
      <c r="AA100" s="3157" t="e">
        <f t="shared" si="62"/>
        <v>#VALUE!</v>
      </c>
      <c r="AB100" s="144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3157">
        <f t="shared" si="62"/>
        <v>2</v>
      </c>
      <c r="V101" s="3157">
        <f t="shared" si="62"/>
        <v>5.3000000000000007</v>
      </c>
      <c r="W101" s="3157">
        <f t="shared" si="62"/>
        <v>1.5</v>
      </c>
      <c r="X101" s="3157">
        <f t="shared" si="62"/>
        <v>2.4499999999999997</v>
      </c>
      <c r="Y101" s="3157">
        <f t="shared" si="62"/>
        <v>0.96000000000000008</v>
      </c>
      <c r="Z101" s="3157">
        <f t="shared" si="62"/>
        <v>2.19</v>
      </c>
      <c r="AA101" s="3157" t="e">
        <f t="shared" si="62"/>
        <v>#VALUE!</v>
      </c>
      <c r="AB101" s="144"/>
      <c r="AC101" s="2867"/>
      <c r="AD101" s="2867"/>
      <c r="AE101" s="2867"/>
      <c r="AF101" s="2867"/>
      <c r="AG101" s="2867"/>
      <c r="AH101" s="2867"/>
      <c r="AI101" s="2825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3157">
        <f t="shared" si="62"/>
        <v>2</v>
      </c>
      <c r="V102" s="3157">
        <f t="shared" si="62"/>
        <v>5.3000000000000007</v>
      </c>
      <c r="W102" s="3157">
        <f t="shared" si="62"/>
        <v>1.5</v>
      </c>
      <c r="X102" s="3157">
        <f t="shared" si="62"/>
        <v>2.4499999999999997</v>
      </c>
      <c r="Y102" s="3157">
        <f t="shared" si="62"/>
        <v>0.96000000000000008</v>
      </c>
      <c r="Z102" s="3157">
        <f t="shared" si="62"/>
        <v>2.19</v>
      </c>
      <c r="AA102" s="3157" t="e">
        <f t="shared" si="62"/>
        <v>#VALUE!</v>
      </c>
      <c r="AB102" s="144"/>
      <c r="AC102" s="2867"/>
      <c r="AD102" s="2867"/>
      <c r="AE102" s="2867"/>
      <c r="AF102" s="2867"/>
      <c r="AG102" s="2867"/>
      <c r="AH102" s="2867"/>
      <c r="AI102" s="2825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3157">
        <f t="shared" ref="U103:AA118" si="63">IF(U102&gt;0,U102,U101)</f>
        <v>2</v>
      </c>
      <c r="V103" s="3157">
        <f t="shared" si="63"/>
        <v>5.3000000000000007</v>
      </c>
      <c r="W103" s="3157">
        <f t="shared" si="63"/>
        <v>1.5</v>
      </c>
      <c r="X103" s="3157">
        <f t="shared" si="63"/>
        <v>2.4499999999999997</v>
      </c>
      <c r="Y103" s="3157">
        <f t="shared" si="63"/>
        <v>0.96000000000000008</v>
      </c>
      <c r="Z103" s="3157">
        <f t="shared" si="63"/>
        <v>2.19</v>
      </c>
      <c r="AA103" s="3157" t="e">
        <f t="shared" si="63"/>
        <v>#VALUE!</v>
      </c>
      <c r="AB103" s="144"/>
      <c r="AC103" s="2867">
        <v>0</v>
      </c>
      <c r="AD103" s="2867">
        <v>0</v>
      </c>
      <c r="AE103" s="2867">
        <v>0</v>
      </c>
      <c r="AF103" s="2867">
        <v>0</v>
      </c>
      <c r="AG103" s="2867">
        <v>0</v>
      </c>
      <c r="AH103" s="2867">
        <v>0</v>
      </c>
      <c r="AI103" s="2825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3157">
        <f t="shared" si="63"/>
        <v>2</v>
      </c>
      <c r="V104" s="3157">
        <f t="shared" si="63"/>
        <v>5.3000000000000007</v>
      </c>
      <c r="W104" s="3157">
        <f t="shared" si="63"/>
        <v>1.5</v>
      </c>
      <c r="X104" s="3157">
        <f t="shared" si="63"/>
        <v>2.4499999999999997</v>
      </c>
      <c r="Y104" s="3157">
        <f t="shared" si="63"/>
        <v>0.96000000000000008</v>
      </c>
      <c r="Z104" s="3157">
        <f t="shared" si="63"/>
        <v>2.19</v>
      </c>
      <c r="AA104" s="3157" t="e">
        <f t="shared" si="63"/>
        <v>#VALUE!</v>
      </c>
      <c r="AB104" s="144"/>
      <c r="AC104" s="2867">
        <v>0</v>
      </c>
      <c r="AD104" s="2867">
        <v>0</v>
      </c>
      <c r="AE104" s="2867">
        <v>0</v>
      </c>
      <c r="AF104" s="2867">
        <v>0</v>
      </c>
      <c r="AG104" s="2867">
        <v>0</v>
      </c>
      <c r="AH104" s="2867">
        <v>0</v>
      </c>
      <c r="AI104" s="2825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3157">
        <f t="shared" si="63"/>
        <v>2</v>
      </c>
      <c r="V105" s="3157">
        <f t="shared" si="63"/>
        <v>5.3000000000000007</v>
      </c>
      <c r="W105" s="3157">
        <f t="shared" si="63"/>
        <v>1.5</v>
      </c>
      <c r="X105" s="3157">
        <f t="shared" si="63"/>
        <v>2.4499999999999997</v>
      </c>
      <c r="Y105" s="3157">
        <f t="shared" si="63"/>
        <v>0.96000000000000008</v>
      </c>
      <c r="Z105" s="3157">
        <f t="shared" si="63"/>
        <v>2.19</v>
      </c>
      <c r="AA105" s="3157" t="e">
        <f t="shared" si="63"/>
        <v>#VALUE!</v>
      </c>
      <c r="AB105" s="144"/>
      <c r="AC105" s="2867">
        <v>0</v>
      </c>
      <c r="AD105" s="2867">
        <v>0</v>
      </c>
      <c r="AE105" s="2867">
        <v>0</v>
      </c>
      <c r="AF105" s="2867">
        <v>0</v>
      </c>
      <c r="AG105" s="2867">
        <v>0</v>
      </c>
      <c r="AH105" s="2867">
        <v>0</v>
      </c>
      <c r="AI105" s="2825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3157">
        <f t="shared" si="63"/>
        <v>2</v>
      </c>
      <c r="V106" s="3157">
        <f t="shared" si="63"/>
        <v>5.3000000000000007</v>
      </c>
      <c r="W106" s="3157">
        <f t="shared" si="63"/>
        <v>1.5</v>
      </c>
      <c r="X106" s="3157">
        <f t="shared" si="63"/>
        <v>2.4499999999999997</v>
      </c>
      <c r="Y106" s="3157">
        <f t="shared" si="63"/>
        <v>0.96000000000000008</v>
      </c>
      <c r="Z106" s="3157">
        <f t="shared" si="63"/>
        <v>2.19</v>
      </c>
      <c r="AA106" s="3157" t="e">
        <f t="shared" si="63"/>
        <v>#VALUE!</v>
      </c>
      <c r="AB106" s="144"/>
      <c r="AC106" s="2867">
        <v>0</v>
      </c>
      <c r="AD106" s="2867">
        <v>0</v>
      </c>
      <c r="AE106" s="2867">
        <v>0</v>
      </c>
      <c r="AF106" s="2867">
        <v>0</v>
      </c>
      <c r="AG106" s="2867">
        <v>0</v>
      </c>
      <c r="AH106" s="2867">
        <v>0</v>
      </c>
      <c r="AI106" s="2825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3157">
        <f t="shared" si="63"/>
        <v>2</v>
      </c>
      <c r="V107" s="3157">
        <f t="shared" si="63"/>
        <v>5.3000000000000007</v>
      </c>
      <c r="W107" s="3157">
        <f t="shared" si="63"/>
        <v>1.5</v>
      </c>
      <c r="X107" s="3157">
        <f t="shared" si="63"/>
        <v>2.4499999999999997</v>
      </c>
      <c r="Y107" s="3157">
        <f t="shared" si="63"/>
        <v>0.96000000000000008</v>
      </c>
      <c r="Z107" s="3157">
        <f t="shared" si="63"/>
        <v>2.19</v>
      </c>
      <c r="AA107" s="3157" t="e">
        <f t="shared" si="63"/>
        <v>#VALUE!</v>
      </c>
      <c r="AB107" s="144"/>
      <c r="AC107" s="2867"/>
      <c r="AD107" s="2867"/>
      <c r="AE107" s="2867"/>
      <c r="AF107" s="2867"/>
      <c r="AG107" s="2867"/>
      <c r="AH107" s="2867"/>
      <c r="AI107" s="2825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3157">
        <f t="shared" si="63"/>
        <v>2</v>
      </c>
      <c r="V108" s="3157">
        <f t="shared" si="63"/>
        <v>5.3000000000000007</v>
      </c>
      <c r="W108" s="3157">
        <f t="shared" si="63"/>
        <v>1.5</v>
      </c>
      <c r="X108" s="3157">
        <f t="shared" si="63"/>
        <v>2.4499999999999997</v>
      </c>
      <c r="Y108" s="3157">
        <f t="shared" si="63"/>
        <v>0.96000000000000008</v>
      </c>
      <c r="Z108" s="3157">
        <f t="shared" si="63"/>
        <v>2.19</v>
      </c>
      <c r="AA108" s="3157" t="e">
        <f t="shared" si="63"/>
        <v>#VALUE!</v>
      </c>
      <c r="AB108" s="144"/>
      <c r="AC108" s="2867">
        <v>0</v>
      </c>
      <c r="AD108" s="2867">
        <v>0</v>
      </c>
      <c r="AE108" s="2867">
        <v>0</v>
      </c>
      <c r="AF108" s="2867">
        <v>0</v>
      </c>
      <c r="AG108" s="2867">
        <v>0</v>
      </c>
      <c r="AH108" s="2867">
        <v>0</v>
      </c>
      <c r="AI108" s="2825"/>
      <c r="AJ108" s="1"/>
      <c r="AK108" s="1"/>
      <c r="AL108" s="1"/>
      <c r="AM108" s="1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3157">
        <f t="shared" si="63"/>
        <v>2</v>
      </c>
      <c r="V109" s="3157">
        <f t="shared" si="63"/>
        <v>5.3000000000000007</v>
      </c>
      <c r="W109" s="3157">
        <f t="shared" si="63"/>
        <v>1.5</v>
      </c>
      <c r="X109" s="3157">
        <f t="shared" si="63"/>
        <v>2.4499999999999997</v>
      </c>
      <c r="Y109" s="3157">
        <f t="shared" si="63"/>
        <v>0.96000000000000008</v>
      </c>
      <c r="Z109" s="3157">
        <f t="shared" si="63"/>
        <v>2.19</v>
      </c>
      <c r="AA109" s="3157" t="e">
        <f t="shared" si="63"/>
        <v>#VALUE!</v>
      </c>
      <c r="AB109" s="144"/>
      <c r="AC109" s="2867">
        <v>0</v>
      </c>
      <c r="AD109" s="2867">
        <v>0</v>
      </c>
      <c r="AE109" s="2867">
        <v>0</v>
      </c>
      <c r="AF109" s="2867">
        <v>0</v>
      </c>
      <c r="AG109" s="2867">
        <v>0</v>
      </c>
      <c r="AH109" s="2867">
        <v>0</v>
      </c>
      <c r="AI109" s="2825"/>
      <c r="AJ109" s="1"/>
      <c r="AK109" s="1"/>
      <c r="AL109" s="1"/>
      <c r="AM109" s="1"/>
      <c r="AN109" s="1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3157">
        <f t="shared" si="63"/>
        <v>2</v>
      </c>
      <c r="V110" s="3157">
        <f t="shared" si="63"/>
        <v>5.3000000000000007</v>
      </c>
      <c r="W110" s="3157">
        <f t="shared" si="63"/>
        <v>1.5</v>
      </c>
      <c r="X110" s="3157">
        <f t="shared" si="63"/>
        <v>2.4499999999999997</v>
      </c>
      <c r="Y110" s="3157">
        <f t="shared" si="63"/>
        <v>0.96000000000000008</v>
      </c>
      <c r="Z110" s="3157">
        <f t="shared" si="63"/>
        <v>2.19</v>
      </c>
      <c r="AA110" s="3157" t="e">
        <f t="shared" si="63"/>
        <v>#VALUE!</v>
      </c>
      <c r="AB110" s="144"/>
      <c r="AC110" s="2867"/>
      <c r="AD110" s="2867"/>
      <c r="AE110" s="2867"/>
      <c r="AF110" s="2867"/>
      <c r="AG110" s="2867"/>
      <c r="AH110" s="2867"/>
      <c r="AI110" s="2825"/>
      <c r="AJ110" s="1"/>
      <c r="AK110" s="1"/>
      <c r="AL110" s="1"/>
      <c r="AM110" s="1"/>
      <c r="AN110" s="1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3157">
        <f t="shared" si="63"/>
        <v>2</v>
      </c>
      <c r="V111" s="3157">
        <f t="shared" si="63"/>
        <v>5.3000000000000007</v>
      </c>
      <c r="W111" s="3157">
        <f t="shared" si="63"/>
        <v>1.5</v>
      </c>
      <c r="X111" s="3157">
        <f t="shared" si="63"/>
        <v>2.4499999999999997</v>
      </c>
      <c r="Y111" s="3157">
        <f t="shared" si="63"/>
        <v>0.96000000000000008</v>
      </c>
      <c r="Z111" s="3157">
        <f t="shared" si="63"/>
        <v>2.19</v>
      </c>
      <c r="AA111" s="3157" t="e">
        <f t="shared" si="63"/>
        <v>#VALUE!</v>
      </c>
      <c r="AB111" s="144"/>
      <c r="AC111" s="2867"/>
      <c r="AD111" s="2867"/>
      <c r="AE111" s="2867"/>
      <c r="AF111" s="2867"/>
      <c r="AG111" s="2867"/>
      <c r="AH111" s="2867"/>
      <c r="AI111" s="2825"/>
      <c r="AJ111" s="1"/>
      <c r="AK111" s="1"/>
      <c r="AL111" s="1"/>
      <c r="AM111" s="1"/>
      <c r="AN111" s="1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3157">
        <f t="shared" si="63"/>
        <v>2</v>
      </c>
      <c r="V112" s="3157">
        <f t="shared" si="63"/>
        <v>5.3000000000000007</v>
      </c>
      <c r="W112" s="3157">
        <f t="shared" si="63"/>
        <v>1.5</v>
      </c>
      <c r="X112" s="3157">
        <f t="shared" si="63"/>
        <v>2.4499999999999997</v>
      </c>
      <c r="Y112" s="3157">
        <f t="shared" si="63"/>
        <v>0.96000000000000008</v>
      </c>
      <c r="Z112" s="3157">
        <f t="shared" si="63"/>
        <v>2.19</v>
      </c>
      <c r="AA112" s="3157" t="e">
        <f t="shared" si="63"/>
        <v>#VALUE!</v>
      </c>
      <c r="AB112" s="144"/>
      <c r="AC112" s="2867">
        <v>0</v>
      </c>
      <c r="AD112" s="2867">
        <v>0</v>
      </c>
      <c r="AE112" s="2867">
        <v>0</v>
      </c>
      <c r="AF112" s="2867">
        <v>0</v>
      </c>
      <c r="AG112" s="2867">
        <v>0</v>
      </c>
      <c r="AH112" s="2867">
        <v>0</v>
      </c>
      <c r="AI112" s="2825"/>
      <c r="AJ112" s="1"/>
      <c r="AK112" s="1"/>
      <c r="AL112" s="1"/>
      <c r="AM112" s="1"/>
      <c r="AN112" s="1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3157">
        <f t="shared" si="63"/>
        <v>2</v>
      </c>
      <c r="V113" s="3157">
        <f t="shared" si="63"/>
        <v>5.3000000000000007</v>
      </c>
      <c r="W113" s="3157">
        <f t="shared" si="63"/>
        <v>1.5</v>
      </c>
      <c r="X113" s="3157">
        <f t="shared" si="63"/>
        <v>2.4499999999999997</v>
      </c>
      <c r="Y113" s="3157">
        <f t="shared" si="63"/>
        <v>0.96000000000000008</v>
      </c>
      <c r="Z113" s="3157">
        <f t="shared" si="63"/>
        <v>2.19</v>
      </c>
      <c r="AA113" s="3157" t="e">
        <f t="shared" si="63"/>
        <v>#VALUE!</v>
      </c>
      <c r="AB113" s="144"/>
      <c r="AC113" s="2867">
        <v>0</v>
      </c>
      <c r="AD113" s="2867">
        <v>0</v>
      </c>
      <c r="AE113" s="2867">
        <v>0</v>
      </c>
      <c r="AF113" s="2867">
        <v>0</v>
      </c>
      <c r="AG113" s="2867">
        <v>0</v>
      </c>
      <c r="AH113" s="2867">
        <v>0</v>
      </c>
      <c r="AI113" s="2825"/>
      <c r="AJ113" s="1"/>
      <c r="AK113" s="1"/>
      <c r="AL113" s="1"/>
      <c r="AM113" s="1"/>
      <c r="AN113" s="1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3157">
        <f t="shared" si="63"/>
        <v>2</v>
      </c>
      <c r="V114" s="3157">
        <f t="shared" si="63"/>
        <v>5.3000000000000007</v>
      </c>
      <c r="W114" s="3157">
        <f t="shared" si="63"/>
        <v>1.5</v>
      </c>
      <c r="X114" s="3157">
        <f t="shared" si="63"/>
        <v>2.4499999999999997</v>
      </c>
      <c r="Y114" s="3157">
        <f t="shared" si="63"/>
        <v>0.96000000000000008</v>
      </c>
      <c r="Z114" s="3157">
        <f t="shared" si="63"/>
        <v>2.19</v>
      </c>
      <c r="AA114" s="3157" t="e">
        <f t="shared" si="63"/>
        <v>#VALUE!</v>
      </c>
      <c r="AB114" s="144"/>
      <c r="AC114" s="2867">
        <v>0</v>
      </c>
      <c r="AD114" s="2867">
        <v>0</v>
      </c>
      <c r="AE114" s="2867">
        <v>0</v>
      </c>
      <c r="AF114" s="2867">
        <v>0</v>
      </c>
      <c r="AG114" s="2867">
        <v>0</v>
      </c>
      <c r="AH114" s="2867">
        <v>0</v>
      </c>
      <c r="AI114" s="2825"/>
      <c r="AJ114" s="1"/>
      <c r="AK114" s="1"/>
      <c r="AL114" s="1"/>
      <c r="AM114" s="1"/>
      <c r="AN114" s="1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3157">
        <f t="shared" si="63"/>
        <v>2</v>
      </c>
      <c r="V115" s="3157">
        <f t="shared" si="63"/>
        <v>5.3000000000000007</v>
      </c>
      <c r="W115" s="3157">
        <f t="shared" si="63"/>
        <v>1.5</v>
      </c>
      <c r="X115" s="3157">
        <f t="shared" si="63"/>
        <v>2.4499999999999997</v>
      </c>
      <c r="Y115" s="3157">
        <f t="shared" si="63"/>
        <v>0.96000000000000008</v>
      </c>
      <c r="Z115" s="3157">
        <f t="shared" si="63"/>
        <v>2.19</v>
      </c>
      <c r="AA115" s="3157" t="e">
        <f t="shared" si="63"/>
        <v>#VALUE!</v>
      </c>
      <c r="AB115" s="144"/>
      <c r="AC115" s="2867"/>
      <c r="AD115" s="2867"/>
      <c r="AE115" s="2867"/>
      <c r="AF115" s="2867"/>
      <c r="AG115" s="2867"/>
      <c r="AH115" s="2867"/>
      <c r="AI115" s="2825"/>
      <c r="AJ115" s="1"/>
      <c r="AK115" s="1"/>
      <c r="AL115" s="1"/>
      <c r="AM115" s="1"/>
      <c r="AN115" s="1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3157">
        <f t="shared" si="63"/>
        <v>2</v>
      </c>
      <c r="V116" s="3157">
        <f t="shared" si="63"/>
        <v>5.3000000000000007</v>
      </c>
      <c r="W116" s="3157">
        <f t="shared" si="63"/>
        <v>1.5</v>
      </c>
      <c r="X116" s="3157">
        <f t="shared" si="63"/>
        <v>2.4499999999999997</v>
      </c>
      <c r="Y116" s="3157">
        <f t="shared" si="63"/>
        <v>0.96000000000000008</v>
      </c>
      <c r="Z116" s="3157">
        <f t="shared" si="63"/>
        <v>2.19</v>
      </c>
      <c r="AA116" s="3157" t="e">
        <f t="shared" si="63"/>
        <v>#VALUE!</v>
      </c>
      <c r="AB116" s="144"/>
      <c r="AC116" s="2867"/>
      <c r="AD116" s="2867"/>
      <c r="AE116" s="2867"/>
      <c r="AF116" s="2867"/>
      <c r="AG116" s="2867"/>
      <c r="AH116" s="2867"/>
      <c r="AI116" s="2825"/>
      <c r="AJ116" s="1"/>
      <c r="AK116" s="1"/>
      <c r="AL116" s="1"/>
      <c r="AM116" s="1"/>
      <c r="AN116" s="1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3157">
        <f t="shared" si="63"/>
        <v>2</v>
      </c>
      <c r="V117" s="3157">
        <f t="shared" si="63"/>
        <v>5.3000000000000007</v>
      </c>
      <c r="W117" s="3157">
        <f t="shared" si="63"/>
        <v>1.5</v>
      </c>
      <c r="X117" s="3157">
        <f t="shared" si="63"/>
        <v>2.4499999999999997</v>
      </c>
      <c r="Y117" s="3157">
        <f t="shared" si="63"/>
        <v>0.96000000000000008</v>
      </c>
      <c r="Z117" s="3157">
        <f t="shared" si="63"/>
        <v>2.19</v>
      </c>
      <c r="AA117" s="3157" t="e">
        <f t="shared" si="63"/>
        <v>#VALUE!</v>
      </c>
      <c r="AB117" s="144"/>
      <c r="AC117" s="2867">
        <v>0</v>
      </c>
      <c r="AD117" s="2867">
        <v>0</v>
      </c>
      <c r="AE117" s="2867">
        <v>0</v>
      </c>
      <c r="AF117" s="2867">
        <v>0</v>
      </c>
      <c r="AG117" s="2867">
        <v>0</v>
      </c>
      <c r="AH117" s="2867">
        <v>0</v>
      </c>
      <c r="AI117" s="2825"/>
      <c r="AJ117" s="1"/>
      <c r="AK117" s="1"/>
      <c r="AL117" s="1"/>
      <c r="AM117" s="1"/>
      <c r="AN117" s="1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3157">
        <f t="shared" si="63"/>
        <v>2</v>
      </c>
      <c r="V118" s="3157">
        <f t="shared" si="63"/>
        <v>5.3000000000000007</v>
      </c>
      <c r="W118" s="3157">
        <f t="shared" si="63"/>
        <v>1.5</v>
      </c>
      <c r="X118" s="3157">
        <f t="shared" si="63"/>
        <v>2.4499999999999997</v>
      </c>
      <c r="Y118" s="3157">
        <f t="shared" si="63"/>
        <v>0.96000000000000008</v>
      </c>
      <c r="Z118" s="3157">
        <f t="shared" si="63"/>
        <v>2.19</v>
      </c>
      <c r="AA118" s="3157" t="e">
        <f t="shared" si="63"/>
        <v>#VALUE!</v>
      </c>
      <c r="AB118" s="144"/>
      <c r="AC118" s="2867">
        <v>0</v>
      </c>
      <c r="AD118" s="2867">
        <v>0</v>
      </c>
      <c r="AE118" s="2867">
        <v>0</v>
      </c>
      <c r="AF118" s="2867">
        <v>0</v>
      </c>
      <c r="AG118" s="2867">
        <v>0</v>
      </c>
      <c r="AH118" s="2867">
        <v>0</v>
      </c>
      <c r="AI118" s="2825"/>
      <c r="AJ118" s="1"/>
      <c r="AK118" s="1"/>
      <c r="AL118" s="1"/>
      <c r="AM118" s="1"/>
      <c r="AN118" s="1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3157">
        <f t="shared" ref="U119:AA125" si="64">IF(U118&gt;0,U118,U117)</f>
        <v>2</v>
      </c>
      <c r="V119" s="3157">
        <f t="shared" si="64"/>
        <v>5.3000000000000007</v>
      </c>
      <c r="W119" s="3157">
        <f t="shared" si="64"/>
        <v>1.5</v>
      </c>
      <c r="X119" s="3157">
        <f t="shared" si="64"/>
        <v>2.4499999999999997</v>
      </c>
      <c r="Y119" s="3157">
        <f t="shared" si="64"/>
        <v>0.96000000000000008</v>
      </c>
      <c r="Z119" s="3157">
        <f t="shared" si="64"/>
        <v>2.19</v>
      </c>
      <c r="AA119" s="3157" t="e">
        <f t="shared" si="64"/>
        <v>#VALUE!</v>
      </c>
      <c r="AB119" s="144"/>
      <c r="AC119" s="2867">
        <v>0</v>
      </c>
      <c r="AD119" s="2867">
        <v>0</v>
      </c>
      <c r="AE119" s="2867">
        <v>0</v>
      </c>
      <c r="AF119" s="2867">
        <v>0</v>
      </c>
      <c r="AG119" s="2867">
        <v>0</v>
      </c>
      <c r="AH119" s="2867">
        <v>0</v>
      </c>
      <c r="AI119" s="2825"/>
      <c r="AJ119" s="1"/>
      <c r="AK119" s="1"/>
      <c r="AL119" s="1"/>
      <c r="AM119" s="1"/>
      <c r="AN119" s="1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3157">
        <f t="shared" si="64"/>
        <v>2</v>
      </c>
      <c r="V120" s="3157">
        <f t="shared" si="64"/>
        <v>5.3000000000000007</v>
      </c>
      <c r="W120" s="3157">
        <f t="shared" si="64"/>
        <v>1.5</v>
      </c>
      <c r="X120" s="3157">
        <f t="shared" si="64"/>
        <v>2.4499999999999997</v>
      </c>
      <c r="Y120" s="3157">
        <f t="shared" si="64"/>
        <v>0.96000000000000008</v>
      </c>
      <c r="Z120" s="3157">
        <f t="shared" si="64"/>
        <v>2.19</v>
      </c>
      <c r="AA120" s="3157" t="e">
        <f t="shared" si="64"/>
        <v>#VALUE!</v>
      </c>
      <c r="AB120" s="144"/>
      <c r="AC120" s="2867"/>
      <c r="AD120" s="2867"/>
      <c r="AE120" s="2867"/>
      <c r="AF120" s="2867"/>
      <c r="AG120" s="2867"/>
      <c r="AH120" s="2867"/>
      <c r="AI120" s="2825"/>
      <c r="AJ120" s="1"/>
      <c r="AK120" s="1"/>
      <c r="AL120" s="1"/>
      <c r="AM120" s="1"/>
      <c r="AN120" s="1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3157">
        <f t="shared" si="64"/>
        <v>2</v>
      </c>
      <c r="V121" s="3157">
        <f t="shared" si="64"/>
        <v>5.3000000000000007</v>
      </c>
      <c r="W121" s="3157">
        <f t="shared" si="64"/>
        <v>1.5</v>
      </c>
      <c r="X121" s="3157">
        <f t="shared" si="64"/>
        <v>2.4499999999999997</v>
      </c>
      <c r="Y121" s="3157">
        <f t="shared" si="64"/>
        <v>0.96000000000000008</v>
      </c>
      <c r="Z121" s="3157">
        <f t="shared" si="64"/>
        <v>2.19</v>
      </c>
      <c r="AA121" s="3157" t="e">
        <f t="shared" si="64"/>
        <v>#VALUE!</v>
      </c>
      <c r="AB121" s="144"/>
      <c r="AC121" s="2867"/>
      <c r="AD121" s="2867"/>
      <c r="AE121" s="2867"/>
      <c r="AF121" s="2867"/>
      <c r="AG121" s="2867"/>
      <c r="AH121" s="2867"/>
      <c r="AI121" s="2825"/>
      <c r="AJ121" s="1"/>
      <c r="AK121" s="1"/>
      <c r="AL121" s="1"/>
      <c r="AM121" s="1"/>
      <c r="AN121" s="1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3157">
        <f t="shared" si="64"/>
        <v>2</v>
      </c>
      <c r="V122" s="3157">
        <f t="shared" si="64"/>
        <v>5.3000000000000007</v>
      </c>
      <c r="W122" s="3157">
        <f t="shared" si="64"/>
        <v>1.5</v>
      </c>
      <c r="X122" s="3157">
        <f t="shared" si="64"/>
        <v>2.4499999999999997</v>
      </c>
      <c r="Y122" s="3157">
        <f t="shared" si="64"/>
        <v>0.96000000000000008</v>
      </c>
      <c r="Z122" s="3157">
        <f t="shared" si="64"/>
        <v>2.19</v>
      </c>
      <c r="AA122" s="3157" t="e">
        <f t="shared" si="64"/>
        <v>#VALUE!</v>
      </c>
      <c r="AB122" s="144"/>
      <c r="AC122" s="2867">
        <v>0</v>
      </c>
      <c r="AD122" s="2867">
        <v>0</v>
      </c>
      <c r="AE122" s="2867">
        <v>0</v>
      </c>
      <c r="AF122" s="2867">
        <v>0</v>
      </c>
      <c r="AG122" s="2867">
        <v>0</v>
      </c>
      <c r="AH122" s="2867">
        <v>0</v>
      </c>
      <c r="AI122" s="2825"/>
      <c r="AJ122" s="1"/>
      <c r="AK122" s="1"/>
      <c r="AL122" s="1"/>
      <c r="AM122" s="1"/>
      <c r="AN122" s="1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3157">
        <f t="shared" si="64"/>
        <v>2</v>
      </c>
      <c r="V123" s="3157">
        <f t="shared" si="64"/>
        <v>5.3000000000000007</v>
      </c>
      <c r="W123" s="3157">
        <f t="shared" si="64"/>
        <v>1.5</v>
      </c>
      <c r="X123" s="3157">
        <f t="shared" si="64"/>
        <v>2.4499999999999997</v>
      </c>
      <c r="Y123" s="3157">
        <f t="shared" si="64"/>
        <v>0.96000000000000008</v>
      </c>
      <c r="Z123" s="3157">
        <f t="shared" si="64"/>
        <v>2.19</v>
      </c>
      <c r="AA123" s="3157" t="e">
        <f t="shared" si="64"/>
        <v>#VALUE!</v>
      </c>
      <c r="AB123" s="144"/>
      <c r="AC123" s="2867">
        <v>0</v>
      </c>
      <c r="AD123" s="2867">
        <v>0</v>
      </c>
      <c r="AE123" s="2867">
        <v>0</v>
      </c>
      <c r="AF123" s="2867">
        <v>0</v>
      </c>
      <c r="AG123" s="2867">
        <v>0</v>
      </c>
      <c r="AH123" s="2867">
        <v>0</v>
      </c>
      <c r="AI123" s="2825"/>
      <c r="AJ123" s="1"/>
      <c r="AK123" s="1"/>
      <c r="AL123" s="1"/>
      <c r="AM123" s="1"/>
      <c r="AN123" s="1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3157">
        <f t="shared" si="64"/>
        <v>2</v>
      </c>
      <c r="V124" s="3157">
        <f t="shared" si="64"/>
        <v>5.3000000000000007</v>
      </c>
      <c r="W124" s="3157">
        <f t="shared" si="64"/>
        <v>1.5</v>
      </c>
      <c r="X124" s="3157">
        <f t="shared" si="64"/>
        <v>2.4499999999999997</v>
      </c>
      <c r="Y124" s="3157">
        <f t="shared" si="64"/>
        <v>0.96000000000000008</v>
      </c>
      <c r="Z124" s="3157">
        <f t="shared" si="64"/>
        <v>2.19</v>
      </c>
      <c r="AA124" s="3157" t="e">
        <f t="shared" si="64"/>
        <v>#VALUE!</v>
      </c>
      <c r="AB124" s="144"/>
      <c r="AC124" s="2867">
        <v>0</v>
      </c>
      <c r="AD124" s="2867">
        <v>0</v>
      </c>
      <c r="AE124" s="2867">
        <v>0</v>
      </c>
      <c r="AF124" s="2867">
        <v>0</v>
      </c>
      <c r="AG124" s="2867">
        <v>0</v>
      </c>
      <c r="AH124" s="2867">
        <v>0</v>
      </c>
      <c r="AI124" s="2825"/>
      <c r="AJ124" s="1"/>
      <c r="AK124" s="1"/>
      <c r="AL124" s="1"/>
      <c r="AM124" s="1"/>
      <c r="AN124" s="1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3158">
        <f>IF(U124&gt;0,U124,U123)</f>
        <v>2</v>
      </c>
      <c r="V125" s="3158">
        <f t="shared" si="64"/>
        <v>5.3000000000000007</v>
      </c>
      <c r="W125" s="3158">
        <f t="shared" si="64"/>
        <v>1.5</v>
      </c>
      <c r="X125" s="3158">
        <f t="shared" si="64"/>
        <v>2.4499999999999997</v>
      </c>
      <c r="Y125" s="3158">
        <f t="shared" si="64"/>
        <v>0.96000000000000008</v>
      </c>
      <c r="Z125" s="3158">
        <f t="shared" si="64"/>
        <v>2.19</v>
      </c>
      <c r="AA125" s="3158" t="e">
        <f t="shared" si="64"/>
        <v>#VALUE!</v>
      </c>
      <c r="AB125" s="144"/>
      <c r="AC125" s="2867"/>
      <c r="AD125" s="2867"/>
      <c r="AE125" s="2867"/>
      <c r="AF125" s="2867"/>
      <c r="AG125" s="2867"/>
      <c r="AH125" s="2867"/>
      <c r="AI125" s="2825"/>
      <c r="AJ125" s="1"/>
      <c r="AK125" s="1"/>
      <c r="AL125" s="1"/>
      <c r="AM125" s="1"/>
      <c r="AN125" s="1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2838"/>
      <c r="V126" s="2838"/>
      <c r="W126" s="2838"/>
      <c r="X126" s="2838"/>
      <c r="Y126" s="2838"/>
      <c r="Z126" s="2838"/>
      <c r="AA126" s="2838"/>
      <c r="AB126" s="144"/>
      <c r="AC126" s="2867"/>
      <c r="AD126" s="2867"/>
      <c r="AE126" s="2867"/>
      <c r="AF126" s="2867"/>
      <c r="AG126" s="2867"/>
      <c r="AH126" s="2867"/>
      <c r="AI126" s="2825"/>
      <c r="AJ126" s="1"/>
      <c r="AK126" s="1"/>
      <c r="AL126" s="1"/>
      <c r="AM126" s="1"/>
      <c r="AN126" s="1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2838"/>
      <c r="V127" s="2838"/>
      <c r="W127" s="2838"/>
      <c r="X127" s="2838"/>
      <c r="Y127" s="2838"/>
      <c r="Z127" s="2838"/>
      <c r="AA127" s="2838"/>
      <c r="AB127" s="144"/>
      <c r="AC127" s="2867">
        <v>0</v>
      </c>
      <c r="AD127" s="2867">
        <v>0</v>
      </c>
      <c r="AE127" s="2867">
        <v>0</v>
      </c>
      <c r="AF127" s="2867">
        <v>0</v>
      </c>
      <c r="AG127" s="2867">
        <v>0</v>
      </c>
      <c r="AH127" s="2867">
        <v>0</v>
      </c>
      <c r="AI127" s="2825"/>
      <c r="AN127" s="1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2838"/>
      <c r="V128" s="2838"/>
      <c r="W128" s="2838"/>
      <c r="X128" s="2838"/>
      <c r="Y128" s="2838"/>
      <c r="Z128" s="2838"/>
      <c r="AA128" s="2838"/>
      <c r="AB128" s="144"/>
      <c r="AC128" s="2867"/>
      <c r="AD128" s="2867"/>
      <c r="AE128" s="2867"/>
      <c r="AF128" s="2867"/>
      <c r="AG128" s="2867"/>
      <c r="AH128" s="2867"/>
      <c r="AN128" s="1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2838"/>
      <c r="V129" s="2838"/>
      <c r="W129" s="2838"/>
      <c r="X129" s="2838"/>
      <c r="Y129" s="2838"/>
      <c r="Z129" s="2838"/>
      <c r="AA129" s="2838"/>
      <c r="AB129" s="144"/>
      <c r="AN129" s="1"/>
    </row>
    <row r="130" spans="1:40" ht="15" customHeight="1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2838"/>
      <c r="V130" s="2838"/>
      <c r="W130" s="2838"/>
      <c r="X130" s="2838"/>
      <c r="Y130" s="2838"/>
      <c r="Z130" s="2838"/>
      <c r="AA130" s="2838"/>
      <c r="AB130" s="144"/>
      <c r="AN130" s="1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2838"/>
      <c r="V131" s="2838"/>
      <c r="W131" s="2838"/>
      <c r="X131" s="2838"/>
      <c r="Y131" s="2838"/>
      <c r="Z131" s="2838"/>
      <c r="AA131" s="2838"/>
      <c r="AB131" s="144"/>
      <c r="AN131" s="1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2838"/>
      <c r="V132" s="2838"/>
      <c r="W132" s="2838"/>
      <c r="X132" s="2838"/>
      <c r="Y132" s="2838"/>
      <c r="Z132" s="2838"/>
      <c r="AA132" s="2838"/>
      <c r="AB132" s="144"/>
      <c r="AN132" s="1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2838"/>
      <c r="V133" s="2838"/>
      <c r="W133" s="2838"/>
      <c r="X133" s="2838"/>
      <c r="Y133" s="2838"/>
      <c r="Z133" s="2838"/>
      <c r="AA133" s="2838"/>
      <c r="AB133" s="144"/>
      <c r="AN133" s="1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2838"/>
      <c r="V134" s="2838"/>
      <c r="W134" s="2838"/>
      <c r="X134" s="2838"/>
      <c r="Y134" s="2838"/>
      <c r="Z134" s="2838"/>
      <c r="AA134" s="2838"/>
      <c r="AB134" s="144"/>
      <c r="AN134" s="1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2838"/>
      <c r="V135" s="2838"/>
      <c r="W135" s="2838"/>
      <c r="X135" s="2838"/>
      <c r="Y135" s="2838"/>
      <c r="Z135" s="2838"/>
      <c r="AA135" s="2838"/>
      <c r="AB135" s="144"/>
      <c r="AN135" s="1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2838"/>
      <c r="V136" s="2838"/>
      <c r="W136" s="2838"/>
      <c r="X136" s="2838"/>
      <c r="Y136" s="2838"/>
      <c r="Z136" s="2838"/>
      <c r="AA136" s="2838"/>
      <c r="AB136" s="144"/>
      <c r="AN136" s="1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2838"/>
      <c r="V137" s="2838"/>
      <c r="W137" s="2838"/>
      <c r="X137" s="2838"/>
      <c r="Y137" s="2838"/>
      <c r="Z137" s="2838"/>
      <c r="AA137" s="2838"/>
      <c r="AB137" s="144"/>
      <c r="AN137" s="1"/>
    </row>
    <row r="138" spans="1:40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2838"/>
      <c r="V138" s="2838"/>
      <c r="W138" s="2838"/>
      <c r="X138" s="2838"/>
      <c r="Y138" s="2838"/>
      <c r="Z138" s="2838"/>
      <c r="AA138" s="2838"/>
      <c r="AB138" s="144"/>
      <c r="AN138" s="1"/>
    </row>
    <row r="139" spans="1:40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2838"/>
      <c r="V139" s="2838"/>
      <c r="W139" s="2838"/>
      <c r="X139" s="2838"/>
      <c r="Y139" s="2838"/>
      <c r="Z139" s="2838"/>
      <c r="AA139" s="2838"/>
      <c r="AB139" s="144"/>
      <c r="AN139" s="1"/>
    </row>
    <row r="140" spans="1:40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2838"/>
      <c r="V140" s="2838"/>
      <c r="W140" s="2838"/>
      <c r="X140" s="2838"/>
      <c r="Y140" s="2838"/>
      <c r="Z140" s="2838"/>
      <c r="AA140" s="2838"/>
      <c r="AB140" s="144"/>
      <c r="AC140" s="2825"/>
      <c r="AD140" s="2825"/>
      <c r="AE140" s="2825"/>
      <c r="AF140" s="2825"/>
      <c r="AG140" s="2825"/>
      <c r="AH140" s="2825"/>
      <c r="AI140" s="2825"/>
      <c r="AJ140" s="2825"/>
      <c r="AK140" s="2825"/>
      <c r="AL140" s="2825"/>
      <c r="AM140" s="2825"/>
      <c r="AN140" s="1"/>
    </row>
    <row r="141" spans="1:40" s="3021" customFormat="1" ht="11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2838"/>
      <c r="V141" s="2838"/>
      <c r="W141" s="2838"/>
      <c r="X141" s="2838"/>
      <c r="Y141" s="2838"/>
      <c r="Z141" s="2838"/>
      <c r="AA141" s="2838"/>
      <c r="AB141" s="144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1:40" s="3021" customFormat="1" ht="11">
      <c r="A142" s="144"/>
      <c r="B142" s="144"/>
      <c r="C142" s="144"/>
      <c r="D142" s="906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2838"/>
      <c r="V142" s="2838"/>
      <c r="W142" s="2838"/>
      <c r="X142" s="2838"/>
      <c r="Y142" s="2838"/>
      <c r="Z142" s="2838"/>
      <c r="AA142" s="2838"/>
      <c r="AB142" s="144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1:40" s="3021" customFormat="1" ht="11">
      <c r="A143" s="144"/>
      <c r="B143" s="144"/>
      <c r="C143" s="144"/>
      <c r="D143" s="906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2838"/>
      <c r="V143" s="2838"/>
      <c r="W143" s="2838"/>
      <c r="X143" s="2838"/>
      <c r="Y143" s="2838"/>
      <c r="Z143" s="2838"/>
      <c r="AA143" s="2838"/>
      <c r="AB143" s="144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1:40" s="3021" customFormat="1" ht="11">
      <c r="A144" s="144"/>
      <c r="B144" s="144"/>
      <c r="C144" s="144"/>
      <c r="D144" s="906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2838"/>
      <c r="V144" s="2838"/>
      <c r="W144" s="2838"/>
      <c r="X144" s="2838"/>
      <c r="Y144" s="2838"/>
      <c r="Z144" s="2838"/>
      <c r="AA144" s="2838"/>
      <c r="AB144" s="144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39" s="3021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2838"/>
      <c r="V145" s="2838"/>
      <c r="W145" s="2838"/>
      <c r="X145" s="2838"/>
      <c r="Y145" s="2838"/>
      <c r="Z145" s="2838"/>
      <c r="AA145" s="2838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39" s="3021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2838"/>
      <c r="V146" s="2838"/>
      <c r="W146" s="2838"/>
      <c r="X146" s="2838"/>
      <c r="Y146" s="2838"/>
      <c r="Z146" s="2838"/>
      <c r="AA146" s="2838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39" s="3021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2838"/>
      <c r="V147" s="2838"/>
      <c r="W147" s="2838"/>
      <c r="X147" s="2838"/>
      <c r="Y147" s="2838"/>
      <c r="Z147" s="2838"/>
      <c r="AA147" s="2838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39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2838"/>
      <c r="V148" s="2838"/>
      <c r="W148" s="2838"/>
      <c r="X148" s="2838"/>
      <c r="Y148" s="2838"/>
      <c r="Z148" s="2838"/>
      <c r="AA148" s="2838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39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39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39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39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39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39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39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39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39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39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39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39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B170" s="3021">
        <f>SUBTOTAL(9,AB128:AB169)</f>
        <v>0</v>
      </c>
      <c r="AC170" s="2826">
        <f>SUBTOTAL(9,AC128:AC169)</f>
        <v>0</v>
      </c>
      <c r="AD170" s="2826">
        <f>SUBTOTAL(9,AD128:AD169)</f>
        <v>0</v>
      </c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B171" s="3021">
        <v>0</v>
      </c>
      <c r="AC171" s="2826">
        <v>0</v>
      </c>
      <c r="AD171" s="2826">
        <v>0</v>
      </c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B172" s="3021">
        <v>0</v>
      </c>
      <c r="AC172" s="2826">
        <v>0</v>
      </c>
      <c r="AD172" s="2826">
        <v>0</v>
      </c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3021">
        <v>0</v>
      </c>
      <c r="AC173" s="2826">
        <v>0</v>
      </c>
      <c r="AD173" s="2826">
        <v>0</v>
      </c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3021">
        <v>0</v>
      </c>
      <c r="AC174" s="2826">
        <v>0</v>
      </c>
      <c r="AD174" s="2826">
        <v>0</v>
      </c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3021">
        <v>0</v>
      </c>
      <c r="AC175" s="2826">
        <v>0</v>
      </c>
      <c r="AD175" s="2826">
        <v>0</v>
      </c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B176" s="3021">
        <v>0</v>
      </c>
      <c r="AC176" s="2826">
        <v>0</v>
      </c>
      <c r="AD176" s="2826">
        <v>0</v>
      </c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B177" s="3021">
        <v>0</v>
      </c>
      <c r="AC177" s="2826">
        <v>0</v>
      </c>
      <c r="AD177" s="2826">
        <v>0</v>
      </c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B178" s="3021">
        <v>0</v>
      </c>
      <c r="AC178" s="2826">
        <v>0</v>
      </c>
      <c r="AD178" s="2826">
        <v>0</v>
      </c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41" s="3021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B179" s="3021">
        <v>0</v>
      </c>
      <c r="AC179" s="2826">
        <v>0</v>
      </c>
      <c r="AD179" s="2826">
        <v>0</v>
      </c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41" s="3021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B180" s="3021">
        <v>0</v>
      </c>
      <c r="AC180" s="2826">
        <v>0</v>
      </c>
      <c r="AD180" s="2826">
        <v>0</v>
      </c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41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>
        <f>SUBTOTAL(9,U139:U180)</f>
        <v>0</v>
      </c>
      <c r="V181" s="146">
        <f t="shared" ref="V181:AA181" si="65">SUBTOTAL(9,V139:V180)</f>
        <v>0</v>
      </c>
      <c r="W181" s="146">
        <f t="shared" si="65"/>
        <v>0</v>
      </c>
      <c r="X181" s="146">
        <f t="shared" si="65"/>
        <v>0</v>
      </c>
      <c r="Y181" s="146">
        <f t="shared" si="65"/>
        <v>0</v>
      </c>
      <c r="Z181" s="146">
        <f t="shared" si="65"/>
        <v>0</v>
      </c>
      <c r="AA181" s="146">
        <f t="shared" si="65"/>
        <v>0</v>
      </c>
      <c r="AB181" s="3021">
        <v>0</v>
      </c>
      <c r="AC181" s="2826">
        <v>0</v>
      </c>
      <c r="AD181" s="2826">
        <v>0</v>
      </c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41" s="2825" customFormat="1" ht="14" thickBot="1">
      <c r="B182" s="139"/>
      <c r="C182" s="138"/>
      <c r="D182" s="908"/>
      <c r="E182" s="138"/>
      <c r="F182" s="140"/>
      <c r="G182" s="141"/>
      <c r="H182" s="141"/>
      <c r="I182" s="141"/>
      <c r="J182" s="141"/>
      <c r="K182" s="141"/>
      <c r="L182" s="141"/>
      <c r="M182" s="458"/>
      <c r="N182" s="140"/>
      <c r="O182" s="141"/>
      <c r="P182" s="141"/>
      <c r="Q182" s="148"/>
      <c r="R182" s="148"/>
      <c r="S182" s="149"/>
      <c r="T182" s="149"/>
      <c r="U182" s="150"/>
      <c r="V182" s="150"/>
      <c r="W182" s="150"/>
      <c r="X182" s="150"/>
      <c r="Y182" s="150"/>
      <c r="Z182" s="150"/>
      <c r="AA182" s="150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2825" customFormat="1" ht="15" thickTop="1" thickBot="1">
      <c r="B183" s="139"/>
      <c r="C183" s="138"/>
      <c r="D183" s="908"/>
      <c r="E183" s="138"/>
      <c r="F183" s="140"/>
      <c r="G183" s="141"/>
      <c r="H183" s="141"/>
      <c r="I183" s="141"/>
      <c r="J183" s="141"/>
      <c r="K183" s="141"/>
      <c r="L183" s="141"/>
      <c r="M183" s="458"/>
      <c r="N183" s="140"/>
      <c r="O183" s="141"/>
      <c r="P183" s="141"/>
      <c r="Q183" s="148"/>
      <c r="R183" s="148"/>
      <c r="S183" s="148"/>
      <c r="T183" s="149"/>
      <c r="U183" s="151"/>
      <c r="V183" s="152"/>
      <c r="W183" s="153"/>
      <c r="X183" s="153"/>
      <c r="Y183" s="153"/>
      <c r="Z183" s="153"/>
      <c r="AA183" s="154"/>
      <c r="AB183" s="3022"/>
      <c r="AC183" s="3022"/>
      <c r="AE183" s="2826"/>
      <c r="AF183" s="2826"/>
      <c r="AG183" s="2826"/>
      <c r="AH183" s="2826"/>
      <c r="AI183" s="2826"/>
      <c r="AJ183" s="2826"/>
      <c r="AK183" s="2826"/>
      <c r="AL183" s="2826"/>
      <c r="AM183" s="2826"/>
      <c r="AN183" s="2826"/>
      <c r="AO183" s="2826"/>
    </row>
    <row r="184" spans="2:41" s="3021" customFormat="1" ht="12" thickTop="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41" s="3021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41" s="3021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41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41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3021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3021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3021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3021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3021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3021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3021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3021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3021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39" s="3021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39" s="3021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39" s="3021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39" s="3021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39" s="3021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39" s="3021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39" s="3021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39" s="3021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39" s="3021" customFormat="1" ht="11">
      <c r="B217" s="144"/>
      <c r="C217" s="143"/>
      <c r="D217" s="907"/>
      <c r="E217" s="143"/>
      <c r="F217" s="145"/>
      <c r="G217" s="146"/>
      <c r="H217" s="146"/>
      <c r="I217" s="146"/>
      <c r="J217" s="146"/>
      <c r="K217" s="146"/>
      <c r="L217" s="146"/>
      <c r="M217" s="458"/>
      <c r="N217" s="145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39" s="3021" customFormat="1" ht="11">
      <c r="B218" s="144"/>
      <c r="C218" s="143"/>
      <c r="D218" s="907"/>
      <c r="E218" s="143"/>
      <c r="F218" s="145"/>
      <c r="G218" s="146"/>
      <c r="H218" s="146"/>
      <c r="I218" s="146"/>
      <c r="J218" s="146"/>
      <c r="K218" s="146"/>
      <c r="L218" s="146"/>
      <c r="M218" s="458"/>
      <c r="N218" s="145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39" s="3021" customFormat="1" ht="11">
      <c r="B219" s="144"/>
      <c r="C219" s="143"/>
      <c r="D219" s="907"/>
      <c r="E219" s="143"/>
      <c r="F219" s="145"/>
      <c r="G219" s="146"/>
      <c r="H219" s="146"/>
      <c r="I219" s="146"/>
      <c r="J219" s="146"/>
      <c r="K219" s="146"/>
      <c r="L219" s="146"/>
      <c r="M219" s="458"/>
      <c r="N219" s="145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39" s="3021" customFormat="1" ht="11">
      <c r="B220" s="3159"/>
      <c r="D220" s="3160"/>
      <c r="F220" s="3023"/>
      <c r="G220" s="3024"/>
      <c r="H220" s="3024"/>
      <c r="I220" s="3024"/>
      <c r="J220" s="3024"/>
      <c r="K220" s="3024"/>
      <c r="L220" s="3024"/>
      <c r="M220" s="3025"/>
      <c r="N220" s="3023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39" s="3021" customFormat="1" ht="11">
      <c r="B221" s="3159"/>
      <c r="D221" s="3160"/>
      <c r="F221" s="3023"/>
      <c r="G221" s="3024"/>
      <c r="H221" s="3024"/>
      <c r="I221" s="3024"/>
      <c r="J221" s="3024"/>
      <c r="K221" s="3024"/>
      <c r="L221" s="3024"/>
      <c r="M221" s="3025"/>
      <c r="N221" s="3023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39" s="3021" customFormat="1" ht="11">
      <c r="B222" s="3159"/>
      <c r="D222" s="3160"/>
      <c r="F222" s="3023"/>
      <c r="G222" s="3024"/>
      <c r="H222" s="3024"/>
      <c r="I222" s="3024"/>
      <c r="J222" s="3024"/>
      <c r="K222" s="3024"/>
      <c r="L222" s="3024"/>
      <c r="M222" s="3025"/>
      <c r="N222" s="3023"/>
      <c r="O222" s="146"/>
      <c r="P222" s="146"/>
      <c r="Q222" s="147"/>
      <c r="R222" s="147"/>
      <c r="S222" s="142"/>
      <c r="T222" s="142"/>
      <c r="U222" s="146"/>
      <c r="V222" s="146"/>
      <c r="W222" s="146"/>
      <c r="X222" s="146"/>
      <c r="Y222" s="146"/>
      <c r="Z222" s="146"/>
      <c r="AA222" s="146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39" s="3021" customFormat="1" ht="11">
      <c r="B223" s="3159"/>
      <c r="D223" s="3160"/>
      <c r="F223" s="3023"/>
      <c r="G223" s="3024"/>
      <c r="H223" s="3024"/>
      <c r="I223" s="3024"/>
      <c r="J223" s="3024"/>
      <c r="K223" s="3024"/>
      <c r="L223" s="3024"/>
      <c r="M223" s="3025"/>
      <c r="N223" s="3023"/>
      <c r="O223" s="146"/>
      <c r="P223" s="146"/>
      <c r="Q223" s="147"/>
      <c r="R223" s="147"/>
      <c r="S223" s="142"/>
      <c r="T223" s="142"/>
      <c r="U223" s="146"/>
      <c r="V223" s="146"/>
      <c r="W223" s="146"/>
      <c r="X223" s="146"/>
      <c r="Y223" s="146"/>
      <c r="Z223" s="146"/>
      <c r="AA223" s="146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39" s="3021" customFormat="1" ht="11">
      <c r="B224" s="3159"/>
      <c r="D224" s="3160"/>
      <c r="F224" s="3023"/>
      <c r="G224" s="3024"/>
      <c r="H224" s="3024"/>
      <c r="I224" s="3024"/>
      <c r="J224" s="3024"/>
      <c r="K224" s="3024"/>
      <c r="L224" s="3024"/>
      <c r="M224" s="3025"/>
      <c r="N224" s="3023"/>
      <c r="O224" s="146"/>
      <c r="P224" s="146"/>
      <c r="Q224" s="147"/>
      <c r="R224" s="147"/>
      <c r="S224" s="142"/>
      <c r="T224" s="142"/>
      <c r="U224" s="146">
        <f>SUBTOTAL(9,U182:U223)</f>
        <v>0</v>
      </c>
      <c r="V224" s="146">
        <f t="shared" ref="V224:AA224" si="66">SUBTOTAL(9,V182:V223)</f>
        <v>0</v>
      </c>
      <c r="W224" s="146">
        <f t="shared" si="66"/>
        <v>0</v>
      </c>
      <c r="X224" s="146">
        <f t="shared" si="66"/>
        <v>0</v>
      </c>
      <c r="Y224" s="146">
        <f t="shared" si="66"/>
        <v>0</v>
      </c>
      <c r="Z224" s="146">
        <f t="shared" si="66"/>
        <v>0</v>
      </c>
      <c r="AA224" s="146">
        <f t="shared" si="66"/>
        <v>0</v>
      </c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2:41" s="2825" customFormat="1" ht="14" thickBot="1">
      <c r="B225" s="2935"/>
      <c r="D225" s="3161"/>
      <c r="F225" s="3026"/>
      <c r="G225" s="3027"/>
      <c r="H225" s="3027"/>
      <c r="I225" s="3027"/>
      <c r="J225" s="3027"/>
      <c r="K225" s="3027"/>
      <c r="L225" s="3027"/>
      <c r="M225" s="3025"/>
      <c r="N225" s="3026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41" s="2825" customFormat="1" ht="15" thickTop="1" thickBot="1">
      <c r="B226" s="2935"/>
      <c r="D226" s="3161"/>
      <c r="F226" s="3026"/>
      <c r="G226" s="3027"/>
      <c r="H226" s="3027"/>
      <c r="I226" s="3027"/>
      <c r="J226" s="3027"/>
      <c r="K226" s="3027"/>
      <c r="L226" s="3027"/>
      <c r="M226" s="3025"/>
      <c r="N226" s="3026"/>
      <c r="O226" s="141"/>
      <c r="P226" s="141"/>
      <c r="Q226" s="148"/>
      <c r="R226" s="148"/>
      <c r="S226" s="148"/>
      <c r="T226" s="148"/>
      <c r="U226" s="151">
        <f>SUBTOTAL(9,U184:U225)</f>
        <v>0</v>
      </c>
      <c r="V226" s="152">
        <f t="shared" ref="V226:AA226" si="67">SUBTOTAL(9,V184:V225)</f>
        <v>0</v>
      </c>
      <c r="W226" s="153">
        <f t="shared" si="67"/>
        <v>0</v>
      </c>
      <c r="X226" s="153">
        <f t="shared" si="67"/>
        <v>0</v>
      </c>
      <c r="Y226" s="153">
        <f t="shared" si="67"/>
        <v>0</v>
      </c>
      <c r="Z226" s="153">
        <f t="shared" si="67"/>
        <v>0</v>
      </c>
      <c r="AA226" s="154">
        <f t="shared" si="67"/>
        <v>0</v>
      </c>
      <c r="AB226" s="3022"/>
      <c r="AC226" s="3022"/>
      <c r="AE226" s="2826"/>
      <c r="AF226" s="2826"/>
      <c r="AG226" s="2826"/>
      <c r="AH226" s="2826"/>
      <c r="AI226" s="2826"/>
      <c r="AJ226" s="2826"/>
      <c r="AK226" s="2826"/>
      <c r="AL226" s="2826"/>
      <c r="AM226" s="2826"/>
      <c r="AN226" s="2826"/>
      <c r="AO226" s="2826"/>
    </row>
    <row r="227" spans="2:41" s="2825" customFormat="1" ht="14" thickTop="1">
      <c r="B227" s="2935"/>
      <c r="D227" s="3161"/>
      <c r="F227" s="3026"/>
      <c r="G227" s="3027"/>
      <c r="H227" s="3027"/>
      <c r="I227" s="3027"/>
      <c r="J227" s="3027"/>
      <c r="K227" s="3027"/>
      <c r="L227" s="3027"/>
      <c r="M227" s="3025"/>
      <c r="N227" s="3026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2:41" s="2825" customFormat="1">
      <c r="B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41" s="2825" customFormat="1">
      <c r="B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026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2:41" s="2825" customFormat="1">
      <c r="B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41" s="2825" customFormat="1">
      <c r="B231" s="2935"/>
      <c r="D231" s="3161"/>
      <c r="F231" s="3026"/>
      <c r="G231" s="3027"/>
      <c r="H231" s="3027"/>
      <c r="I231" s="3027"/>
      <c r="J231" s="3027"/>
      <c r="K231" s="3027"/>
      <c r="L231" s="3027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41" s="2825" customFormat="1">
      <c r="B232" s="2935"/>
      <c r="D232" s="3161"/>
      <c r="F232" s="3026"/>
      <c r="G232" s="3027"/>
      <c r="H232" s="3027"/>
      <c r="I232" s="3027"/>
      <c r="J232" s="3027"/>
      <c r="K232" s="3027"/>
      <c r="L232" s="3027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41" s="2825" customFormat="1">
      <c r="B233" s="2935"/>
      <c r="D233" s="3161"/>
      <c r="F233" s="3026"/>
      <c r="G233" s="3027"/>
      <c r="H233" s="3027"/>
      <c r="I233" s="3027"/>
      <c r="J233" s="3027"/>
      <c r="K233" s="3027"/>
      <c r="L233" s="3027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41" s="2825" customFormat="1">
      <c r="B234" s="2935"/>
      <c r="D234" s="3161"/>
      <c r="F234" s="3026"/>
      <c r="G234" s="3027"/>
      <c r="H234" s="3027"/>
      <c r="I234" s="3027"/>
      <c r="J234" s="3027"/>
      <c r="K234" s="3027"/>
      <c r="L234" s="3027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41" s="2825" customFormat="1">
      <c r="B235" s="2935"/>
      <c r="D235" s="3161"/>
      <c r="F235" s="3026"/>
      <c r="G235" s="3027"/>
      <c r="H235" s="3027"/>
      <c r="I235" s="3027"/>
      <c r="J235" s="3027"/>
      <c r="K235" s="3027"/>
      <c r="L235" s="3027"/>
      <c r="M235" s="3025"/>
      <c r="N235" s="3026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41" s="2825" customFormat="1">
      <c r="B236" s="2935"/>
      <c r="D236" s="3161"/>
      <c r="F236" s="3026"/>
      <c r="G236" s="3027"/>
      <c r="H236" s="3027"/>
      <c r="I236" s="3027"/>
      <c r="J236" s="3027"/>
      <c r="K236" s="3027"/>
      <c r="L236" s="3027"/>
      <c r="M236" s="3025"/>
      <c r="N236" s="3026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41" s="2825" customFormat="1">
      <c r="B237" s="2935"/>
      <c r="D237" s="3161"/>
      <c r="F237" s="3026"/>
      <c r="G237" s="3027"/>
      <c r="H237" s="3027"/>
      <c r="I237" s="3027"/>
      <c r="J237" s="3027"/>
      <c r="K237" s="3027"/>
      <c r="L237" s="3027"/>
      <c r="M237" s="3025"/>
      <c r="N237" s="3026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41" s="2825" customFormat="1">
      <c r="B238" s="2935"/>
      <c r="D238" s="3161"/>
      <c r="F238" s="3026"/>
      <c r="G238" s="3027"/>
      <c r="H238" s="3027"/>
      <c r="I238" s="3027"/>
      <c r="J238" s="3027"/>
      <c r="K238" s="3027"/>
      <c r="L238" s="3027"/>
      <c r="M238" s="3025"/>
      <c r="N238" s="3026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41" s="2825" customFormat="1">
      <c r="B239" s="2935"/>
      <c r="D239" s="3161"/>
      <c r="F239" s="3026"/>
      <c r="G239" s="3027"/>
      <c r="H239" s="3027"/>
      <c r="I239" s="3027"/>
      <c r="J239" s="3027"/>
      <c r="K239" s="3027"/>
      <c r="L239" s="3027"/>
      <c r="M239" s="3025"/>
      <c r="N239" s="3026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41" s="2825" customFormat="1">
      <c r="B240" s="2935"/>
      <c r="D240" s="3161"/>
      <c r="F240" s="3026"/>
      <c r="G240" s="3027"/>
      <c r="H240" s="3027"/>
      <c r="I240" s="3027"/>
      <c r="J240" s="3027"/>
      <c r="K240" s="3027"/>
      <c r="L240" s="3027"/>
      <c r="M240" s="3025"/>
      <c r="N240" s="3026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2:39" s="2825" customFormat="1">
      <c r="B241" s="2935"/>
      <c r="D241" s="3161"/>
      <c r="F241" s="3026"/>
      <c r="G241" s="3027"/>
      <c r="H241" s="3027"/>
      <c r="I241" s="3027"/>
      <c r="J241" s="3027"/>
      <c r="K241" s="3027"/>
      <c r="L241" s="3027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2:39" s="2825" customFormat="1">
      <c r="B242" s="2935"/>
      <c r="D242" s="3161"/>
      <c r="F242" s="3026"/>
      <c r="G242" s="3027"/>
      <c r="H242" s="3027"/>
      <c r="I242" s="3027"/>
      <c r="J242" s="3027"/>
      <c r="K242" s="3027"/>
      <c r="L242" s="3027"/>
      <c r="M242" s="3025"/>
      <c r="N242" s="3026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826"/>
      <c r="AD242" s="2826"/>
      <c r="AE242" s="2826"/>
      <c r="AF242" s="2826"/>
      <c r="AG242" s="2826"/>
      <c r="AH242" s="2826"/>
      <c r="AI242" s="2826"/>
      <c r="AJ242" s="2826"/>
      <c r="AK242" s="2826"/>
      <c r="AL242" s="2826"/>
      <c r="AM242" s="2826"/>
    </row>
    <row r="243" spans="2:39" s="2825" customFormat="1">
      <c r="B243" s="2935"/>
      <c r="D243" s="3161"/>
      <c r="F243" s="3026"/>
      <c r="G243" s="3027"/>
      <c r="H243" s="3027"/>
      <c r="I243" s="3027"/>
      <c r="J243" s="3027"/>
      <c r="K243" s="3027"/>
      <c r="L243" s="3027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2:39" s="2825" customFormat="1">
      <c r="B244" s="2935"/>
      <c r="D244" s="3161"/>
      <c r="F244" s="3026"/>
      <c r="G244" s="3027"/>
      <c r="H244" s="3027"/>
      <c r="I244" s="3027"/>
      <c r="J244" s="3027"/>
      <c r="K244" s="3027"/>
      <c r="L244" s="3027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2:39" s="2825" customFormat="1">
      <c r="B245" s="2935"/>
      <c r="D245" s="3161"/>
      <c r="F245" s="3026"/>
      <c r="G245" s="3027"/>
      <c r="H245" s="3027"/>
      <c r="I245" s="3027"/>
      <c r="J245" s="3027"/>
      <c r="K245" s="3027"/>
      <c r="L245" s="3027"/>
      <c r="M245" s="3025"/>
      <c r="N245" s="3026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826"/>
      <c r="AD245" s="2826"/>
      <c r="AE245" s="2826"/>
      <c r="AF245" s="2826"/>
      <c r="AG245" s="2826"/>
      <c r="AH245" s="2826"/>
      <c r="AI245" s="2826"/>
      <c r="AJ245" s="2826"/>
      <c r="AK245" s="2826"/>
      <c r="AL245" s="2826"/>
      <c r="AM245" s="2826"/>
    </row>
    <row r="246" spans="2:39" s="2825" customFormat="1">
      <c r="B246" s="2935"/>
      <c r="D246" s="3161"/>
      <c r="F246" s="3026"/>
      <c r="G246" s="3027"/>
      <c r="H246" s="3027"/>
      <c r="I246" s="3027"/>
      <c r="J246" s="3027"/>
      <c r="K246" s="3027"/>
      <c r="L246" s="3027"/>
      <c r="M246" s="3025"/>
      <c r="N246" s="3026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826"/>
      <c r="AD246" s="2826"/>
      <c r="AE246" s="2826"/>
      <c r="AF246" s="2826"/>
      <c r="AG246" s="2826"/>
      <c r="AH246" s="2826"/>
      <c r="AI246" s="2826"/>
      <c r="AJ246" s="2826"/>
      <c r="AK246" s="2826"/>
      <c r="AL246" s="2826"/>
      <c r="AM246" s="2826"/>
    </row>
    <row r="247" spans="2:39" s="2825" customFormat="1">
      <c r="B247" s="2935"/>
      <c r="D247" s="3161"/>
      <c r="F247" s="3026"/>
      <c r="G247" s="3027"/>
      <c r="H247" s="3027"/>
      <c r="I247" s="3027"/>
      <c r="J247" s="3027"/>
      <c r="K247" s="3027"/>
      <c r="L247" s="3027"/>
      <c r="M247" s="3025"/>
      <c r="N247" s="3026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826"/>
      <c r="AD247" s="2826"/>
      <c r="AE247" s="2826"/>
      <c r="AF247" s="2826"/>
      <c r="AG247" s="2826"/>
      <c r="AH247" s="2826"/>
      <c r="AI247" s="2826"/>
      <c r="AJ247" s="2826"/>
      <c r="AK247" s="2826"/>
      <c r="AL247" s="2826"/>
      <c r="AM247" s="2826"/>
    </row>
    <row r="248" spans="2:39" s="2825" customFormat="1">
      <c r="B248" s="2935"/>
      <c r="D248" s="3161"/>
      <c r="F248" s="3026"/>
      <c r="G248" s="3027"/>
      <c r="H248" s="3027"/>
      <c r="I248" s="3027"/>
      <c r="J248" s="3027"/>
      <c r="K248" s="3027"/>
      <c r="L248" s="3027"/>
      <c r="M248" s="3025"/>
      <c r="N248" s="3026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826"/>
      <c r="AD248" s="2826"/>
      <c r="AE248" s="2826"/>
      <c r="AF248" s="2826"/>
      <c r="AG248" s="2826"/>
      <c r="AH248" s="2826"/>
      <c r="AI248" s="2826"/>
      <c r="AJ248" s="2826"/>
      <c r="AK248" s="2826"/>
      <c r="AL248" s="2826"/>
      <c r="AM248" s="2826"/>
    </row>
    <row r="249" spans="2:39" s="2825" customFormat="1">
      <c r="B249" s="2935"/>
      <c r="D249" s="3161"/>
      <c r="F249" s="3026"/>
      <c r="G249" s="3027"/>
      <c r="H249" s="3027"/>
      <c r="I249" s="3027"/>
      <c r="J249" s="3027"/>
      <c r="K249" s="3027"/>
      <c r="L249" s="3027"/>
      <c r="M249" s="3025"/>
      <c r="N249" s="3026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826"/>
      <c r="AD249" s="2826"/>
      <c r="AE249" s="2826"/>
      <c r="AF249" s="2826"/>
      <c r="AG249" s="2826"/>
      <c r="AH249" s="2826"/>
      <c r="AI249" s="2826"/>
      <c r="AJ249" s="2826"/>
      <c r="AK249" s="2826"/>
      <c r="AL249" s="2826"/>
      <c r="AM249" s="2826"/>
    </row>
    <row r="250" spans="2:39" s="2825" customFormat="1">
      <c r="B250" s="2935"/>
      <c r="D250" s="3161"/>
      <c r="F250" s="3026"/>
      <c r="G250" s="3027"/>
      <c r="H250" s="3027"/>
      <c r="I250" s="3027"/>
      <c r="J250" s="3027"/>
      <c r="K250" s="3027"/>
      <c r="L250" s="3027"/>
      <c r="M250" s="3025"/>
      <c r="N250" s="3026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826"/>
      <c r="AD250" s="2826"/>
      <c r="AE250" s="2826"/>
      <c r="AF250" s="2826"/>
      <c r="AG250" s="2826"/>
      <c r="AH250" s="2826"/>
      <c r="AI250" s="2826"/>
      <c r="AJ250" s="2826"/>
      <c r="AK250" s="2826"/>
      <c r="AL250" s="2826"/>
      <c r="AM250" s="2826"/>
    </row>
    <row r="251" spans="2:39" s="2825" customFormat="1">
      <c r="B251" s="2935"/>
      <c r="D251" s="3161"/>
      <c r="F251" s="3026"/>
      <c r="G251" s="3027"/>
      <c r="H251" s="3027"/>
      <c r="I251" s="3027"/>
      <c r="J251" s="3027"/>
      <c r="K251" s="3027"/>
      <c r="L251" s="3027"/>
      <c r="M251" s="3025"/>
      <c r="N251" s="3026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826"/>
      <c r="AD251" s="2826"/>
      <c r="AE251" s="2826"/>
      <c r="AF251" s="2826"/>
      <c r="AG251" s="2826"/>
      <c r="AH251" s="2826"/>
      <c r="AI251" s="2826"/>
      <c r="AJ251" s="2826"/>
      <c r="AK251" s="2826"/>
      <c r="AL251" s="2826"/>
      <c r="AM251" s="2826"/>
    </row>
    <row r="252" spans="2:39" s="2825" customFormat="1">
      <c r="B252" s="2935"/>
      <c r="D252" s="3161"/>
      <c r="F252" s="3026"/>
      <c r="G252" s="3027"/>
      <c r="H252" s="3027"/>
      <c r="I252" s="3027"/>
      <c r="J252" s="3027"/>
      <c r="K252" s="3027"/>
      <c r="L252" s="3027"/>
      <c r="M252" s="3025"/>
      <c r="N252" s="3026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826"/>
      <c r="AD252" s="2826"/>
      <c r="AE252" s="2826"/>
      <c r="AF252" s="2826"/>
      <c r="AG252" s="2826"/>
      <c r="AH252" s="2826"/>
      <c r="AI252" s="2826"/>
      <c r="AJ252" s="2826"/>
      <c r="AK252" s="2826"/>
      <c r="AL252" s="2826"/>
      <c r="AM252" s="2826"/>
    </row>
    <row r="253" spans="2:39" s="2825" customFormat="1">
      <c r="B253" s="2935"/>
      <c r="D253" s="3161"/>
      <c r="F253" s="3026"/>
      <c r="G253" s="3027"/>
      <c r="H253" s="3027"/>
      <c r="I253" s="3027"/>
      <c r="J253" s="3027"/>
      <c r="K253" s="3027"/>
      <c r="L253" s="3027"/>
      <c r="M253" s="3025"/>
      <c r="N253" s="3026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826"/>
      <c r="AD253" s="2826"/>
      <c r="AE253" s="2826"/>
      <c r="AF253" s="2826"/>
      <c r="AG253" s="2826"/>
      <c r="AH253" s="2826"/>
      <c r="AI253" s="2826"/>
      <c r="AJ253" s="2826"/>
      <c r="AK253" s="2826"/>
      <c r="AL253" s="2826"/>
      <c r="AM253" s="2826"/>
    </row>
    <row r="254" spans="2:39" s="2825" customFormat="1">
      <c r="B254" s="2935"/>
      <c r="D254" s="3161"/>
      <c r="F254" s="3026"/>
      <c r="G254" s="3027"/>
      <c r="H254" s="3027"/>
      <c r="I254" s="3027"/>
      <c r="J254" s="3027"/>
      <c r="K254" s="3027"/>
      <c r="L254" s="3027"/>
      <c r="M254" s="3025"/>
      <c r="N254" s="3026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826"/>
      <c r="AD254" s="2826"/>
      <c r="AE254" s="2826"/>
      <c r="AF254" s="2826"/>
      <c r="AG254" s="2826"/>
      <c r="AH254" s="2826"/>
      <c r="AI254" s="2826"/>
      <c r="AJ254" s="2826"/>
      <c r="AK254" s="2826"/>
      <c r="AL254" s="2826"/>
      <c r="AM254" s="2826"/>
    </row>
    <row r="255" spans="2:39" s="2825" customFormat="1">
      <c r="B255" s="2935"/>
      <c r="D255" s="3161"/>
      <c r="F255" s="3026"/>
      <c r="G255" s="3027"/>
      <c r="H255" s="3027"/>
      <c r="I255" s="3027"/>
      <c r="J255" s="3027"/>
      <c r="K255" s="3027"/>
      <c r="L255" s="3027"/>
      <c r="M255" s="3025"/>
      <c r="N255" s="3026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826"/>
      <c r="AD255" s="2826"/>
      <c r="AE255" s="2826"/>
      <c r="AF255" s="2826"/>
      <c r="AG255" s="2826"/>
      <c r="AH255" s="2826"/>
      <c r="AI255" s="2826"/>
      <c r="AJ255" s="2826"/>
      <c r="AK255" s="2826"/>
      <c r="AL255" s="2826"/>
      <c r="AM255" s="2826"/>
    </row>
    <row r="256" spans="2:39" s="2825" customFormat="1">
      <c r="B256" s="2935"/>
      <c r="D256" s="3161"/>
      <c r="F256" s="3026"/>
      <c r="G256" s="3027"/>
      <c r="H256" s="3027"/>
      <c r="I256" s="3027"/>
      <c r="J256" s="3027"/>
      <c r="K256" s="3027"/>
      <c r="L256" s="3027"/>
      <c r="M256" s="3025"/>
      <c r="N256" s="3026"/>
      <c r="O256" s="141"/>
      <c r="P256" s="141"/>
      <c r="Q256" s="148"/>
      <c r="R256" s="148"/>
      <c r="S256" s="149"/>
      <c r="T256" s="149"/>
      <c r="U256" s="150"/>
      <c r="V256" s="150"/>
      <c r="W256" s="150"/>
      <c r="X256" s="150"/>
      <c r="Y256" s="150"/>
      <c r="Z256" s="150"/>
      <c r="AA256" s="150"/>
      <c r="AC256" s="2826"/>
      <c r="AD256" s="2826"/>
      <c r="AE256" s="2826"/>
      <c r="AF256" s="2826"/>
      <c r="AG256" s="2826"/>
      <c r="AH256" s="2826"/>
      <c r="AI256" s="2826"/>
      <c r="AJ256" s="2826"/>
      <c r="AK256" s="2826"/>
      <c r="AL256" s="2826"/>
      <c r="AM256" s="2826"/>
    </row>
    <row r="257" spans="1:40" s="2825" customFormat="1">
      <c r="B257" s="2935"/>
      <c r="D257" s="3161"/>
      <c r="F257" s="3026"/>
      <c r="G257" s="3027"/>
      <c r="H257" s="3027"/>
      <c r="I257" s="3027"/>
      <c r="J257" s="3027"/>
      <c r="K257" s="3027"/>
      <c r="L257" s="3027"/>
      <c r="M257" s="3025"/>
      <c r="N257" s="3026"/>
      <c r="O257" s="141"/>
      <c r="P257" s="141"/>
      <c r="Q257" s="148"/>
      <c r="R257" s="148"/>
      <c r="S257" s="149"/>
      <c r="T257" s="149"/>
      <c r="U257" s="150"/>
      <c r="V257" s="150"/>
      <c r="W257" s="150"/>
      <c r="X257" s="150"/>
      <c r="Y257" s="150"/>
      <c r="Z257" s="150"/>
      <c r="AA257" s="150"/>
      <c r="AC257" s="2826"/>
      <c r="AD257" s="2826"/>
      <c r="AE257" s="2826"/>
      <c r="AF257" s="2826"/>
      <c r="AG257" s="2826"/>
      <c r="AH257" s="2826"/>
      <c r="AI257" s="2826"/>
      <c r="AJ257" s="2826"/>
      <c r="AK257" s="2826"/>
      <c r="AL257" s="2826"/>
      <c r="AM257" s="2826"/>
    </row>
    <row r="258" spans="1:40">
      <c r="A258" s="1"/>
      <c r="O258" s="155"/>
      <c r="P258" s="155"/>
      <c r="Q258" s="1131"/>
      <c r="R258" s="1131"/>
      <c r="S258" s="251"/>
      <c r="T258" s="251"/>
      <c r="U258" s="1132"/>
      <c r="V258" s="1132"/>
      <c r="W258" s="1132"/>
      <c r="X258" s="1132"/>
      <c r="Y258" s="1132"/>
      <c r="Z258" s="1132"/>
      <c r="AA258" s="1132"/>
      <c r="AN258" s="1"/>
    </row>
    <row r="259" spans="1:40">
      <c r="A259" s="1"/>
      <c r="O259" s="155"/>
      <c r="P259" s="155"/>
      <c r="Q259" s="1131"/>
      <c r="R259" s="1131"/>
      <c r="S259" s="251"/>
      <c r="T259" s="251"/>
      <c r="U259" s="1132"/>
      <c r="V259" s="1132"/>
      <c r="W259" s="1132"/>
      <c r="X259" s="1132"/>
      <c r="Y259" s="1132"/>
      <c r="Z259" s="1132"/>
      <c r="AA259" s="1132"/>
      <c r="AN259" s="1"/>
    </row>
    <row r="260" spans="1:40">
      <c r="A260" s="1"/>
      <c r="O260" s="155"/>
      <c r="P260" s="155"/>
      <c r="Q260" s="1131"/>
      <c r="R260" s="1131"/>
      <c r="S260" s="251"/>
      <c r="T260" s="251"/>
      <c r="U260" s="1132"/>
      <c r="V260" s="1132"/>
      <c r="W260" s="1132"/>
      <c r="X260" s="1132"/>
      <c r="Y260" s="1132"/>
      <c r="Z260" s="1132"/>
      <c r="AA260" s="1132"/>
      <c r="AN260" s="1"/>
    </row>
    <row r="261" spans="1:40">
      <c r="A261" s="1"/>
      <c r="O261" s="155"/>
      <c r="P261" s="155"/>
      <c r="Q261" s="1131"/>
      <c r="R261" s="1131"/>
      <c r="S261" s="251"/>
      <c r="T261" s="251"/>
      <c r="U261" s="1132"/>
      <c r="V261" s="1132"/>
      <c r="W261" s="1132"/>
      <c r="X261" s="1132"/>
      <c r="Y261" s="1132"/>
      <c r="Z261" s="1132"/>
      <c r="AA261" s="1132"/>
      <c r="AN261" s="1"/>
    </row>
    <row r="262" spans="1:40">
      <c r="A262" s="1"/>
      <c r="O262" s="155"/>
      <c r="P262" s="155"/>
      <c r="Q262" s="1131"/>
      <c r="R262" s="1131"/>
      <c r="S262" s="251"/>
      <c r="T262" s="251"/>
      <c r="U262" s="1132"/>
      <c r="V262" s="1132"/>
      <c r="W262" s="1132"/>
      <c r="X262" s="1132"/>
      <c r="Y262" s="1132"/>
      <c r="Z262" s="1132"/>
      <c r="AA262" s="1132"/>
      <c r="AN262" s="1"/>
    </row>
    <row r="263" spans="1:40">
      <c r="A263" s="1"/>
      <c r="O263" s="155"/>
      <c r="P263" s="155"/>
      <c r="Q263" s="1131"/>
      <c r="R263" s="1131"/>
      <c r="S263" s="251"/>
      <c r="T263" s="251"/>
      <c r="U263" s="1132"/>
      <c r="V263" s="1132"/>
      <c r="W263" s="1132"/>
      <c r="X263" s="1132"/>
      <c r="Y263" s="1132"/>
      <c r="Z263" s="1132"/>
      <c r="AA263" s="1132"/>
      <c r="AN263" s="1"/>
    </row>
    <row r="264" spans="1:40">
      <c r="A264" s="1"/>
      <c r="O264" s="155"/>
      <c r="P264" s="155"/>
      <c r="Q264" s="1131"/>
      <c r="R264" s="1131"/>
      <c r="S264" s="251"/>
      <c r="T264" s="251"/>
      <c r="U264" s="1132"/>
      <c r="V264" s="1132"/>
      <c r="W264" s="1132"/>
      <c r="X264" s="1132"/>
      <c r="Y264" s="1132"/>
      <c r="Z264" s="1132"/>
      <c r="AA264" s="1132"/>
      <c r="AN264" s="1"/>
    </row>
    <row r="265" spans="1:40">
      <c r="A265" s="1"/>
      <c r="O265" s="155"/>
      <c r="P265" s="155"/>
      <c r="Q265" s="1131"/>
      <c r="R265" s="1131"/>
      <c r="S265" s="251"/>
      <c r="T265" s="251"/>
      <c r="U265" s="1132"/>
      <c r="V265" s="1132"/>
      <c r="W265" s="1132"/>
      <c r="X265" s="1132"/>
      <c r="Y265" s="1132"/>
      <c r="Z265" s="1132"/>
      <c r="AA265" s="1132"/>
      <c r="AN265" s="1"/>
    </row>
    <row r="266" spans="1:40">
      <c r="A266" s="1"/>
      <c r="O266" s="155"/>
      <c r="P266" s="155"/>
      <c r="Q266" s="1131"/>
      <c r="R266" s="1131"/>
      <c r="S266" s="251"/>
      <c r="T266" s="251"/>
      <c r="U266" s="1132"/>
      <c r="V266" s="1132"/>
      <c r="W266" s="1132"/>
      <c r="X266" s="1132"/>
      <c r="Y266" s="1132"/>
      <c r="Z266" s="1132"/>
      <c r="AA266" s="1132"/>
      <c r="AN266" s="1"/>
    </row>
    <row r="267" spans="1:40">
      <c r="A267" s="1"/>
      <c r="O267" s="155"/>
      <c r="P267" s="155"/>
      <c r="Q267" s="1131"/>
      <c r="R267" s="1131"/>
      <c r="S267" s="251"/>
      <c r="T267" s="251"/>
      <c r="U267" s="1132"/>
      <c r="V267" s="1132"/>
      <c r="W267" s="1132"/>
      <c r="X267" s="1132"/>
      <c r="Y267" s="1132"/>
      <c r="Z267" s="1132"/>
      <c r="AA267" s="1132"/>
      <c r="AN267" s="1"/>
    </row>
    <row r="268" spans="1:40">
      <c r="A268" s="1"/>
      <c r="O268" s="155"/>
      <c r="P268" s="155"/>
      <c r="Q268" s="1131"/>
      <c r="R268" s="1131"/>
      <c r="S268" s="251"/>
      <c r="T268" s="251"/>
      <c r="U268" s="1132"/>
      <c r="V268" s="1132"/>
      <c r="W268" s="1132"/>
      <c r="X268" s="1132"/>
      <c r="Y268" s="1132"/>
      <c r="Z268" s="1132"/>
      <c r="AA268" s="1132"/>
      <c r="AN268" s="1"/>
    </row>
    <row r="269" spans="1:40">
      <c r="A269" s="1"/>
      <c r="O269" s="155"/>
      <c r="P269" s="155"/>
      <c r="Q269" s="1131"/>
      <c r="R269" s="1131"/>
      <c r="S269" s="251"/>
      <c r="T269" s="251"/>
      <c r="U269" s="1132"/>
      <c r="V269" s="1132"/>
      <c r="W269" s="1132"/>
      <c r="X269" s="1132"/>
      <c r="Y269" s="1132"/>
      <c r="Z269" s="1132"/>
      <c r="AA269" s="1132"/>
      <c r="AN269" s="1"/>
    </row>
    <row r="270" spans="1:40">
      <c r="A270" s="1"/>
      <c r="O270" s="155"/>
      <c r="P270" s="155"/>
      <c r="Q270" s="1131"/>
      <c r="R270" s="1131"/>
      <c r="S270" s="251"/>
      <c r="T270" s="251"/>
      <c r="U270" s="1132"/>
      <c r="V270" s="1132"/>
      <c r="W270" s="1132"/>
      <c r="X270" s="1132"/>
      <c r="Y270" s="1132"/>
      <c r="Z270" s="1132"/>
      <c r="AA270" s="1132"/>
      <c r="AN270" s="1"/>
    </row>
    <row r="271" spans="1:40">
      <c r="A271" s="1"/>
      <c r="B271" s="1"/>
      <c r="D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>
      <c r="A272" s="1"/>
      <c r="B272" s="1"/>
      <c r="D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>
      <c r="A273" s="1"/>
      <c r="B273" s="1"/>
      <c r="D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>
      <c r="A274" s="1"/>
      <c r="B274" s="1"/>
      <c r="D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>
      <c r="A275" s="1"/>
      <c r="B275" s="1"/>
      <c r="D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>
      <c r="A276" s="1"/>
      <c r="B276" s="1"/>
      <c r="D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>
      <c r="A277" s="1"/>
      <c r="B277" s="1"/>
      <c r="D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>
      <c r="A278" s="1"/>
      <c r="B278" s="1"/>
      <c r="D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>
      <c r="A279" s="1"/>
      <c r="B279" s="1"/>
      <c r="D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>
      <c r="A280" s="1"/>
      <c r="B280" s="1"/>
      <c r="D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>
      <c r="A281" s="1"/>
      <c r="B281" s="1"/>
      <c r="D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>
      <c r="A282" s="1"/>
      <c r="B282" s="1"/>
      <c r="D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>
      <c r="A283" s="1"/>
      <c r="B283" s="1"/>
      <c r="D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>
      <c r="A284" s="1"/>
      <c r="B284" s="1"/>
      <c r="D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>
      <c r="A285" s="1"/>
      <c r="B285" s="1"/>
      <c r="D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>
      <c r="A286" s="1"/>
      <c r="B286" s="1"/>
      <c r="D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>
      <c r="A287" s="1"/>
      <c r="B287" s="1"/>
      <c r="D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>
      <c r="A288" s="1"/>
      <c r="B288" s="1"/>
      <c r="D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>
      <c r="A289" s="1"/>
      <c r="B289" s="1"/>
      <c r="D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>
      <c r="A290" s="1"/>
      <c r="B290" s="1"/>
      <c r="D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>
      <c r="A291" s="1"/>
      <c r="B291" s="1"/>
      <c r="D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>
      <c r="A292" s="1"/>
      <c r="B292" s="1"/>
      <c r="D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>
      <c r="A293" s="1"/>
      <c r="B293" s="1"/>
      <c r="D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>
      <c r="A294" s="1"/>
      <c r="B294" s="1"/>
      <c r="D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>
      <c r="A295" s="1"/>
      <c r="B295" s="1"/>
      <c r="D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>
      <c r="A296" s="1"/>
      <c r="B296" s="1"/>
      <c r="D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>
      <c r="A297" s="1"/>
      <c r="B297" s="1"/>
      <c r="D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>
      <c r="A298" s="1"/>
      <c r="B298" s="1"/>
      <c r="D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>
      <c r="A299" s="1"/>
      <c r="B299" s="1"/>
      <c r="D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>
      <c r="A300" s="1"/>
      <c r="B300" s="1"/>
      <c r="D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>
      <c r="A301" s="1"/>
      <c r="B301" s="1"/>
      <c r="D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</sheetData>
  <mergeCells count="2">
    <mergeCell ref="E6:H6"/>
    <mergeCell ref="E7:H7"/>
  </mergeCells>
  <phoneticPr fontId="360" type="noConversion"/>
  <printOptions horizontalCentered="1" verticalCentered="1"/>
  <pageMargins left="0" right="0" top="0" bottom="0.78740157480314965" header="0" footer="0"/>
  <pageSetup paperSize="9" scale="110" orientation="landscape" horizontalDpi="0" verticalDpi="0"/>
  <drawing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829E-24A4-2543-8362-0A72FEE22A55}">
  <sheetPr codeName="Hoja58"/>
  <dimension ref="A1:AO253"/>
  <sheetViews>
    <sheetView topLeftCell="A43" zoomScale="166" zoomScaleNormal="166" workbookViewId="0">
      <selection activeCell="J14" sqref="J14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2" style="3028" customWidth="1"/>
    <col min="4" max="4" width="0.6640625" style="3082" customWidth="1"/>
    <col min="5" max="5" width="3.1640625" style="1" customWidth="1"/>
    <col min="6" max="6" width="4.33203125" style="2818" customWidth="1"/>
    <col min="7" max="7" width="6.1640625" style="780" customWidth="1"/>
    <col min="8" max="10" width="7.5" style="780" customWidth="1"/>
    <col min="11" max="11" width="30.1640625" style="780" customWidth="1"/>
    <col min="12" max="12" width="8.1640625" style="780" customWidth="1"/>
    <col min="13" max="13" width="1.1640625" style="2820" customWidth="1"/>
    <col min="14" max="14" width="9" style="3390" customWidth="1"/>
    <col min="15" max="15" width="1" style="780" customWidth="1"/>
    <col min="16" max="16" width="11.1640625" style="780" customWidth="1"/>
    <col min="17" max="17" width="7.5" style="2821" customWidth="1"/>
    <col min="18" max="18" width="7.6640625" style="2821" customWidth="1"/>
    <col min="19" max="19" width="1.33203125" style="2822" customWidth="1"/>
    <col min="20" max="20" width="0.5" style="2822" customWidth="1"/>
    <col min="21" max="21" width="6" style="2823" customWidth="1"/>
    <col min="22" max="22" width="5.6640625" style="2823" customWidth="1"/>
    <col min="23" max="23" width="6.83203125" style="2823" customWidth="1"/>
    <col min="24" max="24" width="5.5" style="2823" customWidth="1"/>
    <col min="25" max="25" width="6" style="2823" customWidth="1"/>
    <col min="26" max="27" width="5.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5" style="2826" customWidth="1"/>
    <col min="40" max="40" width="11.5" style="2825"/>
    <col min="41" max="16384" width="11.5" style="1"/>
  </cols>
  <sheetData>
    <row r="1" spans="1:40" ht="17" customHeight="1" thickBot="1">
      <c r="A1" s="3080" t="s">
        <v>344</v>
      </c>
      <c r="B1" s="1"/>
      <c r="C1" s="1"/>
      <c r="D1" s="3081"/>
      <c r="E1" s="2817"/>
      <c r="H1" s="3726"/>
      <c r="K1" s="1871">
        <v>44313</v>
      </c>
      <c r="L1" s="2821"/>
      <c r="M1" s="2821"/>
      <c r="N1" s="3391"/>
      <c r="O1" s="2821"/>
      <c r="P1" s="2821"/>
      <c r="V1" s="2824"/>
      <c r="AI1" s="2825"/>
      <c r="AJ1" s="2825"/>
      <c r="AK1" s="2825"/>
      <c r="AL1" s="2825"/>
      <c r="AM1" s="2825"/>
    </row>
    <row r="2" spans="1:40" ht="14" customHeight="1" thickBot="1">
      <c r="F2" s="3836"/>
      <c r="G2" s="155"/>
      <c r="H2" s="3727" t="s">
        <v>985</v>
      </c>
      <c r="I2" s="155"/>
      <c r="J2" s="3083"/>
      <c r="K2" s="583"/>
      <c r="L2" s="2821"/>
      <c r="M2" s="2821"/>
      <c r="N2" s="3391"/>
      <c r="O2" s="2821"/>
      <c r="P2" s="2821"/>
      <c r="U2" s="2827" t="s">
        <v>345</v>
      </c>
      <c r="AI2" s="2825"/>
      <c r="AJ2" s="2825"/>
      <c r="AK2" s="2825"/>
      <c r="AL2" s="2825"/>
      <c r="AM2" s="2825"/>
    </row>
    <row r="3" spans="1:40" ht="14" customHeight="1">
      <c r="E3" s="3787"/>
      <c r="F3" s="3824"/>
      <c r="G3" s="3824" t="s">
        <v>228</v>
      </c>
      <c r="H3" s="3787" t="s">
        <v>229</v>
      </c>
      <c r="I3" s="3787" t="s">
        <v>237</v>
      </c>
      <c r="J3" s="3787"/>
      <c r="K3" s="1802"/>
      <c r="L3" s="2821"/>
      <c r="M3" s="2821"/>
      <c r="N3" s="3391"/>
      <c r="O3" s="2821"/>
      <c r="P3" s="2821"/>
      <c r="U3" s="2827"/>
      <c r="AI3" s="2825"/>
      <c r="AJ3" s="2825"/>
      <c r="AK3" s="2825"/>
      <c r="AL3" s="2825"/>
      <c r="AM3" s="2825"/>
    </row>
    <row r="4" spans="1:40" ht="14" customHeight="1">
      <c r="E4" s="2706"/>
      <c r="F4" s="3825"/>
      <c r="G4" s="3825">
        <v>44314</v>
      </c>
      <c r="H4" s="2706">
        <v>44315</v>
      </c>
      <c r="I4" s="2706">
        <v>44314</v>
      </c>
      <c r="J4" s="2706"/>
      <c r="K4" s="3781"/>
      <c r="L4" s="2821"/>
      <c r="M4" s="2821"/>
      <c r="N4" s="3391"/>
      <c r="O4" s="2821"/>
      <c r="P4" s="2821"/>
      <c r="U4" s="2827"/>
      <c r="AI4" s="2825"/>
      <c r="AJ4" s="2825"/>
      <c r="AK4" s="2825"/>
      <c r="AL4" s="2825"/>
      <c r="AM4" s="2825"/>
    </row>
    <row r="5" spans="1:40" ht="14" customHeight="1">
      <c r="E5" s="3788"/>
      <c r="F5" s="3826"/>
      <c r="G5" s="3826" t="s">
        <v>467</v>
      </c>
      <c r="H5" s="3788" t="s">
        <v>467</v>
      </c>
      <c r="I5" s="3788" t="s">
        <v>467</v>
      </c>
      <c r="J5" s="3788"/>
      <c r="K5" s="2696"/>
      <c r="L5" s="2821"/>
      <c r="M5" s="2821"/>
      <c r="N5" s="3391"/>
      <c r="O5" s="2821"/>
      <c r="P5" s="2821"/>
      <c r="U5" s="2827"/>
      <c r="AI5" s="2825"/>
      <c r="AJ5" s="2825"/>
      <c r="AK5" s="2825"/>
      <c r="AL5" s="2825"/>
      <c r="AM5" s="2825"/>
    </row>
    <row r="6" spans="1:40" ht="14" customHeight="1" thickBot="1">
      <c r="E6" s="3789"/>
      <c r="F6" s="3837"/>
      <c r="G6" s="3827" t="s">
        <v>468</v>
      </c>
      <c r="H6" s="3789" t="s">
        <v>468</v>
      </c>
      <c r="I6" s="3789" t="s">
        <v>468</v>
      </c>
      <c r="J6" s="3789"/>
      <c r="K6" s="3782"/>
      <c r="L6" s="2821"/>
      <c r="M6" s="2821"/>
      <c r="N6" s="3391"/>
      <c r="O6" s="2821"/>
      <c r="P6" s="2821"/>
      <c r="U6" s="2827"/>
      <c r="AI6" s="2825"/>
      <c r="AJ6" s="2825"/>
      <c r="AK6" s="2825"/>
      <c r="AL6" s="2825"/>
      <c r="AM6" s="2825"/>
    </row>
    <row r="7" spans="1:40" s="2839" customFormat="1" ht="54" customHeight="1" thickTop="1" thickBot="1">
      <c r="A7" s="3084" t="s">
        <v>346</v>
      </c>
      <c r="B7" s="3085" t="s">
        <v>347</v>
      </c>
      <c r="C7" s="3728"/>
      <c r="D7" s="3087" t="s">
        <v>348</v>
      </c>
      <c r="E7" s="3086" t="s">
        <v>349</v>
      </c>
      <c r="F7" s="3088" t="s">
        <v>350</v>
      </c>
      <c r="G7" s="3089" t="s">
        <v>351</v>
      </c>
      <c r="H7" s="3089" t="s">
        <v>624</v>
      </c>
      <c r="I7" s="3042" t="s">
        <v>352</v>
      </c>
      <c r="J7" s="3588" t="s">
        <v>353</v>
      </c>
      <c r="K7" s="3089" t="s">
        <v>354</v>
      </c>
      <c r="L7" s="3089"/>
      <c r="M7" s="3090" t="s">
        <v>355</v>
      </c>
      <c r="N7" s="3042" t="s">
        <v>445</v>
      </c>
      <c r="O7" s="3086" t="s">
        <v>446</v>
      </c>
      <c r="P7" s="3086" t="s">
        <v>447</v>
      </c>
      <c r="Q7" s="3091" t="s">
        <v>448</v>
      </c>
      <c r="R7" s="3092" t="s">
        <v>371</v>
      </c>
      <c r="S7" s="2828" t="s">
        <v>449</v>
      </c>
      <c r="T7" s="2828" t="s">
        <v>450</v>
      </c>
      <c r="U7" s="2829" t="s">
        <v>451</v>
      </c>
      <c r="V7" s="2830" t="s">
        <v>452</v>
      </c>
      <c r="W7" s="2831" t="s">
        <v>453</v>
      </c>
      <c r="X7" s="2832" t="s">
        <v>454</v>
      </c>
      <c r="Y7" s="2833" t="s">
        <v>455</v>
      </c>
      <c r="Z7" s="2834" t="s">
        <v>456</v>
      </c>
      <c r="AA7" s="2835" t="s">
        <v>457</v>
      </c>
      <c r="AB7" s="2836"/>
      <c r="AC7" s="2837"/>
      <c r="AD7" s="2838"/>
      <c r="AE7" s="2838"/>
      <c r="AF7" s="2838"/>
      <c r="AG7" s="2838"/>
      <c r="AH7" s="2838"/>
      <c r="AI7" s="2836"/>
      <c r="AJ7" s="2836"/>
      <c r="AK7" s="2836"/>
      <c r="AL7" s="2836"/>
      <c r="AM7" s="2836"/>
      <c r="AN7" s="2836"/>
    </row>
    <row r="8" spans="1:40" s="2839" customFormat="1" ht="12" customHeight="1" thickBot="1">
      <c r="A8" s="3093"/>
      <c r="B8" s="3094"/>
      <c r="C8" s="3729"/>
      <c r="D8" s="3096"/>
      <c r="E8" s="3095"/>
      <c r="F8" s="3097"/>
      <c r="G8" s="3095"/>
      <c r="H8" s="3095"/>
      <c r="I8" s="3095"/>
      <c r="J8" s="3097"/>
      <c r="K8" s="3095"/>
      <c r="L8" s="3095"/>
      <c r="M8" s="3098"/>
      <c r="N8" s="3095"/>
      <c r="O8" s="3095"/>
      <c r="P8" s="3095"/>
      <c r="Q8" s="3099"/>
      <c r="R8" s="3100"/>
      <c r="S8" s="2840"/>
      <c r="T8" s="2840"/>
      <c r="U8" s="3783">
        <v>9.3287037037037058E-4</v>
      </c>
      <c r="V8" s="3784">
        <v>8.6111111111111121E-4</v>
      </c>
      <c r="W8" s="3784">
        <v>7.8935185185185206E-4</v>
      </c>
      <c r="X8" s="3784">
        <v>7.175925925925927E-4</v>
      </c>
      <c r="Y8" s="3784">
        <v>7.1400462962962975E-4</v>
      </c>
      <c r="Z8" s="3784">
        <v>7.0324074074074082E-4</v>
      </c>
      <c r="AA8" s="3785">
        <v>6.8888888888888895E-4</v>
      </c>
      <c r="AB8" s="2836"/>
      <c r="AC8" s="2837"/>
      <c r="AD8" s="2838"/>
      <c r="AE8" s="2838"/>
      <c r="AF8" s="2838"/>
      <c r="AG8" s="2838"/>
      <c r="AH8" s="2838"/>
      <c r="AI8" s="2836"/>
      <c r="AJ8" s="2836"/>
      <c r="AK8" s="2836"/>
      <c r="AL8" s="2836"/>
      <c r="AM8" s="2836"/>
      <c r="AN8" s="2836"/>
    </row>
    <row r="9" spans="1:40" s="63" customFormat="1" ht="10" customHeight="1" thickBot="1">
      <c r="A9" s="3101"/>
      <c r="B9" s="3102"/>
      <c r="C9" s="3751"/>
      <c r="D9" s="3104"/>
      <c r="E9" s="3103"/>
      <c r="F9" s="3838"/>
      <c r="G9" s="3828"/>
      <c r="H9" s="3106"/>
      <c r="I9" s="3106"/>
      <c r="J9" s="3105"/>
      <c r="K9" s="3106"/>
      <c r="L9" s="3106"/>
      <c r="M9" s="3107"/>
      <c r="N9" s="3106"/>
      <c r="O9" s="3103"/>
      <c r="P9" s="3103"/>
      <c r="Q9" s="3103"/>
      <c r="R9" s="3108"/>
      <c r="S9" s="3404"/>
      <c r="T9" s="3404"/>
      <c r="U9" s="2843">
        <f>U8/4</f>
        <v>2.3321759259259265E-4</v>
      </c>
      <c r="V9" s="2843">
        <f t="shared" ref="V9:AA9" si="0">V8/4</f>
        <v>2.152777777777778E-4</v>
      </c>
      <c r="W9" s="2843">
        <f t="shared" si="0"/>
        <v>1.9733796296296302E-4</v>
      </c>
      <c r="X9" s="2843">
        <f t="shared" si="0"/>
        <v>1.7939814814814817E-4</v>
      </c>
      <c r="Y9" s="2843">
        <f t="shared" si="0"/>
        <v>1.7850115740740744E-4</v>
      </c>
      <c r="Z9" s="2843">
        <f t="shared" si="0"/>
        <v>1.7581018518518521E-4</v>
      </c>
      <c r="AA9" s="2843">
        <f t="shared" si="0"/>
        <v>1.7222222222222224E-4</v>
      </c>
      <c r="AB9" s="2935"/>
      <c r="AC9" s="2936"/>
      <c r="AD9" s="2937"/>
      <c r="AE9" s="2937"/>
      <c r="AF9" s="2937"/>
      <c r="AG9" s="2937"/>
      <c r="AH9" s="2937"/>
      <c r="AI9" s="2935"/>
      <c r="AJ9" s="2935"/>
      <c r="AK9" s="2935"/>
      <c r="AL9" s="2935"/>
      <c r="AM9" s="2935"/>
      <c r="AN9" s="2935"/>
    </row>
    <row r="10" spans="1:40" s="63" customFormat="1" ht="11" customHeight="1" thickTop="1" thickBot="1">
      <c r="A10" s="3794"/>
      <c r="B10" s="3795"/>
      <c r="C10" s="3796"/>
      <c r="D10" s="3797"/>
      <c r="E10" s="3798"/>
      <c r="F10" s="3839"/>
      <c r="G10" s="3829"/>
      <c r="H10" s="3800"/>
      <c r="I10" s="3800"/>
      <c r="J10" s="3799"/>
      <c r="K10" s="3801" t="s">
        <v>1762</v>
      </c>
      <c r="L10" s="631">
        <v>0.39583333333333331</v>
      </c>
      <c r="M10" s="3802"/>
      <c r="N10" s="1882">
        <v>1.4583333333333332E-2</v>
      </c>
      <c r="O10" s="3798"/>
      <c r="P10" s="3798"/>
      <c r="Q10" s="3798"/>
      <c r="R10" s="3803"/>
      <c r="S10" s="3610"/>
      <c r="T10" s="3610"/>
      <c r="U10" s="3752"/>
      <c r="V10" s="3752"/>
      <c r="W10" s="3752"/>
      <c r="X10" s="3752"/>
      <c r="Y10" s="3752"/>
      <c r="Z10" s="3752"/>
      <c r="AA10" s="3752"/>
      <c r="AB10" s="2935"/>
      <c r="AC10" s="2936"/>
      <c r="AD10" s="2937"/>
      <c r="AE10" s="2937"/>
      <c r="AF10" s="2937"/>
      <c r="AG10" s="2937"/>
      <c r="AH10" s="2937"/>
      <c r="AI10" s="2935"/>
      <c r="AJ10" s="2935"/>
      <c r="AK10" s="2935"/>
      <c r="AL10" s="2935"/>
      <c r="AM10" s="2935"/>
      <c r="AN10" s="2935"/>
    </row>
    <row r="11" spans="1:40" s="63" customFormat="1" ht="14" customHeight="1" thickBot="1">
      <c r="A11" s="3109" t="s">
        <v>215</v>
      </c>
      <c r="B11" s="3110" t="s">
        <v>215</v>
      </c>
      <c r="C11" s="629">
        <f>IF(D11=1,U$9,IF(D11=2,V$9,IF(D11=3,W$9,IF(D11=4,X$9,IF(D11=5,Y$9,IF(D11=6,Z$9,IF(D11=7,AA$9,0)))))))</f>
        <v>2.3321759259259265E-4</v>
      </c>
      <c r="D11" s="3406">
        <v>1</v>
      </c>
      <c r="E11" s="3407">
        <v>1</v>
      </c>
      <c r="F11" s="3830">
        <v>1</v>
      </c>
      <c r="G11" s="3830">
        <v>200</v>
      </c>
      <c r="H11" s="2654"/>
      <c r="I11" s="2654">
        <v>0</v>
      </c>
      <c r="J11" s="2654">
        <v>1.1574074074074073E-4</v>
      </c>
      <c r="K11" s="3860" t="s">
        <v>1772</v>
      </c>
      <c r="L11" s="3867">
        <f t="shared" ref="L11" si="1">L10+N10</f>
        <v>0.41041666666666665</v>
      </c>
      <c r="M11" s="3868">
        <v>1.1000000000000001</v>
      </c>
      <c r="N11" s="3869">
        <f>P11*E11*F11+I11*E11*F11+J11*E11</f>
        <v>2.1680555555555563E-3</v>
      </c>
      <c r="O11" s="2526">
        <f t="shared" ref="O11" si="2">C11*G11/25</f>
        <v>1.8657407407407412E-3</v>
      </c>
      <c r="P11" s="3698">
        <f>O11*M11</f>
        <v>2.0523148148148154E-3</v>
      </c>
      <c r="Q11" s="3854">
        <v>120</v>
      </c>
      <c r="R11" s="3855">
        <f>E11*F11*G11</f>
        <v>200</v>
      </c>
      <c r="S11" s="2844">
        <f>E11*F11*G11/1000</f>
        <v>0.2</v>
      </c>
      <c r="T11" s="2845">
        <f>E11*F11*O11*4</f>
        <v>7.4629629629629646E-3</v>
      </c>
      <c r="U11" s="374">
        <f>IF(C11*4&gt;=$U$8,S11,0)</f>
        <v>0.2</v>
      </c>
      <c r="V11" s="2846">
        <f>IF(AND(C11*4&gt;=$V$8,C11*4&lt;$U$8),S11,0)</f>
        <v>0</v>
      </c>
      <c r="W11" s="2847">
        <f>IF(AND(C11*4&gt;=$W$8,C11*4&lt;$V$8),S11,0)</f>
        <v>0</v>
      </c>
      <c r="X11" s="2848">
        <f>IF(AND(C11*4&gt;=$X$8,C11*4&lt;$W$8),S11,0)</f>
        <v>0</v>
      </c>
      <c r="Y11" s="2849">
        <f>IF(AND(C11*4&gt;=$Y$8,C11*4&lt;$X$8),S11,0)</f>
        <v>0</v>
      </c>
      <c r="Z11" s="2850">
        <f>IF(AND(C11*4&gt;=$Z$8,C11*4&lt;$Y$8),S11,0)</f>
        <v>0</v>
      </c>
      <c r="AA11" s="2851">
        <f>IF(AND(C11*4&gt;=$AA$8,C11*4&lt;$Z$8),S11,0)</f>
        <v>0</v>
      </c>
      <c r="AB11" s="2935"/>
      <c r="AC11" s="2867"/>
      <c r="AD11" s="2867"/>
      <c r="AE11" s="2867"/>
      <c r="AF11" s="2867"/>
      <c r="AG11" s="2867"/>
      <c r="AH11" s="2867"/>
      <c r="AI11" s="2935"/>
      <c r="AJ11" s="2935"/>
      <c r="AK11" s="2935"/>
      <c r="AL11" s="2935"/>
      <c r="AM11" s="2935"/>
      <c r="AN11" s="2935"/>
    </row>
    <row r="12" spans="1:40" s="63" customFormat="1" ht="14" customHeight="1" thickBot="1">
      <c r="A12" s="3109" t="s">
        <v>139</v>
      </c>
      <c r="B12" s="3110" t="s">
        <v>215</v>
      </c>
      <c r="C12" s="629">
        <f t="shared" ref="C12:C18" si="3">IF(D12=1,U$9,IF(D12=2,V$9,IF(D12=3,W$9,IF(D12=4,X$9,IF(D12=5,Y$9,IF(D12=6,Z$9,IF(D12=7,AA$9,0)))))))</f>
        <v>2.152777777777778E-4</v>
      </c>
      <c r="D12" s="3414">
        <v>2</v>
      </c>
      <c r="E12" s="2651">
        <v>1</v>
      </c>
      <c r="F12" s="3831">
        <v>8</v>
      </c>
      <c r="G12" s="3831">
        <v>100</v>
      </c>
      <c r="H12" s="2869">
        <v>1.2731481481481483E-3</v>
      </c>
      <c r="I12" s="2869"/>
      <c r="J12" s="2869"/>
      <c r="K12" s="2870" t="s">
        <v>1225</v>
      </c>
      <c r="L12" s="2869">
        <f>L11+N11</f>
        <v>0.4125847222222222</v>
      </c>
      <c r="M12" s="3679">
        <v>1.1499999999999999</v>
      </c>
      <c r="N12" s="3552">
        <f>H12*F12*E12</f>
        <v>1.0185185185185186E-2</v>
      </c>
      <c r="O12" s="3736">
        <f t="shared" ref="O12" si="4">C12*G12/25</f>
        <v>8.6111111111111121E-4</v>
      </c>
      <c r="P12" s="3737">
        <f t="shared" ref="P12" si="5">O12*M12</f>
        <v>9.9027777777777786E-4</v>
      </c>
      <c r="Q12" s="3419">
        <v>140</v>
      </c>
      <c r="R12" s="3861">
        <f t="shared" ref="R12" si="6">E12*F12*G12</f>
        <v>800</v>
      </c>
      <c r="S12" s="2844">
        <f t="shared" ref="S12:S23" si="7">E12*F12*G12/1000</f>
        <v>0.8</v>
      </c>
      <c r="T12" s="2845">
        <f t="shared" ref="T12:T23" si="8">E12*F12*O12*4</f>
        <v>2.7555555555555559E-2</v>
      </c>
      <c r="U12" s="374">
        <f t="shared" ref="U12:U23" si="9">IF(C12*4&gt;=$U$8,S12,0)</f>
        <v>0</v>
      </c>
      <c r="V12" s="2846">
        <f t="shared" ref="V12:V23" si="10">IF(AND(C12*4&gt;=$V$8,C12*4&lt;$U$8),S12,0)</f>
        <v>0.8</v>
      </c>
      <c r="W12" s="2847">
        <f t="shared" ref="W12:W23" si="11">IF(AND(C12*4&gt;=$W$8,C12*4&lt;$V$8),S12,0)</f>
        <v>0</v>
      </c>
      <c r="X12" s="2848">
        <f t="shared" ref="X12:X23" si="12">IF(AND(C12*4&gt;=$X$8,C12*4&lt;$W$8),S12,0)</f>
        <v>0</v>
      </c>
      <c r="Y12" s="2849">
        <f t="shared" ref="Y12:Y23" si="13">IF(AND(C12*4&gt;=$Y$8,C12*4&lt;$X$8),S12,0)</f>
        <v>0</v>
      </c>
      <c r="Z12" s="2850">
        <f t="shared" ref="Z12:Z23" si="14">IF(AND(C12*4&gt;=$Z$8,C12*4&lt;$Y$8),S12,0)</f>
        <v>0</v>
      </c>
      <c r="AA12" s="2851">
        <f t="shared" ref="AA12:AA23" si="15">IF(AND(C12*4&gt;=$AA$8,C12*4&lt;$Z$8),S12,0)</f>
        <v>0</v>
      </c>
      <c r="AB12" s="2935"/>
      <c r="AC12" s="2867"/>
      <c r="AD12" s="2867"/>
      <c r="AE12" s="2867"/>
      <c r="AF12" s="2867"/>
      <c r="AG12" s="2867"/>
      <c r="AH12" s="2867"/>
      <c r="AI12" s="2935"/>
      <c r="AJ12" s="2935"/>
      <c r="AK12" s="2935"/>
      <c r="AL12" s="2935"/>
      <c r="AM12" s="2935"/>
      <c r="AN12" s="2935"/>
    </row>
    <row r="13" spans="1:40" s="63" customFormat="1" ht="14" customHeight="1" thickBot="1">
      <c r="A13" s="3109" t="s">
        <v>458</v>
      </c>
      <c r="B13" s="3110" t="s">
        <v>215</v>
      </c>
      <c r="C13" s="629">
        <f t="shared" si="3"/>
        <v>2.152777777777778E-4</v>
      </c>
      <c r="D13" s="3414">
        <v>2</v>
      </c>
      <c r="E13" s="2651">
        <v>1</v>
      </c>
      <c r="F13" s="3831">
        <v>10</v>
      </c>
      <c r="G13" s="3831">
        <v>50</v>
      </c>
      <c r="H13" s="2869">
        <v>5.7870370370370378E-4</v>
      </c>
      <c r="I13" s="3823" t="s">
        <v>1768</v>
      </c>
      <c r="J13" s="2869"/>
      <c r="K13" s="2870"/>
      <c r="L13" s="2869">
        <f>L12+N12</f>
        <v>0.42276990740740739</v>
      </c>
      <c r="M13" s="3679">
        <v>1.1499999999999999</v>
      </c>
      <c r="N13" s="3552">
        <f>H13*F13*E13</f>
        <v>5.7870370370370376E-3</v>
      </c>
      <c r="O13" s="3736">
        <f t="shared" ref="O13" si="16">C13*G13/25</f>
        <v>4.3055555555555561E-4</v>
      </c>
      <c r="P13" s="3737">
        <f t="shared" ref="P13" si="17">O13*M13</f>
        <v>4.9513888888888893E-4</v>
      </c>
      <c r="Q13" s="3419">
        <v>140</v>
      </c>
      <c r="R13" s="3861">
        <f t="shared" ref="R13" si="18">E13*F13*G13</f>
        <v>500</v>
      </c>
      <c r="S13" s="2844">
        <f t="shared" si="7"/>
        <v>0.5</v>
      </c>
      <c r="T13" s="2845">
        <f t="shared" si="8"/>
        <v>1.7222222222222226E-2</v>
      </c>
      <c r="U13" s="374">
        <f t="shared" si="9"/>
        <v>0</v>
      </c>
      <c r="V13" s="2846">
        <f t="shared" si="10"/>
        <v>0.5</v>
      </c>
      <c r="W13" s="2847">
        <f t="shared" si="11"/>
        <v>0</v>
      </c>
      <c r="X13" s="2848">
        <f t="shared" si="12"/>
        <v>0</v>
      </c>
      <c r="Y13" s="2849">
        <f t="shared" si="13"/>
        <v>0</v>
      </c>
      <c r="Z13" s="2850">
        <f t="shared" si="14"/>
        <v>0</v>
      </c>
      <c r="AA13" s="2851">
        <f t="shared" si="15"/>
        <v>0</v>
      </c>
      <c r="AB13" s="2935"/>
      <c r="AC13" s="2867"/>
      <c r="AD13" s="2867"/>
      <c r="AE13" s="2867"/>
      <c r="AF13" s="2867"/>
      <c r="AG13" s="2867"/>
      <c r="AH13" s="2867"/>
      <c r="AI13" s="2935"/>
      <c r="AJ13" s="2935"/>
      <c r="AK13" s="2935"/>
      <c r="AL13" s="2935"/>
      <c r="AM13" s="2935"/>
      <c r="AN13" s="2935"/>
    </row>
    <row r="14" spans="1:40" s="63" customFormat="1" ht="26" customHeight="1" thickBot="1">
      <c r="A14" s="3109" t="s">
        <v>462</v>
      </c>
      <c r="B14" s="3110" t="s">
        <v>215</v>
      </c>
      <c r="C14" s="629">
        <f t="shared" si="3"/>
        <v>1.7222222222222224E-4</v>
      </c>
      <c r="D14" s="3842">
        <v>7</v>
      </c>
      <c r="E14" s="3843">
        <v>4</v>
      </c>
      <c r="F14" s="3844">
        <v>4</v>
      </c>
      <c r="G14" s="3844">
        <v>50</v>
      </c>
      <c r="H14" s="3845">
        <v>9.2592592592592585E-4</v>
      </c>
      <c r="I14" s="3846"/>
      <c r="J14" s="3846">
        <v>2.0833333333333333E-3</v>
      </c>
      <c r="K14" s="3754" t="s">
        <v>1769</v>
      </c>
      <c r="L14" s="3847">
        <f>L13+N13</f>
        <v>0.42855694444444442</v>
      </c>
      <c r="M14" s="3848">
        <v>1.05</v>
      </c>
      <c r="N14" s="3849">
        <f>H14*F14*E14</f>
        <v>1.4814814814814814E-2</v>
      </c>
      <c r="O14" s="2271">
        <f t="shared" ref="O14:O15" si="19">C14*G14/25</f>
        <v>3.4444444444444442E-4</v>
      </c>
      <c r="P14" s="2526">
        <f t="shared" ref="P14:P15" si="20">O14*M14</f>
        <v>3.6166666666666666E-4</v>
      </c>
      <c r="Q14" s="2527">
        <v>140</v>
      </c>
      <c r="R14" s="2527">
        <f t="shared" ref="R14:R15" si="21">E14*F14*G14</f>
        <v>800</v>
      </c>
      <c r="S14" s="2844">
        <f t="shared" si="7"/>
        <v>0.8</v>
      </c>
      <c r="T14" s="2845">
        <f t="shared" si="8"/>
        <v>2.2044444444444443E-2</v>
      </c>
      <c r="U14" s="374">
        <f t="shared" si="9"/>
        <v>0</v>
      </c>
      <c r="V14" s="2846">
        <f t="shared" si="10"/>
        <v>0</v>
      </c>
      <c r="W14" s="2847">
        <f t="shared" si="11"/>
        <v>0</v>
      </c>
      <c r="X14" s="2848">
        <f t="shared" si="12"/>
        <v>0</v>
      </c>
      <c r="Y14" s="2849">
        <f t="shared" si="13"/>
        <v>0</v>
      </c>
      <c r="Z14" s="2850">
        <f t="shared" si="14"/>
        <v>0</v>
      </c>
      <c r="AA14" s="2851">
        <f t="shared" si="15"/>
        <v>0.8</v>
      </c>
      <c r="AB14" s="2935"/>
      <c r="AC14" s="2867"/>
      <c r="AD14" s="2867"/>
      <c r="AE14" s="2867"/>
      <c r="AF14" s="2867"/>
      <c r="AG14" s="2867"/>
      <c r="AH14" s="2867"/>
      <c r="AI14" s="2935"/>
      <c r="AJ14" s="2935"/>
      <c r="AK14" s="2935"/>
      <c r="AL14" s="2935"/>
      <c r="AM14" s="2935"/>
      <c r="AN14" s="2935"/>
    </row>
    <row r="15" spans="1:40" s="63" customFormat="1" ht="13" customHeight="1" thickBot="1">
      <c r="A15" s="3109" t="s">
        <v>140</v>
      </c>
      <c r="B15" s="3110"/>
      <c r="C15" s="629">
        <f t="shared" si="3"/>
        <v>1.9733796296296302E-4</v>
      </c>
      <c r="D15" s="2520">
        <v>3</v>
      </c>
      <c r="E15" s="3804">
        <v>1</v>
      </c>
      <c r="F15" s="3832">
        <v>1</v>
      </c>
      <c r="G15" s="3832">
        <v>400</v>
      </c>
      <c r="H15" s="3786">
        <v>1.2152777777777778E-3</v>
      </c>
      <c r="I15" s="3786"/>
      <c r="J15" s="3786"/>
      <c r="K15" s="3805" t="s">
        <v>1223</v>
      </c>
      <c r="L15" s="3786">
        <f t="shared" ref="L15" si="22">L14+N14</f>
        <v>0.44337175925925926</v>
      </c>
      <c r="M15" s="3806">
        <v>1.05</v>
      </c>
      <c r="N15" s="3792">
        <f>H15*F15*E15</f>
        <v>1.2152777777777778E-3</v>
      </c>
      <c r="O15" s="3698">
        <f t="shared" si="19"/>
        <v>3.1574074074074083E-3</v>
      </c>
      <c r="P15" s="3698">
        <f t="shared" si="20"/>
        <v>3.315277777777779E-3</v>
      </c>
      <c r="Q15" s="3807">
        <v>164</v>
      </c>
      <c r="R15" s="3862">
        <f t="shared" si="21"/>
        <v>400</v>
      </c>
      <c r="S15" s="2844">
        <f t="shared" si="7"/>
        <v>0.4</v>
      </c>
      <c r="T15" s="2845">
        <f t="shared" si="8"/>
        <v>1.2629629629629633E-2</v>
      </c>
      <c r="U15" s="374">
        <f t="shared" si="9"/>
        <v>0</v>
      </c>
      <c r="V15" s="2846">
        <f t="shared" si="10"/>
        <v>0</v>
      </c>
      <c r="W15" s="2847">
        <f t="shared" si="11"/>
        <v>0.4</v>
      </c>
      <c r="X15" s="2848">
        <f t="shared" si="12"/>
        <v>0</v>
      </c>
      <c r="Y15" s="2849">
        <f t="shared" si="13"/>
        <v>0</v>
      </c>
      <c r="Z15" s="2850">
        <f t="shared" si="14"/>
        <v>0</v>
      </c>
      <c r="AA15" s="2851">
        <f t="shared" si="15"/>
        <v>0</v>
      </c>
      <c r="AB15" s="2935"/>
      <c r="AC15" s="2867"/>
      <c r="AD15" s="2867"/>
      <c r="AE15" s="2867"/>
      <c r="AF15" s="2867"/>
      <c r="AG15" s="2867"/>
      <c r="AH15" s="2867"/>
      <c r="AI15" s="2935"/>
      <c r="AJ15" s="2935"/>
      <c r="AK15" s="2935"/>
      <c r="AL15" s="2935"/>
      <c r="AM15" s="2935"/>
      <c r="AN15" s="2935"/>
    </row>
    <row r="16" spans="1:40" s="63" customFormat="1" ht="15" customHeight="1" thickBot="1">
      <c r="A16" s="3109" t="s">
        <v>674</v>
      </c>
      <c r="B16" s="3110"/>
      <c r="C16" s="629">
        <f t="shared" si="3"/>
        <v>2.152777777777778E-4</v>
      </c>
      <c r="D16" s="3414">
        <v>2</v>
      </c>
      <c r="E16" s="2651">
        <v>1</v>
      </c>
      <c r="F16" s="3831">
        <v>4</v>
      </c>
      <c r="G16" s="3831">
        <v>200</v>
      </c>
      <c r="H16" s="2869"/>
      <c r="I16" s="2869">
        <v>0</v>
      </c>
      <c r="J16" s="2869">
        <v>0</v>
      </c>
      <c r="K16" s="2870" t="s">
        <v>1770</v>
      </c>
      <c r="L16" s="2869">
        <v>0.80208333333333337</v>
      </c>
      <c r="M16" s="3679">
        <v>1</v>
      </c>
      <c r="N16" s="3552">
        <f>P16*E16*F16+I16*E16*F16+J16*E16</f>
        <v>6.8888888888888897E-3</v>
      </c>
      <c r="O16" s="3736">
        <f>C16*G16/25</f>
        <v>1.7222222222222224E-3</v>
      </c>
      <c r="P16" s="3737">
        <f>O16*M16</f>
        <v>1.7222222222222224E-3</v>
      </c>
      <c r="Q16" s="3419">
        <v>129</v>
      </c>
      <c r="R16" s="3861">
        <f>E16*F16*G16</f>
        <v>800</v>
      </c>
      <c r="S16" s="2844">
        <f t="shared" si="7"/>
        <v>0.8</v>
      </c>
      <c r="T16" s="2845">
        <f t="shared" si="8"/>
        <v>2.7555555555555559E-2</v>
      </c>
      <c r="U16" s="374">
        <f t="shared" si="9"/>
        <v>0</v>
      </c>
      <c r="V16" s="2846">
        <f t="shared" si="10"/>
        <v>0.8</v>
      </c>
      <c r="W16" s="2847">
        <f t="shared" si="11"/>
        <v>0</v>
      </c>
      <c r="X16" s="2848">
        <f t="shared" si="12"/>
        <v>0</v>
      </c>
      <c r="Y16" s="2849">
        <f t="shared" si="13"/>
        <v>0</v>
      </c>
      <c r="Z16" s="2850">
        <f t="shared" si="14"/>
        <v>0</v>
      </c>
      <c r="AA16" s="2851">
        <f t="shared" si="15"/>
        <v>0</v>
      </c>
      <c r="AB16" s="2935"/>
      <c r="AC16" s="2867"/>
      <c r="AD16" s="2867"/>
      <c r="AE16" s="2867"/>
      <c r="AF16" s="2867"/>
      <c r="AG16" s="2867"/>
      <c r="AH16" s="2867"/>
      <c r="AI16" s="2935"/>
      <c r="AJ16" s="2935"/>
      <c r="AK16" s="2935"/>
      <c r="AL16" s="2935"/>
      <c r="AM16" s="2935"/>
      <c r="AN16" s="2935"/>
    </row>
    <row r="17" spans="1:40" s="63" customFormat="1" ht="16" customHeight="1" thickBot="1">
      <c r="A17" s="3109" t="s">
        <v>214</v>
      </c>
      <c r="B17" s="3110"/>
      <c r="C17" s="629">
        <f t="shared" si="3"/>
        <v>1.7222222222222224E-4</v>
      </c>
      <c r="D17" s="3856">
        <v>7</v>
      </c>
      <c r="E17" s="3857">
        <v>1</v>
      </c>
      <c r="F17" s="3858">
        <v>1</v>
      </c>
      <c r="G17" s="3858">
        <v>400</v>
      </c>
      <c r="H17" s="3859"/>
      <c r="I17" s="2869">
        <v>4.6296296296296293E-4</v>
      </c>
      <c r="J17" s="2869">
        <v>1.3888888888888889E-3</v>
      </c>
      <c r="K17" s="3850" t="s">
        <v>1771</v>
      </c>
      <c r="L17" s="3851">
        <f t="shared" ref="L17" si="23">L16+N16</f>
        <v>0.80897222222222231</v>
      </c>
      <c r="M17" s="3852">
        <v>1</v>
      </c>
      <c r="N17" s="3853">
        <f>P17*E17*F17+I17*E17*F17+J17*E17</f>
        <v>4.6074074074074073E-3</v>
      </c>
      <c r="O17" s="2526">
        <f t="shared" ref="O17" si="24">C17*G17/25</f>
        <v>2.7555555555555554E-3</v>
      </c>
      <c r="P17" s="3698">
        <f>O17*M17</f>
        <v>2.7555555555555554E-3</v>
      </c>
      <c r="Q17" s="3854" t="s">
        <v>274</v>
      </c>
      <c r="R17" s="3855">
        <f>E17*F17*G17</f>
        <v>400</v>
      </c>
      <c r="S17" s="2844">
        <f t="shared" si="7"/>
        <v>0.4</v>
      </c>
      <c r="T17" s="2845">
        <f t="shared" si="8"/>
        <v>1.1022222222222221E-2</v>
      </c>
      <c r="U17" s="374">
        <f t="shared" si="9"/>
        <v>0</v>
      </c>
      <c r="V17" s="2846">
        <f t="shared" si="10"/>
        <v>0</v>
      </c>
      <c r="W17" s="2847">
        <f t="shared" si="11"/>
        <v>0</v>
      </c>
      <c r="X17" s="2848">
        <f t="shared" si="12"/>
        <v>0</v>
      </c>
      <c r="Y17" s="2849">
        <f t="shared" si="13"/>
        <v>0</v>
      </c>
      <c r="Z17" s="2850">
        <f t="shared" si="14"/>
        <v>0</v>
      </c>
      <c r="AA17" s="2851">
        <f t="shared" si="15"/>
        <v>0.4</v>
      </c>
      <c r="AB17" s="2935"/>
      <c r="AC17" s="2867"/>
      <c r="AD17" s="2867"/>
      <c r="AE17" s="2867"/>
      <c r="AF17" s="2867"/>
      <c r="AG17" s="2867"/>
      <c r="AH17" s="2867"/>
      <c r="AI17" s="2935"/>
      <c r="AJ17" s="2935"/>
      <c r="AK17" s="2935"/>
      <c r="AL17" s="2935"/>
      <c r="AM17" s="2935"/>
      <c r="AN17" s="2935"/>
    </row>
    <row r="18" spans="1:40" s="63" customFormat="1" ht="14" customHeight="1" thickBot="1">
      <c r="A18" s="3109" t="s">
        <v>458</v>
      </c>
      <c r="B18" s="3110"/>
      <c r="C18" s="629">
        <f t="shared" si="3"/>
        <v>0</v>
      </c>
      <c r="D18" s="3809"/>
      <c r="E18" s="3454"/>
      <c r="F18" s="3454"/>
      <c r="G18" s="3454"/>
      <c r="H18" s="3454"/>
      <c r="I18" s="3454"/>
      <c r="J18" s="3454"/>
      <c r="K18" s="3454"/>
      <c r="L18" s="2528">
        <f>L14+N14</f>
        <v>0.44337175925925926</v>
      </c>
      <c r="M18" s="448"/>
      <c r="N18" s="2423">
        <f>SUM(N10:N17)</f>
        <v>6.0250000000000005E-2</v>
      </c>
      <c r="O18" s="2526">
        <f t="shared" ref="O18" si="25">C18*G18/25</f>
        <v>0</v>
      </c>
      <c r="P18" s="336"/>
      <c r="Q18" s="336"/>
      <c r="R18" s="3863">
        <f>SUM(R11:R17)</f>
        <v>3900</v>
      </c>
      <c r="S18" s="2844">
        <f t="shared" si="7"/>
        <v>0</v>
      </c>
      <c r="T18" s="2845">
        <f t="shared" si="8"/>
        <v>0</v>
      </c>
      <c r="U18" s="374">
        <f t="shared" si="9"/>
        <v>0</v>
      </c>
      <c r="V18" s="2846">
        <f t="shared" si="10"/>
        <v>0</v>
      </c>
      <c r="W18" s="2847">
        <f t="shared" si="11"/>
        <v>0</v>
      </c>
      <c r="X18" s="2848">
        <f t="shared" si="12"/>
        <v>0</v>
      </c>
      <c r="Y18" s="2849">
        <f t="shared" si="13"/>
        <v>0</v>
      </c>
      <c r="Z18" s="2850">
        <f t="shared" si="14"/>
        <v>0</v>
      </c>
      <c r="AA18" s="2851">
        <f t="shared" si="15"/>
        <v>0</v>
      </c>
      <c r="AB18" s="2935"/>
      <c r="AC18" s="2867"/>
      <c r="AD18" s="2867"/>
      <c r="AE18" s="2867"/>
      <c r="AF18" s="2867"/>
      <c r="AG18" s="2867"/>
      <c r="AH18" s="2867"/>
      <c r="AI18" s="2935"/>
      <c r="AJ18" s="2935"/>
      <c r="AK18" s="2935"/>
      <c r="AL18" s="2935"/>
      <c r="AM18" s="2935"/>
      <c r="AN18" s="2935"/>
    </row>
    <row r="19" spans="1:40" ht="14" customHeight="1" thickBot="1">
      <c r="A19" s="3109" t="s">
        <v>219</v>
      </c>
      <c r="B19" s="3110" t="s">
        <v>461</v>
      </c>
      <c r="C19" s="629">
        <f>IF(D19=1,U$9,IF(D19=2,V$9,IF(D19=3,W$9,IF(D19=4,X$9,IF(D19=5,Y$9,IF(D19=6,Z$9,IF(D19=7,AA$9,0)))))))</f>
        <v>2.3321759259259265E-4</v>
      </c>
      <c r="D19" s="2335">
        <v>1</v>
      </c>
      <c r="E19" s="3103"/>
      <c r="F19" s="3838"/>
      <c r="G19" s="3828"/>
      <c r="H19" s="3106"/>
      <c r="I19" s="3106"/>
      <c r="J19" s="3105"/>
      <c r="K19" s="3791" t="s">
        <v>1764</v>
      </c>
      <c r="L19" s="2337">
        <v>0.70833333333333337</v>
      </c>
      <c r="M19" s="3107"/>
      <c r="N19" s="3810">
        <v>1.4583333333333332E-2</v>
      </c>
      <c r="O19" s="3103"/>
      <c r="P19" s="3103"/>
      <c r="Q19" s="3103"/>
      <c r="R19" s="3108"/>
      <c r="S19" s="2844">
        <f t="shared" si="7"/>
        <v>0</v>
      </c>
      <c r="T19" s="2845">
        <f t="shared" si="8"/>
        <v>0</v>
      </c>
      <c r="U19" s="374">
        <f t="shared" si="9"/>
        <v>0</v>
      </c>
      <c r="V19" s="2846">
        <f t="shared" si="10"/>
        <v>0</v>
      </c>
      <c r="W19" s="2847">
        <f t="shared" si="11"/>
        <v>0</v>
      </c>
      <c r="X19" s="2848">
        <f t="shared" si="12"/>
        <v>0</v>
      </c>
      <c r="Y19" s="2849">
        <f t="shared" si="13"/>
        <v>0</v>
      </c>
      <c r="Z19" s="2850">
        <f t="shared" si="14"/>
        <v>0</v>
      </c>
      <c r="AA19" s="2851">
        <f t="shared" si="15"/>
        <v>0</v>
      </c>
      <c r="AB19" s="2935"/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</row>
    <row r="20" spans="1:40" ht="15" customHeight="1" thickBot="1">
      <c r="A20" s="3109"/>
      <c r="B20" s="3110" t="s">
        <v>461</v>
      </c>
      <c r="C20" s="629">
        <f>IF(D20=1,U$9,IF(D20=2,V$9,IF(D20=3,W$9,IF(D20=4,X$9,IF(D20=5,Y$9,IF(D20=6,Z$9,IF(D20=7,AA$9,0)))))))</f>
        <v>2.3321759259259265E-4</v>
      </c>
      <c r="D20" s="3406">
        <v>1</v>
      </c>
      <c r="E20" s="3407">
        <v>1</v>
      </c>
      <c r="F20" s="3830">
        <v>1</v>
      </c>
      <c r="G20" s="3830">
        <v>950</v>
      </c>
      <c r="H20" s="2654"/>
      <c r="I20" s="2654">
        <v>0</v>
      </c>
      <c r="J20" s="2654">
        <v>1.1574074074074073E-4</v>
      </c>
      <c r="K20" s="3860" t="s">
        <v>1772</v>
      </c>
      <c r="L20" s="3867">
        <f t="shared" ref="L20" si="26">L19+N19</f>
        <v>0.72291666666666665</v>
      </c>
      <c r="M20" s="3868">
        <v>1</v>
      </c>
      <c r="N20" s="3869">
        <f>P20*E20*F20+I20*E20*F20+J20*E20</f>
        <v>8.9780092592592602E-3</v>
      </c>
      <c r="O20" s="2526">
        <f t="shared" ref="O20" si="27">C20*G20/25</f>
        <v>8.8622685185185193E-3</v>
      </c>
      <c r="P20" s="3698">
        <f>O20*M20</f>
        <v>8.8622685185185193E-3</v>
      </c>
      <c r="Q20" s="3854">
        <v>120</v>
      </c>
      <c r="R20" s="3855">
        <f>E20*F20*G20</f>
        <v>950</v>
      </c>
      <c r="S20" s="2844">
        <f t="shared" si="7"/>
        <v>0.95</v>
      </c>
      <c r="T20" s="2845">
        <f t="shared" si="8"/>
        <v>3.5449074074074077E-2</v>
      </c>
      <c r="U20" s="374">
        <f t="shared" si="9"/>
        <v>0.95</v>
      </c>
      <c r="V20" s="2846">
        <f t="shared" si="10"/>
        <v>0</v>
      </c>
      <c r="W20" s="2847">
        <f t="shared" si="11"/>
        <v>0</v>
      </c>
      <c r="X20" s="2848">
        <f t="shared" si="12"/>
        <v>0</v>
      </c>
      <c r="Y20" s="2849">
        <f t="shared" si="13"/>
        <v>0</v>
      </c>
      <c r="Z20" s="2850">
        <f t="shared" si="14"/>
        <v>0</v>
      </c>
      <c r="AA20" s="2851">
        <f t="shared" si="15"/>
        <v>0</v>
      </c>
      <c r="AB20" s="2935"/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</row>
    <row r="21" spans="1:40" ht="14" customHeight="1" thickBot="1">
      <c r="A21" s="3109" t="s">
        <v>215</v>
      </c>
      <c r="B21" s="3110" t="s">
        <v>461</v>
      </c>
      <c r="C21" s="629">
        <f t="shared" ref="C21:C27" si="28">IF(D21=1,U$9,IF(D21=2,V$9,IF(D21=3,W$9,IF(D21=4,X$9,IF(D21=5,Y$9,IF(D21=6,Z$9,IF(D21=7,AA$9,0)))))))</f>
        <v>2.152777777777778E-4</v>
      </c>
      <c r="D21" s="3414">
        <v>2</v>
      </c>
      <c r="E21" s="2651">
        <v>1</v>
      </c>
      <c r="F21" s="3831">
        <v>6</v>
      </c>
      <c r="G21" s="3831">
        <v>100</v>
      </c>
      <c r="H21" s="2869">
        <v>1.2731481481481483E-3</v>
      </c>
      <c r="I21" s="2869"/>
      <c r="J21" s="2869"/>
      <c r="K21" s="2870" t="s">
        <v>1773</v>
      </c>
      <c r="L21" s="2869">
        <f>L20+N20</f>
        <v>0.73189467592592594</v>
      </c>
      <c r="M21" s="3679">
        <v>1.1499999999999999</v>
      </c>
      <c r="N21" s="3552">
        <f>H21*F21*E21</f>
        <v>7.6388888888888895E-3</v>
      </c>
      <c r="O21" s="3736">
        <f t="shared" ref="O21:O22" si="29">C21*G21/25</f>
        <v>8.6111111111111121E-4</v>
      </c>
      <c r="P21" s="3737">
        <f t="shared" ref="P21:P22" si="30">O21*M21</f>
        <v>9.9027777777777786E-4</v>
      </c>
      <c r="Q21" s="3419">
        <v>140</v>
      </c>
      <c r="R21" s="3861">
        <f t="shared" ref="R21:R22" si="31">E21*F21*G21</f>
        <v>600</v>
      </c>
      <c r="S21" s="2844">
        <f t="shared" si="7"/>
        <v>0.6</v>
      </c>
      <c r="T21" s="2845">
        <f t="shared" si="8"/>
        <v>2.066666666666667E-2</v>
      </c>
      <c r="U21" s="374">
        <f t="shared" si="9"/>
        <v>0</v>
      </c>
      <c r="V21" s="2846">
        <f t="shared" si="10"/>
        <v>0.6</v>
      </c>
      <c r="W21" s="2847">
        <f t="shared" si="11"/>
        <v>0</v>
      </c>
      <c r="X21" s="2848">
        <f t="shared" si="12"/>
        <v>0</v>
      </c>
      <c r="Y21" s="2849">
        <f t="shared" si="13"/>
        <v>0</v>
      </c>
      <c r="Z21" s="2850">
        <f t="shared" si="14"/>
        <v>0</v>
      </c>
      <c r="AA21" s="2851">
        <f t="shared" si="15"/>
        <v>0</v>
      </c>
      <c r="AB21" s="2935"/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</row>
    <row r="22" spans="1:40" ht="14" customHeight="1" thickBot="1">
      <c r="A22" s="3109" t="s">
        <v>139</v>
      </c>
      <c r="B22" s="3110" t="s">
        <v>461</v>
      </c>
      <c r="C22" s="629">
        <f t="shared" si="28"/>
        <v>2.152777777777778E-4</v>
      </c>
      <c r="D22" s="3414">
        <v>2</v>
      </c>
      <c r="E22" s="2651">
        <v>1</v>
      </c>
      <c r="F22" s="3831">
        <v>9</v>
      </c>
      <c r="G22" s="3831">
        <v>50</v>
      </c>
      <c r="H22" s="2869">
        <v>6.9444444444444447E-4</v>
      </c>
      <c r="I22" s="3823" t="s">
        <v>1774</v>
      </c>
      <c r="J22" s="2869"/>
      <c r="K22" s="2870"/>
      <c r="L22" s="2869">
        <f>L21+N21</f>
        <v>0.7395335648148148</v>
      </c>
      <c r="M22" s="3679">
        <v>1.1499999999999999</v>
      </c>
      <c r="N22" s="3552">
        <f>H22*F22*E22</f>
        <v>6.2500000000000003E-3</v>
      </c>
      <c r="O22" s="3736">
        <f t="shared" si="29"/>
        <v>4.3055555555555561E-4</v>
      </c>
      <c r="P22" s="3737">
        <f t="shared" si="30"/>
        <v>4.9513888888888893E-4</v>
      </c>
      <c r="Q22" s="3419">
        <v>140</v>
      </c>
      <c r="R22" s="3861">
        <f t="shared" si="31"/>
        <v>450</v>
      </c>
      <c r="S22" s="2844">
        <f t="shared" si="7"/>
        <v>0.45</v>
      </c>
      <c r="T22" s="2845">
        <f t="shared" si="8"/>
        <v>1.5500000000000002E-2</v>
      </c>
      <c r="U22" s="374">
        <f t="shared" si="9"/>
        <v>0</v>
      </c>
      <c r="V22" s="2846">
        <f t="shared" si="10"/>
        <v>0.45</v>
      </c>
      <c r="W22" s="2847">
        <f t="shared" si="11"/>
        <v>0</v>
      </c>
      <c r="X22" s="2848">
        <f t="shared" si="12"/>
        <v>0</v>
      </c>
      <c r="Y22" s="2849">
        <f t="shared" si="13"/>
        <v>0</v>
      </c>
      <c r="Z22" s="2850">
        <f t="shared" si="14"/>
        <v>0</v>
      </c>
      <c r="AA22" s="2851">
        <f t="shared" si="15"/>
        <v>0</v>
      </c>
      <c r="AB22" s="2935"/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</row>
    <row r="23" spans="1:40" ht="14" customHeight="1" thickBot="1">
      <c r="A23" s="3109" t="s">
        <v>458</v>
      </c>
      <c r="B23" s="3110" t="s">
        <v>461</v>
      </c>
      <c r="C23" s="629">
        <f t="shared" si="28"/>
        <v>1.7222222222222224E-4</v>
      </c>
      <c r="D23" s="3842">
        <v>7</v>
      </c>
      <c r="E23" s="3843">
        <v>1</v>
      </c>
      <c r="F23" s="3844">
        <v>20</v>
      </c>
      <c r="G23" s="3844">
        <v>25</v>
      </c>
      <c r="H23" s="3845">
        <v>6.9444444444444447E-4</v>
      </c>
      <c r="I23" s="3846"/>
      <c r="J23" s="3846">
        <v>2.0833333333333333E-3</v>
      </c>
      <c r="K23" s="3754" t="s">
        <v>1775</v>
      </c>
      <c r="L23" s="3847">
        <f t="shared" ref="L23:L26" si="32">L22+N22</f>
        <v>0.74578356481481478</v>
      </c>
      <c r="M23" s="3848">
        <v>1.05</v>
      </c>
      <c r="N23" s="3849">
        <f t="shared" ref="N23:N26" si="33">H23*F23*E23</f>
        <v>1.388888888888889E-2</v>
      </c>
      <c r="O23" s="2271">
        <f t="shared" ref="O23:O26" si="34">C23*G23/25</f>
        <v>1.7222222222222221E-4</v>
      </c>
      <c r="P23" s="2517">
        <f t="shared" ref="P23:P26" si="35">O23*M23</f>
        <v>1.8083333333333333E-4</v>
      </c>
      <c r="Q23" s="3741">
        <v>140</v>
      </c>
      <c r="R23" s="3864">
        <f t="shared" ref="R23:R26" si="36">E23*F23*G23</f>
        <v>500</v>
      </c>
      <c r="S23" s="2844">
        <f t="shared" si="7"/>
        <v>0.5</v>
      </c>
      <c r="T23" s="2845">
        <f t="shared" si="8"/>
        <v>1.3777777777777778E-2</v>
      </c>
      <c r="U23" s="374">
        <f t="shared" si="9"/>
        <v>0</v>
      </c>
      <c r="V23" s="2846">
        <f t="shared" si="10"/>
        <v>0</v>
      </c>
      <c r="W23" s="2847">
        <f t="shared" si="11"/>
        <v>0</v>
      </c>
      <c r="X23" s="2848">
        <f t="shared" si="12"/>
        <v>0</v>
      </c>
      <c r="Y23" s="2849">
        <f t="shared" si="13"/>
        <v>0</v>
      </c>
      <c r="Z23" s="2850">
        <f t="shared" si="14"/>
        <v>0</v>
      </c>
      <c r="AA23" s="2851">
        <f t="shared" si="15"/>
        <v>0.5</v>
      </c>
      <c r="AB23" s="2935"/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1"/>
    </row>
    <row r="24" spans="1:40" ht="14" customHeight="1" thickBot="1">
      <c r="A24" s="3109" t="s">
        <v>462</v>
      </c>
      <c r="B24" s="3110" t="s">
        <v>461</v>
      </c>
      <c r="C24" s="629">
        <f t="shared" si="28"/>
        <v>1.9733796296296302E-4</v>
      </c>
      <c r="D24" s="2520">
        <v>3</v>
      </c>
      <c r="E24" s="3804">
        <v>1</v>
      </c>
      <c r="F24" s="3832">
        <v>1</v>
      </c>
      <c r="G24" s="3832">
        <v>300</v>
      </c>
      <c r="H24" s="3786">
        <v>1.2152777777777778E-3</v>
      </c>
      <c r="I24" s="3786"/>
      <c r="J24" s="3786"/>
      <c r="K24" s="3805" t="s">
        <v>1776</v>
      </c>
      <c r="L24" s="3786">
        <f t="shared" si="32"/>
        <v>0.75967245370370362</v>
      </c>
      <c r="M24" s="3806">
        <v>1.1499999999999999</v>
      </c>
      <c r="N24" s="3792">
        <f t="shared" si="33"/>
        <v>1.2152777777777778E-3</v>
      </c>
      <c r="O24" s="3698">
        <f t="shared" si="34"/>
        <v>2.3680555555555564E-3</v>
      </c>
      <c r="P24" s="3737">
        <f t="shared" si="35"/>
        <v>2.7232638888888897E-3</v>
      </c>
      <c r="Q24" s="3419">
        <v>140</v>
      </c>
      <c r="R24" s="3861">
        <f t="shared" si="36"/>
        <v>300</v>
      </c>
      <c r="S24" s="2844">
        <f>E24*F24*G24/1000</f>
        <v>0.3</v>
      </c>
      <c r="T24" s="2845">
        <f>E24*F24*O24*4</f>
        <v>9.4722222222222256E-3</v>
      </c>
      <c r="U24" s="374">
        <f>IF(C24*4&gt;=$U$8,S24,0)</f>
        <v>0</v>
      </c>
      <c r="V24" s="2846">
        <f>IF(AND(C24*4&gt;=$V$8,C24*4&lt;$U$8),S24,0)</f>
        <v>0</v>
      </c>
      <c r="W24" s="2847">
        <f>IF(AND(C24*4&gt;=$W$8,C24*4&lt;$V$8),S24,0)</f>
        <v>0.3</v>
      </c>
      <c r="X24" s="2848">
        <f>IF(AND(C24*4&gt;=$X$8,C24*4&lt;$W$8),S24,0)</f>
        <v>0</v>
      </c>
      <c r="Y24" s="2849">
        <f>IF(AND(C24*4&gt;=$Y$8,C24*4&lt;$X$8),S24,0)</f>
        <v>0</v>
      </c>
      <c r="Z24" s="2850">
        <f>IF(AND(C24*4&gt;=$Z$8,C24*4&lt;$Y$8),S24,0)</f>
        <v>0</v>
      </c>
      <c r="AA24" s="2851">
        <f>IF(AND(C24*4&gt;=$AA$8,C24*4&lt;$Z$8),S24,0)</f>
        <v>0</v>
      </c>
      <c r="AB24" s="2935"/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4" customHeight="1" thickBot="1">
      <c r="A25" s="3688" t="s">
        <v>140</v>
      </c>
      <c r="B25" s="3110" t="s">
        <v>461</v>
      </c>
      <c r="C25" s="629">
        <f t="shared" ref="C25" si="37">IF(D25=1,U$9,IF(D25=2,V$9,IF(D25=3,W$9,IF(D25=4,X$9,IF(D25=5,Y$9,IF(D25=6,Z$9,IF(D25=7,AA$9,0)))))))</f>
        <v>1.7222222222222224E-4</v>
      </c>
      <c r="D25" s="3842">
        <v>7</v>
      </c>
      <c r="E25" s="3843">
        <v>2</v>
      </c>
      <c r="F25" s="3844">
        <v>10</v>
      </c>
      <c r="G25" s="3844">
        <v>25</v>
      </c>
      <c r="H25" s="3845">
        <v>6.9444444444444447E-4</v>
      </c>
      <c r="I25" s="3846"/>
      <c r="J25" s="3846">
        <v>6.9444444444444447E-4</v>
      </c>
      <c r="K25" s="3754" t="s">
        <v>1777</v>
      </c>
      <c r="L25" s="3847">
        <f t="shared" si="32"/>
        <v>0.76088773148148137</v>
      </c>
      <c r="M25" s="3848">
        <v>1.05</v>
      </c>
      <c r="N25" s="3849">
        <f t="shared" si="33"/>
        <v>1.388888888888889E-2</v>
      </c>
      <c r="O25" s="2271">
        <f t="shared" si="34"/>
        <v>1.7222222222222221E-4</v>
      </c>
      <c r="P25" s="2517">
        <f t="shared" si="35"/>
        <v>1.8083333333333333E-4</v>
      </c>
      <c r="Q25" s="3741">
        <v>140</v>
      </c>
      <c r="R25" s="3864">
        <f t="shared" si="36"/>
        <v>500</v>
      </c>
      <c r="S25" s="2844">
        <f t="shared" ref="S25:S28" si="38">E25*F25*G25/1000</f>
        <v>0.5</v>
      </c>
      <c r="T25" s="2845">
        <f t="shared" ref="T25:T28" si="39">E25*F25*O25*4</f>
        <v>1.3777777777777778E-2</v>
      </c>
      <c r="U25" s="374">
        <f t="shared" ref="U25:U28" si="40">IF(C25*4&gt;=$U$8,S25,0)</f>
        <v>0</v>
      </c>
      <c r="V25" s="2846">
        <f t="shared" ref="V25:V28" si="41">IF(AND(C25*4&gt;=$V$8,C25*4&lt;$U$8),S25,0)</f>
        <v>0</v>
      </c>
      <c r="W25" s="2847">
        <f t="shared" ref="W25:W28" si="42">IF(AND(C25*4&gt;=$W$8,C25*4&lt;$V$8),S25,0)</f>
        <v>0</v>
      </c>
      <c r="X25" s="2848">
        <f t="shared" ref="X25:X28" si="43">IF(AND(C25*4&gt;=$X$8,C25*4&lt;$W$8),S25,0)</f>
        <v>0</v>
      </c>
      <c r="Y25" s="2849">
        <f t="shared" ref="Y25:Y28" si="44">IF(AND(C25*4&gt;=$Y$8,C25*4&lt;$X$8),S25,0)</f>
        <v>0</v>
      </c>
      <c r="Z25" s="2850">
        <f t="shared" ref="Z25:Z28" si="45">IF(AND(C25*4&gt;=$Z$8,C25*4&lt;$Y$8),S25,0)</f>
        <v>0</v>
      </c>
      <c r="AA25" s="2851">
        <f t="shared" ref="AA25:AA28" si="46">IF(AND(C25*4&gt;=$AA$8,C25*4&lt;$Z$8),S25,0)</f>
        <v>0.5</v>
      </c>
      <c r="AB25" s="2935"/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4" customHeight="1" thickBot="1">
      <c r="A26" s="3688" t="s">
        <v>1586</v>
      </c>
      <c r="B26" s="3110" t="s">
        <v>461</v>
      </c>
      <c r="C26" s="629">
        <f t="shared" si="28"/>
        <v>1.7222222222222224E-4</v>
      </c>
      <c r="D26" s="3856">
        <v>7</v>
      </c>
      <c r="E26" s="3857">
        <v>1</v>
      </c>
      <c r="F26" s="3858">
        <v>1</v>
      </c>
      <c r="G26" s="3858">
        <v>400</v>
      </c>
      <c r="H26" s="3859"/>
      <c r="I26" s="2869">
        <v>4.6296296296296293E-4</v>
      </c>
      <c r="J26" s="2869">
        <v>1.3888888888888889E-3</v>
      </c>
      <c r="K26" s="3850" t="s">
        <v>1771</v>
      </c>
      <c r="L26" s="3851">
        <f t="shared" si="32"/>
        <v>0.77477662037037021</v>
      </c>
      <c r="M26" s="3852">
        <v>1.1499999999999999</v>
      </c>
      <c r="N26" s="3853">
        <f t="shared" si="33"/>
        <v>0</v>
      </c>
      <c r="O26" s="2526">
        <f t="shared" si="34"/>
        <v>2.7555555555555554E-3</v>
      </c>
      <c r="P26" s="3698">
        <f t="shared" si="35"/>
        <v>3.1688888888888886E-3</v>
      </c>
      <c r="Q26" s="3854">
        <v>140</v>
      </c>
      <c r="R26" s="3855">
        <f t="shared" si="36"/>
        <v>400</v>
      </c>
      <c r="S26" s="2844">
        <f t="shared" si="38"/>
        <v>0.4</v>
      </c>
      <c r="T26" s="2845">
        <f t="shared" si="39"/>
        <v>1.1022222222222221E-2</v>
      </c>
      <c r="U26" s="374">
        <f t="shared" si="40"/>
        <v>0</v>
      </c>
      <c r="V26" s="2846">
        <f t="shared" si="41"/>
        <v>0</v>
      </c>
      <c r="W26" s="2847">
        <f t="shared" si="42"/>
        <v>0</v>
      </c>
      <c r="X26" s="2848">
        <f t="shared" si="43"/>
        <v>0</v>
      </c>
      <c r="Y26" s="2849">
        <f t="shared" si="44"/>
        <v>0</v>
      </c>
      <c r="Z26" s="2850">
        <f t="shared" si="45"/>
        <v>0</v>
      </c>
      <c r="AA26" s="2851">
        <f t="shared" si="46"/>
        <v>0.4</v>
      </c>
      <c r="AB26" s="2935"/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4" customHeight="1" thickBot="1">
      <c r="A27" s="3688"/>
      <c r="B27" s="3110" t="s">
        <v>461</v>
      </c>
      <c r="C27" s="629">
        <f t="shared" si="28"/>
        <v>0</v>
      </c>
      <c r="D27" s="3809"/>
      <c r="E27" s="3454"/>
      <c r="F27" s="3454"/>
      <c r="G27" s="3454"/>
      <c r="H27" s="3454"/>
      <c r="I27" s="3454"/>
      <c r="J27" s="3454"/>
      <c r="K27" s="3454"/>
      <c r="L27" s="2528">
        <f>L23+N23</f>
        <v>0.75967245370370362</v>
      </c>
      <c r="M27" s="448"/>
      <c r="N27" s="2423">
        <f>SUM(N19:N26)</f>
        <v>6.6443287037037044E-2</v>
      </c>
      <c r="O27" s="2526">
        <f t="shared" ref="O27" si="47">C27*G27/25</f>
        <v>0</v>
      </c>
      <c r="P27" s="336"/>
      <c r="Q27" s="336"/>
      <c r="R27" s="3863">
        <f>SUM(R20:R26)</f>
        <v>3700</v>
      </c>
      <c r="S27" s="2844">
        <f t="shared" si="38"/>
        <v>0</v>
      </c>
      <c r="T27" s="2845">
        <f t="shared" si="39"/>
        <v>0</v>
      </c>
      <c r="U27" s="374">
        <f t="shared" si="40"/>
        <v>0</v>
      </c>
      <c r="V27" s="2846">
        <f t="shared" si="41"/>
        <v>0</v>
      </c>
      <c r="W27" s="2847">
        <f t="shared" si="42"/>
        <v>0</v>
      </c>
      <c r="X27" s="2848">
        <f t="shared" si="43"/>
        <v>0</v>
      </c>
      <c r="Y27" s="2849">
        <f t="shared" si="44"/>
        <v>0</v>
      </c>
      <c r="Z27" s="2850">
        <f t="shared" si="45"/>
        <v>0</v>
      </c>
      <c r="AA27" s="2851">
        <f t="shared" si="46"/>
        <v>0</v>
      </c>
      <c r="AB27" s="2935"/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4" customHeight="1" thickBot="1">
      <c r="A28" s="3794"/>
      <c r="B28" s="3795"/>
      <c r="C28" s="3796"/>
      <c r="D28" s="3797"/>
      <c r="E28" s="3798"/>
      <c r="F28" s="3839"/>
      <c r="G28" s="3829"/>
      <c r="H28" s="3800"/>
      <c r="I28" s="3800"/>
      <c r="J28" s="3799"/>
      <c r="K28" s="3801" t="s">
        <v>1762</v>
      </c>
      <c r="L28" s="631">
        <v>0.39583333333333331</v>
      </c>
      <c r="M28" s="3802"/>
      <c r="N28" s="1882">
        <v>1.4583333333333332E-2</v>
      </c>
      <c r="O28" s="3798"/>
      <c r="P28" s="3798"/>
      <c r="Q28" s="3798"/>
      <c r="R28" s="3803"/>
      <c r="S28" s="2844">
        <f t="shared" si="38"/>
        <v>0</v>
      </c>
      <c r="T28" s="2845">
        <f t="shared" si="39"/>
        <v>0</v>
      </c>
      <c r="U28" s="374">
        <f t="shared" si="40"/>
        <v>0</v>
      </c>
      <c r="V28" s="2846">
        <f t="shared" si="41"/>
        <v>0</v>
      </c>
      <c r="W28" s="2847">
        <f t="shared" si="42"/>
        <v>0</v>
      </c>
      <c r="X28" s="2848">
        <f t="shared" si="43"/>
        <v>0</v>
      </c>
      <c r="Y28" s="2849">
        <f t="shared" si="44"/>
        <v>0</v>
      </c>
      <c r="Z28" s="2850">
        <f t="shared" si="45"/>
        <v>0</v>
      </c>
      <c r="AA28" s="2851">
        <f t="shared" si="46"/>
        <v>0</v>
      </c>
      <c r="AB28" s="2935"/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4" customHeight="1" thickBot="1">
      <c r="A29" s="2183"/>
      <c r="B29" s="3030" t="s">
        <v>215</v>
      </c>
      <c r="C29" s="629">
        <f>IF(D29=1,U$9,IF(D29=2,V$9,IF(D29=3,W$9,IF(D29=4,X$9,IF(D29=5,Y$9,IF(D29=6,Z$9,IF(D29=7,AA$9,0)))))))</f>
        <v>2.3321759259259265E-4</v>
      </c>
      <c r="D29" s="3406">
        <v>1</v>
      </c>
      <c r="E29" s="3407">
        <v>1</v>
      </c>
      <c r="F29" s="3830">
        <v>1</v>
      </c>
      <c r="G29" s="3830">
        <v>200</v>
      </c>
      <c r="H29" s="2654"/>
      <c r="I29" s="2654">
        <v>0</v>
      </c>
      <c r="J29" s="2654">
        <v>1.1574074074074073E-4</v>
      </c>
      <c r="K29" s="3860" t="s">
        <v>1674</v>
      </c>
      <c r="L29" s="3867">
        <f t="shared" ref="L29" si="48">L28+N28</f>
        <v>0.41041666666666665</v>
      </c>
      <c r="M29" s="3868">
        <v>1.1000000000000001</v>
      </c>
      <c r="N29" s="3869">
        <f>P29*E29*F29+I29*E29*F29+J29*E29</f>
        <v>2.1680555555555563E-3</v>
      </c>
      <c r="O29" s="2526">
        <f t="shared" ref="O29:O33" si="49">C29*G29/25</f>
        <v>1.8657407407407412E-3</v>
      </c>
      <c r="P29" s="3698">
        <f>O29*M29</f>
        <v>2.0523148148148154E-3</v>
      </c>
      <c r="Q29" s="3854">
        <v>120</v>
      </c>
      <c r="R29" s="3855">
        <f>E29*F29*G29</f>
        <v>200</v>
      </c>
      <c r="S29" s="2844">
        <f t="shared" ref="S29:S45" si="50">E29*F29*G29/1000</f>
        <v>0.2</v>
      </c>
      <c r="T29" s="2845">
        <f t="shared" ref="T29:T45" si="51">E29*F29*O29*4</f>
        <v>7.4629629629629646E-3</v>
      </c>
      <c r="U29" s="374">
        <f t="shared" ref="U29:U45" si="52">IF(C29*4&gt;=$U$8,S29,0)</f>
        <v>0.2</v>
      </c>
      <c r="V29" s="2846">
        <f t="shared" ref="V29:V45" si="53">IF(AND(C29*4&gt;=$V$8,C29*4&lt;$U$8),S29,0)</f>
        <v>0</v>
      </c>
      <c r="W29" s="2847">
        <f t="shared" ref="W29:W45" si="54">IF(AND(C29*4&gt;=$W$8,C29*4&lt;$V$8),S29,0)</f>
        <v>0</v>
      </c>
      <c r="X29" s="2848">
        <f t="shared" ref="X29:X45" si="55">IF(AND(C29*4&gt;=$X$8,C29*4&lt;$W$8),S29,0)</f>
        <v>0</v>
      </c>
      <c r="Y29" s="2849">
        <f t="shared" ref="Y29:Y45" si="56">IF(AND(C29*4&gt;=$Y$8,C29*4&lt;$X$8),S29,0)</f>
        <v>0</v>
      </c>
      <c r="Z29" s="2850">
        <f t="shared" ref="Z29:Z45" si="57">IF(AND(C29*4&gt;=$Z$8,C29*4&lt;$Y$8),S29,0)</f>
        <v>0</v>
      </c>
      <c r="AA29" s="2851">
        <f t="shared" ref="AA29:AA45" si="58">IF(AND(C29*4&gt;=$AA$8,C29*4&lt;$Z$8),S29,0)</f>
        <v>0</v>
      </c>
      <c r="AB29" s="2935"/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4" customHeight="1" thickBot="1">
      <c r="A30" s="2183" t="s">
        <v>217</v>
      </c>
      <c r="B30" s="3030" t="s">
        <v>215</v>
      </c>
      <c r="C30" s="629">
        <f t="shared" ref="C30:C36" si="59">IF(D30=1,U$9,IF(D30=2,V$9,IF(D30=3,W$9,IF(D30=4,X$9,IF(D30=5,Y$9,IF(D30=6,Z$9,IF(D30=7,AA$9,0)))))))</f>
        <v>2.152777777777778E-4</v>
      </c>
      <c r="D30" s="3414">
        <v>2</v>
      </c>
      <c r="E30" s="2651">
        <v>1</v>
      </c>
      <c r="F30" s="3831">
        <v>16</v>
      </c>
      <c r="G30" s="3831">
        <v>25</v>
      </c>
      <c r="H30" s="2869">
        <v>6.9444444444444447E-4</v>
      </c>
      <c r="I30" s="2869"/>
      <c r="J30" s="2869"/>
      <c r="K30" s="2870" t="s">
        <v>1778</v>
      </c>
      <c r="L30" s="2869">
        <f>L29+N29</f>
        <v>0.4125847222222222</v>
      </c>
      <c r="M30" s="3679">
        <v>1.1499999999999999</v>
      </c>
      <c r="N30" s="3552">
        <f>H30*F30*E30</f>
        <v>1.1111111111111112E-2</v>
      </c>
      <c r="O30" s="3736">
        <f t="shared" si="49"/>
        <v>2.152777777777778E-4</v>
      </c>
      <c r="P30" s="3737">
        <f t="shared" ref="P30:P33" si="60">O30*M30</f>
        <v>2.4756944444444446E-4</v>
      </c>
      <c r="Q30" s="3419">
        <v>140</v>
      </c>
      <c r="R30" s="3861">
        <f t="shared" ref="R30:R33" si="61">E30*F30*G30</f>
        <v>400</v>
      </c>
      <c r="S30" s="2844">
        <f t="shared" si="50"/>
        <v>0.4</v>
      </c>
      <c r="T30" s="2845">
        <f t="shared" si="51"/>
        <v>1.3777777777777779E-2</v>
      </c>
      <c r="U30" s="374">
        <f t="shared" si="52"/>
        <v>0</v>
      </c>
      <c r="V30" s="2846">
        <f t="shared" si="53"/>
        <v>0.4</v>
      </c>
      <c r="W30" s="2847">
        <f t="shared" si="54"/>
        <v>0</v>
      </c>
      <c r="X30" s="2848">
        <f t="shared" si="55"/>
        <v>0</v>
      </c>
      <c r="Y30" s="2849">
        <f t="shared" si="56"/>
        <v>0</v>
      </c>
      <c r="Z30" s="2850">
        <f t="shared" si="57"/>
        <v>0</v>
      </c>
      <c r="AA30" s="2851">
        <f t="shared" si="58"/>
        <v>0</v>
      </c>
      <c r="AB30" s="2935"/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4" customHeight="1" thickBot="1">
      <c r="A31" s="2183" t="s">
        <v>459</v>
      </c>
      <c r="B31" s="3030" t="s">
        <v>215</v>
      </c>
      <c r="C31" s="629">
        <f t="shared" si="59"/>
        <v>2.152777777777778E-4</v>
      </c>
      <c r="D31" s="3414">
        <v>2</v>
      </c>
      <c r="E31" s="2651">
        <v>1</v>
      </c>
      <c r="F31" s="3831">
        <v>20</v>
      </c>
      <c r="G31" s="3831">
        <v>25</v>
      </c>
      <c r="H31" s="2869">
        <v>2.3148148148148146E-4</v>
      </c>
      <c r="I31" s="3823" t="s">
        <v>1768</v>
      </c>
      <c r="J31" s="2869"/>
      <c r="K31" s="2870"/>
      <c r="L31" s="2869">
        <f>L30+N30</f>
        <v>0.42369583333333333</v>
      </c>
      <c r="M31" s="3679">
        <v>1.1499999999999999</v>
      </c>
      <c r="N31" s="3552">
        <f>H31*F31*E31</f>
        <v>4.6296296296296294E-3</v>
      </c>
      <c r="O31" s="3736">
        <f t="shared" si="49"/>
        <v>2.152777777777778E-4</v>
      </c>
      <c r="P31" s="3737">
        <f t="shared" si="60"/>
        <v>2.4756944444444446E-4</v>
      </c>
      <c r="Q31" s="3419">
        <v>140</v>
      </c>
      <c r="R31" s="3861">
        <f t="shared" si="61"/>
        <v>500</v>
      </c>
      <c r="S31" s="2844">
        <f t="shared" si="50"/>
        <v>0.5</v>
      </c>
      <c r="T31" s="2845">
        <f t="shared" si="51"/>
        <v>1.7222222222222226E-2</v>
      </c>
      <c r="U31" s="374">
        <f t="shared" si="52"/>
        <v>0</v>
      </c>
      <c r="V31" s="2846">
        <f t="shared" si="53"/>
        <v>0.5</v>
      </c>
      <c r="W31" s="2847">
        <f t="shared" si="54"/>
        <v>0</v>
      </c>
      <c r="X31" s="2848">
        <f t="shared" si="55"/>
        <v>0</v>
      </c>
      <c r="Y31" s="2849">
        <f t="shared" si="56"/>
        <v>0</v>
      </c>
      <c r="Z31" s="2850">
        <f t="shared" si="57"/>
        <v>0</v>
      </c>
      <c r="AA31" s="2851">
        <f t="shared" si="58"/>
        <v>0</v>
      </c>
      <c r="AB31" s="2935"/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4" customHeight="1" thickBot="1">
      <c r="A32" s="2183" t="s">
        <v>458</v>
      </c>
      <c r="B32" s="3030" t="s">
        <v>215</v>
      </c>
      <c r="C32" s="629">
        <f t="shared" si="59"/>
        <v>1.7222222222222224E-4</v>
      </c>
      <c r="D32" s="3842">
        <v>7</v>
      </c>
      <c r="E32" s="3843">
        <v>4</v>
      </c>
      <c r="F32" s="3844">
        <v>4</v>
      </c>
      <c r="G32" s="3844">
        <v>50</v>
      </c>
      <c r="H32" s="3845">
        <v>1.5046296296296294E-3</v>
      </c>
      <c r="I32" s="3846"/>
      <c r="J32" s="3846">
        <v>2.0833333333333333E-3</v>
      </c>
      <c r="K32" s="3754" t="s">
        <v>1779</v>
      </c>
      <c r="L32" s="3847">
        <f>L31+N31</f>
        <v>0.42832546296296298</v>
      </c>
      <c r="M32" s="3848">
        <v>1.05</v>
      </c>
      <c r="N32" s="3849">
        <f>H32*F32*E32</f>
        <v>2.4074074074074071E-2</v>
      </c>
      <c r="O32" s="2271">
        <f t="shared" si="49"/>
        <v>3.4444444444444442E-4</v>
      </c>
      <c r="P32" s="2526">
        <f t="shared" si="60"/>
        <v>3.6166666666666666E-4</v>
      </c>
      <c r="Q32" s="2527">
        <v>140</v>
      </c>
      <c r="R32" s="2527">
        <f t="shared" si="61"/>
        <v>800</v>
      </c>
      <c r="S32" s="2844">
        <f t="shared" si="50"/>
        <v>0.8</v>
      </c>
      <c r="T32" s="2845">
        <f t="shared" si="51"/>
        <v>2.2044444444444443E-2</v>
      </c>
      <c r="U32" s="374">
        <f t="shared" si="52"/>
        <v>0</v>
      </c>
      <c r="V32" s="2846">
        <f t="shared" si="53"/>
        <v>0</v>
      </c>
      <c r="W32" s="2847">
        <f t="shared" si="54"/>
        <v>0</v>
      </c>
      <c r="X32" s="2848">
        <f t="shared" si="55"/>
        <v>0</v>
      </c>
      <c r="Y32" s="2849">
        <f t="shared" si="56"/>
        <v>0</v>
      </c>
      <c r="Z32" s="2850">
        <f t="shared" si="57"/>
        <v>0</v>
      </c>
      <c r="AA32" s="2851">
        <f t="shared" si="58"/>
        <v>0.8</v>
      </c>
      <c r="AB32" s="2935"/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4" customHeight="1" thickBot="1">
      <c r="A33" s="2183" t="s">
        <v>218</v>
      </c>
      <c r="B33" s="3030"/>
      <c r="C33" s="629">
        <f t="shared" si="59"/>
        <v>1.9733796296296302E-4</v>
      </c>
      <c r="D33" s="2520">
        <v>3</v>
      </c>
      <c r="E33" s="3804">
        <v>1</v>
      </c>
      <c r="F33" s="3832">
        <v>1</v>
      </c>
      <c r="G33" s="3832">
        <v>400</v>
      </c>
      <c r="H33" s="3786">
        <v>1.2152777777777778E-3</v>
      </c>
      <c r="I33" s="3786"/>
      <c r="J33" s="3786"/>
      <c r="K33" s="3805" t="s">
        <v>1223</v>
      </c>
      <c r="L33" s="3786">
        <f t="shared" ref="L33" si="62">L32+N32</f>
        <v>0.45239953703703706</v>
      </c>
      <c r="M33" s="3806">
        <v>1.05</v>
      </c>
      <c r="N33" s="3792">
        <f>H33*F33*E33</f>
        <v>1.2152777777777778E-3</v>
      </c>
      <c r="O33" s="3698">
        <f t="shared" si="49"/>
        <v>3.1574074074074083E-3</v>
      </c>
      <c r="P33" s="3698">
        <f t="shared" si="60"/>
        <v>3.315277777777779E-3</v>
      </c>
      <c r="Q33" s="3807">
        <v>164</v>
      </c>
      <c r="R33" s="3862">
        <f t="shared" si="61"/>
        <v>400</v>
      </c>
      <c r="S33" s="2844">
        <f t="shared" si="50"/>
        <v>0.4</v>
      </c>
      <c r="T33" s="2845">
        <f t="shared" si="51"/>
        <v>1.2629629629629633E-2</v>
      </c>
      <c r="U33" s="374">
        <f t="shared" si="52"/>
        <v>0</v>
      </c>
      <c r="V33" s="2846">
        <f t="shared" si="53"/>
        <v>0</v>
      </c>
      <c r="W33" s="2847">
        <f t="shared" si="54"/>
        <v>0.4</v>
      </c>
      <c r="X33" s="2848">
        <f t="shared" si="55"/>
        <v>0</v>
      </c>
      <c r="Y33" s="2849">
        <f t="shared" si="56"/>
        <v>0</v>
      </c>
      <c r="Z33" s="2850">
        <f t="shared" si="57"/>
        <v>0</v>
      </c>
      <c r="AA33" s="2851">
        <f t="shared" si="58"/>
        <v>0</v>
      </c>
      <c r="AB33" s="2935"/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4" customHeight="1" thickBot="1">
      <c r="A34" s="2183" t="s">
        <v>458</v>
      </c>
      <c r="B34" s="3030"/>
      <c r="C34" s="629">
        <f t="shared" si="59"/>
        <v>2.152777777777778E-4</v>
      </c>
      <c r="D34" s="3414">
        <v>2</v>
      </c>
      <c r="E34" s="2651">
        <v>1</v>
      </c>
      <c r="F34" s="3831">
        <v>4</v>
      </c>
      <c r="G34" s="3831">
        <v>200</v>
      </c>
      <c r="H34" s="2869"/>
      <c r="I34" s="2869">
        <v>0</v>
      </c>
      <c r="J34" s="2869">
        <v>0</v>
      </c>
      <c r="K34" s="2870" t="s">
        <v>1770</v>
      </c>
      <c r="L34" s="2869">
        <v>0.80208333333333337</v>
      </c>
      <c r="M34" s="3679">
        <v>1</v>
      </c>
      <c r="N34" s="3552">
        <f>P34*E34*F34+I34*E34*F34+J34*E34</f>
        <v>6.8888888888888897E-3</v>
      </c>
      <c r="O34" s="3736">
        <f>C34*G34/25</f>
        <v>1.7222222222222224E-3</v>
      </c>
      <c r="P34" s="3737">
        <f>O34*M34</f>
        <v>1.7222222222222224E-3</v>
      </c>
      <c r="Q34" s="3419">
        <v>129</v>
      </c>
      <c r="R34" s="3861">
        <f>E34*F34*G34</f>
        <v>800</v>
      </c>
      <c r="S34" s="2844">
        <f t="shared" si="50"/>
        <v>0.8</v>
      </c>
      <c r="T34" s="2845">
        <f t="shared" si="51"/>
        <v>2.7555555555555559E-2</v>
      </c>
      <c r="U34" s="374">
        <f t="shared" si="52"/>
        <v>0</v>
      </c>
      <c r="V34" s="2846">
        <f t="shared" si="53"/>
        <v>0.8</v>
      </c>
      <c r="W34" s="2847">
        <f t="shared" si="54"/>
        <v>0</v>
      </c>
      <c r="X34" s="2848">
        <f t="shared" si="55"/>
        <v>0</v>
      </c>
      <c r="Y34" s="2849">
        <f t="shared" si="56"/>
        <v>0</v>
      </c>
      <c r="Z34" s="2850">
        <f t="shared" si="57"/>
        <v>0</v>
      </c>
      <c r="AA34" s="2851">
        <f t="shared" si="58"/>
        <v>0</v>
      </c>
      <c r="AB34" s="2935"/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4" customHeight="1" thickBot="1">
      <c r="A35" s="2183" t="s">
        <v>219</v>
      </c>
      <c r="B35" s="3030"/>
      <c r="C35" s="629">
        <f t="shared" si="59"/>
        <v>1.7222222222222224E-4</v>
      </c>
      <c r="D35" s="3856">
        <v>7</v>
      </c>
      <c r="E35" s="3857">
        <v>1</v>
      </c>
      <c r="F35" s="3858">
        <v>1</v>
      </c>
      <c r="G35" s="3858">
        <v>400</v>
      </c>
      <c r="H35" s="3859"/>
      <c r="I35" s="2869">
        <v>4.6296296296296293E-4</v>
      </c>
      <c r="J35" s="2869">
        <v>1.3888888888888889E-3</v>
      </c>
      <c r="K35" s="3850" t="s">
        <v>1771</v>
      </c>
      <c r="L35" s="3851">
        <f t="shared" ref="L35" si="63">L34+N34</f>
        <v>0.80897222222222231</v>
      </c>
      <c r="M35" s="3852">
        <v>1</v>
      </c>
      <c r="N35" s="3853">
        <f>P35*E35*F35+I35*E35*F35+J35*E35</f>
        <v>4.6074074074074073E-3</v>
      </c>
      <c r="O35" s="2526">
        <f t="shared" ref="O35:O36" si="64">C35*G35/25</f>
        <v>2.7555555555555554E-3</v>
      </c>
      <c r="P35" s="3698">
        <f>O35*M35</f>
        <v>2.7555555555555554E-3</v>
      </c>
      <c r="Q35" s="3854" t="s">
        <v>274</v>
      </c>
      <c r="R35" s="3855">
        <f>E35*F35*G35</f>
        <v>400</v>
      </c>
      <c r="S35" s="2844">
        <f t="shared" si="50"/>
        <v>0.4</v>
      </c>
      <c r="T35" s="2845">
        <f t="shared" si="51"/>
        <v>1.1022222222222221E-2</v>
      </c>
      <c r="U35" s="374">
        <f t="shared" si="52"/>
        <v>0</v>
      </c>
      <c r="V35" s="2846">
        <f t="shared" si="53"/>
        <v>0</v>
      </c>
      <c r="W35" s="2847">
        <f t="shared" si="54"/>
        <v>0</v>
      </c>
      <c r="X35" s="2848">
        <f t="shared" si="55"/>
        <v>0</v>
      </c>
      <c r="Y35" s="2849">
        <f t="shared" si="56"/>
        <v>0</v>
      </c>
      <c r="Z35" s="2850">
        <f t="shared" si="57"/>
        <v>0</v>
      </c>
      <c r="AA35" s="2851">
        <f t="shared" si="58"/>
        <v>0.4</v>
      </c>
      <c r="AB35" s="2935"/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4" customHeight="1" thickBot="1">
      <c r="A36" s="2183"/>
      <c r="B36" s="3030"/>
      <c r="C36" s="629">
        <f t="shared" si="59"/>
        <v>0</v>
      </c>
      <c r="D36" s="3809"/>
      <c r="E36" s="3454"/>
      <c r="F36" s="3454"/>
      <c r="G36" s="3454"/>
      <c r="H36" s="3454"/>
      <c r="I36" s="3454"/>
      <c r="J36" s="3454"/>
      <c r="K36" s="3454"/>
      <c r="L36" s="2528">
        <f>L32+N32</f>
        <v>0.45239953703703706</v>
      </c>
      <c r="M36" s="448"/>
      <c r="N36" s="2423">
        <f>SUM(N28:N35)</f>
        <v>6.9277777777777785E-2</v>
      </c>
      <c r="O36" s="2526">
        <f t="shared" si="64"/>
        <v>0</v>
      </c>
      <c r="P36" s="336"/>
      <c r="Q36" s="336"/>
      <c r="R36" s="3863">
        <f>SUM(R29:R35)</f>
        <v>3500</v>
      </c>
      <c r="S36" s="2844">
        <f t="shared" si="50"/>
        <v>0</v>
      </c>
      <c r="T36" s="2845">
        <f t="shared" si="51"/>
        <v>0</v>
      </c>
      <c r="U36" s="374">
        <f t="shared" si="52"/>
        <v>0</v>
      </c>
      <c r="V36" s="2846">
        <f t="shared" si="53"/>
        <v>0</v>
      </c>
      <c r="W36" s="2847">
        <f t="shared" si="54"/>
        <v>0</v>
      </c>
      <c r="X36" s="2848">
        <f t="shared" si="55"/>
        <v>0</v>
      </c>
      <c r="Y36" s="2849">
        <f t="shared" si="56"/>
        <v>0</v>
      </c>
      <c r="Z36" s="2850">
        <f t="shared" si="57"/>
        <v>0</v>
      </c>
      <c r="AA36" s="2851">
        <f t="shared" si="58"/>
        <v>0</v>
      </c>
      <c r="AB36" s="2935"/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4" customHeight="1" thickBot="1">
      <c r="A37" s="2183"/>
      <c r="B37" s="3030" t="s">
        <v>461</v>
      </c>
      <c r="C37" s="629">
        <f>IF(D37=1,U$9,IF(D37=2,V$9,IF(D37=3,W$9,IF(D37=4,X$9,IF(D37=5,Y$9,IF(D37=6,Z$9,IF(D37=7,AA$9,0)))))))</f>
        <v>2.3321759259259265E-4</v>
      </c>
      <c r="D37" s="2335">
        <v>1</v>
      </c>
      <c r="E37" s="3103"/>
      <c r="F37" s="3838"/>
      <c r="G37" s="3828"/>
      <c r="H37" s="3106"/>
      <c r="I37" s="3106"/>
      <c r="J37" s="3105"/>
      <c r="K37" s="3791" t="s">
        <v>1764</v>
      </c>
      <c r="L37" s="2337">
        <v>0.70833333333333337</v>
      </c>
      <c r="M37" s="3107"/>
      <c r="N37" s="3810">
        <v>1.4583333333333332E-2</v>
      </c>
      <c r="O37" s="3103"/>
      <c r="P37" s="3103"/>
      <c r="Q37" s="3103"/>
      <c r="R37" s="3108"/>
      <c r="S37" s="2844">
        <f t="shared" si="50"/>
        <v>0</v>
      </c>
      <c r="T37" s="2845">
        <f t="shared" si="51"/>
        <v>0</v>
      </c>
      <c r="U37" s="374">
        <f t="shared" si="52"/>
        <v>0</v>
      </c>
      <c r="V37" s="2846">
        <f t="shared" si="53"/>
        <v>0</v>
      </c>
      <c r="W37" s="2847">
        <f t="shared" si="54"/>
        <v>0</v>
      </c>
      <c r="X37" s="2848">
        <f t="shared" si="55"/>
        <v>0</v>
      </c>
      <c r="Y37" s="2849">
        <f t="shared" si="56"/>
        <v>0</v>
      </c>
      <c r="Z37" s="2850">
        <f t="shared" si="57"/>
        <v>0</v>
      </c>
      <c r="AA37" s="2851">
        <f t="shared" si="58"/>
        <v>0</v>
      </c>
      <c r="AB37" s="2935"/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1"/>
    </row>
    <row r="38" spans="1:40" ht="14" customHeight="1" thickBot="1">
      <c r="A38" s="2183"/>
      <c r="B38" s="3030" t="s">
        <v>461</v>
      </c>
      <c r="C38" s="629">
        <f>IF(D38=1,U$9,IF(D38=2,V$9,IF(D38=3,W$9,IF(D38=4,X$9,IF(D38=5,Y$9,IF(D38=6,Z$9,IF(D38=7,AA$9,0)))))))</f>
        <v>2.3321759259259265E-4</v>
      </c>
      <c r="D38" s="3406">
        <v>1</v>
      </c>
      <c r="E38" s="3407">
        <v>1</v>
      </c>
      <c r="F38" s="3830">
        <v>1</v>
      </c>
      <c r="G38" s="3830">
        <v>950</v>
      </c>
      <c r="H38" s="2654"/>
      <c r="I38" s="2654">
        <v>0</v>
      </c>
      <c r="J38" s="2654">
        <v>1.1574074074074073E-4</v>
      </c>
      <c r="K38" s="3860" t="s">
        <v>1772</v>
      </c>
      <c r="L38" s="3867">
        <f t="shared" ref="L38" si="65">L37+N37</f>
        <v>0.72291666666666665</v>
      </c>
      <c r="M38" s="3868">
        <v>1</v>
      </c>
      <c r="N38" s="3869">
        <f>P38*E38*F38+I38*E38*F38+J38*E38</f>
        <v>8.9780092592592602E-3</v>
      </c>
      <c r="O38" s="2526">
        <f t="shared" ref="O38:O45" si="66">C38*G38/25</f>
        <v>8.8622685185185193E-3</v>
      </c>
      <c r="P38" s="3698">
        <f>O38*M38</f>
        <v>8.8622685185185193E-3</v>
      </c>
      <c r="Q38" s="3854">
        <v>120</v>
      </c>
      <c r="R38" s="3855">
        <f>E38*F38*G38</f>
        <v>950</v>
      </c>
      <c r="S38" s="2844">
        <f t="shared" si="50"/>
        <v>0.95</v>
      </c>
      <c r="T38" s="2845">
        <f t="shared" si="51"/>
        <v>3.5449074074074077E-2</v>
      </c>
      <c r="U38" s="374">
        <f t="shared" si="52"/>
        <v>0.95</v>
      </c>
      <c r="V38" s="2846">
        <f t="shared" si="53"/>
        <v>0</v>
      </c>
      <c r="W38" s="2847">
        <f t="shared" si="54"/>
        <v>0</v>
      </c>
      <c r="X38" s="2848">
        <f t="shared" si="55"/>
        <v>0</v>
      </c>
      <c r="Y38" s="2849">
        <f t="shared" si="56"/>
        <v>0</v>
      </c>
      <c r="Z38" s="2850">
        <f t="shared" si="57"/>
        <v>0</v>
      </c>
      <c r="AA38" s="2851">
        <f t="shared" si="58"/>
        <v>0</v>
      </c>
      <c r="AB38" s="2935"/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1"/>
    </row>
    <row r="39" spans="1:40" ht="14" customHeight="1" thickBot="1">
      <c r="A39" s="2183" t="s">
        <v>217</v>
      </c>
      <c r="B39" s="3030" t="s">
        <v>461</v>
      </c>
      <c r="C39" s="629">
        <f t="shared" ref="C39:C45" si="67">IF(D39=1,U$9,IF(D39=2,V$9,IF(D39=3,W$9,IF(D39=4,X$9,IF(D39=5,Y$9,IF(D39=6,Z$9,IF(D39=7,AA$9,0)))))))</f>
        <v>2.152777777777778E-4</v>
      </c>
      <c r="D39" s="3414">
        <v>2</v>
      </c>
      <c r="E39" s="2651">
        <v>1</v>
      </c>
      <c r="F39" s="3831">
        <v>12</v>
      </c>
      <c r="G39" s="3831">
        <v>100</v>
      </c>
      <c r="H39" s="2869">
        <v>1.2731481481481483E-3</v>
      </c>
      <c r="I39" s="2869"/>
      <c r="J39" s="2869"/>
      <c r="K39" s="2870" t="s">
        <v>1780</v>
      </c>
      <c r="L39" s="2869">
        <f>L38+N38</f>
        <v>0.73189467592592594</v>
      </c>
      <c r="M39" s="3679">
        <v>1.1499999999999999</v>
      </c>
      <c r="N39" s="3552">
        <f>H39*F39*E39</f>
        <v>1.5277777777777779E-2</v>
      </c>
      <c r="O39" s="3736">
        <f t="shared" si="66"/>
        <v>8.6111111111111121E-4</v>
      </c>
      <c r="P39" s="3737">
        <f t="shared" ref="P39:P44" si="68">O39*M39</f>
        <v>9.9027777777777786E-4</v>
      </c>
      <c r="Q39" s="3419">
        <v>140</v>
      </c>
      <c r="R39" s="3861">
        <f t="shared" ref="R39:R44" si="69">E39*F39*G39</f>
        <v>1200</v>
      </c>
      <c r="S39" s="2844">
        <f t="shared" si="50"/>
        <v>1.2</v>
      </c>
      <c r="T39" s="2845">
        <f t="shared" si="51"/>
        <v>4.133333333333334E-2</v>
      </c>
      <c r="U39" s="374">
        <f t="shared" si="52"/>
        <v>0</v>
      </c>
      <c r="V39" s="2846">
        <f t="shared" si="53"/>
        <v>1.2</v>
      </c>
      <c r="W39" s="2847">
        <f t="shared" si="54"/>
        <v>0</v>
      </c>
      <c r="X39" s="2848">
        <f t="shared" si="55"/>
        <v>0</v>
      </c>
      <c r="Y39" s="2849">
        <f t="shared" si="56"/>
        <v>0</v>
      </c>
      <c r="Z39" s="2850">
        <f t="shared" si="57"/>
        <v>0</v>
      </c>
      <c r="AA39" s="2851">
        <f t="shared" si="58"/>
        <v>0</v>
      </c>
      <c r="AB39" s="2935"/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1"/>
    </row>
    <row r="40" spans="1:40" ht="14" customHeight="1" thickBot="1">
      <c r="A40" s="2183" t="s">
        <v>459</v>
      </c>
      <c r="B40" s="3030" t="s">
        <v>461</v>
      </c>
      <c r="C40" s="629">
        <f t="shared" si="67"/>
        <v>2.152777777777778E-4</v>
      </c>
      <c r="D40" s="3414">
        <v>2</v>
      </c>
      <c r="E40" s="2651">
        <v>1</v>
      </c>
      <c r="F40" s="3831">
        <v>10</v>
      </c>
      <c r="G40" s="3831">
        <v>50</v>
      </c>
      <c r="H40" s="2869">
        <v>6.9444444444444447E-4</v>
      </c>
      <c r="I40" s="3823" t="s">
        <v>1781</v>
      </c>
      <c r="J40" s="2869"/>
      <c r="K40" s="2870"/>
      <c r="L40" s="2869">
        <f>L39+N39</f>
        <v>0.74717245370370367</v>
      </c>
      <c r="M40" s="3679">
        <v>1.1499999999999999</v>
      </c>
      <c r="N40" s="3552">
        <f>H40*F40*E40</f>
        <v>6.9444444444444449E-3</v>
      </c>
      <c r="O40" s="3736">
        <f t="shared" si="66"/>
        <v>4.3055555555555561E-4</v>
      </c>
      <c r="P40" s="3737">
        <f t="shared" si="68"/>
        <v>4.9513888888888893E-4</v>
      </c>
      <c r="Q40" s="3419">
        <v>140</v>
      </c>
      <c r="R40" s="3861">
        <f t="shared" si="69"/>
        <v>500</v>
      </c>
      <c r="S40" s="2844">
        <f t="shared" si="50"/>
        <v>0.5</v>
      </c>
      <c r="T40" s="2845">
        <f t="shared" si="51"/>
        <v>1.7222222222222226E-2</v>
      </c>
      <c r="U40" s="374">
        <f t="shared" si="52"/>
        <v>0</v>
      </c>
      <c r="V40" s="2846">
        <f t="shared" si="53"/>
        <v>0.5</v>
      </c>
      <c r="W40" s="2847">
        <f t="shared" si="54"/>
        <v>0</v>
      </c>
      <c r="X40" s="2848">
        <f t="shared" si="55"/>
        <v>0</v>
      </c>
      <c r="Y40" s="2849">
        <f t="shared" si="56"/>
        <v>0</v>
      </c>
      <c r="Z40" s="2850">
        <f t="shared" si="57"/>
        <v>0</v>
      </c>
      <c r="AA40" s="2851">
        <f t="shared" si="58"/>
        <v>0</v>
      </c>
      <c r="AB40" s="2935"/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  <c r="AN40" s="1"/>
    </row>
    <row r="41" spans="1:40" ht="15" customHeight="1" thickBot="1">
      <c r="A41" s="2183" t="s">
        <v>458</v>
      </c>
      <c r="B41" s="3030" t="s">
        <v>461</v>
      </c>
      <c r="C41" s="629">
        <f t="shared" si="67"/>
        <v>1.7222222222222224E-4</v>
      </c>
      <c r="D41" s="3842">
        <v>7</v>
      </c>
      <c r="E41" s="3843">
        <v>1</v>
      </c>
      <c r="F41" s="3844">
        <v>8</v>
      </c>
      <c r="G41" s="3844">
        <v>50</v>
      </c>
      <c r="H41" s="3845">
        <v>6.9444444444444447E-4</v>
      </c>
      <c r="I41" s="3846"/>
      <c r="J41" s="3846">
        <v>2.0833333333333333E-3</v>
      </c>
      <c r="K41" s="3754" t="s">
        <v>1782</v>
      </c>
      <c r="L41" s="3847">
        <f t="shared" ref="L41:L44" si="70">L40+N40</f>
        <v>0.75411689814814808</v>
      </c>
      <c r="M41" s="3848">
        <v>1.05</v>
      </c>
      <c r="N41" s="3849">
        <f t="shared" ref="N41:N44" si="71">H41*F41*E41</f>
        <v>5.5555555555555558E-3</v>
      </c>
      <c r="O41" s="2271">
        <f t="shared" si="66"/>
        <v>3.4444444444444442E-4</v>
      </c>
      <c r="P41" s="2517">
        <f t="shared" si="68"/>
        <v>3.6166666666666666E-4</v>
      </c>
      <c r="Q41" s="3741">
        <v>140</v>
      </c>
      <c r="R41" s="3864">
        <f t="shared" si="69"/>
        <v>400</v>
      </c>
      <c r="S41" s="2844">
        <f t="shared" si="50"/>
        <v>0.4</v>
      </c>
      <c r="T41" s="2845">
        <f t="shared" si="51"/>
        <v>1.1022222222222221E-2</v>
      </c>
      <c r="U41" s="374">
        <f t="shared" si="52"/>
        <v>0</v>
      </c>
      <c r="V41" s="2846">
        <f t="shared" si="53"/>
        <v>0</v>
      </c>
      <c r="W41" s="2847">
        <f t="shared" si="54"/>
        <v>0</v>
      </c>
      <c r="X41" s="2848">
        <f t="shared" si="55"/>
        <v>0</v>
      </c>
      <c r="Y41" s="2849">
        <f t="shared" si="56"/>
        <v>0</v>
      </c>
      <c r="Z41" s="2850">
        <f t="shared" si="57"/>
        <v>0</v>
      </c>
      <c r="AA41" s="2851">
        <f t="shared" si="58"/>
        <v>0.4</v>
      </c>
      <c r="AB41" s="2935"/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  <c r="AN41" s="1"/>
    </row>
    <row r="42" spans="1:40" ht="14" customHeight="1" thickBot="1">
      <c r="A42" s="2183" t="s">
        <v>218</v>
      </c>
      <c r="B42" s="3030" t="s">
        <v>461</v>
      </c>
      <c r="C42" s="629">
        <f t="shared" si="67"/>
        <v>1.9733796296296302E-4</v>
      </c>
      <c r="D42" s="2520">
        <v>3</v>
      </c>
      <c r="E42" s="3804">
        <v>1</v>
      </c>
      <c r="F42" s="3832">
        <v>1</v>
      </c>
      <c r="G42" s="3832">
        <v>300</v>
      </c>
      <c r="H42" s="3786">
        <v>1.2152777777777778E-3</v>
      </c>
      <c r="I42" s="3786"/>
      <c r="J42" s="3786"/>
      <c r="K42" s="3805" t="s">
        <v>1776</v>
      </c>
      <c r="L42" s="3786">
        <f t="shared" si="70"/>
        <v>0.75967245370370362</v>
      </c>
      <c r="M42" s="3806">
        <v>1.1499999999999999</v>
      </c>
      <c r="N42" s="3792">
        <f t="shared" si="71"/>
        <v>1.2152777777777778E-3</v>
      </c>
      <c r="O42" s="3698">
        <f t="shared" si="66"/>
        <v>2.3680555555555564E-3</v>
      </c>
      <c r="P42" s="3737">
        <f t="shared" si="68"/>
        <v>2.7232638888888897E-3</v>
      </c>
      <c r="Q42" s="3419">
        <v>140</v>
      </c>
      <c r="R42" s="3861">
        <f t="shared" si="69"/>
        <v>300</v>
      </c>
      <c r="S42" s="2844">
        <f t="shared" si="50"/>
        <v>0.3</v>
      </c>
      <c r="T42" s="2845">
        <f t="shared" si="51"/>
        <v>9.4722222222222256E-3</v>
      </c>
      <c r="U42" s="374">
        <f t="shared" si="52"/>
        <v>0</v>
      </c>
      <c r="V42" s="2846">
        <f t="shared" si="53"/>
        <v>0</v>
      </c>
      <c r="W42" s="2847">
        <f t="shared" si="54"/>
        <v>0.3</v>
      </c>
      <c r="X42" s="2848">
        <f t="shared" si="55"/>
        <v>0</v>
      </c>
      <c r="Y42" s="2849">
        <f t="shared" si="56"/>
        <v>0</v>
      </c>
      <c r="Z42" s="2850">
        <f t="shared" si="57"/>
        <v>0</v>
      </c>
      <c r="AA42" s="2851">
        <f t="shared" si="58"/>
        <v>0</v>
      </c>
      <c r="AB42" s="2935"/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  <c r="AN42" s="1"/>
    </row>
    <row r="43" spans="1:40" ht="14" customHeight="1" thickBot="1">
      <c r="A43" s="2183" t="s">
        <v>458</v>
      </c>
      <c r="B43" s="3030" t="s">
        <v>461</v>
      </c>
      <c r="C43" s="629">
        <f t="shared" si="67"/>
        <v>1.7222222222222224E-4</v>
      </c>
      <c r="D43" s="3842">
        <v>7</v>
      </c>
      <c r="E43" s="3843">
        <v>2</v>
      </c>
      <c r="F43" s="3844">
        <v>6</v>
      </c>
      <c r="G43" s="3844">
        <v>25</v>
      </c>
      <c r="H43" s="3845">
        <v>6.9444444444444447E-4</v>
      </c>
      <c r="I43" s="3846"/>
      <c r="J43" s="3846">
        <v>6.9444444444444447E-4</v>
      </c>
      <c r="K43" s="3754" t="s">
        <v>1777</v>
      </c>
      <c r="L43" s="3847">
        <f t="shared" si="70"/>
        <v>0.76088773148148137</v>
      </c>
      <c r="M43" s="3848">
        <v>1.05</v>
      </c>
      <c r="N43" s="3849">
        <f t="shared" si="71"/>
        <v>8.3333333333333332E-3</v>
      </c>
      <c r="O43" s="2271">
        <f t="shared" si="66"/>
        <v>1.7222222222222221E-4</v>
      </c>
      <c r="P43" s="2517">
        <f t="shared" si="68"/>
        <v>1.8083333333333333E-4</v>
      </c>
      <c r="Q43" s="3741">
        <v>140</v>
      </c>
      <c r="R43" s="3864">
        <f t="shared" si="69"/>
        <v>300</v>
      </c>
      <c r="S43" s="2844">
        <f t="shared" si="50"/>
        <v>0.3</v>
      </c>
      <c r="T43" s="2845">
        <f t="shared" si="51"/>
        <v>8.2666666666666652E-3</v>
      </c>
      <c r="U43" s="374">
        <f t="shared" si="52"/>
        <v>0</v>
      </c>
      <c r="V43" s="2846">
        <f t="shared" si="53"/>
        <v>0</v>
      </c>
      <c r="W43" s="2847">
        <f t="shared" si="54"/>
        <v>0</v>
      </c>
      <c r="X43" s="2848">
        <f t="shared" si="55"/>
        <v>0</v>
      </c>
      <c r="Y43" s="2849">
        <f t="shared" si="56"/>
        <v>0</v>
      </c>
      <c r="Z43" s="2850">
        <f t="shared" si="57"/>
        <v>0</v>
      </c>
      <c r="AA43" s="2851">
        <f t="shared" si="58"/>
        <v>0.3</v>
      </c>
      <c r="AB43" s="2935"/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  <c r="AN43" s="1"/>
    </row>
    <row r="44" spans="1:40" ht="14" customHeight="1" thickBot="1">
      <c r="A44" s="2183" t="s">
        <v>219</v>
      </c>
      <c r="B44" s="3030" t="s">
        <v>461</v>
      </c>
      <c r="C44" s="629">
        <f t="shared" si="67"/>
        <v>1.7222222222222224E-4</v>
      </c>
      <c r="D44" s="3856">
        <v>7</v>
      </c>
      <c r="E44" s="3857">
        <v>1</v>
      </c>
      <c r="F44" s="3858">
        <v>1</v>
      </c>
      <c r="G44" s="3858">
        <v>400</v>
      </c>
      <c r="H44" s="3859"/>
      <c r="I44" s="2869">
        <v>4.6296296296296293E-4</v>
      </c>
      <c r="J44" s="2869">
        <v>1.3888888888888889E-3</v>
      </c>
      <c r="K44" s="3850" t="s">
        <v>1771</v>
      </c>
      <c r="L44" s="3851">
        <f t="shared" si="70"/>
        <v>0.76922106481481467</v>
      </c>
      <c r="M44" s="3852">
        <v>1.1499999999999999</v>
      </c>
      <c r="N44" s="3853">
        <f t="shared" si="71"/>
        <v>0</v>
      </c>
      <c r="O44" s="2526">
        <f t="shared" si="66"/>
        <v>2.7555555555555554E-3</v>
      </c>
      <c r="P44" s="3698">
        <f t="shared" si="68"/>
        <v>3.1688888888888886E-3</v>
      </c>
      <c r="Q44" s="3854">
        <v>140</v>
      </c>
      <c r="R44" s="3855">
        <f t="shared" si="69"/>
        <v>400</v>
      </c>
      <c r="S44" s="2844">
        <f t="shared" si="50"/>
        <v>0.4</v>
      </c>
      <c r="T44" s="2845">
        <f t="shared" si="51"/>
        <v>1.1022222222222221E-2</v>
      </c>
      <c r="U44" s="374">
        <f t="shared" si="52"/>
        <v>0</v>
      </c>
      <c r="V44" s="2846">
        <f t="shared" si="53"/>
        <v>0</v>
      </c>
      <c r="W44" s="2847">
        <f t="shared" si="54"/>
        <v>0</v>
      </c>
      <c r="X44" s="2848">
        <f t="shared" si="55"/>
        <v>0</v>
      </c>
      <c r="Y44" s="2849">
        <f t="shared" si="56"/>
        <v>0</v>
      </c>
      <c r="Z44" s="2850">
        <f t="shared" si="57"/>
        <v>0</v>
      </c>
      <c r="AA44" s="2851">
        <f t="shared" si="58"/>
        <v>0.4</v>
      </c>
      <c r="AB44" s="2935"/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  <c r="AN44" s="1"/>
    </row>
    <row r="45" spans="1:40" ht="14" customHeight="1" thickBot="1">
      <c r="A45" s="2183"/>
      <c r="B45" s="3030" t="s">
        <v>461</v>
      </c>
      <c r="C45" s="629">
        <f t="shared" si="67"/>
        <v>0</v>
      </c>
      <c r="D45" s="3809"/>
      <c r="E45" s="3454"/>
      <c r="F45" s="3454"/>
      <c r="G45" s="3454"/>
      <c r="H45" s="3454"/>
      <c r="I45" s="3454"/>
      <c r="J45" s="3454"/>
      <c r="K45" s="3454"/>
      <c r="L45" s="2528">
        <f>L41+N41</f>
        <v>0.75967245370370362</v>
      </c>
      <c r="M45" s="448"/>
      <c r="N45" s="2423">
        <f>SUM(N37:N44)</f>
        <v>6.0887731481481487E-2</v>
      </c>
      <c r="O45" s="2526">
        <f t="shared" si="66"/>
        <v>0</v>
      </c>
      <c r="P45" s="336"/>
      <c r="Q45" s="336"/>
      <c r="R45" s="3863">
        <f>SUM(R38:R44)</f>
        <v>4050</v>
      </c>
      <c r="S45" s="2844">
        <f t="shared" si="50"/>
        <v>0</v>
      </c>
      <c r="T45" s="2845">
        <f t="shared" si="51"/>
        <v>0</v>
      </c>
      <c r="U45" s="374">
        <f t="shared" si="52"/>
        <v>0</v>
      </c>
      <c r="V45" s="2846">
        <f t="shared" si="53"/>
        <v>0</v>
      </c>
      <c r="W45" s="2847">
        <f t="shared" si="54"/>
        <v>0</v>
      </c>
      <c r="X45" s="2848">
        <f t="shared" si="55"/>
        <v>0</v>
      </c>
      <c r="Y45" s="2849">
        <f t="shared" si="56"/>
        <v>0</v>
      </c>
      <c r="Z45" s="2850">
        <f t="shared" si="57"/>
        <v>0</v>
      </c>
      <c r="AA45" s="2851">
        <f t="shared" si="58"/>
        <v>0</v>
      </c>
      <c r="AB45" s="2935"/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  <c r="AN45" s="1"/>
    </row>
    <row r="46" spans="1:40" ht="14" customHeight="1" thickBot="1">
      <c r="A46" s="2183"/>
      <c r="B46" s="3030"/>
      <c r="C46" s="629"/>
      <c r="D46" s="3814"/>
      <c r="E46" s="677"/>
      <c r="F46" s="677"/>
      <c r="G46" s="677"/>
      <c r="H46" s="677"/>
      <c r="I46" s="677"/>
      <c r="J46" s="677"/>
      <c r="K46" s="3791" t="s">
        <v>1764</v>
      </c>
      <c r="L46" s="3815"/>
      <c r="M46" s="3742"/>
      <c r="N46" s="3816"/>
      <c r="O46" s="3817"/>
      <c r="P46" s="3744"/>
      <c r="Q46" s="3744"/>
      <c r="R46" s="3865"/>
      <c r="S46" s="2844">
        <f t="shared" ref="S46:S58" si="72">E46*F46*G46/1000</f>
        <v>0</v>
      </c>
      <c r="T46" s="2845">
        <f t="shared" ref="T46:T58" si="73">E46*F46*O46*4</f>
        <v>0</v>
      </c>
      <c r="U46" s="374">
        <f t="shared" ref="U46:U58" si="74">IF(C46*4&gt;=$U$8,S46,0)</f>
        <v>0</v>
      </c>
      <c r="V46" s="2846">
        <f t="shared" ref="V46:V58" si="75">IF(AND(C46*4&gt;=$V$8,C46*4&lt;$U$8),S46,0)</f>
        <v>0</v>
      </c>
      <c r="W46" s="2847">
        <f t="shared" ref="W46:W58" si="76">IF(AND(C46*4&gt;=$W$8,C46*4&lt;$V$8),S46,0)</f>
        <v>0</v>
      </c>
      <c r="X46" s="2848">
        <f t="shared" ref="X46:X58" si="77">IF(AND(C46*4&gt;=$X$8,C46*4&lt;$W$8),S46,0)</f>
        <v>0</v>
      </c>
      <c r="Y46" s="2849">
        <f t="shared" ref="Y46:Y58" si="78">IF(AND(C46*4&gt;=$Y$8,C46*4&lt;$X$8),S46,0)</f>
        <v>0</v>
      </c>
      <c r="Z46" s="2850">
        <f t="shared" ref="Z46:Z58" si="79">IF(AND(C46*4&gt;=$Z$8,C46*4&lt;$Y$8),S46,0)</f>
        <v>0</v>
      </c>
      <c r="AA46" s="2851">
        <f t="shared" ref="AA46:AA58" si="80">IF(AND(C46*4&gt;=$AA$8,C46*4&lt;$Z$8),S46,0)</f>
        <v>0</v>
      </c>
      <c r="AB46" s="2935"/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  <c r="AN46" s="1"/>
    </row>
    <row r="47" spans="1:40" ht="14" customHeight="1">
      <c r="A47" s="2183"/>
      <c r="B47" s="3030" t="s">
        <v>215</v>
      </c>
      <c r="C47" s="629">
        <f t="shared" ref="C47:C48" si="81">IF(D47=1,U$5,IF(D47=2,V$5,IF(D47=3,W$5,IF(D47=4,X$5,IF(D47=5,Y$5,IF(D47=6,Z$5,IF(D47=7,AA$5,0)))))))</f>
        <v>0</v>
      </c>
      <c r="D47" s="920">
        <v>2</v>
      </c>
      <c r="E47" s="1173">
        <v>1</v>
      </c>
      <c r="F47" s="2386">
        <v>4</v>
      </c>
      <c r="G47" s="2386">
        <v>100</v>
      </c>
      <c r="H47" s="1173"/>
      <c r="I47" s="299">
        <v>1.7361111111111112E-4</v>
      </c>
      <c r="J47" s="299">
        <v>1.3888888888888889E-3</v>
      </c>
      <c r="K47" s="1123" t="s">
        <v>970</v>
      </c>
      <c r="L47" s="1143">
        <v>0.39583333333333331</v>
      </c>
      <c r="M47" s="2397">
        <v>1.1000000000000001</v>
      </c>
      <c r="N47" s="1453">
        <f t="shared" ref="N47:N52" si="82">P47*E47*F47+I47*E47*F47+J47*E47</f>
        <v>2.0833333333333333E-3</v>
      </c>
      <c r="O47" s="1175">
        <f t="shared" ref="O47:O52" si="83">C47*(G47/25)</f>
        <v>0</v>
      </c>
      <c r="P47" s="1175">
        <f t="shared" ref="P47:P52" si="84">O47*M47</f>
        <v>0</v>
      </c>
      <c r="Q47" s="550">
        <v>129</v>
      </c>
      <c r="R47" s="2398">
        <f t="shared" ref="R47:R52" si="85">E47*F47*G47</f>
        <v>400</v>
      </c>
      <c r="S47" s="2844">
        <f t="shared" si="72"/>
        <v>0.4</v>
      </c>
      <c r="T47" s="2845">
        <f t="shared" si="73"/>
        <v>0</v>
      </c>
      <c r="U47" s="374">
        <f t="shared" si="74"/>
        <v>0</v>
      </c>
      <c r="V47" s="2846">
        <f t="shared" si="75"/>
        <v>0</v>
      </c>
      <c r="W47" s="2847">
        <f t="shared" si="76"/>
        <v>0</v>
      </c>
      <c r="X47" s="2848">
        <f t="shared" si="77"/>
        <v>0</v>
      </c>
      <c r="Y47" s="2849">
        <f t="shared" si="78"/>
        <v>0</v>
      </c>
      <c r="Z47" s="2850">
        <f t="shared" si="79"/>
        <v>0</v>
      </c>
      <c r="AA47" s="2851">
        <f t="shared" si="80"/>
        <v>0</v>
      </c>
      <c r="AB47" s="2935"/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  <c r="AN47" s="1"/>
    </row>
    <row r="48" spans="1:40" ht="14" customHeight="1" thickBot="1">
      <c r="A48" s="2183" t="s">
        <v>218</v>
      </c>
      <c r="B48" s="3030" t="s">
        <v>215</v>
      </c>
      <c r="C48" s="274">
        <f t="shared" si="81"/>
        <v>0</v>
      </c>
      <c r="D48" s="3211">
        <v>3</v>
      </c>
      <c r="E48" s="1161">
        <v>3</v>
      </c>
      <c r="F48" s="2385">
        <v>2</v>
      </c>
      <c r="G48" s="2385">
        <v>50</v>
      </c>
      <c r="H48" s="1161"/>
      <c r="I48" s="1163">
        <v>8.1018518518518516E-5</v>
      </c>
      <c r="J48" s="1163">
        <v>1.3888888888888889E-3</v>
      </c>
      <c r="K48" s="1074" t="s">
        <v>969</v>
      </c>
      <c r="L48" s="1147">
        <f t="shared" ref="L48:L52" si="86">L47+N47</f>
        <v>0.39791666666666664</v>
      </c>
      <c r="M48" s="3212">
        <v>1.1000000000000001</v>
      </c>
      <c r="N48" s="2710">
        <f t="shared" si="82"/>
        <v>4.6527777777777774E-3</v>
      </c>
      <c r="O48" s="1600">
        <f t="shared" si="83"/>
        <v>0</v>
      </c>
      <c r="P48" s="1600">
        <f t="shared" si="84"/>
        <v>0</v>
      </c>
      <c r="Q48" s="843">
        <v>129</v>
      </c>
      <c r="R48" s="3213">
        <f t="shared" si="85"/>
        <v>300</v>
      </c>
      <c r="S48" s="2844">
        <f t="shared" si="72"/>
        <v>0.3</v>
      </c>
      <c r="T48" s="2845">
        <f t="shared" si="73"/>
        <v>0</v>
      </c>
      <c r="U48" s="374">
        <f t="shared" si="74"/>
        <v>0</v>
      </c>
      <c r="V48" s="2846">
        <f t="shared" si="75"/>
        <v>0</v>
      </c>
      <c r="W48" s="2847">
        <f t="shared" si="76"/>
        <v>0</v>
      </c>
      <c r="X48" s="2848">
        <f t="shared" si="77"/>
        <v>0</v>
      </c>
      <c r="Y48" s="2849">
        <f t="shared" si="78"/>
        <v>0</v>
      </c>
      <c r="Z48" s="2850">
        <f t="shared" si="79"/>
        <v>0</v>
      </c>
      <c r="AA48" s="2851">
        <f t="shared" si="80"/>
        <v>0</v>
      </c>
      <c r="AB48" s="2935"/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  <c r="AN48" s="1"/>
    </row>
    <row r="49" spans="1:40" ht="14" customHeight="1" thickBot="1">
      <c r="A49" s="2183" t="s">
        <v>139</v>
      </c>
      <c r="B49" s="3030" t="s">
        <v>215</v>
      </c>
      <c r="C49" s="629">
        <f t="shared" ref="C49" si="87">IF(D49=1,U$9,IF(D49=2,V$9,IF(D49=3,W$9,IF(D49=4,X$9,IF(D49=5,Y$9,IF(D49=6,Z$9,IF(D49=7,AA$9,0)))))))</f>
        <v>1.9733796296296302E-4</v>
      </c>
      <c r="D49" s="2318">
        <v>3</v>
      </c>
      <c r="E49" s="1173">
        <v>1</v>
      </c>
      <c r="F49" s="2386">
        <v>6</v>
      </c>
      <c r="G49" s="2386">
        <v>25</v>
      </c>
      <c r="H49" s="1173"/>
      <c r="I49" s="299">
        <v>1.7361111111111112E-4</v>
      </c>
      <c r="J49" s="299">
        <v>1.3888888888888889E-3</v>
      </c>
      <c r="K49" s="2259" t="s">
        <v>284</v>
      </c>
      <c r="L49" s="2258">
        <f t="shared" si="86"/>
        <v>0.40256944444444442</v>
      </c>
      <c r="M49" s="2326">
        <v>1.1000000000000001</v>
      </c>
      <c r="N49" s="3870">
        <f t="shared" si="82"/>
        <v>3.7329861111111114E-3</v>
      </c>
      <c r="O49" s="2526">
        <f t="shared" si="83"/>
        <v>1.9733796296296302E-4</v>
      </c>
      <c r="P49" s="2262">
        <f t="shared" si="84"/>
        <v>2.1707175925925933E-4</v>
      </c>
      <c r="Q49" s="2274">
        <v>129</v>
      </c>
      <c r="R49" s="3818">
        <f t="shared" si="85"/>
        <v>150</v>
      </c>
      <c r="S49" s="2844">
        <f t="shared" si="72"/>
        <v>0.15</v>
      </c>
      <c r="T49" s="2845">
        <f t="shared" si="73"/>
        <v>4.7361111111111128E-3</v>
      </c>
      <c r="U49" s="374">
        <f t="shared" si="74"/>
        <v>0</v>
      </c>
      <c r="V49" s="2846">
        <f t="shared" si="75"/>
        <v>0</v>
      </c>
      <c r="W49" s="2847">
        <f t="shared" si="76"/>
        <v>0.15</v>
      </c>
      <c r="X49" s="2848">
        <f t="shared" si="77"/>
        <v>0</v>
      </c>
      <c r="Y49" s="2849">
        <f t="shared" si="78"/>
        <v>0</v>
      </c>
      <c r="Z49" s="2850">
        <f t="shared" si="79"/>
        <v>0</v>
      </c>
      <c r="AA49" s="2851">
        <f t="shared" si="80"/>
        <v>0</v>
      </c>
      <c r="AB49" s="2935"/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  <c r="AN49" s="1"/>
    </row>
    <row r="50" spans="1:40" ht="14" customHeight="1" thickBot="1">
      <c r="A50" s="2183" t="s">
        <v>458</v>
      </c>
      <c r="B50" s="3030" t="s">
        <v>215</v>
      </c>
      <c r="C50" s="629">
        <f t="shared" ref="C50:C58" si="88">IF(D50=1,U$9,IF(D50=2,V$9,IF(D50=3,W$9,IF(D50=4,X$9,IF(D50=5,Y$9,IF(D50=6,Z$9,IF(D50=7,AA$9,0)))))))</f>
        <v>2.152777777777778E-4</v>
      </c>
      <c r="D50" s="920">
        <v>2</v>
      </c>
      <c r="E50" s="1173">
        <v>1</v>
      </c>
      <c r="F50" s="2386">
        <v>3</v>
      </c>
      <c r="G50" s="2386">
        <v>200</v>
      </c>
      <c r="H50" s="1173"/>
      <c r="I50" s="299">
        <v>4.6296296296296293E-4</v>
      </c>
      <c r="J50" s="299">
        <v>4.6296296296296293E-4</v>
      </c>
      <c r="K50" s="1123" t="s">
        <v>1765</v>
      </c>
      <c r="L50" s="1143">
        <f t="shared" si="86"/>
        <v>0.40630243055555554</v>
      </c>
      <c r="M50" s="2397">
        <v>1.1000000000000001</v>
      </c>
      <c r="N50" s="1453">
        <f t="shared" si="82"/>
        <v>7.5351851851851856E-3</v>
      </c>
      <c r="O50" s="1175">
        <f t="shared" si="83"/>
        <v>1.7222222222222224E-3</v>
      </c>
      <c r="P50" s="1175">
        <f t="shared" si="84"/>
        <v>1.8944444444444449E-3</v>
      </c>
      <c r="Q50" s="550">
        <v>129</v>
      </c>
      <c r="R50" s="2398">
        <f t="shared" si="85"/>
        <v>600</v>
      </c>
      <c r="S50" s="2844">
        <f t="shared" si="72"/>
        <v>0.6</v>
      </c>
      <c r="T50" s="2845">
        <f t="shared" si="73"/>
        <v>2.066666666666667E-2</v>
      </c>
      <c r="U50" s="374">
        <f t="shared" si="74"/>
        <v>0</v>
      </c>
      <c r="V50" s="2846">
        <f t="shared" si="75"/>
        <v>0.6</v>
      </c>
      <c r="W50" s="2847">
        <f t="shared" si="76"/>
        <v>0</v>
      </c>
      <c r="X50" s="2848">
        <f t="shared" si="77"/>
        <v>0</v>
      </c>
      <c r="Y50" s="2849">
        <f t="shared" si="78"/>
        <v>0</v>
      </c>
      <c r="Z50" s="2850">
        <f t="shared" si="79"/>
        <v>0</v>
      </c>
      <c r="AA50" s="2851">
        <f t="shared" si="80"/>
        <v>0</v>
      </c>
      <c r="AB50" s="2935"/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  <c r="AN50" s="1"/>
    </row>
    <row r="51" spans="1:40" ht="14" customHeight="1" thickBot="1">
      <c r="A51" s="2183" t="s">
        <v>462</v>
      </c>
      <c r="B51" s="3030" t="s">
        <v>215</v>
      </c>
      <c r="C51" s="629">
        <f t="shared" si="88"/>
        <v>1.9733796296296302E-4</v>
      </c>
      <c r="D51" s="2318">
        <v>3</v>
      </c>
      <c r="E51" s="1173">
        <v>1</v>
      </c>
      <c r="F51" s="2386">
        <v>8</v>
      </c>
      <c r="G51" s="2386">
        <v>50</v>
      </c>
      <c r="H51" s="1173"/>
      <c r="I51" s="299">
        <v>1.7361111111111112E-4</v>
      </c>
      <c r="J51" s="299">
        <v>1.3888888888888889E-3</v>
      </c>
      <c r="K51" s="2259" t="s">
        <v>1783</v>
      </c>
      <c r="L51" s="2258">
        <f t="shared" si="86"/>
        <v>0.41383761574074074</v>
      </c>
      <c r="M51" s="2326">
        <v>1.1000000000000001</v>
      </c>
      <c r="N51" s="3870">
        <f t="shared" si="82"/>
        <v>6.2509259259259271E-3</v>
      </c>
      <c r="O51" s="2526">
        <f t="shared" si="83"/>
        <v>3.9467592592592603E-4</v>
      </c>
      <c r="P51" s="2262">
        <f t="shared" si="84"/>
        <v>4.3414351851851866E-4</v>
      </c>
      <c r="Q51" s="2274">
        <v>129</v>
      </c>
      <c r="R51" s="3818">
        <f t="shared" si="85"/>
        <v>400</v>
      </c>
      <c r="S51" s="2844">
        <f t="shared" si="72"/>
        <v>0.4</v>
      </c>
      <c r="T51" s="2845">
        <f t="shared" si="73"/>
        <v>1.2629629629629633E-2</v>
      </c>
      <c r="U51" s="374">
        <f t="shared" si="74"/>
        <v>0</v>
      </c>
      <c r="V51" s="2846">
        <f t="shared" si="75"/>
        <v>0</v>
      </c>
      <c r="W51" s="2847">
        <f t="shared" si="76"/>
        <v>0.4</v>
      </c>
      <c r="X51" s="2848">
        <f t="shared" si="77"/>
        <v>0</v>
      </c>
      <c r="Y51" s="2849">
        <f t="shared" si="78"/>
        <v>0</v>
      </c>
      <c r="Z51" s="2850">
        <f t="shared" si="79"/>
        <v>0</v>
      </c>
      <c r="AA51" s="2851">
        <f t="shared" si="80"/>
        <v>0</v>
      </c>
      <c r="AB51" s="2935"/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  <c r="AN51" s="1"/>
    </row>
    <row r="52" spans="1:40" ht="14" customHeight="1" thickBot="1">
      <c r="A52" s="2183" t="s">
        <v>460</v>
      </c>
      <c r="B52" s="3030" t="s">
        <v>215</v>
      </c>
      <c r="C52" s="629">
        <f t="shared" si="88"/>
        <v>1.7939814814814817E-4</v>
      </c>
      <c r="D52" s="3436">
        <v>4</v>
      </c>
      <c r="E52" s="2266">
        <v>2</v>
      </c>
      <c r="F52" s="3833">
        <v>4</v>
      </c>
      <c r="G52" s="3833">
        <v>30</v>
      </c>
      <c r="H52" s="2267" t="s">
        <v>1784</v>
      </c>
      <c r="I52" s="2267">
        <v>1.0416666666666667E-3</v>
      </c>
      <c r="J52" s="2267">
        <v>2.0833333333333333E-3</v>
      </c>
      <c r="K52" s="3503" t="s">
        <v>1786</v>
      </c>
      <c r="L52" s="2267">
        <f t="shared" si="86"/>
        <v>0.42008854166666665</v>
      </c>
      <c r="M52" s="3740">
        <v>1</v>
      </c>
      <c r="N52" s="3871">
        <f t="shared" si="82"/>
        <v>1.4222222222222223E-2</v>
      </c>
      <c r="O52" s="2526">
        <f t="shared" si="83"/>
        <v>2.152777777777778E-4</v>
      </c>
      <c r="P52" s="2517">
        <f t="shared" si="84"/>
        <v>2.152777777777778E-4</v>
      </c>
      <c r="Q52" s="3741">
        <v>129</v>
      </c>
      <c r="R52" s="3864">
        <f t="shared" si="85"/>
        <v>240</v>
      </c>
      <c r="S52" s="2844">
        <f t="shared" si="72"/>
        <v>0.24</v>
      </c>
      <c r="T52" s="2845">
        <f t="shared" si="73"/>
        <v>6.8888888888888897E-3</v>
      </c>
      <c r="U52" s="374">
        <f t="shared" si="74"/>
        <v>0</v>
      </c>
      <c r="V52" s="2846">
        <f t="shared" si="75"/>
        <v>0</v>
      </c>
      <c r="W52" s="2847">
        <f t="shared" si="76"/>
        <v>0</v>
      </c>
      <c r="X52" s="2848">
        <f t="shared" si="77"/>
        <v>0.24</v>
      </c>
      <c r="Y52" s="2849">
        <f t="shared" si="78"/>
        <v>0</v>
      </c>
      <c r="Z52" s="2850">
        <f t="shared" si="79"/>
        <v>0</v>
      </c>
      <c r="AA52" s="2851">
        <f t="shared" si="80"/>
        <v>0</v>
      </c>
      <c r="AB52" s="2935"/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  <c r="AN52" s="1"/>
    </row>
    <row r="53" spans="1:40" ht="14" customHeight="1" thickBot="1">
      <c r="A53" s="2183" t="s">
        <v>458</v>
      </c>
      <c r="B53" s="3030" t="s">
        <v>461</v>
      </c>
      <c r="C53" s="629">
        <f t="shared" si="88"/>
        <v>2.3321759259259265E-4</v>
      </c>
      <c r="D53" s="2644">
        <v>1</v>
      </c>
      <c r="E53" s="3103"/>
      <c r="F53" s="3838"/>
      <c r="G53" s="3828" t="s">
        <v>1785</v>
      </c>
      <c r="H53" s="3106"/>
      <c r="I53" s="3106"/>
      <c r="J53" s="3105"/>
      <c r="K53" s="3791" t="s">
        <v>1764</v>
      </c>
      <c r="L53" s="3811">
        <f>L52+N52</f>
        <v>0.4343107638888889</v>
      </c>
      <c r="M53" s="3107">
        <v>1.1000000000000001</v>
      </c>
      <c r="N53" s="3872">
        <v>3.125E-2</v>
      </c>
      <c r="O53" s="3103"/>
      <c r="P53" s="3103"/>
      <c r="Q53" s="3103"/>
      <c r="R53" s="3865">
        <f>SUM(R47:R52)</f>
        <v>2090</v>
      </c>
      <c r="S53" s="2844" t="e">
        <f t="shared" si="72"/>
        <v>#VALUE!</v>
      </c>
      <c r="T53" s="2845">
        <f t="shared" si="73"/>
        <v>0</v>
      </c>
      <c r="U53" s="374">
        <v>0</v>
      </c>
      <c r="V53" s="2846">
        <f t="shared" si="75"/>
        <v>0</v>
      </c>
      <c r="W53" s="2847">
        <f t="shared" si="76"/>
        <v>0</v>
      </c>
      <c r="X53" s="2848">
        <f t="shared" si="77"/>
        <v>0</v>
      </c>
      <c r="Y53" s="2849">
        <f t="shared" si="78"/>
        <v>0</v>
      </c>
      <c r="Z53" s="2850">
        <f t="shared" si="79"/>
        <v>0</v>
      </c>
      <c r="AA53" s="2851">
        <f t="shared" si="80"/>
        <v>0</v>
      </c>
      <c r="AB53" s="2935"/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  <c r="AN53" s="1"/>
    </row>
    <row r="54" spans="1:40" ht="14" customHeight="1" thickBot="1">
      <c r="A54" s="2183" t="s">
        <v>219</v>
      </c>
      <c r="B54" s="3030" t="s">
        <v>461</v>
      </c>
      <c r="C54" s="629">
        <f t="shared" si="88"/>
        <v>2.152777777777778E-4</v>
      </c>
      <c r="D54" s="3414">
        <v>2</v>
      </c>
      <c r="E54" s="2651">
        <v>1</v>
      </c>
      <c r="F54" s="3831">
        <v>4</v>
      </c>
      <c r="G54" s="3831">
        <v>100</v>
      </c>
      <c r="H54" s="2869"/>
      <c r="I54" s="2869">
        <v>0</v>
      </c>
      <c r="J54" s="2869">
        <v>0</v>
      </c>
      <c r="K54" s="2870" t="s">
        <v>1766</v>
      </c>
      <c r="L54" s="2869">
        <f t="shared" ref="L54:L57" si="89">L53+N53</f>
        <v>0.4655607638888889</v>
      </c>
      <c r="M54" s="3679">
        <v>1.1000000000000001</v>
      </c>
      <c r="N54" s="3873">
        <f t="shared" ref="N54:N57" si="90">P54*E54*F54+I54*E54*F54+J54*E54</f>
        <v>3.7888888888888898E-3</v>
      </c>
      <c r="O54" s="3736">
        <f t="shared" ref="O54:O57" si="91">C54*(G54/25)</f>
        <v>8.6111111111111121E-4</v>
      </c>
      <c r="P54" s="3737">
        <f t="shared" ref="P54:P57" si="92">O54*M54</f>
        <v>9.4722222222222245E-4</v>
      </c>
      <c r="Q54" s="3419">
        <v>129</v>
      </c>
      <c r="R54" s="3861">
        <f t="shared" ref="R54:R57" si="93">E54*F54*G54</f>
        <v>400</v>
      </c>
      <c r="S54" s="2844">
        <f t="shared" si="72"/>
        <v>0.4</v>
      </c>
      <c r="T54" s="2845">
        <f t="shared" si="73"/>
        <v>1.3777777777777779E-2</v>
      </c>
      <c r="U54" s="374">
        <f t="shared" si="74"/>
        <v>0</v>
      </c>
      <c r="V54" s="2846">
        <f t="shared" si="75"/>
        <v>0.4</v>
      </c>
      <c r="W54" s="2847">
        <f t="shared" si="76"/>
        <v>0</v>
      </c>
      <c r="X54" s="2848">
        <f t="shared" si="77"/>
        <v>0</v>
      </c>
      <c r="Y54" s="2849">
        <f t="shared" si="78"/>
        <v>0</v>
      </c>
      <c r="Z54" s="2850">
        <f t="shared" si="79"/>
        <v>0</v>
      </c>
      <c r="AA54" s="2851">
        <f t="shared" si="80"/>
        <v>0</v>
      </c>
      <c r="AB54" s="2935"/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  <c r="AN54" s="1"/>
    </row>
    <row r="55" spans="1:40" ht="14" customHeight="1" thickBot="1">
      <c r="A55" s="2183" t="s">
        <v>85</v>
      </c>
      <c r="B55" s="3030" t="s">
        <v>461</v>
      </c>
      <c r="C55" s="629">
        <f t="shared" si="88"/>
        <v>2.3321759259259265E-4</v>
      </c>
      <c r="D55" s="920">
        <v>1</v>
      </c>
      <c r="E55" s="1979">
        <v>1</v>
      </c>
      <c r="F55" s="3840">
        <v>6</v>
      </c>
      <c r="G55" s="3834">
        <v>100</v>
      </c>
      <c r="H55" s="2652"/>
      <c r="I55" s="2648">
        <v>1.7361111111111112E-4</v>
      </c>
      <c r="J55" s="631">
        <v>8.1018518518518516E-4</v>
      </c>
      <c r="K55" s="1974" t="s">
        <v>1107</v>
      </c>
      <c r="L55" s="301">
        <f t="shared" si="89"/>
        <v>0.46934965277777779</v>
      </c>
      <c r="M55" s="455">
        <v>1.1000000000000001</v>
      </c>
      <c r="N55" s="2172">
        <f t="shared" si="90"/>
        <v>8.0087962962962968E-3</v>
      </c>
      <c r="O55" s="2172">
        <f t="shared" si="91"/>
        <v>9.3287037037037058E-4</v>
      </c>
      <c r="P55" s="302">
        <f t="shared" si="92"/>
        <v>1.0261574074074077E-3</v>
      </c>
      <c r="Q55" s="550">
        <v>129</v>
      </c>
      <c r="R55" s="3866">
        <f t="shared" si="93"/>
        <v>600</v>
      </c>
      <c r="S55" s="2844">
        <f t="shared" si="72"/>
        <v>0.6</v>
      </c>
      <c r="T55" s="2845">
        <f t="shared" si="73"/>
        <v>2.2388888888888896E-2</v>
      </c>
      <c r="U55" s="374">
        <f t="shared" si="74"/>
        <v>0.6</v>
      </c>
      <c r="V55" s="2846">
        <f t="shared" si="75"/>
        <v>0</v>
      </c>
      <c r="W55" s="2847">
        <f t="shared" si="76"/>
        <v>0</v>
      </c>
      <c r="X55" s="2848">
        <f t="shared" si="77"/>
        <v>0</v>
      </c>
      <c r="Y55" s="2849">
        <f t="shared" si="78"/>
        <v>0</v>
      </c>
      <c r="Z55" s="2850">
        <f t="shared" si="79"/>
        <v>0</v>
      </c>
      <c r="AA55" s="2851">
        <f t="shared" si="80"/>
        <v>0</v>
      </c>
      <c r="AB55" s="2935"/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  <c r="AN55" s="1"/>
    </row>
    <row r="56" spans="1:40" ht="14" customHeight="1" thickBot="1">
      <c r="A56" s="2183" t="s">
        <v>218</v>
      </c>
      <c r="B56" s="3030" t="s">
        <v>461</v>
      </c>
      <c r="C56" s="629">
        <f t="shared" si="88"/>
        <v>2.152777777777778E-4</v>
      </c>
      <c r="D56" s="920">
        <v>2</v>
      </c>
      <c r="E56" s="300">
        <v>1</v>
      </c>
      <c r="F56" s="3841">
        <v>8</v>
      </c>
      <c r="G56" s="3835">
        <v>50</v>
      </c>
      <c r="H56" s="2651"/>
      <c r="I56" s="2649">
        <v>2.3148148148148146E-4</v>
      </c>
      <c r="J56" s="301">
        <v>9.8379629629629642E-4</v>
      </c>
      <c r="K56" s="1975" t="s">
        <v>1108</v>
      </c>
      <c r="L56" s="301">
        <f t="shared" si="89"/>
        <v>0.4773584490740741</v>
      </c>
      <c r="M56" s="455">
        <v>1.1000000000000001</v>
      </c>
      <c r="N56" s="2172">
        <f t="shared" si="90"/>
        <v>6.6245370370370382E-3</v>
      </c>
      <c r="O56" s="2172">
        <f t="shared" si="91"/>
        <v>4.3055555555555561E-4</v>
      </c>
      <c r="P56" s="302">
        <f t="shared" si="92"/>
        <v>4.7361111111111123E-4</v>
      </c>
      <c r="Q56" s="550">
        <v>129</v>
      </c>
      <c r="R56" s="3866">
        <f t="shared" si="93"/>
        <v>400</v>
      </c>
      <c r="S56" s="2844">
        <f t="shared" si="72"/>
        <v>0.4</v>
      </c>
      <c r="T56" s="2845">
        <f t="shared" si="73"/>
        <v>1.3777777777777779E-2</v>
      </c>
      <c r="U56" s="374">
        <f t="shared" si="74"/>
        <v>0</v>
      </c>
      <c r="V56" s="2846">
        <f t="shared" si="75"/>
        <v>0.4</v>
      </c>
      <c r="W56" s="2847">
        <f t="shared" si="76"/>
        <v>0</v>
      </c>
      <c r="X56" s="2848">
        <f t="shared" si="77"/>
        <v>0</v>
      </c>
      <c r="Y56" s="2849">
        <f t="shared" si="78"/>
        <v>0</v>
      </c>
      <c r="Z56" s="2850">
        <f t="shared" si="79"/>
        <v>0</v>
      </c>
      <c r="AA56" s="2851">
        <f t="shared" si="80"/>
        <v>0</v>
      </c>
      <c r="AB56" s="2935"/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  <c r="AN56" s="1"/>
    </row>
    <row r="57" spans="1:40" ht="14" customHeight="1" thickBot="1">
      <c r="A57" s="2183" t="s">
        <v>139</v>
      </c>
      <c r="B57" s="3030" t="s">
        <v>461</v>
      </c>
      <c r="C57" s="629">
        <f t="shared" ref="C57" si="94">IF(D57=1,U$9,IF(D57=2,V$9,IF(D57=3,W$9,IF(D57=4,X$9,IF(D57=5,Y$9,IF(D57=6,Z$9,IF(D57=7,AA$9,0)))))))</f>
        <v>1.7939814814814817E-4</v>
      </c>
      <c r="D57" s="3436">
        <v>4</v>
      </c>
      <c r="E57" s="2266">
        <v>2</v>
      </c>
      <c r="F57" s="3833">
        <v>8</v>
      </c>
      <c r="G57" s="3833">
        <v>32.5</v>
      </c>
      <c r="H57" s="2267" t="s">
        <v>1784</v>
      </c>
      <c r="I57" s="2267">
        <v>1.0416666666666667E-3</v>
      </c>
      <c r="J57" s="2267">
        <v>2.0833333333333333E-3</v>
      </c>
      <c r="K57" s="3503" t="s">
        <v>1788</v>
      </c>
      <c r="L57" s="2267">
        <f t="shared" si="89"/>
        <v>0.48398298611111112</v>
      </c>
      <c r="M57" s="3740">
        <v>1</v>
      </c>
      <c r="N57" s="3871">
        <f t="shared" si="90"/>
        <v>2.4564814814814814E-2</v>
      </c>
      <c r="O57" s="2526">
        <f t="shared" si="91"/>
        <v>2.3321759259259265E-4</v>
      </c>
      <c r="P57" s="2517">
        <f t="shared" si="92"/>
        <v>2.3321759259259265E-4</v>
      </c>
      <c r="Q57" s="3741">
        <v>129</v>
      </c>
      <c r="R57" s="3864">
        <f t="shared" si="93"/>
        <v>520</v>
      </c>
      <c r="S57" s="2844">
        <f t="shared" si="72"/>
        <v>0.52</v>
      </c>
      <c r="T57" s="2845">
        <f t="shared" si="73"/>
        <v>1.4925925925925929E-2</v>
      </c>
      <c r="U57" s="374">
        <f t="shared" si="74"/>
        <v>0</v>
      </c>
      <c r="V57" s="2846">
        <f t="shared" si="75"/>
        <v>0</v>
      </c>
      <c r="W57" s="2847">
        <f t="shared" si="76"/>
        <v>0</v>
      </c>
      <c r="X57" s="2848">
        <f t="shared" si="77"/>
        <v>0.52</v>
      </c>
      <c r="Y57" s="2849">
        <f t="shared" si="78"/>
        <v>0</v>
      </c>
      <c r="Z57" s="2850">
        <f t="shared" si="79"/>
        <v>0</v>
      </c>
      <c r="AA57" s="2851">
        <f t="shared" si="80"/>
        <v>0</v>
      </c>
      <c r="AB57" s="2935"/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  <c r="AN57" s="1"/>
    </row>
    <row r="58" spans="1:40" ht="14" customHeight="1" thickBot="1">
      <c r="A58" s="2183" t="s">
        <v>458</v>
      </c>
      <c r="B58" s="3030" t="s">
        <v>461</v>
      </c>
      <c r="C58" s="629">
        <f t="shared" si="88"/>
        <v>0</v>
      </c>
      <c r="D58" s="2318"/>
      <c r="E58" s="849"/>
      <c r="F58" s="849"/>
      <c r="G58" s="849" t="s">
        <v>1787</v>
      </c>
      <c r="H58" s="849"/>
      <c r="I58" s="849"/>
      <c r="J58" s="849"/>
      <c r="K58" s="3454" t="s">
        <v>1789</v>
      </c>
      <c r="L58" s="2528">
        <f t="shared" ref="L58" si="95">L57+N57</f>
        <v>0.50854780092592589</v>
      </c>
      <c r="M58" s="3742"/>
      <c r="N58" s="3874">
        <f>SUM(N54:N57)</f>
        <v>4.2987037037037039E-2</v>
      </c>
      <c r="O58" s="3743">
        <v>0</v>
      </c>
      <c r="P58" s="3744"/>
      <c r="Q58" s="3744"/>
      <c r="R58" s="3865">
        <f>SUM(R54:R57)</f>
        <v>1920</v>
      </c>
      <c r="S58" s="2844" t="e">
        <f t="shared" si="72"/>
        <v>#VALUE!</v>
      </c>
      <c r="T58" s="2845">
        <f t="shared" si="73"/>
        <v>0</v>
      </c>
      <c r="U58" s="374">
        <f t="shared" si="74"/>
        <v>0</v>
      </c>
      <c r="V58" s="2846">
        <f t="shared" si="75"/>
        <v>0</v>
      </c>
      <c r="W58" s="2847">
        <f t="shared" si="76"/>
        <v>0</v>
      </c>
      <c r="X58" s="2848">
        <f t="shared" si="77"/>
        <v>0</v>
      </c>
      <c r="Y58" s="2849">
        <f t="shared" si="78"/>
        <v>0</v>
      </c>
      <c r="Z58" s="2850">
        <f t="shared" si="79"/>
        <v>0</v>
      </c>
      <c r="AA58" s="2851">
        <f t="shared" si="80"/>
        <v>0</v>
      </c>
      <c r="AB58" s="2935"/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  <c r="AN58" s="1"/>
    </row>
    <row r="59" spans="1:40" ht="14" customHeight="1">
      <c r="A59" s="2183" t="s">
        <v>462</v>
      </c>
      <c r="B59" s="3030"/>
      <c r="C59" s="856"/>
      <c r="D59" s="897"/>
      <c r="E59" s="677"/>
      <c r="F59" s="677"/>
      <c r="G59" s="677"/>
      <c r="H59" s="677"/>
      <c r="I59" s="677"/>
      <c r="J59" s="677"/>
      <c r="K59" s="3822" t="s">
        <v>1767</v>
      </c>
      <c r="L59" s="3819"/>
      <c r="M59" s="3820"/>
      <c r="N59" s="3821"/>
      <c r="O59" s="2173"/>
      <c r="P59" s="3744"/>
      <c r="Q59" s="3744"/>
      <c r="R59" s="3865"/>
      <c r="S59" s="3813"/>
      <c r="T59" s="2845"/>
      <c r="U59" s="374"/>
      <c r="V59" s="2846"/>
      <c r="W59" s="2847"/>
      <c r="X59" s="2848"/>
      <c r="Y59" s="2849"/>
      <c r="Z59" s="2850"/>
      <c r="AA59" s="2851"/>
      <c r="AB59" s="2935"/>
      <c r="AC59" s="2867"/>
      <c r="AD59" s="2867"/>
      <c r="AE59" s="2867"/>
      <c r="AF59" s="2867"/>
      <c r="AG59" s="2867"/>
      <c r="AH59" s="2867"/>
      <c r="AI59" s="2825"/>
      <c r="AJ59" s="2825"/>
      <c r="AK59" s="2825"/>
      <c r="AL59" s="2825"/>
      <c r="AM59" s="2825"/>
      <c r="AN59" s="1"/>
    </row>
    <row r="60" spans="1:40" ht="14" customHeight="1">
      <c r="A60" s="2183" t="s">
        <v>460</v>
      </c>
      <c r="B60" s="2183"/>
      <c r="C60" s="856"/>
      <c r="D60" s="897"/>
      <c r="E60" s="677"/>
      <c r="F60" s="677"/>
      <c r="G60" s="677"/>
      <c r="H60" s="677"/>
      <c r="I60" s="677"/>
      <c r="J60" s="677"/>
      <c r="K60" s="3822" t="s">
        <v>1790</v>
      </c>
      <c r="L60" s="1439"/>
      <c r="M60" s="3742"/>
      <c r="N60" s="2717"/>
      <c r="O60" s="2173"/>
      <c r="P60" s="3744"/>
      <c r="Q60" s="3744"/>
      <c r="R60" s="3865"/>
      <c r="S60" s="3813"/>
      <c r="T60" s="2845"/>
      <c r="U60" s="374"/>
      <c r="V60" s="2846"/>
      <c r="W60" s="2847"/>
      <c r="X60" s="2848"/>
      <c r="Y60" s="2849"/>
      <c r="Z60" s="2850"/>
      <c r="AA60" s="2851"/>
      <c r="AB60" s="2935"/>
      <c r="AC60" s="2867"/>
      <c r="AD60" s="2867"/>
      <c r="AE60" s="2867"/>
      <c r="AF60" s="2867"/>
      <c r="AG60" s="2867"/>
      <c r="AH60" s="2867"/>
      <c r="AI60" s="2825"/>
      <c r="AJ60" s="2825"/>
      <c r="AK60" s="2825"/>
      <c r="AL60" s="2825"/>
      <c r="AM60" s="2825"/>
      <c r="AN60" s="1"/>
    </row>
    <row r="61" spans="1:40" ht="14" customHeight="1">
      <c r="A61" s="3812"/>
      <c r="B61" s="3812"/>
      <c r="C61" s="856"/>
      <c r="D61" s="897"/>
      <c r="E61" s="677"/>
      <c r="F61" s="677"/>
      <c r="G61" s="677"/>
      <c r="H61" s="677"/>
      <c r="I61" s="677"/>
      <c r="J61" s="677"/>
      <c r="K61" s="3755"/>
      <c r="L61" s="1439"/>
      <c r="M61" s="3742"/>
      <c r="N61" s="2717"/>
      <c r="O61" s="2173"/>
      <c r="P61" s="3744"/>
      <c r="Q61" s="3744"/>
      <c r="R61" s="3865"/>
      <c r="S61" s="3813"/>
      <c r="T61" s="2845"/>
      <c r="U61" s="374"/>
      <c r="V61" s="2846"/>
      <c r="W61" s="2847"/>
      <c r="X61" s="2848"/>
      <c r="Y61" s="2849"/>
      <c r="Z61" s="2850"/>
      <c r="AA61" s="2851"/>
      <c r="AB61" s="2935"/>
      <c r="AC61" s="2867"/>
      <c r="AD61" s="2867"/>
      <c r="AE61" s="2867"/>
      <c r="AF61" s="2867"/>
      <c r="AG61" s="2867"/>
      <c r="AH61" s="2867"/>
      <c r="AI61" s="2825"/>
      <c r="AJ61" s="2825"/>
      <c r="AK61" s="2825"/>
      <c r="AL61" s="2825"/>
      <c r="AM61" s="2825"/>
      <c r="AN61" s="1"/>
    </row>
    <row r="62" spans="1:40" ht="14" customHeight="1">
      <c r="A62" s="3812"/>
      <c r="B62" s="3812"/>
      <c r="C62" s="856"/>
      <c r="D62" s="897"/>
      <c r="E62" s="677"/>
      <c r="F62" s="677"/>
      <c r="G62" s="677"/>
      <c r="H62" s="677"/>
      <c r="I62" s="677"/>
      <c r="J62" s="677"/>
      <c r="K62" s="3755"/>
      <c r="L62" s="1439"/>
      <c r="M62" s="3742"/>
      <c r="N62" s="2717"/>
      <c r="O62" s="2173"/>
      <c r="P62" s="3744"/>
      <c r="Q62" s="3744"/>
      <c r="R62" s="3865"/>
      <c r="S62" s="3813"/>
      <c r="T62" s="2845"/>
      <c r="U62" s="374"/>
      <c r="V62" s="2846"/>
      <c r="W62" s="2847"/>
      <c r="X62" s="2848"/>
      <c r="Y62" s="2849"/>
      <c r="Z62" s="2850"/>
      <c r="AA62" s="2851"/>
      <c r="AB62" s="2935"/>
      <c r="AC62" s="2867"/>
      <c r="AD62" s="2867"/>
      <c r="AE62" s="2867"/>
      <c r="AF62" s="2867"/>
      <c r="AG62" s="2867"/>
      <c r="AH62" s="2867"/>
      <c r="AI62" s="2825"/>
      <c r="AJ62" s="2825"/>
      <c r="AK62" s="2825"/>
      <c r="AL62" s="2825"/>
      <c r="AM62" s="2825"/>
      <c r="AN62" s="1"/>
    </row>
    <row r="63" spans="1:40" ht="14" customHeight="1" thickBot="1">
      <c r="A63" s="3812"/>
      <c r="B63" s="3812"/>
      <c r="C63" s="856"/>
      <c r="D63" s="897"/>
      <c r="E63" s="677"/>
      <c r="F63" s="677"/>
      <c r="G63" s="677"/>
      <c r="H63" s="677"/>
      <c r="I63" s="677"/>
      <c r="J63" s="677"/>
      <c r="K63" s="3755"/>
      <c r="L63" s="1439"/>
      <c r="M63" s="3742"/>
      <c r="N63" s="2717"/>
      <c r="O63" s="2173"/>
      <c r="P63" s="3744"/>
      <c r="Q63" s="3744"/>
      <c r="R63" s="3865"/>
      <c r="S63" s="3813"/>
      <c r="T63" s="2845"/>
      <c r="U63" s="374"/>
      <c r="V63" s="2846"/>
      <c r="W63" s="2847"/>
      <c r="X63" s="2848"/>
      <c r="Y63" s="2849"/>
      <c r="Z63" s="2850"/>
      <c r="AA63" s="2851"/>
      <c r="AB63" s="2935"/>
      <c r="AC63" s="2867"/>
      <c r="AD63" s="2867"/>
      <c r="AE63" s="2867"/>
      <c r="AF63" s="2867"/>
      <c r="AG63" s="2867"/>
      <c r="AH63" s="2867"/>
      <c r="AI63" s="2825"/>
      <c r="AJ63" s="2825"/>
      <c r="AK63" s="2825"/>
      <c r="AL63" s="2825"/>
      <c r="AM63" s="2825"/>
      <c r="AN63" s="1"/>
    </row>
    <row r="64" spans="1:40" ht="14" customHeight="1" thickTop="1" thickBot="1">
      <c r="A64" s="144"/>
      <c r="B64" s="144"/>
      <c r="C64" s="144"/>
      <c r="D64" s="906"/>
      <c r="E64" s="144"/>
      <c r="F64" s="146"/>
      <c r="G64" s="146"/>
      <c r="H64" s="144"/>
      <c r="I64" s="144"/>
      <c r="J64" s="144"/>
      <c r="K64" s="144"/>
      <c r="L64" s="144"/>
      <c r="M64" s="144"/>
      <c r="N64" s="1278"/>
      <c r="O64" s="144"/>
      <c r="P64" s="144"/>
      <c r="Q64" s="144"/>
      <c r="R64" s="3155"/>
      <c r="S64" s="3631"/>
      <c r="T64" s="3154"/>
      <c r="U64" s="3155">
        <f t="shared" ref="U64:AA64" si="96">SUM(U11:U45)</f>
        <v>2.2999999999999998</v>
      </c>
      <c r="V64" s="3155">
        <f t="shared" si="96"/>
        <v>6.5500000000000007</v>
      </c>
      <c r="W64" s="3155">
        <f t="shared" si="96"/>
        <v>1.4000000000000001</v>
      </c>
      <c r="X64" s="3155">
        <f t="shared" si="96"/>
        <v>0</v>
      </c>
      <c r="Y64" s="3155">
        <f t="shared" si="96"/>
        <v>0</v>
      </c>
      <c r="Z64" s="3155">
        <f t="shared" si="96"/>
        <v>0</v>
      </c>
      <c r="AA64" s="3155">
        <f t="shared" si="96"/>
        <v>4.9000000000000004</v>
      </c>
      <c r="AB64" s="3156"/>
      <c r="AC64" s="2837"/>
      <c r="AD64" s="2838"/>
      <c r="AE64" s="2838"/>
      <c r="AF64" s="2838"/>
      <c r="AG64" s="2838"/>
      <c r="AH64" s="2838"/>
      <c r="AI64" s="2836"/>
      <c r="AN64" s="1"/>
    </row>
    <row r="65" spans="1:40" ht="14" customHeight="1" thickTop="1">
      <c r="A65" s="144"/>
      <c r="B65" s="144"/>
      <c r="C65" s="144"/>
      <c r="D65" s="906"/>
      <c r="E65" s="144"/>
      <c r="F65" s="146"/>
      <c r="G65" s="146"/>
      <c r="H65" s="144"/>
      <c r="I65" s="144"/>
      <c r="J65" s="144"/>
      <c r="K65" s="144"/>
      <c r="L65" s="144"/>
      <c r="M65" s="144"/>
      <c r="N65" s="1278"/>
      <c r="O65" s="144"/>
      <c r="P65" s="144"/>
      <c r="Q65" s="144"/>
      <c r="R65" s="146"/>
      <c r="S65" s="144"/>
      <c r="T65" s="144"/>
      <c r="U65" s="3157" t="e">
        <f>IF(#REF!&gt;0,#REF!,#REF!)</f>
        <v>#REF!</v>
      </c>
      <c r="V65" s="3157" t="e">
        <f>IF(#REF!&gt;0,#REF!,#REF!)</f>
        <v>#REF!</v>
      </c>
      <c r="W65" s="3157" t="e">
        <f>IF(#REF!&gt;0,#REF!,#REF!)</f>
        <v>#REF!</v>
      </c>
      <c r="X65" s="3157" t="e">
        <f>IF(#REF!&gt;0,#REF!,#REF!)</f>
        <v>#REF!</v>
      </c>
      <c r="Y65" s="3157" t="e">
        <f>IF(#REF!&gt;0,#REF!,#REF!)</f>
        <v>#REF!</v>
      </c>
      <c r="Z65" s="3157" t="e">
        <f>IF(#REF!&gt;0,#REF!,#REF!)</f>
        <v>#REF!</v>
      </c>
      <c r="AA65" s="3157" t="e">
        <f>IF(#REF!&gt;0,#REF!,#REF!)</f>
        <v>#REF!</v>
      </c>
      <c r="AB65" s="144"/>
      <c r="AC65" s="2867"/>
      <c r="AD65" s="2867"/>
      <c r="AE65" s="2867"/>
      <c r="AF65" s="2867"/>
      <c r="AG65" s="2867"/>
      <c r="AH65" s="2867"/>
      <c r="AI65" s="2825"/>
      <c r="AJ65" s="1"/>
      <c r="AK65" s="1"/>
      <c r="AL65" s="1"/>
      <c r="AM65" s="1"/>
      <c r="AN65" s="1"/>
    </row>
    <row r="66" spans="1:40" ht="14" customHeight="1">
      <c r="A66" s="144"/>
      <c r="B66" s="144"/>
      <c r="C66" s="144"/>
      <c r="D66" s="906"/>
      <c r="E66" s="144"/>
      <c r="F66" s="146"/>
      <c r="G66" s="146"/>
      <c r="H66" s="144"/>
      <c r="I66" s="144"/>
      <c r="J66" s="144"/>
      <c r="K66" s="144"/>
      <c r="L66" s="144"/>
      <c r="M66" s="144"/>
      <c r="N66" s="1278"/>
      <c r="O66" s="144"/>
      <c r="P66" s="144"/>
      <c r="Q66" s="144"/>
      <c r="R66" s="146"/>
      <c r="S66" s="144"/>
      <c r="T66" s="144"/>
      <c r="U66" s="3157" t="e">
        <f>IF(U65&gt;0,U65,#REF!)</f>
        <v>#REF!</v>
      </c>
      <c r="V66" s="3157" t="e">
        <f>IF(V65&gt;0,V65,#REF!)</f>
        <v>#REF!</v>
      </c>
      <c r="W66" s="3157" t="e">
        <f>IF(W65&gt;0,W65,#REF!)</f>
        <v>#REF!</v>
      </c>
      <c r="X66" s="3157" t="e">
        <f>IF(X65&gt;0,X65,#REF!)</f>
        <v>#REF!</v>
      </c>
      <c r="Y66" s="3157" t="e">
        <f>IF(Y65&gt;0,Y65,#REF!)</f>
        <v>#REF!</v>
      </c>
      <c r="Z66" s="3157" t="e">
        <f>IF(Z65&gt;0,Z65,#REF!)</f>
        <v>#REF!</v>
      </c>
      <c r="AA66" s="3157" t="e">
        <f>IF(AA65&gt;0,AA65,#REF!)</f>
        <v>#REF!</v>
      </c>
      <c r="AB66" s="144"/>
      <c r="AC66" s="2867"/>
      <c r="AD66" s="2867"/>
      <c r="AE66" s="2867"/>
      <c r="AF66" s="2867"/>
      <c r="AG66" s="2867"/>
      <c r="AH66" s="2867"/>
      <c r="AI66" s="2825"/>
      <c r="AJ66" s="1"/>
      <c r="AK66" s="1"/>
      <c r="AL66" s="1"/>
      <c r="AM66" s="1"/>
      <c r="AN66" s="1"/>
    </row>
    <row r="67" spans="1:40" ht="14" customHeight="1">
      <c r="A67" s="144"/>
      <c r="B67" s="144"/>
      <c r="C67" s="144"/>
      <c r="D67" s="906"/>
      <c r="E67" s="144"/>
      <c r="F67" s="146"/>
      <c r="G67" s="146"/>
      <c r="H67" s="144"/>
      <c r="I67" s="144"/>
      <c r="J67" s="144"/>
      <c r="K67" s="144"/>
      <c r="L67" s="144"/>
      <c r="M67" s="144"/>
      <c r="N67" s="1278"/>
      <c r="O67" s="144"/>
      <c r="P67" s="144"/>
      <c r="Q67" s="144"/>
      <c r="R67" s="146"/>
      <c r="S67" s="144"/>
      <c r="T67" s="144"/>
      <c r="U67" s="3157" t="e">
        <f t="shared" ref="U67:AA71" si="97">IF(U66&gt;0,U66,U65)</f>
        <v>#REF!</v>
      </c>
      <c r="V67" s="3157" t="e">
        <f t="shared" si="97"/>
        <v>#REF!</v>
      </c>
      <c r="W67" s="3157" t="e">
        <f t="shared" si="97"/>
        <v>#REF!</v>
      </c>
      <c r="X67" s="3157" t="e">
        <f t="shared" si="97"/>
        <v>#REF!</v>
      </c>
      <c r="Y67" s="3157" t="e">
        <f t="shared" si="97"/>
        <v>#REF!</v>
      </c>
      <c r="Z67" s="3157" t="e">
        <f t="shared" si="97"/>
        <v>#REF!</v>
      </c>
      <c r="AA67" s="3157" t="e">
        <f t="shared" si="97"/>
        <v>#REF!</v>
      </c>
      <c r="AB67" s="144"/>
      <c r="AC67" s="2867">
        <v>0</v>
      </c>
      <c r="AD67" s="2867">
        <v>0</v>
      </c>
      <c r="AE67" s="2867">
        <v>0</v>
      </c>
      <c r="AF67" s="2867">
        <v>0</v>
      </c>
      <c r="AG67" s="2867">
        <v>0</v>
      </c>
      <c r="AH67" s="2867">
        <v>0</v>
      </c>
      <c r="AI67" s="2825"/>
      <c r="AJ67" s="1"/>
      <c r="AK67" s="1"/>
      <c r="AL67" s="1"/>
      <c r="AM67" s="1"/>
      <c r="AN67" s="1"/>
    </row>
    <row r="68" spans="1:40" ht="14" customHeight="1">
      <c r="A68" s="144"/>
      <c r="B68" s="144"/>
      <c r="C68" s="144"/>
      <c r="D68" s="906"/>
      <c r="E68" s="144"/>
      <c r="F68" s="146"/>
      <c r="G68" s="146"/>
      <c r="H68" s="144"/>
      <c r="I68" s="144"/>
      <c r="J68" s="144"/>
      <c r="K68" s="144"/>
      <c r="L68" s="144"/>
      <c r="M68" s="144"/>
      <c r="N68" s="1278"/>
      <c r="O68" s="144"/>
      <c r="P68" s="144"/>
      <c r="Q68" s="144"/>
      <c r="R68" s="146"/>
      <c r="S68" s="144"/>
      <c r="T68" s="144"/>
      <c r="U68" s="3157" t="e">
        <f t="shared" si="97"/>
        <v>#REF!</v>
      </c>
      <c r="V68" s="3157" t="e">
        <f t="shared" si="97"/>
        <v>#REF!</v>
      </c>
      <c r="W68" s="3157" t="e">
        <f t="shared" si="97"/>
        <v>#REF!</v>
      </c>
      <c r="X68" s="3157" t="e">
        <f t="shared" si="97"/>
        <v>#REF!</v>
      </c>
      <c r="Y68" s="3157" t="e">
        <f t="shared" si="97"/>
        <v>#REF!</v>
      </c>
      <c r="Z68" s="3157" t="e">
        <f t="shared" si="97"/>
        <v>#REF!</v>
      </c>
      <c r="AA68" s="3157" t="e">
        <f t="shared" si="97"/>
        <v>#REF!</v>
      </c>
      <c r="AB68" s="144"/>
      <c r="AC68" s="2867">
        <v>0</v>
      </c>
      <c r="AD68" s="2867">
        <v>0</v>
      </c>
      <c r="AE68" s="2867">
        <v>0</v>
      </c>
      <c r="AF68" s="2867">
        <v>0</v>
      </c>
      <c r="AG68" s="2867">
        <v>0</v>
      </c>
      <c r="AH68" s="2867">
        <v>0</v>
      </c>
      <c r="AI68" s="2825"/>
      <c r="AJ68" s="1"/>
      <c r="AK68" s="1"/>
      <c r="AL68" s="1"/>
      <c r="AM68" s="1"/>
      <c r="AN68" s="1"/>
    </row>
    <row r="69" spans="1:40" ht="14" customHeight="1">
      <c r="A69" s="144"/>
      <c r="B69" s="144"/>
      <c r="C69" s="144"/>
      <c r="D69" s="906"/>
      <c r="E69" s="144"/>
      <c r="F69" s="146"/>
      <c r="G69" s="146"/>
      <c r="H69" s="144"/>
      <c r="I69" s="144"/>
      <c r="J69" s="144"/>
      <c r="K69" s="144"/>
      <c r="L69" s="144"/>
      <c r="M69" s="144"/>
      <c r="N69" s="1278"/>
      <c r="O69" s="144"/>
      <c r="P69" s="144"/>
      <c r="Q69" s="144"/>
      <c r="R69" s="146"/>
      <c r="S69" s="144"/>
      <c r="T69" s="144"/>
      <c r="U69" s="3157" t="e">
        <f t="shared" si="97"/>
        <v>#REF!</v>
      </c>
      <c r="V69" s="3157" t="e">
        <f t="shared" si="97"/>
        <v>#REF!</v>
      </c>
      <c r="W69" s="3157" t="e">
        <f t="shared" si="97"/>
        <v>#REF!</v>
      </c>
      <c r="X69" s="3157" t="e">
        <f t="shared" si="97"/>
        <v>#REF!</v>
      </c>
      <c r="Y69" s="3157" t="e">
        <f t="shared" si="97"/>
        <v>#REF!</v>
      </c>
      <c r="Z69" s="3157" t="e">
        <f t="shared" si="97"/>
        <v>#REF!</v>
      </c>
      <c r="AA69" s="3157" t="e">
        <f t="shared" si="97"/>
        <v>#REF!</v>
      </c>
      <c r="AB69" s="144"/>
      <c r="AC69" s="2867">
        <v>0</v>
      </c>
      <c r="AD69" s="2867">
        <v>0</v>
      </c>
      <c r="AE69" s="2867">
        <v>0</v>
      </c>
      <c r="AF69" s="2867">
        <v>0</v>
      </c>
      <c r="AG69" s="2867">
        <v>0</v>
      </c>
      <c r="AH69" s="2867">
        <v>0</v>
      </c>
      <c r="AI69" s="2825"/>
      <c r="AJ69" s="1"/>
      <c r="AK69" s="1"/>
      <c r="AL69" s="1"/>
      <c r="AM69" s="1"/>
      <c r="AN69" s="1"/>
    </row>
    <row r="70" spans="1:40" ht="14" customHeight="1">
      <c r="A70" s="144"/>
      <c r="B70" s="144"/>
      <c r="C70" s="144"/>
      <c r="D70" s="906"/>
      <c r="E70" s="144"/>
      <c r="F70" s="146"/>
      <c r="G70" s="146"/>
      <c r="H70" s="144"/>
      <c r="I70" s="144"/>
      <c r="J70" s="144"/>
      <c r="K70" s="144"/>
      <c r="L70" s="144"/>
      <c r="M70" s="144"/>
      <c r="N70" s="1278"/>
      <c r="O70" s="144"/>
      <c r="P70" s="144"/>
      <c r="Q70" s="144"/>
      <c r="R70" s="146"/>
      <c r="S70" s="144"/>
      <c r="T70" s="144"/>
      <c r="U70" s="3157" t="e">
        <f t="shared" si="97"/>
        <v>#REF!</v>
      </c>
      <c r="V70" s="3157" t="e">
        <f t="shared" si="97"/>
        <v>#REF!</v>
      </c>
      <c r="W70" s="3157" t="e">
        <f t="shared" si="97"/>
        <v>#REF!</v>
      </c>
      <c r="X70" s="3157" t="e">
        <f t="shared" si="97"/>
        <v>#REF!</v>
      </c>
      <c r="Y70" s="3157" t="e">
        <f t="shared" si="97"/>
        <v>#REF!</v>
      </c>
      <c r="Z70" s="3157" t="e">
        <f t="shared" si="97"/>
        <v>#REF!</v>
      </c>
      <c r="AA70" s="3157" t="e">
        <f t="shared" si="97"/>
        <v>#REF!</v>
      </c>
      <c r="AB70" s="144"/>
      <c r="AC70" s="2867"/>
      <c r="AD70" s="2867"/>
      <c r="AE70" s="2867"/>
      <c r="AF70" s="2867"/>
      <c r="AG70" s="2867"/>
      <c r="AH70" s="2867"/>
      <c r="AI70" s="2825"/>
      <c r="AJ70" s="1"/>
      <c r="AK70" s="1"/>
      <c r="AL70" s="1"/>
      <c r="AM70" s="1"/>
      <c r="AN70" s="1"/>
    </row>
    <row r="71" spans="1:40" ht="14" customHeight="1">
      <c r="A71" s="144"/>
      <c r="B71" s="144"/>
      <c r="C71" s="144"/>
      <c r="D71" s="906"/>
      <c r="E71" s="144"/>
      <c r="F71" s="146"/>
      <c r="G71" s="146"/>
      <c r="H71" s="144"/>
      <c r="I71" s="144"/>
      <c r="J71" s="144"/>
      <c r="K71" s="144"/>
      <c r="L71" s="144"/>
      <c r="M71" s="144"/>
      <c r="N71" s="1278"/>
      <c r="O71" s="144"/>
      <c r="P71" s="144"/>
      <c r="Q71" s="144"/>
      <c r="R71" s="146"/>
      <c r="S71" s="144"/>
      <c r="T71" s="144"/>
      <c r="U71" s="3157" t="e">
        <f t="shared" si="97"/>
        <v>#REF!</v>
      </c>
      <c r="V71" s="3157" t="e">
        <f t="shared" si="97"/>
        <v>#REF!</v>
      </c>
      <c r="W71" s="3157" t="e">
        <f t="shared" si="97"/>
        <v>#REF!</v>
      </c>
      <c r="X71" s="3157" t="e">
        <f t="shared" si="97"/>
        <v>#REF!</v>
      </c>
      <c r="Y71" s="3157" t="e">
        <f t="shared" si="97"/>
        <v>#REF!</v>
      </c>
      <c r="Z71" s="3157" t="e">
        <f t="shared" si="97"/>
        <v>#REF!</v>
      </c>
      <c r="AA71" s="3157" t="e">
        <f t="shared" si="97"/>
        <v>#REF!</v>
      </c>
      <c r="AB71" s="144"/>
      <c r="AC71" s="2867"/>
      <c r="AD71" s="2867"/>
      <c r="AE71" s="2867"/>
      <c r="AF71" s="2867"/>
      <c r="AG71" s="2867"/>
      <c r="AH71" s="2867"/>
      <c r="AI71" s="2825"/>
      <c r="AJ71" s="1"/>
      <c r="AK71" s="1"/>
      <c r="AL71" s="1"/>
      <c r="AM71" s="1"/>
      <c r="AN71" s="1"/>
    </row>
    <row r="72" spans="1:40" ht="14" customHeight="1">
      <c r="A72" s="144"/>
      <c r="B72" s="144"/>
      <c r="C72" s="144"/>
      <c r="D72" s="906"/>
      <c r="E72" s="144"/>
      <c r="F72" s="146"/>
      <c r="G72" s="146"/>
      <c r="H72" s="144"/>
      <c r="I72" s="144"/>
      <c r="J72" s="144"/>
      <c r="K72" s="144"/>
      <c r="L72" s="144"/>
      <c r="M72" s="144"/>
      <c r="N72" s="1278"/>
      <c r="O72" s="144"/>
      <c r="P72" s="144"/>
      <c r="Q72" s="144"/>
      <c r="R72" s="146"/>
      <c r="S72" s="144"/>
      <c r="T72" s="144"/>
      <c r="U72" s="3157" t="e">
        <f t="shared" ref="U72:AA87" si="98">IF(U71&gt;0,U71,U70)</f>
        <v>#REF!</v>
      </c>
      <c r="V72" s="3157" t="e">
        <f t="shared" si="98"/>
        <v>#REF!</v>
      </c>
      <c r="W72" s="3157" t="e">
        <f t="shared" si="98"/>
        <v>#REF!</v>
      </c>
      <c r="X72" s="3157" t="e">
        <f t="shared" si="98"/>
        <v>#REF!</v>
      </c>
      <c r="Y72" s="3157" t="e">
        <f t="shared" si="98"/>
        <v>#REF!</v>
      </c>
      <c r="Z72" s="3157" t="e">
        <f t="shared" si="98"/>
        <v>#REF!</v>
      </c>
      <c r="AA72" s="3157" t="e">
        <f t="shared" si="98"/>
        <v>#REF!</v>
      </c>
      <c r="AB72" s="144"/>
      <c r="AC72" s="2867">
        <v>0</v>
      </c>
      <c r="AD72" s="2867">
        <v>0</v>
      </c>
      <c r="AE72" s="2867">
        <v>0</v>
      </c>
      <c r="AF72" s="2867">
        <v>0</v>
      </c>
      <c r="AG72" s="2867">
        <v>0</v>
      </c>
      <c r="AH72" s="2867">
        <v>0</v>
      </c>
      <c r="AI72" s="2825"/>
      <c r="AJ72" s="1"/>
      <c r="AK72" s="1"/>
      <c r="AL72" s="1"/>
      <c r="AM72" s="1"/>
      <c r="AN72" s="1"/>
    </row>
    <row r="73" spans="1:40" ht="14" customHeight="1">
      <c r="A73" s="144"/>
      <c r="B73" s="144"/>
      <c r="C73" s="144"/>
      <c r="D73" s="906"/>
      <c r="E73" s="144"/>
      <c r="F73" s="146"/>
      <c r="G73" s="146"/>
      <c r="H73" s="144"/>
      <c r="I73" s="144"/>
      <c r="J73" s="144"/>
      <c r="K73" s="144"/>
      <c r="L73" s="144"/>
      <c r="M73" s="144"/>
      <c r="N73" s="1278"/>
      <c r="O73" s="144"/>
      <c r="P73" s="144"/>
      <c r="Q73" s="144"/>
      <c r="R73" s="146"/>
      <c r="S73" s="144"/>
      <c r="T73" s="144"/>
      <c r="U73" s="3157" t="e">
        <f t="shared" si="98"/>
        <v>#REF!</v>
      </c>
      <c r="V73" s="3157" t="e">
        <f t="shared" si="98"/>
        <v>#REF!</v>
      </c>
      <c r="W73" s="3157" t="e">
        <f t="shared" si="98"/>
        <v>#REF!</v>
      </c>
      <c r="X73" s="3157" t="e">
        <f t="shared" si="98"/>
        <v>#REF!</v>
      </c>
      <c r="Y73" s="3157" t="e">
        <f t="shared" si="98"/>
        <v>#REF!</v>
      </c>
      <c r="Z73" s="3157" t="e">
        <f t="shared" si="98"/>
        <v>#REF!</v>
      </c>
      <c r="AA73" s="3157" t="e">
        <f t="shared" si="98"/>
        <v>#REF!</v>
      </c>
      <c r="AB73" s="144"/>
      <c r="AC73" s="2867">
        <v>0</v>
      </c>
      <c r="AD73" s="2867">
        <v>0</v>
      </c>
      <c r="AE73" s="2867">
        <v>0</v>
      </c>
      <c r="AF73" s="2867">
        <v>0</v>
      </c>
      <c r="AG73" s="2867">
        <v>0</v>
      </c>
      <c r="AH73" s="2867">
        <v>0</v>
      </c>
      <c r="AI73" s="2825"/>
      <c r="AJ73" s="1"/>
      <c r="AK73" s="1"/>
      <c r="AL73" s="1"/>
      <c r="AM73" s="1"/>
      <c r="AN73" s="1"/>
    </row>
    <row r="74" spans="1:40" ht="14" customHeight="1">
      <c r="A74" s="144"/>
      <c r="B74" s="144"/>
      <c r="C74" s="144"/>
      <c r="D74" s="906"/>
      <c r="E74" s="144"/>
      <c r="F74" s="146"/>
      <c r="G74" s="146"/>
      <c r="H74" s="144"/>
      <c r="I74" s="144"/>
      <c r="J74" s="144"/>
      <c r="K74" s="144"/>
      <c r="L74" s="144"/>
      <c r="M74" s="144"/>
      <c r="N74" s="1278"/>
      <c r="O74" s="144"/>
      <c r="P74" s="144"/>
      <c r="Q74" s="144"/>
      <c r="R74" s="146"/>
      <c r="S74" s="144"/>
      <c r="T74" s="144"/>
      <c r="U74" s="3157" t="e">
        <f t="shared" si="98"/>
        <v>#REF!</v>
      </c>
      <c r="V74" s="3157" t="e">
        <f t="shared" si="98"/>
        <v>#REF!</v>
      </c>
      <c r="W74" s="3157" t="e">
        <f t="shared" si="98"/>
        <v>#REF!</v>
      </c>
      <c r="X74" s="3157" t="e">
        <f t="shared" si="98"/>
        <v>#REF!</v>
      </c>
      <c r="Y74" s="3157" t="e">
        <f t="shared" si="98"/>
        <v>#REF!</v>
      </c>
      <c r="Z74" s="3157" t="e">
        <f t="shared" si="98"/>
        <v>#REF!</v>
      </c>
      <c r="AA74" s="3157" t="e">
        <f t="shared" si="98"/>
        <v>#REF!</v>
      </c>
      <c r="AB74" s="144"/>
      <c r="AC74" s="2867"/>
      <c r="AD74" s="2867"/>
      <c r="AE74" s="2867"/>
      <c r="AF74" s="2867"/>
      <c r="AG74" s="2867"/>
      <c r="AH74" s="2867"/>
      <c r="AI74" s="2825"/>
      <c r="AJ74" s="1"/>
      <c r="AK74" s="1"/>
      <c r="AL74" s="1"/>
      <c r="AM74" s="1"/>
      <c r="AN74" s="1"/>
    </row>
    <row r="75" spans="1:40" ht="14" customHeight="1">
      <c r="A75" s="144"/>
      <c r="B75" s="144"/>
      <c r="C75" s="144"/>
      <c r="D75" s="906"/>
      <c r="E75" s="144"/>
      <c r="F75" s="146"/>
      <c r="G75" s="146"/>
      <c r="H75" s="144"/>
      <c r="I75" s="144"/>
      <c r="J75" s="144"/>
      <c r="K75" s="144"/>
      <c r="L75" s="144"/>
      <c r="M75" s="144"/>
      <c r="N75" s="1278"/>
      <c r="O75" s="144"/>
      <c r="P75" s="144"/>
      <c r="Q75" s="144"/>
      <c r="R75" s="146"/>
      <c r="S75" s="144"/>
      <c r="T75" s="144"/>
      <c r="U75" s="3157" t="e">
        <f t="shared" si="98"/>
        <v>#REF!</v>
      </c>
      <c r="V75" s="3157" t="e">
        <f t="shared" si="98"/>
        <v>#REF!</v>
      </c>
      <c r="W75" s="3157" t="e">
        <f t="shared" si="98"/>
        <v>#REF!</v>
      </c>
      <c r="X75" s="3157" t="e">
        <f t="shared" si="98"/>
        <v>#REF!</v>
      </c>
      <c r="Y75" s="3157" t="e">
        <f t="shared" si="98"/>
        <v>#REF!</v>
      </c>
      <c r="Z75" s="3157" t="e">
        <f t="shared" si="98"/>
        <v>#REF!</v>
      </c>
      <c r="AA75" s="3157" t="e">
        <f t="shared" si="98"/>
        <v>#REF!</v>
      </c>
      <c r="AB75" s="144"/>
      <c r="AC75" s="2867"/>
      <c r="AD75" s="2867"/>
      <c r="AE75" s="2867"/>
      <c r="AF75" s="2867"/>
      <c r="AG75" s="2867"/>
      <c r="AH75" s="2867"/>
      <c r="AI75" s="2825"/>
      <c r="AJ75" s="1"/>
      <c r="AK75" s="1"/>
      <c r="AL75" s="1"/>
      <c r="AM75" s="1"/>
      <c r="AN75" s="1"/>
    </row>
    <row r="76" spans="1:40" ht="14" customHeight="1">
      <c r="A76" s="144"/>
      <c r="B76" s="144"/>
      <c r="C76" s="144"/>
      <c r="D76" s="906"/>
      <c r="E76" s="144"/>
      <c r="F76" s="146"/>
      <c r="G76" s="146"/>
      <c r="H76" s="144"/>
      <c r="I76" s="144"/>
      <c r="J76" s="144"/>
      <c r="K76" s="144"/>
      <c r="L76" s="144"/>
      <c r="M76" s="144"/>
      <c r="N76" s="1278"/>
      <c r="O76" s="144"/>
      <c r="P76" s="144"/>
      <c r="Q76" s="144"/>
      <c r="R76" s="146"/>
      <c r="S76" s="144"/>
      <c r="T76" s="144"/>
      <c r="U76" s="3157" t="e">
        <f t="shared" si="98"/>
        <v>#REF!</v>
      </c>
      <c r="V76" s="3157" t="e">
        <f t="shared" si="98"/>
        <v>#REF!</v>
      </c>
      <c r="W76" s="3157" t="e">
        <f t="shared" si="98"/>
        <v>#REF!</v>
      </c>
      <c r="X76" s="3157" t="e">
        <f t="shared" si="98"/>
        <v>#REF!</v>
      </c>
      <c r="Y76" s="3157" t="e">
        <f t="shared" si="98"/>
        <v>#REF!</v>
      </c>
      <c r="Z76" s="3157" t="e">
        <f t="shared" si="98"/>
        <v>#REF!</v>
      </c>
      <c r="AA76" s="3157" t="e">
        <f t="shared" si="98"/>
        <v>#REF!</v>
      </c>
      <c r="AB76" s="144"/>
      <c r="AC76" s="2867">
        <v>0</v>
      </c>
      <c r="AD76" s="2867">
        <v>0</v>
      </c>
      <c r="AE76" s="2867">
        <v>0</v>
      </c>
      <c r="AF76" s="2867">
        <v>0</v>
      </c>
      <c r="AG76" s="2867">
        <v>0</v>
      </c>
      <c r="AH76" s="2867">
        <v>0</v>
      </c>
      <c r="AI76" s="2825"/>
      <c r="AJ76" s="1"/>
      <c r="AK76" s="1"/>
      <c r="AL76" s="1"/>
      <c r="AM76" s="1"/>
      <c r="AN76" s="1"/>
    </row>
    <row r="77" spans="1:40" ht="14" customHeight="1">
      <c r="A77" s="144"/>
      <c r="B77" s="144"/>
      <c r="C77" s="144"/>
      <c r="D77" s="906"/>
      <c r="E77" s="144"/>
      <c r="F77" s="146"/>
      <c r="G77" s="146"/>
      <c r="H77" s="144"/>
      <c r="I77" s="144"/>
      <c r="J77" s="144"/>
      <c r="K77" s="144"/>
      <c r="L77" s="144"/>
      <c r="M77" s="144"/>
      <c r="N77" s="1278"/>
      <c r="O77" s="144"/>
      <c r="P77" s="144"/>
      <c r="Q77" s="144"/>
      <c r="R77" s="146"/>
      <c r="S77" s="144"/>
      <c r="T77" s="144"/>
      <c r="U77" s="3157" t="e">
        <f t="shared" si="98"/>
        <v>#REF!</v>
      </c>
      <c r="V77" s="3157" t="e">
        <f t="shared" si="98"/>
        <v>#REF!</v>
      </c>
      <c r="W77" s="3157" t="e">
        <f t="shared" si="98"/>
        <v>#REF!</v>
      </c>
      <c r="X77" s="3157" t="e">
        <f t="shared" si="98"/>
        <v>#REF!</v>
      </c>
      <c r="Y77" s="3157" t="e">
        <f t="shared" si="98"/>
        <v>#REF!</v>
      </c>
      <c r="Z77" s="3157" t="e">
        <f t="shared" si="98"/>
        <v>#REF!</v>
      </c>
      <c r="AA77" s="3157" t="e">
        <f t="shared" si="98"/>
        <v>#REF!</v>
      </c>
      <c r="AB77" s="144"/>
      <c r="AC77" s="2867">
        <v>0</v>
      </c>
      <c r="AD77" s="2867">
        <v>0</v>
      </c>
      <c r="AE77" s="2867">
        <v>0</v>
      </c>
      <c r="AF77" s="2867">
        <v>0</v>
      </c>
      <c r="AG77" s="2867">
        <v>0</v>
      </c>
      <c r="AH77" s="2867">
        <v>0</v>
      </c>
      <c r="AI77" s="2825"/>
      <c r="AJ77" s="1"/>
      <c r="AK77" s="1"/>
      <c r="AL77" s="1"/>
      <c r="AM77" s="1"/>
      <c r="AN77" s="1"/>
    </row>
    <row r="78" spans="1:40" ht="14" customHeight="1">
      <c r="A78" s="144"/>
      <c r="B78" s="144"/>
      <c r="C78" s="144"/>
      <c r="D78" s="906"/>
      <c r="E78" s="144"/>
      <c r="F78" s="146"/>
      <c r="G78" s="146"/>
      <c r="H78" s="144"/>
      <c r="I78" s="144"/>
      <c r="J78" s="144"/>
      <c r="K78" s="144"/>
      <c r="L78" s="144"/>
      <c r="M78" s="144"/>
      <c r="N78" s="1278"/>
      <c r="O78" s="144"/>
      <c r="P78" s="144"/>
      <c r="Q78" s="144"/>
      <c r="R78" s="146"/>
      <c r="S78" s="144"/>
      <c r="T78" s="144"/>
      <c r="U78" s="3157" t="e">
        <f t="shared" si="98"/>
        <v>#REF!</v>
      </c>
      <c r="V78" s="3157" t="e">
        <f t="shared" si="98"/>
        <v>#REF!</v>
      </c>
      <c r="W78" s="3157" t="e">
        <f t="shared" si="98"/>
        <v>#REF!</v>
      </c>
      <c r="X78" s="3157" t="e">
        <f t="shared" si="98"/>
        <v>#REF!</v>
      </c>
      <c r="Y78" s="3157" t="e">
        <f t="shared" si="98"/>
        <v>#REF!</v>
      </c>
      <c r="Z78" s="3157" t="e">
        <f t="shared" si="98"/>
        <v>#REF!</v>
      </c>
      <c r="AA78" s="3157" t="e">
        <f t="shared" si="98"/>
        <v>#REF!</v>
      </c>
      <c r="AB78" s="144"/>
      <c r="AC78" s="2867">
        <v>0</v>
      </c>
      <c r="AD78" s="2867">
        <v>0</v>
      </c>
      <c r="AE78" s="2867">
        <v>0</v>
      </c>
      <c r="AF78" s="2867">
        <v>0</v>
      </c>
      <c r="AG78" s="2867">
        <v>0</v>
      </c>
      <c r="AH78" s="2867">
        <v>0</v>
      </c>
      <c r="AI78" s="2825"/>
      <c r="AJ78" s="1"/>
      <c r="AK78" s="1"/>
      <c r="AL78" s="1"/>
      <c r="AM78" s="1"/>
      <c r="AN78" s="1"/>
    </row>
    <row r="79" spans="1:40" ht="14" customHeight="1">
      <c r="A79" s="144"/>
      <c r="B79" s="144"/>
      <c r="C79" s="144"/>
      <c r="D79" s="906"/>
      <c r="E79" s="144"/>
      <c r="F79" s="146"/>
      <c r="G79" s="146"/>
      <c r="H79" s="144"/>
      <c r="I79" s="144"/>
      <c r="J79" s="144"/>
      <c r="K79" s="144"/>
      <c r="L79" s="144"/>
      <c r="M79" s="144"/>
      <c r="N79" s="1278"/>
      <c r="O79" s="144"/>
      <c r="P79" s="144"/>
      <c r="Q79" s="144"/>
      <c r="R79" s="146"/>
      <c r="S79" s="144"/>
      <c r="T79" s="144"/>
      <c r="U79" s="3157" t="e">
        <f t="shared" si="98"/>
        <v>#REF!</v>
      </c>
      <c r="V79" s="3157" t="e">
        <f t="shared" si="98"/>
        <v>#REF!</v>
      </c>
      <c r="W79" s="3157" t="e">
        <f t="shared" si="98"/>
        <v>#REF!</v>
      </c>
      <c r="X79" s="3157" t="e">
        <f t="shared" si="98"/>
        <v>#REF!</v>
      </c>
      <c r="Y79" s="3157" t="e">
        <f t="shared" si="98"/>
        <v>#REF!</v>
      </c>
      <c r="Z79" s="3157" t="e">
        <f t="shared" si="98"/>
        <v>#REF!</v>
      </c>
      <c r="AA79" s="3157" t="e">
        <f t="shared" si="98"/>
        <v>#REF!</v>
      </c>
      <c r="AB79" s="144"/>
      <c r="AC79" s="2867">
        <v>0</v>
      </c>
      <c r="AD79" s="2867">
        <v>0</v>
      </c>
      <c r="AE79" s="2867">
        <v>0</v>
      </c>
      <c r="AF79" s="2867">
        <v>0</v>
      </c>
      <c r="AG79" s="2867">
        <v>0</v>
      </c>
      <c r="AH79" s="2867">
        <v>0</v>
      </c>
      <c r="AI79" s="2825"/>
      <c r="AJ79" s="1"/>
      <c r="AK79" s="1"/>
      <c r="AL79" s="1"/>
      <c r="AM79" s="1"/>
      <c r="AN79" s="1"/>
    </row>
    <row r="80" spans="1:40" ht="14" customHeight="1">
      <c r="A80" s="144"/>
      <c r="B80" s="144"/>
      <c r="C80" s="144"/>
      <c r="D80" s="906"/>
      <c r="E80" s="144"/>
      <c r="F80" s="146"/>
      <c r="G80" s="146"/>
      <c r="H80" s="144"/>
      <c r="I80" s="144"/>
      <c r="J80" s="144"/>
      <c r="K80" s="144"/>
      <c r="L80" s="144"/>
      <c r="M80" s="144"/>
      <c r="N80" s="1278"/>
      <c r="O80" s="144"/>
      <c r="P80" s="144"/>
      <c r="Q80" s="144"/>
      <c r="R80" s="146"/>
      <c r="S80" s="144"/>
      <c r="T80" s="144"/>
      <c r="U80" s="3157" t="e">
        <f t="shared" si="98"/>
        <v>#REF!</v>
      </c>
      <c r="V80" s="3157" t="e">
        <f t="shared" si="98"/>
        <v>#REF!</v>
      </c>
      <c r="W80" s="3157" t="e">
        <f t="shared" si="98"/>
        <v>#REF!</v>
      </c>
      <c r="X80" s="3157" t="e">
        <f t="shared" si="98"/>
        <v>#REF!</v>
      </c>
      <c r="Y80" s="3157" t="e">
        <f t="shared" si="98"/>
        <v>#REF!</v>
      </c>
      <c r="Z80" s="3157" t="e">
        <f t="shared" si="98"/>
        <v>#REF!</v>
      </c>
      <c r="AA80" s="3157" t="e">
        <f t="shared" si="98"/>
        <v>#REF!</v>
      </c>
      <c r="AB80" s="144"/>
      <c r="AC80" s="2867"/>
      <c r="AD80" s="2867"/>
      <c r="AE80" s="2867"/>
      <c r="AF80" s="2867"/>
      <c r="AG80" s="2867"/>
      <c r="AH80" s="2867"/>
      <c r="AI80" s="2825"/>
      <c r="AJ80" s="1"/>
      <c r="AK80" s="1"/>
      <c r="AL80" s="1"/>
      <c r="AM80" s="1"/>
      <c r="AN80" s="1"/>
    </row>
    <row r="81" spans="1:40" ht="14" customHeight="1">
      <c r="A81" s="144"/>
      <c r="B81" s="144"/>
      <c r="C81" s="144"/>
      <c r="D81" s="906"/>
      <c r="E81" s="144"/>
      <c r="F81" s="146"/>
      <c r="G81" s="146"/>
      <c r="H81" s="144"/>
      <c r="I81" s="144"/>
      <c r="J81" s="144"/>
      <c r="K81" s="144"/>
      <c r="L81" s="144"/>
      <c r="M81" s="144"/>
      <c r="N81" s="1278"/>
      <c r="O81" s="144"/>
      <c r="P81" s="144"/>
      <c r="Q81" s="144"/>
      <c r="R81" s="146"/>
      <c r="S81" s="144"/>
      <c r="T81" s="144"/>
      <c r="U81" s="3157" t="e">
        <f t="shared" si="98"/>
        <v>#REF!</v>
      </c>
      <c r="V81" s="3157" t="e">
        <f t="shared" si="98"/>
        <v>#REF!</v>
      </c>
      <c r="W81" s="3157" t="e">
        <f t="shared" si="98"/>
        <v>#REF!</v>
      </c>
      <c r="X81" s="3157" t="e">
        <f t="shared" si="98"/>
        <v>#REF!</v>
      </c>
      <c r="Y81" s="3157" t="e">
        <f t="shared" si="98"/>
        <v>#REF!</v>
      </c>
      <c r="Z81" s="3157" t="e">
        <f t="shared" si="98"/>
        <v>#REF!</v>
      </c>
      <c r="AA81" s="3157" t="e">
        <f t="shared" si="98"/>
        <v>#REF!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 ht="14" customHeight="1">
      <c r="A82" s="144"/>
      <c r="B82" s="144"/>
      <c r="C82" s="144"/>
      <c r="D82" s="906"/>
      <c r="E82" s="144"/>
      <c r="F82" s="146"/>
      <c r="G82" s="146"/>
      <c r="H82" s="144"/>
      <c r="I82" s="144"/>
      <c r="J82" s="144"/>
      <c r="K82" s="144"/>
      <c r="L82" s="144"/>
      <c r="M82" s="144"/>
      <c r="N82" s="1278"/>
      <c r="O82" s="144"/>
      <c r="P82" s="144"/>
      <c r="Q82" s="144"/>
      <c r="R82" s="146"/>
      <c r="S82" s="144"/>
      <c r="T82" s="144"/>
      <c r="U82" s="3157" t="e">
        <f t="shared" si="98"/>
        <v>#REF!</v>
      </c>
      <c r="V82" s="3157" t="e">
        <f t="shared" si="98"/>
        <v>#REF!</v>
      </c>
      <c r="W82" s="3157" t="e">
        <f t="shared" si="98"/>
        <v>#REF!</v>
      </c>
      <c r="X82" s="3157" t="e">
        <f t="shared" si="98"/>
        <v>#REF!</v>
      </c>
      <c r="Y82" s="3157" t="e">
        <f t="shared" si="98"/>
        <v>#REF!</v>
      </c>
      <c r="Z82" s="3157" t="e">
        <f t="shared" si="98"/>
        <v>#REF!</v>
      </c>
      <c r="AA82" s="3157" t="e">
        <f t="shared" si="98"/>
        <v>#REF!</v>
      </c>
      <c r="AB82" s="144"/>
      <c r="AC82" s="2867">
        <v>0</v>
      </c>
      <c r="AD82" s="2867">
        <v>0</v>
      </c>
      <c r="AE82" s="2867">
        <v>0</v>
      </c>
      <c r="AF82" s="2867">
        <v>0</v>
      </c>
      <c r="AG82" s="2867">
        <v>0</v>
      </c>
      <c r="AH82" s="2867">
        <v>0</v>
      </c>
      <c r="AI82" s="2825"/>
      <c r="AJ82" s="1"/>
      <c r="AK82" s="1"/>
      <c r="AL82" s="1"/>
      <c r="AM82" s="1"/>
      <c r="AN82" s="1"/>
    </row>
    <row r="83" spans="1:40" ht="14" customHeight="1">
      <c r="A83" s="144"/>
      <c r="B83" s="144"/>
      <c r="C83" s="144"/>
      <c r="D83" s="906"/>
      <c r="E83" s="144"/>
      <c r="F83" s="146"/>
      <c r="G83" s="146"/>
      <c r="H83" s="144"/>
      <c r="I83" s="144"/>
      <c r="J83" s="144"/>
      <c r="K83" s="144"/>
      <c r="L83" s="144"/>
      <c r="M83" s="144"/>
      <c r="N83" s="1278"/>
      <c r="O83" s="144"/>
      <c r="P83" s="144"/>
      <c r="Q83" s="144"/>
      <c r="R83" s="146"/>
      <c r="S83" s="144"/>
      <c r="T83" s="144"/>
      <c r="U83" s="3157" t="e">
        <f t="shared" si="98"/>
        <v>#REF!</v>
      </c>
      <c r="V83" s="3157" t="e">
        <f t="shared" si="98"/>
        <v>#REF!</v>
      </c>
      <c r="W83" s="3157" t="e">
        <f t="shared" si="98"/>
        <v>#REF!</v>
      </c>
      <c r="X83" s="3157" t="e">
        <f t="shared" si="98"/>
        <v>#REF!</v>
      </c>
      <c r="Y83" s="3157" t="e">
        <f t="shared" si="98"/>
        <v>#REF!</v>
      </c>
      <c r="Z83" s="3157" t="e">
        <f t="shared" si="98"/>
        <v>#REF!</v>
      </c>
      <c r="AA83" s="3157" t="e">
        <f t="shared" si="98"/>
        <v>#REF!</v>
      </c>
      <c r="AB83" s="144"/>
      <c r="AC83" s="2867"/>
      <c r="AD83" s="2867"/>
      <c r="AE83" s="2867"/>
      <c r="AF83" s="2867"/>
      <c r="AG83" s="2867"/>
      <c r="AH83" s="2867"/>
      <c r="AI83" s="2825"/>
      <c r="AJ83" s="1"/>
      <c r="AK83" s="1"/>
      <c r="AL83" s="1"/>
      <c r="AM83" s="1"/>
      <c r="AN83" s="1"/>
    </row>
    <row r="84" spans="1:40" ht="14" customHeight="1">
      <c r="A84" s="144"/>
      <c r="B84" s="144"/>
      <c r="C84" s="144"/>
      <c r="D84" s="906"/>
      <c r="E84" s="144"/>
      <c r="F84" s="146"/>
      <c r="G84" s="146"/>
      <c r="H84" s="144"/>
      <c r="I84" s="144"/>
      <c r="J84" s="144"/>
      <c r="K84" s="144"/>
      <c r="L84" s="144"/>
      <c r="M84" s="144"/>
      <c r="N84" s="1278"/>
      <c r="O84" s="144"/>
      <c r="P84" s="144"/>
      <c r="Q84" s="144"/>
      <c r="R84" s="146"/>
      <c r="S84" s="144"/>
      <c r="T84" s="144"/>
      <c r="U84" s="3157" t="e">
        <f t="shared" si="98"/>
        <v>#REF!</v>
      </c>
      <c r="V84" s="3157" t="e">
        <f t="shared" si="98"/>
        <v>#REF!</v>
      </c>
      <c r="W84" s="3157" t="e">
        <f t="shared" si="98"/>
        <v>#REF!</v>
      </c>
      <c r="X84" s="3157" t="e">
        <f t="shared" si="98"/>
        <v>#REF!</v>
      </c>
      <c r="Y84" s="3157" t="e">
        <f t="shared" si="98"/>
        <v>#REF!</v>
      </c>
      <c r="Z84" s="3157" t="e">
        <f t="shared" si="98"/>
        <v>#REF!</v>
      </c>
      <c r="AA84" s="3157" t="e">
        <f t="shared" si="98"/>
        <v>#REF!</v>
      </c>
      <c r="AB84" s="144"/>
      <c r="AC84" s="2867"/>
      <c r="AD84" s="2867"/>
      <c r="AE84" s="2867"/>
      <c r="AF84" s="2867"/>
      <c r="AG84" s="2867"/>
      <c r="AH84" s="2867"/>
      <c r="AI84" s="2825"/>
      <c r="AJ84" s="1"/>
      <c r="AK84" s="1"/>
      <c r="AL84" s="1"/>
      <c r="AM84" s="1"/>
      <c r="AN84" s="1"/>
    </row>
    <row r="85" spans="1:40" ht="14" customHeight="1">
      <c r="A85" s="144"/>
      <c r="B85" s="144"/>
      <c r="C85" s="144"/>
      <c r="D85" s="906"/>
      <c r="E85" s="144"/>
      <c r="F85" s="146"/>
      <c r="G85" s="146"/>
      <c r="H85" s="144"/>
      <c r="I85" s="144"/>
      <c r="J85" s="144"/>
      <c r="K85" s="144"/>
      <c r="L85" s="144"/>
      <c r="M85" s="144"/>
      <c r="N85" s="1278"/>
      <c r="O85" s="144"/>
      <c r="P85" s="144"/>
      <c r="Q85" s="144"/>
      <c r="R85" s="146"/>
      <c r="S85" s="144"/>
      <c r="T85" s="144"/>
      <c r="U85" s="3157" t="e">
        <f t="shared" si="98"/>
        <v>#REF!</v>
      </c>
      <c r="V85" s="3157" t="e">
        <f t="shared" si="98"/>
        <v>#REF!</v>
      </c>
      <c r="W85" s="3157" t="e">
        <f t="shared" si="98"/>
        <v>#REF!</v>
      </c>
      <c r="X85" s="3157" t="e">
        <f t="shared" si="98"/>
        <v>#REF!</v>
      </c>
      <c r="Y85" s="3157" t="e">
        <f t="shared" si="98"/>
        <v>#REF!</v>
      </c>
      <c r="Z85" s="3157" t="e">
        <f t="shared" si="98"/>
        <v>#REF!</v>
      </c>
      <c r="AA85" s="3157" t="e">
        <f t="shared" si="98"/>
        <v>#REF!</v>
      </c>
      <c r="AB85" s="144"/>
      <c r="AC85" s="2867">
        <v>0</v>
      </c>
      <c r="AD85" s="2867">
        <v>0</v>
      </c>
      <c r="AE85" s="2867">
        <v>0</v>
      </c>
      <c r="AF85" s="2867">
        <v>0</v>
      </c>
      <c r="AG85" s="2867">
        <v>0</v>
      </c>
      <c r="AH85" s="2867">
        <v>0</v>
      </c>
      <c r="AI85" s="2825"/>
      <c r="AJ85" s="1"/>
      <c r="AK85" s="1"/>
      <c r="AL85" s="1"/>
      <c r="AM85" s="1"/>
      <c r="AN85" s="1"/>
    </row>
    <row r="86" spans="1:40" ht="14" customHeight="1">
      <c r="A86" s="144"/>
      <c r="B86" s="144"/>
      <c r="C86" s="144"/>
      <c r="D86" s="906"/>
      <c r="E86" s="144"/>
      <c r="F86" s="146"/>
      <c r="G86" s="146"/>
      <c r="H86" s="144"/>
      <c r="I86" s="144"/>
      <c r="J86" s="144"/>
      <c r="K86" s="144"/>
      <c r="L86" s="144"/>
      <c r="M86" s="144"/>
      <c r="N86" s="1278"/>
      <c r="O86" s="144"/>
      <c r="P86" s="144"/>
      <c r="Q86" s="144"/>
      <c r="R86" s="146"/>
      <c r="S86" s="144"/>
      <c r="T86" s="144"/>
      <c r="U86" s="3157" t="e">
        <f t="shared" si="98"/>
        <v>#REF!</v>
      </c>
      <c r="V86" s="3157" t="e">
        <f t="shared" si="98"/>
        <v>#REF!</v>
      </c>
      <c r="W86" s="3157" t="e">
        <f t="shared" si="98"/>
        <v>#REF!</v>
      </c>
      <c r="X86" s="3157" t="e">
        <f t="shared" si="98"/>
        <v>#REF!</v>
      </c>
      <c r="Y86" s="3157" t="e">
        <f t="shared" si="98"/>
        <v>#REF!</v>
      </c>
      <c r="Z86" s="3157" t="e">
        <f t="shared" si="98"/>
        <v>#REF!</v>
      </c>
      <c r="AA86" s="3157" t="e">
        <f t="shared" si="98"/>
        <v>#REF!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 ht="14" customHeight="1">
      <c r="A87" s="144"/>
      <c r="B87" s="144"/>
      <c r="C87" s="144"/>
      <c r="D87" s="906"/>
      <c r="E87" s="144"/>
      <c r="F87" s="146"/>
      <c r="G87" s="146"/>
      <c r="H87" s="144"/>
      <c r="I87" s="144"/>
      <c r="J87" s="144"/>
      <c r="K87" s="144"/>
      <c r="L87" s="144"/>
      <c r="M87" s="144"/>
      <c r="N87" s="1278"/>
      <c r="O87" s="144"/>
      <c r="P87" s="144"/>
      <c r="Q87" s="144"/>
      <c r="R87" s="146"/>
      <c r="S87" s="144"/>
      <c r="T87" s="144"/>
      <c r="U87" s="3157" t="e">
        <f t="shared" si="98"/>
        <v>#REF!</v>
      </c>
      <c r="V87" s="3157" t="e">
        <f t="shared" si="98"/>
        <v>#REF!</v>
      </c>
      <c r="W87" s="3157" t="e">
        <f t="shared" si="98"/>
        <v>#REF!</v>
      </c>
      <c r="X87" s="3157" t="e">
        <f t="shared" si="98"/>
        <v>#REF!</v>
      </c>
      <c r="Y87" s="3157" t="e">
        <f t="shared" si="98"/>
        <v>#REF!</v>
      </c>
      <c r="Z87" s="3157" t="e">
        <f t="shared" si="98"/>
        <v>#REF!</v>
      </c>
      <c r="AA87" s="3157" t="e">
        <f t="shared" si="98"/>
        <v>#REF!</v>
      </c>
      <c r="AB87" s="144"/>
      <c r="AC87" s="2867">
        <v>0</v>
      </c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25"/>
      <c r="AJ87" s="1"/>
      <c r="AK87" s="1"/>
      <c r="AL87" s="1"/>
      <c r="AM87" s="1"/>
      <c r="AN87" s="1"/>
    </row>
    <row r="88" spans="1:40" ht="14" customHeight="1">
      <c r="A88" s="144"/>
      <c r="B88" s="144"/>
      <c r="C88" s="144"/>
      <c r="D88" s="906"/>
      <c r="E88" s="144"/>
      <c r="F88" s="146"/>
      <c r="G88" s="146"/>
      <c r="H88" s="144"/>
      <c r="I88" s="144"/>
      <c r="J88" s="144"/>
      <c r="K88" s="144"/>
      <c r="L88" s="144"/>
      <c r="M88" s="144"/>
      <c r="N88" s="1278"/>
      <c r="O88" s="144"/>
      <c r="P88" s="144"/>
      <c r="Q88" s="144"/>
      <c r="R88" s="146"/>
      <c r="S88" s="144"/>
      <c r="T88" s="144"/>
      <c r="U88" s="3157" t="e">
        <f t="shared" ref="U88:AA98" si="99">IF(U87&gt;0,U87,U86)</f>
        <v>#REF!</v>
      </c>
      <c r="V88" s="3157" t="e">
        <f t="shared" si="99"/>
        <v>#REF!</v>
      </c>
      <c r="W88" s="3157" t="e">
        <f t="shared" si="99"/>
        <v>#REF!</v>
      </c>
      <c r="X88" s="3157" t="e">
        <f t="shared" si="99"/>
        <v>#REF!</v>
      </c>
      <c r="Y88" s="3157" t="e">
        <f t="shared" si="99"/>
        <v>#REF!</v>
      </c>
      <c r="Z88" s="3157" t="e">
        <f t="shared" si="99"/>
        <v>#REF!</v>
      </c>
      <c r="AA88" s="3157" t="e">
        <f t="shared" si="99"/>
        <v>#REF!</v>
      </c>
      <c r="AB88" s="144"/>
      <c r="AC88" s="2867"/>
      <c r="AD88" s="2867"/>
      <c r="AE88" s="2867"/>
      <c r="AF88" s="2867"/>
      <c r="AG88" s="2867"/>
      <c r="AH88" s="2867"/>
      <c r="AI88" s="2825"/>
      <c r="AJ88" s="1"/>
      <c r="AK88" s="1"/>
      <c r="AL88" s="1"/>
      <c r="AM88" s="1"/>
      <c r="AN88" s="1"/>
    </row>
    <row r="89" spans="1:40" ht="14" customHeight="1">
      <c r="A89" s="144"/>
      <c r="B89" s="144"/>
      <c r="C89" s="144"/>
      <c r="D89" s="906"/>
      <c r="E89" s="144"/>
      <c r="F89" s="146"/>
      <c r="G89" s="146"/>
      <c r="H89" s="144"/>
      <c r="I89" s="144"/>
      <c r="J89" s="144"/>
      <c r="K89" s="144"/>
      <c r="L89" s="144"/>
      <c r="M89" s="144"/>
      <c r="N89" s="1278"/>
      <c r="O89" s="144"/>
      <c r="P89" s="144"/>
      <c r="Q89" s="144"/>
      <c r="R89" s="146"/>
      <c r="S89" s="144"/>
      <c r="T89" s="144"/>
      <c r="U89" s="3157" t="e">
        <f t="shared" si="99"/>
        <v>#REF!</v>
      </c>
      <c r="V89" s="3157" t="e">
        <f t="shared" si="99"/>
        <v>#REF!</v>
      </c>
      <c r="W89" s="3157" t="e">
        <f t="shared" si="99"/>
        <v>#REF!</v>
      </c>
      <c r="X89" s="3157" t="e">
        <f t="shared" si="99"/>
        <v>#REF!</v>
      </c>
      <c r="Y89" s="3157" t="e">
        <f t="shared" si="99"/>
        <v>#REF!</v>
      </c>
      <c r="Z89" s="3157" t="e">
        <f t="shared" si="99"/>
        <v>#REF!</v>
      </c>
      <c r="AA89" s="3157" t="e">
        <f t="shared" si="99"/>
        <v>#REF!</v>
      </c>
      <c r="AB89" s="144"/>
      <c r="AC89" s="2867"/>
      <c r="AD89" s="2867"/>
      <c r="AE89" s="2867"/>
      <c r="AF89" s="2867"/>
      <c r="AG89" s="2867"/>
      <c r="AH89" s="2867"/>
      <c r="AI89" s="2825"/>
      <c r="AJ89" s="1"/>
      <c r="AK89" s="1"/>
      <c r="AL89" s="1"/>
      <c r="AM89" s="1"/>
      <c r="AN89" s="1"/>
    </row>
    <row r="90" spans="1:40" ht="14" customHeight="1">
      <c r="A90" s="144"/>
      <c r="B90" s="144"/>
      <c r="C90" s="144"/>
      <c r="D90" s="906"/>
      <c r="E90" s="144"/>
      <c r="F90" s="146"/>
      <c r="G90" s="146"/>
      <c r="H90" s="144"/>
      <c r="I90" s="144"/>
      <c r="J90" s="144"/>
      <c r="K90" s="144"/>
      <c r="L90" s="144"/>
      <c r="M90" s="144"/>
      <c r="N90" s="1278"/>
      <c r="O90" s="144"/>
      <c r="P90" s="144"/>
      <c r="Q90" s="144"/>
      <c r="R90" s="146"/>
      <c r="S90" s="144"/>
      <c r="T90" s="144"/>
      <c r="U90" s="3157" t="e">
        <f t="shared" si="99"/>
        <v>#REF!</v>
      </c>
      <c r="V90" s="3157" t="e">
        <f t="shared" si="99"/>
        <v>#REF!</v>
      </c>
      <c r="W90" s="3157" t="e">
        <f t="shared" si="99"/>
        <v>#REF!</v>
      </c>
      <c r="X90" s="3157" t="e">
        <f t="shared" si="99"/>
        <v>#REF!</v>
      </c>
      <c r="Y90" s="3157" t="e">
        <f t="shared" si="99"/>
        <v>#REF!</v>
      </c>
      <c r="Z90" s="3157" t="e">
        <f t="shared" si="99"/>
        <v>#REF!</v>
      </c>
      <c r="AA90" s="3157" t="e">
        <f t="shared" si="99"/>
        <v>#REF!</v>
      </c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1"/>
      <c r="AK90" s="1"/>
      <c r="AL90" s="1"/>
      <c r="AM90" s="1"/>
      <c r="AN90" s="1"/>
    </row>
    <row r="91" spans="1:40" ht="14" customHeight="1">
      <c r="A91" s="144"/>
      <c r="B91" s="144"/>
      <c r="C91" s="144"/>
      <c r="D91" s="906"/>
      <c r="E91" s="144"/>
      <c r="F91" s="146"/>
      <c r="G91" s="146"/>
      <c r="H91" s="144"/>
      <c r="I91" s="144"/>
      <c r="J91" s="144"/>
      <c r="K91" s="144"/>
      <c r="L91" s="144"/>
      <c r="M91" s="144"/>
      <c r="N91" s="1278"/>
      <c r="O91" s="144"/>
      <c r="P91" s="144"/>
      <c r="Q91" s="144"/>
      <c r="R91" s="146"/>
      <c r="S91" s="144"/>
      <c r="T91" s="144"/>
      <c r="U91" s="3157" t="e">
        <f t="shared" si="99"/>
        <v>#REF!</v>
      </c>
      <c r="V91" s="3157" t="e">
        <f t="shared" si="99"/>
        <v>#REF!</v>
      </c>
      <c r="W91" s="3157" t="e">
        <f t="shared" si="99"/>
        <v>#REF!</v>
      </c>
      <c r="X91" s="3157" t="e">
        <f t="shared" si="99"/>
        <v>#REF!</v>
      </c>
      <c r="Y91" s="3157" t="e">
        <f t="shared" si="99"/>
        <v>#REF!</v>
      </c>
      <c r="Z91" s="3157" t="e">
        <f t="shared" si="99"/>
        <v>#REF!</v>
      </c>
      <c r="AA91" s="3157" t="e">
        <f t="shared" si="99"/>
        <v>#REF!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 ht="14" customHeight="1">
      <c r="A92" s="144"/>
      <c r="B92" s="144"/>
      <c r="C92" s="144"/>
      <c r="D92" s="906"/>
      <c r="E92" s="144"/>
      <c r="F92" s="146"/>
      <c r="G92" s="146"/>
      <c r="H92" s="144"/>
      <c r="I92" s="144"/>
      <c r="J92" s="144"/>
      <c r="K92" s="144"/>
      <c r="L92" s="144"/>
      <c r="M92" s="144"/>
      <c r="N92" s="1278"/>
      <c r="O92" s="144"/>
      <c r="P92" s="144"/>
      <c r="Q92" s="144"/>
      <c r="R92" s="146"/>
      <c r="S92" s="144"/>
      <c r="T92" s="144"/>
      <c r="U92" s="3157" t="e">
        <f t="shared" si="99"/>
        <v>#REF!</v>
      </c>
      <c r="V92" s="3157" t="e">
        <f t="shared" si="99"/>
        <v>#REF!</v>
      </c>
      <c r="W92" s="3157" t="e">
        <f t="shared" si="99"/>
        <v>#REF!</v>
      </c>
      <c r="X92" s="3157" t="e">
        <f t="shared" si="99"/>
        <v>#REF!</v>
      </c>
      <c r="Y92" s="3157" t="e">
        <f t="shared" si="99"/>
        <v>#REF!</v>
      </c>
      <c r="Z92" s="3157" t="e">
        <f t="shared" si="99"/>
        <v>#REF!</v>
      </c>
      <c r="AA92" s="3157" t="e">
        <f t="shared" si="99"/>
        <v>#REF!</v>
      </c>
      <c r="AB92" s="144"/>
      <c r="AC92" s="2867">
        <v>0</v>
      </c>
      <c r="AD92" s="2867">
        <v>0</v>
      </c>
      <c r="AE92" s="2867">
        <v>0</v>
      </c>
      <c r="AF92" s="2867">
        <v>0</v>
      </c>
      <c r="AG92" s="2867">
        <v>0</v>
      </c>
      <c r="AH92" s="2867">
        <v>0</v>
      </c>
      <c r="AI92" s="2825"/>
      <c r="AJ92" s="1"/>
      <c r="AK92" s="1"/>
      <c r="AL92" s="1"/>
      <c r="AM92" s="1"/>
      <c r="AN92" s="1"/>
    </row>
    <row r="93" spans="1:40" ht="14" customHeight="1">
      <c r="A93" s="144"/>
      <c r="B93" s="144"/>
      <c r="C93" s="144"/>
      <c r="D93" s="906"/>
      <c r="E93" s="144"/>
      <c r="F93" s="146"/>
      <c r="G93" s="146"/>
      <c r="H93" s="144"/>
      <c r="I93" s="144"/>
      <c r="J93" s="144"/>
      <c r="K93" s="144"/>
      <c r="L93" s="144"/>
      <c r="M93" s="144"/>
      <c r="N93" s="1278"/>
      <c r="O93" s="144"/>
      <c r="P93" s="144"/>
      <c r="Q93" s="144"/>
      <c r="R93" s="146"/>
      <c r="S93" s="144"/>
      <c r="T93" s="144"/>
      <c r="U93" s="3157" t="e">
        <f t="shared" si="99"/>
        <v>#REF!</v>
      </c>
      <c r="V93" s="3157" t="e">
        <f t="shared" si="99"/>
        <v>#REF!</v>
      </c>
      <c r="W93" s="3157" t="e">
        <f t="shared" si="99"/>
        <v>#REF!</v>
      </c>
      <c r="X93" s="3157" t="e">
        <f t="shared" si="99"/>
        <v>#REF!</v>
      </c>
      <c r="Y93" s="3157" t="e">
        <f t="shared" si="99"/>
        <v>#REF!</v>
      </c>
      <c r="Z93" s="3157" t="e">
        <f t="shared" si="99"/>
        <v>#REF!</v>
      </c>
      <c r="AA93" s="3157" t="e">
        <f t="shared" si="99"/>
        <v>#REF!</v>
      </c>
      <c r="AB93" s="144"/>
      <c r="AC93" s="2867"/>
      <c r="AD93" s="2867"/>
      <c r="AE93" s="2867"/>
      <c r="AF93" s="2867"/>
      <c r="AG93" s="2867"/>
      <c r="AH93" s="2867"/>
      <c r="AI93" s="2825"/>
      <c r="AJ93" s="1"/>
      <c r="AK93" s="1"/>
      <c r="AL93" s="1"/>
      <c r="AM93" s="1"/>
      <c r="AN93" s="1"/>
    </row>
    <row r="94" spans="1:40" ht="14" customHeight="1">
      <c r="A94" s="144"/>
      <c r="B94" s="144"/>
      <c r="C94" s="144"/>
      <c r="D94" s="906"/>
      <c r="E94" s="144"/>
      <c r="F94" s="146"/>
      <c r="G94" s="146"/>
      <c r="H94" s="144"/>
      <c r="I94" s="144"/>
      <c r="J94" s="144"/>
      <c r="K94" s="144"/>
      <c r="L94" s="144"/>
      <c r="M94" s="144"/>
      <c r="N94" s="1278"/>
      <c r="O94" s="144"/>
      <c r="P94" s="144"/>
      <c r="Q94" s="144"/>
      <c r="R94" s="146"/>
      <c r="S94" s="144"/>
      <c r="T94" s="144"/>
      <c r="U94" s="3157" t="e">
        <f t="shared" si="99"/>
        <v>#REF!</v>
      </c>
      <c r="V94" s="3157" t="e">
        <f t="shared" si="99"/>
        <v>#REF!</v>
      </c>
      <c r="W94" s="3157" t="e">
        <f t="shared" si="99"/>
        <v>#REF!</v>
      </c>
      <c r="X94" s="3157" t="e">
        <f t="shared" si="99"/>
        <v>#REF!</v>
      </c>
      <c r="Y94" s="3157" t="e">
        <f t="shared" si="99"/>
        <v>#REF!</v>
      </c>
      <c r="Z94" s="3157" t="e">
        <f t="shared" si="99"/>
        <v>#REF!</v>
      </c>
      <c r="AA94" s="3157" t="e">
        <f t="shared" si="99"/>
        <v>#REF!</v>
      </c>
      <c r="AB94" s="144"/>
      <c r="AC94" s="2867"/>
      <c r="AD94" s="2867"/>
      <c r="AE94" s="2867"/>
      <c r="AF94" s="2867"/>
      <c r="AG94" s="2867"/>
      <c r="AH94" s="2867"/>
      <c r="AI94" s="2825"/>
      <c r="AJ94" s="1"/>
      <c r="AK94" s="1"/>
      <c r="AL94" s="1"/>
      <c r="AM94" s="1"/>
      <c r="AN94" s="1"/>
    </row>
    <row r="95" spans="1:40" ht="14" customHeight="1">
      <c r="A95" s="144"/>
      <c r="B95" s="144"/>
      <c r="C95" s="144"/>
      <c r="D95" s="906"/>
      <c r="E95" s="144"/>
      <c r="F95" s="146"/>
      <c r="G95" s="146"/>
      <c r="H95" s="144"/>
      <c r="I95" s="144"/>
      <c r="J95" s="144"/>
      <c r="K95" s="144"/>
      <c r="L95" s="144"/>
      <c r="M95" s="144"/>
      <c r="N95" s="1278"/>
      <c r="O95" s="144"/>
      <c r="P95" s="144"/>
      <c r="Q95" s="144"/>
      <c r="R95" s="146"/>
      <c r="S95" s="144"/>
      <c r="T95" s="144"/>
      <c r="U95" s="3157" t="e">
        <f t="shared" si="99"/>
        <v>#REF!</v>
      </c>
      <c r="V95" s="3157" t="e">
        <f t="shared" si="99"/>
        <v>#REF!</v>
      </c>
      <c r="W95" s="3157" t="e">
        <f t="shared" si="99"/>
        <v>#REF!</v>
      </c>
      <c r="X95" s="3157" t="e">
        <f t="shared" si="99"/>
        <v>#REF!</v>
      </c>
      <c r="Y95" s="3157" t="e">
        <f t="shared" si="99"/>
        <v>#REF!</v>
      </c>
      <c r="Z95" s="3157" t="e">
        <f t="shared" si="99"/>
        <v>#REF!</v>
      </c>
      <c r="AA95" s="3157" t="e">
        <f t="shared" si="99"/>
        <v>#REF!</v>
      </c>
      <c r="AB95" s="144"/>
      <c r="AC95" s="2867">
        <v>0</v>
      </c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825"/>
      <c r="AJ95" s="1"/>
      <c r="AK95" s="1"/>
      <c r="AL95" s="1"/>
      <c r="AM95" s="1"/>
      <c r="AN95" s="1"/>
    </row>
    <row r="96" spans="1:40" ht="14" customHeight="1">
      <c r="A96" s="144"/>
      <c r="B96" s="144"/>
      <c r="C96" s="144"/>
      <c r="D96" s="906"/>
      <c r="E96" s="144"/>
      <c r="F96" s="146"/>
      <c r="G96" s="146"/>
      <c r="H96" s="144"/>
      <c r="I96" s="144"/>
      <c r="J96" s="144"/>
      <c r="K96" s="144"/>
      <c r="L96" s="144"/>
      <c r="M96" s="144"/>
      <c r="N96" s="1278"/>
      <c r="O96" s="144"/>
      <c r="P96" s="144"/>
      <c r="Q96" s="144"/>
      <c r="R96" s="146"/>
      <c r="S96" s="144"/>
      <c r="T96" s="144"/>
      <c r="U96" s="3157" t="e">
        <f t="shared" si="99"/>
        <v>#REF!</v>
      </c>
      <c r="V96" s="3157" t="e">
        <f t="shared" si="99"/>
        <v>#REF!</v>
      </c>
      <c r="W96" s="3157" t="e">
        <f t="shared" si="99"/>
        <v>#REF!</v>
      </c>
      <c r="X96" s="3157" t="e">
        <f t="shared" si="99"/>
        <v>#REF!</v>
      </c>
      <c r="Y96" s="3157" t="e">
        <f t="shared" si="99"/>
        <v>#REF!</v>
      </c>
      <c r="Z96" s="3157" t="e">
        <f t="shared" si="99"/>
        <v>#REF!</v>
      </c>
      <c r="AA96" s="3157" t="e">
        <f t="shared" si="99"/>
        <v>#REF!</v>
      </c>
      <c r="AB96" s="144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1"/>
      <c r="AK96" s="1"/>
      <c r="AL96" s="1"/>
      <c r="AM96" s="1"/>
      <c r="AN96" s="1"/>
    </row>
    <row r="97" spans="1:40" ht="14" customHeight="1">
      <c r="A97" s="144"/>
      <c r="B97" s="144"/>
      <c r="C97" s="144"/>
      <c r="D97" s="906"/>
      <c r="E97" s="144"/>
      <c r="F97" s="146"/>
      <c r="G97" s="146"/>
      <c r="H97" s="144"/>
      <c r="I97" s="144"/>
      <c r="J97" s="144"/>
      <c r="K97" s="144"/>
      <c r="L97" s="144"/>
      <c r="M97" s="144"/>
      <c r="N97" s="1278"/>
      <c r="O97" s="144"/>
      <c r="P97" s="144"/>
      <c r="Q97" s="144"/>
      <c r="R97" s="146"/>
      <c r="S97" s="144"/>
      <c r="T97" s="144"/>
      <c r="U97" s="3157" t="e">
        <f t="shared" si="99"/>
        <v>#REF!</v>
      </c>
      <c r="V97" s="3157" t="e">
        <f t="shared" si="99"/>
        <v>#REF!</v>
      </c>
      <c r="W97" s="3157" t="e">
        <f t="shared" si="99"/>
        <v>#REF!</v>
      </c>
      <c r="X97" s="3157" t="e">
        <f t="shared" si="99"/>
        <v>#REF!</v>
      </c>
      <c r="Y97" s="3157" t="e">
        <f t="shared" si="99"/>
        <v>#REF!</v>
      </c>
      <c r="Z97" s="3157" t="e">
        <f t="shared" si="99"/>
        <v>#REF!</v>
      </c>
      <c r="AA97" s="3157" t="e">
        <f t="shared" si="99"/>
        <v>#REF!</v>
      </c>
      <c r="AB97" s="144"/>
      <c r="AC97" s="2867">
        <v>0</v>
      </c>
      <c r="AD97" s="2867">
        <v>0</v>
      </c>
      <c r="AE97" s="2867">
        <v>0</v>
      </c>
      <c r="AF97" s="2867">
        <v>0</v>
      </c>
      <c r="AG97" s="2867">
        <v>0</v>
      </c>
      <c r="AH97" s="2867">
        <v>0</v>
      </c>
      <c r="AI97" s="2825"/>
      <c r="AJ97" s="1"/>
      <c r="AK97" s="1"/>
      <c r="AL97" s="1"/>
      <c r="AM97" s="1"/>
      <c r="AN97" s="1"/>
    </row>
    <row r="98" spans="1:40" ht="14" customHeight="1">
      <c r="A98" s="144"/>
      <c r="B98" s="144"/>
      <c r="C98" s="144"/>
      <c r="D98" s="906"/>
      <c r="E98" s="144"/>
      <c r="F98" s="146"/>
      <c r="G98" s="146"/>
      <c r="H98" s="144"/>
      <c r="I98" s="144"/>
      <c r="J98" s="144"/>
      <c r="K98" s="144"/>
      <c r="L98" s="144"/>
      <c r="M98" s="144"/>
      <c r="N98" s="1278"/>
      <c r="O98" s="144"/>
      <c r="P98" s="144"/>
      <c r="Q98" s="144"/>
      <c r="R98" s="146"/>
      <c r="S98" s="144"/>
      <c r="T98" s="144"/>
      <c r="U98" s="3158" t="e">
        <f>IF(U97&gt;0,U97,U96)</f>
        <v>#REF!</v>
      </c>
      <c r="V98" s="3158" t="e">
        <f t="shared" si="99"/>
        <v>#REF!</v>
      </c>
      <c r="W98" s="3158" t="e">
        <f t="shared" si="99"/>
        <v>#REF!</v>
      </c>
      <c r="X98" s="3158" t="e">
        <f t="shared" si="99"/>
        <v>#REF!</v>
      </c>
      <c r="Y98" s="3158" t="e">
        <f t="shared" si="99"/>
        <v>#REF!</v>
      </c>
      <c r="Z98" s="3158" t="e">
        <f t="shared" si="99"/>
        <v>#REF!</v>
      </c>
      <c r="AA98" s="3158" t="e">
        <f t="shared" si="99"/>
        <v>#REF!</v>
      </c>
      <c r="AB98" s="144"/>
      <c r="AC98" s="2867"/>
      <c r="AD98" s="2867"/>
      <c r="AE98" s="2867"/>
      <c r="AF98" s="2867"/>
      <c r="AG98" s="2867"/>
      <c r="AH98" s="2867"/>
      <c r="AI98" s="2825"/>
      <c r="AJ98" s="1"/>
      <c r="AK98" s="1"/>
      <c r="AL98" s="1"/>
      <c r="AM98" s="1"/>
      <c r="AN98" s="1"/>
    </row>
    <row r="99" spans="1:40" ht="14" customHeight="1">
      <c r="A99" s="144"/>
      <c r="B99" s="144"/>
      <c r="C99" s="144"/>
      <c r="D99" s="906"/>
      <c r="E99" s="144"/>
      <c r="F99" s="146"/>
      <c r="G99" s="146"/>
      <c r="H99" s="144"/>
      <c r="I99" s="144"/>
      <c r="J99" s="144"/>
      <c r="K99" s="144"/>
      <c r="L99" s="144"/>
      <c r="M99" s="144"/>
      <c r="N99" s="1278"/>
      <c r="O99" s="144"/>
      <c r="P99" s="144"/>
      <c r="Q99" s="144"/>
      <c r="R99" s="146"/>
      <c r="S99" s="144"/>
      <c r="T99" s="144"/>
      <c r="U99" s="2838"/>
      <c r="V99" s="2838"/>
      <c r="W99" s="2838"/>
      <c r="X99" s="2838"/>
      <c r="Y99" s="2838"/>
      <c r="Z99" s="2838"/>
      <c r="AA99" s="2838"/>
      <c r="AB99" s="144"/>
      <c r="AC99" s="2867"/>
      <c r="AD99" s="2867"/>
      <c r="AE99" s="2867"/>
      <c r="AF99" s="2867"/>
      <c r="AG99" s="2867"/>
      <c r="AH99" s="2867"/>
      <c r="AI99" s="2825"/>
      <c r="AJ99" s="1"/>
      <c r="AK99" s="1"/>
      <c r="AL99" s="1"/>
      <c r="AM99" s="1"/>
      <c r="AN99" s="1"/>
    </row>
    <row r="100" spans="1:40" ht="14" customHeight="1">
      <c r="A100" s="144"/>
      <c r="B100" s="144"/>
      <c r="C100" s="144"/>
      <c r="D100" s="906"/>
      <c r="E100" s="144"/>
      <c r="F100" s="146"/>
      <c r="G100" s="146"/>
      <c r="H100" s="144"/>
      <c r="I100" s="144"/>
      <c r="J100" s="144"/>
      <c r="K100" s="144"/>
      <c r="L100" s="144"/>
      <c r="M100" s="144"/>
      <c r="N100" s="1278"/>
      <c r="O100" s="144"/>
      <c r="P100" s="144"/>
      <c r="Q100" s="144"/>
      <c r="R100" s="146"/>
      <c r="S100" s="144"/>
      <c r="T100" s="144"/>
      <c r="U100" s="2838"/>
      <c r="V100" s="2838"/>
      <c r="W100" s="2838"/>
      <c r="X100" s="2838"/>
      <c r="Y100" s="2838"/>
      <c r="Z100" s="2838"/>
      <c r="AA100" s="2838"/>
      <c r="AB100" s="144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N100" s="1"/>
    </row>
    <row r="101" spans="1:40" ht="14" customHeight="1">
      <c r="A101" s="144"/>
      <c r="B101" s="144"/>
      <c r="C101" s="144"/>
      <c r="D101" s="906"/>
      <c r="E101" s="144"/>
      <c r="F101" s="146"/>
      <c r="G101" s="146"/>
      <c r="H101" s="144"/>
      <c r="I101" s="144"/>
      <c r="J101" s="144"/>
      <c r="K101" s="144"/>
      <c r="L101" s="144"/>
      <c r="M101" s="144"/>
      <c r="N101" s="1278"/>
      <c r="O101" s="144"/>
      <c r="P101" s="144"/>
      <c r="Q101" s="144"/>
      <c r="R101" s="146"/>
      <c r="S101" s="144"/>
      <c r="T101" s="144"/>
      <c r="U101" s="2838"/>
      <c r="V101" s="2838"/>
      <c r="W101" s="2838"/>
      <c r="X101" s="2838"/>
      <c r="Y101" s="2838"/>
      <c r="Z101" s="2838"/>
      <c r="AA101" s="2838"/>
      <c r="AB101" s="144"/>
      <c r="AC101" s="2867"/>
      <c r="AD101" s="2867"/>
      <c r="AE101" s="2867"/>
      <c r="AF101" s="2867"/>
      <c r="AG101" s="2867"/>
      <c r="AH101" s="2867"/>
      <c r="AN101" s="1"/>
    </row>
    <row r="102" spans="1:40" ht="14" customHeight="1">
      <c r="A102" s="144"/>
      <c r="B102" s="144"/>
      <c r="C102" s="144"/>
      <c r="D102" s="906"/>
      <c r="E102" s="144"/>
      <c r="F102" s="146"/>
      <c r="G102" s="146"/>
      <c r="H102" s="144"/>
      <c r="I102" s="144"/>
      <c r="J102" s="144"/>
      <c r="K102" s="144"/>
      <c r="L102" s="144"/>
      <c r="M102" s="144"/>
      <c r="N102" s="1278"/>
      <c r="O102" s="144"/>
      <c r="P102" s="144"/>
      <c r="Q102" s="144"/>
      <c r="R102" s="146"/>
      <c r="S102" s="144"/>
      <c r="T102" s="144"/>
      <c r="U102" s="2838"/>
      <c r="V102" s="2838"/>
      <c r="W102" s="2838"/>
      <c r="X102" s="2838"/>
      <c r="Y102" s="2838"/>
      <c r="Z102" s="2838"/>
      <c r="AA102" s="2838"/>
      <c r="AB102" s="144"/>
      <c r="AN102" s="1"/>
    </row>
    <row r="103" spans="1:40" ht="14" customHeight="1">
      <c r="A103" s="144"/>
      <c r="B103" s="144"/>
      <c r="C103" s="144"/>
      <c r="D103" s="906"/>
      <c r="E103" s="144"/>
      <c r="F103" s="146"/>
      <c r="G103" s="146"/>
      <c r="H103" s="144"/>
      <c r="I103" s="144"/>
      <c r="J103" s="144"/>
      <c r="K103" s="144"/>
      <c r="L103" s="144"/>
      <c r="M103" s="144"/>
      <c r="N103" s="1278"/>
      <c r="O103" s="144"/>
      <c r="P103" s="144"/>
      <c r="Q103" s="144"/>
      <c r="R103" s="146"/>
      <c r="S103" s="144"/>
      <c r="T103" s="144"/>
      <c r="U103" s="2838"/>
      <c r="V103" s="2838"/>
      <c r="W103" s="2838"/>
      <c r="X103" s="2838"/>
      <c r="Y103" s="2838"/>
      <c r="Z103" s="2838"/>
      <c r="AA103" s="2838"/>
      <c r="AB103" s="144"/>
      <c r="AN103" s="1"/>
    </row>
    <row r="104" spans="1:40" ht="14" customHeight="1">
      <c r="A104" s="144"/>
      <c r="B104" s="144"/>
      <c r="C104" s="144"/>
      <c r="D104" s="906"/>
      <c r="E104" s="144"/>
      <c r="F104" s="146"/>
      <c r="G104" s="146"/>
      <c r="H104" s="144"/>
      <c r="I104" s="144"/>
      <c r="J104" s="144"/>
      <c r="K104" s="144"/>
      <c r="L104" s="144"/>
      <c r="M104" s="144"/>
      <c r="N104" s="1278"/>
      <c r="O104" s="144"/>
      <c r="P104" s="144"/>
      <c r="Q104" s="144"/>
      <c r="R104" s="146"/>
      <c r="S104" s="144"/>
      <c r="T104" s="144"/>
      <c r="U104" s="2838"/>
      <c r="V104" s="2838"/>
      <c r="W104" s="2838"/>
      <c r="X104" s="2838"/>
      <c r="Y104" s="2838"/>
      <c r="Z104" s="2838"/>
      <c r="AA104" s="2838"/>
      <c r="AB104" s="144"/>
      <c r="AN104" s="1"/>
    </row>
    <row r="105" spans="1:40" ht="14" customHeight="1">
      <c r="A105" s="144"/>
      <c r="B105" s="144"/>
      <c r="C105" s="144"/>
      <c r="D105" s="906"/>
      <c r="E105" s="144"/>
      <c r="F105" s="146"/>
      <c r="G105" s="146"/>
      <c r="H105" s="144"/>
      <c r="I105" s="144"/>
      <c r="J105" s="144"/>
      <c r="K105" s="144"/>
      <c r="L105" s="144"/>
      <c r="M105" s="144"/>
      <c r="N105" s="1278"/>
      <c r="O105" s="144"/>
      <c r="P105" s="144"/>
      <c r="Q105" s="144"/>
      <c r="R105" s="146"/>
      <c r="S105" s="144"/>
      <c r="T105" s="144"/>
      <c r="U105" s="2838"/>
      <c r="V105" s="2838"/>
      <c r="W105" s="2838"/>
      <c r="X105" s="2838"/>
      <c r="Y105" s="2838"/>
      <c r="Z105" s="2838"/>
      <c r="AA105" s="2838"/>
      <c r="AB105" s="144"/>
      <c r="AN105" s="1"/>
    </row>
    <row r="106" spans="1:40" ht="14" customHeight="1">
      <c r="A106" s="144"/>
      <c r="B106" s="144"/>
      <c r="C106" s="144"/>
      <c r="D106" s="906"/>
      <c r="E106" s="144"/>
      <c r="F106" s="146"/>
      <c r="G106" s="146"/>
      <c r="H106" s="144"/>
      <c r="I106" s="144"/>
      <c r="J106" s="144"/>
      <c r="K106" s="144"/>
      <c r="L106" s="144"/>
      <c r="M106" s="144"/>
      <c r="N106" s="1278"/>
      <c r="O106" s="144"/>
      <c r="P106" s="144"/>
      <c r="Q106" s="144"/>
      <c r="R106" s="146"/>
      <c r="S106" s="144"/>
      <c r="T106" s="144"/>
      <c r="U106" s="2838"/>
      <c r="V106" s="2838"/>
      <c r="W106" s="2838"/>
      <c r="X106" s="2838"/>
      <c r="Y106" s="2838"/>
      <c r="Z106" s="2838"/>
      <c r="AA106" s="2838"/>
      <c r="AB106" s="144"/>
      <c r="AN106" s="1"/>
    </row>
    <row r="107" spans="1:40" ht="14" customHeight="1">
      <c r="A107" s="144"/>
      <c r="B107" s="144"/>
      <c r="C107" s="144"/>
      <c r="D107" s="906"/>
      <c r="E107" s="144"/>
      <c r="F107" s="146"/>
      <c r="G107" s="146"/>
      <c r="H107" s="144"/>
      <c r="I107" s="144"/>
      <c r="J107" s="144"/>
      <c r="K107" s="144"/>
      <c r="L107" s="144"/>
      <c r="M107" s="144"/>
      <c r="N107" s="1278"/>
      <c r="O107" s="144"/>
      <c r="P107" s="144"/>
      <c r="Q107" s="144"/>
      <c r="R107" s="146"/>
      <c r="S107" s="144"/>
      <c r="T107" s="144"/>
      <c r="U107" s="2838"/>
      <c r="V107" s="2838"/>
      <c r="W107" s="2838"/>
      <c r="X107" s="2838"/>
      <c r="Y107" s="2838"/>
      <c r="Z107" s="2838"/>
      <c r="AA107" s="2838"/>
      <c r="AB107" s="144"/>
      <c r="AN107" s="1"/>
    </row>
    <row r="108" spans="1:40" ht="14" customHeight="1">
      <c r="A108" s="144"/>
      <c r="B108" s="144"/>
      <c r="C108" s="144"/>
      <c r="D108" s="906"/>
      <c r="E108" s="144"/>
      <c r="F108" s="146"/>
      <c r="G108" s="146"/>
      <c r="H108" s="144"/>
      <c r="I108" s="144"/>
      <c r="J108" s="144"/>
      <c r="K108" s="144"/>
      <c r="L108" s="144"/>
      <c r="M108" s="144"/>
      <c r="N108" s="1278"/>
      <c r="O108" s="144"/>
      <c r="P108" s="144"/>
      <c r="Q108" s="144"/>
      <c r="R108" s="146"/>
      <c r="S108" s="144"/>
      <c r="T108" s="144"/>
      <c r="U108" s="2838"/>
      <c r="V108" s="2838"/>
      <c r="W108" s="2838"/>
      <c r="X108" s="2838"/>
      <c r="Y108" s="2838"/>
      <c r="Z108" s="2838"/>
      <c r="AA108" s="2838"/>
      <c r="AB108" s="144"/>
      <c r="AN108" s="1"/>
    </row>
    <row r="109" spans="1:40" ht="14" customHeight="1">
      <c r="A109" s="144"/>
      <c r="B109" s="144"/>
      <c r="C109" s="144"/>
      <c r="D109" s="906"/>
      <c r="E109" s="144"/>
      <c r="F109" s="146"/>
      <c r="G109" s="146"/>
      <c r="H109" s="144"/>
      <c r="I109" s="144"/>
      <c r="J109" s="144"/>
      <c r="K109" s="144"/>
      <c r="L109" s="144"/>
      <c r="M109" s="144"/>
      <c r="N109" s="1278"/>
      <c r="O109" s="144"/>
      <c r="P109" s="144"/>
      <c r="Q109" s="144"/>
      <c r="R109" s="146"/>
      <c r="S109" s="144"/>
      <c r="T109" s="144"/>
      <c r="U109" s="2838"/>
      <c r="V109" s="2838"/>
      <c r="W109" s="2838"/>
      <c r="X109" s="2838"/>
      <c r="Y109" s="2838"/>
      <c r="Z109" s="2838"/>
      <c r="AA109" s="2838"/>
      <c r="AB109" s="144"/>
      <c r="AN109" s="1"/>
    </row>
    <row r="110" spans="1:40" ht="14" customHeight="1">
      <c r="A110" s="144"/>
      <c r="B110" s="144"/>
      <c r="C110" s="144"/>
      <c r="D110" s="906"/>
      <c r="E110" s="144"/>
      <c r="F110" s="146"/>
      <c r="G110" s="146"/>
      <c r="H110" s="144"/>
      <c r="I110" s="144"/>
      <c r="J110" s="144"/>
      <c r="K110" s="144"/>
      <c r="L110" s="144"/>
      <c r="M110" s="144"/>
      <c r="N110" s="1278"/>
      <c r="O110" s="144"/>
      <c r="P110" s="144"/>
      <c r="Q110" s="144"/>
      <c r="R110" s="146"/>
      <c r="S110" s="144"/>
      <c r="T110" s="144"/>
      <c r="U110" s="2838"/>
      <c r="V110" s="2838"/>
      <c r="W110" s="2838"/>
      <c r="X110" s="2838"/>
      <c r="Y110" s="2838"/>
      <c r="Z110" s="2838"/>
      <c r="AA110" s="2838"/>
      <c r="AB110" s="144"/>
      <c r="AN110" s="1"/>
    </row>
    <row r="111" spans="1:40" ht="14" customHeight="1">
      <c r="A111" s="144"/>
      <c r="B111" s="144"/>
      <c r="C111" s="144"/>
      <c r="D111" s="906"/>
      <c r="E111" s="144"/>
      <c r="F111" s="146"/>
      <c r="G111" s="146"/>
      <c r="H111" s="144"/>
      <c r="I111" s="144"/>
      <c r="J111" s="144"/>
      <c r="K111" s="144"/>
      <c r="L111" s="144"/>
      <c r="M111" s="144"/>
      <c r="N111" s="1278"/>
      <c r="O111" s="144"/>
      <c r="P111" s="144"/>
      <c r="Q111" s="144"/>
      <c r="R111" s="146"/>
      <c r="S111" s="144"/>
      <c r="T111" s="144"/>
      <c r="U111" s="2838"/>
      <c r="V111" s="2838"/>
      <c r="W111" s="2838"/>
      <c r="X111" s="2838"/>
      <c r="Y111" s="2838"/>
      <c r="Z111" s="2838"/>
      <c r="AA111" s="2838"/>
      <c r="AB111" s="144"/>
      <c r="AN111" s="1"/>
    </row>
    <row r="112" spans="1:40" ht="14" customHeight="1">
      <c r="A112" s="144"/>
      <c r="B112" s="144"/>
      <c r="C112" s="144"/>
      <c r="D112" s="906"/>
      <c r="E112" s="144"/>
      <c r="F112" s="146"/>
      <c r="G112" s="146"/>
      <c r="H112" s="144"/>
      <c r="I112" s="144"/>
      <c r="J112" s="144"/>
      <c r="K112" s="144"/>
      <c r="L112" s="144"/>
      <c r="M112" s="144"/>
      <c r="N112" s="1278"/>
      <c r="O112" s="144"/>
      <c r="P112" s="144"/>
      <c r="Q112" s="144"/>
      <c r="R112" s="146"/>
      <c r="S112" s="144"/>
      <c r="T112" s="144"/>
      <c r="U112" s="2838"/>
      <c r="V112" s="2838"/>
      <c r="W112" s="2838"/>
      <c r="X112" s="2838"/>
      <c r="Y112" s="2838"/>
      <c r="Z112" s="2838"/>
      <c r="AA112" s="2838"/>
      <c r="AB112" s="144"/>
      <c r="AN112" s="1"/>
    </row>
    <row r="113" spans="1:40" ht="14" customHeight="1">
      <c r="A113" s="144"/>
      <c r="B113" s="144"/>
      <c r="C113" s="144"/>
      <c r="D113" s="906"/>
      <c r="E113" s="144"/>
      <c r="F113" s="146"/>
      <c r="G113" s="146"/>
      <c r="H113" s="144"/>
      <c r="I113" s="144"/>
      <c r="J113" s="144"/>
      <c r="K113" s="144"/>
      <c r="L113" s="144"/>
      <c r="M113" s="144"/>
      <c r="N113" s="1278"/>
      <c r="O113" s="144"/>
      <c r="P113" s="144"/>
      <c r="Q113" s="144"/>
      <c r="R113" s="146"/>
      <c r="S113" s="144"/>
      <c r="T113" s="144"/>
      <c r="U113" s="2838"/>
      <c r="V113" s="2838"/>
      <c r="W113" s="2838"/>
      <c r="X113" s="2838"/>
      <c r="Y113" s="2838"/>
      <c r="Z113" s="2838"/>
      <c r="AA113" s="2838"/>
      <c r="AB113" s="144"/>
      <c r="AC113" s="2825"/>
      <c r="AD113" s="2825"/>
      <c r="AE113" s="2825"/>
      <c r="AF113" s="2825"/>
      <c r="AG113" s="2825"/>
      <c r="AH113" s="2825"/>
      <c r="AI113" s="2825"/>
      <c r="AJ113" s="2825"/>
      <c r="AK113" s="2825"/>
      <c r="AL113" s="2825"/>
      <c r="AM113" s="2825"/>
      <c r="AN113" s="1"/>
    </row>
    <row r="114" spans="1:40" s="3021" customFormat="1" ht="14" customHeight="1">
      <c r="A114" s="144"/>
      <c r="B114" s="144"/>
      <c r="C114" s="144"/>
      <c r="D114" s="906"/>
      <c r="E114" s="144"/>
      <c r="F114" s="146"/>
      <c r="G114" s="146"/>
      <c r="H114" s="144"/>
      <c r="I114" s="144"/>
      <c r="J114" s="144"/>
      <c r="K114" s="144"/>
      <c r="L114" s="144"/>
      <c r="M114" s="144"/>
      <c r="N114" s="1278"/>
      <c r="O114" s="144"/>
      <c r="P114" s="144"/>
      <c r="Q114" s="144"/>
      <c r="R114" s="146"/>
      <c r="S114" s="144"/>
      <c r="T114" s="144"/>
      <c r="U114" s="2838"/>
      <c r="V114" s="2838"/>
      <c r="W114" s="2838"/>
      <c r="X114" s="2838"/>
      <c r="Y114" s="2838"/>
      <c r="Z114" s="2838"/>
      <c r="AA114" s="2838"/>
      <c r="AB114" s="144"/>
      <c r="AC114" s="2826"/>
      <c r="AD114" s="2826"/>
      <c r="AE114" s="2826"/>
      <c r="AF114" s="2826"/>
      <c r="AG114" s="2826"/>
      <c r="AH114" s="2826"/>
      <c r="AI114" s="2826"/>
      <c r="AJ114" s="2826"/>
      <c r="AK114" s="2826"/>
      <c r="AL114" s="2826"/>
      <c r="AM114" s="2826"/>
    </row>
    <row r="115" spans="1:40" s="3021" customFormat="1" ht="14" customHeight="1">
      <c r="A115" s="144"/>
      <c r="B115" s="144"/>
      <c r="C115" s="144"/>
      <c r="D115" s="906"/>
      <c r="E115" s="144"/>
      <c r="F115" s="146"/>
      <c r="G115" s="146"/>
      <c r="H115" s="144"/>
      <c r="I115" s="144"/>
      <c r="J115" s="144"/>
      <c r="K115" s="144"/>
      <c r="L115" s="144"/>
      <c r="M115" s="144"/>
      <c r="N115" s="1278"/>
      <c r="O115" s="144"/>
      <c r="P115" s="144"/>
      <c r="Q115" s="144"/>
      <c r="R115" s="146"/>
      <c r="S115" s="144"/>
      <c r="T115" s="144"/>
      <c r="U115" s="2838"/>
      <c r="V115" s="2838"/>
      <c r="W115" s="2838"/>
      <c r="X115" s="2838"/>
      <c r="Y115" s="2838"/>
      <c r="Z115" s="2838"/>
      <c r="AA115" s="2838"/>
      <c r="AB115" s="144"/>
      <c r="AC115" s="2826"/>
      <c r="AD115" s="2826"/>
      <c r="AE115" s="2826"/>
      <c r="AF115" s="2826"/>
      <c r="AG115" s="2826"/>
      <c r="AH115" s="2826"/>
      <c r="AI115" s="2826"/>
      <c r="AJ115" s="2826"/>
      <c r="AK115" s="2826"/>
      <c r="AL115" s="2826"/>
      <c r="AM115" s="2826"/>
    </row>
    <row r="116" spans="1:40" s="3021" customFormat="1" ht="14" customHeight="1">
      <c r="A116" s="144"/>
      <c r="B116" s="144"/>
      <c r="C116" s="144"/>
      <c r="D116" s="906"/>
      <c r="E116" s="144"/>
      <c r="F116" s="146"/>
      <c r="G116" s="146"/>
      <c r="H116" s="144"/>
      <c r="I116" s="144"/>
      <c r="J116" s="144"/>
      <c r="K116" s="144"/>
      <c r="L116" s="144"/>
      <c r="M116" s="144"/>
      <c r="N116" s="1278"/>
      <c r="O116" s="144"/>
      <c r="P116" s="144"/>
      <c r="Q116" s="144"/>
      <c r="R116" s="146"/>
      <c r="S116" s="144"/>
      <c r="T116" s="144"/>
      <c r="U116" s="2838"/>
      <c r="V116" s="2838"/>
      <c r="W116" s="2838"/>
      <c r="X116" s="2838"/>
      <c r="Y116" s="2838"/>
      <c r="Z116" s="2838"/>
      <c r="AA116" s="2838"/>
      <c r="AB116" s="144"/>
      <c r="AC116" s="2826"/>
      <c r="AD116" s="2826"/>
      <c r="AE116" s="2826"/>
      <c r="AF116" s="2826"/>
      <c r="AG116" s="2826"/>
      <c r="AH116" s="2826"/>
      <c r="AI116" s="2826"/>
      <c r="AJ116" s="2826"/>
      <c r="AK116" s="2826"/>
      <c r="AL116" s="2826"/>
      <c r="AM116" s="2826"/>
    </row>
    <row r="117" spans="1:40" s="3021" customFormat="1" ht="14" customHeight="1">
      <c r="A117" s="144"/>
      <c r="B117" s="144"/>
      <c r="C117" s="144"/>
      <c r="D117" s="906"/>
      <c r="E117" s="144"/>
      <c r="F117" s="146"/>
      <c r="G117" s="146"/>
      <c r="H117" s="144"/>
      <c r="I117" s="144"/>
      <c r="J117" s="144"/>
      <c r="K117" s="144"/>
      <c r="L117" s="144"/>
      <c r="M117" s="144"/>
      <c r="N117" s="1278"/>
      <c r="O117" s="144"/>
      <c r="P117" s="144"/>
      <c r="Q117" s="144"/>
      <c r="R117" s="146"/>
      <c r="S117" s="144"/>
      <c r="T117" s="144"/>
      <c r="U117" s="2838"/>
      <c r="V117" s="2838"/>
      <c r="W117" s="2838"/>
      <c r="X117" s="2838"/>
      <c r="Y117" s="2838"/>
      <c r="Z117" s="2838"/>
      <c r="AA117" s="2838"/>
      <c r="AB117" s="144"/>
      <c r="AC117" s="2826"/>
      <c r="AD117" s="2826"/>
      <c r="AE117" s="2826"/>
      <c r="AF117" s="2826"/>
      <c r="AG117" s="2826"/>
      <c r="AH117" s="2826"/>
      <c r="AI117" s="2826"/>
      <c r="AJ117" s="2826"/>
      <c r="AK117" s="2826"/>
      <c r="AL117" s="2826"/>
      <c r="AM117" s="2826"/>
    </row>
    <row r="118" spans="1:40" s="3021" customFormat="1" ht="14" customHeight="1">
      <c r="B118" s="144"/>
      <c r="C118" s="144"/>
      <c r="D118" s="907"/>
      <c r="E118" s="143"/>
      <c r="F118" s="145"/>
      <c r="G118" s="146"/>
      <c r="H118" s="146"/>
      <c r="I118" s="146"/>
      <c r="J118" s="146"/>
      <c r="K118" s="146"/>
      <c r="L118" s="146"/>
      <c r="M118" s="458"/>
      <c r="N118" s="1284"/>
      <c r="O118" s="146"/>
      <c r="P118" s="146"/>
      <c r="Q118" s="147"/>
      <c r="R118" s="147"/>
      <c r="S118" s="142"/>
      <c r="T118" s="142"/>
      <c r="U118" s="2838"/>
      <c r="V118" s="2838"/>
      <c r="W118" s="2838"/>
      <c r="X118" s="2838"/>
      <c r="Y118" s="2838"/>
      <c r="Z118" s="2838"/>
      <c r="AA118" s="2838"/>
      <c r="AC118" s="2826"/>
      <c r="AD118" s="2826"/>
      <c r="AE118" s="2826"/>
      <c r="AF118" s="2826"/>
      <c r="AG118" s="2826"/>
      <c r="AH118" s="2826"/>
      <c r="AI118" s="2826"/>
      <c r="AJ118" s="2826"/>
      <c r="AK118" s="2826"/>
      <c r="AL118" s="2826"/>
      <c r="AM118" s="2826"/>
    </row>
    <row r="119" spans="1:40" s="3021" customFormat="1" ht="14" customHeight="1">
      <c r="B119" s="144"/>
      <c r="C119" s="144"/>
      <c r="D119" s="907"/>
      <c r="E119" s="143"/>
      <c r="F119" s="145"/>
      <c r="G119" s="146"/>
      <c r="H119" s="146"/>
      <c r="I119" s="146"/>
      <c r="J119" s="146"/>
      <c r="K119" s="146"/>
      <c r="L119" s="146"/>
      <c r="M119" s="458"/>
      <c r="N119" s="1284"/>
      <c r="O119" s="146"/>
      <c r="P119" s="146"/>
      <c r="Q119" s="147"/>
      <c r="R119" s="147"/>
      <c r="S119" s="142"/>
      <c r="T119" s="142"/>
      <c r="U119" s="2838"/>
      <c r="V119" s="2838"/>
      <c r="W119" s="2838"/>
      <c r="X119" s="2838"/>
      <c r="Y119" s="2838"/>
      <c r="Z119" s="2838"/>
      <c r="AA119" s="2838"/>
      <c r="AC119" s="2826"/>
      <c r="AD119" s="2826"/>
      <c r="AE119" s="2826"/>
      <c r="AF119" s="2826"/>
      <c r="AG119" s="2826"/>
      <c r="AH119" s="2826"/>
      <c r="AI119" s="2826"/>
      <c r="AJ119" s="2826"/>
      <c r="AK119" s="2826"/>
      <c r="AL119" s="2826"/>
      <c r="AM119" s="2826"/>
    </row>
    <row r="120" spans="1:40" s="3021" customFormat="1" ht="14" customHeight="1">
      <c r="B120" s="144"/>
      <c r="C120" s="144"/>
      <c r="D120" s="907"/>
      <c r="E120" s="143"/>
      <c r="F120" s="145"/>
      <c r="G120" s="146"/>
      <c r="H120" s="146"/>
      <c r="I120" s="146"/>
      <c r="J120" s="146"/>
      <c r="K120" s="146"/>
      <c r="L120" s="146"/>
      <c r="M120" s="458"/>
      <c r="N120" s="1284"/>
      <c r="O120" s="146"/>
      <c r="P120" s="146"/>
      <c r="Q120" s="147"/>
      <c r="R120" s="147"/>
      <c r="S120" s="142"/>
      <c r="T120" s="142"/>
      <c r="U120" s="2838"/>
      <c r="V120" s="2838"/>
      <c r="W120" s="2838"/>
      <c r="X120" s="2838"/>
      <c r="Y120" s="2838"/>
      <c r="Z120" s="2838"/>
      <c r="AA120" s="2838"/>
      <c r="AC120" s="2826"/>
      <c r="AD120" s="2826"/>
      <c r="AE120" s="2826"/>
      <c r="AF120" s="2826"/>
      <c r="AG120" s="2826"/>
      <c r="AH120" s="2826"/>
      <c r="AI120" s="2826"/>
      <c r="AJ120" s="2826"/>
      <c r="AK120" s="2826"/>
      <c r="AL120" s="2826"/>
      <c r="AM120" s="2826"/>
    </row>
    <row r="121" spans="1:40" s="3021" customFormat="1" ht="14" customHeight="1">
      <c r="B121" s="144"/>
      <c r="C121" s="144"/>
      <c r="D121" s="907"/>
      <c r="E121" s="143"/>
      <c r="F121" s="145"/>
      <c r="G121" s="146"/>
      <c r="H121" s="146"/>
      <c r="I121" s="146"/>
      <c r="J121" s="146"/>
      <c r="K121" s="146"/>
      <c r="L121" s="146"/>
      <c r="M121" s="458"/>
      <c r="N121" s="1284"/>
      <c r="O121" s="146"/>
      <c r="P121" s="146"/>
      <c r="Q121" s="147"/>
      <c r="R121" s="147"/>
      <c r="S121" s="142"/>
      <c r="T121" s="142"/>
      <c r="U121" s="2838"/>
      <c r="V121" s="2838"/>
      <c r="W121" s="2838"/>
      <c r="X121" s="2838"/>
      <c r="Y121" s="2838"/>
      <c r="Z121" s="2838"/>
      <c r="AA121" s="2838"/>
      <c r="AC121" s="2826"/>
      <c r="AD121" s="2826"/>
      <c r="AE121" s="2826"/>
      <c r="AF121" s="2826"/>
      <c r="AG121" s="2826"/>
      <c r="AH121" s="2826"/>
      <c r="AI121" s="2826"/>
      <c r="AJ121" s="2826"/>
      <c r="AK121" s="2826"/>
      <c r="AL121" s="2826"/>
      <c r="AM121" s="2826"/>
    </row>
    <row r="122" spans="1:40" s="3021" customFormat="1" ht="14" customHeight="1">
      <c r="B122" s="144"/>
      <c r="C122" s="144"/>
      <c r="D122" s="907"/>
      <c r="E122" s="143"/>
      <c r="F122" s="145"/>
      <c r="G122" s="146"/>
      <c r="H122" s="146"/>
      <c r="I122" s="146"/>
      <c r="J122" s="146"/>
      <c r="K122" s="146"/>
      <c r="L122" s="146"/>
      <c r="M122" s="458"/>
      <c r="N122" s="1284"/>
      <c r="O122" s="146"/>
      <c r="P122" s="146"/>
      <c r="Q122" s="147"/>
      <c r="R122" s="147"/>
      <c r="S122" s="142"/>
      <c r="T122" s="142"/>
      <c r="U122" s="146"/>
      <c r="V122" s="146"/>
      <c r="W122" s="146"/>
      <c r="X122" s="146"/>
      <c r="Y122" s="146"/>
      <c r="Z122" s="146"/>
      <c r="AA122" s="146"/>
      <c r="AC122" s="2826"/>
      <c r="AD122" s="2826"/>
      <c r="AE122" s="2826"/>
      <c r="AF122" s="2826"/>
      <c r="AG122" s="2826"/>
      <c r="AH122" s="2826"/>
      <c r="AI122" s="2826"/>
      <c r="AJ122" s="2826"/>
      <c r="AK122" s="2826"/>
      <c r="AL122" s="2826"/>
      <c r="AM122" s="2826"/>
    </row>
    <row r="123" spans="1:40" s="3021" customFormat="1" ht="14" customHeight="1">
      <c r="B123" s="144"/>
      <c r="C123" s="144"/>
      <c r="D123" s="907"/>
      <c r="E123" s="143"/>
      <c r="F123" s="145"/>
      <c r="G123" s="146"/>
      <c r="H123" s="146"/>
      <c r="I123" s="146"/>
      <c r="J123" s="146"/>
      <c r="K123" s="146"/>
      <c r="L123" s="146"/>
      <c r="M123" s="458"/>
      <c r="N123" s="1284"/>
      <c r="O123" s="146"/>
      <c r="P123" s="146"/>
      <c r="Q123" s="147"/>
      <c r="R123" s="147"/>
      <c r="S123" s="142"/>
      <c r="T123" s="142"/>
      <c r="U123" s="146"/>
      <c r="V123" s="146"/>
      <c r="W123" s="146"/>
      <c r="X123" s="146"/>
      <c r="Y123" s="146"/>
      <c r="Z123" s="146"/>
      <c r="AA123" s="146"/>
      <c r="AC123" s="2826"/>
      <c r="AD123" s="2826"/>
      <c r="AE123" s="2826"/>
      <c r="AF123" s="2826"/>
      <c r="AG123" s="2826"/>
      <c r="AH123" s="2826"/>
      <c r="AI123" s="2826"/>
      <c r="AJ123" s="2826"/>
      <c r="AK123" s="2826"/>
      <c r="AL123" s="2826"/>
      <c r="AM123" s="2826"/>
    </row>
    <row r="124" spans="1:40" s="3021" customFormat="1" ht="14" customHeight="1">
      <c r="B124" s="144"/>
      <c r="C124" s="144"/>
      <c r="D124" s="907"/>
      <c r="E124" s="143"/>
      <c r="F124" s="145"/>
      <c r="G124" s="146"/>
      <c r="H124" s="146"/>
      <c r="I124" s="146"/>
      <c r="J124" s="146"/>
      <c r="K124" s="146"/>
      <c r="L124" s="146"/>
      <c r="M124" s="458"/>
      <c r="N124" s="1284"/>
      <c r="O124" s="146"/>
      <c r="P124" s="146"/>
      <c r="Q124" s="147"/>
      <c r="R124" s="147"/>
      <c r="S124" s="142"/>
      <c r="T124" s="142"/>
      <c r="U124" s="146"/>
      <c r="V124" s="146"/>
      <c r="W124" s="146"/>
      <c r="X124" s="146"/>
      <c r="Y124" s="146"/>
      <c r="Z124" s="146"/>
      <c r="AA124" s="146"/>
      <c r="AC124" s="2826"/>
      <c r="AD124" s="2826"/>
      <c r="AE124" s="2826"/>
      <c r="AF124" s="2826"/>
      <c r="AG124" s="2826"/>
      <c r="AH124" s="2826"/>
      <c r="AI124" s="2826"/>
      <c r="AJ124" s="2826"/>
      <c r="AK124" s="2826"/>
      <c r="AL124" s="2826"/>
      <c r="AM124" s="2826"/>
    </row>
    <row r="125" spans="1:40" s="3021" customFormat="1" ht="14" customHeight="1">
      <c r="B125" s="144"/>
      <c r="C125" s="144"/>
      <c r="D125" s="907"/>
      <c r="E125" s="143"/>
      <c r="F125" s="145"/>
      <c r="G125" s="146"/>
      <c r="H125" s="146"/>
      <c r="I125" s="146"/>
      <c r="J125" s="146"/>
      <c r="K125" s="146"/>
      <c r="L125" s="146"/>
      <c r="M125" s="458"/>
      <c r="N125" s="1284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C125" s="2826"/>
      <c r="AD125" s="2826"/>
      <c r="AE125" s="2826"/>
      <c r="AF125" s="2826"/>
      <c r="AG125" s="2826"/>
      <c r="AH125" s="2826"/>
      <c r="AI125" s="2826"/>
      <c r="AJ125" s="2826"/>
      <c r="AK125" s="2826"/>
      <c r="AL125" s="2826"/>
      <c r="AM125" s="2826"/>
    </row>
    <row r="126" spans="1:40" s="3021" customFormat="1" ht="14" customHeight="1">
      <c r="B126" s="144"/>
      <c r="C126" s="144"/>
      <c r="D126" s="907"/>
      <c r="E126" s="143"/>
      <c r="F126" s="145"/>
      <c r="G126" s="146"/>
      <c r="H126" s="146"/>
      <c r="I126" s="146"/>
      <c r="J126" s="146"/>
      <c r="K126" s="146"/>
      <c r="L126" s="146"/>
      <c r="M126" s="458"/>
      <c r="N126" s="1284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C126" s="2826"/>
      <c r="AD126" s="2826"/>
      <c r="AE126" s="2826"/>
      <c r="AF126" s="2826"/>
      <c r="AG126" s="2826"/>
      <c r="AH126" s="2826"/>
      <c r="AI126" s="2826"/>
      <c r="AJ126" s="2826"/>
      <c r="AK126" s="2826"/>
      <c r="AL126" s="2826"/>
      <c r="AM126" s="2826"/>
    </row>
    <row r="127" spans="1:40" s="3021" customFormat="1" ht="14" customHeight="1">
      <c r="B127" s="144"/>
      <c r="C127" s="144"/>
      <c r="D127" s="907"/>
      <c r="E127" s="143"/>
      <c r="F127" s="145"/>
      <c r="G127" s="146"/>
      <c r="H127" s="146"/>
      <c r="I127" s="146"/>
      <c r="J127" s="146"/>
      <c r="K127" s="146"/>
      <c r="L127" s="146"/>
      <c r="M127" s="458"/>
      <c r="N127" s="1284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C127" s="2826"/>
      <c r="AD127" s="2826"/>
      <c r="AE127" s="2826"/>
      <c r="AF127" s="2826"/>
      <c r="AG127" s="2826"/>
      <c r="AH127" s="2826"/>
      <c r="AI127" s="2826"/>
      <c r="AJ127" s="2826"/>
      <c r="AK127" s="2826"/>
      <c r="AL127" s="2826"/>
      <c r="AM127" s="2826"/>
    </row>
    <row r="128" spans="1:40" s="3021" customFormat="1" ht="14" customHeight="1">
      <c r="B128" s="144"/>
      <c r="C128" s="144"/>
      <c r="D128" s="907"/>
      <c r="E128" s="143"/>
      <c r="F128" s="145"/>
      <c r="G128" s="146"/>
      <c r="H128" s="146"/>
      <c r="I128" s="146"/>
      <c r="J128" s="146"/>
      <c r="K128" s="146"/>
      <c r="L128" s="146"/>
      <c r="M128" s="458"/>
      <c r="N128" s="1284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C128" s="2826"/>
      <c r="AD128" s="2826"/>
      <c r="AE128" s="2826"/>
      <c r="AF128" s="2826"/>
      <c r="AG128" s="2826"/>
      <c r="AH128" s="2826"/>
      <c r="AI128" s="2826"/>
      <c r="AJ128" s="2826"/>
      <c r="AK128" s="2826"/>
      <c r="AL128" s="2826"/>
      <c r="AM128" s="2826"/>
    </row>
    <row r="129" spans="2:39" s="3021" customFormat="1" ht="14" customHeight="1">
      <c r="B129" s="144"/>
      <c r="C129" s="144"/>
      <c r="D129" s="907"/>
      <c r="E129" s="143"/>
      <c r="F129" s="145"/>
      <c r="G129" s="146"/>
      <c r="H129" s="146"/>
      <c r="I129" s="146"/>
      <c r="J129" s="146"/>
      <c r="K129" s="146"/>
      <c r="L129" s="146"/>
      <c r="M129" s="458"/>
      <c r="N129" s="1284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C129" s="2826"/>
      <c r="AD129" s="2826"/>
      <c r="AE129" s="2826"/>
      <c r="AF129" s="2826"/>
      <c r="AG129" s="2826"/>
      <c r="AH129" s="2826"/>
      <c r="AI129" s="2826"/>
      <c r="AJ129" s="2826"/>
      <c r="AK129" s="2826"/>
      <c r="AL129" s="2826"/>
      <c r="AM129" s="2826"/>
    </row>
    <row r="130" spans="2:39" s="3021" customFormat="1" ht="14" customHeight="1">
      <c r="B130" s="144"/>
      <c r="C130" s="144"/>
      <c r="D130" s="907"/>
      <c r="E130" s="143"/>
      <c r="F130" s="145"/>
      <c r="G130" s="146"/>
      <c r="H130" s="146"/>
      <c r="I130" s="146"/>
      <c r="J130" s="146"/>
      <c r="K130" s="146"/>
      <c r="L130" s="146"/>
      <c r="M130" s="458"/>
      <c r="N130" s="1284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C130" s="2826"/>
      <c r="AD130" s="2826"/>
      <c r="AE130" s="2826"/>
      <c r="AF130" s="2826"/>
      <c r="AG130" s="2826"/>
      <c r="AH130" s="2826"/>
      <c r="AI130" s="2826"/>
      <c r="AJ130" s="2826"/>
      <c r="AK130" s="2826"/>
      <c r="AL130" s="2826"/>
      <c r="AM130" s="2826"/>
    </row>
    <row r="131" spans="2:39" s="3021" customFormat="1" ht="14" customHeight="1">
      <c r="B131" s="144"/>
      <c r="C131" s="144"/>
      <c r="D131" s="907"/>
      <c r="E131" s="143"/>
      <c r="F131" s="145"/>
      <c r="G131" s="146"/>
      <c r="H131" s="146"/>
      <c r="I131" s="146"/>
      <c r="J131" s="146"/>
      <c r="K131" s="146"/>
      <c r="L131" s="146"/>
      <c r="M131" s="458"/>
      <c r="N131" s="1284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C131" s="2826"/>
      <c r="AD131" s="2826"/>
      <c r="AE131" s="2826"/>
      <c r="AF131" s="2826"/>
      <c r="AG131" s="2826"/>
      <c r="AH131" s="2826"/>
      <c r="AI131" s="2826"/>
      <c r="AJ131" s="2826"/>
      <c r="AK131" s="2826"/>
      <c r="AL131" s="2826"/>
      <c r="AM131" s="2826"/>
    </row>
    <row r="132" spans="2:39" s="3021" customFormat="1" ht="14" customHeight="1">
      <c r="B132" s="144"/>
      <c r="C132" s="144"/>
      <c r="D132" s="907"/>
      <c r="E132" s="143"/>
      <c r="F132" s="145"/>
      <c r="G132" s="146"/>
      <c r="H132" s="146"/>
      <c r="I132" s="146"/>
      <c r="J132" s="146"/>
      <c r="K132" s="146"/>
      <c r="L132" s="146"/>
      <c r="M132" s="458"/>
      <c r="N132" s="1284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C132" s="2826"/>
      <c r="AD132" s="2826"/>
      <c r="AE132" s="2826"/>
      <c r="AF132" s="2826"/>
      <c r="AG132" s="2826"/>
      <c r="AH132" s="2826"/>
      <c r="AI132" s="2826"/>
      <c r="AJ132" s="2826"/>
      <c r="AK132" s="2826"/>
      <c r="AL132" s="2826"/>
      <c r="AM132" s="2826"/>
    </row>
    <row r="133" spans="2:39" s="3021" customFormat="1" ht="14" customHeight="1">
      <c r="B133" s="144"/>
      <c r="C133" s="144"/>
      <c r="D133" s="907"/>
      <c r="E133" s="143"/>
      <c r="F133" s="145"/>
      <c r="G133" s="146"/>
      <c r="H133" s="146"/>
      <c r="I133" s="146"/>
      <c r="J133" s="146"/>
      <c r="K133" s="146"/>
      <c r="L133" s="146"/>
      <c r="M133" s="458"/>
      <c r="N133" s="1284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826"/>
      <c r="AD133" s="2826"/>
      <c r="AE133" s="2826"/>
      <c r="AF133" s="2826"/>
      <c r="AG133" s="2826"/>
      <c r="AH133" s="2826"/>
      <c r="AI133" s="2826"/>
      <c r="AJ133" s="2826"/>
      <c r="AK133" s="2826"/>
      <c r="AL133" s="2826"/>
      <c r="AM133" s="2826"/>
    </row>
    <row r="134" spans="2:39" s="3021" customFormat="1" ht="14" customHeight="1">
      <c r="B134" s="144"/>
      <c r="C134" s="144"/>
      <c r="D134" s="907"/>
      <c r="E134" s="143"/>
      <c r="F134" s="145"/>
      <c r="G134" s="146"/>
      <c r="H134" s="146"/>
      <c r="I134" s="146"/>
      <c r="J134" s="146"/>
      <c r="K134" s="146"/>
      <c r="L134" s="146"/>
      <c r="M134" s="458"/>
      <c r="N134" s="1284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826"/>
      <c r="AD134" s="2826"/>
      <c r="AE134" s="2826"/>
      <c r="AF134" s="2826"/>
      <c r="AG134" s="2826"/>
      <c r="AH134" s="2826"/>
      <c r="AI134" s="2826"/>
      <c r="AJ134" s="2826"/>
      <c r="AK134" s="2826"/>
      <c r="AL134" s="2826"/>
      <c r="AM134" s="2826"/>
    </row>
    <row r="135" spans="2:39" s="3021" customFormat="1" ht="14" customHeight="1">
      <c r="B135" s="144"/>
      <c r="C135" s="144"/>
      <c r="D135" s="907"/>
      <c r="E135" s="143"/>
      <c r="F135" s="145"/>
      <c r="G135" s="146"/>
      <c r="H135" s="146"/>
      <c r="I135" s="146"/>
      <c r="J135" s="146"/>
      <c r="K135" s="146"/>
      <c r="L135" s="146"/>
      <c r="M135" s="458"/>
      <c r="N135" s="1284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826"/>
      <c r="AD135" s="2826"/>
      <c r="AE135" s="2826"/>
      <c r="AF135" s="2826"/>
      <c r="AG135" s="2826"/>
      <c r="AH135" s="2826"/>
      <c r="AI135" s="2826"/>
      <c r="AJ135" s="2826"/>
      <c r="AK135" s="2826"/>
      <c r="AL135" s="2826"/>
      <c r="AM135" s="2826"/>
    </row>
    <row r="136" spans="2:39" s="3021" customFormat="1" ht="14" customHeight="1">
      <c r="B136" s="144"/>
      <c r="C136" s="144"/>
      <c r="D136" s="907"/>
      <c r="E136" s="143"/>
      <c r="F136" s="145"/>
      <c r="G136" s="146"/>
      <c r="H136" s="146"/>
      <c r="I136" s="146"/>
      <c r="J136" s="146"/>
      <c r="K136" s="146"/>
      <c r="L136" s="146"/>
      <c r="M136" s="458"/>
      <c r="N136" s="1284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826"/>
      <c r="AD136" s="2826"/>
      <c r="AE136" s="2826"/>
      <c r="AF136" s="2826"/>
      <c r="AG136" s="2826"/>
      <c r="AH136" s="2826"/>
      <c r="AI136" s="2826"/>
      <c r="AJ136" s="2826"/>
      <c r="AK136" s="2826"/>
      <c r="AL136" s="2826"/>
      <c r="AM136" s="2826"/>
    </row>
    <row r="137" spans="2:39" s="3021" customFormat="1" ht="14" customHeight="1">
      <c r="B137" s="144"/>
      <c r="C137" s="144"/>
      <c r="D137" s="907"/>
      <c r="E137" s="143"/>
      <c r="F137" s="145"/>
      <c r="G137" s="146"/>
      <c r="H137" s="146"/>
      <c r="I137" s="146"/>
      <c r="J137" s="146"/>
      <c r="K137" s="146"/>
      <c r="L137" s="146"/>
      <c r="M137" s="458"/>
      <c r="N137" s="1284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826"/>
      <c r="AD137" s="2826"/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2:39" s="3021" customFormat="1" ht="14" customHeight="1">
      <c r="B138" s="144"/>
      <c r="C138" s="144"/>
      <c r="D138" s="907"/>
      <c r="E138" s="143"/>
      <c r="F138" s="145"/>
      <c r="G138" s="146"/>
      <c r="H138" s="146"/>
      <c r="I138" s="146"/>
      <c r="J138" s="146"/>
      <c r="K138" s="146"/>
      <c r="L138" s="146"/>
      <c r="M138" s="458"/>
      <c r="N138" s="1284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826"/>
      <c r="AD138" s="2826"/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2:39" s="3021" customFormat="1" ht="14" customHeight="1">
      <c r="B139" s="144"/>
      <c r="C139" s="144"/>
      <c r="D139" s="907"/>
      <c r="E139" s="143"/>
      <c r="F139" s="145"/>
      <c r="G139" s="146"/>
      <c r="H139" s="146"/>
      <c r="I139" s="146"/>
      <c r="J139" s="146"/>
      <c r="K139" s="146"/>
      <c r="L139" s="146"/>
      <c r="M139" s="458"/>
      <c r="N139" s="1284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82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2:39" s="3021" customFormat="1" ht="14" customHeight="1">
      <c r="B140" s="144"/>
      <c r="C140" s="144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284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826"/>
      <c r="AD140" s="2826"/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2:39" s="3021" customFormat="1" ht="14" customHeight="1">
      <c r="B141" s="144"/>
      <c r="C141" s="144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284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2:39" s="3021" customFormat="1" ht="14" customHeight="1">
      <c r="B142" s="144"/>
      <c r="C142" s="144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284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2:39" s="3021" customFormat="1" ht="14" customHeight="1">
      <c r="B143" s="144"/>
      <c r="C143" s="144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284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B143" s="3021">
        <f>SUBTOTAL(9,AB101:AB142)</f>
        <v>0</v>
      </c>
      <c r="AC143" s="2826">
        <f>SUBTOTAL(9,AC101:AC142)</f>
        <v>0</v>
      </c>
      <c r="AD143" s="2826">
        <f>SUBTOTAL(9,AD101:AD142)</f>
        <v>0</v>
      </c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2:39" s="3021" customFormat="1" ht="14" customHeight="1">
      <c r="B144" s="144"/>
      <c r="C144" s="144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284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B144" s="3021">
        <v>0</v>
      </c>
      <c r="AC144" s="2826">
        <v>0</v>
      </c>
      <c r="AD144" s="2826">
        <v>0</v>
      </c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41" s="3021" customFormat="1" ht="14" customHeight="1">
      <c r="B145" s="144"/>
      <c r="C145" s="144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284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B145" s="3021">
        <v>0</v>
      </c>
      <c r="AC145" s="2826">
        <v>0</v>
      </c>
      <c r="AD145" s="2826">
        <v>0</v>
      </c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41" s="3021" customFormat="1" ht="14" customHeight="1">
      <c r="B146" s="144"/>
      <c r="C146" s="144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284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B146" s="3021">
        <v>0</v>
      </c>
      <c r="AC146" s="2826">
        <v>0</v>
      </c>
      <c r="AD146" s="2826">
        <v>0</v>
      </c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41" s="3021" customFormat="1" ht="14" customHeight="1">
      <c r="B147" s="144"/>
      <c r="C147" s="144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284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B147" s="3021">
        <v>0</v>
      </c>
      <c r="AC147" s="2826">
        <v>0</v>
      </c>
      <c r="AD147" s="2826">
        <v>0</v>
      </c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41" s="3021" customFormat="1" ht="11">
      <c r="B148" s="144"/>
      <c r="C148" s="144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284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B148" s="3021">
        <v>0</v>
      </c>
      <c r="AC148" s="2826">
        <v>0</v>
      </c>
      <c r="AD148" s="2826">
        <v>0</v>
      </c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41" s="3021" customFormat="1" ht="11">
      <c r="B149" s="144"/>
      <c r="C149" s="144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284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B149" s="3021">
        <v>0</v>
      </c>
      <c r="AC149" s="2826">
        <v>0</v>
      </c>
      <c r="AD149" s="2826">
        <v>0</v>
      </c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41" s="3021" customFormat="1" ht="11">
      <c r="B150" s="144"/>
      <c r="C150" s="144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284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B150" s="3021">
        <v>0</v>
      </c>
      <c r="AC150" s="2826">
        <v>0</v>
      </c>
      <c r="AD150" s="2826">
        <v>0</v>
      </c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41" s="3021" customFormat="1" ht="11">
      <c r="B151" s="144"/>
      <c r="C151" s="144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284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B151" s="3021">
        <v>0</v>
      </c>
      <c r="AC151" s="2826">
        <v>0</v>
      </c>
      <c r="AD151" s="2826">
        <v>0</v>
      </c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41" s="3021" customFormat="1" ht="11">
      <c r="B152" s="144"/>
      <c r="C152" s="144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284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B152" s="3021">
        <v>0</v>
      </c>
      <c r="AC152" s="2826">
        <v>0</v>
      </c>
      <c r="AD152" s="2826">
        <v>0</v>
      </c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41" s="3021" customFormat="1" ht="11">
      <c r="B153" s="144"/>
      <c r="C153" s="144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284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B153" s="3021">
        <v>0</v>
      </c>
      <c r="AC153" s="2826">
        <v>0</v>
      </c>
      <c r="AD153" s="2826">
        <v>0</v>
      </c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41" s="3021" customFormat="1" ht="11">
      <c r="B154" s="144"/>
      <c r="C154" s="144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284"/>
      <c r="O154" s="146"/>
      <c r="P154" s="146"/>
      <c r="Q154" s="147"/>
      <c r="R154" s="147"/>
      <c r="S154" s="142"/>
      <c r="T154" s="142"/>
      <c r="U154" s="146">
        <f>SUBTOTAL(9,U112:U153)</f>
        <v>0</v>
      </c>
      <c r="V154" s="146">
        <f t="shared" ref="V154:AA154" si="100">SUBTOTAL(9,V112:V153)</f>
        <v>0</v>
      </c>
      <c r="W154" s="146">
        <f t="shared" si="100"/>
        <v>0</v>
      </c>
      <c r="X154" s="146">
        <f t="shared" si="100"/>
        <v>0</v>
      </c>
      <c r="Y154" s="146">
        <f t="shared" si="100"/>
        <v>0</v>
      </c>
      <c r="Z154" s="146">
        <f t="shared" si="100"/>
        <v>0</v>
      </c>
      <c r="AA154" s="146">
        <f t="shared" si="100"/>
        <v>0</v>
      </c>
      <c r="AB154" s="3021">
        <v>0</v>
      </c>
      <c r="AC154" s="2826">
        <v>0</v>
      </c>
      <c r="AD154" s="2826">
        <v>0</v>
      </c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41" s="2825" customFormat="1" ht="14" thickBot="1">
      <c r="B155" s="139"/>
      <c r="C155" s="139"/>
      <c r="D155" s="908"/>
      <c r="E155" s="138"/>
      <c r="F155" s="140"/>
      <c r="G155" s="141"/>
      <c r="H155" s="141"/>
      <c r="I155" s="141"/>
      <c r="J155" s="141"/>
      <c r="K155" s="141"/>
      <c r="L155" s="141"/>
      <c r="M155" s="458"/>
      <c r="N155" s="1284"/>
      <c r="O155" s="141"/>
      <c r="P155" s="141"/>
      <c r="Q155" s="148"/>
      <c r="R155" s="148"/>
      <c r="S155" s="149"/>
      <c r="T155" s="149"/>
      <c r="U155" s="150"/>
      <c r="V155" s="150"/>
      <c r="W155" s="150"/>
      <c r="X155" s="150"/>
      <c r="Y155" s="150"/>
      <c r="Z155" s="150"/>
      <c r="AA155" s="150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41" s="2825" customFormat="1" ht="15" thickTop="1" thickBot="1">
      <c r="B156" s="139"/>
      <c r="C156" s="139"/>
      <c r="D156" s="908"/>
      <c r="E156" s="138"/>
      <c r="F156" s="140"/>
      <c r="G156" s="141"/>
      <c r="H156" s="141"/>
      <c r="I156" s="141"/>
      <c r="J156" s="141"/>
      <c r="K156" s="141"/>
      <c r="L156" s="141"/>
      <c r="M156" s="458"/>
      <c r="N156" s="1284"/>
      <c r="O156" s="141"/>
      <c r="P156" s="141"/>
      <c r="Q156" s="148"/>
      <c r="R156" s="148"/>
      <c r="S156" s="148"/>
      <c r="T156" s="149"/>
      <c r="U156" s="151"/>
      <c r="V156" s="152"/>
      <c r="W156" s="153"/>
      <c r="X156" s="153"/>
      <c r="Y156" s="153"/>
      <c r="Z156" s="153"/>
      <c r="AA156" s="154"/>
      <c r="AB156" s="3022"/>
      <c r="AC156" s="3022"/>
      <c r="AE156" s="2826"/>
      <c r="AF156" s="2826"/>
      <c r="AG156" s="2826"/>
      <c r="AH156" s="2826"/>
      <c r="AI156" s="2826"/>
      <c r="AJ156" s="2826"/>
      <c r="AK156" s="2826"/>
      <c r="AL156" s="2826"/>
      <c r="AM156" s="2826"/>
      <c r="AN156" s="2826"/>
      <c r="AO156" s="2826"/>
    </row>
    <row r="157" spans="2:41" s="3021" customFormat="1" ht="12" thickTop="1">
      <c r="B157" s="144"/>
      <c r="C157" s="144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284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41" s="3021" customFormat="1" ht="11">
      <c r="B158" s="144"/>
      <c r="C158" s="144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284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41" s="3021" customFormat="1" ht="11">
      <c r="B159" s="144"/>
      <c r="C159" s="144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284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41" s="3021" customFormat="1" ht="11">
      <c r="B160" s="144"/>
      <c r="C160" s="144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284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4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284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4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284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4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284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4" customHeight="1">
      <c r="B164" s="144"/>
      <c r="C164" s="144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284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4" customHeight="1">
      <c r="B165" s="144"/>
      <c r="C165" s="144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284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4" customHeight="1">
      <c r="B166" s="144"/>
      <c r="C166" s="144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284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4" customHeight="1">
      <c r="B167" s="144"/>
      <c r="C167" s="144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284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4" customHeight="1">
      <c r="B168" s="144"/>
      <c r="C168" s="144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284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4" customHeight="1">
      <c r="B169" s="144"/>
      <c r="C169" s="144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284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4" customHeight="1">
      <c r="B170" s="144"/>
      <c r="C170" s="144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284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4" customHeight="1">
      <c r="B171" s="144"/>
      <c r="C171" s="144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284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4" customHeight="1">
      <c r="B172" s="144"/>
      <c r="C172" s="144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284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4" customHeight="1">
      <c r="B173" s="144"/>
      <c r="C173" s="144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284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82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4" customHeight="1">
      <c r="B174" s="144"/>
      <c r="C174" s="144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284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826"/>
      <c r="AD174" s="2826"/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4" customHeight="1">
      <c r="B175" s="144"/>
      <c r="C175" s="144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284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826"/>
      <c r="AD175" s="2826"/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4" customHeight="1">
      <c r="B176" s="144"/>
      <c r="C176" s="144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284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82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39" s="3021" customFormat="1" ht="14" customHeight="1">
      <c r="B177" s="144"/>
      <c r="C177" s="144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284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39" s="3021" customFormat="1" ht="14" customHeight="1">
      <c r="B178" s="144"/>
      <c r="C178" s="144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284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39" s="3021" customFormat="1" ht="14" customHeight="1">
      <c r="B179" s="144"/>
      <c r="C179" s="144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284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39" s="3021" customFormat="1" ht="11">
      <c r="B180" s="144"/>
      <c r="C180" s="144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284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39" s="3021" customFormat="1" ht="11">
      <c r="B181" s="144"/>
      <c r="C181" s="144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284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39" s="3021" customFormat="1" ht="11">
      <c r="B182" s="144"/>
      <c r="C182" s="144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284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39" s="3021" customFormat="1" ht="11">
      <c r="B183" s="144"/>
      <c r="C183" s="144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284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39" s="3021" customFormat="1" ht="11">
      <c r="B184" s="144"/>
      <c r="C184" s="144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284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39" s="3021" customFormat="1" ht="11">
      <c r="B185" s="144"/>
      <c r="C185" s="144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284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39" s="3021" customFormat="1" ht="11">
      <c r="B186" s="144"/>
      <c r="C186" s="144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284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39" s="3021" customFormat="1" ht="11">
      <c r="B187" s="144"/>
      <c r="C187" s="144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284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39" s="3021" customFormat="1" ht="11">
      <c r="B188" s="144"/>
      <c r="C188" s="144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284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39" s="3021" customFormat="1" ht="11">
      <c r="B189" s="144"/>
      <c r="C189" s="144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284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39" s="3021" customFormat="1" ht="11">
      <c r="B190" s="144"/>
      <c r="C190" s="144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284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39" s="3021" customFormat="1" ht="11">
      <c r="B191" s="144"/>
      <c r="C191" s="144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284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39" s="3021" customFormat="1" ht="11">
      <c r="B192" s="144"/>
      <c r="C192" s="144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284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41" s="3021" customFormat="1" ht="11">
      <c r="B193" s="3159"/>
      <c r="C193" s="3159"/>
      <c r="D193" s="3160"/>
      <c r="F193" s="3023"/>
      <c r="G193" s="3024"/>
      <c r="H193" s="3024"/>
      <c r="I193" s="3024"/>
      <c r="J193" s="3024"/>
      <c r="K193" s="3024"/>
      <c r="L193" s="3024"/>
      <c r="M193" s="3025"/>
      <c r="N193" s="3519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41" s="3021" customFormat="1" ht="11">
      <c r="B194" s="3159"/>
      <c r="C194" s="3159"/>
      <c r="D194" s="3160"/>
      <c r="F194" s="3023"/>
      <c r="G194" s="3024"/>
      <c r="H194" s="3024"/>
      <c r="I194" s="3024"/>
      <c r="J194" s="3024"/>
      <c r="K194" s="3024"/>
      <c r="L194" s="3024"/>
      <c r="M194" s="3025"/>
      <c r="N194" s="3519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41" s="3021" customFormat="1" ht="11">
      <c r="B195" s="3159"/>
      <c r="C195" s="3159"/>
      <c r="D195" s="3160"/>
      <c r="F195" s="3023"/>
      <c r="G195" s="3024"/>
      <c r="H195" s="3024"/>
      <c r="I195" s="3024"/>
      <c r="J195" s="3024"/>
      <c r="K195" s="3024"/>
      <c r="L195" s="3024"/>
      <c r="M195" s="3025"/>
      <c r="N195" s="3519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41" s="3021" customFormat="1" ht="11">
      <c r="B196" s="3159"/>
      <c r="C196" s="3159"/>
      <c r="D196" s="3160"/>
      <c r="F196" s="3023"/>
      <c r="G196" s="3024"/>
      <c r="H196" s="3024"/>
      <c r="I196" s="3024"/>
      <c r="J196" s="3024"/>
      <c r="K196" s="3024"/>
      <c r="L196" s="3024"/>
      <c r="M196" s="3025"/>
      <c r="N196" s="3519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41" s="3021" customFormat="1" ht="11">
      <c r="B197" s="3159"/>
      <c r="C197" s="3159"/>
      <c r="D197" s="3160"/>
      <c r="F197" s="3023"/>
      <c r="G197" s="3024"/>
      <c r="H197" s="3024"/>
      <c r="I197" s="3024"/>
      <c r="J197" s="3024"/>
      <c r="K197" s="3024"/>
      <c r="L197" s="3024"/>
      <c r="M197" s="3025"/>
      <c r="N197" s="3519"/>
      <c r="O197" s="146"/>
      <c r="P197" s="146"/>
      <c r="Q197" s="147"/>
      <c r="R197" s="147"/>
      <c r="S197" s="142"/>
      <c r="T197" s="142"/>
      <c r="U197" s="146">
        <f>SUBTOTAL(9,U155:U196)</f>
        <v>0</v>
      </c>
      <c r="V197" s="146">
        <f t="shared" ref="V197:AA197" si="101">SUBTOTAL(9,V155:V196)</f>
        <v>0</v>
      </c>
      <c r="W197" s="146">
        <f t="shared" si="101"/>
        <v>0</v>
      </c>
      <c r="X197" s="146">
        <f t="shared" si="101"/>
        <v>0</v>
      </c>
      <c r="Y197" s="146">
        <f t="shared" si="101"/>
        <v>0</v>
      </c>
      <c r="Z197" s="146">
        <f t="shared" si="101"/>
        <v>0</v>
      </c>
      <c r="AA197" s="146">
        <f t="shared" si="101"/>
        <v>0</v>
      </c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41" s="2825" customFormat="1" ht="14" thickBot="1">
      <c r="B198" s="2935"/>
      <c r="C198" s="2935"/>
      <c r="D198" s="3161"/>
      <c r="F198" s="3026"/>
      <c r="G198" s="3027"/>
      <c r="H198" s="3027"/>
      <c r="I198" s="3027"/>
      <c r="J198" s="3027"/>
      <c r="K198" s="3027"/>
      <c r="L198" s="3027"/>
      <c r="M198" s="3025"/>
      <c r="N198" s="3519"/>
      <c r="O198" s="141"/>
      <c r="P198" s="141"/>
      <c r="Q198" s="148"/>
      <c r="R198" s="148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41" s="2825" customFormat="1" ht="15" thickTop="1" thickBot="1">
      <c r="B199" s="2935"/>
      <c r="C199" s="2935"/>
      <c r="D199" s="3161"/>
      <c r="F199" s="3026"/>
      <c r="G199" s="3027"/>
      <c r="H199" s="3027"/>
      <c r="I199" s="3027"/>
      <c r="J199" s="3027"/>
      <c r="K199" s="3027"/>
      <c r="L199" s="3027"/>
      <c r="M199" s="3025"/>
      <c r="N199" s="3519"/>
      <c r="O199" s="141"/>
      <c r="P199" s="141"/>
      <c r="Q199" s="148"/>
      <c r="R199" s="148"/>
      <c r="S199" s="148"/>
      <c r="T199" s="148"/>
      <c r="U199" s="151">
        <f>SUBTOTAL(9,U157:U198)</f>
        <v>0</v>
      </c>
      <c r="V199" s="152">
        <f t="shared" ref="V199:AA199" si="102">SUBTOTAL(9,V157:V198)</f>
        <v>0</v>
      </c>
      <c r="W199" s="153">
        <f t="shared" si="102"/>
        <v>0</v>
      </c>
      <c r="X199" s="153">
        <f t="shared" si="102"/>
        <v>0</v>
      </c>
      <c r="Y199" s="153">
        <f t="shared" si="102"/>
        <v>0</v>
      </c>
      <c r="Z199" s="153">
        <f t="shared" si="102"/>
        <v>0</v>
      </c>
      <c r="AA199" s="154">
        <f t="shared" si="102"/>
        <v>0</v>
      </c>
      <c r="AB199" s="3022"/>
      <c r="AC199" s="3022"/>
      <c r="AE199" s="2826"/>
      <c r="AF199" s="2826"/>
      <c r="AG199" s="2826"/>
      <c r="AH199" s="2826"/>
      <c r="AI199" s="2826"/>
      <c r="AJ199" s="2826"/>
      <c r="AK199" s="2826"/>
      <c r="AL199" s="2826"/>
      <c r="AM199" s="2826"/>
      <c r="AN199" s="2826"/>
      <c r="AO199" s="2826"/>
    </row>
    <row r="200" spans="2:41" s="2825" customFormat="1" ht="14" thickTop="1">
      <c r="B200" s="2935"/>
      <c r="C200" s="2935"/>
      <c r="D200" s="3161"/>
      <c r="F200" s="3026"/>
      <c r="G200" s="3027"/>
      <c r="H200" s="3027"/>
      <c r="I200" s="3027"/>
      <c r="J200" s="3027"/>
      <c r="K200" s="3027"/>
      <c r="L200" s="3027"/>
      <c r="M200" s="3025"/>
      <c r="N200" s="3519"/>
      <c r="O200" s="141"/>
      <c r="P200" s="141"/>
      <c r="Q200" s="148"/>
      <c r="R200" s="148"/>
      <c r="S200" s="149"/>
      <c r="T200" s="149"/>
      <c r="U200" s="150"/>
      <c r="V200" s="150"/>
      <c r="W200" s="150"/>
      <c r="X200" s="150"/>
      <c r="Y200" s="150"/>
      <c r="Z200" s="150"/>
      <c r="AA200" s="150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41" s="2825" customFormat="1">
      <c r="B201" s="2935"/>
      <c r="C201" s="2935"/>
      <c r="D201" s="3161"/>
      <c r="F201" s="3026"/>
      <c r="G201" s="3027"/>
      <c r="H201" s="3027"/>
      <c r="I201" s="3027"/>
      <c r="J201" s="3027"/>
      <c r="K201" s="3027"/>
      <c r="L201" s="3027"/>
      <c r="M201" s="3025"/>
      <c r="N201" s="3519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41" s="2825" customFormat="1">
      <c r="B202" s="2935"/>
      <c r="C202" s="2935"/>
      <c r="D202" s="3161"/>
      <c r="F202" s="3026"/>
      <c r="G202" s="3027"/>
      <c r="H202" s="3027"/>
      <c r="I202" s="3027"/>
      <c r="J202" s="3027"/>
      <c r="K202" s="3027"/>
      <c r="L202" s="3027"/>
      <c r="M202" s="3025"/>
      <c r="N202" s="3519"/>
      <c r="O202" s="141"/>
      <c r="P202" s="141"/>
      <c r="Q202" s="148"/>
      <c r="R202" s="148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41" s="2825" customFormat="1">
      <c r="B203" s="2935"/>
      <c r="C203" s="2935"/>
      <c r="D203" s="3161"/>
      <c r="F203" s="3026"/>
      <c r="G203" s="3027"/>
      <c r="H203" s="3027"/>
      <c r="I203" s="3027"/>
      <c r="J203" s="3027"/>
      <c r="K203" s="3027"/>
      <c r="L203" s="3027"/>
      <c r="M203" s="3025"/>
      <c r="N203" s="3519"/>
      <c r="O203" s="141"/>
      <c r="P203" s="141"/>
      <c r="Q203" s="148"/>
      <c r="R203" s="148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41" s="2825" customFormat="1">
      <c r="B204" s="2935"/>
      <c r="C204" s="2935"/>
      <c r="D204" s="3161"/>
      <c r="F204" s="3026"/>
      <c r="G204" s="3027"/>
      <c r="H204" s="3027"/>
      <c r="I204" s="3027"/>
      <c r="J204" s="3027"/>
      <c r="K204" s="3027"/>
      <c r="L204" s="3027"/>
      <c r="M204" s="3025"/>
      <c r="N204" s="3519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41" s="2825" customFormat="1">
      <c r="B205" s="2935"/>
      <c r="C205" s="2935"/>
      <c r="D205" s="3161"/>
      <c r="F205" s="3026"/>
      <c r="G205" s="3027"/>
      <c r="H205" s="3027"/>
      <c r="I205" s="3027"/>
      <c r="J205" s="3027"/>
      <c r="K205" s="3027"/>
      <c r="L205" s="3027"/>
      <c r="M205" s="3025"/>
      <c r="N205" s="3519"/>
      <c r="O205" s="141"/>
      <c r="P205" s="141"/>
      <c r="Q205" s="148"/>
      <c r="R205" s="148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41" s="2825" customFormat="1">
      <c r="B206" s="2935"/>
      <c r="C206" s="2935"/>
      <c r="D206" s="3161"/>
      <c r="F206" s="3026"/>
      <c r="G206" s="3027"/>
      <c r="H206" s="3027"/>
      <c r="I206" s="3027"/>
      <c r="J206" s="3027"/>
      <c r="K206" s="3027"/>
      <c r="L206" s="3027"/>
      <c r="M206" s="3025"/>
      <c r="N206" s="3519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41" s="2825" customFormat="1">
      <c r="B207" s="2935"/>
      <c r="C207" s="2935"/>
      <c r="D207" s="3161"/>
      <c r="F207" s="3026"/>
      <c r="G207" s="3027"/>
      <c r="H207" s="3027"/>
      <c r="I207" s="3027"/>
      <c r="J207" s="3027"/>
      <c r="K207" s="3027"/>
      <c r="L207" s="3027"/>
      <c r="M207" s="3025"/>
      <c r="N207" s="3519"/>
      <c r="O207" s="141"/>
      <c r="P207" s="141"/>
      <c r="Q207" s="148"/>
      <c r="R207" s="148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41" s="2825" customFormat="1">
      <c r="B208" s="2935"/>
      <c r="C208" s="2935"/>
      <c r="D208" s="3161"/>
      <c r="F208" s="3026"/>
      <c r="G208" s="3027"/>
      <c r="H208" s="3027"/>
      <c r="I208" s="3027"/>
      <c r="J208" s="3027"/>
      <c r="K208" s="3027"/>
      <c r="L208" s="3027"/>
      <c r="M208" s="3025"/>
      <c r="N208" s="3519"/>
      <c r="O208" s="141"/>
      <c r="P208" s="141"/>
      <c r="Q208" s="148"/>
      <c r="R208" s="148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39" s="2825" customFormat="1">
      <c r="B209" s="2935"/>
      <c r="C209" s="2935"/>
      <c r="D209" s="3161"/>
      <c r="F209" s="3026"/>
      <c r="G209" s="3027"/>
      <c r="H209" s="3027"/>
      <c r="I209" s="3027"/>
      <c r="J209" s="3027"/>
      <c r="K209" s="3027"/>
      <c r="L209" s="3027"/>
      <c r="M209" s="3025"/>
      <c r="N209" s="3519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39" s="2825" customFormat="1">
      <c r="B210" s="2935"/>
      <c r="C210" s="2935"/>
      <c r="D210" s="3161"/>
      <c r="F210" s="3026"/>
      <c r="G210" s="3027"/>
      <c r="H210" s="3027"/>
      <c r="I210" s="3027"/>
      <c r="J210" s="3027"/>
      <c r="K210" s="3027"/>
      <c r="L210" s="3027"/>
      <c r="M210" s="3025"/>
      <c r="N210" s="3519"/>
      <c r="O210" s="141"/>
      <c r="P210" s="141"/>
      <c r="Q210" s="148"/>
      <c r="R210" s="148"/>
      <c r="S210" s="149"/>
      <c r="T210" s="149"/>
      <c r="U210" s="150"/>
      <c r="V210" s="150"/>
      <c r="W210" s="150"/>
      <c r="X210" s="150"/>
      <c r="Y210" s="150"/>
      <c r="Z210" s="150"/>
      <c r="AA210" s="150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39" s="2825" customFormat="1">
      <c r="B211" s="2935"/>
      <c r="C211" s="2935"/>
      <c r="D211" s="3161"/>
      <c r="F211" s="3026"/>
      <c r="G211" s="3027"/>
      <c r="H211" s="3027"/>
      <c r="I211" s="3027"/>
      <c r="J211" s="3027"/>
      <c r="K211" s="3027"/>
      <c r="L211" s="3027"/>
      <c r="M211" s="3025"/>
      <c r="N211" s="3519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39" s="2825" customFormat="1" ht="14" customHeight="1">
      <c r="B212" s="2935"/>
      <c r="C212" s="2935"/>
      <c r="D212" s="3161"/>
      <c r="F212" s="3026"/>
      <c r="G212" s="3027"/>
      <c r="H212" s="3027"/>
      <c r="I212" s="3027"/>
      <c r="J212" s="3027"/>
      <c r="K212" s="3027"/>
      <c r="L212" s="3027"/>
      <c r="M212" s="3025"/>
      <c r="N212" s="3519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39" s="2825" customFormat="1" ht="14" customHeight="1">
      <c r="B213" s="2935"/>
      <c r="C213" s="2935"/>
      <c r="D213" s="3161"/>
      <c r="F213" s="3026"/>
      <c r="G213" s="3027"/>
      <c r="H213" s="3027"/>
      <c r="I213" s="3027"/>
      <c r="J213" s="3027"/>
      <c r="K213" s="3027"/>
      <c r="L213" s="3027"/>
      <c r="M213" s="3025"/>
      <c r="N213" s="3519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39" s="2825" customFormat="1" ht="14" customHeight="1">
      <c r="B214" s="2935"/>
      <c r="C214" s="2935"/>
      <c r="D214" s="3161"/>
      <c r="F214" s="3026"/>
      <c r="G214" s="3027"/>
      <c r="H214" s="3027"/>
      <c r="I214" s="3027"/>
      <c r="J214" s="3027"/>
      <c r="K214" s="3027"/>
      <c r="L214" s="3027"/>
      <c r="M214" s="3025"/>
      <c r="N214" s="3519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39" s="2825" customFormat="1" ht="14" customHeight="1">
      <c r="B215" s="2935"/>
      <c r="C215" s="2935"/>
      <c r="D215" s="3161"/>
      <c r="F215" s="3026"/>
      <c r="G215" s="3027"/>
      <c r="H215" s="3027"/>
      <c r="I215" s="3027"/>
      <c r="J215" s="3027"/>
      <c r="K215" s="3027"/>
      <c r="L215" s="3027"/>
      <c r="M215" s="3025"/>
      <c r="N215" s="3519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39" s="2825" customFormat="1" ht="14" customHeight="1">
      <c r="B216" s="2935"/>
      <c r="C216" s="2935"/>
      <c r="D216" s="3161"/>
      <c r="F216" s="3026"/>
      <c r="G216" s="3027"/>
      <c r="H216" s="3027"/>
      <c r="I216" s="3027"/>
      <c r="J216" s="3027"/>
      <c r="K216" s="3027"/>
      <c r="L216" s="3027"/>
      <c r="M216" s="3025"/>
      <c r="N216" s="3519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39" s="2825" customFormat="1" ht="14" customHeight="1">
      <c r="B217" s="2935"/>
      <c r="C217" s="2935"/>
      <c r="D217" s="3161"/>
      <c r="F217" s="3026"/>
      <c r="G217" s="3027"/>
      <c r="H217" s="3027"/>
      <c r="I217" s="3027"/>
      <c r="J217" s="3027"/>
      <c r="K217" s="3027"/>
      <c r="L217" s="3027"/>
      <c r="M217" s="3025"/>
      <c r="N217" s="3519"/>
      <c r="O217" s="141"/>
      <c r="P217" s="141"/>
      <c r="Q217" s="148"/>
      <c r="R217" s="148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39" s="2825" customFormat="1" ht="14" customHeight="1">
      <c r="B218" s="2935"/>
      <c r="C218" s="2935"/>
      <c r="D218" s="3161"/>
      <c r="F218" s="3026"/>
      <c r="G218" s="3027"/>
      <c r="H218" s="3027"/>
      <c r="I218" s="3027"/>
      <c r="J218" s="3027"/>
      <c r="K218" s="3027"/>
      <c r="L218" s="3027"/>
      <c r="M218" s="3025"/>
      <c r="N218" s="3519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39" s="2825" customFormat="1" ht="14" customHeight="1">
      <c r="B219" s="2935"/>
      <c r="C219" s="2935"/>
      <c r="D219" s="3161"/>
      <c r="F219" s="3026"/>
      <c r="G219" s="3027"/>
      <c r="H219" s="3027"/>
      <c r="I219" s="3027"/>
      <c r="J219" s="3027"/>
      <c r="K219" s="3027"/>
      <c r="L219" s="3027"/>
      <c r="M219" s="3025"/>
      <c r="N219" s="3519"/>
      <c r="O219" s="141"/>
      <c r="P219" s="141"/>
      <c r="Q219" s="148"/>
      <c r="R219" s="148"/>
      <c r="S219" s="149"/>
      <c r="T219" s="149"/>
      <c r="U219" s="150"/>
      <c r="V219" s="150"/>
      <c r="W219" s="150"/>
      <c r="X219" s="150"/>
      <c r="Y219" s="150"/>
      <c r="Z219" s="150"/>
      <c r="AA219" s="150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39" s="2825" customFormat="1" ht="14" customHeight="1">
      <c r="B220" s="2935"/>
      <c r="C220" s="2935"/>
      <c r="D220" s="3161"/>
      <c r="F220" s="3026"/>
      <c r="G220" s="3027"/>
      <c r="H220" s="3027"/>
      <c r="I220" s="3027"/>
      <c r="J220" s="3027"/>
      <c r="K220" s="3027"/>
      <c r="L220" s="3027"/>
      <c r="M220" s="3025"/>
      <c r="N220" s="3519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39" s="2825" customFormat="1" ht="14" customHeight="1">
      <c r="B221" s="2935"/>
      <c r="C221" s="2935"/>
      <c r="D221" s="3161"/>
      <c r="F221" s="3026"/>
      <c r="G221" s="3027"/>
      <c r="H221" s="3027"/>
      <c r="I221" s="3027"/>
      <c r="J221" s="3027"/>
      <c r="K221" s="3027"/>
      <c r="L221" s="3027"/>
      <c r="M221" s="3025"/>
      <c r="N221" s="3519"/>
      <c r="O221" s="141"/>
      <c r="P221" s="141"/>
      <c r="Q221" s="148"/>
      <c r="R221" s="148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39" s="2825" customFormat="1" ht="14" customHeight="1">
      <c r="B222" s="2935"/>
      <c r="C222" s="2935"/>
      <c r="D222" s="3161"/>
      <c r="F222" s="3026"/>
      <c r="G222" s="3027"/>
      <c r="H222" s="3027"/>
      <c r="I222" s="3027"/>
      <c r="J222" s="3027"/>
      <c r="K222" s="3027"/>
      <c r="L222" s="3027"/>
      <c r="M222" s="3025"/>
      <c r="N222" s="3519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39" s="2825" customFormat="1" ht="14" customHeight="1">
      <c r="B223" s="2935"/>
      <c r="C223" s="2935"/>
      <c r="D223" s="3161"/>
      <c r="F223" s="3026"/>
      <c r="G223" s="3027"/>
      <c r="H223" s="3027"/>
      <c r="I223" s="3027"/>
      <c r="J223" s="3027"/>
      <c r="K223" s="3027"/>
      <c r="L223" s="3027"/>
      <c r="M223" s="3025"/>
      <c r="N223" s="3519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39" s="2825" customFormat="1" ht="14" customHeight="1">
      <c r="B224" s="2935"/>
      <c r="C224" s="2935"/>
      <c r="D224" s="3161"/>
      <c r="F224" s="3026"/>
      <c r="G224" s="3027"/>
      <c r="H224" s="3027"/>
      <c r="I224" s="3027"/>
      <c r="J224" s="3027"/>
      <c r="K224" s="3027"/>
      <c r="L224" s="3027"/>
      <c r="M224" s="3025"/>
      <c r="N224" s="3519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1:40" s="2825" customFormat="1" ht="14" customHeight="1">
      <c r="B225" s="2935"/>
      <c r="C225" s="2935"/>
      <c r="D225" s="3161"/>
      <c r="F225" s="3026"/>
      <c r="G225" s="3027"/>
      <c r="H225" s="3027"/>
      <c r="I225" s="3027"/>
      <c r="J225" s="3027"/>
      <c r="K225" s="3027"/>
      <c r="L225" s="3027"/>
      <c r="M225" s="3025"/>
      <c r="N225" s="3519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1:40" s="2825" customFormat="1" ht="14" customHeight="1">
      <c r="B226" s="2935"/>
      <c r="C226" s="2935"/>
      <c r="D226" s="3161"/>
      <c r="F226" s="3026"/>
      <c r="G226" s="3027"/>
      <c r="H226" s="3027"/>
      <c r="I226" s="3027"/>
      <c r="J226" s="3027"/>
      <c r="K226" s="3027"/>
      <c r="L226" s="3027"/>
      <c r="M226" s="3025"/>
      <c r="N226" s="3519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1:40" s="2825" customFormat="1" ht="14" customHeight="1">
      <c r="B227" s="2935"/>
      <c r="C227" s="2935"/>
      <c r="D227" s="3161"/>
      <c r="F227" s="3026"/>
      <c r="G227" s="3027"/>
      <c r="H227" s="3027"/>
      <c r="I227" s="3027"/>
      <c r="J227" s="3027"/>
      <c r="K227" s="3027"/>
      <c r="L227" s="3027"/>
      <c r="M227" s="3025"/>
      <c r="N227" s="3519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826"/>
      <c r="AD227" s="2826"/>
      <c r="AE227" s="2826"/>
      <c r="AF227" s="2826"/>
      <c r="AG227" s="2826"/>
      <c r="AH227" s="2826"/>
      <c r="AI227" s="2826"/>
      <c r="AJ227" s="2826"/>
      <c r="AK227" s="2826"/>
      <c r="AL227" s="2826"/>
      <c r="AM227" s="2826"/>
    </row>
    <row r="228" spans="1:40" s="2825" customFormat="1" ht="14" customHeight="1">
      <c r="B228" s="2935"/>
      <c r="C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519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1:40" s="2825" customFormat="1" ht="14" customHeight="1">
      <c r="B229" s="2935"/>
      <c r="C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519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1:40" s="2825" customFormat="1" ht="14" customHeight="1">
      <c r="B230" s="2935"/>
      <c r="C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519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1:40" ht="14" customHeight="1">
      <c r="A231" s="1"/>
      <c r="O231" s="155"/>
      <c r="P231" s="155"/>
      <c r="Q231" s="1131"/>
      <c r="R231" s="1131"/>
      <c r="S231" s="251"/>
      <c r="T231" s="251"/>
      <c r="U231" s="1132"/>
      <c r="V231" s="1132"/>
      <c r="W231" s="1132"/>
      <c r="X231" s="1132"/>
      <c r="Y231" s="1132"/>
      <c r="Z231" s="1132"/>
      <c r="AA231" s="1132"/>
      <c r="AN231" s="1"/>
    </row>
    <row r="232" spans="1:40" ht="14" customHeight="1">
      <c r="A232" s="1"/>
      <c r="O232" s="155"/>
      <c r="P232" s="155"/>
      <c r="Q232" s="1131"/>
      <c r="R232" s="1131"/>
      <c r="S232" s="251"/>
      <c r="T232" s="251"/>
      <c r="U232" s="1132"/>
      <c r="V232" s="1132"/>
      <c r="W232" s="1132"/>
      <c r="X232" s="1132"/>
      <c r="Y232" s="1132"/>
      <c r="Z232" s="1132"/>
      <c r="AA232" s="1132"/>
      <c r="AN232" s="1"/>
    </row>
    <row r="233" spans="1:40" ht="14" customHeight="1">
      <c r="A233" s="1"/>
      <c r="O233" s="155"/>
      <c r="P233" s="155"/>
      <c r="Q233" s="1131"/>
      <c r="R233" s="1131"/>
      <c r="S233" s="251"/>
      <c r="T233" s="251"/>
      <c r="U233" s="1132"/>
      <c r="V233" s="1132"/>
      <c r="W233" s="1132"/>
      <c r="X233" s="1132"/>
      <c r="Y233" s="1132"/>
      <c r="Z233" s="1132"/>
      <c r="AA233" s="1132"/>
      <c r="AN233" s="1"/>
    </row>
    <row r="234" spans="1:40" ht="14" customHeight="1">
      <c r="A234" s="1"/>
      <c r="O234" s="155"/>
      <c r="P234" s="155"/>
      <c r="Q234" s="1131"/>
      <c r="R234" s="1131"/>
      <c r="S234" s="251"/>
      <c r="T234" s="251"/>
      <c r="U234" s="1132"/>
      <c r="V234" s="1132"/>
      <c r="W234" s="1132"/>
      <c r="X234" s="1132"/>
      <c r="Y234" s="1132"/>
      <c r="Z234" s="1132"/>
      <c r="AA234" s="1132"/>
      <c r="AN234" s="1"/>
    </row>
    <row r="235" spans="1:40" ht="14" customHeight="1">
      <c r="A235" s="1"/>
      <c r="O235" s="155"/>
      <c r="P235" s="155"/>
      <c r="Q235" s="1131"/>
      <c r="R235" s="1131"/>
      <c r="S235" s="251"/>
      <c r="T235" s="251"/>
      <c r="U235" s="1132"/>
      <c r="V235" s="1132"/>
      <c r="W235" s="1132"/>
      <c r="X235" s="1132"/>
      <c r="Y235" s="1132"/>
      <c r="Z235" s="1132"/>
      <c r="AA235" s="1132"/>
      <c r="AN235" s="1"/>
    </row>
    <row r="236" spans="1:40" ht="14" customHeight="1">
      <c r="A236" s="1"/>
      <c r="O236" s="155"/>
      <c r="P236" s="155"/>
      <c r="Q236" s="1131"/>
      <c r="R236" s="1131"/>
      <c r="S236" s="251"/>
      <c r="T236" s="251"/>
      <c r="U236" s="1132"/>
      <c r="V236" s="1132"/>
      <c r="W236" s="1132"/>
      <c r="X236" s="1132"/>
      <c r="Y236" s="1132"/>
      <c r="Z236" s="1132"/>
      <c r="AA236" s="1132"/>
      <c r="AN236" s="1"/>
    </row>
    <row r="237" spans="1:40" ht="14" customHeight="1">
      <c r="A237" s="1"/>
      <c r="O237" s="155"/>
      <c r="P237" s="155"/>
      <c r="Q237" s="1131"/>
      <c r="R237" s="1131"/>
      <c r="S237" s="251"/>
      <c r="T237" s="251"/>
      <c r="U237" s="1132"/>
      <c r="V237" s="1132"/>
      <c r="W237" s="1132"/>
      <c r="X237" s="1132"/>
      <c r="Y237" s="1132"/>
      <c r="Z237" s="1132"/>
      <c r="AA237" s="1132"/>
      <c r="AN237" s="1"/>
    </row>
    <row r="238" spans="1:40" ht="14" customHeight="1">
      <c r="A238" s="1"/>
      <c r="O238" s="155"/>
      <c r="P238" s="155"/>
      <c r="Q238" s="1131"/>
      <c r="R238" s="1131"/>
      <c r="S238" s="251"/>
      <c r="T238" s="251"/>
      <c r="U238" s="1132"/>
      <c r="V238" s="1132"/>
      <c r="W238" s="1132"/>
      <c r="X238" s="1132"/>
      <c r="Y238" s="1132"/>
      <c r="Z238" s="1132"/>
      <c r="AA238" s="1132"/>
      <c r="AN238" s="1"/>
    </row>
    <row r="239" spans="1:40" ht="14" customHeight="1">
      <c r="A239" s="1"/>
      <c r="O239" s="155"/>
      <c r="P239" s="155"/>
      <c r="Q239" s="1131"/>
      <c r="R239" s="1131"/>
      <c r="S239" s="251"/>
      <c r="T239" s="251"/>
      <c r="U239" s="1132"/>
      <c r="V239" s="1132"/>
      <c r="W239" s="1132"/>
      <c r="X239" s="1132"/>
      <c r="Y239" s="1132"/>
      <c r="Z239" s="1132"/>
      <c r="AA239" s="1132"/>
      <c r="AN239" s="1"/>
    </row>
    <row r="240" spans="1:40" ht="14" customHeight="1">
      <c r="A240" s="1"/>
      <c r="O240" s="155"/>
      <c r="P240" s="155"/>
      <c r="Q240" s="1131"/>
      <c r="R240" s="1131"/>
      <c r="S240" s="251"/>
      <c r="T240" s="251"/>
      <c r="U240" s="1132"/>
      <c r="V240" s="1132"/>
      <c r="W240" s="1132"/>
      <c r="X240" s="1132"/>
      <c r="Y240" s="1132"/>
      <c r="Z240" s="1132"/>
      <c r="AA240" s="1132"/>
      <c r="AN240" s="1"/>
    </row>
    <row r="241" spans="1:40" ht="14" customHeight="1">
      <c r="A241" s="1"/>
      <c r="O241" s="155"/>
      <c r="P241" s="155"/>
      <c r="Q241" s="1131"/>
      <c r="R241" s="1131"/>
      <c r="S241" s="251"/>
      <c r="T241" s="251"/>
      <c r="U241" s="1132"/>
      <c r="V241" s="1132"/>
      <c r="W241" s="1132"/>
      <c r="X241" s="1132"/>
      <c r="Y241" s="1132"/>
      <c r="Z241" s="1132"/>
      <c r="AA241" s="1132"/>
      <c r="AN241" s="1"/>
    </row>
    <row r="242" spans="1:40" ht="14" customHeight="1">
      <c r="A242" s="1"/>
      <c r="O242" s="155"/>
      <c r="P242" s="155"/>
      <c r="Q242" s="1131"/>
      <c r="R242" s="1131"/>
      <c r="S242" s="251"/>
      <c r="T242" s="251"/>
      <c r="U242" s="1132"/>
      <c r="V242" s="1132"/>
      <c r="W242" s="1132"/>
      <c r="X242" s="1132"/>
      <c r="Y242" s="1132"/>
      <c r="Z242" s="1132"/>
      <c r="AA242" s="1132"/>
      <c r="AN242" s="1"/>
    </row>
    <row r="243" spans="1:40" ht="14" customHeight="1">
      <c r="A243" s="1"/>
      <c r="O243" s="155"/>
      <c r="P243" s="155"/>
      <c r="Q243" s="1131"/>
      <c r="R243" s="1131"/>
      <c r="S243" s="251"/>
      <c r="T243" s="251"/>
      <c r="U243" s="1132"/>
      <c r="V243" s="1132"/>
      <c r="W243" s="1132"/>
      <c r="X243" s="1132"/>
      <c r="Y243" s="1132"/>
      <c r="Z243" s="1132"/>
      <c r="AA243" s="1132"/>
      <c r="AN243" s="1"/>
    </row>
    <row r="244" spans="1:40" ht="14" customHeight="1">
      <c r="A244" s="1"/>
      <c r="B244" s="1"/>
      <c r="C244" s="1"/>
      <c r="D244" s="1"/>
      <c r="F244" s="52"/>
      <c r="G244" s="52"/>
      <c r="H244" s="1"/>
      <c r="I244" s="1"/>
      <c r="J244" s="1"/>
      <c r="K244" s="1"/>
      <c r="L244" s="1"/>
      <c r="M244" s="1"/>
      <c r="N244" s="2914"/>
      <c r="O244" s="1"/>
      <c r="P244" s="1"/>
      <c r="Q244" s="1"/>
      <c r="R244" s="5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4" customHeight="1">
      <c r="A245" s="1"/>
      <c r="B245" s="1"/>
      <c r="C245" s="1"/>
      <c r="D245" s="1"/>
      <c r="F245" s="52"/>
      <c r="G245" s="52"/>
      <c r="H245" s="1"/>
      <c r="I245" s="1"/>
      <c r="J245" s="1"/>
      <c r="K245" s="1"/>
      <c r="L245" s="1"/>
      <c r="M245" s="1"/>
      <c r="N245" s="2914"/>
      <c r="O245" s="1"/>
      <c r="P245" s="1"/>
      <c r="Q245" s="1"/>
      <c r="R245" s="5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4" customHeight="1">
      <c r="A246" s="1"/>
      <c r="B246" s="1"/>
      <c r="C246" s="1"/>
      <c r="D246" s="1"/>
      <c r="F246" s="52"/>
      <c r="G246" s="52"/>
      <c r="H246" s="1"/>
      <c r="I246" s="1"/>
      <c r="J246" s="1"/>
      <c r="K246" s="1"/>
      <c r="L246" s="1"/>
      <c r="M246" s="1"/>
      <c r="N246" s="2914"/>
      <c r="O246" s="1"/>
      <c r="P246" s="1"/>
      <c r="Q246" s="1"/>
      <c r="R246" s="5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4" customHeight="1">
      <c r="A247" s="1"/>
      <c r="B247" s="1"/>
      <c r="C247" s="1"/>
      <c r="D247" s="1"/>
      <c r="F247" s="52"/>
      <c r="G247" s="52"/>
      <c r="H247" s="1"/>
      <c r="I247" s="1"/>
      <c r="J247" s="1"/>
      <c r="K247" s="1"/>
      <c r="L247" s="1"/>
      <c r="M247" s="1"/>
      <c r="N247" s="2914"/>
      <c r="O247" s="1"/>
      <c r="P247" s="1"/>
      <c r="Q247" s="1"/>
      <c r="R247" s="5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4" customHeight="1">
      <c r="A248" s="1"/>
      <c r="B248" s="1"/>
      <c r="C248" s="1"/>
      <c r="D248" s="1"/>
      <c r="F248" s="52"/>
      <c r="G248" s="52"/>
      <c r="H248" s="1"/>
      <c r="I248" s="1"/>
      <c r="J248" s="1"/>
      <c r="K248" s="1"/>
      <c r="L248" s="1"/>
      <c r="M248" s="1"/>
      <c r="N248" s="2914"/>
      <c r="O248" s="1"/>
      <c r="P248" s="1"/>
      <c r="Q248" s="1"/>
      <c r="R248" s="5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4" customHeight="1">
      <c r="A249" s="1"/>
      <c r="B249" s="1"/>
      <c r="C249" s="1"/>
      <c r="D249" s="1"/>
      <c r="F249" s="52"/>
      <c r="G249" s="52"/>
      <c r="H249" s="1"/>
      <c r="I249" s="1"/>
      <c r="J249" s="1"/>
      <c r="K249" s="1"/>
      <c r="L249" s="1"/>
      <c r="M249" s="1"/>
      <c r="N249" s="2914"/>
      <c r="O249" s="1"/>
      <c r="P249" s="1"/>
      <c r="Q249" s="1"/>
      <c r="R249" s="5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4" customHeight="1">
      <c r="A250" s="1"/>
      <c r="B250" s="1"/>
      <c r="C250" s="1"/>
      <c r="D250" s="1"/>
      <c r="F250" s="52"/>
      <c r="G250" s="52"/>
      <c r="H250" s="1"/>
      <c r="I250" s="1"/>
      <c r="J250" s="1"/>
      <c r="K250" s="1"/>
      <c r="L250" s="1"/>
      <c r="M250" s="1"/>
      <c r="N250" s="2914"/>
      <c r="O250" s="1"/>
      <c r="P250" s="1"/>
      <c r="Q250" s="1"/>
      <c r="R250" s="5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4" customHeight="1">
      <c r="A251" s="1"/>
      <c r="B251" s="1"/>
      <c r="C251" s="1"/>
      <c r="D251" s="1"/>
      <c r="F251" s="52"/>
      <c r="G251" s="52"/>
      <c r="H251" s="1"/>
      <c r="I251" s="1"/>
      <c r="J251" s="1"/>
      <c r="K251" s="1"/>
      <c r="L251" s="1"/>
      <c r="M251" s="1"/>
      <c r="N251" s="2914"/>
      <c r="O251" s="1"/>
      <c r="P251" s="1"/>
      <c r="Q251" s="1"/>
      <c r="R251" s="5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4" customHeight="1">
      <c r="A252" s="1"/>
      <c r="B252" s="1"/>
      <c r="C252" s="1"/>
      <c r="D252" s="1"/>
      <c r="F252" s="52"/>
      <c r="G252" s="52"/>
      <c r="H252" s="1"/>
      <c r="I252" s="1"/>
      <c r="J252" s="1"/>
      <c r="K252" s="1"/>
      <c r="L252" s="1"/>
      <c r="M252" s="1"/>
      <c r="N252" s="2914"/>
      <c r="O252" s="1"/>
      <c r="P252" s="1"/>
      <c r="Q252" s="1"/>
      <c r="R252" s="5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4" customHeight="1">
      <c r="A253" s="1"/>
      <c r="B253" s="1"/>
      <c r="C253" s="1"/>
      <c r="D253" s="1"/>
      <c r="F253" s="52"/>
      <c r="G253" s="52"/>
      <c r="H253" s="1"/>
      <c r="I253" s="1"/>
      <c r="J253" s="1"/>
      <c r="K253" s="1"/>
      <c r="L253" s="1"/>
      <c r="M253" s="1"/>
      <c r="N253" s="2914"/>
      <c r="O253" s="1"/>
      <c r="P253" s="1"/>
      <c r="Q253" s="1"/>
      <c r="R253" s="5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</sheetData>
  <pageMargins left="0.7" right="0.7" top="0.75" bottom="0.75" header="0.3" footer="0.3"/>
  <pageSetup paperSize="9" orientation="landscape" horizontalDpi="0" verticalDpi="0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842D1-9EF6-AE4D-BC0A-021BBC676AB1}">
  <sheetPr codeName="Hoja59"/>
  <dimension ref="A1:AO241"/>
  <sheetViews>
    <sheetView topLeftCell="A23" zoomScale="144" zoomScaleNormal="144" workbookViewId="0">
      <selection sqref="A1:XFD1048576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2" style="3028" customWidth="1"/>
    <col min="4" max="4" width="0.6640625" style="3082" customWidth="1"/>
    <col min="5" max="5" width="3.1640625" style="1" customWidth="1"/>
    <col min="6" max="6" width="4.33203125" style="2818" customWidth="1"/>
    <col min="7" max="7" width="3.6640625" style="780" customWidth="1"/>
    <col min="8" max="8" width="10.83203125" style="780" customWidth="1"/>
    <col min="9" max="10" width="7.5" style="780" customWidth="1"/>
    <col min="11" max="11" width="32.83203125" style="780" customWidth="1"/>
    <col min="12" max="12" width="8.1640625" style="780" customWidth="1"/>
    <col min="13" max="13" width="1.1640625" style="2820" customWidth="1"/>
    <col min="14" max="14" width="10.5" style="3390" customWidth="1"/>
    <col min="15" max="15" width="1" style="780" customWidth="1"/>
    <col min="16" max="16" width="11.1640625" style="780" customWidth="1"/>
    <col min="17" max="17" width="7.5" style="2821" customWidth="1"/>
    <col min="18" max="18" width="7.6640625" style="2821" customWidth="1"/>
    <col min="19" max="19" width="1.33203125" style="2822" customWidth="1"/>
    <col min="20" max="20" width="0.5" style="2822" customWidth="1"/>
    <col min="21" max="21" width="6" style="2823" customWidth="1"/>
    <col min="22" max="22" width="5.6640625" style="2823" customWidth="1"/>
    <col min="23" max="23" width="6.83203125" style="2823" customWidth="1"/>
    <col min="24" max="24" width="5.5" style="2823" customWidth="1"/>
    <col min="25" max="25" width="6" style="2823" customWidth="1"/>
    <col min="26" max="27" width="5.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5" style="2826" customWidth="1"/>
    <col min="40" max="40" width="11.5" style="2825"/>
    <col min="41" max="16384" width="11.5" style="1"/>
  </cols>
  <sheetData>
    <row r="1" spans="1:40" ht="17" customHeight="1" thickBot="1">
      <c r="A1" s="3080" t="s">
        <v>344</v>
      </c>
      <c r="B1" s="1"/>
      <c r="C1" s="1"/>
      <c r="D1" s="3081"/>
      <c r="E1" s="2817"/>
      <c r="H1" s="3726"/>
      <c r="K1" s="1871" t="s">
        <v>1791</v>
      </c>
      <c r="L1" s="2821"/>
      <c r="M1" s="2821"/>
      <c r="N1" s="3391"/>
      <c r="O1" s="2821"/>
      <c r="P1" s="2821"/>
      <c r="V1" s="2824"/>
      <c r="AI1" s="2825"/>
      <c r="AJ1" s="2825"/>
      <c r="AK1" s="2825"/>
      <c r="AL1" s="2825"/>
      <c r="AM1" s="2825"/>
    </row>
    <row r="2" spans="1:40" ht="14" customHeight="1" thickBot="1">
      <c r="F2" s="3836"/>
      <c r="G2" s="155"/>
      <c r="H2" s="3727" t="s">
        <v>985</v>
      </c>
      <c r="I2" s="155"/>
      <c r="J2" s="3083"/>
      <c r="K2" s="583"/>
      <c r="L2" s="2821"/>
      <c r="M2" s="2821"/>
      <c r="N2" s="3391"/>
      <c r="O2" s="2821"/>
      <c r="P2" s="2821"/>
      <c r="U2" s="2827" t="s">
        <v>345</v>
      </c>
      <c r="AI2" s="2825"/>
      <c r="AJ2" s="2825"/>
      <c r="AK2" s="2825"/>
      <c r="AL2" s="2825"/>
      <c r="AM2" s="2825"/>
    </row>
    <row r="3" spans="1:40" ht="14" customHeight="1">
      <c r="E3" s="3787"/>
      <c r="F3" s="3824"/>
      <c r="G3" s="3824" t="s">
        <v>1761</v>
      </c>
      <c r="H3" s="3787" t="s">
        <v>1792</v>
      </c>
      <c r="I3" s="3787" t="s">
        <v>1793</v>
      </c>
      <c r="J3" s="3787"/>
      <c r="K3" s="1802"/>
      <c r="L3" s="2821"/>
      <c r="M3" s="2821"/>
      <c r="N3" s="3391"/>
      <c r="O3" s="2821"/>
      <c r="P3" s="2821"/>
      <c r="U3" s="2827"/>
      <c r="AI3" s="2825"/>
      <c r="AJ3" s="2825"/>
      <c r="AK3" s="2825"/>
      <c r="AL3" s="2825"/>
      <c r="AM3" s="2825"/>
    </row>
    <row r="4" spans="1:40" ht="14" customHeight="1">
      <c r="E4" s="2706"/>
      <c r="F4" s="3825"/>
      <c r="G4" s="3825">
        <v>44317</v>
      </c>
      <c r="H4" s="2706">
        <v>44318</v>
      </c>
      <c r="I4" s="2706">
        <v>44319</v>
      </c>
      <c r="J4" s="2706">
        <v>44200</v>
      </c>
      <c r="K4" s="3781"/>
      <c r="L4" s="2821"/>
      <c r="M4" s="2821"/>
      <c r="N4" s="3391"/>
      <c r="O4" s="2821"/>
      <c r="P4" s="2821"/>
      <c r="U4" s="2827"/>
      <c r="AI4" s="2825"/>
      <c r="AJ4" s="2825"/>
      <c r="AK4" s="2825"/>
      <c r="AL4" s="2825"/>
      <c r="AM4" s="2825"/>
    </row>
    <row r="5" spans="1:40" ht="14" customHeight="1">
      <c r="E5" s="3875"/>
      <c r="F5" s="3876"/>
      <c r="G5" s="3877" t="s">
        <v>1794</v>
      </c>
      <c r="H5" s="3788" t="s">
        <v>467</v>
      </c>
      <c r="I5" s="3788" t="s">
        <v>467</v>
      </c>
      <c r="J5" s="3788" t="s">
        <v>467</v>
      </c>
      <c r="K5" s="2696"/>
      <c r="L5" s="2821"/>
      <c r="M5" s="2821"/>
      <c r="N5" s="3391"/>
      <c r="O5" s="2821"/>
      <c r="P5" s="2821"/>
      <c r="U5" s="2827"/>
      <c r="AI5" s="2825"/>
      <c r="AJ5" s="2825"/>
      <c r="AK5" s="2825"/>
      <c r="AL5" s="2825"/>
      <c r="AM5" s="2825"/>
    </row>
    <row r="6" spans="1:40" ht="14" customHeight="1" thickBot="1">
      <c r="E6" s="3790"/>
      <c r="F6" s="3837"/>
      <c r="G6" s="3878" t="s">
        <v>1795</v>
      </c>
      <c r="H6" s="3790"/>
      <c r="I6" s="3789" t="s">
        <v>468</v>
      </c>
      <c r="J6" s="3790"/>
      <c r="K6" s="3782"/>
      <c r="L6" s="2821"/>
      <c r="M6" s="2821"/>
      <c r="N6" s="3391"/>
      <c r="O6" s="2821"/>
      <c r="P6" s="2821"/>
      <c r="U6" s="2827"/>
      <c r="AI6" s="2825"/>
      <c r="AJ6" s="2825"/>
      <c r="AK6" s="2825"/>
      <c r="AL6" s="2825"/>
      <c r="AM6" s="2825"/>
    </row>
    <row r="7" spans="1:40" s="2839" customFormat="1" ht="54" customHeight="1" thickTop="1" thickBot="1">
      <c r="A7" s="3084" t="s">
        <v>346</v>
      </c>
      <c r="B7" s="3085" t="s">
        <v>347</v>
      </c>
      <c r="C7" s="3728"/>
      <c r="D7" s="3087" t="s">
        <v>348</v>
      </c>
      <c r="E7" s="3086" t="s">
        <v>349</v>
      </c>
      <c r="F7" s="3088" t="s">
        <v>350</v>
      </c>
      <c r="G7" s="3089" t="s">
        <v>351</v>
      </c>
      <c r="H7" s="3089" t="s">
        <v>624</v>
      </c>
      <c r="I7" s="3042" t="s">
        <v>352</v>
      </c>
      <c r="J7" s="3588" t="s">
        <v>353</v>
      </c>
      <c r="K7" s="3089" t="s">
        <v>354</v>
      </c>
      <c r="L7" s="3089"/>
      <c r="M7" s="3090" t="s">
        <v>355</v>
      </c>
      <c r="N7" s="3042" t="s">
        <v>445</v>
      </c>
      <c r="O7" s="3086" t="s">
        <v>446</v>
      </c>
      <c r="P7" s="3086" t="s">
        <v>447</v>
      </c>
      <c r="Q7" s="3091" t="s">
        <v>448</v>
      </c>
      <c r="R7" s="3092" t="s">
        <v>371</v>
      </c>
      <c r="S7" s="2828" t="s">
        <v>449</v>
      </c>
      <c r="T7" s="2828" t="s">
        <v>450</v>
      </c>
      <c r="U7" s="2829" t="s">
        <v>451</v>
      </c>
      <c r="V7" s="2830" t="s">
        <v>452</v>
      </c>
      <c r="W7" s="2831" t="s">
        <v>453</v>
      </c>
      <c r="X7" s="2832" t="s">
        <v>454</v>
      </c>
      <c r="Y7" s="2833" t="s">
        <v>455</v>
      </c>
      <c r="Z7" s="2834" t="s">
        <v>456</v>
      </c>
      <c r="AA7" s="2835" t="s">
        <v>457</v>
      </c>
      <c r="AB7" s="2836"/>
      <c r="AC7" s="2837"/>
      <c r="AD7" s="2838"/>
      <c r="AE7" s="2838"/>
      <c r="AF7" s="2838"/>
      <c r="AG7" s="2838"/>
      <c r="AH7" s="2838"/>
      <c r="AI7" s="2836"/>
      <c r="AJ7" s="2836"/>
      <c r="AK7" s="2836"/>
      <c r="AL7" s="2836"/>
      <c r="AM7" s="2836"/>
      <c r="AN7" s="2836"/>
    </row>
    <row r="8" spans="1:40" s="2839" customFormat="1" ht="12" customHeight="1" thickBot="1">
      <c r="A8" s="3093"/>
      <c r="B8" s="3094"/>
      <c r="C8" s="3729"/>
      <c r="D8" s="3096"/>
      <c r="E8" s="3095"/>
      <c r="F8" s="3097"/>
      <c r="G8" s="3095"/>
      <c r="H8" s="3095"/>
      <c r="I8" s="3095"/>
      <c r="J8" s="3097"/>
      <c r="K8" s="3095"/>
      <c r="L8" s="3095"/>
      <c r="M8" s="3098"/>
      <c r="N8" s="3095"/>
      <c r="O8" s="3095"/>
      <c r="P8" s="3095"/>
      <c r="Q8" s="3099"/>
      <c r="R8" s="3100"/>
      <c r="S8" s="2840"/>
      <c r="T8" s="2840"/>
      <c r="U8" s="3783">
        <v>9.3287037037037058E-4</v>
      </c>
      <c r="V8" s="3784">
        <v>8.6111111111111121E-4</v>
      </c>
      <c r="W8" s="3784">
        <v>7.8935185185185206E-4</v>
      </c>
      <c r="X8" s="3784">
        <v>7.175925925925927E-4</v>
      </c>
      <c r="Y8" s="3784">
        <v>7.1400462962962975E-4</v>
      </c>
      <c r="Z8" s="3784">
        <v>7.0324074074074082E-4</v>
      </c>
      <c r="AA8" s="3785">
        <v>6.8888888888888895E-4</v>
      </c>
      <c r="AB8" s="2836"/>
      <c r="AC8" s="2837"/>
      <c r="AD8" s="2838"/>
      <c r="AE8" s="2838"/>
      <c r="AF8" s="2838"/>
      <c r="AG8" s="2838"/>
      <c r="AH8" s="2838"/>
      <c r="AI8" s="2836"/>
      <c r="AJ8" s="2836"/>
      <c r="AK8" s="2836"/>
      <c r="AL8" s="2836"/>
      <c r="AM8" s="2836"/>
      <c r="AN8" s="2836"/>
    </row>
    <row r="9" spans="1:40" s="63" customFormat="1" ht="10" customHeight="1" thickBot="1">
      <c r="A9" s="3101"/>
      <c r="B9" s="3102"/>
      <c r="C9" s="3751"/>
      <c r="D9" s="3104"/>
      <c r="E9" s="3103"/>
      <c r="F9" s="3838"/>
      <c r="G9" s="3828"/>
      <c r="H9" s="3106"/>
      <c r="I9" s="3106"/>
      <c r="J9" s="3105"/>
      <c r="K9" s="3106"/>
      <c r="L9" s="3106"/>
      <c r="M9" s="3107"/>
      <c r="N9" s="3106"/>
      <c r="O9" s="3103"/>
      <c r="P9" s="3103"/>
      <c r="Q9" s="3103"/>
      <c r="R9" s="3108"/>
      <c r="S9" s="3404"/>
      <c r="T9" s="3404"/>
      <c r="U9" s="2843">
        <f>U8/4</f>
        <v>2.3321759259259265E-4</v>
      </c>
      <c r="V9" s="2843">
        <f t="shared" ref="V9:AA9" si="0">V8/4</f>
        <v>2.152777777777778E-4</v>
      </c>
      <c r="W9" s="2843">
        <f t="shared" si="0"/>
        <v>1.9733796296296302E-4</v>
      </c>
      <c r="X9" s="2843">
        <f t="shared" si="0"/>
        <v>1.7939814814814817E-4</v>
      </c>
      <c r="Y9" s="2843">
        <f t="shared" si="0"/>
        <v>1.7850115740740744E-4</v>
      </c>
      <c r="Z9" s="2843">
        <f t="shared" si="0"/>
        <v>1.7581018518518521E-4</v>
      </c>
      <c r="AA9" s="2843">
        <f t="shared" si="0"/>
        <v>1.7222222222222224E-4</v>
      </c>
      <c r="AB9" s="2935"/>
      <c r="AC9" s="2936"/>
      <c r="AD9" s="2937"/>
      <c r="AE9" s="2937"/>
      <c r="AF9" s="2937"/>
      <c r="AG9" s="2937"/>
      <c r="AH9" s="2937"/>
      <c r="AI9" s="2935"/>
      <c r="AJ9" s="2935"/>
      <c r="AK9" s="2935"/>
      <c r="AL9" s="2935"/>
      <c r="AM9" s="2935"/>
      <c r="AN9" s="2935"/>
    </row>
    <row r="10" spans="1:40" s="63" customFormat="1" ht="11" customHeight="1" thickTop="1" thickBot="1">
      <c r="A10" s="3794"/>
      <c r="B10" s="3795"/>
      <c r="C10" s="3796"/>
      <c r="D10" s="3797"/>
      <c r="E10" s="3798"/>
      <c r="F10" s="3839"/>
      <c r="G10" s="3829"/>
      <c r="H10" s="3800"/>
      <c r="I10" s="3800"/>
      <c r="J10" s="3799"/>
      <c r="K10" s="3801" t="s">
        <v>1762</v>
      </c>
      <c r="L10" s="631">
        <v>0.39583333333333331</v>
      </c>
      <c r="M10" s="3802"/>
      <c r="N10" s="1882">
        <v>1.4583333333333332E-2</v>
      </c>
      <c r="O10" s="3798"/>
      <c r="P10" s="3798"/>
      <c r="Q10" s="3798"/>
      <c r="R10" s="3803"/>
      <c r="S10" s="3610"/>
      <c r="T10" s="3610"/>
      <c r="U10" s="3752"/>
      <c r="V10" s="3752"/>
      <c r="W10" s="3752"/>
      <c r="X10" s="3752"/>
      <c r="Y10" s="3752"/>
      <c r="Z10" s="3752"/>
      <c r="AA10" s="3752"/>
      <c r="AB10" s="2935"/>
      <c r="AC10" s="2936"/>
      <c r="AD10" s="2937"/>
      <c r="AE10" s="2937"/>
      <c r="AF10" s="2937"/>
      <c r="AG10" s="2937"/>
      <c r="AH10" s="2937"/>
      <c r="AI10" s="2935"/>
      <c r="AJ10" s="2935"/>
      <c r="AK10" s="2935"/>
      <c r="AL10" s="2935"/>
      <c r="AM10" s="2935"/>
      <c r="AN10" s="2935"/>
    </row>
    <row r="11" spans="1:40" s="63" customFormat="1" ht="14" customHeight="1" thickBot="1">
      <c r="A11" s="3109" t="s">
        <v>220</v>
      </c>
      <c r="B11" s="3110" t="s">
        <v>459</v>
      </c>
      <c r="C11" s="629">
        <f>IF(D11=1,U$9,IF(D11=2,V$9,IF(D11=3,W$9,IF(D11=4,X$9,IF(D11=5,Y$9,IF(D11=6,Z$9,IF(D11=7,AA$9,0)))))))</f>
        <v>2.3321759259259265E-4</v>
      </c>
      <c r="D11" s="3406">
        <v>1</v>
      </c>
      <c r="E11" s="3407">
        <v>1</v>
      </c>
      <c r="F11" s="3830">
        <v>1</v>
      </c>
      <c r="G11" s="3830">
        <v>400</v>
      </c>
      <c r="H11" s="2654"/>
      <c r="I11" s="2654">
        <v>0</v>
      </c>
      <c r="J11" s="2654">
        <v>1.1574074074074073E-4</v>
      </c>
      <c r="K11" s="3860" t="s">
        <v>1772</v>
      </c>
      <c r="L11" s="3867">
        <f t="shared" ref="L11:L12" si="1">L10+N10</f>
        <v>0.41041666666666665</v>
      </c>
      <c r="M11" s="3868">
        <v>1.1000000000000001</v>
      </c>
      <c r="N11" s="3869">
        <f>P11*E11*F11+I11*E11*F11+J11*E11</f>
        <v>4.2203703703703717E-3</v>
      </c>
      <c r="O11" s="2526">
        <f t="shared" ref="O11:O15" si="2">C11*G11/25</f>
        <v>3.7314814814814823E-3</v>
      </c>
      <c r="P11" s="3698">
        <f>O11*M11</f>
        <v>4.1046296296296308E-3</v>
      </c>
      <c r="Q11" s="3854">
        <v>120</v>
      </c>
      <c r="R11" s="3855">
        <f>E11*F11*G11</f>
        <v>400</v>
      </c>
      <c r="S11" s="2844">
        <f>E11*F11*G11/1000</f>
        <v>0.4</v>
      </c>
      <c r="T11" s="2845">
        <f>E11*F11*O11*4</f>
        <v>1.4925925925925929E-2</v>
      </c>
      <c r="U11" s="374">
        <f>IF(C11*4&gt;=$U$8,S11,0)</f>
        <v>0.4</v>
      </c>
      <c r="V11" s="2846">
        <f>IF(AND(C11*4&gt;=$V$8,C11*4&lt;$U$8),S11,0)</f>
        <v>0</v>
      </c>
      <c r="W11" s="2847">
        <f>IF(AND(C11*4&gt;=$W$8,C11*4&lt;$V$8),S11,0)</f>
        <v>0</v>
      </c>
      <c r="X11" s="2848">
        <f>IF(AND(C11*4&gt;=$X$8,C11*4&lt;$W$8),S11,0)</f>
        <v>0</v>
      </c>
      <c r="Y11" s="2849">
        <f>IF(AND(C11*4&gt;=$Y$8,C11*4&lt;$X$8),S11,0)</f>
        <v>0</v>
      </c>
      <c r="Z11" s="2850">
        <f>IF(AND(C11*4&gt;=$Z$8,C11*4&lt;$Y$8),S11,0)</f>
        <v>0</v>
      </c>
      <c r="AA11" s="2851">
        <f>IF(AND(C11*4&gt;=$AA$8,C11*4&lt;$Z$8),S11,0)</f>
        <v>0</v>
      </c>
      <c r="AB11" s="2935"/>
      <c r="AC11" s="2867"/>
      <c r="AD11" s="2867"/>
      <c r="AE11" s="2867"/>
      <c r="AF11" s="2867"/>
      <c r="AG11" s="2867"/>
      <c r="AH11" s="2867"/>
      <c r="AI11" s="2935"/>
      <c r="AJ11" s="2935"/>
      <c r="AK11" s="2935"/>
      <c r="AL11" s="2935"/>
      <c r="AM11" s="2935"/>
      <c r="AN11" s="2935"/>
    </row>
    <row r="12" spans="1:40" s="63" customFormat="1" ht="14" customHeight="1" thickBot="1">
      <c r="A12" s="3109" t="s">
        <v>674</v>
      </c>
      <c r="B12" s="3110" t="s">
        <v>459</v>
      </c>
      <c r="C12" s="629">
        <f t="shared" ref="C12:C38" si="3">IF(D12=1,U$9,IF(D12=2,V$9,IF(D12=3,W$9,IF(D12=4,X$9,IF(D12=5,Y$9,IF(D12=6,Z$9,IF(D12=7,AA$9,0)))))))</f>
        <v>1.7850115740740744E-4</v>
      </c>
      <c r="D12" s="920">
        <v>5</v>
      </c>
      <c r="E12" s="1881">
        <v>1</v>
      </c>
      <c r="F12" s="1881">
        <v>10</v>
      </c>
      <c r="G12" s="3879">
        <v>75</v>
      </c>
      <c r="H12" s="1999"/>
      <c r="I12" s="2003">
        <v>3.4722222222222224E-4</v>
      </c>
      <c r="J12" s="2003">
        <v>5.7870370370370378E-4</v>
      </c>
      <c r="K12" s="2004" t="s">
        <v>1114</v>
      </c>
      <c r="L12" s="2005">
        <f t="shared" si="1"/>
        <v>0.41463703703703703</v>
      </c>
      <c r="M12" s="2006">
        <v>1.05</v>
      </c>
      <c r="N12" s="2005">
        <f t="shared" ref="N12" si="4">P12*E12*F12+I12*F12*E12+J12*E12</f>
        <v>9.6737123842592608E-3</v>
      </c>
      <c r="O12" s="2005">
        <f t="shared" ref="O12" si="5">C12*(G12/25)</f>
        <v>5.3550347222222237E-4</v>
      </c>
      <c r="P12" s="2007">
        <f t="shared" ref="P12" si="6">O12*M12</f>
        <v>5.6227864583333347E-4</v>
      </c>
      <c r="Q12" s="2008">
        <v>190</v>
      </c>
      <c r="R12" s="2002">
        <f t="shared" ref="R12" si="7">E12*F12*G12</f>
        <v>750</v>
      </c>
      <c r="S12" s="2844">
        <f t="shared" ref="S12:S17" si="8">E12*F12*G12/1000</f>
        <v>0.75</v>
      </c>
      <c r="T12" s="2845">
        <f t="shared" ref="T12:T17" si="9">E12*F12*O12*4</f>
        <v>2.1420138888888895E-2</v>
      </c>
      <c r="U12" s="374">
        <f t="shared" ref="U12:U17" si="10">IF(C12*4&gt;=$U$8,S12,0)</f>
        <v>0</v>
      </c>
      <c r="V12" s="2846">
        <f t="shared" ref="V12:V17" si="11">IF(AND(C12*4&gt;=$V$8,C12*4&lt;$U$8),S12,0)</f>
        <v>0</v>
      </c>
      <c r="W12" s="2847">
        <f t="shared" ref="W12:W17" si="12">IF(AND(C12*4&gt;=$W$8,C12*4&lt;$V$8),S12,0)</f>
        <v>0</v>
      </c>
      <c r="X12" s="2848">
        <f t="shared" ref="X12:X17" si="13">IF(AND(C12*4&gt;=$X$8,C12*4&lt;$W$8),S12,0)</f>
        <v>0</v>
      </c>
      <c r="Y12" s="2849">
        <f t="shared" ref="Y12:Y17" si="14">IF(AND(C12*4&gt;=$Y$8,C12*4&lt;$X$8),S12,0)</f>
        <v>0.75</v>
      </c>
      <c r="Z12" s="2850">
        <f t="shared" ref="Z12:Z17" si="15">IF(AND(C12*4&gt;=$Z$8,C12*4&lt;$Y$8),S12,0)</f>
        <v>0</v>
      </c>
      <c r="AA12" s="2851">
        <f t="shared" ref="AA12:AA17" si="16">IF(AND(C12*4&gt;=$AA$8,C12*4&lt;$Z$8),S12,0)</f>
        <v>0</v>
      </c>
      <c r="AB12" s="2935"/>
      <c r="AC12" s="2867"/>
      <c r="AD12" s="2867"/>
      <c r="AE12" s="2867"/>
      <c r="AF12" s="2867"/>
      <c r="AG12" s="2867"/>
      <c r="AH12" s="2867"/>
      <c r="AI12" s="2935"/>
      <c r="AJ12" s="2935"/>
      <c r="AK12" s="2935"/>
      <c r="AL12" s="2935"/>
      <c r="AM12" s="2935"/>
      <c r="AN12" s="2935"/>
    </row>
    <row r="13" spans="1:40" s="63" customFormat="1" ht="14" customHeight="1" thickBot="1">
      <c r="A13" s="3109" t="s">
        <v>215</v>
      </c>
      <c r="B13" s="3110" t="s">
        <v>459</v>
      </c>
      <c r="C13" s="629">
        <f t="shared" si="3"/>
        <v>2.152777777777778E-4</v>
      </c>
      <c r="D13" s="3414">
        <v>2</v>
      </c>
      <c r="E13" s="2651">
        <v>1</v>
      </c>
      <c r="F13" s="3831">
        <v>10</v>
      </c>
      <c r="G13" s="3831">
        <v>50</v>
      </c>
      <c r="H13" s="2869">
        <v>5.7870370370370378E-4</v>
      </c>
      <c r="I13" s="3823" t="s">
        <v>1768</v>
      </c>
      <c r="J13" s="2869"/>
      <c r="K13" s="2870"/>
      <c r="L13" s="2869">
        <f>L12+N12</f>
        <v>0.42431074942129626</v>
      </c>
      <c r="M13" s="3679">
        <v>1.1499999999999999</v>
      </c>
      <c r="N13" s="3552">
        <f>H13*F13*E13</f>
        <v>5.7870370370370376E-3</v>
      </c>
      <c r="O13" s="3736">
        <f t="shared" si="2"/>
        <v>4.3055555555555561E-4</v>
      </c>
      <c r="P13" s="3737">
        <f t="shared" ref="P13:P15" si="17">O13*M13</f>
        <v>4.9513888888888893E-4</v>
      </c>
      <c r="Q13" s="3419">
        <v>140</v>
      </c>
      <c r="R13" s="3861">
        <f t="shared" ref="R13:R15" si="18">E13*F13*G13</f>
        <v>500</v>
      </c>
      <c r="S13" s="2844">
        <f t="shared" si="8"/>
        <v>0.5</v>
      </c>
      <c r="T13" s="2845">
        <f t="shared" si="9"/>
        <v>1.7222222222222226E-2</v>
      </c>
      <c r="U13" s="374">
        <f t="shared" si="10"/>
        <v>0</v>
      </c>
      <c r="V13" s="2846">
        <f t="shared" si="11"/>
        <v>0.5</v>
      </c>
      <c r="W13" s="2847">
        <f t="shared" si="12"/>
        <v>0</v>
      </c>
      <c r="X13" s="2848">
        <f t="shared" si="13"/>
        <v>0</v>
      </c>
      <c r="Y13" s="2849">
        <f t="shared" si="14"/>
        <v>0</v>
      </c>
      <c r="Z13" s="2850">
        <f t="shared" si="15"/>
        <v>0</v>
      </c>
      <c r="AA13" s="2851">
        <f t="shared" si="16"/>
        <v>0</v>
      </c>
      <c r="AB13" s="2935"/>
      <c r="AC13" s="2867"/>
      <c r="AD13" s="2867"/>
      <c r="AE13" s="2867"/>
      <c r="AF13" s="2867"/>
      <c r="AG13" s="2867"/>
      <c r="AH13" s="2867"/>
      <c r="AI13" s="2935"/>
      <c r="AJ13" s="2935"/>
      <c r="AK13" s="2935"/>
      <c r="AL13" s="2935"/>
      <c r="AM13" s="2935"/>
      <c r="AN13" s="2935"/>
    </row>
    <row r="14" spans="1:40" s="63" customFormat="1" ht="46" customHeight="1" thickBot="1">
      <c r="A14" s="3109" t="s">
        <v>139</v>
      </c>
      <c r="B14" s="3110" t="s">
        <v>459</v>
      </c>
      <c r="C14" s="629">
        <f t="shared" si="3"/>
        <v>1.7222222222222224E-4</v>
      </c>
      <c r="D14" s="3123">
        <v>7</v>
      </c>
      <c r="E14" s="3124">
        <v>2</v>
      </c>
      <c r="F14" s="3124">
        <v>10</v>
      </c>
      <c r="G14" s="3880">
        <v>22</v>
      </c>
      <c r="H14" s="3753" t="s">
        <v>1717</v>
      </c>
      <c r="I14" s="2377">
        <v>6.9444444444444447E-4</v>
      </c>
      <c r="J14" s="2377">
        <v>3.472222222222222E-3</v>
      </c>
      <c r="K14" s="3881" t="s">
        <v>1796</v>
      </c>
      <c r="L14" s="2515">
        <v>0.33333333333333331</v>
      </c>
      <c r="M14" s="3126">
        <v>1</v>
      </c>
      <c r="N14" s="2377">
        <f t="shared" ref="N14" si="19">P14*E14*F14+I14*E14*F14+J14*E14</f>
        <v>2.3864444444444445E-2</v>
      </c>
      <c r="O14" s="2271">
        <f t="shared" ref="O14" si="20">C14*(G14/25)</f>
        <v>1.5155555555555557E-4</v>
      </c>
      <c r="P14" s="2517">
        <f t="shared" si="17"/>
        <v>1.5155555555555557E-4</v>
      </c>
      <c r="Q14" s="3130" t="s">
        <v>316</v>
      </c>
      <c r="R14" s="3683">
        <f t="shared" si="18"/>
        <v>440</v>
      </c>
      <c r="S14" s="2844">
        <f t="shared" si="8"/>
        <v>0.44</v>
      </c>
      <c r="T14" s="2845">
        <f t="shared" si="9"/>
        <v>1.2124444444444446E-2</v>
      </c>
      <c r="U14" s="374">
        <f t="shared" si="10"/>
        <v>0</v>
      </c>
      <c r="V14" s="2846">
        <f t="shared" si="11"/>
        <v>0</v>
      </c>
      <c r="W14" s="2847">
        <f t="shared" si="12"/>
        <v>0</v>
      </c>
      <c r="X14" s="2848">
        <f t="shared" si="13"/>
        <v>0</v>
      </c>
      <c r="Y14" s="2849">
        <f t="shared" si="14"/>
        <v>0</v>
      </c>
      <c r="Z14" s="2850">
        <f t="shared" si="15"/>
        <v>0</v>
      </c>
      <c r="AA14" s="2851">
        <f t="shared" si="16"/>
        <v>0.44</v>
      </c>
      <c r="AB14" s="2935"/>
      <c r="AC14" s="2867"/>
      <c r="AD14" s="2867"/>
      <c r="AE14" s="2867"/>
      <c r="AF14" s="2867"/>
      <c r="AG14" s="2867"/>
      <c r="AH14" s="2867"/>
      <c r="AI14" s="2935"/>
      <c r="AJ14" s="2935"/>
      <c r="AK14" s="2935"/>
      <c r="AL14" s="2935"/>
      <c r="AM14" s="2935"/>
      <c r="AN14" s="2935"/>
    </row>
    <row r="15" spans="1:40" s="63" customFormat="1" ht="13" customHeight="1" thickBot="1">
      <c r="A15" s="3109" t="s">
        <v>460</v>
      </c>
      <c r="B15" s="3110" t="s">
        <v>459</v>
      </c>
      <c r="C15" s="629">
        <f t="shared" si="3"/>
        <v>1.9733796296296302E-4</v>
      </c>
      <c r="D15" s="2520">
        <v>3</v>
      </c>
      <c r="E15" s="3804">
        <v>1</v>
      </c>
      <c r="F15" s="3832">
        <v>1</v>
      </c>
      <c r="G15" s="3832">
        <v>100</v>
      </c>
      <c r="H15" s="3786">
        <v>1.2152777777777778E-3</v>
      </c>
      <c r="I15" s="3786"/>
      <c r="J15" s="3786"/>
      <c r="K15" s="3805" t="s">
        <v>1223</v>
      </c>
      <c r="L15" s="3786">
        <f t="shared" ref="L15" si="21">L14+N14</f>
        <v>0.35719777777777778</v>
      </c>
      <c r="M15" s="3806">
        <v>1.05</v>
      </c>
      <c r="N15" s="3792">
        <f>H15*F15*E15</f>
        <v>1.2152777777777778E-3</v>
      </c>
      <c r="O15" s="3698">
        <f t="shared" si="2"/>
        <v>7.8935185185185206E-4</v>
      </c>
      <c r="P15" s="3698">
        <f t="shared" si="17"/>
        <v>8.2881944444444474E-4</v>
      </c>
      <c r="Q15" s="3807">
        <v>164</v>
      </c>
      <c r="R15" s="3862">
        <f t="shared" si="18"/>
        <v>100</v>
      </c>
      <c r="S15" s="2844">
        <f t="shared" si="8"/>
        <v>0.1</v>
      </c>
      <c r="T15" s="2845">
        <f t="shared" si="9"/>
        <v>3.1574074074074083E-3</v>
      </c>
      <c r="U15" s="374">
        <f t="shared" si="10"/>
        <v>0</v>
      </c>
      <c r="V15" s="2846">
        <f t="shared" si="11"/>
        <v>0</v>
      </c>
      <c r="W15" s="2847">
        <f t="shared" si="12"/>
        <v>0.1</v>
      </c>
      <c r="X15" s="2848">
        <f t="shared" si="13"/>
        <v>0</v>
      </c>
      <c r="Y15" s="2849">
        <f t="shared" si="14"/>
        <v>0</v>
      </c>
      <c r="Z15" s="2850">
        <f t="shared" si="15"/>
        <v>0</v>
      </c>
      <c r="AA15" s="2851">
        <f t="shared" si="16"/>
        <v>0</v>
      </c>
      <c r="AB15" s="2935"/>
      <c r="AC15" s="2867"/>
      <c r="AD15" s="2867"/>
      <c r="AE15" s="2867"/>
      <c r="AF15" s="2867"/>
      <c r="AG15" s="2867"/>
      <c r="AH15" s="2867"/>
      <c r="AI15" s="2935"/>
      <c r="AJ15" s="2935"/>
      <c r="AK15" s="2935"/>
      <c r="AL15" s="2935"/>
      <c r="AM15" s="2935"/>
      <c r="AN15" s="2935"/>
    </row>
    <row r="16" spans="1:40" ht="14" customHeight="1" thickBot="1">
      <c r="A16" s="3109" t="s">
        <v>1763</v>
      </c>
      <c r="B16" s="3110" t="s">
        <v>459</v>
      </c>
      <c r="C16" s="629">
        <f t="shared" si="3"/>
        <v>2.3321759259259265E-4</v>
      </c>
      <c r="D16" s="2335">
        <v>1</v>
      </c>
      <c r="E16" s="3103"/>
      <c r="F16" s="3838"/>
      <c r="G16" s="3828"/>
      <c r="H16" s="3106"/>
      <c r="I16" s="3106"/>
      <c r="J16" s="3105"/>
      <c r="K16" s="3882" t="s">
        <v>1797</v>
      </c>
      <c r="L16" s="2337">
        <f>L15+N15</f>
        <v>0.35841305555555558</v>
      </c>
      <c r="M16" s="3107"/>
      <c r="N16" s="3883">
        <v>1.0416666666666666E-2</v>
      </c>
      <c r="O16" s="3103"/>
      <c r="P16" s="3103"/>
      <c r="Q16" s="3103"/>
      <c r="R16" s="3108"/>
      <c r="S16" s="2844">
        <f t="shared" si="8"/>
        <v>0</v>
      </c>
      <c r="T16" s="2845">
        <f t="shared" si="9"/>
        <v>0</v>
      </c>
      <c r="U16" s="374">
        <f t="shared" si="10"/>
        <v>0</v>
      </c>
      <c r="V16" s="2846">
        <f t="shared" si="11"/>
        <v>0</v>
      </c>
      <c r="W16" s="2847">
        <f t="shared" si="12"/>
        <v>0</v>
      </c>
      <c r="X16" s="2848">
        <f t="shared" si="13"/>
        <v>0</v>
      </c>
      <c r="Y16" s="2849">
        <f t="shared" si="14"/>
        <v>0</v>
      </c>
      <c r="Z16" s="2850">
        <f t="shared" si="15"/>
        <v>0</v>
      </c>
      <c r="AA16" s="2851">
        <f t="shared" si="16"/>
        <v>0</v>
      </c>
      <c r="AB16" s="2935"/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</row>
    <row r="17" spans="1:40" ht="15" customHeight="1" thickBot="1">
      <c r="A17" s="3109" t="s">
        <v>674</v>
      </c>
      <c r="B17" s="3110" t="s">
        <v>459</v>
      </c>
      <c r="C17" s="629">
        <f t="shared" si="3"/>
        <v>2.3321759259259265E-4</v>
      </c>
      <c r="D17" s="3406">
        <v>1</v>
      </c>
      <c r="E17" s="3407">
        <v>1</v>
      </c>
      <c r="F17" s="3830">
        <v>1</v>
      </c>
      <c r="G17" s="3830">
        <v>300</v>
      </c>
      <c r="H17" s="2654"/>
      <c r="I17" s="2654">
        <v>0</v>
      </c>
      <c r="J17" s="2654">
        <v>1.1574074074074073E-4</v>
      </c>
      <c r="K17" s="3860" t="s">
        <v>1772</v>
      </c>
      <c r="L17" s="3867">
        <f t="shared" ref="L17" si="22">L16+N16</f>
        <v>0.36882972222222227</v>
      </c>
      <c r="M17" s="3868">
        <v>1</v>
      </c>
      <c r="N17" s="3869">
        <f>P17*E17*F17+I17*E17*F17+J17*E17</f>
        <v>2.9143518518518524E-3</v>
      </c>
      <c r="O17" s="2526">
        <f t="shared" ref="O17:O20" si="23">C17*G17/25</f>
        <v>2.7986111111111115E-3</v>
      </c>
      <c r="P17" s="3698">
        <f>O17*M17</f>
        <v>2.7986111111111115E-3</v>
      </c>
      <c r="Q17" s="3854">
        <v>120</v>
      </c>
      <c r="R17" s="3855">
        <f>E17*F17*G17</f>
        <v>300</v>
      </c>
      <c r="S17" s="2844">
        <f t="shared" si="8"/>
        <v>0.3</v>
      </c>
      <c r="T17" s="2845">
        <f t="shared" si="9"/>
        <v>1.1194444444444446E-2</v>
      </c>
      <c r="U17" s="374">
        <f t="shared" si="10"/>
        <v>0.3</v>
      </c>
      <c r="V17" s="2846">
        <f t="shared" si="11"/>
        <v>0</v>
      </c>
      <c r="W17" s="2847">
        <f t="shared" si="12"/>
        <v>0</v>
      </c>
      <c r="X17" s="2848">
        <f t="shared" si="13"/>
        <v>0</v>
      </c>
      <c r="Y17" s="2849">
        <f t="shared" si="14"/>
        <v>0</v>
      </c>
      <c r="Z17" s="2850">
        <f t="shared" si="15"/>
        <v>0</v>
      </c>
      <c r="AA17" s="2851">
        <f t="shared" si="16"/>
        <v>0</v>
      </c>
      <c r="AB17" s="2935"/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</row>
    <row r="18" spans="1:40" ht="14" customHeight="1" thickBot="1">
      <c r="A18" s="3688"/>
      <c r="B18" s="3110" t="s">
        <v>459</v>
      </c>
      <c r="C18" s="629">
        <f t="shared" si="3"/>
        <v>1.7222222222222224E-4</v>
      </c>
      <c r="D18" s="920">
        <v>7</v>
      </c>
      <c r="E18" s="441">
        <v>2</v>
      </c>
      <c r="F18" s="492">
        <v>4</v>
      </c>
      <c r="G18" s="492">
        <v>25</v>
      </c>
      <c r="H18" s="1321"/>
      <c r="I18" s="491">
        <v>2.8935185185185189E-4</v>
      </c>
      <c r="J18" s="436">
        <v>1.3888888888888889E-3</v>
      </c>
      <c r="K18" s="442" t="s">
        <v>939</v>
      </c>
      <c r="L18" s="1322">
        <f>L17+N17</f>
        <v>0.37174407407407412</v>
      </c>
      <c r="M18" s="1323">
        <v>1</v>
      </c>
      <c r="N18" s="1322">
        <f t="shared" ref="N18" si="24">P18*E18*F18+I18*F18*E18+J18*E18</f>
        <v>6.4703703703703711E-3</v>
      </c>
      <c r="O18" s="1659">
        <f t="shared" ref="O18" si="25">C18*(G18/25)</f>
        <v>1.7222222222222224E-4</v>
      </c>
      <c r="P18" s="1322">
        <f>O18*M18</f>
        <v>1.7222222222222224E-4</v>
      </c>
      <c r="Q18" s="1493"/>
      <c r="R18" s="1661">
        <f>E18*F18*G18</f>
        <v>200</v>
      </c>
      <c r="S18" s="2844">
        <f t="shared" ref="S18:S46" si="26">E18*F18*G18/1000</f>
        <v>0.2</v>
      </c>
      <c r="T18" s="2845">
        <f t="shared" ref="T18:T46" si="27">E18*F18*O18*4</f>
        <v>5.5111111111111116E-3</v>
      </c>
      <c r="U18" s="374">
        <f t="shared" ref="U18:U46" si="28">IF(C18*4&gt;=$U$8,S18,0)</f>
        <v>0</v>
      </c>
      <c r="V18" s="2846">
        <f t="shared" ref="V18:V46" si="29">IF(AND(C18*4&gt;=$V$8,C18*4&lt;$U$8),S18,0)</f>
        <v>0</v>
      </c>
      <c r="W18" s="2847">
        <f t="shared" ref="W18:W46" si="30">IF(AND(C18*4&gt;=$W$8,C18*4&lt;$V$8),S18,0)</f>
        <v>0</v>
      </c>
      <c r="X18" s="2848">
        <f t="shared" ref="X18:X46" si="31">IF(AND(C18*4&gt;=$X$8,C18*4&lt;$W$8),S18,0)</f>
        <v>0</v>
      </c>
      <c r="Y18" s="2849">
        <f t="shared" ref="Y18:Y46" si="32">IF(AND(C18*4&gt;=$Y$8,C18*4&lt;$X$8),S18,0)</f>
        <v>0</v>
      </c>
      <c r="Z18" s="2850">
        <f t="shared" ref="Z18:Z46" si="33">IF(AND(C18*4&gt;=$Z$8,C18*4&lt;$Y$8),S18,0)</f>
        <v>0</v>
      </c>
      <c r="AA18" s="2851">
        <f t="shared" ref="AA18:AA46" si="34">IF(AND(C18*4&gt;=$AA$8,C18*4&lt;$Z$8),S18,0)</f>
        <v>0.2</v>
      </c>
      <c r="AB18" s="2935"/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1"/>
    </row>
    <row r="19" spans="1:40" ht="14" customHeight="1" thickBot="1">
      <c r="A19" s="3688"/>
      <c r="B19" s="3110" t="s">
        <v>459</v>
      </c>
      <c r="C19" s="629">
        <f t="shared" si="3"/>
        <v>1.7222222222222224E-4</v>
      </c>
      <c r="D19" s="3856">
        <v>7</v>
      </c>
      <c r="E19" s="3857">
        <v>1</v>
      </c>
      <c r="F19" s="3858">
        <v>1</v>
      </c>
      <c r="G19" s="3858">
        <v>400</v>
      </c>
      <c r="H19" s="3859"/>
      <c r="I19" s="2869">
        <v>4.6296296296296293E-4</v>
      </c>
      <c r="J19" s="2869">
        <v>1.3888888888888889E-3</v>
      </c>
      <c r="K19" s="3850" t="s">
        <v>1771</v>
      </c>
      <c r="L19" s="3851">
        <f t="shared" ref="L19" si="35">L18+N18</f>
        <v>0.37821444444444446</v>
      </c>
      <c r="M19" s="3852">
        <v>1.1499999999999999</v>
      </c>
      <c r="N19" s="3853">
        <f>P19*E19*F19+I19*E19*F19+J19*E19</f>
        <v>5.0207407407407405E-3</v>
      </c>
      <c r="O19" s="2526">
        <f t="shared" ref="O19" si="36">C19*G19/25</f>
        <v>2.7555555555555554E-3</v>
      </c>
      <c r="P19" s="3698">
        <f>O19*M19</f>
        <v>3.1688888888888886E-3</v>
      </c>
      <c r="Q19" s="3854">
        <v>120</v>
      </c>
      <c r="R19" s="3855">
        <f>E19*F19*G19</f>
        <v>400</v>
      </c>
      <c r="S19" s="2844">
        <f t="shared" si="26"/>
        <v>0.4</v>
      </c>
      <c r="T19" s="2845">
        <f t="shared" si="27"/>
        <v>1.1022222222222221E-2</v>
      </c>
      <c r="U19" s="374">
        <f t="shared" si="28"/>
        <v>0</v>
      </c>
      <c r="V19" s="2846">
        <f t="shared" si="29"/>
        <v>0</v>
      </c>
      <c r="W19" s="2847">
        <f t="shared" si="30"/>
        <v>0</v>
      </c>
      <c r="X19" s="2848">
        <f t="shared" si="31"/>
        <v>0</v>
      </c>
      <c r="Y19" s="2849">
        <f t="shared" si="32"/>
        <v>0</v>
      </c>
      <c r="Z19" s="2850">
        <f t="shared" si="33"/>
        <v>0</v>
      </c>
      <c r="AA19" s="2851">
        <f t="shared" si="34"/>
        <v>0.4</v>
      </c>
      <c r="AB19" s="2935"/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1"/>
    </row>
    <row r="20" spans="1:40" ht="14" customHeight="1" thickBot="1">
      <c r="A20" s="3688"/>
      <c r="B20" s="3110" t="s">
        <v>459</v>
      </c>
      <c r="C20" s="629">
        <f t="shared" si="3"/>
        <v>0</v>
      </c>
      <c r="D20" s="3809"/>
      <c r="E20" s="3454"/>
      <c r="F20" s="3454"/>
      <c r="G20" s="3454"/>
      <c r="H20" s="3454"/>
      <c r="I20" s="3454"/>
      <c r="J20" s="3454"/>
      <c r="K20" s="3454"/>
      <c r="L20" s="2528">
        <f>L19+N19</f>
        <v>0.38323518518518518</v>
      </c>
      <c r="M20" s="448"/>
      <c r="N20" s="2423">
        <f>SUM(N10:N19)</f>
        <v>8.4166304976851861E-2</v>
      </c>
      <c r="O20" s="2526">
        <f t="shared" si="23"/>
        <v>0</v>
      </c>
      <c r="P20" s="336"/>
      <c r="Q20" s="336"/>
      <c r="R20" s="3863">
        <f>SUM(R11:R19)</f>
        <v>3090</v>
      </c>
      <c r="S20" s="2844">
        <f t="shared" si="26"/>
        <v>0</v>
      </c>
      <c r="T20" s="2845">
        <f t="shared" si="27"/>
        <v>0</v>
      </c>
      <c r="U20" s="374">
        <f t="shared" si="28"/>
        <v>0</v>
      </c>
      <c r="V20" s="2846">
        <f t="shared" si="29"/>
        <v>0</v>
      </c>
      <c r="W20" s="2847">
        <f t="shared" si="30"/>
        <v>0</v>
      </c>
      <c r="X20" s="2848">
        <f t="shared" si="31"/>
        <v>0</v>
      </c>
      <c r="Y20" s="2849">
        <f t="shared" si="32"/>
        <v>0</v>
      </c>
      <c r="Z20" s="2850">
        <f t="shared" si="33"/>
        <v>0</v>
      </c>
      <c r="AA20" s="2851">
        <f t="shared" si="34"/>
        <v>0</v>
      </c>
      <c r="AB20" s="2935"/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1"/>
    </row>
    <row r="21" spans="1:40" ht="14" customHeight="1" thickBot="1">
      <c r="A21" s="3794"/>
      <c r="B21" s="3795"/>
      <c r="C21" s="629">
        <f t="shared" si="3"/>
        <v>0</v>
      </c>
      <c r="D21" s="3797"/>
      <c r="E21" s="3798"/>
      <c r="F21" s="3839"/>
      <c r="G21" s="3829"/>
      <c r="H21" s="3800"/>
      <c r="I21" s="3800"/>
      <c r="J21" s="3799"/>
      <c r="K21" s="3801" t="s">
        <v>1762</v>
      </c>
      <c r="L21" s="631">
        <v>0.39583333333333331</v>
      </c>
      <c r="M21" s="3802"/>
      <c r="N21" s="1882">
        <v>1.4583333333333332E-2</v>
      </c>
      <c r="O21" s="3798"/>
      <c r="P21" s="3798"/>
      <c r="Q21" s="3798"/>
      <c r="R21" s="3803"/>
      <c r="S21" s="2844">
        <f t="shared" si="26"/>
        <v>0</v>
      </c>
      <c r="T21" s="2845">
        <f t="shared" si="27"/>
        <v>0</v>
      </c>
      <c r="U21" s="374">
        <f t="shared" si="28"/>
        <v>0</v>
      </c>
      <c r="V21" s="2846">
        <f t="shared" si="29"/>
        <v>0</v>
      </c>
      <c r="W21" s="2847">
        <f t="shared" si="30"/>
        <v>0</v>
      </c>
      <c r="X21" s="2848">
        <f t="shared" si="31"/>
        <v>0</v>
      </c>
      <c r="Y21" s="2849">
        <f t="shared" si="32"/>
        <v>0</v>
      </c>
      <c r="Z21" s="2850">
        <f t="shared" si="33"/>
        <v>0</v>
      </c>
      <c r="AA21" s="2851">
        <f t="shared" si="34"/>
        <v>0</v>
      </c>
      <c r="AB21" s="2935"/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1"/>
    </row>
    <row r="22" spans="1:40" ht="14" customHeight="1" thickBot="1">
      <c r="A22" s="2183"/>
      <c r="B22" s="3030" t="s">
        <v>215</v>
      </c>
      <c r="C22" s="629">
        <f t="shared" si="3"/>
        <v>2.152777777777778E-4</v>
      </c>
      <c r="D22" s="2065">
        <v>2</v>
      </c>
      <c r="E22" s="2066">
        <v>1</v>
      </c>
      <c r="F22" s="2066">
        <v>8</v>
      </c>
      <c r="G22" s="2066">
        <v>50</v>
      </c>
      <c r="H22" s="2067" t="s">
        <v>139</v>
      </c>
      <c r="I22" s="1963">
        <v>1.3888888888888889E-4</v>
      </c>
      <c r="J22" s="1963">
        <v>1.3888888888888889E-3</v>
      </c>
      <c r="K22" s="2061" t="s">
        <v>1126</v>
      </c>
      <c r="L22" s="1332">
        <f t="shared" ref="L22:L38" si="37">L21+N21</f>
        <v>0.41041666666666665</v>
      </c>
      <c r="M22" s="1174">
        <v>1.1000000000000001</v>
      </c>
      <c r="N22" s="299">
        <f t="shared" ref="N22:N38" si="38">P22*E22*F22+I22*E22*F22+J22*E22</f>
        <v>6.2888888888888899E-3</v>
      </c>
      <c r="O22" s="1175">
        <f t="shared" ref="O22:O38" si="39">C22*G22/25</f>
        <v>4.3055555555555561E-4</v>
      </c>
      <c r="P22" s="1175">
        <f t="shared" ref="P22:P38" si="40">O22*M22</f>
        <v>4.7361111111111123E-4</v>
      </c>
      <c r="Q22" s="550">
        <v>120</v>
      </c>
      <c r="R22" s="1176">
        <f t="shared" ref="R22:R38" si="41">E22*F22*G22</f>
        <v>400</v>
      </c>
      <c r="S22" s="2844">
        <f t="shared" si="26"/>
        <v>0.4</v>
      </c>
      <c r="T22" s="2845">
        <f t="shared" si="27"/>
        <v>1.3777777777777779E-2</v>
      </c>
      <c r="U22" s="374">
        <f t="shared" si="28"/>
        <v>0</v>
      </c>
      <c r="V22" s="2846">
        <f t="shared" si="29"/>
        <v>0.4</v>
      </c>
      <c r="W22" s="2847">
        <f t="shared" si="30"/>
        <v>0</v>
      </c>
      <c r="X22" s="2848">
        <f t="shared" si="31"/>
        <v>0</v>
      </c>
      <c r="Y22" s="2849">
        <f t="shared" si="32"/>
        <v>0</v>
      </c>
      <c r="Z22" s="2850">
        <f t="shared" si="33"/>
        <v>0</v>
      </c>
      <c r="AA22" s="2851">
        <f t="shared" si="34"/>
        <v>0</v>
      </c>
      <c r="AB22" s="2935"/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1"/>
    </row>
    <row r="23" spans="1:40" ht="14" customHeight="1" thickBot="1">
      <c r="A23" s="2183" t="s">
        <v>214</v>
      </c>
      <c r="B23" s="3030" t="s">
        <v>215</v>
      </c>
      <c r="C23" s="629">
        <f t="shared" si="3"/>
        <v>1.7939814814814817E-4</v>
      </c>
      <c r="D23" s="1197">
        <v>4</v>
      </c>
      <c r="E23" s="1177">
        <v>1</v>
      </c>
      <c r="F23" s="1177">
        <v>7</v>
      </c>
      <c r="G23" s="1177">
        <v>50</v>
      </c>
      <c r="H23" s="1455" t="s">
        <v>710</v>
      </c>
      <c r="I23" s="1178">
        <v>6.018518518518519E-4</v>
      </c>
      <c r="J23" s="1178">
        <v>1.3888888888888889E-3</v>
      </c>
      <c r="K23" s="676" t="s">
        <v>941</v>
      </c>
      <c r="L23" s="1178">
        <f t="shared" si="37"/>
        <v>0.41670555555555555</v>
      </c>
      <c r="M23" s="1180">
        <v>1.1000000000000001</v>
      </c>
      <c r="N23" s="1178">
        <f t="shared" si="38"/>
        <v>8.364583333333335E-3</v>
      </c>
      <c r="O23" s="1196">
        <f t="shared" si="39"/>
        <v>3.5879629629629635E-4</v>
      </c>
      <c r="P23" s="1181">
        <f t="shared" si="40"/>
        <v>3.9467592592592603E-4</v>
      </c>
      <c r="Q23" s="334">
        <v>120</v>
      </c>
      <c r="R23" s="1177">
        <f t="shared" si="41"/>
        <v>350</v>
      </c>
      <c r="S23" s="2844">
        <f t="shared" si="26"/>
        <v>0.35</v>
      </c>
      <c r="T23" s="2845">
        <f t="shared" si="27"/>
        <v>1.0046296296296298E-2</v>
      </c>
      <c r="U23" s="374">
        <f t="shared" si="28"/>
        <v>0</v>
      </c>
      <c r="V23" s="2846">
        <f t="shared" si="29"/>
        <v>0</v>
      </c>
      <c r="W23" s="2847">
        <f t="shared" si="30"/>
        <v>0</v>
      </c>
      <c r="X23" s="2848">
        <f t="shared" si="31"/>
        <v>0.35</v>
      </c>
      <c r="Y23" s="2849">
        <f t="shared" si="32"/>
        <v>0</v>
      </c>
      <c r="Z23" s="2850">
        <f t="shared" si="33"/>
        <v>0</v>
      </c>
      <c r="AA23" s="2851">
        <f t="shared" si="34"/>
        <v>0</v>
      </c>
      <c r="AB23" s="2935"/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1"/>
    </row>
    <row r="24" spans="1:40" ht="14" customHeight="1" thickBot="1">
      <c r="A24" s="2183" t="s">
        <v>459</v>
      </c>
      <c r="B24" s="3030" t="s">
        <v>215</v>
      </c>
      <c r="C24" s="629">
        <f t="shared" si="3"/>
        <v>2.152777777777778E-4</v>
      </c>
      <c r="D24" s="889">
        <v>2</v>
      </c>
      <c r="E24" s="1173">
        <v>1</v>
      </c>
      <c r="F24" s="1173">
        <v>1</v>
      </c>
      <c r="G24" s="1173">
        <v>500</v>
      </c>
      <c r="H24" s="1453" t="s">
        <v>713</v>
      </c>
      <c r="I24" s="299">
        <v>1.1574074074074073E-4</v>
      </c>
      <c r="J24" s="299">
        <v>6.9444444444444447E-4</v>
      </c>
      <c r="K24" s="1123" t="s">
        <v>942</v>
      </c>
      <c r="L24" s="299">
        <f t="shared" si="37"/>
        <v>0.42507013888888889</v>
      </c>
      <c r="M24" s="1174">
        <v>1.1000000000000001</v>
      </c>
      <c r="N24" s="299">
        <f t="shared" si="38"/>
        <v>5.5462962962962966E-3</v>
      </c>
      <c r="O24" s="1196">
        <f t="shared" si="39"/>
        <v>4.3055555555555555E-3</v>
      </c>
      <c r="P24" s="1175">
        <f t="shared" si="40"/>
        <v>4.7361111111111111E-3</v>
      </c>
      <c r="Q24" s="550">
        <v>120</v>
      </c>
      <c r="R24" s="1176">
        <f t="shared" si="41"/>
        <v>500</v>
      </c>
      <c r="S24" s="2844">
        <f t="shared" si="26"/>
        <v>0.5</v>
      </c>
      <c r="T24" s="2845">
        <f t="shared" si="27"/>
        <v>1.7222222222222222E-2</v>
      </c>
      <c r="U24" s="374">
        <f t="shared" si="28"/>
        <v>0</v>
      </c>
      <c r="V24" s="2846">
        <f t="shared" si="29"/>
        <v>0.5</v>
      </c>
      <c r="W24" s="2847">
        <f t="shared" si="30"/>
        <v>0</v>
      </c>
      <c r="X24" s="2848">
        <f t="shared" si="31"/>
        <v>0</v>
      </c>
      <c r="Y24" s="2849">
        <f t="shared" si="32"/>
        <v>0</v>
      </c>
      <c r="Z24" s="2850">
        <f t="shared" si="33"/>
        <v>0</v>
      </c>
      <c r="AA24" s="2851">
        <f t="shared" si="34"/>
        <v>0</v>
      </c>
      <c r="AB24" s="2935"/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4" customHeight="1" thickBot="1">
      <c r="A25" s="2183" t="s">
        <v>460</v>
      </c>
      <c r="B25" s="3030" t="s">
        <v>215</v>
      </c>
      <c r="C25" s="629">
        <f t="shared" si="3"/>
        <v>1.7850115740740744E-4</v>
      </c>
      <c r="D25" s="2677">
        <v>5</v>
      </c>
      <c r="E25" s="1145">
        <v>1</v>
      </c>
      <c r="F25" s="1145">
        <v>1</v>
      </c>
      <c r="G25" s="1145">
        <v>325</v>
      </c>
      <c r="H25" s="3884" t="s">
        <v>20</v>
      </c>
      <c r="I25" s="366">
        <v>4.5138888888888893E-3</v>
      </c>
      <c r="J25" s="366">
        <v>1.3888888888888889E-3</v>
      </c>
      <c r="K25" s="2678" t="s">
        <v>1420</v>
      </c>
      <c r="L25" s="1657">
        <f t="shared" si="37"/>
        <v>0.43061643518518516</v>
      </c>
      <c r="M25" s="1625">
        <v>1.1000000000000001</v>
      </c>
      <c r="N25" s="1657">
        <f t="shared" si="38"/>
        <v>8.4553443287037049E-3</v>
      </c>
      <c r="O25" s="1658">
        <f t="shared" si="39"/>
        <v>2.3205150462962966E-3</v>
      </c>
      <c r="P25" s="1657">
        <f t="shared" si="40"/>
        <v>2.5525665509259264E-3</v>
      </c>
      <c r="Q25" s="1146">
        <v>120</v>
      </c>
      <c r="R25" s="1145">
        <f t="shared" si="41"/>
        <v>325</v>
      </c>
      <c r="S25" s="2844">
        <f t="shared" si="26"/>
        <v>0.32500000000000001</v>
      </c>
      <c r="T25" s="2845">
        <f t="shared" si="27"/>
        <v>9.2820601851851866E-3</v>
      </c>
      <c r="U25" s="374">
        <f t="shared" si="28"/>
        <v>0</v>
      </c>
      <c r="V25" s="2846">
        <f t="shared" si="29"/>
        <v>0</v>
      </c>
      <c r="W25" s="2847">
        <f t="shared" si="30"/>
        <v>0</v>
      </c>
      <c r="X25" s="2848">
        <f t="shared" si="31"/>
        <v>0</v>
      </c>
      <c r="Y25" s="2849">
        <f t="shared" si="32"/>
        <v>0.32500000000000001</v>
      </c>
      <c r="Z25" s="2850">
        <f t="shared" si="33"/>
        <v>0</v>
      </c>
      <c r="AA25" s="2851">
        <f t="shared" si="34"/>
        <v>0</v>
      </c>
      <c r="AB25" s="2935"/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4" customHeight="1" thickBot="1">
      <c r="A26" s="2183" t="s">
        <v>458</v>
      </c>
      <c r="B26" s="3030" t="s">
        <v>215</v>
      </c>
      <c r="C26" s="629">
        <f t="shared" si="3"/>
        <v>2.152777777777778E-4</v>
      </c>
      <c r="D26" s="889">
        <v>2</v>
      </c>
      <c r="E26" s="1173">
        <v>1</v>
      </c>
      <c r="F26" s="1173">
        <v>1</v>
      </c>
      <c r="G26" s="1173">
        <v>500</v>
      </c>
      <c r="H26" s="1453" t="s">
        <v>218</v>
      </c>
      <c r="I26" s="299">
        <v>1.1574074074074073E-4</v>
      </c>
      <c r="J26" s="299">
        <v>6.9444444444444447E-4</v>
      </c>
      <c r="K26" s="1123" t="s">
        <v>942</v>
      </c>
      <c r="L26" s="299">
        <f t="shared" si="37"/>
        <v>0.43907177951388887</v>
      </c>
      <c r="M26" s="1174">
        <v>1.1000000000000001</v>
      </c>
      <c r="N26" s="299">
        <f t="shared" si="38"/>
        <v>5.5462962962962966E-3</v>
      </c>
      <c r="O26" s="1196">
        <f t="shared" si="39"/>
        <v>4.3055555555555555E-3</v>
      </c>
      <c r="P26" s="1175">
        <f t="shared" si="40"/>
        <v>4.7361111111111111E-3</v>
      </c>
      <c r="Q26" s="550">
        <v>120</v>
      </c>
      <c r="R26" s="1176">
        <f t="shared" si="41"/>
        <v>500</v>
      </c>
      <c r="S26" s="2844">
        <f t="shared" si="26"/>
        <v>0.5</v>
      </c>
      <c r="T26" s="2845">
        <f t="shared" si="27"/>
        <v>1.7222222222222222E-2</v>
      </c>
      <c r="U26" s="374">
        <f t="shared" si="28"/>
        <v>0</v>
      </c>
      <c r="V26" s="2846">
        <f t="shared" si="29"/>
        <v>0.5</v>
      </c>
      <c r="W26" s="2847">
        <f t="shared" si="30"/>
        <v>0</v>
      </c>
      <c r="X26" s="2848">
        <f t="shared" si="31"/>
        <v>0</v>
      </c>
      <c r="Y26" s="2849">
        <f t="shared" si="32"/>
        <v>0</v>
      </c>
      <c r="Z26" s="2850">
        <f t="shared" si="33"/>
        <v>0</v>
      </c>
      <c r="AA26" s="2851">
        <f t="shared" si="34"/>
        <v>0</v>
      </c>
      <c r="AB26" s="2935"/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4" customHeight="1" thickBot="1">
      <c r="A27" s="2183" t="s">
        <v>219</v>
      </c>
      <c r="B27" s="3030" t="s">
        <v>215</v>
      </c>
      <c r="C27" s="629">
        <f t="shared" si="3"/>
        <v>1.7850115740740744E-4</v>
      </c>
      <c r="D27" s="1248">
        <v>5</v>
      </c>
      <c r="E27" s="1249">
        <v>6</v>
      </c>
      <c r="F27" s="1249">
        <v>1</v>
      </c>
      <c r="G27" s="1249">
        <v>50</v>
      </c>
      <c r="H27" s="1456" t="s">
        <v>944</v>
      </c>
      <c r="I27" s="1250">
        <v>5.7870370370370366E-5</v>
      </c>
      <c r="J27" s="1250">
        <v>1.3888888888888889E-3</v>
      </c>
      <c r="K27" s="3886" t="s">
        <v>945</v>
      </c>
      <c r="L27" s="3889">
        <f t="shared" si="37"/>
        <v>0.44461807581018514</v>
      </c>
      <c r="M27" s="1256">
        <v>1.1000000000000001</v>
      </c>
      <c r="N27" s="1250">
        <f t="shared" si="38"/>
        <v>1.1036770833333334E-2</v>
      </c>
      <c r="O27" s="1253">
        <f t="shared" si="39"/>
        <v>3.5700231481481488E-4</v>
      </c>
      <c r="P27" s="1254">
        <f t="shared" si="40"/>
        <v>3.9270254629629638E-4</v>
      </c>
      <c r="Q27" s="1255">
        <v>120</v>
      </c>
      <c r="R27" s="1249">
        <f t="shared" si="41"/>
        <v>300</v>
      </c>
      <c r="S27" s="2844">
        <f t="shared" si="26"/>
        <v>0.3</v>
      </c>
      <c r="T27" s="2845">
        <f t="shared" si="27"/>
        <v>8.5680555555555579E-3</v>
      </c>
      <c r="U27" s="374">
        <f t="shared" si="28"/>
        <v>0</v>
      </c>
      <c r="V27" s="2846">
        <f t="shared" si="29"/>
        <v>0</v>
      </c>
      <c r="W27" s="2847">
        <f t="shared" si="30"/>
        <v>0</v>
      </c>
      <c r="X27" s="2848">
        <f t="shared" si="31"/>
        <v>0</v>
      </c>
      <c r="Y27" s="2849">
        <f t="shared" si="32"/>
        <v>0.3</v>
      </c>
      <c r="Z27" s="2850">
        <f t="shared" si="33"/>
        <v>0</v>
      </c>
      <c r="AA27" s="2851">
        <f t="shared" si="34"/>
        <v>0</v>
      </c>
      <c r="AB27" s="2935"/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4" customHeight="1" thickBot="1">
      <c r="A28" s="2183"/>
      <c r="B28" s="3030" t="s">
        <v>215</v>
      </c>
      <c r="C28" s="629">
        <f t="shared" si="3"/>
        <v>0</v>
      </c>
      <c r="D28" s="1259"/>
      <c r="E28" s="336"/>
      <c r="F28" s="336"/>
      <c r="G28" s="336"/>
      <c r="H28" s="336"/>
      <c r="I28" s="336"/>
      <c r="J28" s="336"/>
      <c r="K28" s="8019" t="s">
        <v>1802</v>
      </c>
      <c r="L28" s="2717">
        <f t="shared" si="37"/>
        <v>0.45565484664351846</v>
      </c>
      <c r="M28" s="1198">
        <v>1.1000000000000001</v>
      </c>
      <c r="N28" s="1008"/>
      <c r="O28" s="336">
        <f t="shared" si="39"/>
        <v>0</v>
      </c>
      <c r="P28" s="8021" t="s">
        <v>1803</v>
      </c>
      <c r="Q28" s="8021"/>
      <c r="R28" s="1238">
        <f>SUM(R22:R27)</f>
        <v>2375</v>
      </c>
      <c r="S28" s="2844">
        <f t="shared" si="26"/>
        <v>0</v>
      </c>
      <c r="T28" s="2845">
        <f t="shared" si="27"/>
        <v>0</v>
      </c>
      <c r="U28" s="374">
        <f t="shared" si="28"/>
        <v>0</v>
      </c>
      <c r="V28" s="2846">
        <f t="shared" si="29"/>
        <v>0</v>
      </c>
      <c r="W28" s="2847">
        <f t="shared" si="30"/>
        <v>0</v>
      </c>
      <c r="X28" s="2848">
        <f t="shared" si="31"/>
        <v>0</v>
      </c>
      <c r="Y28" s="2849">
        <f t="shared" si="32"/>
        <v>0</v>
      </c>
      <c r="Z28" s="2850">
        <f t="shared" si="33"/>
        <v>0</v>
      </c>
      <c r="AA28" s="2851">
        <f t="shared" si="34"/>
        <v>0</v>
      </c>
      <c r="AB28" s="2935"/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4" customHeight="1" thickBot="1">
      <c r="A29" s="2183"/>
      <c r="B29" s="3030"/>
      <c r="C29" s="629">
        <f t="shared" si="3"/>
        <v>0</v>
      </c>
      <c r="D29" s="3809"/>
      <c r="E29" s="3454"/>
      <c r="F29" s="3454"/>
      <c r="G29" s="3454"/>
      <c r="H29" s="3454"/>
      <c r="I29" s="3454"/>
      <c r="J29" s="3454"/>
      <c r="K29" s="8020"/>
      <c r="L29" s="1439"/>
      <c r="M29" s="448"/>
      <c r="N29" s="2423"/>
      <c r="O29" s="3885">
        <f t="shared" si="39"/>
        <v>0</v>
      </c>
      <c r="P29" s="8022"/>
      <c r="Q29" s="8022"/>
      <c r="R29" s="3863"/>
      <c r="S29" s="2844">
        <f t="shared" si="26"/>
        <v>0</v>
      </c>
      <c r="T29" s="2845">
        <f t="shared" si="27"/>
        <v>0</v>
      </c>
      <c r="U29" s="374">
        <f t="shared" si="28"/>
        <v>0</v>
      </c>
      <c r="V29" s="2846">
        <f t="shared" si="29"/>
        <v>0</v>
      </c>
      <c r="W29" s="2847">
        <f t="shared" si="30"/>
        <v>0</v>
      </c>
      <c r="X29" s="2848">
        <f t="shared" si="31"/>
        <v>0</v>
      </c>
      <c r="Y29" s="2849">
        <f t="shared" si="32"/>
        <v>0</v>
      </c>
      <c r="Z29" s="2850">
        <f t="shared" si="33"/>
        <v>0</v>
      </c>
      <c r="AA29" s="2851">
        <f t="shared" si="34"/>
        <v>0</v>
      </c>
      <c r="AB29" s="2935"/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4" customHeight="1" thickBot="1">
      <c r="A30" s="2183"/>
      <c r="B30" s="3030" t="s">
        <v>461</v>
      </c>
      <c r="C30" s="629">
        <f t="shared" si="3"/>
        <v>2.3321759259259265E-4</v>
      </c>
      <c r="D30" s="547">
        <v>1</v>
      </c>
      <c r="E30" s="275">
        <v>1</v>
      </c>
      <c r="F30" s="275">
        <v>4</v>
      </c>
      <c r="G30" s="275">
        <v>200</v>
      </c>
      <c r="H30" s="276" t="s">
        <v>139</v>
      </c>
      <c r="I30" s="276">
        <v>1.1574074074074073E-4</v>
      </c>
      <c r="J30" s="3887">
        <v>1.1574074074074073E-4</v>
      </c>
      <c r="K30" s="2553" t="s">
        <v>535</v>
      </c>
      <c r="L30" s="631">
        <v>0.39583333333333331</v>
      </c>
      <c r="M30" s="451">
        <v>1</v>
      </c>
      <c r="N30" s="1882">
        <v>1.4583333333333332E-2</v>
      </c>
      <c r="O30" s="296">
        <f t="shared" si="39"/>
        <v>1.8657407407407412E-3</v>
      </c>
      <c r="P30" s="296">
        <f t="shared" si="40"/>
        <v>1.8657407407407412E-3</v>
      </c>
      <c r="Q30" s="548">
        <v>120</v>
      </c>
      <c r="R30" s="646">
        <f t="shared" si="41"/>
        <v>800</v>
      </c>
      <c r="S30" s="2844">
        <f t="shared" si="26"/>
        <v>0.8</v>
      </c>
      <c r="T30" s="2845">
        <f t="shared" si="27"/>
        <v>2.9851851851851859E-2</v>
      </c>
      <c r="U30" s="374">
        <f t="shared" si="28"/>
        <v>0.8</v>
      </c>
      <c r="V30" s="2846">
        <f t="shared" si="29"/>
        <v>0</v>
      </c>
      <c r="W30" s="2847">
        <f t="shared" si="30"/>
        <v>0</v>
      </c>
      <c r="X30" s="2848">
        <f t="shared" si="31"/>
        <v>0</v>
      </c>
      <c r="Y30" s="2849">
        <f t="shared" si="32"/>
        <v>0</v>
      </c>
      <c r="Z30" s="2850">
        <f t="shared" si="33"/>
        <v>0</v>
      </c>
      <c r="AA30" s="2851">
        <f t="shared" si="34"/>
        <v>0</v>
      </c>
      <c r="AB30" s="2935"/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4" customHeight="1" thickBot="1">
      <c r="A31" s="2183"/>
      <c r="B31" s="3030" t="s">
        <v>461</v>
      </c>
      <c r="C31" s="629">
        <f t="shared" si="3"/>
        <v>1.7581018518518521E-4</v>
      </c>
      <c r="D31" s="920">
        <v>6</v>
      </c>
      <c r="E31" s="275">
        <v>1</v>
      </c>
      <c r="F31" s="275">
        <v>1</v>
      </c>
      <c r="G31" s="275">
        <v>750</v>
      </c>
      <c r="H31" s="1173" t="s">
        <v>1798</v>
      </c>
      <c r="I31" s="299">
        <v>2.3148148148148146E-4</v>
      </c>
      <c r="J31" s="299">
        <v>1.3888888888888889E-3</v>
      </c>
      <c r="K31" s="3888" t="s">
        <v>1421</v>
      </c>
      <c r="L31" s="2685">
        <f t="shared" si="37"/>
        <v>0.41041666666666665</v>
      </c>
      <c r="M31" s="1180">
        <v>1</v>
      </c>
      <c r="N31" s="2685">
        <f t="shared" si="38"/>
        <v>8.2870370370370372E-3</v>
      </c>
      <c r="O31" s="439">
        <f t="shared" si="39"/>
        <v>5.2743055555555564E-3</v>
      </c>
      <c r="P31" s="587">
        <v>6.6666666666666671E-3</v>
      </c>
      <c r="Q31" s="789">
        <v>120</v>
      </c>
      <c r="R31" s="2044">
        <f t="shared" si="41"/>
        <v>750</v>
      </c>
      <c r="S31" s="2844">
        <f t="shared" si="26"/>
        <v>0.75</v>
      </c>
      <c r="T31" s="2845">
        <f t="shared" si="27"/>
        <v>2.1097222222222226E-2</v>
      </c>
      <c r="U31" s="374">
        <f t="shared" si="28"/>
        <v>0</v>
      </c>
      <c r="V31" s="2846">
        <f t="shared" si="29"/>
        <v>0</v>
      </c>
      <c r="W31" s="2847">
        <f t="shared" si="30"/>
        <v>0</v>
      </c>
      <c r="X31" s="2848">
        <f t="shared" si="31"/>
        <v>0</v>
      </c>
      <c r="Y31" s="2849">
        <f t="shared" si="32"/>
        <v>0</v>
      </c>
      <c r="Z31" s="2850">
        <f t="shared" si="33"/>
        <v>0.75</v>
      </c>
      <c r="AA31" s="2851">
        <f t="shared" si="34"/>
        <v>0</v>
      </c>
      <c r="AB31" s="2935"/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4" customHeight="1" thickBot="1">
      <c r="A32" s="2183" t="s">
        <v>214</v>
      </c>
      <c r="B32" s="3030" t="s">
        <v>461</v>
      </c>
      <c r="C32" s="629">
        <f t="shared" si="3"/>
        <v>1.7850115740740744E-4</v>
      </c>
      <c r="D32" s="1248">
        <v>5</v>
      </c>
      <c r="E32" s="1249">
        <v>4</v>
      </c>
      <c r="F32" s="1249">
        <v>4</v>
      </c>
      <c r="G32" s="1249">
        <v>50</v>
      </c>
      <c r="H32" s="1456"/>
      <c r="I32" s="1250">
        <v>4.6296296296296293E-4</v>
      </c>
      <c r="J32" s="1250">
        <v>2.3148148148148146E-4</v>
      </c>
      <c r="K32" s="534" t="s">
        <v>1799</v>
      </c>
      <c r="L32" s="1150">
        <f t="shared" si="37"/>
        <v>0.41870370370370369</v>
      </c>
      <c r="M32" s="1256">
        <v>1</v>
      </c>
      <c r="N32" s="1250">
        <f t="shared" si="38"/>
        <v>1.404537037037037E-2</v>
      </c>
      <c r="O32" s="1253">
        <f t="shared" si="39"/>
        <v>3.5700231481481488E-4</v>
      </c>
      <c r="P32" s="1254">
        <f t="shared" si="40"/>
        <v>3.5700231481481488E-4</v>
      </c>
      <c r="Q32" s="1255">
        <v>120</v>
      </c>
      <c r="R32" s="1249">
        <f t="shared" si="41"/>
        <v>800</v>
      </c>
      <c r="S32" s="2844">
        <f t="shared" si="26"/>
        <v>0.8</v>
      </c>
      <c r="T32" s="2845">
        <f t="shared" si="27"/>
        <v>2.2848148148148152E-2</v>
      </c>
      <c r="U32" s="374">
        <f t="shared" si="28"/>
        <v>0</v>
      </c>
      <c r="V32" s="2846">
        <f t="shared" si="29"/>
        <v>0</v>
      </c>
      <c r="W32" s="2847">
        <f t="shared" si="30"/>
        <v>0</v>
      </c>
      <c r="X32" s="2848">
        <f t="shared" si="31"/>
        <v>0</v>
      </c>
      <c r="Y32" s="2849">
        <f t="shared" si="32"/>
        <v>0.8</v>
      </c>
      <c r="Z32" s="2850">
        <f t="shared" si="33"/>
        <v>0</v>
      </c>
      <c r="AA32" s="2851">
        <f t="shared" si="34"/>
        <v>0</v>
      </c>
      <c r="AB32" s="2935"/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4" customHeight="1" thickBot="1">
      <c r="A33" s="2183" t="s">
        <v>459</v>
      </c>
      <c r="B33" s="3030" t="s">
        <v>461</v>
      </c>
      <c r="C33" s="629">
        <f t="shared" si="3"/>
        <v>0</v>
      </c>
      <c r="D33" s="920"/>
      <c r="E33" s="1448"/>
      <c r="F33" s="1405"/>
      <c r="G33" s="1405"/>
      <c r="H33" s="2689"/>
      <c r="I33" s="2685"/>
      <c r="J33" s="2496"/>
      <c r="K33" s="2686" t="s">
        <v>1116</v>
      </c>
      <c r="L33" s="1443">
        <f t="shared" si="37"/>
        <v>0.43274907407407404</v>
      </c>
      <c r="M33" s="1409">
        <v>1</v>
      </c>
      <c r="N33" s="1407">
        <f t="shared" si="38"/>
        <v>0</v>
      </c>
      <c r="O33" s="1407">
        <f t="shared" si="39"/>
        <v>0</v>
      </c>
      <c r="P33" s="1410">
        <f t="shared" si="40"/>
        <v>0</v>
      </c>
      <c r="Q33" s="1411">
        <v>120</v>
      </c>
      <c r="R33" s="1412">
        <f t="shared" si="41"/>
        <v>0</v>
      </c>
      <c r="S33" s="2844">
        <f t="shared" si="26"/>
        <v>0</v>
      </c>
      <c r="T33" s="2845">
        <f t="shared" si="27"/>
        <v>0</v>
      </c>
      <c r="U33" s="374">
        <f t="shared" si="28"/>
        <v>0</v>
      </c>
      <c r="V33" s="2846">
        <f t="shared" si="29"/>
        <v>0</v>
      </c>
      <c r="W33" s="2847">
        <f t="shared" si="30"/>
        <v>0</v>
      </c>
      <c r="X33" s="2848">
        <f t="shared" si="31"/>
        <v>0</v>
      </c>
      <c r="Y33" s="2849">
        <f t="shared" si="32"/>
        <v>0</v>
      </c>
      <c r="Z33" s="2850">
        <f t="shared" si="33"/>
        <v>0</v>
      </c>
      <c r="AA33" s="2851">
        <f t="shared" si="34"/>
        <v>0</v>
      </c>
      <c r="AB33" s="2935"/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5" customHeight="1" thickBot="1">
      <c r="A34" s="2183" t="s">
        <v>460</v>
      </c>
      <c r="B34" s="3030" t="s">
        <v>461</v>
      </c>
      <c r="C34" s="629">
        <f t="shared" si="3"/>
        <v>1.7222222222222224E-4</v>
      </c>
      <c r="D34" s="898">
        <v>7</v>
      </c>
      <c r="E34" s="1040">
        <v>1</v>
      </c>
      <c r="F34" s="1040">
        <v>20</v>
      </c>
      <c r="G34" s="2052">
        <v>25</v>
      </c>
      <c r="H34" s="1541"/>
      <c r="I34" s="2054">
        <v>4.6296296296296293E-4</v>
      </c>
      <c r="J34" s="1041">
        <v>1.3888888888888889E-3</v>
      </c>
      <c r="K34" s="442" t="s">
        <v>1444</v>
      </c>
      <c r="L34" s="1189">
        <f t="shared" si="37"/>
        <v>0.43274907407407404</v>
      </c>
      <c r="M34" s="1042">
        <v>0.75</v>
      </c>
      <c r="N34" s="1041">
        <f t="shared" si="38"/>
        <v>1.3231481481481481E-2</v>
      </c>
      <c r="O34" s="439">
        <f t="shared" si="39"/>
        <v>1.7222222222222221E-4</v>
      </c>
      <c r="P34" s="587">
        <f t="shared" si="40"/>
        <v>1.2916666666666664E-4</v>
      </c>
      <c r="Q34" s="789">
        <v>120</v>
      </c>
      <c r="R34" s="2044">
        <f t="shared" si="41"/>
        <v>500</v>
      </c>
      <c r="S34" s="2844">
        <f t="shared" si="26"/>
        <v>0.5</v>
      </c>
      <c r="T34" s="2845">
        <f t="shared" si="27"/>
        <v>1.3777777777777778E-2</v>
      </c>
      <c r="U34" s="374">
        <f t="shared" si="28"/>
        <v>0</v>
      </c>
      <c r="V34" s="2846">
        <f t="shared" si="29"/>
        <v>0</v>
      </c>
      <c r="W34" s="2847">
        <f t="shared" si="30"/>
        <v>0</v>
      </c>
      <c r="X34" s="2848">
        <f t="shared" si="31"/>
        <v>0</v>
      </c>
      <c r="Y34" s="2849">
        <f t="shared" si="32"/>
        <v>0</v>
      </c>
      <c r="Z34" s="2850">
        <f t="shared" si="33"/>
        <v>0</v>
      </c>
      <c r="AA34" s="2851">
        <f t="shared" si="34"/>
        <v>0.5</v>
      </c>
      <c r="AB34" s="2935"/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4" customHeight="1" thickBot="1">
      <c r="A35" s="2183" t="s">
        <v>458</v>
      </c>
      <c r="B35" s="3030" t="s">
        <v>461</v>
      </c>
      <c r="C35" s="629">
        <f t="shared" si="3"/>
        <v>0</v>
      </c>
      <c r="D35" s="920"/>
      <c r="E35" s="1448"/>
      <c r="F35" s="1405"/>
      <c r="G35" s="1405"/>
      <c r="H35" s="2689"/>
      <c r="I35" s="2685"/>
      <c r="J35" s="2496"/>
      <c r="K35" s="2686" t="s">
        <v>1116</v>
      </c>
      <c r="L35" s="1443">
        <f t="shared" si="37"/>
        <v>0.44598055555555549</v>
      </c>
      <c r="M35" s="1409">
        <v>1.1000000000000001</v>
      </c>
      <c r="N35" s="1407">
        <f t="shared" si="38"/>
        <v>0</v>
      </c>
      <c r="O35" s="1407">
        <f t="shared" si="39"/>
        <v>0</v>
      </c>
      <c r="P35" s="1410">
        <f t="shared" si="40"/>
        <v>0</v>
      </c>
      <c r="Q35" s="1411">
        <v>120</v>
      </c>
      <c r="R35" s="1412">
        <f t="shared" si="41"/>
        <v>0</v>
      </c>
      <c r="S35" s="2844">
        <f t="shared" si="26"/>
        <v>0</v>
      </c>
      <c r="T35" s="2845">
        <f t="shared" si="27"/>
        <v>0</v>
      </c>
      <c r="U35" s="374">
        <f t="shared" si="28"/>
        <v>0</v>
      </c>
      <c r="V35" s="2846">
        <f t="shared" si="29"/>
        <v>0</v>
      </c>
      <c r="W35" s="2847">
        <f t="shared" si="30"/>
        <v>0</v>
      </c>
      <c r="X35" s="2848">
        <f t="shared" si="31"/>
        <v>0</v>
      </c>
      <c r="Y35" s="2849">
        <f t="shared" si="32"/>
        <v>0</v>
      </c>
      <c r="Z35" s="2850">
        <f t="shared" si="33"/>
        <v>0</v>
      </c>
      <c r="AA35" s="2851">
        <f t="shared" si="34"/>
        <v>0</v>
      </c>
      <c r="AB35" s="2935"/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4" customHeight="1" thickBot="1">
      <c r="A36" s="2183" t="s">
        <v>219</v>
      </c>
      <c r="B36" s="3030" t="s">
        <v>461</v>
      </c>
      <c r="C36" s="629">
        <f t="shared" si="3"/>
        <v>1.7222222222222224E-4</v>
      </c>
      <c r="D36" s="1539">
        <v>7</v>
      </c>
      <c r="E36" s="441">
        <v>1</v>
      </c>
      <c r="F36" s="441">
        <v>4</v>
      </c>
      <c r="G36" s="441">
        <v>25</v>
      </c>
      <c r="H36" s="1541"/>
      <c r="I36" s="436">
        <v>4.6296296296296293E-4</v>
      </c>
      <c r="J36" s="436">
        <v>2.0833333333333333E-3</v>
      </c>
      <c r="K36" s="1320" t="s">
        <v>1800</v>
      </c>
      <c r="L36" s="436">
        <f t="shared" ref="L36" si="42">L35+N35</f>
        <v>0.44598055555555549</v>
      </c>
      <c r="M36" s="1542">
        <v>0.75</v>
      </c>
      <c r="N36" s="436">
        <f t="shared" ref="N36" si="43">P36*E36*F36+I36*E36*F36+J36*E36</f>
        <v>4.4518518518518509E-3</v>
      </c>
      <c r="O36" s="1528">
        <f t="shared" ref="O36" si="44">C36*G36/25</f>
        <v>1.7222222222222221E-4</v>
      </c>
      <c r="P36" s="439">
        <f t="shared" ref="P36" si="45">O36*M36</f>
        <v>1.2916666666666664E-4</v>
      </c>
      <c r="Q36" s="443">
        <v>120</v>
      </c>
      <c r="R36" s="638">
        <f t="shared" ref="R36" si="46">E36*F36*G36</f>
        <v>100</v>
      </c>
      <c r="S36" s="2844">
        <f t="shared" si="26"/>
        <v>0.1</v>
      </c>
      <c r="T36" s="2845">
        <f t="shared" si="27"/>
        <v>2.7555555555555554E-3</v>
      </c>
      <c r="U36" s="374">
        <f t="shared" si="28"/>
        <v>0</v>
      </c>
      <c r="V36" s="2846">
        <f t="shared" si="29"/>
        <v>0</v>
      </c>
      <c r="W36" s="2847">
        <f t="shared" si="30"/>
        <v>0</v>
      </c>
      <c r="X36" s="2848">
        <f t="shared" si="31"/>
        <v>0</v>
      </c>
      <c r="Y36" s="2849">
        <f t="shared" si="32"/>
        <v>0</v>
      </c>
      <c r="Z36" s="2850">
        <f t="shared" si="33"/>
        <v>0</v>
      </c>
      <c r="AA36" s="2851">
        <f t="shared" si="34"/>
        <v>0.1</v>
      </c>
      <c r="AB36" s="2935"/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4" customHeight="1" thickBot="1">
      <c r="A37" s="2183"/>
      <c r="B37" s="3030" t="s">
        <v>461</v>
      </c>
      <c r="C37" s="629">
        <f t="shared" si="3"/>
        <v>1.7222222222222224E-4</v>
      </c>
      <c r="D37" s="1539">
        <v>7</v>
      </c>
      <c r="E37" s="441">
        <v>1</v>
      </c>
      <c r="F37" s="441">
        <v>2</v>
      </c>
      <c r="G37" s="441">
        <v>50</v>
      </c>
      <c r="H37" s="1541"/>
      <c r="I37" s="436">
        <v>4.6296296296296293E-4</v>
      </c>
      <c r="J37" s="436">
        <v>2.0833333333333333E-3</v>
      </c>
      <c r="K37" s="1320" t="s">
        <v>1801</v>
      </c>
      <c r="L37" s="436">
        <f t="shared" si="37"/>
        <v>0.45043240740740736</v>
      </c>
      <c r="M37" s="1542">
        <v>1.05</v>
      </c>
      <c r="N37" s="436">
        <f t="shared" si="38"/>
        <v>3.7325925925925925E-3</v>
      </c>
      <c r="O37" s="1528">
        <f t="shared" si="39"/>
        <v>3.4444444444444442E-4</v>
      </c>
      <c r="P37" s="439">
        <f t="shared" si="40"/>
        <v>3.6166666666666666E-4</v>
      </c>
      <c r="Q37" s="443">
        <v>120</v>
      </c>
      <c r="R37" s="638">
        <f t="shared" si="41"/>
        <v>100</v>
      </c>
      <c r="S37" s="2844">
        <f t="shared" si="26"/>
        <v>0.1</v>
      </c>
      <c r="T37" s="2845">
        <f t="shared" si="27"/>
        <v>2.7555555555555554E-3</v>
      </c>
      <c r="U37" s="374">
        <f t="shared" si="28"/>
        <v>0</v>
      </c>
      <c r="V37" s="2846">
        <f t="shared" si="29"/>
        <v>0</v>
      </c>
      <c r="W37" s="2847">
        <f t="shared" si="30"/>
        <v>0</v>
      </c>
      <c r="X37" s="2848">
        <f t="shared" si="31"/>
        <v>0</v>
      </c>
      <c r="Y37" s="2849">
        <f t="shared" si="32"/>
        <v>0</v>
      </c>
      <c r="Z37" s="2850">
        <f t="shared" si="33"/>
        <v>0</v>
      </c>
      <c r="AA37" s="2851">
        <f t="shared" si="34"/>
        <v>0.1</v>
      </c>
      <c r="AB37" s="2935"/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1"/>
    </row>
    <row r="38" spans="1:40" ht="14" customHeight="1" thickBot="1">
      <c r="A38" s="2183"/>
      <c r="B38" s="3030" t="s">
        <v>461</v>
      </c>
      <c r="C38" s="629">
        <f t="shared" si="3"/>
        <v>2.3321759259259265E-4</v>
      </c>
      <c r="D38" s="1527">
        <v>1</v>
      </c>
      <c r="E38" s="1387">
        <v>1</v>
      </c>
      <c r="F38" s="1387">
        <v>1</v>
      </c>
      <c r="G38" s="1387">
        <v>300</v>
      </c>
      <c r="H38" s="1528"/>
      <c r="I38" s="276">
        <v>0</v>
      </c>
      <c r="J38" s="276">
        <v>1.1574074074074073E-4</v>
      </c>
      <c r="K38" s="1340" t="s">
        <v>901</v>
      </c>
      <c r="L38" s="276">
        <f t="shared" si="37"/>
        <v>0.45416499999999993</v>
      </c>
      <c r="M38" s="1530">
        <v>1.1000000000000001</v>
      </c>
      <c r="N38" s="276">
        <f t="shared" si="38"/>
        <v>3.1942129629629638E-3</v>
      </c>
      <c r="O38" s="1528">
        <f t="shared" si="39"/>
        <v>2.7986111111111115E-3</v>
      </c>
      <c r="P38" s="296">
        <f t="shared" si="40"/>
        <v>3.0784722222222229E-3</v>
      </c>
      <c r="Q38" s="548">
        <v>120</v>
      </c>
      <c r="R38" s="1395">
        <f t="shared" si="41"/>
        <v>300</v>
      </c>
      <c r="S38" s="2844">
        <f t="shared" si="26"/>
        <v>0.3</v>
      </c>
      <c r="T38" s="2845">
        <f t="shared" si="27"/>
        <v>1.1194444444444446E-2</v>
      </c>
      <c r="U38" s="374">
        <f t="shared" si="28"/>
        <v>0.3</v>
      </c>
      <c r="V38" s="2846">
        <f t="shared" si="29"/>
        <v>0</v>
      </c>
      <c r="W38" s="2847">
        <f t="shared" si="30"/>
        <v>0</v>
      </c>
      <c r="X38" s="2848">
        <f t="shared" si="31"/>
        <v>0</v>
      </c>
      <c r="Y38" s="2849">
        <f t="shared" si="32"/>
        <v>0</v>
      </c>
      <c r="Z38" s="2850">
        <f t="shared" si="33"/>
        <v>0</v>
      </c>
      <c r="AA38" s="2851">
        <f t="shared" si="34"/>
        <v>0</v>
      </c>
      <c r="AB38" s="2935"/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1"/>
    </row>
    <row r="39" spans="1:40" ht="14" customHeight="1" thickBot="1">
      <c r="A39" s="2183"/>
      <c r="B39" s="3030"/>
      <c r="C39" s="629"/>
      <c r="D39" s="3814"/>
      <c r="E39" s="677"/>
      <c r="F39" s="677"/>
      <c r="G39" s="677"/>
      <c r="H39" s="677"/>
      <c r="I39" s="677"/>
      <c r="J39" s="677"/>
      <c r="K39" s="3791" t="s">
        <v>1764</v>
      </c>
      <c r="L39" s="631">
        <v>0.38194444444444442</v>
      </c>
      <c r="M39" s="3742"/>
      <c r="N39" s="1882">
        <v>1.4583333333333332E-2</v>
      </c>
      <c r="O39" s="3817"/>
      <c r="P39" s="3744"/>
      <c r="Q39" s="3744"/>
      <c r="R39" s="3865"/>
      <c r="S39" s="2844">
        <f t="shared" si="26"/>
        <v>0</v>
      </c>
      <c r="T39" s="2845">
        <f t="shared" si="27"/>
        <v>0</v>
      </c>
      <c r="U39" s="374">
        <f t="shared" si="28"/>
        <v>0</v>
      </c>
      <c r="V39" s="2846">
        <f t="shared" si="29"/>
        <v>0</v>
      </c>
      <c r="W39" s="2847">
        <f t="shared" si="30"/>
        <v>0</v>
      </c>
      <c r="X39" s="2848">
        <f t="shared" si="31"/>
        <v>0</v>
      </c>
      <c r="Y39" s="2849">
        <f t="shared" si="32"/>
        <v>0</v>
      </c>
      <c r="Z39" s="2850">
        <f t="shared" si="33"/>
        <v>0</v>
      </c>
      <c r="AA39" s="2851">
        <f t="shared" si="34"/>
        <v>0</v>
      </c>
      <c r="AB39" s="2935"/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1"/>
    </row>
    <row r="40" spans="1:40" ht="14" customHeight="1" thickBot="1">
      <c r="A40" s="2183" t="s">
        <v>215</v>
      </c>
      <c r="B40" s="3030" t="s">
        <v>459</v>
      </c>
      <c r="C40" s="629">
        <f t="shared" ref="C40:C46" si="47">IF(D40=1,U$9,IF(D40=2,V$9,IF(D40=3,W$9,IF(D40=4,X$9,IF(D40=5,Y$9,IF(D40=6,Z$9,IF(D40=7,AA$9,0)))))))</f>
        <v>2.152777777777778E-4</v>
      </c>
      <c r="D40" s="890">
        <v>2</v>
      </c>
      <c r="E40" s="1173">
        <v>1</v>
      </c>
      <c r="F40" s="1173">
        <v>4</v>
      </c>
      <c r="G40" s="1173">
        <v>100</v>
      </c>
      <c r="H40" s="299" t="s">
        <v>139</v>
      </c>
      <c r="I40" s="299">
        <v>1.3888888888888889E-4</v>
      </c>
      <c r="J40" s="299">
        <v>1.3888888888888889E-3</v>
      </c>
      <c r="K40" s="1123" t="s">
        <v>1805</v>
      </c>
      <c r="L40" s="1332">
        <f>L39+N39</f>
        <v>0.39652777777777776</v>
      </c>
      <c r="M40" s="1174">
        <v>1</v>
      </c>
      <c r="N40" s="299">
        <f>P40*E40*F40+I40*E40*F40+J40*E40</f>
        <v>5.3888888888888892E-3</v>
      </c>
      <c r="O40" s="1175">
        <f t="shared" ref="O40:O44" si="48">C40*(G40/25)</f>
        <v>8.6111111111111121E-4</v>
      </c>
      <c r="P40" s="1175">
        <f t="shared" ref="P40:P44" si="49">O40*M40</f>
        <v>8.6111111111111121E-4</v>
      </c>
      <c r="Q40" s="550">
        <v>146</v>
      </c>
      <c r="R40" s="1176">
        <f t="shared" ref="R40:R44" si="50">E40*F40*G40</f>
        <v>400</v>
      </c>
      <c r="S40" s="2844">
        <f t="shared" si="26"/>
        <v>0.4</v>
      </c>
      <c r="T40" s="2845">
        <f t="shared" si="27"/>
        <v>1.3777777777777779E-2</v>
      </c>
      <c r="U40" s="374">
        <f t="shared" si="28"/>
        <v>0</v>
      </c>
      <c r="V40" s="2846">
        <f t="shared" si="29"/>
        <v>0.4</v>
      </c>
      <c r="W40" s="2847">
        <f t="shared" si="30"/>
        <v>0</v>
      </c>
      <c r="X40" s="2848">
        <f t="shared" si="31"/>
        <v>0</v>
      </c>
      <c r="Y40" s="2849">
        <f t="shared" si="32"/>
        <v>0</v>
      </c>
      <c r="Z40" s="2850">
        <f t="shared" si="33"/>
        <v>0</v>
      </c>
      <c r="AA40" s="2851">
        <f t="shared" si="34"/>
        <v>0</v>
      </c>
      <c r="AB40" s="2935"/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  <c r="AN40" s="1"/>
    </row>
    <row r="41" spans="1:40" ht="14" customHeight="1" thickBot="1">
      <c r="A41" s="2183" t="s">
        <v>138</v>
      </c>
      <c r="B41" s="3030" t="s">
        <v>459</v>
      </c>
      <c r="C41" s="629">
        <f t="shared" si="47"/>
        <v>1.9733796296296302E-4</v>
      </c>
      <c r="D41" s="1236">
        <v>3</v>
      </c>
      <c r="E41" s="1161">
        <v>1</v>
      </c>
      <c r="F41" s="1161">
        <v>6</v>
      </c>
      <c r="G41" s="1161">
        <v>75</v>
      </c>
      <c r="H41" s="1163"/>
      <c r="I41" s="1163">
        <v>1.1574074074074073E-4</v>
      </c>
      <c r="J41" s="1163">
        <v>1.3888888888888889E-3</v>
      </c>
      <c r="K41" s="1074" t="s">
        <v>1806</v>
      </c>
      <c r="L41" s="1148">
        <f>L40+N40</f>
        <v>0.40191666666666664</v>
      </c>
      <c r="M41" s="1164">
        <v>1</v>
      </c>
      <c r="N41" s="1163">
        <f>P41*E41*F41+I41*E41*F41+J41*E41</f>
        <v>5.6354166666666679E-3</v>
      </c>
      <c r="O41" s="1165">
        <f t="shared" si="48"/>
        <v>5.920138888888891E-4</v>
      </c>
      <c r="P41" s="1165">
        <f t="shared" si="49"/>
        <v>5.920138888888891E-4</v>
      </c>
      <c r="Q41" s="333">
        <v>164</v>
      </c>
      <c r="R41" s="1161">
        <f t="shared" si="50"/>
        <v>450</v>
      </c>
      <c r="S41" s="2844">
        <f t="shared" si="26"/>
        <v>0.45</v>
      </c>
      <c r="T41" s="2845">
        <f t="shared" si="27"/>
        <v>1.4208333333333338E-2</v>
      </c>
      <c r="U41" s="374">
        <f t="shared" si="28"/>
        <v>0</v>
      </c>
      <c r="V41" s="2846">
        <f t="shared" si="29"/>
        <v>0</v>
      </c>
      <c r="W41" s="2847">
        <f t="shared" si="30"/>
        <v>0.45</v>
      </c>
      <c r="X41" s="2848">
        <f t="shared" si="31"/>
        <v>0</v>
      </c>
      <c r="Y41" s="2849">
        <f t="shared" si="32"/>
        <v>0</v>
      </c>
      <c r="Z41" s="2850">
        <f t="shared" si="33"/>
        <v>0</v>
      </c>
      <c r="AA41" s="2851">
        <f t="shared" si="34"/>
        <v>0</v>
      </c>
      <c r="AB41" s="2935"/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  <c r="AN41" s="1"/>
    </row>
    <row r="42" spans="1:40" ht="14" customHeight="1" thickBot="1">
      <c r="A42" s="2183" t="s">
        <v>462</v>
      </c>
      <c r="B42" s="3030" t="s">
        <v>459</v>
      </c>
      <c r="C42" s="629">
        <f t="shared" si="47"/>
        <v>1.7850115740740744E-4</v>
      </c>
      <c r="D42" s="1433">
        <v>5</v>
      </c>
      <c r="E42" s="1434">
        <v>2</v>
      </c>
      <c r="F42" s="1435">
        <v>1</v>
      </c>
      <c r="G42" s="1435">
        <v>75</v>
      </c>
      <c r="H42" s="1475" t="s">
        <v>944</v>
      </c>
      <c r="I42" s="1436">
        <v>5.7870370370370366E-5</v>
      </c>
      <c r="J42" s="1436">
        <v>1.3888888888888889E-3</v>
      </c>
      <c r="K42" s="1330" t="s">
        <v>1807</v>
      </c>
      <c r="L42" s="1476">
        <f t="shared" ref="L42" si="51">L41+N41</f>
        <v>0.40755208333333331</v>
      </c>
      <c r="M42" s="1256">
        <v>1.28</v>
      </c>
      <c r="N42" s="1250">
        <f t="shared" ref="N42" si="52">P42*E42*F42+I42*E42*F42+J42*E42</f>
        <v>4.2644074074074077E-3</v>
      </c>
      <c r="O42" s="1253">
        <f t="shared" si="48"/>
        <v>5.3550347222222237E-4</v>
      </c>
      <c r="P42" s="1254">
        <f t="shared" si="49"/>
        <v>6.8544444444444469E-4</v>
      </c>
      <c r="Q42" s="1255" t="s">
        <v>278</v>
      </c>
      <c r="R42" s="1249">
        <f t="shared" si="50"/>
        <v>150</v>
      </c>
      <c r="S42" s="2844"/>
      <c r="T42" s="2845"/>
      <c r="U42" s="374"/>
      <c r="V42" s="2846"/>
      <c r="W42" s="2847"/>
      <c r="X42" s="2848"/>
      <c r="Y42" s="2849"/>
      <c r="Z42" s="2850"/>
      <c r="AA42" s="2851"/>
      <c r="AB42" s="2935"/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  <c r="AN42" s="1"/>
    </row>
    <row r="43" spans="1:40" ht="14" customHeight="1" thickBot="1">
      <c r="A43" s="2183" t="s">
        <v>461</v>
      </c>
      <c r="B43" s="3030" t="s">
        <v>459</v>
      </c>
      <c r="C43" s="629">
        <f t="shared" si="47"/>
        <v>1.7939814814814817E-4</v>
      </c>
      <c r="D43" s="1197">
        <v>4</v>
      </c>
      <c r="E43" s="1177">
        <v>1</v>
      </c>
      <c r="F43" s="1177">
        <v>6</v>
      </c>
      <c r="G43" s="1177">
        <v>50</v>
      </c>
      <c r="H43" s="1455" t="s">
        <v>710</v>
      </c>
      <c r="I43" s="1178">
        <v>6.018518518518519E-4</v>
      </c>
      <c r="J43" s="1178">
        <v>1.3888888888888889E-3</v>
      </c>
      <c r="K43" s="676" t="s">
        <v>1808</v>
      </c>
      <c r="L43" s="1178">
        <f>L42+N42</f>
        <v>0.41181649074074073</v>
      </c>
      <c r="M43" s="1180">
        <v>1</v>
      </c>
      <c r="N43" s="1178">
        <f t="shared" ref="N43:N44" si="53">P43*E43*F43+I43*E43*F43+J43*E43</f>
        <v>7.1527777777777787E-3</v>
      </c>
      <c r="O43" s="1196">
        <f t="shared" si="48"/>
        <v>3.5879629629629635E-4</v>
      </c>
      <c r="P43" s="1181">
        <f t="shared" si="49"/>
        <v>3.5879629629629635E-4</v>
      </c>
      <c r="Q43" s="334" t="s">
        <v>316</v>
      </c>
      <c r="R43" s="1177">
        <f t="shared" si="50"/>
        <v>300</v>
      </c>
      <c r="S43" s="2844">
        <f t="shared" si="26"/>
        <v>0.3</v>
      </c>
      <c r="T43" s="2845">
        <f t="shared" si="27"/>
        <v>8.6111111111111128E-3</v>
      </c>
      <c r="U43" s="374">
        <f t="shared" si="28"/>
        <v>0</v>
      </c>
      <c r="V43" s="2846">
        <f t="shared" si="29"/>
        <v>0</v>
      </c>
      <c r="W43" s="2847">
        <f t="shared" si="30"/>
        <v>0</v>
      </c>
      <c r="X43" s="2848">
        <f t="shared" si="31"/>
        <v>0.3</v>
      </c>
      <c r="Y43" s="2849">
        <f t="shared" si="32"/>
        <v>0</v>
      </c>
      <c r="Z43" s="2850">
        <f t="shared" si="33"/>
        <v>0</v>
      </c>
      <c r="AA43" s="2851">
        <f t="shared" si="34"/>
        <v>0</v>
      </c>
      <c r="AB43" s="2935"/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  <c r="AN43" s="1"/>
    </row>
    <row r="44" spans="1:40" ht="14" customHeight="1" thickBot="1">
      <c r="A44" s="2183" t="s">
        <v>458</v>
      </c>
      <c r="B44" s="3030" t="s">
        <v>459</v>
      </c>
      <c r="C44" s="629">
        <f t="shared" si="47"/>
        <v>2.152777777777778E-4</v>
      </c>
      <c r="D44" s="889">
        <v>2</v>
      </c>
      <c r="E44" s="1173">
        <v>1</v>
      </c>
      <c r="F44" s="1173">
        <v>1</v>
      </c>
      <c r="G44" s="1173">
        <v>500</v>
      </c>
      <c r="H44" s="1453" t="s">
        <v>713</v>
      </c>
      <c r="I44" s="299">
        <v>1.1574074074074073E-4</v>
      </c>
      <c r="J44" s="299">
        <v>6.9444444444444447E-4</v>
      </c>
      <c r="K44" s="1123" t="s">
        <v>942</v>
      </c>
      <c r="L44" s="299">
        <f t="shared" ref="L44" si="54">L43+N43</f>
        <v>0.41896926851851851</v>
      </c>
      <c r="M44" s="1174">
        <v>1</v>
      </c>
      <c r="N44" s="299">
        <f t="shared" si="53"/>
        <v>5.1157407407407419E-3</v>
      </c>
      <c r="O44" s="1196">
        <f t="shared" si="48"/>
        <v>4.3055555555555564E-3</v>
      </c>
      <c r="P44" s="1175">
        <f t="shared" si="49"/>
        <v>4.3055555555555564E-3</v>
      </c>
      <c r="Q44" s="550">
        <v>146</v>
      </c>
      <c r="R44" s="1176">
        <f t="shared" si="50"/>
        <v>500</v>
      </c>
      <c r="S44" s="2844">
        <f t="shared" si="26"/>
        <v>0.5</v>
      </c>
      <c r="T44" s="2845">
        <f t="shared" si="27"/>
        <v>1.7222222222222226E-2</v>
      </c>
      <c r="U44" s="374">
        <f t="shared" si="28"/>
        <v>0</v>
      </c>
      <c r="V44" s="2846">
        <f t="shared" si="29"/>
        <v>0.5</v>
      </c>
      <c r="W44" s="2847">
        <f t="shared" si="30"/>
        <v>0</v>
      </c>
      <c r="X44" s="2848">
        <f t="shared" si="31"/>
        <v>0</v>
      </c>
      <c r="Y44" s="2849">
        <f t="shared" si="32"/>
        <v>0</v>
      </c>
      <c r="Z44" s="2850">
        <f t="shared" si="33"/>
        <v>0</v>
      </c>
      <c r="AA44" s="2851">
        <f t="shared" si="34"/>
        <v>0</v>
      </c>
      <c r="AB44" s="2935"/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  <c r="AN44" s="1"/>
    </row>
    <row r="45" spans="1:40" ht="14" customHeight="1" thickBot="1">
      <c r="A45" s="2183" t="s">
        <v>219</v>
      </c>
      <c r="B45" s="3030" t="s">
        <v>459</v>
      </c>
      <c r="C45" s="629">
        <f t="shared" si="47"/>
        <v>1.7939814814814817E-4</v>
      </c>
      <c r="D45" s="3436">
        <v>4</v>
      </c>
      <c r="E45" s="2266">
        <v>2</v>
      </c>
      <c r="F45" s="3833">
        <v>8</v>
      </c>
      <c r="G45" s="3833">
        <v>32.5</v>
      </c>
      <c r="H45" s="2267" t="s">
        <v>1784</v>
      </c>
      <c r="I45" s="2267">
        <v>1.0416666666666667E-3</v>
      </c>
      <c r="J45" s="2267">
        <v>2.0833333333333333E-3</v>
      </c>
      <c r="K45" s="3503" t="s">
        <v>1804</v>
      </c>
      <c r="L45" s="2267">
        <f>L44+N44</f>
        <v>0.42408500925925924</v>
      </c>
      <c r="M45" s="3740">
        <v>1</v>
      </c>
      <c r="N45" s="3871">
        <f t="shared" ref="N45" si="55">P45*E45*F45+I45*E45*F45+J45*E45</f>
        <v>2.4564814814814814E-2</v>
      </c>
      <c r="O45" s="2526">
        <f t="shared" ref="O45" si="56">C45*(G45/25)</f>
        <v>2.3321759259259265E-4</v>
      </c>
      <c r="P45" s="2517">
        <f t="shared" ref="P45" si="57">O45*M45</f>
        <v>2.3321759259259265E-4</v>
      </c>
      <c r="Q45" s="3741">
        <v>129</v>
      </c>
      <c r="R45" s="3864">
        <f t="shared" ref="R45" si="58">E45*F45*G45</f>
        <v>520</v>
      </c>
      <c r="S45" s="2844">
        <f t="shared" si="26"/>
        <v>0.52</v>
      </c>
      <c r="T45" s="2845">
        <f t="shared" si="27"/>
        <v>1.4925925925925929E-2</v>
      </c>
      <c r="U45" s="374">
        <f t="shared" si="28"/>
        <v>0</v>
      </c>
      <c r="V45" s="2846">
        <f t="shared" si="29"/>
        <v>0</v>
      </c>
      <c r="W45" s="2847">
        <f t="shared" si="30"/>
        <v>0</v>
      </c>
      <c r="X45" s="2848">
        <f t="shared" si="31"/>
        <v>0.52</v>
      </c>
      <c r="Y45" s="2849">
        <f t="shared" si="32"/>
        <v>0</v>
      </c>
      <c r="Z45" s="2850">
        <f t="shared" si="33"/>
        <v>0</v>
      </c>
      <c r="AA45" s="2851">
        <f t="shared" si="34"/>
        <v>0</v>
      </c>
      <c r="AB45" s="2935"/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  <c r="AN45" s="1"/>
    </row>
    <row r="46" spans="1:40" ht="14" customHeight="1" thickBot="1">
      <c r="A46" s="2183"/>
      <c r="B46" s="3030" t="s">
        <v>459</v>
      </c>
      <c r="C46" s="629">
        <f t="shared" si="47"/>
        <v>0</v>
      </c>
      <c r="D46" s="2318"/>
      <c r="E46" s="849"/>
      <c r="F46" s="849"/>
      <c r="G46" s="849" t="s">
        <v>1787</v>
      </c>
      <c r="H46" s="849"/>
      <c r="I46" s="849"/>
      <c r="J46" s="849"/>
      <c r="K46" s="3454" t="s">
        <v>1789</v>
      </c>
      <c r="L46" s="2528">
        <f t="shared" ref="L46" si="59">L45+N45</f>
        <v>0.44864982407407406</v>
      </c>
      <c r="M46" s="3742"/>
      <c r="N46" s="3874">
        <f>SUM(N39:N45)</f>
        <v>6.6705379629629635E-2</v>
      </c>
      <c r="O46" s="3743">
        <v>0</v>
      </c>
      <c r="P46" s="3744"/>
      <c r="Q46" s="3744"/>
      <c r="R46" s="3865">
        <f>SUM(R40:R45)</f>
        <v>2320</v>
      </c>
      <c r="S46" s="2844" t="e">
        <f t="shared" si="26"/>
        <v>#VALUE!</v>
      </c>
      <c r="T46" s="2845">
        <f t="shared" si="27"/>
        <v>0</v>
      </c>
      <c r="U46" s="374">
        <f t="shared" si="28"/>
        <v>0</v>
      </c>
      <c r="V46" s="2846">
        <f t="shared" si="29"/>
        <v>0</v>
      </c>
      <c r="W46" s="2847">
        <f t="shared" si="30"/>
        <v>0</v>
      </c>
      <c r="X46" s="2848">
        <f t="shared" si="31"/>
        <v>0</v>
      </c>
      <c r="Y46" s="2849">
        <f t="shared" si="32"/>
        <v>0</v>
      </c>
      <c r="Z46" s="2850">
        <f t="shared" si="33"/>
        <v>0</v>
      </c>
      <c r="AA46" s="2851">
        <f t="shared" si="34"/>
        <v>0</v>
      </c>
      <c r="AB46" s="2935"/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  <c r="AN46" s="1"/>
    </row>
    <row r="47" spans="1:40" ht="14" customHeight="1">
      <c r="A47" s="2183"/>
      <c r="B47" s="3030"/>
      <c r="C47" s="856"/>
      <c r="D47" s="897"/>
      <c r="E47" s="677"/>
      <c r="F47" s="677"/>
      <c r="G47" s="677"/>
      <c r="H47" s="677"/>
      <c r="I47" s="677"/>
      <c r="J47" s="679"/>
      <c r="K47" s="3890"/>
      <c r="L47" s="3891"/>
      <c r="M47" s="3892"/>
      <c r="N47" s="3893"/>
      <c r="O47" s="3894"/>
      <c r="P47" s="3895"/>
      <c r="Q47" s="3744"/>
      <c r="R47" s="3865"/>
      <c r="S47" s="3813"/>
      <c r="T47" s="2845"/>
      <c r="U47" s="374"/>
      <c r="V47" s="2846"/>
      <c r="W47" s="2847"/>
      <c r="X47" s="2848"/>
      <c r="Y47" s="2849"/>
      <c r="Z47" s="2850"/>
      <c r="AA47" s="2851"/>
      <c r="AB47" s="2935"/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  <c r="AN47" s="1"/>
    </row>
    <row r="48" spans="1:40" ht="14" customHeight="1">
      <c r="A48" s="2183"/>
      <c r="B48" s="2183"/>
      <c r="C48" s="856"/>
      <c r="D48" s="897"/>
      <c r="E48" s="677"/>
      <c r="F48" s="677"/>
      <c r="G48" s="677"/>
      <c r="H48" s="677"/>
      <c r="I48" s="677"/>
      <c r="J48" s="679"/>
      <c r="K48" s="3890"/>
      <c r="L48" s="3891"/>
      <c r="M48" s="3892"/>
      <c r="N48" s="3893"/>
      <c r="O48" s="3894"/>
      <c r="P48" s="3895"/>
      <c r="Q48" s="3744"/>
      <c r="R48" s="3865"/>
      <c r="S48" s="3813"/>
      <c r="T48" s="2845"/>
      <c r="U48" s="374"/>
      <c r="V48" s="2846"/>
      <c r="W48" s="2847"/>
      <c r="X48" s="2848"/>
      <c r="Y48" s="2849"/>
      <c r="Z48" s="2850"/>
      <c r="AA48" s="2851"/>
      <c r="AB48" s="2935"/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  <c r="AN48" s="1"/>
    </row>
    <row r="49" spans="1:40" ht="14" customHeight="1">
      <c r="A49" s="3812"/>
      <c r="B49" s="3812"/>
      <c r="C49" s="856"/>
      <c r="D49" s="897"/>
      <c r="E49" s="677"/>
      <c r="F49" s="677"/>
      <c r="G49" s="677"/>
      <c r="H49" s="677"/>
      <c r="I49" s="677"/>
      <c r="J49" s="679"/>
      <c r="K49" s="679"/>
      <c r="L49" s="3891"/>
      <c r="M49" s="3892"/>
      <c r="N49" s="3893"/>
      <c r="O49" s="3894"/>
      <c r="P49" s="3895"/>
      <c r="Q49" s="3744"/>
      <c r="R49" s="3865"/>
      <c r="S49" s="3813"/>
      <c r="T49" s="2845"/>
      <c r="U49" s="374"/>
      <c r="V49" s="2846"/>
      <c r="W49" s="2847"/>
      <c r="X49" s="2848"/>
      <c r="Y49" s="2849"/>
      <c r="Z49" s="2850"/>
      <c r="AA49" s="2851"/>
      <c r="AB49" s="2935"/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  <c r="AN49" s="1"/>
    </row>
    <row r="50" spans="1:40" ht="14" customHeight="1">
      <c r="A50" s="3812"/>
      <c r="B50" s="3812"/>
      <c r="C50" s="856"/>
      <c r="D50" s="897"/>
      <c r="E50" s="677"/>
      <c r="F50" s="677"/>
      <c r="G50" s="677"/>
      <c r="H50" s="677"/>
      <c r="I50" s="677"/>
      <c r="J50" s="679"/>
      <c r="K50" s="679"/>
      <c r="L50" s="3891"/>
      <c r="M50" s="3892"/>
      <c r="N50" s="3893"/>
      <c r="O50" s="3894"/>
      <c r="P50" s="3895"/>
      <c r="Q50" s="3744"/>
      <c r="R50" s="3865"/>
      <c r="S50" s="3813"/>
      <c r="T50" s="2845"/>
      <c r="U50" s="374"/>
      <c r="V50" s="2846"/>
      <c r="W50" s="2847"/>
      <c r="X50" s="2848"/>
      <c r="Y50" s="2849"/>
      <c r="Z50" s="2850"/>
      <c r="AA50" s="2851"/>
      <c r="AB50" s="2935"/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  <c r="AN50" s="1"/>
    </row>
    <row r="51" spans="1:40" ht="14" customHeight="1" thickBot="1">
      <c r="A51" s="3812"/>
      <c r="B51" s="3812"/>
      <c r="C51" s="856"/>
      <c r="D51" s="897"/>
      <c r="E51" s="677"/>
      <c r="F51" s="677"/>
      <c r="G51" s="677"/>
      <c r="H51" s="677"/>
      <c r="I51" s="677"/>
      <c r="J51" s="679"/>
      <c r="K51" s="679"/>
      <c r="L51" s="3891"/>
      <c r="M51" s="3892"/>
      <c r="N51" s="3893"/>
      <c r="O51" s="3894"/>
      <c r="P51" s="3895"/>
      <c r="Q51" s="3744"/>
      <c r="R51" s="3865"/>
      <c r="S51" s="3813"/>
      <c r="T51" s="2845"/>
      <c r="U51" s="374"/>
      <c r="V51" s="2846"/>
      <c r="W51" s="2847"/>
      <c r="X51" s="2848"/>
      <c r="Y51" s="2849"/>
      <c r="Z51" s="2850"/>
      <c r="AA51" s="2851"/>
      <c r="AB51" s="2935"/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  <c r="AN51" s="1"/>
    </row>
    <row r="52" spans="1:40" ht="14" customHeight="1" thickTop="1" thickBot="1">
      <c r="A52" s="144"/>
      <c r="B52" s="144"/>
      <c r="C52" s="144"/>
      <c r="D52" s="906"/>
      <c r="E52" s="144"/>
      <c r="F52" s="146"/>
      <c r="G52" s="146"/>
      <c r="H52" s="144"/>
      <c r="I52" s="144"/>
      <c r="J52" s="3896"/>
      <c r="K52" s="3896"/>
      <c r="L52" s="3896"/>
      <c r="M52" s="3896"/>
      <c r="N52" s="3897"/>
      <c r="O52" s="3896"/>
      <c r="P52" s="3896"/>
      <c r="Q52" s="144"/>
      <c r="R52" s="3155"/>
      <c r="S52" s="3631"/>
      <c r="T52" s="3154"/>
      <c r="U52" s="3155">
        <f t="shared" ref="U52:AA52" si="60">SUM(U11:U38)</f>
        <v>1.8</v>
      </c>
      <c r="V52" s="3155">
        <f t="shared" si="60"/>
        <v>1.9</v>
      </c>
      <c r="W52" s="3155">
        <f t="shared" si="60"/>
        <v>0.1</v>
      </c>
      <c r="X52" s="3155">
        <f t="shared" si="60"/>
        <v>0.35</v>
      </c>
      <c r="Y52" s="3155">
        <f t="shared" si="60"/>
        <v>2.1749999999999998</v>
      </c>
      <c r="Z52" s="3155">
        <f t="shared" si="60"/>
        <v>0.75</v>
      </c>
      <c r="AA52" s="3155">
        <f t="shared" si="60"/>
        <v>1.7400000000000002</v>
      </c>
      <c r="AB52" s="3156"/>
      <c r="AC52" s="2837"/>
      <c r="AD52" s="2838"/>
      <c r="AE52" s="2838"/>
      <c r="AF52" s="2838"/>
      <c r="AG52" s="2838"/>
      <c r="AH52" s="2838"/>
      <c r="AI52" s="2836"/>
      <c r="AN52" s="1"/>
    </row>
    <row r="53" spans="1:40" ht="14" customHeight="1" thickTop="1">
      <c r="A53" s="144"/>
      <c r="B53" s="144"/>
      <c r="C53" s="144"/>
      <c r="D53" s="906"/>
      <c r="E53" s="144"/>
      <c r="F53" s="146"/>
      <c r="G53" s="146"/>
      <c r="H53" s="144"/>
      <c r="I53" s="144"/>
      <c r="J53" s="144"/>
      <c r="K53" s="144"/>
      <c r="L53" s="144"/>
      <c r="M53" s="144"/>
      <c r="N53" s="1278"/>
      <c r="O53" s="144"/>
      <c r="P53" s="144"/>
      <c r="Q53" s="144"/>
      <c r="R53" s="146"/>
      <c r="S53" s="144"/>
      <c r="T53" s="144"/>
      <c r="U53" s="3157" t="e">
        <f>IF(#REF!&gt;0,#REF!,#REF!)</f>
        <v>#REF!</v>
      </c>
      <c r="V53" s="3157" t="e">
        <f>IF(#REF!&gt;0,#REF!,#REF!)</f>
        <v>#REF!</v>
      </c>
      <c r="W53" s="3157" t="e">
        <f>IF(#REF!&gt;0,#REF!,#REF!)</f>
        <v>#REF!</v>
      </c>
      <c r="X53" s="3157" t="e">
        <f>IF(#REF!&gt;0,#REF!,#REF!)</f>
        <v>#REF!</v>
      </c>
      <c r="Y53" s="3157" t="e">
        <f>IF(#REF!&gt;0,#REF!,#REF!)</f>
        <v>#REF!</v>
      </c>
      <c r="Z53" s="3157" t="e">
        <f>IF(#REF!&gt;0,#REF!,#REF!)</f>
        <v>#REF!</v>
      </c>
      <c r="AA53" s="3157" t="e">
        <f>IF(#REF!&gt;0,#REF!,#REF!)</f>
        <v>#REF!</v>
      </c>
      <c r="AB53" s="144"/>
      <c r="AC53" s="2867"/>
      <c r="AD53" s="2867"/>
      <c r="AE53" s="2867"/>
      <c r="AF53" s="2867"/>
      <c r="AG53" s="2867"/>
      <c r="AH53" s="2867"/>
      <c r="AI53" s="2825"/>
      <c r="AJ53" s="1"/>
      <c r="AK53" s="1"/>
      <c r="AL53" s="1"/>
      <c r="AM53" s="1"/>
      <c r="AN53" s="1"/>
    </row>
    <row r="54" spans="1:40" ht="14" customHeight="1">
      <c r="A54" s="144"/>
      <c r="B54" s="144"/>
      <c r="C54" s="144"/>
      <c r="D54" s="906"/>
      <c r="E54" s="144"/>
      <c r="F54" s="146"/>
      <c r="G54" s="146"/>
      <c r="H54" s="144"/>
      <c r="I54" s="144"/>
      <c r="J54" s="144"/>
      <c r="K54" s="144"/>
      <c r="L54" s="144"/>
      <c r="M54" s="144"/>
      <c r="N54" s="1278"/>
      <c r="O54" s="144"/>
      <c r="P54" s="144"/>
      <c r="Q54" s="144"/>
      <c r="R54" s="146"/>
      <c r="S54" s="144"/>
      <c r="T54" s="144"/>
      <c r="U54" s="3157" t="e">
        <f>IF(U53&gt;0,U53,#REF!)</f>
        <v>#REF!</v>
      </c>
      <c r="V54" s="3157" t="e">
        <f>IF(V53&gt;0,V53,#REF!)</f>
        <v>#REF!</v>
      </c>
      <c r="W54" s="3157" t="e">
        <f>IF(W53&gt;0,W53,#REF!)</f>
        <v>#REF!</v>
      </c>
      <c r="X54" s="3157" t="e">
        <f>IF(X53&gt;0,X53,#REF!)</f>
        <v>#REF!</v>
      </c>
      <c r="Y54" s="3157" t="e">
        <f>IF(Y53&gt;0,Y53,#REF!)</f>
        <v>#REF!</v>
      </c>
      <c r="Z54" s="3157" t="e">
        <f>IF(Z53&gt;0,Z53,#REF!)</f>
        <v>#REF!</v>
      </c>
      <c r="AA54" s="3157" t="e">
        <f>IF(AA53&gt;0,AA53,#REF!)</f>
        <v>#REF!</v>
      </c>
      <c r="AB54" s="144"/>
      <c r="AC54" s="2867"/>
      <c r="AD54" s="2867"/>
      <c r="AE54" s="2867"/>
      <c r="AF54" s="2867"/>
      <c r="AG54" s="2867"/>
      <c r="AH54" s="2867"/>
      <c r="AI54" s="2825"/>
      <c r="AJ54" s="1"/>
      <c r="AK54" s="1"/>
      <c r="AL54" s="1"/>
      <c r="AM54" s="1"/>
      <c r="AN54" s="1"/>
    </row>
    <row r="55" spans="1:40" ht="14" customHeight="1">
      <c r="A55" s="144"/>
      <c r="B55" s="144"/>
      <c r="C55" s="144"/>
      <c r="D55" s="906"/>
      <c r="E55" s="144"/>
      <c r="F55" s="146"/>
      <c r="G55" s="146"/>
      <c r="H55" s="144"/>
      <c r="I55" s="144"/>
      <c r="J55" s="144"/>
      <c r="K55" s="144"/>
      <c r="L55" s="144"/>
      <c r="M55" s="144"/>
      <c r="N55" s="1278"/>
      <c r="O55" s="144"/>
      <c r="P55" s="144"/>
      <c r="Q55" s="144"/>
      <c r="R55" s="146"/>
      <c r="S55" s="144"/>
      <c r="T55" s="144"/>
      <c r="U55" s="3157" t="e">
        <f t="shared" ref="U55:AA70" si="61">IF(U54&gt;0,U54,U53)</f>
        <v>#REF!</v>
      </c>
      <c r="V55" s="3157" t="e">
        <f t="shared" si="61"/>
        <v>#REF!</v>
      </c>
      <c r="W55" s="3157" t="e">
        <f t="shared" si="61"/>
        <v>#REF!</v>
      </c>
      <c r="X55" s="3157" t="e">
        <f t="shared" si="61"/>
        <v>#REF!</v>
      </c>
      <c r="Y55" s="3157" t="e">
        <f t="shared" si="61"/>
        <v>#REF!</v>
      </c>
      <c r="Z55" s="3157" t="e">
        <f t="shared" si="61"/>
        <v>#REF!</v>
      </c>
      <c r="AA55" s="3157" t="e">
        <f t="shared" si="61"/>
        <v>#REF!</v>
      </c>
      <c r="AB55" s="144"/>
      <c r="AC55" s="2867">
        <v>0</v>
      </c>
      <c r="AD55" s="2867">
        <v>0</v>
      </c>
      <c r="AE55" s="2867">
        <v>0</v>
      </c>
      <c r="AF55" s="2867">
        <v>0</v>
      </c>
      <c r="AG55" s="2867">
        <v>0</v>
      </c>
      <c r="AH55" s="2867">
        <v>0</v>
      </c>
      <c r="AI55" s="2825"/>
      <c r="AJ55" s="1"/>
      <c r="AK55" s="1"/>
      <c r="AL55" s="1"/>
      <c r="AM55" s="1"/>
      <c r="AN55" s="1"/>
    </row>
    <row r="56" spans="1:40" ht="14" customHeight="1">
      <c r="A56" s="144"/>
      <c r="B56" s="144"/>
      <c r="C56" s="144"/>
      <c r="D56" s="906"/>
      <c r="E56" s="144"/>
      <c r="F56" s="146"/>
      <c r="G56" s="146"/>
      <c r="H56" s="144"/>
      <c r="I56" s="144"/>
      <c r="J56" s="144"/>
      <c r="K56" s="144"/>
      <c r="L56" s="144"/>
      <c r="M56" s="144"/>
      <c r="N56" s="1278"/>
      <c r="O56" s="144"/>
      <c r="P56" s="144"/>
      <c r="Q56" s="144"/>
      <c r="R56" s="146"/>
      <c r="S56" s="144"/>
      <c r="T56" s="144"/>
      <c r="U56" s="3157" t="e">
        <f t="shared" si="61"/>
        <v>#REF!</v>
      </c>
      <c r="V56" s="3157" t="e">
        <f t="shared" si="61"/>
        <v>#REF!</v>
      </c>
      <c r="W56" s="3157" t="e">
        <f t="shared" si="61"/>
        <v>#REF!</v>
      </c>
      <c r="X56" s="3157" t="e">
        <f t="shared" si="61"/>
        <v>#REF!</v>
      </c>
      <c r="Y56" s="3157" t="e">
        <f t="shared" si="61"/>
        <v>#REF!</v>
      </c>
      <c r="Z56" s="3157" t="e">
        <f t="shared" si="61"/>
        <v>#REF!</v>
      </c>
      <c r="AA56" s="3157" t="e">
        <f t="shared" si="61"/>
        <v>#REF!</v>
      </c>
      <c r="AB56" s="144"/>
      <c r="AC56" s="2867">
        <v>0</v>
      </c>
      <c r="AD56" s="2867">
        <v>0</v>
      </c>
      <c r="AE56" s="2867">
        <v>0</v>
      </c>
      <c r="AF56" s="2867">
        <v>0</v>
      </c>
      <c r="AG56" s="2867">
        <v>0</v>
      </c>
      <c r="AH56" s="2867">
        <v>0</v>
      </c>
      <c r="AI56" s="2825"/>
      <c r="AJ56" s="1"/>
      <c r="AK56" s="1"/>
      <c r="AL56" s="1"/>
      <c r="AM56" s="1"/>
      <c r="AN56" s="1"/>
    </row>
    <row r="57" spans="1:40" ht="14" customHeight="1">
      <c r="A57" s="144"/>
      <c r="B57" s="144"/>
      <c r="C57" s="144"/>
      <c r="D57" s="906"/>
      <c r="E57" s="144"/>
      <c r="F57" s="146"/>
      <c r="G57" s="146"/>
      <c r="H57" s="144"/>
      <c r="I57" s="144"/>
      <c r="J57" s="144"/>
      <c r="K57" s="144"/>
      <c r="L57" s="144"/>
      <c r="M57" s="144"/>
      <c r="N57" s="1278"/>
      <c r="O57" s="144"/>
      <c r="P57" s="144"/>
      <c r="Q57" s="144"/>
      <c r="R57" s="146"/>
      <c r="S57" s="144"/>
      <c r="T57" s="144"/>
      <c r="U57" s="3157" t="e">
        <f t="shared" si="61"/>
        <v>#REF!</v>
      </c>
      <c r="V57" s="3157" t="e">
        <f t="shared" si="61"/>
        <v>#REF!</v>
      </c>
      <c r="W57" s="3157" t="e">
        <f t="shared" si="61"/>
        <v>#REF!</v>
      </c>
      <c r="X57" s="3157" t="e">
        <f t="shared" si="61"/>
        <v>#REF!</v>
      </c>
      <c r="Y57" s="3157" t="e">
        <f t="shared" si="61"/>
        <v>#REF!</v>
      </c>
      <c r="Z57" s="3157" t="e">
        <f t="shared" si="61"/>
        <v>#REF!</v>
      </c>
      <c r="AA57" s="3157" t="e">
        <f t="shared" si="61"/>
        <v>#REF!</v>
      </c>
      <c r="AB57" s="144"/>
      <c r="AC57" s="2867">
        <v>0</v>
      </c>
      <c r="AD57" s="2867">
        <v>0</v>
      </c>
      <c r="AE57" s="2867">
        <v>0</v>
      </c>
      <c r="AF57" s="2867">
        <v>0</v>
      </c>
      <c r="AG57" s="2867">
        <v>0</v>
      </c>
      <c r="AH57" s="2867">
        <v>0</v>
      </c>
      <c r="AI57" s="2825"/>
      <c r="AJ57" s="1"/>
      <c r="AK57" s="1"/>
      <c r="AL57" s="1"/>
      <c r="AM57" s="1"/>
      <c r="AN57" s="1"/>
    </row>
    <row r="58" spans="1:40" ht="14" customHeight="1">
      <c r="A58" s="144"/>
      <c r="B58" s="144"/>
      <c r="C58" s="144"/>
      <c r="D58" s="906"/>
      <c r="E58" s="144"/>
      <c r="F58" s="146"/>
      <c r="G58" s="146"/>
      <c r="H58" s="144"/>
      <c r="I58" s="144"/>
      <c r="J58" s="144"/>
      <c r="K58" s="144"/>
      <c r="L58" s="144"/>
      <c r="M58" s="144"/>
      <c r="N58" s="1278"/>
      <c r="O58" s="144"/>
      <c r="P58" s="144"/>
      <c r="Q58" s="144"/>
      <c r="R58" s="146"/>
      <c r="S58" s="144"/>
      <c r="T58" s="144"/>
      <c r="U58" s="3157" t="e">
        <f t="shared" si="61"/>
        <v>#REF!</v>
      </c>
      <c r="V58" s="3157" t="e">
        <f t="shared" si="61"/>
        <v>#REF!</v>
      </c>
      <c r="W58" s="3157" t="e">
        <f t="shared" si="61"/>
        <v>#REF!</v>
      </c>
      <c r="X58" s="3157" t="e">
        <f t="shared" si="61"/>
        <v>#REF!</v>
      </c>
      <c r="Y58" s="3157" t="e">
        <f t="shared" si="61"/>
        <v>#REF!</v>
      </c>
      <c r="Z58" s="3157" t="e">
        <f t="shared" si="61"/>
        <v>#REF!</v>
      </c>
      <c r="AA58" s="3157" t="e">
        <f t="shared" si="61"/>
        <v>#REF!</v>
      </c>
      <c r="AB58" s="144"/>
      <c r="AC58" s="2867"/>
      <c r="AD58" s="2867"/>
      <c r="AE58" s="2867"/>
      <c r="AF58" s="2867"/>
      <c r="AG58" s="2867"/>
      <c r="AH58" s="2867"/>
      <c r="AI58" s="2825"/>
      <c r="AJ58" s="1"/>
      <c r="AK58" s="1"/>
      <c r="AL58" s="1"/>
      <c r="AM58" s="1"/>
      <c r="AN58" s="1"/>
    </row>
    <row r="59" spans="1:40" ht="14" customHeight="1">
      <c r="A59" s="144"/>
      <c r="B59" s="144"/>
      <c r="C59" s="144"/>
      <c r="D59" s="906"/>
      <c r="E59" s="144"/>
      <c r="F59" s="146"/>
      <c r="G59" s="146"/>
      <c r="H59" s="144"/>
      <c r="I59" s="144"/>
      <c r="J59" s="144"/>
      <c r="K59" s="144"/>
      <c r="L59" s="144"/>
      <c r="M59" s="144"/>
      <c r="N59" s="1278"/>
      <c r="O59" s="144"/>
      <c r="P59" s="144"/>
      <c r="Q59" s="144"/>
      <c r="R59" s="146"/>
      <c r="S59" s="144"/>
      <c r="T59" s="144"/>
      <c r="U59" s="3157" t="e">
        <f t="shared" si="61"/>
        <v>#REF!</v>
      </c>
      <c r="V59" s="3157" t="e">
        <f t="shared" si="61"/>
        <v>#REF!</v>
      </c>
      <c r="W59" s="3157" t="e">
        <f t="shared" si="61"/>
        <v>#REF!</v>
      </c>
      <c r="X59" s="3157" t="e">
        <f t="shared" si="61"/>
        <v>#REF!</v>
      </c>
      <c r="Y59" s="3157" t="e">
        <f t="shared" si="61"/>
        <v>#REF!</v>
      </c>
      <c r="Z59" s="3157" t="e">
        <f t="shared" si="61"/>
        <v>#REF!</v>
      </c>
      <c r="AA59" s="3157" t="e">
        <f t="shared" si="61"/>
        <v>#REF!</v>
      </c>
      <c r="AB59" s="144"/>
      <c r="AC59" s="2867"/>
      <c r="AD59" s="2867"/>
      <c r="AE59" s="2867"/>
      <c r="AF59" s="2867"/>
      <c r="AG59" s="2867"/>
      <c r="AH59" s="2867"/>
      <c r="AI59" s="2825"/>
      <c r="AJ59" s="1"/>
      <c r="AK59" s="1"/>
      <c r="AL59" s="1"/>
      <c r="AM59" s="1"/>
      <c r="AN59" s="1"/>
    </row>
    <row r="60" spans="1:40" ht="14" customHeight="1">
      <c r="A60" s="144"/>
      <c r="B60" s="144"/>
      <c r="C60" s="144"/>
      <c r="D60" s="906"/>
      <c r="E60" s="144"/>
      <c r="F60" s="146"/>
      <c r="G60" s="146"/>
      <c r="H60" s="144"/>
      <c r="I60" s="144"/>
      <c r="J60" s="144"/>
      <c r="K60" s="144"/>
      <c r="L60" s="144"/>
      <c r="M60" s="144"/>
      <c r="N60" s="1278"/>
      <c r="O60" s="144"/>
      <c r="P60" s="144"/>
      <c r="Q60" s="144"/>
      <c r="R60" s="146"/>
      <c r="S60" s="144"/>
      <c r="T60" s="144"/>
      <c r="U60" s="3157" t="e">
        <f t="shared" si="61"/>
        <v>#REF!</v>
      </c>
      <c r="V60" s="3157" t="e">
        <f t="shared" si="61"/>
        <v>#REF!</v>
      </c>
      <c r="W60" s="3157" t="e">
        <f t="shared" si="61"/>
        <v>#REF!</v>
      </c>
      <c r="X60" s="3157" t="e">
        <f t="shared" si="61"/>
        <v>#REF!</v>
      </c>
      <c r="Y60" s="3157" t="e">
        <f t="shared" si="61"/>
        <v>#REF!</v>
      </c>
      <c r="Z60" s="3157" t="e">
        <f t="shared" si="61"/>
        <v>#REF!</v>
      </c>
      <c r="AA60" s="3157" t="e">
        <f t="shared" si="61"/>
        <v>#REF!</v>
      </c>
      <c r="AB60" s="144"/>
      <c r="AC60" s="2867">
        <v>0</v>
      </c>
      <c r="AD60" s="2867">
        <v>0</v>
      </c>
      <c r="AE60" s="2867">
        <v>0</v>
      </c>
      <c r="AF60" s="2867">
        <v>0</v>
      </c>
      <c r="AG60" s="2867">
        <v>0</v>
      </c>
      <c r="AH60" s="2867">
        <v>0</v>
      </c>
      <c r="AI60" s="2825"/>
      <c r="AJ60" s="1"/>
      <c r="AK60" s="1"/>
      <c r="AL60" s="1"/>
      <c r="AM60" s="1"/>
      <c r="AN60" s="1"/>
    </row>
    <row r="61" spans="1:40" ht="14" customHeight="1">
      <c r="A61" s="144"/>
      <c r="B61" s="144"/>
      <c r="C61" s="144"/>
      <c r="D61" s="906"/>
      <c r="E61" s="144"/>
      <c r="F61" s="146"/>
      <c r="G61" s="146"/>
      <c r="H61" s="144"/>
      <c r="I61" s="144"/>
      <c r="J61" s="144"/>
      <c r="K61" s="144"/>
      <c r="L61" s="144"/>
      <c r="M61" s="144"/>
      <c r="N61" s="1278"/>
      <c r="O61" s="144"/>
      <c r="P61" s="144"/>
      <c r="Q61" s="144"/>
      <c r="R61" s="146"/>
      <c r="S61" s="144"/>
      <c r="T61" s="144"/>
      <c r="U61" s="3157" t="e">
        <f t="shared" si="61"/>
        <v>#REF!</v>
      </c>
      <c r="V61" s="3157" t="e">
        <f t="shared" si="61"/>
        <v>#REF!</v>
      </c>
      <c r="W61" s="3157" t="e">
        <f t="shared" si="61"/>
        <v>#REF!</v>
      </c>
      <c r="X61" s="3157" t="e">
        <f t="shared" si="61"/>
        <v>#REF!</v>
      </c>
      <c r="Y61" s="3157" t="e">
        <f t="shared" si="61"/>
        <v>#REF!</v>
      </c>
      <c r="Z61" s="3157" t="e">
        <f t="shared" si="61"/>
        <v>#REF!</v>
      </c>
      <c r="AA61" s="3157" t="e">
        <f t="shared" si="61"/>
        <v>#REF!</v>
      </c>
      <c r="AB61" s="144"/>
      <c r="AC61" s="2867">
        <v>0</v>
      </c>
      <c r="AD61" s="2867">
        <v>0</v>
      </c>
      <c r="AE61" s="2867">
        <v>0</v>
      </c>
      <c r="AF61" s="2867">
        <v>0</v>
      </c>
      <c r="AG61" s="2867">
        <v>0</v>
      </c>
      <c r="AH61" s="2867">
        <v>0</v>
      </c>
      <c r="AI61" s="2825"/>
      <c r="AJ61" s="1"/>
      <c r="AK61" s="1"/>
      <c r="AL61" s="1"/>
      <c r="AM61" s="1"/>
      <c r="AN61" s="1"/>
    </row>
    <row r="62" spans="1:40" ht="14" customHeight="1">
      <c r="A62" s="144"/>
      <c r="B62" s="144"/>
      <c r="C62" s="144"/>
      <c r="D62" s="906"/>
      <c r="E62" s="144"/>
      <c r="F62" s="146"/>
      <c r="G62" s="146"/>
      <c r="H62" s="144"/>
      <c r="I62" s="144"/>
      <c r="J62" s="144"/>
      <c r="K62" s="144"/>
      <c r="L62" s="144"/>
      <c r="M62" s="144"/>
      <c r="N62" s="1278"/>
      <c r="O62" s="144"/>
      <c r="P62" s="144"/>
      <c r="Q62" s="144"/>
      <c r="R62" s="146"/>
      <c r="S62" s="144"/>
      <c r="T62" s="144"/>
      <c r="U62" s="3157" t="e">
        <f t="shared" si="61"/>
        <v>#REF!</v>
      </c>
      <c r="V62" s="3157" t="e">
        <f t="shared" si="61"/>
        <v>#REF!</v>
      </c>
      <c r="W62" s="3157" t="e">
        <f t="shared" si="61"/>
        <v>#REF!</v>
      </c>
      <c r="X62" s="3157" t="e">
        <f t="shared" si="61"/>
        <v>#REF!</v>
      </c>
      <c r="Y62" s="3157" t="e">
        <f t="shared" si="61"/>
        <v>#REF!</v>
      </c>
      <c r="Z62" s="3157" t="e">
        <f t="shared" si="61"/>
        <v>#REF!</v>
      </c>
      <c r="AA62" s="3157" t="e">
        <f t="shared" si="61"/>
        <v>#REF!</v>
      </c>
      <c r="AB62" s="144"/>
      <c r="AC62" s="2867"/>
      <c r="AD62" s="2867"/>
      <c r="AE62" s="2867"/>
      <c r="AF62" s="2867"/>
      <c r="AG62" s="2867"/>
      <c r="AH62" s="2867"/>
      <c r="AI62" s="2825"/>
      <c r="AJ62" s="1"/>
      <c r="AK62" s="1"/>
      <c r="AL62" s="1"/>
      <c r="AM62" s="1"/>
      <c r="AN62" s="1"/>
    </row>
    <row r="63" spans="1:40" ht="14" customHeight="1">
      <c r="A63" s="144"/>
      <c r="B63" s="144"/>
      <c r="C63" s="144"/>
      <c r="D63" s="906"/>
      <c r="E63" s="144"/>
      <c r="F63" s="146"/>
      <c r="G63" s="146"/>
      <c r="H63" s="144"/>
      <c r="I63" s="144"/>
      <c r="J63" s="144"/>
      <c r="K63" s="144"/>
      <c r="L63" s="144"/>
      <c r="M63" s="144"/>
      <c r="N63" s="1278"/>
      <c r="O63" s="144"/>
      <c r="P63" s="144"/>
      <c r="Q63" s="144"/>
      <c r="R63" s="146"/>
      <c r="S63" s="144"/>
      <c r="T63" s="144"/>
      <c r="U63" s="3157" t="e">
        <f t="shared" si="61"/>
        <v>#REF!</v>
      </c>
      <c r="V63" s="3157" t="e">
        <f t="shared" si="61"/>
        <v>#REF!</v>
      </c>
      <c r="W63" s="3157" t="e">
        <f t="shared" si="61"/>
        <v>#REF!</v>
      </c>
      <c r="X63" s="3157" t="e">
        <f t="shared" si="61"/>
        <v>#REF!</v>
      </c>
      <c r="Y63" s="3157" t="e">
        <f t="shared" si="61"/>
        <v>#REF!</v>
      </c>
      <c r="Z63" s="3157" t="e">
        <f t="shared" si="61"/>
        <v>#REF!</v>
      </c>
      <c r="AA63" s="3157" t="e">
        <f t="shared" si="61"/>
        <v>#REF!</v>
      </c>
      <c r="AB63" s="144"/>
      <c r="AC63" s="2867"/>
      <c r="AD63" s="2867"/>
      <c r="AE63" s="2867"/>
      <c r="AF63" s="2867"/>
      <c r="AG63" s="2867"/>
      <c r="AH63" s="2867"/>
      <c r="AI63" s="2825"/>
      <c r="AJ63" s="1"/>
      <c r="AK63" s="1"/>
      <c r="AL63" s="1"/>
      <c r="AM63" s="1"/>
      <c r="AN63" s="1"/>
    </row>
    <row r="64" spans="1:40" ht="14" customHeight="1">
      <c r="A64" s="144"/>
      <c r="B64" s="144"/>
      <c r="C64" s="144"/>
      <c r="D64" s="906"/>
      <c r="E64" s="144"/>
      <c r="F64" s="146"/>
      <c r="G64" s="146"/>
      <c r="H64" s="144"/>
      <c r="I64" s="144"/>
      <c r="J64" s="144"/>
      <c r="K64" s="144"/>
      <c r="L64" s="144"/>
      <c r="M64" s="144"/>
      <c r="N64" s="1278"/>
      <c r="O64" s="144"/>
      <c r="P64" s="144"/>
      <c r="Q64" s="144"/>
      <c r="R64" s="146"/>
      <c r="S64" s="144"/>
      <c r="T64" s="144"/>
      <c r="U64" s="3157" t="e">
        <f t="shared" si="61"/>
        <v>#REF!</v>
      </c>
      <c r="V64" s="3157" t="e">
        <f t="shared" si="61"/>
        <v>#REF!</v>
      </c>
      <c r="W64" s="3157" t="e">
        <f t="shared" si="61"/>
        <v>#REF!</v>
      </c>
      <c r="X64" s="3157" t="e">
        <f t="shared" si="61"/>
        <v>#REF!</v>
      </c>
      <c r="Y64" s="3157" t="e">
        <f t="shared" si="61"/>
        <v>#REF!</v>
      </c>
      <c r="Z64" s="3157" t="e">
        <f t="shared" si="61"/>
        <v>#REF!</v>
      </c>
      <c r="AA64" s="3157" t="e">
        <f t="shared" si="61"/>
        <v>#REF!</v>
      </c>
      <c r="AB64" s="144"/>
      <c r="AC64" s="2867">
        <v>0</v>
      </c>
      <c r="AD64" s="2867">
        <v>0</v>
      </c>
      <c r="AE64" s="2867">
        <v>0</v>
      </c>
      <c r="AF64" s="2867">
        <v>0</v>
      </c>
      <c r="AG64" s="2867">
        <v>0</v>
      </c>
      <c r="AH64" s="2867">
        <v>0</v>
      </c>
      <c r="AI64" s="2825"/>
      <c r="AJ64" s="1"/>
      <c r="AK64" s="1"/>
      <c r="AL64" s="1"/>
      <c r="AM64" s="1"/>
      <c r="AN64" s="1"/>
    </row>
    <row r="65" spans="1:40" ht="14" customHeight="1">
      <c r="A65" s="144"/>
      <c r="B65" s="144"/>
      <c r="C65" s="144"/>
      <c r="D65" s="906"/>
      <c r="E65" s="144"/>
      <c r="F65" s="146"/>
      <c r="G65" s="146"/>
      <c r="H65" s="144"/>
      <c r="I65" s="144"/>
      <c r="J65" s="144"/>
      <c r="K65" s="144"/>
      <c r="L65" s="144"/>
      <c r="M65" s="144"/>
      <c r="N65" s="1278"/>
      <c r="O65" s="144"/>
      <c r="P65" s="144"/>
      <c r="Q65" s="144"/>
      <c r="R65" s="146"/>
      <c r="S65" s="144"/>
      <c r="T65" s="144"/>
      <c r="U65" s="3157" t="e">
        <f t="shared" si="61"/>
        <v>#REF!</v>
      </c>
      <c r="V65" s="3157" t="e">
        <f t="shared" si="61"/>
        <v>#REF!</v>
      </c>
      <c r="W65" s="3157" t="e">
        <f t="shared" si="61"/>
        <v>#REF!</v>
      </c>
      <c r="X65" s="3157" t="e">
        <f t="shared" si="61"/>
        <v>#REF!</v>
      </c>
      <c r="Y65" s="3157" t="e">
        <f t="shared" si="61"/>
        <v>#REF!</v>
      </c>
      <c r="Z65" s="3157" t="e">
        <f t="shared" si="61"/>
        <v>#REF!</v>
      </c>
      <c r="AA65" s="3157" t="e">
        <f t="shared" si="61"/>
        <v>#REF!</v>
      </c>
      <c r="AB65" s="144"/>
      <c r="AC65" s="2867">
        <v>0</v>
      </c>
      <c r="AD65" s="2867">
        <v>0</v>
      </c>
      <c r="AE65" s="2867">
        <v>0</v>
      </c>
      <c r="AF65" s="2867">
        <v>0</v>
      </c>
      <c r="AG65" s="2867">
        <v>0</v>
      </c>
      <c r="AH65" s="2867">
        <v>0</v>
      </c>
      <c r="AI65" s="2825"/>
      <c r="AJ65" s="1"/>
      <c r="AK65" s="1"/>
      <c r="AL65" s="1"/>
      <c r="AM65" s="1"/>
      <c r="AN65" s="1"/>
    </row>
    <row r="66" spans="1:40" ht="14" customHeight="1">
      <c r="A66" s="144"/>
      <c r="B66" s="144"/>
      <c r="C66" s="144"/>
      <c r="D66" s="906"/>
      <c r="E66" s="144"/>
      <c r="F66" s="146"/>
      <c r="G66" s="146"/>
      <c r="H66" s="144"/>
      <c r="I66" s="144"/>
      <c r="J66" s="144"/>
      <c r="K66" s="144"/>
      <c r="L66" s="144"/>
      <c r="M66" s="144"/>
      <c r="N66" s="1278"/>
      <c r="O66" s="144"/>
      <c r="P66" s="144"/>
      <c r="Q66" s="144"/>
      <c r="R66" s="146"/>
      <c r="S66" s="144"/>
      <c r="T66" s="144"/>
      <c r="U66" s="3157" t="e">
        <f t="shared" si="61"/>
        <v>#REF!</v>
      </c>
      <c r="V66" s="3157" t="e">
        <f t="shared" si="61"/>
        <v>#REF!</v>
      </c>
      <c r="W66" s="3157" t="e">
        <f t="shared" si="61"/>
        <v>#REF!</v>
      </c>
      <c r="X66" s="3157" t="e">
        <f t="shared" si="61"/>
        <v>#REF!</v>
      </c>
      <c r="Y66" s="3157" t="e">
        <f t="shared" si="61"/>
        <v>#REF!</v>
      </c>
      <c r="Z66" s="3157" t="e">
        <f t="shared" si="61"/>
        <v>#REF!</v>
      </c>
      <c r="AA66" s="3157" t="e">
        <f t="shared" si="61"/>
        <v>#REF!</v>
      </c>
      <c r="AB66" s="144"/>
      <c r="AC66" s="2867">
        <v>0</v>
      </c>
      <c r="AD66" s="2867">
        <v>0</v>
      </c>
      <c r="AE66" s="2867">
        <v>0</v>
      </c>
      <c r="AF66" s="2867">
        <v>0</v>
      </c>
      <c r="AG66" s="2867">
        <v>0</v>
      </c>
      <c r="AH66" s="2867">
        <v>0</v>
      </c>
      <c r="AI66" s="2825"/>
      <c r="AJ66" s="1"/>
      <c r="AK66" s="1"/>
      <c r="AL66" s="1"/>
      <c r="AM66" s="1"/>
      <c r="AN66" s="1"/>
    </row>
    <row r="67" spans="1:40" ht="14" customHeight="1">
      <c r="A67" s="144"/>
      <c r="B67" s="144"/>
      <c r="C67" s="144"/>
      <c r="D67" s="906"/>
      <c r="E67" s="144"/>
      <c r="F67" s="146"/>
      <c r="G67" s="146"/>
      <c r="H67" s="144"/>
      <c r="I67" s="144"/>
      <c r="J67" s="144"/>
      <c r="K67" s="144"/>
      <c r="L67" s="144"/>
      <c r="M67" s="144"/>
      <c r="N67" s="1278"/>
      <c r="O67" s="144"/>
      <c r="P67" s="144"/>
      <c r="Q67" s="144"/>
      <c r="R67" s="146"/>
      <c r="S67" s="144"/>
      <c r="T67" s="144"/>
      <c r="U67" s="3157" t="e">
        <f t="shared" si="61"/>
        <v>#REF!</v>
      </c>
      <c r="V67" s="3157" t="e">
        <f t="shared" si="61"/>
        <v>#REF!</v>
      </c>
      <c r="W67" s="3157" t="e">
        <f t="shared" si="61"/>
        <v>#REF!</v>
      </c>
      <c r="X67" s="3157" t="e">
        <f t="shared" si="61"/>
        <v>#REF!</v>
      </c>
      <c r="Y67" s="3157" t="e">
        <f t="shared" si="61"/>
        <v>#REF!</v>
      </c>
      <c r="Z67" s="3157" t="e">
        <f t="shared" si="61"/>
        <v>#REF!</v>
      </c>
      <c r="AA67" s="3157" t="e">
        <f t="shared" si="61"/>
        <v>#REF!</v>
      </c>
      <c r="AB67" s="144"/>
      <c r="AC67" s="2867">
        <v>0</v>
      </c>
      <c r="AD67" s="2867">
        <v>0</v>
      </c>
      <c r="AE67" s="2867">
        <v>0</v>
      </c>
      <c r="AF67" s="2867">
        <v>0</v>
      </c>
      <c r="AG67" s="2867">
        <v>0</v>
      </c>
      <c r="AH67" s="2867">
        <v>0</v>
      </c>
      <c r="AI67" s="2825"/>
      <c r="AJ67" s="1"/>
      <c r="AK67" s="1"/>
      <c r="AL67" s="1"/>
      <c r="AM67" s="1"/>
      <c r="AN67" s="1"/>
    </row>
    <row r="68" spans="1:40" ht="14" customHeight="1">
      <c r="A68" s="144"/>
      <c r="B68" s="144"/>
      <c r="C68" s="144"/>
      <c r="D68" s="906"/>
      <c r="E68" s="144"/>
      <c r="F68" s="146"/>
      <c r="G68" s="146"/>
      <c r="H68" s="144"/>
      <c r="I68" s="144"/>
      <c r="J68" s="144"/>
      <c r="K68" s="144"/>
      <c r="L68" s="144"/>
      <c r="M68" s="144"/>
      <c r="N68" s="1278"/>
      <c r="O68" s="144"/>
      <c r="P68" s="144"/>
      <c r="Q68" s="144"/>
      <c r="R68" s="146"/>
      <c r="S68" s="144"/>
      <c r="T68" s="144"/>
      <c r="U68" s="3157" t="e">
        <f t="shared" si="61"/>
        <v>#REF!</v>
      </c>
      <c r="V68" s="3157" t="e">
        <f t="shared" si="61"/>
        <v>#REF!</v>
      </c>
      <c r="W68" s="3157" t="e">
        <f t="shared" si="61"/>
        <v>#REF!</v>
      </c>
      <c r="X68" s="3157" t="e">
        <f t="shared" si="61"/>
        <v>#REF!</v>
      </c>
      <c r="Y68" s="3157" t="e">
        <f t="shared" si="61"/>
        <v>#REF!</v>
      </c>
      <c r="Z68" s="3157" t="e">
        <f t="shared" si="61"/>
        <v>#REF!</v>
      </c>
      <c r="AA68" s="3157" t="e">
        <f t="shared" si="61"/>
        <v>#REF!</v>
      </c>
      <c r="AB68" s="144"/>
      <c r="AC68" s="2867"/>
      <c r="AD68" s="2867"/>
      <c r="AE68" s="2867"/>
      <c r="AF68" s="2867"/>
      <c r="AG68" s="2867"/>
      <c r="AH68" s="2867"/>
      <c r="AI68" s="2825"/>
      <c r="AJ68" s="1"/>
      <c r="AK68" s="1"/>
      <c r="AL68" s="1"/>
      <c r="AM68" s="1"/>
      <c r="AN68" s="1"/>
    </row>
    <row r="69" spans="1:40" ht="14" customHeight="1">
      <c r="A69" s="144"/>
      <c r="B69" s="144"/>
      <c r="C69" s="144"/>
      <c r="D69" s="906"/>
      <c r="E69" s="144"/>
      <c r="F69" s="146"/>
      <c r="G69" s="146"/>
      <c r="H69" s="144"/>
      <c r="I69" s="144"/>
      <c r="J69" s="144"/>
      <c r="K69" s="144"/>
      <c r="L69" s="144"/>
      <c r="M69" s="144"/>
      <c r="N69" s="1278"/>
      <c r="O69" s="144"/>
      <c r="P69" s="144"/>
      <c r="Q69" s="144"/>
      <c r="R69" s="146"/>
      <c r="S69" s="144"/>
      <c r="T69" s="144"/>
      <c r="U69" s="3157" t="e">
        <f t="shared" si="61"/>
        <v>#REF!</v>
      </c>
      <c r="V69" s="3157" t="e">
        <f t="shared" si="61"/>
        <v>#REF!</v>
      </c>
      <c r="W69" s="3157" t="e">
        <f t="shared" si="61"/>
        <v>#REF!</v>
      </c>
      <c r="X69" s="3157" t="e">
        <f t="shared" si="61"/>
        <v>#REF!</v>
      </c>
      <c r="Y69" s="3157" t="e">
        <f t="shared" si="61"/>
        <v>#REF!</v>
      </c>
      <c r="Z69" s="3157" t="e">
        <f t="shared" si="61"/>
        <v>#REF!</v>
      </c>
      <c r="AA69" s="3157" t="e">
        <f t="shared" si="61"/>
        <v>#REF!</v>
      </c>
      <c r="AB69" s="144"/>
      <c r="AC69" s="2867">
        <v>0</v>
      </c>
      <c r="AD69" s="2867">
        <v>0</v>
      </c>
      <c r="AE69" s="2867">
        <v>0</v>
      </c>
      <c r="AF69" s="2867">
        <v>0</v>
      </c>
      <c r="AG69" s="2867">
        <v>0</v>
      </c>
      <c r="AH69" s="2867">
        <v>0</v>
      </c>
      <c r="AI69" s="2825"/>
      <c r="AJ69" s="1"/>
      <c r="AK69" s="1"/>
      <c r="AL69" s="1"/>
      <c r="AM69" s="1"/>
      <c r="AN69" s="1"/>
    </row>
    <row r="70" spans="1:40" ht="14" customHeight="1">
      <c r="A70" s="144"/>
      <c r="B70" s="144"/>
      <c r="C70" s="144"/>
      <c r="D70" s="906"/>
      <c r="E70" s="144"/>
      <c r="F70" s="146"/>
      <c r="G70" s="146"/>
      <c r="H70" s="144"/>
      <c r="I70" s="144"/>
      <c r="J70" s="144"/>
      <c r="K70" s="144"/>
      <c r="L70" s="144"/>
      <c r="M70" s="144"/>
      <c r="N70" s="1278"/>
      <c r="O70" s="144"/>
      <c r="P70" s="144"/>
      <c r="Q70" s="144"/>
      <c r="R70" s="146"/>
      <c r="S70" s="144"/>
      <c r="T70" s="144"/>
      <c r="U70" s="3157" t="e">
        <f t="shared" si="61"/>
        <v>#REF!</v>
      </c>
      <c r="V70" s="3157" t="e">
        <f t="shared" si="61"/>
        <v>#REF!</v>
      </c>
      <c r="W70" s="3157" t="e">
        <f t="shared" si="61"/>
        <v>#REF!</v>
      </c>
      <c r="X70" s="3157" t="e">
        <f t="shared" si="61"/>
        <v>#REF!</v>
      </c>
      <c r="Y70" s="3157" t="e">
        <f t="shared" si="61"/>
        <v>#REF!</v>
      </c>
      <c r="Z70" s="3157" t="e">
        <f t="shared" si="61"/>
        <v>#REF!</v>
      </c>
      <c r="AA70" s="3157" t="e">
        <f t="shared" si="61"/>
        <v>#REF!</v>
      </c>
      <c r="AB70" s="144"/>
      <c r="AC70" s="2867">
        <v>0</v>
      </c>
      <c r="AD70" s="2867">
        <v>0</v>
      </c>
      <c r="AE70" s="2867">
        <v>0</v>
      </c>
      <c r="AF70" s="2867">
        <v>0</v>
      </c>
      <c r="AG70" s="2867">
        <v>0</v>
      </c>
      <c r="AH70" s="2867">
        <v>0</v>
      </c>
      <c r="AI70" s="2825"/>
      <c r="AJ70" s="1"/>
      <c r="AK70" s="1"/>
      <c r="AL70" s="1"/>
      <c r="AM70" s="1"/>
      <c r="AN70" s="1"/>
    </row>
    <row r="71" spans="1:40" ht="14" customHeight="1">
      <c r="A71" s="144"/>
      <c r="B71" s="144"/>
      <c r="C71" s="144"/>
      <c r="D71" s="906"/>
      <c r="E71" s="144"/>
      <c r="F71" s="146"/>
      <c r="G71" s="146"/>
      <c r="H71" s="144"/>
      <c r="I71" s="144"/>
      <c r="J71" s="144"/>
      <c r="K71" s="144"/>
      <c r="L71" s="144"/>
      <c r="M71" s="144"/>
      <c r="N71" s="1278"/>
      <c r="O71" s="144"/>
      <c r="P71" s="144"/>
      <c r="Q71" s="144"/>
      <c r="R71" s="146"/>
      <c r="S71" s="144"/>
      <c r="T71" s="144"/>
      <c r="U71" s="3157" t="e">
        <f t="shared" ref="U71:AA86" si="62">IF(U70&gt;0,U70,U69)</f>
        <v>#REF!</v>
      </c>
      <c r="V71" s="3157" t="e">
        <f t="shared" si="62"/>
        <v>#REF!</v>
      </c>
      <c r="W71" s="3157" t="e">
        <f t="shared" si="62"/>
        <v>#REF!</v>
      </c>
      <c r="X71" s="3157" t="e">
        <f t="shared" si="62"/>
        <v>#REF!</v>
      </c>
      <c r="Y71" s="3157" t="e">
        <f t="shared" si="62"/>
        <v>#REF!</v>
      </c>
      <c r="Z71" s="3157" t="e">
        <f t="shared" si="62"/>
        <v>#REF!</v>
      </c>
      <c r="AA71" s="3157" t="e">
        <f t="shared" si="62"/>
        <v>#REF!</v>
      </c>
      <c r="AB71" s="144"/>
      <c r="AC71" s="2867"/>
      <c r="AD71" s="2867"/>
      <c r="AE71" s="2867"/>
      <c r="AF71" s="2867"/>
      <c r="AG71" s="2867"/>
      <c r="AH71" s="2867"/>
      <c r="AI71" s="2825"/>
      <c r="AJ71" s="1"/>
      <c r="AK71" s="1"/>
      <c r="AL71" s="1"/>
      <c r="AM71" s="1"/>
      <c r="AN71" s="1"/>
    </row>
    <row r="72" spans="1:40" ht="14" customHeight="1">
      <c r="A72" s="144"/>
      <c r="B72" s="144"/>
      <c r="C72" s="144"/>
      <c r="D72" s="906"/>
      <c r="E72" s="144"/>
      <c r="F72" s="146"/>
      <c r="G72" s="146"/>
      <c r="H72" s="144"/>
      <c r="I72" s="144"/>
      <c r="J72" s="144"/>
      <c r="K72" s="144"/>
      <c r="L72" s="144"/>
      <c r="M72" s="144"/>
      <c r="N72" s="1278"/>
      <c r="O72" s="144"/>
      <c r="P72" s="144"/>
      <c r="Q72" s="144"/>
      <c r="R72" s="146"/>
      <c r="S72" s="144"/>
      <c r="T72" s="144"/>
      <c r="U72" s="3157" t="e">
        <f t="shared" si="62"/>
        <v>#REF!</v>
      </c>
      <c r="V72" s="3157" t="e">
        <f t="shared" si="62"/>
        <v>#REF!</v>
      </c>
      <c r="W72" s="3157" t="e">
        <f t="shared" si="62"/>
        <v>#REF!</v>
      </c>
      <c r="X72" s="3157" t="e">
        <f t="shared" si="62"/>
        <v>#REF!</v>
      </c>
      <c r="Y72" s="3157" t="e">
        <f t="shared" si="62"/>
        <v>#REF!</v>
      </c>
      <c r="Z72" s="3157" t="e">
        <f t="shared" si="62"/>
        <v>#REF!</v>
      </c>
      <c r="AA72" s="3157" t="e">
        <f t="shared" si="62"/>
        <v>#REF!</v>
      </c>
      <c r="AB72" s="144"/>
      <c r="AC72" s="2867"/>
      <c r="AD72" s="2867"/>
      <c r="AE72" s="2867"/>
      <c r="AF72" s="2867"/>
      <c r="AG72" s="2867"/>
      <c r="AH72" s="2867"/>
      <c r="AI72" s="2825"/>
      <c r="AJ72" s="1"/>
      <c r="AK72" s="1"/>
      <c r="AL72" s="1"/>
      <c r="AM72" s="1"/>
      <c r="AN72" s="1"/>
    </row>
    <row r="73" spans="1:40" ht="14" customHeight="1">
      <c r="A73" s="144"/>
      <c r="B73" s="144"/>
      <c r="C73" s="144"/>
      <c r="D73" s="906"/>
      <c r="E73" s="144"/>
      <c r="F73" s="146"/>
      <c r="G73" s="146"/>
      <c r="H73" s="144"/>
      <c r="I73" s="144"/>
      <c r="J73" s="144"/>
      <c r="K73" s="144"/>
      <c r="L73" s="144"/>
      <c r="M73" s="144"/>
      <c r="N73" s="1278"/>
      <c r="O73" s="144"/>
      <c r="P73" s="144"/>
      <c r="Q73" s="144"/>
      <c r="R73" s="146"/>
      <c r="S73" s="144"/>
      <c r="T73" s="144"/>
      <c r="U73" s="3157" t="e">
        <f t="shared" si="62"/>
        <v>#REF!</v>
      </c>
      <c r="V73" s="3157" t="e">
        <f t="shared" si="62"/>
        <v>#REF!</v>
      </c>
      <c r="W73" s="3157" t="e">
        <f t="shared" si="62"/>
        <v>#REF!</v>
      </c>
      <c r="X73" s="3157" t="e">
        <f t="shared" si="62"/>
        <v>#REF!</v>
      </c>
      <c r="Y73" s="3157" t="e">
        <f t="shared" si="62"/>
        <v>#REF!</v>
      </c>
      <c r="Z73" s="3157" t="e">
        <f t="shared" si="62"/>
        <v>#REF!</v>
      </c>
      <c r="AA73" s="3157" t="e">
        <f t="shared" si="62"/>
        <v>#REF!</v>
      </c>
      <c r="AB73" s="144"/>
      <c r="AC73" s="2867">
        <v>0</v>
      </c>
      <c r="AD73" s="2867">
        <v>0</v>
      </c>
      <c r="AE73" s="2867">
        <v>0</v>
      </c>
      <c r="AF73" s="2867">
        <v>0</v>
      </c>
      <c r="AG73" s="2867">
        <v>0</v>
      </c>
      <c r="AH73" s="2867">
        <v>0</v>
      </c>
      <c r="AI73" s="2825"/>
      <c r="AJ73" s="1"/>
      <c r="AK73" s="1"/>
      <c r="AL73" s="1"/>
      <c r="AM73" s="1"/>
      <c r="AN73" s="1"/>
    </row>
    <row r="74" spans="1:40" ht="14" customHeight="1">
      <c r="A74" s="144"/>
      <c r="B74" s="144"/>
      <c r="C74" s="144"/>
      <c r="D74" s="906"/>
      <c r="E74" s="144"/>
      <c r="F74" s="146"/>
      <c r="G74" s="146"/>
      <c r="H74" s="144"/>
      <c r="I74" s="144"/>
      <c r="J74" s="144"/>
      <c r="K74" s="144"/>
      <c r="L74" s="144"/>
      <c r="M74" s="144"/>
      <c r="N74" s="1278"/>
      <c r="O74" s="144"/>
      <c r="P74" s="144"/>
      <c r="Q74" s="144"/>
      <c r="R74" s="146"/>
      <c r="S74" s="144"/>
      <c r="T74" s="144"/>
      <c r="U74" s="3157" t="e">
        <f t="shared" si="62"/>
        <v>#REF!</v>
      </c>
      <c r="V74" s="3157" t="e">
        <f t="shared" si="62"/>
        <v>#REF!</v>
      </c>
      <c r="W74" s="3157" t="e">
        <f t="shared" si="62"/>
        <v>#REF!</v>
      </c>
      <c r="X74" s="3157" t="e">
        <f t="shared" si="62"/>
        <v>#REF!</v>
      </c>
      <c r="Y74" s="3157" t="e">
        <f t="shared" si="62"/>
        <v>#REF!</v>
      </c>
      <c r="Z74" s="3157" t="e">
        <f t="shared" si="62"/>
        <v>#REF!</v>
      </c>
      <c r="AA74" s="3157" t="e">
        <f t="shared" si="62"/>
        <v>#REF!</v>
      </c>
      <c r="AB74" s="144"/>
      <c r="AC74" s="2867">
        <v>0</v>
      </c>
      <c r="AD74" s="2867">
        <v>0</v>
      </c>
      <c r="AE74" s="2867">
        <v>0</v>
      </c>
      <c r="AF74" s="2867">
        <v>0</v>
      </c>
      <c r="AG74" s="2867">
        <v>0</v>
      </c>
      <c r="AH74" s="2867">
        <v>0</v>
      </c>
      <c r="AI74" s="2825"/>
      <c r="AJ74" s="1"/>
      <c r="AK74" s="1"/>
      <c r="AL74" s="1"/>
      <c r="AM74" s="1"/>
      <c r="AN74" s="1"/>
    </row>
    <row r="75" spans="1:40" ht="14" customHeight="1">
      <c r="A75" s="144"/>
      <c r="B75" s="144"/>
      <c r="C75" s="144"/>
      <c r="D75" s="906"/>
      <c r="E75" s="144"/>
      <c r="F75" s="146"/>
      <c r="G75" s="146"/>
      <c r="H75" s="144"/>
      <c r="I75" s="144"/>
      <c r="J75" s="144"/>
      <c r="K75" s="144"/>
      <c r="L75" s="144"/>
      <c r="M75" s="144"/>
      <c r="N75" s="1278"/>
      <c r="O75" s="144"/>
      <c r="P75" s="144"/>
      <c r="Q75" s="144"/>
      <c r="R75" s="146"/>
      <c r="S75" s="144"/>
      <c r="T75" s="144"/>
      <c r="U75" s="3157" t="e">
        <f t="shared" si="62"/>
        <v>#REF!</v>
      </c>
      <c r="V75" s="3157" t="e">
        <f t="shared" si="62"/>
        <v>#REF!</v>
      </c>
      <c r="W75" s="3157" t="e">
        <f t="shared" si="62"/>
        <v>#REF!</v>
      </c>
      <c r="X75" s="3157" t="e">
        <f t="shared" si="62"/>
        <v>#REF!</v>
      </c>
      <c r="Y75" s="3157" t="e">
        <f t="shared" si="62"/>
        <v>#REF!</v>
      </c>
      <c r="Z75" s="3157" t="e">
        <f t="shared" si="62"/>
        <v>#REF!</v>
      </c>
      <c r="AA75" s="3157" t="e">
        <f t="shared" si="62"/>
        <v>#REF!</v>
      </c>
      <c r="AB75" s="144"/>
      <c r="AC75" s="2867">
        <v>0</v>
      </c>
      <c r="AD75" s="2867">
        <v>0</v>
      </c>
      <c r="AE75" s="2867">
        <v>0</v>
      </c>
      <c r="AF75" s="2867">
        <v>0</v>
      </c>
      <c r="AG75" s="2867">
        <v>0</v>
      </c>
      <c r="AH75" s="2867">
        <v>0</v>
      </c>
      <c r="AI75" s="2825"/>
      <c r="AJ75" s="1"/>
      <c r="AK75" s="1"/>
      <c r="AL75" s="1"/>
      <c r="AM75" s="1"/>
      <c r="AN75" s="1"/>
    </row>
    <row r="76" spans="1:40" ht="14" customHeight="1">
      <c r="A76" s="144"/>
      <c r="B76" s="144"/>
      <c r="C76" s="144"/>
      <c r="D76" s="906"/>
      <c r="E76" s="144"/>
      <c r="F76" s="146"/>
      <c r="G76" s="146"/>
      <c r="H76" s="144"/>
      <c r="I76" s="144"/>
      <c r="J76" s="144"/>
      <c r="K76" s="144"/>
      <c r="L76" s="144"/>
      <c r="M76" s="144"/>
      <c r="N76" s="1278"/>
      <c r="O76" s="144"/>
      <c r="P76" s="144"/>
      <c r="Q76" s="144"/>
      <c r="R76" s="146"/>
      <c r="S76" s="144"/>
      <c r="T76" s="144"/>
      <c r="U76" s="3157" t="e">
        <f t="shared" si="62"/>
        <v>#REF!</v>
      </c>
      <c r="V76" s="3157" t="e">
        <f t="shared" si="62"/>
        <v>#REF!</v>
      </c>
      <c r="W76" s="3157" t="e">
        <f t="shared" si="62"/>
        <v>#REF!</v>
      </c>
      <c r="X76" s="3157" t="e">
        <f t="shared" si="62"/>
        <v>#REF!</v>
      </c>
      <c r="Y76" s="3157" t="e">
        <f t="shared" si="62"/>
        <v>#REF!</v>
      </c>
      <c r="Z76" s="3157" t="e">
        <f t="shared" si="62"/>
        <v>#REF!</v>
      </c>
      <c r="AA76" s="3157" t="e">
        <f t="shared" si="62"/>
        <v>#REF!</v>
      </c>
      <c r="AB76" s="144"/>
      <c r="AC76" s="2867"/>
      <c r="AD76" s="2867"/>
      <c r="AE76" s="2867"/>
      <c r="AF76" s="2867"/>
      <c r="AG76" s="2867"/>
      <c r="AH76" s="2867"/>
      <c r="AI76" s="2825"/>
      <c r="AJ76" s="1"/>
      <c r="AK76" s="1"/>
      <c r="AL76" s="1"/>
      <c r="AM76" s="1"/>
      <c r="AN76" s="1"/>
    </row>
    <row r="77" spans="1:40" ht="14" customHeight="1">
      <c r="A77" s="144"/>
      <c r="B77" s="144"/>
      <c r="C77" s="144"/>
      <c r="D77" s="906"/>
      <c r="E77" s="144"/>
      <c r="F77" s="146"/>
      <c r="G77" s="146"/>
      <c r="H77" s="144"/>
      <c r="I77" s="144"/>
      <c r="J77" s="144"/>
      <c r="K77" s="144"/>
      <c r="L77" s="144"/>
      <c r="M77" s="144"/>
      <c r="N77" s="1278"/>
      <c r="O77" s="144"/>
      <c r="P77" s="144"/>
      <c r="Q77" s="144"/>
      <c r="R77" s="146"/>
      <c r="S77" s="144"/>
      <c r="T77" s="144"/>
      <c r="U77" s="3157" t="e">
        <f t="shared" si="62"/>
        <v>#REF!</v>
      </c>
      <c r="V77" s="3157" t="e">
        <f t="shared" si="62"/>
        <v>#REF!</v>
      </c>
      <c r="W77" s="3157" t="e">
        <f t="shared" si="62"/>
        <v>#REF!</v>
      </c>
      <c r="X77" s="3157" t="e">
        <f t="shared" si="62"/>
        <v>#REF!</v>
      </c>
      <c r="Y77" s="3157" t="e">
        <f t="shared" si="62"/>
        <v>#REF!</v>
      </c>
      <c r="Z77" s="3157" t="e">
        <f t="shared" si="62"/>
        <v>#REF!</v>
      </c>
      <c r="AA77" s="3157" t="e">
        <f t="shared" si="62"/>
        <v>#REF!</v>
      </c>
      <c r="AB77" s="144"/>
      <c r="AC77" s="2867"/>
      <c r="AD77" s="2867"/>
      <c r="AE77" s="2867"/>
      <c r="AF77" s="2867"/>
      <c r="AG77" s="2867"/>
      <c r="AH77" s="2867"/>
      <c r="AI77" s="2825"/>
      <c r="AJ77" s="1"/>
      <c r="AK77" s="1"/>
      <c r="AL77" s="1"/>
      <c r="AM77" s="1"/>
      <c r="AN77" s="1"/>
    </row>
    <row r="78" spans="1:40" ht="14" customHeight="1">
      <c r="A78" s="144"/>
      <c r="B78" s="144"/>
      <c r="C78" s="144"/>
      <c r="D78" s="906"/>
      <c r="E78" s="144"/>
      <c r="F78" s="146"/>
      <c r="G78" s="146"/>
      <c r="H78" s="144"/>
      <c r="I78" s="144"/>
      <c r="J78" s="144"/>
      <c r="K78" s="144"/>
      <c r="L78" s="144"/>
      <c r="M78" s="144"/>
      <c r="N78" s="1278"/>
      <c r="O78" s="144"/>
      <c r="P78" s="144"/>
      <c r="Q78" s="144"/>
      <c r="R78" s="146"/>
      <c r="S78" s="144"/>
      <c r="T78" s="144"/>
      <c r="U78" s="3157" t="e">
        <f t="shared" si="62"/>
        <v>#REF!</v>
      </c>
      <c r="V78" s="3157" t="e">
        <f t="shared" si="62"/>
        <v>#REF!</v>
      </c>
      <c r="W78" s="3157" t="e">
        <f t="shared" si="62"/>
        <v>#REF!</v>
      </c>
      <c r="X78" s="3157" t="e">
        <f t="shared" si="62"/>
        <v>#REF!</v>
      </c>
      <c r="Y78" s="3157" t="e">
        <f t="shared" si="62"/>
        <v>#REF!</v>
      </c>
      <c r="Z78" s="3157" t="e">
        <f t="shared" si="62"/>
        <v>#REF!</v>
      </c>
      <c r="AA78" s="3157" t="e">
        <f t="shared" si="62"/>
        <v>#REF!</v>
      </c>
      <c r="AB78" s="144"/>
      <c r="AC78" s="2867">
        <v>0</v>
      </c>
      <c r="AD78" s="2867">
        <v>0</v>
      </c>
      <c r="AE78" s="2867">
        <v>0</v>
      </c>
      <c r="AF78" s="2867">
        <v>0</v>
      </c>
      <c r="AG78" s="2867">
        <v>0</v>
      </c>
      <c r="AH78" s="2867">
        <v>0</v>
      </c>
      <c r="AI78" s="2825"/>
      <c r="AJ78" s="1"/>
      <c r="AK78" s="1"/>
      <c r="AL78" s="1"/>
      <c r="AM78" s="1"/>
      <c r="AN78" s="1"/>
    </row>
    <row r="79" spans="1:40" ht="14" customHeight="1">
      <c r="A79" s="144"/>
      <c r="B79" s="144"/>
      <c r="C79" s="144"/>
      <c r="D79" s="906"/>
      <c r="E79" s="144"/>
      <c r="F79" s="146"/>
      <c r="G79" s="146"/>
      <c r="H79" s="144"/>
      <c r="I79" s="144"/>
      <c r="J79" s="144"/>
      <c r="K79" s="144"/>
      <c r="L79" s="144"/>
      <c r="M79" s="144"/>
      <c r="N79" s="1278"/>
      <c r="O79" s="144"/>
      <c r="P79" s="144"/>
      <c r="Q79" s="144"/>
      <c r="R79" s="146"/>
      <c r="S79" s="144"/>
      <c r="T79" s="144"/>
      <c r="U79" s="3157" t="e">
        <f t="shared" si="62"/>
        <v>#REF!</v>
      </c>
      <c r="V79" s="3157" t="e">
        <f t="shared" si="62"/>
        <v>#REF!</v>
      </c>
      <c r="W79" s="3157" t="e">
        <f t="shared" si="62"/>
        <v>#REF!</v>
      </c>
      <c r="X79" s="3157" t="e">
        <f t="shared" si="62"/>
        <v>#REF!</v>
      </c>
      <c r="Y79" s="3157" t="e">
        <f t="shared" si="62"/>
        <v>#REF!</v>
      </c>
      <c r="Z79" s="3157" t="e">
        <f t="shared" si="62"/>
        <v>#REF!</v>
      </c>
      <c r="AA79" s="3157" t="e">
        <f t="shared" si="62"/>
        <v>#REF!</v>
      </c>
      <c r="AB79" s="144"/>
      <c r="AC79" s="2867">
        <v>0</v>
      </c>
      <c r="AD79" s="2867">
        <v>0</v>
      </c>
      <c r="AE79" s="2867">
        <v>0</v>
      </c>
      <c r="AF79" s="2867">
        <v>0</v>
      </c>
      <c r="AG79" s="2867">
        <v>0</v>
      </c>
      <c r="AH79" s="2867">
        <v>0</v>
      </c>
      <c r="AI79" s="2825"/>
      <c r="AJ79" s="1"/>
      <c r="AK79" s="1"/>
      <c r="AL79" s="1"/>
      <c r="AM79" s="1"/>
      <c r="AN79" s="1"/>
    </row>
    <row r="80" spans="1:40" ht="14" customHeight="1">
      <c r="A80" s="144"/>
      <c r="B80" s="144"/>
      <c r="C80" s="144"/>
      <c r="D80" s="906"/>
      <c r="E80" s="144"/>
      <c r="F80" s="146"/>
      <c r="G80" s="146"/>
      <c r="H80" s="144"/>
      <c r="I80" s="144"/>
      <c r="J80" s="144"/>
      <c r="K80" s="144"/>
      <c r="L80" s="144"/>
      <c r="M80" s="144"/>
      <c r="N80" s="1278"/>
      <c r="O80" s="144"/>
      <c r="P80" s="144"/>
      <c r="Q80" s="144"/>
      <c r="R80" s="146"/>
      <c r="S80" s="144"/>
      <c r="T80" s="144"/>
      <c r="U80" s="3157" t="e">
        <f t="shared" si="62"/>
        <v>#REF!</v>
      </c>
      <c r="V80" s="3157" t="e">
        <f t="shared" si="62"/>
        <v>#REF!</v>
      </c>
      <c r="W80" s="3157" t="e">
        <f t="shared" si="62"/>
        <v>#REF!</v>
      </c>
      <c r="X80" s="3157" t="e">
        <f t="shared" si="62"/>
        <v>#REF!</v>
      </c>
      <c r="Y80" s="3157" t="e">
        <f t="shared" si="62"/>
        <v>#REF!</v>
      </c>
      <c r="Z80" s="3157" t="e">
        <f t="shared" si="62"/>
        <v>#REF!</v>
      </c>
      <c r="AA80" s="3157" t="e">
        <f t="shared" si="62"/>
        <v>#REF!</v>
      </c>
      <c r="AB80" s="144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825"/>
      <c r="AJ80" s="1"/>
      <c r="AK80" s="1"/>
      <c r="AL80" s="1"/>
      <c r="AM80" s="1"/>
      <c r="AN80" s="1"/>
    </row>
    <row r="81" spans="1:40" ht="14" customHeight="1">
      <c r="A81" s="144"/>
      <c r="B81" s="144"/>
      <c r="C81" s="144"/>
      <c r="D81" s="906"/>
      <c r="E81" s="144"/>
      <c r="F81" s="146"/>
      <c r="G81" s="146"/>
      <c r="H81" s="144"/>
      <c r="I81" s="144"/>
      <c r="J81" s="144"/>
      <c r="K81" s="144"/>
      <c r="L81" s="144"/>
      <c r="M81" s="144"/>
      <c r="N81" s="1278"/>
      <c r="O81" s="144"/>
      <c r="P81" s="144"/>
      <c r="Q81" s="144"/>
      <c r="R81" s="146"/>
      <c r="S81" s="144"/>
      <c r="T81" s="144"/>
      <c r="U81" s="3157" t="e">
        <f t="shared" si="62"/>
        <v>#REF!</v>
      </c>
      <c r="V81" s="3157" t="e">
        <f t="shared" si="62"/>
        <v>#REF!</v>
      </c>
      <c r="W81" s="3157" t="e">
        <f t="shared" si="62"/>
        <v>#REF!</v>
      </c>
      <c r="X81" s="3157" t="e">
        <f t="shared" si="62"/>
        <v>#REF!</v>
      </c>
      <c r="Y81" s="3157" t="e">
        <f t="shared" si="62"/>
        <v>#REF!</v>
      </c>
      <c r="Z81" s="3157" t="e">
        <f t="shared" si="62"/>
        <v>#REF!</v>
      </c>
      <c r="AA81" s="3157" t="e">
        <f t="shared" si="62"/>
        <v>#REF!</v>
      </c>
      <c r="AB81" s="144"/>
      <c r="AC81" s="2867"/>
      <c r="AD81" s="2867"/>
      <c r="AE81" s="2867"/>
      <c r="AF81" s="2867"/>
      <c r="AG81" s="2867"/>
      <c r="AH81" s="2867"/>
      <c r="AI81" s="2825"/>
      <c r="AJ81" s="1"/>
      <c r="AK81" s="1"/>
      <c r="AL81" s="1"/>
      <c r="AM81" s="1"/>
      <c r="AN81" s="1"/>
    </row>
    <row r="82" spans="1:40" ht="14" customHeight="1">
      <c r="A82" s="144"/>
      <c r="B82" s="144"/>
      <c r="C82" s="144"/>
      <c r="D82" s="906"/>
      <c r="E82" s="144"/>
      <c r="F82" s="146"/>
      <c r="G82" s="146"/>
      <c r="H82" s="144"/>
      <c r="I82" s="144"/>
      <c r="J82" s="144"/>
      <c r="K82" s="144"/>
      <c r="L82" s="144"/>
      <c r="M82" s="144"/>
      <c r="N82" s="1278"/>
      <c r="O82" s="144"/>
      <c r="P82" s="144"/>
      <c r="Q82" s="144"/>
      <c r="R82" s="146"/>
      <c r="S82" s="144"/>
      <c r="T82" s="144"/>
      <c r="U82" s="3157" t="e">
        <f t="shared" si="62"/>
        <v>#REF!</v>
      </c>
      <c r="V82" s="3157" t="e">
        <f t="shared" si="62"/>
        <v>#REF!</v>
      </c>
      <c r="W82" s="3157" t="e">
        <f t="shared" si="62"/>
        <v>#REF!</v>
      </c>
      <c r="X82" s="3157" t="e">
        <f t="shared" si="62"/>
        <v>#REF!</v>
      </c>
      <c r="Y82" s="3157" t="e">
        <f t="shared" si="62"/>
        <v>#REF!</v>
      </c>
      <c r="Z82" s="3157" t="e">
        <f t="shared" si="62"/>
        <v>#REF!</v>
      </c>
      <c r="AA82" s="3157" t="e">
        <f t="shared" si="62"/>
        <v>#REF!</v>
      </c>
      <c r="AB82" s="144"/>
      <c r="AC82" s="2867"/>
      <c r="AD82" s="2867"/>
      <c r="AE82" s="2867"/>
      <c r="AF82" s="2867"/>
      <c r="AG82" s="2867"/>
      <c r="AH82" s="2867"/>
      <c r="AI82" s="2825"/>
      <c r="AJ82" s="1"/>
      <c r="AK82" s="1"/>
      <c r="AL82" s="1"/>
      <c r="AM82" s="1"/>
      <c r="AN82" s="1"/>
    </row>
    <row r="83" spans="1:40" ht="14" customHeight="1">
      <c r="A83" s="144"/>
      <c r="B83" s="144"/>
      <c r="C83" s="144"/>
      <c r="D83" s="906"/>
      <c r="E83" s="144"/>
      <c r="F83" s="146"/>
      <c r="G83" s="146"/>
      <c r="H83" s="144"/>
      <c r="I83" s="144"/>
      <c r="J83" s="144"/>
      <c r="K83" s="144"/>
      <c r="L83" s="144"/>
      <c r="M83" s="144"/>
      <c r="N83" s="1278"/>
      <c r="O83" s="144"/>
      <c r="P83" s="144"/>
      <c r="Q83" s="144"/>
      <c r="R83" s="146"/>
      <c r="S83" s="144"/>
      <c r="T83" s="144"/>
      <c r="U83" s="3157" t="e">
        <f t="shared" si="62"/>
        <v>#REF!</v>
      </c>
      <c r="V83" s="3157" t="e">
        <f t="shared" si="62"/>
        <v>#REF!</v>
      </c>
      <c r="W83" s="3157" t="e">
        <f t="shared" si="62"/>
        <v>#REF!</v>
      </c>
      <c r="X83" s="3157" t="e">
        <f t="shared" si="62"/>
        <v>#REF!</v>
      </c>
      <c r="Y83" s="3157" t="e">
        <f t="shared" si="62"/>
        <v>#REF!</v>
      </c>
      <c r="Z83" s="3157" t="e">
        <f t="shared" si="62"/>
        <v>#REF!</v>
      </c>
      <c r="AA83" s="3157" t="e">
        <f t="shared" si="62"/>
        <v>#REF!</v>
      </c>
      <c r="AB83" s="144"/>
      <c r="AC83" s="2867">
        <v>0</v>
      </c>
      <c r="AD83" s="2867">
        <v>0</v>
      </c>
      <c r="AE83" s="2867">
        <v>0</v>
      </c>
      <c r="AF83" s="2867">
        <v>0</v>
      </c>
      <c r="AG83" s="2867">
        <v>0</v>
      </c>
      <c r="AH83" s="2867">
        <v>0</v>
      </c>
      <c r="AI83" s="2825"/>
      <c r="AJ83" s="1"/>
      <c r="AK83" s="1"/>
      <c r="AL83" s="1"/>
      <c r="AM83" s="1"/>
      <c r="AN83" s="1"/>
    </row>
    <row r="84" spans="1:40" ht="14" customHeight="1">
      <c r="A84" s="144"/>
      <c r="B84" s="144"/>
      <c r="C84" s="144"/>
      <c r="D84" s="906"/>
      <c r="E84" s="144"/>
      <c r="F84" s="146"/>
      <c r="G84" s="146"/>
      <c r="H84" s="144"/>
      <c r="I84" s="144"/>
      <c r="J84" s="144"/>
      <c r="K84" s="144"/>
      <c r="L84" s="144"/>
      <c r="M84" s="144"/>
      <c r="N84" s="1278"/>
      <c r="O84" s="144"/>
      <c r="P84" s="144"/>
      <c r="Q84" s="144"/>
      <c r="R84" s="146"/>
      <c r="S84" s="144"/>
      <c r="T84" s="144"/>
      <c r="U84" s="3157" t="e">
        <f t="shared" si="62"/>
        <v>#REF!</v>
      </c>
      <c r="V84" s="3157" t="e">
        <f t="shared" si="62"/>
        <v>#REF!</v>
      </c>
      <c r="W84" s="3157" t="e">
        <f t="shared" si="62"/>
        <v>#REF!</v>
      </c>
      <c r="X84" s="3157" t="e">
        <f t="shared" si="62"/>
        <v>#REF!</v>
      </c>
      <c r="Y84" s="3157" t="e">
        <f t="shared" si="62"/>
        <v>#REF!</v>
      </c>
      <c r="Z84" s="3157" t="e">
        <f t="shared" si="62"/>
        <v>#REF!</v>
      </c>
      <c r="AA84" s="3157" t="e">
        <f t="shared" si="62"/>
        <v>#REF!</v>
      </c>
      <c r="AB84" s="144"/>
      <c r="AC84" s="2867">
        <v>0</v>
      </c>
      <c r="AD84" s="2867">
        <v>0</v>
      </c>
      <c r="AE84" s="2867">
        <v>0</v>
      </c>
      <c r="AF84" s="2867">
        <v>0</v>
      </c>
      <c r="AG84" s="2867">
        <v>0</v>
      </c>
      <c r="AH84" s="2867">
        <v>0</v>
      </c>
      <c r="AI84" s="2825"/>
      <c r="AJ84" s="1"/>
      <c r="AK84" s="1"/>
      <c r="AL84" s="1"/>
      <c r="AM84" s="1"/>
      <c r="AN84" s="1"/>
    </row>
    <row r="85" spans="1:40" ht="14" customHeight="1">
      <c r="A85" s="144"/>
      <c r="B85" s="144"/>
      <c r="C85" s="144"/>
      <c r="D85" s="906"/>
      <c r="E85" s="144"/>
      <c r="F85" s="146"/>
      <c r="G85" s="146"/>
      <c r="H85" s="144"/>
      <c r="I85" s="144"/>
      <c r="J85" s="144"/>
      <c r="K85" s="144"/>
      <c r="L85" s="144"/>
      <c r="M85" s="144"/>
      <c r="N85" s="1278"/>
      <c r="O85" s="144"/>
      <c r="P85" s="144"/>
      <c r="Q85" s="144"/>
      <c r="R85" s="146"/>
      <c r="S85" s="144"/>
      <c r="T85" s="144"/>
      <c r="U85" s="3157" t="e">
        <f t="shared" si="62"/>
        <v>#REF!</v>
      </c>
      <c r="V85" s="3157" t="e">
        <f t="shared" si="62"/>
        <v>#REF!</v>
      </c>
      <c r="W85" s="3157" t="e">
        <f t="shared" si="62"/>
        <v>#REF!</v>
      </c>
      <c r="X85" s="3157" t="e">
        <f t="shared" si="62"/>
        <v>#REF!</v>
      </c>
      <c r="Y85" s="3157" t="e">
        <f t="shared" si="62"/>
        <v>#REF!</v>
      </c>
      <c r="Z85" s="3157" t="e">
        <f t="shared" si="62"/>
        <v>#REF!</v>
      </c>
      <c r="AA85" s="3157" t="e">
        <f t="shared" si="62"/>
        <v>#REF!</v>
      </c>
      <c r="AB85" s="144"/>
      <c r="AC85" s="2867">
        <v>0</v>
      </c>
      <c r="AD85" s="2867">
        <v>0</v>
      </c>
      <c r="AE85" s="2867">
        <v>0</v>
      </c>
      <c r="AF85" s="2867">
        <v>0</v>
      </c>
      <c r="AG85" s="2867">
        <v>0</v>
      </c>
      <c r="AH85" s="2867">
        <v>0</v>
      </c>
      <c r="AI85" s="2825"/>
      <c r="AJ85" s="1"/>
      <c r="AK85" s="1"/>
      <c r="AL85" s="1"/>
      <c r="AM85" s="1"/>
      <c r="AN85" s="1"/>
    </row>
    <row r="86" spans="1:40" ht="14" customHeight="1">
      <c r="A86" s="144"/>
      <c r="B86" s="144"/>
      <c r="C86" s="144"/>
      <c r="D86" s="906"/>
      <c r="E86" s="144"/>
      <c r="F86" s="146"/>
      <c r="G86" s="146"/>
      <c r="H86" s="144"/>
      <c r="I86" s="144"/>
      <c r="J86" s="144"/>
      <c r="K86" s="144"/>
      <c r="L86" s="144"/>
      <c r="M86" s="144"/>
      <c r="N86" s="1278"/>
      <c r="O86" s="144"/>
      <c r="P86" s="144"/>
      <c r="Q86" s="144"/>
      <c r="R86" s="146"/>
      <c r="S86" s="144"/>
      <c r="T86" s="144"/>
      <c r="U86" s="3158" t="e">
        <f>IF(U85&gt;0,U85,U84)</f>
        <v>#REF!</v>
      </c>
      <c r="V86" s="3158" t="e">
        <f t="shared" si="62"/>
        <v>#REF!</v>
      </c>
      <c r="W86" s="3158" t="e">
        <f t="shared" si="62"/>
        <v>#REF!</v>
      </c>
      <c r="X86" s="3158" t="e">
        <f t="shared" si="62"/>
        <v>#REF!</v>
      </c>
      <c r="Y86" s="3158" t="e">
        <f t="shared" si="62"/>
        <v>#REF!</v>
      </c>
      <c r="Z86" s="3158" t="e">
        <f t="shared" si="62"/>
        <v>#REF!</v>
      </c>
      <c r="AA86" s="3158" t="e">
        <f t="shared" si="62"/>
        <v>#REF!</v>
      </c>
      <c r="AB86" s="144"/>
      <c r="AC86" s="2867"/>
      <c r="AD86" s="2867"/>
      <c r="AE86" s="2867"/>
      <c r="AF86" s="2867"/>
      <c r="AG86" s="2867"/>
      <c r="AH86" s="2867"/>
      <c r="AI86" s="2825"/>
      <c r="AJ86" s="1"/>
      <c r="AK86" s="1"/>
      <c r="AL86" s="1"/>
      <c r="AM86" s="1"/>
      <c r="AN86" s="1"/>
    </row>
    <row r="87" spans="1:40" ht="14" customHeight="1">
      <c r="A87" s="144"/>
      <c r="B87" s="144"/>
      <c r="C87" s="144"/>
      <c r="D87" s="906"/>
      <c r="E87" s="144"/>
      <c r="F87" s="146"/>
      <c r="G87" s="146"/>
      <c r="H87" s="144"/>
      <c r="I87" s="144"/>
      <c r="J87" s="144"/>
      <c r="K87" s="144"/>
      <c r="L87" s="144"/>
      <c r="M87" s="144"/>
      <c r="N87" s="1278"/>
      <c r="O87" s="144"/>
      <c r="P87" s="144"/>
      <c r="Q87" s="144"/>
      <c r="R87" s="146"/>
      <c r="S87" s="144"/>
      <c r="T87" s="144"/>
      <c r="U87" s="2838"/>
      <c r="V87" s="2838"/>
      <c r="W87" s="2838"/>
      <c r="X87" s="2838"/>
      <c r="Y87" s="2838"/>
      <c r="Z87" s="2838"/>
      <c r="AA87" s="2838"/>
      <c r="AB87" s="144"/>
      <c r="AC87" s="2867"/>
      <c r="AD87" s="2867"/>
      <c r="AE87" s="2867"/>
      <c r="AF87" s="2867"/>
      <c r="AG87" s="2867"/>
      <c r="AH87" s="2867"/>
      <c r="AI87" s="2825"/>
      <c r="AJ87" s="1"/>
      <c r="AK87" s="1"/>
      <c r="AL87" s="1"/>
      <c r="AM87" s="1"/>
      <c r="AN87" s="1"/>
    </row>
    <row r="88" spans="1:40" ht="14" customHeight="1">
      <c r="A88" s="144"/>
      <c r="B88" s="144"/>
      <c r="C88" s="144"/>
      <c r="D88" s="906"/>
      <c r="E88" s="144"/>
      <c r="F88" s="146"/>
      <c r="G88" s="146"/>
      <c r="H88" s="144"/>
      <c r="I88" s="144"/>
      <c r="J88" s="144"/>
      <c r="K88" s="144"/>
      <c r="L88" s="144"/>
      <c r="M88" s="144"/>
      <c r="N88" s="1278"/>
      <c r="O88" s="144"/>
      <c r="P88" s="144"/>
      <c r="Q88" s="144"/>
      <c r="R88" s="146"/>
      <c r="S88" s="144"/>
      <c r="T88" s="144"/>
      <c r="U88" s="2838"/>
      <c r="V88" s="2838"/>
      <c r="W88" s="2838"/>
      <c r="X88" s="2838"/>
      <c r="Y88" s="2838"/>
      <c r="Z88" s="2838"/>
      <c r="AA88" s="2838"/>
      <c r="AB88" s="144"/>
      <c r="AC88" s="2867">
        <v>0</v>
      </c>
      <c r="AD88" s="2867">
        <v>0</v>
      </c>
      <c r="AE88" s="2867">
        <v>0</v>
      </c>
      <c r="AF88" s="2867">
        <v>0</v>
      </c>
      <c r="AG88" s="2867">
        <v>0</v>
      </c>
      <c r="AH88" s="2867">
        <v>0</v>
      </c>
      <c r="AI88" s="2825"/>
      <c r="AN88" s="1"/>
    </row>
    <row r="89" spans="1:40" ht="14" customHeight="1">
      <c r="A89" s="144"/>
      <c r="B89" s="144"/>
      <c r="C89" s="144"/>
      <c r="D89" s="906"/>
      <c r="E89" s="144"/>
      <c r="F89" s="146"/>
      <c r="G89" s="146"/>
      <c r="H89" s="144"/>
      <c r="I89" s="144"/>
      <c r="J89" s="144"/>
      <c r="K89" s="144"/>
      <c r="L89" s="144"/>
      <c r="M89" s="144"/>
      <c r="N89" s="1278"/>
      <c r="O89" s="144"/>
      <c r="P89" s="144"/>
      <c r="Q89" s="144"/>
      <c r="R89" s="146"/>
      <c r="S89" s="144"/>
      <c r="T89" s="144"/>
      <c r="U89" s="2838"/>
      <c r="V89" s="2838"/>
      <c r="W89" s="2838"/>
      <c r="X89" s="2838"/>
      <c r="Y89" s="2838"/>
      <c r="Z89" s="2838"/>
      <c r="AA89" s="2838"/>
      <c r="AB89" s="144"/>
      <c r="AC89" s="2867"/>
      <c r="AD89" s="2867"/>
      <c r="AE89" s="2867"/>
      <c r="AF89" s="2867"/>
      <c r="AG89" s="2867"/>
      <c r="AH89" s="2867"/>
      <c r="AN89" s="1"/>
    </row>
    <row r="90" spans="1:40" ht="14" customHeight="1">
      <c r="A90" s="144"/>
      <c r="B90" s="144"/>
      <c r="C90" s="144"/>
      <c r="D90" s="906"/>
      <c r="E90" s="144"/>
      <c r="F90" s="146"/>
      <c r="G90" s="146"/>
      <c r="H90" s="144"/>
      <c r="I90" s="144"/>
      <c r="J90" s="144"/>
      <c r="K90" s="144"/>
      <c r="L90" s="144"/>
      <c r="M90" s="144"/>
      <c r="N90" s="1278"/>
      <c r="O90" s="144"/>
      <c r="P90" s="144"/>
      <c r="Q90" s="144"/>
      <c r="R90" s="146"/>
      <c r="S90" s="144"/>
      <c r="T90" s="144"/>
      <c r="U90" s="2838"/>
      <c r="V90" s="2838"/>
      <c r="W90" s="2838"/>
      <c r="X90" s="2838"/>
      <c r="Y90" s="2838"/>
      <c r="Z90" s="2838"/>
      <c r="AA90" s="2838"/>
      <c r="AB90" s="144"/>
      <c r="AN90" s="1"/>
    </row>
    <row r="91" spans="1:40" ht="14" customHeight="1">
      <c r="A91" s="144"/>
      <c r="B91" s="144"/>
      <c r="C91" s="144"/>
      <c r="D91" s="906"/>
      <c r="E91" s="144"/>
      <c r="F91" s="146"/>
      <c r="G91" s="146"/>
      <c r="H91" s="144"/>
      <c r="I91" s="144"/>
      <c r="J91" s="144"/>
      <c r="K91" s="144"/>
      <c r="L91" s="144"/>
      <c r="M91" s="144"/>
      <c r="N91" s="1278"/>
      <c r="O91" s="144"/>
      <c r="P91" s="144"/>
      <c r="Q91" s="144"/>
      <c r="R91" s="146"/>
      <c r="S91" s="144"/>
      <c r="T91" s="144"/>
      <c r="U91" s="2838"/>
      <c r="V91" s="2838"/>
      <c r="W91" s="2838"/>
      <c r="X91" s="2838"/>
      <c r="Y91" s="2838"/>
      <c r="Z91" s="2838"/>
      <c r="AA91" s="2838"/>
      <c r="AB91" s="144"/>
      <c r="AN91" s="1"/>
    </row>
    <row r="92" spans="1:40" ht="14" customHeight="1">
      <c r="A92" s="144"/>
      <c r="B92" s="144"/>
      <c r="C92" s="144"/>
      <c r="D92" s="906"/>
      <c r="E92" s="144"/>
      <c r="F92" s="146"/>
      <c r="G92" s="146"/>
      <c r="H92" s="144"/>
      <c r="I92" s="144"/>
      <c r="J92" s="144"/>
      <c r="K92" s="144"/>
      <c r="L92" s="144"/>
      <c r="M92" s="144"/>
      <c r="N92" s="1278"/>
      <c r="O92" s="144"/>
      <c r="P92" s="144"/>
      <c r="Q92" s="144"/>
      <c r="R92" s="146"/>
      <c r="S92" s="144"/>
      <c r="T92" s="144"/>
      <c r="U92" s="2838"/>
      <c r="V92" s="2838"/>
      <c r="W92" s="2838"/>
      <c r="X92" s="2838"/>
      <c r="Y92" s="2838"/>
      <c r="Z92" s="2838"/>
      <c r="AA92" s="2838"/>
      <c r="AB92" s="144"/>
      <c r="AN92" s="1"/>
    </row>
    <row r="93" spans="1:40" ht="14" customHeight="1">
      <c r="A93" s="144"/>
      <c r="B93" s="144"/>
      <c r="C93" s="144"/>
      <c r="D93" s="906"/>
      <c r="E93" s="144"/>
      <c r="F93" s="146"/>
      <c r="G93" s="146"/>
      <c r="H93" s="144"/>
      <c r="I93" s="144"/>
      <c r="J93" s="144"/>
      <c r="K93" s="144"/>
      <c r="L93" s="144"/>
      <c r="M93" s="144"/>
      <c r="N93" s="1278"/>
      <c r="O93" s="144"/>
      <c r="P93" s="144"/>
      <c r="Q93" s="144"/>
      <c r="R93" s="146"/>
      <c r="S93" s="144"/>
      <c r="T93" s="144"/>
      <c r="U93" s="2838"/>
      <c r="V93" s="2838"/>
      <c r="W93" s="2838"/>
      <c r="X93" s="2838"/>
      <c r="Y93" s="2838"/>
      <c r="Z93" s="2838"/>
      <c r="AA93" s="2838"/>
      <c r="AB93" s="144"/>
      <c r="AN93" s="1"/>
    </row>
    <row r="94" spans="1:40" ht="14" customHeight="1">
      <c r="A94" s="144"/>
      <c r="B94" s="144"/>
      <c r="C94" s="144"/>
      <c r="D94" s="906"/>
      <c r="E94" s="144"/>
      <c r="F94" s="146"/>
      <c r="G94" s="146"/>
      <c r="H94" s="144"/>
      <c r="I94" s="144"/>
      <c r="J94" s="144"/>
      <c r="K94" s="144"/>
      <c r="L94" s="144"/>
      <c r="M94" s="144"/>
      <c r="N94" s="1278"/>
      <c r="O94" s="144"/>
      <c r="P94" s="144"/>
      <c r="Q94" s="144"/>
      <c r="R94" s="146"/>
      <c r="S94" s="144"/>
      <c r="T94" s="144"/>
      <c r="U94" s="2838"/>
      <c r="V94" s="2838"/>
      <c r="W94" s="2838"/>
      <c r="X94" s="2838"/>
      <c r="Y94" s="2838"/>
      <c r="Z94" s="2838"/>
      <c r="AA94" s="2838"/>
      <c r="AB94" s="144"/>
      <c r="AN94" s="1"/>
    </row>
    <row r="95" spans="1:40" ht="14" customHeight="1">
      <c r="A95" s="144"/>
      <c r="B95" s="144"/>
      <c r="C95" s="144"/>
      <c r="D95" s="906"/>
      <c r="E95" s="144"/>
      <c r="F95" s="146"/>
      <c r="G95" s="146"/>
      <c r="H95" s="144"/>
      <c r="I95" s="144"/>
      <c r="J95" s="144"/>
      <c r="K95" s="144"/>
      <c r="L95" s="144"/>
      <c r="M95" s="144"/>
      <c r="N95" s="1278"/>
      <c r="O95" s="144"/>
      <c r="P95" s="144"/>
      <c r="Q95" s="144"/>
      <c r="R95" s="146"/>
      <c r="S95" s="144"/>
      <c r="T95" s="144"/>
      <c r="U95" s="2838"/>
      <c r="V95" s="2838"/>
      <c r="W95" s="2838"/>
      <c r="X95" s="2838"/>
      <c r="Y95" s="2838"/>
      <c r="Z95" s="2838"/>
      <c r="AA95" s="2838"/>
      <c r="AB95" s="144"/>
      <c r="AN95" s="1"/>
    </row>
    <row r="96" spans="1:40" ht="14" customHeight="1">
      <c r="A96" s="144"/>
      <c r="B96" s="144"/>
      <c r="C96" s="144"/>
      <c r="D96" s="906"/>
      <c r="E96" s="144"/>
      <c r="F96" s="146"/>
      <c r="G96" s="146"/>
      <c r="H96" s="144"/>
      <c r="I96" s="144"/>
      <c r="J96" s="144"/>
      <c r="K96" s="144"/>
      <c r="L96" s="144"/>
      <c r="M96" s="144"/>
      <c r="N96" s="1278"/>
      <c r="O96" s="144"/>
      <c r="P96" s="144"/>
      <c r="Q96" s="144"/>
      <c r="R96" s="146"/>
      <c r="S96" s="144"/>
      <c r="T96" s="144"/>
      <c r="U96" s="2838"/>
      <c r="V96" s="2838"/>
      <c r="W96" s="2838"/>
      <c r="X96" s="2838"/>
      <c r="Y96" s="2838"/>
      <c r="Z96" s="2838"/>
      <c r="AA96" s="2838"/>
      <c r="AB96" s="144"/>
      <c r="AN96" s="1"/>
    </row>
    <row r="97" spans="1:40" ht="14" customHeight="1">
      <c r="A97" s="144"/>
      <c r="B97" s="144"/>
      <c r="C97" s="144"/>
      <c r="D97" s="906"/>
      <c r="E97" s="144"/>
      <c r="F97" s="146"/>
      <c r="G97" s="146"/>
      <c r="H97" s="144"/>
      <c r="I97" s="144"/>
      <c r="J97" s="144"/>
      <c r="K97" s="144"/>
      <c r="L97" s="144"/>
      <c r="M97" s="144"/>
      <c r="N97" s="1278"/>
      <c r="O97" s="144"/>
      <c r="P97" s="144"/>
      <c r="Q97" s="144"/>
      <c r="R97" s="146"/>
      <c r="S97" s="144"/>
      <c r="T97" s="144"/>
      <c r="U97" s="2838"/>
      <c r="V97" s="2838"/>
      <c r="W97" s="2838"/>
      <c r="X97" s="2838"/>
      <c r="Y97" s="2838"/>
      <c r="Z97" s="2838"/>
      <c r="AA97" s="2838"/>
      <c r="AB97" s="144"/>
      <c r="AN97" s="1"/>
    </row>
    <row r="98" spans="1:40" ht="14" customHeight="1">
      <c r="A98" s="144"/>
      <c r="B98" s="144"/>
      <c r="C98" s="144"/>
      <c r="D98" s="906"/>
      <c r="E98" s="144"/>
      <c r="F98" s="146"/>
      <c r="G98" s="146"/>
      <c r="H98" s="144"/>
      <c r="I98" s="144"/>
      <c r="J98" s="144"/>
      <c r="K98" s="144"/>
      <c r="L98" s="144"/>
      <c r="M98" s="144"/>
      <c r="N98" s="1278"/>
      <c r="O98" s="144"/>
      <c r="P98" s="144"/>
      <c r="Q98" s="144"/>
      <c r="R98" s="146"/>
      <c r="S98" s="144"/>
      <c r="T98" s="144"/>
      <c r="U98" s="2838"/>
      <c r="V98" s="2838"/>
      <c r="W98" s="2838"/>
      <c r="X98" s="2838"/>
      <c r="Y98" s="2838"/>
      <c r="Z98" s="2838"/>
      <c r="AA98" s="2838"/>
      <c r="AB98" s="144"/>
      <c r="AN98" s="1"/>
    </row>
    <row r="99" spans="1:40" ht="14" customHeight="1">
      <c r="A99" s="144"/>
      <c r="B99" s="144"/>
      <c r="C99" s="144"/>
      <c r="D99" s="906"/>
      <c r="E99" s="144"/>
      <c r="F99" s="146"/>
      <c r="G99" s="146"/>
      <c r="H99" s="144"/>
      <c r="I99" s="144"/>
      <c r="J99" s="144"/>
      <c r="K99" s="144"/>
      <c r="L99" s="144"/>
      <c r="M99" s="144"/>
      <c r="N99" s="1278"/>
      <c r="O99" s="144"/>
      <c r="P99" s="144"/>
      <c r="Q99" s="144"/>
      <c r="R99" s="146"/>
      <c r="S99" s="144"/>
      <c r="T99" s="144"/>
      <c r="U99" s="2838"/>
      <c r="V99" s="2838"/>
      <c r="W99" s="2838"/>
      <c r="X99" s="2838"/>
      <c r="Y99" s="2838"/>
      <c r="Z99" s="2838"/>
      <c r="AA99" s="2838"/>
      <c r="AB99" s="144"/>
      <c r="AN99" s="1"/>
    </row>
    <row r="100" spans="1:40" ht="14" customHeight="1">
      <c r="A100" s="144"/>
      <c r="B100" s="144"/>
      <c r="C100" s="144"/>
      <c r="D100" s="906"/>
      <c r="E100" s="144"/>
      <c r="F100" s="146"/>
      <c r="G100" s="146"/>
      <c r="H100" s="144"/>
      <c r="I100" s="144"/>
      <c r="J100" s="144"/>
      <c r="K100" s="144"/>
      <c r="L100" s="144"/>
      <c r="M100" s="144"/>
      <c r="N100" s="1278"/>
      <c r="O100" s="144"/>
      <c r="P100" s="144"/>
      <c r="Q100" s="144"/>
      <c r="R100" s="146"/>
      <c r="S100" s="144"/>
      <c r="T100" s="144"/>
      <c r="U100" s="2838"/>
      <c r="V100" s="2838"/>
      <c r="W100" s="2838"/>
      <c r="X100" s="2838"/>
      <c r="Y100" s="2838"/>
      <c r="Z100" s="2838"/>
      <c r="AA100" s="2838"/>
      <c r="AB100" s="144"/>
      <c r="AN100" s="1"/>
    </row>
    <row r="101" spans="1:40" ht="14" customHeight="1">
      <c r="A101" s="144"/>
      <c r="B101" s="144"/>
      <c r="C101" s="144"/>
      <c r="D101" s="906"/>
      <c r="E101" s="144"/>
      <c r="F101" s="146"/>
      <c r="G101" s="146"/>
      <c r="H101" s="144"/>
      <c r="I101" s="144"/>
      <c r="J101" s="144"/>
      <c r="K101" s="144"/>
      <c r="L101" s="144"/>
      <c r="M101" s="144"/>
      <c r="N101" s="1278"/>
      <c r="O101" s="144"/>
      <c r="P101" s="144"/>
      <c r="Q101" s="144"/>
      <c r="R101" s="146"/>
      <c r="S101" s="144"/>
      <c r="T101" s="144"/>
      <c r="U101" s="2838"/>
      <c r="V101" s="2838"/>
      <c r="W101" s="2838"/>
      <c r="X101" s="2838"/>
      <c r="Y101" s="2838"/>
      <c r="Z101" s="2838"/>
      <c r="AA101" s="2838"/>
      <c r="AB101" s="144"/>
      <c r="AC101" s="2825"/>
      <c r="AD101" s="2825"/>
      <c r="AE101" s="2825"/>
      <c r="AF101" s="2825"/>
      <c r="AG101" s="2825"/>
      <c r="AH101" s="2825"/>
      <c r="AI101" s="2825"/>
      <c r="AJ101" s="2825"/>
      <c r="AK101" s="2825"/>
      <c r="AL101" s="2825"/>
      <c r="AM101" s="2825"/>
      <c r="AN101" s="1"/>
    </row>
    <row r="102" spans="1:40" s="3021" customFormat="1" ht="14" customHeight="1">
      <c r="A102" s="144"/>
      <c r="B102" s="144"/>
      <c r="C102" s="144"/>
      <c r="D102" s="906"/>
      <c r="E102" s="144"/>
      <c r="F102" s="146"/>
      <c r="G102" s="146"/>
      <c r="H102" s="144"/>
      <c r="I102" s="144"/>
      <c r="J102" s="144"/>
      <c r="K102" s="144"/>
      <c r="L102" s="144"/>
      <c r="M102" s="144"/>
      <c r="N102" s="1278"/>
      <c r="O102" s="144"/>
      <c r="P102" s="144"/>
      <c r="Q102" s="144"/>
      <c r="R102" s="146"/>
      <c r="S102" s="144"/>
      <c r="T102" s="144"/>
      <c r="U102" s="2838"/>
      <c r="V102" s="2838"/>
      <c r="W102" s="2838"/>
      <c r="X102" s="2838"/>
      <c r="Y102" s="2838"/>
      <c r="Z102" s="2838"/>
      <c r="AA102" s="2838"/>
      <c r="AB102" s="144"/>
      <c r="AC102" s="2826"/>
      <c r="AD102" s="2826"/>
      <c r="AE102" s="2826"/>
      <c r="AF102" s="2826"/>
      <c r="AG102" s="2826"/>
      <c r="AH102" s="2826"/>
      <c r="AI102" s="2826"/>
      <c r="AJ102" s="2826"/>
      <c r="AK102" s="2826"/>
      <c r="AL102" s="2826"/>
      <c r="AM102" s="2826"/>
    </row>
    <row r="103" spans="1:40" s="3021" customFormat="1" ht="14" customHeight="1">
      <c r="A103" s="144"/>
      <c r="B103" s="144"/>
      <c r="C103" s="144"/>
      <c r="D103" s="906"/>
      <c r="E103" s="144"/>
      <c r="F103" s="146"/>
      <c r="G103" s="146"/>
      <c r="H103" s="144"/>
      <c r="I103" s="144"/>
      <c r="J103" s="144"/>
      <c r="K103" s="144"/>
      <c r="L103" s="144"/>
      <c r="M103" s="144"/>
      <c r="N103" s="1278"/>
      <c r="O103" s="144"/>
      <c r="P103" s="144"/>
      <c r="Q103" s="144"/>
      <c r="R103" s="146"/>
      <c r="S103" s="144"/>
      <c r="T103" s="144"/>
      <c r="U103" s="2838"/>
      <c r="V103" s="2838"/>
      <c r="W103" s="2838"/>
      <c r="X103" s="2838"/>
      <c r="Y103" s="2838"/>
      <c r="Z103" s="2838"/>
      <c r="AA103" s="2838"/>
      <c r="AB103" s="144"/>
      <c r="AC103" s="2826"/>
      <c r="AD103" s="2826"/>
      <c r="AE103" s="2826"/>
      <c r="AF103" s="2826"/>
      <c r="AG103" s="2826"/>
      <c r="AH103" s="2826"/>
      <c r="AI103" s="2826"/>
      <c r="AJ103" s="2826"/>
      <c r="AK103" s="2826"/>
      <c r="AL103" s="2826"/>
      <c r="AM103" s="2826"/>
    </row>
    <row r="104" spans="1:40" s="3021" customFormat="1" ht="14" customHeight="1">
      <c r="A104" s="144"/>
      <c r="B104" s="144"/>
      <c r="C104" s="144"/>
      <c r="D104" s="906"/>
      <c r="E104" s="144"/>
      <c r="F104" s="146"/>
      <c r="G104" s="146"/>
      <c r="H104" s="144"/>
      <c r="I104" s="144"/>
      <c r="J104" s="144"/>
      <c r="K104" s="144"/>
      <c r="L104" s="144"/>
      <c r="M104" s="144"/>
      <c r="N104" s="1278"/>
      <c r="O104" s="144"/>
      <c r="P104" s="144"/>
      <c r="Q104" s="144"/>
      <c r="R104" s="146"/>
      <c r="S104" s="144"/>
      <c r="T104" s="144"/>
      <c r="U104" s="2838"/>
      <c r="V104" s="2838"/>
      <c r="W104" s="2838"/>
      <c r="X104" s="2838"/>
      <c r="Y104" s="2838"/>
      <c r="Z104" s="2838"/>
      <c r="AA104" s="2838"/>
      <c r="AB104" s="144"/>
      <c r="AC104" s="2826"/>
      <c r="AD104" s="2826"/>
      <c r="AE104" s="2826"/>
      <c r="AF104" s="2826"/>
      <c r="AG104" s="2826"/>
      <c r="AH104" s="2826"/>
      <c r="AI104" s="2826"/>
      <c r="AJ104" s="2826"/>
      <c r="AK104" s="2826"/>
      <c r="AL104" s="2826"/>
      <c r="AM104" s="2826"/>
    </row>
    <row r="105" spans="1:40" s="3021" customFormat="1" ht="14" customHeight="1">
      <c r="A105" s="144"/>
      <c r="B105" s="144"/>
      <c r="C105" s="144"/>
      <c r="D105" s="906"/>
      <c r="E105" s="144"/>
      <c r="F105" s="146"/>
      <c r="G105" s="146"/>
      <c r="H105" s="144"/>
      <c r="I105" s="144"/>
      <c r="J105" s="144"/>
      <c r="K105" s="144"/>
      <c r="L105" s="144"/>
      <c r="M105" s="144"/>
      <c r="N105" s="1278"/>
      <c r="O105" s="144"/>
      <c r="P105" s="144"/>
      <c r="Q105" s="144"/>
      <c r="R105" s="146"/>
      <c r="S105" s="144"/>
      <c r="T105" s="144"/>
      <c r="U105" s="2838"/>
      <c r="V105" s="2838"/>
      <c r="W105" s="2838"/>
      <c r="X105" s="2838"/>
      <c r="Y105" s="2838"/>
      <c r="Z105" s="2838"/>
      <c r="AA105" s="2838"/>
      <c r="AB105" s="144"/>
      <c r="AC105" s="2826"/>
      <c r="AD105" s="2826"/>
      <c r="AE105" s="2826"/>
      <c r="AF105" s="2826"/>
      <c r="AG105" s="2826"/>
      <c r="AH105" s="2826"/>
      <c r="AI105" s="2826"/>
      <c r="AJ105" s="2826"/>
      <c r="AK105" s="2826"/>
      <c r="AL105" s="2826"/>
      <c r="AM105" s="2826"/>
    </row>
    <row r="106" spans="1:40" s="3021" customFormat="1" ht="14" customHeight="1">
      <c r="B106" s="144"/>
      <c r="C106" s="144"/>
      <c r="D106" s="907"/>
      <c r="E106" s="143"/>
      <c r="F106" s="145"/>
      <c r="G106" s="146"/>
      <c r="H106" s="146"/>
      <c r="I106" s="146"/>
      <c r="J106" s="146"/>
      <c r="K106" s="146"/>
      <c r="L106" s="146"/>
      <c r="M106" s="458"/>
      <c r="N106" s="1284"/>
      <c r="O106" s="146"/>
      <c r="P106" s="146"/>
      <c r="Q106" s="147"/>
      <c r="R106" s="147"/>
      <c r="S106" s="142"/>
      <c r="T106" s="142"/>
      <c r="U106" s="2838"/>
      <c r="V106" s="2838"/>
      <c r="W106" s="2838"/>
      <c r="X106" s="2838"/>
      <c r="Y106" s="2838"/>
      <c r="Z106" s="2838"/>
      <c r="AA106" s="2838"/>
      <c r="AC106" s="2826"/>
      <c r="AD106" s="2826"/>
      <c r="AE106" s="2826"/>
      <c r="AF106" s="2826"/>
      <c r="AG106" s="2826"/>
      <c r="AH106" s="2826"/>
      <c r="AI106" s="2826"/>
      <c r="AJ106" s="2826"/>
      <c r="AK106" s="2826"/>
      <c r="AL106" s="2826"/>
      <c r="AM106" s="2826"/>
    </row>
    <row r="107" spans="1:40" s="3021" customFormat="1" ht="14" customHeight="1">
      <c r="B107" s="144"/>
      <c r="C107" s="144"/>
      <c r="D107" s="907"/>
      <c r="E107" s="143"/>
      <c r="F107" s="145"/>
      <c r="G107" s="146"/>
      <c r="H107" s="146"/>
      <c r="I107" s="146"/>
      <c r="J107" s="146"/>
      <c r="K107" s="146"/>
      <c r="L107" s="146"/>
      <c r="M107" s="458"/>
      <c r="N107" s="1284"/>
      <c r="O107" s="146"/>
      <c r="P107" s="146"/>
      <c r="Q107" s="147"/>
      <c r="R107" s="147"/>
      <c r="S107" s="142"/>
      <c r="T107" s="142"/>
      <c r="U107" s="2838"/>
      <c r="V107" s="2838"/>
      <c r="W107" s="2838"/>
      <c r="X107" s="2838"/>
      <c r="Y107" s="2838"/>
      <c r="Z107" s="2838"/>
      <c r="AA107" s="2838"/>
      <c r="AC107" s="2826"/>
      <c r="AD107" s="2826"/>
      <c r="AE107" s="2826"/>
      <c r="AF107" s="2826"/>
      <c r="AG107" s="2826"/>
      <c r="AH107" s="2826"/>
      <c r="AI107" s="2826"/>
      <c r="AJ107" s="2826"/>
      <c r="AK107" s="2826"/>
      <c r="AL107" s="2826"/>
      <c r="AM107" s="2826"/>
    </row>
    <row r="108" spans="1:40" s="3021" customFormat="1" ht="14" customHeight="1">
      <c r="B108" s="144"/>
      <c r="C108" s="144"/>
      <c r="D108" s="907"/>
      <c r="E108" s="143"/>
      <c r="F108" s="145"/>
      <c r="G108" s="146"/>
      <c r="H108" s="146"/>
      <c r="I108" s="146"/>
      <c r="J108" s="146"/>
      <c r="K108" s="146"/>
      <c r="L108" s="146"/>
      <c r="M108" s="458"/>
      <c r="N108" s="1284"/>
      <c r="O108" s="146"/>
      <c r="P108" s="146"/>
      <c r="Q108" s="147"/>
      <c r="R108" s="147"/>
      <c r="S108" s="142"/>
      <c r="T108" s="142"/>
      <c r="U108" s="2838"/>
      <c r="V108" s="2838"/>
      <c r="W108" s="2838"/>
      <c r="X108" s="2838"/>
      <c r="Y108" s="2838"/>
      <c r="Z108" s="2838"/>
      <c r="AA108" s="2838"/>
      <c r="AC108" s="2826"/>
      <c r="AD108" s="2826"/>
      <c r="AE108" s="2826"/>
      <c r="AF108" s="2826"/>
      <c r="AG108" s="2826"/>
      <c r="AH108" s="2826"/>
      <c r="AI108" s="2826"/>
      <c r="AJ108" s="2826"/>
      <c r="AK108" s="2826"/>
      <c r="AL108" s="2826"/>
      <c r="AM108" s="2826"/>
    </row>
    <row r="109" spans="1:40" s="3021" customFormat="1" ht="14" customHeight="1">
      <c r="B109" s="144"/>
      <c r="C109" s="144"/>
      <c r="D109" s="907"/>
      <c r="E109" s="143"/>
      <c r="F109" s="145"/>
      <c r="G109" s="146"/>
      <c r="H109" s="146"/>
      <c r="I109" s="146"/>
      <c r="J109" s="146"/>
      <c r="K109" s="146"/>
      <c r="L109" s="146"/>
      <c r="M109" s="458"/>
      <c r="N109" s="1284"/>
      <c r="O109" s="146"/>
      <c r="P109" s="146"/>
      <c r="Q109" s="147"/>
      <c r="R109" s="147"/>
      <c r="S109" s="142"/>
      <c r="T109" s="142"/>
      <c r="U109" s="2838"/>
      <c r="V109" s="2838"/>
      <c r="W109" s="2838"/>
      <c r="X109" s="2838"/>
      <c r="Y109" s="2838"/>
      <c r="Z109" s="2838"/>
      <c r="AA109" s="2838"/>
      <c r="AC109" s="2826"/>
      <c r="AD109" s="2826"/>
      <c r="AE109" s="2826"/>
      <c r="AF109" s="2826"/>
      <c r="AG109" s="2826"/>
      <c r="AH109" s="2826"/>
      <c r="AI109" s="2826"/>
      <c r="AJ109" s="2826"/>
      <c r="AK109" s="2826"/>
      <c r="AL109" s="2826"/>
      <c r="AM109" s="2826"/>
    </row>
    <row r="110" spans="1:40" s="3021" customFormat="1" ht="14" customHeight="1">
      <c r="B110" s="144"/>
      <c r="C110" s="144"/>
      <c r="D110" s="907"/>
      <c r="E110" s="143"/>
      <c r="F110" s="145"/>
      <c r="G110" s="146"/>
      <c r="H110" s="146"/>
      <c r="I110" s="146"/>
      <c r="J110" s="146"/>
      <c r="K110" s="146"/>
      <c r="L110" s="146"/>
      <c r="M110" s="458"/>
      <c r="N110" s="1284"/>
      <c r="O110" s="146"/>
      <c r="P110" s="146"/>
      <c r="Q110" s="147"/>
      <c r="R110" s="147"/>
      <c r="S110" s="142"/>
      <c r="T110" s="142"/>
      <c r="U110" s="146"/>
      <c r="V110" s="146"/>
      <c r="W110" s="146"/>
      <c r="X110" s="146"/>
      <c r="Y110" s="146"/>
      <c r="Z110" s="146"/>
      <c r="AA110" s="146"/>
      <c r="AC110" s="2826"/>
      <c r="AD110" s="2826"/>
      <c r="AE110" s="2826"/>
      <c r="AF110" s="2826"/>
      <c r="AG110" s="2826"/>
      <c r="AH110" s="2826"/>
      <c r="AI110" s="2826"/>
      <c r="AJ110" s="2826"/>
      <c r="AK110" s="2826"/>
      <c r="AL110" s="2826"/>
      <c r="AM110" s="2826"/>
    </row>
    <row r="111" spans="1:40" s="3021" customFormat="1" ht="14" customHeight="1">
      <c r="B111" s="144"/>
      <c r="C111" s="144"/>
      <c r="D111" s="907"/>
      <c r="E111" s="143"/>
      <c r="F111" s="145"/>
      <c r="G111" s="146"/>
      <c r="H111" s="146"/>
      <c r="I111" s="146"/>
      <c r="J111" s="146"/>
      <c r="K111" s="146"/>
      <c r="L111" s="146"/>
      <c r="M111" s="458"/>
      <c r="N111" s="1284"/>
      <c r="O111" s="146"/>
      <c r="P111" s="146"/>
      <c r="Q111" s="147"/>
      <c r="R111" s="147"/>
      <c r="S111" s="142"/>
      <c r="T111" s="142"/>
      <c r="U111" s="146"/>
      <c r="V111" s="146"/>
      <c r="W111" s="146"/>
      <c r="X111" s="146"/>
      <c r="Y111" s="146"/>
      <c r="Z111" s="146"/>
      <c r="AA111" s="146"/>
      <c r="AC111" s="2826"/>
      <c r="AD111" s="2826"/>
      <c r="AE111" s="2826"/>
      <c r="AF111" s="2826"/>
      <c r="AG111" s="2826"/>
      <c r="AH111" s="2826"/>
      <c r="AI111" s="2826"/>
      <c r="AJ111" s="2826"/>
      <c r="AK111" s="2826"/>
      <c r="AL111" s="2826"/>
      <c r="AM111" s="2826"/>
    </row>
    <row r="112" spans="1:40" s="3021" customFormat="1" ht="14" customHeight="1">
      <c r="B112" s="144"/>
      <c r="C112" s="144"/>
      <c r="D112" s="907"/>
      <c r="E112" s="143"/>
      <c r="F112" s="145"/>
      <c r="G112" s="146"/>
      <c r="H112" s="146"/>
      <c r="I112" s="146"/>
      <c r="J112" s="146"/>
      <c r="K112" s="146"/>
      <c r="L112" s="146"/>
      <c r="M112" s="458"/>
      <c r="N112" s="1284"/>
      <c r="O112" s="146"/>
      <c r="P112" s="146"/>
      <c r="Q112" s="147"/>
      <c r="R112" s="147"/>
      <c r="S112" s="142"/>
      <c r="T112" s="142"/>
      <c r="U112" s="146"/>
      <c r="V112" s="146"/>
      <c r="W112" s="146"/>
      <c r="X112" s="146"/>
      <c r="Y112" s="146"/>
      <c r="Z112" s="146"/>
      <c r="AA112" s="146"/>
      <c r="AC112" s="2826"/>
      <c r="AD112" s="2826"/>
      <c r="AE112" s="2826"/>
      <c r="AF112" s="2826"/>
      <c r="AG112" s="2826"/>
      <c r="AH112" s="2826"/>
      <c r="AI112" s="2826"/>
      <c r="AJ112" s="2826"/>
      <c r="AK112" s="2826"/>
      <c r="AL112" s="2826"/>
      <c r="AM112" s="2826"/>
    </row>
    <row r="113" spans="2:39" s="3021" customFormat="1" ht="14" customHeight="1">
      <c r="B113" s="144"/>
      <c r="C113" s="144"/>
      <c r="D113" s="907"/>
      <c r="E113" s="143"/>
      <c r="F113" s="145"/>
      <c r="G113" s="146"/>
      <c r="H113" s="146"/>
      <c r="I113" s="146"/>
      <c r="J113" s="146"/>
      <c r="K113" s="146"/>
      <c r="L113" s="146"/>
      <c r="M113" s="458"/>
      <c r="N113" s="1284"/>
      <c r="O113" s="146"/>
      <c r="P113" s="146"/>
      <c r="Q113" s="147"/>
      <c r="R113" s="147"/>
      <c r="S113" s="142"/>
      <c r="T113" s="142"/>
      <c r="U113" s="146"/>
      <c r="V113" s="146"/>
      <c r="W113" s="146"/>
      <c r="X113" s="146"/>
      <c r="Y113" s="146"/>
      <c r="Z113" s="146"/>
      <c r="AA113" s="146"/>
      <c r="AC113" s="2826"/>
      <c r="AD113" s="2826"/>
      <c r="AE113" s="2826"/>
      <c r="AF113" s="2826"/>
      <c r="AG113" s="2826"/>
      <c r="AH113" s="2826"/>
      <c r="AI113" s="2826"/>
      <c r="AJ113" s="2826"/>
      <c r="AK113" s="2826"/>
      <c r="AL113" s="2826"/>
      <c r="AM113" s="2826"/>
    </row>
    <row r="114" spans="2:39" s="3021" customFormat="1" ht="14" customHeight="1">
      <c r="B114" s="144"/>
      <c r="C114" s="144"/>
      <c r="D114" s="907"/>
      <c r="E114" s="143"/>
      <c r="F114" s="145"/>
      <c r="G114" s="146"/>
      <c r="H114" s="146"/>
      <c r="I114" s="146"/>
      <c r="J114" s="146"/>
      <c r="K114" s="146"/>
      <c r="L114" s="146"/>
      <c r="M114" s="458"/>
      <c r="N114" s="1284"/>
      <c r="O114" s="146"/>
      <c r="P114" s="146"/>
      <c r="Q114" s="147"/>
      <c r="R114" s="147"/>
      <c r="S114" s="142"/>
      <c r="T114" s="142"/>
      <c r="U114" s="146"/>
      <c r="V114" s="146"/>
      <c r="W114" s="146"/>
      <c r="X114" s="146"/>
      <c r="Y114" s="146"/>
      <c r="Z114" s="146"/>
      <c r="AA114" s="146"/>
      <c r="AC114" s="2826"/>
      <c r="AD114" s="2826"/>
      <c r="AE114" s="2826"/>
      <c r="AF114" s="2826"/>
      <c r="AG114" s="2826"/>
      <c r="AH114" s="2826"/>
      <c r="AI114" s="2826"/>
      <c r="AJ114" s="2826"/>
      <c r="AK114" s="2826"/>
      <c r="AL114" s="2826"/>
      <c r="AM114" s="2826"/>
    </row>
    <row r="115" spans="2:39" s="3021" customFormat="1" ht="14" customHeight="1">
      <c r="B115" s="144"/>
      <c r="C115" s="144"/>
      <c r="D115" s="907"/>
      <c r="E115" s="143"/>
      <c r="F115" s="145"/>
      <c r="G115" s="146"/>
      <c r="H115" s="146"/>
      <c r="I115" s="146"/>
      <c r="J115" s="146"/>
      <c r="K115" s="146"/>
      <c r="L115" s="146"/>
      <c r="M115" s="458"/>
      <c r="N115" s="1284"/>
      <c r="O115" s="146"/>
      <c r="P115" s="146"/>
      <c r="Q115" s="147"/>
      <c r="R115" s="147"/>
      <c r="S115" s="142"/>
      <c r="T115" s="142"/>
      <c r="U115" s="146"/>
      <c r="V115" s="146"/>
      <c r="W115" s="146"/>
      <c r="X115" s="146"/>
      <c r="Y115" s="146"/>
      <c r="Z115" s="146"/>
      <c r="AA115" s="146"/>
      <c r="AC115" s="2826"/>
      <c r="AD115" s="2826"/>
      <c r="AE115" s="2826"/>
      <c r="AF115" s="2826"/>
      <c r="AG115" s="2826"/>
      <c r="AH115" s="2826"/>
      <c r="AI115" s="2826"/>
      <c r="AJ115" s="2826"/>
      <c r="AK115" s="2826"/>
      <c r="AL115" s="2826"/>
      <c r="AM115" s="2826"/>
    </row>
    <row r="116" spans="2:39" s="3021" customFormat="1" ht="14" customHeight="1">
      <c r="B116" s="144"/>
      <c r="C116" s="144"/>
      <c r="D116" s="907"/>
      <c r="E116" s="143"/>
      <c r="F116" s="145"/>
      <c r="G116" s="146"/>
      <c r="H116" s="146"/>
      <c r="I116" s="146"/>
      <c r="J116" s="146"/>
      <c r="K116" s="146"/>
      <c r="L116" s="146"/>
      <c r="M116" s="458"/>
      <c r="N116" s="1284"/>
      <c r="O116" s="146"/>
      <c r="P116" s="146"/>
      <c r="Q116" s="147"/>
      <c r="R116" s="147"/>
      <c r="S116" s="142"/>
      <c r="T116" s="142"/>
      <c r="U116" s="146"/>
      <c r="V116" s="146"/>
      <c r="W116" s="146"/>
      <c r="X116" s="146"/>
      <c r="Y116" s="146"/>
      <c r="Z116" s="146"/>
      <c r="AA116" s="146"/>
      <c r="AC116" s="2826"/>
      <c r="AD116" s="2826"/>
      <c r="AE116" s="2826"/>
      <c r="AF116" s="2826"/>
      <c r="AG116" s="2826"/>
      <c r="AH116" s="2826"/>
      <c r="AI116" s="2826"/>
      <c r="AJ116" s="2826"/>
      <c r="AK116" s="2826"/>
      <c r="AL116" s="2826"/>
      <c r="AM116" s="2826"/>
    </row>
    <row r="117" spans="2:39" s="3021" customFormat="1" ht="14" customHeight="1">
      <c r="B117" s="144"/>
      <c r="C117" s="144"/>
      <c r="D117" s="907"/>
      <c r="E117" s="143"/>
      <c r="F117" s="145"/>
      <c r="G117" s="146"/>
      <c r="H117" s="146"/>
      <c r="I117" s="146"/>
      <c r="J117" s="146"/>
      <c r="K117" s="146"/>
      <c r="L117" s="146"/>
      <c r="M117" s="458"/>
      <c r="N117" s="1284"/>
      <c r="O117" s="146"/>
      <c r="P117" s="146"/>
      <c r="Q117" s="147"/>
      <c r="R117" s="147"/>
      <c r="S117" s="142"/>
      <c r="T117" s="142"/>
      <c r="U117" s="146"/>
      <c r="V117" s="146"/>
      <c r="W117" s="146"/>
      <c r="X117" s="146"/>
      <c r="Y117" s="146"/>
      <c r="Z117" s="146"/>
      <c r="AA117" s="146"/>
      <c r="AC117" s="2826"/>
      <c r="AD117" s="2826"/>
      <c r="AE117" s="2826"/>
      <c r="AF117" s="2826"/>
      <c r="AG117" s="2826"/>
      <c r="AH117" s="2826"/>
      <c r="AI117" s="2826"/>
      <c r="AJ117" s="2826"/>
      <c r="AK117" s="2826"/>
      <c r="AL117" s="2826"/>
      <c r="AM117" s="2826"/>
    </row>
    <row r="118" spans="2:39" s="3021" customFormat="1" ht="14" customHeight="1">
      <c r="B118" s="144"/>
      <c r="C118" s="144"/>
      <c r="D118" s="907"/>
      <c r="E118" s="143"/>
      <c r="F118" s="145"/>
      <c r="G118" s="146"/>
      <c r="H118" s="146"/>
      <c r="I118" s="146"/>
      <c r="J118" s="146"/>
      <c r="K118" s="146"/>
      <c r="L118" s="146"/>
      <c r="M118" s="458"/>
      <c r="N118" s="1284"/>
      <c r="O118" s="146"/>
      <c r="P118" s="146"/>
      <c r="Q118" s="147"/>
      <c r="R118" s="147"/>
      <c r="S118" s="142"/>
      <c r="T118" s="142"/>
      <c r="U118" s="146"/>
      <c r="V118" s="146"/>
      <c r="W118" s="146"/>
      <c r="X118" s="146"/>
      <c r="Y118" s="146"/>
      <c r="Z118" s="146"/>
      <c r="AA118" s="146"/>
      <c r="AC118" s="2826"/>
      <c r="AD118" s="2826"/>
      <c r="AE118" s="2826"/>
      <c r="AF118" s="2826"/>
      <c r="AG118" s="2826"/>
      <c r="AH118" s="2826"/>
      <c r="AI118" s="2826"/>
      <c r="AJ118" s="2826"/>
      <c r="AK118" s="2826"/>
      <c r="AL118" s="2826"/>
      <c r="AM118" s="2826"/>
    </row>
    <row r="119" spans="2:39" s="3021" customFormat="1" ht="14" customHeight="1">
      <c r="B119" s="144"/>
      <c r="C119" s="144"/>
      <c r="D119" s="907"/>
      <c r="E119" s="143"/>
      <c r="F119" s="145"/>
      <c r="G119" s="146"/>
      <c r="H119" s="146"/>
      <c r="I119" s="146"/>
      <c r="J119" s="146"/>
      <c r="K119" s="146"/>
      <c r="L119" s="146"/>
      <c r="M119" s="458"/>
      <c r="N119" s="1284"/>
      <c r="O119" s="146"/>
      <c r="P119" s="146"/>
      <c r="Q119" s="147"/>
      <c r="R119" s="147"/>
      <c r="S119" s="142"/>
      <c r="T119" s="142"/>
      <c r="U119" s="146"/>
      <c r="V119" s="146"/>
      <c r="W119" s="146"/>
      <c r="X119" s="146"/>
      <c r="Y119" s="146"/>
      <c r="Z119" s="146"/>
      <c r="AA119" s="146"/>
      <c r="AC119" s="2826"/>
      <c r="AD119" s="2826"/>
      <c r="AE119" s="2826"/>
      <c r="AF119" s="2826"/>
      <c r="AG119" s="2826"/>
      <c r="AH119" s="2826"/>
      <c r="AI119" s="2826"/>
      <c r="AJ119" s="2826"/>
      <c r="AK119" s="2826"/>
      <c r="AL119" s="2826"/>
      <c r="AM119" s="2826"/>
    </row>
    <row r="120" spans="2:39" s="3021" customFormat="1" ht="14" customHeight="1">
      <c r="B120" s="144"/>
      <c r="C120" s="144"/>
      <c r="D120" s="907"/>
      <c r="E120" s="143"/>
      <c r="F120" s="145"/>
      <c r="G120" s="146"/>
      <c r="H120" s="146"/>
      <c r="I120" s="146"/>
      <c r="J120" s="146"/>
      <c r="K120" s="146"/>
      <c r="L120" s="146"/>
      <c r="M120" s="458"/>
      <c r="N120" s="1284"/>
      <c r="O120" s="146"/>
      <c r="P120" s="146"/>
      <c r="Q120" s="147"/>
      <c r="R120" s="147"/>
      <c r="S120" s="142"/>
      <c r="T120" s="142"/>
      <c r="U120" s="146"/>
      <c r="V120" s="146"/>
      <c r="W120" s="146"/>
      <c r="X120" s="146"/>
      <c r="Y120" s="146"/>
      <c r="Z120" s="146"/>
      <c r="AA120" s="146"/>
      <c r="AC120" s="2826"/>
      <c r="AD120" s="2826"/>
      <c r="AE120" s="2826"/>
      <c r="AF120" s="2826"/>
      <c r="AG120" s="2826"/>
      <c r="AH120" s="2826"/>
      <c r="AI120" s="2826"/>
      <c r="AJ120" s="2826"/>
      <c r="AK120" s="2826"/>
      <c r="AL120" s="2826"/>
      <c r="AM120" s="2826"/>
    </row>
    <row r="121" spans="2:39" s="3021" customFormat="1" ht="14" customHeight="1">
      <c r="B121" s="144"/>
      <c r="C121" s="144"/>
      <c r="D121" s="907"/>
      <c r="E121" s="143"/>
      <c r="F121" s="145"/>
      <c r="G121" s="146"/>
      <c r="H121" s="146"/>
      <c r="I121" s="146"/>
      <c r="J121" s="146"/>
      <c r="K121" s="146"/>
      <c r="L121" s="146"/>
      <c r="M121" s="458"/>
      <c r="N121" s="1284"/>
      <c r="O121" s="146"/>
      <c r="P121" s="146"/>
      <c r="Q121" s="147"/>
      <c r="R121" s="147"/>
      <c r="S121" s="142"/>
      <c r="T121" s="142"/>
      <c r="U121" s="146"/>
      <c r="V121" s="146"/>
      <c r="W121" s="146"/>
      <c r="X121" s="146"/>
      <c r="Y121" s="146"/>
      <c r="Z121" s="146"/>
      <c r="AA121" s="146"/>
      <c r="AC121" s="2826"/>
      <c r="AD121" s="2826"/>
      <c r="AE121" s="2826"/>
      <c r="AF121" s="2826"/>
      <c r="AG121" s="2826"/>
      <c r="AH121" s="2826"/>
      <c r="AI121" s="2826"/>
      <c r="AJ121" s="2826"/>
      <c r="AK121" s="2826"/>
      <c r="AL121" s="2826"/>
      <c r="AM121" s="2826"/>
    </row>
    <row r="122" spans="2:39" s="3021" customFormat="1" ht="14" customHeight="1">
      <c r="B122" s="144"/>
      <c r="C122" s="144"/>
      <c r="D122" s="907"/>
      <c r="E122" s="143"/>
      <c r="F122" s="145"/>
      <c r="G122" s="146"/>
      <c r="H122" s="146"/>
      <c r="I122" s="146"/>
      <c r="J122" s="146"/>
      <c r="K122" s="146"/>
      <c r="L122" s="146"/>
      <c r="M122" s="458"/>
      <c r="N122" s="1284"/>
      <c r="O122" s="146"/>
      <c r="P122" s="146"/>
      <c r="Q122" s="147"/>
      <c r="R122" s="147"/>
      <c r="S122" s="142"/>
      <c r="T122" s="142"/>
      <c r="U122" s="146"/>
      <c r="V122" s="146"/>
      <c r="W122" s="146"/>
      <c r="X122" s="146"/>
      <c r="Y122" s="146"/>
      <c r="Z122" s="146"/>
      <c r="AA122" s="146"/>
      <c r="AC122" s="2826"/>
      <c r="AD122" s="2826"/>
      <c r="AE122" s="2826"/>
      <c r="AF122" s="2826"/>
      <c r="AG122" s="2826"/>
      <c r="AH122" s="2826"/>
      <c r="AI122" s="2826"/>
      <c r="AJ122" s="2826"/>
      <c r="AK122" s="2826"/>
      <c r="AL122" s="2826"/>
      <c r="AM122" s="2826"/>
    </row>
    <row r="123" spans="2:39" s="3021" customFormat="1" ht="14" customHeight="1">
      <c r="B123" s="144"/>
      <c r="C123" s="144"/>
      <c r="D123" s="907"/>
      <c r="E123" s="143"/>
      <c r="F123" s="145"/>
      <c r="G123" s="146"/>
      <c r="H123" s="146"/>
      <c r="I123" s="146"/>
      <c r="J123" s="146"/>
      <c r="K123" s="146"/>
      <c r="L123" s="146"/>
      <c r="M123" s="458"/>
      <c r="N123" s="1284"/>
      <c r="O123" s="146"/>
      <c r="P123" s="146"/>
      <c r="Q123" s="147"/>
      <c r="R123" s="147"/>
      <c r="S123" s="142"/>
      <c r="T123" s="142"/>
      <c r="U123" s="146"/>
      <c r="V123" s="146"/>
      <c r="W123" s="146"/>
      <c r="X123" s="146"/>
      <c r="Y123" s="146"/>
      <c r="Z123" s="146"/>
      <c r="AA123" s="146"/>
      <c r="AC123" s="2826"/>
      <c r="AD123" s="2826"/>
      <c r="AE123" s="2826"/>
      <c r="AF123" s="2826"/>
      <c r="AG123" s="2826"/>
      <c r="AH123" s="2826"/>
      <c r="AI123" s="2826"/>
      <c r="AJ123" s="2826"/>
      <c r="AK123" s="2826"/>
      <c r="AL123" s="2826"/>
      <c r="AM123" s="2826"/>
    </row>
    <row r="124" spans="2:39" s="3021" customFormat="1" ht="14" customHeight="1">
      <c r="B124" s="144"/>
      <c r="C124" s="144"/>
      <c r="D124" s="907"/>
      <c r="E124" s="143"/>
      <c r="F124" s="145"/>
      <c r="G124" s="146"/>
      <c r="H124" s="146"/>
      <c r="I124" s="146"/>
      <c r="J124" s="146"/>
      <c r="K124" s="146"/>
      <c r="L124" s="146"/>
      <c r="M124" s="458"/>
      <c r="N124" s="1284"/>
      <c r="O124" s="146"/>
      <c r="P124" s="146"/>
      <c r="Q124" s="147"/>
      <c r="R124" s="147"/>
      <c r="S124" s="142"/>
      <c r="T124" s="142"/>
      <c r="U124" s="146"/>
      <c r="V124" s="146"/>
      <c r="W124" s="146"/>
      <c r="X124" s="146"/>
      <c r="Y124" s="146"/>
      <c r="Z124" s="146"/>
      <c r="AA124" s="146"/>
      <c r="AC124" s="2826"/>
      <c r="AD124" s="2826"/>
      <c r="AE124" s="2826"/>
      <c r="AF124" s="2826"/>
      <c r="AG124" s="2826"/>
      <c r="AH124" s="2826"/>
      <c r="AI124" s="2826"/>
      <c r="AJ124" s="2826"/>
      <c r="AK124" s="2826"/>
      <c r="AL124" s="2826"/>
      <c r="AM124" s="2826"/>
    </row>
    <row r="125" spans="2:39" s="3021" customFormat="1" ht="14" customHeight="1">
      <c r="B125" s="144"/>
      <c r="C125" s="144"/>
      <c r="D125" s="907"/>
      <c r="E125" s="143"/>
      <c r="F125" s="145"/>
      <c r="G125" s="146"/>
      <c r="H125" s="146"/>
      <c r="I125" s="146"/>
      <c r="J125" s="146"/>
      <c r="K125" s="146"/>
      <c r="L125" s="146"/>
      <c r="M125" s="458"/>
      <c r="N125" s="1284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C125" s="2826"/>
      <c r="AD125" s="2826"/>
      <c r="AE125" s="2826"/>
      <c r="AF125" s="2826"/>
      <c r="AG125" s="2826"/>
      <c r="AH125" s="2826"/>
      <c r="AI125" s="2826"/>
      <c r="AJ125" s="2826"/>
      <c r="AK125" s="2826"/>
      <c r="AL125" s="2826"/>
      <c r="AM125" s="2826"/>
    </row>
    <row r="126" spans="2:39" s="3021" customFormat="1" ht="14" customHeight="1">
      <c r="B126" s="144"/>
      <c r="C126" s="144"/>
      <c r="D126" s="907"/>
      <c r="E126" s="143"/>
      <c r="F126" s="145"/>
      <c r="G126" s="146"/>
      <c r="H126" s="146"/>
      <c r="I126" s="146"/>
      <c r="J126" s="146"/>
      <c r="K126" s="146"/>
      <c r="L126" s="146"/>
      <c r="M126" s="458"/>
      <c r="N126" s="1284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C126" s="2826"/>
      <c r="AD126" s="2826"/>
      <c r="AE126" s="2826"/>
      <c r="AF126" s="2826"/>
      <c r="AG126" s="2826"/>
      <c r="AH126" s="2826"/>
      <c r="AI126" s="2826"/>
      <c r="AJ126" s="2826"/>
      <c r="AK126" s="2826"/>
      <c r="AL126" s="2826"/>
      <c r="AM126" s="2826"/>
    </row>
    <row r="127" spans="2:39" s="3021" customFormat="1" ht="14" customHeight="1">
      <c r="B127" s="144"/>
      <c r="C127" s="144"/>
      <c r="D127" s="907"/>
      <c r="E127" s="143"/>
      <c r="F127" s="145"/>
      <c r="G127" s="146"/>
      <c r="H127" s="146"/>
      <c r="I127" s="146"/>
      <c r="J127" s="146"/>
      <c r="K127" s="146"/>
      <c r="L127" s="146"/>
      <c r="M127" s="458"/>
      <c r="N127" s="1284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C127" s="2826"/>
      <c r="AD127" s="2826"/>
      <c r="AE127" s="2826"/>
      <c r="AF127" s="2826"/>
      <c r="AG127" s="2826"/>
      <c r="AH127" s="2826"/>
      <c r="AI127" s="2826"/>
      <c r="AJ127" s="2826"/>
      <c r="AK127" s="2826"/>
      <c r="AL127" s="2826"/>
      <c r="AM127" s="2826"/>
    </row>
    <row r="128" spans="2:39" s="3021" customFormat="1" ht="14" customHeight="1">
      <c r="B128" s="144"/>
      <c r="C128" s="144"/>
      <c r="D128" s="907"/>
      <c r="E128" s="143"/>
      <c r="F128" s="145"/>
      <c r="G128" s="146"/>
      <c r="H128" s="146"/>
      <c r="I128" s="146"/>
      <c r="J128" s="146"/>
      <c r="K128" s="146"/>
      <c r="L128" s="146"/>
      <c r="M128" s="458"/>
      <c r="N128" s="1284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C128" s="2826"/>
      <c r="AD128" s="2826"/>
      <c r="AE128" s="2826"/>
      <c r="AF128" s="2826"/>
      <c r="AG128" s="2826"/>
      <c r="AH128" s="2826"/>
      <c r="AI128" s="2826"/>
      <c r="AJ128" s="2826"/>
      <c r="AK128" s="2826"/>
      <c r="AL128" s="2826"/>
      <c r="AM128" s="2826"/>
    </row>
    <row r="129" spans="2:41" s="3021" customFormat="1" ht="14" customHeight="1">
      <c r="B129" s="144"/>
      <c r="C129" s="144"/>
      <c r="D129" s="907"/>
      <c r="E129" s="143"/>
      <c r="F129" s="145"/>
      <c r="G129" s="146"/>
      <c r="H129" s="146"/>
      <c r="I129" s="146"/>
      <c r="J129" s="146"/>
      <c r="K129" s="146"/>
      <c r="L129" s="146"/>
      <c r="M129" s="458"/>
      <c r="N129" s="1284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C129" s="2826"/>
      <c r="AD129" s="2826"/>
      <c r="AE129" s="2826"/>
      <c r="AF129" s="2826"/>
      <c r="AG129" s="2826"/>
      <c r="AH129" s="2826"/>
      <c r="AI129" s="2826"/>
      <c r="AJ129" s="2826"/>
      <c r="AK129" s="2826"/>
      <c r="AL129" s="2826"/>
      <c r="AM129" s="2826"/>
    </row>
    <row r="130" spans="2:41" s="3021" customFormat="1" ht="14" customHeight="1">
      <c r="B130" s="144"/>
      <c r="C130" s="144"/>
      <c r="D130" s="907"/>
      <c r="E130" s="143"/>
      <c r="F130" s="145"/>
      <c r="G130" s="146"/>
      <c r="H130" s="146"/>
      <c r="I130" s="146"/>
      <c r="J130" s="146"/>
      <c r="K130" s="146"/>
      <c r="L130" s="146"/>
      <c r="M130" s="458"/>
      <c r="N130" s="1284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C130" s="2826"/>
      <c r="AD130" s="2826"/>
      <c r="AE130" s="2826"/>
      <c r="AF130" s="2826"/>
      <c r="AG130" s="2826"/>
      <c r="AH130" s="2826"/>
      <c r="AI130" s="2826"/>
      <c r="AJ130" s="2826"/>
      <c r="AK130" s="2826"/>
      <c r="AL130" s="2826"/>
      <c r="AM130" s="2826"/>
    </row>
    <row r="131" spans="2:41" s="3021" customFormat="1" ht="14" customHeight="1">
      <c r="B131" s="144"/>
      <c r="C131" s="144"/>
      <c r="D131" s="907"/>
      <c r="E131" s="143"/>
      <c r="F131" s="145"/>
      <c r="G131" s="146"/>
      <c r="H131" s="146"/>
      <c r="I131" s="146"/>
      <c r="J131" s="146"/>
      <c r="K131" s="146"/>
      <c r="L131" s="146"/>
      <c r="M131" s="458"/>
      <c r="N131" s="1284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B131" s="3021">
        <f>SUBTOTAL(9,AB89:AB130)</f>
        <v>0</v>
      </c>
      <c r="AC131" s="2826">
        <f>SUBTOTAL(9,AC89:AC130)</f>
        <v>0</v>
      </c>
      <c r="AD131" s="2826">
        <f>SUBTOTAL(9,AD89:AD130)</f>
        <v>0</v>
      </c>
      <c r="AE131" s="2826"/>
      <c r="AF131" s="2826"/>
      <c r="AG131" s="2826"/>
      <c r="AH131" s="2826"/>
      <c r="AI131" s="2826"/>
      <c r="AJ131" s="2826"/>
      <c r="AK131" s="2826"/>
      <c r="AL131" s="2826"/>
      <c r="AM131" s="2826"/>
    </row>
    <row r="132" spans="2:41" s="3021" customFormat="1" ht="14" customHeight="1">
      <c r="B132" s="144"/>
      <c r="C132" s="144"/>
      <c r="D132" s="907"/>
      <c r="E132" s="143"/>
      <c r="F132" s="145"/>
      <c r="G132" s="146"/>
      <c r="H132" s="146"/>
      <c r="I132" s="146"/>
      <c r="J132" s="146"/>
      <c r="K132" s="146"/>
      <c r="L132" s="146"/>
      <c r="M132" s="458"/>
      <c r="N132" s="1284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B132" s="3021">
        <v>0</v>
      </c>
      <c r="AC132" s="2826">
        <v>0</v>
      </c>
      <c r="AD132" s="2826">
        <v>0</v>
      </c>
      <c r="AE132" s="2826"/>
      <c r="AF132" s="2826"/>
      <c r="AG132" s="2826"/>
      <c r="AH132" s="2826"/>
      <c r="AI132" s="2826"/>
      <c r="AJ132" s="2826"/>
      <c r="AK132" s="2826"/>
      <c r="AL132" s="2826"/>
      <c r="AM132" s="2826"/>
    </row>
    <row r="133" spans="2:41" s="3021" customFormat="1" ht="14" customHeight="1">
      <c r="B133" s="144"/>
      <c r="C133" s="144"/>
      <c r="D133" s="907"/>
      <c r="E133" s="143"/>
      <c r="F133" s="145"/>
      <c r="G133" s="146"/>
      <c r="H133" s="146"/>
      <c r="I133" s="146"/>
      <c r="J133" s="146"/>
      <c r="K133" s="146"/>
      <c r="L133" s="146"/>
      <c r="M133" s="458"/>
      <c r="N133" s="1284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B133" s="3021">
        <v>0</v>
      </c>
      <c r="AC133" s="2826">
        <v>0</v>
      </c>
      <c r="AD133" s="2826">
        <v>0</v>
      </c>
      <c r="AE133" s="2826"/>
      <c r="AF133" s="2826"/>
      <c r="AG133" s="2826"/>
      <c r="AH133" s="2826"/>
      <c r="AI133" s="2826"/>
      <c r="AJ133" s="2826"/>
      <c r="AK133" s="2826"/>
      <c r="AL133" s="2826"/>
      <c r="AM133" s="2826"/>
    </row>
    <row r="134" spans="2:41" s="3021" customFormat="1" ht="14" customHeight="1">
      <c r="B134" s="144"/>
      <c r="C134" s="144"/>
      <c r="D134" s="907"/>
      <c r="E134" s="143"/>
      <c r="F134" s="145"/>
      <c r="G134" s="146"/>
      <c r="H134" s="146"/>
      <c r="I134" s="146"/>
      <c r="J134" s="146"/>
      <c r="K134" s="146"/>
      <c r="L134" s="146"/>
      <c r="M134" s="458"/>
      <c r="N134" s="1284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B134" s="3021">
        <v>0</v>
      </c>
      <c r="AC134" s="2826">
        <v>0</v>
      </c>
      <c r="AD134" s="2826">
        <v>0</v>
      </c>
      <c r="AE134" s="2826"/>
      <c r="AF134" s="2826"/>
      <c r="AG134" s="2826"/>
      <c r="AH134" s="2826"/>
      <c r="AI134" s="2826"/>
      <c r="AJ134" s="2826"/>
      <c r="AK134" s="2826"/>
      <c r="AL134" s="2826"/>
      <c r="AM134" s="2826"/>
    </row>
    <row r="135" spans="2:41" s="3021" customFormat="1" ht="14" customHeight="1">
      <c r="B135" s="144"/>
      <c r="C135" s="144"/>
      <c r="D135" s="907"/>
      <c r="E135" s="143"/>
      <c r="F135" s="145"/>
      <c r="G135" s="146"/>
      <c r="H135" s="146"/>
      <c r="I135" s="146"/>
      <c r="J135" s="146"/>
      <c r="K135" s="146"/>
      <c r="L135" s="146"/>
      <c r="M135" s="458"/>
      <c r="N135" s="1284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B135" s="3021">
        <v>0</v>
      </c>
      <c r="AC135" s="2826">
        <v>0</v>
      </c>
      <c r="AD135" s="2826">
        <v>0</v>
      </c>
      <c r="AE135" s="2826"/>
      <c r="AF135" s="2826"/>
      <c r="AG135" s="2826"/>
      <c r="AH135" s="2826"/>
      <c r="AI135" s="2826"/>
      <c r="AJ135" s="2826"/>
      <c r="AK135" s="2826"/>
      <c r="AL135" s="2826"/>
      <c r="AM135" s="2826"/>
    </row>
    <row r="136" spans="2:41" s="3021" customFormat="1" ht="11">
      <c r="B136" s="144"/>
      <c r="C136" s="144"/>
      <c r="D136" s="907"/>
      <c r="E136" s="143"/>
      <c r="F136" s="145"/>
      <c r="G136" s="146"/>
      <c r="H136" s="146"/>
      <c r="I136" s="146"/>
      <c r="J136" s="146"/>
      <c r="K136" s="146"/>
      <c r="L136" s="146"/>
      <c r="M136" s="458"/>
      <c r="N136" s="1284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B136" s="3021">
        <v>0</v>
      </c>
      <c r="AC136" s="2826">
        <v>0</v>
      </c>
      <c r="AD136" s="2826">
        <v>0</v>
      </c>
      <c r="AE136" s="2826"/>
      <c r="AF136" s="2826"/>
      <c r="AG136" s="2826"/>
      <c r="AH136" s="2826"/>
      <c r="AI136" s="2826"/>
      <c r="AJ136" s="2826"/>
      <c r="AK136" s="2826"/>
      <c r="AL136" s="2826"/>
      <c r="AM136" s="2826"/>
    </row>
    <row r="137" spans="2:41" s="3021" customFormat="1" ht="11">
      <c r="B137" s="144"/>
      <c r="C137" s="144"/>
      <c r="D137" s="907"/>
      <c r="E137" s="143"/>
      <c r="F137" s="145"/>
      <c r="G137" s="146"/>
      <c r="H137" s="146"/>
      <c r="I137" s="146"/>
      <c r="J137" s="146"/>
      <c r="K137" s="146"/>
      <c r="L137" s="146"/>
      <c r="M137" s="458"/>
      <c r="N137" s="1284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B137" s="3021">
        <v>0</v>
      </c>
      <c r="AC137" s="2826">
        <v>0</v>
      </c>
      <c r="AD137" s="2826">
        <v>0</v>
      </c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2:41" s="3021" customFormat="1" ht="11">
      <c r="B138" s="144"/>
      <c r="C138" s="144"/>
      <c r="D138" s="907"/>
      <c r="E138" s="143"/>
      <c r="F138" s="145"/>
      <c r="G138" s="146"/>
      <c r="H138" s="146"/>
      <c r="I138" s="146"/>
      <c r="J138" s="146"/>
      <c r="K138" s="146"/>
      <c r="L138" s="146"/>
      <c r="M138" s="458"/>
      <c r="N138" s="1284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B138" s="3021">
        <v>0</v>
      </c>
      <c r="AC138" s="2826">
        <v>0</v>
      </c>
      <c r="AD138" s="2826">
        <v>0</v>
      </c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2:41" s="3021" customFormat="1" ht="11">
      <c r="B139" s="144"/>
      <c r="C139" s="144"/>
      <c r="D139" s="907"/>
      <c r="E139" s="143"/>
      <c r="F139" s="145"/>
      <c r="G139" s="146"/>
      <c r="H139" s="146"/>
      <c r="I139" s="146"/>
      <c r="J139" s="146"/>
      <c r="K139" s="146"/>
      <c r="L139" s="146"/>
      <c r="M139" s="458"/>
      <c r="N139" s="1284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B139" s="3021">
        <v>0</v>
      </c>
      <c r="AC139" s="2826">
        <v>0</v>
      </c>
      <c r="AD139" s="2826">
        <v>0</v>
      </c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2:41" s="3021" customFormat="1" ht="11">
      <c r="B140" s="144"/>
      <c r="C140" s="144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284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B140" s="3021">
        <v>0</v>
      </c>
      <c r="AC140" s="2826">
        <v>0</v>
      </c>
      <c r="AD140" s="2826">
        <v>0</v>
      </c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2:41" s="3021" customFormat="1" ht="11">
      <c r="B141" s="144"/>
      <c r="C141" s="144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284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B141" s="3021">
        <v>0</v>
      </c>
      <c r="AC141" s="2826">
        <v>0</v>
      </c>
      <c r="AD141" s="2826">
        <v>0</v>
      </c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2:41" s="3021" customFormat="1" ht="11">
      <c r="B142" s="144"/>
      <c r="C142" s="144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284"/>
      <c r="O142" s="146"/>
      <c r="P142" s="146"/>
      <c r="Q142" s="147"/>
      <c r="R142" s="147"/>
      <c r="S142" s="142"/>
      <c r="T142" s="142"/>
      <c r="U142" s="146">
        <f>SUBTOTAL(9,U100:U141)</f>
        <v>0</v>
      </c>
      <c r="V142" s="146">
        <f t="shared" ref="V142:AA142" si="63">SUBTOTAL(9,V100:V141)</f>
        <v>0</v>
      </c>
      <c r="W142" s="146">
        <f t="shared" si="63"/>
        <v>0</v>
      </c>
      <c r="X142" s="146">
        <f t="shared" si="63"/>
        <v>0</v>
      </c>
      <c r="Y142" s="146">
        <f t="shared" si="63"/>
        <v>0</v>
      </c>
      <c r="Z142" s="146">
        <f t="shared" si="63"/>
        <v>0</v>
      </c>
      <c r="AA142" s="146">
        <f t="shared" si="63"/>
        <v>0</v>
      </c>
      <c r="AB142" s="3021">
        <v>0</v>
      </c>
      <c r="AC142" s="2826">
        <v>0</v>
      </c>
      <c r="AD142" s="2826">
        <v>0</v>
      </c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2:41" s="2825" customFormat="1" ht="14" thickBot="1">
      <c r="B143" s="139"/>
      <c r="C143" s="139"/>
      <c r="D143" s="908"/>
      <c r="E143" s="138"/>
      <c r="F143" s="140"/>
      <c r="G143" s="141"/>
      <c r="H143" s="141"/>
      <c r="I143" s="141"/>
      <c r="J143" s="141"/>
      <c r="K143" s="141"/>
      <c r="L143" s="141"/>
      <c r="M143" s="458"/>
      <c r="N143" s="1284"/>
      <c r="O143" s="141"/>
      <c r="P143" s="141"/>
      <c r="Q143" s="148"/>
      <c r="R143" s="148"/>
      <c r="S143" s="149"/>
      <c r="T143" s="149"/>
      <c r="U143" s="150"/>
      <c r="V143" s="150"/>
      <c r="W143" s="150"/>
      <c r="X143" s="150"/>
      <c r="Y143" s="150"/>
      <c r="Z143" s="150"/>
      <c r="AA143" s="150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2:41" s="2825" customFormat="1" ht="15" thickTop="1" thickBot="1">
      <c r="B144" s="139"/>
      <c r="C144" s="139"/>
      <c r="D144" s="908"/>
      <c r="E144" s="138"/>
      <c r="F144" s="140"/>
      <c r="G144" s="141"/>
      <c r="H144" s="141"/>
      <c r="I144" s="141"/>
      <c r="J144" s="141"/>
      <c r="K144" s="141"/>
      <c r="L144" s="141"/>
      <c r="M144" s="458"/>
      <c r="N144" s="1284"/>
      <c r="O144" s="141"/>
      <c r="P144" s="141"/>
      <c r="Q144" s="148"/>
      <c r="R144" s="148"/>
      <c r="S144" s="148"/>
      <c r="T144" s="149"/>
      <c r="U144" s="151"/>
      <c r="V144" s="152"/>
      <c r="W144" s="153"/>
      <c r="X144" s="153"/>
      <c r="Y144" s="153"/>
      <c r="Z144" s="153"/>
      <c r="AA144" s="154"/>
      <c r="AB144" s="3022"/>
      <c r="AC144" s="3022"/>
      <c r="AE144" s="2826"/>
      <c r="AF144" s="2826"/>
      <c r="AG144" s="2826"/>
      <c r="AH144" s="2826"/>
      <c r="AI144" s="2826"/>
      <c r="AJ144" s="2826"/>
      <c r="AK144" s="2826"/>
      <c r="AL144" s="2826"/>
      <c r="AM144" s="2826"/>
      <c r="AN144" s="2826"/>
      <c r="AO144" s="2826"/>
    </row>
    <row r="145" spans="2:39" s="3021" customFormat="1" ht="12" thickTop="1">
      <c r="B145" s="144"/>
      <c r="C145" s="144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284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39" s="3021" customFormat="1" ht="11">
      <c r="B146" s="144"/>
      <c r="C146" s="144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284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39" s="3021" customFormat="1" ht="11">
      <c r="B147" s="144"/>
      <c r="C147" s="144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284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39" s="3021" customFormat="1" ht="11">
      <c r="B148" s="144"/>
      <c r="C148" s="144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284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39" s="3021" customFormat="1" ht="11">
      <c r="B149" s="144"/>
      <c r="C149" s="144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284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39" s="3021" customFormat="1" ht="11">
      <c r="B150" s="144"/>
      <c r="C150" s="144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284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39" s="3021" customFormat="1" ht="11">
      <c r="B151" s="144"/>
      <c r="C151" s="144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284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39" s="3021" customFormat="1" ht="14" customHeight="1">
      <c r="B152" s="144"/>
      <c r="C152" s="144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284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39" s="3021" customFormat="1" ht="14" customHeight="1">
      <c r="B153" s="144"/>
      <c r="C153" s="144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284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39" s="3021" customFormat="1" ht="14" customHeight="1">
      <c r="B154" s="144"/>
      <c r="C154" s="144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284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39" s="3021" customFormat="1" ht="14" customHeight="1">
      <c r="B155" s="144"/>
      <c r="C155" s="144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284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39" s="3021" customFormat="1" ht="14" customHeight="1">
      <c r="B156" s="144"/>
      <c r="C156" s="144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284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39" s="3021" customFormat="1" ht="14" customHeight="1">
      <c r="B157" s="144"/>
      <c r="C157" s="144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284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39" s="3021" customFormat="1" ht="14" customHeight="1">
      <c r="B158" s="144"/>
      <c r="C158" s="144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284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39" s="3021" customFormat="1" ht="14" customHeight="1">
      <c r="B159" s="144"/>
      <c r="C159" s="144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284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39" s="3021" customFormat="1" ht="14" customHeight="1">
      <c r="B160" s="144"/>
      <c r="C160" s="144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284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4" customHeight="1">
      <c r="B161" s="144"/>
      <c r="C161" s="144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284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4" customHeight="1">
      <c r="B162" s="144"/>
      <c r="C162" s="144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284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4" customHeight="1">
      <c r="B163" s="144"/>
      <c r="C163" s="144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284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4" customHeight="1">
      <c r="B164" s="144"/>
      <c r="C164" s="144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284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4" customHeight="1">
      <c r="B165" s="144"/>
      <c r="C165" s="144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284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4" customHeight="1">
      <c r="B166" s="144"/>
      <c r="C166" s="144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284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4" customHeight="1">
      <c r="B167" s="144"/>
      <c r="C167" s="144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284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4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284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4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284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4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284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4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284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4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284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4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284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82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4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284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826"/>
      <c r="AD174" s="2826"/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4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284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826"/>
      <c r="AD175" s="2826"/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4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284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82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3021" customFormat="1" ht="11">
      <c r="B177" s="144"/>
      <c r="C177" s="144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284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3021" customFormat="1" ht="11">
      <c r="B178" s="144"/>
      <c r="C178" s="144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284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41" s="3021" customFormat="1" ht="11">
      <c r="B179" s="144"/>
      <c r="C179" s="144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284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41" s="3021" customFormat="1" ht="11">
      <c r="B180" s="144"/>
      <c r="C180" s="144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284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41" s="3021" customFormat="1" ht="11">
      <c r="B181" s="3159"/>
      <c r="C181" s="3159"/>
      <c r="D181" s="3160"/>
      <c r="F181" s="3023"/>
      <c r="G181" s="3024"/>
      <c r="H181" s="3024"/>
      <c r="I181" s="3024"/>
      <c r="J181" s="3024"/>
      <c r="K181" s="3024"/>
      <c r="L181" s="3024"/>
      <c r="M181" s="3025"/>
      <c r="N181" s="3519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41" s="3021" customFormat="1" ht="11">
      <c r="B182" s="3159"/>
      <c r="C182" s="3159"/>
      <c r="D182" s="3160"/>
      <c r="F182" s="3023"/>
      <c r="G182" s="3024"/>
      <c r="H182" s="3024"/>
      <c r="I182" s="3024"/>
      <c r="J182" s="3024"/>
      <c r="K182" s="3024"/>
      <c r="L182" s="3024"/>
      <c r="M182" s="3025"/>
      <c r="N182" s="3519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3021" customFormat="1" ht="11">
      <c r="B183" s="3159"/>
      <c r="C183" s="3159"/>
      <c r="D183" s="3160"/>
      <c r="F183" s="3023"/>
      <c r="G183" s="3024"/>
      <c r="H183" s="3024"/>
      <c r="I183" s="3024"/>
      <c r="J183" s="3024"/>
      <c r="K183" s="3024"/>
      <c r="L183" s="3024"/>
      <c r="M183" s="3025"/>
      <c r="N183" s="3519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41" s="3021" customFormat="1" ht="11">
      <c r="B184" s="3159"/>
      <c r="C184" s="3159"/>
      <c r="D184" s="3160"/>
      <c r="F184" s="3023"/>
      <c r="G184" s="3024"/>
      <c r="H184" s="3024"/>
      <c r="I184" s="3024"/>
      <c r="J184" s="3024"/>
      <c r="K184" s="3024"/>
      <c r="L184" s="3024"/>
      <c r="M184" s="3025"/>
      <c r="N184" s="3519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41" s="3021" customFormat="1" ht="11">
      <c r="B185" s="3159"/>
      <c r="C185" s="3159"/>
      <c r="D185" s="3160"/>
      <c r="F185" s="3023"/>
      <c r="G185" s="3024"/>
      <c r="H185" s="3024"/>
      <c r="I185" s="3024"/>
      <c r="J185" s="3024"/>
      <c r="K185" s="3024"/>
      <c r="L185" s="3024"/>
      <c r="M185" s="3025"/>
      <c r="N185" s="3519"/>
      <c r="O185" s="146"/>
      <c r="P185" s="146"/>
      <c r="Q185" s="147"/>
      <c r="R185" s="147"/>
      <c r="S185" s="142"/>
      <c r="T185" s="142"/>
      <c r="U185" s="146">
        <f>SUBTOTAL(9,U143:U184)</f>
        <v>0</v>
      </c>
      <c r="V185" s="146">
        <f t="shared" ref="V185:AA185" si="64">SUBTOTAL(9,V143:V184)</f>
        <v>0</v>
      </c>
      <c r="W185" s="146">
        <f t="shared" si="64"/>
        <v>0</v>
      </c>
      <c r="X185" s="146">
        <f t="shared" si="64"/>
        <v>0</v>
      </c>
      <c r="Y185" s="146">
        <f t="shared" si="64"/>
        <v>0</v>
      </c>
      <c r="Z185" s="146">
        <f t="shared" si="64"/>
        <v>0</v>
      </c>
      <c r="AA185" s="146">
        <f t="shared" si="64"/>
        <v>0</v>
      </c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2825" customFormat="1" ht="14" thickBot="1">
      <c r="B186" s="2935"/>
      <c r="C186" s="2935"/>
      <c r="D186" s="3161"/>
      <c r="F186" s="3026"/>
      <c r="G186" s="3027"/>
      <c r="H186" s="3027"/>
      <c r="I186" s="3027"/>
      <c r="J186" s="3027"/>
      <c r="K186" s="3027"/>
      <c r="L186" s="3027"/>
      <c r="M186" s="3025"/>
      <c r="N186" s="3519"/>
      <c r="O186" s="141"/>
      <c r="P186" s="141"/>
      <c r="Q186" s="148"/>
      <c r="R186" s="148"/>
      <c r="S186" s="149"/>
      <c r="T186" s="149"/>
      <c r="U186" s="150"/>
      <c r="V186" s="150"/>
      <c r="W186" s="150"/>
      <c r="X186" s="150"/>
      <c r="Y186" s="150"/>
      <c r="Z186" s="150"/>
      <c r="AA186" s="150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41" s="2825" customFormat="1" ht="15" thickTop="1" thickBot="1">
      <c r="B187" s="2935"/>
      <c r="C187" s="2935"/>
      <c r="D187" s="3161"/>
      <c r="F187" s="3026"/>
      <c r="G187" s="3027"/>
      <c r="H187" s="3027"/>
      <c r="I187" s="3027"/>
      <c r="J187" s="3027"/>
      <c r="K187" s="3027"/>
      <c r="L187" s="3027"/>
      <c r="M187" s="3025"/>
      <c r="N187" s="3519"/>
      <c r="O187" s="141"/>
      <c r="P187" s="141"/>
      <c r="Q187" s="148"/>
      <c r="R187" s="148"/>
      <c r="S187" s="148"/>
      <c r="T187" s="148"/>
      <c r="U187" s="151">
        <f>SUBTOTAL(9,U145:U186)</f>
        <v>0</v>
      </c>
      <c r="V187" s="152">
        <f t="shared" ref="V187:AA187" si="65">SUBTOTAL(9,V145:V186)</f>
        <v>0</v>
      </c>
      <c r="W187" s="153">
        <f t="shared" si="65"/>
        <v>0</v>
      </c>
      <c r="X187" s="153">
        <f t="shared" si="65"/>
        <v>0</v>
      </c>
      <c r="Y187" s="153">
        <f t="shared" si="65"/>
        <v>0</v>
      </c>
      <c r="Z187" s="153">
        <f t="shared" si="65"/>
        <v>0</v>
      </c>
      <c r="AA187" s="154">
        <f t="shared" si="65"/>
        <v>0</v>
      </c>
      <c r="AB187" s="3022"/>
      <c r="AC187" s="3022"/>
      <c r="AE187" s="2826"/>
      <c r="AF187" s="2826"/>
      <c r="AG187" s="2826"/>
      <c r="AH187" s="2826"/>
      <c r="AI187" s="2826"/>
      <c r="AJ187" s="2826"/>
      <c r="AK187" s="2826"/>
      <c r="AL187" s="2826"/>
      <c r="AM187" s="2826"/>
      <c r="AN187" s="2826"/>
      <c r="AO187" s="2826"/>
    </row>
    <row r="188" spans="2:41" s="2825" customFormat="1" ht="14" thickTop="1">
      <c r="B188" s="2935"/>
      <c r="C188" s="2935"/>
      <c r="D188" s="3161"/>
      <c r="F188" s="3026"/>
      <c r="G188" s="3027"/>
      <c r="H188" s="3027"/>
      <c r="I188" s="3027"/>
      <c r="J188" s="3027"/>
      <c r="K188" s="3027"/>
      <c r="L188" s="3027"/>
      <c r="M188" s="3025"/>
      <c r="N188" s="3519"/>
      <c r="O188" s="141"/>
      <c r="P188" s="141"/>
      <c r="Q188" s="148"/>
      <c r="R188" s="148"/>
      <c r="S188" s="149"/>
      <c r="T188" s="149"/>
      <c r="U188" s="150"/>
      <c r="V188" s="150"/>
      <c r="W188" s="150"/>
      <c r="X188" s="150"/>
      <c r="Y188" s="150"/>
      <c r="Z188" s="150"/>
      <c r="AA188" s="150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2825" customFormat="1">
      <c r="B189" s="2935"/>
      <c r="C189" s="2935"/>
      <c r="D189" s="3161"/>
      <c r="F189" s="3026"/>
      <c r="G189" s="3027"/>
      <c r="H189" s="3027"/>
      <c r="I189" s="3027"/>
      <c r="J189" s="3027"/>
      <c r="K189" s="3027"/>
      <c r="L189" s="3027"/>
      <c r="M189" s="3025"/>
      <c r="N189" s="3519"/>
      <c r="O189" s="141"/>
      <c r="P189" s="141"/>
      <c r="Q189" s="148"/>
      <c r="R189" s="148"/>
      <c r="S189" s="149"/>
      <c r="T189" s="149"/>
      <c r="U189" s="150"/>
      <c r="V189" s="150"/>
      <c r="W189" s="150"/>
      <c r="X189" s="150"/>
      <c r="Y189" s="150"/>
      <c r="Z189" s="150"/>
      <c r="AA189" s="150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41" s="2825" customFormat="1">
      <c r="B190" s="2935"/>
      <c r="C190" s="2935"/>
      <c r="D190" s="3161"/>
      <c r="F190" s="3026"/>
      <c r="G190" s="3027"/>
      <c r="H190" s="3027"/>
      <c r="I190" s="3027"/>
      <c r="J190" s="3027"/>
      <c r="K190" s="3027"/>
      <c r="L190" s="3027"/>
      <c r="M190" s="3025"/>
      <c r="N190" s="3519"/>
      <c r="O190" s="141"/>
      <c r="P190" s="141"/>
      <c r="Q190" s="148"/>
      <c r="R190" s="148"/>
      <c r="S190" s="149"/>
      <c r="T190" s="149"/>
      <c r="U190" s="150"/>
      <c r="V190" s="150"/>
      <c r="W190" s="150"/>
      <c r="X190" s="150"/>
      <c r="Y190" s="150"/>
      <c r="Z190" s="150"/>
      <c r="AA190" s="150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2825" customFormat="1">
      <c r="B191" s="2935"/>
      <c r="C191" s="2935"/>
      <c r="D191" s="3161"/>
      <c r="F191" s="3026"/>
      <c r="G191" s="3027"/>
      <c r="H191" s="3027"/>
      <c r="I191" s="3027"/>
      <c r="J191" s="3027"/>
      <c r="K191" s="3027"/>
      <c r="L191" s="3027"/>
      <c r="M191" s="3025"/>
      <c r="N191" s="3519"/>
      <c r="O191" s="141"/>
      <c r="P191" s="141"/>
      <c r="Q191" s="148"/>
      <c r="R191" s="148"/>
      <c r="S191" s="149"/>
      <c r="T191" s="149"/>
      <c r="U191" s="150"/>
      <c r="V191" s="150"/>
      <c r="W191" s="150"/>
      <c r="X191" s="150"/>
      <c r="Y191" s="150"/>
      <c r="Z191" s="150"/>
      <c r="AA191" s="150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2825" customFormat="1">
      <c r="B192" s="2935"/>
      <c r="C192" s="2935"/>
      <c r="D192" s="3161"/>
      <c r="F192" s="3026"/>
      <c r="G192" s="3027"/>
      <c r="H192" s="3027"/>
      <c r="I192" s="3027"/>
      <c r="J192" s="3027"/>
      <c r="K192" s="3027"/>
      <c r="L192" s="3027"/>
      <c r="M192" s="3025"/>
      <c r="N192" s="3519"/>
      <c r="O192" s="141"/>
      <c r="P192" s="141"/>
      <c r="Q192" s="148"/>
      <c r="R192" s="148"/>
      <c r="S192" s="149"/>
      <c r="T192" s="149"/>
      <c r="U192" s="150"/>
      <c r="V192" s="150"/>
      <c r="W192" s="150"/>
      <c r="X192" s="150"/>
      <c r="Y192" s="150"/>
      <c r="Z192" s="150"/>
      <c r="AA192" s="150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2825" customFormat="1">
      <c r="B193" s="2935"/>
      <c r="C193" s="2935"/>
      <c r="D193" s="3161"/>
      <c r="F193" s="3026"/>
      <c r="G193" s="3027"/>
      <c r="H193" s="3027"/>
      <c r="I193" s="3027"/>
      <c r="J193" s="3027"/>
      <c r="K193" s="3027"/>
      <c r="L193" s="3027"/>
      <c r="M193" s="3025"/>
      <c r="N193" s="3519"/>
      <c r="O193" s="141"/>
      <c r="P193" s="141"/>
      <c r="Q193" s="148"/>
      <c r="R193" s="148"/>
      <c r="S193" s="149"/>
      <c r="T193" s="149"/>
      <c r="U193" s="150"/>
      <c r="V193" s="150"/>
      <c r="W193" s="150"/>
      <c r="X193" s="150"/>
      <c r="Y193" s="150"/>
      <c r="Z193" s="150"/>
      <c r="AA193" s="150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2825" customFormat="1">
      <c r="B194" s="2935"/>
      <c r="C194" s="2935"/>
      <c r="D194" s="3161"/>
      <c r="F194" s="3026"/>
      <c r="G194" s="3027"/>
      <c r="H194" s="3027"/>
      <c r="I194" s="3027"/>
      <c r="J194" s="3027"/>
      <c r="K194" s="3027"/>
      <c r="L194" s="3027"/>
      <c r="M194" s="3025"/>
      <c r="N194" s="3519"/>
      <c r="O194" s="141"/>
      <c r="P194" s="141"/>
      <c r="Q194" s="148"/>
      <c r="R194" s="148"/>
      <c r="S194" s="149"/>
      <c r="T194" s="149"/>
      <c r="U194" s="150"/>
      <c r="V194" s="150"/>
      <c r="W194" s="150"/>
      <c r="X194" s="150"/>
      <c r="Y194" s="150"/>
      <c r="Z194" s="150"/>
      <c r="AA194" s="150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2825" customFormat="1">
      <c r="B195" s="2935"/>
      <c r="C195" s="2935"/>
      <c r="D195" s="3161"/>
      <c r="F195" s="3026"/>
      <c r="G195" s="3027"/>
      <c r="H195" s="3027"/>
      <c r="I195" s="3027"/>
      <c r="J195" s="3027"/>
      <c r="K195" s="3027"/>
      <c r="L195" s="3027"/>
      <c r="M195" s="3025"/>
      <c r="N195" s="3519"/>
      <c r="O195" s="141"/>
      <c r="P195" s="141"/>
      <c r="Q195" s="148"/>
      <c r="R195" s="148"/>
      <c r="S195" s="149"/>
      <c r="T195" s="149"/>
      <c r="U195" s="150"/>
      <c r="V195" s="150"/>
      <c r="W195" s="150"/>
      <c r="X195" s="150"/>
      <c r="Y195" s="150"/>
      <c r="Z195" s="150"/>
      <c r="AA195" s="150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2825" customFormat="1">
      <c r="B196" s="2935"/>
      <c r="C196" s="2935"/>
      <c r="D196" s="3161"/>
      <c r="F196" s="3026"/>
      <c r="G196" s="3027"/>
      <c r="H196" s="3027"/>
      <c r="I196" s="3027"/>
      <c r="J196" s="3027"/>
      <c r="K196" s="3027"/>
      <c r="L196" s="3027"/>
      <c r="M196" s="3025"/>
      <c r="N196" s="3519"/>
      <c r="O196" s="141"/>
      <c r="P196" s="141"/>
      <c r="Q196" s="148"/>
      <c r="R196" s="148"/>
      <c r="S196" s="149"/>
      <c r="T196" s="149"/>
      <c r="U196" s="150"/>
      <c r="V196" s="150"/>
      <c r="W196" s="150"/>
      <c r="X196" s="150"/>
      <c r="Y196" s="150"/>
      <c r="Z196" s="150"/>
      <c r="AA196" s="150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2825" customFormat="1">
      <c r="B197" s="2935"/>
      <c r="C197" s="2935"/>
      <c r="D197" s="3161"/>
      <c r="F197" s="3026"/>
      <c r="G197" s="3027"/>
      <c r="H197" s="3027"/>
      <c r="I197" s="3027"/>
      <c r="J197" s="3027"/>
      <c r="K197" s="3027"/>
      <c r="L197" s="3027"/>
      <c r="M197" s="3025"/>
      <c r="N197" s="3519"/>
      <c r="O197" s="141"/>
      <c r="P197" s="141"/>
      <c r="Q197" s="148"/>
      <c r="R197" s="148"/>
      <c r="S197" s="149"/>
      <c r="T197" s="149"/>
      <c r="U197" s="150"/>
      <c r="V197" s="150"/>
      <c r="W197" s="150"/>
      <c r="X197" s="150"/>
      <c r="Y197" s="150"/>
      <c r="Z197" s="150"/>
      <c r="AA197" s="150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2825" customFormat="1">
      <c r="B198" s="2935"/>
      <c r="C198" s="2935"/>
      <c r="D198" s="3161"/>
      <c r="F198" s="3026"/>
      <c r="G198" s="3027"/>
      <c r="H198" s="3027"/>
      <c r="I198" s="3027"/>
      <c r="J198" s="3027"/>
      <c r="K198" s="3027"/>
      <c r="L198" s="3027"/>
      <c r="M198" s="3025"/>
      <c r="N198" s="3519"/>
      <c r="O198" s="141"/>
      <c r="P198" s="141"/>
      <c r="Q198" s="148"/>
      <c r="R198" s="148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2825" customFormat="1">
      <c r="B199" s="2935"/>
      <c r="C199" s="2935"/>
      <c r="D199" s="3161"/>
      <c r="F199" s="3026"/>
      <c r="G199" s="3027"/>
      <c r="H199" s="3027"/>
      <c r="I199" s="3027"/>
      <c r="J199" s="3027"/>
      <c r="K199" s="3027"/>
      <c r="L199" s="3027"/>
      <c r="M199" s="3025"/>
      <c r="N199" s="3519"/>
      <c r="O199" s="141"/>
      <c r="P199" s="141"/>
      <c r="Q199" s="148"/>
      <c r="R199" s="148"/>
      <c r="S199" s="149"/>
      <c r="T199" s="149"/>
      <c r="U199" s="150"/>
      <c r="V199" s="150"/>
      <c r="W199" s="150"/>
      <c r="X199" s="150"/>
      <c r="Y199" s="150"/>
      <c r="Z199" s="150"/>
      <c r="AA199" s="150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2825" customFormat="1" ht="14" customHeight="1">
      <c r="B200" s="2935"/>
      <c r="C200" s="2935"/>
      <c r="D200" s="3161"/>
      <c r="F200" s="3026"/>
      <c r="G200" s="3027"/>
      <c r="H200" s="3027"/>
      <c r="I200" s="3027"/>
      <c r="J200" s="3027"/>
      <c r="K200" s="3027"/>
      <c r="L200" s="3027"/>
      <c r="M200" s="3025"/>
      <c r="N200" s="3519"/>
      <c r="O200" s="141"/>
      <c r="P200" s="141"/>
      <c r="Q200" s="148"/>
      <c r="R200" s="148"/>
      <c r="S200" s="149"/>
      <c r="T200" s="149"/>
      <c r="U200" s="150"/>
      <c r="V200" s="150"/>
      <c r="W200" s="150"/>
      <c r="X200" s="150"/>
      <c r="Y200" s="150"/>
      <c r="Z200" s="150"/>
      <c r="AA200" s="150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2825" customFormat="1" ht="14" customHeight="1">
      <c r="B201" s="2935"/>
      <c r="C201" s="2935"/>
      <c r="D201" s="3161"/>
      <c r="F201" s="3026"/>
      <c r="G201" s="3027"/>
      <c r="H201" s="3027"/>
      <c r="I201" s="3027"/>
      <c r="J201" s="3027"/>
      <c r="K201" s="3027"/>
      <c r="L201" s="3027"/>
      <c r="M201" s="3025"/>
      <c r="N201" s="3519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2825" customFormat="1" ht="14" customHeight="1">
      <c r="B202" s="2935"/>
      <c r="C202" s="2935"/>
      <c r="D202" s="3161"/>
      <c r="F202" s="3026"/>
      <c r="G202" s="3027"/>
      <c r="H202" s="3027"/>
      <c r="I202" s="3027"/>
      <c r="J202" s="3027"/>
      <c r="K202" s="3027"/>
      <c r="L202" s="3027"/>
      <c r="M202" s="3025"/>
      <c r="N202" s="3519"/>
      <c r="O202" s="141"/>
      <c r="P202" s="141"/>
      <c r="Q202" s="148"/>
      <c r="R202" s="148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2825" customFormat="1" ht="14" customHeight="1">
      <c r="B203" s="2935"/>
      <c r="C203" s="2935"/>
      <c r="D203" s="3161"/>
      <c r="F203" s="3026"/>
      <c r="G203" s="3027"/>
      <c r="H203" s="3027"/>
      <c r="I203" s="3027"/>
      <c r="J203" s="3027"/>
      <c r="K203" s="3027"/>
      <c r="L203" s="3027"/>
      <c r="M203" s="3025"/>
      <c r="N203" s="3519"/>
      <c r="O203" s="141"/>
      <c r="P203" s="141"/>
      <c r="Q203" s="148"/>
      <c r="R203" s="148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2825" customFormat="1" ht="14" customHeight="1">
      <c r="B204" s="2935"/>
      <c r="C204" s="2935"/>
      <c r="D204" s="3161"/>
      <c r="F204" s="3026"/>
      <c r="G204" s="3027"/>
      <c r="H204" s="3027"/>
      <c r="I204" s="3027"/>
      <c r="J204" s="3027"/>
      <c r="K204" s="3027"/>
      <c r="L204" s="3027"/>
      <c r="M204" s="3025"/>
      <c r="N204" s="3519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2825" customFormat="1" ht="14" customHeight="1">
      <c r="B205" s="2935"/>
      <c r="C205" s="2935"/>
      <c r="D205" s="3161"/>
      <c r="F205" s="3026"/>
      <c r="G205" s="3027"/>
      <c r="H205" s="3027"/>
      <c r="I205" s="3027"/>
      <c r="J205" s="3027"/>
      <c r="K205" s="3027"/>
      <c r="L205" s="3027"/>
      <c r="M205" s="3025"/>
      <c r="N205" s="3519"/>
      <c r="O205" s="141"/>
      <c r="P205" s="141"/>
      <c r="Q205" s="148"/>
      <c r="R205" s="148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2825" customFormat="1" ht="14" customHeight="1">
      <c r="B206" s="2935"/>
      <c r="C206" s="2935"/>
      <c r="D206" s="3161"/>
      <c r="F206" s="3026"/>
      <c r="G206" s="3027"/>
      <c r="H206" s="3027"/>
      <c r="I206" s="3027"/>
      <c r="J206" s="3027"/>
      <c r="K206" s="3027"/>
      <c r="L206" s="3027"/>
      <c r="M206" s="3025"/>
      <c r="N206" s="3519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2825" customFormat="1" ht="14" customHeight="1">
      <c r="B207" s="2935"/>
      <c r="C207" s="2935"/>
      <c r="D207" s="3161"/>
      <c r="F207" s="3026"/>
      <c r="G207" s="3027"/>
      <c r="H207" s="3027"/>
      <c r="I207" s="3027"/>
      <c r="J207" s="3027"/>
      <c r="K207" s="3027"/>
      <c r="L207" s="3027"/>
      <c r="M207" s="3025"/>
      <c r="N207" s="3519"/>
      <c r="O207" s="141"/>
      <c r="P207" s="141"/>
      <c r="Q207" s="148"/>
      <c r="R207" s="148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2825" customFormat="1" ht="14" customHeight="1">
      <c r="B208" s="2935"/>
      <c r="C208" s="2935"/>
      <c r="D208" s="3161"/>
      <c r="F208" s="3026"/>
      <c r="G208" s="3027"/>
      <c r="H208" s="3027"/>
      <c r="I208" s="3027"/>
      <c r="J208" s="3027"/>
      <c r="K208" s="3027"/>
      <c r="L208" s="3027"/>
      <c r="M208" s="3025"/>
      <c r="N208" s="3519"/>
      <c r="O208" s="141"/>
      <c r="P208" s="141"/>
      <c r="Q208" s="148"/>
      <c r="R208" s="148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1:40" s="2825" customFormat="1" ht="14" customHeight="1">
      <c r="B209" s="2935"/>
      <c r="C209" s="2935"/>
      <c r="D209" s="3161"/>
      <c r="F209" s="3026"/>
      <c r="G209" s="3027"/>
      <c r="H209" s="3027"/>
      <c r="I209" s="3027"/>
      <c r="J209" s="3027"/>
      <c r="K209" s="3027"/>
      <c r="L209" s="3027"/>
      <c r="M209" s="3025"/>
      <c r="N209" s="3519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1:40" s="2825" customFormat="1" ht="14" customHeight="1">
      <c r="B210" s="2935"/>
      <c r="C210" s="2935"/>
      <c r="D210" s="3161"/>
      <c r="F210" s="3026"/>
      <c r="G210" s="3027"/>
      <c r="H210" s="3027"/>
      <c r="I210" s="3027"/>
      <c r="J210" s="3027"/>
      <c r="K210" s="3027"/>
      <c r="L210" s="3027"/>
      <c r="M210" s="3025"/>
      <c r="N210" s="3519"/>
      <c r="O210" s="141"/>
      <c r="P210" s="141"/>
      <c r="Q210" s="148"/>
      <c r="R210" s="148"/>
      <c r="S210" s="149"/>
      <c r="T210" s="149"/>
      <c r="U210" s="150"/>
      <c r="V210" s="150"/>
      <c r="W210" s="150"/>
      <c r="X210" s="150"/>
      <c r="Y210" s="150"/>
      <c r="Z210" s="150"/>
      <c r="AA210" s="150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1:40" s="2825" customFormat="1" ht="14" customHeight="1">
      <c r="B211" s="2935"/>
      <c r="C211" s="2935"/>
      <c r="D211" s="3161"/>
      <c r="F211" s="3026"/>
      <c r="G211" s="3027"/>
      <c r="H211" s="3027"/>
      <c r="I211" s="3027"/>
      <c r="J211" s="3027"/>
      <c r="K211" s="3027"/>
      <c r="L211" s="3027"/>
      <c r="M211" s="3025"/>
      <c r="N211" s="3519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1:40" s="2825" customFormat="1" ht="14" customHeight="1">
      <c r="B212" s="2935"/>
      <c r="C212" s="2935"/>
      <c r="D212" s="3161"/>
      <c r="F212" s="3026"/>
      <c r="G212" s="3027"/>
      <c r="H212" s="3027"/>
      <c r="I212" s="3027"/>
      <c r="J212" s="3027"/>
      <c r="K212" s="3027"/>
      <c r="L212" s="3027"/>
      <c r="M212" s="3025"/>
      <c r="N212" s="3519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1:40" s="2825" customFormat="1" ht="14" customHeight="1">
      <c r="B213" s="2935"/>
      <c r="C213" s="2935"/>
      <c r="D213" s="3161"/>
      <c r="F213" s="3026"/>
      <c r="G213" s="3027"/>
      <c r="H213" s="3027"/>
      <c r="I213" s="3027"/>
      <c r="J213" s="3027"/>
      <c r="K213" s="3027"/>
      <c r="L213" s="3027"/>
      <c r="M213" s="3025"/>
      <c r="N213" s="3519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1:40" s="2825" customFormat="1" ht="14" customHeight="1">
      <c r="B214" s="2935"/>
      <c r="C214" s="2935"/>
      <c r="D214" s="3161"/>
      <c r="F214" s="3026"/>
      <c r="G214" s="3027"/>
      <c r="H214" s="3027"/>
      <c r="I214" s="3027"/>
      <c r="J214" s="3027"/>
      <c r="K214" s="3027"/>
      <c r="L214" s="3027"/>
      <c r="M214" s="3025"/>
      <c r="N214" s="3519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1:40" s="2825" customFormat="1" ht="14" customHeight="1">
      <c r="B215" s="2935"/>
      <c r="C215" s="2935"/>
      <c r="D215" s="3161"/>
      <c r="F215" s="3026"/>
      <c r="G215" s="3027"/>
      <c r="H215" s="3027"/>
      <c r="I215" s="3027"/>
      <c r="J215" s="3027"/>
      <c r="K215" s="3027"/>
      <c r="L215" s="3027"/>
      <c r="M215" s="3025"/>
      <c r="N215" s="3519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1:40" s="2825" customFormat="1" ht="14" customHeight="1">
      <c r="B216" s="2935"/>
      <c r="C216" s="2935"/>
      <c r="D216" s="3161"/>
      <c r="F216" s="3026"/>
      <c r="G216" s="3027"/>
      <c r="H216" s="3027"/>
      <c r="I216" s="3027"/>
      <c r="J216" s="3027"/>
      <c r="K216" s="3027"/>
      <c r="L216" s="3027"/>
      <c r="M216" s="3025"/>
      <c r="N216" s="3519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1:40" s="2825" customFormat="1" ht="14" customHeight="1">
      <c r="B217" s="2935"/>
      <c r="C217" s="2935"/>
      <c r="D217" s="3161"/>
      <c r="F217" s="3026"/>
      <c r="G217" s="3027"/>
      <c r="H217" s="3027"/>
      <c r="I217" s="3027"/>
      <c r="J217" s="3027"/>
      <c r="K217" s="3027"/>
      <c r="L217" s="3027"/>
      <c r="M217" s="3025"/>
      <c r="N217" s="3519"/>
      <c r="O217" s="141"/>
      <c r="P217" s="141"/>
      <c r="Q217" s="148"/>
      <c r="R217" s="148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1:40" s="2825" customFormat="1" ht="14" customHeight="1">
      <c r="B218" s="2935"/>
      <c r="C218" s="2935"/>
      <c r="D218" s="3161"/>
      <c r="F218" s="3026"/>
      <c r="G218" s="3027"/>
      <c r="H218" s="3027"/>
      <c r="I218" s="3027"/>
      <c r="J218" s="3027"/>
      <c r="K218" s="3027"/>
      <c r="L218" s="3027"/>
      <c r="M218" s="3025"/>
      <c r="N218" s="3519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1:40" ht="14" customHeight="1">
      <c r="A219" s="1"/>
      <c r="O219" s="155"/>
      <c r="P219" s="155"/>
      <c r="Q219" s="1131"/>
      <c r="R219" s="1131"/>
      <c r="S219" s="251"/>
      <c r="T219" s="251"/>
      <c r="U219" s="1132"/>
      <c r="V219" s="1132"/>
      <c r="W219" s="1132"/>
      <c r="X219" s="1132"/>
      <c r="Y219" s="1132"/>
      <c r="Z219" s="1132"/>
      <c r="AA219" s="1132"/>
      <c r="AN219" s="1"/>
    </row>
    <row r="220" spans="1:40" ht="14" customHeight="1">
      <c r="A220" s="1"/>
      <c r="O220" s="155"/>
      <c r="P220" s="155"/>
      <c r="Q220" s="1131"/>
      <c r="R220" s="1131"/>
      <c r="S220" s="251"/>
      <c r="T220" s="251"/>
      <c r="U220" s="1132"/>
      <c r="V220" s="1132"/>
      <c r="W220" s="1132"/>
      <c r="X220" s="1132"/>
      <c r="Y220" s="1132"/>
      <c r="Z220" s="1132"/>
      <c r="AA220" s="1132"/>
      <c r="AN220" s="1"/>
    </row>
    <row r="221" spans="1:40" ht="14" customHeight="1">
      <c r="A221" s="1"/>
      <c r="O221" s="155"/>
      <c r="P221" s="155"/>
      <c r="Q221" s="1131"/>
      <c r="R221" s="1131"/>
      <c r="S221" s="251"/>
      <c r="T221" s="251"/>
      <c r="U221" s="1132"/>
      <c r="V221" s="1132"/>
      <c r="W221" s="1132"/>
      <c r="X221" s="1132"/>
      <c r="Y221" s="1132"/>
      <c r="Z221" s="1132"/>
      <c r="AA221" s="1132"/>
      <c r="AN221" s="1"/>
    </row>
    <row r="222" spans="1:40" ht="14" customHeight="1">
      <c r="A222" s="1"/>
      <c r="O222" s="155"/>
      <c r="P222" s="155"/>
      <c r="Q222" s="1131"/>
      <c r="R222" s="1131"/>
      <c r="S222" s="251"/>
      <c r="T222" s="251"/>
      <c r="U222" s="1132"/>
      <c r="V222" s="1132"/>
      <c r="W222" s="1132"/>
      <c r="X222" s="1132"/>
      <c r="Y222" s="1132"/>
      <c r="Z222" s="1132"/>
      <c r="AA222" s="1132"/>
      <c r="AN222" s="1"/>
    </row>
    <row r="223" spans="1:40" ht="14" customHeight="1">
      <c r="A223" s="1"/>
      <c r="O223" s="155"/>
      <c r="P223" s="155"/>
      <c r="Q223" s="1131"/>
      <c r="R223" s="1131"/>
      <c r="S223" s="251"/>
      <c r="T223" s="251"/>
      <c r="U223" s="1132"/>
      <c r="V223" s="1132"/>
      <c r="W223" s="1132"/>
      <c r="X223" s="1132"/>
      <c r="Y223" s="1132"/>
      <c r="Z223" s="1132"/>
      <c r="AA223" s="1132"/>
      <c r="AN223" s="1"/>
    </row>
    <row r="224" spans="1:40" ht="14" customHeight="1">
      <c r="A224" s="1"/>
      <c r="O224" s="155"/>
      <c r="P224" s="155"/>
      <c r="Q224" s="1131"/>
      <c r="R224" s="1131"/>
      <c r="S224" s="251"/>
      <c r="T224" s="251"/>
      <c r="U224" s="1132"/>
      <c r="V224" s="1132"/>
      <c r="W224" s="1132"/>
      <c r="X224" s="1132"/>
      <c r="Y224" s="1132"/>
      <c r="Z224" s="1132"/>
      <c r="AA224" s="1132"/>
      <c r="AN224" s="1"/>
    </row>
    <row r="225" spans="1:40" ht="14" customHeight="1">
      <c r="A225" s="1"/>
      <c r="O225" s="155"/>
      <c r="P225" s="155"/>
      <c r="Q225" s="1131"/>
      <c r="R225" s="1131"/>
      <c r="S225" s="251"/>
      <c r="T225" s="251"/>
      <c r="U225" s="1132"/>
      <c r="V225" s="1132"/>
      <c r="W225" s="1132"/>
      <c r="X225" s="1132"/>
      <c r="Y225" s="1132"/>
      <c r="Z225" s="1132"/>
      <c r="AA225" s="1132"/>
      <c r="AN225" s="1"/>
    </row>
    <row r="226" spans="1:40" ht="14" customHeight="1">
      <c r="A226" s="1"/>
      <c r="O226" s="155"/>
      <c r="P226" s="155"/>
      <c r="Q226" s="1131"/>
      <c r="R226" s="1131"/>
      <c r="S226" s="251"/>
      <c r="T226" s="251"/>
      <c r="U226" s="1132"/>
      <c r="V226" s="1132"/>
      <c r="W226" s="1132"/>
      <c r="X226" s="1132"/>
      <c r="Y226" s="1132"/>
      <c r="Z226" s="1132"/>
      <c r="AA226" s="1132"/>
      <c r="AN226" s="1"/>
    </row>
    <row r="227" spans="1:40" ht="14" customHeight="1">
      <c r="A227" s="1"/>
      <c r="O227" s="155"/>
      <c r="P227" s="155"/>
      <c r="Q227" s="1131"/>
      <c r="R227" s="1131"/>
      <c r="S227" s="251"/>
      <c r="T227" s="251"/>
      <c r="U227" s="1132"/>
      <c r="V227" s="1132"/>
      <c r="W227" s="1132"/>
      <c r="X227" s="1132"/>
      <c r="Y227" s="1132"/>
      <c r="Z227" s="1132"/>
      <c r="AA227" s="1132"/>
      <c r="AN227" s="1"/>
    </row>
    <row r="228" spans="1:40" ht="14" customHeight="1">
      <c r="A228" s="1"/>
      <c r="O228" s="155"/>
      <c r="P228" s="155"/>
      <c r="Q228" s="1131"/>
      <c r="R228" s="1131"/>
      <c r="S228" s="251"/>
      <c r="T228" s="251"/>
      <c r="U228" s="1132"/>
      <c r="V228" s="1132"/>
      <c r="W228" s="1132"/>
      <c r="X228" s="1132"/>
      <c r="Y228" s="1132"/>
      <c r="Z228" s="1132"/>
      <c r="AA228" s="1132"/>
      <c r="AN228" s="1"/>
    </row>
    <row r="229" spans="1:40" ht="14" customHeight="1">
      <c r="A229" s="1"/>
      <c r="O229" s="155"/>
      <c r="P229" s="155"/>
      <c r="Q229" s="1131"/>
      <c r="R229" s="1131"/>
      <c r="S229" s="251"/>
      <c r="T229" s="251"/>
      <c r="U229" s="1132"/>
      <c r="V229" s="1132"/>
      <c r="W229" s="1132"/>
      <c r="X229" s="1132"/>
      <c r="Y229" s="1132"/>
      <c r="Z229" s="1132"/>
      <c r="AA229" s="1132"/>
      <c r="AN229" s="1"/>
    </row>
    <row r="230" spans="1:40" ht="14" customHeight="1">
      <c r="A230" s="1"/>
      <c r="O230" s="155"/>
      <c r="P230" s="155"/>
      <c r="Q230" s="1131"/>
      <c r="R230" s="1131"/>
      <c r="S230" s="251"/>
      <c r="T230" s="251"/>
      <c r="U230" s="1132"/>
      <c r="V230" s="1132"/>
      <c r="W230" s="1132"/>
      <c r="X230" s="1132"/>
      <c r="Y230" s="1132"/>
      <c r="Z230" s="1132"/>
      <c r="AA230" s="1132"/>
      <c r="AN230" s="1"/>
    </row>
    <row r="231" spans="1:40" ht="14" customHeight="1">
      <c r="A231" s="1"/>
      <c r="O231" s="155"/>
      <c r="P231" s="155"/>
      <c r="Q231" s="1131"/>
      <c r="R231" s="1131"/>
      <c r="S231" s="251"/>
      <c r="T231" s="251"/>
      <c r="U231" s="1132"/>
      <c r="V231" s="1132"/>
      <c r="W231" s="1132"/>
      <c r="X231" s="1132"/>
      <c r="Y231" s="1132"/>
      <c r="Z231" s="1132"/>
      <c r="AA231" s="1132"/>
      <c r="AN231" s="1"/>
    </row>
    <row r="232" spans="1:40" ht="14" customHeight="1">
      <c r="A232" s="1"/>
      <c r="B232" s="1"/>
      <c r="C232" s="1"/>
      <c r="D232" s="1"/>
      <c r="F232" s="52"/>
      <c r="G232" s="52"/>
      <c r="H232" s="1"/>
      <c r="I232" s="1"/>
      <c r="J232" s="1"/>
      <c r="K232" s="1"/>
      <c r="L232" s="1"/>
      <c r="M232" s="1"/>
      <c r="N232" s="2914"/>
      <c r="O232" s="1"/>
      <c r="P232" s="1"/>
      <c r="Q232" s="1"/>
      <c r="R232" s="5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4" customHeight="1">
      <c r="A233" s="1"/>
      <c r="B233" s="1"/>
      <c r="C233" s="1"/>
      <c r="D233" s="1"/>
      <c r="F233" s="52"/>
      <c r="G233" s="52"/>
      <c r="H233" s="1"/>
      <c r="I233" s="1"/>
      <c r="J233" s="1"/>
      <c r="K233" s="1"/>
      <c r="L233" s="1"/>
      <c r="M233" s="1"/>
      <c r="N233" s="2914"/>
      <c r="O233" s="1"/>
      <c r="P233" s="1"/>
      <c r="Q233" s="1"/>
      <c r="R233" s="5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4" customHeight="1">
      <c r="A234" s="1"/>
      <c r="B234" s="1"/>
      <c r="C234" s="1"/>
      <c r="D234" s="1"/>
      <c r="F234" s="52"/>
      <c r="G234" s="52"/>
      <c r="H234" s="1"/>
      <c r="I234" s="1"/>
      <c r="J234" s="1"/>
      <c r="K234" s="1"/>
      <c r="L234" s="1"/>
      <c r="M234" s="1"/>
      <c r="N234" s="2914"/>
      <c r="O234" s="1"/>
      <c r="P234" s="1"/>
      <c r="Q234" s="1"/>
      <c r="R234" s="5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4" customHeight="1">
      <c r="A235" s="1"/>
      <c r="B235" s="1"/>
      <c r="C235" s="1"/>
      <c r="D235" s="1"/>
      <c r="F235" s="52"/>
      <c r="G235" s="52"/>
      <c r="H235" s="1"/>
      <c r="I235" s="1"/>
      <c r="J235" s="1"/>
      <c r="K235" s="1"/>
      <c r="L235" s="1"/>
      <c r="M235" s="1"/>
      <c r="N235" s="2914"/>
      <c r="O235" s="1"/>
      <c r="P235" s="1"/>
      <c r="Q235" s="1"/>
      <c r="R235" s="5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4" customHeight="1">
      <c r="A236" s="1"/>
      <c r="B236" s="1"/>
      <c r="C236" s="1"/>
      <c r="D236" s="1"/>
      <c r="F236" s="52"/>
      <c r="G236" s="52"/>
      <c r="H236" s="1"/>
      <c r="I236" s="1"/>
      <c r="J236" s="1"/>
      <c r="K236" s="1"/>
      <c r="L236" s="1"/>
      <c r="M236" s="1"/>
      <c r="N236" s="2914"/>
      <c r="O236" s="1"/>
      <c r="P236" s="1"/>
      <c r="Q236" s="1"/>
      <c r="R236" s="5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4" customHeight="1">
      <c r="A237" s="1"/>
      <c r="B237" s="1"/>
      <c r="C237" s="1"/>
      <c r="D237" s="1"/>
      <c r="F237" s="52"/>
      <c r="G237" s="52"/>
      <c r="H237" s="1"/>
      <c r="I237" s="1"/>
      <c r="J237" s="1"/>
      <c r="K237" s="1"/>
      <c r="L237" s="1"/>
      <c r="M237" s="1"/>
      <c r="N237" s="2914"/>
      <c r="O237" s="1"/>
      <c r="P237" s="1"/>
      <c r="Q237" s="1"/>
      <c r="R237" s="5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4" customHeight="1">
      <c r="A238" s="1"/>
      <c r="B238" s="1"/>
      <c r="C238" s="1"/>
      <c r="D238" s="1"/>
      <c r="F238" s="52"/>
      <c r="G238" s="52"/>
      <c r="H238" s="1"/>
      <c r="I238" s="1"/>
      <c r="J238" s="1"/>
      <c r="K238" s="1"/>
      <c r="L238" s="1"/>
      <c r="M238" s="1"/>
      <c r="N238" s="2914"/>
      <c r="O238" s="1"/>
      <c r="P238" s="1"/>
      <c r="Q238" s="1"/>
      <c r="R238" s="5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4" customHeight="1">
      <c r="A239" s="1"/>
      <c r="B239" s="1"/>
      <c r="C239" s="1"/>
      <c r="D239" s="1"/>
      <c r="F239" s="52"/>
      <c r="G239" s="52"/>
      <c r="H239" s="1"/>
      <c r="I239" s="1"/>
      <c r="J239" s="1"/>
      <c r="K239" s="1"/>
      <c r="L239" s="1"/>
      <c r="M239" s="1"/>
      <c r="N239" s="2914"/>
      <c r="O239" s="1"/>
      <c r="P239" s="1"/>
      <c r="Q239" s="1"/>
      <c r="R239" s="5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4" customHeight="1">
      <c r="A240" s="1"/>
      <c r="B240" s="1"/>
      <c r="C240" s="1"/>
      <c r="D240" s="1"/>
      <c r="F240" s="52"/>
      <c r="G240" s="52"/>
      <c r="H240" s="1"/>
      <c r="I240" s="1"/>
      <c r="J240" s="1"/>
      <c r="K240" s="1"/>
      <c r="L240" s="1"/>
      <c r="M240" s="1"/>
      <c r="N240" s="2914"/>
      <c r="O240" s="1"/>
      <c r="P240" s="1"/>
      <c r="Q240" s="1"/>
      <c r="R240" s="5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4" customHeight="1">
      <c r="A241" s="1"/>
      <c r="B241" s="1"/>
      <c r="C241" s="1"/>
      <c r="D241" s="1"/>
      <c r="F241" s="52"/>
      <c r="G241" s="52"/>
      <c r="H241" s="1"/>
      <c r="I241" s="1"/>
      <c r="J241" s="1"/>
      <c r="K241" s="1"/>
      <c r="L241" s="1"/>
      <c r="M241" s="1"/>
      <c r="N241" s="2914"/>
      <c r="O241" s="1"/>
      <c r="P241" s="1"/>
      <c r="Q241" s="1"/>
      <c r="R241" s="5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</sheetData>
  <mergeCells count="2">
    <mergeCell ref="K28:K29"/>
    <mergeCell ref="P28:Q29"/>
  </mergeCells>
  <pageMargins left="0.7" right="0.7" top="0.75" bottom="0.75" header="0.3" footer="0.3"/>
  <pageSetup paperSize="9" orientation="landscape" horizontalDpi="0" verticalDpi="0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67C74-5FC6-574E-A7ED-FF8599663043}">
  <sheetPr codeName="Hoja60"/>
  <dimension ref="A1:AO237"/>
  <sheetViews>
    <sheetView zoomScale="216" zoomScaleNormal="216" workbookViewId="0">
      <selection sqref="A1:R42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2" style="3028" customWidth="1"/>
    <col min="4" max="4" width="0.6640625" style="3082" customWidth="1"/>
    <col min="5" max="5" width="3.1640625" style="1" customWidth="1"/>
    <col min="6" max="6" width="4.33203125" style="2818" customWidth="1"/>
    <col min="7" max="7" width="3.6640625" style="780" customWidth="1"/>
    <col min="8" max="8" width="10.83203125" style="780" customWidth="1"/>
    <col min="9" max="10" width="7.5" style="780" customWidth="1"/>
    <col min="11" max="11" width="32.83203125" style="780" customWidth="1"/>
    <col min="12" max="12" width="8.1640625" style="780" customWidth="1"/>
    <col min="13" max="13" width="1.1640625" style="2820" customWidth="1"/>
    <col min="14" max="14" width="10.5" style="3390" customWidth="1"/>
    <col min="15" max="15" width="1" style="780" customWidth="1"/>
    <col min="16" max="16" width="11.1640625" style="780" customWidth="1"/>
    <col min="17" max="17" width="7.5" style="2821" customWidth="1"/>
    <col min="18" max="18" width="7.6640625" style="2821" customWidth="1"/>
    <col min="19" max="19" width="1.33203125" style="2822" customWidth="1"/>
    <col min="20" max="20" width="0.5" style="2822" customWidth="1"/>
    <col min="21" max="21" width="6" style="2823" customWidth="1"/>
    <col min="22" max="22" width="5.6640625" style="2823" customWidth="1"/>
    <col min="23" max="23" width="6.83203125" style="2823" customWidth="1"/>
    <col min="24" max="24" width="5.5" style="2823" customWidth="1"/>
    <col min="25" max="25" width="6" style="2823" customWidth="1"/>
    <col min="26" max="27" width="5.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5" style="2826" customWidth="1"/>
    <col min="40" max="40" width="11.5" style="2825"/>
    <col min="41" max="16384" width="11.5" style="1"/>
  </cols>
  <sheetData>
    <row r="1" spans="1:40" ht="17" customHeight="1" thickBot="1">
      <c r="A1" s="3080" t="s">
        <v>218</v>
      </c>
      <c r="B1" s="1"/>
      <c r="C1" s="1"/>
      <c r="D1" s="3081"/>
      <c r="E1" s="2817"/>
      <c r="H1" s="3726"/>
      <c r="K1" s="1871" t="s">
        <v>1809</v>
      </c>
      <c r="L1" s="2821"/>
      <c r="M1" s="2821"/>
      <c r="N1" s="3391"/>
      <c r="O1" s="2821"/>
      <c r="P1" s="2821"/>
      <c r="V1" s="2824"/>
      <c r="AI1" s="2825"/>
      <c r="AJ1" s="2825"/>
      <c r="AK1" s="2825"/>
      <c r="AL1" s="2825"/>
      <c r="AM1" s="2825"/>
    </row>
    <row r="2" spans="1:40" ht="14" customHeight="1" thickBot="1">
      <c r="F2" s="3836"/>
      <c r="G2" s="155"/>
      <c r="H2" s="3727" t="s">
        <v>985</v>
      </c>
      <c r="I2" s="155"/>
      <c r="J2" s="3083"/>
      <c r="K2" s="583"/>
      <c r="L2" s="2821"/>
      <c r="M2" s="2821"/>
      <c r="N2" s="3391"/>
      <c r="O2" s="2821"/>
      <c r="P2" s="2821"/>
      <c r="U2" s="2827" t="s">
        <v>345</v>
      </c>
      <c r="AI2" s="2825"/>
      <c r="AJ2" s="2825"/>
      <c r="AK2" s="2825"/>
      <c r="AL2" s="2825"/>
      <c r="AM2" s="2825"/>
    </row>
    <row r="3" spans="1:40" ht="14" customHeight="1">
      <c r="E3" s="3787"/>
      <c r="F3" s="8023" t="s">
        <v>1810</v>
      </c>
      <c r="G3" s="8023"/>
      <c r="H3" s="3787" t="s">
        <v>229</v>
      </c>
      <c r="I3" s="3787" t="s">
        <v>1811</v>
      </c>
      <c r="J3" s="3787" t="s">
        <v>1761</v>
      </c>
      <c r="K3" s="1802"/>
      <c r="L3" s="2821"/>
      <c r="M3" s="2821"/>
      <c r="N3" s="3391"/>
      <c r="O3" s="2821"/>
      <c r="P3" s="2821"/>
      <c r="U3" s="2827"/>
      <c r="AI3" s="2825"/>
      <c r="AJ3" s="2825"/>
      <c r="AK3" s="2825"/>
      <c r="AL3" s="2825"/>
      <c r="AM3" s="2825"/>
    </row>
    <row r="4" spans="1:40" ht="14" customHeight="1">
      <c r="E4" s="2706"/>
      <c r="F4" s="8024">
        <v>44321</v>
      </c>
      <c r="G4" s="8025"/>
      <c r="H4" s="2706">
        <v>44322</v>
      </c>
      <c r="I4" s="2706">
        <v>44323</v>
      </c>
      <c r="J4" s="2706">
        <v>44324</v>
      </c>
      <c r="K4" s="3781"/>
      <c r="L4" s="2821"/>
      <c r="M4" s="2821"/>
      <c r="N4" s="3391"/>
      <c r="O4" s="2821"/>
      <c r="P4" s="2821"/>
      <c r="U4" s="2827"/>
      <c r="AI4" s="2825"/>
      <c r="AJ4" s="2825"/>
      <c r="AK4" s="2825"/>
      <c r="AL4" s="2825"/>
      <c r="AM4" s="2825"/>
    </row>
    <row r="5" spans="1:40" ht="14" customHeight="1">
      <c r="E5" s="3875"/>
      <c r="F5" s="8028"/>
      <c r="G5" s="8029"/>
      <c r="H5" s="3875"/>
      <c r="I5" s="3788" t="s">
        <v>467</v>
      </c>
      <c r="J5" s="3898" t="s">
        <v>1812</v>
      </c>
      <c r="K5" s="2696"/>
      <c r="L5" s="2821"/>
      <c r="M5" s="2821"/>
      <c r="N5" s="3391"/>
      <c r="O5" s="2821"/>
      <c r="P5" s="2821"/>
      <c r="U5" s="2827"/>
      <c r="AI5" s="2825"/>
      <c r="AJ5" s="2825"/>
      <c r="AK5" s="2825"/>
      <c r="AL5" s="2825"/>
      <c r="AM5" s="2825"/>
    </row>
    <row r="6" spans="1:40" ht="14" customHeight="1" thickBot="1">
      <c r="E6" s="3790"/>
      <c r="F6" s="8026" t="s">
        <v>468</v>
      </c>
      <c r="G6" s="8027"/>
      <c r="H6" s="3901" t="s">
        <v>468</v>
      </c>
      <c r="I6" s="3902"/>
      <c r="J6" s="3790"/>
      <c r="K6" s="3782"/>
      <c r="L6" s="2821"/>
      <c r="M6" s="2821"/>
      <c r="N6" s="3391"/>
      <c r="O6" s="2821"/>
      <c r="P6" s="2821"/>
      <c r="U6" s="2827"/>
      <c r="AI6" s="2825"/>
      <c r="AJ6" s="2825"/>
      <c r="AK6" s="2825"/>
      <c r="AL6" s="2825"/>
      <c r="AM6" s="2825"/>
    </row>
    <row r="7" spans="1:40" s="2839" customFormat="1" ht="54" customHeight="1" thickTop="1" thickBot="1">
      <c r="A7" s="3084" t="s">
        <v>346</v>
      </c>
      <c r="B7" s="3085" t="s">
        <v>347</v>
      </c>
      <c r="C7" s="3728"/>
      <c r="D7" s="3087" t="s">
        <v>348</v>
      </c>
      <c r="E7" s="3086" t="s">
        <v>349</v>
      </c>
      <c r="F7" s="3088" t="s">
        <v>350</v>
      </c>
      <c r="G7" s="3089" t="s">
        <v>351</v>
      </c>
      <c r="H7" s="3089" t="s">
        <v>624</v>
      </c>
      <c r="I7" s="3042" t="s">
        <v>352</v>
      </c>
      <c r="J7" s="3588" t="s">
        <v>353</v>
      </c>
      <c r="K7" s="3089" t="s">
        <v>354</v>
      </c>
      <c r="L7" s="3089"/>
      <c r="M7" s="3090" t="s">
        <v>355</v>
      </c>
      <c r="N7" s="3042" t="s">
        <v>445</v>
      </c>
      <c r="O7" s="3086" t="s">
        <v>446</v>
      </c>
      <c r="P7" s="3086" t="s">
        <v>447</v>
      </c>
      <c r="Q7" s="3091" t="s">
        <v>448</v>
      </c>
      <c r="R7" s="3092" t="s">
        <v>371</v>
      </c>
      <c r="S7" s="2828" t="s">
        <v>449</v>
      </c>
      <c r="T7" s="2828" t="s">
        <v>450</v>
      </c>
      <c r="U7" s="2829" t="s">
        <v>451</v>
      </c>
      <c r="V7" s="2830" t="s">
        <v>452</v>
      </c>
      <c r="W7" s="2831" t="s">
        <v>453</v>
      </c>
      <c r="X7" s="2832" t="s">
        <v>454</v>
      </c>
      <c r="Y7" s="2833" t="s">
        <v>455</v>
      </c>
      <c r="Z7" s="2834" t="s">
        <v>456</v>
      </c>
      <c r="AA7" s="2835" t="s">
        <v>457</v>
      </c>
      <c r="AB7" s="2836"/>
      <c r="AC7" s="2837"/>
      <c r="AD7" s="2838"/>
      <c r="AE7" s="2838"/>
      <c r="AF7" s="2838"/>
      <c r="AG7" s="2838"/>
      <c r="AH7" s="2838"/>
      <c r="AI7" s="2836"/>
      <c r="AJ7" s="2836"/>
      <c r="AK7" s="2836"/>
      <c r="AL7" s="2836"/>
      <c r="AM7" s="2836"/>
      <c r="AN7" s="2836"/>
    </row>
    <row r="8" spans="1:40" s="2839" customFormat="1" ht="12" customHeight="1" thickBot="1">
      <c r="A8" s="3093"/>
      <c r="B8" s="3094"/>
      <c r="C8" s="3729"/>
      <c r="D8" s="3096"/>
      <c r="E8" s="3095"/>
      <c r="F8" s="3097"/>
      <c r="G8" s="3095"/>
      <c r="H8" s="3095"/>
      <c r="I8" s="3095"/>
      <c r="J8" s="3097"/>
      <c r="K8" s="3095"/>
      <c r="L8" s="3095"/>
      <c r="M8" s="3098"/>
      <c r="N8" s="3095"/>
      <c r="O8" s="3095"/>
      <c r="P8" s="3095"/>
      <c r="Q8" s="3099"/>
      <c r="R8" s="3100"/>
      <c r="S8" s="2840"/>
      <c r="T8" s="2840"/>
      <c r="U8" s="3783">
        <v>9.3287037037037058E-4</v>
      </c>
      <c r="V8" s="3784">
        <v>8.6111111111111121E-4</v>
      </c>
      <c r="W8" s="3784">
        <v>7.8935185185185206E-4</v>
      </c>
      <c r="X8" s="3784">
        <v>7.175925925925927E-4</v>
      </c>
      <c r="Y8" s="3784">
        <v>7.1400462962962975E-4</v>
      </c>
      <c r="Z8" s="3784">
        <v>7.0324074074074082E-4</v>
      </c>
      <c r="AA8" s="3785">
        <v>6.8888888888888895E-4</v>
      </c>
      <c r="AB8" s="2836"/>
      <c r="AC8" s="2837"/>
      <c r="AD8" s="2838"/>
      <c r="AE8" s="2838"/>
      <c r="AF8" s="2838"/>
      <c r="AG8" s="2838"/>
      <c r="AH8" s="2838"/>
      <c r="AI8" s="2836"/>
      <c r="AJ8" s="2836"/>
      <c r="AK8" s="2836"/>
      <c r="AL8" s="2836"/>
      <c r="AM8" s="2836"/>
      <c r="AN8" s="2836"/>
    </row>
    <row r="9" spans="1:40" s="63" customFormat="1" ht="10" customHeight="1" thickBot="1">
      <c r="A9" s="3101"/>
      <c r="B9" s="3102"/>
      <c r="C9" s="3751"/>
      <c r="D9" s="3104"/>
      <c r="E9" s="3103"/>
      <c r="F9" s="3838"/>
      <c r="G9" s="3828"/>
      <c r="H9" s="3106"/>
      <c r="I9" s="3106"/>
      <c r="J9" s="3105"/>
      <c r="K9" s="3106"/>
      <c r="L9" s="3106"/>
      <c r="M9" s="3107"/>
      <c r="N9" s="3106"/>
      <c r="O9" s="3103"/>
      <c r="P9" s="3103"/>
      <c r="Q9" s="3103"/>
      <c r="R9" s="3108"/>
      <c r="S9" s="3404"/>
      <c r="T9" s="3404"/>
      <c r="U9" s="2843">
        <f>U8/4</f>
        <v>2.3321759259259265E-4</v>
      </c>
      <c r="V9" s="2843">
        <f t="shared" ref="V9:AA9" si="0">V8/4</f>
        <v>2.152777777777778E-4</v>
      </c>
      <c r="W9" s="2843">
        <f t="shared" si="0"/>
        <v>1.9733796296296302E-4</v>
      </c>
      <c r="X9" s="2843">
        <f t="shared" si="0"/>
        <v>1.7939814814814817E-4</v>
      </c>
      <c r="Y9" s="2843">
        <f t="shared" si="0"/>
        <v>1.7850115740740744E-4</v>
      </c>
      <c r="Z9" s="2843">
        <f t="shared" si="0"/>
        <v>1.7581018518518521E-4</v>
      </c>
      <c r="AA9" s="2843">
        <f t="shared" si="0"/>
        <v>1.7222222222222224E-4</v>
      </c>
      <c r="AB9" s="2935"/>
      <c r="AC9" s="2936"/>
      <c r="AD9" s="2937"/>
      <c r="AE9" s="2937"/>
      <c r="AF9" s="2937"/>
      <c r="AG9" s="2937"/>
      <c r="AH9" s="2937"/>
      <c r="AI9" s="2935"/>
      <c r="AJ9" s="2935"/>
      <c r="AK9" s="2935"/>
      <c r="AL9" s="2935"/>
      <c r="AM9" s="2935"/>
      <c r="AN9" s="2935"/>
    </row>
    <row r="10" spans="1:40" s="63" customFormat="1" ht="13" customHeight="1" thickTop="1" thickBot="1">
      <c r="A10" s="3794"/>
      <c r="B10" s="3795"/>
      <c r="C10" s="3796"/>
      <c r="D10" s="3797"/>
      <c r="E10" s="3798"/>
      <c r="F10" s="3839"/>
      <c r="G10" s="3829"/>
      <c r="H10" s="3800"/>
      <c r="I10" s="3800"/>
      <c r="J10" s="3799"/>
      <c r="K10" s="3801" t="s">
        <v>1762</v>
      </c>
      <c r="L10" s="631">
        <v>0.8125</v>
      </c>
      <c r="M10" s="3802"/>
      <c r="N10" s="1882">
        <v>1.4583333333333332E-2</v>
      </c>
      <c r="O10" s="3798"/>
      <c r="P10" s="3798"/>
      <c r="Q10" s="3798"/>
      <c r="R10" s="3803"/>
      <c r="S10" s="3610"/>
      <c r="T10" s="3610"/>
      <c r="U10" s="3752"/>
      <c r="V10" s="3752"/>
      <c r="W10" s="3752"/>
      <c r="X10" s="3752"/>
      <c r="Y10" s="3752"/>
      <c r="Z10" s="3752"/>
      <c r="AA10" s="3752"/>
      <c r="AB10" s="2935"/>
      <c r="AC10" s="2936"/>
      <c r="AD10" s="2937"/>
      <c r="AE10" s="2937"/>
      <c r="AF10" s="2937"/>
      <c r="AG10" s="2937"/>
      <c r="AH10" s="2937"/>
      <c r="AI10" s="2935"/>
      <c r="AJ10" s="2935"/>
      <c r="AK10" s="2935"/>
      <c r="AL10" s="2935"/>
      <c r="AM10" s="2935"/>
      <c r="AN10" s="2935"/>
    </row>
    <row r="11" spans="1:40" s="63" customFormat="1" ht="14" customHeight="1" thickBot="1">
      <c r="A11" s="3109" t="s">
        <v>215</v>
      </c>
      <c r="B11" s="3110" t="s">
        <v>459</v>
      </c>
      <c r="C11" s="629">
        <f t="shared" ref="C11:C34" si="1">IF(D11=1,U$9,IF(D11=2,V$9,IF(D11=3,W$9,IF(D11=4,X$9,IF(D11=5,Y$9,IF(D11=6,Z$9,IF(D11=7,AA$9,0)))))))</f>
        <v>2.3321759259259265E-4</v>
      </c>
      <c r="D11" s="3669">
        <v>1</v>
      </c>
      <c r="E11" s="3670">
        <v>1</v>
      </c>
      <c r="F11" s="3670">
        <v>20</v>
      </c>
      <c r="G11" s="3670">
        <v>75</v>
      </c>
      <c r="H11" s="3671"/>
      <c r="I11" s="3671">
        <v>1.1574074074074073E-4</v>
      </c>
      <c r="J11" s="3671">
        <v>1.3888888888888889E-3</v>
      </c>
      <c r="K11" s="3672" t="s">
        <v>1705</v>
      </c>
      <c r="L11" s="3673">
        <v>0.79861111111111116</v>
      </c>
      <c r="M11" s="3674">
        <v>1</v>
      </c>
      <c r="N11" s="3671">
        <f t="shared" ref="N11:N13" si="2">P11*E11*F11+I11*E11*F11+J11*E11</f>
        <v>1.7696759259259263E-2</v>
      </c>
      <c r="O11" s="3675">
        <f t="shared" ref="O11:O13" si="3">C11*(G11/25)</f>
        <v>6.9965277777777799E-4</v>
      </c>
      <c r="P11" s="3675">
        <f t="shared" ref="P11:P13" si="4">O11*M11</f>
        <v>6.9965277777777799E-4</v>
      </c>
      <c r="Q11" s="3676">
        <v>164</v>
      </c>
      <c r="R11" s="3670">
        <f t="shared" ref="R11:R13" si="5">E11*F11*G11</f>
        <v>1500</v>
      </c>
      <c r="S11" s="2844">
        <f>E11*F11*G11/1000</f>
        <v>1.5</v>
      </c>
      <c r="T11" s="2845">
        <f>E11*F11*O11*4</f>
        <v>5.5972222222222243E-2</v>
      </c>
      <c r="U11" s="374">
        <f>IF(C11*4&gt;=$U$8,S11,0)</f>
        <v>1.5</v>
      </c>
      <c r="V11" s="2846">
        <f>IF(AND(C11*4&gt;=$V$8,C11*4&lt;$U$8),S11,0)</f>
        <v>0</v>
      </c>
      <c r="W11" s="2847">
        <f>IF(AND(C11*4&gt;=$W$8,C11*4&lt;$V$8),S11,0)</f>
        <v>0</v>
      </c>
      <c r="X11" s="2848">
        <f>IF(AND(C11*4&gt;=$X$8,C11*4&lt;$W$8),S11,0)</f>
        <v>0</v>
      </c>
      <c r="Y11" s="2849">
        <f>IF(AND(C11*4&gt;=$Y$8,C11*4&lt;$X$8),S11,0)</f>
        <v>0</v>
      </c>
      <c r="Z11" s="2850">
        <f>IF(AND(C11*4&gt;=$Z$8,C11*4&lt;$Y$8),S11,0)</f>
        <v>0</v>
      </c>
      <c r="AA11" s="2851">
        <f>IF(AND(C11*4&gt;=$AA$8,C11*4&lt;$Z$8),S11,0)</f>
        <v>0</v>
      </c>
      <c r="AB11" s="2935"/>
      <c r="AC11" s="2867"/>
      <c r="AD11" s="2867"/>
      <c r="AE11" s="2867"/>
      <c r="AF11" s="2867"/>
      <c r="AG11" s="2867"/>
      <c r="AH11" s="2867"/>
      <c r="AI11" s="2935"/>
      <c r="AJ11" s="2935"/>
      <c r="AK11" s="2935"/>
      <c r="AL11" s="2935"/>
      <c r="AM11" s="2935"/>
      <c r="AN11" s="2935"/>
    </row>
    <row r="12" spans="1:40" s="63" customFormat="1" ht="14" customHeight="1" thickBot="1">
      <c r="A12" s="3109" t="s">
        <v>139</v>
      </c>
      <c r="B12" s="3110" t="s">
        <v>459</v>
      </c>
      <c r="C12" s="629">
        <f t="shared" si="1"/>
        <v>2.152777777777778E-4</v>
      </c>
      <c r="D12" s="3677">
        <v>2</v>
      </c>
      <c r="E12" s="2868">
        <v>1</v>
      </c>
      <c r="F12" s="2868">
        <v>8</v>
      </c>
      <c r="G12" s="2868">
        <v>75</v>
      </c>
      <c r="H12" s="2869"/>
      <c r="I12" s="2869">
        <v>1.7361111111111112E-4</v>
      </c>
      <c r="J12" s="2869">
        <v>1.3888888888888889E-3</v>
      </c>
      <c r="K12" s="2870" t="s">
        <v>1706</v>
      </c>
      <c r="L12" s="3678">
        <f t="shared" ref="L12:L13" si="6">L11+N11</f>
        <v>0.81630787037037045</v>
      </c>
      <c r="M12" s="3679">
        <v>1</v>
      </c>
      <c r="N12" s="2869">
        <f t="shared" si="2"/>
        <v>7.9444444444444449E-3</v>
      </c>
      <c r="O12" s="2871">
        <f t="shared" si="3"/>
        <v>6.4583333333333344E-4</v>
      </c>
      <c r="P12" s="2871">
        <f t="shared" si="4"/>
        <v>6.4583333333333344E-4</v>
      </c>
      <c r="Q12" s="3419">
        <v>146</v>
      </c>
      <c r="R12" s="2872">
        <f t="shared" si="5"/>
        <v>600</v>
      </c>
      <c r="S12" s="2844">
        <f t="shared" ref="S12:S42" si="7">E12*F12*G12/1000</f>
        <v>0.6</v>
      </c>
      <c r="T12" s="2845">
        <f t="shared" ref="T12:T42" si="8">E12*F12*O12*4</f>
        <v>2.066666666666667E-2</v>
      </c>
      <c r="U12" s="374">
        <f t="shared" ref="U12:U42" si="9">IF(C12*4&gt;=$U$8,S12,0)</f>
        <v>0</v>
      </c>
      <c r="V12" s="2846">
        <f t="shared" ref="V12:V42" si="10">IF(AND(C12*4&gt;=$V$8,C12*4&lt;$U$8),S12,0)</f>
        <v>0.6</v>
      </c>
      <c r="W12" s="2847">
        <f t="shared" ref="W12:W42" si="11">IF(AND(C12*4&gt;=$W$8,C12*4&lt;$V$8),S12,0)</f>
        <v>0</v>
      </c>
      <c r="X12" s="2848">
        <f t="shared" ref="X12:X42" si="12">IF(AND(C12*4&gt;=$X$8,C12*4&lt;$W$8),S12,0)</f>
        <v>0</v>
      </c>
      <c r="Y12" s="2849">
        <f t="shared" ref="Y12:Y42" si="13">IF(AND(C12*4&gt;=$Y$8,C12*4&lt;$X$8),S12,0)</f>
        <v>0</v>
      </c>
      <c r="Z12" s="2850">
        <f t="shared" ref="Z12:Z42" si="14">IF(AND(C12*4&gt;=$Z$8,C12*4&lt;$Y$8),S12,0)</f>
        <v>0</v>
      </c>
      <c r="AA12" s="2851">
        <f t="shared" ref="AA12:AA42" si="15">IF(AND(C12*4&gt;=$AA$8,C12*4&lt;$Z$8),S12,0)</f>
        <v>0</v>
      </c>
      <c r="AB12" s="2935"/>
      <c r="AC12" s="2867"/>
      <c r="AD12" s="2867"/>
      <c r="AE12" s="2867"/>
      <c r="AF12" s="2867"/>
      <c r="AG12" s="2867"/>
      <c r="AH12" s="2867"/>
      <c r="AI12" s="2935"/>
      <c r="AJ12" s="2935"/>
      <c r="AK12" s="2935"/>
      <c r="AL12" s="2935"/>
      <c r="AM12" s="2935"/>
      <c r="AN12" s="2935"/>
    </row>
    <row r="13" spans="1:40" s="63" customFormat="1" ht="14" customHeight="1" thickBot="1">
      <c r="A13" s="3109" t="s">
        <v>458</v>
      </c>
      <c r="B13" s="3110" t="s">
        <v>459</v>
      </c>
      <c r="C13" s="629">
        <f t="shared" si="1"/>
        <v>1.9733796296296302E-4</v>
      </c>
      <c r="D13" s="3680">
        <v>3</v>
      </c>
      <c r="E13" s="2873">
        <v>1</v>
      </c>
      <c r="F13" s="2873">
        <v>20</v>
      </c>
      <c r="G13" s="2873">
        <v>25</v>
      </c>
      <c r="H13" s="2874"/>
      <c r="I13" s="2874">
        <v>1.7361111111111112E-4</v>
      </c>
      <c r="J13" s="2874">
        <v>1.3888888888888889E-3</v>
      </c>
      <c r="K13" s="2875" t="s">
        <v>1707</v>
      </c>
      <c r="L13" s="2876">
        <f t="shared" si="6"/>
        <v>0.82425231481481487</v>
      </c>
      <c r="M13" s="3681">
        <v>0.9</v>
      </c>
      <c r="N13" s="2874">
        <f t="shared" si="2"/>
        <v>8.4131944444444454E-3</v>
      </c>
      <c r="O13" s="2877">
        <f t="shared" si="3"/>
        <v>1.9733796296296302E-4</v>
      </c>
      <c r="P13" s="2877">
        <f t="shared" si="4"/>
        <v>1.7760416666666673E-4</v>
      </c>
      <c r="Q13" s="3430">
        <v>164</v>
      </c>
      <c r="R13" s="2873">
        <f t="shared" si="5"/>
        <v>500</v>
      </c>
      <c r="S13" s="2844">
        <f t="shared" si="7"/>
        <v>0.5</v>
      </c>
      <c r="T13" s="2845">
        <f t="shared" si="8"/>
        <v>1.578703703703704E-2</v>
      </c>
      <c r="U13" s="374">
        <f t="shared" si="9"/>
        <v>0</v>
      </c>
      <c r="V13" s="2846">
        <f t="shared" si="10"/>
        <v>0</v>
      </c>
      <c r="W13" s="2847">
        <f t="shared" si="11"/>
        <v>0.5</v>
      </c>
      <c r="X13" s="2848">
        <f t="shared" si="12"/>
        <v>0</v>
      </c>
      <c r="Y13" s="2849">
        <f t="shared" si="13"/>
        <v>0</v>
      </c>
      <c r="Z13" s="2850">
        <f t="shared" si="14"/>
        <v>0</v>
      </c>
      <c r="AA13" s="2851">
        <f t="shared" si="15"/>
        <v>0</v>
      </c>
      <c r="AB13" s="2935"/>
      <c r="AC13" s="2867"/>
      <c r="AD13" s="2867"/>
      <c r="AE13" s="2867"/>
      <c r="AF13" s="2867"/>
      <c r="AG13" s="2867"/>
      <c r="AH13" s="2867"/>
      <c r="AI13" s="2935"/>
      <c r="AJ13" s="2935"/>
      <c r="AK13" s="2935"/>
      <c r="AL13" s="2935"/>
      <c r="AM13" s="2935"/>
      <c r="AN13" s="2935"/>
    </row>
    <row r="14" spans="1:40" s="63" customFormat="1" ht="46" customHeight="1" thickBot="1">
      <c r="A14" s="3109" t="s">
        <v>462</v>
      </c>
      <c r="B14" s="3110" t="s">
        <v>459</v>
      </c>
      <c r="C14" s="629">
        <f t="shared" si="1"/>
        <v>1.7222222222222224E-4</v>
      </c>
      <c r="D14" s="3123">
        <v>7</v>
      </c>
      <c r="E14" s="3124">
        <v>1</v>
      </c>
      <c r="F14" s="3124">
        <v>10</v>
      </c>
      <c r="G14" s="3880">
        <v>22</v>
      </c>
      <c r="H14" s="3753" t="s">
        <v>1717</v>
      </c>
      <c r="I14" s="2377">
        <v>6.9444444444444447E-4</v>
      </c>
      <c r="J14" s="2377">
        <v>3.472222222222222E-3</v>
      </c>
      <c r="K14" s="3881" t="s">
        <v>1796</v>
      </c>
      <c r="L14" s="2515">
        <f>L13+N13</f>
        <v>0.83266550925925931</v>
      </c>
      <c r="M14" s="3126">
        <v>1</v>
      </c>
      <c r="N14" s="2377">
        <f t="shared" ref="N14" si="16">P14*E14*F14+I14*E14*F14+J14*E14</f>
        <v>1.1932222222222223E-2</v>
      </c>
      <c r="O14" s="2271">
        <f t="shared" ref="O14" si="17">C14*(G14/25)</f>
        <v>1.5155555555555557E-4</v>
      </c>
      <c r="P14" s="2517">
        <f t="shared" ref="P14" si="18">O14*M14</f>
        <v>1.5155555555555557E-4</v>
      </c>
      <c r="Q14" s="3130" t="s">
        <v>316</v>
      </c>
      <c r="R14" s="3683">
        <f t="shared" ref="R14" si="19">E14*F14*G14</f>
        <v>220</v>
      </c>
      <c r="S14" s="2844">
        <f t="shared" si="7"/>
        <v>0.22</v>
      </c>
      <c r="T14" s="2845">
        <f t="shared" si="8"/>
        <v>6.0622222222222232E-3</v>
      </c>
      <c r="U14" s="374">
        <f t="shared" si="9"/>
        <v>0</v>
      </c>
      <c r="V14" s="2846">
        <f t="shared" si="10"/>
        <v>0</v>
      </c>
      <c r="W14" s="2847">
        <f t="shared" si="11"/>
        <v>0</v>
      </c>
      <c r="X14" s="2848">
        <f t="shared" si="12"/>
        <v>0</v>
      </c>
      <c r="Y14" s="2849">
        <f t="shared" si="13"/>
        <v>0</v>
      </c>
      <c r="Z14" s="2850">
        <f t="shared" si="14"/>
        <v>0</v>
      </c>
      <c r="AA14" s="2851">
        <f t="shared" si="15"/>
        <v>0.22</v>
      </c>
      <c r="AB14" s="2935"/>
      <c r="AC14" s="2867"/>
      <c r="AD14" s="2867"/>
      <c r="AE14" s="2867"/>
      <c r="AF14" s="2867"/>
      <c r="AG14" s="2867"/>
      <c r="AH14" s="2867"/>
      <c r="AI14" s="2935"/>
      <c r="AJ14" s="2935"/>
      <c r="AK14" s="2935"/>
      <c r="AL14" s="2935"/>
      <c r="AM14" s="2935"/>
      <c r="AN14" s="2935"/>
    </row>
    <row r="15" spans="1:40" ht="14" customHeight="1" thickBot="1">
      <c r="A15" s="3688" t="s">
        <v>140</v>
      </c>
      <c r="B15" s="3110" t="s">
        <v>459</v>
      </c>
      <c r="C15" s="629">
        <f t="shared" si="1"/>
        <v>1.7222222222222224E-4</v>
      </c>
      <c r="D15" s="3856">
        <v>7</v>
      </c>
      <c r="E15" s="3857">
        <v>1</v>
      </c>
      <c r="F15" s="3858">
        <v>1</v>
      </c>
      <c r="G15" s="3858">
        <v>400</v>
      </c>
      <c r="H15" s="3859"/>
      <c r="I15" s="2869">
        <v>4.6296296296296293E-4</v>
      </c>
      <c r="J15" s="2869">
        <v>1.3888888888888889E-3</v>
      </c>
      <c r="K15" s="3850" t="s">
        <v>1771</v>
      </c>
      <c r="L15" s="3851">
        <f>L14+N14</f>
        <v>0.84459773148148154</v>
      </c>
      <c r="M15" s="3852">
        <v>1.1499999999999999</v>
      </c>
      <c r="N15" s="3853">
        <f>P15*E15*F15+I15*E15*F15+J15*E15</f>
        <v>5.0207407407407405E-3</v>
      </c>
      <c r="O15" s="2526">
        <f t="shared" ref="O15" si="20">C15*G15/25</f>
        <v>2.7555555555555554E-3</v>
      </c>
      <c r="P15" s="3698">
        <f>O15*M15</f>
        <v>3.1688888888888886E-3</v>
      </c>
      <c r="Q15" s="3854">
        <v>120</v>
      </c>
      <c r="R15" s="3855">
        <f>E15*F15*G15</f>
        <v>400</v>
      </c>
      <c r="S15" s="2844">
        <f t="shared" si="7"/>
        <v>0.4</v>
      </c>
      <c r="T15" s="2845">
        <f t="shared" si="8"/>
        <v>1.1022222222222221E-2</v>
      </c>
      <c r="U15" s="374">
        <f t="shared" si="9"/>
        <v>0</v>
      </c>
      <c r="V15" s="2846">
        <f t="shared" si="10"/>
        <v>0</v>
      </c>
      <c r="W15" s="2847">
        <f t="shared" si="11"/>
        <v>0</v>
      </c>
      <c r="X15" s="2848">
        <f t="shared" si="12"/>
        <v>0</v>
      </c>
      <c r="Y15" s="2849">
        <f t="shared" si="13"/>
        <v>0</v>
      </c>
      <c r="Z15" s="2850">
        <f t="shared" si="14"/>
        <v>0</v>
      </c>
      <c r="AA15" s="2851">
        <f t="shared" si="15"/>
        <v>0.4</v>
      </c>
      <c r="AB15" s="2935"/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  <c r="AN15" s="1"/>
    </row>
    <row r="16" spans="1:40" ht="14" customHeight="1" thickBot="1">
      <c r="A16" s="3688" t="s">
        <v>674</v>
      </c>
      <c r="B16" s="3110" t="s">
        <v>459</v>
      </c>
      <c r="C16" s="629">
        <f t="shared" si="1"/>
        <v>0</v>
      </c>
      <c r="D16" s="3809"/>
      <c r="E16" s="3454"/>
      <c r="F16" s="3454"/>
      <c r="G16" s="3454"/>
      <c r="H16" s="3454"/>
      <c r="I16" s="3454"/>
      <c r="J16" s="3454"/>
      <c r="K16" s="3454"/>
      <c r="L16" s="2528">
        <f>L15+N15</f>
        <v>0.84961847222222231</v>
      </c>
      <c r="M16" s="448"/>
      <c r="N16" s="2423">
        <f>SUM(N10:N15)</f>
        <v>6.5590694444444458E-2</v>
      </c>
      <c r="O16" s="2526">
        <f t="shared" ref="O16" si="21">C16*G16/25</f>
        <v>0</v>
      </c>
      <c r="P16" s="336"/>
      <c r="Q16" s="336"/>
      <c r="R16" s="3863">
        <f>SUM(R11:R15)</f>
        <v>3220</v>
      </c>
      <c r="S16" s="2844">
        <f t="shared" si="7"/>
        <v>0</v>
      </c>
      <c r="T16" s="2845">
        <f t="shared" si="8"/>
        <v>0</v>
      </c>
      <c r="U16" s="374">
        <f t="shared" si="9"/>
        <v>0</v>
      </c>
      <c r="V16" s="2846">
        <f t="shared" si="10"/>
        <v>0</v>
      </c>
      <c r="W16" s="2847">
        <f t="shared" si="11"/>
        <v>0</v>
      </c>
      <c r="X16" s="2848">
        <f t="shared" si="12"/>
        <v>0</v>
      </c>
      <c r="Y16" s="2849">
        <f t="shared" si="13"/>
        <v>0</v>
      </c>
      <c r="Z16" s="2850">
        <f t="shared" si="14"/>
        <v>0</v>
      </c>
      <c r="AA16" s="2851">
        <f t="shared" si="15"/>
        <v>0</v>
      </c>
      <c r="AB16" s="2935"/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  <c r="AN16" s="1"/>
    </row>
    <row r="17" spans="1:40" ht="14" customHeight="1" thickBot="1">
      <c r="A17" s="3794"/>
      <c r="B17" s="3795"/>
      <c r="C17" s="629">
        <f t="shared" si="1"/>
        <v>2.3321759259259265E-4</v>
      </c>
      <c r="D17" s="2335">
        <v>1</v>
      </c>
      <c r="E17" s="2336">
        <v>1</v>
      </c>
      <c r="F17" s="2336">
        <v>2</v>
      </c>
      <c r="G17" s="2336">
        <v>400</v>
      </c>
      <c r="H17" s="2337"/>
      <c r="I17" s="2337">
        <v>1.1574074074074073E-4</v>
      </c>
      <c r="J17" s="2337">
        <v>1.3888888888888889E-3</v>
      </c>
      <c r="K17" s="2338" t="s">
        <v>709</v>
      </c>
      <c r="L17" s="3119">
        <v>0.79166666666666663</v>
      </c>
      <c r="M17" s="2502">
        <v>1</v>
      </c>
      <c r="N17" s="2337">
        <f t="shared" ref="N17:N22" si="22">P17*E17*F17+I17*E17*F17+J17*E17</f>
        <v>9.0833333333333356E-3</v>
      </c>
      <c r="O17" s="2359">
        <f t="shared" ref="O17:O24" si="23">C17*(G17/25)</f>
        <v>3.7314814814814823E-3</v>
      </c>
      <c r="P17" s="2359">
        <f t="shared" ref="P17:P22" si="24">O17*M17</f>
        <v>3.7314814814814823E-3</v>
      </c>
      <c r="Q17" s="2341">
        <v>129</v>
      </c>
      <c r="R17" s="2336">
        <f t="shared" ref="R17:R22" si="25">E17*F17*G17</f>
        <v>800</v>
      </c>
      <c r="S17" s="2844">
        <f t="shared" si="7"/>
        <v>0.8</v>
      </c>
      <c r="T17" s="2845">
        <f t="shared" si="8"/>
        <v>2.9851851851851859E-2</v>
      </c>
      <c r="U17" s="374">
        <f t="shared" si="9"/>
        <v>0.8</v>
      </c>
      <c r="V17" s="2846">
        <f t="shared" si="10"/>
        <v>0</v>
      </c>
      <c r="W17" s="2847">
        <f t="shared" si="11"/>
        <v>0</v>
      </c>
      <c r="X17" s="2848">
        <f t="shared" si="12"/>
        <v>0</v>
      </c>
      <c r="Y17" s="2849">
        <f t="shared" si="13"/>
        <v>0</v>
      </c>
      <c r="Z17" s="2850">
        <f t="shared" si="14"/>
        <v>0</v>
      </c>
      <c r="AA17" s="2851">
        <f t="shared" si="15"/>
        <v>0</v>
      </c>
      <c r="AB17" s="2935"/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  <c r="AN17" s="1"/>
    </row>
    <row r="18" spans="1:40" ht="14" customHeight="1" thickBot="1">
      <c r="A18" s="2183" t="s">
        <v>217</v>
      </c>
      <c r="B18" s="3030" t="s">
        <v>461</v>
      </c>
      <c r="C18" s="629">
        <f t="shared" si="1"/>
        <v>1.7850115740740744E-4</v>
      </c>
      <c r="D18" s="2505">
        <v>5</v>
      </c>
      <c r="E18" s="3445">
        <v>4</v>
      </c>
      <c r="F18" s="3445">
        <v>2</v>
      </c>
      <c r="G18" s="3445">
        <v>12.5</v>
      </c>
      <c r="H18" s="2264"/>
      <c r="I18" s="2264">
        <v>5.7870370370370366E-5</v>
      </c>
      <c r="J18" s="2264">
        <v>1.3888888888888889E-3</v>
      </c>
      <c r="K18" s="3623" t="s">
        <v>212</v>
      </c>
      <c r="L18" s="2508">
        <f t="shared" ref="L18:L23" si="26">L17+N17</f>
        <v>0.80074999999999996</v>
      </c>
      <c r="M18" s="3624">
        <v>1</v>
      </c>
      <c r="N18" s="2264">
        <f t="shared" si="22"/>
        <v>6.7325231481481489E-3</v>
      </c>
      <c r="O18" s="2265">
        <f t="shared" si="23"/>
        <v>8.9250578703703719E-5</v>
      </c>
      <c r="P18" s="2185">
        <f t="shared" si="24"/>
        <v>8.9250578703703719E-5</v>
      </c>
      <c r="Q18" s="3467">
        <v>173</v>
      </c>
      <c r="R18" s="3468">
        <f t="shared" si="25"/>
        <v>100</v>
      </c>
      <c r="S18" s="2844">
        <f t="shared" si="7"/>
        <v>0.1</v>
      </c>
      <c r="T18" s="2845">
        <f t="shared" si="8"/>
        <v>2.856018518518519E-3</v>
      </c>
      <c r="U18" s="374">
        <f t="shared" si="9"/>
        <v>0</v>
      </c>
      <c r="V18" s="2846">
        <f t="shared" si="10"/>
        <v>0</v>
      </c>
      <c r="W18" s="2847">
        <f t="shared" si="11"/>
        <v>0</v>
      </c>
      <c r="X18" s="2848">
        <f t="shared" si="12"/>
        <v>0</v>
      </c>
      <c r="Y18" s="2849">
        <f t="shared" si="13"/>
        <v>0.1</v>
      </c>
      <c r="Z18" s="2850">
        <f t="shared" si="14"/>
        <v>0</v>
      </c>
      <c r="AA18" s="2851">
        <f t="shared" si="15"/>
        <v>0</v>
      </c>
      <c r="AB18" s="2935"/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1"/>
    </row>
    <row r="19" spans="1:40" ht="14" customHeight="1" thickBot="1">
      <c r="A19" s="2183" t="s">
        <v>459</v>
      </c>
      <c r="B19" s="3030" t="s">
        <v>461</v>
      </c>
      <c r="C19" s="629">
        <f t="shared" si="1"/>
        <v>2.3321759259259265E-4</v>
      </c>
      <c r="D19" s="2335">
        <v>1</v>
      </c>
      <c r="E19" s="2336">
        <v>1</v>
      </c>
      <c r="F19" s="2336">
        <v>1</v>
      </c>
      <c r="G19" s="2336">
        <v>200</v>
      </c>
      <c r="H19" s="2337"/>
      <c r="I19" s="2337">
        <v>1.1574074074074073E-4</v>
      </c>
      <c r="J19" s="2337">
        <v>1.3888888888888889E-3</v>
      </c>
      <c r="K19" s="2338" t="s">
        <v>1195</v>
      </c>
      <c r="L19" s="2182">
        <f t="shared" si="26"/>
        <v>0.80748252314814806</v>
      </c>
      <c r="M19" s="2502">
        <v>1</v>
      </c>
      <c r="N19" s="2337">
        <f t="shared" si="22"/>
        <v>3.3703703703703708E-3</v>
      </c>
      <c r="O19" s="2359">
        <f t="shared" si="23"/>
        <v>1.8657407407407412E-3</v>
      </c>
      <c r="P19" s="2359">
        <f t="shared" si="24"/>
        <v>1.8657407407407412E-3</v>
      </c>
      <c r="Q19" s="2341">
        <v>129</v>
      </c>
      <c r="R19" s="2336">
        <f t="shared" si="25"/>
        <v>200</v>
      </c>
      <c r="S19" s="2844">
        <f t="shared" si="7"/>
        <v>0.2</v>
      </c>
      <c r="T19" s="2845">
        <f t="shared" si="8"/>
        <v>7.4629629629629646E-3</v>
      </c>
      <c r="U19" s="374">
        <f t="shared" si="9"/>
        <v>0.2</v>
      </c>
      <c r="V19" s="2846">
        <f t="shared" si="10"/>
        <v>0</v>
      </c>
      <c r="W19" s="2847">
        <f t="shared" si="11"/>
        <v>0</v>
      </c>
      <c r="X19" s="2848">
        <f t="shared" si="12"/>
        <v>0</v>
      </c>
      <c r="Y19" s="2849">
        <f t="shared" si="13"/>
        <v>0</v>
      </c>
      <c r="Z19" s="2850">
        <f t="shared" si="14"/>
        <v>0</v>
      </c>
      <c r="AA19" s="2851">
        <f t="shared" si="15"/>
        <v>0</v>
      </c>
      <c r="AB19" s="2935"/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1"/>
    </row>
    <row r="20" spans="1:40" ht="14" customHeight="1" thickBot="1">
      <c r="A20" s="2183" t="s">
        <v>458</v>
      </c>
      <c r="B20" s="3030" t="s">
        <v>461</v>
      </c>
      <c r="C20" s="629">
        <f t="shared" si="1"/>
        <v>1.7850115740740744E-4</v>
      </c>
      <c r="D20" s="2505">
        <v>5</v>
      </c>
      <c r="E20" s="3445">
        <v>4</v>
      </c>
      <c r="F20" s="3445">
        <v>2</v>
      </c>
      <c r="G20" s="3445">
        <v>25</v>
      </c>
      <c r="H20" s="2264"/>
      <c r="I20" s="2264">
        <v>5.7870370370370366E-5</v>
      </c>
      <c r="J20" s="2264">
        <v>1.3888888888888889E-3</v>
      </c>
      <c r="K20" s="3623" t="s">
        <v>212</v>
      </c>
      <c r="L20" s="2508">
        <f t="shared" si="26"/>
        <v>0.81085289351851841</v>
      </c>
      <c r="M20" s="3624">
        <v>1</v>
      </c>
      <c r="N20" s="2264">
        <f t="shared" si="22"/>
        <v>7.4465277777777785E-3</v>
      </c>
      <c r="O20" s="2265">
        <f t="shared" si="23"/>
        <v>1.7850115740740744E-4</v>
      </c>
      <c r="P20" s="2185">
        <f t="shared" si="24"/>
        <v>1.7850115740740744E-4</v>
      </c>
      <c r="Q20" s="3467">
        <v>173</v>
      </c>
      <c r="R20" s="3468">
        <f t="shared" si="25"/>
        <v>200</v>
      </c>
      <c r="S20" s="2844">
        <f t="shared" si="7"/>
        <v>0.2</v>
      </c>
      <c r="T20" s="2845">
        <f t="shared" si="8"/>
        <v>5.712037037037038E-3</v>
      </c>
      <c r="U20" s="374">
        <f t="shared" si="9"/>
        <v>0</v>
      </c>
      <c r="V20" s="2846">
        <f t="shared" si="10"/>
        <v>0</v>
      </c>
      <c r="W20" s="2847">
        <f t="shared" si="11"/>
        <v>0</v>
      </c>
      <c r="X20" s="2848">
        <f t="shared" si="12"/>
        <v>0</v>
      </c>
      <c r="Y20" s="2849">
        <f t="shared" si="13"/>
        <v>0.2</v>
      </c>
      <c r="Z20" s="2850">
        <f t="shared" si="14"/>
        <v>0</v>
      </c>
      <c r="AA20" s="2851">
        <f t="shared" si="15"/>
        <v>0</v>
      </c>
      <c r="AB20" s="2935"/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1"/>
    </row>
    <row r="21" spans="1:40" ht="14" customHeight="1" thickBot="1">
      <c r="A21" s="2183" t="s">
        <v>218</v>
      </c>
      <c r="B21" s="3030" t="s">
        <v>461</v>
      </c>
      <c r="C21" s="629">
        <f t="shared" si="1"/>
        <v>2.3321759259259265E-4</v>
      </c>
      <c r="D21" s="2335">
        <v>1</v>
      </c>
      <c r="E21" s="2336">
        <v>1</v>
      </c>
      <c r="F21" s="2336">
        <v>1</v>
      </c>
      <c r="G21" s="2336">
        <v>200</v>
      </c>
      <c r="H21" s="2337"/>
      <c r="I21" s="2337">
        <v>1.1574074074074073E-4</v>
      </c>
      <c r="J21" s="2337">
        <v>1.3888888888888889E-3</v>
      </c>
      <c r="K21" s="2338" t="s">
        <v>1196</v>
      </c>
      <c r="L21" s="2182">
        <f t="shared" si="26"/>
        <v>0.81829942129629618</v>
      </c>
      <c r="M21" s="2502">
        <v>1</v>
      </c>
      <c r="N21" s="2337">
        <f t="shared" si="22"/>
        <v>3.3703703703703708E-3</v>
      </c>
      <c r="O21" s="2359">
        <f t="shared" si="23"/>
        <v>1.8657407407407412E-3</v>
      </c>
      <c r="P21" s="2359">
        <f t="shared" si="24"/>
        <v>1.8657407407407412E-3</v>
      </c>
      <c r="Q21" s="2341">
        <v>129</v>
      </c>
      <c r="R21" s="2336">
        <f t="shared" si="25"/>
        <v>200</v>
      </c>
      <c r="S21" s="2844">
        <f t="shared" si="7"/>
        <v>0.2</v>
      </c>
      <c r="T21" s="2845">
        <f t="shared" si="8"/>
        <v>7.4629629629629646E-3</v>
      </c>
      <c r="U21" s="374">
        <f t="shared" si="9"/>
        <v>0.2</v>
      </c>
      <c r="V21" s="2846">
        <f t="shared" si="10"/>
        <v>0</v>
      </c>
      <c r="W21" s="2847">
        <f t="shared" si="11"/>
        <v>0</v>
      </c>
      <c r="X21" s="2848">
        <f t="shared" si="12"/>
        <v>0</v>
      </c>
      <c r="Y21" s="2849">
        <f t="shared" si="13"/>
        <v>0</v>
      </c>
      <c r="Z21" s="2850">
        <f t="shared" si="14"/>
        <v>0</v>
      </c>
      <c r="AA21" s="2851">
        <f t="shared" si="15"/>
        <v>0</v>
      </c>
      <c r="AB21" s="2935"/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1"/>
    </row>
    <row r="22" spans="1:40" ht="14" customHeight="1" thickBot="1">
      <c r="A22" s="2183" t="s">
        <v>458</v>
      </c>
      <c r="B22" s="3030" t="s">
        <v>461</v>
      </c>
      <c r="C22" s="629">
        <f t="shared" si="1"/>
        <v>1.7850115740740744E-4</v>
      </c>
      <c r="D22" s="2505">
        <v>5</v>
      </c>
      <c r="E22" s="3445">
        <v>4</v>
      </c>
      <c r="F22" s="3445">
        <v>2</v>
      </c>
      <c r="G22" s="3445">
        <v>37.5</v>
      </c>
      <c r="H22" s="2264"/>
      <c r="I22" s="2264">
        <v>5.7870370370370366E-5</v>
      </c>
      <c r="J22" s="2264">
        <v>1.3888888888888889E-3</v>
      </c>
      <c r="K22" s="3623" t="s">
        <v>212</v>
      </c>
      <c r="L22" s="2508">
        <f t="shared" si="26"/>
        <v>0.82166979166666654</v>
      </c>
      <c r="M22" s="3624">
        <v>1</v>
      </c>
      <c r="N22" s="2264">
        <f t="shared" si="22"/>
        <v>8.160532407407408E-3</v>
      </c>
      <c r="O22" s="2265">
        <f t="shared" si="23"/>
        <v>2.6775173611111119E-4</v>
      </c>
      <c r="P22" s="2185">
        <f t="shared" si="24"/>
        <v>2.6775173611111119E-4</v>
      </c>
      <c r="Q22" s="3467">
        <v>173</v>
      </c>
      <c r="R22" s="3468">
        <f t="shared" si="25"/>
        <v>300</v>
      </c>
      <c r="S22" s="2844">
        <f t="shared" si="7"/>
        <v>0.3</v>
      </c>
      <c r="T22" s="2845">
        <f t="shared" si="8"/>
        <v>8.5680555555555579E-3</v>
      </c>
      <c r="U22" s="374">
        <f t="shared" si="9"/>
        <v>0</v>
      </c>
      <c r="V22" s="2846">
        <f t="shared" si="10"/>
        <v>0</v>
      </c>
      <c r="W22" s="2847">
        <f t="shared" si="11"/>
        <v>0</v>
      </c>
      <c r="X22" s="2848">
        <f t="shared" si="12"/>
        <v>0</v>
      </c>
      <c r="Y22" s="2849">
        <f t="shared" si="13"/>
        <v>0.3</v>
      </c>
      <c r="Z22" s="2850">
        <f t="shared" si="14"/>
        <v>0</v>
      </c>
      <c r="AA22" s="2851">
        <f t="shared" si="15"/>
        <v>0</v>
      </c>
      <c r="AB22" s="2935"/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1"/>
    </row>
    <row r="23" spans="1:40" ht="14" customHeight="1" thickBot="1">
      <c r="A23" s="2183" t="s">
        <v>219</v>
      </c>
      <c r="B23" s="3030" t="s">
        <v>461</v>
      </c>
      <c r="C23" s="629">
        <f t="shared" si="1"/>
        <v>1.7222222222222224E-4</v>
      </c>
      <c r="D23" s="2318">
        <v>7</v>
      </c>
      <c r="E23" s="2512">
        <v>2</v>
      </c>
      <c r="F23" s="2512">
        <v>12</v>
      </c>
      <c r="G23" s="2512">
        <v>20</v>
      </c>
      <c r="H23" s="2270"/>
      <c r="I23" s="2270">
        <v>3.4722222222222224E-4</v>
      </c>
      <c r="J23" s="2270">
        <v>1.3888888888888889E-3</v>
      </c>
      <c r="K23" s="3125" t="s">
        <v>413</v>
      </c>
      <c r="L23" s="2515">
        <f t="shared" si="26"/>
        <v>0.82983032407407398</v>
      </c>
      <c r="M23" s="3469">
        <v>1</v>
      </c>
      <c r="N23" s="2270">
        <f>P23*E23*F23+I23*E23*F23+J23*E23</f>
        <v>1.4417777777777779E-2</v>
      </c>
      <c r="O23" s="2271">
        <f>C23*(G23/25)</f>
        <v>1.3777777777777779E-4</v>
      </c>
      <c r="P23" s="2517">
        <f>O23*M23</f>
        <v>1.3777777777777779E-4</v>
      </c>
      <c r="Q23" s="3130" t="s">
        <v>316</v>
      </c>
      <c r="R23" s="3470">
        <f>E23*F23*G23</f>
        <v>480</v>
      </c>
      <c r="S23" s="2844">
        <f t="shared" si="7"/>
        <v>0.48</v>
      </c>
      <c r="T23" s="2845">
        <f t="shared" si="8"/>
        <v>1.3226666666666668E-2</v>
      </c>
      <c r="U23" s="374">
        <f t="shared" si="9"/>
        <v>0</v>
      </c>
      <c r="V23" s="2846">
        <f t="shared" si="10"/>
        <v>0</v>
      </c>
      <c r="W23" s="2847">
        <f t="shared" si="11"/>
        <v>0</v>
      </c>
      <c r="X23" s="2848">
        <f t="shared" si="12"/>
        <v>0</v>
      </c>
      <c r="Y23" s="2849">
        <f t="shared" si="13"/>
        <v>0</v>
      </c>
      <c r="Z23" s="2850">
        <f t="shared" si="14"/>
        <v>0</v>
      </c>
      <c r="AA23" s="2851">
        <f t="shared" si="15"/>
        <v>0.48</v>
      </c>
      <c r="AB23" s="2935"/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1"/>
    </row>
    <row r="24" spans="1:40" ht="14" customHeight="1" thickBot="1">
      <c r="A24" s="2183"/>
      <c r="B24" s="3030" t="s">
        <v>461</v>
      </c>
      <c r="C24" s="629">
        <f t="shared" si="1"/>
        <v>0</v>
      </c>
      <c r="D24" s="3365"/>
      <c r="E24" s="2855"/>
      <c r="F24" s="2855"/>
      <c r="G24" s="2855"/>
      <c r="H24" s="2855"/>
      <c r="I24" s="2855"/>
      <c r="J24" s="2855"/>
      <c r="K24" s="2855"/>
      <c r="L24" s="2182">
        <f>L23+N23</f>
        <v>0.84424810185185173</v>
      </c>
      <c r="M24" s="3620"/>
      <c r="N24" s="2528">
        <f>SUM(N17:N23)</f>
        <v>5.2581435185185189E-2</v>
      </c>
      <c r="O24" s="2855">
        <f t="shared" si="23"/>
        <v>0</v>
      </c>
      <c r="P24" s="2855"/>
      <c r="Q24" s="2855"/>
      <c r="R24" s="3621">
        <f>SUM(R17:R23)</f>
        <v>2280</v>
      </c>
      <c r="S24" s="2844">
        <f t="shared" si="7"/>
        <v>0</v>
      </c>
      <c r="T24" s="2845">
        <f t="shared" si="8"/>
        <v>0</v>
      </c>
      <c r="U24" s="374">
        <f t="shared" si="9"/>
        <v>0</v>
      </c>
      <c r="V24" s="2846">
        <f t="shared" si="10"/>
        <v>0</v>
      </c>
      <c r="W24" s="2847">
        <f t="shared" si="11"/>
        <v>0</v>
      </c>
      <c r="X24" s="2848">
        <f t="shared" si="12"/>
        <v>0</v>
      </c>
      <c r="Y24" s="2849">
        <f t="shared" si="13"/>
        <v>0</v>
      </c>
      <c r="Z24" s="2850">
        <f t="shared" si="14"/>
        <v>0</v>
      </c>
      <c r="AA24" s="2851">
        <f t="shared" si="15"/>
        <v>0</v>
      </c>
      <c r="AB24" s="2935"/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1"/>
    </row>
    <row r="25" spans="1:40" ht="14" customHeight="1" thickBot="1">
      <c r="A25" s="2183"/>
      <c r="B25" s="3030"/>
      <c r="C25" s="629">
        <f t="shared" si="1"/>
        <v>0</v>
      </c>
      <c r="D25" s="3809"/>
      <c r="E25" s="3454"/>
      <c r="F25" s="3454"/>
      <c r="G25" s="3454"/>
      <c r="H25" s="3454"/>
      <c r="I25" s="3454"/>
      <c r="J25" s="3454"/>
      <c r="K25" s="3899"/>
      <c r="L25" s="1439"/>
      <c r="M25" s="448"/>
      <c r="N25" s="2423"/>
      <c r="O25" s="3885">
        <f t="shared" ref="O25:O34" si="27">C25*G25/25</f>
        <v>0</v>
      </c>
      <c r="P25" s="3900"/>
      <c r="Q25" s="3900"/>
      <c r="R25" s="3863"/>
      <c r="S25" s="2844">
        <f t="shared" si="7"/>
        <v>0</v>
      </c>
      <c r="T25" s="2845">
        <f t="shared" si="8"/>
        <v>0</v>
      </c>
      <c r="U25" s="374">
        <f t="shared" si="9"/>
        <v>0</v>
      </c>
      <c r="V25" s="2846">
        <f t="shared" si="10"/>
        <v>0</v>
      </c>
      <c r="W25" s="2847">
        <f t="shared" si="11"/>
        <v>0</v>
      </c>
      <c r="X25" s="2848">
        <f t="shared" si="12"/>
        <v>0</v>
      </c>
      <c r="Y25" s="2849">
        <f t="shared" si="13"/>
        <v>0</v>
      </c>
      <c r="Z25" s="2850">
        <f t="shared" si="14"/>
        <v>0</v>
      </c>
      <c r="AA25" s="2851">
        <f t="shared" si="15"/>
        <v>0</v>
      </c>
      <c r="AB25" s="2935"/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1"/>
    </row>
    <row r="26" spans="1:40" ht="14" customHeight="1" thickBot="1">
      <c r="A26" s="3688"/>
      <c r="B26" s="3110" t="s">
        <v>215</v>
      </c>
      <c r="C26" s="629">
        <f t="shared" si="1"/>
        <v>2.3321759259259265E-4</v>
      </c>
      <c r="D26" s="547">
        <v>1</v>
      </c>
      <c r="E26" s="275">
        <v>1</v>
      </c>
      <c r="F26" s="275">
        <v>4</v>
      </c>
      <c r="G26" s="275">
        <v>200</v>
      </c>
      <c r="H26" s="276" t="s">
        <v>139</v>
      </c>
      <c r="I26" s="276">
        <v>1.1574074074074073E-4</v>
      </c>
      <c r="J26" s="3887">
        <v>1.1574074074074073E-4</v>
      </c>
      <c r="K26" s="2553" t="s">
        <v>535</v>
      </c>
      <c r="L26" s="631">
        <v>0.39583333333333331</v>
      </c>
      <c r="M26" s="451">
        <v>1</v>
      </c>
      <c r="N26" s="1882">
        <v>1.4583333333333332E-2</v>
      </c>
      <c r="O26" s="296">
        <f t="shared" si="27"/>
        <v>1.8657407407407412E-3</v>
      </c>
      <c r="P26" s="296">
        <f t="shared" ref="P26:P34" si="28">O26*M26</f>
        <v>1.8657407407407412E-3</v>
      </c>
      <c r="Q26" s="548">
        <v>120</v>
      </c>
      <c r="R26" s="646">
        <f t="shared" ref="R26:R34" si="29">E26*F26*G26</f>
        <v>800</v>
      </c>
      <c r="S26" s="2844">
        <f t="shared" si="7"/>
        <v>0.8</v>
      </c>
      <c r="T26" s="2845">
        <f t="shared" si="8"/>
        <v>2.9851851851851859E-2</v>
      </c>
      <c r="U26" s="374">
        <f t="shared" si="9"/>
        <v>0.8</v>
      </c>
      <c r="V26" s="2846">
        <f t="shared" si="10"/>
        <v>0</v>
      </c>
      <c r="W26" s="2847">
        <f t="shared" si="11"/>
        <v>0</v>
      </c>
      <c r="X26" s="2848">
        <f t="shared" si="12"/>
        <v>0</v>
      </c>
      <c r="Y26" s="2849">
        <f t="shared" si="13"/>
        <v>0</v>
      </c>
      <c r="Z26" s="2850">
        <f t="shared" si="14"/>
        <v>0</v>
      </c>
      <c r="AA26" s="2851">
        <f t="shared" si="15"/>
        <v>0</v>
      </c>
      <c r="AB26" s="2935"/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1"/>
    </row>
    <row r="27" spans="1:40" ht="14" customHeight="1" thickBot="1">
      <c r="A27" s="3688"/>
      <c r="B27" s="3110" t="s">
        <v>215</v>
      </c>
      <c r="C27" s="629">
        <f t="shared" si="1"/>
        <v>1.7581018518518521E-4</v>
      </c>
      <c r="D27" s="920">
        <v>6</v>
      </c>
      <c r="E27" s="275">
        <v>1</v>
      </c>
      <c r="F27" s="275">
        <v>1</v>
      </c>
      <c r="G27" s="275">
        <v>750</v>
      </c>
      <c r="H27" s="1173" t="s">
        <v>1798</v>
      </c>
      <c r="I27" s="299">
        <v>2.3148148148148146E-4</v>
      </c>
      <c r="J27" s="299">
        <v>1.3888888888888889E-3</v>
      </c>
      <c r="K27" s="3888" t="s">
        <v>1421</v>
      </c>
      <c r="L27" s="2685">
        <f t="shared" ref="L27:L34" si="30">L26+N26</f>
        <v>0.41041666666666665</v>
      </c>
      <c r="M27" s="1180">
        <v>1</v>
      </c>
      <c r="N27" s="2685">
        <f t="shared" ref="N27:N34" si="31">P27*E27*F27+I27*E27*F27+J27*E27</f>
        <v>8.2870370370370372E-3</v>
      </c>
      <c r="O27" s="439">
        <f t="shared" si="27"/>
        <v>5.2743055555555564E-3</v>
      </c>
      <c r="P27" s="587">
        <v>6.6666666666666671E-3</v>
      </c>
      <c r="Q27" s="789">
        <v>120</v>
      </c>
      <c r="R27" s="2044">
        <f t="shared" si="29"/>
        <v>750</v>
      </c>
      <c r="S27" s="2844">
        <f t="shared" si="7"/>
        <v>0.75</v>
      </c>
      <c r="T27" s="2845">
        <f t="shared" si="8"/>
        <v>2.1097222222222226E-2</v>
      </c>
      <c r="U27" s="374">
        <f t="shared" si="9"/>
        <v>0</v>
      </c>
      <c r="V27" s="2846">
        <f t="shared" si="10"/>
        <v>0</v>
      </c>
      <c r="W27" s="2847">
        <f t="shared" si="11"/>
        <v>0</v>
      </c>
      <c r="X27" s="2848">
        <f t="shared" si="12"/>
        <v>0</v>
      </c>
      <c r="Y27" s="2849">
        <f t="shared" si="13"/>
        <v>0</v>
      </c>
      <c r="Z27" s="2850">
        <f t="shared" si="14"/>
        <v>0.75</v>
      </c>
      <c r="AA27" s="2851">
        <f t="shared" si="15"/>
        <v>0</v>
      </c>
      <c r="AB27" s="2935"/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4" customHeight="1" thickBot="1">
      <c r="A28" s="3688" t="s">
        <v>218</v>
      </c>
      <c r="B28" s="3110" t="s">
        <v>215</v>
      </c>
      <c r="C28" s="629">
        <f t="shared" si="1"/>
        <v>1.7850115740740744E-4</v>
      </c>
      <c r="D28" s="1248">
        <v>5</v>
      </c>
      <c r="E28" s="1249">
        <v>4</v>
      </c>
      <c r="F28" s="1249">
        <v>4</v>
      </c>
      <c r="G28" s="1249">
        <v>50</v>
      </c>
      <c r="H28" s="1456"/>
      <c r="I28" s="1250">
        <v>4.6296296296296293E-4</v>
      </c>
      <c r="J28" s="1250">
        <v>2.3148148148148146E-4</v>
      </c>
      <c r="K28" s="534" t="s">
        <v>1799</v>
      </c>
      <c r="L28" s="1150">
        <f t="shared" si="30"/>
        <v>0.41870370370370369</v>
      </c>
      <c r="M28" s="1256">
        <v>1</v>
      </c>
      <c r="N28" s="1250">
        <f t="shared" si="31"/>
        <v>1.404537037037037E-2</v>
      </c>
      <c r="O28" s="1253">
        <f t="shared" si="27"/>
        <v>3.5700231481481488E-4</v>
      </c>
      <c r="P28" s="1254">
        <f t="shared" si="28"/>
        <v>3.5700231481481488E-4</v>
      </c>
      <c r="Q28" s="1255">
        <v>120</v>
      </c>
      <c r="R28" s="1249">
        <f t="shared" si="29"/>
        <v>800</v>
      </c>
      <c r="S28" s="2844">
        <f t="shared" si="7"/>
        <v>0.8</v>
      </c>
      <c r="T28" s="2845">
        <f t="shared" si="8"/>
        <v>2.2848148148148152E-2</v>
      </c>
      <c r="U28" s="374">
        <f t="shared" si="9"/>
        <v>0</v>
      </c>
      <c r="V28" s="2846">
        <f t="shared" si="10"/>
        <v>0</v>
      </c>
      <c r="W28" s="2847">
        <f t="shared" si="11"/>
        <v>0</v>
      </c>
      <c r="X28" s="2848">
        <f t="shared" si="12"/>
        <v>0</v>
      </c>
      <c r="Y28" s="2849">
        <f t="shared" si="13"/>
        <v>0.8</v>
      </c>
      <c r="Z28" s="2850">
        <f t="shared" si="14"/>
        <v>0</v>
      </c>
      <c r="AA28" s="2851">
        <f t="shared" si="15"/>
        <v>0</v>
      </c>
      <c r="AB28" s="2935"/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4" customHeight="1" thickBot="1">
      <c r="A29" s="3688" t="s">
        <v>139</v>
      </c>
      <c r="B29" s="3110" t="s">
        <v>215</v>
      </c>
      <c r="C29" s="629">
        <f t="shared" si="1"/>
        <v>0</v>
      </c>
      <c r="D29" s="920"/>
      <c r="E29" s="1448"/>
      <c r="F29" s="1405"/>
      <c r="G29" s="1405"/>
      <c r="H29" s="2689"/>
      <c r="I29" s="2685"/>
      <c r="J29" s="2496"/>
      <c r="K29" s="2686" t="s">
        <v>1116</v>
      </c>
      <c r="L29" s="1443">
        <f t="shared" si="30"/>
        <v>0.43274907407407404</v>
      </c>
      <c r="M29" s="1409">
        <v>1</v>
      </c>
      <c r="N29" s="1407">
        <f t="shared" si="31"/>
        <v>0</v>
      </c>
      <c r="O29" s="1407">
        <f t="shared" si="27"/>
        <v>0</v>
      </c>
      <c r="P29" s="1410">
        <f t="shared" si="28"/>
        <v>0</v>
      </c>
      <c r="Q29" s="1411">
        <v>120</v>
      </c>
      <c r="R29" s="1412">
        <f t="shared" si="29"/>
        <v>0</v>
      </c>
      <c r="S29" s="2844">
        <f t="shared" si="7"/>
        <v>0</v>
      </c>
      <c r="T29" s="2845">
        <f t="shared" si="8"/>
        <v>0</v>
      </c>
      <c r="U29" s="374">
        <f t="shared" si="9"/>
        <v>0</v>
      </c>
      <c r="V29" s="2846">
        <f t="shared" si="10"/>
        <v>0</v>
      </c>
      <c r="W29" s="2847">
        <f t="shared" si="11"/>
        <v>0</v>
      </c>
      <c r="X29" s="2848">
        <f t="shared" si="12"/>
        <v>0</v>
      </c>
      <c r="Y29" s="2849">
        <f t="shared" si="13"/>
        <v>0</v>
      </c>
      <c r="Z29" s="2850">
        <f t="shared" si="14"/>
        <v>0</v>
      </c>
      <c r="AA29" s="2851">
        <f t="shared" si="15"/>
        <v>0</v>
      </c>
      <c r="AB29" s="2935"/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5" customHeight="1" thickBot="1">
      <c r="A30" s="3688" t="s">
        <v>458</v>
      </c>
      <c r="B30" s="3110" t="s">
        <v>215</v>
      </c>
      <c r="C30" s="629">
        <f t="shared" si="1"/>
        <v>1.7222222222222224E-4</v>
      </c>
      <c r="D30" s="898">
        <v>7</v>
      </c>
      <c r="E30" s="1040">
        <v>1</v>
      </c>
      <c r="F30" s="1040">
        <v>20</v>
      </c>
      <c r="G30" s="2052">
        <v>25</v>
      </c>
      <c r="H30" s="1541"/>
      <c r="I30" s="2054">
        <v>4.6296296296296293E-4</v>
      </c>
      <c r="J30" s="1041">
        <v>1.3888888888888889E-3</v>
      </c>
      <c r="K30" s="442" t="s">
        <v>1444</v>
      </c>
      <c r="L30" s="1189">
        <f t="shared" si="30"/>
        <v>0.43274907407407404</v>
      </c>
      <c r="M30" s="1042">
        <v>0.75</v>
      </c>
      <c r="N30" s="1041">
        <f t="shared" si="31"/>
        <v>1.3231481481481481E-2</v>
      </c>
      <c r="O30" s="439">
        <f t="shared" si="27"/>
        <v>1.7222222222222221E-4</v>
      </c>
      <c r="P30" s="587">
        <f t="shared" si="28"/>
        <v>1.2916666666666664E-4</v>
      </c>
      <c r="Q30" s="789">
        <v>120</v>
      </c>
      <c r="R30" s="2044">
        <f t="shared" si="29"/>
        <v>500</v>
      </c>
      <c r="S30" s="2844">
        <f t="shared" si="7"/>
        <v>0.5</v>
      </c>
      <c r="T30" s="2845">
        <f t="shared" si="8"/>
        <v>1.3777777777777778E-2</v>
      </c>
      <c r="U30" s="374">
        <f t="shared" si="9"/>
        <v>0</v>
      </c>
      <c r="V30" s="2846">
        <f t="shared" si="10"/>
        <v>0</v>
      </c>
      <c r="W30" s="2847">
        <f t="shared" si="11"/>
        <v>0</v>
      </c>
      <c r="X30" s="2848">
        <f t="shared" si="12"/>
        <v>0</v>
      </c>
      <c r="Y30" s="2849">
        <f t="shared" si="13"/>
        <v>0</v>
      </c>
      <c r="Z30" s="2850">
        <f t="shared" si="14"/>
        <v>0</v>
      </c>
      <c r="AA30" s="2851">
        <f t="shared" si="15"/>
        <v>0.5</v>
      </c>
      <c r="AB30" s="2935"/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4" customHeight="1" thickBot="1">
      <c r="A31" s="3688" t="s">
        <v>462</v>
      </c>
      <c r="B31" s="3110" t="s">
        <v>215</v>
      </c>
      <c r="C31" s="629">
        <f t="shared" si="1"/>
        <v>0</v>
      </c>
      <c r="D31" s="920"/>
      <c r="E31" s="1448"/>
      <c r="F31" s="1405"/>
      <c r="G31" s="1405"/>
      <c r="H31" s="2689"/>
      <c r="I31" s="2685"/>
      <c r="J31" s="2496"/>
      <c r="K31" s="2686" t="s">
        <v>1116</v>
      </c>
      <c r="L31" s="1443">
        <f t="shared" si="30"/>
        <v>0.44598055555555549</v>
      </c>
      <c r="M31" s="1409">
        <v>1.1000000000000001</v>
      </c>
      <c r="N31" s="1407">
        <f t="shared" si="31"/>
        <v>0</v>
      </c>
      <c r="O31" s="1407">
        <f t="shared" si="27"/>
        <v>0</v>
      </c>
      <c r="P31" s="1410">
        <f t="shared" si="28"/>
        <v>0</v>
      </c>
      <c r="Q31" s="1411">
        <v>120</v>
      </c>
      <c r="R31" s="1412">
        <f t="shared" si="29"/>
        <v>0</v>
      </c>
      <c r="S31" s="2844">
        <f t="shared" si="7"/>
        <v>0</v>
      </c>
      <c r="T31" s="2845">
        <f t="shared" si="8"/>
        <v>0</v>
      </c>
      <c r="U31" s="374">
        <f t="shared" si="9"/>
        <v>0</v>
      </c>
      <c r="V31" s="2846">
        <f t="shared" si="10"/>
        <v>0</v>
      </c>
      <c r="W31" s="2847">
        <f t="shared" si="11"/>
        <v>0</v>
      </c>
      <c r="X31" s="2848">
        <f t="shared" si="12"/>
        <v>0</v>
      </c>
      <c r="Y31" s="2849">
        <f t="shared" si="13"/>
        <v>0</v>
      </c>
      <c r="Z31" s="2850">
        <f t="shared" si="14"/>
        <v>0</v>
      </c>
      <c r="AA31" s="2851">
        <f t="shared" si="15"/>
        <v>0</v>
      </c>
      <c r="AB31" s="2935"/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4" customHeight="1" thickBot="1">
      <c r="A32" s="3688" t="s">
        <v>460</v>
      </c>
      <c r="B32" s="3110" t="s">
        <v>215</v>
      </c>
      <c r="C32" s="629">
        <f t="shared" si="1"/>
        <v>1.7222222222222224E-4</v>
      </c>
      <c r="D32" s="1539">
        <v>7</v>
      </c>
      <c r="E32" s="441">
        <v>1</v>
      </c>
      <c r="F32" s="441">
        <v>4</v>
      </c>
      <c r="G32" s="441">
        <v>25</v>
      </c>
      <c r="H32" s="1541"/>
      <c r="I32" s="436">
        <v>4.6296296296296293E-4</v>
      </c>
      <c r="J32" s="436">
        <v>2.0833333333333333E-3</v>
      </c>
      <c r="K32" s="1320" t="s">
        <v>1800</v>
      </c>
      <c r="L32" s="436">
        <f t="shared" si="30"/>
        <v>0.44598055555555549</v>
      </c>
      <c r="M32" s="1542">
        <v>0.75</v>
      </c>
      <c r="N32" s="436">
        <f t="shared" si="31"/>
        <v>4.4518518518518509E-3</v>
      </c>
      <c r="O32" s="1528">
        <f t="shared" si="27"/>
        <v>1.7222222222222221E-4</v>
      </c>
      <c r="P32" s="439">
        <f t="shared" si="28"/>
        <v>1.2916666666666664E-4</v>
      </c>
      <c r="Q32" s="443">
        <v>120</v>
      </c>
      <c r="R32" s="638">
        <f t="shared" si="29"/>
        <v>100</v>
      </c>
      <c r="S32" s="2844">
        <f t="shared" si="7"/>
        <v>0.1</v>
      </c>
      <c r="T32" s="2845">
        <f t="shared" si="8"/>
        <v>2.7555555555555554E-3</v>
      </c>
      <c r="U32" s="374">
        <f t="shared" si="9"/>
        <v>0</v>
      </c>
      <c r="V32" s="2846">
        <f t="shared" si="10"/>
        <v>0</v>
      </c>
      <c r="W32" s="2847">
        <f t="shared" si="11"/>
        <v>0</v>
      </c>
      <c r="X32" s="2848">
        <f t="shared" si="12"/>
        <v>0</v>
      </c>
      <c r="Y32" s="2849">
        <f t="shared" si="13"/>
        <v>0</v>
      </c>
      <c r="Z32" s="2850">
        <f t="shared" si="14"/>
        <v>0</v>
      </c>
      <c r="AA32" s="2851">
        <f t="shared" si="15"/>
        <v>0.1</v>
      </c>
      <c r="AB32" s="2935"/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4" customHeight="1" thickBot="1">
      <c r="A33" s="3688" t="s">
        <v>458</v>
      </c>
      <c r="B33" s="3110" t="s">
        <v>215</v>
      </c>
      <c r="C33" s="629">
        <f t="shared" si="1"/>
        <v>1.7222222222222224E-4</v>
      </c>
      <c r="D33" s="1539">
        <v>7</v>
      </c>
      <c r="E33" s="441">
        <v>1</v>
      </c>
      <c r="F33" s="441">
        <v>2</v>
      </c>
      <c r="G33" s="441">
        <v>50</v>
      </c>
      <c r="H33" s="1541"/>
      <c r="I33" s="436">
        <v>4.6296296296296293E-4</v>
      </c>
      <c r="J33" s="436">
        <v>2.0833333333333333E-3</v>
      </c>
      <c r="K33" s="1320" t="s">
        <v>1801</v>
      </c>
      <c r="L33" s="436">
        <f t="shared" si="30"/>
        <v>0.45043240740740736</v>
      </c>
      <c r="M33" s="1542">
        <v>1.05</v>
      </c>
      <c r="N33" s="436">
        <f t="shared" si="31"/>
        <v>3.7325925925925925E-3</v>
      </c>
      <c r="O33" s="1528">
        <f t="shared" si="27"/>
        <v>3.4444444444444442E-4</v>
      </c>
      <c r="P33" s="439">
        <f t="shared" si="28"/>
        <v>3.6166666666666666E-4</v>
      </c>
      <c r="Q33" s="443">
        <v>120</v>
      </c>
      <c r="R33" s="638">
        <f t="shared" si="29"/>
        <v>100</v>
      </c>
      <c r="S33" s="2844">
        <f t="shared" si="7"/>
        <v>0.1</v>
      </c>
      <c r="T33" s="2845">
        <f t="shared" si="8"/>
        <v>2.7555555555555554E-3</v>
      </c>
      <c r="U33" s="374">
        <f t="shared" si="9"/>
        <v>0</v>
      </c>
      <c r="V33" s="2846">
        <f t="shared" si="10"/>
        <v>0</v>
      </c>
      <c r="W33" s="2847">
        <f t="shared" si="11"/>
        <v>0</v>
      </c>
      <c r="X33" s="2848">
        <f t="shared" si="12"/>
        <v>0</v>
      </c>
      <c r="Y33" s="2849">
        <f t="shared" si="13"/>
        <v>0</v>
      </c>
      <c r="Z33" s="2850">
        <f t="shared" si="14"/>
        <v>0</v>
      </c>
      <c r="AA33" s="2851">
        <f t="shared" si="15"/>
        <v>0.1</v>
      </c>
      <c r="AB33" s="2935"/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4" customHeight="1" thickBot="1">
      <c r="A34" s="3688"/>
      <c r="B34" s="3110" t="s">
        <v>215</v>
      </c>
      <c r="C34" s="629">
        <f t="shared" si="1"/>
        <v>2.3321759259259265E-4</v>
      </c>
      <c r="D34" s="1527">
        <v>1</v>
      </c>
      <c r="E34" s="1387">
        <v>1</v>
      </c>
      <c r="F34" s="1387">
        <v>1</v>
      </c>
      <c r="G34" s="1387">
        <v>300</v>
      </c>
      <c r="H34" s="1528"/>
      <c r="I34" s="276">
        <v>0</v>
      </c>
      <c r="J34" s="276">
        <v>1.1574074074074073E-4</v>
      </c>
      <c r="K34" s="1340" t="s">
        <v>901</v>
      </c>
      <c r="L34" s="276">
        <f t="shared" si="30"/>
        <v>0.45416499999999993</v>
      </c>
      <c r="M34" s="1530">
        <v>1.1000000000000001</v>
      </c>
      <c r="N34" s="276">
        <f t="shared" si="31"/>
        <v>3.1942129629629638E-3</v>
      </c>
      <c r="O34" s="1528">
        <f t="shared" si="27"/>
        <v>2.7986111111111115E-3</v>
      </c>
      <c r="P34" s="296">
        <f t="shared" si="28"/>
        <v>3.0784722222222229E-3</v>
      </c>
      <c r="Q34" s="548">
        <v>120</v>
      </c>
      <c r="R34" s="1395">
        <f t="shared" si="29"/>
        <v>300</v>
      </c>
      <c r="S34" s="2844">
        <f t="shared" si="7"/>
        <v>0.3</v>
      </c>
      <c r="T34" s="2845">
        <f t="shared" si="8"/>
        <v>1.1194444444444446E-2</v>
      </c>
      <c r="U34" s="374">
        <f t="shared" si="9"/>
        <v>0.3</v>
      </c>
      <c r="V34" s="2846">
        <f t="shared" si="10"/>
        <v>0</v>
      </c>
      <c r="W34" s="2847">
        <f t="shared" si="11"/>
        <v>0</v>
      </c>
      <c r="X34" s="2848">
        <f t="shared" si="12"/>
        <v>0</v>
      </c>
      <c r="Y34" s="2849">
        <f t="shared" si="13"/>
        <v>0</v>
      </c>
      <c r="Z34" s="2850">
        <f t="shared" si="14"/>
        <v>0</v>
      </c>
      <c r="AA34" s="2851">
        <f t="shared" si="15"/>
        <v>0</v>
      </c>
      <c r="AB34" s="2935"/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4" customHeight="1" thickBot="1">
      <c r="A35" s="2183"/>
      <c r="B35" s="3030"/>
      <c r="C35" s="629"/>
      <c r="D35" s="3814"/>
      <c r="E35" s="677"/>
      <c r="F35" s="677"/>
      <c r="G35" s="677"/>
      <c r="H35" s="677"/>
      <c r="I35" s="677"/>
      <c r="J35" s="677"/>
      <c r="K35" s="3903" t="s">
        <v>1813</v>
      </c>
      <c r="L35" s="631">
        <v>0.38194444444444442</v>
      </c>
      <c r="M35" s="3742"/>
      <c r="N35" s="1882">
        <v>1.4583333333333332E-2</v>
      </c>
      <c r="O35" s="3817"/>
      <c r="P35" s="3744"/>
      <c r="Q35" s="3744"/>
      <c r="R35" s="3865"/>
      <c r="S35" s="2844">
        <f t="shared" si="7"/>
        <v>0</v>
      </c>
      <c r="T35" s="2845">
        <f t="shared" si="8"/>
        <v>0</v>
      </c>
      <c r="U35" s="374">
        <f t="shared" si="9"/>
        <v>0</v>
      </c>
      <c r="V35" s="2846">
        <f t="shared" si="10"/>
        <v>0</v>
      </c>
      <c r="W35" s="2847">
        <f t="shared" si="11"/>
        <v>0</v>
      </c>
      <c r="X35" s="2848">
        <f t="shared" si="12"/>
        <v>0</v>
      </c>
      <c r="Y35" s="2849">
        <f t="shared" si="13"/>
        <v>0</v>
      </c>
      <c r="Z35" s="2850">
        <f t="shared" si="14"/>
        <v>0</v>
      </c>
      <c r="AA35" s="2851">
        <f t="shared" si="15"/>
        <v>0</v>
      </c>
      <c r="AB35" s="2935"/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4" customHeight="1" thickBot="1">
      <c r="A36" s="2183" t="s">
        <v>219</v>
      </c>
      <c r="B36" s="3030" t="s">
        <v>459</v>
      </c>
      <c r="C36" s="629">
        <f t="shared" ref="C36:C42" si="32">IF(D36=1,U$9,IF(D36=2,V$9,IF(D36=3,W$9,IF(D36=4,X$9,IF(D36=5,Y$9,IF(D36=6,Z$9,IF(D36=7,AA$9,0)))))))</f>
        <v>2.152777777777778E-4</v>
      </c>
      <c r="D36" s="890">
        <v>2</v>
      </c>
      <c r="E36" s="1173">
        <v>1</v>
      </c>
      <c r="F36" s="1173">
        <v>4</v>
      </c>
      <c r="G36" s="1173">
        <v>100</v>
      </c>
      <c r="H36" s="299" t="s">
        <v>139</v>
      </c>
      <c r="I36" s="299">
        <v>1.3888888888888889E-4</v>
      </c>
      <c r="J36" s="299">
        <v>1.3888888888888889E-3</v>
      </c>
      <c r="K36" s="1123" t="s">
        <v>1814</v>
      </c>
      <c r="L36" s="1332">
        <f>L35+N35</f>
        <v>0.39652777777777776</v>
      </c>
      <c r="M36" s="1174">
        <v>1</v>
      </c>
      <c r="N36" s="299">
        <f>P36*E36*F36+I36*E36*F36+J36*E36</f>
        <v>5.3888888888888892E-3</v>
      </c>
      <c r="O36" s="1175">
        <f t="shared" ref="O36:O41" si="33">C36*(G36/25)</f>
        <v>8.6111111111111121E-4</v>
      </c>
      <c r="P36" s="1175">
        <f t="shared" ref="P36:P38" si="34">O36*M36</f>
        <v>8.6111111111111121E-4</v>
      </c>
      <c r="Q36" s="550">
        <v>146</v>
      </c>
      <c r="R36" s="1176">
        <f t="shared" ref="R36:R38" si="35">E36*F36*G36</f>
        <v>400</v>
      </c>
      <c r="S36" s="2844">
        <f t="shared" si="7"/>
        <v>0.4</v>
      </c>
      <c r="T36" s="2845">
        <f t="shared" si="8"/>
        <v>1.3777777777777779E-2</v>
      </c>
      <c r="U36" s="374">
        <f t="shared" si="9"/>
        <v>0</v>
      </c>
      <c r="V36" s="2846">
        <f t="shared" si="10"/>
        <v>0.4</v>
      </c>
      <c r="W36" s="2847">
        <f t="shared" si="11"/>
        <v>0</v>
      </c>
      <c r="X36" s="2848">
        <f t="shared" si="12"/>
        <v>0</v>
      </c>
      <c r="Y36" s="2849">
        <f t="shared" si="13"/>
        <v>0</v>
      </c>
      <c r="Z36" s="2850">
        <f t="shared" si="14"/>
        <v>0</v>
      </c>
      <c r="AA36" s="2851">
        <f t="shared" si="15"/>
        <v>0</v>
      </c>
      <c r="AB36" s="2935"/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4" customHeight="1" thickBot="1">
      <c r="A37" s="2183" t="s">
        <v>138</v>
      </c>
      <c r="B37" s="3030" t="s">
        <v>459</v>
      </c>
      <c r="C37" s="629">
        <f t="shared" si="32"/>
        <v>1.9733796296296302E-4</v>
      </c>
      <c r="D37" s="1236">
        <v>3</v>
      </c>
      <c r="E37" s="1161">
        <v>1</v>
      </c>
      <c r="F37" s="1161">
        <v>6</v>
      </c>
      <c r="G37" s="1161">
        <v>75</v>
      </c>
      <c r="H37" s="1163"/>
      <c r="I37" s="1163">
        <v>1.1574074074074073E-4</v>
      </c>
      <c r="J37" s="1163">
        <v>1.3888888888888889E-3</v>
      </c>
      <c r="K37" s="1123" t="s">
        <v>1814</v>
      </c>
      <c r="L37" s="1148">
        <f>L36+N36</f>
        <v>0.40191666666666664</v>
      </c>
      <c r="M37" s="1164">
        <v>1</v>
      </c>
      <c r="N37" s="1163">
        <f>P37*E37*F37+I37*E37*F37+J37*E37</f>
        <v>5.6354166666666679E-3</v>
      </c>
      <c r="O37" s="1165">
        <f t="shared" si="33"/>
        <v>5.920138888888891E-4</v>
      </c>
      <c r="P37" s="1165">
        <f t="shared" si="34"/>
        <v>5.920138888888891E-4</v>
      </c>
      <c r="Q37" s="333">
        <v>164</v>
      </c>
      <c r="R37" s="1161">
        <f t="shared" si="35"/>
        <v>450</v>
      </c>
      <c r="S37" s="2844">
        <f t="shared" si="7"/>
        <v>0.45</v>
      </c>
      <c r="T37" s="2845">
        <f t="shared" si="8"/>
        <v>1.4208333333333338E-2</v>
      </c>
      <c r="U37" s="374">
        <f t="shared" si="9"/>
        <v>0</v>
      </c>
      <c r="V37" s="2846">
        <f t="shared" si="10"/>
        <v>0</v>
      </c>
      <c r="W37" s="2847">
        <f t="shared" si="11"/>
        <v>0.45</v>
      </c>
      <c r="X37" s="2848">
        <f t="shared" si="12"/>
        <v>0</v>
      </c>
      <c r="Y37" s="2849">
        <f t="shared" si="13"/>
        <v>0</v>
      </c>
      <c r="Z37" s="2850">
        <f t="shared" si="14"/>
        <v>0</v>
      </c>
      <c r="AA37" s="2851">
        <f t="shared" si="15"/>
        <v>0</v>
      </c>
      <c r="AB37" s="2935"/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1"/>
    </row>
    <row r="38" spans="1:40" ht="14" customHeight="1" thickBot="1">
      <c r="A38" s="2183" t="s">
        <v>779</v>
      </c>
      <c r="B38" s="3030" t="s">
        <v>459</v>
      </c>
      <c r="C38" s="629">
        <f t="shared" si="32"/>
        <v>1.7850115740740744E-4</v>
      </c>
      <c r="D38" s="1433">
        <v>5</v>
      </c>
      <c r="E38" s="1434">
        <v>2</v>
      </c>
      <c r="F38" s="1435">
        <v>1</v>
      </c>
      <c r="G38" s="1435">
        <v>75</v>
      </c>
      <c r="H38" s="1475" t="s">
        <v>944</v>
      </c>
      <c r="I38" s="1436">
        <v>5.7870370370370366E-5</v>
      </c>
      <c r="J38" s="1436">
        <v>1.3888888888888889E-3</v>
      </c>
      <c r="K38" s="1123" t="s">
        <v>1814</v>
      </c>
      <c r="L38" s="1476">
        <f t="shared" ref="L38" si="36">L37+N37</f>
        <v>0.40755208333333331</v>
      </c>
      <c r="M38" s="1256">
        <v>1.28</v>
      </c>
      <c r="N38" s="1250">
        <f t="shared" ref="N38" si="37">P38*E38*F38+I38*E38*F38+J38*E38</f>
        <v>4.2644074074074077E-3</v>
      </c>
      <c r="O38" s="1253">
        <f t="shared" si="33"/>
        <v>5.3550347222222237E-4</v>
      </c>
      <c r="P38" s="1254">
        <f t="shared" si="34"/>
        <v>6.8544444444444469E-4</v>
      </c>
      <c r="Q38" s="1255" t="s">
        <v>278</v>
      </c>
      <c r="R38" s="1249">
        <f t="shared" si="35"/>
        <v>150</v>
      </c>
      <c r="S38" s="2844"/>
      <c r="T38" s="2845"/>
      <c r="U38" s="374"/>
      <c r="V38" s="2846"/>
      <c r="W38" s="2847"/>
      <c r="X38" s="2848"/>
      <c r="Y38" s="2849"/>
      <c r="Z38" s="2850"/>
      <c r="AA38" s="2851"/>
      <c r="AB38" s="2935"/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1"/>
    </row>
    <row r="39" spans="1:40" ht="14" customHeight="1" thickBot="1">
      <c r="A39" s="2183" t="s">
        <v>138</v>
      </c>
      <c r="B39" s="3030" t="s">
        <v>459</v>
      </c>
      <c r="C39" s="629">
        <f t="shared" si="32"/>
        <v>1.7939814814814817E-4</v>
      </c>
      <c r="D39" s="1197">
        <v>4</v>
      </c>
      <c r="E39" s="2266">
        <v>1</v>
      </c>
      <c r="F39" s="3833">
        <v>1</v>
      </c>
      <c r="G39" s="3833">
        <v>200</v>
      </c>
      <c r="H39" s="2267" t="s">
        <v>710</v>
      </c>
      <c r="I39" s="2267">
        <v>6.018518518518519E-4</v>
      </c>
      <c r="J39" s="2267">
        <v>1.3888888888888889E-3</v>
      </c>
      <c r="K39" s="3503" t="s">
        <v>130</v>
      </c>
      <c r="L39" s="2267"/>
      <c r="M39" s="3740">
        <v>1</v>
      </c>
      <c r="N39" s="3871"/>
      <c r="O39" s="1196">
        <f t="shared" si="33"/>
        <v>1.4351851851851854E-3</v>
      </c>
      <c r="P39" s="2708"/>
      <c r="Q39" s="3904"/>
      <c r="R39" s="3905"/>
      <c r="S39" s="2844">
        <f t="shared" si="7"/>
        <v>0.2</v>
      </c>
      <c r="T39" s="2845">
        <f t="shared" si="8"/>
        <v>5.7407407407407416E-3</v>
      </c>
      <c r="U39" s="374">
        <f t="shared" si="9"/>
        <v>0</v>
      </c>
      <c r="V39" s="2846">
        <f t="shared" si="10"/>
        <v>0</v>
      </c>
      <c r="W39" s="2847">
        <f t="shared" si="11"/>
        <v>0</v>
      </c>
      <c r="X39" s="2848">
        <f t="shared" si="12"/>
        <v>0.2</v>
      </c>
      <c r="Y39" s="2849">
        <f t="shared" si="13"/>
        <v>0</v>
      </c>
      <c r="Z39" s="2850">
        <f t="shared" si="14"/>
        <v>0</v>
      </c>
      <c r="AA39" s="2851">
        <f t="shared" si="15"/>
        <v>0</v>
      </c>
      <c r="AB39" s="2935"/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1"/>
    </row>
    <row r="40" spans="1:40" ht="14" customHeight="1" thickBot="1">
      <c r="A40" s="2183"/>
      <c r="B40" s="3030" t="s">
        <v>459</v>
      </c>
      <c r="C40" s="629">
        <f t="shared" si="32"/>
        <v>2.152777777777778E-4</v>
      </c>
      <c r="D40" s="889">
        <v>2</v>
      </c>
      <c r="E40" s="2266">
        <v>1</v>
      </c>
      <c r="F40" s="3833">
        <v>1</v>
      </c>
      <c r="G40" s="3833">
        <v>100</v>
      </c>
      <c r="H40" s="2267" t="s">
        <v>713</v>
      </c>
      <c r="I40" s="2267">
        <v>1.1574074074074073E-4</v>
      </c>
      <c r="J40" s="2267">
        <v>6.9444444444444447E-4</v>
      </c>
      <c r="K40" s="3503" t="s">
        <v>123</v>
      </c>
      <c r="L40" s="2267"/>
      <c r="M40" s="3740">
        <v>1</v>
      </c>
      <c r="N40" s="3871"/>
      <c r="O40" s="1196">
        <f t="shared" si="33"/>
        <v>8.6111111111111121E-4</v>
      </c>
      <c r="P40" s="2708"/>
      <c r="Q40" s="3906"/>
      <c r="R40" s="3907"/>
      <c r="S40" s="2844">
        <f t="shared" si="7"/>
        <v>0.1</v>
      </c>
      <c r="T40" s="2845">
        <f t="shared" si="8"/>
        <v>3.4444444444444449E-3</v>
      </c>
      <c r="U40" s="374">
        <f t="shared" si="9"/>
        <v>0</v>
      </c>
      <c r="V40" s="2846">
        <f t="shared" si="10"/>
        <v>0.1</v>
      </c>
      <c r="W40" s="2847">
        <f t="shared" si="11"/>
        <v>0</v>
      </c>
      <c r="X40" s="2848">
        <f t="shared" si="12"/>
        <v>0</v>
      </c>
      <c r="Y40" s="2849">
        <f t="shared" si="13"/>
        <v>0</v>
      </c>
      <c r="Z40" s="2850">
        <f t="shared" si="14"/>
        <v>0</v>
      </c>
      <c r="AA40" s="2851">
        <f t="shared" si="15"/>
        <v>0</v>
      </c>
      <c r="AB40" s="2935"/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  <c r="AN40" s="1"/>
    </row>
    <row r="41" spans="1:40" ht="14" customHeight="1" thickBot="1">
      <c r="A41" s="2183"/>
      <c r="B41" s="3030" t="s">
        <v>459</v>
      </c>
      <c r="C41" s="629">
        <f t="shared" si="32"/>
        <v>1.7939814814814817E-4</v>
      </c>
      <c r="D41" s="3436">
        <v>4</v>
      </c>
      <c r="E41" s="2266">
        <v>1</v>
      </c>
      <c r="F41" s="3833">
        <v>1</v>
      </c>
      <c r="G41" s="3833">
        <v>200</v>
      </c>
      <c r="H41" s="2267" t="s">
        <v>1784</v>
      </c>
      <c r="I41" s="2267">
        <v>1.0416666666666667E-3</v>
      </c>
      <c r="J41" s="2267">
        <v>2.0833333333333333E-3</v>
      </c>
      <c r="K41" s="3503" t="s">
        <v>134</v>
      </c>
      <c r="L41" s="2267"/>
      <c r="M41" s="3740">
        <v>1</v>
      </c>
      <c r="N41" s="3871"/>
      <c r="O41" s="2526">
        <f t="shared" si="33"/>
        <v>1.4351851851851854E-3</v>
      </c>
      <c r="P41" s="3908"/>
      <c r="Q41" s="3909"/>
      <c r="R41" s="3910"/>
      <c r="S41" s="2844">
        <f t="shared" si="7"/>
        <v>0.2</v>
      </c>
      <c r="T41" s="2845">
        <f t="shared" si="8"/>
        <v>5.7407407407407416E-3</v>
      </c>
      <c r="U41" s="374">
        <f t="shared" si="9"/>
        <v>0</v>
      </c>
      <c r="V41" s="2846">
        <f t="shared" si="10"/>
        <v>0</v>
      </c>
      <c r="W41" s="2847">
        <f t="shared" si="11"/>
        <v>0</v>
      </c>
      <c r="X41" s="2848">
        <f t="shared" si="12"/>
        <v>0.2</v>
      </c>
      <c r="Y41" s="2849">
        <f t="shared" si="13"/>
        <v>0</v>
      </c>
      <c r="Z41" s="2850">
        <f t="shared" si="14"/>
        <v>0</v>
      </c>
      <c r="AA41" s="2851">
        <f t="shared" si="15"/>
        <v>0</v>
      </c>
      <c r="AB41" s="2935"/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  <c r="AN41" s="1"/>
    </row>
    <row r="42" spans="1:40" ht="14" customHeight="1" thickBot="1">
      <c r="A42" s="2183"/>
      <c r="B42" s="3030" t="s">
        <v>459</v>
      </c>
      <c r="C42" s="629">
        <f t="shared" si="32"/>
        <v>0</v>
      </c>
      <c r="D42" s="2318"/>
      <c r="E42" s="849"/>
      <c r="F42" s="849"/>
      <c r="G42" s="849"/>
      <c r="H42" s="849"/>
      <c r="I42" s="849"/>
      <c r="J42" s="849"/>
      <c r="K42" s="3454"/>
      <c r="L42" s="2528"/>
      <c r="M42" s="3742"/>
      <c r="N42" s="3874"/>
      <c r="O42" s="3743">
        <v>0</v>
      </c>
      <c r="P42" s="3744"/>
      <c r="Q42" s="3744"/>
      <c r="R42" s="3865">
        <f>SUM(R36:R41)</f>
        <v>1000</v>
      </c>
      <c r="S42" s="2844">
        <f t="shared" si="7"/>
        <v>0</v>
      </c>
      <c r="T42" s="2845">
        <f t="shared" si="8"/>
        <v>0</v>
      </c>
      <c r="U42" s="374">
        <f t="shared" si="9"/>
        <v>0</v>
      </c>
      <c r="V42" s="2846">
        <f t="shared" si="10"/>
        <v>0</v>
      </c>
      <c r="W42" s="2847">
        <f t="shared" si="11"/>
        <v>0</v>
      </c>
      <c r="X42" s="2848">
        <f t="shared" si="12"/>
        <v>0</v>
      </c>
      <c r="Y42" s="2849">
        <f t="shared" si="13"/>
        <v>0</v>
      </c>
      <c r="Z42" s="2850">
        <f t="shared" si="14"/>
        <v>0</v>
      </c>
      <c r="AA42" s="2851">
        <f t="shared" si="15"/>
        <v>0</v>
      </c>
      <c r="AB42" s="2935"/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  <c r="AN42" s="1"/>
    </row>
    <row r="43" spans="1:40" ht="14" customHeight="1">
      <c r="A43" s="2183"/>
      <c r="B43" s="3030"/>
      <c r="C43" s="856"/>
      <c r="D43" s="897"/>
      <c r="E43" s="677"/>
      <c r="F43" s="677"/>
      <c r="G43" s="677"/>
      <c r="H43" s="677"/>
      <c r="I43" s="677"/>
      <c r="J43" s="679"/>
      <c r="K43" s="3890"/>
      <c r="L43" s="3891"/>
      <c r="M43" s="3892"/>
      <c r="N43" s="3893"/>
      <c r="O43" s="3894"/>
      <c r="P43" s="3895"/>
      <c r="Q43" s="3744"/>
      <c r="R43" s="3865"/>
      <c r="S43" s="3813"/>
      <c r="T43" s="2845"/>
      <c r="U43" s="374"/>
      <c r="V43" s="2846"/>
      <c r="W43" s="2847"/>
      <c r="X43" s="2848"/>
      <c r="Y43" s="2849"/>
      <c r="Z43" s="2850"/>
      <c r="AA43" s="2851"/>
      <c r="AB43" s="2935"/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  <c r="AN43" s="1"/>
    </row>
    <row r="44" spans="1:40" ht="14" customHeight="1">
      <c r="A44" s="2183"/>
      <c r="B44" s="2183"/>
      <c r="C44" s="856"/>
      <c r="D44" s="897"/>
      <c r="E44" s="677"/>
      <c r="F44" s="677"/>
      <c r="G44" s="677"/>
      <c r="H44" s="677"/>
      <c r="I44" s="677"/>
      <c r="J44" s="679"/>
      <c r="K44" s="3890"/>
      <c r="L44" s="3891"/>
      <c r="M44" s="3892"/>
      <c r="N44" s="3893"/>
      <c r="O44" s="3894"/>
      <c r="P44" s="3895"/>
      <c r="Q44" s="3744"/>
      <c r="R44" s="3865"/>
      <c r="S44" s="3813"/>
      <c r="T44" s="2845"/>
      <c r="U44" s="374"/>
      <c r="V44" s="2846"/>
      <c r="W44" s="2847"/>
      <c r="X44" s="2848"/>
      <c r="Y44" s="2849"/>
      <c r="Z44" s="2850"/>
      <c r="AA44" s="2851"/>
      <c r="AB44" s="2935"/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  <c r="AN44" s="1"/>
    </row>
    <row r="45" spans="1:40" ht="14" customHeight="1">
      <c r="A45" s="3812"/>
      <c r="B45" s="3812"/>
      <c r="C45" s="856"/>
      <c r="D45" s="897"/>
      <c r="E45" s="677"/>
      <c r="F45" s="677"/>
      <c r="G45" s="677"/>
      <c r="H45" s="677"/>
      <c r="I45" s="677"/>
      <c r="J45" s="679"/>
      <c r="K45" s="679"/>
      <c r="L45" s="3891"/>
      <c r="M45" s="3892"/>
      <c r="N45" s="3893"/>
      <c r="O45" s="3894"/>
      <c r="P45" s="3895"/>
      <c r="Q45" s="3744"/>
      <c r="R45" s="3865"/>
      <c r="S45" s="3813"/>
      <c r="T45" s="2845"/>
      <c r="U45" s="374"/>
      <c r="V45" s="2846"/>
      <c r="W45" s="2847"/>
      <c r="X45" s="2848"/>
      <c r="Y45" s="2849"/>
      <c r="Z45" s="2850"/>
      <c r="AA45" s="2851"/>
      <c r="AB45" s="2935"/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  <c r="AN45" s="1"/>
    </row>
    <row r="46" spans="1:40" ht="14" customHeight="1">
      <c r="A46" s="3812"/>
      <c r="B46" s="3812"/>
      <c r="C46" s="856"/>
      <c r="D46" s="897"/>
      <c r="E46" s="677"/>
      <c r="F46" s="677"/>
      <c r="G46" s="677"/>
      <c r="H46" s="677"/>
      <c r="I46" s="677"/>
      <c r="J46" s="679"/>
      <c r="K46" s="679"/>
      <c r="L46" s="3891"/>
      <c r="M46" s="3892"/>
      <c r="N46" s="3893"/>
      <c r="O46" s="3894"/>
      <c r="P46" s="3895"/>
      <c r="Q46" s="3744"/>
      <c r="R46" s="3865"/>
      <c r="S46" s="3813"/>
      <c r="T46" s="2845"/>
      <c r="U46" s="374"/>
      <c r="V46" s="2846"/>
      <c r="W46" s="2847"/>
      <c r="X46" s="2848"/>
      <c r="Y46" s="2849"/>
      <c r="Z46" s="2850"/>
      <c r="AA46" s="2851"/>
      <c r="AB46" s="2935"/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  <c r="AN46" s="1"/>
    </row>
    <row r="47" spans="1:40" ht="14" customHeight="1" thickBot="1">
      <c r="A47" s="3812"/>
      <c r="B47" s="3812"/>
      <c r="C47" s="856"/>
      <c r="D47" s="897"/>
      <c r="E47" s="677"/>
      <c r="F47" s="677"/>
      <c r="G47" s="677"/>
      <c r="H47" s="677"/>
      <c r="I47" s="677"/>
      <c r="J47" s="679"/>
      <c r="K47" s="679"/>
      <c r="L47" s="3891"/>
      <c r="M47" s="3892"/>
      <c r="N47" s="3893"/>
      <c r="O47" s="3894"/>
      <c r="P47" s="3895"/>
      <c r="Q47" s="3744"/>
      <c r="R47" s="3865"/>
      <c r="S47" s="3813"/>
      <c r="T47" s="2845"/>
      <c r="U47" s="374"/>
      <c r="V47" s="2846"/>
      <c r="W47" s="2847"/>
      <c r="X47" s="2848"/>
      <c r="Y47" s="2849"/>
      <c r="Z47" s="2850"/>
      <c r="AA47" s="2851"/>
      <c r="AB47" s="2935"/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  <c r="AN47" s="1"/>
    </row>
    <row r="48" spans="1:40" ht="14" customHeight="1" thickTop="1" thickBot="1">
      <c r="A48" s="144"/>
      <c r="B48" s="144"/>
      <c r="C48" s="144"/>
      <c r="D48" s="906"/>
      <c r="E48" s="144"/>
      <c r="F48" s="146"/>
      <c r="G48" s="146"/>
      <c r="H48" s="144"/>
      <c r="I48" s="144"/>
      <c r="J48" s="3896"/>
      <c r="K48" s="3896"/>
      <c r="L48" s="3896"/>
      <c r="M48" s="3896"/>
      <c r="N48" s="3897"/>
      <c r="O48" s="3896"/>
      <c r="P48" s="3896"/>
      <c r="Q48" s="144"/>
      <c r="R48" s="3155"/>
      <c r="S48" s="3631"/>
      <c r="T48" s="3154"/>
      <c r="U48" s="3155">
        <f t="shared" ref="U48:AA48" si="38">SUM(U11:U34)</f>
        <v>3.8</v>
      </c>
      <c r="V48" s="3155">
        <f t="shared" si="38"/>
        <v>0.6</v>
      </c>
      <c r="W48" s="3155">
        <f t="shared" si="38"/>
        <v>0.5</v>
      </c>
      <c r="X48" s="3155">
        <f t="shared" si="38"/>
        <v>0</v>
      </c>
      <c r="Y48" s="3155">
        <f t="shared" si="38"/>
        <v>1.4000000000000001</v>
      </c>
      <c r="Z48" s="3155">
        <f t="shared" si="38"/>
        <v>0.75</v>
      </c>
      <c r="AA48" s="3155">
        <f t="shared" si="38"/>
        <v>1.8000000000000003</v>
      </c>
      <c r="AB48" s="3156"/>
      <c r="AC48" s="2837"/>
      <c r="AD48" s="2838"/>
      <c r="AE48" s="2838"/>
      <c r="AF48" s="2838"/>
      <c r="AG48" s="2838"/>
      <c r="AH48" s="2838"/>
      <c r="AI48" s="2836"/>
      <c r="AN48" s="1"/>
    </row>
    <row r="49" spans="1:40" ht="14" customHeight="1" thickTop="1">
      <c r="A49" s="144"/>
      <c r="B49" s="144"/>
      <c r="C49" s="144"/>
      <c r="D49" s="906"/>
      <c r="E49" s="144"/>
      <c r="F49" s="146"/>
      <c r="G49" s="146"/>
      <c r="H49" s="144"/>
      <c r="I49" s="144"/>
      <c r="J49" s="144"/>
      <c r="K49" s="144"/>
      <c r="L49" s="144"/>
      <c r="M49" s="144"/>
      <c r="N49" s="1278"/>
      <c r="O49" s="144"/>
      <c r="P49" s="144"/>
      <c r="Q49" s="144"/>
      <c r="R49" s="146"/>
      <c r="S49" s="144"/>
      <c r="T49" s="144"/>
      <c r="U49" s="3157" t="e">
        <f>IF(#REF!&gt;0,#REF!,#REF!)</f>
        <v>#REF!</v>
      </c>
      <c r="V49" s="3157" t="e">
        <f>IF(#REF!&gt;0,#REF!,#REF!)</f>
        <v>#REF!</v>
      </c>
      <c r="W49" s="3157" t="e">
        <f>IF(#REF!&gt;0,#REF!,#REF!)</f>
        <v>#REF!</v>
      </c>
      <c r="X49" s="3157" t="e">
        <f>IF(#REF!&gt;0,#REF!,#REF!)</f>
        <v>#REF!</v>
      </c>
      <c r="Y49" s="3157" t="e">
        <f>IF(#REF!&gt;0,#REF!,#REF!)</f>
        <v>#REF!</v>
      </c>
      <c r="Z49" s="3157" t="e">
        <f>IF(#REF!&gt;0,#REF!,#REF!)</f>
        <v>#REF!</v>
      </c>
      <c r="AA49" s="3157" t="e">
        <f>IF(#REF!&gt;0,#REF!,#REF!)</f>
        <v>#REF!</v>
      </c>
      <c r="AB49" s="144"/>
      <c r="AC49" s="2867"/>
      <c r="AD49" s="2867"/>
      <c r="AE49" s="2867"/>
      <c r="AF49" s="2867"/>
      <c r="AG49" s="2867"/>
      <c r="AH49" s="2867"/>
      <c r="AI49" s="2825"/>
      <c r="AJ49" s="1"/>
      <c r="AK49" s="1"/>
      <c r="AL49" s="1"/>
      <c r="AM49" s="1"/>
      <c r="AN49" s="1"/>
    </row>
    <row r="50" spans="1:40" ht="14" customHeight="1">
      <c r="A50" s="144"/>
      <c r="B50" s="144"/>
      <c r="C50" s="144"/>
      <c r="D50" s="906"/>
      <c r="E50" s="144"/>
      <c r="F50" s="146"/>
      <c r="G50" s="146"/>
      <c r="H50" s="144"/>
      <c r="I50" s="144"/>
      <c r="J50" s="144"/>
      <c r="K50" s="144"/>
      <c r="L50" s="144"/>
      <c r="M50" s="144"/>
      <c r="N50" s="1278"/>
      <c r="O50" s="144"/>
      <c r="P50" s="144"/>
      <c r="Q50" s="144"/>
      <c r="R50" s="146"/>
      <c r="S50" s="144"/>
      <c r="T50" s="144"/>
      <c r="U50" s="3157" t="e">
        <f>IF(U49&gt;0,U49,#REF!)</f>
        <v>#REF!</v>
      </c>
      <c r="V50" s="3157" t="e">
        <f>IF(V49&gt;0,V49,#REF!)</f>
        <v>#REF!</v>
      </c>
      <c r="W50" s="3157" t="e">
        <f>IF(W49&gt;0,W49,#REF!)</f>
        <v>#REF!</v>
      </c>
      <c r="X50" s="3157" t="e">
        <f>IF(X49&gt;0,X49,#REF!)</f>
        <v>#REF!</v>
      </c>
      <c r="Y50" s="3157" t="e">
        <f>IF(Y49&gt;0,Y49,#REF!)</f>
        <v>#REF!</v>
      </c>
      <c r="Z50" s="3157" t="e">
        <f>IF(Z49&gt;0,Z49,#REF!)</f>
        <v>#REF!</v>
      </c>
      <c r="AA50" s="3157" t="e">
        <f>IF(AA49&gt;0,AA49,#REF!)</f>
        <v>#REF!</v>
      </c>
      <c r="AB50" s="144"/>
      <c r="AC50" s="2867"/>
      <c r="AD50" s="2867"/>
      <c r="AE50" s="2867"/>
      <c r="AF50" s="2867"/>
      <c r="AG50" s="2867"/>
      <c r="AH50" s="2867"/>
      <c r="AI50" s="2825"/>
      <c r="AJ50" s="1"/>
      <c r="AK50" s="1"/>
      <c r="AL50" s="1"/>
      <c r="AM50" s="1"/>
      <c r="AN50" s="1"/>
    </row>
    <row r="51" spans="1:40" ht="14" customHeight="1">
      <c r="A51" s="144"/>
      <c r="B51" s="144"/>
      <c r="C51" s="144"/>
      <c r="D51" s="906"/>
      <c r="E51" s="144"/>
      <c r="F51" s="146"/>
      <c r="G51" s="146"/>
      <c r="H51" s="144"/>
      <c r="I51" s="144"/>
      <c r="J51" s="144"/>
      <c r="K51" s="144"/>
      <c r="L51" s="144"/>
      <c r="M51" s="144"/>
      <c r="N51" s="1278"/>
      <c r="O51" s="144"/>
      <c r="P51" s="144"/>
      <c r="Q51" s="144"/>
      <c r="R51" s="146"/>
      <c r="S51" s="144"/>
      <c r="T51" s="144"/>
      <c r="U51" s="3157" t="e">
        <f t="shared" ref="U51:AA66" si="39">IF(U50&gt;0,U50,U49)</f>
        <v>#REF!</v>
      </c>
      <c r="V51" s="3157" t="e">
        <f t="shared" si="39"/>
        <v>#REF!</v>
      </c>
      <c r="W51" s="3157" t="e">
        <f t="shared" si="39"/>
        <v>#REF!</v>
      </c>
      <c r="X51" s="3157" t="e">
        <f t="shared" si="39"/>
        <v>#REF!</v>
      </c>
      <c r="Y51" s="3157" t="e">
        <f t="shared" si="39"/>
        <v>#REF!</v>
      </c>
      <c r="Z51" s="3157" t="e">
        <f t="shared" si="39"/>
        <v>#REF!</v>
      </c>
      <c r="AA51" s="3157" t="e">
        <f t="shared" si="39"/>
        <v>#REF!</v>
      </c>
      <c r="AB51" s="144"/>
      <c r="AC51" s="2867">
        <v>0</v>
      </c>
      <c r="AD51" s="2867">
        <v>0</v>
      </c>
      <c r="AE51" s="2867">
        <v>0</v>
      </c>
      <c r="AF51" s="2867">
        <v>0</v>
      </c>
      <c r="AG51" s="2867">
        <v>0</v>
      </c>
      <c r="AH51" s="2867">
        <v>0</v>
      </c>
      <c r="AI51" s="2825"/>
      <c r="AJ51" s="1"/>
      <c r="AK51" s="1"/>
      <c r="AL51" s="1"/>
      <c r="AM51" s="1"/>
      <c r="AN51" s="1"/>
    </row>
    <row r="52" spans="1:40" ht="14" customHeight="1">
      <c r="A52" s="144"/>
      <c r="B52" s="144"/>
      <c r="C52" s="144"/>
      <c r="D52" s="906"/>
      <c r="E52" s="144"/>
      <c r="F52" s="146"/>
      <c r="G52" s="146"/>
      <c r="H52" s="144"/>
      <c r="I52" s="144"/>
      <c r="J52" s="144"/>
      <c r="K52" s="144"/>
      <c r="L52" s="144"/>
      <c r="M52" s="144"/>
      <c r="N52" s="1278"/>
      <c r="O52" s="144"/>
      <c r="P52" s="144"/>
      <c r="Q52" s="144"/>
      <c r="R52" s="146"/>
      <c r="S52" s="144"/>
      <c r="T52" s="144"/>
      <c r="U52" s="3157" t="e">
        <f t="shared" si="39"/>
        <v>#REF!</v>
      </c>
      <c r="V52" s="3157" t="e">
        <f t="shared" si="39"/>
        <v>#REF!</v>
      </c>
      <c r="W52" s="3157" t="e">
        <f t="shared" si="39"/>
        <v>#REF!</v>
      </c>
      <c r="X52" s="3157" t="e">
        <f t="shared" si="39"/>
        <v>#REF!</v>
      </c>
      <c r="Y52" s="3157" t="e">
        <f t="shared" si="39"/>
        <v>#REF!</v>
      </c>
      <c r="Z52" s="3157" t="e">
        <f t="shared" si="39"/>
        <v>#REF!</v>
      </c>
      <c r="AA52" s="3157" t="e">
        <f t="shared" si="39"/>
        <v>#REF!</v>
      </c>
      <c r="AB52" s="144"/>
      <c r="AC52" s="2867">
        <v>0</v>
      </c>
      <c r="AD52" s="2867">
        <v>0</v>
      </c>
      <c r="AE52" s="2867">
        <v>0</v>
      </c>
      <c r="AF52" s="2867">
        <v>0</v>
      </c>
      <c r="AG52" s="2867">
        <v>0</v>
      </c>
      <c r="AH52" s="2867">
        <v>0</v>
      </c>
      <c r="AI52" s="2825"/>
      <c r="AJ52" s="1"/>
      <c r="AK52" s="1"/>
      <c r="AL52" s="1"/>
      <c r="AM52" s="1"/>
      <c r="AN52" s="1"/>
    </row>
    <row r="53" spans="1:40" ht="14" customHeight="1">
      <c r="A53" s="144"/>
      <c r="B53" s="144"/>
      <c r="C53" s="144"/>
      <c r="D53" s="906"/>
      <c r="E53" s="144"/>
      <c r="F53" s="146"/>
      <c r="G53" s="146"/>
      <c r="H53" s="144"/>
      <c r="I53" s="144"/>
      <c r="J53" s="144"/>
      <c r="K53" s="144"/>
      <c r="L53" s="144"/>
      <c r="M53" s="144"/>
      <c r="N53" s="1278"/>
      <c r="O53" s="144"/>
      <c r="P53" s="144"/>
      <c r="Q53" s="144"/>
      <c r="R53" s="146"/>
      <c r="S53" s="144"/>
      <c r="T53" s="144"/>
      <c r="U53" s="3157" t="e">
        <f t="shared" si="39"/>
        <v>#REF!</v>
      </c>
      <c r="V53" s="3157" t="e">
        <f t="shared" si="39"/>
        <v>#REF!</v>
      </c>
      <c r="W53" s="3157" t="e">
        <f t="shared" si="39"/>
        <v>#REF!</v>
      </c>
      <c r="X53" s="3157" t="e">
        <f t="shared" si="39"/>
        <v>#REF!</v>
      </c>
      <c r="Y53" s="3157" t="e">
        <f t="shared" si="39"/>
        <v>#REF!</v>
      </c>
      <c r="Z53" s="3157" t="e">
        <f t="shared" si="39"/>
        <v>#REF!</v>
      </c>
      <c r="AA53" s="3157" t="e">
        <f t="shared" si="39"/>
        <v>#REF!</v>
      </c>
      <c r="AB53" s="144"/>
      <c r="AC53" s="2867">
        <v>0</v>
      </c>
      <c r="AD53" s="2867">
        <v>0</v>
      </c>
      <c r="AE53" s="2867">
        <v>0</v>
      </c>
      <c r="AF53" s="2867">
        <v>0</v>
      </c>
      <c r="AG53" s="2867">
        <v>0</v>
      </c>
      <c r="AH53" s="2867">
        <v>0</v>
      </c>
      <c r="AI53" s="2825"/>
      <c r="AJ53" s="1"/>
      <c r="AK53" s="1"/>
      <c r="AL53" s="1"/>
      <c r="AM53" s="1"/>
      <c r="AN53" s="1"/>
    </row>
    <row r="54" spans="1:40" ht="14" customHeight="1">
      <c r="A54" s="144"/>
      <c r="B54" s="144"/>
      <c r="C54" s="144"/>
      <c r="D54" s="906"/>
      <c r="E54" s="144"/>
      <c r="F54" s="146"/>
      <c r="G54" s="146"/>
      <c r="H54" s="144"/>
      <c r="I54" s="144"/>
      <c r="J54" s="144"/>
      <c r="K54" s="144"/>
      <c r="L54" s="144"/>
      <c r="M54" s="144"/>
      <c r="N54" s="1278"/>
      <c r="O54" s="144"/>
      <c r="P54" s="144"/>
      <c r="Q54" s="144"/>
      <c r="R54" s="146"/>
      <c r="S54" s="144"/>
      <c r="T54" s="144"/>
      <c r="U54" s="3157" t="e">
        <f t="shared" si="39"/>
        <v>#REF!</v>
      </c>
      <c r="V54" s="3157" t="e">
        <f t="shared" si="39"/>
        <v>#REF!</v>
      </c>
      <c r="W54" s="3157" t="e">
        <f t="shared" si="39"/>
        <v>#REF!</v>
      </c>
      <c r="X54" s="3157" t="e">
        <f t="shared" si="39"/>
        <v>#REF!</v>
      </c>
      <c r="Y54" s="3157" t="e">
        <f t="shared" si="39"/>
        <v>#REF!</v>
      </c>
      <c r="Z54" s="3157" t="e">
        <f t="shared" si="39"/>
        <v>#REF!</v>
      </c>
      <c r="AA54" s="3157" t="e">
        <f t="shared" si="39"/>
        <v>#REF!</v>
      </c>
      <c r="AB54" s="144"/>
      <c r="AC54" s="2867"/>
      <c r="AD54" s="2867"/>
      <c r="AE54" s="2867"/>
      <c r="AF54" s="2867"/>
      <c r="AG54" s="2867"/>
      <c r="AH54" s="2867"/>
      <c r="AI54" s="2825"/>
      <c r="AJ54" s="1"/>
      <c r="AK54" s="1"/>
      <c r="AL54" s="1"/>
      <c r="AM54" s="1"/>
      <c r="AN54" s="1"/>
    </row>
    <row r="55" spans="1:40" ht="14" customHeight="1">
      <c r="A55" s="144"/>
      <c r="B55" s="144"/>
      <c r="C55" s="144"/>
      <c r="D55" s="906"/>
      <c r="E55" s="144"/>
      <c r="F55" s="146"/>
      <c r="G55" s="146"/>
      <c r="H55" s="144"/>
      <c r="I55" s="144"/>
      <c r="J55" s="144"/>
      <c r="K55" s="144"/>
      <c r="L55" s="144"/>
      <c r="M55" s="144"/>
      <c r="N55" s="1278"/>
      <c r="O55" s="144"/>
      <c r="P55" s="144"/>
      <c r="Q55" s="144"/>
      <c r="R55" s="146"/>
      <c r="S55" s="144"/>
      <c r="T55" s="144"/>
      <c r="U55" s="3157" t="e">
        <f t="shared" si="39"/>
        <v>#REF!</v>
      </c>
      <c r="V55" s="3157" t="e">
        <f t="shared" si="39"/>
        <v>#REF!</v>
      </c>
      <c r="W55" s="3157" t="e">
        <f t="shared" si="39"/>
        <v>#REF!</v>
      </c>
      <c r="X55" s="3157" t="e">
        <f t="shared" si="39"/>
        <v>#REF!</v>
      </c>
      <c r="Y55" s="3157" t="e">
        <f t="shared" si="39"/>
        <v>#REF!</v>
      </c>
      <c r="Z55" s="3157" t="e">
        <f t="shared" si="39"/>
        <v>#REF!</v>
      </c>
      <c r="AA55" s="3157" t="e">
        <f t="shared" si="39"/>
        <v>#REF!</v>
      </c>
      <c r="AB55" s="144"/>
      <c r="AC55" s="2867"/>
      <c r="AD55" s="2867"/>
      <c r="AE55" s="2867"/>
      <c r="AF55" s="2867"/>
      <c r="AG55" s="2867"/>
      <c r="AH55" s="2867"/>
      <c r="AI55" s="2825"/>
      <c r="AJ55" s="1"/>
      <c r="AK55" s="1"/>
      <c r="AL55" s="1"/>
      <c r="AM55" s="1"/>
      <c r="AN55" s="1"/>
    </row>
    <row r="56" spans="1:40" ht="14" customHeight="1">
      <c r="A56" s="144"/>
      <c r="B56" s="144"/>
      <c r="C56" s="144"/>
      <c r="D56" s="906"/>
      <c r="E56" s="144"/>
      <c r="F56" s="146"/>
      <c r="G56" s="146"/>
      <c r="H56" s="144"/>
      <c r="I56" s="144"/>
      <c r="J56" s="144"/>
      <c r="K56" s="144"/>
      <c r="L56" s="144"/>
      <c r="M56" s="144"/>
      <c r="N56" s="1278"/>
      <c r="O56" s="144"/>
      <c r="P56" s="144"/>
      <c r="Q56" s="144"/>
      <c r="R56" s="146"/>
      <c r="S56" s="144"/>
      <c r="T56" s="144"/>
      <c r="U56" s="3157" t="e">
        <f t="shared" si="39"/>
        <v>#REF!</v>
      </c>
      <c r="V56" s="3157" t="e">
        <f t="shared" si="39"/>
        <v>#REF!</v>
      </c>
      <c r="W56" s="3157" t="e">
        <f t="shared" si="39"/>
        <v>#REF!</v>
      </c>
      <c r="X56" s="3157" t="e">
        <f t="shared" si="39"/>
        <v>#REF!</v>
      </c>
      <c r="Y56" s="3157" t="e">
        <f t="shared" si="39"/>
        <v>#REF!</v>
      </c>
      <c r="Z56" s="3157" t="e">
        <f t="shared" si="39"/>
        <v>#REF!</v>
      </c>
      <c r="AA56" s="3157" t="e">
        <f t="shared" si="39"/>
        <v>#REF!</v>
      </c>
      <c r="AB56" s="144"/>
      <c r="AC56" s="2867">
        <v>0</v>
      </c>
      <c r="AD56" s="2867">
        <v>0</v>
      </c>
      <c r="AE56" s="2867">
        <v>0</v>
      </c>
      <c r="AF56" s="2867">
        <v>0</v>
      </c>
      <c r="AG56" s="2867">
        <v>0</v>
      </c>
      <c r="AH56" s="2867">
        <v>0</v>
      </c>
      <c r="AI56" s="2825"/>
      <c r="AJ56" s="1"/>
      <c r="AK56" s="1"/>
      <c r="AL56" s="1"/>
      <c r="AM56" s="1"/>
      <c r="AN56" s="1"/>
    </row>
    <row r="57" spans="1:40" ht="14" customHeight="1">
      <c r="A57" s="144"/>
      <c r="B57" s="144"/>
      <c r="C57" s="144"/>
      <c r="D57" s="906"/>
      <c r="E57" s="144"/>
      <c r="F57" s="146"/>
      <c r="G57" s="146"/>
      <c r="H57" s="144"/>
      <c r="I57" s="144"/>
      <c r="J57" s="144"/>
      <c r="K57" s="144"/>
      <c r="L57" s="144"/>
      <c r="M57" s="144"/>
      <c r="N57" s="1278"/>
      <c r="O57" s="144"/>
      <c r="P57" s="144"/>
      <c r="Q57" s="144"/>
      <c r="R57" s="146"/>
      <c r="S57" s="144"/>
      <c r="T57" s="144"/>
      <c r="U57" s="3157" t="e">
        <f t="shared" si="39"/>
        <v>#REF!</v>
      </c>
      <c r="V57" s="3157" t="e">
        <f t="shared" si="39"/>
        <v>#REF!</v>
      </c>
      <c r="W57" s="3157" t="e">
        <f t="shared" si="39"/>
        <v>#REF!</v>
      </c>
      <c r="X57" s="3157" t="e">
        <f t="shared" si="39"/>
        <v>#REF!</v>
      </c>
      <c r="Y57" s="3157" t="e">
        <f t="shared" si="39"/>
        <v>#REF!</v>
      </c>
      <c r="Z57" s="3157" t="e">
        <f t="shared" si="39"/>
        <v>#REF!</v>
      </c>
      <c r="AA57" s="3157" t="e">
        <f t="shared" si="39"/>
        <v>#REF!</v>
      </c>
      <c r="AB57" s="144"/>
      <c r="AC57" s="2867">
        <v>0</v>
      </c>
      <c r="AD57" s="2867">
        <v>0</v>
      </c>
      <c r="AE57" s="2867">
        <v>0</v>
      </c>
      <c r="AF57" s="2867">
        <v>0</v>
      </c>
      <c r="AG57" s="2867">
        <v>0</v>
      </c>
      <c r="AH57" s="2867">
        <v>0</v>
      </c>
      <c r="AI57" s="2825"/>
      <c r="AJ57" s="1"/>
      <c r="AK57" s="1"/>
      <c r="AL57" s="1"/>
      <c r="AM57" s="1"/>
      <c r="AN57" s="1"/>
    </row>
    <row r="58" spans="1:40" ht="14" customHeight="1">
      <c r="A58" s="144"/>
      <c r="B58" s="144"/>
      <c r="C58" s="144"/>
      <c r="D58" s="906"/>
      <c r="E58" s="144"/>
      <c r="F58" s="146"/>
      <c r="G58" s="146"/>
      <c r="H58" s="144"/>
      <c r="I58" s="144"/>
      <c r="J58" s="144"/>
      <c r="K58" s="144"/>
      <c r="L58" s="144"/>
      <c r="M58" s="144"/>
      <c r="N58" s="1278"/>
      <c r="O58" s="144"/>
      <c r="P58" s="144"/>
      <c r="Q58" s="144"/>
      <c r="R58" s="146"/>
      <c r="S58" s="144"/>
      <c r="T58" s="144"/>
      <c r="U58" s="3157" t="e">
        <f t="shared" si="39"/>
        <v>#REF!</v>
      </c>
      <c r="V58" s="3157" t="e">
        <f t="shared" si="39"/>
        <v>#REF!</v>
      </c>
      <c r="W58" s="3157" t="e">
        <f t="shared" si="39"/>
        <v>#REF!</v>
      </c>
      <c r="X58" s="3157" t="e">
        <f t="shared" si="39"/>
        <v>#REF!</v>
      </c>
      <c r="Y58" s="3157" t="e">
        <f t="shared" si="39"/>
        <v>#REF!</v>
      </c>
      <c r="Z58" s="3157" t="e">
        <f t="shared" si="39"/>
        <v>#REF!</v>
      </c>
      <c r="AA58" s="3157" t="e">
        <f t="shared" si="39"/>
        <v>#REF!</v>
      </c>
      <c r="AB58" s="144"/>
      <c r="AC58" s="2867"/>
      <c r="AD58" s="2867"/>
      <c r="AE58" s="2867"/>
      <c r="AF58" s="2867"/>
      <c r="AG58" s="2867"/>
      <c r="AH58" s="2867"/>
      <c r="AI58" s="2825"/>
      <c r="AJ58" s="1"/>
      <c r="AK58" s="1"/>
      <c r="AL58" s="1"/>
      <c r="AM58" s="1"/>
      <c r="AN58" s="1"/>
    </row>
    <row r="59" spans="1:40" ht="14" customHeight="1">
      <c r="A59" s="144"/>
      <c r="B59" s="144"/>
      <c r="C59" s="144"/>
      <c r="D59" s="906"/>
      <c r="E59" s="144"/>
      <c r="F59" s="146"/>
      <c r="G59" s="146"/>
      <c r="H59" s="144"/>
      <c r="I59" s="144"/>
      <c r="J59" s="144"/>
      <c r="K59" s="144"/>
      <c r="L59" s="144"/>
      <c r="M59" s="144"/>
      <c r="N59" s="1278"/>
      <c r="O59" s="144"/>
      <c r="P59" s="144"/>
      <c r="Q59" s="144"/>
      <c r="R59" s="146"/>
      <c r="S59" s="144"/>
      <c r="T59" s="144"/>
      <c r="U59" s="3157" t="e">
        <f t="shared" si="39"/>
        <v>#REF!</v>
      </c>
      <c r="V59" s="3157" t="e">
        <f t="shared" si="39"/>
        <v>#REF!</v>
      </c>
      <c r="W59" s="3157" t="e">
        <f t="shared" si="39"/>
        <v>#REF!</v>
      </c>
      <c r="X59" s="3157" t="e">
        <f t="shared" si="39"/>
        <v>#REF!</v>
      </c>
      <c r="Y59" s="3157" t="e">
        <f t="shared" si="39"/>
        <v>#REF!</v>
      </c>
      <c r="Z59" s="3157" t="e">
        <f t="shared" si="39"/>
        <v>#REF!</v>
      </c>
      <c r="AA59" s="3157" t="e">
        <f t="shared" si="39"/>
        <v>#REF!</v>
      </c>
      <c r="AB59" s="144"/>
      <c r="AC59" s="2867"/>
      <c r="AD59" s="2867"/>
      <c r="AE59" s="2867"/>
      <c r="AF59" s="2867"/>
      <c r="AG59" s="2867"/>
      <c r="AH59" s="2867"/>
      <c r="AI59" s="2825"/>
      <c r="AJ59" s="1"/>
      <c r="AK59" s="1"/>
      <c r="AL59" s="1"/>
      <c r="AM59" s="1"/>
      <c r="AN59" s="1"/>
    </row>
    <row r="60" spans="1:40" ht="14" customHeight="1">
      <c r="A60" s="144"/>
      <c r="B60" s="144"/>
      <c r="C60" s="144"/>
      <c r="D60" s="906"/>
      <c r="E60" s="144"/>
      <c r="F60" s="146"/>
      <c r="G60" s="146"/>
      <c r="H60" s="144"/>
      <c r="I60" s="144"/>
      <c r="J60" s="144"/>
      <c r="K60" s="144"/>
      <c r="L60" s="144"/>
      <c r="M60" s="144"/>
      <c r="N60" s="1278"/>
      <c r="O60" s="144"/>
      <c r="P60" s="144"/>
      <c r="Q60" s="144"/>
      <c r="R60" s="146"/>
      <c r="S60" s="144"/>
      <c r="T60" s="144"/>
      <c r="U60" s="3157" t="e">
        <f t="shared" si="39"/>
        <v>#REF!</v>
      </c>
      <c r="V60" s="3157" t="e">
        <f t="shared" si="39"/>
        <v>#REF!</v>
      </c>
      <c r="W60" s="3157" t="e">
        <f t="shared" si="39"/>
        <v>#REF!</v>
      </c>
      <c r="X60" s="3157" t="e">
        <f t="shared" si="39"/>
        <v>#REF!</v>
      </c>
      <c r="Y60" s="3157" t="e">
        <f t="shared" si="39"/>
        <v>#REF!</v>
      </c>
      <c r="Z60" s="3157" t="e">
        <f t="shared" si="39"/>
        <v>#REF!</v>
      </c>
      <c r="AA60" s="3157" t="e">
        <f t="shared" si="39"/>
        <v>#REF!</v>
      </c>
      <c r="AB60" s="144"/>
      <c r="AC60" s="2867">
        <v>0</v>
      </c>
      <c r="AD60" s="2867">
        <v>0</v>
      </c>
      <c r="AE60" s="2867">
        <v>0</v>
      </c>
      <c r="AF60" s="2867">
        <v>0</v>
      </c>
      <c r="AG60" s="2867">
        <v>0</v>
      </c>
      <c r="AH60" s="2867">
        <v>0</v>
      </c>
      <c r="AI60" s="2825"/>
      <c r="AJ60" s="1"/>
      <c r="AK60" s="1"/>
      <c r="AL60" s="1"/>
      <c r="AM60" s="1"/>
      <c r="AN60" s="1"/>
    </row>
    <row r="61" spans="1:40" ht="14" customHeight="1">
      <c r="A61" s="144"/>
      <c r="B61" s="144"/>
      <c r="C61" s="144"/>
      <c r="D61" s="906"/>
      <c r="E61" s="144"/>
      <c r="F61" s="146"/>
      <c r="G61" s="146"/>
      <c r="H61" s="144"/>
      <c r="I61" s="144"/>
      <c r="J61" s="144"/>
      <c r="K61" s="144"/>
      <c r="L61" s="144"/>
      <c r="M61" s="144"/>
      <c r="N61" s="1278"/>
      <c r="O61" s="144"/>
      <c r="P61" s="144"/>
      <c r="Q61" s="144"/>
      <c r="R61" s="146"/>
      <c r="S61" s="144"/>
      <c r="T61" s="144"/>
      <c r="U61" s="3157" t="e">
        <f t="shared" si="39"/>
        <v>#REF!</v>
      </c>
      <c r="V61" s="3157" t="e">
        <f t="shared" si="39"/>
        <v>#REF!</v>
      </c>
      <c r="W61" s="3157" t="e">
        <f t="shared" si="39"/>
        <v>#REF!</v>
      </c>
      <c r="X61" s="3157" t="e">
        <f t="shared" si="39"/>
        <v>#REF!</v>
      </c>
      <c r="Y61" s="3157" t="e">
        <f t="shared" si="39"/>
        <v>#REF!</v>
      </c>
      <c r="Z61" s="3157" t="e">
        <f t="shared" si="39"/>
        <v>#REF!</v>
      </c>
      <c r="AA61" s="3157" t="e">
        <f t="shared" si="39"/>
        <v>#REF!</v>
      </c>
      <c r="AB61" s="144"/>
      <c r="AC61" s="2867">
        <v>0</v>
      </c>
      <c r="AD61" s="2867">
        <v>0</v>
      </c>
      <c r="AE61" s="2867">
        <v>0</v>
      </c>
      <c r="AF61" s="2867">
        <v>0</v>
      </c>
      <c r="AG61" s="2867">
        <v>0</v>
      </c>
      <c r="AH61" s="2867">
        <v>0</v>
      </c>
      <c r="AI61" s="2825"/>
      <c r="AJ61" s="1"/>
      <c r="AK61" s="1"/>
      <c r="AL61" s="1"/>
      <c r="AM61" s="1"/>
      <c r="AN61" s="1"/>
    </row>
    <row r="62" spans="1:40" ht="14" customHeight="1">
      <c r="A62" s="144"/>
      <c r="B62" s="144"/>
      <c r="C62" s="144"/>
      <c r="D62" s="906"/>
      <c r="E62" s="144"/>
      <c r="F62" s="146"/>
      <c r="G62" s="146"/>
      <c r="H62" s="144"/>
      <c r="I62" s="144"/>
      <c r="J62" s="144"/>
      <c r="K62" s="144"/>
      <c r="L62" s="144"/>
      <c r="M62" s="144"/>
      <c r="N62" s="1278"/>
      <c r="O62" s="144"/>
      <c r="P62" s="144"/>
      <c r="Q62" s="144"/>
      <c r="R62" s="146"/>
      <c r="S62" s="144"/>
      <c r="T62" s="144"/>
      <c r="U62" s="3157" t="e">
        <f t="shared" si="39"/>
        <v>#REF!</v>
      </c>
      <c r="V62" s="3157" t="e">
        <f t="shared" si="39"/>
        <v>#REF!</v>
      </c>
      <c r="W62" s="3157" t="e">
        <f t="shared" si="39"/>
        <v>#REF!</v>
      </c>
      <c r="X62" s="3157" t="e">
        <f t="shared" si="39"/>
        <v>#REF!</v>
      </c>
      <c r="Y62" s="3157" t="e">
        <f t="shared" si="39"/>
        <v>#REF!</v>
      </c>
      <c r="Z62" s="3157" t="e">
        <f t="shared" si="39"/>
        <v>#REF!</v>
      </c>
      <c r="AA62" s="3157" t="e">
        <f t="shared" si="39"/>
        <v>#REF!</v>
      </c>
      <c r="AB62" s="144"/>
      <c r="AC62" s="2867">
        <v>0</v>
      </c>
      <c r="AD62" s="2867">
        <v>0</v>
      </c>
      <c r="AE62" s="2867">
        <v>0</v>
      </c>
      <c r="AF62" s="2867">
        <v>0</v>
      </c>
      <c r="AG62" s="2867">
        <v>0</v>
      </c>
      <c r="AH62" s="2867">
        <v>0</v>
      </c>
      <c r="AI62" s="2825"/>
      <c r="AJ62" s="1"/>
      <c r="AK62" s="1"/>
      <c r="AL62" s="1"/>
      <c r="AM62" s="1"/>
      <c r="AN62" s="1"/>
    </row>
    <row r="63" spans="1:40" ht="14" customHeight="1">
      <c r="A63" s="144"/>
      <c r="B63" s="144"/>
      <c r="C63" s="144"/>
      <c r="D63" s="906"/>
      <c r="E63" s="144"/>
      <c r="F63" s="146"/>
      <c r="G63" s="146"/>
      <c r="H63" s="144"/>
      <c r="I63" s="144"/>
      <c r="J63" s="144"/>
      <c r="K63" s="144"/>
      <c r="L63" s="144"/>
      <c r="M63" s="144"/>
      <c r="N63" s="1278"/>
      <c r="O63" s="144"/>
      <c r="P63" s="144"/>
      <c r="Q63" s="144"/>
      <c r="R63" s="146"/>
      <c r="S63" s="144"/>
      <c r="T63" s="144"/>
      <c r="U63" s="3157" t="e">
        <f t="shared" si="39"/>
        <v>#REF!</v>
      </c>
      <c r="V63" s="3157" t="e">
        <f t="shared" si="39"/>
        <v>#REF!</v>
      </c>
      <c r="W63" s="3157" t="e">
        <f t="shared" si="39"/>
        <v>#REF!</v>
      </c>
      <c r="X63" s="3157" t="e">
        <f t="shared" si="39"/>
        <v>#REF!</v>
      </c>
      <c r="Y63" s="3157" t="e">
        <f t="shared" si="39"/>
        <v>#REF!</v>
      </c>
      <c r="Z63" s="3157" t="e">
        <f t="shared" si="39"/>
        <v>#REF!</v>
      </c>
      <c r="AA63" s="3157" t="e">
        <f t="shared" si="39"/>
        <v>#REF!</v>
      </c>
      <c r="AB63" s="144"/>
      <c r="AC63" s="2867">
        <v>0</v>
      </c>
      <c r="AD63" s="2867">
        <v>0</v>
      </c>
      <c r="AE63" s="2867">
        <v>0</v>
      </c>
      <c r="AF63" s="2867">
        <v>0</v>
      </c>
      <c r="AG63" s="2867">
        <v>0</v>
      </c>
      <c r="AH63" s="2867">
        <v>0</v>
      </c>
      <c r="AI63" s="2825"/>
      <c r="AJ63" s="1"/>
      <c r="AK63" s="1"/>
      <c r="AL63" s="1"/>
      <c r="AM63" s="1"/>
      <c r="AN63" s="1"/>
    </row>
    <row r="64" spans="1:40" ht="14" customHeight="1">
      <c r="A64" s="144"/>
      <c r="B64" s="144"/>
      <c r="C64" s="144"/>
      <c r="D64" s="906"/>
      <c r="E64" s="144"/>
      <c r="F64" s="146"/>
      <c r="G64" s="146"/>
      <c r="H64" s="144"/>
      <c r="I64" s="144"/>
      <c r="J64" s="144"/>
      <c r="K64" s="144"/>
      <c r="L64" s="144"/>
      <c r="M64" s="144"/>
      <c r="N64" s="1278"/>
      <c r="O64" s="144"/>
      <c r="P64" s="144"/>
      <c r="Q64" s="144"/>
      <c r="R64" s="146"/>
      <c r="S64" s="144"/>
      <c r="T64" s="144"/>
      <c r="U64" s="3157" t="e">
        <f t="shared" si="39"/>
        <v>#REF!</v>
      </c>
      <c r="V64" s="3157" t="e">
        <f t="shared" si="39"/>
        <v>#REF!</v>
      </c>
      <c r="W64" s="3157" t="e">
        <f t="shared" si="39"/>
        <v>#REF!</v>
      </c>
      <c r="X64" s="3157" t="e">
        <f t="shared" si="39"/>
        <v>#REF!</v>
      </c>
      <c r="Y64" s="3157" t="e">
        <f t="shared" si="39"/>
        <v>#REF!</v>
      </c>
      <c r="Z64" s="3157" t="e">
        <f t="shared" si="39"/>
        <v>#REF!</v>
      </c>
      <c r="AA64" s="3157" t="e">
        <f t="shared" si="39"/>
        <v>#REF!</v>
      </c>
      <c r="AB64" s="144"/>
      <c r="AC64" s="2867"/>
      <c r="AD64" s="2867"/>
      <c r="AE64" s="2867"/>
      <c r="AF64" s="2867"/>
      <c r="AG64" s="2867"/>
      <c r="AH64" s="2867"/>
      <c r="AI64" s="2825"/>
      <c r="AJ64" s="1"/>
      <c r="AK64" s="1"/>
      <c r="AL64" s="1"/>
      <c r="AM64" s="1"/>
      <c r="AN64" s="1"/>
    </row>
    <row r="65" spans="1:40" ht="14" customHeight="1">
      <c r="A65" s="144"/>
      <c r="B65" s="144"/>
      <c r="C65" s="144"/>
      <c r="D65" s="906"/>
      <c r="E65" s="144"/>
      <c r="F65" s="146"/>
      <c r="G65" s="146"/>
      <c r="H65" s="144"/>
      <c r="I65" s="144"/>
      <c r="J65" s="144"/>
      <c r="K65" s="144"/>
      <c r="L65" s="144"/>
      <c r="M65" s="144"/>
      <c r="N65" s="1278"/>
      <c r="O65" s="144"/>
      <c r="P65" s="144"/>
      <c r="Q65" s="144"/>
      <c r="R65" s="146"/>
      <c r="S65" s="144"/>
      <c r="T65" s="144"/>
      <c r="U65" s="3157" t="e">
        <f t="shared" si="39"/>
        <v>#REF!</v>
      </c>
      <c r="V65" s="3157" t="e">
        <f t="shared" si="39"/>
        <v>#REF!</v>
      </c>
      <c r="W65" s="3157" t="e">
        <f t="shared" si="39"/>
        <v>#REF!</v>
      </c>
      <c r="X65" s="3157" t="e">
        <f t="shared" si="39"/>
        <v>#REF!</v>
      </c>
      <c r="Y65" s="3157" t="e">
        <f t="shared" si="39"/>
        <v>#REF!</v>
      </c>
      <c r="Z65" s="3157" t="e">
        <f t="shared" si="39"/>
        <v>#REF!</v>
      </c>
      <c r="AA65" s="3157" t="e">
        <f t="shared" si="39"/>
        <v>#REF!</v>
      </c>
      <c r="AB65" s="144"/>
      <c r="AC65" s="2867">
        <v>0</v>
      </c>
      <c r="AD65" s="2867">
        <v>0</v>
      </c>
      <c r="AE65" s="2867">
        <v>0</v>
      </c>
      <c r="AF65" s="2867">
        <v>0</v>
      </c>
      <c r="AG65" s="2867">
        <v>0</v>
      </c>
      <c r="AH65" s="2867">
        <v>0</v>
      </c>
      <c r="AI65" s="2825"/>
      <c r="AJ65" s="1"/>
      <c r="AK65" s="1"/>
      <c r="AL65" s="1"/>
      <c r="AM65" s="1"/>
      <c r="AN65" s="1"/>
    </row>
    <row r="66" spans="1:40" ht="14" customHeight="1">
      <c r="A66" s="144"/>
      <c r="B66" s="144"/>
      <c r="C66" s="144"/>
      <c r="D66" s="906"/>
      <c r="E66" s="144"/>
      <c r="F66" s="146"/>
      <c r="G66" s="146"/>
      <c r="H66" s="144"/>
      <c r="I66" s="144"/>
      <c r="J66" s="144"/>
      <c r="K66" s="144"/>
      <c r="L66" s="144"/>
      <c r="M66" s="144"/>
      <c r="N66" s="1278"/>
      <c r="O66" s="144"/>
      <c r="P66" s="144"/>
      <c r="Q66" s="144"/>
      <c r="R66" s="146"/>
      <c r="S66" s="144"/>
      <c r="T66" s="144"/>
      <c r="U66" s="3157" t="e">
        <f t="shared" si="39"/>
        <v>#REF!</v>
      </c>
      <c r="V66" s="3157" t="e">
        <f t="shared" si="39"/>
        <v>#REF!</v>
      </c>
      <c r="W66" s="3157" t="e">
        <f t="shared" si="39"/>
        <v>#REF!</v>
      </c>
      <c r="X66" s="3157" t="e">
        <f t="shared" si="39"/>
        <v>#REF!</v>
      </c>
      <c r="Y66" s="3157" t="e">
        <f t="shared" si="39"/>
        <v>#REF!</v>
      </c>
      <c r="Z66" s="3157" t="e">
        <f t="shared" si="39"/>
        <v>#REF!</v>
      </c>
      <c r="AA66" s="3157" t="e">
        <f t="shared" si="39"/>
        <v>#REF!</v>
      </c>
      <c r="AB66" s="144"/>
      <c r="AC66" s="2867">
        <v>0</v>
      </c>
      <c r="AD66" s="2867">
        <v>0</v>
      </c>
      <c r="AE66" s="2867">
        <v>0</v>
      </c>
      <c r="AF66" s="2867">
        <v>0</v>
      </c>
      <c r="AG66" s="2867">
        <v>0</v>
      </c>
      <c r="AH66" s="2867">
        <v>0</v>
      </c>
      <c r="AI66" s="2825"/>
      <c r="AJ66" s="1"/>
      <c r="AK66" s="1"/>
      <c r="AL66" s="1"/>
      <c r="AM66" s="1"/>
      <c r="AN66" s="1"/>
    </row>
    <row r="67" spans="1:40" ht="14" customHeight="1">
      <c r="A67" s="144"/>
      <c r="B67" s="144"/>
      <c r="C67" s="144"/>
      <c r="D67" s="906"/>
      <c r="E67" s="144"/>
      <c r="F67" s="146"/>
      <c r="G67" s="146"/>
      <c r="H67" s="144"/>
      <c r="I67" s="144"/>
      <c r="J67" s="144"/>
      <c r="K67" s="144"/>
      <c r="L67" s="144"/>
      <c r="M67" s="144"/>
      <c r="N67" s="1278"/>
      <c r="O67" s="144"/>
      <c r="P67" s="144"/>
      <c r="Q67" s="144"/>
      <c r="R67" s="146"/>
      <c r="S67" s="144"/>
      <c r="T67" s="144"/>
      <c r="U67" s="3157" t="e">
        <f t="shared" ref="U67:AA82" si="40">IF(U66&gt;0,U66,U65)</f>
        <v>#REF!</v>
      </c>
      <c r="V67" s="3157" t="e">
        <f t="shared" si="40"/>
        <v>#REF!</v>
      </c>
      <c r="W67" s="3157" t="e">
        <f t="shared" si="40"/>
        <v>#REF!</v>
      </c>
      <c r="X67" s="3157" t="e">
        <f t="shared" si="40"/>
        <v>#REF!</v>
      </c>
      <c r="Y67" s="3157" t="e">
        <f t="shared" si="40"/>
        <v>#REF!</v>
      </c>
      <c r="Z67" s="3157" t="e">
        <f t="shared" si="40"/>
        <v>#REF!</v>
      </c>
      <c r="AA67" s="3157" t="e">
        <f t="shared" si="40"/>
        <v>#REF!</v>
      </c>
      <c r="AB67" s="144"/>
      <c r="AC67" s="2867"/>
      <c r="AD67" s="2867"/>
      <c r="AE67" s="2867"/>
      <c r="AF67" s="2867"/>
      <c r="AG67" s="2867"/>
      <c r="AH67" s="2867"/>
      <c r="AI67" s="2825"/>
      <c r="AJ67" s="1"/>
      <c r="AK67" s="1"/>
      <c r="AL67" s="1"/>
      <c r="AM67" s="1"/>
      <c r="AN67" s="1"/>
    </row>
    <row r="68" spans="1:40" ht="14" customHeight="1">
      <c r="A68" s="144"/>
      <c r="B68" s="144"/>
      <c r="C68" s="144"/>
      <c r="D68" s="906"/>
      <c r="E68" s="144"/>
      <c r="F68" s="146"/>
      <c r="G68" s="146"/>
      <c r="H68" s="144"/>
      <c r="I68" s="144"/>
      <c r="J68" s="144"/>
      <c r="K68" s="144"/>
      <c r="L68" s="144"/>
      <c r="M68" s="144"/>
      <c r="N68" s="1278"/>
      <c r="O68" s="144"/>
      <c r="P68" s="144"/>
      <c r="Q68" s="144"/>
      <c r="R68" s="146"/>
      <c r="S68" s="144"/>
      <c r="T68" s="144"/>
      <c r="U68" s="3157" t="e">
        <f t="shared" si="40"/>
        <v>#REF!</v>
      </c>
      <c r="V68" s="3157" t="e">
        <f t="shared" si="40"/>
        <v>#REF!</v>
      </c>
      <c r="W68" s="3157" t="e">
        <f t="shared" si="40"/>
        <v>#REF!</v>
      </c>
      <c r="X68" s="3157" t="e">
        <f t="shared" si="40"/>
        <v>#REF!</v>
      </c>
      <c r="Y68" s="3157" t="e">
        <f t="shared" si="40"/>
        <v>#REF!</v>
      </c>
      <c r="Z68" s="3157" t="e">
        <f t="shared" si="40"/>
        <v>#REF!</v>
      </c>
      <c r="AA68" s="3157" t="e">
        <f t="shared" si="40"/>
        <v>#REF!</v>
      </c>
      <c r="AB68" s="144"/>
      <c r="AC68" s="2867"/>
      <c r="AD68" s="2867"/>
      <c r="AE68" s="2867"/>
      <c r="AF68" s="2867"/>
      <c r="AG68" s="2867"/>
      <c r="AH68" s="2867"/>
      <c r="AI68" s="2825"/>
      <c r="AJ68" s="1"/>
      <c r="AK68" s="1"/>
      <c r="AL68" s="1"/>
      <c r="AM68" s="1"/>
      <c r="AN68" s="1"/>
    </row>
    <row r="69" spans="1:40" ht="14" customHeight="1">
      <c r="A69" s="144"/>
      <c r="B69" s="144"/>
      <c r="C69" s="144"/>
      <c r="D69" s="906"/>
      <c r="E69" s="144"/>
      <c r="F69" s="146"/>
      <c r="G69" s="146"/>
      <c r="H69" s="144"/>
      <c r="I69" s="144"/>
      <c r="J69" s="144"/>
      <c r="K69" s="144"/>
      <c r="L69" s="144"/>
      <c r="M69" s="144"/>
      <c r="N69" s="1278"/>
      <c r="O69" s="144"/>
      <c r="P69" s="144"/>
      <c r="Q69" s="144"/>
      <c r="R69" s="146"/>
      <c r="S69" s="144"/>
      <c r="T69" s="144"/>
      <c r="U69" s="3157" t="e">
        <f t="shared" si="40"/>
        <v>#REF!</v>
      </c>
      <c r="V69" s="3157" t="e">
        <f t="shared" si="40"/>
        <v>#REF!</v>
      </c>
      <c r="W69" s="3157" t="e">
        <f t="shared" si="40"/>
        <v>#REF!</v>
      </c>
      <c r="X69" s="3157" t="e">
        <f t="shared" si="40"/>
        <v>#REF!</v>
      </c>
      <c r="Y69" s="3157" t="e">
        <f t="shared" si="40"/>
        <v>#REF!</v>
      </c>
      <c r="Z69" s="3157" t="e">
        <f t="shared" si="40"/>
        <v>#REF!</v>
      </c>
      <c r="AA69" s="3157" t="e">
        <f t="shared" si="40"/>
        <v>#REF!</v>
      </c>
      <c r="AB69" s="144"/>
      <c r="AC69" s="2867">
        <v>0</v>
      </c>
      <c r="AD69" s="2867">
        <v>0</v>
      </c>
      <c r="AE69" s="2867">
        <v>0</v>
      </c>
      <c r="AF69" s="2867">
        <v>0</v>
      </c>
      <c r="AG69" s="2867">
        <v>0</v>
      </c>
      <c r="AH69" s="2867">
        <v>0</v>
      </c>
      <c r="AI69" s="2825"/>
      <c r="AJ69" s="1"/>
      <c r="AK69" s="1"/>
      <c r="AL69" s="1"/>
      <c r="AM69" s="1"/>
      <c r="AN69" s="1"/>
    </row>
    <row r="70" spans="1:40" ht="14" customHeight="1">
      <c r="A70" s="144"/>
      <c r="B70" s="144"/>
      <c r="C70" s="144"/>
      <c r="D70" s="906"/>
      <c r="E70" s="144"/>
      <c r="F70" s="146"/>
      <c r="G70" s="146"/>
      <c r="H70" s="144"/>
      <c r="I70" s="144"/>
      <c r="J70" s="144"/>
      <c r="K70" s="144"/>
      <c r="L70" s="144"/>
      <c r="M70" s="144"/>
      <c r="N70" s="1278"/>
      <c r="O70" s="144"/>
      <c r="P70" s="144"/>
      <c r="Q70" s="144"/>
      <c r="R70" s="146"/>
      <c r="S70" s="144"/>
      <c r="T70" s="144"/>
      <c r="U70" s="3157" t="e">
        <f t="shared" si="40"/>
        <v>#REF!</v>
      </c>
      <c r="V70" s="3157" t="e">
        <f t="shared" si="40"/>
        <v>#REF!</v>
      </c>
      <c r="W70" s="3157" t="e">
        <f t="shared" si="40"/>
        <v>#REF!</v>
      </c>
      <c r="X70" s="3157" t="e">
        <f t="shared" si="40"/>
        <v>#REF!</v>
      </c>
      <c r="Y70" s="3157" t="e">
        <f t="shared" si="40"/>
        <v>#REF!</v>
      </c>
      <c r="Z70" s="3157" t="e">
        <f t="shared" si="40"/>
        <v>#REF!</v>
      </c>
      <c r="AA70" s="3157" t="e">
        <f t="shared" si="40"/>
        <v>#REF!</v>
      </c>
      <c r="AB70" s="144"/>
      <c r="AC70" s="2867">
        <v>0</v>
      </c>
      <c r="AD70" s="2867">
        <v>0</v>
      </c>
      <c r="AE70" s="2867">
        <v>0</v>
      </c>
      <c r="AF70" s="2867">
        <v>0</v>
      </c>
      <c r="AG70" s="2867">
        <v>0</v>
      </c>
      <c r="AH70" s="2867">
        <v>0</v>
      </c>
      <c r="AI70" s="2825"/>
      <c r="AJ70" s="1"/>
      <c r="AK70" s="1"/>
      <c r="AL70" s="1"/>
      <c r="AM70" s="1"/>
      <c r="AN70" s="1"/>
    </row>
    <row r="71" spans="1:40" ht="14" customHeight="1">
      <c r="A71" s="144"/>
      <c r="B71" s="144"/>
      <c r="C71" s="144"/>
      <c r="D71" s="906"/>
      <c r="E71" s="144"/>
      <c r="F71" s="146"/>
      <c r="G71" s="146"/>
      <c r="H71" s="144"/>
      <c r="I71" s="144"/>
      <c r="J71" s="144"/>
      <c r="K71" s="144"/>
      <c r="L71" s="144"/>
      <c r="M71" s="144"/>
      <c r="N71" s="1278"/>
      <c r="O71" s="144"/>
      <c r="P71" s="144"/>
      <c r="Q71" s="144"/>
      <c r="R71" s="146"/>
      <c r="S71" s="144"/>
      <c r="T71" s="144"/>
      <c r="U71" s="3157" t="e">
        <f t="shared" si="40"/>
        <v>#REF!</v>
      </c>
      <c r="V71" s="3157" t="e">
        <f t="shared" si="40"/>
        <v>#REF!</v>
      </c>
      <c r="W71" s="3157" t="e">
        <f t="shared" si="40"/>
        <v>#REF!</v>
      </c>
      <c r="X71" s="3157" t="e">
        <f t="shared" si="40"/>
        <v>#REF!</v>
      </c>
      <c r="Y71" s="3157" t="e">
        <f t="shared" si="40"/>
        <v>#REF!</v>
      </c>
      <c r="Z71" s="3157" t="e">
        <f t="shared" si="40"/>
        <v>#REF!</v>
      </c>
      <c r="AA71" s="3157" t="e">
        <f t="shared" si="40"/>
        <v>#REF!</v>
      </c>
      <c r="AB71" s="144"/>
      <c r="AC71" s="2867">
        <v>0</v>
      </c>
      <c r="AD71" s="2867">
        <v>0</v>
      </c>
      <c r="AE71" s="2867">
        <v>0</v>
      </c>
      <c r="AF71" s="2867">
        <v>0</v>
      </c>
      <c r="AG71" s="2867">
        <v>0</v>
      </c>
      <c r="AH71" s="2867">
        <v>0</v>
      </c>
      <c r="AI71" s="2825"/>
      <c r="AJ71" s="1"/>
      <c r="AK71" s="1"/>
      <c r="AL71" s="1"/>
      <c r="AM71" s="1"/>
      <c r="AN71" s="1"/>
    </row>
    <row r="72" spans="1:40" ht="14" customHeight="1">
      <c r="A72" s="144"/>
      <c r="B72" s="144"/>
      <c r="C72" s="144"/>
      <c r="D72" s="906"/>
      <c r="E72" s="144"/>
      <c r="F72" s="146"/>
      <c r="G72" s="146"/>
      <c r="H72" s="144"/>
      <c r="I72" s="144"/>
      <c r="J72" s="144"/>
      <c r="K72" s="144"/>
      <c r="L72" s="144"/>
      <c r="M72" s="144"/>
      <c r="N72" s="1278"/>
      <c r="O72" s="144"/>
      <c r="P72" s="144"/>
      <c r="Q72" s="144"/>
      <c r="R72" s="146"/>
      <c r="S72" s="144"/>
      <c r="T72" s="144"/>
      <c r="U72" s="3157" t="e">
        <f t="shared" si="40"/>
        <v>#REF!</v>
      </c>
      <c r="V72" s="3157" t="e">
        <f t="shared" si="40"/>
        <v>#REF!</v>
      </c>
      <c r="W72" s="3157" t="e">
        <f t="shared" si="40"/>
        <v>#REF!</v>
      </c>
      <c r="X72" s="3157" t="e">
        <f t="shared" si="40"/>
        <v>#REF!</v>
      </c>
      <c r="Y72" s="3157" t="e">
        <f t="shared" si="40"/>
        <v>#REF!</v>
      </c>
      <c r="Z72" s="3157" t="e">
        <f t="shared" si="40"/>
        <v>#REF!</v>
      </c>
      <c r="AA72" s="3157" t="e">
        <f t="shared" si="40"/>
        <v>#REF!</v>
      </c>
      <c r="AB72" s="144"/>
      <c r="AC72" s="2867"/>
      <c r="AD72" s="2867"/>
      <c r="AE72" s="2867"/>
      <c r="AF72" s="2867"/>
      <c r="AG72" s="2867"/>
      <c r="AH72" s="2867"/>
      <c r="AI72" s="2825"/>
      <c r="AJ72" s="1"/>
      <c r="AK72" s="1"/>
      <c r="AL72" s="1"/>
      <c r="AM72" s="1"/>
      <c r="AN72" s="1"/>
    </row>
    <row r="73" spans="1:40" ht="14" customHeight="1">
      <c r="A73" s="144"/>
      <c r="B73" s="144"/>
      <c r="C73" s="144"/>
      <c r="D73" s="906"/>
      <c r="E73" s="144"/>
      <c r="F73" s="146"/>
      <c r="G73" s="146"/>
      <c r="H73" s="144"/>
      <c r="I73" s="144"/>
      <c r="J73" s="144"/>
      <c r="K73" s="144"/>
      <c r="L73" s="144"/>
      <c r="M73" s="144"/>
      <c r="N73" s="1278"/>
      <c r="O73" s="144"/>
      <c r="P73" s="144"/>
      <c r="Q73" s="144"/>
      <c r="R73" s="146"/>
      <c r="S73" s="144"/>
      <c r="T73" s="144"/>
      <c r="U73" s="3157" t="e">
        <f t="shared" si="40"/>
        <v>#REF!</v>
      </c>
      <c r="V73" s="3157" t="e">
        <f t="shared" si="40"/>
        <v>#REF!</v>
      </c>
      <c r="W73" s="3157" t="e">
        <f t="shared" si="40"/>
        <v>#REF!</v>
      </c>
      <c r="X73" s="3157" t="e">
        <f t="shared" si="40"/>
        <v>#REF!</v>
      </c>
      <c r="Y73" s="3157" t="e">
        <f t="shared" si="40"/>
        <v>#REF!</v>
      </c>
      <c r="Z73" s="3157" t="e">
        <f t="shared" si="40"/>
        <v>#REF!</v>
      </c>
      <c r="AA73" s="3157" t="e">
        <f t="shared" si="40"/>
        <v>#REF!</v>
      </c>
      <c r="AB73" s="144"/>
      <c r="AC73" s="2867"/>
      <c r="AD73" s="2867"/>
      <c r="AE73" s="2867"/>
      <c r="AF73" s="2867"/>
      <c r="AG73" s="2867"/>
      <c r="AH73" s="2867"/>
      <c r="AI73" s="2825"/>
      <c r="AJ73" s="1"/>
      <c r="AK73" s="1"/>
      <c r="AL73" s="1"/>
      <c r="AM73" s="1"/>
      <c r="AN73" s="1"/>
    </row>
    <row r="74" spans="1:40" ht="14" customHeight="1">
      <c r="A74" s="144"/>
      <c r="B74" s="144"/>
      <c r="C74" s="144"/>
      <c r="D74" s="906"/>
      <c r="E74" s="144"/>
      <c r="F74" s="146"/>
      <c r="G74" s="146"/>
      <c r="H74" s="144"/>
      <c r="I74" s="144"/>
      <c r="J74" s="144"/>
      <c r="K74" s="144"/>
      <c r="L74" s="144"/>
      <c r="M74" s="144"/>
      <c r="N74" s="1278"/>
      <c r="O74" s="144"/>
      <c r="P74" s="144"/>
      <c r="Q74" s="144"/>
      <c r="R74" s="146"/>
      <c r="S74" s="144"/>
      <c r="T74" s="144"/>
      <c r="U74" s="3157" t="e">
        <f t="shared" si="40"/>
        <v>#REF!</v>
      </c>
      <c r="V74" s="3157" t="e">
        <f t="shared" si="40"/>
        <v>#REF!</v>
      </c>
      <c r="W74" s="3157" t="e">
        <f t="shared" si="40"/>
        <v>#REF!</v>
      </c>
      <c r="X74" s="3157" t="e">
        <f t="shared" si="40"/>
        <v>#REF!</v>
      </c>
      <c r="Y74" s="3157" t="e">
        <f t="shared" si="40"/>
        <v>#REF!</v>
      </c>
      <c r="Z74" s="3157" t="e">
        <f t="shared" si="40"/>
        <v>#REF!</v>
      </c>
      <c r="AA74" s="3157" t="e">
        <f t="shared" si="40"/>
        <v>#REF!</v>
      </c>
      <c r="AB74" s="144"/>
      <c r="AC74" s="2867">
        <v>0</v>
      </c>
      <c r="AD74" s="2867">
        <v>0</v>
      </c>
      <c r="AE74" s="2867">
        <v>0</v>
      </c>
      <c r="AF74" s="2867">
        <v>0</v>
      </c>
      <c r="AG74" s="2867">
        <v>0</v>
      </c>
      <c r="AH74" s="2867">
        <v>0</v>
      </c>
      <c r="AI74" s="2825"/>
      <c r="AJ74" s="1"/>
      <c r="AK74" s="1"/>
      <c r="AL74" s="1"/>
      <c r="AM74" s="1"/>
      <c r="AN74" s="1"/>
    </row>
    <row r="75" spans="1:40" ht="14" customHeight="1">
      <c r="A75" s="144"/>
      <c r="B75" s="144"/>
      <c r="C75" s="144"/>
      <c r="D75" s="906"/>
      <c r="E75" s="144"/>
      <c r="F75" s="146"/>
      <c r="G75" s="146"/>
      <c r="H75" s="144"/>
      <c r="I75" s="144"/>
      <c r="J75" s="144"/>
      <c r="K75" s="144"/>
      <c r="L75" s="144"/>
      <c r="M75" s="144"/>
      <c r="N75" s="1278"/>
      <c r="O75" s="144"/>
      <c r="P75" s="144"/>
      <c r="Q75" s="144"/>
      <c r="R75" s="146"/>
      <c r="S75" s="144"/>
      <c r="T75" s="144"/>
      <c r="U75" s="3157" t="e">
        <f t="shared" si="40"/>
        <v>#REF!</v>
      </c>
      <c r="V75" s="3157" t="e">
        <f t="shared" si="40"/>
        <v>#REF!</v>
      </c>
      <c r="W75" s="3157" t="e">
        <f t="shared" si="40"/>
        <v>#REF!</v>
      </c>
      <c r="X75" s="3157" t="e">
        <f t="shared" si="40"/>
        <v>#REF!</v>
      </c>
      <c r="Y75" s="3157" t="e">
        <f t="shared" si="40"/>
        <v>#REF!</v>
      </c>
      <c r="Z75" s="3157" t="e">
        <f t="shared" si="40"/>
        <v>#REF!</v>
      </c>
      <c r="AA75" s="3157" t="e">
        <f t="shared" si="40"/>
        <v>#REF!</v>
      </c>
      <c r="AB75" s="144"/>
      <c r="AC75" s="2867">
        <v>0</v>
      </c>
      <c r="AD75" s="2867">
        <v>0</v>
      </c>
      <c r="AE75" s="2867">
        <v>0</v>
      </c>
      <c r="AF75" s="2867">
        <v>0</v>
      </c>
      <c r="AG75" s="2867">
        <v>0</v>
      </c>
      <c r="AH75" s="2867">
        <v>0</v>
      </c>
      <c r="AI75" s="2825"/>
      <c r="AJ75" s="1"/>
      <c r="AK75" s="1"/>
      <c r="AL75" s="1"/>
      <c r="AM75" s="1"/>
      <c r="AN75" s="1"/>
    </row>
    <row r="76" spans="1:40" ht="14" customHeight="1">
      <c r="A76" s="144"/>
      <c r="B76" s="144"/>
      <c r="C76" s="144"/>
      <c r="D76" s="906"/>
      <c r="E76" s="144"/>
      <c r="F76" s="146"/>
      <c r="G76" s="146"/>
      <c r="H76" s="144"/>
      <c r="I76" s="144"/>
      <c r="J76" s="144"/>
      <c r="K76" s="144"/>
      <c r="L76" s="144"/>
      <c r="M76" s="144"/>
      <c r="N76" s="1278"/>
      <c r="O76" s="144"/>
      <c r="P76" s="144"/>
      <c r="Q76" s="144"/>
      <c r="R76" s="146"/>
      <c r="S76" s="144"/>
      <c r="T76" s="144"/>
      <c r="U76" s="3157" t="e">
        <f t="shared" si="40"/>
        <v>#REF!</v>
      </c>
      <c r="V76" s="3157" t="e">
        <f t="shared" si="40"/>
        <v>#REF!</v>
      </c>
      <c r="W76" s="3157" t="e">
        <f t="shared" si="40"/>
        <v>#REF!</v>
      </c>
      <c r="X76" s="3157" t="e">
        <f t="shared" si="40"/>
        <v>#REF!</v>
      </c>
      <c r="Y76" s="3157" t="e">
        <f t="shared" si="40"/>
        <v>#REF!</v>
      </c>
      <c r="Z76" s="3157" t="e">
        <f t="shared" si="40"/>
        <v>#REF!</v>
      </c>
      <c r="AA76" s="3157" t="e">
        <f t="shared" si="40"/>
        <v>#REF!</v>
      </c>
      <c r="AB76" s="144"/>
      <c r="AC76" s="2867">
        <v>0</v>
      </c>
      <c r="AD76" s="2867">
        <v>0</v>
      </c>
      <c r="AE76" s="2867">
        <v>0</v>
      </c>
      <c r="AF76" s="2867">
        <v>0</v>
      </c>
      <c r="AG76" s="2867">
        <v>0</v>
      </c>
      <c r="AH76" s="2867">
        <v>0</v>
      </c>
      <c r="AI76" s="2825"/>
      <c r="AJ76" s="1"/>
      <c r="AK76" s="1"/>
      <c r="AL76" s="1"/>
      <c r="AM76" s="1"/>
      <c r="AN76" s="1"/>
    </row>
    <row r="77" spans="1:40" ht="14" customHeight="1">
      <c r="A77" s="144"/>
      <c r="B77" s="144"/>
      <c r="C77" s="144"/>
      <c r="D77" s="906"/>
      <c r="E77" s="144"/>
      <c r="F77" s="146"/>
      <c r="G77" s="146"/>
      <c r="H77" s="144"/>
      <c r="I77" s="144"/>
      <c r="J77" s="144"/>
      <c r="K77" s="144"/>
      <c r="L77" s="144"/>
      <c r="M77" s="144"/>
      <c r="N77" s="1278"/>
      <c r="O77" s="144"/>
      <c r="P77" s="144"/>
      <c r="Q77" s="144"/>
      <c r="R77" s="146"/>
      <c r="S77" s="144"/>
      <c r="T77" s="144"/>
      <c r="U77" s="3157" t="e">
        <f t="shared" si="40"/>
        <v>#REF!</v>
      </c>
      <c r="V77" s="3157" t="e">
        <f t="shared" si="40"/>
        <v>#REF!</v>
      </c>
      <c r="W77" s="3157" t="e">
        <f t="shared" si="40"/>
        <v>#REF!</v>
      </c>
      <c r="X77" s="3157" t="e">
        <f t="shared" si="40"/>
        <v>#REF!</v>
      </c>
      <c r="Y77" s="3157" t="e">
        <f t="shared" si="40"/>
        <v>#REF!</v>
      </c>
      <c r="Z77" s="3157" t="e">
        <f t="shared" si="40"/>
        <v>#REF!</v>
      </c>
      <c r="AA77" s="3157" t="e">
        <f t="shared" si="40"/>
        <v>#REF!</v>
      </c>
      <c r="AB77" s="144"/>
      <c r="AC77" s="2867"/>
      <c r="AD77" s="2867"/>
      <c r="AE77" s="2867"/>
      <c r="AF77" s="2867"/>
      <c r="AG77" s="2867"/>
      <c r="AH77" s="2867"/>
      <c r="AI77" s="2825"/>
      <c r="AJ77" s="1"/>
      <c r="AK77" s="1"/>
      <c r="AL77" s="1"/>
      <c r="AM77" s="1"/>
      <c r="AN77" s="1"/>
    </row>
    <row r="78" spans="1:40" ht="14" customHeight="1">
      <c r="A78" s="144"/>
      <c r="B78" s="144"/>
      <c r="C78" s="144"/>
      <c r="D78" s="906"/>
      <c r="E78" s="144"/>
      <c r="F78" s="146"/>
      <c r="G78" s="146"/>
      <c r="H78" s="144"/>
      <c r="I78" s="144"/>
      <c r="J78" s="144"/>
      <c r="K78" s="144"/>
      <c r="L78" s="144"/>
      <c r="M78" s="144"/>
      <c r="N78" s="1278"/>
      <c r="O78" s="144"/>
      <c r="P78" s="144"/>
      <c r="Q78" s="144"/>
      <c r="R78" s="146"/>
      <c r="S78" s="144"/>
      <c r="T78" s="144"/>
      <c r="U78" s="3157" t="e">
        <f t="shared" si="40"/>
        <v>#REF!</v>
      </c>
      <c r="V78" s="3157" t="e">
        <f t="shared" si="40"/>
        <v>#REF!</v>
      </c>
      <c r="W78" s="3157" t="e">
        <f t="shared" si="40"/>
        <v>#REF!</v>
      </c>
      <c r="X78" s="3157" t="e">
        <f t="shared" si="40"/>
        <v>#REF!</v>
      </c>
      <c r="Y78" s="3157" t="e">
        <f t="shared" si="40"/>
        <v>#REF!</v>
      </c>
      <c r="Z78" s="3157" t="e">
        <f t="shared" si="40"/>
        <v>#REF!</v>
      </c>
      <c r="AA78" s="3157" t="e">
        <f t="shared" si="40"/>
        <v>#REF!</v>
      </c>
      <c r="AB78" s="144"/>
      <c r="AC78" s="2867"/>
      <c r="AD78" s="2867"/>
      <c r="AE78" s="2867"/>
      <c r="AF78" s="2867"/>
      <c r="AG78" s="2867"/>
      <c r="AH78" s="2867"/>
      <c r="AI78" s="2825"/>
      <c r="AJ78" s="1"/>
      <c r="AK78" s="1"/>
      <c r="AL78" s="1"/>
      <c r="AM78" s="1"/>
      <c r="AN78" s="1"/>
    </row>
    <row r="79" spans="1:40" ht="14" customHeight="1">
      <c r="A79" s="144"/>
      <c r="B79" s="144"/>
      <c r="C79" s="144"/>
      <c r="D79" s="906"/>
      <c r="E79" s="144"/>
      <c r="F79" s="146"/>
      <c r="G79" s="146"/>
      <c r="H79" s="144"/>
      <c r="I79" s="144"/>
      <c r="J79" s="144"/>
      <c r="K79" s="144"/>
      <c r="L79" s="144"/>
      <c r="M79" s="144"/>
      <c r="N79" s="1278"/>
      <c r="O79" s="144"/>
      <c r="P79" s="144"/>
      <c r="Q79" s="144"/>
      <c r="R79" s="146"/>
      <c r="S79" s="144"/>
      <c r="T79" s="144"/>
      <c r="U79" s="3157" t="e">
        <f t="shared" si="40"/>
        <v>#REF!</v>
      </c>
      <c r="V79" s="3157" t="e">
        <f t="shared" si="40"/>
        <v>#REF!</v>
      </c>
      <c r="W79" s="3157" t="e">
        <f t="shared" si="40"/>
        <v>#REF!</v>
      </c>
      <c r="X79" s="3157" t="e">
        <f t="shared" si="40"/>
        <v>#REF!</v>
      </c>
      <c r="Y79" s="3157" t="e">
        <f t="shared" si="40"/>
        <v>#REF!</v>
      </c>
      <c r="Z79" s="3157" t="e">
        <f t="shared" si="40"/>
        <v>#REF!</v>
      </c>
      <c r="AA79" s="3157" t="e">
        <f t="shared" si="40"/>
        <v>#REF!</v>
      </c>
      <c r="AB79" s="144"/>
      <c r="AC79" s="2867">
        <v>0</v>
      </c>
      <c r="AD79" s="2867">
        <v>0</v>
      </c>
      <c r="AE79" s="2867">
        <v>0</v>
      </c>
      <c r="AF79" s="2867">
        <v>0</v>
      </c>
      <c r="AG79" s="2867">
        <v>0</v>
      </c>
      <c r="AH79" s="2867">
        <v>0</v>
      </c>
      <c r="AI79" s="2825"/>
      <c r="AJ79" s="1"/>
      <c r="AK79" s="1"/>
      <c r="AL79" s="1"/>
      <c r="AM79" s="1"/>
      <c r="AN79" s="1"/>
    </row>
    <row r="80" spans="1:40" ht="14" customHeight="1">
      <c r="A80" s="144"/>
      <c r="B80" s="144"/>
      <c r="C80" s="144"/>
      <c r="D80" s="906"/>
      <c r="E80" s="144"/>
      <c r="F80" s="146"/>
      <c r="G80" s="146"/>
      <c r="H80" s="144"/>
      <c r="I80" s="144"/>
      <c r="J80" s="144"/>
      <c r="K80" s="144"/>
      <c r="L80" s="144"/>
      <c r="M80" s="144"/>
      <c r="N80" s="1278"/>
      <c r="O80" s="144"/>
      <c r="P80" s="144"/>
      <c r="Q80" s="144"/>
      <c r="R80" s="146"/>
      <c r="S80" s="144"/>
      <c r="T80" s="144"/>
      <c r="U80" s="3157" t="e">
        <f t="shared" si="40"/>
        <v>#REF!</v>
      </c>
      <c r="V80" s="3157" t="e">
        <f t="shared" si="40"/>
        <v>#REF!</v>
      </c>
      <c r="W80" s="3157" t="e">
        <f t="shared" si="40"/>
        <v>#REF!</v>
      </c>
      <c r="X80" s="3157" t="e">
        <f t="shared" si="40"/>
        <v>#REF!</v>
      </c>
      <c r="Y80" s="3157" t="e">
        <f t="shared" si="40"/>
        <v>#REF!</v>
      </c>
      <c r="Z80" s="3157" t="e">
        <f t="shared" si="40"/>
        <v>#REF!</v>
      </c>
      <c r="AA80" s="3157" t="e">
        <f t="shared" si="40"/>
        <v>#REF!</v>
      </c>
      <c r="AB80" s="144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825"/>
      <c r="AJ80" s="1"/>
      <c r="AK80" s="1"/>
      <c r="AL80" s="1"/>
      <c r="AM80" s="1"/>
      <c r="AN80" s="1"/>
    </row>
    <row r="81" spans="1:40" ht="14" customHeight="1">
      <c r="A81" s="144"/>
      <c r="B81" s="144"/>
      <c r="C81" s="144"/>
      <c r="D81" s="906"/>
      <c r="E81" s="144"/>
      <c r="F81" s="146"/>
      <c r="G81" s="146"/>
      <c r="H81" s="144"/>
      <c r="I81" s="144"/>
      <c r="J81" s="144"/>
      <c r="K81" s="144"/>
      <c r="L81" s="144"/>
      <c r="M81" s="144"/>
      <c r="N81" s="1278"/>
      <c r="O81" s="144"/>
      <c r="P81" s="144"/>
      <c r="Q81" s="144"/>
      <c r="R81" s="146"/>
      <c r="S81" s="144"/>
      <c r="T81" s="144"/>
      <c r="U81" s="3157" t="e">
        <f t="shared" si="40"/>
        <v>#REF!</v>
      </c>
      <c r="V81" s="3157" t="e">
        <f t="shared" si="40"/>
        <v>#REF!</v>
      </c>
      <c r="W81" s="3157" t="e">
        <f t="shared" si="40"/>
        <v>#REF!</v>
      </c>
      <c r="X81" s="3157" t="e">
        <f t="shared" si="40"/>
        <v>#REF!</v>
      </c>
      <c r="Y81" s="3157" t="e">
        <f t="shared" si="40"/>
        <v>#REF!</v>
      </c>
      <c r="Z81" s="3157" t="e">
        <f t="shared" si="40"/>
        <v>#REF!</v>
      </c>
      <c r="AA81" s="3157" t="e">
        <f t="shared" si="40"/>
        <v>#REF!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 ht="14" customHeight="1">
      <c r="A82" s="144"/>
      <c r="B82" s="144"/>
      <c r="C82" s="144"/>
      <c r="D82" s="906"/>
      <c r="E82" s="144"/>
      <c r="F82" s="146"/>
      <c r="G82" s="146"/>
      <c r="H82" s="144"/>
      <c r="I82" s="144"/>
      <c r="J82" s="144"/>
      <c r="K82" s="144"/>
      <c r="L82" s="144"/>
      <c r="M82" s="144"/>
      <c r="N82" s="1278"/>
      <c r="O82" s="144"/>
      <c r="P82" s="144"/>
      <c r="Q82" s="144"/>
      <c r="R82" s="146"/>
      <c r="S82" s="144"/>
      <c r="T82" s="144"/>
      <c r="U82" s="3158" t="e">
        <f>IF(U81&gt;0,U81,U80)</f>
        <v>#REF!</v>
      </c>
      <c r="V82" s="3158" t="e">
        <f t="shared" si="40"/>
        <v>#REF!</v>
      </c>
      <c r="W82" s="3158" t="e">
        <f t="shared" si="40"/>
        <v>#REF!</v>
      </c>
      <c r="X82" s="3158" t="e">
        <f t="shared" si="40"/>
        <v>#REF!</v>
      </c>
      <c r="Y82" s="3158" t="e">
        <f t="shared" si="40"/>
        <v>#REF!</v>
      </c>
      <c r="Z82" s="3158" t="e">
        <f t="shared" si="40"/>
        <v>#REF!</v>
      </c>
      <c r="AA82" s="3158" t="e">
        <f t="shared" si="40"/>
        <v>#REF!</v>
      </c>
      <c r="AB82" s="144"/>
      <c r="AC82" s="2867"/>
      <c r="AD82" s="2867"/>
      <c r="AE82" s="2867"/>
      <c r="AF82" s="2867"/>
      <c r="AG82" s="2867"/>
      <c r="AH82" s="2867"/>
      <c r="AI82" s="2825"/>
      <c r="AJ82" s="1"/>
      <c r="AK82" s="1"/>
      <c r="AL82" s="1"/>
      <c r="AM82" s="1"/>
      <c r="AN82" s="1"/>
    </row>
    <row r="83" spans="1:40" ht="14" customHeight="1">
      <c r="A83" s="144"/>
      <c r="B83" s="144"/>
      <c r="C83" s="144"/>
      <c r="D83" s="906"/>
      <c r="E83" s="144"/>
      <c r="F83" s="146"/>
      <c r="G83" s="146"/>
      <c r="H83" s="144"/>
      <c r="I83" s="144"/>
      <c r="J83" s="144"/>
      <c r="K83" s="144"/>
      <c r="L83" s="144"/>
      <c r="M83" s="144"/>
      <c r="N83" s="1278"/>
      <c r="O83" s="144"/>
      <c r="P83" s="144"/>
      <c r="Q83" s="144"/>
      <c r="R83" s="146"/>
      <c r="S83" s="144"/>
      <c r="T83" s="144"/>
      <c r="U83" s="2838"/>
      <c r="V83" s="2838"/>
      <c r="W83" s="2838"/>
      <c r="X83" s="2838"/>
      <c r="Y83" s="2838"/>
      <c r="Z83" s="2838"/>
      <c r="AA83" s="2838"/>
      <c r="AB83" s="144"/>
      <c r="AC83" s="2867"/>
      <c r="AD83" s="2867"/>
      <c r="AE83" s="2867"/>
      <c r="AF83" s="2867"/>
      <c r="AG83" s="2867"/>
      <c r="AH83" s="2867"/>
      <c r="AI83" s="2825"/>
      <c r="AJ83" s="1"/>
      <c r="AK83" s="1"/>
      <c r="AL83" s="1"/>
      <c r="AM83" s="1"/>
      <c r="AN83" s="1"/>
    </row>
    <row r="84" spans="1:40" ht="14" customHeight="1">
      <c r="A84" s="144"/>
      <c r="B84" s="144"/>
      <c r="C84" s="144"/>
      <c r="D84" s="906"/>
      <c r="E84" s="144"/>
      <c r="F84" s="146"/>
      <c r="G84" s="146"/>
      <c r="H84" s="144"/>
      <c r="I84" s="144"/>
      <c r="J84" s="144"/>
      <c r="K84" s="144"/>
      <c r="L84" s="144"/>
      <c r="M84" s="144"/>
      <c r="N84" s="1278"/>
      <c r="O84" s="144"/>
      <c r="P84" s="144"/>
      <c r="Q84" s="144"/>
      <c r="R84" s="146"/>
      <c r="S84" s="144"/>
      <c r="T84" s="144"/>
      <c r="U84" s="2838"/>
      <c r="V84" s="2838"/>
      <c r="W84" s="2838"/>
      <c r="X84" s="2838"/>
      <c r="Y84" s="2838"/>
      <c r="Z84" s="2838"/>
      <c r="AA84" s="2838"/>
      <c r="AB84" s="144"/>
      <c r="AC84" s="2867">
        <v>0</v>
      </c>
      <c r="AD84" s="2867">
        <v>0</v>
      </c>
      <c r="AE84" s="2867">
        <v>0</v>
      </c>
      <c r="AF84" s="2867">
        <v>0</v>
      </c>
      <c r="AG84" s="2867">
        <v>0</v>
      </c>
      <c r="AH84" s="2867">
        <v>0</v>
      </c>
      <c r="AI84" s="2825"/>
      <c r="AN84" s="1"/>
    </row>
    <row r="85" spans="1:40" ht="14" customHeight="1">
      <c r="A85" s="144"/>
      <c r="B85" s="144"/>
      <c r="C85" s="144"/>
      <c r="D85" s="906"/>
      <c r="E85" s="144"/>
      <c r="F85" s="146"/>
      <c r="G85" s="146"/>
      <c r="H85" s="144"/>
      <c r="I85" s="144"/>
      <c r="J85" s="144"/>
      <c r="K85" s="144"/>
      <c r="L85" s="144"/>
      <c r="M85" s="144"/>
      <c r="N85" s="1278"/>
      <c r="O85" s="144"/>
      <c r="P85" s="144"/>
      <c r="Q85" s="144"/>
      <c r="R85" s="146"/>
      <c r="S85" s="144"/>
      <c r="T85" s="144"/>
      <c r="U85" s="2838"/>
      <c r="V85" s="2838"/>
      <c r="W85" s="2838"/>
      <c r="X85" s="2838"/>
      <c r="Y85" s="2838"/>
      <c r="Z85" s="2838"/>
      <c r="AA85" s="2838"/>
      <c r="AB85" s="144"/>
      <c r="AC85" s="2867"/>
      <c r="AD85" s="2867"/>
      <c r="AE85" s="2867"/>
      <c r="AF85" s="2867"/>
      <c r="AG85" s="2867"/>
      <c r="AH85" s="2867"/>
      <c r="AN85" s="1"/>
    </row>
    <row r="86" spans="1:40" ht="14" customHeight="1">
      <c r="A86" s="144"/>
      <c r="B86" s="144"/>
      <c r="C86" s="144"/>
      <c r="D86" s="906"/>
      <c r="E86" s="144"/>
      <c r="F86" s="146"/>
      <c r="G86" s="146"/>
      <c r="H86" s="144"/>
      <c r="I86" s="144"/>
      <c r="J86" s="144"/>
      <c r="K86" s="144"/>
      <c r="L86" s="144"/>
      <c r="M86" s="144"/>
      <c r="N86" s="1278"/>
      <c r="O86" s="144"/>
      <c r="P86" s="144"/>
      <c r="Q86" s="144"/>
      <c r="R86" s="146"/>
      <c r="S86" s="144"/>
      <c r="T86" s="144"/>
      <c r="U86" s="2838"/>
      <c r="V86" s="2838"/>
      <c r="W86" s="2838"/>
      <c r="X86" s="2838"/>
      <c r="Y86" s="2838"/>
      <c r="Z86" s="2838"/>
      <c r="AA86" s="2838"/>
      <c r="AB86" s="144"/>
      <c r="AN86" s="1"/>
    </row>
    <row r="87" spans="1:40" ht="14" customHeight="1">
      <c r="A87" s="144"/>
      <c r="B87" s="144"/>
      <c r="C87" s="144"/>
      <c r="D87" s="906"/>
      <c r="E87" s="144"/>
      <c r="F87" s="146"/>
      <c r="G87" s="146"/>
      <c r="H87" s="144"/>
      <c r="I87" s="144"/>
      <c r="J87" s="144"/>
      <c r="K87" s="144"/>
      <c r="L87" s="144"/>
      <c r="M87" s="144"/>
      <c r="N87" s="1278"/>
      <c r="O87" s="144"/>
      <c r="P87" s="144"/>
      <c r="Q87" s="144"/>
      <c r="R87" s="146"/>
      <c r="S87" s="144"/>
      <c r="T87" s="144"/>
      <c r="U87" s="2838"/>
      <c r="V87" s="2838"/>
      <c r="W87" s="2838"/>
      <c r="X87" s="2838"/>
      <c r="Y87" s="2838"/>
      <c r="Z87" s="2838"/>
      <c r="AA87" s="2838"/>
      <c r="AB87" s="144"/>
      <c r="AN87" s="1"/>
    </row>
    <row r="88" spans="1:40" ht="14" customHeight="1">
      <c r="A88" s="144"/>
      <c r="B88" s="144"/>
      <c r="C88" s="144"/>
      <c r="D88" s="906"/>
      <c r="E88" s="144"/>
      <c r="F88" s="146"/>
      <c r="G88" s="146"/>
      <c r="H88" s="144"/>
      <c r="I88" s="144"/>
      <c r="J88" s="144"/>
      <c r="K88" s="144"/>
      <c r="L88" s="144"/>
      <c r="M88" s="144"/>
      <c r="N88" s="1278"/>
      <c r="O88" s="144"/>
      <c r="P88" s="144"/>
      <c r="Q88" s="144"/>
      <c r="R88" s="146"/>
      <c r="S88" s="144"/>
      <c r="T88" s="144"/>
      <c r="U88" s="2838"/>
      <c r="V88" s="2838"/>
      <c r="W88" s="2838"/>
      <c r="X88" s="2838"/>
      <c r="Y88" s="2838"/>
      <c r="Z88" s="2838"/>
      <c r="AA88" s="2838"/>
      <c r="AB88" s="144"/>
      <c r="AN88" s="1"/>
    </row>
    <row r="89" spans="1:40" ht="14" customHeight="1">
      <c r="A89" s="144"/>
      <c r="B89" s="144"/>
      <c r="C89" s="144"/>
      <c r="D89" s="906"/>
      <c r="E89" s="144"/>
      <c r="F89" s="146"/>
      <c r="G89" s="146"/>
      <c r="H89" s="144"/>
      <c r="I89" s="144"/>
      <c r="J89" s="144"/>
      <c r="K89" s="144"/>
      <c r="L89" s="144"/>
      <c r="M89" s="144"/>
      <c r="N89" s="1278"/>
      <c r="O89" s="144"/>
      <c r="P89" s="144"/>
      <c r="Q89" s="144"/>
      <c r="R89" s="146"/>
      <c r="S89" s="144"/>
      <c r="T89" s="144"/>
      <c r="U89" s="2838"/>
      <c r="V89" s="2838"/>
      <c r="W89" s="2838"/>
      <c r="X89" s="2838"/>
      <c r="Y89" s="2838"/>
      <c r="Z89" s="2838"/>
      <c r="AA89" s="2838"/>
      <c r="AB89" s="144"/>
      <c r="AN89" s="1"/>
    </row>
    <row r="90" spans="1:40" ht="14" customHeight="1">
      <c r="A90" s="144"/>
      <c r="B90" s="144"/>
      <c r="C90" s="144"/>
      <c r="D90" s="906"/>
      <c r="E90" s="144"/>
      <c r="F90" s="146"/>
      <c r="G90" s="146"/>
      <c r="H90" s="144"/>
      <c r="I90" s="144"/>
      <c r="J90" s="144"/>
      <c r="K90" s="144"/>
      <c r="L90" s="144"/>
      <c r="M90" s="144"/>
      <c r="N90" s="1278"/>
      <c r="O90" s="144"/>
      <c r="P90" s="144"/>
      <c r="Q90" s="144"/>
      <c r="R90" s="146"/>
      <c r="S90" s="144"/>
      <c r="T90" s="144"/>
      <c r="U90" s="2838"/>
      <c r="V90" s="2838"/>
      <c r="W90" s="2838"/>
      <c r="X90" s="2838"/>
      <c r="Y90" s="2838"/>
      <c r="Z90" s="2838"/>
      <c r="AA90" s="2838"/>
      <c r="AB90" s="144"/>
      <c r="AN90" s="1"/>
    </row>
    <row r="91" spans="1:40" ht="14" customHeight="1">
      <c r="A91" s="144"/>
      <c r="B91" s="144"/>
      <c r="C91" s="144"/>
      <c r="D91" s="906"/>
      <c r="E91" s="144"/>
      <c r="F91" s="146"/>
      <c r="G91" s="146"/>
      <c r="H91" s="144"/>
      <c r="I91" s="144"/>
      <c r="J91" s="144"/>
      <c r="K91" s="144"/>
      <c r="L91" s="144"/>
      <c r="M91" s="144"/>
      <c r="N91" s="1278"/>
      <c r="O91" s="144"/>
      <c r="P91" s="144"/>
      <c r="Q91" s="144"/>
      <c r="R91" s="146"/>
      <c r="S91" s="144"/>
      <c r="T91" s="144"/>
      <c r="U91" s="2838"/>
      <c r="V91" s="2838"/>
      <c r="W91" s="2838"/>
      <c r="X91" s="2838"/>
      <c r="Y91" s="2838"/>
      <c r="Z91" s="2838"/>
      <c r="AA91" s="2838"/>
      <c r="AB91" s="144"/>
      <c r="AN91" s="1"/>
    </row>
    <row r="92" spans="1:40" ht="14" customHeight="1">
      <c r="A92" s="144"/>
      <c r="B92" s="144"/>
      <c r="C92" s="144"/>
      <c r="D92" s="906"/>
      <c r="E92" s="144"/>
      <c r="F92" s="146"/>
      <c r="G92" s="146"/>
      <c r="H92" s="144"/>
      <c r="I92" s="144"/>
      <c r="J92" s="144"/>
      <c r="K92" s="144"/>
      <c r="L92" s="144"/>
      <c r="M92" s="144"/>
      <c r="N92" s="1278"/>
      <c r="O92" s="144"/>
      <c r="P92" s="144"/>
      <c r="Q92" s="144"/>
      <c r="R92" s="146"/>
      <c r="S92" s="144"/>
      <c r="T92" s="144"/>
      <c r="U92" s="2838"/>
      <c r="V92" s="2838"/>
      <c r="W92" s="2838"/>
      <c r="X92" s="2838"/>
      <c r="Y92" s="2838"/>
      <c r="Z92" s="2838"/>
      <c r="AA92" s="2838"/>
      <c r="AB92" s="144"/>
      <c r="AN92" s="1"/>
    </row>
    <row r="93" spans="1:40" ht="14" customHeight="1">
      <c r="A93" s="144"/>
      <c r="B93" s="144"/>
      <c r="C93" s="144"/>
      <c r="D93" s="906"/>
      <c r="E93" s="144"/>
      <c r="F93" s="146"/>
      <c r="G93" s="146"/>
      <c r="H93" s="144"/>
      <c r="I93" s="144"/>
      <c r="J93" s="144"/>
      <c r="K93" s="144"/>
      <c r="L93" s="144"/>
      <c r="M93" s="144"/>
      <c r="N93" s="1278"/>
      <c r="O93" s="144"/>
      <c r="P93" s="144"/>
      <c r="Q93" s="144"/>
      <c r="R93" s="146"/>
      <c r="S93" s="144"/>
      <c r="T93" s="144"/>
      <c r="U93" s="2838"/>
      <c r="V93" s="2838"/>
      <c r="W93" s="2838"/>
      <c r="X93" s="2838"/>
      <c r="Y93" s="2838"/>
      <c r="Z93" s="2838"/>
      <c r="AA93" s="2838"/>
      <c r="AB93" s="144"/>
      <c r="AN93" s="1"/>
    </row>
    <row r="94" spans="1:40" ht="14" customHeight="1">
      <c r="A94" s="144"/>
      <c r="B94" s="144"/>
      <c r="C94" s="144"/>
      <c r="D94" s="906"/>
      <c r="E94" s="144"/>
      <c r="F94" s="146"/>
      <c r="G94" s="146"/>
      <c r="H94" s="144"/>
      <c r="I94" s="144"/>
      <c r="J94" s="144"/>
      <c r="K94" s="144"/>
      <c r="L94" s="144"/>
      <c r="M94" s="144"/>
      <c r="N94" s="1278"/>
      <c r="O94" s="144"/>
      <c r="P94" s="144"/>
      <c r="Q94" s="144"/>
      <c r="R94" s="146"/>
      <c r="S94" s="144"/>
      <c r="T94" s="144"/>
      <c r="U94" s="2838"/>
      <c r="V94" s="2838"/>
      <c r="W94" s="2838"/>
      <c r="X94" s="2838"/>
      <c r="Y94" s="2838"/>
      <c r="Z94" s="2838"/>
      <c r="AA94" s="2838"/>
      <c r="AB94" s="144"/>
      <c r="AN94" s="1"/>
    </row>
    <row r="95" spans="1:40" ht="14" customHeight="1">
      <c r="A95" s="144"/>
      <c r="B95" s="144"/>
      <c r="C95" s="144"/>
      <c r="D95" s="906"/>
      <c r="E95" s="144"/>
      <c r="F95" s="146"/>
      <c r="G95" s="146"/>
      <c r="H95" s="144"/>
      <c r="I95" s="144"/>
      <c r="J95" s="144"/>
      <c r="K95" s="144"/>
      <c r="L95" s="144"/>
      <c r="M95" s="144"/>
      <c r="N95" s="1278"/>
      <c r="O95" s="144"/>
      <c r="P95" s="144"/>
      <c r="Q95" s="144"/>
      <c r="R95" s="146"/>
      <c r="S95" s="144"/>
      <c r="T95" s="144"/>
      <c r="U95" s="2838"/>
      <c r="V95" s="2838"/>
      <c r="W95" s="2838"/>
      <c r="X95" s="2838"/>
      <c r="Y95" s="2838"/>
      <c r="Z95" s="2838"/>
      <c r="AA95" s="2838"/>
      <c r="AB95" s="144"/>
      <c r="AN95" s="1"/>
    </row>
    <row r="96" spans="1:40" ht="14" customHeight="1">
      <c r="A96" s="144"/>
      <c r="B96" s="144"/>
      <c r="C96" s="144"/>
      <c r="D96" s="906"/>
      <c r="E96" s="144"/>
      <c r="F96" s="146"/>
      <c r="G96" s="146"/>
      <c r="H96" s="144"/>
      <c r="I96" s="144"/>
      <c r="J96" s="144"/>
      <c r="K96" s="144"/>
      <c r="L96" s="144"/>
      <c r="M96" s="144"/>
      <c r="N96" s="1278"/>
      <c r="O96" s="144"/>
      <c r="P96" s="144"/>
      <c r="Q96" s="144"/>
      <c r="R96" s="146"/>
      <c r="S96" s="144"/>
      <c r="T96" s="144"/>
      <c r="U96" s="2838"/>
      <c r="V96" s="2838"/>
      <c r="W96" s="2838"/>
      <c r="X96" s="2838"/>
      <c r="Y96" s="2838"/>
      <c r="Z96" s="2838"/>
      <c r="AA96" s="2838"/>
      <c r="AB96" s="144"/>
      <c r="AN96" s="1"/>
    </row>
    <row r="97" spans="1:40" ht="14" customHeight="1">
      <c r="A97" s="144"/>
      <c r="B97" s="144"/>
      <c r="C97" s="144"/>
      <c r="D97" s="906"/>
      <c r="E97" s="144"/>
      <c r="F97" s="146"/>
      <c r="G97" s="146"/>
      <c r="H97" s="144"/>
      <c r="I97" s="144"/>
      <c r="J97" s="144"/>
      <c r="K97" s="144"/>
      <c r="L97" s="144"/>
      <c r="M97" s="144"/>
      <c r="N97" s="1278"/>
      <c r="O97" s="144"/>
      <c r="P97" s="144"/>
      <c r="Q97" s="144"/>
      <c r="R97" s="146"/>
      <c r="S97" s="144"/>
      <c r="T97" s="144"/>
      <c r="U97" s="2838"/>
      <c r="V97" s="2838"/>
      <c r="W97" s="2838"/>
      <c r="X97" s="2838"/>
      <c r="Y97" s="2838"/>
      <c r="Z97" s="2838"/>
      <c r="AA97" s="2838"/>
      <c r="AB97" s="144"/>
      <c r="AC97" s="2825"/>
      <c r="AD97" s="2825"/>
      <c r="AE97" s="2825"/>
      <c r="AF97" s="2825"/>
      <c r="AG97" s="2825"/>
      <c r="AH97" s="2825"/>
      <c r="AI97" s="2825"/>
      <c r="AJ97" s="2825"/>
      <c r="AK97" s="2825"/>
      <c r="AL97" s="2825"/>
      <c r="AM97" s="2825"/>
      <c r="AN97" s="1"/>
    </row>
    <row r="98" spans="1:40" s="3021" customFormat="1" ht="14" customHeight="1">
      <c r="A98" s="144"/>
      <c r="B98" s="144"/>
      <c r="C98" s="144"/>
      <c r="D98" s="906"/>
      <c r="E98" s="144"/>
      <c r="F98" s="146"/>
      <c r="G98" s="146"/>
      <c r="H98" s="144"/>
      <c r="I98" s="144"/>
      <c r="J98" s="144"/>
      <c r="K98" s="144"/>
      <c r="L98" s="144"/>
      <c r="M98" s="144"/>
      <c r="N98" s="1278"/>
      <c r="O98" s="144"/>
      <c r="P98" s="144"/>
      <c r="Q98" s="144"/>
      <c r="R98" s="146"/>
      <c r="S98" s="144"/>
      <c r="T98" s="144"/>
      <c r="U98" s="2838"/>
      <c r="V98" s="2838"/>
      <c r="W98" s="2838"/>
      <c r="X98" s="2838"/>
      <c r="Y98" s="2838"/>
      <c r="Z98" s="2838"/>
      <c r="AA98" s="2838"/>
      <c r="AB98" s="144"/>
      <c r="AC98" s="2826"/>
      <c r="AD98" s="2826"/>
      <c r="AE98" s="2826"/>
      <c r="AF98" s="2826"/>
      <c r="AG98" s="2826"/>
      <c r="AH98" s="2826"/>
      <c r="AI98" s="2826"/>
      <c r="AJ98" s="2826"/>
      <c r="AK98" s="2826"/>
      <c r="AL98" s="2826"/>
      <c r="AM98" s="2826"/>
    </row>
    <row r="99" spans="1:40" s="3021" customFormat="1" ht="14" customHeight="1">
      <c r="A99" s="144"/>
      <c r="B99" s="144"/>
      <c r="C99" s="144"/>
      <c r="D99" s="906"/>
      <c r="E99" s="144"/>
      <c r="F99" s="146"/>
      <c r="G99" s="146"/>
      <c r="H99" s="144"/>
      <c r="I99" s="144"/>
      <c r="J99" s="144"/>
      <c r="K99" s="144"/>
      <c r="L99" s="144"/>
      <c r="M99" s="144"/>
      <c r="N99" s="1278"/>
      <c r="O99" s="144"/>
      <c r="P99" s="144"/>
      <c r="Q99" s="144"/>
      <c r="R99" s="146"/>
      <c r="S99" s="144"/>
      <c r="T99" s="144"/>
      <c r="U99" s="2838"/>
      <c r="V99" s="2838"/>
      <c r="W99" s="2838"/>
      <c r="X99" s="2838"/>
      <c r="Y99" s="2838"/>
      <c r="Z99" s="2838"/>
      <c r="AA99" s="2838"/>
      <c r="AB99" s="144"/>
      <c r="AC99" s="2826"/>
      <c r="AD99" s="2826"/>
      <c r="AE99" s="2826"/>
      <c r="AF99" s="2826"/>
      <c r="AG99" s="2826"/>
      <c r="AH99" s="2826"/>
      <c r="AI99" s="2826"/>
      <c r="AJ99" s="2826"/>
      <c r="AK99" s="2826"/>
      <c r="AL99" s="2826"/>
      <c r="AM99" s="2826"/>
    </row>
    <row r="100" spans="1:40" s="3021" customFormat="1" ht="14" customHeight="1">
      <c r="A100" s="144"/>
      <c r="B100" s="144"/>
      <c r="C100" s="144"/>
      <c r="D100" s="906"/>
      <c r="E100" s="144"/>
      <c r="F100" s="146"/>
      <c r="G100" s="146"/>
      <c r="H100" s="144"/>
      <c r="I100" s="144"/>
      <c r="J100" s="144"/>
      <c r="K100" s="144"/>
      <c r="L100" s="144"/>
      <c r="M100" s="144"/>
      <c r="N100" s="1278"/>
      <c r="O100" s="144"/>
      <c r="P100" s="144"/>
      <c r="Q100" s="144"/>
      <c r="R100" s="146"/>
      <c r="S100" s="144"/>
      <c r="T100" s="144"/>
      <c r="U100" s="2838"/>
      <c r="V100" s="2838"/>
      <c r="W100" s="2838"/>
      <c r="X100" s="2838"/>
      <c r="Y100" s="2838"/>
      <c r="Z100" s="2838"/>
      <c r="AA100" s="2838"/>
      <c r="AB100" s="144"/>
      <c r="AC100" s="2826"/>
      <c r="AD100" s="2826"/>
      <c r="AE100" s="2826"/>
      <c r="AF100" s="2826"/>
      <c r="AG100" s="2826"/>
      <c r="AH100" s="2826"/>
      <c r="AI100" s="2826"/>
      <c r="AJ100" s="2826"/>
      <c r="AK100" s="2826"/>
      <c r="AL100" s="2826"/>
      <c r="AM100" s="2826"/>
    </row>
    <row r="101" spans="1:40" s="3021" customFormat="1" ht="14" customHeight="1">
      <c r="A101" s="144"/>
      <c r="B101" s="144"/>
      <c r="C101" s="144"/>
      <c r="D101" s="906"/>
      <c r="E101" s="144"/>
      <c r="F101" s="146"/>
      <c r="G101" s="146"/>
      <c r="H101" s="144"/>
      <c r="I101" s="144"/>
      <c r="J101" s="144"/>
      <c r="K101" s="144"/>
      <c r="L101" s="144"/>
      <c r="M101" s="144"/>
      <c r="N101" s="1278"/>
      <c r="O101" s="144"/>
      <c r="P101" s="144"/>
      <c r="Q101" s="144"/>
      <c r="R101" s="146"/>
      <c r="S101" s="144"/>
      <c r="T101" s="144"/>
      <c r="U101" s="2838"/>
      <c r="V101" s="2838"/>
      <c r="W101" s="2838"/>
      <c r="X101" s="2838"/>
      <c r="Y101" s="2838"/>
      <c r="Z101" s="2838"/>
      <c r="AA101" s="2838"/>
      <c r="AB101" s="144"/>
      <c r="AC101" s="2826"/>
      <c r="AD101" s="2826"/>
      <c r="AE101" s="2826"/>
      <c r="AF101" s="2826"/>
      <c r="AG101" s="2826"/>
      <c r="AH101" s="2826"/>
      <c r="AI101" s="2826"/>
      <c r="AJ101" s="2826"/>
      <c r="AK101" s="2826"/>
      <c r="AL101" s="2826"/>
      <c r="AM101" s="2826"/>
    </row>
    <row r="102" spans="1:40" s="3021" customFormat="1" ht="14" customHeight="1">
      <c r="B102" s="144"/>
      <c r="C102" s="144"/>
      <c r="D102" s="907"/>
      <c r="E102" s="143"/>
      <c r="F102" s="145"/>
      <c r="G102" s="146"/>
      <c r="H102" s="146"/>
      <c r="I102" s="146"/>
      <c r="J102" s="146"/>
      <c r="K102" s="146"/>
      <c r="L102" s="146"/>
      <c r="M102" s="458"/>
      <c r="N102" s="1284"/>
      <c r="O102" s="146"/>
      <c r="P102" s="146"/>
      <c r="Q102" s="147"/>
      <c r="R102" s="147"/>
      <c r="S102" s="142"/>
      <c r="T102" s="142"/>
      <c r="U102" s="2838"/>
      <c r="V102" s="2838"/>
      <c r="W102" s="2838"/>
      <c r="X102" s="2838"/>
      <c r="Y102" s="2838"/>
      <c r="Z102" s="2838"/>
      <c r="AA102" s="2838"/>
      <c r="AC102" s="2826"/>
      <c r="AD102" s="2826"/>
      <c r="AE102" s="2826"/>
      <c r="AF102" s="2826"/>
      <c r="AG102" s="2826"/>
      <c r="AH102" s="2826"/>
      <c r="AI102" s="2826"/>
      <c r="AJ102" s="2826"/>
      <c r="AK102" s="2826"/>
      <c r="AL102" s="2826"/>
      <c r="AM102" s="2826"/>
    </row>
    <row r="103" spans="1:40" s="3021" customFormat="1" ht="14" customHeight="1">
      <c r="B103" s="144"/>
      <c r="C103" s="144"/>
      <c r="D103" s="907"/>
      <c r="E103" s="143"/>
      <c r="F103" s="145"/>
      <c r="G103" s="146"/>
      <c r="H103" s="146"/>
      <c r="I103" s="146"/>
      <c r="J103" s="146"/>
      <c r="K103" s="146"/>
      <c r="L103" s="146"/>
      <c r="M103" s="458"/>
      <c r="N103" s="1284"/>
      <c r="O103" s="146"/>
      <c r="P103" s="146"/>
      <c r="Q103" s="147"/>
      <c r="R103" s="147"/>
      <c r="S103" s="142"/>
      <c r="T103" s="142"/>
      <c r="U103" s="2838"/>
      <c r="V103" s="2838"/>
      <c r="W103" s="2838"/>
      <c r="X103" s="2838"/>
      <c r="Y103" s="2838"/>
      <c r="Z103" s="2838"/>
      <c r="AA103" s="2838"/>
      <c r="AC103" s="2826"/>
      <c r="AD103" s="2826"/>
      <c r="AE103" s="2826"/>
      <c r="AF103" s="2826"/>
      <c r="AG103" s="2826"/>
      <c r="AH103" s="2826"/>
      <c r="AI103" s="2826"/>
      <c r="AJ103" s="2826"/>
      <c r="AK103" s="2826"/>
      <c r="AL103" s="2826"/>
      <c r="AM103" s="2826"/>
    </row>
    <row r="104" spans="1:40" s="3021" customFormat="1" ht="14" customHeight="1">
      <c r="B104" s="144"/>
      <c r="C104" s="144"/>
      <c r="D104" s="907"/>
      <c r="E104" s="143"/>
      <c r="F104" s="145"/>
      <c r="G104" s="146"/>
      <c r="H104" s="146"/>
      <c r="I104" s="146"/>
      <c r="J104" s="146"/>
      <c r="K104" s="146"/>
      <c r="L104" s="146"/>
      <c r="M104" s="458"/>
      <c r="N104" s="1284"/>
      <c r="O104" s="146"/>
      <c r="P104" s="146"/>
      <c r="Q104" s="147"/>
      <c r="R104" s="147"/>
      <c r="S104" s="142"/>
      <c r="T104" s="142"/>
      <c r="U104" s="2838"/>
      <c r="V104" s="2838"/>
      <c r="W104" s="2838"/>
      <c r="X104" s="2838"/>
      <c r="Y104" s="2838"/>
      <c r="Z104" s="2838"/>
      <c r="AA104" s="2838"/>
      <c r="AC104" s="2826"/>
      <c r="AD104" s="2826"/>
      <c r="AE104" s="2826"/>
      <c r="AF104" s="2826"/>
      <c r="AG104" s="2826"/>
      <c r="AH104" s="2826"/>
      <c r="AI104" s="2826"/>
      <c r="AJ104" s="2826"/>
      <c r="AK104" s="2826"/>
      <c r="AL104" s="2826"/>
      <c r="AM104" s="2826"/>
    </row>
    <row r="105" spans="1:40" s="3021" customFormat="1" ht="14" customHeight="1">
      <c r="B105" s="144"/>
      <c r="C105" s="144"/>
      <c r="D105" s="907"/>
      <c r="E105" s="143"/>
      <c r="F105" s="145"/>
      <c r="G105" s="146"/>
      <c r="H105" s="146"/>
      <c r="I105" s="146"/>
      <c r="J105" s="146"/>
      <c r="K105" s="146"/>
      <c r="L105" s="146"/>
      <c r="M105" s="458"/>
      <c r="N105" s="1284"/>
      <c r="O105" s="146"/>
      <c r="P105" s="146"/>
      <c r="Q105" s="147"/>
      <c r="R105" s="147"/>
      <c r="S105" s="142"/>
      <c r="T105" s="142"/>
      <c r="U105" s="2838"/>
      <c r="V105" s="2838"/>
      <c r="W105" s="2838"/>
      <c r="X105" s="2838"/>
      <c r="Y105" s="2838"/>
      <c r="Z105" s="2838"/>
      <c r="AA105" s="2838"/>
      <c r="AC105" s="2826"/>
      <c r="AD105" s="2826"/>
      <c r="AE105" s="2826"/>
      <c r="AF105" s="2826"/>
      <c r="AG105" s="2826"/>
      <c r="AH105" s="2826"/>
      <c r="AI105" s="2826"/>
      <c r="AJ105" s="2826"/>
      <c r="AK105" s="2826"/>
      <c r="AL105" s="2826"/>
      <c r="AM105" s="2826"/>
    </row>
    <row r="106" spans="1:40" s="3021" customFormat="1" ht="14" customHeight="1">
      <c r="B106" s="144"/>
      <c r="C106" s="144"/>
      <c r="D106" s="907"/>
      <c r="E106" s="143"/>
      <c r="F106" s="145"/>
      <c r="G106" s="146"/>
      <c r="H106" s="146"/>
      <c r="I106" s="146"/>
      <c r="J106" s="146"/>
      <c r="K106" s="146"/>
      <c r="L106" s="146"/>
      <c r="M106" s="458"/>
      <c r="N106" s="1284"/>
      <c r="O106" s="146"/>
      <c r="P106" s="146"/>
      <c r="Q106" s="147"/>
      <c r="R106" s="147"/>
      <c r="S106" s="142"/>
      <c r="T106" s="142"/>
      <c r="U106" s="146"/>
      <c r="V106" s="146"/>
      <c r="W106" s="146"/>
      <c r="X106" s="146"/>
      <c r="Y106" s="146"/>
      <c r="Z106" s="146"/>
      <c r="AA106" s="146"/>
      <c r="AC106" s="2826"/>
      <c r="AD106" s="2826"/>
      <c r="AE106" s="2826"/>
      <c r="AF106" s="2826"/>
      <c r="AG106" s="2826"/>
      <c r="AH106" s="2826"/>
      <c r="AI106" s="2826"/>
      <c r="AJ106" s="2826"/>
      <c r="AK106" s="2826"/>
      <c r="AL106" s="2826"/>
      <c r="AM106" s="2826"/>
    </row>
    <row r="107" spans="1:40" s="3021" customFormat="1" ht="14" customHeight="1">
      <c r="B107" s="144"/>
      <c r="C107" s="144"/>
      <c r="D107" s="907"/>
      <c r="E107" s="143"/>
      <c r="F107" s="145"/>
      <c r="G107" s="146"/>
      <c r="H107" s="146"/>
      <c r="I107" s="146"/>
      <c r="J107" s="146"/>
      <c r="K107" s="146"/>
      <c r="L107" s="146"/>
      <c r="M107" s="458"/>
      <c r="N107" s="1284"/>
      <c r="O107" s="146"/>
      <c r="P107" s="146"/>
      <c r="Q107" s="147"/>
      <c r="R107" s="147"/>
      <c r="S107" s="142"/>
      <c r="T107" s="142"/>
      <c r="U107" s="146"/>
      <c r="V107" s="146"/>
      <c r="W107" s="146"/>
      <c r="X107" s="146"/>
      <c r="Y107" s="146"/>
      <c r="Z107" s="146"/>
      <c r="AA107" s="146"/>
      <c r="AC107" s="2826"/>
      <c r="AD107" s="2826"/>
      <c r="AE107" s="2826"/>
      <c r="AF107" s="2826"/>
      <c r="AG107" s="2826"/>
      <c r="AH107" s="2826"/>
      <c r="AI107" s="2826"/>
      <c r="AJ107" s="2826"/>
      <c r="AK107" s="2826"/>
      <c r="AL107" s="2826"/>
      <c r="AM107" s="2826"/>
    </row>
    <row r="108" spans="1:40" s="3021" customFormat="1" ht="14" customHeight="1">
      <c r="B108" s="144"/>
      <c r="C108" s="144"/>
      <c r="D108" s="907"/>
      <c r="E108" s="143"/>
      <c r="F108" s="145"/>
      <c r="G108" s="146"/>
      <c r="H108" s="146"/>
      <c r="I108" s="146"/>
      <c r="J108" s="146"/>
      <c r="K108" s="146"/>
      <c r="L108" s="146"/>
      <c r="M108" s="458"/>
      <c r="N108" s="1284"/>
      <c r="O108" s="146"/>
      <c r="P108" s="146"/>
      <c r="Q108" s="147"/>
      <c r="R108" s="147"/>
      <c r="S108" s="142"/>
      <c r="T108" s="142"/>
      <c r="U108" s="146"/>
      <c r="V108" s="146"/>
      <c r="W108" s="146"/>
      <c r="X108" s="146"/>
      <c r="Y108" s="146"/>
      <c r="Z108" s="146"/>
      <c r="AA108" s="146"/>
      <c r="AC108" s="2826"/>
      <c r="AD108" s="2826"/>
      <c r="AE108" s="2826"/>
      <c r="AF108" s="2826"/>
      <c r="AG108" s="2826"/>
      <c r="AH108" s="2826"/>
      <c r="AI108" s="2826"/>
      <c r="AJ108" s="2826"/>
      <c r="AK108" s="2826"/>
      <c r="AL108" s="2826"/>
      <c r="AM108" s="2826"/>
    </row>
    <row r="109" spans="1:40" s="3021" customFormat="1" ht="14" customHeight="1">
      <c r="B109" s="144"/>
      <c r="C109" s="144"/>
      <c r="D109" s="907"/>
      <c r="E109" s="143"/>
      <c r="F109" s="145"/>
      <c r="G109" s="146"/>
      <c r="H109" s="146"/>
      <c r="I109" s="146"/>
      <c r="J109" s="146"/>
      <c r="K109" s="146"/>
      <c r="L109" s="146"/>
      <c r="M109" s="458"/>
      <c r="N109" s="1284"/>
      <c r="O109" s="146"/>
      <c r="P109" s="146"/>
      <c r="Q109" s="147"/>
      <c r="R109" s="147"/>
      <c r="S109" s="142"/>
      <c r="T109" s="142"/>
      <c r="U109" s="146"/>
      <c r="V109" s="146"/>
      <c r="W109" s="146"/>
      <c r="X109" s="146"/>
      <c r="Y109" s="146"/>
      <c r="Z109" s="146"/>
      <c r="AA109" s="146"/>
      <c r="AC109" s="2826"/>
      <c r="AD109" s="2826"/>
      <c r="AE109" s="2826"/>
      <c r="AF109" s="2826"/>
      <c r="AG109" s="2826"/>
      <c r="AH109" s="2826"/>
      <c r="AI109" s="2826"/>
      <c r="AJ109" s="2826"/>
      <c r="AK109" s="2826"/>
      <c r="AL109" s="2826"/>
      <c r="AM109" s="2826"/>
    </row>
    <row r="110" spans="1:40" s="3021" customFormat="1" ht="14" customHeight="1">
      <c r="B110" s="144"/>
      <c r="C110" s="144"/>
      <c r="D110" s="907"/>
      <c r="E110" s="143"/>
      <c r="F110" s="145"/>
      <c r="G110" s="146"/>
      <c r="H110" s="146"/>
      <c r="I110" s="146"/>
      <c r="J110" s="146"/>
      <c r="K110" s="146"/>
      <c r="L110" s="146"/>
      <c r="M110" s="458"/>
      <c r="N110" s="1284"/>
      <c r="O110" s="146"/>
      <c r="P110" s="146"/>
      <c r="Q110" s="147"/>
      <c r="R110" s="147"/>
      <c r="S110" s="142"/>
      <c r="T110" s="142"/>
      <c r="U110" s="146"/>
      <c r="V110" s="146"/>
      <c r="W110" s="146"/>
      <c r="X110" s="146"/>
      <c r="Y110" s="146"/>
      <c r="Z110" s="146"/>
      <c r="AA110" s="146"/>
      <c r="AC110" s="2826"/>
      <c r="AD110" s="2826"/>
      <c r="AE110" s="2826"/>
      <c r="AF110" s="2826"/>
      <c r="AG110" s="2826"/>
      <c r="AH110" s="2826"/>
      <c r="AI110" s="2826"/>
      <c r="AJ110" s="2826"/>
      <c r="AK110" s="2826"/>
      <c r="AL110" s="2826"/>
      <c r="AM110" s="2826"/>
    </row>
    <row r="111" spans="1:40" s="3021" customFormat="1" ht="14" customHeight="1">
      <c r="B111" s="144"/>
      <c r="C111" s="144"/>
      <c r="D111" s="907"/>
      <c r="E111" s="143"/>
      <c r="F111" s="145"/>
      <c r="G111" s="146"/>
      <c r="H111" s="146"/>
      <c r="I111" s="146"/>
      <c r="J111" s="146"/>
      <c r="K111" s="146"/>
      <c r="L111" s="146"/>
      <c r="M111" s="458"/>
      <c r="N111" s="1284"/>
      <c r="O111" s="146"/>
      <c r="P111" s="146"/>
      <c r="Q111" s="147"/>
      <c r="R111" s="147"/>
      <c r="S111" s="142"/>
      <c r="T111" s="142"/>
      <c r="U111" s="146"/>
      <c r="V111" s="146"/>
      <c r="W111" s="146"/>
      <c r="X111" s="146"/>
      <c r="Y111" s="146"/>
      <c r="Z111" s="146"/>
      <c r="AA111" s="146"/>
      <c r="AC111" s="2826"/>
      <c r="AD111" s="2826"/>
      <c r="AE111" s="2826"/>
      <c r="AF111" s="2826"/>
      <c r="AG111" s="2826"/>
      <c r="AH111" s="2826"/>
      <c r="AI111" s="2826"/>
      <c r="AJ111" s="2826"/>
      <c r="AK111" s="2826"/>
      <c r="AL111" s="2826"/>
      <c r="AM111" s="2826"/>
    </row>
    <row r="112" spans="1:40" s="3021" customFormat="1" ht="14" customHeight="1">
      <c r="B112" s="144"/>
      <c r="C112" s="144"/>
      <c r="D112" s="907"/>
      <c r="E112" s="143"/>
      <c r="F112" s="145"/>
      <c r="G112" s="146"/>
      <c r="H112" s="146"/>
      <c r="I112" s="146"/>
      <c r="J112" s="146"/>
      <c r="K112" s="146"/>
      <c r="L112" s="146"/>
      <c r="M112" s="458"/>
      <c r="N112" s="1284"/>
      <c r="O112" s="146"/>
      <c r="P112" s="146"/>
      <c r="Q112" s="147"/>
      <c r="R112" s="147"/>
      <c r="S112" s="142"/>
      <c r="T112" s="142"/>
      <c r="U112" s="146"/>
      <c r="V112" s="146"/>
      <c r="W112" s="146"/>
      <c r="X112" s="146"/>
      <c r="Y112" s="146"/>
      <c r="Z112" s="146"/>
      <c r="AA112" s="146"/>
      <c r="AC112" s="2826"/>
      <c r="AD112" s="2826"/>
      <c r="AE112" s="2826"/>
      <c r="AF112" s="2826"/>
      <c r="AG112" s="2826"/>
      <c r="AH112" s="2826"/>
      <c r="AI112" s="2826"/>
      <c r="AJ112" s="2826"/>
      <c r="AK112" s="2826"/>
      <c r="AL112" s="2826"/>
      <c r="AM112" s="2826"/>
    </row>
    <row r="113" spans="2:39" s="3021" customFormat="1" ht="14" customHeight="1">
      <c r="B113" s="144"/>
      <c r="C113" s="144"/>
      <c r="D113" s="907"/>
      <c r="E113" s="143"/>
      <c r="F113" s="145"/>
      <c r="G113" s="146"/>
      <c r="H113" s="146"/>
      <c r="I113" s="146"/>
      <c r="J113" s="146"/>
      <c r="K113" s="146"/>
      <c r="L113" s="146"/>
      <c r="M113" s="458"/>
      <c r="N113" s="1284"/>
      <c r="O113" s="146"/>
      <c r="P113" s="146"/>
      <c r="Q113" s="147"/>
      <c r="R113" s="147"/>
      <c r="S113" s="142"/>
      <c r="T113" s="142"/>
      <c r="U113" s="146"/>
      <c r="V113" s="146"/>
      <c r="W113" s="146"/>
      <c r="X113" s="146"/>
      <c r="Y113" s="146"/>
      <c r="Z113" s="146"/>
      <c r="AA113" s="146"/>
      <c r="AC113" s="2826"/>
      <c r="AD113" s="2826"/>
      <c r="AE113" s="2826"/>
      <c r="AF113" s="2826"/>
      <c r="AG113" s="2826"/>
      <c r="AH113" s="2826"/>
      <c r="AI113" s="2826"/>
      <c r="AJ113" s="2826"/>
      <c r="AK113" s="2826"/>
      <c r="AL113" s="2826"/>
      <c r="AM113" s="2826"/>
    </row>
    <row r="114" spans="2:39" s="3021" customFormat="1" ht="14" customHeight="1">
      <c r="B114" s="144"/>
      <c r="C114" s="144"/>
      <c r="D114" s="907"/>
      <c r="E114" s="143"/>
      <c r="F114" s="145"/>
      <c r="G114" s="146"/>
      <c r="H114" s="146"/>
      <c r="I114" s="146"/>
      <c r="J114" s="146"/>
      <c r="K114" s="146"/>
      <c r="L114" s="146"/>
      <c r="M114" s="458"/>
      <c r="N114" s="1284"/>
      <c r="O114" s="146"/>
      <c r="P114" s="146"/>
      <c r="Q114" s="147"/>
      <c r="R114" s="147"/>
      <c r="S114" s="142"/>
      <c r="T114" s="142"/>
      <c r="U114" s="146"/>
      <c r="V114" s="146"/>
      <c r="W114" s="146"/>
      <c r="X114" s="146"/>
      <c r="Y114" s="146"/>
      <c r="Z114" s="146"/>
      <c r="AA114" s="146"/>
      <c r="AC114" s="2826"/>
      <c r="AD114" s="2826"/>
      <c r="AE114" s="2826"/>
      <c r="AF114" s="2826"/>
      <c r="AG114" s="2826"/>
      <c r="AH114" s="2826"/>
      <c r="AI114" s="2826"/>
      <c r="AJ114" s="2826"/>
      <c r="AK114" s="2826"/>
      <c r="AL114" s="2826"/>
      <c r="AM114" s="2826"/>
    </row>
    <row r="115" spans="2:39" s="3021" customFormat="1" ht="14" customHeight="1">
      <c r="B115" s="144"/>
      <c r="C115" s="144"/>
      <c r="D115" s="907"/>
      <c r="E115" s="143"/>
      <c r="F115" s="145"/>
      <c r="G115" s="146"/>
      <c r="H115" s="146"/>
      <c r="I115" s="146"/>
      <c r="J115" s="146"/>
      <c r="K115" s="146"/>
      <c r="L115" s="146"/>
      <c r="M115" s="458"/>
      <c r="N115" s="1284"/>
      <c r="O115" s="146"/>
      <c r="P115" s="146"/>
      <c r="Q115" s="147"/>
      <c r="R115" s="147"/>
      <c r="S115" s="142"/>
      <c r="T115" s="142"/>
      <c r="U115" s="146"/>
      <c r="V115" s="146"/>
      <c r="W115" s="146"/>
      <c r="X115" s="146"/>
      <c r="Y115" s="146"/>
      <c r="Z115" s="146"/>
      <c r="AA115" s="146"/>
      <c r="AC115" s="2826"/>
      <c r="AD115" s="2826"/>
      <c r="AE115" s="2826"/>
      <c r="AF115" s="2826"/>
      <c r="AG115" s="2826"/>
      <c r="AH115" s="2826"/>
      <c r="AI115" s="2826"/>
      <c r="AJ115" s="2826"/>
      <c r="AK115" s="2826"/>
      <c r="AL115" s="2826"/>
      <c r="AM115" s="2826"/>
    </row>
    <row r="116" spans="2:39" s="3021" customFormat="1" ht="14" customHeight="1">
      <c r="B116" s="144"/>
      <c r="C116" s="144"/>
      <c r="D116" s="907"/>
      <c r="E116" s="143"/>
      <c r="F116" s="145"/>
      <c r="G116" s="146"/>
      <c r="H116" s="146"/>
      <c r="I116" s="146"/>
      <c r="J116" s="146"/>
      <c r="K116" s="146"/>
      <c r="L116" s="146"/>
      <c r="M116" s="458"/>
      <c r="N116" s="1284"/>
      <c r="O116" s="146"/>
      <c r="P116" s="146"/>
      <c r="Q116" s="147"/>
      <c r="R116" s="147"/>
      <c r="S116" s="142"/>
      <c r="T116" s="142"/>
      <c r="U116" s="146"/>
      <c r="V116" s="146"/>
      <c r="W116" s="146"/>
      <c r="X116" s="146"/>
      <c r="Y116" s="146"/>
      <c r="Z116" s="146"/>
      <c r="AA116" s="146"/>
      <c r="AC116" s="2826"/>
      <c r="AD116" s="2826"/>
      <c r="AE116" s="2826"/>
      <c r="AF116" s="2826"/>
      <c r="AG116" s="2826"/>
      <c r="AH116" s="2826"/>
      <c r="AI116" s="2826"/>
      <c r="AJ116" s="2826"/>
      <c r="AK116" s="2826"/>
      <c r="AL116" s="2826"/>
      <c r="AM116" s="2826"/>
    </row>
    <row r="117" spans="2:39" s="3021" customFormat="1" ht="14" customHeight="1">
      <c r="B117" s="144"/>
      <c r="C117" s="144"/>
      <c r="D117" s="907"/>
      <c r="E117" s="143"/>
      <c r="F117" s="145"/>
      <c r="G117" s="146"/>
      <c r="H117" s="146"/>
      <c r="I117" s="146"/>
      <c r="J117" s="146"/>
      <c r="K117" s="146"/>
      <c r="L117" s="146"/>
      <c r="M117" s="458"/>
      <c r="N117" s="1284"/>
      <c r="O117" s="146"/>
      <c r="P117" s="146"/>
      <c r="Q117" s="147"/>
      <c r="R117" s="147"/>
      <c r="S117" s="142"/>
      <c r="T117" s="142"/>
      <c r="U117" s="146"/>
      <c r="V117" s="146"/>
      <c r="W117" s="146"/>
      <c r="X117" s="146"/>
      <c r="Y117" s="146"/>
      <c r="Z117" s="146"/>
      <c r="AA117" s="146"/>
      <c r="AC117" s="2826"/>
      <c r="AD117" s="2826"/>
      <c r="AE117" s="2826"/>
      <c r="AF117" s="2826"/>
      <c r="AG117" s="2826"/>
      <c r="AH117" s="2826"/>
      <c r="AI117" s="2826"/>
      <c r="AJ117" s="2826"/>
      <c r="AK117" s="2826"/>
      <c r="AL117" s="2826"/>
      <c r="AM117" s="2826"/>
    </row>
    <row r="118" spans="2:39" s="3021" customFormat="1" ht="14" customHeight="1">
      <c r="B118" s="144"/>
      <c r="C118" s="144"/>
      <c r="D118" s="907"/>
      <c r="E118" s="143"/>
      <c r="F118" s="145"/>
      <c r="G118" s="146"/>
      <c r="H118" s="146"/>
      <c r="I118" s="146"/>
      <c r="J118" s="146"/>
      <c r="K118" s="146"/>
      <c r="L118" s="146"/>
      <c r="M118" s="458"/>
      <c r="N118" s="1284"/>
      <c r="O118" s="146"/>
      <c r="P118" s="146"/>
      <c r="Q118" s="147"/>
      <c r="R118" s="147"/>
      <c r="S118" s="142"/>
      <c r="T118" s="142"/>
      <c r="U118" s="146"/>
      <c r="V118" s="146"/>
      <c r="W118" s="146"/>
      <c r="X118" s="146"/>
      <c r="Y118" s="146"/>
      <c r="Z118" s="146"/>
      <c r="AA118" s="146"/>
      <c r="AC118" s="2826"/>
      <c r="AD118" s="2826"/>
      <c r="AE118" s="2826"/>
      <c r="AF118" s="2826"/>
      <c r="AG118" s="2826"/>
      <c r="AH118" s="2826"/>
      <c r="AI118" s="2826"/>
      <c r="AJ118" s="2826"/>
      <c r="AK118" s="2826"/>
      <c r="AL118" s="2826"/>
      <c r="AM118" s="2826"/>
    </row>
    <row r="119" spans="2:39" s="3021" customFormat="1" ht="14" customHeight="1">
      <c r="B119" s="144"/>
      <c r="C119" s="144"/>
      <c r="D119" s="907"/>
      <c r="E119" s="143"/>
      <c r="F119" s="145"/>
      <c r="G119" s="146"/>
      <c r="H119" s="146"/>
      <c r="I119" s="146"/>
      <c r="J119" s="146"/>
      <c r="K119" s="146"/>
      <c r="L119" s="146"/>
      <c r="M119" s="458"/>
      <c r="N119" s="1284"/>
      <c r="O119" s="146"/>
      <c r="P119" s="146"/>
      <c r="Q119" s="147"/>
      <c r="R119" s="147"/>
      <c r="S119" s="142"/>
      <c r="T119" s="142"/>
      <c r="U119" s="146"/>
      <c r="V119" s="146"/>
      <c r="W119" s="146"/>
      <c r="X119" s="146"/>
      <c r="Y119" s="146"/>
      <c r="Z119" s="146"/>
      <c r="AA119" s="146"/>
      <c r="AC119" s="2826"/>
      <c r="AD119" s="2826"/>
      <c r="AE119" s="2826"/>
      <c r="AF119" s="2826"/>
      <c r="AG119" s="2826"/>
      <c r="AH119" s="2826"/>
      <c r="AI119" s="2826"/>
      <c r="AJ119" s="2826"/>
      <c r="AK119" s="2826"/>
      <c r="AL119" s="2826"/>
      <c r="AM119" s="2826"/>
    </row>
    <row r="120" spans="2:39" s="3021" customFormat="1" ht="14" customHeight="1">
      <c r="B120" s="144"/>
      <c r="C120" s="144"/>
      <c r="D120" s="907"/>
      <c r="E120" s="143"/>
      <c r="F120" s="145"/>
      <c r="G120" s="146"/>
      <c r="H120" s="146"/>
      <c r="I120" s="146"/>
      <c r="J120" s="146"/>
      <c r="K120" s="146"/>
      <c r="L120" s="146"/>
      <c r="M120" s="458"/>
      <c r="N120" s="1284"/>
      <c r="O120" s="146"/>
      <c r="P120" s="146"/>
      <c r="Q120" s="147"/>
      <c r="R120" s="147"/>
      <c r="S120" s="142"/>
      <c r="T120" s="142"/>
      <c r="U120" s="146"/>
      <c r="V120" s="146"/>
      <c r="W120" s="146"/>
      <c r="X120" s="146"/>
      <c r="Y120" s="146"/>
      <c r="Z120" s="146"/>
      <c r="AA120" s="146"/>
      <c r="AC120" s="2826"/>
      <c r="AD120" s="2826"/>
      <c r="AE120" s="2826"/>
      <c r="AF120" s="2826"/>
      <c r="AG120" s="2826"/>
      <c r="AH120" s="2826"/>
      <c r="AI120" s="2826"/>
      <c r="AJ120" s="2826"/>
      <c r="AK120" s="2826"/>
      <c r="AL120" s="2826"/>
      <c r="AM120" s="2826"/>
    </row>
    <row r="121" spans="2:39" s="3021" customFormat="1" ht="14" customHeight="1">
      <c r="B121" s="144"/>
      <c r="C121" s="144"/>
      <c r="D121" s="907"/>
      <c r="E121" s="143"/>
      <c r="F121" s="145"/>
      <c r="G121" s="146"/>
      <c r="H121" s="146"/>
      <c r="I121" s="146"/>
      <c r="J121" s="146"/>
      <c r="K121" s="146"/>
      <c r="L121" s="146"/>
      <c r="M121" s="458"/>
      <c r="N121" s="1284"/>
      <c r="O121" s="146"/>
      <c r="P121" s="146"/>
      <c r="Q121" s="147"/>
      <c r="R121" s="147"/>
      <c r="S121" s="142"/>
      <c r="T121" s="142"/>
      <c r="U121" s="146"/>
      <c r="V121" s="146"/>
      <c r="W121" s="146"/>
      <c r="X121" s="146"/>
      <c r="Y121" s="146"/>
      <c r="Z121" s="146"/>
      <c r="AA121" s="146"/>
      <c r="AC121" s="2826"/>
      <c r="AD121" s="2826"/>
      <c r="AE121" s="2826"/>
      <c r="AF121" s="2826"/>
      <c r="AG121" s="2826"/>
      <c r="AH121" s="2826"/>
      <c r="AI121" s="2826"/>
      <c r="AJ121" s="2826"/>
      <c r="AK121" s="2826"/>
      <c r="AL121" s="2826"/>
      <c r="AM121" s="2826"/>
    </row>
    <row r="122" spans="2:39" s="3021" customFormat="1" ht="14" customHeight="1">
      <c r="B122" s="144"/>
      <c r="C122" s="144"/>
      <c r="D122" s="907"/>
      <c r="E122" s="143"/>
      <c r="F122" s="145"/>
      <c r="G122" s="146"/>
      <c r="H122" s="146"/>
      <c r="I122" s="146"/>
      <c r="J122" s="146"/>
      <c r="K122" s="146"/>
      <c r="L122" s="146"/>
      <c r="M122" s="458"/>
      <c r="N122" s="1284"/>
      <c r="O122" s="146"/>
      <c r="P122" s="146"/>
      <c r="Q122" s="147"/>
      <c r="R122" s="147"/>
      <c r="S122" s="142"/>
      <c r="T122" s="142"/>
      <c r="U122" s="146"/>
      <c r="V122" s="146"/>
      <c r="W122" s="146"/>
      <c r="X122" s="146"/>
      <c r="Y122" s="146"/>
      <c r="Z122" s="146"/>
      <c r="AA122" s="146"/>
      <c r="AC122" s="2826"/>
      <c r="AD122" s="2826"/>
      <c r="AE122" s="2826"/>
      <c r="AF122" s="2826"/>
      <c r="AG122" s="2826"/>
      <c r="AH122" s="2826"/>
      <c r="AI122" s="2826"/>
      <c r="AJ122" s="2826"/>
      <c r="AK122" s="2826"/>
      <c r="AL122" s="2826"/>
      <c r="AM122" s="2826"/>
    </row>
    <row r="123" spans="2:39" s="3021" customFormat="1" ht="14" customHeight="1">
      <c r="B123" s="144"/>
      <c r="C123" s="144"/>
      <c r="D123" s="907"/>
      <c r="E123" s="143"/>
      <c r="F123" s="145"/>
      <c r="G123" s="146"/>
      <c r="H123" s="146"/>
      <c r="I123" s="146"/>
      <c r="J123" s="146"/>
      <c r="K123" s="146"/>
      <c r="L123" s="146"/>
      <c r="M123" s="458"/>
      <c r="N123" s="1284"/>
      <c r="O123" s="146"/>
      <c r="P123" s="146"/>
      <c r="Q123" s="147"/>
      <c r="R123" s="147"/>
      <c r="S123" s="142"/>
      <c r="T123" s="142"/>
      <c r="U123" s="146"/>
      <c r="V123" s="146"/>
      <c r="W123" s="146"/>
      <c r="X123" s="146"/>
      <c r="Y123" s="146"/>
      <c r="Z123" s="146"/>
      <c r="AA123" s="146"/>
      <c r="AC123" s="2826"/>
      <c r="AD123" s="2826"/>
      <c r="AE123" s="2826"/>
      <c r="AF123" s="2826"/>
      <c r="AG123" s="2826"/>
      <c r="AH123" s="2826"/>
      <c r="AI123" s="2826"/>
      <c r="AJ123" s="2826"/>
      <c r="AK123" s="2826"/>
      <c r="AL123" s="2826"/>
      <c r="AM123" s="2826"/>
    </row>
    <row r="124" spans="2:39" s="3021" customFormat="1" ht="14" customHeight="1">
      <c r="B124" s="144"/>
      <c r="C124" s="144"/>
      <c r="D124" s="907"/>
      <c r="E124" s="143"/>
      <c r="F124" s="145"/>
      <c r="G124" s="146"/>
      <c r="H124" s="146"/>
      <c r="I124" s="146"/>
      <c r="J124" s="146"/>
      <c r="K124" s="146"/>
      <c r="L124" s="146"/>
      <c r="M124" s="458"/>
      <c r="N124" s="1284"/>
      <c r="O124" s="146"/>
      <c r="P124" s="146"/>
      <c r="Q124" s="147"/>
      <c r="R124" s="147"/>
      <c r="S124" s="142"/>
      <c r="T124" s="142"/>
      <c r="U124" s="146"/>
      <c r="V124" s="146"/>
      <c r="W124" s="146"/>
      <c r="X124" s="146"/>
      <c r="Y124" s="146"/>
      <c r="Z124" s="146"/>
      <c r="AA124" s="146"/>
      <c r="AC124" s="2826"/>
      <c r="AD124" s="2826"/>
      <c r="AE124" s="2826"/>
      <c r="AF124" s="2826"/>
      <c r="AG124" s="2826"/>
      <c r="AH124" s="2826"/>
      <c r="AI124" s="2826"/>
      <c r="AJ124" s="2826"/>
      <c r="AK124" s="2826"/>
      <c r="AL124" s="2826"/>
      <c r="AM124" s="2826"/>
    </row>
    <row r="125" spans="2:39" s="3021" customFormat="1" ht="14" customHeight="1">
      <c r="B125" s="144"/>
      <c r="C125" s="144"/>
      <c r="D125" s="907"/>
      <c r="E125" s="143"/>
      <c r="F125" s="145"/>
      <c r="G125" s="146"/>
      <c r="H125" s="146"/>
      <c r="I125" s="146"/>
      <c r="J125" s="146"/>
      <c r="K125" s="146"/>
      <c r="L125" s="146"/>
      <c r="M125" s="458"/>
      <c r="N125" s="1284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C125" s="2826"/>
      <c r="AD125" s="2826"/>
      <c r="AE125" s="2826"/>
      <c r="AF125" s="2826"/>
      <c r="AG125" s="2826"/>
      <c r="AH125" s="2826"/>
      <c r="AI125" s="2826"/>
      <c r="AJ125" s="2826"/>
      <c r="AK125" s="2826"/>
      <c r="AL125" s="2826"/>
      <c r="AM125" s="2826"/>
    </row>
    <row r="126" spans="2:39" s="3021" customFormat="1" ht="14" customHeight="1">
      <c r="B126" s="144"/>
      <c r="C126" s="144"/>
      <c r="D126" s="907"/>
      <c r="E126" s="143"/>
      <c r="F126" s="145"/>
      <c r="G126" s="146"/>
      <c r="H126" s="146"/>
      <c r="I126" s="146"/>
      <c r="J126" s="146"/>
      <c r="K126" s="146"/>
      <c r="L126" s="146"/>
      <c r="M126" s="458"/>
      <c r="N126" s="1284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C126" s="2826"/>
      <c r="AD126" s="2826"/>
      <c r="AE126" s="2826"/>
      <c r="AF126" s="2826"/>
      <c r="AG126" s="2826"/>
      <c r="AH126" s="2826"/>
      <c r="AI126" s="2826"/>
      <c r="AJ126" s="2826"/>
      <c r="AK126" s="2826"/>
      <c r="AL126" s="2826"/>
      <c r="AM126" s="2826"/>
    </row>
    <row r="127" spans="2:39" s="3021" customFormat="1" ht="14" customHeight="1">
      <c r="B127" s="144"/>
      <c r="C127" s="144"/>
      <c r="D127" s="907"/>
      <c r="E127" s="143"/>
      <c r="F127" s="145"/>
      <c r="G127" s="146"/>
      <c r="H127" s="146"/>
      <c r="I127" s="146"/>
      <c r="J127" s="146"/>
      <c r="K127" s="146"/>
      <c r="L127" s="146"/>
      <c r="M127" s="458"/>
      <c r="N127" s="1284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B127" s="3021">
        <f>SUBTOTAL(9,AB85:AB126)</f>
        <v>0</v>
      </c>
      <c r="AC127" s="2826">
        <f>SUBTOTAL(9,AC85:AC126)</f>
        <v>0</v>
      </c>
      <c r="AD127" s="2826">
        <f>SUBTOTAL(9,AD85:AD126)</f>
        <v>0</v>
      </c>
      <c r="AE127" s="2826"/>
      <c r="AF127" s="2826"/>
      <c r="AG127" s="2826"/>
      <c r="AH127" s="2826"/>
      <c r="AI127" s="2826"/>
      <c r="AJ127" s="2826"/>
      <c r="AK127" s="2826"/>
      <c r="AL127" s="2826"/>
      <c r="AM127" s="2826"/>
    </row>
    <row r="128" spans="2:39" s="3021" customFormat="1" ht="14" customHeight="1">
      <c r="B128" s="144"/>
      <c r="C128" s="144"/>
      <c r="D128" s="907"/>
      <c r="E128" s="143"/>
      <c r="F128" s="145"/>
      <c r="G128" s="146"/>
      <c r="H128" s="146"/>
      <c r="I128" s="146"/>
      <c r="J128" s="146"/>
      <c r="K128" s="146"/>
      <c r="L128" s="146"/>
      <c r="M128" s="458"/>
      <c r="N128" s="1284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B128" s="3021">
        <v>0</v>
      </c>
      <c r="AC128" s="2826">
        <v>0</v>
      </c>
      <c r="AD128" s="2826">
        <v>0</v>
      </c>
      <c r="AE128" s="2826"/>
      <c r="AF128" s="2826"/>
      <c r="AG128" s="2826"/>
      <c r="AH128" s="2826"/>
      <c r="AI128" s="2826"/>
      <c r="AJ128" s="2826"/>
      <c r="AK128" s="2826"/>
      <c r="AL128" s="2826"/>
      <c r="AM128" s="2826"/>
    </row>
    <row r="129" spans="2:41" s="3021" customFormat="1" ht="14" customHeight="1">
      <c r="B129" s="144"/>
      <c r="C129" s="144"/>
      <c r="D129" s="907"/>
      <c r="E129" s="143"/>
      <c r="F129" s="145"/>
      <c r="G129" s="146"/>
      <c r="H129" s="146"/>
      <c r="I129" s="146"/>
      <c r="J129" s="146"/>
      <c r="K129" s="146"/>
      <c r="L129" s="146"/>
      <c r="M129" s="458"/>
      <c r="N129" s="1284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B129" s="3021">
        <v>0</v>
      </c>
      <c r="AC129" s="2826">
        <v>0</v>
      </c>
      <c r="AD129" s="2826">
        <v>0</v>
      </c>
      <c r="AE129" s="2826"/>
      <c r="AF129" s="2826"/>
      <c r="AG129" s="2826"/>
      <c r="AH129" s="2826"/>
      <c r="AI129" s="2826"/>
      <c r="AJ129" s="2826"/>
      <c r="AK129" s="2826"/>
      <c r="AL129" s="2826"/>
      <c r="AM129" s="2826"/>
    </row>
    <row r="130" spans="2:41" s="3021" customFormat="1" ht="14" customHeight="1">
      <c r="B130" s="144"/>
      <c r="C130" s="144"/>
      <c r="D130" s="907"/>
      <c r="E130" s="143"/>
      <c r="F130" s="145"/>
      <c r="G130" s="146"/>
      <c r="H130" s="146"/>
      <c r="I130" s="146"/>
      <c r="J130" s="146"/>
      <c r="K130" s="146"/>
      <c r="L130" s="146"/>
      <c r="M130" s="458"/>
      <c r="N130" s="1284"/>
      <c r="O130" s="146"/>
      <c r="P130" s="146"/>
      <c r="Q130" s="147"/>
      <c r="R130" s="147"/>
      <c r="S130" s="142"/>
      <c r="T130" s="142"/>
      <c r="U130" s="146"/>
      <c r="V130" s="146"/>
      <c r="W130" s="146"/>
      <c r="X130" s="146"/>
      <c r="Y130" s="146"/>
      <c r="Z130" s="146"/>
      <c r="AA130" s="146"/>
      <c r="AB130" s="3021">
        <v>0</v>
      </c>
      <c r="AC130" s="2826">
        <v>0</v>
      </c>
      <c r="AD130" s="2826">
        <v>0</v>
      </c>
      <c r="AE130" s="2826"/>
      <c r="AF130" s="2826"/>
      <c r="AG130" s="2826"/>
      <c r="AH130" s="2826"/>
      <c r="AI130" s="2826"/>
      <c r="AJ130" s="2826"/>
      <c r="AK130" s="2826"/>
      <c r="AL130" s="2826"/>
      <c r="AM130" s="2826"/>
    </row>
    <row r="131" spans="2:41" s="3021" customFormat="1" ht="14" customHeight="1">
      <c r="B131" s="144"/>
      <c r="C131" s="144"/>
      <c r="D131" s="907"/>
      <c r="E131" s="143"/>
      <c r="F131" s="145"/>
      <c r="G131" s="146"/>
      <c r="H131" s="146"/>
      <c r="I131" s="146"/>
      <c r="J131" s="146"/>
      <c r="K131" s="146"/>
      <c r="L131" s="146"/>
      <c r="M131" s="458"/>
      <c r="N131" s="1284"/>
      <c r="O131" s="146"/>
      <c r="P131" s="146"/>
      <c r="Q131" s="147"/>
      <c r="R131" s="147"/>
      <c r="S131" s="142"/>
      <c r="T131" s="142"/>
      <c r="U131" s="146"/>
      <c r="V131" s="146"/>
      <c r="W131" s="146"/>
      <c r="X131" s="146"/>
      <c r="Y131" s="146"/>
      <c r="Z131" s="146"/>
      <c r="AA131" s="146"/>
      <c r="AB131" s="3021">
        <v>0</v>
      </c>
      <c r="AC131" s="2826">
        <v>0</v>
      </c>
      <c r="AD131" s="2826">
        <v>0</v>
      </c>
      <c r="AE131" s="2826"/>
      <c r="AF131" s="2826"/>
      <c r="AG131" s="2826"/>
      <c r="AH131" s="2826"/>
      <c r="AI131" s="2826"/>
      <c r="AJ131" s="2826"/>
      <c r="AK131" s="2826"/>
      <c r="AL131" s="2826"/>
      <c r="AM131" s="2826"/>
    </row>
    <row r="132" spans="2:41" s="3021" customFormat="1" ht="11">
      <c r="B132" s="144"/>
      <c r="C132" s="144"/>
      <c r="D132" s="907"/>
      <c r="E132" s="143"/>
      <c r="F132" s="145"/>
      <c r="G132" s="146"/>
      <c r="H132" s="146"/>
      <c r="I132" s="146"/>
      <c r="J132" s="146"/>
      <c r="K132" s="146"/>
      <c r="L132" s="146"/>
      <c r="M132" s="458"/>
      <c r="N132" s="1284"/>
      <c r="O132" s="146"/>
      <c r="P132" s="146"/>
      <c r="Q132" s="147"/>
      <c r="R132" s="147"/>
      <c r="S132" s="142"/>
      <c r="T132" s="142"/>
      <c r="U132" s="146"/>
      <c r="V132" s="146"/>
      <c r="W132" s="146"/>
      <c r="X132" s="146"/>
      <c r="Y132" s="146"/>
      <c r="Z132" s="146"/>
      <c r="AA132" s="146"/>
      <c r="AB132" s="3021">
        <v>0</v>
      </c>
      <c r="AC132" s="2826">
        <v>0</v>
      </c>
      <c r="AD132" s="2826">
        <v>0</v>
      </c>
      <c r="AE132" s="2826"/>
      <c r="AF132" s="2826"/>
      <c r="AG132" s="2826"/>
      <c r="AH132" s="2826"/>
      <c r="AI132" s="2826"/>
      <c r="AJ132" s="2826"/>
      <c r="AK132" s="2826"/>
      <c r="AL132" s="2826"/>
      <c r="AM132" s="2826"/>
    </row>
    <row r="133" spans="2:41" s="3021" customFormat="1" ht="11">
      <c r="B133" s="144"/>
      <c r="C133" s="144"/>
      <c r="D133" s="907"/>
      <c r="E133" s="143"/>
      <c r="F133" s="145"/>
      <c r="G133" s="146"/>
      <c r="H133" s="146"/>
      <c r="I133" s="146"/>
      <c r="J133" s="146"/>
      <c r="K133" s="146"/>
      <c r="L133" s="146"/>
      <c r="M133" s="458"/>
      <c r="N133" s="1284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B133" s="3021">
        <v>0</v>
      </c>
      <c r="AC133" s="2826">
        <v>0</v>
      </c>
      <c r="AD133" s="2826">
        <v>0</v>
      </c>
      <c r="AE133" s="2826"/>
      <c r="AF133" s="2826"/>
      <c r="AG133" s="2826"/>
      <c r="AH133" s="2826"/>
      <c r="AI133" s="2826"/>
      <c r="AJ133" s="2826"/>
      <c r="AK133" s="2826"/>
      <c r="AL133" s="2826"/>
      <c r="AM133" s="2826"/>
    </row>
    <row r="134" spans="2:41" s="3021" customFormat="1" ht="11">
      <c r="B134" s="144"/>
      <c r="C134" s="144"/>
      <c r="D134" s="907"/>
      <c r="E134" s="143"/>
      <c r="F134" s="145"/>
      <c r="G134" s="146"/>
      <c r="H134" s="146"/>
      <c r="I134" s="146"/>
      <c r="J134" s="146"/>
      <c r="K134" s="146"/>
      <c r="L134" s="146"/>
      <c r="M134" s="458"/>
      <c r="N134" s="1284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B134" s="3021">
        <v>0</v>
      </c>
      <c r="AC134" s="2826">
        <v>0</v>
      </c>
      <c r="AD134" s="2826">
        <v>0</v>
      </c>
      <c r="AE134" s="2826"/>
      <c r="AF134" s="2826"/>
      <c r="AG134" s="2826"/>
      <c r="AH134" s="2826"/>
      <c r="AI134" s="2826"/>
      <c r="AJ134" s="2826"/>
      <c r="AK134" s="2826"/>
      <c r="AL134" s="2826"/>
      <c r="AM134" s="2826"/>
    </row>
    <row r="135" spans="2:41" s="3021" customFormat="1" ht="11">
      <c r="B135" s="144"/>
      <c r="C135" s="144"/>
      <c r="D135" s="907"/>
      <c r="E135" s="143"/>
      <c r="F135" s="145"/>
      <c r="G135" s="146"/>
      <c r="H135" s="146"/>
      <c r="I135" s="146"/>
      <c r="J135" s="146"/>
      <c r="K135" s="146"/>
      <c r="L135" s="146"/>
      <c r="M135" s="458"/>
      <c r="N135" s="1284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B135" s="3021">
        <v>0</v>
      </c>
      <c r="AC135" s="2826">
        <v>0</v>
      </c>
      <c r="AD135" s="2826">
        <v>0</v>
      </c>
      <c r="AE135" s="2826"/>
      <c r="AF135" s="2826"/>
      <c r="AG135" s="2826"/>
      <c r="AH135" s="2826"/>
      <c r="AI135" s="2826"/>
      <c r="AJ135" s="2826"/>
      <c r="AK135" s="2826"/>
      <c r="AL135" s="2826"/>
      <c r="AM135" s="2826"/>
    </row>
    <row r="136" spans="2:41" s="3021" customFormat="1" ht="11">
      <c r="B136" s="144"/>
      <c r="C136" s="144"/>
      <c r="D136" s="907"/>
      <c r="E136" s="143"/>
      <c r="F136" s="145"/>
      <c r="G136" s="146"/>
      <c r="H136" s="146"/>
      <c r="I136" s="146"/>
      <c r="J136" s="146"/>
      <c r="K136" s="146"/>
      <c r="L136" s="146"/>
      <c r="M136" s="458"/>
      <c r="N136" s="1284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B136" s="3021">
        <v>0</v>
      </c>
      <c r="AC136" s="2826">
        <v>0</v>
      </c>
      <c r="AD136" s="2826">
        <v>0</v>
      </c>
      <c r="AE136" s="2826"/>
      <c r="AF136" s="2826"/>
      <c r="AG136" s="2826"/>
      <c r="AH136" s="2826"/>
      <c r="AI136" s="2826"/>
      <c r="AJ136" s="2826"/>
      <c r="AK136" s="2826"/>
      <c r="AL136" s="2826"/>
      <c r="AM136" s="2826"/>
    </row>
    <row r="137" spans="2:41" s="3021" customFormat="1" ht="11">
      <c r="B137" s="144"/>
      <c r="C137" s="144"/>
      <c r="D137" s="907"/>
      <c r="E137" s="143"/>
      <c r="F137" s="145"/>
      <c r="G137" s="146"/>
      <c r="H137" s="146"/>
      <c r="I137" s="146"/>
      <c r="J137" s="146"/>
      <c r="K137" s="146"/>
      <c r="L137" s="146"/>
      <c r="M137" s="458"/>
      <c r="N137" s="1284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B137" s="3021">
        <v>0</v>
      </c>
      <c r="AC137" s="2826">
        <v>0</v>
      </c>
      <c r="AD137" s="2826">
        <v>0</v>
      </c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2:41" s="3021" customFormat="1" ht="11">
      <c r="B138" s="144"/>
      <c r="C138" s="144"/>
      <c r="D138" s="907"/>
      <c r="E138" s="143"/>
      <c r="F138" s="145"/>
      <c r="G138" s="146"/>
      <c r="H138" s="146"/>
      <c r="I138" s="146"/>
      <c r="J138" s="146"/>
      <c r="K138" s="146"/>
      <c r="L138" s="146"/>
      <c r="M138" s="458"/>
      <c r="N138" s="1284"/>
      <c r="O138" s="146"/>
      <c r="P138" s="146"/>
      <c r="Q138" s="147"/>
      <c r="R138" s="147"/>
      <c r="S138" s="142"/>
      <c r="T138" s="142"/>
      <c r="U138" s="146">
        <f>SUBTOTAL(9,U96:U137)</f>
        <v>0</v>
      </c>
      <c r="V138" s="146">
        <f t="shared" ref="V138:AA138" si="41">SUBTOTAL(9,V96:V137)</f>
        <v>0</v>
      </c>
      <c r="W138" s="146">
        <f t="shared" si="41"/>
        <v>0</v>
      </c>
      <c r="X138" s="146">
        <f t="shared" si="41"/>
        <v>0</v>
      </c>
      <c r="Y138" s="146">
        <f t="shared" si="41"/>
        <v>0</v>
      </c>
      <c r="Z138" s="146">
        <f t="shared" si="41"/>
        <v>0</v>
      </c>
      <c r="AA138" s="146">
        <f t="shared" si="41"/>
        <v>0</v>
      </c>
      <c r="AB138" s="3021">
        <v>0</v>
      </c>
      <c r="AC138" s="2826">
        <v>0</v>
      </c>
      <c r="AD138" s="2826">
        <v>0</v>
      </c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2:41" s="2825" customFormat="1" ht="14" thickBot="1">
      <c r="B139" s="139"/>
      <c r="C139" s="139"/>
      <c r="D139" s="908"/>
      <c r="E139" s="138"/>
      <c r="F139" s="140"/>
      <c r="G139" s="141"/>
      <c r="H139" s="141"/>
      <c r="I139" s="141"/>
      <c r="J139" s="141"/>
      <c r="K139" s="141"/>
      <c r="L139" s="141"/>
      <c r="M139" s="458"/>
      <c r="N139" s="1284"/>
      <c r="O139" s="141"/>
      <c r="P139" s="141"/>
      <c r="Q139" s="148"/>
      <c r="R139" s="148"/>
      <c r="S139" s="149"/>
      <c r="T139" s="149"/>
      <c r="U139" s="150"/>
      <c r="V139" s="150"/>
      <c r="W139" s="150"/>
      <c r="X139" s="150"/>
      <c r="Y139" s="150"/>
      <c r="Z139" s="150"/>
      <c r="AA139" s="150"/>
      <c r="AC139" s="282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2:41" s="2825" customFormat="1" ht="15" thickTop="1" thickBot="1">
      <c r="B140" s="139"/>
      <c r="C140" s="139"/>
      <c r="D140" s="908"/>
      <c r="E140" s="138"/>
      <c r="F140" s="140"/>
      <c r="G140" s="141"/>
      <c r="H140" s="141"/>
      <c r="I140" s="141"/>
      <c r="J140" s="141"/>
      <c r="K140" s="141"/>
      <c r="L140" s="141"/>
      <c r="M140" s="458"/>
      <c r="N140" s="1284"/>
      <c r="O140" s="141"/>
      <c r="P140" s="141"/>
      <c r="Q140" s="148"/>
      <c r="R140" s="148"/>
      <c r="S140" s="148"/>
      <c r="T140" s="149"/>
      <c r="U140" s="151"/>
      <c r="V140" s="152"/>
      <c r="W140" s="153"/>
      <c r="X140" s="153"/>
      <c r="Y140" s="153"/>
      <c r="Z140" s="153"/>
      <c r="AA140" s="154"/>
      <c r="AB140" s="3022"/>
      <c r="AC140" s="3022"/>
      <c r="AE140" s="2826"/>
      <c r="AF140" s="2826"/>
      <c r="AG140" s="2826"/>
      <c r="AH140" s="2826"/>
      <c r="AI140" s="2826"/>
      <c r="AJ140" s="2826"/>
      <c r="AK140" s="2826"/>
      <c r="AL140" s="2826"/>
      <c r="AM140" s="2826"/>
      <c r="AN140" s="2826"/>
      <c r="AO140" s="2826"/>
    </row>
    <row r="141" spans="2:41" s="3021" customFormat="1" ht="12" thickTop="1">
      <c r="B141" s="144"/>
      <c r="C141" s="144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284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2:41" s="3021" customFormat="1" ht="11">
      <c r="B142" s="144"/>
      <c r="C142" s="144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284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2:41" s="3021" customFormat="1" ht="11">
      <c r="B143" s="144"/>
      <c r="C143" s="144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284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2:41" s="3021" customFormat="1" ht="11">
      <c r="B144" s="144"/>
      <c r="C144" s="144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284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39" s="3021" customFormat="1" ht="11">
      <c r="B145" s="144"/>
      <c r="C145" s="144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284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39" s="3021" customFormat="1" ht="11">
      <c r="B146" s="144"/>
      <c r="C146" s="144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284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39" s="3021" customFormat="1" ht="11">
      <c r="B147" s="144"/>
      <c r="C147" s="144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284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39" s="3021" customFormat="1" ht="14" customHeight="1">
      <c r="B148" s="144"/>
      <c r="C148" s="144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284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39" s="3021" customFormat="1" ht="14" customHeight="1">
      <c r="B149" s="144"/>
      <c r="C149" s="144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284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39" s="3021" customFormat="1" ht="14" customHeight="1">
      <c r="B150" s="144"/>
      <c r="C150" s="144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284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39" s="3021" customFormat="1" ht="14" customHeight="1">
      <c r="B151" s="144"/>
      <c r="C151" s="144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284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39" s="3021" customFormat="1" ht="14" customHeight="1">
      <c r="B152" s="144"/>
      <c r="C152" s="144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284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39" s="3021" customFormat="1" ht="14" customHeight="1">
      <c r="B153" s="144"/>
      <c r="C153" s="144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284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39" s="3021" customFormat="1" ht="14" customHeight="1">
      <c r="B154" s="144"/>
      <c r="C154" s="144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284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39" s="3021" customFormat="1" ht="14" customHeight="1">
      <c r="B155" s="144"/>
      <c r="C155" s="144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284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39" s="3021" customFormat="1" ht="14" customHeight="1">
      <c r="B156" s="144"/>
      <c r="C156" s="144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284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39" s="3021" customFormat="1" ht="14" customHeight="1">
      <c r="B157" s="144"/>
      <c r="C157" s="144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284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39" s="3021" customFormat="1" ht="14" customHeight="1">
      <c r="B158" s="144"/>
      <c r="C158" s="144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284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39" s="3021" customFormat="1" ht="14" customHeight="1">
      <c r="B159" s="144"/>
      <c r="C159" s="144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284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39" s="3021" customFormat="1" ht="14" customHeight="1">
      <c r="B160" s="144"/>
      <c r="C160" s="144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284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4" customHeight="1">
      <c r="B161" s="144"/>
      <c r="C161" s="144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284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4" customHeight="1">
      <c r="B162" s="144"/>
      <c r="C162" s="144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284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4" customHeight="1">
      <c r="B163" s="144"/>
      <c r="C163" s="144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284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4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284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4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284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4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284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4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284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4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284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4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284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4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284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4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284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4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284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4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284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82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4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284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826"/>
      <c r="AD174" s="2826"/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4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284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826"/>
      <c r="AD175" s="2826"/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4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284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82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3021" customFormat="1" ht="11">
      <c r="B177" s="3159"/>
      <c r="C177" s="3159"/>
      <c r="D177" s="3160"/>
      <c r="F177" s="3023"/>
      <c r="G177" s="3024"/>
      <c r="H177" s="3024"/>
      <c r="I177" s="3024"/>
      <c r="J177" s="3024"/>
      <c r="K177" s="3024"/>
      <c r="L177" s="3024"/>
      <c r="M177" s="3025"/>
      <c r="N177" s="3519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3021" customFormat="1" ht="11">
      <c r="B178" s="3159"/>
      <c r="C178" s="3159"/>
      <c r="D178" s="3160"/>
      <c r="F178" s="3023"/>
      <c r="G178" s="3024"/>
      <c r="H178" s="3024"/>
      <c r="I178" s="3024"/>
      <c r="J178" s="3024"/>
      <c r="K178" s="3024"/>
      <c r="L178" s="3024"/>
      <c r="M178" s="3025"/>
      <c r="N178" s="3519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41" s="3021" customFormat="1" ht="11">
      <c r="B179" s="3159"/>
      <c r="C179" s="3159"/>
      <c r="D179" s="3160"/>
      <c r="F179" s="3023"/>
      <c r="G179" s="3024"/>
      <c r="H179" s="3024"/>
      <c r="I179" s="3024"/>
      <c r="J179" s="3024"/>
      <c r="K179" s="3024"/>
      <c r="L179" s="3024"/>
      <c r="M179" s="3025"/>
      <c r="N179" s="3519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41" s="3021" customFormat="1" ht="11">
      <c r="B180" s="3159"/>
      <c r="C180" s="3159"/>
      <c r="D180" s="3160"/>
      <c r="F180" s="3023"/>
      <c r="G180" s="3024"/>
      <c r="H180" s="3024"/>
      <c r="I180" s="3024"/>
      <c r="J180" s="3024"/>
      <c r="K180" s="3024"/>
      <c r="L180" s="3024"/>
      <c r="M180" s="3025"/>
      <c r="N180" s="3519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41" s="3021" customFormat="1" ht="11">
      <c r="B181" s="3159"/>
      <c r="C181" s="3159"/>
      <c r="D181" s="3160"/>
      <c r="F181" s="3023"/>
      <c r="G181" s="3024"/>
      <c r="H181" s="3024"/>
      <c r="I181" s="3024"/>
      <c r="J181" s="3024"/>
      <c r="K181" s="3024"/>
      <c r="L181" s="3024"/>
      <c r="M181" s="3025"/>
      <c r="N181" s="3519"/>
      <c r="O181" s="146"/>
      <c r="P181" s="146"/>
      <c r="Q181" s="147"/>
      <c r="R181" s="147"/>
      <c r="S181" s="142"/>
      <c r="T181" s="142"/>
      <c r="U181" s="146">
        <f>SUBTOTAL(9,U139:U180)</f>
        <v>0</v>
      </c>
      <c r="V181" s="146">
        <f t="shared" ref="V181:AA181" si="42">SUBTOTAL(9,V139:V180)</f>
        <v>0</v>
      </c>
      <c r="W181" s="146">
        <f t="shared" si="42"/>
        <v>0</v>
      </c>
      <c r="X181" s="146">
        <f t="shared" si="42"/>
        <v>0</v>
      </c>
      <c r="Y181" s="146">
        <f t="shared" si="42"/>
        <v>0</v>
      </c>
      <c r="Z181" s="146">
        <f t="shared" si="42"/>
        <v>0</v>
      </c>
      <c r="AA181" s="146">
        <f t="shared" si="42"/>
        <v>0</v>
      </c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41" s="2825" customFormat="1" ht="14" thickBot="1">
      <c r="B182" s="2935"/>
      <c r="C182" s="2935"/>
      <c r="D182" s="3161"/>
      <c r="F182" s="3026"/>
      <c r="G182" s="3027"/>
      <c r="H182" s="3027"/>
      <c r="I182" s="3027"/>
      <c r="J182" s="3027"/>
      <c r="K182" s="3027"/>
      <c r="L182" s="3027"/>
      <c r="M182" s="3025"/>
      <c r="N182" s="3519"/>
      <c r="O182" s="141"/>
      <c r="P182" s="141"/>
      <c r="Q182" s="148"/>
      <c r="R182" s="148"/>
      <c r="S182" s="149"/>
      <c r="T182" s="149"/>
      <c r="U182" s="150"/>
      <c r="V182" s="150"/>
      <c r="W182" s="150"/>
      <c r="X182" s="150"/>
      <c r="Y182" s="150"/>
      <c r="Z182" s="150"/>
      <c r="AA182" s="150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2825" customFormat="1" ht="15" thickTop="1" thickBot="1">
      <c r="B183" s="2935"/>
      <c r="C183" s="2935"/>
      <c r="D183" s="3161"/>
      <c r="F183" s="3026"/>
      <c r="G183" s="3027"/>
      <c r="H183" s="3027"/>
      <c r="I183" s="3027"/>
      <c r="J183" s="3027"/>
      <c r="K183" s="3027"/>
      <c r="L183" s="3027"/>
      <c r="M183" s="3025"/>
      <c r="N183" s="3519"/>
      <c r="O183" s="141"/>
      <c r="P183" s="141"/>
      <c r="Q183" s="148"/>
      <c r="R183" s="148"/>
      <c r="S183" s="148"/>
      <c r="T183" s="148"/>
      <c r="U183" s="151">
        <f>SUBTOTAL(9,U141:U182)</f>
        <v>0</v>
      </c>
      <c r="V183" s="152">
        <f t="shared" ref="V183:AA183" si="43">SUBTOTAL(9,V141:V182)</f>
        <v>0</v>
      </c>
      <c r="W183" s="153">
        <f t="shared" si="43"/>
        <v>0</v>
      </c>
      <c r="X183" s="153">
        <f t="shared" si="43"/>
        <v>0</v>
      </c>
      <c r="Y183" s="153">
        <f t="shared" si="43"/>
        <v>0</v>
      </c>
      <c r="Z183" s="153">
        <f t="shared" si="43"/>
        <v>0</v>
      </c>
      <c r="AA183" s="154">
        <f t="shared" si="43"/>
        <v>0</v>
      </c>
      <c r="AB183" s="3022"/>
      <c r="AC183" s="3022"/>
      <c r="AE183" s="2826"/>
      <c r="AF183" s="2826"/>
      <c r="AG183" s="2826"/>
      <c r="AH183" s="2826"/>
      <c r="AI183" s="2826"/>
      <c r="AJ183" s="2826"/>
      <c r="AK183" s="2826"/>
      <c r="AL183" s="2826"/>
      <c r="AM183" s="2826"/>
      <c r="AN183" s="2826"/>
      <c r="AO183" s="2826"/>
    </row>
    <row r="184" spans="2:41" s="2825" customFormat="1" ht="14" thickTop="1">
      <c r="B184" s="2935"/>
      <c r="C184" s="2935"/>
      <c r="D184" s="3161"/>
      <c r="F184" s="3026"/>
      <c r="G184" s="3027"/>
      <c r="H184" s="3027"/>
      <c r="I184" s="3027"/>
      <c r="J184" s="3027"/>
      <c r="K184" s="3027"/>
      <c r="L184" s="3027"/>
      <c r="M184" s="3025"/>
      <c r="N184" s="3519"/>
      <c r="O184" s="141"/>
      <c r="P184" s="141"/>
      <c r="Q184" s="148"/>
      <c r="R184" s="148"/>
      <c r="S184" s="149"/>
      <c r="T184" s="149"/>
      <c r="U184" s="150"/>
      <c r="V184" s="150"/>
      <c r="W184" s="150"/>
      <c r="X184" s="150"/>
      <c r="Y184" s="150"/>
      <c r="Z184" s="150"/>
      <c r="AA184" s="150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41" s="2825" customFormat="1">
      <c r="B185" s="2935"/>
      <c r="C185" s="2935"/>
      <c r="D185" s="3161"/>
      <c r="F185" s="3026"/>
      <c r="G185" s="3027"/>
      <c r="H185" s="3027"/>
      <c r="I185" s="3027"/>
      <c r="J185" s="3027"/>
      <c r="K185" s="3027"/>
      <c r="L185" s="3027"/>
      <c r="M185" s="3025"/>
      <c r="N185" s="3519"/>
      <c r="O185" s="141"/>
      <c r="P185" s="141"/>
      <c r="Q185" s="148"/>
      <c r="R185" s="148"/>
      <c r="S185" s="149"/>
      <c r="T185" s="149"/>
      <c r="U185" s="150"/>
      <c r="V185" s="150"/>
      <c r="W185" s="150"/>
      <c r="X185" s="150"/>
      <c r="Y185" s="150"/>
      <c r="Z185" s="150"/>
      <c r="AA185" s="150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2825" customFormat="1">
      <c r="B186" s="2935"/>
      <c r="C186" s="2935"/>
      <c r="D186" s="3161"/>
      <c r="F186" s="3026"/>
      <c r="G186" s="3027"/>
      <c r="H186" s="3027"/>
      <c r="I186" s="3027"/>
      <c r="J186" s="3027"/>
      <c r="K186" s="3027"/>
      <c r="L186" s="3027"/>
      <c r="M186" s="3025"/>
      <c r="N186" s="3519"/>
      <c r="O186" s="141"/>
      <c r="P186" s="141"/>
      <c r="Q186" s="148"/>
      <c r="R186" s="148"/>
      <c r="S186" s="149"/>
      <c r="T186" s="149"/>
      <c r="U186" s="150"/>
      <c r="V186" s="150"/>
      <c r="W186" s="150"/>
      <c r="X186" s="150"/>
      <c r="Y186" s="150"/>
      <c r="Z186" s="150"/>
      <c r="AA186" s="150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41" s="2825" customFormat="1">
      <c r="B187" s="2935"/>
      <c r="C187" s="2935"/>
      <c r="D187" s="3161"/>
      <c r="F187" s="3026"/>
      <c r="G187" s="3027"/>
      <c r="H187" s="3027"/>
      <c r="I187" s="3027"/>
      <c r="J187" s="3027"/>
      <c r="K187" s="3027"/>
      <c r="L187" s="3027"/>
      <c r="M187" s="3025"/>
      <c r="N187" s="3519"/>
      <c r="O187" s="141"/>
      <c r="P187" s="141"/>
      <c r="Q187" s="148"/>
      <c r="R187" s="148"/>
      <c r="S187" s="149"/>
      <c r="T187" s="149"/>
      <c r="U187" s="150"/>
      <c r="V187" s="150"/>
      <c r="W187" s="150"/>
      <c r="X187" s="150"/>
      <c r="Y187" s="150"/>
      <c r="Z187" s="150"/>
      <c r="AA187" s="150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41" s="2825" customFormat="1">
      <c r="B188" s="2935"/>
      <c r="C188" s="2935"/>
      <c r="D188" s="3161"/>
      <c r="F188" s="3026"/>
      <c r="G188" s="3027"/>
      <c r="H188" s="3027"/>
      <c r="I188" s="3027"/>
      <c r="J188" s="3027"/>
      <c r="K188" s="3027"/>
      <c r="L188" s="3027"/>
      <c r="M188" s="3025"/>
      <c r="N188" s="3519"/>
      <c r="O188" s="141"/>
      <c r="P188" s="141"/>
      <c r="Q188" s="148"/>
      <c r="R188" s="148"/>
      <c r="S188" s="149"/>
      <c r="T188" s="149"/>
      <c r="U188" s="150"/>
      <c r="V188" s="150"/>
      <c r="W188" s="150"/>
      <c r="X188" s="150"/>
      <c r="Y188" s="150"/>
      <c r="Z188" s="150"/>
      <c r="AA188" s="150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2825" customFormat="1">
      <c r="B189" s="2935"/>
      <c r="C189" s="2935"/>
      <c r="D189" s="3161"/>
      <c r="F189" s="3026"/>
      <c r="G189" s="3027"/>
      <c r="H189" s="3027"/>
      <c r="I189" s="3027"/>
      <c r="J189" s="3027"/>
      <c r="K189" s="3027"/>
      <c r="L189" s="3027"/>
      <c r="M189" s="3025"/>
      <c r="N189" s="3519"/>
      <c r="O189" s="141"/>
      <c r="P189" s="141"/>
      <c r="Q189" s="148"/>
      <c r="R189" s="148"/>
      <c r="S189" s="149"/>
      <c r="T189" s="149"/>
      <c r="U189" s="150"/>
      <c r="V189" s="150"/>
      <c r="W189" s="150"/>
      <c r="X189" s="150"/>
      <c r="Y189" s="150"/>
      <c r="Z189" s="150"/>
      <c r="AA189" s="150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41" s="2825" customFormat="1">
      <c r="B190" s="2935"/>
      <c r="C190" s="2935"/>
      <c r="D190" s="3161"/>
      <c r="F190" s="3026"/>
      <c r="G190" s="3027"/>
      <c r="H190" s="3027"/>
      <c r="I190" s="3027"/>
      <c r="J190" s="3027"/>
      <c r="K190" s="3027"/>
      <c r="L190" s="3027"/>
      <c r="M190" s="3025"/>
      <c r="N190" s="3519"/>
      <c r="O190" s="141"/>
      <c r="P190" s="141"/>
      <c r="Q190" s="148"/>
      <c r="R190" s="148"/>
      <c r="S190" s="149"/>
      <c r="T190" s="149"/>
      <c r="U190" s="150"/>
      <c r="V190" s="150"/>
      <c r="W190" s="150"/>
      <c r="X190" s="150"/>
      <c r="Y190" s="150"/>
      <c r="Z190" s="150"/>
      <c r="AA190" s="150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2825" customFormat="1">
      <c r="B191" s="2935"/>
      <c r="C191" s="2935"/>
      <c r="D191" s="3161"/>
      <c r="F191" s="3026"/>
      <c r="G191" s="3027"/>
      <c r="H191" s="3027"/>
      <c r="I191" s="3027"/>
      <c r="J191" s="3027"/>
      <c r="K191" s="3027"/>
      <c r="L191" s="3027"/>
      <c r="M191" s="3025"/>
      <c r="N191" s="3519"/>
      <c r="O191" s="141"/>
      <c r="P191" s="141"/>
      <c r="Q191" s="148"/>
      <c r="R191" s="148"/>
      <c r="S191" s="149"/>
      <c r="T191" s="149"/>
      <c r="U191" s="150"/>
      <c r="V191" s="150"/>
      <c r="W191" s="150"/>
      <c r="X191" s="150"/>
      <c r="Y191" s="150"/>
      <c r="Z191" s="150"/>
      <c r="AA191" s="150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2825" customFormat="1">
      <c r="B192" s="2935"/>
      <c r="C192" s="2935"/>
      <c r="D192" s="3161"/>
      <c r="F192" s="3026"/>
      <c r="G192" s="3027"/>
      <c r="H192" s="3027"/>
      <c r="I192" s="3027"/>
      <c r="J192" s="3027"/>
      <c r="K192" s="3027"/>
      <c r="L192" s="3027"/>
      <c r="M192" s="3025"/>
      <c r="N192" s="3519"/>
      <c r="O192" s="141"/>
      <c r="P192" s="141"/>
      <c r="Q192" s="148"/>
      <c r="R192" s="148"/>
      <c r="S192" s="149"/>
      <c r="T192" s="149"/>
      <c r="U192" s="150"/>
      <c r="V192" s="150"/>
      <c r="W192" s="150"/>
      <c r="X192" s="150"/>
      <c r="Y192" s="150"/>
      <c r="Z192" s="150"/>
      <c r="AA192" s="150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2825" customFormat="1">
      <c r="B193" s="2935"/>
      <c r="C193" s="2935"/>
      <c r="D193" s="3161"/>
      <c r="F193" s="3026"/>
      <c r="G193" s="3027"/>
      <c r="H193" s="3027"/>
      <c r="I193" s="3027"/>
      <c r="J193" s="3027"/>
      <c r="K193" s="3027"/>
      <c r="L193" s="3027"/>
      <c r="M193" s="3025"/>
      <c r="N193" s="3519"/>
      <c r="O193" s="141"/>
      <c r="P193" s="141"/>
      <c r="Q193" s="148"/>
      <c r="R193" s="148"/>
      <c r="S193" s="149"/>
      <c r="T193" s="149"/>
      <c r="U193" s="150"/>
      <c r="V193" s="150"/>
      <c r="W193" s="150"/>
      <c r="X193" s="150"/>
      <c r="Y193" s="150"/>
      <c r="Z193" s="150"/>
      <c r="AA193" s="150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2825" customFormat="1">
      <c r="B194" s="2935"/>
      <c r="C194" s="2935"/>
      <c r="D194" s="3161"/>
      <c r="F194" s="3026"/>
      <c r="G194" s="3027"/>
      <c r="H194" s="3027"/>
      <c r="I194" s="3027"/>
      <c r="J194" s="3027"/>
      <c r="K194" s="3027"/>
      <c r="L194" s="3027"/>
      <c r="M194" s="3025"/>
      <c r="N194" s="3519"/>
      <c r="O194" s="141"/>
      <c r="P194" s="141"/>
      <c r="Q194" s="148"/>
      <c r="R194" s="148"/>
      <c r="S194" s="149"/>
      <c r="T194" s="149"/>
      <c r="U194" s="150"/>
      <c r="V194" s="150"/>
      <c r="W194" s="150"/>
      <c r="X194" s="150"/>
      <c r="Y194" s="150"/>
      <c r="Z194" s="150"/>
      <c r="AA194" s="150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2825" customFormat="1">
      <c r="B195" s="2935"/>
      <c r="C195" s="2935"/>
      <c r="D195" s="3161"/>
      <c r="F195" s="3026"/>
      <c r="G195" s="3027"/>
      <c r="H195" s="3027"/>
      <c r="I195" s="3027"/>
      <c r="J195" s="3027"/>
      <c r="K195" s="3027"/>
      <c r="L195" s="3027"/>
      <c r="M195" s="3025"/>
      <c r="N195" s="3519"/>
      <c r="O195" s="141"/>
      <c r="P195" s="141"/>
      <c r="Q195" s="148"/>
      <c r="R195" s="148"/>
      <c r="S195" s="149"/>
      <c r="T195" s="149"/>
      <c r="U195" s="150"/>
      <c r="V195" s="150"/>
      <c r="W195" s="150"/>
      <c r="X195" s="150"/>
      <c r="Y195" s="150"/>
      <c r="Z195" s="150"/>
      <c r="AA195" s="150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2825" customFormat="1" ht="14" customHeight="1">
      <c r="B196" s="2935"/>
      <c r="C196" s="2935"/>
      <c r="D196" s="3161"/>
      <c r="F196" s="3026"/>
      <c r="G196" s="3027"/>
      <c r="H196" s="3027"/>
      <c r="I196" s="3027"/>
      <c r="J196" s="3027"/>
      <c r="K196" s="3027"/>
      <c r="L196" s="3027"/>
      <c r="M196" s="3025"/>
      <c r="N196" s="3519"/>
      <c r="O196" s="141"/>
      <c r="P196" s="141"/>
      <c r="Q196" s="148"/>
      <c r="R196" s="148"/>
      <c r="S196" s="149"/>
      <c r="T196" s="149"/>
      <c r="U196" s="150"/>
      <c r="V196" s="150"/>
      <c r="W196" s="150"/>
      <c r="X196" s="150"/>
      <c r="Y196" s="150"/>
      <c r="Z196" s="150"/>
      <c r="AA196" s="150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2825" customFormat="1" ht="14" customHeight="1">
      <c r="B197" s="2935"/>
      <c r="C197" s="2935"/>
      <c r="D197" s="3161"/>
      <c r="F197" s="3026"/>
      <c r="G197" s="3027"/>
      <c r="H197" s="3027"/>
      <c r="I197" s="3027"/>
      <c r="J197" s="3027"/>
      <c r="K197" s="3027"/>
      <c r="L197" s="3027"/>
      <c r="M197" s="3025"/>
      <c r="N197" s="3519"/>
      <c r="O197" s="141"/>
      <c r="P197" s="141"/>
      <c r="Q197" s="148"/>
      <c r="R197" s="148"/>
      <c r="S197" s="149"/>
      <c r="T197" s="149"/>
      <c r="U197" s="150"/>
      <c r="V197" s="150"/>
      <c r="W197" s="150"/>
      <c r="X197" s="150"/>
      <c r="Y197" s="150"/>
      <c r="Z197" s="150"/>
      <c r="AA197" s="150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2825" customFormat="1" ht="14" customHeight="1">
      <c r="B198" s="2935"/>
      <c r="C198" s="2935"/>
      <c r="D198" s="3161"/>
      <c r="F198" s="3026"/>
      <c r="G198" s="3027"/>
      <c r="H198" s="3027"/>
      <c r="I198" s="3027"/>
      <c r="J198" s="3027"/>
      <c r="K198" s="3027"/>
      <c r="L198" s="3027"/>
      <c r="M198" s="3025"/>
      <c r="N198" s="3519"/>
      <c r="O198" s="141"/>
      <c r="P198" s="141"/>
      <c r="Q198" s="148"/>
      <c r="R198" s="148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2825" customFormat="1" ht="14" customHeight="1">
      <c r="B199" s="2935"/>
      <c r="C199" s="2935"/>
      <c r="D199" s="3161"/>
      <c r="F199" s="3026"/>
      <c r="G199" s="3027"/>
      <c r="H199" s="3027"/>
      <c r="I199" s="3027"/>
      <c r="J199" s="3027"/>
      <c r="K199" s="3027"/>
      <c r="L199" s="3027"/>
      <c r="M199" s="3025"/>
      <c r="N199" s="3519"/>
      <c r="O199" s="141"/>
      <c r="P199" s="141"/>
      <c r="Q199" s="148"/>
      <c r="R199" s="148"/>
      <c r="S199" s="149"/>
      <c r="T199" s="149"/>
      <c r="U199" s="150"/>
      <c r="V199" s="150"/>
      <c r="W199" s="150"/>
      <c r="X199" s="150"/>
      <c r="Y199" s="150"/>
      <c r="Z199" s="150"/>
      <c r="AA199" s="150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2825" customFormat="1" ht="14" customHeight="1">
      <c r="B200" s="2935"/>
      <c r="C200" s="2935"/>
      <c r="D200" s="3161"/>
      <c r="F200" s="3026"/>
      <c r="G200" s="3027"/>
      <c r="H200" s="3027"/>
      <c r="I200" s="3027"/>
      <c r="J200" s="3027"/>
      <c r="K200" s="3027"/>
      <c r="L200" s="3027"/>
      <c r="M200" s="3025"/>
      <c r="N200" s="3519"/>
      <c r="O200" s="141"/>
      <c r="P200" s="141"/>
      <c r="Q200" s="148"/>
      <c r="R200" s="148"/>
      <c r="S200" s="149"/>
      <c r="T200" s="149"/>
      <c r="U200" s="150"/>
      <c r="V200" s="150"/>
      <c r="W200" s="150"/>
      <c r="X200" s="150"/>
      <c r="Y200" s="150"/>
      <c r="Z200" s="150"/>
      <c r="AA200" s="150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2825" customFormat="1" ht="14" customHeight="1">
      <c r="B201" s="2935"/>
      <c r="C201" s="2935"/>
      <c r="D201" s="3161"/>
      <c r="F201" s="3026"/>
      <c r="G201" s="3027"/>
      <c r="H201" s="3027"/>
      <c r="I201" s="3027"/>
      <c r="J201" s="3027"/>
      <c r="K201" s="3027"/>
      <c r="L201" s="3027"/>
      <c r="M201" s="3025"/>
      <c r="N201" s="3519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2825" customFormat="1" ht="14" customHeight="1">
      <c r="B202" s="2935"/>
      <c r="C202" s="2935"/>
      <c r="D202" s="3161"/>
      <c r="F202" s="3026"/>
      <c r="G202" s="3027"/>
      <c r="H202" s="3027"/>
      <c r="I202" s="3027"/>
      <c r="J202" s="3027"/>
      <c r="K202" s="3027"/>
      <c r="L202" s="3027"/>
      <c r="M202" s="3025"/>
      <c r="N202" s="3519"/>
      <c r="O202" s="141"/>
      <c r="P202" s="141"/>
      <c r="Q202" s="148"/>
      <c r="R202" s="148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2825" customFormat="1" ht="14" customHeight="1">
      <c r="B203" s="2935"/>
      <c r="C203" s="2935"/>
      <c r="D203" s="3161"/>
      <c r="F203" s="3026"/>
      <c r="G203" s="3027"/>
      <c r="H203" s="3027"/>
      <c r="I203" s="3027"/>
      <c r="J203" s="3027"/>
      <c r="K203" s="3027"/>
      <c r="L203" s="3027"/>
      <c r="M203" s="3025"/>
      <c r="N203" s="3519"/>
      <c r="O203" s="141"/>
      <c r="P203" s="141"/>
      <c r="Q203" s="148"/>
      <c r="R203" s="148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2825" customFormat="1" ht="14" customHeight="1">
      <c r="B204" s="2935"/>
      <c r="C204" s="2935"/>
      <c r="D204" s="3161"/>
      <c r="F204" s="3026"/>
      <c r="G204" s="3027"/>
      <c r="H204" s="3027"/>
      <c r="I204" s="3027"/>
      <c r="J204" s="3027"/>
      <c r="K204" s="3027"/>
      <c r="L204" s="3027"/>
      <c r="M204" s="3025"/>
      <c r="N204" s="3519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2825" customFormat="1" ht="14" customHeight="1">
      <c r="B205" s="2935"/>
      <c r="C205" s="2935"/>
      <c r="D205" s="3161"/>
      <c r="F205" s="3026"/>
      <c r="G205" s="3027"/>
      <c r="H205" s="3027"/>
      <c r="I205" s="3027"/>
      <c r="J205" s="3027"/>
      <c r="K205" s="3027"/>
      <c r="L205" s="3027"/>
      <c r="M205" s="3025"/>
      <c r="N205" s="3519"/>
      <c r="O205" s="141"/>
      <c r="P205" s="141"/>
      <c r="Q205" s="148"/>
      <c r="R205" s="148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2825" customFormat="1" ht="14" customHeight="1">
      <c r="B206" s="2935"/>
      <c r="C206" s="2935"/>
      <c r="D206" s="3161"/>
      <c r="F206" s="3026"/>
      <c r="G206" s="3027"/>
      <c r="H206" s="3027"/>
      <c r="I206" s="3027"/>
      <c r="J206" s="3027"/>
      <c r="K206" s="3027"/>
      <c r="L206" s="3027"/>
      <c r="M206" s="3025"/>
      <c r="N206" s="3519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2825" customFormat="1" ht="14" customHeight="1">
      <c r="B207" s="2935"/>
      <c r="C207" s="2935"/>
      <c r="D207" s="3161"/>
      <c r="F207" s="3026"/>
      <c r="G207" s="3027"/>
      <c r="H207" s="3027"/>
      <c r="I207" s="3027"/>
      <c r="J207" s="3027"/>
      <c r="K207" s="3027"/>
      <c r="L207" s="3027"/>
      <c r="M207" s="3025"/>
      <c r="N207" s="3519"/>
      <c r="O207" s="141"/>
      <c r="P207" s="141"/>
      <c r="Q207" s="148"/>
      <c r="R207" s="148"/>
      <c r="S207" s="149"/>
      <c r="T207" s="149"/>
      <c r="U207" s="150"/>
      <c r="V207" s="150"/>
      <c r="W207" s="150"/>
      <c r="X207" s="150"/>
      <c r="Y207" s="150"/>
      <c r="Z207" s="150"/>
      <c r="AA207" s="150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2825" customFormat="1" ht="14" customHeight="1">
      <c r="B208" s="2935"/>
      <c r="C208" s="2935"/>
      <c r="D208" s="3161"/>
      <c r="F208" s="3026"/>
      <c r="G208" s="3027"/>
      <c r="H208" s="3027"/>
      <c r="I208" s="3027"/>
      <c r="J208" s="3027"/>
      <c r="K208" s="3027"/>
      <c r="L208" s="3027"/>
      <c r="M208" s="3025"/>
      <c r="N208" s="3519"/>
      <c r="O208" s="141"/>
      <c r="P208" s="141"/>
      <c r="Q208" s="148"/>
      <c r="R208" s="148"/>
      <c r="S208" s="149"/>
      <c r="T208" s="149"/>
      <c r="U208" s="150"/>
      <c r="V208" s="150"/>
      <c r="W208" s="150"/>
      <c r="X208" s="150"/>
      <c r="Y208" s="150"/>
      <c r="Z208" s="150"/>
      <c r="AA208" s="150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1:40" s="2825" customFormat="1" ht="14" customHeight="1">
      <c r="B209" s="2935"/>
      <c r="C209" s="2935"/>
      <c r="D209" s="3161"/>
      <c r="F209" s="3026"/>
      <c r="G209" s="3027"/>
      <c r="H209" s="3027"/>
      <c r="I209" s="3027"/>
      <c r="J209" s="3027"/>
      <c r="K209" s="3027"/>
      <c r="L209" s="3027"/>
      <c r="M209" s="3025"/>
      <c r="N209" s="3519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1:40" s="2825" customFormat="1" ht="14" customHeight="1">
      <c r="B210" s="2935"/>
      <c r="C210" s="2935"/>
      <c r="D210" s="3161"/>
      <c r="F210" s="3026"/>
      <c r="G210" s="3027"/>
      <c r="H210" s="3027"/>
      <c r="I210" s="3027"/>
      <c r="J210" s="3027"/>
      <c r="K210" s="3027"/>
      <c r="L210" s="3027"/>
      <c r="M210" s="3025"/>
      <c r="N210" s="3519"/>
      <c r="O210" s="141"/>
      <c r="P210" s="141"/>
      <c r="Q210" s="148"/>
      <c r="R210" s="148"/>
      <c r="S210" s="149"/>
      <c r="T210" s="149"/>
      <c r="U210" s="150"/>
      <c r="V210" s="150"/>
      <c r="W210" s="150"/>
      <c r="X210" s="150"/>
      <c r="Y210" s="150"/>
      <c r="Z210" s="150"/>
      <c r="AA210" s="150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1:40" s="2825" customFormat="1" ht="14" customHeight="1">
      <c r="B211" s="2935"/>
      <c r="C211" s="2935"/>
      <c r="D211" s="3161"/>
      <c r="F211" s="3026"/>
      <c r="G211" s="3027"/>
      <c r="H211" s="3027"/>
      <c r="I211" s="3027"/>
      <c r="J211" s="3027"/>
      <c r="K211" s="3027"/>
      <c r="L211" s="3027"/>
      <c r="M211" s="3025"/>
      <c r="N211" s="3519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1:40" s="2825" customFormat="1" ht="14" customHeight="1">
      <c r="B212" s="2935"/>
      <c r="C212" s="2935"/>
      <c r="D212" s="3161"/>
      <c r="F212" s="3026"/>
      <c r="G212" s="3027"/>
      <c r="H212" s="3027"/>
      <c r="I212" s="3027"/>
      <c r="J212" s="3027"/>
      <c r="K212" s="3027"/>
      <c r="L212" s="3027"/>
      <c r="M212" s="3025"/>
      <c r="N212" s="3519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1:40" s="2825" customFormat="1" ht="14" customHeight="1">
      <c r="B213" s="2935"/>
      <c r="C213" s="2935"/>
      <c r="D213" s="3161"/>
      <c r="F213" s="3026"/>
      <c r="G213" s="3027"/>
      <c r="H213" s="3027"/>
      <c r="I213" s="3027"/>
      <c r="J213" s="3027"/>
      <c r="K213" s="3027"/>
      <c r="L213" s="3027"/>
      <c r="M213" s="3025"/>
      <c r="N213" s="3519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1:40" s="2825" customFormat="1" ht="14" customHeight="1">
      <c r="B214" s="2935"/>
      <c r="C214" s="2935"/>
      <c r="D214" s="3161"/>
      <c r="F214" s="3026"/>
      <c r="G214" s="3027"/>
      <c r="H214" s="3027"/>
      <c r="I214" s="3027"/>
      <c r="J214" s="3027"/>
      <c r="K214" s="3027"/>
      <c r="L214" s="3027"/>
      <c r="M214" s="3025"/>
      <c r="N214" s="3519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1:40" ht="14" customHeight="1">
      <c r="A215" s="1"/>
      <c r="O215" s="155"/>
      <c r="P215" s="155"/>
      <c r="Q215" s="1131"/>
      <c r="R215" s="1131"/>
      <c r="S215" s="251"/>
      <c r="T215" s="251"/>
      <c r="U215" s="1132"/>
      <c r="V215" s="1132"/>
      <c r="W215" s="1132"/>
      <c r="X215" s="1132"/>
      <c r="Y215" s="1132"/>
      <c r="Z215" s="1132"/>
      <c r="AA215" s="1132"/>
      <c r="AN215" s="1"/>
    </row>
    <row r="216" spans="1:40" ht="14" customHeight="1">
      <c r="A216" s="1"/>
      <c r="O216" s="155"/>
      <c r="P216" s="155"/>
      <c r="Q216" s="1131"/>
      <c r="R216" s="1131"/>
      <c r="S216" s="251"/>
      <c r="T216" s="251"/>
      <c r="U216" s="1132"/>
      <c r="V216" s="1132"/>
      <c r="W216" s="1132"/>
      <c r="X216" s="1132"/>
      <c r="Y216" s="1132"/>
      <c r="Z216" s="1132"/>
      <c r="AA216" s="1132"/>
      <c r="AN216" s="1"/>
    </row>
    <row r="217" spans="1:40" ht="14" customHeight="1">
      <c r="A217" s="1"/>
      <c r="O217" s="155"/>
      <c r="P217" s="155"/>
      <c r="Q217" s="1131"/>
      <c r="R217" s="1131"/>
      <c r="S217" s="251"/>
      <c r="T217" s="251"/>
      <c r="U217" s="1132"/>
      <c r="V217" s="1132"/>
      <c r="W217" s="1132"/>
      <c r="X217" s="1132"/>
      <c r="Y217" s="1132"/>
      <c r="Z217" s="1132"/>
      <c r="AA217" s="1132"/>
      <c r="AN217" s="1"/>
    </row>
    <row r="218" spans="1:40" ht="14" customHeight="1">
      <c r="A218" s="1"/>
      <c r="O218" s="155"/>
      <c r="P218" s="155"/>
      <c r="Q218" s="1131"/>
      <c r="R218" s="1131"/>
      <c r="S218" s="251"/>
      <c r="T218" s="251"/>
      <c r="U218" s="1132"/>
      <c r="V218" s="1132"/>
      <c r="W218" s="1132"/>
      <c r="X218" s="1132"/>
      <c r="Y218" s="1132"/>
      <c r="Z218" s="1132"/>
      <c r="AA218" s="1132"/>
      <c r="AN218" s="1"/>
    </row>
    <row r="219" spans="1:40" ht="14" customHeight="1">
      <c r="A219" s="1"/>
      <c r="O219" s="155"/>
      <c r="P219" s="155"/>
      <c r="Q219" s="1131"/>
      <c r="R219" s="1131"/>
      <c r="S219" s="251"/>
      <c r="T219" s="251"/>
      <c r="U219" s="1132"/>
      <c r="V219" s="1132"/>
      <c r="W219" s="1132"/>
      <c r="X219" s="1132"/>
      <c r="Y219" s="1132"/>
      <c r="Z219" s="1132"/>
      <c r="AA219" s="1132"/>
      <c r="AN219" s="1"/>
    </row>
    <row r="220" spans="1:40" ht="14" customHeight="1">
      <c r="A220" s="1"/>
      <c r="O220" s="155"/>
      <c r="P220" s="155"/>
      <c r="Q220" s="1131"/>
      <c r="R220" s="1131"/>
      <c r="S220" s="251"/>
      <c r="T220" s="251"/>
      <c r="U220" s="1132"/>
      <c r="V220" s="1132"/>
      <c r="W220" s="1132"/>
      <c r="X220" s="1132"/>
      <c r="Y220" s="1132"/>
      <c r="Z220" s="1132"/>
      <c r="AA220" s="1132"/>
      <c r="AN220" s="1"/>
    </row>
    <row r="221" spans="1:40" ht="14" customHeight="1">
      <c r="A221" s="1"/>
      <c r="O221" s="155"/>
      <c r="P221" s="155"/>
      <c r="Q221" s="1131"/>
      <c r="R221" s="1131"/>
      <c r="S221" s="251"/>
      <c r="T221" s="251"/>
      <c r="U221" s="1132"/>
      <c r="V221" s="1132"/>
      <c r="W221" s="1132"/>
      <c r="X221" s="1132"/>
      <c r="Y221" s="1132"/>
      <c r="Z221" s="1132"/>
      <c r="AA221" s="1132"/>
      <c r="AN221" s="1"/>
    </row>
    <row r="222" spans="1:40" ht="14" customHeight="1">
      <c r="A222" s="1"/>
      <c r="O222" s="155"/>
      <c r="P222" s="155"/>
      <c r="Q222" s="1131"/>
      <c r="R222" s="1131"/>
      <c r="S222" s="251"/>
      <c r="T222" s="251"/>
      <c r="U222" s="1132"/>
      <c r="V222" s="1132"/>
      <c r="W222" s="1132"/>
      <c r="X222" s="1132"/>
      <c r="Y222" s="1132"/>
      <c r="Z222" s="1132"/>
      <c r="AA222" s="1132"/>
      <c r="AN222" s="1"/>
    </row>
    <row r="223" spans="1:40" ht="14" customHeight="1">
      <c r="A223" s="1"/>
      <c r="O223" s="155"/>
      <c r="P223" s="155"/>
      <c r="Q223" s="1131"/>
      <c r="R223" s="1131"/>
      <c r="S223" s="251"/>
      <c r="T223" s="251"/>
      <c r="U223" s="1132"/>
      <c r="V223" s="1132"/>
      <c r="W223" s="1132"/>
      <c r="X223" s="1132"/>
      <c r="Y223" s="1132"/>
      <c r="Z223" s="1132"/>
      <c r="AA223" s="1132"/>
      <c r="AN223" s="1"/>
    </row>
    <row r="224" spans="1:40" ht="14" customHeight="1">
      <c r="A224" s="1"/>
      <c r="O224" s="155"/>
      <c r="P224" s="155"/>
      <c r="Q224" s="1131"/>
      <c r="R224" s="1131"/>
      <c r="S224" s="251"/>
      <c r="T224" s="251"/>
      <c r="U224" s="1132"/>
      <c r="V224" s="1132"/>
      <c r="W224" s="1132"/>
      <c r="X224" s="1132"/>
      <c r="Y224" s="1132"/>
      <c r="Z224" s="1132"/>
      <c r="AA224" s="1132"/>
      <c r="AN224" s="1"/>
    </row>
    <row r="225" spans="1:40" ht="14" customHeight="1">
      <c r="A225" s="1"/>
      <c r="O225" s="155"/>
      <c r="P225" s="155"/>
      <c r="Q225" s="1131"/>
      <c r="R225" s="1131"/>
      <c r="S225" s="251"/>
      <c r="T225" s="251"/>
      <c r="U225" s="1132"/>
      <c r="V225" s="1132"/>
      <c r="W225" s="1132"/>
      <c r="X225" s="1132"/>
      <c r="Y225" s="1132"/>
      <c r="Z225" s="1132"/>
      <c r="AA225" s="1132"/>
      <c r="AN225" s="1"/>
    </row>
    <row r="226" spans="1:40" ht="14" customHeight="1">
      <c r="A226" s="1"/>
      <c r="O226" s="155"/>
      <c r="P226" s="155"/>
      <c r="Q226" s="1131"/>
      <c r="R226" s="1131"/>
      <c r="S226" s="251"/>
      <c r="T226" s="251"/>
      <c r="U226" s="1132"/>
      <c r="V226" s="1132"/>
      <c r="W226" s="1132"/>
      <c r="X226" s="1132"/>
      <c r="Y226" s="1132"/>
      <c r="Z226" s="1132"/>
      <c r="AA226" s="1132"/>
      <c r="AN226" s="1"/>
    </row>
    <row r="227" spans="1:40" ht="14" customHeight="1">
      <c r="A227" s="1"/>
      <c r="O227" s="155"/>
      <c r="P227" s="155"/>
      <c r="Q227" s="1131"/>
      <c r="R227" s="1131"/>
      <c r="S227" s="251"/>
      <c r="T227" s="251"/>
      <c r="U227" s="1132"/>
      <c r="V227" s="1132"/>
      <c r="W227" s="1132"/>
      <c r="X227" s="1132"/>
      <c r="Y227" s="1132"/>
      <c r="Z227" s="1132"/>
      <c r="AA227" s="1132"/>
      <c r="AN227" s="1"/>
    </row>
    <row r="228" spans="1:40" ht="14" customHeight="1">
      <c r="A228" s="1"/>
      <c r="B228" s="1"/>
      <c r="C228" s="1"/>
      <c r="D228" s="1"/>
      <c r="F228" s="52"/>
      <c r="G228" s="52"/>
      <c r="H228" s="1"/>
      <c r="I228" s="1"/>
      <c r="J228" s="1"/>
      <c r="K228" s="1"/>
      <c r="L228" s="1"/>
      <c r="M228" s="1"/>
      <c r="N228" s="2914"/>
      <c r="O228" s="1"/>
      <c r="P228" s="1"/>
      <c r="Q228" s="1"/>
      <c r="R228" s="5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4" customHeight="1">
      <c r="A229" s="1"/>
      <c r="B229" s="1"/>
      <c r="C229" s="1"/>
      <c r="D229" s="1"/>
      <c r="F229" s="52"/>
      <c r="G229" s="52"/>
      <c r="H229" s="1"/>
      <c r="I229" s="1"/>
      <c r="J229" s="1"/>
      <c r="K229" s="1"/>
      <c r="L229" s="1"/>
      <c r="M229" s="1"/>
      <c r="N229" s="2914"/>
      <c r="O229" s="1"/>
      <c r="P229" s="1"/>
      <c r="Q229" s="1"/>
      <c r="R229" s="5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4" customHeight="1">
      <c r="A230" s="1"/>
      <c r="B230" s="1"/>
      <c r="C230" s="1"/>
      <c r="D230" s="1"/>
      <c r="F230" s="52"/>
      <c r="G230" s="52"/>
      <c r="H230" s="1"/>
      <c r="I230" s="1"/>
      <c r="J230" s="1"/>
      <c r="K230" s="1"/>
      <c r="L230" s="1"/>
      <c r="M230" s="1"/>
      <c r="N230" s="2914"/>
      <c r="O230" s="1"/>
      <c r="P230" s="1"/>
      <c r="Q230" s="1"/>
      <c r="R230" s="5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4" customHeight="1">
      <c r="A231" s="1"/>
      <c r="B231" s="1"/>
      <c r="C231" s="1"/>
      <c r="D231" s="1"/>
      <c r="F231" s="52"/>
      <c r="G231" s="52"/>
      <c r="H231" s="1"/>
      <c r="I231" s="1"/>
      <c r="J231" s="1"/>
      <c r="K231" s="1"/>
      <c r="L231" s="1"/>
      <c r="M231" s="1"/>
      <c r="N231" s="2914"/>
      <c r="O231" s="1"/>
      <c r="P231" s="1"/>
      <c r="Q231" s="1"/>
      <c r="R231" s="5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4" customHeight="1">
      <c r="A232" s="1"/>
      <c r="B232" s="1"/>
      <c r="C232" s="1"/>
      <c r="D232" s="1"/>
      <c r="F232" s="52"/>
      <c r="G232" s="52"/>
      <c r="H232" s="1"/>
      <c r="I232" s="1"/>
      <c r="J232" s="1"/>
      <c r="K232" s="1"/>
      <c r="L232" s="1"/>
      <c r="M232" s="1"/>
      <c r="N232" s="2914"/>
      <c r="O232" s="1"/>
      <c r="P232" s="1"/>
      <c r="Q232" s="1"/>
      <c r="R232" s="5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4" customHeight="1">
      <c r="A233" s="1"/>
      <c r="B233" s="1"/>
      <c r="C233" s="1"/>
      <c r="D233" s="1"/>
      <c r="F233" s="52"/>
      <c r="G233" s="52"/>
      <c r="H233" s="1"/>
      <c r="I233" s="1"/>
      <c r="J233" s="1"/>
      <c r="K233" s="1"/>
      <c r="L233" s="1"/>
      <c r="M233" s="1"/>
      <c r="N233" s="2914"/>
      <c r="O233" s="1"/>
      <c r="P233" s="1"/>
      <c r="Q233" s="1"/>
      <c r="R233" s="5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4" customHeight="1">
      <c r="A234" s="1"/>
      <c r="B234" s="1"/>
      <c r="C234" s="1"/>
      <c r="D234" s="1"/>
      <c r="F234" s="52"/>
      <c r="G234" s="52"/>
      <c r="H234" s="1"/>
      <c r="I234" s="1"/>
      <c r="J234" s="1"/>
      <c r="K234" s="1"/>
      <c r="L234" s="1"/>
      <c r="M234" s="1"/>
      <c r="N234" s="2914"/>
      <c r="O234" s="1"/>
      <c r="P234" s="1"/>
      <c r="Q234" s="1"/>
      <c r="R234" s="5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4" customHeight="1">
      <c r="A235" s="1"/>
      <c r="B235" s="1"/>
      <c r="C235" s="1"/>
      <c r="D235" s="1"/>
      <c r="F235" s="52"/>
      <c r="G235" s="52"/>
      <c r="H235" s="1"/>
      <c r="I235" s="1"/>
      <c r="J235" s="1"/>
      <c r="K235" s="1"/>
      <c r="L235" s="1"/>
      <c r="M235" s="1"/>
      <c r="N235" s="2914"/>
      <c r="O235" s="1"/>
      <c r="P235" s="1"/>
      <c r="Q235" s="1"/>
      <c r="R235" s="5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4" customHeight="1">
      <c r="A236" s="1"/>
      <c r="B236" s="1"/>
      <c r="C236" s="1"/>
      <c r="D236" s="1"/>
      <c r="F236" s="52"/>
      <c r="G236" s="52"/>
      <c r="H236" s="1"/>
      <c r="I236" s="1"/>
      <c r="J236" s="1"/>
      <c r="K236" s="1"/>
      <c r="L236" s="1"/>
      <c r="M236" s="1"/>
      <c r="N236" s="2914"/>
      <c r="O236" s="1"/>
      <c r="P236" s="1"/>
      <c r="Q236" s="1"/>
      <c r="R236" s="5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4" customHeight="1">
      <c r="A237" s="1"/>
      <c r="B237" s="1"/>
      <c r="C237" s="1"/>
      <c r="D237" s="1"/>
      <c r="F237" s="52"/>
      <c r="G237" s="52"/>
      <c r="H237" s="1"/>
      <c r="I237" s="1"/>
      <c r="J237" s="1"/>
      <c r="K237" s="1"/>
      <c r="L237" s="1"/>
      <c r="M237" s="1"/>
      <c r="N237" s="2914"/>
      <c r="O237" s="1"/>
      <c r="P237" s="1"/>
      <c r="Q237" s="1"/>
      <c r="R237" s="5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</sheetData>
  <mergeCells count="4">
    <mergeCell ref="F3:G3"/>
    <mergeCell ref="F4:G4"/>
    <mergeCell ref="F6:G6"/>
    <mergeCell ref="F5:G5"/>
  </mergeCells>
  <printOptions horizontalCentered="1" verticalCentered="1"/>
  <pageMargins left="0" right="0" top="0.74803149606299213" bottom="0.74803149606299213" header="0.31496062992125984" footer="0.31496062992125984"/>
  <pageSetup paperSize="9" orientation="landscape" horizontalDpi="0" verticalDpi="0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C3286-29F5-5C4A-83CF-7FCC450A0379}">
  <sheetPr codeName="Hoja61"/>
  <dimension ref="A1:AO229"/>
  <sheetViews>
    <sheetView topLeftCell="A30" zoomScale="236" zoomScaleNormal="236" workbookViewId="0">
      <selection activeCell="P46" sqref="P46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2" style="3028" customWidth="1"/>
    <col min="4" max="4" width="0.6640625" style="3668" customWidth="1"/>
    <col min="5" max="5" width="3.1640625" style="2815" customWidth="1"/>
    <col min="6" max="6" width="4.33203125" style="2818" customWidth="1"/>
    <col min="7" max="7" width="6.1640625" style="780" customWidth="1"/>
    <col min="8" max="8" width="7.5" style="780" customWidth="1"/>
    <col min="9" max="9" width="8.1640625" style="780" customWidth="1"/>
    <col min="10" max="10" width="7.5" style="780" customWidth="1"/>
    <col min="11" max="11" width="30.1640625" style="780" customWidth="1"/>
    <col min="12" max="12" width="8.1640625" style="780" customWidth="1"/>
    <col min="13" max="13" width="1.1640625" style="2820" customWidth="1"/>
    <col min="14" max="14" width="9" style="3390" customWidth="1"/>
    <col min="15" max="15" width="1" style="780" customWidth="1"/>
    <col min="16" max="16" width="11.1640625" style="780" customWidth="1"/>
    <col min="17" max="17" width="7.5" style="2821" customWidth="1"/>
    <col min="18" max="18" width="7.6640625" style="2821" customWidth="1"/>
    <col min="19" max="19" width="1.33203125" style="2822" customWidth="1"/>
    <col min="20" max="20" width="0.5" style="2822" customWidth="1"/>
    <col min="21" max="21" width="6" style="2823" customWidth="1"/>
    <col min="22" max="22" width="5.6640625" style="2823" customWidth="1"/>
    <col min="23" max="23" width="6.83203125" style="2823" customWidth="1"/>
    <col min="24" max="24" width="5.5" style="2823" customWidth="1"/>
    <col min="25" max="25" width="6" style="2823" customWidth="1"/>
    <col min="26" max="27" width="5.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5" style="2826" customWidth="1"/>
    <col min="40" max="40" width="11.5" style="2825"/>
    <col min="41" max="16384" width="11.5" style="2815"/>
  </cols>
  <sheetData>
    <row r="1" spans="1:40" ht="17" customHeight="1" thickBot="1">
      <c r="A1" s="3080" t="s">
        <v>344</v>
      </c>
      <c r="B1" s="2815"/>
      <c r="C1" s="2815"/>
      <c r="D1" s="3081"/>
      <c r="E1" s="2817"/>
      <c r="H1" s="3726"/>
      <c r="K1" s="1871">
        <v>44704</v>
      </c>
      <c r="L1" s="2821"/>
      <c r="M1" s="2821"/>
      <c r="N1" s="3391"/>
      <c r="O1" s="2821"/>
      <c r="P1" s="2821"/>
      <c r="V1" s="2824"/>
      <c r="AI1" s="2825"/>
      <c r="AJ1" s="2825"/>
      <c r="AK1" s="2825"/>
      <c r="AL1" s="2825"/>
      <c r="AM1" s="2825"/>
    </row>
    <row r="2" spans="1:40" s="223" customFormat="1" ht="71.25" customHeight="1" thickTop="1" thickBot="1">
      <c r="A2" s="351" t="s">
        <v>346</v>
      </c>
      <c r="B2" s="352" t="s">
        <v>347</v>
      </c>
      <c r="C2" s="353" t="s">
        <v>348</v>
      </c>
      <c r="D2" s="903"/>
      <c r="E2" s="674" t="s">
        <v>349</v>
      </c>
      <c r="F2" s="354" t="s">
        <v>350</v>
      </c>
      <c r="G2" s="350" t="s">
        <v>351</v>
      </c>
      <c r="H2" s="350" t="s">
        <v>624</v>
      </c>
      <c r="I2" s="350" t="s">
        <v>352</v>
      </c>
      <c r="J2" s="354" t="s">
        <v>353</v>
      </c>
      <c r="K2" s="350" t="s">
        <v>354</v>
      </c>
      <c r="L2" s="350"/>
      <c r="M2" s="450" t="s">
        <v>355</v>
      </c>
      <c r="N2" s="350" t="s">
        <v>445</v>
      </c>
      <c r="O2" s="353" t="s">
        <v>446</v>
      </c>
      <c r="P2" s="353" t="s">
        <v>447</v>
      </c>
      <c r="Q2" s="355" t="s">
        <v>448</v>
      </c>
      <c r="R2" s="356" t="s">
        <v>371</v>
      </c>
      <c r="S2" s="219" t="s">
        <v>449</v>
      </c>
      <c r="T2" s="219" t="s">
        <v>450</v>
      </c>
      <c r="U2" s="326" t="s">
        <v>451</v>
      </c>
      <c r="V2" s="329" t="s">
        <v>452</v>
      </c>
      <c r="W2" s="327" t="s">
        <v>453</v>
      </c>
      <c r="X2" s="330" t="s">
        <v>454</v>
      </c>
      <c r="Y2" s="328" t="s">
        <v>455</v>
      </c>
      <c r="Z2" s="332" t="s">
        <v>456</v>
      </c>
      <c r="AA2" s="331" t="s">
        <v>457</v>
      </c>
      <c r="AB2" s="220"/>
      <c r="AC2" s="221"/>
      <c r="AD2" s="222"/>
      <c r="AE2" s="222"/>
      <c r="AF2" s="222"/>
      <c r="AG2" s="222"/>
      <c r="AH2" s="222"/>
      <c r="AI2" s="220"/>
      <c r="AJ2" s="220"/>
      <c r="AK2" s="220"/>
      <c r="AL2" s="220"/>
      <c r="AM2" s="220"/>
      <c r="AN2" s="220"/>
    </row>
    <row r="3" spans="1:40" s="223" customFormat="1" ht="11" customHeight="1" thickBot="1">
      <c r="A3" s="911"/>
      <c r="B3" s="912"/>
      <c r="C3" s="913"/>
      <c r="D3" s="914"/>
      <c r="E3" s="977"/>
      <c r="F3" s="915"/>
      <c r="G3" s="913"/>
      <c r="H3" s="913"/>
      <c r="I3" s="913"/>
      <c r="J3" s="915"/>
      <c r="K3" s="913"/>
      <c r="L3" s="913"/>
      <c r="M3" s="916"/>
      <c r="N3" s="913"/>
      <c r="O3" s="913"/>
      <c r="P3" s="913"/>
      <c r="Q3" s="917"/>
      <c r="R3" s="918"/>
      <c r="S3" s="919"/>
      <c r="T3" s="919"/>
      <c r="U3" s="1579">
        <v>9.3287037037037058E-4</v>
      </c>
      <c r="V3" s="1580">
        <v>8.6111111111111121E-4</v>
      </c>
      <c r="W3" s="1580">
        <v>7.8935185185185206E-4</v>
      </c>
      <c r="X3" s="1580">
        <v>7.175925925925927E-4</v>
      </c>
      <c r="Y3" s="1580">
        <v>7.1400462962962975E-4</v>
      </c>
      <c r="Z3" s="1580">
        <v>7.0324074074074082E-4</v>
      </c>
      <c r="AA3" s="1581">
        <v>6.8888888888888895E-4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8" customFormat="1" ht="4.25" customHeight="1" thickBot="1">
      <c r="A4" s="621"/>
      <c r="B4" s="622"/>
      <c r="C4" s="623"/>
      <c r="D4" s="938"/>
      <c r="E4" s="623"/>
      <c r="F4" s="624"/>
      <c r="G4" s="625"/>
      <c r="H4" s="625"/>
      <c r="I4" s="625"/>
      <c r="J4" s="624"/>
      <c r="K4" s="625"/>
      <c r="L4" s="625"/>
      <c r="M4" s="626"/>
      <c r="N4" s="834"/>
      <c r="O4" s="623"/>
      <c r="P4" s="623"/>
      <c r="Q4" s="623"/>
      <c r="R4" s="627"/>
      <c r="S4" s="224"/>
      <c r="T4" s="224"/>
      <c r="U4" s="111">
        <f>U3/4</f>
        <v>2.3321759259259265E-4</v>
      </c>
      <c r="V4" s="111">
        <f t="shared" ref="V4:AA4" si="0">V3/4</f>
        <v>2.152777777777778E-4</v>
      </c>
      <c r="W4" s="111">
        <f t="shared" si="0"/>
        <v>1.9733796296296302E-4</v>
      </c>
      <c r="X4" s="111">
        <f t="shared" si="0"/>
        <v>1.7939814814814817E-4</v>
      </c>
      <c r="Y4" s="111">
        <f t="shared" si="0"/>
        <v>1.7850115740740744E-4</v>
      </c>
      <c r="Z4" s="111">
        <f t="shared" si="0"/>
        <v>1.7581018518518521E-4</v>
      </c>
      <c r="AA4" s="111">
        <f t="shared" si="0"/>
        <v>1.7222222222222224E-4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0" ht="14" customHeight="1" thickTop="1" thickBot="1">
      <c r="A5" s="5950" t="s">
        <v>215</v>
      </c>
      <c r="B5" s="5954" t="s">
        <v>461</v>
      </c>
      <c r="C5" s="629">
        <f>IF(D5=1,U$4,IF(D5=2,V$4,IF(D5=3,W$4,IF(D5=4,X$4,IF(D5=5,Y$4,IF(D5=6,Z$4,IF(D5=7,AA$4,0)))))))</f>
        <v>2.3321759259259265E-4</v>
      </c>
      <c r="D5" s="3406">
        <v>1</v>
      </c>
      <c r="E5" s="2652">
        <v>1</v>
      </c>
      <c r="F5" s="5910">
        <v>1</v>
      </c>
      <c r="G5" s="5910">
        <v>750</v>
      </c>
      <c r="H5" s="2654"/>
      <c r="I5" s="2654">
        <v>0</v>
      </c>
      <c r="J5" s="2654">
        <v>1.1574074074074073E-4</v>
      </c>
      <c r="K5" s="3860" t="s">
        <v>1772</v>
      </c>
      <c r="L5" s="2869">
        <v>0.79166666666666663</v>
      </c>
      <c r="M5" s="3868">
        <v>1</v>
      </c>
      <c r="N5" s="3869">
        <f>P5*E5*F5+I5*E5*F5+J5*E5</f>
        <v>7.1122685185185195E-3</v>
      </c>
      <c r="O5" s="2526">
        <f t="shared" ref="O5:O11" si="1">C5*G5/25</f>
        <v>6.9965277777777786E-3</v>
      </c>
      <c r="P5" s="3698">
        <f>O5*M5</f>
        <v>6.9965277777777786E-3</v>
      </c>
      <c r="Q5" s="3854">
        <v>120</v>
      </c>
      <c r="R5" s="3855">
        <f>E5*F5*G5</f>
        <v>750</v>
      </c>
      <c r="S5" s="2844">
        <f t="shared" ref="S5:S25" si="2">E5*F5*G5/1000</f>
        <v>0.75</v>
      </c>
      <c r="T5" s="2845">
        <f t="shared" ref="T5:T25" si="3">E5*F5*O5*4</f>
        <v>2.7986111111111114E-2</v>
      </c>
      <c r="U5" s="374" t="e">
        <f>IF(C5*4&gt;=#REF!,S5,0)</f>
        <v>#REF!</v>
      </c>
      <c r="V5" s="2846" t="e">
        <f>IF(AND(C5*4&gt;=#REF!,C5*4&lt;#REF!),S5,0)</f>
        <v>#REF!</v>
      </c>
      <c r="W5" s="2847" t="e">
        <f>IF(AND(C5*4&gt;=#REF!,C5*4&lt;#REF!),S5,0)</f>
        <v>#REF!</v>
      </c>
      <c r="X5" s="2848" t="e">
        <f>IF(AND(C5*4&gt;=#REF!,C5*4&lt;#REF!),S5,0)</f>
        <v>#REF!</v>
      </c>
      <c r="Y5" s="2849" t="e">
        <f>IF(AND(C5*4&gt;=#REF!,C5*4&lt;#REF!),S5,0)</f>
        <v>#REF!</v>
      </c>
      <c r="Z5" s="2850" t="e">
        <f>IF(AND(C5*4&gt;=#REF!,C5*4&lt;#REF!),S5,0)</f>
        <v>#REF!</v>
      </c>
      <c r="AA5" s="2851" t="e">
        <f>IF(AND(C5*4&gt;=#REF!,C5*4&lt;#REF!),S5,0)</f>
        <v>#REF!</v>
      </c>
      <c r="AB5" s="2935"/>
      <c r="AC5" s="2867"/>
      <c r="AD5" s="2867"/>
      <c r="AE5" s="2867"/>
      <c r="AF5" s="2867"/>
      <c r="AG5" s="2867"/>
      <c r="AH5" s="2867"/>
      <c r="AI5" s="2825"/>
      <c r="AJ5" s="2825"/>
      <c r="AK5" s="2825"/>
      <c r="AL5" s="2825"/>
      <c r="AM5" s="2825"/>
      <c r="AN5" s="2815"/>
    </row>
    <row r="6" spans="1:40" ht="14" customHeight="1" thickBot="1">
      <c r="A6" s="5950" t="s">
        <v>462</v>
      </c>
      <c r="B6" s="5954" t="s">
        <v>461</v>
      </c>
      <c r="C6" s="629">
        <f t="shared" ref="C6:C48" si="4">IF(D6=1,U$4,IF(D6=2,V$4,IF(D6=3,W$4,IF(D6=4,X$4,IF(D6=5,Y$4,IF(D6=6,Z$4,IF(D6=7,AA$4,0)))))))</f>
        <v>2.152777777777778E-4</v>
      </c>
      <c r="D6" s="3414">
        <v>2</v>
      </c>
      <c r="E6" s="2868">
        <v>1</v>
      </c>
      <c r="F6" s="5911">
        <v>10</v>
      </c>
      <c r="G6" s="5911">
        <v>50</v>
      </c>
      <c r="H6" s="2869">
        <v>6.9444444444444447E-4</v>
      </c>
      <c r="I6" s="3823" t="s">
        <v>1781</v>
      </c>
      <c r="J6" s="2869"/>
      <c r="K6" s="2870"/>
      <c r="L6" s="2869">
        <f>L5+N5</f>
        <v>0.79877893518518517</v>
      </c>
      <c r="M6" s="3679">
        <v>1.1499999999999999</v>
      </c>
      <c r="N6" s="3552">
        <f>H6*F6*E6</f>
        <v>6.9444444444444449E-3</v>
      </c>
      <c r="O6" s="3736">
        <f t="shared" si="1"/>
        <v>4.3055555555555561E-4</v>
      </c>
      <c r="P6" s="3737">
        <f t="shared" ref="P6:P10" si="5">O6*M6</f>
        <v>4.9513888888888893E-4</v>
      </c>
      <c r="Q6" s="3419">
        <v>140</v>
      </c>
      <c r="R6" s="5912">
        <f t="shared" ref="R6:R10" si="6">E6*F6*G6</f>
        <v>500</v>
      </c>
      <c r="S6" s="2844">
        <f t="shared" si="2"/>
        <v>0.5</v>
      </c>
      <c r="T6" s="2845">
        <f t="shared" si="3"/>
        <v>1.7222222222222226E-2</v>
      </c>
      <c r="U6" s="374" t="e">
        <f>IF(C6*4&gt;=#REF!,S6,0)</f>
        <v>#REF!</v>
      </c>
      <c r="V6" s="2846" t="e">
        <f>IF(AND(C6*4&gt;=#REF!,C6*4&lt;#REF!),S6,0)</f>
        <v>#REF!</v>
      </c>
      <c r="W6" s="2847" t="e">
        <f>IF(AND(C6*4&gt;=#REF!,C6*4&lt;#REF!),S6,0)</f>
        <v>#REF!</v>
      </c>
      <c r="X6" s="2848" t="e">
        <f>IF(AND(C6*4&gt;=#REF!,C6*4&lt;#REF!),S6,0)</f>
        <v>#REF!</v>
      </c>
      <c r="Y6" s="2849" t="e">
        <f>IF(AND(C6*4&gt;=#REF!,C6*4&lt;#REF!),S6,0)</f>
        <v>#REF!</v>
      </c>
      <c r="Z6" s="2850" t="e">
        <f>IF(AND(C6*4&gt;=#REF!,C6*4&lt;#REF!),S6,0)</f>
        <v>#REF!</v>
      </c>
      <c r="AA6" s="2851" t="e">
        <f>IF(AND(C6*4&gt;=#REF!,C6*4&lt;#REF!),S6,0)</f>
        <v>#REF!</v>
      </c>
      <c r="AB6" s="2935"/>
      <c r="AC6" s="2867"/>
      <c r="AD6" s="2867"/>
      <c r="AE6" s="2867"/>
      <c r="AF6" s="2867"/>
      <c r="AG6" s="2867"/>
      <c r="AH6" s="2867"/>
      <c r="AI6" s="2825"/>
      <c r="AJ6" s="2825"/>
      <c r="AK6" s="2825"/>
      <c r="AL6" s="2825"/>
      <c r="AM6" s="2825"/>
      <c r="AN6" s="2815"/>
    </row>
    <row r="7" spans="1:40" ht="15" customHeight="1" thickBot="1">
      <c r="A7" s="5950" t="s">
        <v>461</v>
      </c>
      <c r="B7" s="5954" t="s">
        <v>461</v>
      </c>
      <c r="C7" s="629">
        <f t="shared" si="4"/>
        <v>1.7222222222222224E-4</v>
      </c>
      <c r="D7" s="3842">
        <v>7</v>
      </c>
      <c r="E7" s="3843">
        <v>1</v>
      </c>
      <c r="F7" s="3844">
        <v>8</v>
      </c>
      <c r="G7" s="3844">
        <v>50</v>
      </c>
      <c r="H7" s="3845">
        <v>6.9444444444444447E-4</v>
      </c>
      <c r="I7" s="3846"/>
      <c r="J7" s="3846">
        <v>2.0833333333333333E-3</v>
      </c>
      <c r="K7" s="3754" t="s">
        <v>1782</v>
      </c>
      <c r="L7" s="3847">
        <f t="shared" ref="L7:L10" si="7">L6+N6</f>
        <v>0.80572337962962959</v>
      </c>
      <c r="M7" s="3848">
        <v>1.05</v>
      </c>
      <c r="N7" s="3849">
        <f t="shared" ref="N7:N10" si="8">H7*F7*E7</f>
        <v>5.5555555555555558E-3</v>
      </c>
      <c r="O7" s="2271">
        <f t="shared" si="1"/>
        <v>3.4444444444444442E-4</v>
      </c>
      <c r="P7" s="2517">
        <f t="shared" si="5"/>
        <v>3.6166666666666666E-4</v>
      </c>
      <c r="Q7" s="3741">
        <v>140</v>
      </c>
      <c r="R7" s="3864">
        <f t="shared" si="6"/>
        <v>400</v>
      </c>
      <c r="S7" s="2844">
        <f t="shared" si="2"/>
        <v>0.4</v>
      </c>
      <c r="T7" s="2845">
        <f t="shared" si="3"/>
        <v>1.1022222222222221E-2</v>
      </c>
      <c r="U7" s="374" t="e">
        <f>IF(C7*4&gt;=#REF!,S7,0)</f>
        <v>#REF!</v>
      </c>
      <c r="V7" s="2846" t="e">
        <f>IF(AND(C7*4&gt;=#REF!,C7*4&lt;#REF!),S7,0)</f>
        <v>#REF!</v>
      </c>
      <c r="W7" s="2847" t="e">
        <f>IF(AND(C7*4&gt;=#REF!,C7*4&lt;#REF!),S7,0)</f>
        <v>#REF!</v>
      </c>
      <c r="X7" s="2848" t="e">
        <f>IF(AND(C7*4&gt;=#REF!,C7*4&lt;#REF!),S7,0)</f>
        <v>#REF!</v>
      </c>
      <c r="Y7" s="2849" t="e">
        <f>IF(AND(C7*4&gt;=#REF!,C7*4&lt;#REF!),S7,0)</f>
        <v>#REF!</v>
      </c>
      <c r="Z7" s="2850" t="e">
        <f>IF(AND(C7*4&gt;=#REF!,C7*4&lt;#REF!),S7,0)</f>
        <v>#REF!</v>
      </c>
      <c r="AA7" s="2851" t="e">
        <f>IF(AND(C7*4&gt;=#REF!,C7*4&lt;#REF!),S7,0)</f>
        <v>#REF!</v>
      </c>
      <c r="AB7" s="2935"/>
      <c r="AC7" s="2867"/>
      <c r="AD7" s="2867"/>
      <c r="AE7" s="2867"/>
      <c r="AF7" s="2867"/>
      <c r="AG7" s="2867"/>
      <c r="AH7" s="2867"/>
      <c r="AI7" s="2825"/>
      <c r="AJ7" s="2825"/>
      <c r="AK7" s="2825"/>
      <c r="AL7" s="2825"/>
      <c r="AM7" s="2825"/>
      <c r="AN7" s="2815"/>
    </row>
    <row r="8" spans="1:40" ht="14" customHeight="1" thickBot="1">
      <c r="A8" s="5950" t="s">
        <v>458</v>
      </c>
      <c r="B8" s="5954" t="s">
        <v>461</v>
      </c>
      <c r="C8" s="629">
        <f t="shared" si="4"/>
        <v>1.9733796296296302E-4</v>
      </c>
      <c r="D8" s="5913">
        <v>3</v>
      </c>
      <c r="E8" s="5914">
        <v>1</v>
      </c>
      <c r="F8" s="5915">
        <v>1</v>
      </c>
      <c r="G8" s="5915">
        <v>300</v>
      </c>
      <c r="H8" s="3694">
        <v>1.2152777777777778E-3</v>
      </c>
      <c r="I8" s="3694"/>
      <c r="J8" s="3694"/>
      <c r="K8" s="3805" t="s">
        <v>1776</v>
      </c>
      <c r="L8" s="3694">
        <f t="shared" si="7"/>
        <v>0.81127893518518512</v>
      </c>
      <c r="M8" s="3806">
        <v>1.1499999999999999</v>
      </c>
      <c r="N8" s="3792">
        <f t="shared" si="8"/>
        <v>1.2152777777777778E-3</v>
      </c>
      <c r="O8" s="3698">
        <f t="shared" si="1"/>
        <v>2.3680555555555564E-3</v>
      </c>
      <c r="P8" s="3737">
        <f t="shared" si="5"/>
        <v>2.7232638888888897E-3</v>
      </c>
      <c r="Q8" s="3419">
        <v>140</v>
      </c>
      <c r="R8" s="5912">
        <f t="shared" si="6"/>
        <v>300</v>
      </c>
      <c r="S8" s="2844">
        <f t="shared" si="2"/>
        <v>0.3</v>
      </c>
      <c r="T8" s="2845">
        <f t="shared" si="3"/>
        <v>9.4722222222222256E-3</v>
      </c>
      <c r="U8" s="374" t="e">
        <f>IF(C8*4&gt;=#REF!,S8,0)</f>
        <v>#REF!</v>
      </c>
      <c r="V8" s="2846" t="e">
        <f>IF(AND(C8*4&gt;=#REF!,C8*4&lt;#REF!),S8,0)</f>
        <v>#REF!</v>
      </c>
      <c r="W8" s="2847" t="e">
        <f>IF(AND(C8*4&gt;=#REF!,C8*4&lt;#REF!),S8,0)</f>
        <v>#REF!</v>
      </c>
      <c r="X8" s="2848" t="e">
        <f>IF(AND(C8*4&gt;=#REF!,C8*4&lt;#REF!),S8,0)</f>
        <v>#REF!</v>
      </c>
      <c r="Y8" s="2849" t="e">
        <f>IF(AND(C8*4&gt;=#REF!,C8*4&lt;#REF!),S8,0)</f>
        <v>#REF!</v>
      </c>
      <c r="Z8" s="2850" t="e">
        <f>IF(AND(C8*4&gt;=#REF!,C8*4&lt;#REF!),S8,0)</f>
        <v>#REF!</v>
      </c>
      <c r="AA8" s="2851" t="e">
        <f>IF(AND(C8*4&gt;=#REF!,C8*4&lt;#REF!),S8,0)</f>
        <v>#REF!</v>
      </c>
      <c r="AB8" s="2935"/>
      <c r="AC8" s="2867"/>
      <c r="AD8" s="2867"/>
      <c r="AE8" s="2867"/>
      <c r="AF8" s="2867"/>
      <c r="AG8" s="2867"/>
      <c r="AH8" s="2867"/>
      <c r="AI8" s="2825"/>
      <c r="AJ8" s="2825"/>
      <c r="AK8" s="2825"/>
      <c r="AL8" s="2825"/>
      <c r="AM8" s="2825"/>
      <c r="AN8" s="2815"/>
    </row>
    <row r="9" spans="1:40" ht="14" customHeight="1" thickBot="1">
      <c r="A9" s="5950" t="s">
        <v>219</v>
      </c>
      <c r="B9" s="5954" t="s">
        <v>461</v>
      </c>
      <c r="C9" s="629">
        <f t="shared" si="4"/>
        <v>1.7222222222222224E-4</v>
      </c>
      <c r="D9" s="3842">
        <v>7</v>
      </c>
      <c r="E9" s="3843">
        <v>2</v>
      </c>
      <c r="F9" s="3844">
        <v>6</v>
      </c>
      <c r="G9" s="3844">
        <v>25</v>
      </c>
      <c r="H9" s="3845">
        <v>6.9444444444444447E-4</v>
      </c>
      <c r="I9" s="3846"/>
      <c r="J9" s="3846">
        <v>6.9444444444444447E-4</v>
      </c>
      <c r="K9" s="3754" t="s">
        <v>1777</v>
      </c>
      <c r="L9" s="3847">
        <f t="shared" si="7"/>
        <v>0.81249421296296287</v>
      </c>
      <c r="M9" s="3848">
        <v>1.05</v>
      </c>
      <c r="N9" s="3849">
        <f t="shared" si="8"/>
        <v>8.3333333333333332E-3</v>
      </c>
      <c r="O9" s="2271">
        <f t="shared" si="1"/>
        <v>1.7222222222222221E-4</v>
      </c>
      <c r="P9" s="2517">
        <f t="shared" si="5"/>
        <v>1.8083333333333333E-4</v>
      </c>
      <c r="Q9" s="3741">
        <v>140</v>
      </c>
      <c r="R9" s="3864">
        <f t="shared" si="6"/>
        <v>300</v>
      </c>
      <c r="S9" s="2844">
        <f t="shared" si="2"/>
        <v>0.3</v>
      </c>
      <c r="T9" s="2845">
        <f t="shared" si="3"/>
        <v>8.2666666666666652E-3</v>
      </c>
      <c r="U9" s="374" t="e">
        <f>IF(C9*4&gt;=#REF!,S9,0)</f>
        <v>#REF!</v>
      </c>
      <c r="V9" s="2846" t="e">
        <f>IF(AND(C9*4&gt;=#REF!,C9*4&lt;#REF!),S9,0)</f>
        <v>#REF!</v>
      </c>
      <c r="W9" s="2847" t="e">
        <f>IF(AND(C9*4&gt;=#REF!,C9*4&lt;#REF!),S9,0)</f>
        <v>#REF!</v>
      </c>
      <c r="X9" s="2848" t="e">
        <f>IF(AND(C9*4&gt;=#REF!,C9*4&lt;#REF!),S9,0)</f>
        <v>#REF!</v>
      </c>
      <c r="Y9" s="2849" t="e">
        <f>IF(AND(C9*4&gt;=#REF!,C9*4&lt;#REF!),S9,0)</f>
        <v>#REF!</v>
      </c>
      <c r="Z9" s="2850" t="e">
        <f>IF(AND(C9*4&gt;=#REF!,C9*4&lt;#REF!),S9,0)</f>
        <v>#REF!</v>
      </c>
      <c r="AA9" s="2851" t="e">
        <f>IF(AND(C9*4&gt;=#REF!,C9*4&lt;#REF!),S9,0)</f>
        <v>#REF!</v>
      </c>
      <c r="AB9" s="2935"/>
      <c r="AC9" s="2867"/>
      <c r="AD9" s="2867"/>
      <c r="AE9" s="2867"/>
      <c r="AF9" s="2867"/>
      <c r="AG9" s="2867"/>
      <c r="AH9" s="2867"/>
      <c r="AI9" s="2825"/>
      <c r="AJ9" s="2825"/>
      <c r="AK9" s="2825"/>
      <c r="AL9" s="2825"/>
      <c r="AM9" s="2825"/>
      <c r="AN9" s="2815"/>
    </row>
    <row r="10" spans="1:40" ht="14" customHeight="1" thickBot="1">
      <c r="A10" s="5950"/>
      <c r="B10" s="5954" t="s">
        <v>461</v>
      </c>
      <c r="C10" s="629">
        <f t="shared" si="4"/>
        <v>1.7222222222222224E-4</v>
      </c>
      <c r="D10" s="3856">
        <v>7</v>
      </c>
      <c r="E10" s="5916">
        <v>1</v>
      </c>
      <c r="F10" s="5917">
        <v>1</v>
      </c>
      <c r="G10" s="5917">
        <v>400</v>
      </c>
      <c r="H10" s="3859"/>
      <c r="I10" s="2869">
        <v>4.6296296296296293E-4</v>
      </c>
      <c r="J10" s="2869">
        <v>1.3888888888888889E-3</v>
      </c>
      <c r="K10" s="3850" t="s">
        <v>1771</v>
      </c>
      <c r="L10" s="3851">
        <f t="shared" si="7"/>
        <v>0.82082754629629617</v>
      </c>
      <c r="M10" s="3852">
        <v>1.1499999999999999</v>
      </c>
      <c r="N10" s="3853">
        <f t="shared" si="8"/>
        <v>0</v>
      </c>
      <c r="O10" s="2526">
        <f t="shared" si="1"/>
        <v>2.7555555555555554E-3</v>
      </c>
      <c r="P10" s="3698">
        <f t="shared" si="5"/>
        <v>3.1688888888888886E-3</v>
      </c>
      <c r="Q10" s="3854">
        <v>140</v>
      </c>
      <c r="R10" s="3855">
        <f t="shared" si="6"/>
        <v>400</v>
      </c>
      <c r="S10" s="2844">
        <f t="shared" si="2"/>
        <v>0.4</v>
      </c>
      <c r="T10" s="2845">
        <f t="shared" si="3"/>
        <v>1.1022222222222221E-2</v>
      </c>
      <c r="U10" s="374" t="e">
        <f>IF(C10*4&gt;=#REF!,S10,0)</f>
        <v>#REF!</v>
      </c>
      <c r="V10" s="2846" t="e">
        <f>IF(AND(C10*4&gt;=#REF!,C10*4&lt;#REF!),S10,0)</f>
        <v>#REF!</v>
      </c>
      <c r="W10" s="2847" t="e">
        <f>IF(AND(C10*4&gt;=#REF!,C10*4&lt;#REF!),S10,0)</f>
        <v>#REF!</v>
      </c>
      <c r="X10" s="2848" t="e">
        <f>IF(AND(C10*4&gt;=#REF!,C10*4&lt;#REF!),S10,0)</f>
        <v>#REF!</v>
      </c>
      <c r="Y10" s="2849" t="e">
        <f>IF(AND(C10*4&gt;=#REF!,C10*4&lt;#REF!),S10,0)</f>
        <v>#REF!</v>
      </c>
      <c r="Z10" s="2850" t="e">
        <f>IF(AND(C10*4&gt;=#REF!,C10*4&lt;#REF!),S10,0)</f>
        <v>#REF!</v>
      </c>
      <c r="AA10" s="2851" t="e">
        <f>IF(AND(C10*4&gt;=#REF!,C10*4&lt;#REF!),S10,0)</f>
        <v>#REF!</v>
      </c>
      <c r="AB10" s="2935"/>
      <c r="AC10" s="2867"/>
      <c r="AD10" s="2867"/>
      <c r="AE10" s="2867"/>
      <c r="AF10" s="2867"/>
      <c r="AG10" s="2867"/>
      <c r="AH10" s="2867"/>
      <c r="AI10" s="2825"/>
      <c r="AJ10" s="2825"/>
      <c r="AK10" s="2825"/>
      <c r="AL10" s="2825"/>
      <c r="AM10" s="2825"/>
      <c r="AN10" s="2815"/>
    </row>
    <row r="11" spans="1:40" ht="14" customHeight="1" thickBot="1">
      <c r="A11" s="2183"/>
      <c r="B11" s="3030" t="s">
        <v>461</v>
      </c>
      <c r="C11" s="629">
        <f t="shared" si="4"/>
        <v>0</v>
      </c>
      <c r="D11" s="5918"/>
      <c r="E11" s="3454"/>
      <c r="F11" s="3454"/>
      <c r="G11" s="3454"/>
      <c r="H11" s="3454"/>
      <c r="I11" s="3454"/>
      <c r="J11" s="3454"/>
      <c r="K11" s="3454"/>
      <c r="L11" s="2528">
        <f>L7+N7</f>
        <v>0.81127893518518512</v>
      </c>
      <c r="M11" s="448"/>
      <c r="N11" s="2423">
        <f>SUM(N5:N10)</f>
        <v>2.9160879629629634E-2</v>
      </c>
      <c r="O11" s="2526">
        <f t="shared" si="1"/>
        <v>0</v>
      </c>
      <c r="P11" s="336"/>
      <c r="Q11" s="336"/>
      <c r="R11" s="3863">
        <f>SUM(R5:R10)</f>
        <v>2650</v>
      </c>
      <c r="S11" s="2844">
        <f t="shared" si="2"/>
        <v>0</v>
      </c>
      <c r="T11" s="2845">
        <f t="shared" si="3"/>
        <v>0</v>
      </c>
      <c r="U11" s="374" t="e">
        <f>IF(C11*4&gt;=#REF!,S11,0)</f>
        <v>#REF!</v>
      </c>
      <c r="V11" s="2846" t="e">
        <f>IF(AND(C11*4&gt;=#REF!,C11*4&lt;#REF!),S11,0)</f>
        <v>#REF!</v>
      </c>
      <c r="W11" s="2847" t="e">
        <f>IF(AND(C11*4&gt;=#REF!,C11*4&lt;#REF!),S11,0)</f>
        <v>#REF!</v>
      </c>
      <c r="X11" s="2848" t="e">
        <f>IF(AND(C11*4&gt;=#REF!,C11*4&lt;#REF!),S11,0)</f>
        <v>#REF!</v>
      </c>
      <c r="Y11" s="2849" t="e">
        <f>IF(AND(C11*4&gt;=#REF!,C11*4&lt;#REF!),S11,0)</f>
        <v>#REF!</v>
      </c>
      <c r="Z11" s="2850" t="e">
        <f>IF(AND(C11*4&gt;=#REF!,C11*4&lt;#REF!),S11,0)</f>
        <v>#REF!</v>
      </c>
      <c r="AA11" s="2851" t="e">
        <f>IF(AND(C11*4&gt;=#REF!,C11*4&lt;#REF!),S11,0)</f>
        <v>#REF!</v>
      </c>
      <c r="AB11" s="2935"/>
      <c r="AC11" s="2867"/>
      <c r="AD11" s="2867"/>
      <c r="AE11" s="2867"/>
      <c r="AF11" s="2867"/>
      <c r="AG11" s="2867"/>
      <c r="AH11" s="2867"/>
      <c r="AI11" s="2825"/>
      <c r="AJ11" s="2825"/>
      <c r="AK11" s="2825"/>
      <c r="AL11" s="2825"/>
      <c r="AM11" s="2825"/>
      <c r="AN11" s="2815"/>
    </row>
    <row r="12" spans="1:40" ht="14" customHeight="1" thickBot="1">
      <c r="A12" s="2183"/>
      <c r="B12" s="3030" t="s">
        <v>215</v>
      </c>
      <c r="C12" s="629">
        <f t="shared" si="4"/>
        <v>2.3321759259259265E-4</v>
      </c>
      <c r="D12" s="3406">
        <v>1</v>
      </c>
      <c r="E12" s="2652">
        <v>1</v>
      </c>
      <c r="F12" s="5910">
        <v>1</v>
      </c>
      <c r="G12" s="5910">
        <v>200</v>
      </c>
      <c r="H12" s="2654"/>
      <c r="I12" s="2654">
        <v>0</v>
      </c>
      <c r="J12" s="2654">
        <v>1.1574074074074073E-4</v>
      </c>
      <c r="K12" s="3860" t="s">
        <v>1674</v>
      </c>
      <c r="L12" s="3867">
        <v>0.33333333333333331</v>
      </c>
      <c r="M12" s="3868">
        <v>1.1000000000000001</v>
      </c>
      <c r="N12" s="3869">
        <f>P12*E12*F12+I12*E12*F12+J12*E12</f>
        <v>2.1680555555555563E-3</v>
      </c>
      <c r="O12" s="2526">
        <f t="shared" ref="O12:O17" si="9">C12*G12/25</f>
        <v>1.8657407407407412E-3</v>
      </c>
      <c r="P12" s="3698">
        <f>O12*M12</f>
        <v>2.0523148148148154E-3</v>
      </c>
      <c r="Q12" s="3854">
        <v>120</v>
      </c>
      <c r="R12" s="3855">
        <f>E12*F12*G12</f>
        <v>200</v>
      </c>
      <c r="S12" s="2844">
        <f t="shared" si="2"/>
        <v>0.2</v>
      </c>
      <c r="T12" s="2845">
        <f t="shared" si="3"/>
        <v>7.4629629629629646E-3</v>
      </c>
      <c r="U12" s="374" t="e">
        <f>IF(C12*4&gt;=#REF!,S12,0)</f>
        <v>#REF!</v>
      </c>
      <c r="V12" s="2846" t="e">
        <f>IF(AND(C12*4&gt;=#REF!,C12*4&lt;#REF!),S12,0)</f>
        <v>#REF!</v>
      </c>
      <c r="W12" s="2847" t="e">
        <f>IF(AND(C12*4&gt;=#REF!,C12*4&lt;#REF!),S12,0)</f>
        <v>#REF!</v>
      </c>
      <c r="X12" s="2848" t="e">
        <f>IF(AND(C12*4&gt;=#REF!,C12*4&lt;#REF!),S12,0)</f>
        <v>#REF!</v>
      </c>
      <c r="Y12" s="2849" t="e">
        <f>IF(AND(C12*4&gt;=#REF!,C12*4&lt;#REF!),S12,0)</f>
        <v>#REF!</v>
      </c>
      <c r="Z12" s="2850" t="e">
        <f>IF(AND(C12*4&gt;=#REF!,C12*4&lt;#REF!),S12,0)</f>
        <v>#REF!</v>
      </c>
      <c r="AA12" s="2851" t="e">
        <f>IF(AND(C12*4&gt;=#REF!,C12*4&lt;#REF!),S12,0)</f>
        <v>#REF!</v>
      </c>
      <c r="AB12" s="2935"/>
      <c r="AC12" s="2867"/>
      <c r="AD12" s="2867"/>
      <c r="AE12" s="2867"/>
      <c r="AF12" s="2867"/>
      <c r="AG12" s="2867"/>
      <c r="AH12" s="2867"/>
      <c r="AI12" s="2825"/>
      <c r="AJ12" s="2825"/>
      <c r="AK12" s="2825"/>
      <c r="AL12" s="2825"/>
      <c r="AM12" s="2825"/>
      <c r="AN12" s="2815"/>
    </row>
    <row r="13" spans="1:40" ht="14" customHeight="1" thickBot="1">
      <c r="A13" s="2183" t="s">
        <v>215</v>
      </c>
      <c r="B13" s="3030" t="s">
        <v>215</v>
      </c>
      <c r="C13" s="629">
        <f t="shared" si="4"/>
        <v>2.152777777777778E-4</v>
      </c>
      <c r="D13" s="3414">
        <v>2</v>
      </c>
      <c r="E13" s="2868">
        <v>1</v>
      </c>
      <c r="F13" s="5911">
        <v>16</v>
      </c>
      <c r="G13" s="5911">
        <v>25</v>
      </c>
      <c r="H13" s="2869">
        <v>6.9444444444444447E-4</v>
      </c>
      <c r="I13" s="2869"/>
      <c r="J13" s="2869"/>
      <c r="K13" s="2870" t="s">
        <v>1778</v>
      </c>
      <c r="L13" s="2869">
        <f>L12+N12</f>
        <v>0.33550138888888886</v>
      </c>
      <c r="M13" s="3679">
        <v>1.1499999999999999</v>
      </c>
      <c r="N13" s="3552">
        <f>H13*F13*E13</f>
        <v>1.1111111111111112E-2</v>
      </c>
      <c r="O13" s="3736">
        <f t="shared" si="9"/>
        <v>2.152777777777778E-4</v>
      </c>
      <c r="P13" s="3737">
        <f t="shared" ref="P13:P17" si="10">O13*M13</f>
        <v>2.4756944444444446E-4</v>
      </c>
      <c r="Q13" s="3419">
        <v>140</v>
      </c>
      <c r="R13" s="5912">
        <f t="shared" ref="R13:R17" si="11">E13*F13*G13</f>
        <v>400</v>
      </c>
      <c r="S13" s="2844">
        <f t="shared" si="2"/>
        <v>0.4</v>
      </c>
      <c r="T13" s="2845">
        <f t="shared" si="3"/>
        <v>1.3777777777777779E-2</v>
      </c>
      <c r="U13" s="374" t="e">
        <f>IF(C13*4&gt;=#REF!,S13,0)</f>
        <v>#REF!</v>
      </c>
      <c r="V13" s="2846" t="e">
        <f>IF(AND(C13*4&gt;=#REF!,C13*4&lt;#REF!),S13,0)</f>
        <v>#REF!</v>
      </c>
      <c r="W13" s="2847" t="e">
        <f>IF(AND(C13*4&gt;=#REF!,C13*4&lt;#REF!),S13,0)</f>
        <v>#REF!</v>
      </c>
      <c r="X13" s="2848" t="e">
        <f>IF(AND(C13*4&gt;=#REF!,C13*4&lt;#REF!),S13,0)</f>
        <v>#REF!</v>
      </c>
      <c r="Y13" s="2849" t="e">
        <f>IF(AND(C13*4&gt;=#REF!,C13*4&lt;#REF!),S13,0)</f>
        <v>#REF!</v>
      </c>
      <c r="Z13" s="2850" t="e">
        <f>IF(AND(C13*4&gt;=#REF!,C13*4&lt;#REF!),S13,0)</f>
        <v>#REF!</v>
      </c>
      <c r="AA13" s="2851" t="e">
        <f>IF(AND(C13*4&gt;=#REF!,C13*4&lt;#REF!),S13,0)</f>
        <v>#REF!</v>
      </c>
      <c r="AB13" s="2935"/>
      <c r="AC13" s="2867"/>
      <c r="AD13" s="2867"/>
      <c r="AE13" s="2867"/>
      <c r="AF13" s="2867"/>
      <c r="AG13" s="2867"/>
      <c r="AH13" s="2867"/>
      <c r="AI13" s="2825"/>
      <c r="AJ13" s="2825"/>
      <c r="AK13" s="2825"/>
      <c r="AL13" s="2825"/>
      <c r="AM13" s="2825"/>
      <c r="AN13" s="2815"/>
    </row>
    <row r="14" spans="1:40" ht="14" customHeight="1" thickBot="1">
      <c r="A14" s="2183" t="s">
        <v>139</v>
      </c>
      <c r="B14" s="3030" t="s">
        <v>215</v>
      </c>
      <c r="C14" s="629">
        <f t="shared" si="4"/>
        <v>2.152777777777778E-4</v>
      </c>
      <c r="D14" s="3414">
        <v>2</v>
      </c>
      <c r="E14" s="2868">
        <v>1</v>
      </c>
      <c r="F14" s="5911">
        <v>20</v>
      </c>
      <c r="G14" s="5911">
        <v>25</v>
      </c>
      <c r="H14" s="2869">
        <v>2.3148148148148146E-4</v>
      </c>
      <c r="I14" s="3823" t="s">
        <v>1768</v>
      </c>
      <c r="J14" s="2869"/>
      <c r="K14" s="2870"/>
      <c r="L14" s="2869">
        <f>L13+N13</f>
        <v>0.34661249999999999</v>
      </c>
      <c r="M14" s="3679">
        <v>1.1499999999999999</v>
      </c>
      <c r="N14" s="3552">
        <f>H14*F14*E14</f>
        <v>4.6296296296296294E-3</v>
      </c>
      <c r="O14" s="3736">
        <f t="shared" si="9"/>
        <v>2.152777777777778E-4</v>
      </c>
      <c r="P14" s="3737">
        <f t="shared" si="10"/>
        <v>2.4756944444444446E-4</v>
      </c>
      <c r="Q14" s="3419">
        <v>140</v>
      </c>
      <c r="R14" s="5912">
        <f t="shared" si="11"/>
        <v>500</v>
      </c>
      <c r="S14" s="2844">
        <f t="shared" si="2"/>
        <v>0.5</v>
      </c>
      <c r="T14" s="2845">
        <f t="shared" si="3"/>
        <v>1.7222222222222226E-2</v>
      </c>
      <c r="U14" s="374" t="e">
        <f>IF(C14*4&gt;=#REF!,S14,0)</f>
        <v>#REF!</v>
      </c>
      <c r="V14" s="2846" t="e">
        <f>IF(AND(C14*4&gt;=#REF!,C14*4&lt;#REF!),S14,0)</f>
        <v>#REF!</v>
      </c>
      <c r="W14" s="2847" t="e">
        <f>IF(AND(C14*4&gt;=#REF!,C14*4&lt;#REF!),S14,0)</f>
        <v>#REF!</v>
      </c>
      <c r="X14" s="2848" t="e">
        <f>IF(AND(C14*4&gt;=#REF!,C14*4&lt;#REF!),S14,0)</f>
        <v>#REF!</v>
      </c>
      <c r="Y14" s="2849" t="e">
        <f>IF(AND(C14*4&gt;=#REF!,C14*4&lt;#REF!),S14,0)</f>
        <v>#REF!</v>
      </c>
      <c r="Z14" s="2850" t="e">
        <f>IF(AND(C14*4&gt;=#REF!,C14*4&lt;#REF!),S14,0)</f>
        <v>#REF!</v>
      </c>
      <c r="AA14" s="2851" t="e">
        <f>IF(AND(C14*4&gt;=#REF!,C14*4&lt;#REF!),S14,0)</f>
        <v>#REF!</v>
      </c>
      <c r="AB14" s="2935"/>
      <c r="AC14" s="2867"/>
      <c r="AD14" s="2867"/>
      <c r="AE14" s="2867"/>
      <c r="AF14" s="2867"/>
      <c r="AG14" s="2867"/>
      <c r="AH14" s="2867"/>
      <c r="AI14" s="2825"/>
      <c r="AJ14" s="2825"/>
      <c r="AK14" s="2825"/>
      <c r="AL14" s="2825"/>
      <c r="AM14" s="2825"/>
      <c r="AN14" s="2815"/>
    </row>
    <row r="15" spans="1:40" ht="14" customHeight="1" thickBot="1">
      <c r="A15" s="2183" t="s">
        <v>458</v>
      </c>
      <c r="B15" s="3030" t="s">
        <v>215</v>
      </c>
      <c r="C15" s="629">
        <f t="shared" si="4"/>
        <v>1.7222222222222224E-4</v>
      </c>
      <c r="D15" s="3842">
        <v>7</v>
      </c>
      <c r="E15" s="3843">
        <v>4</v>
      </c>
      <c r="F15" s="3844">
        <v>4</v>
      </c>
      <c r="G15" s="3844">
        <v>50</v>
      </c>
      <c r="H15" s="3845">
        <v>1.5046296296296294E-3</v>
      </c>
      <c r="I15" s="3846"/>
      <c r="J15" s="3846">
        <v>2.0833333333333333E-3</v>
      </c>
      <c r="K15" s="3754" t="s">
        <v>1779</v>
      </c>
      <c r="L15" s="3847">
        <f>L14+N14</f>
        <v>0.35124212962962964</v>
      </c>
      <c r="M15" s="3848">
        <v>1.05</v>
      </c>
      <c r="N15" s="3849">
        <f>H15*F15*E15</f>
        <v>2.4074074074074071E-2</v>
      </c>
      <c r="O15" s="2271">
        <f t="shared" si="9"/>
        <v>3.4444444444444442E-4</v>
      </c>
      <c r="P15" s="2526">
        <f t="shared" si="10"/>
        <v>3.6166666666666666E-4</v>
      </c>
      <c r="Q15" s="2527">
        <v>140</v>
      </c>
      <c r="R15" s="2527">
        <f t="shared" si="11"/>
        <v>800</v>
      </c>
      <c r="S15" s="2844">
        <f t="shared" si="2"/>
        <v>0.8</v>
      </c>
      <c r="T15" s="2845">
        <f t="shared" si="3"/>
        <v>2.2044444444444443E-2</v>
      </c>
      <c r="U15" s="374" t="e">
        <f>IF(C15*4&gt;=#REF!,S15,0)</f>
        <v>#REF!</v>
      </c>
      <c r="V15" s="2846" t="e">
        <f>IF(AND(C15*4&gt;=#REF!,C15*4&lt;#REF!),S15,0)</f>
        <v>#REF!</v>
      </c>
      <c r="W15" s="2847" t="e">
        <f>IF(AND(C15*4&gt;=#REF!,C15*4&lt;#REF!),S15,0)</f>
        <v>#REF!</v>
      </c>
      <c r="X15" s="2848" t="e">
        <f>IF(AND(C15*4&gt;=#REF!,C15*4&lt;#REF!),S15,0)</f>
        <v>#REF!</v>
      </c>
      <c r="Y15" s="2849" t="e">
        <f>IF(AND(C15*4&gt;=#REF!,C15*4&lt;#REF!),S15,0)</f>
        <v>#REF!</v>
      </c>
      <c r="Z15" s="2850" t="e">
        <f>IF(AND(C15*4&gt;=#REF!,C15*4&lt;#REF!),S15,0)</f>
        <v>#REF!</v>
      </c>
      <c r="AA15" s="2851" t="e">
        <f>IF(AND(C15*4&gt;=#REF!,C15*4&lt;#REF!),S15,0)</f>
        <v>#REF!</v>
      </c>
      <c r="AB15" s="2935"/>
      <c r="AC15" s="2867"/>
      <c r="AD15" s="2867"/>
      <c r="AE15" s="2867"/>
      <c r="AF15" s="2867"/>
      <c r="AG15" s="2867"/>
      <c r="AH15" s="2867"/>
      <c r="AI15" s="2825"/>
      <c r="AJ15" s="2825"/>
      <c r="AK15" s="2825"/>
      <c r="AL15" s="2825"/>
      <c r="AM15" s="2825"/>
      <c r="AN15" s="2815"/>
    </row>
    <row r="16" spans="1:40" ht="14" customHeight="1" thickBot="1">
      <c r="A16" s="2183" t="s">
        <v>462</v>
      </c>
      <c r="B16" s="3030" t="s">
        <v>215</v>
      </c>
      <c r="C16" s="629">
        <f t="shared" si="4"/>
        <v>1.9733796296296302E-4</v>
      </c>
      <c r="D16" s="5913">
        <v>3</v>
      </c>
      <c r="E16" s="5914">
        <v>1</v>
      </c>
      <c r="F16" s="5915">
        <v>1</v>
      </c>
      <c r="G16" s="5915">
        <v>400</v>
      </c>
      <c r="H16" s="3694">
        <v>1.2152777777777778E-3</v>
      </c>
      <c r="I16" s="3694"/>
      <c r="J16" s="3694"/>
      <c r="K16" s="3805" t="s">
        <v>1223</v>
      </c>
      <c r="L16" s="3694">
        <f t="shared" ref="L16:L17" si="12">L15+N15</f>
        <v>0.37531620370370372</v>
      </c>
      <c r="M16" s="3806">
        <v>1.05</v>
      </c>
      <c r="N16" s="3792">
        <f>H16*F16*E16</f>
        <v>1.2152777777777778E-3</v>
      </c>
      <c r="O16" s="3698">
        <f t="shared" si="9"/>
        <v>3.1574074074074083E-3</v>
      </c>
      <c r="P16" s="3698">
        <f t="shared" si="10"/>
        <v>3.315277777777779E-3</v>
      </c>
      <c r="Q16" s="3807">
        <v>164</v>
      </c>
      <c r="R16" s="5919">
        <f t="shared" si="11"/>
        <v>400</v>
      </c>
      <c r="S16" s="2844">
        <f t="shared" si="2"/>
        <v>0.4</v>
      </c>
      <c r="T16" s="2845">
        <f t="shared" si="3"/>
        <v>1.2629629629629633E-2</v>
      </c>
      <c r="U16" s="374" t="e">
        <f>IF(C16*4&gt;=#REF!,S16,0)</f>
        <v>#REF!</v>
      </c>
      <c r="V16" s="2846" t="e">
        <f>IF(AND(C16*4&gt;=#REF!,C16*4&lt;#REF!),S16,0)</f>
        <v>#REF!</v>
      </c>
      <c r="W16" s="2847" t="e">
        <f>IF(AND(C16*4&gt;=#REF!,C16*4&lt;#REF!),S16,0)</f>
        <v>#REF!</v>
      </c>
      <c r="X16" s="2848" t="e">
        <f>IF(AND(C16*4&gt;=#REF!,C16*4&lt;#REF!),S16,0)</f>
        <v>#REF!</v>
      </c>
      <c r="Y16" s="2849" t="e">
        <f>IF(AND(C16*4&gt;=#REF!,C16*4&lt;#REF!),S16,0)</f>
        <v>#REF!</v>
      </c>
      <c r="Z16" s="2850" t="e">
        <f>IF(AND(C16*4&gt;=#REF!,C16*4&lt;#REF!),S16,0)</f>
        <v>#REF!</v>
      </c>
      <c r="AA16" s="2851" t="e">
        <f>IF(AND(C16*4&gt;=#REF!,C16*4&lt;#REF!),S16,0)</f>
        <v>#REF!</v>
      </c>
      <c r="AB16" s="2935"/>
      <c r="AC16" s="2867"/>
      <c r="AD16" s="2867"/>
      <c r="AE16" s="2867"/>
      <c r="AF16" s="2867"/>
      <c r="AG16" s="2867"/>
      <c r="AH16" s="2867"/>
      <c r="AI16" s="2825"/>
      <c r="AJ16" s="2825"/>
      <c r="AK16" s="2825"/>
      <c r="AL16" s="2825"/>
      <c r="AM16" s="2825"/>
      <c r="AN16" s="2815"/>
    </row>
    <row r="17" spans="1:40" ht="14" customHeight="1" thickBot="1">
      <c r="A17" s="2183" t="s">
        <v>140</v>
      </c>
      <c r="B17" s="3030" t="s">
        <v>215</v>
      </c>
      <c r="C17" s="629">
        <f t="shared" si="4"/>
        <v>1.7222222222222224E-4</v>
      </c>
      <c r="D17" s="3842">
        <v>7</v>
      </c>
      <c r="E17" s="3843">
        <v>2</v>
      </c>
      <c r="F17" s="3844">
        <v>6</v>
      </c>
      <c r="G17" s="3844">
        <v>25</v>
      </c>
      <c r="H17" s="3845">
        <v>6.9444444444444447E-4</v>
      </c>
      <c r="I17" s="3846"/>
      <c r="J17" s="3846">
        <v>6.9444444444444447E-4</v>
      </c>
      <c r="K17" s="3754" t="s">
        <v>1777</v>
      </c>
      <c r="L17" s="3847">
        <f t="shared" si="12"/>
        <v>0.37653148148148152</v>
      </c>
      <c r="M17" s="3848">
        <v>1.05</v>
      </c>
      <c r="N17" s="3849">
        <f t="shared" ref="N17" si="13">H17*F17*E17</f>
        <v>8.3333333333333332E-3</v>
      </c>
      <c r="O17" s="2271">
        <f t="shared" si="9"/>
        <v>1.7222222222222221E-4</v>
      </c>
      <c r="P17" s="2517">
        <f t="shared" si="10"/>
        <v>1.8083333333333333E-4</v>
      </c>
      <c r="Q17" s="3741">
        <v>140</v>
      </c>
      <c r="R17" s="3864">
        <f t="shared" si="11"/>
        <v>300</v>
      </c>
      <c r="S17" s="2844">
        <f t="shared" si="2"/>
        <v>0.3</v>
      </c>
      <c r="T17" s="2845">
        <f t="shared" si="3"/>
        <v>8.2666666666666652E-3</v>
      </c>
      <c r="U17" s="374" t="e">
        <f>IF(C17*4&gt;=#REF!,S17,0)</f>
        <v>#REF!</v>
      </c>
      <c r="V17" s="2846" t="e">
        <f>IF(AND(C17*4&gt;=#REF!,C17*4&lt;#REF!),S17,0)</f>
        <v>#REF!</v>
      </c>
      <c r="W17" s="2847" t="e">
        <f>IF(AND(C17*4&gt;=#REF!,C17*4&lt;#REF!),S17,0)</f>
        <v>#REF!</v>
      </c>
      <c r="X17" s="2848" t="e">
        <f>IF(AND(C17*4&gt;=#REF!,C17*4&lt;#REF!),S17,0)</f>
        <v>#REF!</v>
      </c>
      <c r="Y17" s="2849" t="e">
        <f>IF(AND(C17*4&gt;=#REF!,C17*4&lt;#REF!),S17,0)</f>
        <v>#REF!</v>
      </c>
      <c r="Z17" s="2850" t="e">
        <f>IF(AND(C17*4&gt;=#REF!,C17*4&lt;#REF!),S17,0)</f>
        <v>#REF!</v>
      </c>
      <c r="AA17" s="2851" t="e">
        <f>IF(AND(C17*4&gt;=#REF!,C17*4&lt;#REF!),S17,0)</f>
        <v>#REF!</v>
      </c>
      <c r="AB17" s="2935"/>
      <c r="AC17" s="2867"/>
      <c r="AD17" s="2867"/>
      <c r="AE17" s="2867"/>
      <c r="AF17" s="2867"/>
      <c r="AG17" s="2867"/>
      <c r="AH17" s="2867"/>
      <c r="AI17" s="2825"/>
      <c r="AJ17" s="2825"/>
      <c r="AK17" s="2825"/>
      <c r="AL17" s="2825"/>
      <c r="AM17" s="2825"/>
      <c r="AN17" s="2815"/>
    </row>
    <row r="18" spans="1:40" ht="14" customHeight="1" thickBot="1">
      <c r="A18" s="2183" t="s">
        <v>674</v>
      </c>
      <c r="B18" s="3030" t="s">
        <v>461</v>
      </c>
      <c r="C18" s="629">
        <f t="shared" si="4"/>
        <v>1.7222222222222224E-4</v>
      </c>
      <c r="D18" s="3856">
        <v>7</v>
      </c>
      <c r="E18" s="5916">
        <v>1</v>
      </c>
      <c r="F18" s="5917">
        <v>1</v>
      </c>
      <c r="G18" s="5917">
        <v>400</v>
      </c>
      <c r="H18" s="3859"/>
      <c r="I18" s="2869">
        <v>4.6296296296296293E-4</v>
      </c>
      <c r="J18" s="2869">
        <v>1.3888888888888889E-3</v>
      </c>
      <c r="K18" s="3850" t="s">
        <v>1771</v>
      </c>
      <c r="L18" s="3851">
        <f t="shared" ref="L18" si="14">L17+N17</f>
        <v>0.38486481481481488</v>
      </c>
      <c r="M18" s="3852">
        <v>1</v>
      </c>
      <c r="N18" s="3853">
        <f>P18*E18*F18+I18*E18*F18+J18*E18</f>
        <v>4.6074074074074073E-3</v>
      </c>
      <c r="O18" s="2526">
        <f t="shared" ref="O18:O19" si="15">C18*G18/25</f>
        <v>2.7555555555555554E-3</v>
      </c>
      <c r="P18" s="3698">
        <f>O18*M18</f>
        <v>2.7555555555555554E-3</v>
      </c>
      <c r="Q18" s="3854" t="s">
        <v>274</v>
      </c>
      <c r="R18" s="3855">
        <f>E18*F18*G18</f>
        <v>400</v>
      </c>
      <c r="S18" s="2844">
        <f t="shared" si="2"/>
        <v>0.4</v>
      </c>
      <c r="T18" s="2845">
        <f t="shared" si="3"/>
        <v>1.1022222222222221E-2</v>
      </c>
      <c r="U18" s="374">
        <v>0</v>
      </c>
      <c r="V18" s="2846" t="e">
        <f>IF(AND(C18*4&gt;=#REF!,C18*4&lt;#REF!),S18,0)</f>
        <v>#REF!</v>
      </c>
      <c r="W18" s="2847" t="e">
        <f>IF(AND(C18*4&gt;=#REF!,C18*4&lt;#REF!),S18,0)</f>
        <v>#REF!</v>
      </c>
      <c r="X18" s="2848" t="e">
        <f>IF(AND(C18*4&gt;=#REF!,C18*4&lt;#REF!),S18,0)</f>
        <v>#REF!</v>
      </c>
      <c r="Y18" s="2849" t="e">
        <f>IF(AND(C18*4&gt;=#REF!,C18*4&lt;#REF!),S18,0)</f>
        <v>#REF!</v>
      </c>
      <c r="Z18" s="2850" t="e">
        <f>IF(AND(C18*4&gt;=#REF!,C18*4&lt;#REF!),S18,0)</f>
        <v>#REF!</v>
      </c>
      <c r="AA18" s="2851" t="e">
        <f>IF(AND(C18*4&gt;=#REF!,C18*4&lt;#REF!),S18,0)</f>
        <v>#REF!</v>
      </c>
      <c r="AB18" s="2935"/>
      <c r="AC18" s="2867"/>
      <c r="AD18" s="2867"/>
      <c r="AE18" s="2867"/>
      <c r="AF18" s="2867"/>
      <c r="AG18" s="2867"/>
      <c r="AH18" s="2867"/>
      <c r="AI18" s="2825"/>
      <c r="AJ18" s="2825"/>
      <c r="AK18" s="2825"/>
      <c r="AL18" s="2825"/>
      <c r="AM18" s="2825"/>
      <c r="AN18" s="2815"/>
    </row>
    <row r="19" spans="1:40" ht="14" customHeight="1" thickBot="1">
      <c r="A19" s="2183" t="s">
        <v>214</v>
      </c>
      <c r="B19" s="3030" t="s">
        <v>461</v>
      </c>
      <c r="C19" s="629">
        <f t="shared" si="4"/>
        <v>0</v>
      </c>
      <c r="D19" s="5918"/>
      <c r="E19" s="3454"/>
      <c r="F19" s="3454"/>
      <c r="G19" s="3454"/>
      <c r="H19" s="3454"/>
      <c r="I19" s="3454"/>
      <c r="J19" s="3454"/>
      <c r="K19" s="3454"/>
      <c r="L19" s="2528">
        <f>L15+N15</f>
        <v>0.37531620370370372</v>
      </c>
      <c r="M19" s="448"/>
      <c r="N19" s="2423">
        <f>SUM(N12:N18)</f>
        <v>5.6138888888888884E-2</v>
      </c>
      <c r="O19" s="2526">
        <f t="shared" si="15"/>
        <v>0</v>
      </c>
      <c r="P19" s="336"/>
      <c r="Q19" s="336"/>
      <c r="R19" s="3863">
        <f>SUM(R12:R18)</f>
        <v>3000</v>
      </c>
      <c r="S19" s="2844">
        <f t="shared" si="2"/>
        <v>0</v>
      </c>
      <c r="T19" s="2845">
        <f t="shared" si="3"/>
        <v>0</v>
      </c>
      <c r="U19" s="374" t="e">
        <f>IF(C19*4&gt;=#REF!,S19,0)</f>
        <v>#REF!</v>
      </c>
      <c r="V19" s="2846" t="e">
        <f>IF(AND(C19*4&gt;=#REF!,C19*4&lt;#REF!),S19,0)</f>
        <v>#REF!</v>
      </c>
      <c r="W19" s="2847" t="e">
        <f>IF(AND(C19*4&gt;=#REF!,C19*4&lt;#REF!),S19,0)</f>
        <v>#REF!</v>
      </c>
      <c r="X19" s="2848" t="e">
        <f>IF(AND(C19*4&gt;=#REF!,C19*4&lt;#REF!),S19,0)</f>
        <v>#REF!</v>
      </c>
      <c r="Y19" s="2849" t="e">
        <f>IF(AND(C19*4&gt;=#REF!,C19*4&lt;#REF!),S19,0)</f>
        <v>#REF!</v>
      </c>
      <c r="Z19" s="2850" t="e">
        <f>IF(AND(C19*4&gt;=#REF!,C19*4&lt;#REF!),S19,0)</f>
        <v>#REF!</v>
      </c>
      <c r="AA19" s="2851" t="e">
        <f>IF(AND(C19*4&gt;=#REF!,C19*4&lt;#REF!),S19,0)</f>
        <v>#REF!</v>
      </c>
      <c r="AB19" s="2935"/>
      <c r="AC19" s="2867"/>
      <c r="AD19" s="2867"/>
      <c r="AE19" s="2867"/>
      <c r="AF19" s="2867"/>
      <c r="AG19" s="2867"/>
      <c r="AH19" s="2867"/>
      <c r="AI19" s="2825"/>
      <c r="AJ19" s="2825"/>
      <c r="AK19" s="2825"/>
      <c r="AL19" s="2825"/>
      <c r="AM19" s="2825"/>
      <c r="AN19" s="2815"/>
    </row>
    <row r="20" spans="1:40" ht="14" customHeight="1" thickBot="1">
      <c r="A20" s="2183" t="s">
        <v>458</v>
      </c>
      <c r="B20" s="3030" t="s">
        <v>461</v>
      </c>
      <c r="C20" s="629">
        <f t="shared" si="4"/>
        <v>2.3321759259259265E-4</v>
      </c>
      <c r="D20" s="920">
        <v>1</v>
      </c>
      <c r="E20" s="1979">
        <v>1</v>
      </c>
      <c r="F20" s="3840">
        <v>6</v>
      </c>
      <c r="G20" s="3834">
        <v>100</v>
      </c>
      <c r="H20" s="2652"/>
      <c r="I20" s="2648">
        <v>1.7361111111111112E-4</v>
      </c>
      <c r="J20" s="631">
        <v>8.1018518518518516E-4</v>
      </c>
      <c r="K20" s="1974" t="s">
        <v>1107</v>
      </c>
      <c r="L20" s="301">
        <v>0.79166666666666663</v>
      </c>
      <c r="M20" s="455">
        <v>1.1000000000000001</v>
      </c>
      <c r="N20" s="2172">
        <f t="shared" ref="N20:N24" si="16">P20*E20*F20+I20*E20*F20+J20*E20</f>
        <v>8.0087962962962968E-3</v>
      </c>
      <c r="O20" s="2172">
        <f t="shared" ref="O20:O24" si="17">C20*(G20/25)</f>
        <v>9.3287037037037058E-4</v>
      </c>
      <c r="P20" s="302">
        <f t="shared" ref="P20:P24" si="18">O20*M20</f>
        <v>1.0261574074074077E-3</v>
      </c>
      <c r="Q20" s="550">
        <v>129</v>
      </c>
      <c r="R20" s="5920">
        <f t="shared" ref="R20:R24" si="19">E20*F20*G20</f>
        <v>600</v>
      </c>
      <c r="S20" s="2844">
        <f t="shared" si="2"/>
        <v>0.6</v>
      </c>
      <c r="T20" s="2845">
        <f t="shared" si="3"/>
        <v>2.2388888888888896E-2</v>
      </c>
      <c r="U20" s="374" t="e">
        <f>IF(C20*4&gt;=#REF!,S20,0)</f>
        <v>#REF!</v>
      </c>
      <c r="V20" s="2846" t="e">
        <f>IF(AND(C20*4&gt;=#REF!,C20*4&lt;#REF!),S20,0)</f>
        <v>#REF!</v>
      </c>
      <c r="W20" s="2847" t="e">
        <f>IF(AND(C20*4&gt;=#REF!,C20*4&lt;#REF!),S20,0)</f>
        <v>#REF!</v>
      </c>
      <c r="X20" s="2848" t="e">
        <f>IF(AND(C20*4&gt;=#REF!,C20*4&lt;#REF!),S20,0)</f>
        <v>#REF!</v>
      </c>
      <c r="Y20" s="2849" t="e">
        <f>IF(AND(C20*4&gt;=#REF!,C20*4&lt;#REF!),S20,0)</f>
        <v>#REF!</v>
      </c>
      <c r="Z20" s="2850" t="e">
        <f>IF(AND(C20*4&gt;=#REF!,C20*4&lt;#REF!),S20,0)</f>
        <v>#REF!</v>
      </c>
      <c r="AA20" s="2851" t="e">
        <f>IF(AND(C20*4&gt;=#REF!,C20*4&lt;#REF!),S20,0)</f>
        <v>#REF!</v>
      </c>
      <c r="AB20" s="2935"/>
      <c r="AC20" s="2867"/>
      <c r="AD20" s="2867"/>
      <c r="AE20" s="2867"/>
      <c r="AF20" s="2867"/>
      <c r="AG20" s="2867"/>
      <c r="AH20" s="2867"/>
      <c r="AI20" s="2825"/>
      <c r="AJ20" s="2825"/>
      <c r="AK20" s="2825"/>
      <c r="AL20" s="2825"/>
      <c r="AM20" s="2825"/>
      <c r="AN20" s="2815"/>
    </row>
    <row r="21" spans="1:40" ht="14" customHeight="1" thickBot="1">
      <c r="A21" s="2183"/>
      <c r="B21" s="3030" t="s">
        <v>461</v>
      </c>
      <c r="C21" s="629">
        <f t="shared" ref="C21" si="20">IF(D21=1,U$4,IF(D21=2,V$4,IF(D21=3,W$4,IF(D21=4,X$4,IF(D21=5,Y$4,IF(D21=6,Z$4,IF(D21=7,AA$4,0)))))))</f>
        <v>2.152777777777778E-4</v>
      </c>
      <c r="D21" s="3414">
        <v>2</v>
      </c>
      <c r="E21" s="2868">
        <v>1</v>
      </c>
      <c r="F21" s="5911">
        <v>10</v>
      </c>
      <c r="G21" s="5911">
        <v>50</v>
      </c>
      <c r="H21" s="2869">
        <v>6.9444444444444447E-4</v>
      </c>
      <c r="I21" s="3823" t="s">
        <v>1781</v>
      </c>
      <c r="J21" s="2869"/>
      <c r="K21" s="2870"/>
      <c r="L21" s="2869">
        <v>0.79166666666666663</v>
      </c>
      <c r="M21" s="3679">
        <v>1.1499999999999999</v>
      </c>
      <c r="N21" s="3552">
        <f>H21*F21*E21</f>
        <v>6.9444444444444449E-3</v>
      </c>
      <c r="O21" s="3736">
        <f t="shared" ref="O21" si="21">C21*G21/25</f>
        <v>4.3055555555555561E-4</v>
      </c>
      <c r="P21" s="3737">
        <f t="shared" si="18"/>
        <v>4.9513888888888893E-4</v>
      </c>
      <c r="Q21" s="3419">
        <v>140</v>
      </c>
      <c r="R21" s="5912">
        <f t="shared" si="19"/>
        <v>500</v>
      </c>
      <c r="S21" s="2844"/>
      <c r="T21" s="2845"/>
      <c r="U21" s="374"/>
      <c r="V21" s="2846"/>
      <c r="W21" s="2847"/>
      <c r="X21" s="2848"/>
      <c r="Y21" s="2849"/>
      <c r="Z21" s="2850"/>
      <c r="AA21" s="2851"/>
      <c r="AB21" s="2935"/>
      <c r="AC21" s="2867"/>
      <c r="AD21" s="2867"/>
      <c r="AE21" s="2867"/>
      <c r="AF21" s="2867"/>
      <c r="AG21" s="2867"/>
      <c r="AH21" s="2867"/>
      <c r="AI21" s="2825"/>
      <c r="AJ21" s="2825"/>
      <c r="AK21" s="2825"/>
      <c r="AL21" s="2825"/>
      <c r="AM21" s="2825"/>
      <c r="AN21" s="2815"/>
    </row>
    <row r="22" spans="1:40" ht="14" customHeight="1" thickBot="1">
      <c r="A22" s="2183" t="s">
        <v>219</v>
      </c>
      <c r="B22" s="3030" t="s">
        <v>461</v>
      </c>
      <c r="C22" s="629">
        <f t="shared" si="4"/>
        <v>2.152777777777778E-4</v>
      </c>
      <c r="D22" s="920">
        <v>2</v>
      </c>
      <c r="E22" s="5921">
        <v>1</v>
      </c>
      <c r="F22" s="5922">
        <v>8</v>
      </c>
      <c r="G22" s="5923">
        <v>50</v>
      </c>
      <c r="H22" s="2868"/>
      <c r="I22" s="2649">
        <v>2.3148148148148146E-4</v>
      </c>
      <c r="J22" s="301">
        <v>9.8379629629629642E-4</v>
      </c>
      <c r="K22" s="1975" t="s">
        <v>1108</v>
      </c>
      <c r="L22" s="5909">
        <f t="shared" ref="L22:L24" si="22">L21+N21</f>
        <v>0.79861111111111105</v>
      </c>
      <c r="M22" s="455">
        <v>1.1000000000000001</v>
      </c>
      <c r="N22" s="2172">
        <f t="shared" si="16"/>
        <v>6.6245370370370382E-3</v>
      </c>
      <c r="O22" s="2172">
        <f t="shared" si="17"/>
        <v>4.3055555555555561E-4</v>
      </c>
      <c r="P22" s="302">
        <f t="shared" si="18"/>
        <v>4.7361111111111123E-4</v>
      </c>
      <c r="Q22" s="550">
        <v>129</v>
      </c>
      <c r="R22" s="5920">
        <f t="shared" si="19"/>
        <v>400</v>
      </c>
      <c r="S22" s="2844">
        <f t="shared" si="2"/>
        <v>0.4</v>
      </c>
      <c r="T22" s="2845">
        <f t="shared" si="3"/>
        <v>1.3777777777777779E-2</v>
      </c>
      <c r="U22" s="374" t="e">
        <f>IF(C22*4&gt;=#REF!,S22,0)</f>
        <v>#REF!</v>
      </c>
      <c r="V22" s="2846" t="e">
        <f>IF(AND(C22*4&gt;=#REF!,C22*4&lt;#REF!),S22,0)</f>
        <v>#REF!</v>
      </c>
      <c r="W22" s="2847" t="e">
        <f>IF(AND(C22*4&gt;=#REF!,C22*4&lt;#REF!),S22,0)</f>
        <v>#REF!</v>
      </c>
      <c r="X22" s="2848" t="e">
        <f>IF(AND(C22*4&gt;=#REF!,C22*4&lt;#REF!),S22,0)</f>
        <v>#REF!</v>
      </c>
      <c r="Y22" s="2849" t="e">
        <f>IF(AND(C22*4&gt;=#REF!,C22*4&lt;#REF!),S22,0)</f>
        <v>#REF!</v>
      </c>
      <c r="Z22" s="2850" t="e">
        <f>IF(AND(C22*4&gt;=#REF!,C22*4&lt;#REF!),S22,0)</f>
        <v>#REF!</v>
      </c>
      <c r="AA22" s="2851" t="e">
        <f>IF(AND(C22*4&gt;=#REF!,C22*4&lt;#REF!),S22,0)</f>
        <v>#REF!</v>
      </c>
      <c r="AB22" s="2935"/>
      <c r="AC22" s="2867"/>
      <c r="AD22" s="2867"/>
      <c r="AE22" s="2867"/>
      <c r="AF22" s="2867"/>
      <c r="AG22" s="2867"/>
      <c r="AH22" s="2867"/>
      <c r="AI22" s="2825"/>
      <c r="AJ22" s="2825"/>
      <c r="AK22" s="2825"/>
      <c r="AL22" s="2825"/>
      <c r="AM22" s="2825"/>
      <c r="AN22" s="2815"/>
    </row>
    <row r="23" spans="1:40" ht="14" customHeight="1" thickBot="1">
      <c r="A23" s="2183"/>
      <c r="B23" s="3030" t="s">
        <v>461</v>
      </c>
      <c r="C23" s="629">
        <f t="shared" ref="C23" si="23">IF(D23=1,U$4,IF(D23=2,V$4,IF(D23=3,W$4,IF(D23=4,X$4,IF(D23=5,Y$4,IF(D23=6,Z$4,IF(D23=7,AA$4,0)))))))</f>
        <v>1.7222222222222224E-4</v>
      </c>
      <c r="D23" s="3842">
        <v>7</v>
      </c>
      <c r="E23" s="3843">
        <v>1</v>
      </c>
      <c r="F23" s="3844">
        <v>8</v>
      </c>
      <c r="G23" s="3844">
        <v>50</v>
      </c>
      <c r="H23" s="3845">
        <v>6.9444444444444447E-4</v>
      </c>
      <c r="I23" s="3846"/>
      <c r="J23" s="3846">
        <v>2.0833333333333333E-3</v>
      </c>
      <c r="K23" s="3754" t="s">
        <v>1782</v>
      </c>
      <c r="L23" s="3847">
        <f t="shared" si="22"/>
        <v>0.80523564814814808</v>
      </c>
      <c r="M23" s="3848">
        <v>1.05</v>
      </c>
      <c r="N23" s="3849">
        <f t="shared" ref="N23" si="24">H23*F23*E23</f>
        <v>5.5555555555555558E-3</v>
      </c>
      <c r="O23" s="2271">
        <f t="shared" ref="O23" si="25">C23*G23/25</f>
        <v>3.4444444444444442E-4</v>
      </c>
      <c r="P23" s="2517">
        <f t="shared" si="18"/>
        <v>3.6166666666666666E-4</v>
      </c>
      <c r="Q23" s="3741">
        <v>140</v>
      </c>
      <c r="R23" s="3864">
        <f t="shared" si="19"/>
        <v>400</v>
      </c>
      <c r="S23" s="2844"/>
      <c r="T23" s="2845"/>
      <c r="U23" s="374"/>
      <c r="V23" s="2846"/>
      <c r="W23" s="2847"/>
      <c r="X23" s="2848"/>
      <c r="Y23" s="2849"/>
      <c r="Z23" s="2850"/>
      <c r="AA23" s="2851"/>
      <c r="AB23" s="2935"/>
      <c r="AC23" s="2867"/>
      <c r="AD23" s="2867"/>
      <c r="AE23" s="2867"/>
      <c r="AF23" s="2867"/>
      <c r="AG23" s="2867"/>
      <c r="AH23" s="2867"/>
      <c r="AI23" s="2825"/>
      <c r="AJ23" s="2825"/>
      <c r="AK23" s="2825"/>
      <c r="AL23" s="2825"/>
      <c r="AM23" s="2825"/>
      <c r="AN23" s="2815"/>
    </row>
    <row r="24" spans="1:40" ht="14" customHeight="1" thickBot="1">
      <c r="A24" s="2183"/>
      <c r="B24" s="3030" t="s">
        <v>461</v>
      </c>
      <c r="C24" s="629">
        <f t="shared" si="4"/>
        <v>1.7939814814814817E-4</v>
      </c>
      <c r="D24" s="3436">
        <v>4</v>
      </c>
      <c r="E24" s="2266">
        <v>2</v>
      </c>
      <c r="F24" s="3833">
        <v>8</v>
      </c>
      <c r="G24" s="3833">
        <v>32.5</v>
      </c>
      <c r="H24" s="2267" t="s">
        <v>1784</v>
      </c>
      <c r="I24" s="2267">
        <v>1.0416666666666667E-3</v>
      </c>
      <c r="J24" s="2267">
        <v>2.0833333333333333E-3</v>
      </c>
      <c r="K24" s="3503" t="s">
        <v>1788</v>
      </c>
      <c r="L24" s="5909">
        <f t="shared" si="22"/>
        <v>0.81079120370370361</v>
      </c>
      <c r="M24" s="3740">
        <v>1</v>
      </c>
      <c r="N24" s="3871">
        <f t="shared" si="16"/>
        <v>2.4564814814814814E-2</v>
      </c>
      <c r="O24" s="2526">
        <f t="shared" si="17"/>
        <v>2.3321759259259265E-4</v>
      </c>
      <c r="P24" s="2517">
        <f t="shared" si="18"/>
        <v>2.3321759259259265E-4</v>
      </c>
      <c r="Q24" s="3741">
        <v>129</v>
      </c>
      <c r="R24" s="3864">
        <f t="shared" si="19"/>
        <v>520</v>
      </c>
      <c r="S24" s="2844">
        <f t="shared" si="2"/>
        <v>0.52</v>
      </c>
      <c r="T24" s="2845">
        <f t="shared" si="3"/>
        <v>1.4925925925925929E-2</v>
      </c>
      <c r="U24" s="374" t="e">
        <f>IF(C24*4&gt;=#REF!,S24,0)</f>
        <v>#REF!</v>
      </c>
      <c r="V24" s="2846" t="e">
        <f>IF(AND(C24*4&gt;=#REF!,C24*4&lt;#REF!),S24,0)</f>
        <v>#REF!</v>
      </c>
      <c r="W24" s="2847" t="e">
        <f>IF(AND(C24*4&gt;=#REF!,C24*4&lt;#REF!),S24,0)</f>
        <v>#REF!</v>
      </c>
      <c r="X24" s="2848" t="e">
        <f>IF(AND(C24*4&gt;=#REF!,C24*4&lt;#REF!),S24,0)</f>
        <v>#REF!</v>
      </c>
      <c r="Y24" s="2849" t="e">
        <f>IF(AND(C24*4&gt;=#REF!,C24*4&lt;#REF!),S24,0)</f>
        <v>#REF!</v>
      </c>
      <c r="Z24" s="2850" t="e">
        <f>IF(AND(C24*4&gt;=#REF!,C24*4&lt;#REF!),S24,0)</f>
        <v>#REF!</v>
      </c>
      <c r="AA24" s="2851" t="e">
        <f>IF(AND(C24*4&gt;=#REF!,C24*4&lt;#REF!),S24,0)</f>
        <v>#REF!</v>
      </c>
      <c r="AB24" s="2935"/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  <c r="AN24" s="2815"/>
    </row>
    <row r="25" spans="1:40" ht="14" customHeight="1" thickBot="1">
      <c r="A25" s="2183"/>
      <c r="B25" s="3030"/>
      <c r="C25" s="629">
        <f t="shared" si="4"/>
        <v>0</v>
      </c>
      <c r="D25" s="5924"/>
      <c r="E25" s="849"/>
      <c r="F25" s="849"/>
      <c r="G25" s="849" t="s">
        <v>1787</v>
      </c>
      <c r="H25" s="849"/>
      <c r="I25" s="849"/>
      <c r="J25" s="849"/>
      <c r="K25" s="3454" t="s">
        <v>1789</v>
      </c>
      <c r="L25" s="2528">
        <f t="shared" ref="L25" si="26">L24+N24</f>
        <v>0.83535601851851837</v>
      </c>
      <c r="M25" s="3742"/>
      <c r="N25" s="3874">
        <f>SUM(N19:N24)</f>
        <v>0.10783703703703704</v>
      </c>
      <c r="O25" s="3743">
        <v>0</v>
      </c>
      <c r="P25" s="3744"/>
      <c r="Q25" s="3744"/>
      <c r="R25" s="3865">
        <f>SUM(R20:R24)</f>
        <v>2420</v>
      </c>
      <c r="S25" s="2844" t="e">
        <f t="shared" si="2"/>
        <v>#VALUE!</v>
      </c>
      <c r="T25" s="2845">
        <f t="shared" si="3"/>
        <v>0</v>
      </c>
      <c r="U25" s="374" t="e">
        <f>IF(C25*4&gt;=#REF!,S25,0)</f>
        <v>#REF!</v>
      </c>
      <c r="V25" s="2846" t="e">
        <f>IF(AND(C25*4&gt;=#REF!,C25*4&lt;#REF!),S25,0)</f>
        <v>#REF!</v>
      </c>
      <c r="W25" s="2847" t="e">
        <f>IF(AND(C25*4&gt;=#REF!,C25*4&lt;#REF!),S25,0)</f>
        <v>#REF!</v>
      </c>
      <c r="X25" s="2848" t="e">
        <f>IF(AND(C25*4&gt;=#REF!,C25*4&lt;#REF!),S25,0)</f>
        <v>#REF!</v>
      </c>
      <c r="Y25" s="2849" t="e">
        <f>IF(AND(C25*4&gt;=#REF!,C25*4&lt;#REF!),S25,0)</f>
        <v>#REF!</v>
      </c>
      <c r="Z25" s="2850" t="e">
        <f>IF(AND(C25*4&gt;=#REF!,C25*4&lt;#REF!),S25,0)</f>
        <v>#REF!</v>
      </c>
      <c r="AA25" s="2851" t="e">
        <f>IF(AND(C25*4&gt;=#REF!,C25*4&lt;#REF!),S25,0)</f>
        <v>#REF!</v>
      </c>
      <c r="AB25" s="2935"/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  <c r="AN25" s="2815"/>
    </row>
    <row r="26" spans="1:40" ht="14" customHeight="1" thickBot="1">
      <c r="A26" s="5950"/>
      <c r="B26" s="5951" t="s">
        <v>215</v>
      </c>
      <c r="C26" s="629">
        <f t="shared" si="4"/>
        <v>2.3321759259259265E-4</v>
      </c>
      <c r="D26" s="3406">
        <v>1</v>
      </c>
      <c r="E26" s="2652">
        <v>1</v>
      </c>
      <c r="F26" s="5910">
        <v>1</v>
      </c>
      <c r="G26" s="5910">
        <v>950</v>
      </c>
      <c r="H26" s="2654"/>
      <c r="I26" s="2654">
        <v>0</v>
      </c>
      <c r="J26" s="2654">
        <v>1.1574074074074073E-4</v>
      </c>
      <c r="K26" s="3860" t="s">
        <v>1772</v>
      </c>
      <c r="L26" s="3867">
        <v>0.33333333333333331</v>
      </c>
      <c r="M26" s="3868">
        <v>1</v>
      </c>
      <c r="N26" s="3869">
        <f>P26*E26*F26+I26*E26*F26+J26*E26</f>
        <v>8.9780092592592602E-3</v>
      </c>
      <c r="O26" s="2526">
        <f t="shared" ref="O26:O27" si="27">C26*G26/25</f>
        <v>8.8622685185185193E-3</v>
      </c>
      <c r="P26" s="3698">
        <f>O26*M26</f>
        <v>8.8622685185185193E-3</v>
      </c>
      <c r="Q26" s="3854">
        <v>120</v>
      </c>
      <c r="R26" s="3855">
        <f>E26*F26*G26</f>
        <v>950</v>
      </c>
      <c r="S26" s="3813"/>
      <c r="T26" s="2845"/>
      <c r="U26" s="374"/>
      <c r="V26" s="2846"/>
      <c r="W26" s="2847"/>
      <c r="X26" s="2848"/>
      <c r="Y26" s="2849"/>
      <c r="Z26" s="2850"/>
      <c r="AA26" s="2851"/>
      <c r="AB26" s="2935"/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  <c r="AN26" s="2815"/>
    </row>
    <row r="27" spans="1:40" ht="14" customHeight="1" thickBot="1">
      <c r="A27" s="5950"/>
      <c r="B27" s="5951" t="s">
        <v>215</v>
      </c>
      <c r="C27" s="629">
        <f t="shared" si="4"/>
        <v>2.152777777777778E-4</v>
      </c>
      <c r="D27" s="3414">
        <v>2</v>
      </c>
      <c r="E27" s="2868">
        <v>1</v>
      </c>
      <c r="F27" s="5911">
        <v>6</v>
      </c>
      <c r="G27" s="5911">
        <v>100</v>
      </c>
      <c r="H27" s="2869">
        <v>1.2731481481481483E-3</v>
      </c>
      <c r="I27" s="2869"/>
      <c r="J27" s="2869"/>
      <c r="K27" s="2870" t="s">
        <v>1773</v>
      </c>
      <c r="L27" s="2869">
        <f>L26+N26</f>
        <v>0.34231134259259255</v>
      </c>
      <c r="M27" s="3679">
        <v>1.1499999999999999</v>
      </c>
      <c r="N27" s="3552">
        <f>H27*F27*E27</f>
        <v>7.6388888888888895E-3</v>
      </c>
      <c r="O27" s="3736">
        <f t="shared" si="27"/>
        <v>8.6111111111111121E-4</v>
      </c>
      <c r="P27" s="3737">
        <f t="shared" ref="P27" si="28">O27*M27</f>
        <v>9.9027777777777786E-4</v>
      </c>
      <c r="Q27" s="3419">
        <v>140</v>
      </c>
      <c r="R27" s="5912">
        <f t="shared" ref="R27" si="29">E27*F27*G27</f>
        <v>600</v>
      </c>
      <c r="S27" s="3813"/>
      <c r="T27" s="2845"/>
      <c r="U27" s="374"/>
      <c r="V27" s="2846"/>
      <c r="W27" s="2847"/>
      <c r="X27" s="2848"/>
      <c r="Y27" s="2849"/>
      <c r="Z27" s="2850"/>
      <c r="AA27" s="2851"/>
      <c r="AB27" s="2935"/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2815"/>
    </row>
    <row r="28" spans="1:40" ht="14" customHeight="1" thickBot="1">
      <c r="A28" s="5951" t="s">
        <v>217</v>
      </c>
      <c r="B28" s="5951" t="s">
        <v>215</v>
      </c>
      <c r="C28" s="629">
        <f t="shared" si="4"/>
        <v>2.3321759259259265E-4</v>
      </c>
      <c r="D28" s="3406">
        <v>1</v>
      </c>
      <c r="E28" s="2652">
        <v>1</v>
      </c>
      <c r="F28" s="5910">
        <v>1</v>
      </c>
      <c r="G28" s="5910">
        <v>950</v>
      </c>
      <c r="H28" s="2654"/>
      <c r="I28" s="2654">
        <v>0</v>
      </c>
      <c r="J28" s="2654">
        <v>1.1574074074074073E-4</v>
      </c>
      <c r="K28" s="3860" t="s">
        <v>1772</v>
      </c>
      <c r="L28" s="3867">
        <f t="shared" ref="L28" si="30">L27+N27</f>
        <v>0.34995023148148141</v>
      </c>
      <c r="M28" s="3868">
        <v>1</v>
      </c>
      <c r="N28" s="3869">
        <f>P28*E28*F28+I28*E28*F28+J28*E28</f>
        <v>8.9780092592592602E-3</v>
      </c>
      <c r="O28" s="2526">
        <f t="shared" ref="O28:O35" si="31">C28*G28/25</f>
        <v>8.8622685185185193E-3</v>
      </c>
      <c r="P28" s="3698">
        <f>O28*M28</f>
        <v>8.8622685185185193E-3</v>
      </c>
      <c r="Q28" s="3854">
        <v>120</v>
      </c>
      <c r="R28" s="3855">
        <f>E28*F28*G28</f>
        <v>950</v>
      </c>
      <c r="S28" s="3813"/>
      <c r="T28" s="2845"/>
      <c r="U28" s="374"/>
      <c r="V28" s="2846"/>
      <c r="W28" s="2847"/>
      <c r="X28" s="2848"/>
      <c r="Y28" s="2849"/>
      <c r="Z28" s="2850"/>
      <c r="AA28" s="2851"/>
      <c r="AB28" s="2935"/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2815"/>
    </row>
    <row r="29" spans="1:40" ht="14" customHeight="1" thickBot="1">
      <c r="A29" s="5952" t="s">
        <v>459</v>
      </c>
      <c r="B29" s="5951" t="s">
        <v>215</v>
      </c>
      <c r="C29" s="629">
        <f t="shared" si="4"/>
        <v>2.152777777777778E-4</v>
      </c>
      <c r="D29" s="3414">
        <v>2</v>
      </c>
      <c r="E29" s="2868">
        <v>1</v>
      </c>
      <c r="F29" s="5911">
        <v>6</v>
      </c>
      <c r="G29" s="5911">
        <v>100</v>
      </c>
      <c r="H29" s="2869">
        <v>1.2731481481481483E-3</v>
      </c>
      <c r="I29" s="2869"/>
      <c r="J29" s="2869"/>
      <c r="K29" s="2870" t="s">
        <v>1773</v>
      </c>
      <c r="L29" s="2869">
        <f>L28+N28</f>
        <v>0.35892824074074064</v>
      </c>
      <c r="M29" s="3679">
        <v>1.1499999999999999</v>
      </c>
      <c r="N29" s="3552">
        <f>H29*F29*E29</f>
        <v>7.6388888888888895E-3</v>
      </c>
      <c r="O29" s="3736">
        <f t="shared" si="31"/>
        <v>8.6111111111111121E-4</v>
      </c>
      <c r="P29" s="3737">
        <f t="shared" ref="P29:P34" si="32">O29*M29</f>
        <v>9.9027777777777786E-4</v>
      </c>
      <c r="Q29" s="3419">
        <v>140</v>
      </c>
      <c r="R29" s="5912">
        <f t="shared" ref="R29:R34" si="33">E29*F29*G29</f>
        <v>600</v>
      </c>
      <c r="S29" s="3813"/>
      <c r="T29" s="2845"/>
      <c r="U29" s="374"/>
      <c r="V29" s="2846"/>
      <c r="W29" s="2847"/>
      <c r="X29" s="2848"/>
      <c r="Y29" s="2849"/>
      <c r="Z29" s="2850"/>
      <c r="AA29" s="2851"/>
      <c r="AB29" s="2935"/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2815"/>
    </row>
    <row r="30" spans="1:40" ht="14" customHeight="1" thickBot="1">
      <c r="A30" s="5952" t="s">
        <v>458</v>
      </c>
      <c r="B30" s="5951" t="s">
        <v>215</v>
      </c>
      <c r="C30" s="629">
        <f t="shared" si="4"/>
        <v>2.152777777777778E-4</v>
      </c>
      <c r="D30" s="3414">
        <v>2</v>
      </c>
      <c r="E30" s="2868">
        <v>1</v>
      </c>
      <c r="F30" s="5911">
        <v>9</v>
      </c>
      <c r="G30" s="5911">
        <v>50</v>
      </c>
      <c r="H30" s="2869">
        <v>6.9444444444444447E-4</v>
      </c>
      <c r="I30" s="3823" t="s">
        <v>1774</v>
      </c>
      <c r="J30" s="2869"/>
      <c r="K30" s="2870"/>
      <c r="L30" s="2869">
        <f>L29+N29</f>
        <v>0.36656712962962956</v>
      </c>
      <c r="M30" s="3679">
        <v>1.1499999999999999</v>
      </c>
      <c r="N30" s="3552">
        <f>H30*F30*E30</f>
        <v>6.2500000000000003E-3</v>
      </c>
      <c r="O30" s="3736">
        <f t="shared" si="31"/>
        <v>4.3055555555555561E-4</v>
      </c>
      <c r="P30" s="3737">
        <f t="shared" si="32"/>
        <v>4.9513888888888893E-4</v>
      </c>
      <c r="Q30" s="3419">
        <v>140</v>
      </c>
      <c r="R30" s="5912">
        <f t="shared" si="33"/>
        <v>450</v>
      </c>
      <c r="S30" s="3813"/>
      <c r="T30" s="2845"/>
      <c r="U30" s="374"/>
      <c r="V30" s="2846"/>
      <c r="W30" s="2847"/>
      <c r="X30" s="2848"/>
      <c r="Y30" s="2849"/>
      <c r="Z30" s="2850"/>
      <c r="AA30" s="2851"/>
      <c r="AB30" s="2935"/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2815"/>
    </row>
    <row r="31" spans="1:40" ht="14" customHeight="1" thickBot="1">
      <c r="A31" s="5952" t="s">
        <v>458</v>
      </c>
      <c r="B31" s="5951" t="s">
        <v>215</v>
      </c>
      <c r="C31" s="629">
        <f t="shared" si="4"/>
        <v>1.7222222222222224E-4</v>
      </c>
      <c r="D31" s="3842">
        <v>7</v>
      </c>
      <c r="E31" s="3843">
        <v>1</v>
      </c>
      <c r="F31" s="3844">
        <v>20</v>
      </c>
      <c r="G31" s="3844">
        <v>25</v>
      </c>
      <c r="H31" s="3845">
        <v>6.9444444444444447E-4</v>
      </c>
      <c r="I31" s="3846"/>
      <c r="J31" s="3846">
        <v>2.0833333333333333E-3</v>
      </c>
      <c r="K31" s="3754" t="s">
        <v>1775</v>
      </c>
      <c r="L31" s="3847">
        <f t="shared" ref="L31:L34" si="34">L30+N30</f>
        <v>0.37281712962962954</v>
      </c>
      <c r="M31" s="3848">
        <v>1.05</v>
      </c>
      <c r="N31" s="3849">
        <f t="shared" ref="N31:N34" si="35">H31*F31*E31</f>
        <v>1.388888888888889E-2</v>
      </c>
      <c r="O31" s="2271">
        <f t="shared" si="31"/>
        <v>1.7222222222222221E-4</v>
      </c>
      <c r="P31" s="2517">
        <f t="shared" si="32"/>
        <v>1.8083333333333333E-4</v>
      </c>
      <c r="Q31" s="3741">
        <v>140</v>
      </c>
      <c r="R31" s="3864">
        <f t="shared" si="33"/>
        <v>500</v>
      </c>
      <c r="S31" s="3813"/>
      <c r="T31" s="2845"/>
      <c r="U31" s="374"/>
      <c r="V31" s="2846"/>
      <c r="W31" s="2847"/>
      <c r="X31" s="2848"/>
      <c r="Y31" s="2849"/>
      <c r="Z31" s="2850"/>
      <c r="AA31" s="2851"/>
      <c r="AB31" s="2935"/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2815"/>
    </row>
    <row r="32" spans="1:40" ht="14" customHeight="1" thickBot="1">
      <c r="A32" s="5952" t="s">
        <v>219</v>
      </c>
      <c r="B32" s="5951" t="s">
        <v>215</v>
      </c>
      <c r="C32" s="629">
        <f t="shared" si="4"/>
        <v>1.9733796296296302E-4</v>
      </c>
      <c r="D32" s="5913">
        <v>3</v>
      </c>
      <c r="E32" s="5914">
        <v>1</v>
      </c>
      <c r="F32" s="5915">
        <v>1</v>
      </c>
      <c r="G32" s="5915">
        <v>300</v>
      </c>
      <c r="H32" s="3694">
        <v>1.2152777777777778E-3</v>
      </c>
      <c r="I32" s="3694"/>
      <c r="J32" s="3694"/>
      <c r="K32" s="3805" t="s">
        <v>1776</v>
      </c>
      <c r="L32" s="3694">
        <f t="shared" si="34"/>
        <v>0.38670601851851844</v>
      </c>
      <c r="M32" s="3806">
        <v>1.1499999999999999</v>
      </c>
      <c r="N32" s="3792">
        <f t="shared" si="35"/>
        <v>1.2152777777777778E-3</v>
      </c>
      <c r="O32" s="3698">
        <f t="shared" si="31"/>
        <v>2.3680555555555564E-3</v>
      </c>
      <c r="P32" s="3737">
        <f t="shared" si="32"/>
        <v>2.7232638888888897E-3</v>
      </c>
      <c r="Q32" s="3419">
        <v>140</v>
      </c>
      <c r="R32" s="5912">
        <f t="shared" si="33"/>
        <v>300</v>
      </c>
      <c r="S32" s="3813"/>
      <c r="T32" s="2845"/>
      <c r="U32" s="374"/>
      <c r="V32" s="2846"/>
      <c r="W32" s="2847"/>
      <c r="X32" s="2848"/>
      <c r="Y32" s="2849"/>
      <c r="Z32" s="2850"/>
      <c r="AA32" s="2851"/>
      <c r="AB32" s="2935"/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2815"/>
    </row>
    <row r="33" spans="1:40" ht="14" customHeight="1" thickBot="1">
      <c r="A33" s="5950"/>
      <c r="B33" s="5951" t="s">
        <v>215</v>
      </c>
      <c r="C33" s="629">
        <f t="shared" si="4"/>
        <v>1.7222222222222224E-4</v>
      </c>
      <c r="D33" s="3842">
        <v>7</v>
      </c>
      <c r="E33" s="3843">
        <v>2</v>
      </c>
      <c r="F33" s="3844">
        <v>10</v>
      </c>
      <c r="G33" s="3844">
        <v>25</v>
      </c>
      <c r="H33" s="3845">
        <v>6.9444444444444447E-4</v>
      </c>
      <c r="I33" s="3846"/>
      <c r="J33" s="3846">
        <v>6.9444444444444447E-4</v>
      </c>
      <c r="K33" s="3754" t="s">
        <v>1777</v>
      </c>
      <c r="L33" s="3847">
        <f t="shared" si="34"/>
        <v>0.38792129629629624</v>
      </c>
      <c r="M33" s="3848">
        <v>1.05</v>
      </c>
      <c r="N33" s="3849">
        <f t="shared" si="35"/>
        <v>1.388888888888889E-2</v>
      </c>
      <c r="O33" s="2271">
        <f t="shared" si="31"/>
        <v>1.7222222222222221E-4</v>
      </c>
      <c r="P33" s="2517">
        <f t="shared" si="32"/>
        <v>1.8083333333333333E-4</v>
      </c>
      <c r="Q33" s="3741">
        <v>140</v>
      </c>
      <c r="R33" s="3864">
        <f t="shared" si="33"/>
        <v>500</v>
      </c>
      <c r="S33" s="3813"/>
      <c r="T33" s="2845"/>
      <c r="U33" s="374"/>
      <c r="V33" s="2846"/>
      <c r="W33" s="2847"/>
      <c r="X33" s="2848"/>
      <c r="Y33" s="2849"/>
      <c r="Z33" s="2850"/>
      <c r="AA33" s="2851"/>
      <c r="AB33" s="2935"/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2815"/>
    </row>
    <row r="34" spans="1:40" ht="14" customHeight="1" thickBot="1">
      <c r="A34" s="5950"/>
      <c r="B34" s="5951" t="s">
        <v>215</v>
      </c>
      <c r="C34" s="629">
        <f t="shared" si="4"/>
        <v>1.7222222222222224E-4</v>
      </c>
      <c r="D34" s="3856">
        <v>7</v>
      </c>
      <c r="E34" s="5916">
        <v>1</v>
      </c>
      <c r="F34" s="5917">
        <v>1</v>
      </c>
      <c r="G34" s="5917">
        <v>400</v>
      </c>
      <c r="H34" s="3859"/>
      <c r="I34" s="2869">
        <v>4.6296296296296293E-4</v>
      </c>
      <c r="J34" s="2869">
        <v>1.3888888888888889E-3</v>
      </c>
      <c r="K34" s="3850" t="s">
        <v>1771</v>
      </c>
      <c r="L34" s="3851">
        <f t="shared" si="34"/>
        <v>0.40181018518518513</v>
      </c>
      <c r="M34" s="3852">
        <v>1.1499999999999999</v>
      </c>
      <c r="N34" s="3853">
        <f t="shared" si="35"/>
        <v>0</v>
      </c>
      <c r="O34" s="2526">
        <f t="shared" si="31"/>
        <v>2.7555555555555554E-3</v>
      </c>
      <c r="P34" s="3698">
        <f t="shared" si="32"/>
        <v>3.1688888888888886E-3</v>
      </c>
      <c r="Q34" s="3854">
        <v>140</v>
      </c>
      <c r="R34" s="3855">
        <f t="shared" si="33"/>
        <v>400</v>
      </c>
      <c r="S34" s="3813"/>
      <c r="T34" s="2845"/>
      <c r="U34" s="374"/>
      <c r="V34" s="2846"/>
      <c r="W34" s="2847"/>
      <c r="X34" s="2848"/>
      <c r="Y34" s="2849"/>
      <c r="Z34" s="2850"/>
      <c r="AA34" s="2851"/>
      <c r="AB34" s="2935"/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2815"/>
    </row>
    <row r="35" spans="1:40" ht="14" customHeight="1" thickBot="1">
      <c r="A35" s="5950"/>
      <c r="B35" s="5951" t="s">
        <v>215</v>
      </c>
      <c r="C35" s="629">
        <f t="shared" si="4"/>
        <v>0</v>
      </c>
      <c r="D35" s="5918"/>
      <c r="E35" s="3454"/>
      <c r="F35" s="3454"/>
      <c r="G35" s="3454"/>
      <c r="H35" s="3454"/>
      <c r="I35" s="3454"/>
      <c r="J35" s="3454"/>
      <c r="K35" s="3454"/>
      <c r="L35" s="2528">
        <f>L31+N31</f>
        <v>0.38670601851851844</v>
      </c>
      <c r="M35" s="448"/>
      <c r="N35" s="2423">
        <f>SUM(N27:N34)</f>
        <v>5.9498842592592596E-2</v>
      </c>
      <c r="O35" s="2526">
        <f t="shared" si="31"/>
        <v>0</v>
      </c>
      <c r="P35" s="336"/>
      <c r="Q35" s="336"/>
      <c r="R35" s="3863">
        <f>SUM(R28:R34)</f>
        <v>3700</v>
      </c>
      <c r="S35" s="3813"/>
      <c r="T35" s="2845"/>
      <c r="U35" s="374"/>
      <c r="V35" s="2846"/>
      <c r="W35" s="2847"/>
      <c r="X35" s="2848"/>
      <c r="Y35" s="2849"/>
      <c r="Z35" s="2850"/>
      <c r="AA35" s="2851"/>
      <c r="AB35" s="2935"/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2815"/>
    </row>
    <row r="36" spans="1:40" ht="14" customHeight="1" thickBot="1">
      <c r="A36" s="5951" t="s">
        <v>217</v>
      </c>
      <c r="B36" s="5951" t="s">
        <v>215</v>
      </c>
      <c r="C36" s="629">
        <f t="shared" si="4"/>
        <v>0</v>
      </c>
      <c r="D36" s="5164"/>
      <c r="E36" s="5925"/>
      <c r="F36" s="5925"/>
      <c r="G36" s="5925"/>
      <c r="H36" s="276"/>
      <c r="I36" s="965"/>
      <c r="J36" s="276"/>
      <c r="K36" s="832" t="s">
        <v>911</v>
      </c>
      <c r="L36" s="276"/>
      <c r="M36" s="5926"/>
      <c r="N36" s="276"/>
      <c r="O36" s="276">
        <f t="shared" ref="O36:O42" si="36">C36*(G36/25)</f>
        <v>0</v>
      </c>
      <c r="P36" s="296"/>
      <c r="Q36" s="5927"/>
      <c r="R36" s="5925"/>
      <c r="S36" s="3813"/>
      <c r="T36" s="2845"/>
      <c r="U36" s="374"/>
      <c r="V36" s="2846"/>
      <c r="W36" s="2847"/>
      <c r="X36" s="2848"/>
      <c r="Y36" s="2849"/>
      <c r="Z36" s="2850"/>
      <c r="AA36" s="2851"/>
      <c r="AB36" s="2935"/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2815"/>
    </row>
    <row r="37" spans="1:40" ht="14" customHeight="1" thickBot="1">
      <c r="A37" s="5952" t="s">
        <v>459</v>
      </c>
      <c r="B37" s="5952" t="s">
        <v>461</v>
      </c>
      <c r="C37" s="629">
        <f t="shared" si="4"/>
        <v>2.3321759259259265E-4</v>
      </c>
      <c r="D37" s="5164">
        <v>1</v>
      </c>
      <c r="E37" s="5925">
        <v>1</v>
      </c>
      <c r="F37" s="5925">
        <v>1</v>
      </c>
      <c r="G37" s="5925">
        <v>800</v>
      </c>
      <c r="H37" s="276"/>
      <c r="I37" s="276">
        <v>0</v>
      </c>
      <c r="J37" s="276">
        <v>1.1574074074074073E-4</v>
      </c>
      <c r="K37" s="312"/>
      <c r="L37" s="1008"/>
      <c r="M37" s="5926">
        <v>1</v>
      </c>
      <c r="N37" s="276">
        <f t="shared" ref="N37:N41" si="37">P37*E37*F37+I37*E37*F37+J37*E37</f>
        <v>7.5787037037037056E-3</v>
      </c>
      <c r="O37" s="276">
        <f t="shared" si="36"/>
        <v>7.4629629629629646E-3</v>
      </c>
      <c r="P37" s="296">
        <f t="shared" ref="P37:P41" si="38">O37*M37</f>
        <v>7.4629629629629646E-3</v>
      </c>
      <c r="Q37" s="5928">
        <v>129</v>
      </c>
      <c r="R37" s="5925">
        <f t="shared" ref="R37:R41" si="39">E37*F37*G37</f>
        <v>800</v>
      </c>
      <c r="S37" s="3813"/>
      <c r="T37" s="2845"/>
      <c r="U37" s="374"/>
      <c r="V37" s="2846"/>
      <c r="W37" s="2847"/>
      <c r="X37" s="2848"/>
      <c r="Y37" s="2849"/>
      <c r="Z37" s="2850"/>
      <c r="AA37" s="2851"/>
      <c r="AB37" s="2935"/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2815"/>
    </row>
    <row r="38" spans="1:40" ht="14" customHeight="1" thickBot="1">
      <c r="A38" s="5952" t="s">
        <v>458</v>
      </c>
      <c r="B38" s="5951" t="s">
        <v>461</v>
      </c>
      <c r="C38" s="629">
        <f t="shared" si="4"/>
        <v>2.152777777777778E-4</v>
      </c>
      <c r="D38" s="5165">
        <v>2</v>
      </c>
      <c r="E38" s="5921">
        <v>1</v>
      </c>
      <c r="F38" s="5921">
        <v>1</v>
      </c>
      <c r="G38" s="5921">
        <v>400</v>
      </c>
      <c r="H38" s="301">
        <v>5.5555555555555558E-3</v>
      </c>
      <c r="I38" s="301"/>
      <c r="J38" s="301">
        <v>1.3888888888888889E-3</v>
      </c>
      <c r="K38" s="1123" t="s">
        <v>186</v>
      </c>
      <c r="L38" s="1149"/>
      <c r="M38" s="5929">
        <v>1</v>
      </c>
      <c r="N38" s="301">
        <f t="shared" si="37"/>
        <v>4.8333333333333336E-3</v>
      </c>
      <c r="O38" s="301">
        <f t="shared" si="36"/>
        <v>3.4444444444444449E-3</v>
      </c>
      <c r="P38" s="302">
        <f t="shared" si="38"/>
        <v>3.4444444444444449E-3</v>
      </c>
      <c r="Q38" s="5930">
        <v>129</v>
      </c>
      <c r="R38" s="5931">
        <f t="shared" si="39"/>
        <v>400</v>
      </c>
      <c r="S38" s="3813"/>
      <c r="T38" s="2845"/>
      <c r="U38" s="374"/>
      <c r="V38" s="2846"/>
      <c r="W38" s="2847"/>
      <c r="X38" s="2848"/>
      <c r="Y38" s="2849"/>
      <c r="Z38" s="2850"/>
      <c r="AA38" s="2851"/>
      <c r="AB38" s="2935"/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2815"/>
    </row>
    <row r="39" spans="1:40" ht="14" customHeight="1" thickBot="1">
      <c r="A39" s="5952" t="s">
        <v>458</v>
      </c>
      <c r="B39" s="5952" t="s">
        <v>461</v>
      </c>
      <c r="C39" s="629">
        <f t="shared" si="4"/>
        <v>1.7222222222222224E-4</v>
      </c>
      <c r="D39" s="5932">
        <v>7</v>
      </c>
      <c r="E39" s="1321">
        <v>1</v>
      </c>
      <c r="F39" s="1321">
        <v>4</v>
      </c>
      <c r="G39" s="1321">
        <v>50</v>
      </c>
      <c r="H39" s="1322"/>
      <c r="I39" s="1322">
        <v>4.6296296296296293E-4</v>
      </c>
      <c r="J39" s="1322">
        <v>6.9444444444444447E-4</v>
      </c>
      <c r="K39" s="1038"/>
      <c r="L39" s="3664"/>
      <c r="M39" s="5933">
        <v>0.85</v>
      </c>
      <c r="N39" s="1322">
        <f t="shared" si="37"/>
        <v>3.7174074074074076E-3</v>
      </c>
      <c r="O39" s="436">
        <f>C39*(G39/25)</f>
        <v>3.4444444444444447E-4</v>
      </c>
      <c r="P39" s="439">
        <f t="shared" si="38"/>
        <v>2.9277777777777782E-4</v>
      </c>
      <c r="Q39" s="5934">
        <v>170</v>
      </c>
      <c r="R39" s="435">
        <f t="shared" si="39"/>
        <v>200</v>
      </c>
      <c r="S39" s="3813"/>
      <c r="T39" s="2845"/>
      <c r="U39" s="374"/>
      <c r="V39" s="2846"/>
      <c r="W39" s="2847"/>
      <c r="X39" s="2848"/>
      <c r="Y39" s="2849"/>
      <c r="Z39" s="2850"/>
      <c r="AA39" s="2851"/>
      <c r="AB39" s="2935"/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2815"/>
    </row>
    <row r="40" spans="1:40" ht="14" customHeight="1" thickTop="1" thickBot="1">
      <c r="A40" s="5952" t="s">
        <v>219</v>
      </c>
      <c r="B40" s="5952" t="s">
        <v>461</v>
      </c>
      <c r="C40" s="629">
        <f t="shared" si="4"/>
        <v>1.7850115740740744E-4</v>
      </c>
      <c r="D40" s="5935">
        <v>5</v>
      </c>
      <c r="E40" s="307">
        <v>3</v>
      </c>
      <c r="F40" s="307">
        <v>3</v>
      </c>
      <c r="G40" s="307">
        <v>50</v>
      </c>
      <c r="H40" s="306"/>
      <c r="I40" s="306">
        <v>1.1574074074074073E-4</v>
      </c>
      <c r="J40" s="306">
        <v>2.0833333333333333E-3</v>
      </c>
      <c r="K40" s="1251" t="s">
        <v>1167</v>
      </c>
      <c r="L40" s="3664"/>
      <c r="M40" s="5936">
        <v>1</v>
      </c>
      <c r="N40" s="306">
        <f t="shared" si="37"/>
        <v>1.0504687500000002E-2</v>
      </c>
      <c r="O40" s="306">
        <f t="shared" si="36"/>
        <v>3.5700231481481488E-4</v>
      </c>
      <c r="P40" s="305">
        <f t="shared" si="38"/>
        <v>3.5700231481481488E-4</v>
      </c>
      <c r="Q40" s="307">
        <v>190</v>
      </c>
      <c r="R40" s="307">
        <f t="shared" si="39"/>
        <v>450</v>
      </c>
      <c r="S40" s="3631"/>
      <c r="T40" s="3154"/>
      <c r="U40" s="3155" t="e">
        <f t="shared" ref="U40:AA40" si="40">SUM(U5:U11)</f>
        <v>#REF!</v>
      </c>
      <c r="V40" s="3155" t="e">
        <f t="shared" si="40"/>
        <v>#REF!</v>
      </c>
      <c r="W40" s="3155" t="e">
        <f t="shared" si="40"/>
        <v>#REF!</v>
      </c>
      <c r="X40" s="3155" t="e">
        <f t="shared" si="40"/>
        <v>#REF!</v>
      </c>
      <c r="Y40" s="3155" t="e">
        <f t="shared" si="40"/>
        <v>#REF!</v>
      </c>
      <c r="Z40" s="3155" t="e">
        <f t="shared" si="40"/>
        <v>#REF!</v>
      </c>
      <c r="AA40" s="3155" t="e">
        <f t="shared" si="40"/>
        <v>#REF!</v>
      </c>
      <c r="AB40" s="3156"/>
      <c r="AC40" s="2837"/>
      <c r="AD40" s="2838"/>
      <c r="AE40" s="2838"/>
      <c r="AF40" s="2838"/>
      <c r="AG40" s="2838"/>
      <c r="AH40" s="2838"/>
      <c r="AI40" s="2836"/>
      <c r="AN40" s="2815"/>
    </row>
    <row r="41" spans="1:40" ht="14" customHeight="1" thickTop="1" thickBot="1">
      <c r="A41" s="5952"/>
      <c r="B41" s="5952" t="s">
        <v>461</v>
      </c>
      <c r="C41" s="629">
        <f t="shared" si="4"/>
        <v>1.7222222222222224E-4</v>
      </c>
      <c r="D41" s="5932">
        <v>7</v>
      </c>
      <c r="E41" s="1321">
        <v>1</v>
      </c>
      <c r="F41" s="1321">
        <v>2</v>
      </c>
      <c r="G41" s="1321">
        <v>50</v>
      </c>
      <c r="H41" s="1322"/>
      <c r="I41" s="1322">
        <v>4.6296296296296293E-4</v>
      </c>
      <c r="J41" s="1322">
        <v>6.9444444444444447E-4</v>
      </c>
      <c r="K41" s="1038"/>
      <c r="L41" s="3664"/>
      <c r="M41" s="5933">
        <v>0.85</v>
      </c>
      <c r="N41" s="1322">
        <f t="shared" si="37"/>
        <v>2.2059259259259258E-3</v>
      </c>
      <c r="O41" s="436">
        <f>C41*(G41/25)</f>
        <v>3.4444444444444447E-4</v>
      </c>
      <c r="P41" s="439">
        <f t="shared" si="38"/>
        <v>2.9277777777777782E-4</v>
      </c>
      <c r="Q41" s="5934">
        <v>170</v>
      </c>
      <c r="R41" s="435">
        <f t="shared" si="39"/>
        <v>100</v>
      </c>
      <c r="S41" s="144"/>
      <c r="T41" s="144"/>
      <c r="U41" s="3157" t="e">
        <f>IF(#REF!&gt;0,#REF!,#REF!)</f>
        <v>#REF!</v>
      </c>
      <c r="V41" s="3157" t="e">
        <f>IF(#REF!&gt;0,#REF!,#REF!)</f>
        <v>#REF!</v>
      </c>
      <c r="W41" s="3157" t="e">
        <f>IF(#REF!&gt;0,#REF!,#REF!)</f>
        <v>#REF!</v>
      </c>
      <c r="X41" s="3157" t="e">
        <f>IF(#REF!&gt;0,#REF!,#REF!)</f>
        <v>#REF!</v>
      </c>
      <c r="Y41" s="3157" t="e">
        <f>IF(#REF!&gt;0,#REF!,#REF!)</f>
        <v>#REF!</v>
      </c>
      <c r="Z41" s="3157" t="e">
        <f>IF(#REF!&gt;0,#REF!,#REF!)</f>
        <v>#REF!</v>
      </c>
      <c r="AA41" s="3157" t="e">
        <f>IF(#REF!&gt;0,#REF!,#REF!)</f>
        <v>#REF!</v>
      </c>
      <c r="AB41" s="144"/>
      <c r="AC41" s="2867"/>
      <c r="AD41" s="2867"/>
      <c r="AE41" s="2867"/>
      <c r="AF41" s="2867"/>
      <c r="AG41" s="2867"/>
      <c r="AH41" s="2867"/>
      <c r="AI41" s="2825"/>
      <c r="AJ41" s="2815"/>
      <c r="AK41" s="2815"/>
      <c r="AL41" s="2815"/>
      <c r="AM41" s="2815"/>
      <c r="AN41" s="2815"/>
    </row>
    <row r="42" spans="1:40" ht="14" customHeight="1" thickBot="1">
      <c r="A42" s="5953"/>
      <c r="B42" s="5953"/>
      <c r="C42" s="629">
        <f t="shared" si="4"/>
        <v>0</v>
      </c>
      <c r="D42" s="5937"/>
      <c r="E42" s="658"/>
      <c r="F42" s="659"/>
      <c r="G42" s="659"/>
      <c r="H42" s="659"/>
      <c r="I42" s="659"/>
      <c r="J42" s="659"/>
      <c r="K42" s="660"/>
      <c r="L42" s="3664"/>
      <c r="M42" s="5938"/>
      <c r="N42" s="660">
        <f>SUM(N37:N41)</f>
        <v>2.8840057870370375E-2</v>
      </c>
      <c r="O42" s="660">
        <f t="shared" si="36"/>
        <v>0</v>
      </c>
      <c r="P42" s="5938"/>
      <c r="Q42" s="5938"/>
      <c r="R42" s="662">
        <f>SUM(R37:R41)</f>
        <v>1950</v>
      </c>
      <c r="S42" s="144"/>
      <c r="T42" s="144"/>
      <c r="U42" s="3157" t="e">
        <f>IF(U41&gt;0,U41,#REF!)</f>
        <v>#REF!</v>
      </c>
      <c r="V42" s="3157" t="e">
        <f>IF(V41&gt;0,V41,#REF!)</f>
        <v>#REF!</v>
      </c>
      <c r="W42" s="3157" t="e">
        <f>IF(W41&gt;0,W41,#REF!)</f>
        <v>#REF!</v>
      </c>
      <c r="X42" s="3157" t="e">
        <f>IF(X41&gt;0,X41,#REF!)</f>
        <v>#REF!</v>
      </c>
      <c r="Y42" s="3157" t="e">
        <f>IF(Y41&gt;0,Y41,#REF!)</f>
        <v>#REF!</v>
      </c>
      <c r="Z42" s="3157" t="e">
        <f>IF(Z41&gt;0,Z41,#REF!)</f>
        <v>#REF!</v>
      </c>
      <c r="AA42" s="3157" t="e">
        <f>IF(AA41&gt;0,AA41,#REF!)</f>
        <v>#REF!</v>
      </c>
      <c r="AB42" s="144"/>
      <c r="AC42" s="2867"/>
      <c r="AD42" s="2867"/>
      <c r="AE42" s="2867"/>
      <c r="AF42" s="2867"/>
      <c r="AG42" s="2867"/>
      <c r="AH42" s="2867"/>
      <c r="AI42" s="2825"/>
      <c r="AJ42" s="2815"/>
      <c r="AK42" s="2815"/>
      <c r="AL42" s="2815"/>
      <c r="AM42" s="2815"/>
      <c r="AN42" s="2815"/>
    </row>
    <row r="43" spans="1:40" ht="14" customHeight="1" thickBot="1">
      <c r="A43" s="664"/>
      <c r="B43" s="961" t="s">
        <v>897</v>
      </c>
      <c r="C43" s="629">
        <f t="shared" si="4"/>
        <v>0</v>
      </c>
      <c r="D43" s="5164"/>
      <c r="E43" s="5925"/>
      <c r="F43" s="5925"/>
      <c r="G43" s="5925"/>
      <c r="H43" s="276"/>
      <c r="I43" s="965"/>
      <c r="J43" s="276"/>
      <c r="K43" s="832"/>
      <c r="L43" s="276"/>
      <c r="M43" s="5926"/>
      <c r="N43" s="276"/>
      <c r="O43" s="276">
        <f>C43*(G43/25)</f>
        <v>0</v>
      </c>
      <c r="P43" s="296"/>
      <c r="Q43" s="5927"/>
      <c r="R43" s="5925"/>
      <c r="S43" s="144"/>
      <c r="T43" s="144"/>
      <c r="U43" s="3157" t="e">
        <f t="shared" ref="U43:AA58" si="41">IF(U42&gt;0,U42,U41)</f>
        <v>#REF!</v>
      </c>
      <c r="V43" s="3157" t="e">
        <f t="shared" si="41"/>
        <v>#REF!</v>
      </c>
      <c r="W43" s="3157" t="e">
        <f t="shared" si="41"/>
        <v>#REF!</v>
      </c>
      <c r="X43" s="3157" t="e">
        <f t="shared" si="41"/>
        <v>#REF!</v>
      </c>
      <c r="Y43" s="3157" t="e">
        <f t="shared" si="41"/>
        <v>#REF!</v>
      </c>
      <c r="Z43" s="3157" t="e">
        <f t="shared" si="41"/>
        <v>#REF!</v>
      </c>
      <c r="AA43" s="3157" t="e">
        <f t="shared" si="41"/>
        <v>#REF!</v>
      </c>
      <c r="AB43" s="144"/>
      <c r="AC43" s="2867">
        <v>0</v>
      </c>
      <c r="AD43" s="2867">
        <v>0</v>
      </c>
      <c r="AE43" s="2867">
        <v>0</v>
      </c>
      <c r="AF43" s="2867">
        <v>0</v>
      </c>
      <c r="AG43" s="2867">
        <v>0</v>
      </c>
      <c r="AH43" s="2867">
        <v>0</v>
      </c>
      <c r="AI43" s="2825"/>
      <c r="AJ43" s="2815"/>
      <c r="AK43" s="2815"/>
      <c r="AL43" s="2815"/>
      <c r="AM43" s="2815"/>
      <c r="AN43" s="2815"/>
    </row>
    <row r="44" spans="1:40" ht="14" customHeight="1" thickBot="1">
      <c r="A44" s="1344"/>
      <c r="B44" s="1386" t="s">
        <v>459</v>
      </c>
      <c r="C44" s="629">
        <f t="shared" si="4"/>
        <v>1.9733796296296302E-4</v>
      </c>
      <c r="D44" s="5939">
        <v>3</v>
      </c>
      <c r="E44" s="5940">
        <v>1</v>
      </c>
      <c r="F44" s="5940">
        <v>1</v>
      </c>
      <c r="G44" s="5940">
        <v>400</v>
      </c>
      <c r="H44" s="5940"/>
      <c r="I44" s="5941">
        <v>0</v>
      </c>
      <c r="J44" s="5941">
        <v>1.3888888888888889E-3</v>
      </c>
      <c r="K44" s="1251" t="s">
        <v>2181</v>
      </c>
      <c r="L44" s="1399"/>
      <c r="M44" s="824">
        <v>1</v>
      </c>
      <c r="N44" s="5941">
        <f>P44*E44*F44+I44*E44*F44+J44*E44</f>
        <v>4.5462962962962974E-3</v>
      </c>
      <c r="O44" s="5941">
        <f t="shared" ref="O44:O49" si="42">C44*(G44/25)</f>
        <v>3.1574074074074083E-3</v>
      </c>
      <c r="P44" s="5941">
        <f>O44*M44</f>
        <v>3.1574074074074083E-3</v>
      </c>
      <c r="Q44" s="349">
        <v>129</v>
      </c>
      <c r="R44" s="5942">
        <f>E44*F44*G44</f>
        <v>400</v>
      </c>
      <c r="S44" s="144"/>
      <c r="T44" s="144"/>
      <c r="U44" s="3157" t="e">
        <f t="shared" si="41"/>
        <v>#REF!</v>
      </c>
      <c r="V44" s="3157" t="e">
        <f t="shared" si="41"/>
        <v>#REF!</v>
      </c>
      <c r="W44" s="3157" t="e">
        <f t="shared" si="41"/>
        <v>#REF!</v>
      </c>
      <c r="X44" s="3157" t="e">
        <f t="shared" si="41"/>
        <v>#REF!</v>
      </c>
      <c r="Y44" s="3157" t="e">
        <f t="shared" si="41"/>
        <v>#REF!</v>
      </c>
      <c r="Z44" s="3157" t="e">
        <f t="shared" si="41"/>
        <v>#REF!</v>
      </c>
      <c r="AA44" s="3157" t="e">
        <f t="shared" si="41"/>
        <v>#REF!</v>
      </c>
      <c r="AB44" s="144"/>
      <c r="AC44" s="2867">
        <v>0</v>
      </c>
      <c r="AD44" s="2867">
        <v>0</v>
      </c>
      <c r="AE44" s="2867">
        <v>0</v>
      </c>
      <c r="AF44" s="2867">
        <v>0</v>
      </c>
      <c r="AG44" s="2867">
        <v>0</v>
      </c>
      <c r="AH44" s="2867">
        <v>0</v>
      </c>
      <c r="AI44" s="2825"/>
      <c r="AJ44" s="2815"/>
      <c r="AK44" s="2815"/>
      <c r="AL44" s="2815"/>
      <c r="AM44" s="2815"/>
      <c r="AN44" s="2815"/>
    </row>
    <row r="45" spans="1:40" ht="14" customHeight="1" thickBot="1">
      <c r="A45" s="1344"/>
      <c r="B45" s="961" t="s">
        <v>459</v>
      </c>
      <c r="C45" s="629">
        <f t="shared" si="4"/>
        <v>1.7222222222222224E-4</v>
      </c>
      <c r="D45" s="5932">
        <v>7</v>
      </c>
      <c r="E45" s="1321">
        <v>1</v>
      </c>
      <c r="F45" s="1321">
        <v>1</v>
      </c>
      <c r="G45" s="1321">
        <v>50</v>
      </c>
      <c r="H45" s="1322" t="s">
        <v>558</v>
      </c>
      <c r="I45" s="1322">
        <v>4.6296296296296293E-4</v>
      </c>
      <c r="J45" s="1322">
        <v>6.9444444444444447E-4</v>
      </c>
      <c r="K45" s="1038"/>
      <c r="L45" s="3664">
        <v>3.2106481481481477E-4</v>
      </c>
      <c r="M45" s="5933">
        <v>0.85</v>
      </c>
      <c r="N45" s="5944" t="s">
        <v>2184</v>
      </c>
      <c r="O45" s="436">
        <f>C45*(G45/25)</f>
        <v>3.4444444444444447E-4</v>
      </c>
      <c r="P45" s="439"/>
      <c r="Q45" s="818"/>
      <c r="R45" s="5943"/>
      <c r="S45" s="144"/>
      <c r="T45" s="144"/>
      <c r="U45" s="3157" t="e">
        <f t="shared" si="41"/>
        <v>#REF!</v>
      </c>
      <c r="V45" s="3157" t="e">
        <f t="shared" si="41"/>
        <v>#REF!</v>
      </c>
      <c r="W45" s="3157" t="e">
        <f t="shared" si="41"/>
        <v>#REF!</v>
      </c>
      <c r="X45" s="3157" t="e">
        <f t="shared" si="41"/>
        <v>#REF!</v>
      </c>
      <c r="Y45" s="3157" t="e">
        <f t="shared" si="41"/>
        <v>#REF!</v>
      </c>
      <c r="Z45" s="3157" t="e">
        <f t="shared" si="41"/>
        <v>#REF!</v>
      </c>
      <c r="AA45" s="3157" t="e">
        <f t="shared" si="41"/>
        <v>#REF!</v>
      </c>
      <c r="AB45" s="144"/>
      <c r="AC45" s="2867">
        <v>0</v>
      </c>
      <c r="AD45" s="2867">
        <v>0</v>
      </c>
      <c r="AE45" s="2867">
        <v>0</v>
      </c>
      <c r="AF45" s="2867">
        <v>0</v>
      </c>
      <c r="AG45" s="2867">
        <v>0</v>
      </c>
      <c r="AH45" s="2867">
        <v>0</v>
      </c>
      <c r="AI45" s="2825"/>
      <c r="AJ45" s="2815"/>
      <c r="AK45" s="2815"/>
      <c r="AL45" s="2815"/>
      <c r="AM45" s="2815"/>
      <c r="AN45" s="2815"/>
    </row>
    <row r="46" spans="1:40" ht="16" customHeight="1" thickBot="1">
      <c r="A46" s="1344"/>
      <c r="B46" s="833">
        <v>4</v>
      </c>
      <c r="C46" s="629">
        <f t="shared" si="4"/>
        <v>1.7222222222222224E-4</v>
      </c>
      <c r="D46" s="5932">
        <v>7</v>
      </c>
      <c r="E46" s="1321">
        <v>1</v>
      </c>
      <c r="F46" s="1321">
        <v>1</v>
      </c>
      <c r="G46" s="1321">
        <v>100</v>
      </c>
      <c r="H46" s="1322" t="s">
        <v>558</v>
      </c>
      <c r="I46" s="1322">
        <v>4.6296296296296293E-4</v>
      </c>
      <c r="J46" s="1322">
        <v>6.9444444444444447E-4</v>
      </c>
      <c r="K46" s="1038"/>
      <c r="L46" s="3664">
        <v>7.0358796296296304E-4</v>
      </c>
      <c r="M46" s="5933">
        <v>1.85</v>
      </c>
      <c r="N46" s="5944" t="s">
        <v>2183</v>
      </c>
      <c r="O46" s="436">
        <f>C46*(G46/25)</f>
        <v>6.8888888888888895E-4</v>
      </c>
      <c r="P46" s="5955" t="s">
        <v>2182</v>
      </c>
      <c r="Q46" s="818"/>
      <c r="R46" s="5943"/>
      <c r="S46" s="144"/>
      <c r="T46" s="144"/>
      <c r="U46" s="3157" t="e">
        <f t="shared" ref="U46:AA47" si="43">IF(U45&gt;0,U45,U44)</f>
        <v>#REF!</v>
      </c>
      <c r="V46" s="3157" t="e">
        <f t="shared" si="43"/>
        <v>#REF!</v>
      </c>
      <c r="W46" s="3157" t="e">
        <f t="shared" si="43"/>
        <v>#REF!</v>
      </c>
      <c r="X46" s="3157" t="e">
        <f t="shared" si="43"/>
        <v>#REF!</v>
      </c>
      <c r="Y46" s="3157" t="e">
        <f t="shared" si="43"/>
        <v>#REF!</v>
      </c>
      <c r="Z46" s="3157" t="e">
        <f t="shared" si="43"/>
        <v>#REF!</v>
      </c>
      <c r="AA46" s="3157" t="e">
        <f t="shared" si="43"/>
        <v>#REF!</v>
      </c>
      <c r="AB46" s="144"/>
      <c r="AC46" s="2867"/>
      <c r="AD46" s="2867"/>
      <c r="AE46" s="2867"/>
      <c r="AF46" s="2867"/>
      <c r="AG46" s="2867"/>
      <c r="AH46" s="2867"/>
      <c r="AI46" s="2825"/>
      <c r="AJ46" s="2815"/>
      <c r="AK46" s="2815"/>
      <c r="AL46" s="2815"/>
      <c r="AM46" s="2815"/>
      <c r="AN46" s="2815"/>
    </row>
    <row r="47" spans="1:40" ht="14" customHeight="1" thickBot="1">
      <c r="A47" s="1344"/>
      <c r="B47" s="3665"/>
      <c r="C47" s="629">
        <f t="shared" si="4"/>
        <v>1.7222222222222224E-4</v>
      </c>
      <c r="D47" s="5932">
        <v>7</v>
      </c>
      <c r="E47" s="1321">
        <v>1</v>
      </c>
      <c r="F47" s="1321">
        <v>1</v>
      </c>
      <c r="G47" s="1321">
        <v>50</v>
      </c>
      <c r="H47" s="1322" t="s">
        <v>298</v>
      </c>
      <c r="I47" s="1322">
        <v>4.6296296296296293E-4</v>
      </c>
      <c r="J47" s="1322">
        <v>6.9444444444444447E-4</v>
      </c>
      <c r="K47" s="1038"/>
      <c r="L47" s="3664">
        <v>3.5763888888888889E-4</v>
      </c>
      <c r="M47" s="5933">
        <v>0.85</v>
      </c>
      <c r="N47" s="5944" t="s">
        <v>2184</v>
      </c>
      <c r="O47" s="436">
        <f>C47*(G47/25)</f>
        <v>3.4444444444444447E-4</v>
      </c>
      <c r="P47" s="439"/>
      <c r="Q47" s="3666"/>
      <c r="R47" s="3667"/>
      <c r="S47" s="144"/>
      <c r="T47" s="144"/>
      <c r="U47" s="3157" t="e">
        <f t="shared" si="43"/>
        <v>#REF!</v>
      </c>
      <c r="V47" s="3157" t="e">
        <f t="shared" si="43"/>
        <v>#REF!</v>
      </c>
      <c r="W47" s="3157" t="e">
        <f t="shared" si="43"/>
        <v>#REF!</v>
      </c>
      <c r="X47" s="3157" t="e">
        <f t="shared" si="43"/>
        <v>#REF!</v>
      </c>
      <c r="Y47" s="3157" t="e">
        <f t="shared" si="43"/>
        <v>#REF!</v>
      </c>
      <c r="Z47" s="3157" t="e">
        <f t="shared" si="43"/>
        <v>#REF!</v>
      </c>
      <c r="AA47" s="3157" t="e">
        <f t="shared" si="43"/>
        <v>#REF!</v>
      </c>
      <c r="AB47" s="144"/>
      <c r="AC47" s="2867"/>
      <c r="AD47" s="2867"/>
      <c r="AE47" s="2867"/>
      <c r="AF47" s="2867"/>
      <c r="AG47" s="2867"/>
      <c r="AH47" s="2867"/>
      <c r="AI47" s="2825"/>
      <c r="AJ47" s="2815"/>
      <c r="AK47" s="2815"/>
      <c r="AL47" s="2815"/>
      <c r="AM47" s="2815"/>
      <c r="AN47" s="2815"/>
    </row>
    <row r="48" spans="1:40" ht="14" customHeight="1" thickBot="1">
      <c r="A48" s="1344" t="s">
        <v>219</v>
      </c>
      <c r="B48" s="1386" t="s">
        <v>459</v>
      </c>
      <c r="C48" s="629">
        <f t="shared" si="4"/>
        <v>0</v>
      </c>
      <c r="D48" s="5945"/>
      <c r="E48" s="5946"/>
      <c r="F48" s="5925"/>
      <c r="G48" s="5925"/>
      <c r="H48" s="5925"/>
      <c r="I48" s="5947"/>
      <c r="J48" s="5947"/>
      <c r="K48" s="827"/>
      <c r="L48" s="1401"/>
      <c r="M48" s="827"/>
      <c r="N48" s="828">
        <f>SUM(N44:N46)</f>
        <v>4.5462962962962974E-3</v>
      </c>
      <c r="O48" s="828">
        <f t="shared" si="42"/>
        <v>0</v>
      </c>
      <c r="P48" s="819"/>
      <c r="Q48" s="819"/>
      <c r="R48" s="972"/>
      <c r="S48" s="144"/>
      <c r="T48" s="144"/>
      <c r="U48" s="3157" t="e">
        <f t="shared" si="41"/>
        <v>#REF!</v>
      </c>
      <c r="V48" s="3157" t="e">
        <f t="shared" si="41"/>
        <v>#REF!</v>
      </c>
      <c r="W48" s="3157" t="e">
        <f t="shared" si="41"/>
        <v>#REF!</v>
      </c>
      <c r="X48" s="3157" t="e">
        <f t="shared" si="41"/>
        <v>#REF!</v>
      </c>
      <c r="Y48" s="3157" t="e">
        <f t="shared" si="41"/>
        <v>#REF!</v>
      </c>
      <c r="Z48" s="3157" t="e">
        <f t="shared" si="41"/>
        <v>#REF!</v>
      </c>
      <c r="AA48" s="3157" t="e">
        <f t="shared" si="41"/>
        <v>#REF!</v>
      </c>
      <c r="AB48" s="144"/>
      <c r="AC48" s="2867">
        <v>0</v>
      </c>
      <c r="AD48" s="2867">
        <v>0</v>
      </c>
      <c r="AE48" s="2867">
        <v>0</v>
      </c>
      <c r="AF48" s="2867">
        <v>0</v>
      </c>
      <c r="AG48" s="2867">
        <v>0</v>
      </c>
      <c r="AH48" s="2867">
        <v>0</v>
      </c>
      <c r="AI48" s="2825"/>
      <c r="AJ48" s="2815"/>
      <c r="AK48" s="2815"/>
      <c r="AL48" s="2815"/>
      <c r="AM48" s="2815"/>
      <c r="AN48" s="2815"/>
    </row>
    <row r="49" spans="1:40" ht="14" customHeight="1" thickBot="1">
      <c r="A49" s="961">
        <v>6</v>
      </c>
      <c r="B49" s="961">
        <v>7</v>
      </c>
      <c r="C49" s="5948"/>
      <c r="D49" s="5948">
        <v>7</v>
      </c>
      <c r="E49" s="1064"/>
      <c r="F49" s="974"/>
      <c r="G49" s="974"/>
      <c r="H49" s="974"/>
      <c r="I49" s="974"/>
      <c r="J49" s="5948"/>
      <c r="K49" s="975" t="s">
        <v>2180</v>
      </c>
      <c r="L49" s="1402"/>
      <c r="M49" s="975"/>
      <c r="N49" s="5948"/>
      <c r="O49" s="5948">
        <f t="shared" si="42"/>
        <v>0</v>
      </c>
      <c r="P49" s="5948"/>
      <c r="Q49" s="976"/>
      <c r="R49" s="5949"/>
      <c r="S49" s="144"/>
      <c r="T49" s="144"/>
      <c r="U49" s="3157" t="e">
        <f t="shared" si="41"/>
        <v>#REF!</v>
      </c>
      <c r="V49" s="3157" t="e">
        <f t="shared" si="41"/>
        <v>#REF!</v>
      </c>
      <c r="W49" s="3157" t="e">
        <f t="shared" si="41"/>
        <v>#REF!</v>
      </c>
      <c r="X49" s="3157" t="e">
        <f t="shared" si="41"/>
        <v>#REF!</v>
      </c>
      <c r="Y49" s="3157" t="e">
        <f t="shared" si="41"/>
        <v>#REF!</v>
      </c>
      <c r="Z49" s="3157" t="e">
        <f t="shared" si="41"/>
        <v>#REF!</v>
      </c>
      <c r="AA49" s="3157" t="e">
        <f t="shared" si="41"/>
        <v>#REF!</v>
      </c>
      <c r="AB49" s="144"/>
      <c r="AC49" s="2867">
        <v>0</v>
      </c>
      <c r="AD49" s="2867">
        <v>0</v>
      </c>
      <c r="AE49" s="2867">
        <v>0</v>
      </c>
      <c r="AF49" s="2867">
        <v>0</v>
      </c>
      <c r="AG49" s="2867">
        <v>0</v>
      </c>
      <c r="AH49" s="2867">
        <v>0</v>
      </c>
      <c r="AI49" s="2825"/>
      <c r="AJ49" s="2815"/>
      <c r="AK49" s="2815"/>
      <c r="AL49" s="2815"/>
      <c r="AM49" s="2815"/>
      <c r="AN49" s="2815"/>
    </row>
    <row r="50" spans="1:40" ht="14" customHeight="1">
      <c r="A50" s="144"/>
      <c r="B50" s="144"/>
      <c r="C50" s="144"/>
      <c r="D50" s="906"/>
      <c r="E50" s="144"/>
      <c r="F50" s="146"/>
      <c r="G50" s="146"/>
      <c r="H50" s="144"/>
      <c r="I50" s="144"/>
      <c r="J50" s="144"/>
      <c r="K50" s="144"/>
      <c r="L50" s="144"/>
      <c r="M50" s="144"/>
      <c r="N50" s="1278"/>
      <c r="O50" s="144"/>
      <c r="P50" s="144"/>
      <c r="Q50" s="144"/>
      <c r="R50" s="146"/>
      <c r="S50" s="144"/>
      <c r="T50" s="144"/>
      <c r="U50" s="3157" t="e">
        <f t="shared" si="41"/>
        <v>#REF!</v>
      </c>
      <c r="V50" s="3157" t="e">
        <f t="shared" si="41"/>
        <v>#REF!</v>
      </c>
      <c r="W50" s="3157" t="e">
        <f t="shared" si="41"/>
        <v>#REF!</v>
      </c>
      <c r="X50" s="3157" t="e">
        <f t="shared" si="41"/>
        <v>#REF!</v>
      </c>
      <c r="Y50" s="3157" t="e">
        <f t="shared" si="41"/>
        <v>#REF!</v>
      </c>
      <c r="Z50" s="3157" t="e">
        <f t="shared" si="41"/>
        <v>#REF!</v>
      </c>
      <c r="AA50" s="3157" t="e">
        <f t="shared" si="41"/>
        <v>#REF!</v>
      </c>
      <c r="AB50" s="144"/>
      <c r="AC50" s="2867"/>
      <c r="AD50" s="2867"/>
      <c r="AE50" s="2867"/>
      <c r="AF50" s="2867"/>
      <c r="AG50" s="2867"/>
      <c r="AH50" s="2867"/>
      <c r="AI50" s="2825"/>
      <c r="AJ50" s="2815"/>
      <c r="AK50" s="2815"/>
      <c r="AL50" s="2815"/>
      <c r="AM50" s="2815"/>
      <c r="AN50" s="2815"/>
    </row>
    <row r="51" spans="1:40" ht="14" customHeight="1">
      <c r="A51" s="144"/>
      <c r="B51" s="144"/>
      <c r="C51" s="144"/>
      <c r="D51" s="906"/>
      <c r="E51" s="144"/>
      <c r="F51" s="146"/>
      <c r="G51" s="146"/>
      <c r="H51" s="144"/>
      <c r="I51" s="144"/>
      <c r="J51" s="144"/>
      <c r="K51" s="144"/>
      <c r="L51" s="144"/>
      <c r="M51" s="144"/>
      <c r="N51" s="1278"/>
      <c r="O51" s="144"/>
      <c r="P51" s="144"/>
      <c r="Q51" s="144"/>
      <c r="R51" s="146"/>
      <c r="S51" s="144"/>
      <c r="T51" s="144"/>
      <c r="U51" s="3157" t="e">
        <f t="shared" si="41"/>
        <v>#REF!</v>
      </c>
      <c r="V51" s="3157" t="e">
        <f t="shared" si="41"/>
        <v>#REF!</v>
      </c>
      <c r="W51" s="3157" t="e">
        <f t="shared" si="41"/>
        <v>#REF!</v>
      </c>
      <c r="X51" s="3157" t="e">
        <f t="shared" si="41"/>
        <v>#REF!</v>
      </c>
      <c r="Y51" s="3157" t="e">
        <f t="shared" si="41"/>
        <v>#REF!</v>
      </c>
      <c r="Z51" s="3157" t="e">
        <f t="shared" si="41"/>
        <v>#REF!</v>
      </c>
      <c r="AA51" s="3157" t="e">
        <f t="shared" si="41"/>
        <v>#REF!</v>
      </c>
      <c r="AB51" s="144"/>
      <c r="AC51" s="2867"/>
      <c r="AD51" s="2867"/>
      <c r="AE51" s="2867"/>
      <c r="AF51" s="2867"/>
      <c r="AG51" s="2867"/>
      <c r="AH51" s="2867"/>
      <c r="AI51" s="2825"/>
      <c r="AJ51" s="2815"/>
      <c r="AK51" s="2815"/>
      <c r="AL51" s="2815"/>
      <c r="AM51" s="2815"/>
      <c r="AN51" s="2815"/>
    </row>
    <row r="52" spans="1:40" ht="14" customHeight="1">
      <c r="A52" s="144"/>
      <c r="B52" s="144"/>
      <c r="C52" s="144"/>
      <c r="D52" s="906"/>
      <c r="E52" s="144"/>
      <c r="F52" s="146"/>
      <c r="G52" s="146"/>
      <c r="H52" s="144"/>
      <c r="I52" s="144"/>
      <c r="J52" s="144"/>
      <c r="K52" s="144"/>
      <c r="L52" s="144"/>
      <c r="M52" s="144"/>
      <c r="N52" s="1278"/>
      <c r="O52" s="144"/>
      <c r="P52" s="144"/>
      <c r="Q52" s="144"/>
      <c r="R52" s="146"/>
      <c r="S52" s="144"/>
      <c r="T52" s="144"/>
      <c r="U52" s="3157" t="e">
        <f t="shared" si="41"/>
        <v>#REF!</v>
      </c>
      <c r="V52" s="3157" t="e">
        <f t="shared" si="41"/>
        <v>#REF!</v>
      </c>
      <c r="W52" s="3157" t="e">
        <f t="shared" si="41"/>
        <v>#REF!</v>
      </c>
      <c r="X52" s="3157" t="e">
        <f t="shared" si="41"/>
        <v>#REF!</v>
      </c>
      <c r="Y52" s="3157" t="e">
        <f t="shared" si="41"/>
        <v>#REF!</v>
      </c>
      <c r="Z52" s="3157" t="e">
        <f t="shared" si="41"/>
        <v>#REF!</v>
      </c>
      <c r="AA52" s="3157" t="e">
        <f t="shared" si="41"/>
        <v>#REF!</v>
      </c>
      <c r="AB52" s="144"/>
      <c r="AC52" s="2867">
        <v>0</v>
      </c>
      <c r="AD52" s="2867">
        <v>0</v>
      </c>
      <c r="AE52" s="2867">
        <v>0</v>
      </c>
      <c r="AF52" s="2867">
        <v>0</v>
      </c>
      <c r="AG52" s="2867">
        <v>0</v>
      </c>
      <c r="AH52" s="2867">
        <v>0</v>
      </c>
      <c r="AI52" s="2825"/>
      <c r="AJ52" s="2815"/>
      <c r="AK52" s="2815"/>
      <c r="AL52" s="2815"/>
      <c r="AM52" s="2815"/>
      <c r="AN52" s="2815"/>
    </row>
    <row r="53" spans="1:40" ht="14" customHeight="1">
      <c r="A53" s="144"/>
      <c r="B53" s="144"/>
      <c r="C53" s="144"/>
      <c r="D53" s="906"/>
      <c r="E53" s="144"/>
      <c r="F53" s="146"/>
      <c r="G53" s="146"/>
      <c r="H53" s="144"/>
      <c r="I53" s="144"/>
      <c r="J53" s="144"/>
      <c r="K53" s="144"/>
      <c r="L53" s="144"/>
      <c r="M53" s="144"/>
      <c r="N53" s="1278"/>
      <c r="O53" s="144"/>
      <c r="P53" s="144"/>
      <c r="Q53" s="144"/>
      <c r="R53" s="146"/>
      <c r="S53" s="144"/>
      <c r="T53" s="144"/>
      <c r="U53" s="3157" t="e">
        <f t="shared" si="41"/>
        <v>#REF!</v>
      </c>
      <c r="V53" s="3157" t="e">
        <f t="shared" si="41"/>
        <v>#REF!</v>
      </c>
      <c r="W53" s="3157" t="e">
        <f t="shared" si="41"/>
        <v>#REF!</v>
      </c>
      <c r="X53" s="3157" t="e">
        <f t="shared" si="41"/>
        <v>#REF!</v>
      </c>
      <c r="Y53" s="3157" t="e">
        <f t="shared" si="41"/>
        <v>#REF!</v>
      </c>
      <c r="Z53" s="3157" t="e">
        <f t="shared" si="41"/>
        <v>#REF!</v>
      </c>
      <c r="AA53" s="3157" t="e">
        <f t="shared" si="41"/>
        <v>#REF!</v>
      </c>
      <c r="AB53" s="144"/>
      <c r="AC53" s="2867">
        <v>0</v>
      </c>
      <c r="AD53" s="2867">
        <v>0</v>
      </c>
      <c r="AE53" s="2867">
        <v>0</v>
      </c>
      <c r="AF53" s="2867">
        <v>0</v>
      </c>
      <c r="AG53" s="2867">
        <v>0</v>
      </c>
      <c r="AH53" s="2867">
        <v>0</v>
      </c>
      <c r="AI53" s="2825"/>
      <c r="AJ53" s="2815"/>
      <c r="AK53" s="2815"/>
      <c r="AL53" s="2815"/>
      <c r="AM53" s="2815"/>
      <c r="AN53" s="2815"/>
    </row>
    <row r="54" spans="1:40" ht="14" customHeight="1">
      <c r="A54" s="144"/>
      <c r="B54" s="144"/>
      <c r="C54" s="144"/>
      <c r="D54" s="906"/>
      <c r="E54" s="144"/>
      <c r="F54" s="146"/>
      <c r="G54" s="146"/>
      <c r="H54" s="144"/>
      <c r="I54" s="144"/>
      <c r="J54" s="144"/>
      <c r="K54" s="144"/>
      <c r="L54" s="144"/>
      <c r="M54" s="144"/>
      <c r="N54" s="1278"/>
      <c r="O54" s="144"/>
      <c r="P54" s="144"/>
      <c r="Q54" s="144"/>
      <c r="R54" s="146"/>
      <c r="S54" s="144"/>
      <c r="T54" s="144"/>
      <c r="U54" s="3157" t="e">
        <f t="shared" si="41"/>
        <v>#REF!</v>
      </c>
      <c r="V54" s="3157" t="e">
        <f t="shared" si="41"/>
        <v>#REF!</v>
      </c>
      <c r="W54" s="3157" t="e">
        <f t="shared" si="41"/>
        <v>#REF!</v>
      </c>
      <c r="X54" s="3157" t="e">
        <f t="shared" si="41"/>
        <v>#REF!</v>
      </c>
      <c r="Y54" s="3157" t="e">
        <f t="shared" si="41"/>
        <v>#REF!</v>
      </c>
      <c r="Z54" s="3157" t="e">
        <f t="shared" si="41"/>
        <v>#REF!</v>
      </c>
      <c r="AA54" s="3157" t="e">
        <f t="shared" si="41"/>
        <v>#REF!</v>
      </c>
      <c r="AB54" s="144"/>
      <c r="AC54" s="2867">
        <v>0</v>
      </c>
      <c r="AD54" s="2867">
        <v>0</v>
      </c>
      <c r="AE54" s="2867">
        <v>0</v>
      </c>
      <c r="AF54" s="2867">
        <v>0</v>
      </c>
      <c r="AG54" s="2867">
        <v>0</v>
      </c>
      <c r="AH54" s="2867">
        <v>0</v>
      </c>
      <c r="AI54" s="2825"/>
      <c r="AJ54" s="2815"/>
      <c r="AK54" s="2815"/>
      <c r="AL54" s="2815"/>
      <c r="AM54" s="2815"/>
      <c r="AN54" s="2815"/>
    </row>
    <row r="55" spans="1:40" ht="14" customHeight="1">
      <c r="A55" s="144"/>
      <c r="B55" s="144"/>
      <c r="C55" s="144"/>
      <c r="D55" s="906"/>
      <c r="E55" s="144"/>
      <c r="F55" s="146"/>
      <c r="G55" s="146"/>
      <c r="H55" s="144"/>
      <c r="I55" s="144"/>
      <c r="J55" s="144"/>
      <c r="K55" s="144"/>
      <c r="L55" s="144"/>
      <c r="M55" s="144"/>
      <c r="N55" s="1278"/>
      <c r="O55" s="144"/>
      <c r="P55" s="144"/>
      <c r="Q55" s="144"/>
      <c r="R55" s="146"/>
      <c r="S55" s="144"/>
      <c r="T55" s="144"/>
      <c r="U55" s="3157" t="e">
        <f t="shared" si="41"/>
        <v>#REF!</v>
      </c>
      <c r="V55" s="3157" t="e">
        <f t="shared" si="41"/>
        <v>#REF!</v>
      </c>
      <c r="W55" s="3157" t="e">
        <f t="shared" si="41"/>
        <v>#REF!</v>
      </c>
      <c r="X55" s="3157" t="e">
        <f t="shared" si="41"/>
        <v>#REF!</v>
      </c>
      <c r="Y55" s="3157" t="e">
        <f t="shared" si="41"/>
        <v>#REF!</v>
      </c>
      <c r="Z55" s="3157" t="e">
        <f t="shared" si="41"/>
        <v>#REF!</v>
      </c>
      <c r="AA55" s="3157" t="e">
        <f t="shared" si="41"/>
        <v>#REF!</v>
      </c>
      <c r="AB55" s="144"/>
      <c r="AC55" s="2867">
        <v>0</v>
      </c>
      <c r="AD55" s="2867">
        <v>0</v>
      </c>
      <c r="AE55" s="2867">
        <v>0</v>
      </c>
      <c r="AF55" s="2867">
        <v>0</v>
      </c>
      <c r="AG55" s="2867">
        <v>0</v>
      </c>
      <c r="AH55" s="2867">
        <v>0</v>
      </c>
      <c r="AI55" s="2825"/>
      <c r="AJ55" s="2815"/>
      <c r="AK55" s="2815"/>
      <c r="AL55" s="2815"/>
      <c r="AM55" s="2815"/>
      <c r="AN55" s="2815"/>
    </row>
    <row r="56" spans="1:40" ht="14" customHeight="1">
      <c r="A56" s="144"/>
      <c r="B56" s="144"/>
      <c r="C56" s="144"/>
      <c r="D56" s="906"/>
      <c r="E56" s="144"/>
      <c r="F56" s="146"/>
      <c r="G56" s="146"/>
      <c r="H56" s="144"/>
      <c r="I56" s="144"/>
      <c r="J56" s="144"/>
      <c r="K56" s="144"/>
      <c r="L56" s="144"/>
      <c r="M56" s="144"/>
      <c r="N56" s="1278"/>
      <c r="O56" s="144"/>
      <c r="P56" s="144"/>
      <c r="Q56" s="144"/>
      <c r="R56" s="146"/>
      <c r="S56" s="144"/>
      <c r="T56" s="144"/>
      <c r="U56" s="3157" t="e">
        <f t="shared" si="41"/>
        <v>#REF!</v>
      </c>
      <c r="V56" s="3157" t="e">
        <f t="shared" si="41"/>
        <v>#REF!</v>
      </c>
      <c r="W56" s="3157" t="e">
        <f t="shared" si="41"/>
        <v>#REF!</v>
      </c>
      <c r="X56" s="3157" t="e">
        <f t="shared" si="41"/>
        <v>#REF!</v>
      </c>
      <c r="Y56" s="3157" t="e">
        <f t="shared" si="41"/>
        <v>#REF!</v>
      </c>
      <c r="Z56" s="3157" t="e">
        <f t="shared" si="41"/>
        <v>#REF!</v>
      </c>
      <c r="AA56" s="3157" t="e">
        <f t="shared" si="41"/>
        <v>#REF!</v>
      </c>
      <c r="AB56" s="144"/>
      <c r="AC56" s="2867"/>
      <c r="AD56" s="2867"/>
      <c r="AE56" s="2867"/>
      <c r="AF56" s="2867"/>
      <c r="AG56" s="2867"/>
      <c r="AH56" s="2867"/>
      <c r="AI56" s="2825"/>
      <c r="AJ56" s="2815"/>
      <c r="AK56" s="2815"/>
      <c r="AL56" s="2815"/>
      <c r="AM56" s="2815"/>
      <c r="AN56" s="2815"/>
    </row>
    <row r="57" spans="1:40" ht="14" customHeight="1">
      <c r="A57" s="144"/>
      <c r="B57" s="144"/>
      <c r="C57" s="144"/>
      <c r="D57" s="906"/>
      <c r="E57" s="144"/>
      <c r="F57" s="146"/>
      <c r="G57" s="146"/>
      <c r="H57" s="144"/>
      <c r="I57" s="144"/>
      <c r="J57" s="144"/>
      <c r="K57" s="144"/>
      <c r="L57" s="144"/>
      <c r="M57" s="144"/>
      <c r="N57" s="1278"/>
      <c r="O57" s="144"/>
      <c r="P57" s="144"/>
      <c r="Q57" s="144"/>
      <c r="R57" s="146"/>
      <c r="S57" s="144"/>
      <c r="T57" s="144"/>
      <c r="U57" s="3157" t="e">
        <f t="shared" si="41"/>
        <v>#REF!</v>
      </c>
      <c r="V57" s="3157" t="e">
        <f t="shared" si="41"/>
        <v>#REF!</v>
      </c>
      <c r="W57" s="3157" t="e">
        <f t="shared" si="41"/>
        <v>#REF!</v>
      </c>
      <c r="X57" s="3157" t="e">
        <f t="shared" si="41"/>
        <v>#REF!</v>
      </c>
      <c r="Y57" s="3157" t="e">
        <f t="shared" si="41"/>
        <v>#REF!</v>
      </c>
      <c r="Z57" s="3157" t="e">
        <f t="shared" si="41"/>
        <v>#REF!</v>
      </c>
      <c r="AA57" s="3157" t="e">
        <f t="shared" si="41"/>
        <v>#REF!</v>
      </c>
      <c r="AB57" s="144"/>
      <c r="AC57" s="2867">
        <v>0</v>
      </c>
      <c r="AD57" s="2867">
        <v>0</v>
      </c>
      <c r="AE57" s="2867">
        <v>0</v>
      </c>
      <c r="AF57" s="2867">
        <v>0</v>
      </c>
      <c r="AG57" s="2867">
        <v>0</v>
      </c>
      <c r="AH57" s="2867">
        <v>0</v>
      </c>
      <c r="AI57" s="2825"/>
      <c r="AJ57" s="2815"/>
      <c r="AK57" s="2815"/>
      <c r="AL57" s="2815"/>
      <c r="AM57" s="2815"/>
      <c r="AN57" s="2815"/>
    </row>
    <row r="58" spans="1:40" ht="14" customHeight="1">
      <c r="A58" s="144"/>
      <c r="B58" s="144"/>
      <c r="C58" s="144"/>
      <c r="D58" s="906"/>
      <c r="E58" s="144"/>
      <c r="F58" s="146"/>
      <c r="G58" s="146"/>
      <c r="H58" s="144"/>
      <c r="I58" s="144"/>
      <c r="J58" s="144"/>
      <c r="K58" s="144"/>
      <c r="L58" s="144"/>
      <c r="M58" s="144"/>
      <c r="N58" s="1278"/>
      <c r="O58" s="144"/>
      <c r="P58" s="144"/>
      <c r="Q58" s="144"/>
      <c r="R58" s="146"/>
      <c r="S58" s="144"/>
      <c r="T58" s="144"/>
      <c r="U58" s="3157" t="e">
        <f t="shared" si="41"/>
        <v>#REF!</v>
      </c>
      <c r="V58" s="3157" t="e">
        <f t="shared" si="41"/>
        <v>#REF!</v>
      </c>
      <c r="W58" s="3157" t="e">
        <f t="shared" si="41"/>
        <v>#REF!</v>
      </c>
      <c r="X58" s="3157" t="e">
        <f t="shared" si="41"/>
        <v>#REF!</v>
      </c>
      <c r="Y58" s="3157" t="e">
        <f t="shared" si="41"/>
        <v>#REF!</v>
      </c>
      <c r="Z58" s="3157" t="e">
        <f t="shared" si="41"/>
        <v>#REF!</v>
      </c>
      <c r="AA58" s="3157" t="e">
        <f t="shared" si="41"/>
        <v>#REF!</v>
      </c>
      <c r="AB58" s="144"/>
      <c r="AC58" s="2867">
        <v>0</v>
      </c>
      <c r="AD58" s="2867">
        <v>0</v>
      </c>
      <c r="AE58" s="2867">
        <v>0</v>
      </c>
      <c r="AF58" s="2867">
        <v>0</v>
      </c>
      <c r="AG58" s="2867">
        <v>0</v>
      </c>
      <c r="AH58" s="2867">
        <v>0</v>
      </c>
      <c r="AI58" s="2825"/>
      <c r="AJ58" s="2815"/>
      <c r="AK58" s="2815"/>
      <c r="AL58" s="2815"/>
      <c r="AM58" s="2815"/>
      <c r="AN58" s="2815"/>
    </row>
    <row r="59" spans="1:40" ht="14" customHeight="1">
      <c r="A59" s="144"/>
      <c r="B59" s="144"/>
      <c r="C59" s="144"/>
      <c r="D59" s="906"/>
      <c r="E59" s="144"/>
      <c r="F59" s="146"/>
      <c r="G59" s="146"/>
      <c r="H59" s="144"/>
      <c r="I59" s="144"/>
      <c r="J59" s="144"/>
      <c r="K59" s="144"/>
      <c r="L59" s="144"/>
      <c r="M59" s="144"/>
      <c r="N59" s="1278"/>
      <c r="O59" s="144"/>
      <c r="P59" s="144"/>
      <c r="Q59" s="144"/>
      <c r="R59" s="146"/>
      <c r="S59" s="144"/>
      <c r="T59" s="144"/>
      <c r="U59" s="3157" t="e">
        <f t="shared" ref="U59:AA74" si="44">IF(U58&gt;0,U58,U57)</f>
        <v>#REF!</v>
      </c>
      <c r="V59" s="3157" t="e">
        <f t="shared" si="44"/>
        <v>#REF!</v>
      </c>
      <c r="W59" s="3157" t="e">
        <f t="shared" si="44"/>
        <v>#REF!</v>
      </c>
      <c r="X59" s="3157" t="e">
        <f t="shared" si="44"/>
        <v>#REF!</v>
      </c>
      <c r="Y59" s="3157" t="e">
        <f t="shared" si="44"/>
        <v>#REF!</v>
      </c>
      <c r="Z59" s="3157" t="e">
        <f t="shared" si="44"/>
        <v>#REF!</v>
      </c>
      <c r="AA59" s="3157" t="e">
        <f t="shared" si="44"/>
        <v>#REF!</v>
      </c>
      <c r="AB59" s="144"/>
      <c r="AC59" s="2867"/>
      <c r="AD59" s="2867"/>
      <c r="AE59" s="2867"/>
      <c r="AF59" s="2867"/>
      <c r="AG59" s="2867"/>
      <c r="AH59" s="2867"/>
      <c r="AI59" s="2825"/>
      <c r="AJ59" s="2815"/>
      <c r="AK59" s="2815"/>
      <c r="AL59" s="2815"/>
      <c r="AM59" s="2815"/>
      <c r="AN59" s="2815"/>
    </row>
    <row r="60" spans="1:40" ht="14" customHeight="1">
      <c r="A60" s="144"/>
      <c r="B60" s="144"/>
      <c r="C60" s="144"/>
      <c r="D60" s="906"/>
      <c r="E60" s="144"/>
      <c r="F60" s="146"/>
      <c r="G60" s="146"/>
      <c r="H60" s="144"/>
      <c r="I60" s="144"/>
      <c r="J60" s="144"/>
      <c r="K60" s="144"/>
      <c r="L60" s="144"/>
      <c r="M60" s="144"/>
      <c r="N60" s="1278"/>
      <c r="O60" s="144"/>
      <c r="P60" s="144"/>
      <c r="Q60" s="144"/>
      <c r="R60" s="146"/>
      <c r="S60" s="144"/>
      <c r="T60" s="144"/>
      <c r="U60" s="3157" t="e">
        <f t="shared" si="44"/>
        <v>#REF!</v>
      </c>
      <c r="V60" s="3157" t="e">
        <f t="shared" si="44"/>
        <v>#REF!</v>
      </c>
      <c r="W60" s="3157" t="e">
        <f t="shared" si="44"/>
        <v>#REF!</v>
      </c>
      <c r="X60" s="3157" t="e">
        <f t="shared" si="44"/>
        <v>#REF!</v>
      </c>
      <c r="Y60" s="3157" t="e">
        <f t="shared" si="44"/>
        <v>#REF!</v>
      </c>
      <c r="Z60" s="3157" t="e">
        <f t="shared" si="44"/>
        <v>#REF!</v>
      </c>
      <c r="AA60" s="3157" t="e">
        <f t="shared" si="44"/>
        <v>#REF!</v>
      </c>
      <c r="AB60" s="144"/>
      <c r="AC60" s="2867"/>
      <c r="AD60" s="2867"/>
      <c r="AE60" s="2867"/>
      <c r="AF60" s="2867"/>
      <c r="AG60" s="2867"/>
      <c r="AH60" s="2867"/>
      <c r="AI60" s="2825"/>
      <c r="AJ60" s="2815"/>
      <c r="AK60" s="2815"/>
      <c r="AL60" s="2815"/>
      <c r="AM60" s="2815"/>
      <c r="AN60" s="2815"/>
    </row>
    <row r="61" spans="1:40" ht="14" customHeight="1">
      <c r="A61" s="144"/>
      <c r="B61" s="144"/>
      <c r="C61" s="144"/>
      <c r="D61" s="906"/>
      <c r="E61" s="144"/>
      <c r="F61" s="146"/>
      <c r="G61" s="146"/>
      <c r="H61" s="144"/>
      <c r="I61" s="144"/>
      <c r="J61" s="144"/>
      <c r="K61" s="144"/>
      <c r="L61" s="144"/>
      <c r="M61" s="144"/>
      <c r="N61" s="1278"/>
      <c r="O61" s="144"/>
      <c r="P61" s="144"/>
      <c r="Q61" s="144"/>
      <c r="R61" s="146"/>
      <c r="S61" s="144"/>
      <c r="T61" s="144"/>
      <c r="U61" s="3157" t="e">
        <f t="shared" si="44"/>
        <v>#REF!</v>
      </c>
      <c r="V61" s="3157" t="e">
        <f t="shared" si="44"/>
        <v>#REF!</v>
      </c>
      <c r="W61" s="3157" t="e">
        <f t="shared" si="44"/>
        <v>#REF!</v>
      </c>
      <c r="X61" s="3157" t="e">
        <f t="shared" si="44"/>
        <v>#REF!</v>
      </c>
      <c r="Y61" s="3157" t="e">
        <f t="shared" si="44"/>
        <v>#REF!</v>
      </c>
      <c r="Z61" s="3157" t="e">
        <f t="shared" si="44"/>
        <v>#REF!</v>
      </c>
      <c r="AA61" s="3157" t="e">
        <f t="shared" si="44"/>
        <v>#REF!</v>
      </c>
      <c r="AB61" s="144"/>
      <c r="AC61" s="2867">
        <v>0</v>
      </c>
      <c r="AD61" s="2867">
        <v>0</v>
      </c>
      <c r="AE61" s="2867">
        <v>0</v>
      </c>
      <c r="AF61" s="2867">
        <v>0</v>
      </c>
      <c r="AG61" s="2867">
        <v>0</v>
      </c>
      <c r="AH61" s="2867">
        <v>0</v>
      </c>
      <c r="AI61" s="2825"/>
      <c r="AJ61" s="2815"/>
      <c r="AK61" s="2815"/>
      <c r="AL61" s="2815"/>
      <c r="AM61" s="2815"/>
      <c r="AN61" s="2815"/>
    </row>
    <row r="62" spans="1:40" ht="14" customHeight="1">
      <c r="A62" s="144"/>
      <c r="B62" s="144"/>
      <c r="C62" s="144"/>
      <c r="D62" s="906"/>
      <c r="E62" s="144"/>
      <c r="F62" s="146"/>
      <c r="G62" s="146"/>
      <c r="H62" s="144"/>
      <c r="I62" s="144"/>
      <c r="J62" s="144"/>
      <c r="K62" s="144"/>
      <c r="L62" s="144"/>
      <c r="M62" s="144"/>
      <c r="N62" s="1278"/>
      <c r="O62" s="144"/>
      <c r="P62" s="144"/>
      <c r="Q62" s="144"/>
      <c r="R62" s="146"/>
      <c r="S62" s="144"/>
      <c r="T62" s="144"/>
      <c r="U62" s="3157" t="e">
        <f t="shared" si="44"/>
        <v>#REF!</v>
      </c>
      <c r="V62" s="3157" t="e">
        <f t="shared" si="44"/>
        <v>#REF!</v>
      </c>
      <c r="W62" s="3157" t="e">
        <f t="shared" si="44"/>
        <v>#REF!</v>
      </c>
      <c r="X62" s="3157" t="e">
        <f t="shared" si="44"/>
        <v>#REF!</v>
      </c>
      <c r="Y62" s="3157" t="e">
        <f t="shared" si="44"/>
        <v>#REF!</v>
      </c>
      <c r="Z62" s="3157" t="e">
        <f t="shared" si="44"/>
        <v>#REF!</v>
      </c>
      <c r="AA62" s="3157" t="e">
        <f t="shared" si="44"/>
        <v>#REF!</v>
      </c>
      <c r="AB62" s="144"/>
      <c r="AC62" s="2867">
        <v>0</v>
      </c>
      <c r="AD62" s="2867">
        <v>0</v>
      </c>
      <c r="AE62" s="2867">
        <v>0</v>
      </c>
      <c r="AF62" s="2867">
        <v>0</v>
      </c>
      <c r="AG62" s="2867">
        <v>0</v>
      </c>
      <c r="AH62" s="2867">
        <v>0</v>
      </c>
      <c r="AI62" s="2825"/>
      <c r="AJ62" s="2815"/>
      <c r="AK62" s="2815"/>
      <c r="AL62" s="2815"/>
      <c r="AM62" s="2815"/>
      <c r="AN62" s="2815"/>
    </row>
    <row r="63" spans="1:40" ht="14" customHeight="1">
      <c r="A63" s="144"/>
      <c r="B63" s="144"/>
      <c r="C63" s="144"/>
      <c r="D63" s="906"/>
      <c r="E63" s="144"/>
      <c r="F63" s="146"/>
      <c r="G63" s="146"/>
      <c r="H63" s="144"/>
      <c r="I63" s="144"/>
      <c r="J63" s="144"/>
      <c r="K63" s="144"/>
      <c r="L63" s="144"/>
      <c r="M63" s="144"/>
      <c r="N63" s="1278"/>
      <c r="O63" s="144"/>
      <c r="P63" s="144"/>
      <c r="Q63" s="144"/>
      <c r="R63" s="146"/>
      <c r="S63" s="144"/>
      <c r="T63" s="144"/>
      <c r="U63" s="3157" t="e">
        <f t="shared" si="44"/>
        <v>#REF!</v>
      </c>
      <c r="V63" s="3157" t="e">
        <f t="shared" si="44"/>
        <v>#REF!</v>
      </c>
      <c r="W63" s="3157" t="e">
        <f t="shared" si="44"/>
        <v>#REF!</v>
      </c>
      <c r="X63" s="3157" t="e">
        <f t="shared" si="44"/>
        <v>#REF!</v>
      </c>
      <c r="Y63" s="3157" t="e">
        <f t="shared" si="44"/>
        <v>#REF!</v>
      </c>
      <c r="Z63" s="3157" t="e">
        <f t="shared" si="44"/>
        <v>#REF!</v>
      </c>
      <c r="AA63" s="3157" t="e">
        <f t="shared" si="44"/>
        <v>#REF!</v>
      </c>
      <c r="AB63" s="144"/>
      <c r="AC63" s="2867">
        <v>0</v>
      </c>
      <c r="AD63" s="2867">
        <v>0</v>
      </c>
      <c r="AE63" s="2867">
        <v>0</v>
      </c>
      <c r="AF63" s="2867">
        <v>0</v>
      </c>
      <c r="AG63" s="2867">
        <v>0</v>
      </c>
      <c r="AH63" s="2867">
        <v>0</v>
      </c>
      <c r="AI63" s="2825"/>
      <c r="AJ63" s="2815"/>
      <c r="AK63" s="2815"/>
      <c r="AL63" s="2815"/>
      <c r="AM63" s="2815"/>
      <c r="AN63" s="2815"/>
    </row>
    <row r="64" spans="1:40" ht="14" customHeight="1">
      <c r="A64" s="144"/>
      <c r="B64" s="144"/>
      <c r="C64" s="144"/>
      <c r="D64" s="906"/>
      <c r="E64" s="144"/>
      <c r="F64" s="146"/>
      <c r="G64" s="146"/>
      <c r="H64" s="144"/>
      <c r="I64" s="144"/>
      <c r="J64" s="144"/>
      <c r="K64" s="144"/>
      <c r="L64" s="144"/>
      <c r="M64" s="144"/>
      <c r="N64" s="1278"/>
      <c r="O64" s="144"/>
      <c r="P64" s="144"/>
      <c r="Q64" s="144"/>
      <c r="R64" s="146"/>
      <c r="S64" s="144"/>
      <c r="T64" s="144"/>
      <c r="U64" s="3157" t="e">
        <f t="shared" si="44"/>
        <v>#REF!</v>
      </c>
      <c r="V64" s="3157" t="e">
        <f t="shared" si="44"/>
        <v>#REF!</v>
      </c>
      <c r="W64" s="3157" t="e">
        <f t="shared" si="44"/>
        <v>#REF!</v>
      </c>
      <c r="X64" s="3157" t="e">
        <f t="shared" si="44"/>
        <v>#REF!</v>
      </c>
      <c r="Y64" s="3157" t="e">
        <f t="shared" si="44"/>
        <v>#REF!</v>
      </c>
      <c r="Z64" s="3157" t="e">
        <f t="shared" si="44"/>
        <v>#REF!</v>
      </c>
      <c r="AA64" s="3157" t="e">
        <f t="shared" si="44"/>
        <v>#REF!</v>
      </c>
      <c r="AB64" s="144"/>
      <c r="AC64" s="2867"/>
      <c r="AD64" s="2867"/>
      <c r="AE64" s="2867"/>
      <c r="AF64" s="2867"/>
      <c r="AG64" s="2867"/>
      <c r="AH64" s="2867"/>
      <c r="AI64" s="2825"/>
      <c r="AJ64" s="2815"/>
      <c r="AK64" s="2815"/>
      <c r="AL64" s="2815"/>
      <c r="AM64" s="2815"/>
      <c r="AN64" s="2815"/>
    </row>
    <row r="65" spans="1:40" ht="14" customHeight="1">
      <c r="A65" s="144"/>
      <c r="B65" s="144"/>
      <c r="C65" s="144"/>
      <c r="D65" s="906"/>
      <c r="E65" s="144"/>
      <c r="F65" s="146"/>
      <c r="G65" s="146"/>
      <c r="H65" s="144"/>
      <c r="I65" s="144"/>
      <c r="J65" s="144"/>
      <c r="K65" s="144"/>
      <c r="L65" s="144"/>
      <c r="M65" s="144"/>
      <c r="N65" s="1278"/>
      <c r="O65" s="144"/>
      <c r="P65" s="144"/>
      <c r="Q65" s="144"/>
      <c r="R65" s="146"/>
      <c r="S65" s="144"/>
      <c r="T65" s="144"/>
      <c r="U65" s="3157" t="e">
        <f t="shared" si="44"/>
        <v>#REF!</v>
      </c>
      <c r="V65" s="3157" t="e">
        <f t="shared" si="44"/>
        <v>#REF!</v>
      </c>
      <c r="W65" s="3157" t="e">
        <f t="shared" si="44"/>
        <v>#REF!</v>
      </c>
      <c r="X65" s="3157" t="e">
        <f t="shared" si="44"/>
        <v>#REF!</v>
      </c>
      <c r="Y65" s="3157" t="e">
        <f t="shared" si="44"/>
        <v>#REF!</v>
      </c>
      <c r="Z65" s="3157" t="e">
        <f t="shared" si="44"/>
        <v>#REF!</v>
      </c>
      <c r="AA65" s="3157" t="e">
        <f t="shared" si="44"/>
        <v>#REF!</v>
      </c>
      <c r="AB65" s="144"/>
      <c r="AC65" s="2867"/>
      <c r="AD65" s="2867"/>
      <c r="AE65" s="2867"/>
      <c r="AF65" s="2867"/>
      <c r="AG65" s="2867"/>
      <c r="AH65" s="2867"/>
      <c r="AI65" s="2825"/>
      <c r="AJ65" s="2815"/>
      <c r="AK65" s="2815"/>
      <c r="AL65" s="2815"/>
      <c r="AM65" s="2815"/>
      <c r="AN65" s="2815"/>
    </row>
    <row r="66" spans="1:40" ht="14" customHeight="1">
      <c r="A66" s="144"/>
      <c r="B66" s="144"/>
      <c r="C66" s="144"/>
      <c r="D66" s="906"/>
      <c r="E66" s="144"/>
      <c r="F66" s="146"/>
      <c r="G66" s="146"/>
      <c r="H66" s="144"/>
      <c r="I66" s="144"/>
      <c r="J66" s="144"/>
      <c r="K66" s="144"/>
      <c r="L66" s="144"/>
      <c r="M66" s="144"/>
      <c r="N66" s="1278"/>
      <c r="O66" s="144"/>
      <c r="P66" s="144"/>
      <c r="Q66" s="144"/>
      <c r="R66" s="146"/>
      <c r="S66" s="144"/>
      <c r="T66" s="144"/>
      <c r="U66" s="3157" t="e">
        <f t="shared" si="44"/>
        <v>#REF!</v>
      </c>
      <c r="V66" s="3157" t="e">
        <f t="shared" si="44"/>
        <v>#REF!</v>
      </c>
      <c r="W66" s="3157" t="e">
        <f t="shared" si="44"/>
        <v>#REF!</v>
      </c>
      <c r="X66" s="3157" t="e">
        <f t="shared" si="44"/>
        <v>#REF!</v>
      </c>
      <c r="Y66" s="3157" t="e">
        <f t="shared" si="44"/>
        <v>#REF!</v>
      </c>
      <c r="Z66" s="3157" t="e">
        <f t="shared" si="44"/>
        <v>#REF!</v>
      </c>
      <c r="AA66" s="3157" t="e">
        <f t="shared" si="44"/>
        <v>#REF!</v>
      </c>
      <c r="AB66" s="144"/>
      <c r="AC66" s="2867">
        <v>0</v>
      </c>
      <c r="AD66" s="2867">
        <v>0</v>
      </c>
      <c r="AE66" s="2867">
        <v>0</v>
      </c>
      <c r="AF66" s="2867">
        <v>0</v>
      </c>
      <c r="AG66" s="2867">
        <v>0</v>
      </c>
      <c r="AH66" s="2867">
        <v>0</v>
      </c>
      <c r="AI66" s="2825"/>
      <c r="AJ66" s="2815"/>
      <c r="AK66" s="2815"/>
      <c r="AL66" s="2815"/>
      <c r="AM66" s="2815"/>
      <c r="AN66" s="2815"/>
    </row>
    <row r="67" spans="1:40" ht="14" customHeight="1">
      <c r="A67" s="144"/>
      <c r="B67" s="144"/>
      <c r="C67" s="144"/>
      <c r="D67" s="906"/>
      <c r="E67" s="144"/>
      <c r="F67" s="146"/>
      <c r="G67" s="146"/>
      <c r="H67" s="144"/>
      <c r="I67" s="144"/>
      <c r="J67" s="144"/>
      <c r="K67" s="144"/>
      <c r="L67" s="144"/>
      <c r="M67" s="144"/>
      <c r="N67" s="1278"/>
      <c r="O67" s="144"/>
      <c r="P67" s="144"/>
      <c r="Q67" s="144"/>
      <c r="R67" s="146"/>
      <c r="S67" s="144"/>
      <c r="T67" s="144"/>
      <c r="U67" s="3157" t="e">
        <f t="shared" si="44"/>
        <v>#REF!</v>
      </c>
      <c r="V67" s="3157" t="e">
        <f t="shared" si="44"/>
        <v>#REF!</v>
      </c>
      <c r="W67" s="3157" t="e">
        <f t="shared" si="44"/>
        <v>#REF!</v>
      </c>
      <c r="X67" s="3157" t="e">
        <f t="shared" si="44"/>
        <v>#REF!</v>
      </c>
      <c r="Y67" s="3157" t="e">
        <f t="shared" si="44"/>
        <v>#REF!</v>
      </c>
      <c r="Z67" s="3157" t="e">
        <f t="shared" si="44"/>
        <v>#REF!</v>
      </c>
      <c r="AA67" s="3157" t="e">
        <f t="shared" si="44"/>
        <v>#REF!</v>
      </c>
      <c r="AB67" s="144"/>
      <c r="AC67" s="2867">
        <v>0</v>
      </c>
      <c r="AD67" s="2867">
        <v>0</v>
      </c>
      <c r="AE67" s="2867">
        <v>0</v>
      </c>
      <c r="AF67" s="2867">
        <v>0</v>
      </c>
      <c r="AG67" s="2867">
        <v>0</v>
      </c>
      <c r="AH67" s="2867">
        <v>0</v>
      </c>
      <c r="AI67" s="2825"/>
      <c r="AJ67" s="2815"/>
      <c r="AK67" s="2815"/>
      <c r="AL67" s="2815"/>
      <c r="AM67" s="2815"/>
      <c r="AN67" s="2815"/>
    </row>
    <row r="68" spans="1:40" ht="14" customHeight="1">
      <c r="A68" s="144"/>
      <c r="B68" s="144"/>
      <c r="C68" s="144"/>
      <c r="D68" s="906"/>
      <c r="E68" s="144"/>
      <c r="F68" s="146"/>
      <c r="G68" s="146"/>
      <c r="H68" s="144"/>
      <c r="I68" s="144"/>
      <c r="J68" s="144"/>
      <c r="K68" s="144"/>
      <c r="L68" s="144"/>
      <c r="M68" s="144"/>
      <c r="N68" s="1278"/>
      <c r="O68" s="144"/>
      <c r="P68" s="144"/>
      <c r="Q68" s="144"/>
      <c r="R68" s="146"/>
      <c r="S68" s="144"/>
      <c r="T68" s="144"/>
      <c r="U68" s="3157" t="e">
        <f t="shared" si="44"/>
        <v>#REF!</v>
      </c>
      <c r="V68" s="3157" t="e">
        <f t="shared" si="44"/>
        <v>#REF!</v>
      </c>
      <c r="W68" s="3157" t="e">
        <f t="shared" si="44"/>
        <v>#REF!</v>
      </c>
      <c r="X68" s="3157" t="e">
        <f t="shared" si="44"/>
        <v>#REF!</v>
      </c>
      <c r="Y68" s="3157" t="e">
        <f t="shared" si="44"/>
        <v>#REF!</v>
      </c>
      <c r="Z68" s="3157" t="e">
        <f t="shared" si="44"/>
        <v>#REF!</v>
      </c>
      <c r="AA68" s="3157" t="e">
        <f t="shared" si="44"/>
        <v>#REF!</v>
      </c>
      <c r="AB68" s="144"/>
      <c r="AC68" s="2867">
        <v>0</v>
      </c>
      <c r="AD68" s="2867">
        <v>0</v>
      </c>
      <c r="AE68" s="2867">
        <v>0</v>
      </c>
      <c r="AF68" s="2867">
        <v>0</v>
      </c>
      <c r="AG68" s="2867">
        <v>0</v>
      </c>
      <c r="AH68" s="2867">
        <v>0</v>
      </c>
      <c r="AI68" s="2825"/>
      <c r="AJ68" s="2815"/>
      <c r="AK68" s="2815"/>
      <c r="AL68" s="2815"/>
      <c r="AM68" s="2815"/>
      <c r="AN68" s="2815"/>
    </row>
    <row r="69" spans="1:40" ht="14" customHeight="1">
      <c r="A69" s="144"/>
      <c r="B69" s="144"/>
      <c r="C69" s="144"/>
      <c r="D69" s="906"/>
      <c r="E69" s="144"/>
      <c r="F69" s="146"/>
      <c r="G69" s="146"/>
      <c r="H69" s="144"/>
      <c r="I69" s="144"/>
      <c r="J69" s="144"/>
      <c r="K69" s="144"/>
      <c r="L69" s="144"/>
      <c r="M69" s="144"/>
      <c r="N69" s="1278"/>
      <c r="O69" s="144"/>
      <c r="P69" s="144"/>
      <c r="Q69" s="144"/>
      <c r="R69" s="146"/>
      <c r="S69" s="144"/>
      <c r="T69" s="144"/>
      <c r="U69" s="3157" t="e">
        <f t="shared" si="44"/>
        <v>#REF!</v>
      </c>
      <c r="V69" s="3157" t="e">
        <f t="shared" si="44"/>
        <v>#REF!</v>
      </c>
      <c r="W69" s="3157" t="e">
        <f t="shared" si="44"/>
        <v>#REF!</v>
      </c>
      <c r="X69" s="3157" t="e">
        <f t="shared" si="44"/>
        <v>#REF!</v>
      </c>
      <c r="Y69" s="3157" t="e">
        <f t="shared" si="44"/>
        <v>#REF!</v>
      </c>
      <c r="Z69" s="3157" t="e">
        <f t="shared" si="44"/>
        <v>#REF!</v>
      </c>
      <c r="AA69" s="3157" t="e">
        <f t="shared" si="44"/>
        <v>#REF!</v>
      </c>
      <c r="AB69" s="144"/>
      <c r="AC69" s="2867"/>
      <c r="AD69" s="2867"/>
      <c r="AE69" s="2867"/>
      <c r="AF69" s="2867"/>
      <c r="AG69" s="2867"/>
      <c r="AH69" s="2867"/>
      <c r="AI69" s="2825"/>
      <c r="AJ69" s="2815"/>
      <c r="AK69" s="2815"/>
      <c r="AL69" s="2815"/>
      <c r="AM69" s="2815"/>
      <c r="AN69" s="2815"/>
    </row>
    <row r="70" spans="1:40" ht="14" customHeight="1">
      <c r="A70" s="144"/>
      <c r="B70" s="144"/>
      <c r="C70" s="144"/>
      <c r="D70" s="906"/>
      <c r="E70" s="144"/>
      <c r="F70" s="146"/>
      <c r="G70" s="146"/>
      <c r="H70" s="144"/>
      <c r="I70" s="144"/>
      <c r="J70" s="144"/>
      <c r="K70" s="144"/>
      <c r="L70" s="144"/>
      <c r="M70" s="144"/>
      <c r="N70" s="1278"/>
      <c r="O70" s="144"/>
      <c r="P70" s="144"/>
      <c r="Q70" s="144"/>
      <c r="R70" s="146"/>
      <c r="S70" s="144"/>
      <c r="T70" s="144"/>
      <c r="U70" s="3157" t="e">
        <f t="shared" si="44"/>
        <v>#REF!</v>
      </c>
      <c r="V70" s="3157" t="e">
        <f t="shared" si="44"/>
        <v>#REF!</v>
      </c>
      <c r="W70" s="3157" t="e">
        <f t="shared" si="44"/>
        <v>#REF!</v>
      </c>
      <c r="X70" s="3157" t="e">
        <f t="shared" si="44"/>
        <v>#REF!</v>
      </c>
      <c r="Y70" s="3157" t="e">
        <f t="shared" si="44"/>
        <v>#REF!</v>
      </c>
      <c r="Z70" s="3157" t="e">
        <f t="shared" si="44"/>
        <v>#REF!</v>
      </c>
      <c r="AA70" s="3157" t="e">
        <f t="shared" si="44"/>
        <v>#REF!</v>
      </c>
      <c r="AB70" s="144"/>
      <c r="AC70" s="2867"/>
      <c r="AD70" s="2867"/>
      <c r="AE70" s="2867"/>
      <c r="AF70" s="2867"/>
      <c r="AG70" s="2867"/>
      <c r="AH70" s="2867"/>
      <c r="AI70" s="2825"/>
      <c r="AJ70" s="2815"/>
      <c r="AK70" s="2815"/>
      <c r="AL70" s="2815"/>
      <c r="AM70" s="2815"/>
      <c r="AN70" s="2815"/>
    </row>
    <row r="71" spans="1:40" ht="14" customHeight="1">
      <c r="A71" s="144"/>
      <c r="B71" s="144"/>
      <c r="C71" s="144"/>
      <c r="D71" s="906"/>
      <c r="E71" s="144"/>
      <c r="F71" s="146"/>
      <c r="G71" s="146"/>
      <c r="H71" s="144"/>
      <c r="I71" s="144"/>
      <c r="J71" s="144"/>
      <c r="K71" s="144"/>
      <c r="L71" s="144"/>
      <c r="M71" s="144"/>
      <c r="N71" s="1278"/>
      <c r="O71" s="144"/>
      <c r="P71" s="144"/>
      <c r="Q71" s="144"/>
      <c r="R71" s="146"/>
      <c r="S71" s="144"/>
      <c r="T71" s="144"/>
      <c r="U71" s="3157" t="e">
        <f t="shared" si="44"/>
        <v>#REF!</v>
      </c>
      <c r="V71" s="3157" t="e">
        <f t="shared" si="44"/>
        <v>#REF!</v>
      </c>
      <c r="W71" s="3157" t="e">
        <f t="shared" si="44"/>
        <v>#REF!</v>
      </c>
      <c r="X71" s="3157" t="e">
        <f t="shared" si="44"/>
        <v>#REF!</v>
      </c>
      <c r="Y71" s="3157" t="e">
        <f t="shared" si="44"/>
        <v>#REF!</v>
      </c>
      <c r="Z71" s="3157" t="e">
        <f t="shared" si="44"/>
        <v>#REF!</v>
      </c>
      <c r="AA71" s="3157" t="e">
        <f t="shared" si="44"/>
        <v>#REF!</v>
      </c>
      <c r="AB71" s="144"/>
      <c r="AC71" s="2867">
        <v>0</v>
      </c>
      <c r="AD71" s="2867">
        <v>0</v>
      </c>
      <c r="AE71" s="2867">
        <v>0</v>
      </c>
      <c r="AF71" s="2867">
        <v>0</v>
      </c>
      <c r="AG71" s="2867">
        <v>0</v>
      </c>
      <c r="AH71" s="2867">
        <v>0</v>
      </c>
      <c r="AI71" s="2825"/>
      <c r="AJ71" s="2815"/>
      <c r="AK71" s="2815"/>
      <c r="AL71" s="2815"/>
      <c r="AM71" s="2815"/>
      <c r="AN71" s="2815"/>
    </row>
    <row r="72" spans="1:40" ht="14" customHeight="1">
      <c r="A72" s="144"/>
      <c r="B72" s="144"/>
      <c r="C72" s="144"/>
      <c r="D72" s="906"/>
      <c r="E72" s="144"/>
      <c r="F72" s="146"/>
      <c r="G72" s="146"/>
      <c r="H72" s="144"/>
      <c r="I72" s="144"/>
      <c r="J72" s="144"/>
      <c r="K72" s="144"/>
      <c r="L72" s="144"/>
      <c r="M72" s="144"/>
      <c r="N72" s="1278"/>
      <c r="O72" s="144"/>
      <c r="P72" s="144"/>
      <c r="Q72" s="144"/>
      <c r="R72" s="146"/>
      <c r="S72" s="144"/>
      <c r="T72" s="144"/>
      <c r="U72" s="3157" t="e">
        <f t="shared" si="44"/>
        <v>#REF!</v>
      </c>
      <c r="V72" s="3157" t="e">
        <f t="shared" si="44"/>
        <v>#REF!</v>
      </c>
      <c r="W72" s="3157" t="e">
        <f t="shared" si="44"/>
        <v>#REF!</v>
      </c>
      <c r="X72" s="3157" t="e">
        <f t="shared" si="44"/>
        <v>#REF!</v>
      </c>
      <c r="Y72" s="3157" t="e">
        <f t="shared" si="44"/>
        <v>#REF!</v>
      </c>
      <c r="Z72" s="3157" t="e">
        <f t="shared" si="44"/>
        <v>#REF!</v>
      </c>
      <c r="AA72" s="3157" t="e">
        <f t="shared" si="44"/>
        <v>#REF!</v>
      </c>
      <c r="AB72" s="144"/>
      <c r="AC72" s="2867">
        <v>0</v>
      </c>
      <c r="AD72" s="2867">
        <v>0</v>
      </c>
      <c r="AE72" s="2867">
        <v>0</v>
      </c>
      <c r="AF72" s="2867">
        <v>0</v>
      </c>
      <c r="AG72" s="2867">
        <v>0</v>
      </c>
      <c r="AH72" s="2867">
        <v>0</v>
      </c>
      <c r="AI72" s="2825"/>
      <c r="AJ72" s="2815"/>
      <c r="AK72" s="2815"/>
      <c r="AL72" s="2815"/>
      <c r="AM72" s="2815"/>
      <c r="AN72" s="2815"/>
    </row>
    <row r="73" spans="1:40" ht="14" customHeight="1">
      <c r="A73" s="144"/>
      <c r="B73" s="144"/>
      <c r="C73" s="144"/>
      <c r="D73" s="906"/>
      <c r="E73" s="144"/>
      <c r="F73" s="146"/>
      <c r="G73" s="146"/>
      <c r="H73" s="144"/>
      <c r="I73" s="144"/>
      <c r="J73" s="144"/>
      <c r="K73" s="144"/>
      <c r="L73" s="144"/>
      <c r="M73" s="144"/>
      <c r="N73" s="1278"/>
      <c r="O73" s="144"/>
      <c r="P73" s="144"/>
      <c r="Q73" s="144"/>
      <c r="R73" s="146"/>
      <c r="S73" s="144"/>
      <c r="T73" s="144"/>
      <c r="U73" s="3157" t="e">
        <f t="shared" si="44"/>
        <v>#REF!</v>
      </c>
      <c r="V73" s="3157" t="e">
        <f t="shared" si="44"/>
        <v>#REF!</v>
      </c>
      <c r="W73" s="3157" t="e">
        <f t="shared" si="44"/>
        <v>#REF!</v>
      </c>
      <c r="X73" s="3157" t="e">
        <f t="shared" si="44"/>
        <v>#REF!</v>
      </c>
      <c r="Y73" s="3157" t="e">
        <f t="shared" si="44"/>
        <v>#REF!</v>
      </c>
      <c r="Z73" s="3157" t="e">
        <f t="shared" si="44"/>
        <v>#REF!</v>
      </c>
      <c r="AA73" s="3157" t="e">
        <f t="shared" si="44"/>
        <v>#REF!</v>
      </c>
      <c r="AB73" s="144"/>
      <c r="AC73" s="2867">
        <v>0</v>
      </c>
      <c r="AD73" s="2867">
        <v>0</v>
      </c>
      <c r="AE73" s="2867">
        <v>0</v>
      </c>
      <c r="AF73" s="2867">
        <v>0</v>
      </c>
      <c r="AG73" s="2867">
        <v>0</v>
      </c>
      <c r="AH73" s="2867">
        <v>0</v>
      </c>
      <c r="AI73" s="2825"/>
      <c r="AJ73" s="2815"/>
      <c r="AK73" s="2815"/>
      <c r="AL73" s="2815"/>
      <c r="AM73" s="2815"/>
      <c r="AN73" s="2815"/>
    </row>
    <row r="74" spans="1:40" ht="14" customHeight="1">
      <c r="A74" s="144"/>
      <c r="B74" s="144"/>
      <c r="C74" s="144"/>
      <c r="D74" s="906"/>
      <c r="E74" s="144"/>
      <c r="F74" s="146"/>
      <c r="G74" s="146"/>
      <c r="H74" s="144"/>
      <c r="I74" s="144"/>
      <c r="J74" s="144"/>
      <c r="K74" s="144"/>
      <c r="L74" s="144"/>
      <c r="M74" s="144"/>
      <c r="N74" s="1278"/>
      <c r="O74" s="144"/>
      <c r="P74" s="144"/>
      <c r="Q74" s="144"/>
      <c r="R74" s="146"/>
      <c r="S74" s="144"/>
      <c r="T74" s="144"/>
      <c r="U74" s="3158" t="e">
        <f>IF(U73&gt;0,U73,U72)</f>
        <v>#REF!</v>
      </c>
      <c r="V74" s="3158" t="e">
        <f t="shared" si="44"/>
        <v>#REF!</v>
      </c>
      <c r="W74" s="3158" t="e">
        <f t="shared" si="44"/>
        <v>#REF!</v>
      </c>
      <c r="X74" s="3158" t="e">
        <f t="shared" si="44"/>
        <v>#REF!</v>
      </c>
      <c r="Y74" s="3158" t="e">
        <f t="shared" si="44"/>
        <v>#REF!</v>
      </c>
      <c r="Z74" s="3158" t="e">
        <f t="shared" si="44"/>
        <v>#REF!</v>
      </c>
      <c r="AA74" s="3158" t="e">
        <f t="shared" si="44"/>
        <v>#REF!</v>
      </c>
      <c r="AB74" s="144"/>
      <c r="AC74" s="2867"/>
      <c r="AD74" s="2867"/>
      <c r="AE74" s="2867"/>
      <c r="AF74" s="2867"/>
      <c r="AG74" s="2867"/>
      <c r="AH74" s="2867"/>
      <c r="AI74" s="2825"/>
      <c r="AJ74" s="2815"/>
      <c r="AK74" s="2815"/>
      <c r="AL74" s="2815"/>
      <c r="AM74" s="2815"/>
      <c r="AN74" s="2815"/>
    </row>
    <row r="75" spans="1:40" ht="14" customHeight="1">
      <c r="A75" s="144"/>
      <c r="B75" s="144"/>
      <c r="C75" s="144"/>
      <c r="D75" s="906"/>
      <c r="E75" s="144"/>
      <c r="F75" s="146"/>
      <c r="G75" s="146"/>
      <c r="H75" s="144"/>
      <c r="I75" s="144"/>
      <c r="J75" s="144"/>
      <c r="K75" s="144"/>
      <c r="L75" s="144"/>
      <c r="M75" s="144"/>
      <c r="N75" s="1278"/>
      <c r="O75" s="144"/>
      <c r="P75" s="144"/>
      <c r="Q75" s="144"/>
      <c r="R75" s="146"/>
      <c r="S75" s="144"/>
      <c r="T75" s="144"/>
      <c r="U75" s="2838"/>
      <c r="V75" s="2838"/>
      <c r="W75" s="2838"/>
      <c r="X75" s="2838"/>
      <c r="Y75" s="2838"/>
      <c r="Z75" s="2838"/>
      <c r="AA75" s="2838"/>
      <c r="AB75" s="144"/>
      <c r="AC75" s="2867"/>
      <c r="AD75" s="2867"/>
      <c r="AE75" s="2867"/>
      <c r="AF75" s="2867"/>
      <c r="AG75" s="2867"/>
      <c r="AH75" s="2867"/>
      <c r="AI75" s="2825"/>
      <c r="AJ75" s="2815"/>
      <c r="AK75" s="2815"/>
      <c r="AL75" s="2815"/>
      <c r="AM75" s="2815"/>
      <c r="AN75" s="2815"/>
    </row>
    <row r="76" spans="1:40" ht="14" customHeight="1">
      <c r="A76" s="144"/>
      <c r="B76" s="144"/>
      <c r="C76" s="144"/>
      <c r="D76" s="906"/>
      <c r="E76" s="144"/>
      <c r="F76" s="146"/>
      <c r="G76" s="146"/>
      <c r="H76" s="144"/>
      <c r="I76" s="144"/>
      <c r="J76" s="144"/>
      <c r="K76" s="144"/>
      <c r="L76" s="144"/>
      <c r="M76" s="144"/>
      <c r="N76" s="1278"/>
      <c r="O76" s="144"/>
      <c r="P76" s="144"/>
      <c r="Q76" s="144"/>
      <c r="R76" s="146"/>
      <c r="S76" s="144"/>
      <c r="T76" s="144"/>
      <c r="U76" s="2838"/>
      <c r="V76" s="2838"/>
      <c r="W76" s="2838"/>
      <c r="X76" s="2838"/>
      <c r="Y76" s="2838"/>
      <c r="Z76" s="2838"/>
      <c r="AA76" s="2838"/>
      <c r="AB76" s="144"/>
      <c r="AC76" s="2867">
        <v>0</v>
      </c>
      <c r="AD76" s="2867">
        <v>0</v>
      </c>
      <c r="AE76" s="2867">
        <v>0</v>
      </c>
      <c r="AF76" s="2867">
        <v>0</v>
      </c>
      <c r="AG76" s="2867">
        <v>0</v>
      </c>
      <c r="AH76" s="2867">
        <v>0</v>
      </c>
      <c r="AI76" s="2825"/>
      <c r="AN76" s="2815"/>
    </row>
    <row r="77" spans="1:40" ht="14" customHeight="1">
      <c r="A77" s="144"/>
      <c r="B77" s="144"/>
      <c r="C77" s="144"/>
      <c r="D77" s="906"/>
      <c r="E77" s="144"/>
      <c r="F77" s="146"/>
      <c r="G77" s="146"/>
      <c r="H77" s="144"/>
      <c r="I77" s="144"/>
      <c r="J77" s="144"/>
      <c r="K77" s="144"/>
      <c r="L77" s="144"/>
      <c r="M77" s="144"/>
      <c r="N77" s="1278"/>
      <c r="O77" s="144"/>
      <c r="P77" s="144"/>
      <c r="Q77" s="144"/>
      <c r="R77" s="146"/>
      <c r="S77" s="144"/>
      <c r="T77" s="144"/>
      <c r="U77" s="2838"/>
      <c r="V77" s="2838"/>
      <c r="W77" s="2838"/>
      <c r="X77" s="2838"/>
      <c r="Y77" s="2838"/>
      <c r="Z77" s="2838"/>
      <c r="AA77" s="2838"/>
      <c r="AB77" s="144"/>
      <c r="AC77" s="2867"/>
      <c r="AD77" s="2867"/>
      <c r="AE77" s="2867"/>
      <c r="AF77" s="2867"/>
      <c r="AG77" s="2867"/>
      <c r="AH77" s="2867"/>
      <c r="AN77" s="2815"/>
    </row>
    <row r="78" spans="1:40" ht="14" customHeight="1">
      <c r="A78" s="144"/>
      <c r="B78" s="144"/>
      <c r="C78" s="144"/>
      <c r="D78" s="906"/>
      <c r="E78" s="144"/>
      <c r="F78" s="146"/>
      <c r="G78" s="146"/>
      <c r="H78" s="144"/>
      <c r="I78" s="144"/>
      <c r="J78" s="144"/>
      <c r="K78" s="144"/>
      <c r="L78" s="144"/>
      <c r="M78" s="144"/>
      <c r="N78" s="1278"/>
      <c r="O78" s="144"/>
      <c r="P78" s="144"/>
      <c r="Q78" s="144"/>
      <c r="R78" s="146"/>
      <c r="S78" s="144"/>
      <c r="T78" s="144"/>
      <c r="U78" s="2838"/>
      <c r="V78" s="2838"/>
      <c r="W78" s="2838"/>
      <c r="X78" s="2838"/>
      <c r="Y78" s="2838"/>
      <c r="Z78" s="2838"/>
      <c r="AA78" s="2838"/>
      <c r="AB78" s="144"/>
      <c r="AN78" s="2815"/>
    </row>
    <row r="79" spans="1:40" ht="14" customHeight="1">
      <c r="A79" s="144"/>
      <c r="B79" s="144"/>
      <c r="C79" s="144"/>
      <c r="D79" s="906"/>
      <c r="E79" s="144"/>
      <c r="F79" s="146"/>
      <c r="G79" s="146"/>
      <c r="H79" s="144"/>
      <c r="I79" s="144"/>
      <c r="J79" s="144"/>
      <c r="K79" s="144"/>
      <c r="L79" s="144"/>
      <c r="M79" s="144"/>
      <c r="N79" s="1278"/>
      <c r="O79" s="144"/>
      <c r="P79" s="144"/>
      <c r="Q79" s="144"/>
      <c r="R79" s="146"/>
      <c r="S79" s="144"/>
      <c r="T79" s="144"/>
      <c r="U79" s="2838"/>
      <c r="V79" s="2838"/>
      <c r="W79" s="2838"/>
      <c r="X79" s="2838"/>
      <c r="Y79" s="2838"/>
      <c r="Z79" s="2838"/>
      <c r="AA79" s="2838"/>
      <c r="AB79" s="144"/>
      <c r="AN79" s="2815"/>
    </row>
    <row r="80" spans="1:40" ht="14" customHeight="1">
      <c r="A80" s="144"/>
      <c r="B80" s="144"/>
      <c r="C80" s="144"/>
      <c r="D80" s="906"/>
      <c r="E80" s="144"/>
      <c r="F80" s="146"/>
      <c r="G80" s="146"/>
      <c r="H80" s="144"/>
      <c r="I80" s="144"/>
      <c r="J80" s="144"/>
      <c r="K80" s="144"/>
      <c r="L80" s="144"/>
      <c r="M80" s="144"/>
      <c r="N80" s="1278"/>
      <c r="O80" s="144"/>
      <c r="P80" s="144"/>
      <c r="Q80" s="144"/>
      <c r="R80" s="146"/>
      <c r="S80" s="144"/>
      <c r="T80" s="144"/>
      <c r="U80" s="2838"/>
      <c r="V80" s="2838"/>
      <c r="W80" s="2838"/>
      <c r="X80" s="2838"/>
      <c r="Y80" s="2838"/>
      <c r="Z80" s="2838"/>
      <c r="AA80" s="2838"/>
      <c r="AB80" s="144"/>
      <c r="AN80" s="2815"/>
    </row>
    <row r="81" spans="1:40" ht="14" customHeight="1">
      <c r="A81" s="144"/>
      <c r="B81" s="144"/>
      <c r="C81" s="144"/>
      <c r="D81" s="906"/>
      <c r="E81" s="144"/>
      <c r="F81" s="146"/>
      <c r="G81" s="146"/>
      <c r="H81" s="144"/>
      <c r="I81" s="144"/>
      <c r="J81" s="144"/>
      <c r="K81" s="144"/>
      <c r="L81" s="144"/>
      <c r="M81" s="144"/>
      <c r="N81" s="1278"/>
      <c r="O81" s="144"/>
      <c r="P81" s="144"/>
      <c r="Q81" s="144"/>
      <c r="R81" s="146"/>
      <c r="S81" s="144"/>
      <c r="T81" s="144"/>
      <c r="U81" s="2838"/>
      <c r="V81" s="2838"/>
      <c r="W81" s="2838"/>
      <c r="X81" s="2838"/>
      <c r="Y81" s="2838"/>
      <c r="Z81" s="2838"/>
      <c r="AA81" s="2838"/>
      <c r="AB81" s="144"/>
      <c r="AN81" s="2815"/>
    </row>
    <row r="82" spans="1:40" ht="14" customHeight="1">
      <c r="A82" s="144"/>
      <c r="B82" s="144"/>
      <c r="C82" s="144"/>
      <c r="D82" s="906"/>
      <c r="E82" s="144"/>
      <c r="F82" s="146"/>
      <c r="G82" s="146"/>
      <c r="H82" s="144"/>
      <c r="I82" s="144"/>
      <c r="J82" s="144"/>
      <c r="K82" s="144"/>
      <c r="L82" s="144"/>
      <c r="M82" s="144"/>
      <c r="N82" s="1278"/>
      <c r="O82" s="144"/>
      <c r="P82" s="144"/>
      <c r="Q82" s="144"/>
      <c r="R82" s="146"/>
      <c r="S82" s="144"/>
      <c r="T82" s="144"/>
      <c r="U82" s="2838"/>
      <c r="V82" s="2838"/>
      <c r="W82" s="2838"/>
      <c r="X82" s="2838"/>
      <c r="Y82" s="2838"/>
      <c r="Z82" s="2838"/>
      <c r="AA82" s="2838"/>
      <c r="AB82" s="144"/>
      <c r="AN82" s="2815"/>
    </row>
    <row r="83" spans="1:40" ht="14" customHeight="1">
      <c r="A83" s="144"/>
      <c r="B83" s="144"/>
      <c r="C83" s="144"/>
      <c r="D83" s="906"/>
      <c r="E83" s="144"/>
      <c r="F83" s="146"/>
      <c r="G83" s="146"/>
      <c r="H83" s="144"/>
      <c r="I83" s="144"/>
      <c r="J83" s="144"/>
      <c r="K83" s="144"/>
      <c r="L83" s="144"/>
      <c r="M83" s="144"/>
      <c r="N83" s="1278"/>
      <c r="O83" s="144"/>
      <c r="P83" s="144"/>
      <c r="Q83" s="144"/>
      <c r="R83" s="146"/>
      <c r="S83" s="144"/>
      <c r="T83" s="144"/>
      <c r="U83" s="2838"/>
      <c r="V83" s="2838"/>
      <c r="W83" s="2838"/>
      <c r="X83" s="2838"/>
      <c r="Y83" s="2838"/>
      <c r="Z83" s="2838"/>
      <c r="AA83" s="2838"/>
      <c r="AB83" s="144"/>
      <c r="AN83" s="2815"/>
    </row>
    <row r="84" spans="1:40" ht="14" customHeight="1">
      <c r="A84" s="144"/>
      <c r="B84" s="144"/>
      <c r="C84" s="144"/>
      <c r="D84" s="906"/>
      <c r="E84" s="144"/>
      <c r="F84" s="146"/>
      <c r="G84" s="146"/>
      <c r="H84" s="144"/>
      <c r="I84" s="144"/>
      <c r="J84" s="144"/>
      <c r="K84" s="144"/>
      <c r="L84" s="144"/>
      <c r="M84" s="144"/>
      <c r="N84" s="1278"/>
      <c r="O84" s="144"/>
      <c r="P84" s="144"/>
      <c r="Q84" s="144"/>
      <c r="R84" s="146"/>
      <c r="S84" s="144"/>
      <c r="T84" s="144"/>
      <c r="U84" s="2838"/>
      <c r="V84" s="2838"/>
      <c r="W84" s="2838"/>
      <c r="X84" s="2838"/>
      <c r="Y84" s="2838"/>
      <c r="Z84" s="2838"/>
      <c r="AA84" s="2838"/>
      <c r="AB84" s="144"/>
      <c r="AN84" s="2815"/>
    </row>
    <row r="85" spans="1:40" ht="14" customHeight="1">
      <c r="A85" s="144"/>
      <c r="B85" s="144"/>
      <c r="C85" s="144"/>
      <c r="D85" s="906"/>
      <c r="E85" s="144"/>
      <c r="F85" s="146"/>
      <c r="G85" s="146"/>
      <c r="H85" s="144"/>
      <c r="I85" s="144"/>
      <c r="J85" s="144"/>
      <c r="K85" s="144"/>
      <c r="L85" s="144"/>
      <c r="M85" s="144"/>
      <c r="N85" s="1278"/>
      <c r="O85" s="144"/>
      <c r="P85" s="144"/>
      <c r="Q85" s="144"/>
      <c r="R85" s="146"/>
      <c r="S85" s="144"/>
      <c r="T85" s="144"/>
      <c r="U85" s="2838"/>
      <c r="V85" s="2838"/>
      <c r="W85" s="2838"/>
      <c r="X85" s="2838"/>
      <c r="Y85" s="2838"/>
      <c r="Z85" s="2838"/>
      <c r="AA85" s="2838"/>
      <c r="AB85" s="144"/>
      <c r="AN85" s="2815"/>
    </row>
    <row r="86" spans="1:40" ht="14" customHeight="1">
      <c r="A86" s="144"/>
      <c r="B86" s="144"/>
      <c r="C86" s="144"/>
      <c r="D86" s="906"/>
      <c r="E86" s="144"/>
      <c r="F86" s="146"/>
      <c r="G86" s="146"/>
      <c r="H86" s="144"/>
      <c r="I86" s="144"/>
      <c r="J86" s="144"/>
      <c r="K86" s="144"/>
      <c r="L86" s="144"/>
      <c r="M86" s="144"/>
      <c r="N86" s="1278"/>
      <c r="O86" s="144"/>
      <c r="P86" s="144"/>
      <c r="Q86" s="144"/>
      <c r="R86" s="146"/>
      <c r="S86" s="144"/>
      <c r="T86" s="144"/>
      <c r="U86" s="2838"/>
      <c r="V86" s="2838"/>
      <c r="W86" s="2838"/>
      <c r="X86" s="2838"/>
      <c r="Y86" s="2838"/>
      <c r="Z86" s="2838"/>
      <c r="AA86" s="2838"/>
      <c r="AB86" s="144"/>
      <c r="AN86" s="2815"/>
    </row>
    <row r="87" spans="1:40" ht="14" customHeight="1">
      <c r="A87" s="144"/>
      <c r="B87" s="144"/>
      <c r="C87" s="144"/>
      <c r="D87" s="906"/>
      <c r="E87" s="144"/>
      <c r="F87" s="146"/>
      <c r="G87" s="146"/>
      <c r="H87" s="144"/>
      <c r="I87" s="144"/>
      <c r="J87" s="144"/>
      <c r="K87" s="144"/>
      <c r="L87" s="144"/>
      <c r="M87" s="144"/>
      <c r="N87" s="1278"/>
      <c r="O87" s="144"/>
      <c r="P87" s="144"/>
      <c r="Q87" s="144"/>
      <c r="R87" s="146"/>
      <c r="S87" s="144"/>
      <c r="T87" s="144"/>
      <c r="U87" s="2838"/>
      <c r="V87" s="2838"/>
      <c r="W87" s="2838"/>
      <c r="X87" s="2838"/>
      <c r="Y87" s="2838"/>
      <c r="Z87" s="2838"/>
      <c r="AA87" s="2838"/>
      <c r="AB87" s="144"/>
      <c r="AN87" s="2815"/>
    </row>
    <row r="88" spans="1:40" ht="14" customHeight="1">
      <c r="A88" s="144"/>
      <c r="B88" s="144"/>
      <c r="C88" s="144"/>
      <c r="D88" s="906"/>
      <c r="E88" s="144"/>
      <c r="F88" s="146"/>
      <c r="G88" s="146"/>
      <c r="H88" s="144"/>
      <c r="I88" s="144"/>
      <c r="J88" s="144"/>
      <c r="K88" s="144"/>
      <c r="L88" s="144"/>
      <c r="M88" s="144"/>
      <c r="N88" s="1278"/>
      <c r="O88" s="144"/>
      <c r="P88" s="144"/>
      <c r="Q88" s="144"/>
      <c r="R88" s="146"/>
      <c r="S88" s="144"/>
      <c r="T88" s="144"/>
      <c r="U88" s="2838"/>
      <c r="V88" s="2838"/>
      <c r="W88" s="2838"/>
      <c r="X88" s="2838"/>
      <c r="Y88" s="2838"/>
      <c r="Z88" s="2838"/>
      <c r="AA88" s="2838"/>
      <c r="AB88" s="144"/>
      <c r="AN88" s="2815"/>
    </row>
    <row r="89" spans="1:40" ht="14" customHeight="1">
      <c r="A89" s="144"/>
      <c r="B89" s="144"/>
      <c r="C89" s="144"/>
      <c r="D89" s="906"/>
      <c r="E89" s="144"/>
      <c r="F89" s="146"/>
      <c r="G89" s="146"/>
      <c r="H89" s="144"/>
      <c r="I89" s="144"/>
      <c r="J89" s="144"/>
      <c r="K89" s="144"/>
      <c r="L89" s="144"/>
      <c r="M89" s="144"/>
      <c r="N89" s="1278"/>
      <c r="O89" s="144"/>
      <c r="P89" s="144"/>
      <c r="Q89" s="144"/>
      <c r="R89" s="146"/>
      <c r="S89" s="144"/>
      <c r="T89" s="144"/>
      <c r="U89" s="2838"/>
      <c r="V89" s="2838"/>
      <c r="W89" s="2838"/>
      <c r="X89" s="2838"/>
      <c r="Y89" s="2838"/>
      <c r="Z89" s="2838"/>
      <c r="AA89" s="2838"/>
      <c r="AB89" s="144"/>
      <c r="AC89" s="2825"/>
      <c r="AD89" s="2825"/>
      <c r="AE89" s="2825"/>
      <c r="AF89" s="2825"/>
      <c r="AG89" s="2825"/>
      <c r="AH89" s="2825"/>
      <c r="AI89" s="2825"/>
      <c r="AJ89" s="2825"/>
      <c r="AK89" s="2825"/>
      <c r="AL89" s="2825"/>
      <c r="AM89" s="2825"/>
      <c r="AN89" s="2815"/>
    </row>
    <row r="90" spans="1:40" s="3021" customFormat="1" ht="14" customHeight="1">
      <c r="A90" s="144"/>
      <c r="B90" s="144"/>
      <c r="C90" s="144"/>
      <c r="D90" s="906"/>
      <c r="E90" s="144"/>
      <c r="F90" s="146"/>
      <c r="G90" s="146"/>
      <c r="H90" s="144"/>
      <c r="I90" s="144"/>
      <c r="J90" s="144"/>
      <c r="K90" s="144"/>
      <c r="L90" s="144"/>
      <c r="M90" s="144"/>
      <c r="N90" s="1278"/>
      <c r="O90" s="144"/>
      <c r="P90" s="144"/>
      <c r="Q90" s="144"/>
      <c r="R90" s="146"/>
      <c r="S90" s="144"/>
      <c r="T90" s="144"/>
      <c r="U90" s="2838"/>
      <c r="V90" s="2838"/>
      <c r="W90" s="2838"/>
      <c r="X90" s="2838"/>
      <c r="Y90" s="2838"/>
      <c r="Z90" s="2838"/>
      <c r="AA90" s="2838"/>
      <c r="AB90" s="144"/>
      <c r="AC90" s="2826"/>
      <c r="AD90" s="2826"/>
      <c r="AE90" s="2826"/>
      <c r="AF90" s="2826"/>
      <c r="AG90" s="2826"/>
      <c r="AH90" s="2826"/>
      <c r="AI90" s="2826"/>
      <c r="AJ90" s="2826"/>
      <c r="AK90" s="2826"/>
      <c r="AL90" s="2826"/>
      <c r="AM90" s="2826"/>
    </row>
    <row r="91" spans="1:40" s="3021" customFormat="1" ht="14" customHeight="1">
      <c r="A91" s="144"/>
      <c r="B91" s="144"/>
      <c r="C91" s="144"/>
      <c r="D91" s="906"/>
      <c r="E91" s="144"/>
      <c r="F91" s="146"/>
      <c r="G91" s="146"/>
      <c r="H91" s="144"/>
      <c r="I91" s="144"/>
      <c r="J91" s="144"/>
      <c r="K91" s="144"/>
      <c r="L91" s="144"/>
      <c r="M91" s="144"/>
      <c r="N91" s="1278"/>
      <c r="O91" s="144"/>
      <c r="P91" s="144"/>
      <c r="Q91" s="144"/>
      <c r="R91" s="146"/>
      <c r="S91" s="144"/>
      <c r="T91" s="144"/>
      <c r="U91" s="2838"/>
      <c r="V91" s="2838"/>
      <c r="W91" s="2838"/>
      <c r="X91" s="2838"/>
      <c r="Y91" s="2838"/>
      <c r="Z91" s="2838"/>
      <c r="AA91" s="2838"/>
      <c r="AB91" s="144"/>
      <c r="AC91" s="2826"/>
      <c r="AD91" s="2826"/>
      <c r="AE91" s="2826"/>
      <c r="AF91" s="2826"/>
      <c r="AG91" s="2826"/>
      <c r="AH91" s="2826"/>
      <c r="AI91" s="2826"/>
      <c r="AJ91" s="2826"/>
      <c r="AK91" s="2826"/>
      <c r="AL91" s="2826"/>
      <c r="AM91" s="2826"/>
    </row>
    <row r="92" spans="1:40" s="3021" customFormat="1" ht="14" customHeight="1">
      <c r="A92" s="144"/>
      <c r="B92" s="144"/>
      <c r="C92" s="144"/>
      <c r="D92" s="906"/>
      <c r="E92" s="144"/>
      <c r="F92" s="146"/>
      <c r="G92" s="146"/>
      <c r="H92" s="144"/>
      <c r="I92" s="144"/>
      <c r="J92" s="144"/>
      <c r="K92" s="144"/>
      <c r="L92" s="144"/>
      <c r="M92" s="144"/>
      <c r="N92" s="1278"/>
      <c r="O92" s="144"/>
      <c r="P92" s="144"/>
      <c r="Q92" s="144"/>
      <c r="R92" s="146"/>
      <c r="S92" s="144"/>
      <c r="T92" s="144"/>
      <c r="U92" s="2838"/>
      <c r="V92" s="2838"/>
      <c r="W92" s="2838"/>
      <c r="X92" s="2838"/>
      <c r="Y92" s="2838"/>
      <c r="Z92" s="2838"/>
      <c r="AA92" s="2838"/>
      <c r="AB92" s="144"/>
      <c r="AC92" s="2826"/>
      <c r="AD92" s="2826"/>
      <c r="AE92" s="2826"/>
      <c r="AF92" s="2826"/>
      <c r="AG92" s="2826"/>
      <c r="AH92" s="2826"/>
      <c r="AI92" s="2826"/>
      <c r="AJ92" s="2826"/>
      <c r="AK92" s="2826"/>
      <c r="AL92" s="2826"/>
      <c r="AM92" s="2826"/>
    </row>
    <row r="93" spans="1:40" s="3021" customFormat="1" ht="14" customHeight="1">
      <c r="A93" s="144"/>
      <c r="B93" s="144"/>
      <c r="C93" s="144"/>
      <c r="D93" s="906"/>
      <c r="E93" s="144"/>
      <c r="F93" s="146"/>
      <c r="G93" s="146"/>
      <c r="H93" s="144"/>
      <c r="I93" s="144"/>
      <c r="J93" s="144"/>
      <c r="K93" s="144"/>
      <c r="L93" s="144"/>
      <c r="M93" s="144"/>
      <c r="N93" s="1278"/>
      <c r="O93" s="144"/>
      <c r="P93" s="144"/>
      <c r="Q93" s="144"/>
      <c r="R93" s="146"/>
      <c r="S93" s="144"/>
      <c r="T93" s="144"/>
      <c r="U93" s="2838"/>
      <c r="V93" s="2838"/>
      <c r="W93" s="2838"/>
      <c r="X93" s="2838"/>
      <c r="Y93" s="2838"/>
      <c r="Z93" s="2838"/>
      <c r="AA93" s="2838"/>
      <c r="AB93" s="144"/>
      <c r="AC93" s="2826"/>
      <c r="AD93" s="2826"/>
      <c r="AE93" s="2826"/>
      <c r="AF93" s="2826"/>
      <c r="AG93" s="2826"/>
      <c r="AH93" s="2826"/>
      <c r="AI93" s="2826"/>
      <c r="AJ93" s="2826"/>
      <c r="AK93" s="2826"/>
      <c r="AL93" s="2826"/>
      <c r="AM93" s="2826"/>
    </row>
    <row r="94" spans="1:40" s="3021" customFormat="1" ht="14" customHeight="1">
      <c r="B94" s="144"/>
      <c r="C94" s="144"/>
      <c r="D94" s="907"/>
      <c r="E94" s="143"/>
      <c r="F94" s="145"/>
      <c r="G94" s="146"/>
      <c r="H94" s="146"/>
      <c r="I94" s="146"/>
      <c r="J94" s="146"/>
      <c r="K94" s="146"/>
      <c r="L94" s="146"/>
      <c r="M94" s="458"/>
      <c r="N94" s="1284"/>
      <c r="O94" s="146"/>
      <c r="P94" s="146"/>
      <c r="Q94" s="147"/>
      <c r="R94" s="147"/>
      <c r="S94" s="142"/>
      <c r="T94" s="142"/>
      <c r="U94" s="2838"/>
      <c r="V94" s="2838"/>
      <c r="W94" s="2838"/>
      <c r="X94" s="2838"/>
      <c r="Y94" s="2838"/>
      <c r="Z94" s="2838"/>
      <c r="AA94" s="2838"/>
      <c r="AC94" s="2826"/>
      <c r="AD94" s="2826"/>
      <c r="AE94" s="2826"/>
      <c r="AF94" s="2826"/>
      <c r="AG94" s="2826"/>
      <c r="AH94" s="2826"/>
      <c r="AI94" s="2826"/>
      <c r="AJ94" s="2826"/>
      <c r="AK94" s="2826"/>
      <c r="AL94" s="2826"/>
      <c r="AM94" s="2826"/>
    </row>
    <row r="95" spans="1:40" s="3021" customFormat="1" ht="14" customHeight="1">
      <c r="B95" s="144"/>
      <c r="C95" s="144"/>
      <c r="D95" s="907"/>
      <c r="E95" s="143"/>
      <c r="F95" s="145"/>
      <c r="G95" s="146"/>
      <c r="H95" s="146"/>
      <c r="I95" s="146"/>
      <c r="J95" s="146"/>
      <c r="K95" s="146"/>
      <c r="L95" s="146"/>
      <c r="M95" s="458"/>
      <c r="N95" s="1284"/>
      <c r="O95" s="146"/>
      <c r="P95" s="146"/>
      <c r="Q95" s="147"/>
      <c r="R95" s="147"/>
      <c r="S95" s="142"/>
      <c r="T95" s="142"/>
      <c r="U95" s="2838"/>
      <c r="V95" s="2838"/>
      <c r="W95" s="2838"/>
      <c r="X95" s="2838"/>
      <c r="Y95" s="2838"/>
      <c r="Z95" s="2838"/>
      <c r="AA95" s="2838"/>
      <c r="AC95" s="2826"/>
      <c r="AD95" s="2826"/>
      <c r="AE95" s="2826"/>
      <c r="AF95" s="2826"/>
      <c r="AG95" s="2826"/>
      <c r="AH95" s="2826"/>
      <c r="AI95" s="2826"/>
      <c r="AJ95" s="2826"/>
      <c r="AK95" s="2826"/>
      <c r="AL95" s="2826"/>
      <c r="AM95" s="2826"/>
    </row>
    <row r="96" spans="1:40" s="3021" customFormat="1" ht="14" customHeight="1">
      <c r="B96" s="144"/>
      <c r="C96" s="144"/>
      <c r="D96" s="907"/>
      <c r="E96" s="143"/>
      <c r="F96" s="145"/>
      <c r="G96" s="146"/>
      <c r="H96" s="146"/>
      <c r="I96" s="146"/>
      <c r="J96" s="146"/>
      <c r="K96" s="146"/>
      <c r="L96" s="146"/>
      <c r="M96" s="458"/>
      <c r="N96" s="1284"/>
      <c r="O96" s="146"/>
      <c r="P96" s="146"/>
      <c r="Q96" s="147"/>
      <c r="R96" s="147"/>
      <c r="S96" s="142"/>
      <c r="T96" s="142"/>
      <c r="U96" s="2838"/>
      <c r="V96" s="2838"/>
      <c r="W96" s="2838"/>
      <c r="X96" s="2838"/>
      <c r="Y96" s="2838"/>
      <c r="Z96" s="2838"/>
      <c r="AA96" s="2838"/>
      <c r="AC96" s="2826"/>
      <c r="AD96" s="2826"/>
      <c r="AE96" s="2826"/>
      <c r="AF96" s="2826"/>
      <c r="AG96" s="2826"/>
      <c r="AH96" s="2826"/>
      <c r="AI96" s="2826"/>
      <c r="AJ96" s="2826"/>
      <c r="AK96" s="2826"/>
      <c r="AL96" s="2826"/>
      <c r="AM96" s="2826"/>
    </row>
    <row r="97" spans="2:39" s="3021" customFormat="1" ht="14" customHeight="1">
      <c r="B97" s="144"/>
      <c r="C97" s="144"/>
      <c r="D97" s="907"/>
      <c r="E97" s="143"/>
      <c r="F97" s="145"/>
      <c r="G97" s="146"/>
      <c r="H97" s="146"/>
      <c r="I97" s="146"/>
      <c r="J97" s="146"/>
      <c r="K97" s="146"/>
      <c r="L97" s="146"/>
      <c r="M97" s="458"/>
      <c r="N97" s="1284"/>
      <c r="O97" s="146"/>
      <c r="P97" s="146"/>
      <c r="Q97" s="147"/>
      <c r="R97" s="147"/>
      <c r="S97" s="142"/>
      <c r="T97" s="142"/>
      <c r="U97" s="2838"/>
      <c r="V97" s="2838"/>
      <c r="W97" s="2838"/>
      <c r="X97" s="2838"/>
      <c r="Y97" s="2838"/>
      <c r="Z97" s="2838"/>
      <c r="AA97" s="2838"/>
      <c r="AC97" s="2826"/>
      <c r="AD97" s="2826"/>
      <c r="AE97" s="2826"/>
      <c r="AF97" s="2826"/>
      <c r="AG97" s="2826"/>
      <c r="AH97" s="2826"/>
      <c r="AI97" s="2826"/>
      <c r="AJ97" s="2826"/>
      <c r="AK97" s="2826"/>
      <c r="AL97" s="2826"/>
      <c r="AM97" s="2826"/>
    </row>
    <row r="98" spans="2:39" s="3021" customFormat="1" ht="14" customHeight="1">
      <c r="B98" s="144"/>
      <c r="C98" s="144"/>
      <c r="D98" s="907"/>
      <c r="E98" s="143"/>
      <c r="F98" s="145"/>
      <c r="G98" s="146"/>
      <c r="H98" s="146"/>
      <c r="I98" s="146"/>
      <c r="J98" s="146"/>
      <c r="K98" s="146"/>
      <c r="L98" s="146"/>
      <c r="M98" s="458"/>
      <c r="N98" s="1284"/>
      <c r="O98" s="146"/>
      <c r="P98" s="146"/>
      <c r="Q98" s="147"/>
      <c r="R98" s="147"/>
      <c r="S98" s="142"/>
      <c r="T98" s="142"/>
      <c r="U98" s="146"/>
      <c r="V98" s="146"/>
      <c r="W98" s="146"/>
      <c r="X98" s="146"/>
      <c r="Y98" s="146"/>
      <c r="Z98" s="146"/>
      <c r="AA98" s="146"/>
      <c r="AC98" s="2826"/>
      <c r="AD98" s="2826"/>
      <c r="AE98" s="2826"/>
      <c r="AF98" s="2826"/>
      <c r="AG98" s="2826"/>
      <c r="AH98" s="2826"/>
      <c r="AI98" s="2826"/>
      <c r="AJ98" s="2826"/>
      <c r="AK98" s="2826"/>
      <c r="AL98" s="2826"/>
      <c r="AM98" s="2826"/>
    </row>
    <row r="99" spans="2:39" s="3021" customFormat="1" ht="14" customHeight="1">
      <c r="B99" s="144"/>
      <c r="C99" s="144"/>
      <c r="D99" s="907"/>
      <c r="E99" s="143"/>
      <c r="F99" s="145"/>
      <c r="G99" s="146"/>
      <c r="H99" s="146"/>
      <c r="I99" s="146"/>
      <c r="J99" s="146"/>
      <c r="K99" s="146"/>
      <c r="L99" s="146"/>
      <c r="M99" s="458"/>
      <c r="N99" s="1284"/>
      <c r="O99" s="146"/>
      <c r="P99" s="146"/>
      <c r="Q99" s="147"/>
      <c r="R99" s="147"/>
      <c r="S99" s="142"/>
      <c r="T99" s="142"/>
      <c r="U99" s="146"/>
      <c r="V99" s="146"/>
      <c r="W99" s="146"/>
      <c r="X99" s="146"/>
      <c r="Y99" s="146"/>
      <c r="Z99" s="146"/>
      <c r="AA99" s="146"/>
      <c r="AC99" s="2826"/>
      <c r="AD99" s="2826"/>
      <c r="AE99" s="2826"/>
      <c r="AF99" s="2826"/>
      <c r="AG99" s="2826"/>
      <c r="AH99" s="2826"/>
      <c r="AI99" s="2826"/>
      <c r="AJ99" s="2826"/>
      <c r="AK99" s="2826"/>
      <c r="AL99" s="2826"/>
      <c r="AM99" s="2826"/>
    </row>
    <row r="100" spans="2:39" s="3021" customFormat="1" ht="14" customHeight="1">
      <c r="B100" s="144"/>
      <c r="C100" s="144"/>
      <c r="D100" s="907"/>
      <c r="E100" s="143"/>
      <c r="F100" s="145"/>
      <c r="G100" s="146"/>
      <c r="H100" s="146"/>
      <c r="I100" s="146"/>
      <c r="J100" s="146"/>
      <c r="K100" s="146"/>
      <c r="L100" s="146"/>
      <c r="M100" s="458"/>
      <c r="N100" s="1284"/>
      <c r="O100" s="146"/>
      <c r="P100" s="146"/>
      <c r="Q100" s="147"/>
      <c r="R100" s="147"/>
      <c r="S100" s="142"/>
      <c r="T100" s="142"/>
      <c r="U100" s="146"/>
      <c r="V100" s="146"/>
      <c r="W100" s="146"/>
      <c r="X100" s="146"/>
      <c r="Y100" s="146"/>
      <c r="Z100" s="146"/>
      <c r="AA100" s="146"/>
      <c r="AC100" s="2826"/>
      <c r="AD100" s="2826"/>
      <c r="AE100" s="2826"/>
      <c r="AF100" s="2826"/>
      <c r="AG100" s="2826"/>
      <c r="AH100" s="2826"/>
      <c r="AI100" s="2826"/>
      <c r="AJ100" s="2826"/>
      <c r="AK100" s="2826"/>
      <c r="AL100" s="2826"/>
      <c r="AM100" s="2826"/>
    </row>
    <row r="101" spans="2:39" s="3021" customFormat="1" ht="14" customHeight="1">
      <c r="B101" s="144"/>
      <c r="C101" s="144"/>
      <c r="D101" s="907"/>
      <c r="E101" s="143"/>
      <c r="F101" s="145"/>
      <c r="G101" s="146"/>
      <c r="H101" s="146"/>
      <c r="I101" s="146"/>
      <c r="J101" s="146"/>
      <c r="K101" s="146"/>
      <c r="L101" s="146"/>
      <c r="M101" s="458"/>
      <c r="N101" s="1284"/>
      <c r="O101" s="146"/>
      <c r="P101" s="146"/>
      <c r="Q101" s="147"/>
      <c r="R101" s="147"/>
      <c r="S101" s="142"/>
      <c r="T101" s="142"/>
      <c r="U101" s="146"/>
      <c r="V101" s="146"/>
      <c r="W101" s="146"/>
      <c r="X101" s="146"/>
      <c r="Y101" s="146"/>
      <c r="Z101" s="146"/>
      <c r="AA101" s="146"/>
      <c r="AC101" s="2826"/>
      <c r="AD101" s="2826"/>
      <c r="AE101" s="2826"/>
      <c r="AF101" s="2826"/>
      <c r="AG101" s="2826"/>
      <c r="AH101" s="2826"/>
      <c r="AI101" s="2826"/>
      <c r="AJ101" s="2826"/>
      <c r="AK101" s="2826"/>
      <c r="AL101" s="2826"/>
      <c r="AM101" s="2826"/>
    </row>
    <row r="102" spans="2:39" s="3021" customFormat="1" ht="14" customHeight="1">
      <c r="B102" s="144"/>
      <c r="C102" s="144"/>
      <c r="D102" s="907"/>
      <c r="E102" s="143"/>
      <c r="F102" s="145"/>
      <c r="G102" s="146"/>
      <c r="H102" s="146"/>
      <c r="I102" s="146"/>
      <c r="J102" s="146"/>
      <c r="K102" s="146"/>
      <c r="L102" s="146"/>
      <c r="M102" s="458"/>
      <c r="N102" s="1284"/>
      <c r="O102" s="146"/>
      <c r="P102" s="146"/>
      <c r="Q102" s="147"/>
      <c r="R102" s="147"/>
      <c r="S102" s="142"/>
      <c r="T102" s="142"/>
      <c r="U102" s="146"/>
      <c r="V102" s="146"/>
      <c r="W102" s="146"/>
      <c r="X102" s="146"/>
      <c r="Y102" s="146"/>
      <c r="Z102" s="146"/>
      <c r="AA102" s="146"/>
      <c r="AC102" s="2826"/>
      <c r="AD102" s="2826"/>
      <c r="AE102" s="2826"/>
      <c r="AF102" s="2826"/>
      <c r="AG102" s="2826"/>
      <c r="AH102" s="2826"/>
      <c r="AI102" s="2826"/>
      <c r="AJ102" s="2826"/>
      <c r="AK102" s="2826"/>
      <c r="AL102" s="2826"/>
      <c r="AM102" s="2826"/>
    </row>
    <row r="103" spans="2:39" s="3021" customFormat="1" ht="14" customHeight="1">
      <c r="B103" s="144"/>
      <c r="C103" s="144"/>
      <c r="D103" s="907"/>
      <c r="E103" s="143"/>
      <c r="F103" s="145"/>
      <c r="G103" s="146"/>
      <c r="H103" s="146"/>
      <c r="I103" s="146"/>
      <c r="J103" s="146"/>
      <c r="K103" s="146"/>
      <c r="L103" s="146"/>
      <c r="M103" s="458"/>
      <c r="N103" s="1284"/>
      <c r="O103" s="146"/>
      <c r="P103" s="146"/>
      <c r="Q103" s="147"/>
      <c r="R103" s="147"/>
      <c r="S103" s="142"/>
      <c r="T103" s="142"/>
      <c r="U103" s="146"/>
      <c r="V103" s="146"/>
      <c r="W103" s="146"/>
      <c r="X103" s="146"/>
      <c r="Y103" s="146"/>
      <c r="Z103" s="146"/>
      <c r="AA103" s="146"/>
      <c r="AC103" s="2826"/>
      <c r="AD103" s="2826"/>
      <c r="AE103" s="2826"/>
      <c r="AF103" s="2826"/>
      <c r="AG103" s="2826"/>
      <c r="AH103" s="2826"/>
      <c r="AI103" s="2826"/>
      <c r="AJ103" s="2826"/>
      <c r="AK103" s="2826"/>
      <c r="AL103" s="2826"/>
      <c r="AM103" s="2826"/>
    </row>
    <row r="104" spans="2:39" s="3021" customFormat="1" ht="14" customHeight="1">
      <c r="B104" s="144"/>
      <c r="C104" s="144"/>
      <c r="D104" s="907"/>
      <c r="E104" s="143"/>
      <c r="F104" s="145"/>
      <c r="G104" s="146"/>
      <c r="H104" s="146"/>
      <c r="I104" s="146"/>
      <c r="J104" s="146"/>
      <c r="K104" s="146"/>
      <c r="L104" s="146"/>
      <c r="M104" s="458"/>
      <c r="N104" s="1284"/>
      <c r="O104" s="146"/>
      <c r="P104" s="146"/>
      <c r="Q104" s="147"/>
      <c r="R104" s="147"/>
      <c r="S104" s="142"/>
      <c r="T104" s="142"/>
      <c r="U104" s="146"/>
      <c r="V104" s="146"/>
      <c r="W104" s="146"/>
      <c r="X104" s="146"/>
      <c r="Y104" s="146"/>
      <c r="Z104" s="146"/>
      <c r="AA104" s="146"/>
      <c r="AC104" s="2826"/>
      <c r="AD104" s="2826"/>
      <c r="AE104" s="2826"/>
      <c r="AF104" s="2826"/>
      <c r="AG104" s="2826"/>
      <c r="AH104" s="2826"/>
      <c r="AI104" s="2826"/>
      <c r="AJ104" s="2826"/>
      <c r="AK104" s="2826"/>
      <c r="AL104" s="2826"/>
      <c r="AM104" s="2826"/>
    </row>
    <row r="105" spans="2:39" s="3021" customFormat="1" ht="14" customHeight="1">
      <c r="B105" s="144"/>
      <c r="C105" s="144"/>
      <c r="D105" s="907"/>
      <c r="E105" s="143"/>
      <c r="F105" s="145"/>
      <c r="G105" s="146"/>
      <c r="H105" s="146"/>
      <c r="I105" s="146"/>
      <c r="J105" s="146"/>
      <c r="K105" s="146"/>
      <c r="L105" s="146"/>
      <c r="M105" s="458"/>
      <c r="N105" s="1284"/>
      <c r="O105" s="146"/>
      <c r="P105" s="146"/>
      <c r="Q105" s="147"/>
      <c r="R105" s="147"/>
      <c r="S105" s="142"/>
      <c r="T105" s="142"/>
      <c r="U105" s="146"/>
      <c r="V105" s="146"/>
      <c r="W105" s="146"/>
      <c r="X105" s="146"/>
      <c r="Y105" s="146"/>
      <c r="Z105" s="146"/>
      <c r="AA105" s="146"/>
      <c r="AC105" s="2826"/>
      <c r="AD105" s="2826"/>
      <c r="AE105" s="2826"/>
      <c r="AF105" s="2826"/>
      <c r="AG105" s="2826"/>
      <c r="AH105" s="2826"/>
      <c r="AI105" s="2826"/>
      <c r="AJ105" s="2826"/>
      <c r="AK105" s="2826"/>
      <c r="AL105" s="2826"/>
      <c r="AM105" s="2826"/>
    </row>
    <row r="106" spans="2:39" s="3021" customFormat="1" ht="14" customHeight="1">
      <c r="B106" s="144"/>
      <c r="C106" s="144"/>
      <c r="D106" s="907"/>
      <c r="E106" s="143"/>
      <c r="F106" s="145"/>
      <c r="G106" s="146"/>
      <c r="H106" s="146"/>
      <c r="I106" s="146"/>
      <c r="J106" s="146"/>
      <c r="K106" s="146"/>
      <c r="L106" s="146"/>
      <c r="M106" s="458"/>
      <c r="N106" s="1284"/>
      <c r="O106" s="146"/>
      <c r="P106" s="146"/>
      <c r="Q106" s="147"/>
      <c r="R106" s="147"/>
      <c r="S106" s="142"/>
      <c r="T106" s="142"/>
      <c r="U106" s="146"/>
      <c r="V106" s="146"/>
      <c r="W106" s="146"/>
      <c r="X106" s="146"/>
      <c r="Y106" s="146"/>
      <c r="Z106" s="146"/>
      <c r="AA106" s="146"/>
      <c r="AC106" s="2826"/>
      <c r="AD106" s="2826"/>
      <c r="AE106" s="2826"/>
      <c r="AF106" s="2826"/>
      <c r="AG106" s="2826"/>
      <c r="AH106" s="2826"/>
      <c r="AI106" s="2826"/>
      <c r="AJ106" s="2826"/>
      <c r="AK106" s="2826"/>
      <c r="AL106" s="2826"/>
      <c r="AM106" s="2826"/>
    </row>
    <row r="107" spans="2:39" s="3021" customFormat="1" ht="14" customHeight="1">
      <c r="B107" s="144"/>
      <c r="C107" s="144"/>
      <c r="D107" s="907"/>
      <c r="E107" s="143"/>
      <c r="F107" s="145"/>
      <c r="G107" s="146"/>
      <c r="H107" s="146"/>
      <c r="I107" s="146"/>
      <c r="J107" s="146"/>
      <c r="K107" s="146"/>
      <c r="L107" s="146"/>
      <c r="M107" s="458"/>
      <c r="N107" s="1284"/>
      <c r="O107" s="146"/>
      <c r="P107" s="146"/>
      <c r="Q107" s="147"/>
      <c r="R107" s="147"/>
      <c r="S107" s="142"/>
      <c r="T107" s="142"/>
      <c r="U107" s="146"/>
      <c r="V107" s="146"/>
      <c r="W107" s="146"/>
      <c r="X107" s="146"/>
      <c r="Y107" s="146"/>
      <c r="Z107" s="146"/>
      <c r="AA107" s="146"/>
      <c r="AC107" s="2826"/>
      <c r="AD107" s="2826"/>
      <c r="AE107" s="2826"/>
      <c r="AF107" s="2826"/>
      <c r="AG107" s="2826"/>
      <c r="AH107" s="2826"/>
      <c r="AI107" s="2826"/>
      <c r="AJ107" s="2826"/>
      <c r="AK107" s="2826"/>
      <c r="AL107" s="2826"/>
      <c r="AM107" s="2826"/>
    </row>
    <row r="108" spans="2:39" s="3021" customFormat="1" ht="14" customHeight="1">
      <c r="B108" s="144"/>
      <c r="C108" s="144"/>
      <c r="D108" s="907"/>
      <c r="E108" s="143"/>
      <c r="F108" s="145"/>
      <c r="G108" s="146"/>
      <c r="H108" s="146"/>
      <c r="I108" s="146"/>
      <c r="J108" s="146"/>
      <c r="K108" s="146"/>
      <c r="L108" s="146"/>
      <c r="M108" s="458"/>
      <c r="N108" s="1284"/>
      <c r="O108" s="146"/>
      <c r="P108" s="146"/>
      <c r="Q108" s="147"/>
      <c r="R108" s="147"/>
      <c r="S108" s="142"/>
      <c r="T108" s="142"/>
      <c r="U108" s="146"/>
      <c r="V108" s="146"/>
      <c r="W108" s="146"/>
      <c r="X108" s="146"/>
      <c r="Y108" s="146"/>
      <c r="Z108" s="146"/>
      <c r="AA108" s="146"/>
      <c r="AC108" s="2826"/>
      <c r="AD108" s="2826"/>
      <c r="AE108" s="2826"/>
      <c r="AF108" s="2826"/>
      <c r="AG108" s="2826"/>
      <c r="AH108" s="2826"/>
      <c r="AI108" s="2826"/>
      <c r="AJ108" s="2826"/>
      <c r="AK108" s="2826"/>
      <c r="AL108" s="2826"/>
      <c r="AM108" s="2826"/>
    </row>
    <row r="109" spans="2:39" s="3021" customFormat="1" ht="14" customHeight="1">
      <c r="B109" s="144"/>
      <c r="C109" s="144"/>
      <c r="D109" s="907"/>
      <c r="E109" s="143"/>
      <c r="F109" s="145"/>
      <c r="G109" s="146"/>
      <c r="H109" s="146"/>
      <c r="I109" s="146"/>
      <c r="J109" s="146"/>
      <c r="K109" s="146"/>
      <c r="L109" s="146"/>
      <c r="M109" s="458"/>
      <c r="N109" s="1284"/>
      <c r="O109" s="146"/>
      <c r="P109" s="146"/>
      <c r="Q109" s="147"/>
      <c r="R109" s="147"/>
      <c r="S109" s="142"/>
      <c r="T109" s="142"/>
      <c r="U109" s="146"/>
      <c r="V109" s="146"/>
      <c r="W109" s="146"/>
      <c r="X109" s="146"/>
      <c r="Y109" s="146"/>
      <c r="Z109" s="146"/>
      <c r="AA109" s="146"/>
      <c r="AC109" s="2826"/>
      <c r="AD109" s="2826"/>
      <c r="AE109" s="2826"/>
      <c r="AF109" s="2826"/>
      <c r="AG109" s="2826"/>
      <c r="AH109" s="2826"/>
      <c r="AI109" s="2826"/>
      <c r="AJ109" s="2826"/>
      <c r="AK109" s="2826"/>
      <c r="AL109" s="2826"/>
      <c r="AM109" s="2826"/>
    </row>
    <row r="110" spans="2:39" s="3021" customFormat="1" ht="14" customHeight="1">
      <c r="B110" s="144"/>
      <c r="C110" s="144"/>
      <c r="D110" s="907"/>
      <c r="E110" s="143"/>
      <c r="F110" s="145"/>
      <c r="G110" s="146"/>
      <c r="H110" s="146"/>
      <c r="I110" s="146"/>
      <c r="J110" s="146"/>
      <c r="K110" s="146"/>
      <c r="L110" s="146"/>
      <c r="M110" s="458"/>
      <c r="N110" s="1284"/>
      <c r="O110" s="146"/>
      <c r="P110" s="146"/>
      <c r="Q110" s="147"/>
      <c r="R110" s="147"/>
      <c r="S110" s="142"/>
      <c r="T110" s="142"/>
      <c r="U110" s="146"/>
      <c r="V110" s="146"/>
      <c r="W110" s="146"/>
      <c r="X110" s="146"/>
      <c r="Y110" s="146"/>
      <c r="Z110" s="146"/>
      <c r="AA110" s="146"/>
      <c r="AC110" s="2826"/>
      <c r="AD110" s="2826"/>
      <c r="AE110" s="2826"/>
      <c r="AF110" s="2826"/>
      <c r="AG110" s="2826"/>
      <c r="AH110" s="2826"/>
      <c r="AI110" s="2826"/>
      <c r="AJ110" s="2826"/>
      <c r="AK110" s="2826"/>
      <c r="AL110" s="2826"/>
      <c r="AM110" s="2826"/>
    </row>
    <row r="111" spans="2:39" s="3021" customFormat="1" ht="14" customHeight="1">
      <c r="B111" s="144"/>
      <c r="C111" s="144"/>
      <c r="D111" s="907"/>
      <c r="E111" s="143"/>
      <c r="F111" s="145"/>
      <c r="G111" s="146"/>
      <c r="H111" s="146"/>
      <c r="I111" s="146"/>
      <c r="J111" s="146"/>
      <c r="K111" s="146"/>
      <c r="L111" s="146"/>
      <c r="M111" s="458"/>
      <c r="N111" s="1284"/>
      <c r="O111" s="146"/>
      <c r="P111" s="146"/>
      <c r="Q111" s="147"/>
      <c r="R111" s="147"/>
      <c r="S111" s="142"/>
      <c r="T111" s="142"/>
      <c r="U111" s="146"/>
      <c r="V111" s="146"/>
      <c r="W111" s="146"/>
      <c r="X111" s="146"/>
      <c r="Y111" s="146"/>
      <c r="Z111" s="146"/>
      <c r="AA111" s="146"/>
      <c r="AC111" s="2826"/>
      <c r="AD111" s="2826"/>
      <c r="AE111" s="2826"/>
      <c r="AF111" s="2826"/>
      <c r="AG111" s="2826"/>
      <c r="AH111" s="2826"/>
      <c r="AI111" s="2826"/>
      <c r="AJ111" s="2826"/>
      <c r="AK111" s="2826"/>
      <c r="AL111" s="2826"/>
      <c r="AM111" s="2826"/>
    </row>
    <row r="112" spans="2:39" s="3021" customFormat="1" ht="14" customHeight="1">
      <c r="B112" s="144"/>
      <c r="C112" s="144"/>
      <c r="D112" s="907"/>
      <c r="E112" s="143"/>
      <c r="F112" s="145"/>
      <c r="G112" s="146"/>
      <c r="H112" s="146"/>
      <c r="I112" s="146"/>
      <c r="J112" s="146"/>
      <c r="K112" s="146"/>
      <c r="L112" s="146"/>
      <c r="M112" s="458"/>
      <c r="N112" s="1284"/>
      <c r="O112" s="146"/>
      <c r="P112" s="146"/>
      <c r="Q112" s="147"/>
      <c r="R112" s="147"/>
      <c r="S112" s="142"/>
      <c r="T112" s="142"/>
      <c r="U112" s="146"/>
      <c r="V112" s="146"/>
      <c r="W112" s="146"/>
      <c r="X112" s="146"/>
      <c r="Y112" s="146"/>
      <c r="Z112" s="146"/>
      <c r="AA112" s="146"/>
      <c r="AC112" s="2826"/>
      <c r="AD112" s="2826"/>
      <c r="AE112" s="2826"/>
      <c r="AF112" s="2826"/>
      <c r="AG112" s="2826"/>
      <c r="AH112" s="2826"/>
      <c r="AI112" s="2826"/>
      <c r="AJ112" s="2826"/>
      <c r="AK112" s="2826"/>
      <c r="AL112" s="2826"/>
      <c r="AM112" s="2826"/>
    </row>
    <row r="113" spans="2:39" s="3021" customFormat="1" ht="14" customHeight="1">
      <c r="B113" s="144"/>
      <c r="C113" s="144"/>
      <c r="D113" s="907"/>
      <c r="E113" s="143"/>
      <c r="F113" s="145"/>
      <c r="G113" s="146"/>
      <c r="H113" s="146"/>
      <c r="I113" s="146"/>
      <c r="J113" s="146"/>
      <c r="K113" s="146"/>
      <c r="L113" s="146"/>
      <c r="M113" s="458"/>
      <c r="N113" s="1284"/>
      <c r="O113" s="146"/>
      <c r="P113" s="146"/>
      <c r="Q113" s="147"/>
      <c r="R113" s="147"/>
      <c r="S113" s="142"/>
      <c r="T113" s="142"/>
      <c r="U113" s="146"/>
      <c r="V113" s="146"/>
      <c r="W113" s="146"/>
      <c r="X113" s="146"/>
      <c r="Y113" s="146"/>
      <c r="Z113" s="146"/>
      <c r="AA113" s="146"/>
      <c r="AC113" s="2826"/>
      <c r="AD113" s="2826"/>
      <c r="AE113" s="2826"/>
      <c r="AF113" s="2826"/>
      <c r="AG113" s="2826"/>
      <c r="AH113" s="2826"/>
      <c r="AI113" s="2826"/>
      <c r="AJ113" s="2826"/>
      <c r="AK113" s="2826"/>
      <c r="AL113" s="2826"/>
      <c r="AM113" s="2826"/>
    </row>
    <row r="114" spans="2:39" s="3021" customFormat="1" ht="14" customHeight="1">
      <c r="B114" s="144"/>
      <c r="C114" s="144"/>
      <c r="D114" s="907"/>
      <c r="E114" s="143"/>
      <c r="F114" s="145"/>
      <c r="G114" s="146"/>
      <c r="H114" s="146"/>
      <c r="I114" s="146"/>
      <c r="J114" s="146"/>
      <c r="K114" s="146"/>
      <c r="L114" s="146"/>
      <c r="M114" s="458"/>
      <c r="N114" s="1284"/>
      <c r="O114" s="146"/>
      <c r="P114" s="146"/>
      <c r="Q114" s="147"/>
      <c r="R114" s="147"/>
      <c r="S114" s="142"/>
      <c r="T114" s="142"/>
      <c r="U114" s="146"/>
      <c r="V114" s="146"/>
      <c r="W114" s="146"/>
      <c r="X114" s="146"/>
      <c r="Y114" s="146"/>
      <c r="Z114" s="146"/>
      <c r="AA114" s="146"/>
      <c r="AC114" s="2826"/>
      <c r="AD114" s="2826"/>
      <c r="AE114" s="2826"/>
      <c r="AF114" s="2826"/>
      <c r="AG114" s="2826"/>
      <c r="AH114" s="2826"/>
      <c r="AI114" s="2826"/>
      <c r="AJ114" s="2826"/>
      <c r="AK114" s="2826"/>
      <c r="AL114" s="2826"/>
      <c r="AM114" s="2826"/>
    </row>
    <row r="115" spans="2:39" s="3021" customFormat="1" ht="14" customHeight="1">
      <c r="B115" s="144"/>
      <c r="C115" s="144"/>
      <c r="D115" s="907"/>
      <c r="E115" s="143"/>
      <c r="F115" s="145"/>
      <c r="G115" s="146"/>
      <c r="H115" s="146"/>
      <c r="I115" s="146"/>
      <c r="J115" s="146"/>
      <c r="K115" s="146"/>
      <c r="L115" s="146"/>
      <c r="M115" s="458"/>
      <c r="N115" s="1284"/>
      <c r="O115" s="146"/>
      <c r="P115" s="146"/>
      <c r="Q115" s="147"/>
      <c r="R115" s="147"/>
      <c r="S115" s="142"/>
      <c r="T115" s="142"/>
      <c r="U115" s="146"/>
      <c r="V115" s="146"/>
      <c r="W115" s="146"/>
      <c r="X115" s="146"/>
      <c r="Y115" s="146"/>
      <c r="Z115" s="146"/>
      <c r="AA115" s="146"/>
      <c r="AC115" s="2826"/>
      <c r="AD115" s="2826"/>
      <c r="AE115" s="2826"/>
      <c r="AF115" s="2826"/>
      <c r="AG115" s="2826"/>
      <c r="AH115" s="2826"/>
      <c r="AI115" s="2826"/>
      <c r="AJ115" s="2826"/>
      <c r="AK115" s="2826"/>
      <c r="AL115" s="2826"/>
      <c r="AM115" s="2826"/>
    </row>
    <row r="116" spans="2:39" s="3021" customFormat="1" ht="14" customHeight="1">
      <c r="B116" s="144"/>
      <c r="C116" s="144"/>
      <c r="D116" s="907"/>
      <c r="E116" s="143"/>
      <c r="F116" s="145"/>
      <c r="G116" s="146"/>
      <c r="H116" s="146"/>
      <c r="I116" s="146"/>
      <c r="J116" s="146"/>
      <c r="K116" s="146"/>
      <c r="L116" s="146"/>
      <c r="M116" s="458"/>
      <c r="N116" s="1284"/>
      <c r="O116" s="146"/>
      <c r="P116" s="146"/>
      <c r="Q116" s="147"/>
      <c r="R116" s="147"/>
      <c r="S116" s="142"/>
      <c r="T116" s="142"/>
      <c r="U116" s="146"/>
      <c r="V116" s="146"/>
      <c r="W116" s="146"/>
      <c r="X116" s="146"/>
      <c r="Y116" s="146"/>
      <c r="Z116" s="146"/>
      <c r="AA116" s="146"/>
      <c r="AC116" s="2826"/>
      <c r="AD116" s="2826"/>
      <c r="AE116" s="2826"/>
      <c r="AF116" s="2826"/>
      <c r="AG116" s="2826"/>
      <c r="AH116" s="2826"/>
      <c r="AI116" s="2826"/>
      <c r="AJ116" s="2826"/>
      <c r="AK116" s="2826"/>
      <c r="AL116" s="2826"/>
      <c r="AM116" s="2826"/>
    </row>
    <row r="117" spans="2:39" s="3021" customFormat="1" ht="14" customHeight="1">
      <c r="B117" s="144"/>
      <c r="C117" s="144"/>
      <c r="D117" s="907"/>
      <c r="E117" s="143"/>
      <c r="F117" s="145"/>
      <c r="G117" s="146"/>
      <c r="H117" s="146"/>
      <c r="I117" s="146"/>
      <c r="J117" s="146"/>
      <c r="K117" s="146"/>
      <c r="L117" s="146"/>
      <c r="M117" s="458"/>
      <c r="N117" s="1284"/>
      <c r="O117" s="146"/>
      <c r="P117" s="146"/>
      <c r="Q117" s="147"/>
      <c r="R117" s="147"/>
      <c r="S117" s="142"/>
      <c r="T117" s="142"/>
      <c r="U117" s="146"/>
      <c r="V117" s="146"/>
      <c r="W117" s="146"/>
      <c r="X117" s="146"/>
      <c r="Y117" s="146"/>
      <c r="Z117" s="146"/>
      <c r="AA117" s="146"/>
      <c r="AC117" s="2826"/>
      <c r="AD117" s="2826"/>
      <c r="AE117" s="2826"/>
      <c r="AF117" s="2826"/>
      <c r="AG117" s="2826"/>
      <c r="AH117" s="2826"/>
      <c r="AI117" s="2826"/>
      <c r="AJ117" s="2826"/>
      <c r="AK117" s="2826"/>
      <c r="AL117" s="2826"/>
      <c r="AM117" s="2826"/>
    </row>
    <row r="118" spans="2:39" s="3021" customFormat="1" ht="14" customHeight="1">
      <c r="B118" s="144"/>
      <c r="C118" s="144"/>
      <c r="D118" s="907"/>
      <c r="E118" s="143"/>
      <c r="F118" s="145"/>
      <c r="G118" s="146"/>
      <c r="H118" s="146"/>
      <c r="I118" s="146"/>
      <c r="J118" s="146"/>
      <c r="K118" s="146"/>
      <c r="L118" s="146"/>
      <c r="M118" s="458"/>
      <c r="N118" s="1284"/>
      <c r="O118" s="146"/>
      <c r="P118" s="146"/>
      <c r="Q118" s="147"/>
      <c r="R118" s="147"/>
      <c r="S118" s="142"/>
      <c r="T118" s="142"/>
      <c r="U118" s="146"/>
      <c r="V118" s="146"/>
      <c r="W118" s="146"/>
      <c r="X118" s="146"/>
      <c r="Y118" s="146"/>
      <c r="Z118" s="146"/>
      <c r="AA118" s="146"/>
      <c r="AC118" s="2826"/>
      <c r="AD118" s="2826"/>
      <c r="AE118" s="2826"/>
      <c r="AF118" s="2826"/>
      <c r="AG118" s="2826"/>
      <c r="AH118" s="2826"/>
      <c r="AI118" s="2826"/>
      <c r="AJ118" s="2826"/>
      <c r="AK118" s="2826"/>
      <c r="AL118" s="2826"/>
      <c r="AM118" s="2826"/>
    </row>
    <row r="119" spans="2:39" s="3021" customFormat="1" ht="14" customHeight="1">
      <c r="B119" s="144"/>
      <c r="C119" s="144"/>
      <c r="D119" s="907"/>
      <c r="E119" s="143"/>
      <c r="F119" s="145"/>
      <c r="G119" s="146"/>
      <c r="H119" s="146"/>
      <c r="I119" s="146"/>
      <c r="J119" s="146"/>
      <c r="K119" s="146"/>
      <c r="L119" s="146"/>
      <c r="M119" s="458"/>
      <c r="N119" s="1284"/>
      <c r="O119" s="146"/>
      <c r="P119" s="146"/>
      <c r="Q119" s="147"/>
      <c r="R119" s="147"/>
      <c r="S119" s="142"/>
      <c r="T119" s="142"/>
      <c r="U119" s="146"/>
      <c r="V119" s="146"/>
      <c r="W119" s="146"/>
      <c r="X119" s="146"/>
      <c r="Y119" s="146"/>
      <c r="Z119" s="146"/>
      <c r="AA119" s="146"/>
      <c r="AB119" s="3021">
        <f>SUBTOTAL(9,AB77:AB118)</f>
        <v>0</v>
      </c>
      <c r="AC119" s="2826">
        <f>SUBTOTAL(9,AC77:AC118)</f>
        <v>0</v>
      </c>
      <c r="AD119" s="2826">
        <f>SUBTOTAL(9,AD77:AD118)</f>
        <v>0</v>
      </c>
      <c r="AE119" s="2826"/>
      <c r="AF119" s="2826"/>
      <c r="AG119" s="2826"/>
      <c r="AH119" s="2826"/>
      <c r="AI119" s="2826"/>
      <c r="AJ119" s="2826"/>
      <c r="AK119" s="2826"/>
      <c r="AL119" s="2826"/>
      <c r="AM119" s="2826"/>
    </row>
    <row r="120" spans="2:39" s="3021" customFormat="1" ht="14" customHeight="1">
      <c r="B120" s="144"/>
      <c r="C120" s="144"/>
      <c r="D120" s="907"/>
      <c r="E120" s="143"/>
      <c r="F120" s="145"/>
      <c r="G120" s="146"/>
      <c r="H120" s="146"/>
      <c r="I120" s="146"/>
      <c r="J120" s="146"/>
      <c r="K120" s="146"/>
      <c r="L120" s="146"/>
      <c r="M120" s="458"/>
      <c r="N120" s="1284"/>
      <c r="O120" s="146"/>
      <c r="P120" s="146"/>
      <c r="Q120" s="147"/>
      <c r="R120" s="147"/>
      <c r="S120" s="142"/>
      <c r="T120" s="142"/>
      <c r="U120" s="146"/>
      <c r="V120" s="146"/>
      <c r="W120" s="146"/>
      <c r="X120" s="146"/>
      <c r="Y120" s="146"/>
      <c r="Z120" s="146"/>
      <c r="AA120" s="146"/>
      <c r="AB120" s="3021">
        <v>0</v>
      </c>
      <c r="AC120" s="2826">
        <v>0</v>
      </c>
      <c r="AD120" s="2826">
        <v>0</v>
      </c>
      <c r="AE120" s="2826"/>
      <c r="AF120" s="2826"/>
      <c r="AG120" s="2826"/>
      <c r="AH120" s="2826"/>
      <c r="AI120" s="2826"/>
      <c r="AJ120" s="2826"/>
      <c r="AK120" s="2826"/>
      <c r="AL120" s="2826"/>
      <c r="AM120" s="2826"/>
    </row>
    <row r="121" spans="2:39" s="3021" customFormat="1" ht="14" customHeight="1">
      <c r="B121" s="144"/>
      <c r="C121" s="144"/>
      <c r="D121" s="907"/>
      <c r="E121" s="143"/>
      <c r="F121" s="145"/>
      <c r="G121" s="146"/>
      <c r="H121" s="146"/>
      <c r="I121" s="146"/>
      <c r="J121" s="146"/>
      <c r="K121" s="146"/>
      <c r="L121" s="146"/>
      <c r="M121" s="458"/>
      <c r="N121" s="1284"/>
      <c r="O121" s="146"/>
      <c r="P121" s="146"/>
      <c r="Q121" s="147"/>
      <c r="R121" s="147"/>
      <c r="S121" s="142"/>
      <c r="T121" s="142"/>
      <c r="U121" s="146"/>
      <c r="V121" s="146"/>
      <c r="W121" s="146"/>
      <c r="X121" s="146"/>
      <c r="Y121" s="146"/>
      <c r="Z121" s="146"/>
      <c r="AA121" s="146"/>
      <c r="AB121" s="3021">
        <v>0</v>
      </c>
      <c r="AC121" s="2826">
        <v>0</v>
      </c>
      <c r="AD121" s="2826">
        <v>0</v>
      </c>
      <c r="AE121" s="2826"/>
      <c r="AF121" s="2826"/>
      <c r="AG121" s="2826"/>
      <c r="AH121" s="2826"/>
      <c r="AI121" s="2826"/>
      <c r="AJ121" s="2826"/>
      <c r="AK121" s="2826"/>
      <c r="AL121" s="2826"/>
      <c r="AM121" s="2826"/>
    </row>
    <row r="122" spans="2:39" s="3021" customFormat="1" ht="14" customHeight="1">
      <c r="B122" s="144"/>
      <c r="C122" s="144"/>
      <c r="D122" s="907"/>
      <c r="E122" s="143"/>
      <c r="F122" s="145"/>
      <c r="G122" s="146"/>
      <c r="H122" s="146"/>
      <c r="I122" s="146"/>
      <c r="J122" s="146"/>
      <c r="K122" s="146"/>
      <c r="L122" s="146"/>
      <c r="M122" s="458"/>
      <c r="N122" s="1284"/>
      <c r="O122" s="146"/>
      <c r="P122" s="146"/>
      <c r="Q122" s="147"/>
      <c r="R122" s="147"/>
      <c r="S122" s="142"/>
      <c r="T122" s="142"/>
      <c r="U122" s="146"/>
      <c r="V122" s="146"/>
      <c r="W122" s="146"/>
      <c r="X122" s="146"/>
      <c r="Y122" s="146"/>
      <c r="Z122" s="146"/>
      <c r="AA122" s="146"/>
      <c r="AB122" s="3021">
        <v>0</v>
      </c>
      <c r="AC122" s="2826">
        <v>0</v>
      </c>
      <c r="AD122" s="2826">
        <v>0</v>
      </c>
      <c r="AE122" s="2826"/>
      <c r="AF122" s="2826"/>
      <c r="AG122" s="2826"/>
      <c r="AH122" s="2826"/>
      <c r="AI122" s="2826"/>
      <c r="AJ122" s="2826"/>
      <c r="AK122" s="2826"/>
      <c r="AL122" s="2826"/>
      <c r="AM122" s="2826"/>
    </row>
    <row r="123" spans="2:39" s="3021" customFormat="1" ht="14" customHeight="1">
      <c r="B123" s="144"/>
      <c r="C123" s="144"/>
      <c r="D123" s="907"/>
      <c r="E123" s="143"/>
      <c r="F123" s="145"/>
      <c r="G123" s="146"/>
      <c r="H123" s="146"/>
      <c r="I123" s="146"/>
      <c r="J123" s="146"/>
      <c r="K123" s="146"/>
      <c r="L123" s="146"/>
      <c r="M123" s="458"/>
      <c r="N123" s="1284"/>
      <c r="O123" s="146"/>
      <c r="P123" s="146"/>
      <c r="Q123" s="147"/>
      <c r="R123" s="147"/>
      <c r="S123" s="142"/>
      <c r="T123" s="142"/>
      <c r="U123" s="146"/>
      <c r="V123" s="146"/>
      <c r="W123" s="146"/>
      <c r="X123" s="146"/>
      <c r="Y123" s="146"/>
      <c r="Z123" s="146"/>
      <c r="AA123" s="146"/>
      <c r="AB123" s="3021">
        <v>0</v>
      </c>
      <c r="AC123" s="2826">
        <v>0</v>
      </c>
      <c r="AD123" s="2826">
        <v>0</v>
      </c>
      <c r="AE123" s="2826"/>
      <c r="AF123" s="2826"/>
      <c r="AG123" s="2826"/>
      <c r="AH123" s="2826"/>
      <c r="AI123" s="2826"/>
      <c r="AJ123" s="2826"/>
      <c r="AK123" s="2826"/>
      <c r="AL123" s="2826"/>
      <c r="AM123" s="2826"/>
    </row>
    <row r="124" spans="2:39" s="3021" customFormat="1" ht="11">
      <c r="B124" s="144"/>
      <c r="C124" s="144"/>
      <c r="D124" s="907"/>
      <c r="E124" s="143"/>
      <c r="F124" s="145"/>
      <c r="G124" s="146"/>
      <c r="H124" s="146"/>
      <c r="I124" s="146"/>
      <c r="J124" s="146"/>
      <c r="K124" s="146"/>
      <c r="L124" s="146"/>
      <c r="M124" s="458"/>
      <c r="N124" s="1284"/>
      <c r="O124" s="146"/>
      <c r="P124" s="146"/>
      <c r="Q124" s="147"/>
      <c r="R124" s="147"/>
      <c r="S124" s="142"/>
      <c r="T124" s="142"/>
      <c r="U124" s="146"/>
      <c r="V124" s="146"/>
      <c r="W124" s="146"/>
      <c r="X124" s="146"/>
      <c r="Y124" s="146"/>
      <c r="Z124" s="146"/>
      <c r="AA124" s="146"/>
      <c r="AB124" s="3021">
        <v>0</v>
      </c>
      <c r="AC124" s="2826">
        <v>0</v>
      </c>
      <c r="AD124" s="2826">
        <v>0</v>
      </c>
      <c r="AE124" s="2826"/>
      <c r="AF124" s="2826"/>
      <c r="AG124" s="2826"/>
      <c r="AH124" s="2826"/>
      <c r="AI124" s="2826"/>
      <c r="AJ124" s="2826"/>
      <c r="AK124" s="2826"/>
      <c r="AL124" s="2826"/>
      <c r="AM124" s="2826"/>
    </row>
    <row r="125" spans="2:39" s="3021" customFormat="1" ht="11">
      <c r="B125" s="144"/>
      <c r="C125" s="144"/>
      <c r="D125" s="907"/>
      <c r="E125" s="143"/>
      <c r="F125" s="145"/>
      <c r="G125" s="146"/>
      <c r="H125" s="146"/>
      <c r="I125" s="146"/>
      <c r="J125" s="146"/>
      <c r="K125" s="146"/>
      <c r="L125" s="146"/>
      <c r="M125" s="458"/>
      <c r="N125" s="1284"/>
      <c r="O125" s="146"/>
      <c r="P125" s="146"/>
      <c r="Q125" s="147"/>
      <c r="R125" s="147"/>
      <c r="S125" s="142"/>
      <c r="T125" s="142"/>
      <c r="U125" s="146"/>
      <c r="V125" s="146"/>
      <c r="W125" s="146"/>
      <c r="X125" s="146"/>
      <c r="Y125" s="146"/>
      <c r="Z125" s="146"/>
      <c r="AA125" s="146"/>
      <c r="AB125" s="3021">
        <v>0</v>
      </c>
      <c r="AC125" s="2826">
        <v>0</v>
      </c>
      <c r="AD125" s="2826">
        <v>0</v>
      </c>
      <c r="AE125" s="2826"/>
      <c r="AF125" s="2826"/>
      <c r="AG125" s="2826"/>
      <c r="AH125" s="2826"/>
      <c r="AI125" s="2826"/>
      <c r="AJ125" s="2826"/>
      <c r="AK125" s="2826"/>
      <c r="AL125" s="2826"/>
      <c r="AM125" s="2826"/>
    </row>
    <row r="126" spans="2:39" s="3021" customFormat="1" ht="11">
      <c r="B126" s="144"/>
      <c r="C126" s="144"/>
      <c r="D126" s="907"/>
      <c r="E126" s="143"/>
      <c r="F126" s="145"/>
      <c r="G126" s="146"/>
      <c r="H126" s="146"/>
      <c r="I126" s="146"/>
      <c r="J126" s="146"/>
      <c r="K126" s="146"/>
      <c r="L126" s="146"/>
      <c r="M126" s="458"/>
      <c r="N126" s="1284"/>
      <c r="O126" s="146"/>
      <c r="P126" s="146"/>
      <c r="Q126" s="147"/>
      <c r="R126" s="147"/>
      <c r="S126" s="142"/>
      <c r="T126" s="142"/>
      <c r="U126" s="146"/>
      <c r="V126" s="146"/>
      <c r="W126" s="146"/>
      <c r="X126" s="146"/>
      <c r="Y126" s="146"/>
      <c r="Z126" s="146"/>
      <c r="AA126" s="146"/>
      <c r="AB126" s="3021">
        <v>0</v>
      </c>
      <c r="AC126" s="2826">
        <v>0</v>
      </c>
      <c r="AD126" s="2826">
        <v>0</v>
      </c>
      <c r="AE126" s="2826"/>
      <c r="AF126" s="2826"/>
      <c r="AG126" s="2826"/>
      <c r="AH126" s="2826"/>
      <c r="AI126" s="2826"/>
      <c r="AJ126" s="2826"/>
      <c r="AK126" s="2826"/>
      <c r="AL126" s="2826"/>
      <c r="AM126" s="2826"/>
    </row>
    <row r="127" spans="2:39" s="3021" customFormat="1" ht="11">
      <c r="B127" s="144"/>
      <c r="C127" s="144"/>
      <c r="D127" s="907"/>
      <c r="E127" s="143"/>
      <c r="F127" s="145"/>
      <c r="G127" s="146"/>
      <c r="H127" s="146"/>
      <c r="I127" s="146"/>
      <c r="J127" s="146"/>
      <c r="K127" s="146"/>
      <c r="L127" s="146"/>
      <c r="M127" s="458"/>
      <c r="N127" s="1284"/>
      <c r="O127" s="146"/>
      <c r="P127" s="146"/>
      <c r="Q127" s="147"/>
      <c r="R127" s="147"/>
      <c r="S127" s="142"/>
      <c r="T127" s="142"/>
      <c r="U127" s="146"/>
      <c r="V127" s="146"/>
      <c r="W127" s="146"/>
      <c r="X127" s="146"/>
      <c r="Y127" s="146"/>
      <c r="Z127" s="146"/>
      <c r="AA127" s="146"/>
      <c r="AB127" s="3021">
        <v>0</v>
      </c>
      <c r="AC127" s="2826">
        <v>0</v>
      </c>
      <c r="AD127" s="2826">
        <v>0</v>
      </c>
      <c r="AE127" s="2826"/>
      <c r="AF127" s="2826"/>
      <c r="AG127" s="2826"/>
      <c r="AH127" s="2826"/>
      <c r="AI127" s="2826"/>
      <c r="AJ127" s="2826"/>
      <c r="AK127" s="2826"/>
      <c r="AL127" s="2826"/>
      <c r="AM127" s="2826"/>
    </row>
    <row r="128" spans="2:39" s="3021" customFormat="1" ht="11">
      <c r="B128" s="144"/>
      <c r="C128" s="144"/>
      <c r="D128" s="907"/>
      <c r="E128" s="143"/>
      <c r="F128" s="145"/>
      <c r="G128" s="146"/>
      <c r="H128" s="146"/>
      <c r="I128" s="146"/>
      <c r="J128" s="146"/>
      <c r="K128" s="146"/>
      <c r="L128" s="146"/>
      <c r="M128" s="458"/>
      <c r="N128" s="1284"/>
      <c r="O128" s="146"/>
      <c r="P128" s="146"/>
      <c r="Q128" s="147"/>
      <c r="R128" s="147"/>
      <c r="S128" s="142"/>
      <c r="T128" s="142"/>
      <c r="U128" s="146"/>
      <c r="V128" s="146"/>
      <c r="W128" s="146"/>
      <c r="X128" s="146"/>
      <c r="Y128" s="146"/>
      <c r="Z128" s="146"/>
      <c r="AA128" s="146"/>
      <c r="AB128" s="3021">
        <v>0</v>
      </c>
      <c r="AC128" s="2826">
        <v>0</v>
      </c>
      <c r="AD128" s="2826">
        <v>0</v>
      </c>
      <c r="AE128" s="2826"/>
      <c r="AF128" s="2826"/>
      <c r="AG128" s="2826"/>
      <c r="AH128" s="2826"/>
      <c r="AI128" s="2826"/>
      <c r="AJ128" s="2826"/>
      <c r="AK128" s="2826"/>
      <c r="AL128" s="2826"/>
      <c r="AM128" s="2826"/>
    </row>
    <row r="129" spans="2:41" s="3021" customFormat="1" ht="11">
      <c r="B129" s="144"/>
      <c r="C129" s="144"/>
      <c r="D129" s="907"/>
      <c r="E129" s="143"/>
      <c r="F129" s="145"/>
      <c r="G129" s="146"/>
      <c r="H129" s="146"/>
      <c r="I129" s="146"/>
      <c r="J129" s="146"/>
      <c r="K129" s="146"/>
      <c r="L129" s="146"/>
      <c r="M129" s="458"/>
      <c r="N129" s="1284"/>
      <c r="O129" s="146"/>
      <c r="P129" s="146"/>
      <c r="Q129" s="147"/>
      <c r="R129" s="147"/>
      <c r="S129" s="142"/>
      <c r="T129" s="142"/>
      <c r="U129" s="146"/>
      <c r="V129" s="146"/>
      <c r="W129" s="146"/>
      <c r="X129" s="146"/>
      <c r="Y129" s="146"/>
      <c r="Z129" s="146"/>
      <c r="AA129" s="146"/>
      <c r="AB129" s="3021">
        <v>0</v>
      </c>
      <c r="AC129" s="2826">
        <v>0</v>
      </c>
      <c r="AD129" s="2826">
        <v>0</v>
      </c>
      <c r="AE129" s="2826"/>
      <c r="AF129" s="2826"/>
      <c r="AG129" s="2826"/>
      <c r="AH129" s="2826"/>
      <c r="AI129" s="2826"/>
      <c r="AJ129" s="2826"/>
      <c r="AK129" s="2826"/>
      <c r="AL129" s="2826"/>
      <c r="AM129" s="2826"/>
    </row>
    <row r="130" spans="2:41" s="3021" customFormat="1" ht="11">
      <c r="B130" s="144"/>
      <c r="C130" s="144"/>
      <c r="D130" s="907"/>
      <c r="E130" s="143"/>
      <c r="F130" s="145"/>
      <c r="G130" s="146"/>
      <c r="H130" s="146"/>
      <c r="I130" s="146"/>
      <c r="J130" s="146"/>
      <c r="K130" s="146"/>
      <c r="L130" s="146"/>
      <c r="M130" s="458"/>
      <c r="N130" s="1284"/>
      <c r="O130" s="146"/>
      <c r="P130" s="146"/>
      <c r="Q130" s="147"/>
      <c r="R130" s="147"/>
      <c r="S130" s="142"/>
      <c r="T130" s="142"/>
      <c r="U130" s="146">
        <f>SUBTOTAL(9,U88:U129)</f>
        <v>0</v>
      </c>
      <c r="V130" s="146">
        <f t="shared" ref="V130:AA130" si="45">SUBTOTAL(9,V88:V129)</f>
        <v>0</v>
      </c>
      <c r="W130" s="146">
        <f t="shared" si="45"/>
        <v>0</v>
      </c>
      <c r="X130" s="146">
        <f t="shared" si="45"/>
        <v>0</v>
      </c>
      <c r="Y130" s="146">
        <f t="shared" si="45"/>
        <v>0</v>
      </c>
      <c r="Z130" s="146">
        <f t="shared" si="45"/>
        <v>0</v>
      </c>
      <c r="AA130" s="146">
        <f t="shared" si="45"/>
        <v>0</v>
      </c>
      <c r="AB130" s="3021">
        <v>0</v>
      </c>
      <c r="AC130" s="2826">
        <v>0</v>
      </c>
      <c r="AD130" s="2826">
        <v>0</v>
      </c>
      <c r="AE130" s="2826"/>
      <c r="AF130" s="2826"/>
      <c r="AG130" s="2826"/>
      <c r="AH130" s="2826"/>
      <c r="AI130" s="2826"/>
      <c r="AJ130" s="2826"/>
      <c r="AK130" s="2826"/>
      <c r="AL130" s="2826"/>
      <c r="AM130" s="2826"/>
    </row>
    <row r="131" spans="2:41" s="2825" customFormat="1" ht="14" thickBot="1">
      <c r="B131" s="139"/>
      <c r="C131" s="139"/>
      <c r="D131" s="908"/>
      <c r="E131" s="138"/>
      <c r="F131" s="140"/>
      <c r="G131" s="141"/>
      <c r="H131" s="141"/>
      <c r="I131" s="141"/>
      <c r="J131" s="141"/>
      <c r="K131" s="141"/>
      <c r="L131" s="141"/>
      <c r="M131" s="458"/>
      <c r="N131" s="1284"/>
      <c r="O131" s="141"/>
      <c r="P131" s="141"/>
      <c r="Q131" s="148"/>
      <c r="R131" s="148"/>
      <c r="S131" s="149"/>
      <c r="T131" s="149"/>
      <c r="U131" s="150"/>
      <c r="V131" s="150"/>
      <c r="W131" s="150"/>
      <c r="X131" s="150"/>
      <c r="Y131" s="150"/>
      <c r="Z131" s="150"/>
      <c r="AA131" s="150"/>
      <c r="AC131" s="2826"/>
      <c r="AD131" s="2826"/>
      <c r="AE131" s="2826"/>
      <c r="AF131" s="2826"/>
      <c r="AG131" s="2826"/>
      <c r="AH131" s="2826"/>
      <c r="AI131" s="2826"/>
      <c r="AJ131" s="2826"/>
      <c r="AK131" s="2826"/>
      <c r="AL131" s="2826"/>
      <c r="AM131" s="2826"/>
    </row>
    <row r="132" spans="2:41" s="2825" customFormat="1" ht="15" thickTop="1" thickBot="1">
      <c r="B132" s="139"/>
      <c r="C132" s="139"/>
      <c r="D132" s="908"/>
      <c r="E132" s="138"/>
      <c r="F132" s="140"/>
      <c r="G132" s="141"/>
      <c r="H132" s="141"/>
      <c r="I132" s="141"/>
      <c r="J132" s="141"/>
      <c r="K132" s="141"/>
      <c r="L132" s="141"/>
      <c r="M132" s="458"/>
      <c r="N132" s="1284"/>
      <c r="O132" s="141"/>
      <c r="P132" s="141"/>
      <c r="Q132" s="148"/>
      <c r="R132" s="148"/>
      <c r="S132" s="148"/>
      <c r="T132" s="149"/>
      <c r="U132" s="151"/>
      <c r="V132" s="152"/>
      <c r="W132" s="153"/>
      <c r="X132" s="153"/>
      <c r="Y132" s="153"/>
      <c r="Z132" s="153"/>
      <c r="AA132" s="154"/>
      <c r="AB132" s="3022"/>
      <c r="AC132" s="3022"/>
      <c r="AE132" s="2826"/>
      <c r="AF132" s="2826"/>
      <c r="AG132" s="2826"/>
      <c r="AH132" s="2826"/>
      <c r="AI132" s="2826"/>
      <c r="AJ132" s="2826"/>
      <c r="AK132" s="2826"/>
      <c r="AL132" s="2826"/>
      <c r="AM132" s="2826"/>
      <c r="AN132" s="2826"/>
      <c r="AO132" s="2826"/>
    </row>
    <row r="133" spans="2:41" s="3021" customFormat="1" ht="12" thickTop="1">
      <c r="B133" s="144"/>
      <c r="C133" s="144"/>
      <c r="D133" s="907"/>
      <c r="E133" s="143"/>
      <c r="F133" s="145"/>
      <c r="G133" s="146"/>
      <c r="H133" s="146"/>
      <c r="I133" s="146"/>
      <c r="J133" s="146"/>
      <c r="K133" s="146"/>
      <c r="L133" s="146"/>
      <c r="M133" s="458"/>
      <c r="N133" s="1284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826"/>
      <c r="AD133" s="2826"/>
      <c r="AE133" s="2826"/>
      <c r="AF133" s="2826"/>
      <c r="AG133" s="2826"/>
      <c r="AH133" s="2826"/>
      <c r="AI133" s="2826"/>
      <c r="AJ133" s="2826"/>
      <c r="AK133" s="2826"/>
      <c r="AL133" s="2826"/>
      <c r="AM133" s="2826"/>
    </row>
    <row r="134" spans="2:41" s="3021" customFormat="1" ht="11">
      <c r="B134" s="144"/>
      <c r="C134" s="144"/>
      <c r="D134" s="907"/>
      <c r="E134" s="143"/>
      <c r="F134" s="145"/>
      <c r="G134" s="146"/>
      <c r="H134" s="146"/>
      <c r="I134" s="146"/>
      <c r="J134" s="146"/>
      <c r="K134" s="146"/>
      <c r="L134" s="146"/>
      <c r="M134" s="458"/>
      <c r="N134" s="1284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826"/>
      <c r="AD134" s="2826"/>
      <c r="AE134" s="2826"/>
      <c r="AF134" s="2826"/>
      <c r="AG134" s="2826"/>
      <c r="AH134" s="2826"/>
      <c r="AI134" s="2826"/>
      <c r="AJ134" s="2826"/>
      <c r="AK134" s="2826"/>
      <c r="AL134" s="2826"/>
      <c r="AM134" s="2826"/>
    </row>
    <row r="135" spans="2:41" s="3021" customFormat="1" ht="11">
      <c r="B135" s="144"/>
      <c r="C135" s="144"/>
      <c r="D135" s="907"/>
      <c r="E135" s="143"/>
      <c r="F135" s="145"/>
      <c r="G135" s="146"/>
      <c r="H135" s="146"/>
      <c r="I135" s="146"/>
      <c r="J135" s="146"/>
      <c r="K135" s="146"/>
      <c r="L135" s="146"/>
      <c r="M135" s="458"/>
      <c r="N135" s="1284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826"/>
      <c r="AD135" s="2826"/>
      <c r="AE135" s="2826"/>
      <c r="AF135" s="2826"/>
      <c r="AG135" s="2826"/>
      <c r="AH135" s="2826"/>
      <c r="AI135" s="2826"/>
      <c r="AJ135" s="2826"/>
      <c r="AK135" s="2826"/>
      <c r="AL135" s="2826"/>
      <c r="AM135" s="2826"/>
    </row>
    <row r="136" spans="2:41" s="3021" customFormat="1" ht="11">
      <c r="B136" s="144"/>
      <c r="C136" s="144"/>
      <c r="D136" s="907"/>
      <c r="E136" s="143"/>
      <c r="F136" s="145"/>
      <c r="G136" s="146"/>
      <c r="H136" s="146"/>
      <c r="I136" s="146"/>
      <c r="J136" s="146"/>
      <c r="K136" s="146"/>
      <c r="L136" s="146"/>
      <c r="M136" s="458"/>
      <c r="N136" s="1284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826"/>
      <c r="AD136" s="2826"/>
      <c r="AE136" s="2826"/>
      <c r="AF136" s="2826"/>
      <c r="AG136" s="2826"/>
      <c r="AH136" s="2826"/>
      <c r="AI136" s="2826"/>
      <c r="AJ136" s="2826"/>
      <c r="AK136" s="2826"/>
      <c r="AL136" s="2826"/>
      <c r="AM136" s="2826"/>
    </row>
    <row r="137" spans="2:41" s="3021" customFormat="1" ht="11">
      <c r="B137" s="144"/>
      <c r="C137" s="144"/>
      <c r="D137" s="907"/>
      <c r="E137" s="143"/>
      <c r="F137" s="145"/>
      <c r="G137" s="146"/>
      <c r="H137" s="146"/>
      <c r="I137" s="146"/>
      <c r="J137" s="146"/>
      <c r="K137" s="146"/>
      <c r="L137" s="146"/>
      <c r="M137" s="458"/>
      <c r="N137" s="1284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826"/>
      <c r="AD137" s="2826"/>
      <c r="AE137" s="2826"/>
      <c r="AF137" s="2826"/>
      <c r="AG137" s="2826"/>
      <c r="AH137" s="2826"/>
      <c r="AI137" s="2826"/>
      <c r="AJ137" s="2826"/>
      <c r="AK137" s="2826"/>
      <c r="AL137" s="2826"/>
      <c r="AM137" s="2826"/>
    </row>
    <row r="138" spans="2:41" s="3021" customFormat="1" ht="11">
      <c r="B138" s="144"/>
      <c r="C138" s="144"/>
      <c r="D138" s="907"/>
      <c r="E138" s="143"/>
      <c r="F138" s="145"/>
      <c r="G138" s="146"/>
      <c r="H138" s="146"/>
      <c r="I138" s="146"/>
      <c r="J138" s="146"/>
      <c r="K138" s="146"/>
      <c r="L138" s="146"/>
      <c r="M138" s="458"/>
      <c r="N138" s="1284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826"/>
      <c r="AD138" s="2826"/>
      <c r="AE138" s="2826"/>
      <c r="AF138" s="2826"/>
      <c r="AG138" s="2826"/>
      <c r="AH138" s="2826"/>
      <c r="AI138" s="2826"/>
      <c r="AJ138" s="2826"/>
      <c r="AK138" s="2826"/>
      <c r="AL138" s="2826"/>
      <c r="AM138" s="2826"/>
    </row>
    <row r="139" spans="2:41" s="3021" customFormat="1" ht="11">
      <c r="B139" s="144"/>
      <c r="C139" s="144"/>
      <c r="D139" s="907"/>
      <c r="E139" s="143"/>
      <c r="F139" s="145"/>
      <c r="G139" s="146"/>
      <c r="H139" s="146"/>
      <c r="I139" s="146"/>
      <c r="J139" s="146"/>
      <c r="K139" s="146"/>
      <c r="L139" s="146"/>
      <c r="M139" s="458"/>
      <c r="N139" s="1284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826"/>
      <c r="AD139" s="2826"/>
      <c r="AE139" s="2826"/>
      <c r="AF139" s="2826"/>
      <c r="AG139" s="2826"/>
      <c r="AH139" s="2826"/>
      <c r="AI139" s="2826"/>
      <c r="AJ139" s="2826"/>
      <c r="AK139" s="2826"/>
      <c r="AL139" s="2826"/>
      <c r="AM139" s="2826"/>
    </row>
    <row r="140" spans="2:41" s="3021" customFormat="1" ht="14" customHeight="1">
      <c r="B140" s="144"/>
      <c r="C140" s="144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284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826"/>
      <c r="AD140" s="2826"/>
      <c r="AE140" s="2826"/>
      <c r="AF140" s="2826"/>
      <c r="AG140" s="2826"/>
      <c r="AH140" s="2826"/>
      <c r="AI140" s="2826"/>
      <c r="AJ140" s="2826"/>
      <c r="AK140" s="2826"/>
      <c r="AL140" s="2826"/>
      <c r="AM140" s="2826"/>
    </row>
    <row r="141" spans="2:41" s="3021" customFormat="1" ht="14" customHeight="1">
      <c r="B141" s="144"/>
      <c r="C141" s="144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284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826"/>
      <c r="AD141" s="2826"/>
      <c r="AE141" s="2826"/>
      <c r="AF141" s="2826"/>
      <c r="AG141" s="2826"/>
      <c r="AH141" s="2826"/>
      <c r="AI141" s="2826"/>
      <c r="AJ141" s="2826"/>
      <c r="AK141" s="2826"/>
      <c r="AL141" s="2826"/>
      <c r="AM141" s="2826"/>
    </row>
    <row r="142" spans="2:41" s="3021" customFormat="1" ht="14" customHeight="1">
      <c r="B142" s="144"/>
      <c r="C142" s="144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284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2:41" s="3021" customFormat="1" ht="14" customHeight="1">
      <c r="B143" s="144"/>
      <c r="C143" s="144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284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2:41" s="3021" customFormat="1" ht="14" customHeight="1">
      <c r="B144" s="144"/>
      <c r="C144" s="144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284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2:39" s="3021" customFormat="1" ht="14" customHeight="1">
      <c r="B145" s="144"/>
      <c r="C145" s="144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284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2:39" s="3021" customFormat="1" ht="14" customHeight="1">
      <c r="B146" s="144"/>
      <c r="C146" s="144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284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2:39" s="3021" customFormat="1" ht="14" customHeight="1">
      <c r="B147" s="144"/>
      <c r="C147" s="144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284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2:39" s="3021" customFormat="1" ht="14" customHeight="1">
      <c r="B148" s="144"/>
      <c r="C148" s="144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284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2:39" s="3021" customFormat="1" ht="14" customHeight="1">
      <c r="B149" s="144"/>
      <c r="C149" s="144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284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2:39" s="3021" customFormat="1" ht="14" customHeight="1">
      <c r="B150" s="144"/>
      <c r="C150" s="144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284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2:39" s="3021" customFormat="1" ht="14" customHeight="1">
      <c r="B151" s="144"/>
      <c r="C151" s="144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284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2:39" s="3021" customFormat="1" ht="14" customHeight="1">
      <c r="B152" s="144"/>
      <c r="C152" s="144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284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2:39" s="3021" customFormat="1" ht="14" customHeight="1">
      <c r="B153" s="144"/>
      <c r="C153" s="144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284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2:39" s="3021" customFormat="1" ht="14" customHeight="1">
      <c r="B154" s="144"/>
      <c r="C154" s="144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284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2:39" s="3021" customFormat="1" ht="14" customHeight="1">
      <c r="B155" s="144"/>
      <c r="C155" s="144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284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2:39" s="3021" customFormat="1" ht="11">
      <c r="B156" s="144"/>
      <c r="C156" s="144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284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2:39" s="3021" customFormat="1" ht="11">
      <c r="B157" s="144"/>
      <c r="C157" s="144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284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2:39" s="3021" customFormat="1" ht="11">
      <c r="B158" s="144"/>
      <c r="C158" s="144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284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2:39" s="3021" customFormat="1" ht="11">
      <c r="B159" s="144"/>
      <c r="C159" s="144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284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2:39" s="3021" customFormat="1" ht="11">
      <c r="B160" s="144"/>
      <c r="C160" s="144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284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41" s="3021" customFormat="1" ht="11">
      <c r="B161" s="144"/>
      <c r="C161" s="144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284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41" s="3021" customFormat="1" ht="11">
      <c r="B162" s="144"/>
      <c r="C162" s="144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284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41" s="3021" customFormat="1" ht="11">
      <c r="B163" s="144"/>
      <c r="C163" s="144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284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41" s="3021" customFormat="1" ht="11">
      <c r="B164" s="144"/>
      <c r="C164" s="144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284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41" s="3021" customFormat="1" ht="11">
      <c r="B165" s="144"/>
      <c r="C165" s="144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284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41" s="3021" customFormat="1" ht="11">
      <c r="B166" s="144"/>
      <c r="C166" s="144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284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41" s="3021" customFormat="1" ht="11">
      <c r="B167" s="144"/>
      <c r="C167" s="144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284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41" s="3021" customFormat="1" ht="11">
      <c r="B168" s="144"/>
      <c r="C168" s="144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284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41" s="3021" customFormat="1" ht="11">
      <c r="B169" s="3159"/>
      <c r="C169" s="3159"/>
      <c r="D169" s="3160"/>
      <c r="F169" s="3023"/>
      <c r="G169" s="3024"/>
      <c r="H169" s="3024"/>
      <c r="I169" s="3024"/>
      <c r="J169" s="3024"/>
      <c r="K169" s="3024"/>
      <c r="L169" s="3024"/>
      <c r="M169" s="3025"/>
      <c r="N169" s="3519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41" s="3021" customFormat="1" ht="11">
      <c r="B170" s="3159"/>
      <c r="C170" s="3159"/>
      <c r="D170" s="3160"/>
      <c r="F170" s="3023"/>
      <c r="G170" s="3024"/>
      <c r="H170" s="3024"/>
      <c r="I170" s="3024"/>
      <c r="J170" s="3024"/>
      <c r="K170" s="3024"/>
      <c r="L170" s="3024"/>
      <c r="M170" s="3025"/>
      <c r="N170" s="3519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41" s="3021" customFormat="1" ht="11">
      <c r="B171" s="3159"/>
      <c r="C171" s="3159"/>
      <c r="D171" s="3160"/>
      <c r="F171" s="3023"/>
      <c r="G171" s="3024"/>
      <c r="H171" s="3024"/>
      <c r="I171" s="3024"/>
      <c r="J171" s="3024"/>
      <c r="K171" s="3024"/>
      <c r="L171" s="3024"/>
      <c r="M171" s="3025"/>
      <c r="N171" s="3519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826"/>
      <c r="AD171" s="2826"/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41" s="3021" customFormat="1" ht="11">
      <c r="B172" s="3159"/>
      <c r="C172" s="3159"/>
      <c r="D172" s="3160"/>
      <c r="F172" s="3023"/>
      <c r="G172" s="3024"/>
      <c r="H172" s="3024"/>
      <c r="I172" s="3024"/>
      <c r="J172" s="3024"/>
      <c r="K172" s="3024"/>
      <c r="L172" s="3024"/>
      <c r="M172" s="3025"/>
      <c r="N172" s="3519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826"/>
      <c r="AD172" s="2826"/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41" s="3021" customFormat="1" ht="11">
      <c r="B173" s="3159"/>
      <c r="C173" s="3159"/>
      <c r="D173" s="3160"/>
      <c r="F173" s="3023"/>
      <c r="G173" s="3024"/>
      <c r="H173" s="3024"/>
      <c r="I173" s="3024"/>
      <c r="J173" s="3024"/>
      <c r="K173" s="3024"/>
      <c r="L173" s="3024"/>
      <c r="M173" s="3025"/>
      <c r="N173" s="3519"/>
      <c r="O173" s="146"/>
      <c r="P173" s="146"/>
      <c r="Q173" s="147"/>
      <c r="R173" s="147"/>
      <c r="S173" s="142"/>
      <c r="T173" s="142"/>
      <c r="U173" s="146">
        <f>SUBTOTAL(9,U131:U172)</f>
        <v>0</v>
      </c>
      <c r="V173" s="146">
        <f t="shared" ref="V173:AA173" si="46">SUBTOTAL(9,V131:V172)</f>
        <v>0</v>
      </c>
      <c r="W173" s="146">
        <f t="shared" si="46"/>
        <v>0</v>
      </c>
      <c r="X173" s="146">
        <f t="shared" si="46"/>
        <v>0</v>
      </c>
      <c r="Y173" s="146">
        <f t="shared" si="46"/>
        <v>0</v>
      </c>
      <c r="Z173" s="146">
        <f t="shared" si="46"/>
        <v>0</v>
      </c>
      <c r="AA173" s="146">
        <f t="shared" si="46"/>
        <v>0</v>
      </c>
      <c r="AC173" s="2826"/>
      <c r="AD173" s="2826"/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41" s="2825" customFormat="1" ht="14" thickBot="1">
      <c r="B174" s="2935"/>
      <c r="C174" s="2935"/>
      <c r="D174" s="3161"/>
      <c r="F174" s="3026"/>
      <c r="G174" s="3027"/>
      <c r="H174" s="3027"/>
      <c r="I174" s="3027"/>
      <c r="J174" s="3027"/>
      <c r="K174" s="3027"/>
      <c r="L174" s="3027"/>
      <c r="M174" s="3025"/>
      <c r="N174" s="3519"/>
      <c r="O174" s="141"/>
      <c r="P174" s="141"/>
      <c r="Q174" s="148"/>
      <c r="R174" s="148"/>
      <c r="S174" s="149"/>
      <c r="T174" s="149"/>
      <c r="U174" s="150"/>
      <c r="V174" s="150"/>
      <c r="W174" s="150"/>
      <c r="X174" s="150"/>
      <c r="Y174" s="150"/>
      <c r="Z174" s="150"/>
      <c r="AA174" s="150"/>
      <c r="AC174" s="2826"/>
      <c r="AD174" s="2826"/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41" s="2825" customFormat="1" ht="15" thickTop="1" thickBot="1">
      <c r="B175" s="2935"/>
      <c r="C175" s="2935"/>
      <c r="D175" s="3161"/>
      <c r="F175" s="3026"/>
      <c r="G175" s="3027"/>
      <c r="H175" s="3027"/>
      <c r="I175" s="3027"/>
      <c r="J175" s="3027"/>
      <c r="K175" s="3027"/>
      <c r="L175" s="3027"/>
      <c r="M175" s="3025"/>
      <c r="N175" s="3519"/>
      <c r="O175" s="141"/>
      <c r="P175" s="141"/>
      <c r="Q175" s="148"/>
      <c r="R175" s="148"/>
      <c r="S175" s="148"/>
      <c r="T175" s="148"/>
      <c r="U175" s="151">
        <f>SUBTOTAL(9,U133:U174)</f>
        <v>0</v>
      </c>
      <c r="V175" s="152">
        <f t="shared" ref="V175:AA175" si="47">SUBTOTAL(9,V133:V174)</f>
        <v>0</v>
      </c>
      <c r="W175" s="153">
        <f t="shared" si="47"/>
        <v>0</v>
      </c>
      <c r="X175" s="153">
        <f t="shared" si="47"/>
        <v>0</v>
      </c>
      <c r="Y175" s="153">
        <f t="shared" si="47"/>
        <v>0</v>
      </c>
      <c r="Z175" s="153">
        <f t="shared" si="47"/>
        <v>0</v>
      </c>
      <c r="AA175" s="154">
        <f t="shared" si="47"/>
        <v>0</v>
      </c>
      <c r="AB175" s="3022"/>
      <c r="AC175" s="3022"/>
      <c r="AE175" s="2826"/>
      <c r="AF175" s="2826"/>
      <c r="AG175" s="2826"/>
      <c r="AH175" s="2826"/>
      <c r="AI175" s="2826"/>
      <c r="AJ175" s="2826"/>
      <c r="AK175" s="2826"/>
      <c r="AL175" s="2826"/>
      <c r="AM175" s="2826"/>
      <c r="AN175" s="2826"/>
      <c r="AO175" s="2826"/>
    </row>
    <row r="176" spans="2:41" s="2825" customFormat="1" ht="14" thickTop="1">
      <c r="B176" s="2935"/>
      <c r="C176" s="2935"/>
      <c r="D176" s="3161"/>
      <c r="F176" s="3026"/>
      <c r="G176" s="3027"/>
      <c r="H176" s="3027"/>
      <c r="I176" s="3027"/>
      <c r="J176" s="3027"/>
      <c r="K176" s="3027"/>
      <c r="L176" s="3027"/>
      <c r="M176" s="3025"/>
      <c r="N176" s="3519"/>
      <c r="O176" s="141"/>
      <c r="P176" s="141"/>
      <c r="Q176" s="148"/>
      <c r="R176" s="148"/>
      <c r="S176" s="149"/>
      <c r="T176" s="149"/>
      <c r="U176" s="150"/>
      <c r="V176" s="150"/>
      <c r="W176" s="150"/>
      <c r="X176" s="150"/>
      <c r="Y176" s="150"/>
      <c r="Z176" s="150"/>
      <c r="AA176" s="150"/>
      <c r="AC176" s="2826"/>
      <c r="AD176" s="2826"/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39" s="2825" customFormat="1">
      <c r="B177" s="2935"/>
      <c r="C177" s="2935"/>
      <c r="D177" s="3161"/>
      <c r="F177" s="3026"/>
      <c r="G177" s="3027"/>
      <c r="H177" s="3027"/>
      <c r="I177" s="3027"/>
      <c r="J177" s="3027"/>
      <c r="K177" s="3027"/>
      <c r="L177" s="3027"/>
      <c r="M177" s="3025"/>
      <c r="N177" s="3519"/>
      <c r="O177" s="141"/>
      <c r="P177" s="141"/>
      <c r="Q177" s="148"/>
      <c r="R177" s="148"/>
      <c r="S177" s="149"/>
      <c r="T177" s="149"/>
      <c r="U177" s="150"/>
      <c r="V177" s="150"/>
      <c r="W177" s="150"/>
      <c r="X177" s="150"/>
      <c r="Y177" s="150"/>
      <c r="Z177" s="150"/>
      <c r="AA177" s="150"/>
      <c r="AC177" s="2826"/>
      <c r="AD177" s="2826"/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39" s="2825" customFormat="1">
      <c r="B178" s="2935"/>
      <c r="C178" s="2935"/>
      <c r="D178" s="3161"/>
      <c r="F178" s="3026"/>
      <c r="G178" s="3027"/>
      <c r="H178" s="3027"/>
      <c r="I178" s="3027"/>
      <c r="J178" s="3027"/>
      <c r="K178" s="3027"/>
      <c r="L178" s="3027"/>
      <c r="M178" s="3025"/>
      <c r="N178" s="3519"/>
      <c r="O178" s="141"/>
      <c r="P178" s="141"/>
      <c r="Q178" s="148"/>
      <c r="R178" s="148"/>
      <c r="S178" s="149"/>
      <c r="T178" s="149"/>
      <c r="U178" s="150"/>
      <c r="V178" s="150"/>
      <c r="W178" s="150"/>
      <c r="X178" s="150"/>
      <c r="Y178" s="150"/>
      <c r="Z178" s="150"/>
      <c r="AA178" s="150"/>
      <c r="AC178" s="2826"/>
      <c r="AD178" s="2826"/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39" s="2825" customFormat="1">
      <c r="B179" s="2935"/>
      <c r="C179" s="2935"/>
      <c r="D179" s="3161"/>
      <c r="F179" s="3026"/>
      <c r="G179" s="3027"/>
      <c r="H179" s="3027"/>
      <c r="I179" s="3027"/>
      <c r="J179" s="3027"/>
      <c r="K179" s="3027"/>
      <c r="L179" s="3027"/>
      <c r="M179" s="3025"/>
      <c r="N179" s="3519"/>
      <c r="O179" s="141"/>
      <c r="P179" s="141"/>
      <c r="Q179" s="148"/>
      <c r="R179" s="148"/>
      <c r="S179" s="149"/>
      <c r="T179" s="149"/>
      <c r="U179" s="150"/>
      <c r="V179" s="150"/>
      <c r="W179" s="150"/>
      <c r="X179" s="150"/>
      <c r="Y179" s="150"/>
      <c r="Z179" s="150"/>
      <c r="AA179" s="150"/>
      <c r="AC179" s="2826"/>
      <c r="AD179" s="2826"/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39" s="2825" customFormat="1">
      <c r="B180" s="2935"/>
      <c r="C180" s="2935"/>
      <c r="D180" s="3161"/>
      <c r="F180" s="3026"/>
      <c r="G180" s="3027"/>
      <c r="H180" s="3027"/>
      <c r="I180" s="3027"/>
      <c r="J180" s="3027"/>
      <c r="K180" s="3027"/>
      <c r="L180" s="3027"/>
      <c r="M180" s="3025"/>
      <c r="N180" s="3519"/>
      <c r="O180" s="141"/>
      <c r="P180" s="141"/>
      <c r="Q180" s="148"/>
      <c r="R180" s="148"/>
      <c r="S180" s="149"/>
      <c r="T180" s="149"/>
      <c r="U180" s="150"/>
      <c r="V180" s="150"/>
      <c r="W180" s="150"/>
      <c r="X180" s="150"/>
      <c r="Y180" s="150"/>
      <c r="Z180" s="150"/>
      <c r="AA180" s="150"/>
      <c r="AC180" s="2826"/>
      <c r="AD180" s="2826"/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39" s="2825" customFormat="1">
      <c r="B181" s="2935"/>
      <c r="C181" s="2935"/>
      <c r="D181" s="3161"/>
      <c r="F181" s="3026"/>
      <c r="G181" s="3027"/>
      <c r="H181" s="3027"/>
      <c r="I181" s="3027"/>
      <c r="J181" s="3027"/>
      <c r="K181" s="3027"/>
      <c r="L181" s="3027"/>
      <c r="M181" s="3025"/>
      <c r="N181" s="3519"/>
      <c r="O181" s="141"/>
      <c r="P181" s="141"/>
      <c r="Q181" s="148"/>
      <c r="R181" s="148"/>
      <c r="S181" s="149"/>
      <c r="T181" s="149"/>
      <c r="U181" s="150"/>
      <c r="V181" s="150"/>
      <c r="W181" s="150"/>
      <c r="X181" s="150"/>
      <c r="Y181" s="150"/>
      <c r="Z181" s="150"/>
      <c r="AA181" s="150"/>
      <c r="AC181" s="2826"/>
      <c r="AD181" s="2826"/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39" s="2825" customFormat="1">
      <c r="B182" s="2935"/>
      <c r="C182" s="2935"/>
      <c r="D182" s="3161"/>
      <c r="F182" s="3026"/>
      <c r="G182" s="3027"/>
      <c r="H182" s="3027"/>
      <c r="I182" s="3027"/>
      <c r="J182" s="3027"/>
      <c r="K182" s="3027"/>
      <c r="L182" s="3027"/>
      <c r="M182" s="3025"/>
      <c r="N182" s="3519"/>
      <c r="O182" s="141"/>
      <c r="P182" s="141"/>
      <c r="Q182" s="148"/>
      <c r="R182" s="148"/>
      <c r="S182" s="149"/>
      <c r="T182" s="149"/>
      <c r="U182" s="150"/>
      <c r="V182" s="150"/>
      <c r="W182" s="150"/>
      <c r="X182" s="150"/>
      <c r="Y182" s="150"/>
      <c r="Z182" s="150"/>
      <c r="AA182" s="150"/>
      <c r="AC182" s="2826"/>
      <c r="AD182" s="2826"/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39" s="2825" customFormat="1">
      <c r="B183" s="2935"/>
      <c r="C183" s="2935"/>
      <c r="D183" s="3161"/>
      <c r="F183" s="3026"/>
      <c r="G183" s="3027"/>
      <c r="H183" s="3027"/>
      <c r="I183" s="3027"/>
      <c r="J183" s="3027"/>
      <c r="K183" s="3027"/>
      <c r="L183" s="3027"/>
      <c r="M183" s="3025"/>
      <c r="N183" s="3519"/>
      <c r="O183" s="141"/>
      <c r="P183" s="141"/>
      <c r="Q183" s="148"/>
      <c r="R183" s="148"/>
      <c r="S183" s="149"/>
      <c r="T183" s="149"/>
      <c r="U183" s="150"/>
      <c r="V183" s="150"/>
      <c r="W183" s="150"/>
      <c r="X183" s="150"/>
      <c r="Y183" s="150"/>
      <c r="Z183" s="150"/>
      <c r="AA183" s="150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39" s="2825" customFormat="1">
      <c r="B184" s="2935"/>
      <c r="C184" s="2935"/>
      <c r="D184" s="3161"/>
      <c r="F184" s="3026"/>
      <c r="G184" s="3027"/>
      <c r="H184" s="3027"/>
      <c r="I184" s="3027"/>
      <c r="J184" s="3027"/>
      <c r="K184" s="3027"/>
      <c r="L184" s="3027"/>
      <c r="M184" s="3025"/>
      <c r="N184" s="3519"/>
      <c r="O184" s="141"/>
      <c r="P184" s="141"/>
      <c r="Q184" s="148"/>
      <c r="R184" s="148"/>
      <c r="S184" s="149"/>
      <c r="T184" s="149"/>
      <c r="U184" s="150"/>
      <c r="V184" s="150"/>
      <c r="W184" s="150"/>
      <c r="X184" s="150"/>
      <c r="Y184" s="150"/>
      <c r="Z184" s="150"/>
      <c r="AA184" s="150"/>
      <c r="AC184" s="2826"/>
      <c r="AD184" s="2826"/>
      <c r="AE184" s="2826"/>
      <c r="AF184" s="2826"/>
      <c r="AG184" s="2826"/>
      <c r="AH184" s="2826"/>
      <c r="AI184" s="2826"/>
      <c r="AJ184" s="2826"/>
      <c r="AK184" s="2826"/>
      <c r="AL184" s="2826"/>
      <c r="AM184" s="2826"/>
    </row>
    <row r="185" spans="2:39" s="2825" customFormat="1">
      <c r="B185" s="2935"/>
      <c r="C185" s="2935"/>
      <c r="D185" s="3161"/>
      <c r="F185" s="3026"/>
      <c r="G185" s="3027"/>
      <c r="H185" s="3027"/>
      <c r="I185" s="3027"/>
      <c r="J185" s="3027"/>
      <c r="K185" s="3027"/>
      <c r="L185" s="3027"/>
      <c r="M185" s="3025"/>
      <c r="N185" s="3519"/>
      <c r="O185" s="141"/>
      <c r="P185" s="141"/>
      <c r="Q185" s="148"/>
      <c r="R185" s="148"/>
      <c r="S185" s="149"/>
      <c r="T185" s="149"/>
      <c r="U185" s="150"/>
      <c r="V185" s="150"/>
      <c r="W185" s="150"/>
      <c r="X185" s="150"/>
      <c r="Y185" s="150"/>
      <c r="Z185" s="150"/>
      <c r="AA185" s="150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39" s="2825" customFormat="1">
      <c r="B186" s="2935"/>
      <c r="C186" s="2935"/>
      <c r="D186" s="3161"/>
      <c r="F186" s="3026"/>
      <c r="G186" s="3027"/>
      <c r="H186" s="3027"/>
      <c r="I186" s="3027"/>
      <c r="J186" s="3027"/>
      <c r="K186" s="3027"/>
      <c r="L186" s="3027"/>
      <c r="M186" s="3025"/>
      <c r="N186" s="3519"/>
      <c r="O186" s="141"/>
      <c r="P186" s="141"/>
      <c r="Q186" s="148"/>
      <c r="R186" s="148"/>
      <c r="S186" s="149"/>
      <c r="T186" s="149"/>
      <c r="U186" s="150"/>
      <c r="V186" s="150"/>
      <c r="W186" s="150"/>
      <c r="X186" s="150"/>
      <c r="Y186" s="150"/>
      <c r="Z186" s="150"/>
      <c r="AA186" s="150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39" s="2825" customFormat="1">
      <c r="B187" s="2935"/>
      <c r="C187" s="2935"/>
      <c r="D187" s="3161"/>
      <c r="F187" s="3026"/>
      <c r="G187" s="3027"/>
      <c r="H187" s="3027"/>
      <c r="I187" s="3027"/>
      <c r="J187" s="3027"/>
      <c r="K187" s="3027"/>
      <c r="L187" s="3027"/>
      <c r="M187" s="3025"/>
      <c r="N187" s="3519"/>
      <c r="O187" s="141"/>
      <c r="P187" s="141"/>
      <c r="Q187" s="148"/>
      <c r="R187" s="148"/>
      <c r="S187" s="149"/>
      <c r="T187" s="149"/>
      <c r="U187" s="150"/>
      <c r="V187" s="150"/>
      <c r="W187" s="150"/>
      <c r="X187" s="150"/>
      <c r="Y187" s="150"/>
      <c r="Z187" s="150"/>
      <c r="AA187" s="150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39" s="2825" customFormat="1" ht="14" customHeight="1">
      <c r="B188" s="2935"/>
      <c r="C188" s="2935"/>
      <c r="D188" s="3161"/>
      <c r="F188" s="3026"/>
      <c r="G188" s="3027"/>
      <c r="H188" s="3027"/>
      <c r="I188" s="3027"/>
      <c r="J188" s="3027"/>
      <c r="K188" s="3027"/>
      <c r="L188" s="3027"/>
      <c r="M188" s="3025"/>
      <c r="N188" s="3519"/>
      <c r="O188" s="141"/>
      <c r="P188" s="141"/>
      <c r="Q188" s="148"/>
      <c r="R188" s="148"/>
      <c r="S188" s="149"/>
      <c r="T188" s="149"/>
      <c r="U188" s="150"/>
      <c r="V188" s="150"/>
      <c r="W188" s="150"/>
      <c r="X188" s="150"/>
      <c r="Y188" s="150"/>
      <c r="Z188" s="150"/>
      <c r="AA188" s="150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39" s="2825" customFormat="1" ht="14" customHeight="1">
      <c r="B189" s="2935"/>
      <c r="C189" s="2935"/>
      <c r="D189" s="3161"/>
      <c r="F189" s="3026"/>
      <c r="G189" s="3027"/>
      <c r="H189" s="3027"/>
      <c r="I189" s="3027"/>
      <c r="J189" s="3027"/>
      <c r="K189" s="3027"/>
      <c r="L189" s="3027"/>
      <c r="M189" s="3025"/>
      <c r="N189" s="3519"/>
      <c r="O189" s="141"/>
      <c r="P189" s="141"/>
      <c r="Q189" s="148"/>
      <c r="R189" s="148"/>
      <c r="S189" s="149"/>
      <c r="T189" s="149"/>
      <c r="U189" s="150"/>
      <c r="V189" s="150"/>
      <c r="W189" s="150"/>
      <c r="X189" s="150"/>
      <c r="Y189" s="150"/>
      <c r="Z189" s="150"/>
      <c r="AA189" s="150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39" s="2825" customFormat="1" ht="14" customHeight="1">
      <c r="B190" s="2935"/>
      <c r="C190" s="2935"/>
      <c r="D190" s="3161"/>
      <c r="F190" s="3026"/>
      <c r="G190" s="3027"/>
      <c r="H190" s="3027"/>
      <c r="I190" s="3027"/>
      <c r="J190" s="3027"/>
      <c r="K190" s="3027"/>
      <c r="L190" s="3027"/>
      <c r="M190" s="3025"/>
      <c r="N190" s="3519"/>
      <c r="O190" s="141"/>
      <c r="P190" s="141"/>
      <c r="Q190" s="148"/>
      <c r="R190" s="148"/>
      <c r="S190" s="149"/>
      <c r="T190" s="149"/>
      <c r="U190" s="150"/>
      <c r="V190" s="150"/>
      <c r="W190" s="150"/>
      <c r="X190" s="150"/>
      <c r="Y190" s="150"/>
      <c r="Z190" s="150"/>
      <c r="AA190" s="150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39" s="2825" customFormat="1" ht="14" customHeight="1">
      <c r="B191" s="2935"/>
      <c r="C191" s="2935"/>
      <c r="D191" s="3161"/>
      <c r="F191" s="3026"/>
      <c r="G191" s="3027"/>
      <c r="H191" s="3027"/>
      <c r="I191" s="3027"/>
      <c r="J191" s="3027"/>
      <c r="K191" s="3027"/>
      <c r="L191" s="3027"/>
      <c r="M191" s="3025"/>
      <c r="N191" s="3519"/>
      <c r="O191" s="141"/>
      <c r="P191" s="141"/>
      <c r="Q191" s="148"/>
      <c r="R191" s="148"/>
      <c r="S191" s="149"/>
      <c r="T191" s="149"/>
      <c r="U191" s="150"/>
      <c r="V191" s="150"/>
      <c r="W191" s="150"/>
      <c r="X191" s="150"/>
      <c r="Y191" s="150"/>
      <c r="Z191" s="150"/>
      <c r="AA191" s="150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39" s="2825" customFormat="1" ht="14" customHeight="1">
      <c r="B192" s="2935"/>
      <c r="C192" s="2935"/>
      <c r="D192" s="3161"/>
      <c r="F192" s="3026"/>
      <c r="G192" s="3027"/>
      <c r="H192" s="3027"/>
      <c r="I192" s="3027"/>
      <c r="J192" s="3027"/>
      <c r="K192" s="3027"/>
      <c r="L192" s="3027"/>
      <c r="M192" s="3025"/>
      <c r="N192" s="3519"/>
      <c r="O192" s="141"/>
      <c r="P192" s="141"/>
      <c r="Q192" s="148"/>
      <c r="R192" s="148"/>
      <c r="S192" s="149"/>
      <c r="T192" s="149"/>
      <c r="U192" s="150"/>
      <c r="V192" s="150"/>
      <c r="W192" s="150"/>
      <c r="X192" s="150"/>
      <c r="Y192" s="150"/>
      <c r="Z192" s="150"/>
      <c r="AA192" s="150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1:40" s="2825" customFormat="1" ht="14" customHeight="1">
      <c r="B193" s="2935"/>
      <c r="C193" s="2935"/>
      <c r="D193" s="3161"/>
      <c r="F193" s="3026"/>
      <c r="G193" s="3027"/>
      <c r="H193" s="3027"/>
      <c r="I193" s="3027"/>
      <c r="J193" s="3027"/>
      <c r="K193" s="3027"/>
      <c r="L193" s="3027"/>
      <c r="M193" s="3025"/>
      <c r="N193" s="3519"/>
      <c r="O193" s="141"/>
      <c r="P193" s="141"/>
      <c r="Q193" s="148"/>
      <c r="R193" s="148"/>
      <c r="S193" s="149"/>
      <c r="T193" s="149"/>
      <c r="U193" s="150"/>
      <c r="V193" s="150"/>
      <c r="W193" s="150"/>
      <c r="X193" s="150"/>
      <c r="Y193" s="150"/>
      <c r="Z193" s="150"/>
      <c r="AA193" s="150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1:40" s="2825" customFormat="1" ht="14" customHeight="1">
      <c r="B194" s="2935"/>
      <c r="C194" s="2935"/>
      <c r="D194" s="3161"/>
      <c r="F194" s="3026"/>
      <c r="G194" s="3027"/>
      <c r="H194" s="3027"/>
      <c r="I194" s="3027"/>
      <c r="J194" s="3027"/>
      <c r="K194" s="3027"/>
      <c r="L194" s="3027"/>
      <c r="M194" s="3025"/>
      <c r="N194" s="3519"/>
      <c r="O194" s="141"/>
      <c r="P194" s="141"/>
      <c r="Q194" s="148"/>
      <c r="R194" s="148"/>
      <c r="S194" s="149"/>
      <c r="T194" s="149"/>
      <c r="U194" s="150"/>
      <c r="V194" s="150"/>
      <c r="W194" s="150"/>
      <c r="X194" s="150"/>
      <c r="Y194" s="150"/>
      <c r="Z194" s="150"/>
      <c r="AA194" s="150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1:40" s="2825" customFormat="1" ht="14" customHeight="1">
      <c r="B195" s="2935"/>
      <c r="C195" s="2935"/>
      <c r="D195" s="3161"/>
      <c r="F195" s="3026"/>
      <c r="G195" s="3027"/>
      <c r="H195" s="3027"/>
      <c r="I195" s="3027"/>
      <c r="J195" s="3027"/>
      <c r="K195" s="3027"/>
      <c r="L195" s="3027"/>
      <c r="M195" s="3025"/>
      <c r="N195" s="3519"/>
      <c r="O195" s="141"/>
      <c r="P195" s="141"/>
      <c r="Q195" s="148"/>
      <c r="R195" s="148"/>
      <c r="S195" s="149"/>
      <c r="T195" s="149"/>
      <c r="U195" s="150"/>
      <c r="V195" s="150"/>
      <c r="W195" s="150"/>
      <c r="X195" s="150"/>
      <c r="Y195" s="150"/>
      <c r="Z195" s="150"/>
      <c r="AA195" s="150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1:40" s="2825" customFormat="1" ht="14" customHeight="1">
      <c r="B196" s="2935"/>
      <c r="C196" s="2935"/>
      <c r="D196" s="3161"/>
      <c r="F196" s="3026"/>
      <c r="G196" s="3027"/>
      <c r="H196" s="3027"/>
      <c r="I196" s="3027"/>
      <c r="J196" s="3027"/>
      <c r="K196" s="3027"/>
      <c r="L196" s="3027"/>
      <c r="M196" s="3025"/>
      <c r="N196" s="3519"/>
      <c r="O196" s="141"/>
      <c r="P196" s="141"/>
      <c r="Q196" s="148"/>
      <c r="R196" s="148"/>
      <c r="S196" s="149"/>
      <c r="T196" s="149"/>
      <c r="U196" s="150"/>
      <c r="V196" s="150"/>
      <c r="W196" s="150"/>
      <c r="X196" s="150"/>
      <c r="Y196" s="150"/>
      <c r="Z196" s="150"/>
      <c r="AA196" s="150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1:40" s="2825" customFormat="1" ht="14" customHeight="1">
      <c r="B197" s="2935"/>
      <c r="C197" s="2935"/>
      <c r="D197" s="3161"/>
      <c r="F197" s="3026"/>
      <c r="G197" s="3027"/>
      <c r="H197" s="3027"/>
      <c r="I197" s="3027"/>
      <c r="J197" s="3027"/>
      <c r="K197" s="3027"/>
      <c r="L197" s="3027"/>
      <c r="M197" s="3025"/>
      <c r="N197" s="3519"/>
      <c r="O197" s="141"/>
      <c r="P197" s="141"/>
      <c r="Q197" s="148"/>
      <c r="R197" s="148"/>
      <c r="S197" s="149"/>
      <c r="T197" s="149"/>
      <c r="U197" s="150"/>
      <c r="V197" s="150"/>
      <c r="W197" s="150"/>
      <c r="X197" s="150"/>
      <c r="Y197" s="150"/>
      <c r="Z197" s="150"/>
      <c r="AA197" s="150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1:40" s="2825" customFormat="1" ht="14" customHeight="1">
      <c r="B198" s="2935"/>
      <c r="C198" s="2935"/>
      <c r="D198" s="3161"/>
      <c r="F198" s="3026"/>
      <c r="G198" s="3027"/>
      <c r="H198" s="3027"/>
      <c r="I198" s="3027"/>
      <c r="J198" s="3027"/>
      <c r="K198" s="3027"/>
      <c r="L198" s="3027"/>
      <c r="M198" s="3025"/>
      <c r="N198" s="3519"/>
      <c r="O198" s="141"/>
      <c r="P198" s="141"/>
      <c r="Q198" s="148"/>
      <c r="R198" s="148"/>
      <c r="S198" s="149"/>
      <c r="T198" s="149"/>
      <c r="U198" s="150"/>
      <c r="V198" s="150"/>
      <c r="W198" s="150"/>
      <c r="X198" s="150"/>
      <c r="Y198" s="150"/>
      <c r="Z198" s="150"/>
      <c r="AA198" s="150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1:40" s="2825" customFormat="1" ht="14" customHeight="1">
      <c r="B199" s="2935"/>
      <c r="C199" s="2935"/>
      <c r="D199" s="3161"/>
      <c r="F199" s="3026"/>
      <c r="G199" s="3027"/>
      <c r="H199" s="3027"/>
      <c r="I199" s="3027"/>
      <c r="J199" s="3027"/>
      <c r="K199" s="3027"/>
      <c r="L199" s="3027"/>
      <c r="M199" s="3025"/>
      <c r="N199" s="3519"/>
      <c r="O199" s="141"/>
      <c r="P199" s="141"/>
      <c r="Q199" s="148"/>
      <c r="R199" s="148"/>
      <c r="S199" s="149"/>
      <c r="T199" s="149"/>
      <c r="U199" s="150"/>
      <c r="V199" s="150"/>
      <c r="W199" s="150"/>
      <c r="X199" s="150"/>
      <c r="Y199" s="150"/>
      <c r="Z199" s="150"/>
      <c r="AA199" s="150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1:40" s="2825" customFormat="1" ht="14" customHeight="1">
      <c r="B200" s="2935"/>
      <c r="C200" s="2935"/>
      <c r="D200" s="3161"/>
      <c r="F200" s="3026"/>
      <c r="G200" s="3027"/>
      <c r="H200" s="3027"/>
      <c r="I200" s="3027"/>
      <c r="J200" s="3027"/>
      <c r="K200" s="3027"/>
      <c r="L200" s="3027"/>
      <c r="M200" s="3025"/>
      <c r="N200" s="3519"/>
      <c r="O200" s="141"/>
      <c r="P200" s="141"/>
      <c r="Q200" s="148"/>
      <c r="R200" s="148"/>
      <c r="S200" s="149"/>
      <c r="T200" s="149"/>
      <c r="U200" s="150"/>
      <c r="V200" s="150"/>
      <c r="W200" s="150"/>
      <c r="X200" s="150"/>
      <c r="Y200" s="150"/>
      <c r="Z200" s="150"/>
      <c r="AA200" s="150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1:40" s="2825" customFormat="1" ht="14" customHeight="1">
      <c r="B201" s="2935"/>
      <c r="C201" s="2935"/>
      <c r="D201" s="3161"/>
      <c r="F201" s="3026"/>
      <c r="G201" s="3027"/>
      <c r="H201" s="3027"/>
      <c r="I201" s="3027"/>
      <c r="J201" s="3027"/>
      <c r="K201" s="3027"/>
      <c r="L201" s="3027"/>
      <c r="M201" s="3025"/>
      <c r="N201" s="3519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1:40" s="2825" customFormat="1" ht="14" customHeight="1">
      <c r="B202" s="2935"/>
      <c r="C202" s="2935"/>
      <c r="D202" s="3161"/>
      <c r="F202" s="3026"/>
      <c r="G202" s="3027"/>
      <c r="H202" s="3027"/>
      <c r="I202" s="3027"/>
      <c r="J202" s="3027"/>
      <c r="K202" s="3027"/>
      <c r="L202" s="3027"/>
      <c r="M202" s="3025"/>
      <c r="N202" s="3519"/>
      <c r="O202" s="141"/>
      <c r="P202" s="141"/>
      <c r="Q202" s="148"/>
      <c r="R202" s="148"/>
      <c r="S202" s="149"/>
      <c r="T202" s="149"/>
      <c r="U202" s="150"/>
      <c r="V202" s="150"/>
      <c r="W202" s="150"/>
      <c r="X202" s="150"/>
      <c r="Y202" s="150"/>
      <c r="Z202" s="150"/>
      <c r="AA202" s="150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1:40" s="2825" customFormat="1" ht="14" customHeight="1">
      <c r="B203" s="2935"/>
      <c r="C203" s="2935"/>
      <c r="D203" s="3161"/>
      <c r="F203" s="3026"/>
      <c r="G203" s="3027"/>
      <c r="H203" s="3027"/>
      <c r="I203" s="3027"/>
      <c r="J203" s="3027"/>
      <c r="K203" s="3027"/>
      <c r="L203" s="3027"/>
      <c r="M203" s="3025"/>
      <c r="N203" s="3519"/>
      <c r="O203" s="141"/>
      <c r="P203" s="141"/>
      <c r="Q203" s="148"/>
      <c r="R203" s="148"/>
      <c r="S203" s="149"/>
      <c r="T203" s="149"/>
      <c r="U203" s="150"/>
      <c r="V203" s="150"/>
      <c r="W203" s="150"/>
      <c r="X203" s="150"/>
      <c r="Y203" s="150"/>
      <c r="Z203" s="150"/>
      <c r="AA203" s="150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1:40" s="2825" customFormat="1" ht="14" customHeight="1">
      <c r="B204" s="2935"/>
      <c r="C204" s="2935"/>
      <c r="D204" s="3161"/>
      <c r="F204" s="3026"/>
      <c r="G204" s="3027"/>
      <c r="H204" s="3027"/>
      <c r="I204" s="3027"/>
      <c r="J204" s="3027"/>
      <c r="K204" s="3027"/>
      <c r="L204" s="3027"/>
      <c r="M204" s="3025"/>
      <c r="N204" s="3519"/>
      <c r="O204" s="141"/>
      <c r="P204" s="141"/>
      <c r="Q204" s="148"/>
      <c r="R204" s="148"/>
      <c r="S204" s="149"/>
      <c r="T204" s="149"/>
      <c r="U204" s="150"/>
      <c r="V204" s="150"/>
      <c r="W204" s="150"/>
      <c r="X204" s="150"/>
      <c r="Y204" s="150"/>
      <c r="Z204" s="150"/>
      <c r="AA204" s="150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1:40" s="2825" customFormat="1" ht="14" customHeight="1">
      <c r="B205" s="2935"/>
      <c r="C205" s="2935"/>
      <c r="D205" s="3161"/>
      <c r="F205" s="3026"/>
      <c r="G205" s="3027"/>
      <c r="H205" s="3027"/>
      <c r="I205" s="3027"/>
      <c r="J205" s="3027"/>
      <c r="K205" s="3027"/>
      <c r="L205" s="3027"/>
      <c r="M205" s="3025"/>
      <c r="N205" s="3519"/>
      <c r="O205" s="141"/>
      <c r="P205" s="141"/>
      <c r="Q205" s="148"/>
      <c r="R205" s="148"/>
      <c r="S205" s="149"/>
      <c r="T205" s="149"/>
      <c r="U205" s="150"/>
      <c r="V205" s="150"/>
      <c r="W205" s="150"/>
      <c r="X205" s="150"/>
      <c r="Y205" s="150"/>
      <c r="Z205" s="150"/>
      <c r="AA205" s="150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1:40" s="2825" customFormat="1" ht="14" customHeight="1">
      <c r="B206" s="2935"/>
      <c r="C206" s="2935"/>
      <c r="D206" s="3161"/>
      <c r="F206" s="3026"/>
      <c r="G206" s="3027"/>
      <c r="H206" s="3027"/>
      <c r="I206" s="3027"/>
      <c r="J206" s="3027"/>
      <c r="K206" s="3027"/>
      <c r="L206" s="3027"/>
      <c r="M206" s="3025"/>
      <c r="N206" s="3519"/>
      <c r="O206" s="141"/>
      <c r="P206" s="141"/>
      <c r="Q206" s="148"/>
      <c r="R206" s="148"/>
      <c r="S206" s="149"/>
      <c r="T206" s="149"/>
      <c r="U206" s="150"/>
      <c r="V206" s="150"/>
      <c r="W206" s="150"/>
      <c r="X206" s="150"/>
      <c r="Y206" s="150"/>
      <c r="Z206" s="150"/>
      <c r="AA206" s="150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1:40" ht="14" customHeight="1">
      <c r="A207" s="2815"/>
      <c r="O207" s="155"/>
      <c r="P207" s="155"/>
      <c r="Q207" s="1131"/>
      <c r="R207" s="1131"/>
      <c r="S207" s="251"/>
      <c r="T207" s="251"/>
      <c r="U207" s="1132"/>
      <c r="V207" s="1132"/>
      <c r="W207" s="1132"/>
      <c r="X207" s="1132"/>
      <c r="Y207" s="1132"/>
      <c r="Z207" s="1132"/>
      <c r="AA207" s="1132"/>
      <c r="AN207" s="2815"/>
    </row>
    <row r="208" spans="1:40" ht="14" customHeight="1">
      <c r="A208" s="2815"/>
      <c r="O208" s="155"/>
      <c r="P208" s="155"/>
      <c r="Q208" s="1131"/>
      <c r="R208" s="1131"/>
      <c r="S208" s="251"/>
      <c r="T208" s="251"/>
      <c r="U208" s="1132"/>
      <c r="V208" s="1132"/>
      <c r="W208" s="1132"/>
      <c r="X208" s="1132"/>
      <c r="Y208" s="1132"/>
      <c r="Z208" s="1132"/>
      <c r="AA208" s="1132"/>
      <c r="AN208" s="2815"/>
    </row>
    <row r="209" spans="1:40" ht="14" customHeight="1">
      <c r="A209" s="2815"/>
      <c r="O209" s="155"/>
      <c r="P209" s="155"/>
      <c r="Q209" s="1131"/>
      <c r="R209" s="1131"/>
      <c r="S209" s="251"/>
      <c r="T209" s="251"/>
      <c r="U209" s="1132"/>
      <c r="V209" s="1132"/>
      <c r="W209" s="1132"/>
      <c r="X209" s="1132"/>
      <c r="Y209" s="1132"/>
      <c r="Z209" s="1132"/>
      <c r="AA209" s="1132"/>
      <c r="AN209" s="2815"/>
    </row>
    <row r="210" spans="1:40" ht="14" customHeight="1">
      <c r="A210" s="2815"/>
      <c r="O210" s="155"/>
      <c r="P210" s="155"/>
      <c r="Q210" s="1131"/>
      <c r="R210" s="1131"/>
      <c r="S210" s="251"/>
      <c r="T210" s="251"/>
      <c r="U210" s="1132"/>
      <c r="V210" s="1132"/>
      <c r="W210" s="1132"/>
      <c r="X210" s="1132"/>
      <c r="Y210" s="1132"/>
      <c r="Z210" s="1132"/>
      <c r="AA210" s="1132"/>
      <c r="AN210" s="2815"/>
    </row>
    <row r="211" spans="1:40" ht="14" customHeight="1">
      <c r="A211" s="2815"/>
      <c r="O211" s="155"/>
      <c r="P211" s="155"/>
      <c r="Q211" s="1131"/>
      <c r="R211" s="1131"/>
      <c r="S211" s="251"/>
      <c r="T211" s="251"/>
      <c r="U211" s="1132"/>
      <c r="V211" s="1132"/>
      <c r="W211" s="1132"/>
      <c r="X211" s="1132"/>
      <c r="Y211" s="1132"/>
      <c r="Z211" s="1132"/>
      <c r="AA211" s="1132"/>
      <c r="AN211" s="2815"/>
    </row>
    <row r="212" spans="1:40" ht="14" customHeight="1">
      <c r="A212" s="2815"/>
      <c r="O212" s="155"/>
      <c r="P212" s="155"/>
      <c r="Q212" s="1131"/>
      <c r="R212" s="1131"/>
      <c r="S212" s="251"/>
      <c r="T212" s="251"/>
      <c r="U212" s="1132"/>
      <c r="V212" s="1132"/>
      <c r="W212" s="1132"/>
      <c r="X212" s="1132"/>
      <c r="Y212" s="1132"/>
      <c r="Z212" s="1132"/>
      <c r="AA212" s="1132"/>
      <c r="AN212" s="2815"/>
    </row>
    <row r="213" spans="1:40" ht="14" customHeight="1">
      <c r="A213" s="2815"/>
      <c r="O213" s="155"/>
      <c r="P213" s="155"/>
      <c r="Q213" s="1131"/>
      <c r="R213" s="1131"/>
      <c r="S213" s="251"/>
      <c r="T213" s="251"/>
      <c r="U213" s="1132"/>
      <c r="V213" s="1132"/>
      <c r="W213" s="1132"/>
      <c r="X213" s="1132"/>
      <c r="Y213" s="1132"/>
      <c r="Z213" s="1132"/>
      <c r="AA213" s="1132"/>
      <c r="AN213" s="2815"/>
    </row>
    <row r="214" spans="1:40" ht="14" customHeight="1">
      <c r="A214" s="2815"/>
      <c r="O214" s="155"/>
      <c r="P214" s="155"/>
      <c r="Q214" s="1131"/>
      <c r="R214" s="1131"/>
      <c r="S214" s="251"/>
      <c r="T214" s="251"/>
      <c r="U214" s="1132"/>
      <c r="V214" s="1132"/>
      <c r="W214" s="1132"/>
      <c r="X214" s="1132"/>
      <c r="Y214" s="1132"/>
      <c r="Z214" s="1132"/>
      <c r="AA214" s="1132"/>
      <c r="AN214" s="2815"/>
    </row>
    <row r="215" spans="1:40" ht="14" customHeight="1">
      <c r="A215" s="2815"/>
      <c r="O215" s="155"/>
      <c r="P215" s="155"/>
      <c r="Q215" s="1131"/>
      <c r="R215" s="1131"/>
      <c r="S215" s="251"/>
      <c r="T215" s="251"/>
      <c r="U215" s="1132"/>
      <c r="V215" s="1132"/>
      <c r="W215" s="1132"/>
      <c r="X215" s="1132"/>
      <c r="Y215" s="1132"/>
      <c r="Z215" s="1132"/>
      <c r="AA215" s="1132"/>
      <c r="AN215" s="2815"/>
    </row>
    <row r="216" spans="1:40" ht="14" customHeight="1">
      <c r="A216" s="2815"/>
      <c r="O216" s="155"/>
      <c r="P216" s="155"/>
      <c r="Q216" s="1131"/>
      <c r="R216" s="1131"/>
      <c r="S216" s="251"/>
      <c r="T216" s="251"/>
      <c r="U216" s="1132"/>
      <c r="V216" s="1132"/>
      <c r="W216" s="1132"/>
      <c r="X216" s="1132"/>
      <c r="Y216" s="1132"/>
      <c r="Z216" s="1132"/>
      <c r="AA216" s="1132"/>
      <c r="AN216" s="2815"/>
    </row>
    <row r="217" spans="1:40" ht="14" customHeight="1">
      <c r="A217" s="2815"/>
      <c r="O217" s="155"/>
      <c r="P217" s="155"/>
      <c r="Q217" s="1131"/>
      <c r="R217" s="1131"/>
      <c r="S217" s="251"/>
      <c r="T217" s="251"/>
      <c r="U217" s="1132"/>
      <c r="V217" s="1132"/>
      <c r="W217" s="1132"/>
      <c r="X217" s="1132"/>
      <c r="Y217" s="1132"/>
      <c r="Z217" s="1132"/>
      <c r="AA217" s="1132"/>
      <c r="AN217" s="2815"/>
    </row>
    <row r="218" spans="1:40" ht="14" customHeight="1">
      <c r="A218" s="2815"/>
      <c r="O218" s="155"/>
      <c r="P218" s="155"/>
      <c r="Q218" s="1131"/>
      <c r="R218" s="1131"/>
      <c r="S218" s="251"/>
      <c r="T218" s="251"/>
      <c r="U218" s="1132"/>
      <c r="V218" s="1132"/>
      <c r="W218" s="1132"/>
      <c r="X218" s="1132"/>
      <c r="Y218" s="1132"/>
      <c r="Z218" s="1132"/>
      <c r="AA218" s="1132"/>
      <c r="AN218" s="2815"/>
    </row>
    <row r="219" spans="1:40" ht="14" customHeight="1">
      <c r="A219" s="2815"/>
      <c r="O219" s="155"/>
      <c r="P219" s="155"/>
      <c r="Q219" s="1131"/>
      <c r="R219" s="1131"/>
      <c r="S219" s="251"/>
      <c r="T219" s="251"/>
      <c r="U219" s="1132"/>
      <c r="V219" s="1132"/>
      <c r="W219" s="1132"/>
      <c r="X219" s="1132"/>
      <c r="Y219" s="1132"/>
      <c r="Z219" s="1132"/>
      <c r="AA219" s="1132"/>
      <c r="AN219" s="2815"/>
    </row>
    <row r="220" spans="1:40" ht="14" customHeight="1">
      <c r="A220" s="2815"/>
      <c r="B220" s="2815"/>
      <c r="C220" s="2815"/>
      <c r="D220" s="2815"/>
      <c r="F220" s="3158"/>
      <c r="G220" s="3158"/>
      <c r="H220" s="2815"/>
      <c r="I220" s="2815"/>
      <c r="J220" s="2815"/>
      <c r="K220" s="2815"/>
      <c r="L220" s="2815"/>
      <c r="M220" s="2815"/>
      <c r="N220" s="2914"/>
      <c r="O220" s="2815"/>
      <c r="P220" s="2815"/>
      <c r="Q220" s="2815"/>
      <c r="R220" s="3158"/>
      <c r="S220" s="2815"/>
      <c r="T220" s="2815"/>
      <c r="U220" s="2815"/>
      <c r="V220" s="2815"/>
      <c r="W220" s="2815"/>
      <c r="X220" s="2815"/>
      <c r="Y220" s="2815"/>
      <c r="Z220" s="2815"/>
      <c r="AA220" s="2815"/>
      <c r="AB220" s="2815"/>
      <c r="AC220" s="2815"/>
      <c r="AD220" s="2815"/>
      <c r="AE220" s="2815"/>
      <c r="AF220" s="2815"/>
      <c r="AG220" s="2815"/>
      <c r="AH220" s="2815"/>
      <c r="AI220" s="2815"/>
      <c r="AJ220" s="2815"/>
      <c r="AK220" s="2815"/>
      <c r="AL220" s="2815"/>
      <c r="AM220" s="2815"/>
      <c r="AN220" s="2815"/>
    </row>
    <row r="221" spans="1:40" ht="14" customHeight="1">
      <c r="A221" s="2815"/>
      <c r="B221" s="2815"/>
      <c r="C221" s="2815"/>
      <c r="D221" s="2815"/>
      <c r="F221" s="3158"/>
      <c r="G221" s="3158"/>
      <c r="H221" s="2815"/>
      <c r="I221" s="2815"/>
      <c r="J221" s="2815"/>
      <c r="K221" s="2815"/>
      <c r="L221" s="2815"/>
      <c r="M221" s="2815"/>
      <c r="N221" s="2914"/>
      <c r="O221" s="2815"/>
      <c r="P221" s="2815"/>
      <c r="Q221" s="2815"/>
      <c r="R221" s="3158"/>
      <c r="S221" s="2815"/>
      <c r="T221" s="2815"/>
      <c r="U221" s="2815"/>
      <c r="V221" s="2815"/>
      <c r="W221" s="2815"/>
      <c r="X221" s="2815"/>
      <c r="Y221" s="2815"/>
      <c r="Z221" s="2815"/>
      <c r="AA221" s="2815"/>
      <c r="AB221" s="2815"/>
      <c r="AC221" s="2815"/>
      <c r="AD221" s="2815"/>
      <c r="AE221" s="2815"/>
      <c r="AF221" s="2815"/>
      <c r="AG221" s="2815"/>
      <c r="AH221" s="2815"/>
      <c r="AI221" s="2815"/>
      <c r="AJ221" s="2815"/>
      <c r="AK221" s="2815"/>
      <c r="AL221" s="2815"/>
      <c r="AM221" s="2815"/>
      <c r="AN221" s="2815"/>
    </row>
    <row r="222" spans="1:40" ht="14" customHeight="1">
      <c r="A222" s="2815"/>
      <c r="B222" s="2815"/>
      <c r="C222" s="2815"/>
      <c r="D222" s="2815"/>
      <c r="F222" s="3158"/>
      <c r="G222" s="3158"/>
      <c r="H222" s="2815"/>
      <c r="I222" s="2815"/>
      <c r="J222" s="2815"/>
      <c r="K222" s="2815"/>
      <c r="L222" s="2815"/>
      <c r="M222" s="2815"/>
      <c r="N222" s="2914"/>
      <c r="O222" s="2815"/>
      <c r="P222" s="2815"/>
      <c r="Q222" s="2815"/>
      <c r="R222" s="3158"/>
      <c r="S222" s="2815"/>
      <c r="T222" s="2815"/>
      <c r="U222" s="2815"/>
      <c r="V222" s="2815"/>
      <c r="W222" s="2815"/>
      <c r="X222" s="2815"/>
      <c r="Y222" s="2815"/>
      <c r="Z222" s="2815"/>
      <c r="AA222" s="2815"/>
      <c r="AB222" s="2815"/>
      <c r="AC222" s="2815"/>
      <c r="AD222" s="2815"/>
      <c r="AE222" s="2815"/>
      <c r="AF222" s="2815"/>
      <c r="AG222" s="2815"/>
      <c r="AH222" s="2815"/>
      <c r="AI222" s="2815"/>
      <c r="AJ222" s="2815"/>
      <c r="AK222" s="2815"/>
      <c r="AL222" s="2815"/>
      <c r="AM222" s="2815"/>
      <c r="AN222" s="2815"/>
    </row>
    <row r="223" spans="1:40" ht="14" customHeight="1">
      <c r="A223" s="2815"/>
      <c r="B223" s="2815"/>
      <c r="C223" s="2815"/>
      <c r="D223" s="2815"/>
      <c r="F223" s="3158"/>
      <c r="G223" s="3158"/>
      <c r="H223" s="2815"/>
      <c r="I223" s="2815"/>
      <c r="J223" s="2815"/>
      <c r="K223" s="2815"/>
      <c r="L223" s="2815"/>
      <c r="M223" s="2815"/>
      <c r="N223" s="2914"/>
      <c r="O223" s="2815"/>
      <c r="P223" s="2815"/>
      <c r="Q223" s="2815"/>
      <c r="R223" s="3158"/>
      <c r="S223" s="2815"/>
      <c r="T223" s="2815"/>
      <c r="U223" s="2815"/>
      <c r="V223" s="2815"/>
      <c r="W223" s="2815"/>
      <c r="X223" s="2815"/>
      <c r="Y223" s="2815"/>
      <c r="Z223" s="2815"/>
      <c r="AA223" s="2815"/>
      <c r="AB223" s="2815"/>
      <c r="AC223" s="2815"/>
      <c r="AD223" s="2815"/>
      <c r="AE223" s="2815"/>
      <c r="AF223" s="2815"/>
      <c r="AG223" s="2815"/>
      <c r="AH223" s="2815"/>
      <c r="AI223" s="2815"/>
      <c r="AJ223" s="2815"/>
      <c r="AK223" s="2815"/>
      <c r="AL223" s="2815"/>
      <c r="AM223" s="2815"/>
      <c r="AN223" s="2815"/>
    </row>
    <row r="224" spans="1:40" ht="14" customHeight="1">
      <c r="A224" s="2815"/>
      <c r="B224" s="2815"/>
      <c r="C224" s="2815"/>
      <c r="D224" s="2815"/>
      <c r="F224" s="3158"/>
      <c r="G224" s="3158"/>
      <c r="H224" s="2815"/>
      <c r="I224" s="2815"/>
      <c r="J224" s="2815"/>
      <c r="K224" s="2815"/>
      <c r="L224" s="2815"/>
      <c r="M224" s="2815"/>
      <c r="N224" s="2914"/>
      <c r="O224" s="2815"/>
      <c r="P224" s="2815"/>
      <c r="Q224" s="2815"/>
      <c r="R224" s="3158"/>
      <c r="S224" s="2815"/>
      <c r="T224" s="2815"/>
      <c r="U224" s="2815"/>
      <c r="V224" s="2815"/>
      <c r="W224" s="2815"/>
      <c r="X224" s="2815"/>
      <c r="Y224" s="2815"/>
      <c r="Z224" s="2815"/>
      <c r="AA224" s="2815"/>
      <c r="AB224" s="2815"/>
      <c r="AC224" s="2815"/>
      <c r="AD224" s="2815"/>
      <c r="AE224" s="2815"/>
      <c r="AF224" s="2815"/>
      <c r="AG224" s="2815"/>
      <c r="AH224" s="2815"/>
      <c r="AI224" s="2815"/>
      <c r="AJ224" s="2815"/>
      <c r="AK224" s="2815"/>
      <c r="AL224" s="2815"/>
      <c r="AM224" s="2815"/>
      <c r="AN224" s="2815"/>
    </row>
    <row r="225" spans="1:40" ht="14" customHeight="1">
      <c r="A225" s="2815"/>
      <c r="B225" s="2815"/>
      <c r="C225" s="2815"/>
      <c r="D225" s="2815"/>
      <c r="F225" s="3158"/>
      <c r="G225" s="3158"/>
      <c r="H225" s="2815"/>
      <c r="I225" s="2815"/>
      <c r="J225" s="2815"/>
      <c r="K225" s="2815"/>
      <c r="L225" s="2815"/>
      <c r="M225" s="2815"/>
      <c r="N225" s="2914"/>
      <c r="O225" s="2815"/>
      <c r="P225" s="2815"/>
      <c r="Q225" s="2815"/>
      <c r="R225" s="3158"/>
      <c r="S225" s="2815"/>
      <c r="T225" s="2815"/>
      <c r="U225" s="2815"/>
      <c r="V225" s="2815"/>
      <c r="W225" s="2815"/>
      <c r="X225" s="2815"/>
      <c r="Y225" s="2815"/>
      <c r="Z225" s="2815"/>
      <c r="AA225" s="2815"/>
      <c r="AB225" s="2815"/>
      <c r="AC225" s="2815"/>
      <c r="AD225" s="2815"/>
      <c r="AE225" s="2815"/>
      <c r="AF225" s="2815"/>
      <c r="AG225" s="2815"/>
      <c r="AH225" s="2815"/>
      <c r="AI225" s="2815"/>
      <c r="AJ225" s="2815"/>
      <c r="AK225" s="2815"/>
      <c r="AL225" s="2815"/>
      <c r="AM225" s="2815"/>
      <c r="AN225" s="2815"/>
    </row>
    <row r="226" spans="1:40" ht="14" customHeight="1">
      <c r="A226" s="2815"/>
      <c r="B226" s="2815"/>
      <c r="C226" s="2815"/>
      <c r="D226" s="2815"/>
      <c r="F226" s="3158"/>
      <c r="G226" s="3158"/>
      <c r="H226" s="2815"/>
      <c r="I226" s="2815"/>
      <c r="J226" s="2815"/>
      <c r="K226" s="2815"/>
      <c r="L226" s="2815"/>
      <c r="M226" s="2815"/>
      <c r="N226" s="2914"/>
      <c r="O226" s="2815"/>
      <c r="P226" s="2815"/>
      <c r="Q226" s="2815"/>
      <c r="R226" s="3158"/>
      <c r="S226" s="2815"/>
      <c r="T226" s="2815"/>
      <c r="U226" s="2815"/>
      <c r="V226" s="2815"/>
      <c r="W226" s="2815"/>
      <c r="X226" s="2815"/>
      <c r="Y226" s="2815"/>
      <c r="Z226" s="2815"/>
      <c r="AA226" s="2815"/>
      <c r="AB226" s="2815"/>
      <c r="AC226" s="2815"/>
      <c r="AD226" s="2815"/>
      <c r="AE226" s="2815"/>
      <c r="AF226" s="2815"/>
      <c r="AG226" s="2815"/>
      <c r="AH226" s="2815"/>
      <c r="AI226" s="2815"/>
      <c r="AJ226" s="2815"/>
      <c r="AK226" s="2815"/>
      <c r="AL226" s="2815"/>
      <c r="AM226" s="2815"/>
      <c r="AN226" s="2815"/>
    </row>
    <row r="227" spans="1:40" ht="14" customHeight="1">
      <c r="A227" s="2815"/>
      <c r="B227" s="2815"/>
      <c r="C227" s="2815"/>
      <c r="D227" s="2815"/>
      <c r="F227" s="3158"/>
      <c r="G227" s="3158"/>
      <c r="H227" s="2815"/>
      <c r="I227" s="2815"/>
      <c r="J227" s="2815"/>
      <c r="K227" s="2815"/>
      <c r="L227" s="2815"/>
      <c r="M227" s="2815"/>
      <c r="N227" s="2914"/>
      <c r="O227" s="2815"/>
      <c r="P227" s="2815"/>
      <c r="Q227" s="2815"/>
      <c r="R227" s="3158"/>
      <c r="S227" s="2815"/>
      <c r="T227" s="2815"/>
      <c r="U227" s="2815"/>
      <c r="V227" s="2815"/>
      <c r="W227" s="2815"/>
      <c r="X227" s="2815"/>
      <c r="Y227" s="2815"/>
      <c r="Z227" s="2815"/>
      <c r="AA227" s="2815"/>
      <c r="AB227" s="2815"/>
      <c r="AC227" s="2815"/>
      <c r="AD227" s="2815"/>
      <c r="AE227" s="2815"/>
      <c r="AF227" s="2815"/>
      <c r="AG227" s="2815"/>
      <c r="AH227" s="2815"/>
      <c r="AI227" s="2815"/>
      <c r="AJ227" s="2815"/>
      <c r="AK227" s="2815"/>
      <c r="AL227" s="2815"/>
      <c r="AM227" s="2815"/>
      <c r="AN227" s="2815"/>
    </row>
    <row r="228" spans="1:40" ht="14" customHeight="1">
      <c r="A228" s="2815"/>
      <c r="B228" s="2815"/>
      <c r="C228" s="2815"/>
      <c r="D228" s="2815"/>
      <c r="F228" s="3158"/>
      <c r="G228" s="3158"/>
      <c r="H228" s="2815"/>
      <c r="I228" s="2815"/>
      <c r="J228" s="2815"/>
      <c r="K228" s="2815"/>
      <c r="L228" s="2815"/>
      <c r="M228" s="2815"/>
      <c r="N228" s="2914"/>
      <c r="O228" s="2815"/>
      <c r="P228" s="2815"/>
      <c r="Q228" s="2815"/>
      <c r="R228" s="3158"/>
      <c r="S228" s="2815"/>
      <c r="T228" s="2815"/>
      <c r="U228" s="2815"/>
      <c r="V228" s="2815"/>
      <c r="W228" s="2815"/>
      <c r="X228" s="2815"/>
      <c r="Y228" s="2815"/>
      <c r="Z228" s="2815"/>
      <c r="AA228" s="2815"/>
      <c r="AB228" s="2815"/>
      <c r="AC228" s="2815"/>
      <c r="AD228" s="2815"/>
      <c r="AE228" s="2815"/>
      <c r="AF228" s="2815"/>
      <c r="AG228" s="2815"/>
      <c r="AH228" s="2815"/>
      <c r="AI228" s="2815"/>
      <c r="AJ228" s="2815"/>
      <c r="AK228" s="2815"/>
      <c r="AL228" s="2815"/>
      <c r="AM228" s="2815"/>
      <c r="AN228" s="2815"/>
    </row>
    <row r="229" spans="1:40" ht="14" customHeight="1">
      <c r="A229" s="2815"/>
      <c r="B229" s="2815"/>
      <c r="C229" s="2815"/>
      <c r="D229" s="2815"/>
      <c r="F229" s="3158"/>
      <c r="G229" s="3158"/>
      <c r="H229" s="2815"/>
      <c r="I229" s="2815"/>
      <c r="J229" s="2815"/>
      <c r="K229" s="2815"/>
      <c r="L229" s="2815"/>
      <c r="M229" s="2815"/>
      <c r="N229" s="2914"/>
      <c r="O229" s="2815"/>
      <c r="P229" s="2815"/>
      <c r="Q229" s="2815"/>
      <c r="R229" s="3158"/>
      <c r="S229" s="2815"/>
      <c r="T229" s="2815"/>
      <c r="U229" s="2815"/>
      <c r="V229" s="2815"/>
      <c r="W229" s="2815"/>
      <c r="X229" s="2815"/>
      <c r="Y229" s="2815"/>
      <c r="Z229" s="2815"/>
      <c r="AA229" s="2815"/>
      <c r="AB229" s="2815"/>
      <c r="AC229" s="2815"/>
      <c r="AD229" s="2815"/>
      <c r="AE229" s="2815"/>
      <c r="AF229" s="2815"/>
      <c r="AG229" s="2815"/>
      <c r="AH229" s="2815"/>
      <c r="AI229" s="2815"/>
      <c r="AJ229" s="2815"/>
      <c r="AK229" s="2815"/>
      <c r="AL229" s="2815"/>
      <c r="AM229" s="2815"/>
      <c r="AN229" s="2815"/>
    </row>
  </sheetData>
  <printOptions horizontalCentered="1" verticalCentered="1"/>
  <pageMargins left="0" right="0" top="0.78740157480314965" bottom="0.59055118110236227" header="0.39370078740157483" footer="0"/>
  <pageSetup paperSize="9" orientation="landscape" horizontalDpi="0" verticalDpi="0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5"/>
  <dimension ref="A1:AO265"/>
  <sheetViews>
    <sheetView topLeftCell="A24" zoomScale="220" zoomScaleNormal="220" zoomScalePageLayoutView="117" workbookViewId="0">
      <selection activeCell="L45" sqref="L45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33203125" style="204" customWidth="1"/>
    <col min="4" max="4" width="0.83203125" style="902" customWidth="1"/>
    <col min="5" max="5" width="3.83203125" style="204" customWidth="1"/>
    <col min="6" max="6" width="3" style="207" customWidth="1"/>
    <col min="7" max="8" width="5.6640625" style="208" customWidth="1"/>
    <col min="9" max="10" width="7.33203125" style="208" customWidth="1"/>
    <col min="11" max="11" width="29.5" style="208" customWidth="1"/>
    <col min="12" max="12" width="9" style="208" customWidth="1"/>
    <col min="13" max="13" width="1" style="449" customWidth="1"/>
    <col min="14" max="14" width="9.5" style="207" customWidth="1"/>
    <col min="15" max="15" width="1" style="208" customWidth="1"/>
    <col min="16" max="16" width="9" style="208" customWidth="1"/>
    <col min="17" max="17" width="6.6640625" style="209" customWidth="1"/>
    <col min="18" max="18" width="7.6640625" style="209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17.25" customHeight="1" thickBot="1">
      <c r="A1" s="203" t="s">
        <v>344</v>
      </c>
      <c r="F1" s="527"/>
      <c r="G1" s="155"/>
      <c r="H1" s="155"/>
      <c r="I1" s="155"/>
      <c r="J1" s="217"/>
      <c r="K1" s="1047">
        <v>44711</v>
      </c>
      <c r="L1" s="1009"/>
      <c r="U1" s="218" t="s">
        <v>345</v>
      </c>
      <c r="AI1" s="213"/>
      <c r="AJ1" s="213"/>
      <c r="AK1" s="213"/>
      <c r="AL1" s="213"/>
      <c r="AM1" s="213"/>
    </row>
    <row r="2" spans="1:40" s="223" customFormat="1" ht="71.25" customHeight="1" thickTop="1" thickBot="1">
      <c r="A2" s="351" t="s">
        <v>346</v>
      </c>
      <c r="B2" s="352" t="s">
        <v>347</v>
      </c>
      <c r="C2" s="353" t="s">
        <v>348</v>
      </c>
      <c r="D2" s="903"/>
      <c r="E2" s="674" t="s">
        <v>349</v>
      </c>
      <c r="F2" s="354" t="s">
        <v>350</v>
      </c>
      <c r="G2" s="350" t="s">
        <v>351</v>
      </c>
      <c r="H2" s="350" t="s">
        <v>624</v>
      </c>
      <c r="I2" s="350" t="s">
        <v>352</v>
      </c>
      <c r="J2" s="354" t="s">
        <v>353</v>
      </c>
      <c r="K2" s="350" t="s">
        <v>354</v>
      </c>
      <c r="L2" s="350"/>
      <c r="M2" s="450" t="s">
        <v>355</v>
      </c>
      <c r="N2" s="350" t="s">
        <v>445</v>
      </c>
      <c r="O2" s="353" t="s">
        <v>446</v>
      </c>
      <c r="P2" s="353" t="s">
        <v>447</v>
      </c>
      <c r="Q2" s="355" t="s">
        <v>448</v>
      </c>
      <c r="R2" s="356" t="s">
        <v>371</v>
      </c>
      <c r="S2" s="219" t="s">
        <v>449</v>
      </c>
      <c r="T2" s="219" t="s">
        <v>450</v>
      </c>
      <c r="U2" s="326" t="s">
        <v>451</v>
      </c>
      <c r="V2" s="329" t="s">
        <v>452</v>
      </c>
      <c r="W2" s="327" t="s">
        <v>453</v>
      </c>
      <c r="X2" s="330" t="s">
        <v>454</v>
      </c>
      <c r="Y2" s="328" t="s">
        <v>455</v>
      </c>
      <c r="Z2" s="332" t="s">
        <v>456</v>
      </c>
      <c r="AA2" s="331" t="s">
        <v>457</v>
      </c>
      <c r="AB2" s="220"/>
      <c r="AC2" s="221"/>
      <c r="AD2" s="222"/>
      <c r="AE2" s="222"/>
      <c r="AF2" s="222"/>
      <c r="AG2" s="222"/>
      <c r="AH2" s="222"/>
      <c r="AI2" s="220"/>
      <c r="AJ2" s="220"/>
      <c r="AK2" s="220"/>
      <c r="AL2" s="220"/>
      <c r="AM2" s="220"/>
      <c r="AN2" s="220"/>
    </row>
    <row r="3" spans="1:40" s="223" customFormat="1" ht="11" customHeight="1" thickBot="1">
      <c r="A3" s="911"/>
      <c r="B3" s="912"/>
      <c r="C3" s="913"/>
      <c r="D3" s="914"/>
      <c r="E3" s="977"/>
      <c r="F3" s="915"/>
      <c r="G3" s="913"/>
      <c r="H3" s="913"/>
      <c r="I3" s="913"/>
      <c r="J3" s="915"/>
      <c r="K3" s="913"/>
      <c r="L3" s="913"/>
      <c r="M3" s="916"/>
      <c r="N3" s="913"/>
      <c r="O3" s="913"/>
      <c r="P3" s="913"/>
      <c r="Q3" s="917"/>
      <c r="R3" s="918"/>
      <c r="S3" s="919"/>
      <c r="T3" s="919"/>
      <c r="U3" s="1579">
        <v>9.3287037037037058E-4</v>
      </c>
      <c r="V3" s="1580">
        <v>8.6111111111111121E-4</v>
      </c>
      <c r="W3" s="1580">
        <v>7.8935185185185206E-4</v>
      </c>
      <c r="X3" s="1580">
        <v>7.175925925925927E-4</v>
      </c>
      <c r="Y3" s="1580">
        <v>7.1400462962962975E-4</v>
      </c>
      <c r="Z3" s="1580">
        <v>7.0324074074074082E-4</v>
      </c>
      <c r="AA3" s="1581">
        <v>6.8888888888888895E-4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8" customFormat="1" ht="4.25" customHeight="1" thickBot="1">
      <c r="A4" s="621"/>
      <c r="B4" s="622"/>
      <c r="C4" s="623"/>
      <c r="D4" s="938"/>
      <c r="E4" s="623"/>
      <c r="F4" s="624"/>
      <c r="G4" s="625"/>
      <c r="H4" s="625"/>
      <c r="I4" s="625"/>
      <c r="J4" s="624"/>
      <c r="K4" s="625"/>
      <c r="L4" s="625"/>
      <c r="M4" s="626"/>
      <c r="N4" s="834"/>
      <c r="O4" s="623"/>
      <c r="P4" s="623"/>
      <c r="Q4" s="623"/>
      <c r="R4" s="627"/>
      <c r="S4" s="224"/>
      <c r="T4" s="224"/>
      <c r="U4" s="111">
        <f>U3/4</f>
        <v>2.3321759259259265E-4</v>
      </c>
      <c r="V4" s="111">
        <f t="shared" ref="V4:AA4" si="0">V3/4</f>
        <v>2.152777777777778E-4</v>
      </c>
      <c r="W4" s="111">
        <f t="shared" si="0"/>
        <v>1.9733796296296302E-4</v>
      </c>
      <c r="X4" s="111">
        <f t="shared" si="0"/>
        <v>1.7939814814814817E-4</v>
      </c>
      <c r="Y4" s="111">
        <f t="shared" si="0"/>
        <v>1.7850115740740744E-4</v>
      </c>
      <c r="Z4" s="111">
        <f t="shared" si="0"/>
        <v>1.7581018518518521E-4</v>
      </c>
      <c r="AA4" s="111">
        <f t="shared" si="0"/>
        <v>1.7222222222222224E-4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0" ht="17" customHeight="1" thickTop="1">
      <c r="A5" s="399" t="s">
        <v>214</v>
      </c>
      <c r="B5" s="1151" t="s">
        <v>215</v>
      </c>
      <c r="C5" s="629">
        <f>IF(D5=1,U$4,IF(D5=2,V$4,IF(D5=3,W$4,IF(D5=4,X$4,IF(D5=5,Y$4,IF(D5=6,Z$4,IF(D5=7,AA$4,0)))))))</f>
        <v>2.3321759259259265E-4</v>
      </c>
      <c r="D5" s="891">
        <v>1</v>
      </c>
      <c r="E5" s="275">
        <v>1</v>
      </c>
      <c r="F5" s="275">
        <v>4</v>
      </c>
      <c r="G5" s="275">
        <v>200</v>
      </c>
      <c r="H5" s="275"/>
      <c r="I5" s="276">
        <v>15</v>
      </c>
      <c r="J5" s="276">
        <v>2.3148148148148146E-4</v>
      </c>
      <c r="K5" s="312" t="s">
        <v>172</v>
      </c>
      <c r="L5" s="276">
        <v>0.30555555555555552</v>
      </c>
      <c r="M5" s="312">
        <v>1.2</v>
      </c>
      <c r="N5" s="276">
        <f t="shared" ref="N5:N8" si="1">P5*E5*F5+I5*F5*E5+J5*E5</f>
        <v>60.00918703703703</v>
      </c>
      <c r="O5" s="296">
        <f>C5*(G5/25)</f>
        <v>1.8657407407407412E-3</v>
      </c>
      <c r="P5" s="276">
        <f>O5*M5</f>
        <v>2.2388888888888892E-3</v>
      </c>
      <c r="Q5" s="797">
        <v>144</v>
      </c>
      <c r="R5" s="275">
        <f>E5*F5*G5</f>
        <v>800</v>
      </c>
      <c r="S5" s="229">
        <f>E5*F5*G5/1000</f>
        <v>0.8</v>
      </c>
      <c r="T5" s="230">
        <f>E5*F5*O5*4</f>
        <v>2.9851851851851859E-2</v>
      </c>
      <c r="U5" s="374">
        <f>IF(C5*4&gt;=$U$3,S5,0)</f>
        <v>0.8</v>
      </c>
      <c r="V5" s="375">
        <f>IF(AND(C5*4&gt;=$V$3,C5*4&lt;$U$3),S5,0)</f>
        <v>0</v>
      </c>
      <c r="W5" s="376">
        <f>IF(AND(C5*4&gt;=$W$3,C5*4&lt;$V$3),S5,0)</f>
        <v>0</v>
      </c>
      <c r="X5" s="377">
        <f>IF(AND(C5*4&gt;=$X$3,C5*4&lt;$W$3),S5,0)</f>
        <v>0</v>
      </c>
      <c r="Y5" s="378">
        <f>IF(AND(C5*4&gt;=$Y$3,C5*4&lt;$X$3),S5,0)</f>
        <v>0</v>
      </c>
      <c r="Z5" s="379">
        <f>IF(AND(C5*4&gt;=$Z$3,C5*4&lt;$Y$3),S5,0)</f>
        <v>0</v>
      </c>
      <c r="AA5" s="380">
        <f>IF(AND(C5*4&gt;=$AA$3,C5*4&lt;$Z$3),S5,0)</f>
        <v>0</v>
      </c>
      <c r="AC5" s="231"/>
      <c r="AD5" s="231"/>
      <c r="AE5" s="231"/>
      <c r="AF5" s="231"/>
      <c r="AG5" s="231"/>
      <c r="AH5" s="231"/>
      <c r="AI5" s="213"/>
      <c r="AJ5" s="213"/>
      <c r="AK5" s="213"/>
      <c r="AL5" s="213"/>
      <c r="AM5" s="213"/>
    </row>
    <row r="6" spans="1:40" ht="14" customHeight="1">
      <c r="A6" s="397" t="s">
        <v>459</v>
      </c>
      <c r="B6" s="1124" t="s">
        <v>215</v>
      </c>
      <c r="C6" s="274">
        <f>IF(D6=1,U$4,IF(D6=2,V$4,IF(D6=3,W$4,IF(D6=4,X$4,IF(D6=5,Y$4,IF(D6=6,Z$4,IF(D6=7,AA$4,0)))))))</f>
        <v>1.9733796296296302E-4</v>
      </c>
      <c r="D6" s="1442">
        <v>3</v>
      </c>
      <c r="E6" s="280">
        <v>1</v>
      </c>
      <c r="F6" s="280">
        <v>6</v>
      </c>
      <c r="G6" s="280">
        <v>50</v>
      </c>
      <c r="H6" s="280"/>
      <c r="I6" s="281">
        <v>8.1018518518518516E-5</v>
      </c>
      <c r="J6" s="281">
        <v>1.3888888888888889E-3</v>
      </c>
      <c r="K6" s="1074" t="s">
        <v>1834</v>
      </c>
      <c r="L6" s="281">
        <f>L5+N5</f>
        <v>60.314742592592587</v>
      </c>
      <c r="M6" s="1074">
        <v>1.1499999999999999</v>
      </c>
      <c r="N6" s="281">
        <f t="shared" si="1"/>
        <v>4.5982638888888896E-3</v>
      </c>
      <c r="O6" s="298">
        <f>C6*(G6/25)</f>
        <v>3.9467592592592603E-4</v>
      </c>
      <c r="P6" s="281">
        <f>O6*M6</f>
        <v>4.5387731481481489E-4</v>
      </c>
      <c r="Q6" s="333">
        <v>144</v>
      </c>
      <c r="R6" s="280">
        <f>E6*F6*G6</f>
        <v>300</v>
      </c>
      <c r="S6" s="229">
        <f t="shared" ref="S6:S63" si="2">E6*F6*G6/1000</f>
        <v>0.3</v>
      </c>
      <c r="T6" s="230">
        <f t="shared" ref="T6:T63" si="3">E6*F6*O6*4</f>
        <v>9.4722222222222256E-3</v>
      </c>
      <c r="U6" s="374">
        <f t="shared" ref="U6:U63" si="4">IF(C6*4&gt;=$U$3,S6,0)</f>
        <v>0</v>
      </c>
      <c r="V6" s="375">
        <f t="shared" ref="V6:V63" si="5">IF(AND(C6*4&gt;=$V$3,C6*4&lt;$U$3),S6,0)</f>
        <v>0</v>
      </c>
      <c r="W6" s="376">
        <f t="shared" ref="W6:W63" si="6">IF(AND(C6*4&gt;=$W$3,C6*4&lt;$V$3),S6,0)</f>
        <v>0.3</v>
      </c>
      <c r="X6" s="377">
        <f t="shared" ref="X6:X63" si="7">IF(AND(C6*4&gt;=$X$3,C6*4&lt;$W$3),S6,0)</f>
        <v>0</v>
      </c>
      <c r="Y6" s="378">
        <f t="shared" ref="Y6:Y63" si="8">IF(AND(C6*4&gt;=$Y$3,C6*4&lt;$X$3),S6,0)</f>
        <v>0</v>
      </c>
      <c r="Z6" s="379">
        <f t="shared" ref="Z6:Z63" si="9">IF(AND(C6*4&gt;=$Z$3,C6*4&lt;$Y$3),S6,0)</f>
        <v>0</v>
      </c>
      <c r="AA6" s="380">
        <f t="shared" ref="AA6:AA63" si="10">IF(AND(C6*4&gt;=$AA$3,C6*4&lt;$Z$3),S6,0)</f>
        <v>0</v>
      </c>
      <c r="AC6" s="231"/>
      <c r="AD6" s="231"/>
      <c r="AE6" s="231"/>
      <c r="AF6" s="231"/>
      <c r="AG6" s="231"/>
      <c r="AH6" s="231"/>
      <c r="AI6" s="213"/>
      <c r="AJ6" s="213"/>
      <c r="AK6" s="213"/>
      <c r="AL6" s="213"/>
      <c r="AM6" s="213"/>
    </row>
    <row r="7" spans="1:40" ht="14" customHeight="1" thickBot="1">
      <c r="A7" s="397" t="s">
        <v>460</v>
      </c>
      <c r="B7" s="1124" t="s">
        <v>215</v>
      </c>
      <c r="C7" s="274">
        <f>IF(D7=1,U$4,IF(D7=2,V$4,IF(D7=3,W$4,IF(D7=4,X$4,IF(D7=5,Y$4,IF(D7=6,Z$4,IF(D7=7,AA$4,0)))))))</f>
        <v>1.7850115740740744E-4</v>
      </c>
      <c r="D7" s="897">
        <v>5</v>
      </c>
      <c r="E7" s="307">
        <v>1</v>
      </c>
      <c r="F7" s="307">
        <v>6</v>
      </c>
      <c r="G7" s="307">
        <v>50</v>
      </c>
      <c r="H7" s="1601"/>
      <c r="I7" s="306">
        <v>8.1018518518518516E-4</v>
      </c>
      <c r="J7" s="306">
        <v>1.736111111111111E-3</v>
      </c>
      <c r="K7" s="1251" t="s">
        <v>973</v>
      </c>
      <c r="L7" s="306">
        <f>L6+N6</f>
        <v>60.319340856481475</v>
      </c>
      <c r="M7" s="1252">
        <v>1.1499999999999999</v>
      </c>
      <c r="N7" s="306">
        <f t="shared" si="1"/>
        <v>9.0605381944444448E-3</v>
      </c>
      <c r="O7" s="305">
        <f>C7*(G7/25)</f>
        <v>3.5700231481481488E-4</v>
      </c>
      <c r="P7" s="306">
        <f>O7*M7</f>
        <v>4.1055266203703707E-4</v>
      </c>
      <c r="Q7" s="786">
        <v>144</v>
      </c>
      <c r="R7" s="290">
        <f>E7*F7*G7</f>
        <v>300</v>
      </c>
      <c r="S7" s="229">
        <f t="shared" si="2"/>
        <v>0.3</v>
      </c>
      <c r="T7" s="230">
        <f t="shared" si="3"/>
        <v>8.5680555555555579E-3</v>
      </c>
      <c r="U7" s="374">
        <f t="shared" si="4"/>
        <v>0</v>
      </c>
      <c r="V7" s="375">
        <f t="shared" si="5"/>
        <v>0</v>
      </c>
      <c r="W7" s="376">
        <f t="shared" si="6"/>
        <v>0</v>
      </c>
      <c r="X7" s="377">
        <f t="shared" si="7"/>
        <v>0</v>
      </c>
      <c r="Y7" s="378">
        <f t="shared" si="8"/>
        <v>0.3</v>
      </c>
      <c r="Z7" s="379">
        <f t="shared" si="9"/>
        <v>0</v>
      </c>
      <c r="AA7" s="380">
        <f t="shared" si="10"/>
        <v>0</v>
      </c>
      <c r="AC7" s="231"/>
      <c r="AD7" s="231"/>
      <c r="AE7" s="231"/>
      <c r="AF7" s="231"/>
      <c r="AG7" s="231"/>
      <c r="AH7" s="231"/>
      <c r="AI7" s="213"/>
      <c r="AJ7" s="213"/>
      <c r="AK7" s="213"/>
      <c r="AL7" s="213"/>
      <c r="AM7" s="213"/>
    </row>
    <row r="8" spans="1:40" ht="14" customHeight="1" thickBot="1">
      <c r="A8" s="851" t="s">
        <v>458</v>
      </c>
      <c r="B8" s="1124" t="s">
        <v>215</v>
      </c>
      <c r="C8" s="274">
        <f>IF(D8=1,U$4,IF(D8=2,V$4,IF(D8=3,W$4,IF(D8=4,X$4,IF(D8=5,Y$4,IF(D8=6,Z$4,IF(D8=7,AA$4,0)))))))</f>
        <v>1.7222222222222224E-4</v>
      </c>
      <c r="D8" s="920">
        <v>7</v>
      </c>
      <c r="E8" s="1040">
        <v>1</v>
      </c>
      <c r="F8" s="2050">
        <v>4</v>
      </c>
      <c r="G8" s="2050">
        <v>25</v>
      </c>
      <c r="H8" s="1655"/>
      <c r="I8" s="2051">
        <v>1.1574074074074073E-3</v>
      </c>
      <c r="J8" s="1041">
        <v>1.3888888888888889E-3</v>
      </c>
      <c r="K8" s="442" t="s">
        <v>972</v>
      </c>
      <c r="L8" s="1041">
        <f>L7+N7</f>
        <v>60.328401394675922</v>
      </c>
      <c r="M8" s="1323">
        <v>1</v>
      </c>
      <c r="N8" s="2042">
        <f t="shared" si="1"/>
        <v>6.7074074074074076E-3</v>
      </c>
      <c r="O8" s="439">
        <f>C8*(G8/25)</f>
        <v>1.7222222222222224E-4</v>
      </c>
      <c r="P8" s="2042">
        <f>O8*M8</f>
        <v>1.7222222222222224E-4</v>
      </c>
      <c r="Q8" s="790">
        <v>144</v>
      </c>
      <c r="R8" s="1045">
        <f>E8*F8*G8</f>
        <v>100</v>
      </c>
      <c r="S8" s="229">
        <f t="shared" si="2"/>
        <v>0.1</v>
      </c>
      <c r="T8" s="230">
        <f t="shared" si="3"/>
        <v>2.7555555555555558E-3</v>
      </c>
      <c r="U8" s="374">
        <f t="shared" si="4"/>
        <v>0</v>
      </c>
      <c r="V8" s="375">
        <f t="shared" si="5"/>
        <v>0</v>
      </c>
      <c r="W8" s="376">
        <f t="shared" si="6"/>
        <v>0</v>
      </c>
      <c r="X8" s="377">
        <f t="shared" si="7"/>
        <v>0</v>
      </c>
      <c r="Y8" s="378">
        <f t="shared" si="8"/>
        <v>0</v>
      </c>
      <c r="Z8" s="379">
        <f t="shared" si="9"/>
        <v>0</v>
      </c>
      <c r="AA8" s="380">
        <f t="shared" si="10"/>
        <v>0.1</v>
      </c>
      <c r="AC8" s="231"/>
      <c r="AD8" s="231"/>
      <c r="AE8" s="231"/>
      <c r="AF8" s="231"/>
      <c r="AG8" s="231"/>
      <c r="AH8" s="231"/>
      <c r="AI8" s="213"/>
      <c r="AJ8" s="213"/>
      <c r="AK8" s="213"/>
      <c r="AL8" s="213"/>
      <c r="AM8" s="213"/>
    </row>
    <row r="9" spans="1:40" ht="15" customHeight="1" thickBot="1">
      <c r="A9" s="851" t="s">
        <v>219</v>
      </c>
      <c r="B9" s="1026"/>
      <c r="C9" s="274">
        <f t="shared" ref="C9:C17" si="11">IF(D9=1,U$4,IF(D9=2,V$4,IF(D9=3,W$4,IF(D9=4,X$4,IF(D9=5,Y$4,IF(D9=6,Z$4,IF(D9=7,AA$4,0)))))))</f>
        <v>0</v>
      </c>
      <c r="D9" s="920">
        <v>8</v>
      </c>
      <c r="E9" s="1405"/>
      <c r="F9" s="1405"/>
      <c r="G9" s="1405"/>
      <c r="H9" s="1406"/>
      <c r="I9" s="1407"/>
      <c r="J9" s="1407"/>
      <c r="K9" s="1408"/>
      <c r="L9" s="1443">
        <f>L8+N8</f>
        <v>60.335108802083326</v>
      </c>
      <c r="M9" s="1409">
        <v>2</v>
      </c>
      <c r="N9" s="1407"/>
      <c r="O9" s="1407"/>
      <c r="P9" s="1410"/>
      <c r="Q9" s="1411"/>
      <c r="R9" s="2055">
        <f>SUM(R5:R8)</f>
        <v>1500</v>
      </c>
      <c r="S9" s="229">
        <f t="shared" si="2"/>
        <v>0</v>
      </c>
      <c r="T9" s="230">
        <f t="shared" si="3"/>
        <v>0</v>
      </c>
      <c r="U9" s="374">
        <f t="shared" si="4"/>
        <v>0</v>
      </c>
      <c r="V9" s="375">
        <f t="shared" si="5"/>
        <v>0</v>
      </c>
      <c r="W9" s="376">
        <f t="shared" si="6"/>
        <v>0</v>
      </c>
      <c r="X9" s="377">
        <f t="shared" si="7"/>
        <v>0</v>
      </c>
      <c r="Y9" s="378">
        <f t="shared" si="8"/>
        <v>0</v>
      </c>
      <c r="Z9" s="379">
        <f t="shared" si="9"/>
        <v>0</v>
      </c>
      <c r="AA9" s="380">
        <f t="shared" si="10"/>
        <v>0</v>
      </c>
      <c r="AC9" s="231"/>
      <c r="AD9" s="231"/>
      <c r="AE9" s="231"/>
      <c r="AF9" s="231"/>
      <c r="AG9" s="231"/>
      <c r="AH9" s="231"/>
      <c r="AI9" s="213"/>
      <c r="AJ9" s="213"/>
      <c r="AK9" s="213"/>
      <c r="AL9" s="213"/>
      <c r="AM9" s="213"/>
    </row>
    <row r="10" spans="1:40" ht="13" customHeight="1" thickBot="1">
      <c r="A10" s="851"/>
      <c r="B10" s="1124" t="s">
        <v>461</v>
      </c>
      <c r="C10" s="274">
        <f t="shared" si="11"/>
        <v>2.3321759259259265E-4</v>
      </c>
      <c r="D10" s="920">
        <v>1</v>
      </c>
      <c r="E10" s="1979">
        <v>1</v>
      </c>
      <c r="F10" s="1979">
        <v>12</v>
      </c>
      <c r="G10" s="1979">
        <v>100</v>
      </c>
      <c r="H10" s="1979"/>
      <c r="I10" s="1985">
        <v>1.7361111111111112E-4</v>
      </c>
      <c r="J10" s="1985">
        <v>8.1018518518518516E-4</v>
      </c>
      <c r="K10" s="1986" t="s">
        <v>1109</v>
      </c>
      <c r="L10" s="1985">
        <v>0.79861111111111116</v>
      </c>
      <c r="M10" s="453">
        <v>1.2</v>
      </c>
      <c r="N10" s="281">
        <f t="shared" ref="N10:N16" si="12">P10*E10*F10+I10*F10*E10+J10*E10</f>
        <v>1.6326851851851853E-2</v>
      </c>
      <c r="O10" s="281">
        <f t="shared" ref="O10:O16" si="13">C10*(G10/25)</f>
        <v>9.3287037037037058E-4</v>
      </c>
      <c r="P10" s="281">
        <f t="shared" ref="P10:P16" si="14">O10*M10</f>
        <v>1.1194444444444446E-3</v>
      </c>
      <c r="Q10" s="333">
        <v>160</v>
      </c>
      <c r="R10" s="280">
        <f t="shared" ref="R10:R16" si="15">E10*F10*G10</f>
        <v>1200</v>
      </c>
      <c r="S10" s="229">
        <f t="shared" si="2"/>
        <v>1.2</v>
      </c>
      <c r="T10" s="230">
        <f t="shared" si="3"/>
        <v>4.4777777777777791E-2</v>
      </c>
      <c r="U10" s="374">
        <f t="shared" si="4"/>
        <v>1.2</v>
      </c>
      <c r="V10" s="375">
        <f t="shared" si="5"/>
        <v>0</v>
      </c>
      <c r="W10" s="376">
        <f t="shared" si="6"/>
        <v>0</v>
      </c>
      <c r="X10" s="377">
        <f t="shared" si="7"/>
        <v>0</v>
      </c>
      <c r="Y10" s="378">
        <f t="shared" si="8"/>
        <v>0</v>
      </c>
      <c r="Z10" s="379">
        <f t="shared" si="9"/>
        <v>0</v>
      </c>
      <c r="AA10" s="380">
        <f t="shared" si="10"/>
        <v>0</v>
      </c>
      <c r="AC10" s="231"/>
      <c r="AD10" s="231"/>
      <c r="AE10" s="231"/>
      <c r="AF10" s="231"/>
      <c r="AG10" s="231"/>
      <c r="AH10" s="231"/>
      <c r="AI10" s="213"/>
      <c r="AJ10" s="213"/>
      <c r="AK10" s="213"/>
      <c r="AL10" s="213"/>
      <c r="AM10" s="213"/>
    </row>
    <row r="11" spans="1:40" ht="13" customHeight="1" thickBot="1">
      <c r="A11" s="851"/>
      <c r="B11" s="1124" t="s">
        <v>461</v>
      </c>
      <c r="C11" s="274">
        <f t="shared" si="11"/>
        <v>1.9733796296296302E-4</v>
      </c>
      <c r="D11" s="920">
        <v>3</v>
      </c>
      <c r="E11" s="1311">
        <v>1</v>
      </c>
      <c r="F11" s="1311">
        <v>20</v>
      </c>
      <c r="G11" s="280">
        <v>50</v>
      </c>
      <c r="H11" s="1998"/>
      <c r="I11" s="1403">
        <v>2.8935185185185189E-4</v>
      </c>
      <c r="J11" s="1403">
        <v>9.8379629629629642E-4</v>
      </c>
      <c r="K11" s="1075" t="s">
        <v>1419</v>
      </c>
      <c r="L11" s="281">
        <f t="shared" ref="L11:L16" si="16">L10+N10</f>
        <v>0.81493796296296306</v>
      </c>
      <c r="M11" s="453">
        <v>1.1000000000000001</v>
      </c>
      <c r="N11" s="281">
        <f t="shared" si="12"/>
        <v>1.5453703703703707E-2</v>
      </c>
      <c r="O11" s="281">
        <f t="shared" si="13"/>
        <v>3.9467592592592603E-4</v>
      </c>
      <c r="P11" s="281">
        <f t="shared" si="14"/>
        <v>4.3414351851851866E-4</v>
      </c>
      <c r="Q11" s="333">
        <v>160</v>
      </c>
      <c r="R11" s="280">
        <f t="shared" si="15"/>
        <v>1000</v>
      </c>
      <c r="S11" s="229">
        <f t="shared" si="2"/>
        <v>1</v>
      </c>
      <c r="T11" s="230">
        <f t="shared" si="3"/>
        <v>3.1574074074074081E-2</v>
      </c>
      <c r="U11" s="374">
        <f t="shared" si="4"/>
        <v>0</v>
      </c>
      <c r="V11" s="375">
        <f t="shared" si="5"/>
        <v>0</v>
      </c>
      <c r="W11" s="376">
        <f t="shared" si="6"/>
        <v>1</v>
      </c>
      <c r="X11" s="377">
        <f t="shared" si="7"/>
        <v>0</v>
      </c>
      <c r="Y11" s="378">
        <f t="shared" si="8"/>
        <v>0</v>
      </c>
      <c r="Z11" s="379">
        <f t="shared" si="9"/>
        <v>0</v>
      </c>
      <c r="AA11" s="380">
        <f t="shared" si="10"/>
        <v>0</v>
      </c>
      <c r="AC11" s="231"/>
      <c r="AD11" s="231"/>
      <c r="AE11" s="231"/>
      <c r="AF11" s="231"/>
      <c r="AG11" s="231"/>
      <c r="AH11" s="231"/>
      <c r="AI11" s="213"/>
      <c r="AJ11" s="213"/>
      <c r="AK11" s="213"/>
      <c r="AL11" s="213"/>
      <c r="AM11" s="213"/>
    </row>
    <row r="12" spans="1:40" ht="13" customHeight="1" thickBot="1">
      <c r="A12" s="851"/>
      <c r="B12" s="1124" t="s">
        <v>461</v>
      </c>
      <c r="C12" s="274">
        <f t="shared" si="11"/>
        <v>2.152777777777778E-4</v>
      </c>
      <c r="D12" s="920">
        <v>2</v>
      </c>
      <c r="E12" s="1982">
        <v>2</v>
      </c>
      <c r="F12" s="300">
        <v>1</v>
      </c>
      <c r="G12" s="1995">
        <v>100</v>
      </c>
      <c r="H12" s="2000"/>
      <c r="I12" s="1354">
        <v>4.6296296296296293E-4</v>
      </c>
      <c r="J12" s="301">
        <v>2.8935185185185189E-4</v>
      </c>
      <c r="K12" s="1123" t="s">
        <v>1110</v>
      </c>
      <c r="L12" s="301">
        <f t="shared" si="16"/>
        <v>0.83039166666666675</v>
      </c>
      <c r="M12" s="1123">
        <v>1.1000000000000001</v>
      </c>
      <c r="N12" s="301">
        <f t="shared" si="12"/>
        <v>3.3990740740740743E-3</v>
      </c>
      <c r="O12" s="302">
        <f t="shared" si="13"/>
        <v>8.6111111111111121E-4</v>
      </c>
      <c r="P12" s="301">
        <f t="shared" si="14"/>
        <v>9.4722222222222245E-4</v>
      </c>
      <c r="Q12" s="798">
        <v>144</v>
      </c>
      <c r="R12" s="369">
        <f t="shared" si="15"/>
        <v>200</v>
      </c>
      <c r="S12" s="229">
        <f t="shared" si="2"/>
        <v>0.2</v>
      </c>
      <c r="T12" s="230">
        <f t="shared" si="3"/>
        <v>6.8888888888888897E-3</v>
      </c>
      <c r="U12" s="374">
        <f t="shared" si="4"/>
        <v>0</v>
      </c>
      <c r="V12" s="375">
        <f t="shared" si="5"/>
        <v>0.2</v>
      </c>
      <c r="W12" s="376">
        <f t="shared" si="6"/>
        <v>0</v>
      </c>
      <c r="X12" s="377">
        <f t="shared" si="7"/>
        <v>0</v>
      </c>
      <c r="Y12" s="378">
        <f t="shared" si="8"/>
        <v>0</v>
      </c>
      <c r="Z12" s="379">
        <f t="shared" si="9"/>
        <v>0</v>
      </c>
      <c r="AA12" s="380">
        <f t="shared" si="10"/>
        <v>0</v>
      </c>
      <c r="AC12" s="231"/>
      <c r="AD12" s="231"/>
      <c r="AE12" s="231"/>
      <c r="AF12" s="231"/>
      <c r="AG12" s="231"/>
      <c r="AH12" s="231"/>
      <c r="AI12" s="213"/>
      <c r="AJ12" s="213"/>
      <c r="AK12" s="213"/>
      <c r="AL12" s="213"/>
      <c r="AM12" s="213"/>
    </row>
    <row r="13" spans="1:40" ht="13" customHeight="1" thickBot="1">
      <c r="A13" s="851"/>
      <c r="B13" s="1124" t="s">
        <v>461</v>
      </c>
      <c r="C13" s="274">
        <f t="shared" si="11"/>
        <v>2.152777777777778E-4</v>
      </c>
      <c r="D13" s="920">
        <v>2</v>
      </c>
      <c r="E13" s="1983">
        <v>2</v>
      </c>
      <c r="F13" s="300">
        <v>1</v>
      </c>
      <c r="G13" s="1995">
        <v>200</v>
      </c>
      <c r="H13" s="2001"/>
      <c r="I13" s="1354">
        <v>2.3148148148148146E-4</v>
      </c>
      <c r="J13" s="301">
        <v>2.3148148148148146E-4</v>
      </c>
      <c r="K13" s="1123" t="s">
        <v>1111</v>
      </c>
      <c r="L13" s="301">
        <f t="shared" si="16"/>
        <v>0.83379074074074078</v>
      </c>
      <c r="M13" s="1123">
        <v>1.1000000000000001</v>
      </c>
      <c r="N13" s="301">
        <f t="shared" si="12"/>
        <v>4.7148148148148158E-3</v>
      </c>
      <c r="O13" s="302">
        <f t="shared" si="13"/>
        <v>1.7222222222222224E-3</v>
      </c>
      <c r="P13" s="301">
        <f t="shared" si="14"/>
        <v>1.8944444444444449E-3</v>
      </c>
      <c r="Q13" s="798">
        <v>144</v>
      </c>
      <c r="R13" s="369">
        <f t="shared" si="15"/>
        <v>400</v>
      </c>
      <c r="S13" s="229">
        <f t="shared" si="2"/>
        <v>0.4</v>
      </c>
      <c r="T13" s="230">
        <f t="shared" si="3"/>
        <v>1.3777777777777779E-2</v>
      </c>
      <c r="U13" s="374">
        <f t="shared" si="4"/>
        <v>0</v>
      </c>
      <c r="V13" s="375">
        <f t="shared" si="5"/>
        <v>0.4</v>
      </c>
      <c r="W13" s="376">
        <f t="shared" si="6"/>
        <v>0</v>
      </c>
      <c r="X13" s="377">
        <f t="shared" si="7"/>
        <v>0</v>
      </c>
      <c r="Y13" s="378">
        <f t="shared" si="8"/>
        <v>0</v>
      </c>
      <c r="Z13" s="379">
        <f t="shared" si="9"/>
        <v>0</v>
      </c>
      <c r="AA13" s="380">
        <f t="shared" si="10"/>
        <v>0</v>
      </c>
      <c r="AC13" s="231"/>
      <c r="AD13" s="231"/>
      <c r="AE13" s="231"/>
      <c r="AF13" s="231"/>
      <c r="AG13" s="231"/>
      <c r="AH13" s="231"/>
      <c r="AI13" s="213"/>
      <c r="AJ13" s="213"/>
      <c r="AK13" s="213"/>
      <c r="AL13" s="213"/>
      <c r="AM13" s="213"/>
    </row>
    <row r="14" spans="1:40" ht="14" customHeight="1" thickBot="1">
      <c r="A14" s="851"/>
      <c r="B14" s="1026" t="s">
        <v>461</v>
      </c>
      <c r="C14" s="274">
        <f t="shared" si="11"/>
        <v>1.7939814814814817E-4</v>
      </c>
      <c r="D14" s="920">
        <v>4</v>
      </c>
      <c r="E14" s="1983">
        <v>2</v>
      </c>
      <c r="F14" s="1988">
        <v>1</v>
      </c>
      <c r="G14" s="1996">
        <v>300</v>
      </c>
      <c r="H14" s="2001"/>
      <c r="I14" s="1997">
        <v>1.7361111111111112E-4</v>
      </c>
      <c r="J14" s="1989">
        <v>9.8379629629629642E-4</v>
      </c>
      <c r="K14" s="1990" t="s">
        <v>1112</v>
      </c>
      <c r="L14" s="1991">
        <f t="shared" si="16"/>
        <v>0.83850555555555562</v>
      </c>
      <c r="M14" s="1992">
        <v>1.22</v>
      </c>
      <c r="N14" s="1991">
        <f t="shared" si="12"/>
        <v>7.5675925925925936E-3</v>
      </c>
      <c r="O14" s="1991">
        <f t="shared" si="13"/>
        <v>2.1527777777777782E-3</v>
      </c>
      <c r="P14" s="1877">
        <f t="shared" si="14"/>
        <v>2.6263888888888895E-3</v>
      </c>
      <c r="Q14" s="1993">
        <v>185</v>
      </c>
      <c r="R14" s="1881">
        <f t="shared" si="15"/>
        <v>600</v>
      </c>
      <c r="S14" s="229">
        <f t="shared" si="2"/>
        <v>0.6</v>
      </c>
      <c r="T14" s="230">
        <f t="shared" si="3"/>
        <v>1.7222222222222226E-2</v>
      </c>
      <c r="U14" s="374">
        <f t="shared" si="4"/>
        <v>0</v>
      </c>
      <c r="V14" s="375">
        <f t="shared" si="5"/>
        <v>0</v>
      </c>
      <c r="W14" s="376">
        <f t="shared" si="6"/>
        <v>0</v>
      </c>
      <c r="X14" s="377">
        <f t="shared" si="7"/>
        <v>0.6</v>
      </c>
      <c r="Y14" s="378">
        <f t="shared" si="8"/>
        <v>0</v>
      </c>
      <c r="Z14" s="379">
        <f t="shared" si="9"/>
        <v>0</v>
      </c>
      <c r="AA14" s="380">
        <f t="shared" si="10"/>
        <v>0</v>
      </c>
      <c r="AC14" s="231"/>
      <c r="AD14" s="231"/>
      <c r="AE14" s="231"/>
      <c r="AF14" s="231"/>
      <c r="AG14" s="231"/>
      <c r="AH14" s="231"/>
      <c r="AI14" s="213"/>
      <c r="AJ14" s="213"/>
      <c r="AK14" s="213"/>
      <c r="AL14" s="213"/>
      <c r="AM14" s="213"/>
    </row>
    <row r="15" spans="1:40" ht="14" customHeight="1" thickBot="1">
      <c r="A15" s="851"/>
      <c r="B15" s="1124"/>
      <c r="C15" s="274">
        <f t="shared" si="11"/>
        <v>2.152777777777778E-4</v>
      </c>
      <c r="D15" s="920">
        <v>2</v>
      </c>
      <c r="E15" s="1984">
        <v>2</v>
      </c>
      <c r="F15" s="300">
        <v>1</v>
      </c>
      <c r="G15" s="1995">
        <v>400</v>
      </c>
      <c r="H15" s="1984"/>
      <c r="I15" s="1354">
        <v>2.8935185185185189E-4</v>
      </c>
      <c r="J15" s="301">
        <v>2.8935185185185189E-4</v>
      </c>
      <c r="K15" s="1123" t="s">
        <v>1113</v>
      </c>
      <c r="L15" s="301">
        <f t="shared" si="16"/>
        <v>0.84607314814814816</v>
      </c>
      <c r="M15" s="1123">
        <v>1.1000000000000001</v>
      </c>
      <c r="N15" s="301">
        <f t="shared" si="12"/>
        <v>8.7351851851851878E-3</v>
      </c>
      <c r="O15" s="302">
        <f t="shared" si="13"/>
        <v>3.4444444444444449E-3</v>
      </c>
      <c r="P15" s="301">
        <f t="shared" si="14"/>
        <v>3.7888888888888898E-3</v>
      </c>
      <c r="Q15" s="798">
        <v>144</v>
      </c>
      <c r="R15" s="369">
        <f t="shared" si="15"/>
        <v>800</v>
      </c>
      <c r="S15" s="229">
        <f t="shared" si="2"/>
        <v>0.8</v>
      </c>
      <c r="T15" s="230">
        <f t="shared" si="3"/>
        <v>2.7555555555555559E-2</v>
      </c>
      <c r="U15" s="374">
        <f t="shared" si="4"/>
        <v>0</v>
      </c>
      <c r="V15" s="375">
        <f t="shared" si="5"/>
        <v>0.8</v>
      </c>
      <c r="W15" s="376">
        <f t="shared" si="6"/>
        <v>0</v>
      </c>
      <c r="X15" s="377">
        <f t="shared" si="7"/>
        <v>0</v>
      </c>
      <c r="Y15" s="378">
        <f t="shared" si="8"/>
        <v>0</v>
      </c>
      <c r="Z15" s="379">
        <f t="shared" si="9"/>
        <v>0</v>
      </c>
      <c r="AA15" s="380">
        <f t="shared" si="10"/>
        <v>0</v>
      </c>
      <c r="AC15" s="231"/>
      <c r="AD15" s="231"/>
      <c r="AE15" s="231"/>
      <c r="AF15" s="231"/>
      <c r="AG15" s="231"/>
      <c r="AH15" s="231"/>
      <c r="AI15" s="213"/>
      <c r="AJ15" s="213"/>
      <c r="AK15" s="213"/>
      <c r="AL15" s="213"/>
      <c r="AM15" s="213"/>
    </row>
    <row r="16" spans="1:40" ht="14" customHeight="1" thickBot="1">
      <c r="A16" s="851"/>
      <c r="B16" s="1124"/>
      <c r="C16" s="274">
        <f t="shared" si="11"/>
        <v>1.7850115740740744E-4</v>
      </c>
      <c r="D16" s="920">
        <v>5</v>
      </c>
      <c r="E16" s="1881">
        <v>1</v>
      </c>
      <c r="F16" s="1881">
        <v>10</v>
      </c>
      <c r="G16" s="1881">
        <v>75</v>
      </c>
      <c r="H16" s="1999"/>
      <c r="I16" s="2003">
        <v>3.4722222222222224E-4</v>
      </c>
      <c r="J16" s="2003">
        <v>5.7870370370370378E-4</v>
      </c>
      <c r="K16" s="2004" t="s">
        <v>1114</v>
      </c>
      <c r="L16" s="2005">
        <f t="shared" si="16"/>
        <v>0.85480833333333339</v>
      </c>
      <c r="M16" s="2006">
        <v>1.05</v>
      </c>
      <c r="N16" s="306">
        <f t="shared" si="12"/>
        <v>9.6737123842592608E-3</v>
      </c>
      <c r="O16" s="2005">
        <f t="shared" si="13"/>
        <v>5.3550347222222237E-4</v>
      </c>
      <c r="P16" s="2007">
        <f t="shared" si="14"/>
        <v>5.6227864583333347E-4</v>
      </c>
      <c r="Q16" s="2008">
        <v>190</v>
      </c>
      <c r="R16" s="2002">
        <f t="shared" si="15"/>
        <v>750</v>
      </c>
      <c r="S16" s="229">
        <f t="shared" si="2"/>
        <v>0.75</v>
      </c>
      <c r="T16" s="230">
        <f t="shared" si="3"/>
        <v>2.1420138888888895E-2</v>
      </c>
      <c r="U16" s="374">
        <f t="shared" si="4"/>
        <v>0</v>
      </c>
      <c r="V16" s="375">
        <f t="shared" si="5"/>
        <v>0</v>
      </c>
      <c r="W16" s="376">
        <f t="shared" si="6"/>
        <v>0</v>
      </c>
      <c r="X16" s="377">
        <f t="shared" si="7"/>
        <v>0</v>
      </c>
      <c r="Y16" s="378">
        <f t="shared" si="8"/>
        <v>0.75</v>
      </c>
      <c r="Z16" s="379">
        <f t="shared" si="9"/>
        <v>0</v>
      </c>
      <c r="AA16" s="380">
        <f t="shared" si="10"/>
        <v>0</v>
      </c>
      <c r="AC16" s="231"/>
      <c r="AD16" s="231"/>
      <c r="AE16" s="231"/>
      <c r="AF16" s="231"/>
      <c r="AG16" s="231"/>
      <c r="AH16" s="231"/>
      <c r="AI16" s="213"/>
      <c r="AJ16" s="213"/>
      <c r="AK16" s="213"/>
      <c r="AL16" s="213"/>
      <c r="AM16" s="213"/>
    </row>
    <row r="17" spans="1:40" ht="14" customHeight="1" thickBot="1">
      <c r="A17" s="851"/>
      <c r="B17" s="1033"/>
      <c r="C17" s="274">
        <f t="shared" si="11"/>
        <v>0</v>
      </c>
      <c r="D17" s="920"/>
      <c r="E17" s="845"/>
      <c r="F17" s="839"/>
      <c r="G17" s="839"/>
      <c r="H17" s="839"/>
      <c r="I17" s="839"/>
      <c r="J17" s="839"/>
      <c r="K17" s="839"/>
      <c r="L17" s="281">
        <f t="shared" ref="L17" si="17">L16+N16</f>
        <v>0.86448204571759268</v>
      </c>
      <c r="M17" s="839">
        <v>1.2</v>
      </c>
      <c r="N17" s="644">
        <f>SUM(N10:N16)</f>
        <v>6.5870934606481496E-2</v>
      </c>
      <c r="O17" s="839">
        <f>C17*(G17/25)</f>
        <v>0</v>
      </c>
      <c r="P17" s="839"/>
      <c r="Q17" s="839"/>
      <c r="R17" s="1656">
        <f>SUM(R10:R16)</f>
        <v>4950</v>
      </c>
      <c r="S17" s="229">
        <f t="shared" si="2"/>
        <v>0</v>
      </c>
      <c r="T17" s="230">
        <f t="shared" si="3"/>
        <v>0</v>
      </c>
      <c r="U17" s="374">
        <f t="shared" si="4"/>
        <v>0</v>
      </c>
      <c r="V17" s="375">
        <f t="shared" si="5"/>
        <v>0</v>
      </c>
      <c r="W17" s="376">
        <f t="shared" si="6"/>
        <v>0</v>
      </c>
      <c r="X17" s="377">
        <f t="shared" si="7"/>
        <v>0</v>
      </c>
      <c r="Y17" s="378">
        <f t="shared" si="8"/>
        <v>0</v>
      </c>
      <c r="Z17" s="379">
        <f t="shared" si="9"/>
        <v>0</v>
      </c>
      <c r="AA17" s="380">
        <f t="shared" si="10"/>
        <v>0</v>
      </c>
      <c r="AC17" s="231"/>
      <c r="AD17" s="231"/>
      <c r="AE17" s="231"/>
      <c r="AF17" s="231"/>
      <c r="AG17" s="231"/>
      <c r="AH17" s="231"/>
      <c r="AI17" s="213"/>
      <c r="AJ17" s="213"/>
      <c r="AK17" s="213"/>
      <c r="AL17" s="213"/>
      <c r="AM17" s="213"/>
    </row>
    <row r="18" spans="1:40" ht="15" customHeight="1" thickBot="1">
      <c r="A18" s="398" t="s">
        <v>215</v>
      </c>
      <c r="B18" s="1117" t="s">
        <v>215</v>
      </c>
      <c r="C18" s="274">
        <f t="shared" ref="C18:C27" si="18">IF(D18=1,U$4,IF(D18=2,V$4,IF(D18=3,W$4,IF(D18=4,X$4,IF(D18=5,Y$4,IF(D18=6,Z$4,IF(D18=7,AA$4,0)))))))</f>
        <v>2.3321759259259265E-4</v>
      </c>
      <c r="D18" s="547">
        <v>1</v>
      </c>
      <c r="E18" s="275">
        <v>1</v>
      </c>
      <c r="F18" s="275">
        <v>4</v>
      </c>
      <c r="G18" s="275">
        <v>100</v>
      </c>
      <c r="H18" s="276" t="s">
        <v>139</v>
      </c>
      <c r="I18" s="276">
        <v>1.1574074074074073E-4</v>
      </c>
      <c r="J18" s="276">
        <v>1.1574074074074073E-4</v>
      </c>
      <c r="K18" s="312" t="s">
        <v>535</v>
      </c>
      <c r="L18" s="1004">
        <v>0.2986111111111111</v>
      </c>
      <c r="M18" s="451">
        <v>1</v>
      </c>
      <c r="N18" s="276">
        <f>P18*E18*F18+I18*E18*F18+J18*E18</f>
        <v>4.310185185185186E-3</v>
      </c>
      <c r="O18" s="296">
        <f>C18*(G18/25)</f>
        <v>9.3287037037037058E-4</v>
      </c>
      <c r="P18" s="296">
        <f>O18*M18</f>
        <v>9.3287037037037058E-4</v>
      </c>
      <c r="Q18" s="548">
        <v>129</v>
      </c>
      <c r="R18" s="646">
        <f>E18*F18*G18</f>
        <v>400</v>
      </c>
      <c r="S18" s="229">
        <f t="shared" si="2"/>
        <v>0.4</v>
      </c>
      <c r="T18" s="230">
        <f t="shared" si="3"/>
        <v>1.4925925925925929E-2</v>
      </c>
      <c r="U18" s="374">
        <f t="shared" si="4"/>
        <v>0.4</v>
      </c>
      <c r="V18" s="375">
        <f t="shared" si="5"/>
        <v>0</v>
      </c>
      <c r="W18" s="376">
        <f t="shared" si="6"/>
        <v>0</v>
      </c>
      <c r="X18" s="377">
        <f t="shared" si="7"/>
        <v>0</v>
      </c>
      <c r="Y18" s="378">
        <f t="shared" si="8"/>
        <v>0</v>
      </c>
      <c r="Z18" s="379">
        <f t="shared" si="9"/>
        <v>0</v>
      </c>
      <c r="AA18" s="380">
        <f t="shared" si="10"/>
        <v>0</v>
      </c>
      <c r="AC18" s="231"/>
      <c r="AD18" s="231"/>
      <c r="AE18" s="231"/>
      <c r="AF18" s="231"/>
      <c r="AG18" s="231"/>
      <c r="AH18" s="231"/>
      <c r="AI18" s="213"/>
      <c r="AJ18" s="213"/>
      <c r="AK18" s="213"/>
      <c r="AL18" s="213"/>
      <c r="AM18" s="213"/>
      <c r="AN18" s="204"/>
    </row>
    <row r="19" spans="1:40" ht="14" customHeight="1" thickBot="1">
      <c r="A19" s="398" t="s">
        <v>138</v>
      </c>
      <c r="B19" s="1117" t="s">
        <v>215</v>
      </c>
      <c r="C19" s="274">
        <f t="shared" si="18"/>
        <v>1.7581018518518521E-4</v>
      </c>
      <c r="D19" s="895">
        <v>6</v>
      </c>
      <c r="E19" s="365">
        <v>1</v>
      </c>
      <c r="F19" s="365">
        <v>16</v>
      </c>
      <c r="G19" s="365">
        <v>25</v>
      </c>
      <c r="H19" s="366"/>
      <c r="I19" s="366">
        <v>3.4722222222222224E-4</v>
      </c>
      <c r="J19" s="366">
        <v>6.9444444444444447E-4</v>
      </c>
      <c r="K19" s="1065" t="s">
        <v>1115</v>
      </c>
      <c r="L19" s="1006">
        <f t="shared" ref="L19:L29" si="19">L18+N18</f>
        <v>0.30292129629629627</v>
      </c>
      <c r="M19" s="365">
        <v>0.88</v>
      </c>
      <c r="N19" s="366">
        <f>P19*E19*F19+I19*E19*F19+J19*E19</f>
        <v>8.7254074074074074E-3</v>
      </c>
      <c r="O19" s="365">
        <f>C19*(G19/25)</f>
        <v>1.7581018518518521E-4</v>
      </c>
      <c r="P19" s="586">
        <f>O19*M19</f>
        <v>1.5471296296296297E-4</v>
      </c>
      <c r="Q19" s="365" t="s">
        <v>278</v>
      </c>
      <c r="R19" s="365">
        <f>E19*F19*G19</f>
        <v>400</v>
      </c>
      <c r="S19" s="229">
        <f t="shared" si="2"/>
        <v>0.4</v>
      </c>
      <c r="T19" s="230">
        <f t="shared" si="3"/>
        <v>1.1251851851851853E-2</v>
      </c>
      <c r="U19" s="374">
        <f t="shared" si="4"/>
        <v>0</v>
      </c>
      <c r="V19" s="375">
        <f t="shared" si="5"/>
        <v>0</v>
      </c>
      <c r="W19" s="376">
        <f t="shared" si="6"/>
        <v>0</v>
      </c>
      <c r="X19" s="377">
        <f t="shared" si="7"/>
        <v>0</v>
      </c>
      <c r="Y19" s="378">
        <f t="shared" si="8"/>
        <v>0</v>
      </c>
      <c r="Z19" s="379">
        <f t="shared" si="9"/>
        <v>0.4</v>
      </c>
      <c r="AA19" s="380">
        <f t="shared" si="10"/>
        <v>0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  <c r="AN19" s="204"/>
    </row>
    <row r="20" spans="1:40" ht="15" customHeight="1" thickBot="1">
      <c r="A20" s="398" t="s">
        <v>462</v>
      </c>
      <c r="B20" s="1117" t="s">
        <v>215</v>
      </c>
      <c r="C20" s="274">
        <f t="shared" si="18"/>
        <v>2.152777777777778E-4</v>
      </c>
      <c r="D20" s="890">
        <v>2</v>
      </c>
      <c r="E20" s="300">
        <v>1</v>
      </c>
      <c r="F20" s="300">
        <v>8</v>
      </c>
      <c r="G20" s="300">
        <v>50</v>
      </c>
      <c r="H20" s="301"/>
      <c r="I20" s="301">
        <v>2.3148148148148146E-4</v>
      </c>
      <c r="J20" s="301">
        <v>1.3888888888888889E-3</v>
      </c>
      <c r="K20" s="314" t="s">
        <v>670</v>
      </c>
      <c r="L20" s="994">
        <f t="shared" si="19"/>
        <v>0.31164670370370368</v>
      </c>
      <c r="M20" s="455">
        <v>1.1000000000000001</v>
      </c>
      <c r="N20" s="301">
        <f>P20*E20*F20+I20*E20*F20+J20*E20</f>
        <v>7.0296296296296305E-3</v>
      </c>
      <c r="O20" s="302">
        <f>C20*(G20/25)</f>
        <v>4.3055555555555561E-4</v>
      </c>
      <c r="P20" s="302">
        <f>O20*M20</f>
        <v>4.7361111111111123E-4</v>
      </c>
      <c r="Q20" s="550">
        <v>146</v>
      </c>
      <c r="R20" s="369">
        <f>E20*F20*G20</f>
        <v>400</v>
      </c>
      <c r="S20" s="229">
        <f t="shared" si="2"/>
        <v>0.4</v>
      </c>
      <c r="T20" s="230">
        <f t="shared" si="3"/>
        <v>1.3777777777777779E-2</v>
      </c>
      <c r="U20" s="374">
        <f t="shared" si="4"/>
        <v>0</v>
      </c>
      <c r="V20" s="375">
        <f t="shared" si="5"/>
        <v>0.4</v>
      </c>
      <c r="W20" s="376">
        <f t="shared" si="6"/>
        <v>0</v>
      </c>
      <c r="X20" s="377">
        <f t="shared" si="7"/>
        <v>0</v>
      </c>
      <c r="Y20" s="378">
        <f t="shared" si="8"/>
        <v>0</v>
      </c>
      <c r="Z20" s="379">
        <f t="shared" si="9"/>
        <v>0</v>
      </c>
      <c r="AA20" s="380">
        <f t="shared" si="10"/>
        <v>0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  <c r="AN20" s="204"/>
    </row>
    <row r="21" spans="1:40" ht="14" customHeight="1">
      <c r="A21" s="398" t="s">
        <v>461</v>
      </c>
      <c r="B21" s="1117" t="s">
        <v>215</v>
      </c>
      <c r="C21" s="274">
        <f t="shared" si="18"/>
        <v>1.9733796296296302E-4</v>
      </c>
      <c r="D21" s="960">
        <v>3</v>
      </c>
      <c r="E21" s="1447">
        <v>2</v>
      </c>
      <c r="F21" s="841">
        <v>16</v>
      </c>
      <c r="G21" s="841">
        <v>30</v>
      </c>
      <c r="H21" s="840"/>
      <c r="I21" s="840">
        <v>1.1574074074074073E-4</v>
      </c>
      <c r="J21" s="840">
        <v>1.3888888888888889E-3</v>
      </c>
      <c r="K21" s="1331" t="s">
        <v>750</v>
      </c>
      <c r="L21" s="995">
        <f t="shared" si="19"/>
        <v>0.31867633333333328</v>
      </c>
      <c r="M21" s="842">
        <v>1.1000000000000001</v>
      </c>
      <c r="N21" s="840">
        <f>P21*E21*F21+I21*E21*F21+J21*E21</f>
        <v>1.481703703703704E-2</v>
      </c>
      <c r="O21" s="795">
        <f>C21*(G21/25)</f>
        <v>2.3680555555555561E-4</v>
      </c>
      <c r="P21" s="795">
        <f>O21*M21</f>
        <v>2.6048611111111118E-4</v>
      </c>
      <c r="Q21" s="843">
        <v>164</v>
      </c>
      <c r="R21" s="844">
        <f>E21*F21*G21</f>
        <v>960</v>
      </c>
      <c r="S21" s="229">
        <f t="shared" si="2"/>
        <v>0.96</v>
      </c>
      <c r="T21" s="230">
        <f t="shared" si="3"/>
        <v>3.0311111111111119E-2</v>
      </c>
      <c r="U21" s="374">
        <f t="shared" si="4"/>
        <v>0</v>
      </c>
      <c r="V21" s="375">
        <f t="shared" si="5"/>
        <v>0</v>
      </c>
      <c r="W21" s="376">
        <f t="shared" si="6"/>
        <v>0.96</v>
      </c>
      <c r="X21" s="377">
        <f t="shared" si="7"/>
        <v>0</v>
      </c>
      <c r="Y21" s="378">
        <f t="shared" si="8"/>
        <v>0</v>
      </c>
      <c r="Z21" s="379">
        <f t="shared" si="9"/>
        <v>0</v>
      </c>
      <c r="AA21" s="380">
        <f t="shared" si="10"/>
        <v>0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  <c r="AN21" s="204"/>
    </row>
    <row r="22" spans="1:40" ht="14" customHeight="1" thickBot="1">
      <c r="A22" s="398"/>
      <c r="B22" s="1116"/>
      <c r="C22" s="678">
        <f>IF(D22=1,U$4,IF(D22=2,V$4,IF(D22=3,W$4,IF(D22=4,X$4,IF(D22=5,Y$4,IF(D22=6,Z$4,IF(D22=7,AA$4,0)))))))</f>
        <v>1.7222222222222224E-4</v>
      </c>
      <c r="D22" s="1054">
        <v>7</v>
      </c>
      <c r="E22" s="1655">
        <v>1</v>
      </c>
      <c r="F22" s="1655">
        <v>6</v>
      </c>
      <c r="G22" s="1655">
        <v>20</v>
      </c>
      <c r="H22" s="2042"/>
      <c r="I22" s="2042">
        <v>1.1574074074074073E-4</v>
      </c>
      <c r="J22" s="2042">
        <v>2.3148148148148146E-4</v>
      </c>
      <c r="K22" s="1038" t="s">
        <v>413</v>
      </c>
      <c r="L22" s="1189">
        <f>L21+N21</f>
        <v>0.3334933703703703</v>
      </c>
      <c r="M22" s="2043">
        <v>1</v>
      </c>
      <c r="N22" s="2042">
        <f>P22*E22*F22+I22*E22*F22+J22*E22</f>
        <v>1.7525925925925925E-3</v>
      </c>
      <c r="O22" s="439">
        <f t="shared" ref="O22" si="20">C22*(G22/25)</f>
        <v>1.3777777777777779E-4</v>
      </c>
      <c r="P22" s="587">
        <f>O22*M22</f>
        <v>1.3777777777777779E-4</v>
      </c>
      <c r="Q22" s="790" t="s">
        <v>316</v>
      </c>
      <c r="R22" s="2044">
        <f>E22*F22*G22</f>
        <v>120</v>
      </c>
      <c r="S22" s="229"/>
      <c r="T22" s="230"/>
      <c r="U22" s="374"/>
      <c r="V22" s="375"/>
      <c r="W22" s="376"/>
      <c r="X22" s="377"/>
      <c r="Y22" s="378"/>
      <c r="Z22" s="379"/>
      <c r="AA22" s="380"/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  <c r="AN22" s="204"/>
    </row>
    <row r="23" spans="1:40" ht="13" customHeight="1">
      <c r="A23" s="398" t="s">
        <v>458</v>
      </c>
      <c r="B23" s="401"/>
      <c r="C23" s="629">
        <f t="shared" si="18"/>
        <v>0</v>
      </c>
      <c r="D23" s="920"/>
      <c r="E23" s="1405"/>
      <c r="F23" s="1405"/>
      <c r="G23" s="1405"/>
      <c r="H23" s="1406"/>
      <c r="I23" s="1407"/>
      <c r="J23" s="1407"/>
      <c r="K23" s="1408"/>
      <c r="L23" s="1443">
        <f>L21+N21</f>
        <v>0.3334933703703703</v>
      </c>
      <c r="M23" s="1409">
        <v>2</v>
      </c>
      <c r="N23" s="1407">
        <f>P23*E23*F23+I23*F23*E23+J23*E23</f>
        <v>0</v>
      </c>
      <c r="O23" s="1407"/>
      <c r="P23" s="1410"/>
      <c r="Q23" s="1411"/>
      <c r="R23" s="1412">
        <f>SUM(R18:R21)</f>
        <v>2160</v>
      </c>
      <c r="S23" s="229">
        <f t="shared" si="2"/>
        <v>0</v>
      </c>
      <c r="T23" s="230">
        <f t="shared" si="3"/>
        <v>0</v>
      </c>
      <c r="U23" s="374">
        <f t="shared" si="4"/>
        <v>0</v>
      </c>
      <c r="V23" s="375">
        <f t="shared" si="5"/>
        <v>0</v>
      </c>
      <c r="W23" s="376">
        <f t="shared" si="6"/>
        <v>0</v>
      </c>
      <c r="X23" s="377">
        <f t="shared" si="7"/>
        <v>0</v>
      </c>
      <c r="Y23" s="378">
        <f t="shared" si="8"/>
        <v>0</v>
      </c>
      <c r="Z23" s="379">
        <f t="shared" si="9"/>
        <v>0</v>
      </c>
      <c r="AA23" s="380">
        <f t="shared" si="10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  <c r="AN23" s="204"/>
    </row>
    <row r="24" spans="1:40" ht="14" customHeight="1" thickBot="1">
      <c r="A24" s="398"/>
      <c r="B24" s="401"/>
      <c r="C24" s="274">
        <f t="shared" ref="C24" si="21">IF(D24=1,U$4,IF(D24=2,V$4,IF(D24=3,W$4,IF(D24=4,X$4,IF(D24=5,Y$4,IF(D24=6,Z$4,IF(D24=7,AA$4,0)))))))</f>
        <v>2.3321759259259265E-4</v>
      </c>
      <c r="D24" s="547">
        <v>1</v>
      </c>
      <c r="E24" s="275">
        <v>1</v>
      </c>
      <c r="F24" s="275">
        <v>4</v>
      </c>
      <c r="G24" s="275">
        <v>100</v>
      </c>
      <c r="H24" s="276" t="s">
        <v>139</v>
      </c>
      <c r="I24" s="276">
        <v>1.1574074074074073E-4</v>
      </c>
      <c r="J24" s="276">
        <v>1.1574074074074073E-4</v>
      </c>
      <c r="K24" s="312" t="s">
        <v>535</v>
      </c>
      <c r="L24" s="1004">
        <v>0.79861111111111116</v>
      </c>
      <c r="M24" s="451">
        <v>1</v>
      </c>
      <c r="N24" s="276">
        <f>P24*E24*F24+I24*E24*F24+J24*E24</f>
        <v>4.310185185185186E-3</v>
      </c>
      <c r="O24" s="296">
        <f>C24*(G24/25)</f>
        <v>9.3287037037037058E-4</v>
      </c>
      <c r="P24" s="296">
        <f>O24*M24</f>
        <v>9.3287037037037058E-4</v>
      </c>
      <c r="Q24" s="548">
        <v>129</v>
      </c>
      <c r="R24" s="646">
        <f>E24*F24*G24</f>
        <v>400</v>
      </c>
      <c r="S24" s="229"/>
      <c r="T24" s="230"/>
      <c r="U24" s="374"/>
      <c r="V24" s="375"/>
      <c r="W24" s="376"/>
      <c r="X24" s="377"/>
      <c r="Y24" s="378"/>
      <c r="Z24" s="379"/>
      <c r="AA24" s="380"/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  <c r="AN24" s="204"/>
    </row>
    <row r="25" spans="1:40" ht="15" customHeight="1" thickBot="1">
      <c r="A25" s="398" t="s">
        <v>219</v>
      </c>
      <c r="B25" s="402" t="s">
        <v>461</v>
      </c>
      <c r="C25" s="629">
        <f t="shared" si="18"/>
        <v>1.7581018518518521E-4</v>
      </c>
      <c r="D25" s="895">
        <v>6</v>
      </c>
      <c r="E25" s="1446">
        <v>5</v>
      </c>
      <c r="F25" s="1445">
        <v>2</v>
      </c>
      <c r="G25" s="365">
        <v>100</v>
      </c>
      <c r="H25" s="366" t="s">
        <v>710</v>
      </c>
      <c r="I25" s="366">
        <v>5.0925925925925921E-4</v>
      </c>
      <c r="J25" s="366">
        <v>9.2592592592592585E-4</v>
      </c>
      <c r="K25" s="1065" t="s">
        <v>936</v>
      </c>
      <c r="L25" s="1006">
        <f>N24+L24</f>
        <v>0.80292129629629638</v>
      </c>
      <c r="M25" s="365">
        <v>1.04</v>
      </c>
      <c r="N25" s="366">
        <f>P25*E25*F25+I25*F25*E25+J25*E25</f>
        <v>1.7035925925925927E-2</v>
      </c>
      <c r="O25" s="365">
        <f>C25*(G25/25)</f>
        <v>7.0324074074074082E-4</v>
      </c>
      <c r="P25" s="586">
        <f>O25*M25</f>
        <v>7.3137037037037051E-4</v>
      </c>
      <c r="Q25" s="365" t="s">
        <v>278</v>
      </c>
      <c r="R25" s="365">
        <f>E25*F25*G25</f>
        <v>1000</v>
      </c>
      <c r="S25" s="229">
        <f t="shared" si="2"/>
        <v>1</v>
      </c>
      <c r="T25" s="230">
        <f t="shared" si="3"/>
        <v>2.8129629629629633E-2</v>
      </c>
      <c r="U25" s="374">
        <f t="shared" si="4"/>
        <v>0</v>
      </c>
      <c r="V25" s="375">
        <f t="shared" si="5"/>
        <v>0</v>
      </c>
      <c r="W25" s="376">
        <f t="shared" si="6"/>
        <v>0</v>
      </c>
      <c r="X25" s="377">
        <f t="shared" si="7"/>
        <v>0</v>
      </c>
      <c r="Y25" s="378">
        <f t="shared" si="8"/>
        <v>0</v>
      </c>
      <c r="Z25" s="379">
        <f t="shared" si="9"/>
        <v>1</v>
      </c>
      <c r="AA25" s="380">
        <f t="shared" si="10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  <c r="AN25" s="204"/>
    </row>
    <row r="26" spans="1:40" ht="15" customHeight="1" thickBot="1">
      <c r="A26" s="398"/>
      <c r="B26" s="402" t="s">
        <v>461</v>
      </c>
      <c r="C26" s="629">
        <f t="shared" si="18"/>
        <v>1.7581018518518521E-4</v>
      </c>
      <c r="D26" s="895">
        <v>6</v>
      </c>
      <c r="E26" s="1449">
        <v>4</v>
      </c>
      <c r="F26" s="1445">
        <v>4</v>
      </c>
      <c r="G26" s="365">
        <v>50</v>
      </c>
      <c r="H26" s="366"/>
      <c r="I26" s="366">
        <v>2.8935185185185189E-4</v>
      </c>
      <c r="J26" s="366">
        <v>2.3148148148148146E-4</v>
      </c>
      <c r="K26" s="1065" t="s">
        <v>937</v>
      </c>
      <c r="L26" s="1006">
        <f t="shared" si="19"/>
        <v>0.81995722222222234</v>
      </c>
      <c r="M26" s="365">
        <v>0.95</v>
      </c>
      <c r="N26" s="366">
        <f>P26*E26*F26+I26*F26*E26+J26*E26</f>
        <v>1.0900185185185185E-2</v>
      </c>
      <c r="O26" s="365">
        <f>C26*(G26/25)</f>
        <v>3.5162037037037041E-4</v>
      </c>
      <c r="P26" s="586">
        <f>O26*M26</f>
        <v>3.3403935185185186E-4</v>
      </c>
      <c r="Q26" s="365" t="s">
        <v>278</v>
      </c>
      <c r="R26" s="365">
        <f>E26*F26*G26</f>
        <v>800</v>
      </c>
      <c r="S26" s="229">
        <f t="shared" si="2"/>
        <v>0.8</v>
      </c>
      <c r="T26" s="230">
        <f t="shared" si="3"/>
        <v>2.2503703703703706E-2</v>
      </c>
      <c r="U26" s="374">
        <f t="shared" si="4"/>
        <v>0</v>
      </c>
      <c r="V26" s="375">
        <f t="shared" si="5"/>
        <v>0</v>
      </c>
      <c r="W26" s="376">
        <f t="shared" si="6"/>
        <v>0</v>
      </c>
      <c r="X26" s="377">
        <f t="shared" si="7"/>
        <v>0</v>
      </c>
      <c r="Y26" s="378">
        <f t="shared" si="8"/>
        <v>0</v>
      </c>
      <c r="Z26" s="379">
        <f t="shared" si="9"/>
        <v>0.8</v>
      </c>
      <c r="AA26" s="380">
        <f t="shared" si="10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  <c r="AN26" s="204"/>
    </row>
    <row r="27" spans="1:40" ht="14" customHeight="1" thickBot="1">
      <c r="A27" s="398"/>
      <c r="B27" s="402" t="s">
        <v>461</v>
      </c>
      <c r="C27" s="629">
        <f t="shared" si="18"/>
        <v>0</v>
      </c>
      <c r="D27" s="920"/>
      <c r="E27" s="1448"/>
      <c r="F27" s="1405"/>
      <c r="G27" s="1405"/>
      <c r="H27" s="1406"/>
      <c r="I27" s="1407"/>
      <c r="J27" s="1407"/>
      <c r="K27" s="1408" t="s">
        <v>1116</v>
      </c>
      <c r="L27" s="1443">
        <f t="shared" si="19"/>
        <v>0.83085740740740754</v>
      </c>
      <c r="M27" s="1409">
        <v>2</v>
      </c>
      <c r="N27" s="1407">
        <v>3.472222222222222E-3</v>
      </c>
      <c r="O27" s="1407"/>
      <c r="P27" s="1410"/>
      <c r="Q27" s="1411"/>
      <c r="R27" s="1412"/>
      <c r="S27" s="229">
        <f t="shared" si="2"/>
        <v>0</v>
      </c>
      <c r="T27" s="230">
        <f t="shared" si="3"/>
        <v>0</v>
      </c>
      <c r="U27" s="374">
        <f t="shared" si="4"/>
        <v>0</v>
      </c>
      <c r="V27" s="375">
        <f t="shared" si="5"/>
        <v>0</v>
      </c>
      <c r="W27" s="376">
        <f t="shared" si="6"/>
        <v>0</v>
      </c>
      <c r="X27" s="377">
        <f t="shared" si="7"/>
        <v>0</v>
      </c>
      <c r="Y27" s="378">
        <f t="shared" si="8"/>
        <v>0</v>
      </c>
      <c r="Z27" s="379">
        <f t="shared" si="9"/>
        <v>0</v>
      </c>
      <c r="AA27" s="380">
        <f t="shared" si="10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  <c r="AN27" s="204"/>
    </row>
    <row r="28" spans="1:40" ht="14" customHeight="1" thickBot="1">
      <c r="A28" s="398"/>
      <c r="B28" s="402" t="s">
        <v>461</v>
      </c>
      <c r="C28" s="274">
        <f t="shared" ref="C28:C32" si="22">IF(D28=1,U$4,IF(D28=2,V$4,IF(D28=3,W$4,IF(D28=4,X$4,IF(D28=5,Y$4,IF(D28=6,Z$4,IF(D28=7,AA$4,0)))))))</f>
        <v>1.7222222222222224E-4</v>
      </c>
      <c r="D28" s="898">
        <v>7</v>
      </c>
      <c r="E28" s="1040">
        <v>1</v>
      </c>
      <c r="F28" s="1040">
        <v>20</v>
      </c>
      <c r="G28" s="2052">
        <v>20</v>
      </c>
      <c r="H28" s="2053" t="s">
        <v>713</v>
      </c>
      <c r="I28" s="2054">
        <v>4.6296296296296293E-4</v>
      </c>
      <c r="J28" s="1041">
        <v>1.3888888888888889E-3</v>
      </c>
      <c r="K28" s="442" t="s">
        <v>896</v>
      </c>
      <c r="L28" s="1189">
        <f t="shared" si="19"/>
        <v>0.83432962962962975</v>
      </c>
      <c r="M28" s="1042">
        <v>0.75</v>
      </c>
      <c r="N28" s="1041">
        <f>P28*E28*F28+I28*E28*F28+J28*E28</f>
        <v>1.2714814814814814E-2</v>
      </c>
      <c r="O28" s="439">
        <f>C28*(G28/25)</f>
        <v>1.3777777777777779E-4</v>
      </c>
      <c r="P28" s="587">
        <f>O28*M28</f>
        <v>1.0333333333333334E-4</v>
      </c>
      <c r="Q28" s="789" t="s">
        <v>274</v>
      </c>
      <c r="R28" s="2044">
        <f>E28*F28*G28</f>
        <v>400</v>
      </c>
      <c r="S28" s="229">
        <f t="shared" si="2"/>
        <v>0.4</v>
      </c>
      <c r="T28" s="230">
        <f t="shared" si="3"/>
        <v>1.1022222222222223E-2</v>
      </c>
      <c r="U28" s="374">
        <f t="shared" si="4"/>
        <v>0</v>
      </c>
      <c r="V28" s="375">
        <f t="shared" si="5"/>
        <v>0</v>
      </c>
      <c r="W28" s="376">
        <f t="shared" si="6"/>
        <v>0</v>
      </c>
      <c r="X28" s="377">
        <f t="shared" si="7"/>
        <v>0</v>
      </c>
      <c r="Y28" s="378">
        <f t="shared" si="8"/>
        <v>0</v>
      </c>
      <c r="Z28" s="379">
        <f t="shared" si="9"/>
        <v>0</v>
      </c>
      <c r="AA28" s="380">
        <f t="shared" si="10"/>
        <v>0.4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  <c r="AN28" s="204"/>
    </row>
    <row r="29" spans="1:40" ht="12.75" customHeight="1" thickBot="1">
      <c r="A29" s="1414"/>
      <c r="B29" s="1415"/>
      <c r="C29" s="629">
        <f t="shared" si="22"/>
        <v>0</v>
      </c>
      <c r="D29" s="920"/>
      <c r="E29" s="1416"/>
      <c r="F29" s="1416"/>
      <c r="G29" s="1422"/>
      <c r="H29" s="1450"/>
      <c r="I29" s="1450"/>
      <c r="J29" s="1417"/>
      <c r="K29" s="1418"/>
      <c r="L29" s="1444">
        <f t="shared" si="19"/>
        <v>0.8470444444444446</v>
      </c>
      <c r="M29" s="1419"/>
      <c r="N29" s="1420"/>
      <c r="O29" s="1417"/>
      <c r="P29" s="1420"/>
      <c r="Q29" s="1421"/>
      <c r="R29" s="1422">
        <f>SUM(R24:R28)</f>
        <v>2600</v>
      </c>
      <c r="S29" s="229">
        <f t="shared" si="2"/>
        <v>0</v>
      </c>
      <c r="T29" s="230">
        <f t="shared" si="3"/>
        <v>0</v>
      </c>
      <c r="U29" s="374">
        <f t="shared" si="4"/>
        <v>0</v>
      </c>
      <c r="V29" s="375">
        <f t="shared" si="5"/>
        <v>0</v>
      </c>
      <c r="W29" s="376">
        <f t="shared" si="6"/>
        <v>0</v>
      </c>
      <c r="X29" s="377">
        <f t="shared" si="7"/>
        <v>0</v>
      </c>
      <c r="Y29" s="378">
        <f t="shared" si="8"/>
        <v>0</v>
      </c>
      <c r="Z29" s="379">
        <f t="shared" si="9"/>
        <v>0</v>
      </c>
      <c r="AA29" s="380">
        <f t="shared" si="10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  <c r="AN29" s="204"/>
    </row>
    <row r="30" spans="1:40" ht="12.75" customHeight="1">
      <c r="A30" s="1025" t="s">
        <v>215</v>
      </c>
      <c r="B30" s="1151" t="s">
        <v>215</v>
      </c>
      <c r="C30" s="629">
        <f t="shared" si="22"/>
        <v>2.3321759259259265E-4</v>
      </c>
      <c r="D30" s="891">
        <v>1</v>
      </c>
      <c r="E30" s="275">
        <v>1</v>
      </c>
      <c r="F30" s="275">
        <v>3</v>
      </c>
      <c r="G30" s="275">
        <v>200</v>
      </c>
      <c r="H30" s="275"/>
      <c r="I30" s="276">
        <v>15</v>
      </c>
      <c r="J30" s="276">
        <v>2.3148148148148146E-4</v>
      </c>
      <c r="K30" s="312" t="s">
        <v>172</v>
      </c>
      <c r="L30" s="276">
        <v>0.2986111111111111</v>
      </c>
      <c r="M30" s="312">
        <v>1.2</v>
      </c>
      <c r="N30" s="276">
        <f t="shared" ref="N30:N32" si="23">P30*E30*F30+I30*F30*E30+J30*E30</f>
        <v>45.006948148148147</v>
      </c>
      <c r="O30" s="296">
        <f>C30*(G30/25)</f>
        <v>1.8657407407407412E-3</v>
      </c>
      <c r="P30" s="276">
        <f>O30*M30</f>
        <v>2.2388888888888892E-3</v>
      </c>
      <c r="Q30" s="797">
        <v>144</v>
      </c>
      <c r="R30" s="275">
        <f>E30*F30*G30</f>
        <v>600</v>
      </c>
      <c r="S30" s="229">
        <f t="shared" si="2"/>
        <v>0.6</v>
      </c>
      <c r="T30" s="230">
        <f t="shared" si="3"/>
        <v>2.2388888888888896E-2</v>
      </c>
      <c r="U30" s="374">
        <f t="shared" si="4"/>
        <v>0.6</v>
      </c>
      <c r="V30" s="375">
        <f t="shared" si="5"/>
        <v>0</v>
      </c>
      <c r="W30" s="376">
        <f t="shared" si="6"/>
        <v>0</v>
      </c>
      <c r="X30" s="377">
        <f t="shared" si="7"/>
        <v>0</v>
      </c>
      <c r="Y30" s="378">
        <f t="shared" si="8"/>
        <v>0</v>
      </c>
      <c r="Z30" s="379">
        <f t="shared" si="9"/>
        <v>0</v>
      </c>
      <c r="AA30" s="380">
        <f t="shared" si="10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  <c r="AN30" s="204"/>
    </row>
    <row r="31" spans="1:40" ht="12.75" customHeight="1">
      <c r="A31" s="851" t="s">
        <v>139</v>
      </c>
      <c r="B31" s="1124" t="s">
        <v>215</v>
      </c>
      <c r="C31" s="274">
        <f t="shared" si="22"/>
        <v>1.9733796296296302E-4</v>
      </c>
      <c r="D31" s="1442">
        <v>3</v>
      </c>
      <c r="E31" s="280">
        <v>1</v>
      </c>
      <c r="F31" s="280">
        <v>16</v>
      </c>
      <c r="G31" s="280">
        <v>50</v>
      </c>
      <c r="H31" s="280"/>
      <c r="I31" s="281">
        <v>8.1018518518518516E-5</v>
      </c>
      <c r="J31" s="281">
        <v>6.9444444444444447E-4</v>
      </c>
      <c r="K31" s="1074" t="s">
        <v>1117</v>
      </c>
      <c r="L31" s="281">
        <f>L30+N30</f>
        <v>45.305559259259262</v>
      </c>
      <c r="M31" s="1074">
        <v>1.1499999999999999</v>
      </c>
      <c r="N31" s="281">
        <f t="shared" si="23"/>
        <v>9.2527777777777782E-3</v>
      </c>
      <c r="O31" s="298">
        <f>C31*(G31/25)</f>
        <v>3.9467592592592603E-4</v>
      </c>
      <c r="P31" s="281">
        <f>O31*M31</f>
        <v>4.5387731481481489E-4</v>
      </c>
      <c r="Q31" s="333">
        <v>160</v>
      </c>
      <c r="R31" s="280">
        <f>E31*F31*G31</f>
        <v>800</v>
      </c>
      <c r="S31" s="229">
        <f t="shared" si="2"/>
        <v>0.8</v>
      </c>
      <c r="T31" s="230">
        <f t="shared" si="3"/>
        <v>2.5259259259259266E-2</v>
      </c>
      <c r="U31" s="374">
        <f t="shared" si="4"/>
        <v>0</v>
      </c>
      <c r="V31" s="375">
        <f t="shared" si="5"/>
        <v>0</v>
      </c>
      <c r="W31" s="376">
        <f t="shared" si="6"/>
        <v>0.8</v>
      </c>
      <c r="X31" s="377">
        <f t="shared" si="7"/>
        <v>0</v>
      </c>
      <c r="Y31" s="378">
        <f t="shared" si="8"/>
        <v>0</v>
      </c>
      <c r="Z31" s="379">
        <f t="shared" si="9"/>
        <v>0</v>
      </c>
      <c r="AA31" s="380">
        <f t="shared" si="10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  <c r="AN31" s="204"/>
    </row>
    <row r="32" spans="1:40" ht="12.75" customHeight="1">
      <c r="A32" s="851" t="s">
        <v>458</v>
      </c>
      <c r="B32" s="1124" t="s">
        <v>215</v>
      </c>
      <c r="C32" s="274">
        <f t="shared" si="22"/>
        <v>1.7850115740740744E-4</v>
      </c>
      <c r="D32" s="897">
        <v>5</v>
      </c>
      <c r="E32" s="307">
        <v>1</v>
      </c>
      <c r="F32" s="307">
        <v>4</v>
      </c>
      <c r="G32" s="307">
        <v>100</v>
      </c>
      <c r="H32" s="1601"/>
      <c r="I32" s="306">
        <v>8.1018518518518516E-4</v>
      </c>
      <c r="J32" s="306">
        <v>1.736111111111111E-3</v>
      </c>
      <c r="K32" s="1251" t="s">
        <v>2185</v>
      </c>
      <c r="L32" s="306">
        <f>L31+N31</f>
        <v>45.314812037037036</v>
      </c>
      <c r="M32" s="1252">
        <v>1.17</v>
      </c>
      <c r="N32" s="306">
        <f t="shared" si="23"/>
        <v>8.3183935185185201E-3</v>
      </c>
      <c r="O32" s="305">
        <f>C32*(G32/25)</f>
        <v>7.1400462962962975E-4</v>
      </c>
      <c r="P32" s="306">
        <f>O32*M32</f>
        <v>8.3538541666666678E-4</v>
      </c>
      <c r="Q32" s="786">
        <v>180</v>
      </c>
      <c r="R32" s="290">
        <f>E32*F32*G32</f>
        <v>400</v>
      </c>
      <c r="S32" s="229">
        <f t="shared" si="2"/>
        <v>0.4</v>
      </c>
      <c r="T32" s="230">
        <f t="shared" si="3"/>
        <v>1.1424074074074076E-2</v>
      </c>
      <c r="U32" s="374">
        <f t="shared" si="4"/>
        <v>0</v>
      </c>
      <c r="V32" s="375">
        <f t="shared" si="5"/>
        <v>0</v>
      </c>
      <c r="W32" s="376">
        <f t="shared" si="6"/>
        <v>0</v>
      </c>
      <c r="X32" s="377">
        <f t="shared" si="7"/>
        <v>0</v>
      </c>
      <c r="Y32" s="378">
        <f t="shared" si="8"/>
        <v>0.4</v>
      </c>
      <c r="Z32" s="379">
        <f t="shared" si="9"/>
        <v>0</v>
      </c>
      <c r="AA32" s="380">
        <f t="shared" si="10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  <c r="AN32" s="204"/>
    </row>
    <row r="33" spans="1:40" ht="13.25" customHeight="1" thickBot="1">
      <c r="A33" s="851" t="s">
        <v>462</v>
      </c>
      <c r="B33" s="1124" t="s">
        <v>215</v>
      </c>
      <c r="C33" s="678">
        <f>IF(D33=1,U$4,IF(D33=2,V$4,IF(D33=3,W$4,IF(D33=4,X$4,IF(D33=5,Y$4,IF(D33=6,Z$4,IF(D33=7,AA$4,0)))))))</f>
        <v>1.7222222222222224E-4</v>
      </c>
      <c r="D33" s="1054">
        <v>7</v>
      </c>
      <c r="E33" s="1655">
        <v>1</v>
      </c>
      <c r="F33" s="1655">
        <v>6</v>
      </c>
      <c r="G33" s="1655">
        <v>20</v>
      </c>
      <c r="H33" s="2042"/>
      <c r="I33" s="2042">
        <v>1.1574074074074073E-4</v>
      </c>
      <c r="J33" s="2042">
        <v>2.3148148148148146E-4</v>
      </c>
      <c r="K33" s="1038" t="s">
        <v>413</v>
      </c>
      <c r="L33" s="1189">
        <f>L32+N32</f>
        <v>45.323130430555558</v>
      </c>
      <c r="M33" s="2043">
        <v>1</v>
      </c>
      <c r="N33" s="2042">
        <f>P33*E33*F33+I33*E33*F33+J33*E33</f>
        <v>1.7525925925925925E-3</v>
      </c>
      <c r="O33" s="439">
        <f t="shared" ref="O33" si="24">C33*(G33/25)</f>
        <v>1.3777777777777779E-4</v>
      </c>
      <c r="P33" s="587">
        <f>O33*M33</f>
        <v>1.3777777777777779E-4</v>
      </c>
      <c r="Q33" s="790" t="s">
        <v>316</v>
      </c>
      <c r="R33" s="2044">
        <f>E33*F33*G33</f>
        <v>120</v>
      </c>
      <c r="S33" s="229">
        <f t="shared" si="2"/>
        <v>0.12</v>
      </c>
      <c r="T33" s="230">
        <f t="shared" si="3"/>
        <v>3.306666666666667E-3</v>
      </c>
      <c r="U33" s="374">
        <f t="shared" si="4"/>
        <v>0</v>
      </c>
      <c r="V33" s="375">
        <f t="shared" si="5"/>
        <v>0</v>
      </c>
      <c r="W33" s="376">
        <f t="shared" si="6"/>
        <v>0</v>
      </c>
      <c r="X33" s="377">
        <f t="shared" si="7"/>
        <v>0</v>
      </c>
      <c r="Y33" s="378">
        <f t="shared" si="8"/>
        <v>0</v>
      </c>
      <c r="Z33" s="379">
        <f t="shared" si="9"/>
        <v>0</v>
      </c>
      <c r="AA33" s="380">
        <f t="shared" si="10"/>
        <v>0.12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  <c r="AN33" s="204"/>
    </row>
    <row r="34" spans="1:40" ht="12.75" customHeight="1" thickBot="1">
      <c r="A34" s="851" t="s">
        <v>140</v>
      </c>
      <c r="B34" s="1026"/>
      <c r="C34" s="629">
        <f t="shared" ref="C34:C39" si="25">IF(D34=1,U$4,IF(D34=2,V$4,IF(D34=3,W$4,IF(D34=4,X$4,IF(D34=5,Y$4,IF(D34=6,Z$4,IF(D34=7,AA$4,0)))))))</f>
        <v>0</v>
      </c>
      <c r="D34" s="920"/>
      <c r="F34" s="204"/>
      <c r="G34" s="204"/>
      <c r="H34" s="1406"/>
      <c r="I34" s="1407"/>
      <c r="J34" s="1407"/>
      <c r="K34" s="1408"/>
      <c r="L34" s="1443">
        <f>L33+N33</f>
        <v>45.324883023148153</v>
      </c>
      <c r="M34" s="1409">
        <v>2</v>
      </c>
      <c r="N34" s="1407">
        <f>P34*E35*F35+I34*F35*E35+J34*E35</f>
        <v>0</v>
      </c>
      <c r="O34" s="1407"/>
      <c r="P34" s="1410"/>
      <c r="Q34" s="1411"/>
      <c r="R34" s="1412">
        <f>SUM(R30:R33)</f>
        <v>1920</v>
      </c>
      <c r="S34" s="229">
        <f t="shared" si="2"/>
        <v>0</v>
      </c>
      <c r="T34" s="230">
        <f t="shared" si="3"/>
        <v>0</v>
      </c>
      <c r="U34" s="374">
        <f t="shared" si="4"/>
        <v>0</v>
      </c>
      <c r="V34" s="375">
        <f t="shared" si="5"/>
        <v>0</v>
      </c>
      <c r="W34" s="376">
        <f t="shared" si="6"/>
        <v>0</v>
      </c>
      <c r="X34" s="377">
        <f t="shared" si="7"/>
        <v>0</v>
      </c>
      <c r="Y34" s="378">
        <f t="shared" si="8"/>
        <v>0</v>
      </c>
      <c r="Z34" s="379">
        <f t="shared" si="9"/>
        <v>0</v>
      </c>
      <c r="AA34" s="380">
        <f t="shared" si="10"/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  <c r="AN34" s="204"/>
    </row>
    <row r="35" spans="1:40" ht="12" customHeight="1" thickBot="1">
      <c r="A35" s="851" t="s">
        <v>674</v>
      </c>
      <c r="B35" s="1026" t="s">
        <v>461</v>
      </c>
      <c r="C35" s="629">
        <f t="shared" si="25"/>
        <v>2.3321759259259265E-4</v>
      </c>
      <c r="D35" s="547">
        <v>1</v>
      </c>
      <c r="E35" s="275">
        <v>1</v>
      </c>
      <c r="F35" s="275">
        <v>2</v>
      </c>
      <c r="G35" s="275">
        <v>300</v>
      </c>
      <c r="H35" s="276"/>
      <c r="I35" s="276">
        <v>2.3148148148148146E-4</v>
      </c>
      <c r="J35" s="276"/>
      <c r="K35" s="312" t="s">
        <v>1118</v>
      </c>
      <c r="L35" s="1004">
        <v>0.78472222222222221</v>
      </c>
      <c r="M35" s="451">
        <v>1.17</v>
      </c>
      <c r="N35" s="276">
        <f t="shared" ref="N35" si="26">P35*E35*F35+I35*F35*E35+J35*E35</f>
        <v>7.0117129629629644E-3</v>
      </c>
      <c r="O35" s="296">
        <f>C35*(G35/25)</f>
        <v>2.798611111111112E-3</v>
      </c>
      <c r="P35" s="296">
        <f>O35*M35</f>
        <v>3.2743750000000008E-3</v>
      </c>
      <c r="Q35" s="548">
        <v>180</v>
      </c>
      <c r="R35" s="646">
        <f>E35*F35*G35</f>
        <v>600</v>
      </c>
      <c r="S35" s="229">
        <f t="shared" si="2"/>
        <v>0.6</v>
      </c>
      <c r="T35" s="230">
        <f t="shared" si="3"/>
        <v>2.2388888888888896E-2</v>
      </c>
      <c r="U35" s="374">
        <f t="shared" si="4"/>
        <v>0.6</v>
      </c>
      <c r="V35" s="375">
        <f t="shared" si="5"/>
        <v>0</v>
      </c>
      <c r="W35" s="376">
        <f t="shared" si="6"/>
        <v>0</v>
      </c>
      <c r="X35" s="377">
        <f t="shared" si="7"/>
        <v>0</v>
      </c>
      <c r="Y35" s="378">
        <f t="shared" si="8"/>
        <v>0</v>
      </c>
      <c r="Z35" s="379">
        <f t="shared" si="9"/>
        <v>0</v>
      </c>
      <c r="AA35" s="380">
        <f t="shared" si="10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  <c r="AN35" s="204"/>
    </row>
    <row r="36" spans="1:40" ht="13" customHeight="1" thickBot="1">
      <c r="A36" s="851" t="s">
        <v>214</v>
      </c>
      <c r="B36" s="1026" t="s">
        <v>461</v>
      </c>
      <c r="C36" s="629">
        <f t="shared" si="25"/>
        <v>1.7939814814814817E-4</v>
      </c>
      <c r="D36" s="920">
        <v>4</v>
      </c>
      <c r="E36" s="2013">
        <v>1</v>
      </c>
      <c r="F36" s="1881">
        <v>2</v>
      </c>
      <c r="G36" s="1881">
        <v>125</v>
      </c>
      <c r="H36" s="1999"/>
      <c r="I36" s="1989">
        <v>3.4722222222222224E-4</v>
      </c>
      <c r="J36" s="1989">
        <v>1.9675925925925928E-3</v>
      </c>
      <c r="K36" s="1994" t="s">
        <v>2186</v>
      </c>
      <c r="L36" s="1876">
        <f>L35+N35</f>
        <v>0.7917339351851852</v>
      </c>
      <c r="M36" s="2011">
        <v>1.17</v>
      </c>
      <c r="N36" s="1876">
        <f t="shared" ref="N36" si="27">P36*E36*F36+I36*F36*E36+J36*E36</f>
        <v>4.7609953703703703E-3</v>
      </c>
      <c r="O36" s="1877">
        <f>C36*(G36/25)</f>
        <v>8.9699074074074084E-4</v>
      </c>
      <c r="P36" s="1876">
        <f>O36*M36</f>
        <v>1.0494791666666667E-3</v>
      </c>
      <c r="Q36" s="1878">
        <v>180</v>
      </c>
      <c r="R36" s="1879">
        <f>E36*F36*G36</f>
        <v>250</v>
      </c>
      <c r="S36" s="229">
        <f t="shared" si="2"/>
        <v>0.25</v>
      </c>
      <c r="T36" s="230">
        <f t="shared" si="3"/>
        <v>7.1759259259259267E-3</v>
      </c>
      <c r="U36" s="374">
        <f t="shared" si="4"/>
        <v>0</v>
      </c>
      <c r="V36" s="375">
        <f t="shared" si="5"/>
        <v>0</v>
      </c>
      <c r="W36" s="376">
        <f t="shared" si="6"/>
        <v>0</v>
      </c>
      <c r="X36" s="377">
        <f t="shared" si="7"/>
        <v>0.25</v>
      </c>
      <c r="Y36" s="378">
        <f t="shared" si="8"/>
        <v>0</v>
      </c>
      <c r="Z36" s="379">
        <f t="shared" si="9"/>
        <v>0</v>
      </c>
      <c r="AA36" s="380">
        <f t="shared" si="10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  <c r="AN36" s="204"/>
    </row>
    <row r="37" spans="1:40" ht="12.75" customHeight="1" thickBot="1">
      <c r="A37" s="851" t="s">
        <v>458</v>
      </c>
      <c r="B37" s="1026" t="s">
        <v>461</v>
      </c>
      <c r="C37" s="629">
        <f t="shared" si="25"/>
        <v>1.7939814814814817E-4</v>
      </c>
      <c r="D37" s="1977">
        <v>4</v>
      </c>
      <c r="E37" s="1981">
        <v>3</v>
      </c>
      <c r="F37" s="1988">
        <v>1</v>
      </c>
      <c r="G37" s="1881">
        <v>100</v>
      </c>
      <c r="H37" s="1999"/>
      <c r="I37" s="1989">
        <v>3.4722222222222224E-4</v>
      </c>
      <c r="J37" s="1989">
        <v>1.3888888888888889E-3</v>
      </c>
      <c r="K37" s="1994" t="s">
        <v>1119</v>
      </c>
      <c r="L37" s="1876">
        <f>L36+N36</f>
        <v>0.79649493055555554</v>
      </c>
      <c r="M37" s="2011">
        <v>1.17</v>
      </c>
      <c r="N37" s="1876">
        <f t="shared" ref="N37:N39" si="28">P37*E37*F37+I37*F37*E37+J37*E37</f>
        <v>7.7270833333333332E-3</v>
      </c>
      <c r="O37" s="1877">
        <f>C37*(G37/25)</f>
        <v>7.175925925925927E-4</v>
      </c>
      <c r="P37" s="1876">
        <f>O37*M37</f>
        <v>8.3958333333333335E-4</v>
      </c>
      <c r="Q37" s="1878">
        <v>180</v>
      </c>
      <c r="R37" s="1879">
        <f>E37*F37*G37</f>
        <v>300</v>
      </c>
      <c r="S37" s="229">
        <f t="shared" si="2"/>
        <v>0.3</v>
      </c>
      <c r="T37" s="230">
        <f t="shared" si="3"/>
        <v>8.6111111111111128E-3</v>
      </c>
      <c r="U37" s="374">
        <f t="shared" si="4"/>
        <v>0</v>
      </c>
      <c r="V37" s="375">
        <f t="shared" si="5"/>
        <v>0</v>
      </c>
      <c r="W37" s="376">
        <f t="shared" si="6"/>
        <v>0</v>
      </c>
      <c r="X37" s="377">
        <f t="shared" si="7"/>
        <v>0.3</v>
      </c>
      <c r="Y37" s="378">
        <f t="shared" si="8"/>
        <v>0</v>
      </c>
      <c r="Z37" s="379">
        <f t="shared" si="9"/>
        <v>0</v>
      </c>
      <c r="AA37" s="380">
        <f t="shared" si="10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  <c r="AN37" s="204"/>
    </row>
    <row r="38" spans="1:40" ht="12.75" customHeight="1" thickBot="1">
      <c r="A38" s="851" t="s">
        <v>219</v>
      </c>
      <c r="B38" s="1026" t="s">
        <v>461</v>
      </c>
      <c r="C38" s="629">
        <f t="shared" si="25"/>
        <v>2.152777777777778E-4</v>
      </c>
      <c r="D38" s="1987">
        <v>2</v>
      </c>
      <c r="E38" s="2012">
        <v>3</v>
      </c>
      <c r="F38" s="1303">
        <v>1</v>
      </c>
      <c r="G38" s="300">
        <v>150</v>
      </c>
      <c r="H38" s="301"/>
      <c r="I38" s="301">
        <v>3.4722222222222224E-4</v>
      </c>
      <c r="J38" s="301">
        <v>3.4722222222222224E-4</v>
      </c>
      <c r="K38" s="1123" t="s">
        <v>1120</v>
      </c>
      <c r="L38" s="994">
        <f t="shared" ref="L38:L39" si="29">L37+N37</f>
        <v>0.80422201388888892</v>
      </c>
      <c r="M38" s="455">
        <v>1.17</v>
      </c>
      <c r="N38" s="301">
        <f t="shared" si="28"/>
        <v>6.6170833333333333E-3</v>
      </c>
      <c r="O38" s="302">
        <f t="shared" ref="O38:O39" si="30">C38*(G38/25)</f>
        <v>1.2916666666666669E-3</v>
      </c>
      <c r="P38" s="302">
        <f t="shared" ref="P38:P39" si="31">O38*M38</f>
        <v>1.5112500000000002E-3</v>
      </c>
      <c r="Q38" s="550">
        <v>180</v>
      </c>
      <c r="R38" s="369">
        <f t="shared" ref="R38:R39" si="32">E38*F38*G38</f>
        <v>450</v>
      </c>
      <c r="S38" s="229">
        <f t="shared" si="2"/>
        <v>0.45</v>
      </c>
      <c r="T38" s="230">
        <f t="shared" si="3"/>
        <v>1.5500000000000003E-2</v>
      </c>
      <c r="U38" s="374">
        <f t="shared" si="4"/>
        <v>0</v>
      </c>
      <c r="V38" s="375">
        <f t="shared" si="5"/>
        <v>0.45</v>
      </c>
      <c r="W38" s="376">
        <f t="shared" si="6"/>
        <v>0</v>
      </c>
      <c r="X38" s="377">
        <f t="shared" si="7"/>
        <v>0</v>
      </c>
      <c r="Y38" s="378">
        <f t="shared" si="8"/>
        <v>0</v>
      </c>
      <c r="Z38" s="379">
        <f t="shared" si="9"/>
        <v>0</v>
      </c>
      <c r="AA38" s="380">
        <f t="shared" si="10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  <c r="AN38" s="204"/>
    </row>
    <row r="39" spans="1:40" ht="12.75" customHeight="1" thickBot="1">
      <c r="A39" s="851"/>
      <c r="B39" s="1026" t="s">
        <v>461</v>
      </c>
      <c r="C39" s="629">
        <f t="shared" si="25"/>
        <v>2.152777777777778E-4</v>
      </c>
      <c r="D39" s="1357">
        <v>2</v>
      </c>
      <c r="E39" s="1978">
        <v>3</v>
      </c>
      <c r="F39" s="1303">
        <v>1</v>
      </c>
      <c r="G39" s="300">
        <v>200</v>
      </c>
      <c r="H39" s="301"/>
      <c r="I39" s="301">
        <v>3.4722222222222224E-4</v>
      </c>
      <c r="J39" s="301">
        <v>1.736111111111111E-3</v>
      </c>
      <c r="K39" s="1123" t="s">
        <v>1121</v>
      </c>
      <c r="L39" s="994">
        <f t="shared" si="29"/>
        <v>0.81083909722222225</v>
      </c>
      <c r="M39" s="455">
        <v>1.17</v>
      </c>
      <c r="N39" s="301">
        <f t="shared" si="28"/>
        <v>1.2295E-2</v>
      </c>
      <c r="O39" s="302">
        <f t="shared" si="30"/>
        <v>1.7222222222222224E-3</v>
      </c>
      <c r="P39" s="302">
        <f t="shared" si="31"/>
        <v>2.0150000000000003E-3</v>
      </c>
      <c r="Q39" s="550">
        <v>180</v>
      </c>
      <c r="R39" s="369">
        <f t="shared" si="32"/>
        <v>600</v>
      </c>
      <c r="S39" s="229">
        <f t="shared" si="2"/>
        <v>0.6</v>
      </c>
      <c r="T39" s="230">
        <f t="shared" si="3"/>
        <v>2.066666666666667E-2</v>
      </c>
      <c r="U39" s="374">
        <f t="shared" si="4"/>
        <v>0</v>
      </c>
      <c r="V39" s="375">
        <f t="shared" si="5"/>
        <v>0.6</v>
      </c>
      <c r="W39" s="376">
        <f t="shared" si="6"/>
        <v>0</v>
      </c>
      <c r="X39" s="377">
        <f t="shared" si="7"/>
        <v>0</v>
      </c>
      <c r="Y39" s="378">
        <f t="shared" si="8"/>
        <v>0</v>
      </c>
      <c r="Z39" s="379">
        <f t="shared" si="9"/>
        <v>0</v>
      </c>
      <c r="AA39" s="380">
        <f t="shared" si="10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  <c r="AN39" s="204"/>
    </row>
    <row r="40" spans="1:40" ht="13.25" customHeight="1" thickBot="1">
      <c r="A40" s="1025"/>
      <c r="B40" s="1026" t="s">
        <v>461</v>
      </c>
      <c r="C40" s="629">
        <v>2.0833333333333335E-4</v>
      </c>
      <c r="D40" s="2015">
        <v>5</v>
      </c>
      <c r="E40" s="307">
        <v>6</v>
      </c>
      <c r="F40" s="307">
        <v>1</v>
      </c>
      <c r="G40" s="307">
        <v>100</v>
      </c>
      <c r="H40" s="1601"/>
      <c r="I40" s="306">
        <v>5.7870370370370366E-5</v>
      </c>
      <c r="J40" s="306">
        <v>6.9444444444444447E-4</v>
      </c>
      <c r="K40" s="1251" t="s">
        <v>2187</v>
      </c>
      <c r="L40" s="306">
        <f>N38+P38</f>
        <v>8.1283333333333329E-3</v>
      </c>
      <c r="M40" s="1252">
        <v>1.1000000000000001</v>
      </c>
      <c r="N40" s="306">
        <f t="shared" ref="N40" si="33">P40*E40*F40+I40*F40*E40+J40*E40</f>
        <v>1.0013888888888888E-2</v>
      </c>
      <c r="O40" s="305">
        <f>C40*(G40/25)</f>
        <v>8.3333333333333339E-4</v>
      </c>
      <c r="P40" s="306">
        <f>O40*M40</f>
        <v>9.1666666666666676E-4</v>
      </c>
      <c r="Q40" s="786">
        <v>180</v>
      </c>
      <c r="R40" s="290">
        <f>E40*F40*G40</f>
        <v>600</v>
      </c>
      <c r="S40" s="229">
        <f t="shared" si="2"/>
        <v>0.6</v>
      </c>
      <c r="T40" s="230">
        <f t="shared" si="3"/>
        <v>0.02</v>
      </c>
      <c r="U40" s="374">
        <f t="shared" si="4"/>
        <v>0</v>
      </c>
      <c r="V40" s="375">
        <f t="shared" si="5"/>
        <v>0</v>
      </c>
      <c r="W40" s="376">
        <f t="shared" si="6"/>
        <v>0.6</v>
      </c>
      <c r="X40" s="377">
        <f t="shared" si="7"/>
        <v>0</v>
      </c>
      <c r="Y40" s="378">
        <f t="shared" si="8"/>
        <v>0</v>
      </c>
      <c r="Z40" s="379">
        <f t="shared" si="9"/>
        <v>0</v>
      </c>
      <c r="AA40" s="380">
        <f t="shared" si="10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  <c r="AN40" s="204"/>
    </row>
    <row r="41" spans="1:40" ht="14" customHeight="1" thickBot="1">
      <c r="A41" s="397"/>
      <c r="B41" s="1026"/>
      <c r="C41" s="274">
        <f>IF(D41=1,U$4,IF(D41=2,V$4,IF(D41=3,W$4,IF(D41=4,X$4,IF(D41=5,Y$4,IF(D41=6,Z$4,IF(D41=7,AA$4,0)))))))</f>
        <v>0</v>
      </c>
      <c r="D41" s="920"/>
      <c r="E41" s="1416"/>
      <c r="F41" s="1416"/>
      <c r="G41" s="1416"/>
      <c r="H41" s="1417"/>
      <c r="I41" s="1417"/>
      <c r="J41" s="1417"/>
      <c r="K41" s="1418"/>
      <c r="L41" s="1444">
        <f>L40+N40</f>
        <v>1.8142222222222219E-2</v>
      </c>
      <c r="M41" s="1419"/>
      <c r="N41" s="1420"/>
      <c r="O41" s="1417"/>
      <c r="P41" s="1420"/>
      <c r="Q41" s="1421"/>
      <c r="R41" s="1422">
        <f>SUM(R35:R40)</f>
        <v>2800</v>
      </c>
      <c r="S41" s="229">
        <f t="shared" si="2"/>
        <v>0</v>
      </c>
      <c r="T41" s="230">
        <f t="shared" si="3"/>
        <v>0</v>
      </c>
      <c r="U41" s="374">
        <f t="shared" si="4"/>
        <v>0</v>
      </c>
      <c r="V41" s="375">
        <f t="shared" si="5"/>
        <v>0</v>
      </c>
      <c r="W41" s="376">
        <f t="shared" si="6"/>
        <v>0</v>
      </c>
      <c r="X41" s="377">
        <f t="shared" si="7"/>
        <v>0</v>
      </c>
      <c r="Y41" s="378">
        <f t="shared" si="8"/>
        <v>0</v>
      </c>
      <c r="Z41" s="379">
        <f t="shared" si="9"/>
        <v>0</v>
      </c>
      <c r="AA41" s="380">
        <f t="shared" si="10"/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  <c r="AN41" s="204"/>
    </row>
    <row r="42" spans="1:40" ht="13.25" customHeight="1" thickBot="1">
      <c r="A42" s="397"/>
      <c r="B42" s="1026"/>
      <c r="C42" s="1027"/>
      <c r="D42" s="1441"/>
      <c r="E42" s="2016"/>
      <c r="F42" s="2016"/>
      <c r="G42" s="2016"/>
      <c r="H42" s="2017"/>
      <c r="I42" s="2018"/>
      <c r="J42" s="2018"/>
      <c r="K42" s="2024" t="s">
        <v>911</v>
      </c>
      <c r="L42" s="2019"/>
      <c r="M42" s="2020"/>
      <c r="N42" s="2021"/>
      <c r="O42" s="2018"/>
      <c r="P42" s="2021"/>
      <c r="Q42" s="2022"/>
      <c r="R42" s="2023"/>
      <c r="S42" s="229">
        <f t="shared" si="2"/>
        <v>0</v>
      </c>
      <c r="T42" s="230">
        <f t="shared" si="3"/>
        <v>0</v>
      </c>
      <c r="U42" s="374">
        <f t="shared" si="4"/>
        <v>0</v>
      </c>
      <c r="V42" s="375">
        <f t="shared" si="5"/>
        <v>0</v>
      </c>
      <c r="W42" s="376">
        <f t="shared" si="6"/>
        <v>0</v>
      </c>
      <c r="X42" s="377">
        <f t="shared" si="7"/>
        <v>0</v>
      </c>
      <c r="Y42" s="378">
        <f t="shared" si="8"/>
        <v>0</v>
      </c>
      <c r="Z42" s="379">
        <f t="shared" si="9"/>
        <v>0</v>
      </c>
      <c r="AA42" s="380">
        <f t="shared" si="10"/>
        <v>0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  <c r="AN42" s="204"/>
    </row>
    <row r="43" spans="1:40" ht="14" customHeight="1" thickBot="1">
      <c r="A43" s="398" t="s">
        <v>217</v>
      </c>
      <c r="B43" s="1117" t="s">
        <v>461</v>
      </c>
      <c r="C43" s="5961">
        <v>2.5462962962962961E-4</v>
      </c>
      <c r="D43" s="5962">
        <v>2</v>
      </c>
      <c r="E43" s="5957">
        <v>1</v>
      </c>
      <c r="F43" s="5957">
        <v>8</v>
      </c>
      <c r="G43" s="5957">
        <v>25</v>
      </c>
      <c r="H43" s="5956" t="s">
        <v>139</v>
      </c>
      <c r="I43" s="5963">
        <v>5.7870370370370366E-5</v>
      </c>
      <c r="J43" s="5963">
        <v>6.9444444444444447E-4</v>
      </c>
      <c r="K43" s="5964" t="s">
        <v>284</v>
      </c>
      <c r="L43" s="5965">
        <v>0.79861111111111116</v>
      </c>
      <c r="M43" s="5966">
        <v>1.1000000000000001</v>
      </c>
      <c r="N43" s="5963">
        <v>3.6921296296296298E-3</v>
      </c>
      <c r="O43" s="5967">
        <f t="shared" ref="O43:O52" si="34">C43*(G43/25)</f>
        <v>2.5462962962962961E-4</v>
      </c>
      <c r="P43" s="5967">
        <f t="shared" ref="P43:P46" si="35">O43*M43</f>
        <v>2.8009259259259258E-4</v>
      </c>
      <c r="Q43" s="5968">
        <v>146</v>
      </c>
      <c r="R43" s="5969">
        <v>200</v>
      </c>
      <c r="S43" s="229">
        <f t="shared" si="2"/>
        <v>0.2</v>
      </c>
      <c r="T43" s="230">
        <f t="shared" si="3"/>
        <v>8.1481481481481474E-3</v>
      </c>
      <c r="U43" s="374">
        <f t="shared" si="4"/>
        <v>0.2</v>
      </c>
      <c r="V43" s="375">
        <f t="shared" si="5"/>
        <v>0</v>
      </c>
      <c r="W43" s="376">
        <f t="shared" si="6"/>
        <v>0</v>
      </c>
      <c r="X43" s="377">
        <f t="shared" si="7"/>
        <v>0</v>
      </c>
      <c r="Y43" s="378">
        <f t="shared" si="8"/>
        <v>0</v>
      </c>
      <c r="Z43" s="379">
        <f t="shared" si="9"/>
        <v>0</v>
      </c>
      <c r="AA43" s="380">
        <f t="shared" si="10"/>
        <v>0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  <c r="AN43" s="204"/>
    </row>
    <row r="44" spans="1:40" ht="14" customHeight="1" thickBot="1">
      <c r="A44" s="398" t="s">
        <v>459</v>
      </c>
      <c r="B44" s="4881" t="s">
        <v>461</v>
      </c>
      <c r="C44" s="5973">
        <v>2.0833333333333335E-4</v>
      </c>
      <c r="D44" s="5995">
        <v>7</v>
      </c>
      <c r="E44" s="5997">
        <v>1</v>
      </c>
      <c r="F44" s="5958">
        <v>4</v>
      </c>
      <c r="G44" s="5974">
        <v>35</v>
      </c>
      <c r="H44" s="5975" t="s">
        <v>2188</v>
      </c>
      <c r="I44" s="5976">
        <v>0</v>
      </c>
      <c r="J44" s="5976">
        <v>6.9444444444444447E-4</v>
      </c>
      <c r="K44" s="5977" t="s">
        <v>2189</v>
      </c>
      <c r="L44" s="5978">
        <f>L43+N43</f>
        <v>0.80230324074074078</v>
      </c>
      <c r="M44" s="5979">
        <v>0.9</v>
      </c>
      <c r="N44" s="5976">
        <v>3.2870370370370367E-3</v>
      </c>
      <c r="O44" s="5980">
        <f t="shared" si="34"/>
        <v>2.9166666666666669E-4</v>
      </c>
      <c r="P44" s="5981">
        <f t="shared" si="35"/>
        <v>2.6250000000000004E-4</v>
      </c>
      <c r="Q44" s="5982" t="s">
        <v>316</v>
      </c>
      <c r="R44" s="5983">
        <v>100</v>
      </c>
      <c r="S44" s="229">
        <f t="shared" si="2"/>
        <v>0.14000000000000001</v>
      </c>
      <c r="T44" s="230">
        <f t="shared" si="3"/>
        <v>4.6666666666666671E-3</v>
      </c>
      <c r="U44" s="374">
        <f t="shared" si="4"/>
        <v>0</v>
      </c>
      <c r="V44" s="375">
        <f t="shared" si="5"/>
        <v>0</v>
      </c>
      <c r="W44" s="376">
        <f t="shared" si="6"/>
        <v>0.14000000000000001</v>
      </c>
      <c r="X44" s="377">
        <f t="shared" si="7"/>
        <v>0</v>
      </c>
      <c r="Y44" s="378">
        <f t="shared" si="8"/>
        <v>0</v>
      </c>
      <c r="Z44" s="379">
        <f t="shared" si="9"/>
        <v>0</v>
      </c>
      <c r="AA44" s="380">
        <f t="shared" si="10"/>
        <v>0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  <c r="AN44" s="204"/>
    </row>
    <row r="45" spans="1:40" ht="14" customHeight="1" thickBot="1">
      <c r="A45" s="398" t="s">
        <v>458</v>
      </c>
      <c r="B45" s="4881" t="s">
        <v>461</v>
      </c>
      <c r="C45" s="5984">
        <v>2.199074074074074E-4</v>
      </c>
      <c r="D45" s="5996">
        <v>3</v>
      </c>
      <c r="E45" s="5998">
        <v>1</v>
      </c>
      <c r="F45" s="5959">
        <v>4</v>
      </c>
      <c r="G45" s="5985">
        <v>50</v>
      </c>
      <c r="H45" s="5986" t="s">
        <v>2190</v>
      </c>
      <c r="I45" s="5987">
        <v>0</v>
      </c>
      <c r="J45" s="5987">
        <v>1.3888888888888889E-3</v>
      </c>
      <c r="K45" s="5988" t="s">
        <v>2191</v>
      </c>
      <c r="L45" s="5989">
        <f t="shared" ref="L45:L51" si="36">L44+N44</f>
        <v>0.80559027777777781</v>
      </c>
      <c r="M45" s="5990">
        <v>1</v>
      </c>
      <c r="N45" s="5987">
        <v>5.115740740740741E-3</v>
      </c>
      <c r="O45" s="5991">
        <f t="shared" si="34"/>
        <v>4.3981481481481481E-4</v>
      </c>
      <c r="P45" s="5992">
        <f t="shared" si="35"/>
        <v>4.3981481481481481E-4</v>
      </c>
      <c r="Q45" s="5993">
        <v>160</v>
      </c>
      <c r="R45" s="5994">
        <v>200</v>
      </c>
      <c r="S45" s="229">
        <f t="shared" si="2"/>
        <v>0.2</v>
      </c>
      <c r="T45" s="230">
        <f t="shared" si="3"/>
        <v>7.037037037037037E-3</v>
      </c>
      <c r="U45" s="374">
        <f t="shared" si="4"/>
        <v>0</v>
      </c>
      <c r="V45" s="375">
        <f t="shared" si="5"/>
        <v>0.2</v>
      </c>
      <c r="W45" s="376">
        <f t="shared" si="6"/>
        <v>0</v>
      </c>
      <c r="X45" s="377">
        <f t="shared" si="7"/>
        <v>0</v>
      </c>
      <c r="Y45" s="378">
        <f t="shared" si="8"/>
        <v>0</v>
      </c>
      <c r="Z45" s="379">
        <f t="shared" si="9"/>
        <v>0</v>
      </c>
      <c r="AA45" s="380">
        <f t="shared" si="10"/>
        <v>0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  <c r="AN45" s="204"/>
    </row>
    <row r="46" spans="1:40" ht="14" customHeight="1" thickBot="1">
      <c r="A46" s="398" t="s">
        <v>458</v>
      </c>
      <c r="B46" s="1117" t="s">
        <v>461</v>
      </c>
      <c r="C46" s="5960">
        <v>2.0833333333333335E-4</v>
      </c>
      <c r="D46" s="5970">
        <v>3</v>
      </c>
      <c r="E46" s="4811">
        <v>1</v>
      </c>
      <c r="F46" s="4811">
        <v>8</v>
      </c>
      <c r="G46" s="4811">
        <v>25</v>
      </c>
      <c r="H46" s="5971"/>
      <c r="I46" s="4812">
        <v>2.8935185185185189E-4</v>
      </c>
      <c r="J46" s="4812">
        <v>1.3888888888888889E-3</v>
      </c>
      <c r="K46" s="4813" t="s">
        <v>974</v>
      </c>
      <c r="L46" s="4814">
        <f>L45+N45</f>
        <v>0.81070601851851853</v>
      </c>
      <c r="M46" s="4815">
        <v>1</v>
      </c>
      <c r="N46" s="4812">
        <v>4.9768518518518521E-3</v>
      </c>
      <c r="O46" s="4816">
        <f t="shared" si="34"/>
        <v>2.0833333333333335E-4</v>
      </c>
      <c r="P46" s="4816">
        <f t="shared" si="35"/>
        <v>2.0833333333333335E-4</v>
      </c>
      <c r="Q46" s="4818">
        <v>160</v>
      </c>
      <c r="R46" s="5972">
        <v>200</v>
      </c>
      <c r="S46" s="229">
        <f t="shared" si="2"/>
        <v>0.2</v>
      </c>
      <c r="T46" s="230">
        <f t="shared" si="3"/>
        <v>6.6666666666666671E-3</v>
      </c>
      <c r="U46" s="374">
        <f t="shared" si="4"/>
        <v>0</v>
      </c>
      <c r="V46" s="375">
        <f t="shared" si="5"/>
        <v>0</v>
      </c>
      <c r="W46" s="376">
        <f t="shared" si="6"/>
        <v>0.2</v>
      </c>
      <c r="X46" s="377">
        <f t="shared" si="7"/>
        <v>0</v>
      </c>
      <c r="Y46" s="378">
        <f t="shared" si="8"/>
        <v>0</v>
      </c>
      <c r="Z46" s="379">
        <f t="shared" si="9"/>
        <v>0</v>
      </c>
      <c r="AA46" s="380">
        <f t="shared" si="10"/>
        <v>0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  <c r="AN46" s="204"/>
    </row>
    <row r="47" spans="1:40" ht="14" customHeight="1" thickBot="1">
      <c r="A47" s="398" t="s">
        <v>219</v>
      </c>
      <c r="B47" s="1117" t="s">
        <v>461</v>
      </c>
      <c r="C47" s="629">
        <v>0</v>
      </c>
      <c r="D47" s="1441"/>
      <c r="E47" s="1636"/>
      <c r="F47" s="1636"/>
      <c r="G47" s="1636"/>
      <c r="H47" s="1637"/>
      <c r="I47" s="1638"/>
      <c r="J47" s="1638"/>
      <c r="K47" s="2025" t="s">
        <v>1116</v>
      </c>
      <c r="L47" s="1638">
        <f t="shared" si="36"/>
        <v>0.81568287037037035</v>
      </c>
      <c r="M47" s="1639">
        <v>1.2</v>
      </c>
      <c r="N47" s="1638">
        <v>3.472222222222222E-3</v>
      </c>
      <c r="O47" s="1638">
        <f t="shared" si="34"/>
        <v>0</v>
      </c>
      <c r="P47" s="1640"/>
      <c r="Q47" s="1641"/>
      <c r="R47" s="1642">
        <v>400</v>
      </c>
      <c r="S47" s="229">
        <f t="shared" si="2"/>
        <v>0</v>
      </c>
      <c r="T47" s="230">
        <f t="shared" si="3"/>
        <v>0</v>
      </c>
      <c r="U47" s="374">
        <f t="shared" si="4"/>
        <v>0</v>
      </c>
      <c r="V47" s="375">
        <f t="shared" si="5"/>
        <v>0</v>
      </c>
      <c r="W47" s="376">
        <f t="shared" si="6"/>
        <v>0</v>
      </c>
      <c r="X47" s="377">
        <f t="shared" si="7"/>
        <v>0</v>
      </c>
      <c r="Y47" s="378">
        <f t="shared" si="8"/>
        <v>0</v>
      </c>
      <c r="Z47" s="379">
        <f t="shared" si="9"/>
        <v>0</v>
      </c>
      <c r="AA47" s="380">
        <f t="shared" si="10"/>
        <v>0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  <c r="AN47" s="204"/>
    </row>
    <row r="48" spans="1:40" ht="14" customHeight="1" thickBot="1">
      <c r="A48" s="398"/>
      <c r="B48" s="1117" t="s">
        <v>461</v>
      </c>
      <c r="C48" s="629">
        <v>2.0833333333333335E-4</v>
      </c>
      <c r="D48" s="1441">
        <v>6</v>
      </c>
      <c r="E48" s="1643">
        <v>2</v>
      </c>
      <c r="F48" s="1643">
        <v>4</v>
      </c>
      <c r="G48" s="1643">
        <v>50</v>
      </c>
      <c r="H48" s="2010" t="s">
        <v>710</v>
      </c>
      <c r="I48" s="1644">
        <v>6.9444444444444447E-4</v>
      </c>
      <c r="J48" s="1644">
        <v>4.6296296296296293E-4</v>
      </c>
      <c r="K48" s="2014" t="s">
        <v>1219</v>
      </c>
      <c r="L48" s="1644">
        <f t="shared" si="36"/>
        <v>0.81915509259259256</v>
      </c>
      <c r="M48" s="1645">
        <v>1</v>
      </c>
      <c r="N48" s="1644">
        <v>9.1898148148148139E-3</v>
      </c>
      <c r="O48" s="1644">
        <f t="shared" si="34"/>
        <v>4.1666666666666669E-4</v>
      </c>
      <c r="P48" s="1646">
        <f>O48*M48</f>
        <v>4.1666666666666669E-4</v>
      </c>
      <c r="Q48" s="1647">
        <v>200</v>
      </c>
      <c r="R48" s="1648">
        <v>400</v>
      </c>
      <c r="S48" s="229">
        <f t="shared" si="2"/>
        <v>0.4</v>
      </c>
      <c r="T48" s="230">
        <f t="shared" si="3"/>
        <v>1.3333333333333334E-2</v>
      </c>
      <c r="U48" s="374">
        <f t="shared" si="4"/>
        <v>0</v>
      </c>
      <c r="V48" s="375">
        <f t="shared" si="5"/>
        <v>0</v>
      </c>
      <c r="W48" s="376">
        <f t="shared" si="6"/>
        <v>0.4</v>
      </c>
      <c r="X48" s="377">
        <f t="shared" si="7"/>
        <v>0</v>
      </c>
      <c r="Y48" s="378">
        <f t="shared" si="8"/>
        <v>0</v>
      </c>
      <c r="Z48" s="379">
        <f t="shared" si="9"/>
        <v>0</v>
      </c>
      <c r="AA48" s="380">
        <f t="shared" si="10"/>
        <v>0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  <c r="AN48" s="204"/>
    </row>
    <row r="49" spans="1:40" ht="14" customHeight="1" thickBot="1">
      <c r="A49" s="398"/>
      <c r="B49" s="1117"/>
      <c r="C49" s="629"/>
      <c r="D49" s="1883"/>
      <c r="E49" s="2026"/>
      <c r="F49" s="2026"/>
      <c r="G49" s="2026"/>
      <c r="H49" s="2027"/>
      <c r="I49" s="1885"/>
      <c r="J49" s="1885"/>
      <c r="K49" s="2028" t="s">
        <v>1116</v>
      </c>
      <c r="L49" s="1885">
        <f t="shared" si="36"/>
        <v>0.8283449074074074</v>
      </c>
      <c r="M49" s="2029" t="s">
        <v>1122</v>
      </c>
      <c r="N49" s="1885">
        <v>3.472222222222222E-3</v>
      </c>
      <c r="O49" s="1885"/>
      <c r="P49" s="1886"/>
      <c r="Q49" s="2030"/>
      <c r="R49" s="1887">
        <v>400</v>
      </c>
      <c r="S49" s="229">
        <f t="shared" si="2"/>
        <v>0</v>
      </c>
      <c r="T49" s="230">
        <f t="shared" si="3"/>
        <v>0</v>
      </c>
      <c r="U49" s="374">
        <f t="shared" si="4"/>
        <v>0</v>
      </c>
      <c r="V49" s="375">
        <f t="shared" si="5"/>
        <v>0</v>
      </c>
      <c r="W49" s="376">
        <f t="shared" si="6"/>
        <v>0</v>
      </c>
      <c r="X49" s="377">
        <f t="shared" si="7"/>
        <v>0</v>
      </c>
      <c r="Y49" s="378">
        <f t="shared" si="8"/>
        <v>0</v>
      </c>
      <c r="Z49" s="379">
        <f t="shared" si="9"/>
        <v>0</v>
      </c>
      <c r="AA49" s="380">
        <f t="shared" si="10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  <c r="AN49" s="204"/>
    </row>
    <row r="50" spans="1:40" ht="14" customHeight="1" thickBot="1">
      <c r="A50" s="398"/>
      <c r="B50" s="1117" t="s">
        <v>461</v>
      </c>
      <c r="C50" s="629">
        <v>2.6620370370370372E-4</v>
      </c>
      <c r="D50" s="1441">
        <v>1</v>
      </c>
      <c r="E50" s="1590">
        <v>1</v>
      </c>
      <c r="F50" s="1590">
        <v>1</v>
      </c>
      <c r="G50" s="1590">
        <v>100</v>
      </c>
      <c r="H50" s="1973"/>
      <c r="I50" s="1591">
        <v>2.3148148148148146E-4</v>
      </c>
      <c r="J50" s="1591">
        <v>2.3148148148148146E-4</v>
      </c>
      <c r="K50" s="1592" t="s">
        <v>940</v>
      </c>
      <c r="L50" s="1649">
        <f t="shared" si="36"/>
        <v>0.83181712962962961</v>
      </c>
      <c r="M50" s="1650">
        <v>1</v>
      </c>
      <c r="N50" s="1591">
        <v>1.5277777777777779E-3</v>
      </c>
      <c r="O50" s="1593">
        <f t="shared" si="34"/>
        <v>1.0648148148148149E-3</v>
      </c>
      <c r="P50" s="1593">
        <f t="shared" ref="P50:P51" si="37">O50*M50</f>
        <v>1.0648148148148149E-3</v>
      </c>
      <c r="Q50" s="1594">
        <v>144</v>
      </c>
      <c r="R50" s="1590">
        <v>100</v>
      </c>
      <c r="S50" s="229">
        <f t="shared" si="2"/>
        <v>0.1</v>
      </c>
      <c r="T50" s="230">
        <f t="shared" si="3"/>
        <v>4.2592592592592595E-3</v>
      </c>
      <c r="U50" s="374">
        <f t="shared" si="4"/>
        <v>0.1</v>
      </c>
      <c r="V50" s="375">
        <f t="shared" si="5"/>
        <v>0</v>
      </c>
      <c r="W50" s="376">
        <f t="shared" si="6"/>
        <v>0</v>
      </c>
      <c r="X50" s="377">
        <f t="shared" si="7"/>
        <v>0</v>
      </c>
      <c r="Y50" s="378">
        <f t="shared" si="8"/>
        <v>0</v>
      </c>
      <c r="Z50" s="379">
        <f t="shared" si="9"/>
        <v>0</v>
      </c>
      <c r="AA50" s="380">
        <f t="shared" si="10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  <c r="AN50" s="204"/>
    </row>
    <row r="51" spans="1:40" ht="14" customHeight="1" thickBot="1">
      <c r="A51" s="398"/>
      <c r="B51" s="1117" t="s">
        <v>461</v>
      </c>
      <c r="C51" s="629">
        <v>2.0833333333333335E-4</v>
      </c>
      <c r="D51" s="1441">
        <v>6</v>
      </c>
      <c r="E51" s="1643">
        <v>2</v>
      </c>
      <c r="F51" s="1643">
        <v>4</v>
      </c>
      <c r="G51" s="1643">
        <v>50</v>
      </c>
      <c r="H51" s="2009" t="s">
        <v>713</v>
      </c>
      <c r="I51" s="1644">
        <v>8.6805555555555551E-4</v>
      </c>
      <c r="J51" s="1644">
        <v>2.8935185185185189E-4</v>
      </c>
      <c r="K51" s="2014" t="s">
        <v>875</v>
      </c>
      <c r="L51" s="1644">
        <f t="shared" si="36"/>
        <v>0.83334490740740741</v>
      </c>
      <c r="M51" s="1645">
        <v>1</v>
      </c>
      <c r="N51" s="1644">
        <v>1.0902777777777777E-2</v>
      </c>
      <c r="O51" s="1644">
        <f t="shared" si="34"/>
        <v>4.1666666666666669E-4</v>
      </c>
      <c r="P51" s="1646">
        <f t="shared" si="37"/>
        <v>4.1666666666666669E-4</v>
      </c>
      <c r="Q51" s="1647">
        <v>200</v>
      </c>
      <c r="R51" s="1651">
        <v>400</v>
      </c>
      <c r="S51" s="229">
        <f t="shared" si="2"/>
        <v>0.4</v>
      </c>
      <c r="T51" s="230">
        <f t="shared" si="3"/>
        <v>1.3333333333333334E-2</v>
      </c>
      <c r="U51" s="374">
        <f t="shared" si="4"/>
        <v>0</v>
      </c>
      <c r="V51" s="375">
        <f t="shared" si="5"/>
        <v>0</v>
      </c>
      <c r="W51" s="376">
        <f t="shared" si="6"/>
        <v>0.4</v>
      </c>
      <c r="X51" s="377">
        <f t="shared" si="7"/>
        <v>0</v>
      </c>
      <c r="Y51" s="378">
        <f t="shared" si="8"/>
        <v>0</v>
      </c>
      <c r="Z51" s="379">
        <f t="shared" si="9"/>
        <v>0</v>
      </c>
      <c r="AA51" s="380">
        <f t="shared" si="10"/>
        <v>0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  <c r="AN51" s="204"/>
    </row>
    <row r="52" spans="1:40" ht="14" customHeight="1" thickBot="1">
      <c r="A52" s="398"/>
      <c r="B52" s="1117"/>
      <c r="C52" s="678">
        <f>IF(D52=1,U$4,IF(D52=2,V$4,IF(D52=3,W$4,IF(D52=4,X$4,IF(D52=5,Y$4,IF(D52=6,Z$4,IF(D52=7,AA$4,0)))))))</f>
        <v>1.7222222222222224E-4</v>
      </c>
      <c r="D52" s="1054">
        <v>7</v>
      </c>
      <c r="E52" s="1655">
        <v>1</v>
      </c>
      <c r="F52" s="1655">
        <v>6</v>
      </c>
      <c r="G52" s="1655">
        <v>20</v>
      </c>
      <c r="H52" s="2042"/>
      <c r="I52" s="2042">
        <v>1.1574074074074073E-4</v>
      </c>
      <c r="J52" s="2042">
        <v>2.3148148148148146E-4</v>
      </c>
      <c r="K52" s="1038" t="s">
        <v>413</v>
      </c>
      <c r="L52" s="1189">
        <f>L51+N51</f>
        <v>0.84424768518518523</v>
      </c>
      <c r="M52" s="2043">
        <v>1</v>
      </c>
      <c r="N52" s="2042">
        <f>P52*E52*F52+I52*E52*F52+J52*E52</f>
        <v>1.7525925925925925E-3</v>
      </c>
      <c r="O52" s="439">
        <f t="shared" si="34"/>
        <v>1.3777777777777779E-4</v>
      </c>
      <c r="P52" s="587">
        <f>O52*M52</f>
        <v>1.3777777777777779E-4</v>
      </c>
      <c r="Q52" s="790" t="s">
        <v>316</v>
      </c>
      <c r="R52" s="2044">
        <f>E52*F52*G52</f>
        <v>120</v>
      </c>
      <c r="S52" s="229"/>
      <c r="T52" s="230"/>
      <c r="U52" s="374"/>
      <c r="V52" s="375"/>
      <c r="W52" s="376"/>
      <c r="X52" s="377"/>
      <c r="Y52" s="378"/>
      <c r="Z52" s="379"/>
      <c r="AA52" s="380"/>
      <c r="AC52" s="231"/>
      <c r="AD52" s="231"/>
      <c r="AE52" s="231"/>
      <c r="AF52" s="231"/>
      <c r="AG52" s="231"/>
      <c r="AH52" s="231"/>
      <c r="AI52" s="213"/>
      <c r="AJ52" s="213"/>
      <c r="AK52" s="213"/>
      <c r="AL52" s="213"/>
      <c r="AM52" s="213"/>
      <c r="AN52" s="204"/>
    </row>
    <row r="53" spans="1:40" ht="14" customHeight="1" thickBot="1">
      <c r="A53" s="398"/>
      <c r="B53" s="402"/>
      <c r="C53" s="1027"/>
      <c r="D53" s="920"/>
      <c r="E53" s="1626"/>
      <c r="F53" s="1626"/>
      <c r="G53" s="1626"/>
      <c r="H53" s="1627"/>
      <c r="I53" s="1627"/>
      <c r="J53" s="1627"/>
      <c r="K53" s="1628"/>
      <c r="L53" s="1629">
        <f>L51+N51</f>
        <v>0.84424768518518523</v>
      </c>
      <c r="M53" s="1630"/>
      <c r="N53" s="1631"/>
      <c r="O53" s="1627"/>
      <c r="P53" s="1631"/>
      <c r="Q53" s="1632"/>
      <c r="R53" s="1633">
        <f>SUM(R43:R51)-800</f>
        <v>1600</v>
      </c>
      <c r="S53" s="229">
        <f t="shared" si="2"/>
        <v>0</v>
      </c>
      <c r="T53" s="230">
        <f t="shared" si="3"/>
        <v>0</v>
      </c>
      <c r="U53" s="374">
        <f t="shared" si="4"/>
        <v>0</v>
      </c>
      <c r="V53" s="375">
        <f t="shared" si="5"/>
        <v>0</v>
      </c>
      <c r="W53" s="376">
        <f t="shared" si="6"/>
        <v>0</v>
      </c>
      <c r="X53" s="377">
        <f t="shared" si="7"/>
        <v>0</v>
      </c>
      <c r="Y53" s="378">
        <f t="shared" si="8"/>
        <v>0</v>
      </c>
      <c r="Z53" s="379">
        <f t="shared" si="9"/>
        <v>0</v>
      </c>
      <c r="AA53" s="380">
        <f t="shared" si="10"/>
        <v>0</v>
      </c>
      <c r="AC53" s="231"/>
      <c r="AD53" s="231"/>
      <c r="AE53" s="231"/>
      <c r="AF53" s="231"/>
      <c r="AG53" s="231"/>
      <c r="AH53" s="231"/>
      <c r="AI53" s="213"/>
      <c r="AJ53" s="213"/>
      <c r="AK53" s="213"/>
      <c r="AL53" s="213"/>
      <c r="AM53" s="213"/>
      <c r="AN53" s="204"/>
    </row>
    <row r="54" spans="1:40" ht="15" customHeight="1" thickBot="1">
      <c r="A54" s="2034" t="s">
        <v>218</v>
      </c>
      <c r="B54" s="2035" t="s">
        <v>215</v>
      </c>
      <c r="C54" s="962">
        <f>IF(D54=1,U$4,IF(D54=2,V$4,IF(D54=3,W$4,IF(D54=4,X$4,IF(D54=5,Y$4,IF(D54=6,Z$4,IF(D54=7,AA$4,0)))))))</f>
        <v>2.3321759259259265E-4</v>
      </c>
      <c r="D54" s="920">
        <v>1</v>
      </c>
      <c r="E54" s="630">
        <v>1</v>
      </c>
      <c r="F54" s="630">
        <v>2</v>
      </c>
      <c r="G54" s="630">
        <v>600</v>
      </c>
      <c r="H54" s="631"/>
      <c r="I54" s="1066">
        <v>0</v>
      </c>
      <c r="J54" s="1066">
        <v>1.1574074074074073E-4</v>
      </c>
      <c r="K54" s="1067" t="s">
        <v>717</v>
      </c>
      <c r="L54" s="1068">
        <v>0.30208333333333331</v>
      </c>
      <c r="M54" s="1069">
        <v>0.9</v>
      </c>
      <c r="N54" s="1066">
        <f>P54*E54*F54+I54*E54*F54+J54*E54</f>
        <v>1.0190740740740745E-2</v>
      </c>
      <c r="O54" s="1070">
        <f t="shared" ref="O54:O58" si="38">C54*(G54/25)</f>
        <v>5.5972222222222239E-3</v>
      </c>
      <c r="P54" s="1070">
        <f>O54*M54</f>
        <v>5.037500000000002E-3</v>
      </c>
      <c r="Q54" s="1071">
        <v>129</v>
      </c>
      <c r="R54" s="1072">
        <f>E54*F54*G54</f>
        <v>1200</v>
      </c>
      <c r="S54" s="229">
        <f t="shared" si="2"/>
        <v>1.2</v>
      </c>
      <c r="T54" s="230">
        <f t="shared" si="3"/>
        <v>4.4777777777777791E-2</v>
      </c>
      <c r="U54" s="374">
        <f t="shared" si="4"/>
        <v>1.2</v>
      </c>
      <c r="V54" s="375">
        <f t="shared" si="5"/>
        <v>0</v>
      </c>
      <c r="W54" s="376">
        <f t="shared" si="6"/>
        <v>0</v>
      </c>
      <c r="X54" s="377">
        <f t="shared" si="7"/>
        <v>0</v>
      </c>
      <c r="Y54" s="378">
        <f t="shared" si="8"/>
        <v>0</v>
      </c>
      <c r="Z54" s="379">
        <f t="shared" si="9"/>
        <v>0</v>
      </c>
      <c r="AA54" s="380">
        <f t="shared" si="10"/>
        <v>0</v>
      </c>
      <c r="AC54" s="231"/>
      <c r="AD54" s="231"/>
      <c r="AE54" s="231"/>
      <c r="AF54" s="231"/>
      <c r="AG54" s="231"/>
      <c r="AH54" s="231"/>
      <c r="AI54" s="213"/>
      <c r="AJ54" s="213"/>
      <c r="AK54" s="213"/>
      <c r="AL54" s="213"/>
      <c r="AM54" s="213"/>
    </row>
    <row r="55" spans="1:40" ht="15" customHeight="1" thickBot="1">
      <c r="A55" s="2036" t="s">
        <v>139</v>
      </c>
      <c r="B55" s="1329" t="s">
        <v>215</v>
      </c>
      <c r="C55" s="678">
        <f>IF(D55=1,U$4,IF(D55=2,V$4,IF(D55=3,W$4,IF(D55=4,X$4,IF(D55=5,Y$4,IF(D55=6,Z$4,IF(D55=7,AA$4,0)))))))</f>
        <v>1.7581018518518521E-4</v>
      </c>
      <c r="D55" s="895">
        <v>6</v>
      </c>
      <c r="E55" s="365">
        <v>1</v>
      </c>
      <c r="F55" s="365">
        <v>20</v>
      </c>
      <c r="G55" s="365">
        <v>20</v>
      </c>
      <c r="H55" s="366"/>
      <c r="I55" s="366">
        <v>3.4722222222222224E-4</v>
      </c>
      <c r="J55" s="366">
        <v>6.9444444444444447E-4</v>
      </c>
      <c r="K55" s="367" t="s">
        <v>429</v>
      </c>
      <c r="L55" s="1006">
        <f>L54+N54</f>
        <v>0.31227407407407404</v>
      </c>
      <c r="M55" s="456">
        <v>1.05</v>
      </c>
      <c r="N55" s="366">
        <f>P55*E55*F55+I55*E55*F55+J55*E55</f>
        <v>1.0592500000000001E-2</v>
      </c>
      <c r="O55" s="368">
        <f t="shared" si="38"/>
        <v>1.4064814814814818E-4</v>
      </c>
      <c r="P55" s="586">
        <f>O55*M55</f>
        <v>1.476805555555556E-4</v>
      </c>
      <c r="Q55" s="787" t="s">
        <v>297</v>
      </c>
      <c r="R55" s="637">
        <f>E55*F55*G55</f>
        <v>400</v>
      </c>
      <c r="S55" s="229">
        <f t="shared" si="2"/>
        <v>0.4</v>
      </c>
      <c r="T55" s="230">
        <f t="shared" si="3"/>
        <v>1.1251851851851855E-2</v>
      </c>
      <c r="U55" s="374">
        <f t="shared" si="4"/>
        <v>0</v>
      </c>
      <c r="V55" s="375">
        <f t="shared" si="5"/>
        <v>0</v>
      </c>
      <c r="W55" s="376">
        <f t="shared" si="6"/>
        <v>0</v>
      </c>
      <c r="X55" s="377">
        <f t="shared" si="7"/>
        <v>0</v>
      </c>
      <c r="Y55" s="378">
        <f t="shared" si="8"/>
        <v>0</v>
      </c>
      <c r="Z55" s="379">
        <f t="shared" si="9"/>
        <v>0.4</v>
      </c>
      <c r="AA55" s="380">
        <f t="shared" si="10"/>
        <v>0</v>
      </c>
      <c r="AC55" s="231"/>
      <c r="AD55" s="231"/>
      <c r="AE55" s="231"/>
      <c r="AF55" s="231"/>
      <c r="AG55" s="231"/>
      <c r="AH55" s="231"/>
      <c r="AI55" s="213"/>
      <c r="AJ55" s="213"/>
      <c r="AK55" s="213"/>
      <c r="AL55" s="213"/>
      <c r="AM55" s="213"/>
    </row>
    <row r="56" spans="1:40" ht="14" customHeight="1" thickBot="1">
      <c r="A56" s="2036" t="s">
        <v>458</v>
      </c>
      <c r="B56" s="1329" t="s">
        <v>215</v>
      </c>
      <c r="C56" s="678">
        <f>IF(D56=1,U$4,IF(D56=2,V$4,IF(D56=3,W$4,IF(D56=4,X$4,IF(D56=5,Y$4,IF(D56=6,Z$4,IF(D56=7,AA$4,0)))))))</f>
        <v>2.152777777777778E-4</v>
      </c>
      <c r="D56" s="890">
        <v>2</v>
      </c>
      <c r="E56" s="300">
        <v>1</v>
      </c>
      <c r="F56" s="300">
        <v>4</v>
      </c>
      <c r="G56" s="300">
        <v>200</v>
      </c>
      <c r="H56" s="301"/>
      <c r="I56" s="301">
        <v>2.3148148148148146E-4</v>
      </c>
      <c r="J56" s="301">
        <v>1.3888888888888889E-3</v>
      </c>
      <c r="K56" s="314" t="s">
        <v>670</v>
      </c>
      <c r="L56" s="994">
        <f>L55+N55</f>
        <v>0.32286657407407404</v>
      </c>
      <c r="M56" s="455">
        <v>1.1000000000000001</v>
      </c>
      <c r="N56" s="301">
        <f>P56*E56*F56+I56*E56*F56+J56*E56</f>
        <v>9.8925925925925952E-3</v>
      </c>
      <c r="O56" s="302">
        <f t="shared" si="38"/>
        <v>1.7222222222222224E-3</v>
      </c>
      <c r="P56" s="302">
        <f>O56*M56</f>
        <v>1.8944444444444449E-3</v>
      </c>
      <c r="Q56" s="550">
        <v>147</v>
      </c>
      <c r="R56" s="369">
        <f>E56*F56*G56</f>
        <v>800</v>
      </c>
      <c r="S56" s="229">
        <f t="shared" si="2"/>
        <v>0.8</v>
      </c>
      <c r="T56" s="230">
        <f t="shared" si="3"/>
        <v>2.7555555555555559E-2</v>
      </c>
      <c r="U56" s="374">
        <f t="shared" si="4"/>
        <v>0</v>
      </c>
      <c r="V56" s="375">
        <f t="shared" si="5"/>
        <v>0.8</v>
      </c>
      <c r="W56" s="376">
        <f t="shared" si="6"/>
        <v>0</v>
      </c>
      <c r="X56" s="377">
        <f t="shared" si="7"/>
        <v>0</v>
      </c>
      <c r="Y56" s="378">
        <f t="shared" si="8"/>
        <v>0</v>
      </c>
      <c r="Z56" s="379">
        <f t="shared" si="9"/>
        <v>0</v>
      </c>
      <c r="AA56" s="380">
        <f t="shared" si="10"/>
        <v>0</v>
      </c>
      <c r="AC56" s="231"/>
      <c r="AD56" s="231"/>
      <c r="AE56" s="231"/>
      <c r="AF56" s="231"/>
      <c r="AG56" s="231"/>
      <c r="AH56" s="231"/>
      <c r="AI56" s="213"/>
      <c r="AJ56" s="213"/>
      <c r="AK56" s="213"/>
      <c r="AL56" s="213"/>
      <c r="AM56" s="213"/>
    </row>
    <row r="57" spans="1:40" ht="14" customHeight="1">
      <c r="A57" s="2036" t="s">
        <v>462</v>
      </c>
      <c r="B57" s="1329" t="s">
        <v>215</v>
      </c>
      <c r="C57" s="678">
        <f>IF(D57=1,U$4,IF(D57=2,V$4,IF(D57=3,W$4,IF(D57=4,X$4,IF(D57=5,Y$4,IF(D57=6,Z$4,IF(D57=7,AA$4,0)))))))</f>
        <v>1.7222222222222224E-4</v>
      </c>
      <c r="D57" s="1054">
        <v>7</v>
      </c>
      <c r="E57" s="1655">
        <v>1</v>
      </c>
      <c r="F57" s="1655">
        <v>6</v>
      </c>
      <c r="G57" s="1655">
        <v>20</v>
      </c>
      <c r="H57" s="2042"/>
      <c r="I57" s="2042">
        <v>1.1574074074074073E-4</v>
      </c>
      <c r="J57" s="2042">
        <v>2.3148148148148146E-4</v>
      </c>
      <c r="K57" s="1038" t="s">
        <v>413</v>
      </c>
      <c r="L57" s="1189">
        <f>L56+N56</f>
        <v>0.33275916666666666</v>
      </c>
      <c r="M57" s="2043">
        <v>1</v>
      </c>
      <c r="N57" s="2042">
        <f>P57*E57*F57+I57*E57*F57+J57*E57</f>
        <v>1.7525925925925925E-3</v>
      </c>
      <c r="O57" s="439">
        <f t="shared" si="38"/>
        <v>1.3777777777777779E-4</v>
      </c>
      <c r="P57" s="587">
        <f>O57*M57</f>
        <v>1.3777777777777779E-4</v>
      </c>
      <c r="Q57" s="790" t="s">
        <v>316</v>
      </c>
      <c r="R57" s="2044">
        <f>E57*F57*G57</f>
        <v>120</v>
      </c>
      <c r="S57" s="229">
        <f t="shared" si="2"/>
        <v>0.12</v>
      </c>
      <c r="T57" s="230">
        <f t="shared" si="3"/>
        <v>3.306666666666667E-3</v>
      </c>
      <c r="U57" s="374">
        <f t="shared" si="4"/>
        <v>0</v>
      </c>
      <c r="V57" s="375">
        <f t="shared" si="5"/>
        <v>0</v>
      </c>
      <c r="W57" s="376">
        <f t="shared" si="6"/>
        <v>0</v>
      </c>
      <c r="X57" s="377">
        <f t="shared" si="7"/>
        <v>0</v>
      </c>
      <c r="Y57" s="378">
        <f t="shared" si="8"/>
        <v>0</v>
      </c>
      <c r="Z57" s="379">
        <f t="shared" si="9"/>
        <v>0</v>
      </c>
      <c r="AA57" s="380">
        <f t="shared" si="10"/>
        <v>0.12</v>
      </c>
      <c r="AC57" s="231"/>
      <c r="AD57" s="231"/>
      <c r="AE57" s="231"/>
      <c r="AF57" s="231"/>
      <c r="AG57" s="231"/>
      <c r="AH57" s="231"/>
      <c r="AI57" s="213"/>
      <c r="AJ57" s="213"/>
      <c r="AK57" s="213"/>
      <c r="AL57" s="213"/>
      <c r="AM57" s="213"/>
    </row>
    <row r="58" spans="1:40" ht="12.75" customHeight="1" thickBot="1">
      <c r="A58" s="2037" t="s">
        <v>460</v>
      </c>
      <c r="B58" s="2038"/>
      <c r="C58" s="838"/>
      <c r="D58" s="978"/>
      <c r="E58" s="838"/>
      <c r="F58" s="838"/>
      <c r="G58" s="838"/>
      <c r="H58" s="838"/>
      <c r="I58" s="838"/>
      <c r="J58" s="838"/>
      <c r="K58" s="838"/>
      <c r="L58" s="1003">
        <f>L57+N57</f>
        <v>0.33451175925925924</v>
      </c>
      <c r="M58" s="838"/>
      <c r="N58" s="644">
        <f>SUM(N54:N57)</f>
        <v>3.2428425925925937E-2</v>
      </c>
      <c r="O58" s="838">
        <f t="shared" si="38"/>
        <v>0</v>
      </c>
      <c r="P58" s="838"/>
      <c r="Q58" s="838"/>
      <c r="R58" s="837">
        <f>SUM(R54:R57)</f>
        <v>2520</v>
      </c>
      <c r="S58" s="229">
        <f t="shared" si="2"/>
        <v>0</v>
      </c>
      <c r="T58" s="230">
        <f t="shared" si="3"/>
        <v>0</v>
      </c>
      <c r="U58" s="374">
        <f t="shared" si="4"/>
        <v>0</v>
      </c>
      <c r="V58" s="375">
        <f t="shared" si="5"/>
        <v>0</v>
      </c>
      <c r="W58" s="376">
        <f t="shared" si="6"/>
        <v>0</v>
      </c>
      <c r="X58" s="377">
        <f t="shared" si="7"/>
        <v>0</v>
      </c>
      <c r="Y58" s="378">
        <f t="shared" si="8"/>
        <v>0</v>
      </c>
      <c r="Z58" s="379">
        <f t="shared" si="9"/>
        <v>0</v>
      </c>
      <c r="AA58" s="380">
        <f t="shared" si="10"/>
        <v>0</v>
      </c>
      <c r="AC58" s="231"/>
      <c r="AD58" s="231"/>
      <c r="AE58" s="231"/>
      <c r="AF58" s="231"/>
      <c r="AG58" s="231"/>
      <c r="AH58" s="231"/>
      <c r="AI58" s="213"/>
      <c r="AJ58" s="213"/>
      <c r="AK58" s="213"/>
      <c r="AL58" s="213"/>
      <c r="AM58" s="213"/>
    </row>
    <row r="59" spans="1:40" ht="12.75" customHeight="1" thickBot="1">
      <c r="A59" s="2037" t="s">
        <v>458</v>
      </c>
      <c r="B59" s="1329" t="s">
        <v>461</v>
      </c>
      <c r="C59" s="678">
        <f>IF(D59=1,U$4,IF(D59=2,V$4,IF(D59=3,W$4,IF(D59=4,X$4,IF(D59=5,Y$4,IF(D59=6,Z$4,IF(D59=7,AA$4,0)))))))</f>
        <v>2.3321759259259265E-4</v>
      </c>
      <c r="D59" s="547">
        <v>1</v>
      </c>
      <c r="E59" s="275">
        <v>1</v>
      </c>
      <c r="F59" s="275">
        <v>3</v>
      </c>
      <c r="G59" s="275">
        <v>200</v>
      </c>
      <c r="H59" s="276"/>
      <c r="I59" s="276">
        <v>1.1574074074074073E-4</v>
      </c>
      <c r="J59" s="276">
        <v>1.1574074074074073E-4</v>
      </c>
      <c r="K59" s="312" t="s">
        <v>2192</v>
      </c>
      <c r="L59" s="1004">
        <v>0.78472222222222221</v>
      </c>
      <c r="M59" s="451">
        <v>1.1000000000000001</v>
      </c>
      <c r="N59" s="276">
        <f>P59*E59*F59+I59*E59*F59+J59*E59</f>
        <v>6.6199074074074086E-3</v>
      </c>
      <c r="O59" s="296">
        <f t="shared" ref="O59:O62" si="39">C59*(G59/25)</f>
        <v>1.8657407407407412E-3</v>
      </c>
      <c r="P59" s="296">
        <f>O59*M59</f>
        <v>2.0523148148148154E-3</v>
      </c>
      <c r="Q59" s="548">
        <v>129</v>
      </c>
      <c r="R59" s="646">
        <f>E59*F59*G59</f>
        <v>600</v>
      </c>
      <c r="S59" s="229">
        <f t="shared" si="2"/>
        <v>0.6</v>
      </c>
      <c r="T59" s="230">
        <f t="shared" si="3"/>
        <v>2.2388888888888896E-2</v>
      </c>
      <c r="U59" s="374">
        <f t="shared" si="4"/>
        <v>0.6</v>
      </c>
      <c r="V59" s="375">
        <f t="shared" si="5"/>
        <v>0</v>
      </c>
      <c r="W59" s="376">
        <f t="shared" si="6"/>
        <v>0</v>
      </c>
      <c r="X59" s="377">
        <f t="shared" si="7"/>
        <v>0</v>
      </c>
      <c r="Y59" s="378">
        <f t="shared" si="8"/>
        <v>0</v>
      </c>
      <c r="Z59" s="379">
        <f t="shared" si="9"/>
        <v>0</v>
      </c>
      <c r="AA59" s="380">
        <f t="shared" si="10"/>
        <v>0</v>
      </c>
      <c r="AC59" s="231"/>
      <c r="AD59" s="231"/>
      <c r="AE59" s="231"/>
      <c r="AF59" s="231"/>
      <c r="AG59" s="231"/>
      <c r="AH59" s="231"/>
      <c r="AI59" s="213"/>
      <c r="AJ59" s="213"/>
      <c r="AK59" s="213"/>
      <c r="AL59" s="213"/>
      <c r="AM59" s="213"/>
    </row>
    <row r="60" spans="1:40" ht="12.75" customHeight="1" thickBot="1">
      <c r="A60" s="2037" t="s">
        <v>219</v>
      </c>
      <c r="B60" s="1329" t="s">
        <v>461</v>
      </c>
      <c r="C60" s="678">
        <f>IF(D60=1,U$4,IF(D60=2,V$4,IF(D60=3,W$4,IF(D60=4,X$4,IF(D60=5,Y$4,IF(D60=6,Z$4,IF(D60=7,AA$4,0)))))))</f>
        <v>2.152777777777778E-4</v>
      </c>
      <c r="D60" s="890">
        <v>2</v>
      </c>
      <c r="E60" s="300">
        <v>1</v>
      </c>
      <c r="F60" s="300">
        <v>6</v>
      </c>
      <c r="G60" s="300">
        <v>100</v>
      </c>
      <c r="H60" s="301"/>
      <c r="I60" s="301">
        <v>3.4722222222222224E-4</v>
      </c>
      <c r="J60" s="301">
        <v>1.3888888888888889E-3</v>
      </c>
      <c r="K60" s="1123" t="s">
        <v>1124</v>
      </c>
      <c r="L60" s="994">
        <f>L59+N59</f>
        <v>0.79134212962962958</v>
      </c>
      <c r="M60" s="455">
        <v>1.25</v>
      </c>
      <c r="N60" s="301">
        <f>P60*E60*F60+I60*E60*F60+J60*E60</f>
        <v>9.9305555555555571E-3</v>
      </c>
      <c r="O60" s="302">
        <f t="shared" si="39"/>
        <v>8.6111111111111121E-4</v>
      </c>
      <c r="P60" s="1877">
        <f>O60*M60</f>
        <v>1.0763888888888891E-3</v>
      </c>
      <c r="Q60" s="2032">
        <v>158</v>
      </c>
      <c r="R60" s="2033">
        <f>E60*F60*G60</f>
        <v>600</v>
      </c>
      <c r="S60" s="229">
        <f t="shared" si="2"/>
        <v>0.6</v>
      </c>
      <c r="T60" s="230">
        <f t="shared" si="3"/>
        <v>2.066666666666667E-2</v>
      </c>
      <c r="U60" s="374">
        <f t="shared" si="4"/>
        <v>0</v>
      </c>
      <c r="V60" s="375">
        <f t="shared" si="5"/>
        <v>0.6</v>
      </c>
      <c r="W60" s="376">
        <f t="shared" si="6"/>
        <v>0</v>
      </c>
      <c r="X60" s="377">
        <f t="shared" si="7"/>
        <v>0</v>
      </c>
      <c r="Y60" s="378">
        <f t="shared" si="8"/>
        <v>0</v>
      </c>
      <c r="Z60" s="379">
        <f t="shared" si="9"/>
        <v>0</v>
      </c>
      <c r="AA60" s="380">
        <f t="shared" si="10"/>
        <v>0</v>
      </c>
      <c r="AC60" s="231"/>
      <c r="AD60" s="231"/>
      <c r="AE60" s="231"/>
      <c r="AF60" s="231"/>
      <c r="AG60" s="231"/>
      <c r="AH60" s="231"/>
      <c r="AI60" s="213"/>
      <c r="AJ60" s="213"/>
      <c r="AK60" s="213"/>
      <c r="AL60" s="213"/>
      <c r="AM60" s="213"/>
    </row>
    <row r="61" spans="1:40" ht="12.75" customHeight="1" thickBot="1">
      <c r="A61" s="2039"/>
      <c r="B61" s="1329" t="s">
        <v>461</v>
      </c>
      <c r="C61" s="678">
        <f>IF(D61=1,U$4,IF(D61=2,V$4,IF(D61=3,W$4,IF(D61=4,X$4,IF(D61=5,Y$4,IF(D61=6,Z$4,IF(D61=7,AA$4,0)))))))</f>
        <v>2.152777777777778E-4</v>
      </c>
      <c r="D61" s="890">
        <v>2</v>
      </c>
      <c r="E61" s="300">
        <v>1</v>
      </c>
      <c r="F61" s="300">
        <v>6</v>
      </c>
      <c r="G61" s="300">
        <v>100</v>
      </c>
      <c r="H61" s="301"/>
      <c r="I61" s="301">
        <v>4.6296296296296293E-4</v>
      </c>
      <c r="J61" s="301">
        <v>6.9444444444444447E-4</v>
      </c>
      <c r="K61" s="314" t="s">
        <v>1123</v>
      </c>
      <c r="L61" s="994">
        <f>L60+N60</f>
        <v>0.80127268518518513</v>
      </c>
      <c r="M61" s="455">
        <v>1.25</v>
      </c>
      <c r="N61" s="301">
        <f>P61*E61*F61+I61*E61*F61+J61*E61</f>
        <v>9.9305555555555553E-3</v>
      </c>
      <c r="O61" s="302">
        <f t="shared" si="39"/>
        <v>8.6111111111111121E-4</v>
      </c>
      <c r="P61" s="302">
        <f>O61*M61</f>
        <v>1.0763888888888891E-3</v>
      </c>
      <c r="Q61" s="550">
        <v>147</v>
      </c>
      <c r="R61" s="369">
        <f>E61*F61*G61</f>
        <v>600</v>
      </c>
      <c r="S61" s="229">
        <f t="shared" si="2"/>
        <v>0.6</v>
      </c>
      <c r="T61" s="230">
        <f t="shared" si="3"/>
        <v>2.066666666666667E-2</v>
      </c>
      <c r="U61" s="374">
        <f t="shared" si="4"/>
        <v>0</v>
      </c>
      <c r="V61" s="375">
        <f t="shared" si="5"/>
        <v>0.6</v>
      </c>
      <c r="W61" s="376">
        <f t="shared" si="6"/>
        <v>0</v>
      </c>
      <c r="X61" s="377">
        <f t="shared" si="7"/>
        <v>0</v>
      </c>
      <c r="Y61" s="378">
        <f t="shared" si="8"/>
        <v>0</v>
      </c>
      <c r="Z61" s="379">
        <f t="shared" si="9"/>
        <v>0</v>
      </c>
      <c r="AA61" s="380">
        <f t="shared" si="10"/>
        <v>0</v>
      </c>
      <c r="AC61" s="231"/>
      <c r="AD61" s="231"/>
      <c r="AE61" s="231"/>
      <c r="AF61" s="231"/>
      <c r="AG61" s="231"/>
      <c r="AH61" s="231"/>
      <c r="AI61" s="213"/>
      <c r="AJ61" s="213"/>
      <c r="AK61" s="213"/>
      <c r="AL61" s="213"/>
      <c r="AM61" s="213"/>
    </row>
    <row r="62" spans="1:40" ht="12.75" customHeight="1">
      <c r="A62" s="2040"/>
      <c r="B62" s="2041" t="s">
        <v>461</v>
      </c>
      <c r="C62" s="678">
        <f>IF(D62=1,U$4,IF(D62=2,V$4,IF(D62=3,W$4,IF(D62=4,X$4,IF(D62=5,Y$4,IF(D62=6,Z$4,IF(D62=7,AA$4,0)))))))</f>
        <v>1.7222222222222224E-4</v>
      </c>
      <c r="D62" s="1054">
        <v>7</v>
      </c>
      <c r="E62" s="1655">
        <v>1</v>
      </c>
      <c r="F62" s="1655">
        <v>6</v>
      </c>
      <c r="G62" s="1655">
        <v>20</v>
      </c>
      <c r="H62" s="2042"/>
      <c r="I62" s="2042">
        <v>1.1574074074074073E-4</v>
      </c>
      <c r="J62" s="2042">
        <v>2.3148148148148146E-4</v>
      </c>
      <c r="K62" s="1038" t="s">
        <v>413</v>
      </c>
      <c r="L62" s="1189">
        <f>L61+N61</f>
        <v>0.81120324074074068</v>
      </c>
      <c r="M62" s="2043">
        <v>1</v>
      </c>
      <c r="N62" s="2042">
        <f>P62*E62*F62+I62*E62*F62+J62*E62</f>
        <v>1.7525925925925925E-3</v>
      </c>
      <c r="O62" s="439">
        <f t="shared" si="39"/>
        <v>1.3777777777777779E-4</v>
      </c>
      <c r="P62" s="587">
        <f>O62*M62</f>
        <v>1.3777777777777779E-4</v>
      </c>
      <c r="Q62" s="790" t="s">
        <v>316</v>
      </c>
      <c r="R62" s="2044">
        <f>E62*F62*G62</f>
        <v>120</v>
      </c>
      <c r="S62" s="229">
        <f t="shared" si="2"/>
        <v>0.12</v>
      </c>
      <c r="T62" s="230">
        <f t="shared" si="3"/>
        <v>3.306666666666667E-3</v>
      </c>
      <c r="U62" s="374">
        <f t="shared" si="4"/>
        <v>0</v>
      </c>
      <c r="V62" s="375">
        <f t="shared" si="5"/>
        <v>0</v>
      </c>
      <c r="W62" s="376">
        <f t="shared" si="6"/>
        <v>0</v>
      </c>
      <c r="X62" s="377">
        <f t="shared" si="7"/>
        <v>0</v>
      </c>
      <c r="Y62" s="378">
        <f t="shared" si="8"/>
        <v>0</v>
      </c>
      <c r="Z62" s="379">
        <f t="shared" si="9"/>
        <v>0</v>
      </c>
      <c r="AA62" s="380">
        <f t="shared" si="10"/>
        <v>0.12</v>
      </c>
      <c r="AC62" s="231"/>
      <c r="AD62" s="231"/>
      <c r="AE62" s="231"/>
      <c r="AF62" s="231"/>
      <c r="AG62" s="231"/>
      <c r="AH62" s="231"/>
      <c r="AI62" s="213"/>
      <c r="AJ62" s="213"/>
      <c r="AK62" s="213"/>
      <c r="AL62" s="213"/>
      <c r="AM62" s="213"/>
    </row>
    <row r="63" spans="1:40" ht="12.75" customHeight="1" thickBot="1">
      <c r="A63" s="397"/>
      <c r="B63" s="838"/>
      <c r="C63" s="838"/>
      <c r="D63" s="978"/>
      <c r="E63" s="838"/>
      <c r="F63" s="838"/>
      <c r="G63" s="838"/>
      <c r="H63" s="838"/>
      <c r="I63" s="838"/>
      <c r="J63" s="838"/>
      <c r="K63" s="838"/>
      <c r="L63" s="1003">
        <f>L62+N62</f>
        <v>0.81295583333333332</v>
      </c>
      <c r="M63" s="838"/>
      <c r="N63" s="644">
        <f>SUM(N59:N62)</f>
        <v>2.8233611111111116E-2</v>
      </c>
      <c r="O63" s="838">
        <f t="shared" ref="O63" si="40">C63*(G63/25)</f>
        <v>0</v>
      </c>
      <c r="P63" s="838"/>
      <c r="Q63" s="838"/>
      <c r="R63" s="837">
        <f>SUM(R59:R62)</f>
        <v>1920</v>
      </c>
      <c r="S63" s="229">
        <f t="shared" si="2"/>
        <v>0</v>
      </c>
      <c r="T63" s="230">
        <f t="shared" si="3"/>
        <v>0</v>
      </c>
      <c r="U63" s="374">
        <f t="shared" si="4"/>
        <v>0</v>
      </c>
      <c r="V63" s="375">
        <f t="shared" si="5"/>
        <v>0</v>
      </c>
      <c r="W63" s="376">
        <f t="shared" si="6"/>
        <v>0</v>
      </c>
      <c r="X63" s="377">
        <f t="shared" si="7"/>
        <v>0</v>
      </c>
      <c r="Y63" s="378">
        <f t="shared" si="8"/>
        <v>0</v>
      </c>
      <c r="Z63" s="379">
        <f t="shared" si="9"/>
        <v>0</v>
      </c>
      <c r="AA63" s="380">
        <f t="shared" si="10"/>
        <v>0</v>
      </c>
      <c r="AC63" s="231"/>
      <c r="AD63" s="231"/>
      <c r="AE63" s="231"/>
      <c r="AF63" s="231"/>
      <c r="AG63" s="231"/>
      <c r="AH63" s="231"/>
      <c r="AI63" s="213"/>
      <c r="AJ63" s="213"/>
      <c r="AK63" s="213"/>
      <c r="AL63" s="213"/>
      <c r="AM63" s="213"/>
    </row>
    <row r="64" spans="1:40" ht="24.75" customHeight="1" thickTop="1" thickBot="1">
      <c r="A64" s="204"/>
      <c r="B64" s="204"/>
      <c r="C64" s="235"/>
      <c r="D64" s="979"/>
      <c r="E64" s="979"/>
      <c r="F64" s="206"/>
      <c r="G64" s="204"/>
      <c r="H64" s="233"/>
      <c r="I64" s="233"/>
      <c r="J64" s="234"/>
      <c r="K64" s="235"/>
      <c r="L64" s="232"/>
      <c r="M64" s="525"/>
      <c r="N64" s="235"/>
      <c r="O64" s="235"/>
      <c r="P64" s="235"/>
      <c r="Q64" s="237"/>
      <c r="R64" s="236"/>
      <c r="S64" s="238"/>
      <c r="T64" s="239"/>
      <c r="U64" s="240">
        <f t="shared" ref="U64:AA64" si="41">SUM(U5:U63)</f>
        <v>5.7</v>
      </c>
      <c r="V64" s="241">
        <f t="shared" si="41"/>
        <v>5.05</v>
      </c>
      <c r="W64" s="241">
        <f t="shared" si="41"/>
        <v>4.8000000000000007</v>
      </c>
      <c r="X64" s="241">
        <f t="shared" si="41"/>
        <v>1.1499999999999999</v>
      </c>
      <c r="Y64" s="241">
        <f t="shared" si="41"/>
        <v>1.4500000000000002</v>
      </c>
      <c r="Z64" s="241">
        <f t="shared" si="41"/>
        <v>2.6</v>
      </c>
      <c r="AA64" s="241">
        <f t="shared" si="41"/>
        <v>0.86</v>
      </c>
      <c r="AB64" s="565">
        <f>SUM(U64:AA64)</f>
        <v>21.61</v>
      </c>
      <c r="AC64" s="231">
        <v>0</v>
      </c>
      <c r="AD64" s="231">
        <v>0</v>
      </c>
      <c r="AE64" s="222"/>
      <c r="AF64" s="222"/>
      <c r="AG64" s="222"/>
      <c r="AH64" s="222"/>
      <c r="AI64" s="222"/>
    </row>
    <row r="65" spans="1:40" ht="20.25" customHeight="1" thickTop="1">
      <c r="A65" s="144"/>
      <c r="B65" s="144"/>
      <c r="C65" s="144"/>
      <c r="D65" s="906"/>
      <c r="E65" s="979"/>
      <c r="F65" s="206"/>
      <c r="G65" s="204"/>
      <c r="H65" s="233"/>
      <c r="I65" s="233"/>
      <c r="J65" s="234"/>
      <c r="K65" s="235"/>
      <c r="L65" s="144"/>
      <c r="M65" s="144"/>
      <c r="N65" s="144"/>
      <c r="O65" s="144"/>
      <c r="P65" s="144"/>
      <c r="Q65" s="144"/>
      <c r="R65" s="144"/>
      <c r="S65" s="144"/>
      <c r="T65" s="144"/>
      <c r="U65" s="566">
        <f>IF(U64&gt;0,U64,#REF!)</f>
        <v>5.7</v>
      </c>
      <c r="V65" s="566">
        <f>IF(V64&gt;0,V64,#REF!)</f>
        <v>5.05</v>
      </c>
      <c r="W65" s="566">
        <f>IF(W64&gt;0,W64,#REF!)</f>
        <v>4.8000000000000007</v>
      </c>
      <c r="X65" s="566">
        <f>IF(X64&gt;0,X64,#REF!)</f>
        <v>1.1499999999999999</v>
      </c>
      <c r="Y65" s="566">
        <f>IF(Y64&gt;0,Y64,#REF!)</f>
        <v>1.4500000000000002</v>
      </c>
      <c r="Z65" s="566">
        <f>IF(Z64&gt;0,Z64,#REF!)</f>
        <v>2.6</v>
      </c>
      <c r="AA65" s="566">
        <f>IF(AA64&gt;0,AA64,#REF!)</f>
        <v>0.86</v>
      </c>
      <c r="AB65" s="144"/>
      <c r="AC65" s="213"/>
      <c r="AD65" s="213"/>
      <c r="AE65" s="222"/>
      <c r="AF65" s="222"/>
      <c r="AG65" s="222"/>
      <c r="AH65" s="222"/>
      <c r="AI65" s="222"/>
      <c r="AJ65" s="213"/>
      <c r="AK65" s="213"/>
      <c r="AL65" s="213"/>
      <c r="AM65" s="213"/>
    </row>
    <row r="66" spans="1:40" s="245" customFormat="1" ht="19.5" customHeight="1">
      <c r="A66" s="144"/>
      <c r="B66" s="144"/>
      <c r="C66" s="979"/>
      <c r="D66" s="1034"/>
      <c r="E66" s="206"/>
      <c r="F66" s="979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566">
        <f t="shared" ref="U66:AA81" si="42">IF(U65&gt;0,U65,U64)</f>
        <v>5.7</v>
      </c>
      <c r="V66" s="566">
        <f t="shared" si="42"/>
        <v>5.05</v>
      </c>
      <c r="W66" s="566">
        <f t="shared" si="42"/>
        <v>4.8000000000000007</v>
      </c>
      <c r="X66" s="566">
        <f t="shared" si="42"/>
        <v>1.1499999999999999</v>
      </c>
      <c r="Y66" s="566">
        <f t="shared" si="42"/>
        <v>1.4500000000000002</v>
      </c>
      <c r="Z66" s="566">
        <f t="shared" si="42"/>
        <v>2.6</v>
      </c>
      <c r="AA66" s="566">
        <f t="shared" si="42"/>
        <v>0.86</v>
      </c>
      <c r="AB66" s="144"/>
      <c r="AC66" s="214"/>
      <c r="AD66" s="214"/>
      <c r="AE66" s="222"/>
      <c r="AF66" s="222"/>
      <c r="AG66" s="222"/>
      <c r="AH66" s="222"/>
      <c r="AI66" s="222"/>
      <c r="AJ66" s="214"/>
      <c r="AK66" s="214"/>
      <c r="AL66" s="214"/>
      <c r="AM66" s="214"/>
      <c r="AN66" s="244"/>
    </row>
    <row r="67" spans="1:40" ht="20">
      <c r="A67" s="144"/>
      <c r="B67" s="144"/>
      <c r="C67" s="979"/>
      <c r="D67" s="1034"/>
      <c r="E67" s="979"/>
      <c r="F67" s="979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566">
        <f t="shared" si="42"/>
        <v>5.7</v>
      </c>
      <c r="V67" s="566">
        <f t="shared" si="42"/>
        <v>5.05</v>
      </c>
      <c r="W67" s="566">
        <f t="shared" si="42"/>
        <v>4.8000000000000007</v>
      </c>
      <c r="X67" s="566">
        <f t="shared" si="42"/>
        <v>1.1499999999999999</v>
      </c>
      <c r="Y67" s="566">
        <f t="shared" si="42"/>
        <v>1.4500000000000002</v>
      </c>
      <c r="Z67" s="566">
        <f t="shared" si="42"/>
        <v>2.6</v>
      </c>
      <c r="AA67" s="566">
        <f t="shared" si="42"/>
        <v>0.86</v>
      </c>
      <c r="AB67" s="144"/>
      <c r="AE67" s="222"/>
      <c r="AF67" s="222"/>
      <c r="AG67" s="222"/>
      <c r="AH67" s="222"/>
      <c r="AI67" s="222"/>
    </row>
    <row r="68" spans="1:40" ht="15.75" customHeight="1">
      <c r="A68" s="144"/>
      <c r="B68" s="144"/>
      <c r="C68" s="144"/>
      <c r="D68" s="906"/>
      <c r="E68" s="979"/>
      <c r="F68" s="979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566">
        <f t="shared" si="42"/>
        <v>5.7</v>
      </c>
      <c r="V68" s="566">
        <f t="shared" si="42"/>
        <v>5.05</v>
      </c>
      <c r="W68" s="566">
        <f t="shared" si="42"/>
        <v>4.8000000000000007</v>
      </c>
      <c r="X68" s="566">
        <f t="shared" si="42"/>
        <v>1.1499999999999999</v>
      </c>
      <c r="Y68" s="566">
        <f t="shared" si="42"/>
        <v>1.4500000000000002</v>
      </c>
      <c r="Z68" s="566">
        <f t="shared" si="42"/>
        <v>2.6</v>
      </c>
      <c r="AA68" s="566">
        <f t="shared" si="42"/>
        <v>0.86</v>
      </c>
      <c r="AB68" s="144"/>
    </row>
    <row r="69" spans="1:40" ht="72" customHeight="1">
      <c r="A69" s="144"/>
      <c r="B69" s="144"/>
      <c r="C69" s="144"/>
      <c r="D69" s="906"/>
      <c r="E69" s="979"/>
      <c r="F69" s="979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566">
        <f t="shared" si="42"/>
        <v>5.7</v>
      </c>
      <c r="V69" s="566">
        <f t="shared" si="42"/>
        <v>5.05</v>
      </c>
      <c r="W69" s="566">
        <f t="shared" si="42"/>
        <v>4.8000000000000007</v>
      </c>
      <c r="X69" s="566">
        <f t="shared" si="42"/>
        <v>1.1499999999999999</v>
      </c>
      <c r="Y69" s="566">
        <f t="shared" si="42"/>
        <v>1.4500000000000002</v>
      </c>
      <c r="Z69" s="566">
        <f t="shared" si="42"/>
        <v>2.6</v>
      </c>
      <c r="AA69" s="566">
        <f t="shared" si="42"/>
        <v>0.86</v>
      </c>
      <c r="AB69" s="144"/>
      <c r="AC69" s="221"/>
      <c r="AD69" s="222"/>
      <c r="AE69" s="222"/>
      <c r="AF69" s="222"/>
      <c r="AG69" s="222"/>
      <c r="AH69" s="222"/>
      <c r="AI69" s="220"/>
      <c r="AJ69" s="204"/>
      <c r="AK69" s="204"/>
      <c r="AL69" s="204"/>
      <c r="AM69" s="204"/>
      <c r="AN69" s="204"/>
    </row>
    <row r="70" spans="1:40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566">
        <f t="shared" si="42"/>
        <v>5.7</v>
      </c>
      <c r="V70" s="566">
        <f t="shared" si="42"/>
        <v>5.05</v>
      </c>
      <c r="W70" s="566">
        <f t="shared" si="42"/>
        <v>4.8000000000000007</v>
      </c>
      <c r="X70" s="566">
        <f t="shared" si="42"/>
        <v>1.1499999999999999</v>
      </c>
      <c r="Y70" s="566">
        <f t="shared" si="42"/>
        <v>1.4500000000000002</v>
      </c>
      <c r="Z70" s="566">
        <f t="shared" si="42"/>
        <v>2.6</v>
      </c>
      <c r="AA70" s="566">
        <f t="shared" si="42"/>
        <v>0.86</v>
      </c>
      <c r="AB70" s="144"/>
      <c r="AC70" s="231" t="s">
        <v>193</v>
      </c>
      <c r="AD70" s="227"/>
      <c r="AE70" s="227"/>
      <c r="AF70" s="227"/>
      <c r="AG70" s="227"/>
      <c r="AH70" s="227"/>
      <c r="AI70" s="225"/>
      <c r="AJ70" s="204"/>
      <c r="AK70" s="204"/>
      <c r="AL70" s="204"/>
      <c r="AM70" s="204"/>
      <c r="AN70" s="204"/>
    </row>
    <row r="71" spans="1:40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566">
        <f t="shared" si="42"/>
        <v>5.7</v>
      </c>
      <c r="V71" s="566">
        <f t="shared" si="42"/>
        <v>5.05</v>
      </c>
      <c r="W71" s="566">
        <f t="shared" si="42"/>
        <v>4.8000000000000007</v>
      </c>
      <c r="X71" s="566">
        <f t="shared" si="42"/>
        <v>1.1499999999999999</v>
      </c>
      <c r="Y71" s="566">
        <f t="shared" si="42"/>
        <v>1.4500000000000002</v>
      </c>
      <c r="Z71" s="566">
        <f t="shared" si="42"/>
        <v>2.6</v>
      </c>
      <c r="AA71" s="566">
        <f t="shared" si="42"/>
        <v>0.86</v>
      </c>
      <c r="AB71" s="144"/>
      <c r="AC71" s="231">
        <v>0</v>
      </c>
      <c r="AD71" s="231">
        <v>0</v>
      </c>
      <c r="AE71" s="231">
        <v>0</v>
      </c>
      <c r="AF71" s="231">
        <v>0</v>
      </c>
      <c r="AG71" s="231">
        <v>0</v>
      </c>
      <c r="AH71" s="231">
        <v>0</v>
      </c>
      <c r="AI71" s="225"/>
      <c r="AJ71" s="204"/>
      <c r="AK71" s="204"/>
      <c r="AL71" s="204"/>
      <c r="AM71" s="204"/>
      <c r="AN71" s="204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566">
        <f t="shared" si="42"/>
        <v>5.7</v>
      </c>
      <c r="V72" s="566">
        <f t="shared" si="42"/>
        <v>5.05</v>
      </c>
      <c r="W72" s="566">
        <f t="shared" si="42"/>
        <v>4.8000000000000007</v>
      </c>
      <c r="X72" s="566">
        <f t="shared" si="42"/>
        <v>1.1499999999999999</v>
      </c>
      <c r="Y72" s="566">
        <f t="shared" si="42"/>
        <v>1.4500000000000002</v>
      </c>
      <c r="Z72" s="566">
        <f t="shared" si="42"/>
        <v>2.6</v>
      </c>
      <c r="AA72" s="566">
        <f t="shared" si="42"/>
        <v>0.86</v>
      </c>
      <c r="AB72" s="144"/>
      <c r="AC72" s="231"/>
      <c r="AD72" s="231"/>
      <c r="AE72" s="231"/>
      <c r="AF72" s="231"/>
      <c r="AG72" s="231"/>
      <c r="AH72" s="231"/>
      <c r="AI72" s="225"/>
      <c r="AJ72" s="204"/>
      <c r="AK72" s="204"/>
      <c r="AL72" s="204"/>
      <c r="AM72" s="204"/>
      <c r="AN72" s="204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566">
        <f t="shared" si="42"/>
        <v>5.7</v>
      </c>
      <c r="V73" s="566">
        <f t="shared" si="42"/>
        <v>5.05</v>
      </c>
      <c r="W73" s="566">
        <f t="shared" si="42"/>
        <v>4.8000000000000007</v>
      </c>
      <c r="X73" s="566">
        <f t="shared" si="42"/>
        <v>1.1499999999999999</v>
      </c>
      <c r="Y73" s="566">
        <f t="shared" si="42"/>
        <v>1.4500000000000002</v>
      </c>
      <c r="Z73" s="566">
        <f t="shared" si="42"/>
        <v>2.6</v>
      </c>
      <c r="AA73" s="566">
        <f t="shared" si="42"/>
        <v>0.86</v>
      </c>
      <c r="AB73" s="144"/>
      <c r="AC73" s="231"/>
      <c r="AD73" s="231"/>
      <c r="AE73" s="231"/>
      <c r="AF73" s="231"/>
      <c r="AG73" s="231"/>
      <c r="AH73" s="231"/>
      <c r="AI73" s="225"/>
      <c r="AJ73" s="204"/>
      <c r="AK73" s="204"/>
      <c r="AL73" s="204"/>
      <c r="AM73" s="204"/>
      <c r="AN73" s="204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566">
        <f t="shared" si="42"/>
        <v>5.7</v>
      </c>
      <c r="V74" s="566">
        <f t="shared" si="42"/>
        <v>5.05</v>
      </c>
      <c r="W74" s="566">
        <f t="shared" si="42"/>
        <v>4.8000000000000007</v>
      </c>
      <c r="X74" s="566">
        <f t="shared" si="42"/>
        <v>1.1499999999999999</v>
      </c>
      <c r="Y74" s="566">
        <f t="shared" si="42"/>
        <v>1.4500000000000002</v>
      </c>
      <c r="Z74" s="566">
        <f t="shared" si="42"/>
        <v>2.6</v>
      </c>
      <c r="AA74" s="566">
        <f t="shared" si="42"/>
        <v>0.86</v>
      </c>
      <c r="AB74" s="144"/>
      <c r="AC74" s="231">
        <v>0</v>
      </c>
      <c r="AD74" s="231">
        <v>0</v>
      </c>
      <c r="AE74" s="231">
        <v>0</v>
      </c>
      <c r="AF74" s="231">
        <v>0</v>
      </c>
      <c r="AG74" s="231">
        <v>0</v>
      </c>
      <c r="AH74" s="231">
        <v>0</v>
      </c>
      <c r="AI74" s="225"/>
      <c r="AJ74" s="204"/>
      <c r="AK74" s="204"/>
      <c r="AL74" s="204"/>
      <c r="AM74" s="204"/>
      <c r="AN74" s="204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566">
        <f t="shared" si="42"/>
        <v>5.7</v>
      </c>
      <c r="V75" s="566">
        <f t="shared" si="42"/>
        <v>5.05</v>
      </c>
      <c r="W75" s="566">
        <f t="shared" si="42"/>
        <v>4.8000000000000007</v>
      </c>
      <c r="X75" s="566">
        <f t="shared" si="42"/>
        <v>1.1499999999999999</v>
      </c>
      <c r="Y75" s="566">
        <f t="shared" si="42"/>
        <v>1.4500000000000002</v>
      </c>
      <c r="Z75" s="566">
        <f t="shared" si="42"/>
        <v>2.6</v>
      </c>
      <c r="AA75" s="566">
        <f t="shared" si="42"/>
        <v>0.86</v>
      </c>
      <c r="AB75" s="144"/>
      <c r="AC75" s="231">
        <v>0</v>
      </c>
      <c r="AD75" s="231">
        <v>0</v>
      </c>
      <c r="AE75" s="231">
        <v>0</v>
      </c>
      <c r="AF75" s="231">
        <v>0</v>
      </c>
      <c r="AG75" s="231">
        <v>0</v>
      </c>
      <c r="AH75" s="231">
        <v>0</v>
      </c>
      <c r="AI75" s="213"/>
      <c r="AJ75" s="204"/>
      <c r="AK75" s="204"/>
      <c r="AL75" s="204"/>
      <c r="AM75" s="204"/>
      <c r="AN75" s="204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566">
        <f t="shared" si="42"/>
        <v>5.7</v>
      </c>
      <c r="V76" s="566">
        <f t="shared" si="42"/>
        <v>5.05</v>
      </c>
      <c r="W76" s="566">
        <f t="shared" si="42"/>
        <v>4.8000000000000007</v>
      </c>
      <c r="X76" s="566">
        <f t="shared" si="42"/>
        <v>1.1499999999999999</v>
      </c>
      <c r="Y76" s="566">
        <f t="shared" si="42"/>
        <v>1.4500000000000002</v>
      </c>
      <c r="Z76" s="566">
        <f t="shared" si="42"/>
        <v>2.6</v>
      </c>
      <c r="AA76" s="566">
        <f t="shared" si="42"/>
        <v>0.86</v>
      </c>
      <c r="AB76" s="144"/>
      <c r="AC76" s="231"/>
      <c r="AD76" s="231"/>
      <c r="AE76" s="231"/>
      <c r="AF76" s="231"/>
      <c r="AG76" s="231"/>
      <c r="AH76" s="231"/>
      <c r="AI76" s="213"/>
      <c r="AJ76" s="204"/>
      <c r="AK76" s="204"/>
      <c r="AL76" s="204"/>
      <c r="AM76" s="204"/>
      <c r="AN76" s="204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566">
        <f t="shared" si="42"/>
        <v>5.7</v>
      </c>
      <c r="V77" s="566">
        <f t="shared" si="42"/>
        <v>5.05</v>
      </c>
      <c r="W77" s="566">
        <f t="shared" si="42"/>
        <v>4.8000000000000007</v>
      </c>
      <c r="X77" s="566">
        <f t="shared" si="42"/>
        <v>1.1499999999999999</v>
      </c>
      <c r="Y77" s="566">
        <f t="shared" si="42"/>
        <v>1.4500000000000002</v>
      </c>
      <c r="Z77" s="566">
        <f t="shared" si="42"/>
        <v>2.6</v>
      </c>
      <c r="AA77" s="566">
        <f t="shared" si="42"/>
        <v>0.86</v>
      </c>
      <c r="AB77" s="144"/>
      <c r="AC77" s="231"/>
      <c r="AD77" s="231"/>
      <c r="AE77" s="231"/>
      <c r="AF77" s="231"/>
      <c r="AG77" s="231"/>
      <c r="AH77" s="231"/>
      <c r="AI77" s="213"/>
      <c r="AJ77" s="204"/>
      <c r="AK77" s="204"/>
      <c r="AL77" s="204"/>
      <c r="AM77" s="204"/>
      <c r="AN77" s="204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566">
        <f t="shared" si="42"/>
        <v>5.7</v>
      </c>
      <c r="V78" s="566">
        <f t="shared" si="42"/>
        <v>5.05</v>
      </c>
      <c r="W78" s="566">
        <f t="shared" si="42"/>
        <v>4.8000000000000007</v>
      </c>
      <c r="X78" s="566">
        <f t="shared" si="42"/>
        <v>1.1499999999999999</v>
      </c>
      <c r="Y78" s="566">
        <f t="shared" si="42"/>
        <v>1.4500000000000002</v>
      </c>
      <c r="Z78" s="566">
        <f t="shared" si="42"/>
        <v>2.6</v>
      </c>
      <c r="AA78" s="566">
        <f t="shared" si="42"/>
        <v>0.86</v>
      </c>
      <c r="AB78" s="144"/>
      <c r="AC78" s="231">
        <v>0</v>
      </c>
      <c r="AD78" s="231">
        <v>0</v>
      </c>
      <c r="AE78" s="231">
        <v>0</v>
      </c>
      <c r="AF78" s="231">
        <v>0</v>
      </c>
      <c r="AG78" s="231">
        <v>0</v>
      </c>
      <c r="AH78" s="231">
        <v>0</v>
      </c>
      <c r="AI78" s="213"/>
      <c r="AJ78" s="204"/>
      <c r="AK78" s="204"/>
      <c r="AL78" s="204"/>
      <c r="AM78" s="204"/>
      <c r="AN78" s="204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566">
        <f t="shared" si="42"/>
        <v>5.7</v>
      </c>
      <c r="V79" s="566">
        <f t="shared" si="42"/>
        <v>5.05</v>
      </c>
      <c r="W79" s="566">
        <f t="shared" si="42"/>
        <v>4.8000000000000007</v>
      </c>
      <c r="X79" s="566">
        <f t="shared" si="42"/>
        <v>1.1499999999999999</v>
      </c>
      <c r="Y79" s="566">
        <f t="shared" si="42"/>
        <v>1.4500000000000002</v>
      </c>
      <c r="Z79" s="566">
        <f t="shared" si="42"/>
        <v>2.6</v>
      </c>
      <c r="AA79" s="566">
        <f t="shared" si="42"/>
        <v>0.86</v>
      </c>
      <c r="AB79" s="144"/>
      <c r="AC79" s="231">
        <v>0</v>
      </c>
      <c r="AD79" s="231">
        <v>0</v>
      </c>
      <c r="AE79" s="231">
        <v>0</v>
      </c>
      <c r="AF79" s="231">
        <v>0</v>
      </c>
      <c r="AG79" s="231">
        <v>0</v>
      </c>
      <c r="AH79" s="231">
        <v>0</v>
      </c>
      <c r="AI79" s="213"/>
      <c r="AJ79" s="204"/>
      <c r="AK79" s="204"/>
      <c r="AL79" s="204"/>
      <c r="AM79" s="204"/>
      <c r="AN79" s="204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566">
        <f t="shared" si="42"/>
        <v>5.7</v>
      </c>
      <c r="V80" s="566">
        <f t="shared" si="42"/>
        <v>5.05</v>
      </c>
      <c r="W80" s="566">
        <f t="shared" si="42"/>
        <v>4.8000000000000007</v>
      </c>
      <c r="X80" s="566">
        <f t="shared" si="42"/>
        <v>1.1499999999999999</v>
      </c>
      <c r="Y80" s="566">
        <f t="shared" si="42"/>
        <v>1.4500000000000002</v>
      </c>
      <c r="Z80" s="566">
        <f t="shared" si="42"/>
        <v>2.6</v>
      </c>
      <c r="AA80" s="566">
        <f t="shared" si="42"/>
        <v>0.86</v>
      </c>
      <c r="AB80" s="144"/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13"/>
      <c r="AJ80" s="204"/>
      <c r="AK80" s="204"/>
      <c r="AL80" s="204"/>
      <c r="AM80" s="204"/>
      <c r="AN80" s="204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566">
        <f t="shared" si="42"/>
        <v>5.7</v>
      </c>
      <c r="V81" s="566">
        <f t="shared" si="42"/>
        <v>5.05</v>
      </c>
      <c r="W81" s="566">
        <f t="shared" si="42"/>
        <v>4.8000000000000007</v>
      </c>
      <c r="X81" s="566">
        <f t="shared" si="42"/>
        <v>1.1499999999999999</v>
      </c>
      <c r="Y81" s="566">
        <f t="shared" si="42"/>
        <v>1.4500000000000002</v>
      </c>
      <c r="Z81" s="566">
        <f t="shared" si="42"/>
        <v>2.6</v>
      </c>
      <c r="AA81" s="566">
        <f t="shared" si="42"/>
        <v>0.86</v>
      </c>
      <c r="AB81" s="144"/>
      <c r="AC81" s="231">
        <v>0</v>
      </c>
      <c r="AD81" s="231">
        <v>0</v>
      </c>
      <c r="AE81" s="231">
        <v>0</v>
      </c>
      <c r="AF81" s="231">
        <v>0</v>
      </c>
      <c r="AG81" s="231">
        <v>0</v>
      </c>
      <c r="AH81" s="231">
        <v>0</v>
      </c>
      <c r="AI81" s="213"/>
      <c r="AJ81" s="204"/>
      <c r="AK81" s="204"/>
      <c r="AL81" s="204"/>
      <c r="AM81" s="204"/>
      <c r="AN81" s="204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566">
        <f t="shared" ref="U82:AA97" si="43">IF(U81&gt;0,U81,U80)</f>
        <v>5.7</v>
      </c>
      <c r="V82" s="566">
        <f t="shared" si="43"/>
        <v>5.05</v>
      </c>
      <c r="W82" s="566">
        <f t="shared" si="43"/>
        <v>4.8000000000000007</v>
      </c>
      <c r="X82" s="566">
        <f t="shared" si="43"/>
        <v>1.1499999999999999</v>
      </c>
      <c r="Y82" s="566">
        <f t="shared" si="43"/>
        <v>1.4500000000000002</v>
      </c>
      <c r="Z82" s="566">
        <f t="shared" si="43"/>
        <v>2.6</v>
      </c>
      <c r="AA82" s="566">
        <f t="shared" si="43"/>
        <v>0.86</v>
      </c>
      <c r="AB82" s="144"/>
      <c r="AC82" s="231"/>
      <c r="AD82" s="231"/>
      <c r="AE82" s="231"/>
      <c r="AF82" s="231"/>
      <c r="AG82" s="231"/>
      <c r="AH82" s="231"/>
      <c r="AI82" s="213"/>
      <c r="AJ82" s="204"/>
      <c r="AK82" s="204"/>
      <c r="AL82" s="204"/>
      <c r="AM82" s="204"/>
      <c r="AN82" s="204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566">
        <f t="shared" si="43"/>
        <v>5.7</v>
      </c>
      <c r="V83" s="566">
        <f t="shared" si="43"/>
        <v>5.05</v>
      </c>
      <c r="W83" s="566">
        <f t="shared" si="43"/>
        <v>4.8000000000000007</v>
      </c>
      <c r="X83" s="566">
        <f t="shared" si="43"/>
        <v>1.1499999999999999</v>
      </c>
      <c r="Y83" s="566">
        <f t="shared" si="43"/>
        <v>1.4500000000000002</v>
      </c>
      <c r="Z83" s="566">
        <f t="shared" si="43"/>
        <v>2.6</v>
      </c>
      <c r="AA83" s="566">
        <f t="shared" si="43"/>
        <v>0.86</v>
      </c>
      <c r="AB83" s="144"/>
      <c r="AC83" s="231"/>
      <c r="AD83" s="231"/>
      <c r="AE83" s="231"/>
      <c r="AF83" s="231"/>
      <c r="AG83" s="231"/>
      <c r="AH83" s="231"/>
      <c r="AI83" s="213"/>
      <c r="AJ83" s="204"/>
      <c r="AK83" s="204"/>
      <c r="AL83" s="204"/>
      <c r="AM83" s="204"/>
      <c r="AN83" s="204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566">
        <f t="shared" si="43"/>
        <v>5.7</v>
      </c>
      <c r="V84" s="566">
        <f t="shared" si="43"/>
        <v>5.05</v>
      </c>
      <c r="W84" s="566">
        <f t="shared" si="43"/>
        <v>4.8000000000000007</v>
      </c>
      <c r="X84" s="566">
        <f t="shared" si="43"/>
        <v>1.1499999999999999</v>
      </c>
      <c r="Y84" s="566">
        <f t="shared" si="43"/>
        <v>1.4500000000000002</v>
      </c>
      <c r="Z84" s="566">
        <f t="shared" si="43"/>
        <v>2.6</v>
      </c>
      <c r="AA84" s="566">
        <f t="shared" si="43"/>
        <v>0.86</v>
      </c>
      <c r="AB84" s="144"/>
      <c r="AC84" s="231">
        <v>0</v>
      </c>
      <c r="AD84" s="231">
        <v>0</v>
      </c>
      <c r="AE84" s="231">
        <v>0</v>
      </c>
      <c r="AF84" s="231">
        <v>0</v>
      </c>
      <c r="AG84" s="231">
        <v>0</v>
      </c>
      <c r="AH84" s="231">
        <v>0</v>
      </c>
      <c r="AI84" s="213"/>
      <c r="AJ84" s="204"/>
      <c r="AK84" s="204"/>
      <c r="AL84" s="204"/>
      <c r="AM84" s="204"/>
      <c r="AN84" s="204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566">
        <f t="shared" si="43"/>
        <v>5.7</v>
      </c>
      <c r="V85" s="566">
        <f t="shared" si="43"/>
        <v>5.05</v>
      </c>
      <c r="W85" s="566">
        <f t="shared" si="43"/>
        <v>4.8000000000000007</v>
      </c>
      <c r="X85" s="566">
        <f t="shared" si="43"/>
        <v>1.1499999999999999</v>
      </c>
      <c r="Y85" s="566">
        <f t="shared" si="43"/>
        <v>1.4500000000000002</v>
      </c>
      <c r="Z85" s="566">
        <f t="shared" si="43"/>
        <v>2.6</v>
      </c>
      <c r="AA85" s="566">
        <f t="shared" si="43"/>
        <v>0.86</v>
      </c>
      <c r="AB85" s="144"/>
      <c r="AC85" s="231">
        <v>0</v>
      </c>
      <c r="AD85" s="231">
        <v>0</v>
      </c>
      <c r="AE85" s="231">
        <v>0</v>
      </c>
      <c r="AF85" s="231">
        <v>0</v>
      </c>
      <c r="AG85" s="231">
        <v>0</v>
      </c>
      <c r="AH85" s="231">
        <v>0</v>
      </c>
      <c r="AI85" s="213"/>
      <c r="AJ85" s="204"/>
      <c r="AK85" s="204"/>
      <c r="AL85" s="204"/>
      <c r="AM85" s="204"/>
      <c r="AN85" s="204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566">
        <f t="shared" si="43"/>
        <v>5.7</v>
      </c>
      <c r="V86" s="566">
        <f t="shared" si="43"/>
        <v>5.05</v>
      </c>
      <c r="W86" s="566">
        <f t="shared" si="43"/>
        <v>4.8000000000000007</v>
      </c>
      <c r="X86" s="566">
        <f t="shared" si="43"/>
        <v>1.1499999999999999</v>
      </c>
      <c r="Y86" s="566">
        <f t="shared" si="43"/>
        <v>1.4500000000000002</v>
      </c>
      <c r="Z86" s="566">
        <f t="shared" si="43"/>
        <v>2.6</v>
      </c>
      <c r="AA86" s="566">
        <f t="shared" si="43"/>
        <v>0.86</v>
      </c>
      <c r="AB86" s="144"/>
      <c r="AC86" s="231">
        <v>0</v>
      </c>
      <c r="AD86" s="231">
        <v>0</v>
      </c>
      <c r="AE86" s="231">
        <v>0</v>
      </c>
      <c r="AF86" s="231">
        <v>0</v>
      </c>
      <c r="AG86" s="231">
        <v>0</v>
      </c>
      <c r="AH86" s="231">
        <v>0</v>
      </c>
      <c r="AI86" s="213"/>
      <c r="AJ86" s="204"/>
      <c r="AK86" s="204"/>
      <c r="AL86" s="204"/>
      <c r="AM86" s="204"/>
      <c r="AN86" s="204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566">
        <f t="shared" si="43"/>
        <v>5.7</v>
      </c>
      <c r="V87" s="566">
        <f t="shared" si="43"/>
        <v>5.05</v>
      </c>
      <c r="W87" s="566">
        <f t="shared" si="43"/>
        <v>4.8000000000000007</v>
      </c>
      <c r="X87" s="566">
        <f t="shared" si="43"/>
        <v>1.1499999999999999</v>
      </c>
      <c r="Y87" s="566">
        <f t="shared" si="43"/>
        <v>1.4500000000000002</v>
      </c>
      <c r="Z87" s="566">
        <f t="shared" si="43"/>
        <v>2.6</v>
      </c>
      <c r="AA87" s="566">
        <f t="shared" si="43"/>
        <v>0.86</v>
      </c>
      <c r="AB87" s="144"/>
      <c r="AC87" s="231"/>
      <c r="AD87" s="231"/>
      <c r="AE87" s="231"/>
      <c r="AF87" s="231"/>
      <c r="AG87" s="231"/>
      <c r="AH87" s="231"/>
      <c r="AI87" s="213"/>
      <c r="AJ87" s="204"/>
      <c r="AK87" s="204"/>
      <c r="AL87" s="204"/>
      <c r="AM87" s="204"/>
      <c r="AN87" s="204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566">
        <f t="shared" si="43"/>
        <v>5.7</v>
      </c>
      <c r="V88" s="566">
        <f t="shared" si="43"/>
        <v>5.05</v>
      </c>
      <c r="W88" s="566">
        <f t="shared" si="43"/>
        <v>4.8000000000000007</v>
      </c>
      <c r="X88" s="566">
        <f t="shared" si="43"/>
        <v>1.1499999999999999</v>
      </c>
      <c r="Y88" s="566">
        <f t="shared" si="43"/>
        <v>1.4500000000000002</v>
      </c>
      <c r="Z88" s="566">
        <f t="shared" si="43"/>
        <v>2.6</v>
      </c>
      <c r="AA88" s="566">
        <f t="shared" si="43"/>
        <v>0.86</v>
      </c>
      <c r="AB88" s="144"/>
      <c r="AC88" s="231"/>
      <c r="AD88" s="231"/>
      <c r="AE88" s="231"/>
      <c r="AF88" s="231"/>
      <c r="AG88" s="231"/>
      <c r="AH88" s="231"/>
      <c r="AI88" s="213"/>
      <c r="AJ88" s="204"/>
      <c r="AK88" s="204"/>
      <c r="AL88" s="204"/>
      <c r="AM88" s="204"/>
      <c r="AN88" s="204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566">
        <f t="shared" si="43"/>
        <v>5.7</v>
      </c>
      <c r="V89" s="566">
        <f t="shared" si="43"/>
        <v>5.05</v>
      </c>
      <c r="W89" s="566">
        <f t="shared" si="43"/>
        <v>4.8000000000000007</v>
      </c>
      <c r="X89" s="566">
        <f t="shared" si="43"/>
        <v>1.1499999999999999</v>
      </c>
      <c r="Y89" s="566">
        <f t="shared" si="43"/>
        <v>1.4500000000000002</v>
      </c>
      <c r="Z89" s="566">
        <f t="shared" si="43"/>
        <v>2.6</v>
      </c>
      <c r="AA89" s="566">
        <f t="shared" si="43"/>
        <v>0.86</v>
      </c>
      <c r="AB89" s="144"/>
      <c r="AC89" s="231">
        <v>0</v>
      </c>
      <c r="AD89" s="231">
        <v>0</v>
      </c>
      <c r="AE89" s="231">
        <v>0</v>
      </c>
      <c r="AF89" s="231">
        <v>0</v>
      </c>
      <c r="AG89" s="231">
        <v>0</v>
      </c>
      <c r="AH89" s="231">
        <v>0</v>
      </c>
      <c r="AI89" s="213"/>
      <c r="AJ89" s="204"/>
      <c r="AK89" s="204"/>
      <c r="AL89" s="204"/>
      <c r="AM89" s="204"/>
      <c r="AN89" s="204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566">
        <f t="shared" si="43"/>
        <v>5.7</v>
      </c>
      <c r="V90" s="566">
        <f t="shared" si="43"/>
        <v>5.05</v>
      </c>
      <c r="W90" s="566">
        <f t="shared" si="43"/>
        <v>4.8000000000000007</v>
      </c>
      <c r="X90" s="566">
        <f t="shared" si="43"/>
        <v>1.1499999999999999</v>
      </c>
      <c r="Y90" s="566">
        <f t="shared" si="43"/>
        <v>1.4500000000000002</v>
      </c>
      <c r="Z90" s="566">
        <f t="shared" si="43"/>
        <v>2.6</v>
      </c>
      <c r="AA90" s="566">
        <f t="shared" si="43"/>
        <v>0.86</v>
      </c>
      <c r="AB90" s="144"/>
      <c r="AC90" s="231">
        <v>0</v>
      </c>
      <c r="AD90" s="231">
        <v>0</v>
      </c>
      <c r="AE90" s="231">
        <v>0</v>
      </c>
      <c r="AF90" s="231">
        <v>0</v>
      </c>
      <c r="AG90" s="231">
        <v>0</v>
      </c>
      <c r="AH90" s="231">
        <v>0</v>
      </c>
      <c r="AI90" s="213"/>
      <c r="AJ90" s="204"/>
      <c r="AK90" s="204"/>
      <c r="AL90" s="204"/>
      <c r="AM90" s="204"/>
      <c r="AN90" s="204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566">
        <f t="shared" si="43"/>
        <v>5.7</v>
      </c>
      <c r="V91" s="566">
        <f t="shared" si="43"/>
        <v>5.05</v>
      </c>
      <c r="W91" s="566">
        <f t="shared" si="43"/>
        <v>4.8000000000000007</v>
      </c>
      <c r="X91" s="566">
        <f t="shared" si="43"/>
        <v>1.1499999999999999</v>
      </c>
      <c r="Y91" s="566">
        <f t="shared" si="43"/>
        <v>1.4500000000000002</v>
      </c>
      <c r="Z91" s="566">
        <f t="shared" si="43"/>
        <v>2.6</v>
      </c>
      <c r="AA91" s="566">
        <f t="shared" si="43"/>
        <v>0.86</v>
      </c>
      <c r="AB91" s="144"/>
      <c r="AC91" s="231">
        <v>0</v>
      </c>
      <c r="AD91" s="231">
        <v>0</v>
      </c>
      <c r="AE91" s="231">
        <v>0</v>
      </c>
      <c r="AF91" s="231">
        <v>0</v>
      </c>
      <c r="AG91" s="231">
        <v>0</v>
      </c>
      <c r="AH91" s="231">
        <v>0</v>
      </c>
      <c r="AI91" s="213"/>
      <c r="AJ91" s="204"/>
      <c r="AK91" s="204"/>
      <c r="AL91" s="204"/>
      <c r="AM91" s="204"/>
      <c r="AN91" s="204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566">
        <f t="shared" si="43"/>
        <v>5.7</v>
      </c>
      <c r="V92" s="566">
        <f t="shared" si="43"/>
        <v>5.05</v>
      </c>
      <c r="W92" s="566">
        <f t="shared" si="43"/>
        <v>4.8000000000000007</v>
      </c>
      <c r="X92" s="566">
        <f t="shared" si="43"/>
        <v>1.1499999999999999</v>
      </c>
      <c r="Y92" s="566">
        <f t="shared" si="43"/>
        <v>1.4500000000000002</v>
      </c>
      <c r="Z92" s="566">
        <f t="shared" si="43"/>
        <v>2.6</v>
      </c>
      <c r="AA92" s="566">
        <f t="shared" si="43"/>
        <v>0.86</v>
      </c>
      <c r="AB92" s="144"/>
      <c r="AC92" s="231"/>
      <c r="AD92" s="231"/>
      <c r="AE92" s="231"/>
      <c r="AF92" s="231"/>
      <c r="AG92" s="231"/>
      <c r="AH92" s="231"/>
      <c r="AI92" s="213"/>
      <c r="AJ92" s="204"/>
      <c r="AK92" s="204"/>
      <c r="AL92" s="204"/>
      <c r="AM92" s="204"/>
      <c r="AN92" s="204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566">
        <f t="shared" si="43"/>
        <v>5.7</v>
      </c>
      <c r="V93" s="566">
        <f t="shared" si="43"/>
        <v>5.05</v>
      </c>
      <c r="W93" s="566">
        <f t="shared" si="43"/>
        <v>4.8000000000000007</v>
      </c>
      <c r="X93" s="566">
        <f t="shared" si="43"/>
        <v>1.1499999999999999</v>
      </c>
      <c r="Y93" s="566">
        <f t="shared" si="43"/>
        <v>1.4500000000000002</v>
      </c>
      <c r="Z93" s="566">
        <f t="shared" si="43"/>
        <v>2.6</v>
      </c>
      <c r="AA93" s="566">
        <f t="shared" si="43"/>
        <v>0.86</v>
      </c>
      <c r="AB93" s="144"/>
      <c r="AC93" s="231"/>
      <c r="AD93" s="231"/>
      <c r="AE93" s="231"/>
      <c r="AF93" s="231"/>
      <c r="AG93" s="231"/>
      <c r="AH93" s="231"/>
      <c r="AI93" s="213"/>
      <c r="AJ93" s="204"/>
      <c r="AK93" s="204"/>
      <c r="AL93" s="204"/>
      <c r="AM93" s="204"/>
      <c r="AN93" s="204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566">
        <f t="shared" si="43"/>
        <v>5.7</v>
      </c>
      <c r="V94" s="566">
        <f t="shared" si="43"/>
        <v>5.05</v>
      </c>
      <c r="W94" s="566">
        <f t="shared" si="43"/>
        <v>4.8000000000000007</v>
      </c>
      <c r="X94" s="566">
        <f t="shared" si="43"/>
        <v>1.1499999999999999</v>
      </c>
      <c r="Y94" s="566">
        <f t="shared" si="43"/>
        <v>1.4500000000000002</v>
      </c>
      <c r="Z94" s="566">
        <f t="shared" si="43"/>
        <v>2.6</v>
      </c>
      <c r="AA94" s="566">
        <f t="shared" si="43"/>
        <v>0.86</v>
      </c>
      <c r="AB94" s="144"/>
      <c r="AC94" s="231">
        <v>0</v>
      </c>
      <c r="AD94" s="231">
        <v>0</v>
      </c>
      <c r="AE94" s="231">
        <v>0</v>
      </c>
      <c r="AF94" s="231">
        <v>0</v>
      </c>
      <c r="AG94" s="231">
        <v>0</v>
      </c>
      <c r="AH94" s="231">
        <v>0</v>
      </c>
      <c r="AI94" s="213"/>
      <c r="AJ94" s="204"/>
      <c r="AK94" s="204"/>
      <c r="AL94" s="204"/>
      <c r="AM94" s="204"/>
      <c r="AN94" s="204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566">
        <f t="shared" si="43"/>
        <v>5.7</v>
      </c>
      <c r="V95" s="566">
        <f t="shared" si="43"/>
        <v>5.05</v>
      </c>
      <c r="W95" s="566">
        <f t="shared" si="43"/>
        <v>4.8000000000000007</v>
      </c>
      <c r="X95" s="566">
        <f t="shared" si="43"/>
        <v>1.1499999999999999</v>
      </c>
      <c r="Y95" s="566">
        <f t="shared" si="43"/>
        <v>1.4500000000000002</v>
      </c>
      <c r="Z95" s="566">
        <f t="shared" si="43"/>
        <v>2.6</v>
      </c>
      <c r="AA95" s="566">
        <f t="shared" si="43"/>
        <v>0.86</v>
      </c>
      <c r="AB95" s="144"/>
      <c r="AC95" s="231">
        <v>0</v>
      </c>
      <c r="AD95" s="231">
        <v>0</v>
      </c>
      <c r="AE95" s="231">
        <v>0</v>
      </c>
      <c r="AF95" s="231">
        <v>0</v>
      </c>
      <c r="AG95" s="231">
        <v>0</v>
      </c>
      <c r="AH95" s="231">
        <v>0</v>
      </c>
      <c r="AI95" s="213"/>
      <c r="AJ95" s="204"/>
      <c r="AK95" s="204"/>
      <c r="AL95" s="204"/>
      <c r="AM95" s="204"/>
      <c r="AN95" s="204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566">
        <f t="shared" si="43"/>
        <v>5.7</v>
      </c>
      <c r="V96" s="566">
        <f t="shared" si="43"/>
        <v>5.05</v>
      </c>
      <c r="W96" s="566">
        <f t="shared" si="43"/>
        <v>4.8000000000000007</v>
      </c>
      <c r="X96" s="566">
        <f t="shared" si="43"/>
        <v>1.1499999999999999</v>
      </c>
      <c r="Y96" s="566">
        <f t="shared" si="43"/>
        <v>1.4500000000000002</v>
      </c>
      <c r="Z96" s="566">
        <f t="shared" si="43"/>
        <v>2.6</v>
      </c>
      <c r="AA96" s="566">
        <f t="shared" si="43"/>
        <v>0.86</v>
      </c>
      <c r="AB96" s="144"/>
      <c r="AC96" s="231"/>
      <c r="AD96" s="231"/>
      <c r="AE96" s="231"/>
      <c r="AF96" s="231"/>
      <c r="AG96" s="231"/>
      <c r="AH96" s="231"/>
      <c r="AI96" s="213"/>
      <c r="AJ96" s="204"/>
      <c r="AK96" s="204"/>
      <c r="AL96" s="204"/>
      <c r="AM96" s="204"/>
      <c r="AN96" s="204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566">
        <f t="shared" si="43"/>
        <v>5.7</v>
      </c>
      <c r="V97" s="566">
        <f t="shared" si="43"/>
        <v>5.05</v>
      </c>
      <c r="W97" s="566">
        <f t="shared" si="43"/>
        <v>4.8000000000000007</v>
      </c>
      <c r="X97" s="566">
        <f t="shared" si="43"/>
        <v>1.1499999999999999</v>
      </c>
      <c r="Y97" s="566">
        <f t="shared" si="43"/>
        <v>1.4500000000000002</v>
      </c>
      <c r="Z97" s="566">
        <f t="shared" si="43"/>
        <v>2.6</v>
      </c>
      <c r="AA97" s="566">
        <f t="shared" si="43"/>
        <v>0.86</v>
      </c>
      <c r="AB97" s="144"/>
      <c r="AC97" s="231"/>
      <c r="AD97" s="231"/>
      <c r="AE97" s="231"/>
      <c r="AF97" s="231"/>
      <c r="AG97" s="231"/>
      <c r="AH97" s="231"/>
      <c r="AI97" s="213"/>
      <c r="AJ97" s="204"/>
      <c r="AK97" s="204"/>
      <c r="AL97" s="204"/>
      <c r="AM97" s="204"/>
      <c r="AN97" s="204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566">
        <f t="shared" ref="U98:AA113" si="44">IF(U97&gt;0,U97,U96)</f>
        <v>5.7</v>
      </c>
      <c r="V98" s="566">
        <f t="shared" si="44"/>
        <v>5.05</v>
      </c>
      <c r="W98" s="566">
        <f t="shared" si="44"/>
        <v>4.8000000000000007</v>
      </c>
      <c r="X98" s="566">
        <f t="shared" si="44"/>
        <v>1.1499999999999999</v>
      </c>
      <c r="Y98" s="566">
        <f t="shared" si="44"/>
        <v>1.4500000000000002</v>
      </c>
      <c r="Z98" s="566">
        <f t="shared" si="44"/>
        <v>2.6</v>
      </c>
      <c r="AA98" s="566">
        <f t="shared" si="44"/>
        <v>0.86</v>
      </c>
      <c r="AB98" s="144"/>
      <c r="AC98" s="231">
        <v>0</v>
      </c>
      <c r="AD98" s="231">
        <v>0</v>
      </c>
      <c r="AE98" s="231">
        <v>0</v>
      </c>
      <c r="AF98" s="231">
        <v>0</v>
      </c>
      <c r="AG98" s="231">
        <v>0</v>
      </c>
      <c r="AH98" s="231">
        <v>0</v>
      </c>
      <c r="AI98" s="213"/>
      <c r="AJ98" s="204"/>
      <c r="AK98" s="204"/>
      <c r="AL98" s="204"/>
      <c r="AM98" s="204"/>
      <c r="AN98" s="204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566">
        <f t="shared" si="44"/>
        <v>5.7</v>
      </c>
      <c r="V99" s="566">
        <f t="shared" si="44"/>
        <v>5.05</v>
      </c>
      <c r="W99" s="566">
        <f t="shared" si="44"/>
        <v>4.8000000000000007</v>
      </c>
      <c r="X99" s="566">
        <f t="shared" si="44"/>
        <v>1.1499999999999999</v>
      </c>
      <c r="Y99" s="566">
        <f t="shared" si="44"/>
        <v>1.4500000000000002</v>
      </c>
      <c r="Z99" s="566">
        <f t="shared" si="44"/>
        <v>2.6</v>
      </c>
      <c r="AA99" s="566">
        <f t="shared" si="44"/>
        <v>0.86</v>
      </c>
      <c r="AB99" s="144"/>
      <c r="AC99" s="231">
        <v>0</v>
      </c>
      <c r="AD99" s="231">
        <v>0</v>
      </c>
      <c r="AE99" s="231">
        <v>0</v>
      </c>
      <c r="AF99" s="231">
        <v>0</v>
      </c>
      <c r="AG99" s="231">
        <v>0</v>
      </c>
      <c r="AH99" s="231">
        <v>0</v>
      </c>
      <c r="AI99" s="213"/>
      <c r="AJ99" s="204"/>
      <c r="AK99" s="204"/>
      <c r="AL99" s="204"/>
      <c r="AM99" s="204"/>
      <c r="AN99" s="204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566">
        <f t="shared" si="44"/>
        <v>5.7</v>
      </c>
      <c r="V100" s="566">
        <f t="shared" si="44"/>
        <v>5.05</v>
      </c>
      <c r="W100" s="566">
        <f t="shared" si="44"/>
        <v>4.8000000000000007</v>
      </c>
      <c r="X100" s="566">
        <f t="shared" si="44"/>
        <v>1.1499999999999999</v>
      </c>
      <c r="Y100" s="566">
        <f t="shared" si="44"/>
        <v>1.4500000000000002</v>
      </c>
      <c r="Z100" s="566">
        <f t="shared" si="44"/>
        <v>2.6</v>
      </c>
      <c r="AA100" s="566">
        <f t="shared" si="44"/>
        <v>0.86</v>
      </c>
      <c r="AB100" s="144"/>
      <c r="AC100" s="231">
        <v>0</v>
      </c>
      <c r="AD100" s="231">
        <v>0</v>
      </c>
      <c r="AE100" s="231">
        <v>0</v>
      </c>
      <c r="AF100" s="231">
        <v>0</v>
      </c>
      <c r="AG100" s="231">
        <v>0</v>
      </c>
      <c r="AH100" s="231">
        <v>0</v>
      </c>
      <c r="AI100" s="213"/>
      <c r="AJ100" s="204"/>
      <c r="AK100" s="204"/>
      <c r="AL100" s="204"/>
      <c r="AM100" s="204"/>
      <c r="AN100" s="204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566">
        <f t="shared" si="44"/>
        <v>5.7</v>
      </c>
      <c r="V101" s="566">
        <f t="shared" si="44"/>
        <v>5.05</v>
      </c>
      <c r="W101" s="566">
        <f t="shared" si="44"/>
        <v>4.8000000000000007</v>
      </c>
      <c r="X101" s="566">
        <f t="shared" si="44"/>
        <v>1.1499999999999999</v>
      </c>
      <c r="Y101" s="566">
        <f t="shared" si="44"/>
        <v>1.4500000000000002</v>
      </c>
      <c r="Z101" s="566">
        <f t="shared" si="44"/>
        <v>2.6</v>
      </c>
      <c r="AA101" s="566">
        <f t="shared" si="44"/>
        <v>0.86</v>
      </c>
      <c r="AB101" s="144"/>
      <c r="AC101" s="231">
        <v>0</v>
      </c>
      <c r="AD101" s="231">
        <v>0</v>
      </c>
      <c r="AE101" s="231">
        <v>0</v>
      </c>
      <c r="AF101" s="231">
        <v>0</v>
      </c>
      <c r="AG101" s="231">
        <v>0</v>
      </c>
      <c r="AH101" s="231">
        <v>0</v>
      </c>
      <c r="AI101" s="213"/>
      <c r="AJ101" s="204"/>
      <c r="AK101" s="204"/>
      <c r="AL101" s="204"/>
      <c r="AM101" s="204"/>
      <c r="AN101" s="204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566">
        <f t="shared" si="44"/>
        <v>5.7</v>
      </c>
      <c r="V102" s="566">
        <f t="shared" si="44"/>
        <v>5.05</v>
      </c>
      <c r="W102" s="566">
        <f t="shared" si="44"/>
        <v>4.8000000000000007</v>
      </c>
      <c r="X102" s="566">
        <f t="shared" si="44"/>
        <v>1.1499999999999999</v>
      </c>
      <c r="Y102" s="566">
        <f t="shared" si="44"/>
        <v>1.4500000000000002</v>
      </c>
      <c r="Z102" s="566">
        <f t="shared" si="44"/>
        <v>2.6</v>
      </c>
      <c r="AA102" s="566">
        <f t="shared" si="44"/>
        <v>0.86</v>
      </c>
      <c r="AB102" s="144"/>
      <c r="AC102" s="231"/>
      <c r="AD102" s="231"/>
      <c r="AE102" s="231"/>
      <c r="AF102" s="231"/>
      <c r="AG102" s="231"/>
      <c r="AH102" s="231"/>
      <c r="AI102" s="213"/>
      <c r="AJ102" s="204"/>
      <c r="AK102" s="204"/>
      <c r="AL102" s="204"/>
      <c r="AM102" s="204"/>
      <c r="AN102" s="204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566">
        <f t="shared" si="44"/>
        <v>5.7</v>
      </c>
      <c r="V103" s="566">
        <f t="shared" si="44"/>
        <v>5.05</v>
      </c>
      <c r="W103" s="566">
        <f t="shared" si="44"/>
        <v>4.8000000000000007</v>
      </c>
      <c r="X103" s="566">
        <f t="shared" si="44"/>
        <v>1.1499999999999999</v>
      </c>
      <c r="Y103" s="566">
        <f t="shared" si="44"/>
        <v>1.4500000000000002</v>
      </c>
      <c r="Z103" s="566">
        <f t="shared" si="44"/>
        <v>2.6</v>
      </c>
      <c r="AA103" s="566">
        <f t="shared" si="44"/>
        <v>0.86</v>
      </c>
      <c r="AB103" s="144"/>
      <c r="AC103" s="231">
        <v>0</v>
      </c>
      <c r="AD103" s="231">
        <v>0</v>
      </c>
      <c r="AE103" s="231">
        <v>0</v>
      </c>
      <c r="AF103" s="231">
        <v>0</v>
      </c>
      <c r="AG103" s="231">
        <v>0</v>
      </c>
      <c r="AH103" s="231">
        <v>0</v>
      </c>
      <c r="AI103" s="213"/>
      <c r="AJ103" s="204"/>
      <c r="AK103" s="204"/>
      <c r="AL103" s="204"/>
      <c r="AM103" s="204"/>
      <c r="AN103" s="204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566">
        <f t="shared" si="44"/>
        <v>5.7</v>
      </c>
      <c r="V104" s="566">
        <f t="shared" si="44"/>
        <v>5.05</v>
      </c>
      <c r="W104" s="566">
        <f t="shared" si="44"/>
        <v>4.8000000000000007</v>
      </c>
      <c r="X104" s="566">
        <f t="shared" si="44"/>
        <v>1.1499999999999999</v>
      </c>
      <c r="Y104" s="566">
        <f t="shared" si="44"/>
        <v>1.4500000000000002</v>
      </c>
      <c r="Z104" s="566">
        <f t="shared" si="44"/>
        <v>2.6</v>
      </c>
      <c r="AA104" s="566">
        <f t="shared" si="44"/>
        <v>0.86</v>
      </c>
      <c r="AB104" s="144"/>
      <c r="AC104" s="231">
        <v>0</v>
      </c>
      <c r="AD104" s="231">
        <v>0</v>
      </c>
      <c r="AE104" s="231">
        <v>0</v>
      </c>
      <c r="AF104" s="231">
        <v>0</v>
      </c>
      <c r="AG104" s="231">
        <v>0</v>
      </c>
      <c r="AH104" s="231">
        <v>0</v>
      </c>
      <c r="AI104" s="213"/>
      <c r="AJ104" s="204"/>
      <c r="AK104" s="204"/>
      <c r="AL104" s="204"/>
      <c r="AM104" s="204"/>
      <c r="AN104" s="204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566">
        <f t="shared" si="44"/>
        <v>5.7</v>
      </c>
      <c r="V105" s="566">
        <f t="shared" si="44"/>
        <v>5.05</v>
      </c>
      <c r="W105" s="566">
        <f t="shared" si="44"/>
        <v>4.8000000000000007</v>
      </c>
      <c r="X105" s="566">
        <f t="shared" si="44"/>
        <v>1.1499999999999999</v>
      </c>
      <c r="Y105" s="566">
        <f t="shared" si="44"/>
        <v>1.4500000000000002</v>
      </c>
      <c r="Z105" s="566">
        <f t="shared" si="44"/>
        <v>2.6</v>
      </c>
      <c r="AA105" s="566">
        <f t="shared" si="44"/>
        <v>0.86</v>
      </c>
      <c r="AB105" s="144"/>
      <c r="AC105" s="231"/>
      <c r="AD105" s="231"/>
      <c r="AE105" s="231"/>
      <c r="AF105" s="231"/>
      <c r="AG105" s="231"/>
      <c r="AH105" s="231"/>
      <c r="AI105" s="213"/>
      <c r="AJ105" s="204"/>
      <c r="AK105" s="204"/>
      <c r="AL105" s="204"/>
      <c r="AM105" s="204"/>
      <c r="AN105" s="204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566">
        <f t="shared" si="44"/>
        <v>5.7</v>
      </c>
      <c r="V106" s="566">
        <f t="shared" si="44"/>
        <v>5.05</v>
      </c>
      <c r="W106" s="566">
        <f t="shared" si="44"/>
        <v>4.8000000000000007</v>
      </c>
      <c r="X106" s="566">
        <f t="shared" si="44"/>
        <v>1.1499999999999999</v>
      </c>
      <c r="Y106" s="566">
        <f t="shared" si="44"/>
        <v>1.4500000000000002</v>
      </c>
      <c r="Z106" s="566">
        <f t="shared" si="44"/>
        <v>2.6</v>
      </c>
      <c r="AA106" s="566">
        <f t="shared" si="44"/>
        <v>0.86</v>
      </c>
      <c r="AB106" s="144"/>
      <c r="AC106" s="231"/>
      <c r="AD106" s="231"/>
      <c r="AE106" s="231"/>
      <c r="AF106" s="231"/>
      <c r="AG106" s="231"/>
      <c r="AH106" s="231"/>
      <c r="AI106" s="213"/>
      <c r="AJ106" s="204"/>
      <c r="AK106" s="204"/>
      <c r="AL106" s="204"/>
      <c r="AM106" s="204"/>
      <c r="AN106" s="204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566">
        <f t="shared" si="44"/>
        <v>5.7</v>
      </c>
      <c r="V107" s="566">
        <f t="shared" si="44"/>
        <v>5.05</v>
      </c>
      <c r="W107" s="566">
        <f t="shared" si="44"/>
        <v>4.8000000000000007</v>
      </c>
      <c r="X107" s="566">
        <f t="shared" si="44"/>
        <v>1.1499999999999999</v>
      </c>
      <c r="Y107" s="566">
        <f t="shared" si="44"/>
        <v>1.4500000000000002</v>
      </c>
      <c r="Z107" s="566">
        <f t="shared" si="44"/>
        <v>2.6</v>
      </c>
      <c r="AA107" s="566">
        <f t="shared" si="44"/>
        <v>0.86</v>
      </c>
      <c r="AB107" s="144"/>
      <c r="AC107" s="231">
        <v>0</v>
      </c>
      <c r="AD107" s="231">
        <v>0</v>
      </c>
      <c r="AE107" s="231">
        <v>0</v>
      </c>
      <c r="AF107" s="231">
        <v>0</v>
      </c>
      <c r="AG107" s="231">
        <v>0</v>
      </c>
      <c r="AH107" s="231">
        <v>0</v>
      </c>
      <c r="AI107" s="213"/>
      <c r="AJ107" s="204"/>
      <c r="AK107" s="204"/>
      <c r="AL107" s="204"/>
      <c r="AM107" s="204"/>
      <c r="AN107" s="204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566">
        <f t="shared" si="44"/>
        <v>5.7</v>
      </c>
      <c r="V108" s="566">
        <f t="shared" si="44"/>
        <v>5.05</v>
      </c>
      <c r="W108" s="566">
        <f t="shared" si="44"/>
        <v>4.8000000000000007</v>
      </c>
      <c r="X108" s="566">
        <f t="shared" si="44"/>
        <v>1.1499999999999999</v>
      </c>
      <c r="Y108" s="566">
        <f t="shared" si="44"/>
        <v>1.4500000000000002</v>
      </c>
      <c r="Z108" s="566">
        <f t="shared" si="44"/>
        <v>2.6</v>
      </c>
      <c r="AA108" s="566">
        <f t="shared" si="44"/>
        <v>0.86</v>
      </c>
      <c r="AB108" s="144"/>
      <c r="AC108" s="231">
        <v>0</v>
      </c>
      <c r="AD108" s="231">
        <v>0</v>
      </c>
      <c r="AE108" s="231">
        <v>0</v>
      </c>
      <c r="AF108" s="231">
        <v>0</v>
      </c>
      <c r="AG108" s="231">
        <v>0</v>
      </c>
      <c r="AH108" s="231">
        <v>0</v>
      </c>
      <c r="AI108" s="213"/>
      <c r="AJ108" s="204"/>
      <c r="AK108" s="204"/>
      <c r="AL108" s="204"/>
      <c r="AM108" s="204"/>
      <c r="AN108" s="204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566">
        <f t="shared" si="44"/>
        <v>5.7</v>
      </c>
      <c r="V109" s="566">
        <f t="shared" si="44"/>
        <v>5.05</v>
      </c>
      <c r="W109" s="566">
        <f t="shared" si="44"/>
        <v>4.8000000000000007</v>
      </c>
      <c r="X109" s="566">
        <f t="shared" si="44"/>
        <v>1.1499999999999999</v>
      </c>
      <c r="Y109" s="566">
        <f t="shared" si="44"/>
        <v>1.4500000000000002</v>
      </c>
      <c r="Z109" s="566">
        <f t="shared" si="44"/>
        <v>2.6</v>
      </c>
      <c r="AA109" s="566">
        <f t="shared" si="44"/>
        <v>0.86</v>
      </c>
      <c r="AB109" s="144"/>
      <c r="AC109" s="231">
        <v>0</v>
      </c>
      <c r="AD109" s="231">
        <v>0</v>
      </c>
      <c r="AE109" s="231">
        <v>0</v>
      </c>
      <c r="AF109" s="231">
        <v>0</v>
      </c>
      <c r="AG109" s="231">
        <v>0</v>
      </c>
      <c r="AH109" s="231">
        <v>0</v>
      </c>
      <c r="AI109" s="213"/>
      <c r="AJ109" s="204"/>
      <c r="AK109" s="204"/>
      <c r="AL109" s="204"/>
      <c r="AM109" s="204"/>
      <c r="AN109" s="204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566">
        <f t="shared" si="44"/>
        <v>5.7</v>
      </c>
      <c r="V110" s="566">
        <f t="shared" si="44"/>
        <v>5.05</v>
      </c>
      <c r="W110" s="566">
        <f t="shared" si="44"/>
        <v>4.8000000000000007</v>
      </c>
      <c r="X110" s="566">
        <f t="shared" si="44"/>
        <v>1.1499999999999999</v>
      </c>
      <c r="Y110" s="566">
        <f t="shared" si="44"/>
        <v>1.4500000000000002</v>
      </c>
      <c r="Z110" s="566">
        <f t="shared" si="44"/>
        <v>2.6</v>
      </c>
      <c r="AA110" s="566">
        <f t="shared" si="44"/>
        <v>0.86</v>
      </c>
      <c r="AB110" s="144"/>
      <c r="AC110" s="231"/>
      <c r="AD110" s="231"/>
      <c r="AE110" s="231"/>
      <c r="AF110" s="231"/>
      <c r="AG110" s="231"/>
      <c r="AH110" s="231"/>
      <c r="AI110" s="213"/>
      <c r="AJ110" s="204"/>
      <c r="AK110" s="204"/>
      <c r="AL110" s="204"/>
      <c r="AM110" s="204"/>
      <c r="AN110" s="204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566">
        <f t="shared" si="44"/>
        <v>5.7</v>
      </c>
      <c r="V111" s="566">
        <f t="shared" si="44"/>
        <v>5.05</v>
      </c>
      <c r="W111" s="566">
        <f t="shared" si="44"/>
        <v>4.8000000000000007</v>
      </c>
      <c r="X111" s="566">
        <f t="shared" si="44"/>
        <v>1.1499999999999999</v>
      </c>
      <c r="Y111" s="566">
        <f t="shared" si="44"/>
        <v>1.4500000000000002</v>
      </c>
      <c r="Z111" s="566">
        <f t="shared" si="44"/>
        <v>2.6</v>
      </c>
      <c r="AA111" s="566">
        <f t="shared" si="44"/>
        <v>0.86</v>
      </c>
      <c r="AB111" s="144"/>
      <c r="AC111" s="231"/>
      <c r="AD111" s="231"/>
      <c r="AE111" s="231"/>
      <c r="AF111" s="231"/>
      <c r="AG111" s="231"/>
      <c r="AH111" s="231"/>
      <c r="AI111" s="213"/>
      <c r="AJ111" s="204"/>
      <c r="AK111" s="204"/>
      <c r="AL111" s="204"/>
      <c r="AM111" s="204"/>
      <c r="AN111" s="204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566">
        <f t="shared" si="44"/>
        <v>5.7</v>
      </c>
      <c r="V112" s="566">
        <f t="shared" si="44"/>
        <v>5.05</v>
      </c>
      <c r="W112" s="566">
        <f t="shared" si="44"/>
        <v>4.8000000000000007</v>
      </c>
      <c r="X112" s="566">
        <f t="shared" si="44"/>
        <v>1.1499999999999999</v>
      </c>
      <c r="Y112" s="566">
        <f t="shared" si="44"/>
        <v>1.4500000000000002</v>
      </c>
      <c r="Z112" s="566">
        <f t="shared" si="44"/>
        <v>2.6</v>
      </c>
      <c r="AA112" s="566">
        <f t="shared" si="44"/>
        <v>0.86</v>
      </c>
      <c r="AB112" s="144"/>
      <c r="AC112" s="231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13"/>
      <c r="AJ112" s="204"/>
      <c r="AK112" s="204"/>
      <c r="AL112" s="204"/>
      <c r="AM112" s="204"/>
      <c r="AN112" s="204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566">
        <f t="shared" si="44"/>
        <v>5.7</v>
      </c>
      <c r="V113" s="566">
        <f t="shared" si="44"/>
        <v>5.05</v>
      </c>
      <c r="W113" s="566">
        <f t="shared" si="44"/>
        <v>4.8000000000000007</v>
      </c>
      <c r="X113" s="566">
        <f t="shared" si="44"/>
        <v>1.1499999999999999</v>
      </c>
      <c r="Y113" s="566">
        <f t="shared" si="44"/>
        <v>1.4500000000000002</v>
      </c>
      <c r="Z113" s="566">
        <f t="shared" si="44"/>
        <v>2.6</v>
      </c>
      <c r="AA113" s="566">
        <f t="shared" si="44"/>
        <v>0.86</v>
      </c>
      <c r="AB113" s="144"/>
      <c r="AC113" s="231">
        <v>0</v>
      </c>
      <c r="AD113" s="231">
        <v>0</v>
      </c>
      <c r="AE113" s="231">
        <v>0</v>
      </c>
      <c r="AF113" s="231">
        <v>0</v>
      </c>
      <c r="AG113" s="231">
        <v>0</v>
      </c>
      <c r="AH113" s="231">
        <v>0</v>
      </c>
      <c r="AI113" s="213"/>
      <c r="AJ113" s="204"/>
      <c r="AK113" s="204"/>
      <c r="AL113" s="204"/>
      <c r="AM113" s="204"/>
      <c r="AN113" s="204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566">
        <f t="shared" ref="U114:AA120" si="45">IF(U113&gt;0,U113,U112)</f>
        <v>5.7</v>
      </c>
      <c r="V114" s="566">
        <f t="shared" si="45"/>
        <v>5.05</v>
      </c>
      <c r="W114" s="566">
        <f t="shared" si="45"/>
        <v>4.8000000000000007</v>
      </c>
      <c r="X114" s="566">
        <f t="shared" si="45"/>
        <v>1.1499999999999999</v>
      </c>
      <c r="Y114" s="566">
        <f t="shared" si="45"/>
        <v>1.4500000000000002</v>
      </c>
      <c r="Z114" s="566">
        <f t="shared" si="45"/>
        <v>2.6</v>
      </c>
      <c r="AA114" s="566">
        <f t="shared" si="45"/>
        <v>0.86</v>
      </c>
      <c r="AB114" s="144"/>
      <c r="AC114" s="231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13"/>
      <c r="AJ114" s="204"/>
      <c r="AK114" s="204"/>
      <c r="AL114" s="204"/>
      <c r="AM114" s="204"/>
      <c r="AN114" s="204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566">
        <f t="shared" si="45"/>
        <v>5.7</v>
      </c>
      <c r="V115" s="566">
        <f t="shared" si="45"/>
        <v>5.05</v>
      </c>
      <c r="W115" s="566">
        <f t="shared" si="45"/>
        <v>4.8000000000000007</v>
      </c>
      <c r="X115" s="566">
        <f t="shared" si="45"/>
        <v>1.1499999999999999</v>
      </c>
      <c r="Y115" s="566">
        <f t="shared" si="45"/>
        <v>1.4500000000000002</v>
      </c>
      <c r="Z115" s="566">
        <f t="shared" si="45"/>
        <v>2.6</v>
      </c>
      <c r="AA115" s="566">
        <f t="shared" si="45"/>
        <v>0.86</v>
      </c>
      <c r="AB115" s="144"/>
      <c r="AC115" s="231"/>
      <c r="AD115" s="231"/>
      <c r="AE115" s="231"/>
      <c r="AF115" s="231"/>
      <c r="AG115" s="231"/>
      <c r="AH115" s="231"/>
      <c r="AI115" s="213"/>
      <c r="AJ115" s="204"/>
      <c r="AK115" s="204"/>
      <c r="AL115" s="204"/>
      <c r="AM115" s="204"/>
      <c r="AN115" s="204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566">
        <f t="shared" si="45"/>
        <v>5.7</v>
      </c>
      <c r="V116" s="566">
        <f t="shared" si="45"/>
        <v>5.05</v>
      </c>
      <c r="W116" s="566">
        <f t="shared" si="45"/>
        <v>4.8000000000000007</v>
      </c>
      <c r="X116" s="566">
        <f t="shared" si="45"/>
        <v>1.1499999999999999</v>
      </c>
      <c r="Y116" s="566">
        <f t="shared" si="45"/>
        <v>1.4500000000000002</v>
      </c>
      <c r="Z116" s="566">
        <f t="shared" si="45"/>
        <v>2.6</v>
      </c>
      <c r="AA116" s="566">
        <f t="shared" si="45"/>
        <v>0.86</v>
      </c>
      <c r="AB116" s="144"/>
      <c r="AC116" s="231"/>
      <c r="AD116" s="231"/>
      <c r="AE116" s="231"/>
      <c r="AF116" s="231"/>
      <c r="AG116" s="231"/>
      <c r="AH116" s="231"/>
      <c r="AI116" s="213"/>
      <c r="AJ116" s="204"/>
      <c r="AK116" s="204"/>
      <c r="AL116" s="204"/>
      <c r="AM116" s="204"/>
      <c r="AN116" s="204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566">
        <f t="shared" si="45"/>
        <v>5.7</v>
      </c>
      <c r="V117" s="566">
        <f t="shared" si="45"/>
        <v>5.05</v>
      </c>
      <c r="W117" s="566">
        <f t="shared" si="45"/>
        <v>4.8000000000000007</v>
      </c>
      <c r="X117" s="566">
        <f t="shared" si="45"/>
        <v>1.1499999999999999</v>
      </c>
      <c r="Y117" s="566">
        <f t="shared" si="45"/>
        <v>1.4500000000000002</v>
      </c>
      <c r="Z117" s="566">
        <f t="shared" si="45"/>
        <v>2.6</v>
      </c>
      <c r="AA117" s="566">
        <f t="shared" si="45"/>
        <v>0.86</v>
      </c>
      <c r="AB117" s="144"/>
      <c r="AC117" s="231">
        <v>0</v>
      </c>
      <c r="AD117" s="231">
        <v>0</v>
      </c>
      <c r="AE117" s="231">
        <v>0</v>
      </c>
      <c r="AF117" s="231">
        <v>0</v>
      </c>
      <c r="AG117" s="231">
        <v>0</v>
      </c>
      <c r="AH117" s="231">
        <v>0</v>
      </c>
      <c r="AI117" s="213"/>
      <c r="AJ117" s="204"/>
      <c r="AK117" s="204"/>
      <c r="AL117" s="204"/>
      <c r="AM117" s="204"/>
      <c r="AN117" s="204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566">
        <f t="shared" si="45"/>
        <v>5.7</v>
      </c>
      <c r="V118" s="566">
        <f t="shared" si="45"/>
        <v>5.05</v>
      </c>
      <c r="W118" s="566">
        <f t="shared" si="45"/>
        <v>4.8000000000000007</v>
      </c>
      <c r="X118" s="566">
        <f t="shared" si="45"/>
        <v>1.1499999999999999</v>
      </c>
      <c r="Y118" s="566">
        <f t="shared" si="45"/>
        <v>1.4500000000000002</v>
      </c>
      <c r="Z118" s="566">
        <f t="shared" si="45"/>
        <v>2.6</v>
      </c>
      <c r="AA118" s="566">
        <f t="shared" si="45"/>
        <v>0.86</v>
      </c>
      <c r="AB118" s="144"/>
      <c r="AC118" s="231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13"/>
      <c r="AJ118" s="204"/>
      <c r="AK118" s="204"/>
      <c r="AL118" s="204"/>
      <c r="AM118" s="204"/>
      <c r="AN118" s="204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566">
        <f t="shared" si="45"/>
        <v>5.7</v>
      </c>
      <c r="V119" s="566">
        <f t="shared" si="45"/>
        <v>5.05</v>
      </c>
      <c r="W119" s="566">
        <f t="shared" si="45"/>
        <v>4.8000000000000007</v>
      </c>
      <c r="X119" s="566">
        <f t="shared" si="45"/>
        <v>1.1499999999999999</v>
      </c>
      <c r="Y119" s="566">
        <f t="shared" si="45"/>
        <v>1.4500000000000002</v>
      </c>
      <c r="Z119" s="566">
        <f t="shared" si="45"/>
        <v>2.6</v>
      </c>
      <c r="AA119" s="566">
        <f t="shared" si="45"/>
        <v>0.86</v>
      </c>
      <c r="AB119" s="144"/>
      <c r="AC119" s="231">
        <v>0</v>
      </c>
      <c r="AD119" s="231">
        <v>0</v>
      </c>
      <c r="AE119" s="231">
        <v>0</v>
      </c>
      <c r="AF119" s="231">
        <v>0</v>
      </c>
      <c r="AG119" s="231">
        <v>0</v>
      </c>
      <c r="AH119" s="231">
        <v>0</v>
      </c>
      <c r="AI119" s="213"/>
      <c r="AJ119" s="204"/>
      <c r="AK119" s="204"/>
      <c r="AL119" s="204"/>
      <c r="AM119" s="204"/>
      <c r="AN119" s="204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567">
        <f>IF(U119&gt;0,U119,U118)</f>
        <v>5.7</v>
      </c>
      <c r="V120" s="567">
        <f t="shared" si="45"/>
        <v>5.05</v>
      </c>
      <c r="W120" s="567">
        <f t="shared" si="45"/>
        <v>4.8000000000000007</v>
      </c>
      <c r="X120" s="567">
        <f t="shared" si="45"/>
        <v>1.1499999999999999</v>
      </c>
      <c r="Y120" s="567">
        <f t="shared" si="45"/>
        <v>1.4500000000000002</v>
      </c>
      <c r="Z120" s="567">
        <f t="shared" si="45"/>
        <v>2.6</v>
      </c>
      <c r="AA120" s="567">
        <f t="shared" si="45"/>
        <v>0.86</v>
      </c>
      <c r="AB120" s="144"/>
      <c r="AC120" s="231"/>
      <c r="AD120" s="231"/>
      <c r="AE120" s="231"/>
      <c r="AF120" s="231"/>
      <c r="AG120" s="231"/>
      <c r="AH120" s="231"/>
      <c r="AI120" s="213"/>
      <c r="AJ120" s="204"/>
      <c r="AK120" s="204"/>
      <c r="AL120" s="204"/>
      <c r="AM120" s="204"/>
      <c r="AN120" s="204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222"/>
      <c r="V121" s="222"/>
      <c r="W121" s="222"/>
      <c r="X121" s="222"/>
      <c r="Y121" s="222"/>
      <c r="Z121" s="222"/>
      <c r="AA121" s="222"/>
      <c r="AB121" s="144"/>
      <c r="AC121" s="231"/>
      <c r="AD121" s="231"/>
      <c r="AE121" s="231"/>
      <c r="AF121" s="231"/>
      <c r="AG121" s="231"/>
      <c r="AH121" s="231"/>
      <c r="AI121" s="213"/>
      <c r="AJ121" s="204"/>
      <c r="AK121" s="204"/>
      <c r="AL121" s="204"/>
      <c r="AM121" s="204"/>
      <c r="AN121" s="204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222"/>
      <c r="V122" s="222"/>
      <c r="W122" s="222"/>
      <c r="X122" s="222"/>
      <c r="Y122" s="222"/>
      <c r="Z122" s="222"/>
      <c r="AA122" s="222"/>
      <c r="AB122" s="144"/>
      <c r="AC122" s="231">
        <v>0</v>
      </c>
      <c r="AD122" s="231">
        <v>0</v>
      </c>
      <c r="AE122" s="231">
        <v>0</v>
      </c>
      <c r="AF122" s="231">
        <v>0</v>
      </c>
      <c r="AG122" s="231">
        <v>0</v>
      </c>
      <c r="AH122" s="231">
        <v>0</v>
      </c>
      <c r="AI122" s="213"/>
      <c r="AJ122" s="204"/>
      <c r="AK122" s="204"/>
      <c r="AL122" s="204"/>
      <c r="AM122" s="204"/>
      <c r="AN122" s="204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222"/>
      <c r="V123" s="222"/>
      <c r="W123" s="222"/>
      <c r="X123" s="222"/>
      <c r="Y123" s="222"/>
      <c r="Z123" s="222"/>
      <c r="AA123" s="222"/>
      <c r="AB123" s="144"/>
      <c r="AC123" s="231"/>
      <c r="AD123" s="231"/>
      <c r="AE123" s="231"/>
      <c r="AF123" s="231"/>
      <c r="AG123" s="231"/>
      <c r="AH123" s="231"/>
      <c r="AJ123" s="204"/>
      <c r="AK123" s="204"/>
      <c r="AL123" s="204"/>
      <c r="AM123" s="204"/>
      <c r="AN123" s="204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222"/>
      <c r="V124" s="222"/>
      <c r="W124" s="222"/>
      <c r="X124" s="222"/>
      <c r="Y124" s="222"/>
      <c r="Z124" s="222"/>
      <c r="AA124" s="222"/>
      <c r="AB124" s="144"/>
      <c r="AJ124" s="204"/>
      <c r="AK124" s="204"/>
      <c r="AL124" s="204"/>
      <c r="AM124" s="204"/>
      <c r="AN124" s="204"/>
    </row>
    <row r="125" spans="1:40" ht="15" customHeight="1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222"/>
      <c r="V125" s="222"/>
      <c r="W125" s="222"/>
      <c r="X125" s="222"/>
      <c r="Y125" s="222"/>
      <c r="Z125" s="222"/>
      <c r="AA125" s="222"/>
      <c r="AB125" s="144"/>
      <c r="AJ125" s="204"/>
      <c r="AK125" s="204"/>
      <c r="AL125" s="204"/>
      <c r="AM125" s="204"/>
      <c r="AN125" s="204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222"/>
      <c r="V126" s="222"/>
      <c r="W126" s="222"/>
      <c r="X126" s="222"/>
      <c r="Y126" s="222"/>
      <c r="Z126" s="222"/>
      <c r="AA126" s="222"/>
      <c r="AB126" s="144"/>
      <c r="AJ126" s="204"/>
      <c r="AK126" s="204"/>
      <c r="AL126" s="204"/>
      <c r="AM126" s="204"/>
      <c r="AN126" s="204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222"/>
      <c r="V127" s="222"/>
      <c r="W127" s="222"/>
      <c r="X127" s="222"/>
      <c r="Y127" s="222"/>
      <c r="Z127" s="222"/>
      <c r="AA127" s="222"/>
      <c r="AB127" s="144"/>
      <c r="AJ127" s="204"/>
      <c r="AK127" s="204"/>
      <c r="AL127" s="204"/>
      <c r="AM127" s="204"/>
      <c r="AN127" s="204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222"/>
      <c r="V128" s="222"/>
      <c r="W128" s="222"/>
      <c r="X128" s="222"/>
      <c r="Y128" s="222"/>
      <c r="Z128" s="222"/>
      <c r="AA128" s="222"/>
      <c r="AB128" s="144"/>
      <c r="AJ128" s="204"/>
      <c r="AK128" s="204"/>
      <c r="AL128" s="204"/>
      <c r="AM128" s="204"/>
      <c r="AN128" s="204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222"/>
      <c r="V129" s="222"/>
      <c r="W129" s="222"/>
      <c r="X129" s="222"/>
      <c r="Y129" s="222"/>
      <c r="Z129" s="222"/>
      <c r="AA129" s="222"/>
      <c r="AB129" s="144"/>
      <c r="AJ129" s="204"/>
      <c r="AK129" s="204"/>
      <c r="AL129" s="204"/>
      <c r="AM129" s="204"/>
      <c r="AN129" s="204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222"/>
      <c r="V130" s="222"/>
      <c r="W130" s="222"/>
      <c r="X130" s="222"/>
      <c r="Y130" s="222"/>
      <c r="Z130" s="222"/>
      <c r="AA130" s="222"/>
      <c r="AB130" s="144"/>
      <c r="AJ130" s="204"/>
      <c r="AK130" s="204"/>
      <c r="AL130" s="204"/>
      <c r="AM130" s="204"/>
      <c r="AN130" s="204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222"/>
      <c r="V131" s="222"/>
      <c r="W131" s="222"/>
      <c r="X131" s="222"/>
      <c r="Y131" s="222"/>
      <c r="Z131" s="222"/>
      <c r="AA131" s="222"/>
      <c r="AB131" s="144"/>
      <c r="AJ131" s="204"/>
      <c r="AK131" s="204"/>
      <c r="AL131" s="204"/>
      <c r="AM131" s="204"/>
      <c r="AN131" s="204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222"/>
      <c r="V132" s="222"/>
      <c r="W132" s="222"/>
      <c r="X132" s="222"/>
      <c r="Y132" s="222"/>
      <c r="Z132" s="222"/>
      <c r="AA132" s="222"/>
      <c r="AB132" s="144"/>
      <c r="AJ132" s="204"/>
      <c r="AK132" s="204"/>
      <c r="AL132" s="204"/>
      <c r="AM132" s="204"/>
      <c r="AN132" s="204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222"/>
      <c r="V133" s="222"/>
      <c r="W133" s="222"/>
      <c r="X133" s="222"/>
      <c r="Y133" s="222"/>
      <c r="Z133" s="222"/>
      <c r="AA133" s="222"/>
      <c r="AB133" s="144"/>
      <c r="AN133" s="204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222"/>
      <c r="V134" s="222"/>
      <c r="W134" s="222"/>
      <c r="X134" s="222"/>
      <c r="Y134" s="222"/>
      <c r="Z134" s="222"/>
      <c r="AA134" s="222"/>
      <c r="AB134" s="144"/>
      <c r="AN134" s="204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222"/>
      <c r="V135" s="222"/>
      <c r="W135" s="222"/>
      <c r="X135" s="222"/>
      <c r="Y135" s="222"/>
      <c r="Z135" s="222"/>
      <c r="AA135" s="222"/>
      <c r="AB135" s="144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  <c r="AN135" s="204"/>
    </row>
    <row r="136" spans="1:40" s="247" customFormat="1" ht="11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222"/>
      <c r="V136" s="222"/>
      <c r="W136" s="222"/>
      <c r="X136" s="222"/>
      <c r="Y136" s="222"/>
      <c r="Z136" s="222"/>
      <c r="AA136" s="222"/>
      <c r="AB136" s="144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1:40" s="247" customFormat="1" ht="11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222"/>
      <c r="V137" s="222"/>
      <c r="W137" s="222"/>
      <c r="X137" s="222"/>
      <c r="Y137" s="222"/>
      <c r="Z137" s="222"/>
      <c r="AA137" s="222"/>
      <c r="AB137" s="144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1:40" s="247" customFormat="1" ht="11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222"/>
      <c r="V138" s="222"/>
      <c r="W138" s="222"/>
      <c r="X138" s="222"/>
      <c r="Y138" s="222"/>
      <c r="Z138" s="222"/>
      <c r="AA138" s="222"/>
      <c r="AB138" s="144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1:40" s="247" customFormat="1" ht="11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222"/>
      <c r="V139" s="222"/>
      <c r="W139" s="222"/>
      <c r="X139" s="222"/>
      <c r="Y139" s="222"/>
      <c r="Z139" s="222"/>
      <c r="AA139" s="222"/>
      <c r="AB139" s="144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1:40" s="247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45"/>
      <c r="O140" s="146"/>
      <c r="P140" s="146"/>
      <c r="Q140" s="147"/>
      <c r="R140" s="147"/>
      <c r="S140" s="142"/>
      <c r="T140" s="142"/>
      <c r="U140" s="222"/>
      <c r="V140" s="222"/>
      <c r="W140" s="222"/>
      <c r="X140" s="222"/>
      <c r="Y140" s="222"/>
      <c r="Z140" s="222"/>
      <c r="AA140" s="222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1:40" s="247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45"/>
      <c r="O141" s="146"/>
      <c r="P141" s="146"/>
      <c r="Q141" s="147"/>
      <c r="R141" s="147"/>
      <c r="S141" s="142"/>
      <c r="T141" s="142"/>
      <c r="U141" s="222"/>
      <c r="V141" s="222"/>
      <c r="W141" s="222"/>
      <c r="X141" s="222"/>
      <c r="Y141" s="222"/>
      <c r="Z141" s="222"/>
      <c r="AA141" s="222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1:40" s="247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222"/>
      <c r="V142" s="222"/>
      <c r="W142" s="222"/>
      <c r="X142" s="222"/>
      <c r="Y142" s="222"/>
      <c r="Z142" s="222"/>
      <c r="AA142" s="222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1:40" s="247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222"/>
      <c r="V143" s="222"/>
      <c r="W143" s="222"/>
      <c r="X143" s="222"/>
      <c r="Y143" s="222"/>
      <c r="Z143" s="222"/>
      <c r="AA143" s="222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1:40" s="247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39" s="247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39" s="247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39" s="247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39" s="247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39" s="247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39" s="247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39" s="247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39" s="247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39" s="247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39" s="247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39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39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39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39" s="247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39" s="247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39" s="247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39" s="247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39" s="247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39" s="247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39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39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B165" s="247">
        <f>SUBTOTAL(9,AB123:AB164)</f>
        <v>0</v>
      </c>
      <c r="AC165" s="214">
        <f>SUBTOTAL(9,AC123:AC164)</f>
        <v>0</v>
      </c>
      <c r="AD165" s="214">
        <f>SUBTOTAL(9,AD123:AD164)</f>
        <v>0</v>
      </c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39" s="247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B166" s="247">
        <v>0</v>
      </c>
      <c r="AC166" s="214">
        <v>0</v>
      </c>
      <c r="AD166" s="214">
        <v>0</v>
      </c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39" s="247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B167" s="247">
        <v>0</v>
      </c>
      <c r="AC167" s="214">
        <v>0</v>
      </c>
      <c r="AD167" s="214">
        <v>0</v>
      </c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39" s="247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B168" s="247">
        <v>0</v>
      </c>
      <c r="AC168" s="214">
        <v>0</v>
      </c>
      <c r="AD168" s="214">
        <v>0</v>
      </c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39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B169" s="247">
        <v>0</v>
      </c>
      <c r="AC169" s="214">
        <v>0</v>
      </c>
      <c r="AD169" s="214">
        <v>0</v>
      </c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39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B170" s="247">
        <v>0</v>
      </c>
      <c r="AC170" s="214">
        <v>0</v>
      </c>
      <c r="AD170" s="214">
        <v>0</v>
      </c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39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B171" s="247">
        <v>0</v>
      </c>
      <c r="AC171" s="214">
        <v>0</v>
      </c>
      <c r="AD171" s="214">
        <v>0</v>
      </c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39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B172" s="247">
        <v>0</v>
      </c>
      <c r="AC172" s="214">
        <v>0</v>
      </c>
      <c r="AD172" s="214">
        <v>0</v>
      </c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39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247">
        <v>0</v>
      </c>
      <c r="AC173" s="214">
        <v>0</v>
      </c>
      <c r="AD173" s="214">
        <v>0</v>
      </c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39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247">
        <v>0</v>
      </c>
      <c r="AC174" s="214">
        <v>0</v>
      </c>
      <c r="AD174" s="214">
        <v>0</v>
      </c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39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247">
        <v>0</v>
      </c>
      <c r="AC175" s="214">
        <v>0</v>
      </c>
      <c r="AD175" s="214">
        <v>0</v>
      </c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39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>
        <f>SUBTOTAL(9,U134:U175)</f>
        <v>0</v>
      </c>
      <c r="V176" s="146">
        <f t="shared" ref="V176:AA176" si="46">SUBTOTAL(9,V134:V175)</f>
        <v>0</v>
      </c>
      <c r="W176" s="146">
        <f t="shared" si="46"/>
        <v>0</v>
      </c>
      <c r="X176" s="146">
        <f t="shared" si="46"/>
        <v>0</v>
      </c>
      <c r="Y176" s="146">
        <f t="shared" si="46"/>
        <v>0</v>
      </c>
      <c r="Z176" s="146">
        <f t="shared" si="46"/>
        <v>0</v>
      </c>
      <c r="AA176" s="146">
        <f t="shared" si="46"/>
        <v>0</v>
      </c>
      <c r="AB176" s="247">
        <v>0</v>
      </c>
      <c r="AC176" s="214">
        <v>0</v>
      </c>
      <c r="AD176" s="214">
        <v>0</v>
      </c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41" s="213" customFormat="1" ht="14" thickBot="1">
      <c r="B177" s="139"/>
      <c r="C177" s="138"/>
      <c r="D177" s="908"/>
      <c r="E177" s="138"/>
      <c r="F177" s="140"/>
      <c r="G177" s="141"/>
      <c r="H177" s="141"/>
      <c r="I177" s="141"/>
      <c r="J177" s="141"/>
      <c r="K177" s="141"/>
      <c r="L177" s="141"/>
      <c r="M177" s="458"/>
      <c r="N177" s="140"/>
      <c r="O177" s="141"/>
      <c r="P177" s="141"/>
      <c r="Q177" s="148"/>
      <c r="R177" s="148"/>
      <c r="S177" s="149"/>
      <c r="T177" s="149"/>
      <c r="U177" s="150"/>
      <c r="V177" s="150"/>
      <c r="W177" s="150"/>
      <c r="X177" s="150"/>
      <c r="Y177" s="150"/>
      <c r="Z177" s="150"/>
      <c r="AA177" s="150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41" s="213" customFormat="1" ht="15" thickTop="1" thickBot="1">
      <c r="B178" s="139"/>
      <c r="C178" s="138"/>
      <c r="D178" s="908"/>
      <c r="E178" s="138"/>
      <c r="F178" s="140"/>
      <c r="G178" s="141"/>
      <c r="H178" s="141"/>
      <c r="I178" s="141"/>
      <c r="J178" s="141"/>
      <c r="K178" s="141"/>
      <c r="L178" s="141"/>
      <c r="M178" s="458"/>
      <c r="N178" s="140"/>
      <c r="O178" s="141"/>
      <c r="P178" s="141"/>
      <c r="Q178" s="148"/>
      <c r="R178" s="148"/>
      <c r="S178" s="148"/>
      <c r="T178" s="149"/>
      <c r="U178" s="151"/>
      <c r="V178" s="152"/>
      <c r="W178" s="153"/>
      <c r="X178" s="153"/>
      <c r="Y178" s="153"/>
      <c r="Z178" s="153"/>
      <c r="AA178" s="154"/>
      <c r="AB178" s="246"/>
      <c r="AC178" s="246"/>
      <c r="AE178" s="214"/>
      <c r="AF178" s="214"/>
      <c r="AG178" s="214"/>
      <c r="AH178" s="214"/>
      <c r="AI178" s="214"/>
      <c r="AJ178" s="214"/>
      <c r="AK178" s="214"/>
      <c r="AL178" s="214"/>
      <c r="AM178" s="214"/>
      <c r="AN178" s="214"/>
      <c r="AO178" s="214"/>
    </row>
    <row r="179" spans="2:41" s="247" customFormat="1" ht="12" thickTop="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41" s="247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41" s="247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41" s="247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41" s="247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41" s="247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41" s="247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41" s="247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41" s="247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41" s="247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41" s="247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41" s="247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41" s="247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41" s="247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39" s="247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39" s="247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39" s="247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39" s="247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39" s="247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39" s="247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39" s="247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39" s="247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39" s="247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39" s="247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39" s="247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39" s="247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39" s="247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39" s="247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39" s="247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39" s="247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41" s="247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41" s="247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41" s="247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41" s="247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41" s="247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41" s="247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41" s="247" customFormat="1" ht="11">
      <c r="B215" s="248"/>
      <c r="D215" s="909"/>
      <c r="F215" s="249"/>
      <c r="G215" s="250"/>
      <c r="H215" s="250"/>
      <c r="I215" s="250"/>
      <c r="J215" s="250"/>
      <c r="K215" s="250"/>
      <c r="L215" s="250"/>
      <c r="M215" s="459"/>
      <c r="N215" s="249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41" s="247" customFormat="1" ht="11">
      <c r="B216" s="248"/>
      <c r="D216" s="909"/>
      <c r="F216" s="249"/>
      <c r="G216" s="250"/>
      <c r="H216" s="250"/>
      <c r="I216" s="250"/>
      <c r="J216" s="250"/>
      <c r="K216" s="250"/>
      <c r="L216" s="250"/>
      <c r="M216" s="459"/>
      <c r="N216" s="249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41" s="247" customFormat="1" ht="11">
      <c r="B217" s="248"/>
      <c r="D217" s="909"/>
      <c r="F217" s="249"/>
      <c r="G217" s="250"/>
      <c r="H217" s="250"/>
      <c r="I217" s="250"/>
      <c r="J217" s="250"/>
      <c r="K217" s="250"/>
      <c r="L217" s="250"/>
      <c r="M217" s="459"/>
      <c r="N217" s="249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41" s="247" customFormat="1" ht="11">
      <c r="B218" s="248"/>
      <c r="D218" s="909"/>
      <c r="F218" s="249"/>
      <c r="G218" s="250"/>
      <c r="H218" s="250"/>
      <c r="I218" s="250"/>
      <c r="J218" s="250"/>
      <c r="K218" s="250"/>
      <c r="L218" s="250"/>
      <c r="M218" s="459"/>
      <c r="N218" s="249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41" s="247" customFormat="1" ht="11">
      <c r="B219" s="248"/>
      <c r="D219" s="909"/>
      <c r="F219" s="249"/>
      <c r="G219" s="250"/>
      <c r="H219" s="250"/>
      <c r="I219" s="250"/>
      <c r="J219" s="250"/>
      <c r="K219" s="250"/>
      <c r="L219" s="250"/>
      <c r="M219" s="459"/>
      <c r="N219" s="249"/>
      <c r="O219" s="146"/>
      <c r="P219" s="146"/>
      <c r="Q219" s="147"/>
      <c r="R219" s="147"/>
      <c r="S219" s="142"/>
      <c r="T219" s="142"/>
      <c r="U219" s="146">
        <f>SUBTOTAL(9,U177:U218)</f>
        <v>0</v>
      </c>
      <c r="V219" s="146">
        <f t="shared" ref="V219:AA219" si="47">SUBTOTAL(9,V177:V218)</f>
        <v>0</v>
      </c>
      <c r="W219" s="146">
        <f t="shared" si="47"/>
        <v>0</v>
      </c>
      <c r="X219" s="146">
        <f t="shared" si="47"/>
        <v>0</v>
      </c>
      <c r="Y219" s="146">
        <f t="shared" si="47"/>
        <v>0</v>
      </c>
      <c r="Z219" s="146">
        <f t="shared" si="47"/>
        <v>0</v>
      </c>
      <c r="AA219" s="146">
        <f t="shared" si="47"/>
        <v>0</v>
      </c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41" s="213" customFormat="1" ht="14" thickBot="1">
      <c r="B220" s="225"/>
      <c r="D220" s="910"/>
      <c r="F220" s="242"/>
      <c r="G220" s="243"/>
      <c r="H220" s="243"/>
      <c r="I220" s="243"/>
      <c r="J220" s="243"/>
      <c r="K220" s="243"/>
      <c r="L220" s="243"/>
      <c r="M220" s="459"/>
      <c r="N220" s="242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41" s="213" customFormat="1" ht="15" thickTop="1" thickBot="1">
      <c r="B221" s="225"/>
      <c r="D221" s="910"/>
      <c r="F221" s="242"/>
      <c r="G221" s="243"/>
      <c r="H221" s="243"/>
      <c r="I221" s="243"/>
      <c r="J221" s="243"/>
      <c r="K221" s="243"/>
      <c r="L221" s="243"/>
      <c r="M221" s="459"/>
      <c r="N221" s="242"/>
      <c r="O221" s="141"/>
      <c r="P221" s="141"/>
      <c r="Q221" s="148"/>
      <c r="R221" s="148"/>
      <c r="S221" s="148"/>
      <c r="T221" s="148"/>
      <c r="U221" s="151">
        <f>SUBTOTAL(9,U179:U220)</f>
        <v>0</v>
      </c>
      <c r="V221" s="152">
        <f t="shared" ref="V221:AA221" si="48">SUBTOTAL(9,V179:V220)</f>
        <v>0</v>
      </c>
      <c r="W221" s="153">
        <f t="shared" si="48"/>
        <v>0</v>
      </c>
      <c r="X221" s="153">
        <f t="shared" si="48"/>
        <v>0</v>
      </c>
      <c r="Y221" s="153">
        <f t="shared" si="48"/>
        <v>0</v>
      </c>
      <c r="Z221" s="153">
        <f t="shared" si="48"/>
        <v>0</v>
      </c>
      <c r="AA221" s="154">
        <f t="shared" si="48"/>
        <v>0</v>
      </c>
      <c r="AB221" s="246"/>
      <c r="AC221" s="246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</row>
    <row r="222" spans="2:41" s="213" customFormat="1" ht="14" thickTop="1">
      <c r="B222" s="225"/>
      <c r="D222" s="910"/>
      <c r="F222" s="242"/>
      <c r="G222" s="243"/>
      <c r="H222" s="243"/>
      <c r="I222" s="243"/>
      <c r="J222" s="243"/>
      <c r="K222" s="243"/>
      <c r="L222" s="243"/>
      <c r="M222" s="459"/>
      <c r="N222" s="242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41" s="213" customFormat="1">
      <c r="B223" s="225"/>
      <c r="D223" s="910"/>
      <c r="F223" s="242"/>
      <c r="G223" s="243"/>
      <c r="H223" s="243"/>
      <c r="I223" s="243"/>
      <c r="J223" s="243"/>
      <c r="K223" s="243"/>
      <c r="L223" s="243"/>
      <c r="M223" s="459"/>
      <c r="N223" s="242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</row>
    <row r="224" spans="2:41" s="213" customFormat="1">
      <c r="B224" s="225"/>
      <c r="D224" s="910"/>
      <c r="F224" s="242"/>
      <c r="G224" s="243"/>
      <c r="H224" s="243"/>
      <c r="I224" s="243"/>
      <c r="J224" s="243"/>
      <c r="K224" s="243"/>
      <c r="L224" s="243"/>
      <c r="M224" s="459"/>
      <c r="N224" s="242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2:39" s="213" customFormat="1">
      <c r="B225" s="225"/>
      <c r="D225" s="910"/>
      <c r="F225" s="242"/>
      <c r="G225" s="243"/>
      <c r="H225" s="243"/>
      <c r="I225" s="243"/>
      <c r="J225" s="243"/>
      <c r="K225" s="243"/>
      <c r="L225" s="243"/>
      <c r="M225" s="459"/>
      <c r="N225" s="242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</row>
    <row r="226" spans="2:39" s="213" customFormat="1">
      <c r="B226" s="225"/>
      <c r="D226" s="910"/>
      <c r="F226" s="242"/>
      <c r="G226" s="243"/>
      <c r="H226" s="243"/>
      <c r="I226" s="243"/>
      <c r="J226" s="243"/>
      <c r="K226" s="243"/>
      <c r="L226" s="243"/>
      <c r="M226" s="459"/>
      <c r="N226" s="242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2:39" s="213" customFormat="1">
      <c r="B227" s="225"/>
      <c r="D227" s="910"/>
      <c r="F227" s="242"/>
      <c r="G227" s="243"/>
      <c r="H227" s="243"/>
      <c r="I227" s="243"/>
      <c r="J227" s="243"/>
      <c r="K227" s="243"/>
      <c r="L227" s="243"/>
      <c r="M227" s="459"/>
      <c r="N227" s="242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2:39" s="213" customFormat="1">
      <c r="B228" s="225"/>
      <c r="D228" s="910"/>
      <c r="F228" s="242"/>
      <c r="G228" s="243"/>
      <c r="H228" s="243"/>
      <c r="I228" s="243"/>
      <c r="J228" s="243"/>
      <c r="K228" s="243"/>
      <c r="L228" s="243"/>
      <c r="M228" s="459"/>
      <c r="N228" s="242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2:39" s="213" customFormat="1">
      <c r="B229" s="225"/>
      <c r="D229" s="910"/>
      <c r="F229" s="242"/>
      <c r="G229" s="243"/>
      <c r="H229" s="243"/>
      <c r="I229" s="243"/>
      <c r="J229" s="243"/>
      <c r="K229" s="243"/>
      <c r="L229" s="243"/>
      <c r="M229" s="459"/>
      <c r="N229" s="242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2:39" s="213" customFormat="1">
      <c r="B230" s="225"/>
      <c r="D230" s="910"/>
      <c r="F230" s="242"/>
      <c r="G230" s="243"/>
      <c r="H230" s="243"/>
      <c r="I230" s="243"/>
      <c r="J230" s="243"/>
      <c r="K230" s="243"/>
      <c r="L230" s="243"/>
      <c r="M230" s="459"/>
      <c r="N230" s="242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</row>
    <row r="231" spans="2:39" s="213" customFormat="1">
      <c r="B231" s="225"/>
      <c r="D231" s="910"/>
      <c r="F231" s="242"/>
      <c r="G231" s="243"/>
      <c r="H231" s="243"/>
      <c r="I231" s="243"/>
      <c r="J231" s="243"/>
      <c r="K231" s="243"/>
      <c r="L231" s="243"/>
      <c r="M231" s="459"/>
      <c r="N231" s="242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2:39" s="213" customFormat="1">
      <c r="B232" s="225"/>
      <c r="D232" s="910"/>
      <c r="F232" s="242"/>
      <c r="G232" s="243"/>
      <c r="H232" s="243"/>
      <c r="I232" s="243"/>
      <c r="J232" s="243"/>
      <c r="K232" s="243"/>
      <c r="L232" s="243"/>
      <c r="M232" s="459"/>
      <c r="N232" s="242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2:39" s="213" customFormat="1">
      <c r="B233" s="225"/>
      <c r="D233" s="910"/>
      <c r="F233" s="242"/>
      <c r="G233" s="243"/>
      <c r="H233" s="243"/>
      <c r="I233" s="243"/>
      <c r="J233" s="243"/>
      <c r="K233" s="243"/>
      <c r="L233" s="243"/>
      <c r="M233" s="459"/>
      <c r="N233" s="242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2:39" s="213" customFormat="1">
      <c r="B234" s="225"/>
      <c r="D234" s="910"/>
      <c r="F234" s="242"/>
      <c r="G234" s="243"/>
      <c r="H234" s="243"/>
      <c r="I234" s="243"/>
      <c r="J234" s="243"/>
      <c r="K234" s="243"/>
      <c r="L234" s="243"/>
      <c r="M234" s="459"/>
      <c r="N234" s="242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14"/>
      <c r="AD234" s="214"/>
      <c r="AE234" s="214"/>
      <c r="AF234" s="214"/>
      <c r="AG234" s="214"/>
      <c r="AH234" s="214"/>
      <c r="AI234" s="214"/>
      <c r="AJ234" s="214"/>
      <c r="AK234" s="214"/>
      <c r="AL234" s="214"/>
      <c r="AM234" s="214"/>
    </row>
    <row r="235" spans="2:39" s="213" customFormat="1">
      <c r="B235" s="225"/>
      <c r="D235" s="910"/>
      <c r="F235" s="242"/>
      <c r="G235" s="243"/>
      <c r="H235" s="243"/>
      <c r="I235" s="243"/>
      <c r="J235" s="243"/>
      <c r="K235" s="243"/>
      <c r="L235" s="243"/>
      <c r="M235" s="459"/>
      <c r="N235" s="242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</row>
    <row r="236" spans="2:39" s="213" customFormat="1">
      <c r="B236" s="225"/>
      <c r="D236" s="910"/>
      <c r="F236" s="242"/>
      <c r="G236" s="243"/>
      <c r="H236" s="243"/>
      <c r="I236" s="243"/>
      <c r="J236" s="243"/>
      <c r="K236" s="243"/>
      <c r="L236" s="243"/>
      <c r="M236" s="459"/>
      <c r="N236" s="242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14"/>
      <c r="AD236" s="214"/>
      <c r="AE236" s="214"/>
      <c r="AF236" s="214"/>
      <c r="AG236" s="214"/>
      <c r="AH236" s="214"/>
      <c r="AI236" s="214"/>
      <c r="AJ236" s="214"/>
      <c r="AK236" s="214"/>
      <c r="AL236" s="214"/>
      <c r="AM236" s="214"/>
    </row>
    <row r="237" spans="2:39" s="213" customFormat="1">
      <c r="B237" s="225"/>
      <c r="D237" s="910"/>
      <c r="F237" s="242"/>
      <c r="G237" s="243"/>
      <c r="H237" s="243"/>
      <c r="I237" s="243"/>
      <c r="J237" s="243"/>
      <c r="K237" s="243"/>
      <c r="L237" s="243"/>
      <c r="M237" s="459"/>
      <c r="N237" s="242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14"/>
      <c r="AD237" s="214"/>
      <c r="AE237" s="214"/>
      <c r="AF237" s="214"/>
      <c r="AG237" s="214"/>
      <c r="AH237" s="214"/>
      <c r="AI237" s="214"/>
      <c r="AJ237" s="214"/>
      <c r="AK237" s="214"/>
      <c r="AL237" s="214"/>
      <c r="AM237" s="214"/>
    </row>
    <row r="238" spans="2:39" s="213" customFormat="1">
      <c r="B238" s="225"/>
      <c r="D238" s="910"/>
      <c r="F238" s="242"/>
      <c r="G238" s="243"/>
      <c r="H238" s="243"/>
      <c r="I238" s="243"/>
      <c r="J238" s="243"/>
      <c r="K238" s="243"/>
      <c r="L238" s="243"/>
      <c r="M238" s="459"/>
      <c r="N238" s="242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14"/>
      <c r="AD238" s="214"/>
      <c r="AE238" s="214"/>
      <c r="AF238" s="214"/>
      <c r="AG238" s="214"/>
      <c r="AH238" s="214"/>
      <c r="AI238" s="214"/>
      <c r="AJ238" s="214"/>
      <c r="AK238" s="214"/>
      <c r="AL238" s="214"/>
      <c r="AM238" s="214"/>
    </row>
    <row r="239" spans="2:39" s="213" customFormat="1">
      <c r="B239" s="225"/>
      <c r="D239" s="910"/>
      <c r="F239" s="242"/>
      <c r="G239" s="243"/>
      <c r="H239" s="243"/>
      <c r="I239" s="243"/>
      <c r="J239" s="243"/>
      <c r="K239" s="243"/>
      <c r="L239" s="243"/>
      <c r="M239" s="459"/>
      <c r="N239" s="242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14"/>
      <c r="AD239" s="214"/>
      <c r="AE239" s="214"/>
      <c r="AF239" s="214"/>
      <c r="AG239" s="214"/>
      <c r="AH239" s="214"/>
      <c r="AI239" s="214"/>
      <c r="AJ239" s="214"/>
      <c r="AK239" s="214"/>
      <c r="AL239" s="214"/>
      <c r="AM239" s="214"/>
    </row>
    <row r="240" spans="2:39" s="213" customFormat="1">
      <c r="B240" s="225"/>
      <c r="D240" s="910"/>
      <c r="F240" s="242"/>
      <c r="G240" s="243"/>
      <c r="H240" s="243"/>
      <c r="I240" s="243"/>
      <c r="J240" s="243"/>
      <c r="K240" s="243"/>
      <c r="L240" s="243"/>
      <c r="M240" s="459"/>
      <c r="N240" s="242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14"/>
      <c r="AD240" s="214"/>
      <c r="AE240" s="214"/>
      <c r="AF240" s="214"/>
      <c r="AG240" s="214"/>
      <c r="AH240" s="214"/>
      <c r="AI240" s="214"/>
      <c r="AJ240" s="214"/>
      <c r="AK240" s="214"/>
      <c r="AL240" s="214"/>
      <c r="AM240" s="214"/>
    </row>
    <row r="241" spans="1:40" s="213" customFormat="1">
      <c r="B241" s="225"/>
      <c r="D241" s="910"/>
      <c r="F241" s="242"/>
      <c r="G241" s="243"/>
      <c r="H241" s="243"/>
      <c r="I241" s="243"/>
      <c r="J241" s="243"/>
      <c r="K241" s="243"/>
      <c r="L241" s="243"/>
      <c r="M241" s="459"/>
      <c r="N241" s="242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14"/>
      <c r="AD241" s="214"/>
      <c r="AE241" s="214"/>
      <c r="AF241" s="214"/>
      <c r="AG241" s="214"/>
      <c r="AH241" s="214"/>
      <c r="AI241" s="214"/>
      <c r="AJ241" s="214"/>
      <c r="AK241" s="214"/>
      <c r="AL241" s="214"/>
      <c r="AM241" s="214"/>
    </row>
    <row r="242" spans="1:40" s="213" customFormat="1">
      <c r="B242" s="225"/>
      <c r="D242" s="910"/>
      <c r="F242" s="242"/>
      <c r="G242" s="243"/>
      <c r="H242" s="243"/>
      <c r="I242" s="243"/>
      <c r="J242" s="243"/>
      <c r="K242" s="243"/>
      <c r="L242" s="243"/>
      <c r="M242" s="459"/>
      <c r="N242" s="242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14"/>
      <c r="AD242" s="214"/>
      <c r="AE242" s="214"/>
      <c r="AF242" s="214"/>
      <c r="AG242" s="214"/>
      <c r="AH242" s="214"/>
      <c r="AI242" s="214"/>
      <c r="AJ242" s="214"/>
      <c r="AK242" s="214"/>
      <c r="AL242" s="214"/>
      <c r="AM242" s="214"/>
    </row>
    <row r="243" spans="1:40" s="213" customFormat="1">
      <c r="B243" s="225"/>
      <c r="D243" s="910"/>
      <c r="F243" s="242"/>
      <c r="G243" s="243"/>
      <c r="H243" s="243"/>
      <c r="I243" s="243"/>
      <c r="J243" s="243"/>
      <c r="K243" s="243"/>
      <c r="L243" s="243"/>
      <c r="M243" s="459"/>
      <c r="N243" s="242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14"/>
      <c r="AD243" s="214"/>
      <c r="AE243" s="214"/>
      <c r="AF243" s="214"/>
      <c r="AG243" s="214"/>
      <c r="AH243" s="214"/>
      <c r="AI243" s="214"/>
      <c r="AJ243" s="214"/>
      <c r="AK243" s="214"/>
      <c r="AL243" s="214"/>
      <c r="AM243" s="214"/>
    </row>
    <row r="244" spans="1:40" s="213" customFormat="1">
      <c r="B244" s="225"/>
      <c r="D244" s="910"/>
      <c r="F244" s="242"/>
      <c r="G244" s="243"/>
      <c r="H244" s="243"/>
      <c r="I244" s="243"/>
      <c r="J244" s="243"/>
      <c r="K244" s="243"/>
      <c r="L244" s="243"/>
      <c r="M244" s="459"/>
      <c r="N244" s="242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14"/>
      <c r="AD244" s="214"/>
      <c r="AE244" s="214"/>
      <c r="AF244" s="214"/>
      <c r="AG244" s="214"/>
      <c r="AH244" s="214"/>
      <c r="AI244" s="214"/>
      <c r="AJ244" s="214"/>
      <c r="AK244" s="214"/>
      <c r="AL244" s="214"/>
      <c r="AM244" s="214"/>
    </row>
    <row r="245" spans="1:40" s="213" customFormat="1">
      <c r="B245" s="225"/>
      <c r="D245" s="910"/>
      <c r="F245" s="242"/>
      <c r="G245" s="243"/>
      <c r="H245" s="243"/>
      <c r="I245" s="243"/>
      <c r="J245" s="243"/>
      <c r="K245" s="243"/>
      <c r="L245" s="243"/>
      <c r="M245" s="459"/>
      <c r="N245" s="242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14"/>
      <c r="AD245" s="214"/>
      <c r="AE245" s="214"/>
      <c r="AF245" s="214"/>
      <c r="AG245" s="214"/>
      <c r="AH245" s="214"/>
      <c r="AI245" s="214"/>
      <c r="AJ245" s="214"/>
      <c r="AK245" s="214"/>
      <c r="AL245" s="214"/>
      <c r="AM245" s="214"/>
    </row>
    <row r="246" spans="1:40" s="213" customFormat="1">
      <c r="B246" s="225"/>
      <c r="D246" s="910"/>
      <c r="F246" s="242"/>
      <c r="G246" s="243"/>
      <c r="H246" s="243"/>
      <c r="I246" s="243"/>
      <c r="J246" s="243"/>
      <c r="K246" s="243"/>
      <c r="L246" s="243"/>
      <c r="M246" s="459"/>
      <c r="N246" s="242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14"/>
      <c r="AD246" s="214"/>
      <c r="AE246" s="214"/>
      <c r="AF246" s="214"/>
      <c r="AG246" s="214"/>
      <c r="AH246" s="214"/>
      <c r="AI246" s="214"/>
      <c r="AJ246" s="214"/>
      <c r="AK246" s="214"/>
      <c r="AL246" s="214"/>
      <c r="AM246" s="214"/>
    </row>
    <row r="247" spans="1:40" s="213" customFormat="1">
      <c r="B247" s="225"/>
      <c r="D247" s="910"/>
      <c r="F247" s="242"/>
      <c r="G247" s="243"/>
      <c r="H247" s="243"/>
      <c r="I247" s="243"/>
      <c r="J247" s="243"/>
      <c r="K247" s="243"/>
      <c r="L247" s="243"/>
      <c r="M247" s="459"/>
      <c r="N247" s="242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14"/>
      <c r="AD247" s="214"/>
      <c r="AE247" s="214"/>
      <c r="AF247" s="214"/>
      <c r="AG247" s="214"/>
      <c r="AH247" s="214"/>
      <c r="AI247" s="214"/>
      <c r="AJ247" s="214"/>
      <c r="AK247" s="214"/>
      <c r="AL247" s="214"/>
      <c r="AM247" s="214"/>
    </row>
    <row r="248" spans="1:40" s="213" customFormat="1">
      <c r="B248" s="225"/>
      <c r="D248" s="910"/>
      <c r="F248" s="242"/>
      <c r="G248" s="243"/>
      <c r="H248" s="243"/>
      <c r="I248" s="243"/>
      <c r="J248" s="243"/>
      <c r="K248" s="243"/>
      <c r="L248" s="243"/>
      <c r="M248" s="459"/>
      <c r="N248" s="242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14"/>
      <c r="AD248" s="214"/>
      <c r="AE248" s="214"/>
      <c r="AF248" s="214"/>
      <c r="AG248" s="214"/>
      <c r="AH248" s="214"/>
      <c r="AI248" s="214"/>
      <c r="AJ248" s="214"/>
      <c r="AK248" s="214"/>
      <c r="AL248" s="214"/>
      <c r="AM248" s="214"/>
    </row>
    <row r="249" spans="1:40" s="213" customFormat="1">
      <c r="B249" s="225"/>
      <c r="D249" s="910"/>
      <c r="F249" s="242"/>
      <c r="G249" s="243"/>
      <c r="H249" s="243"/>
      <c r="I249" s="243"/>
      <c r="J249" s="243"/>
      <c r="K249" s="243"/>
      <c r="L249" s="243"/>
      <c r="M249" s="459"/>
      <c r="N249" s="242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14"/>
      <c r="AD249" s="214"/>
      <c r="AE249" s="214"/>
      <c r="AF249" s="214"/>
      <c r="AG249" s="214"/>
      <c r="AH249" s="214"/>
      <c r="AI249" s="214"/>
      <c r="AJ249" s="214"/>
      <c r="AK249" s="214"/>
      <c r="AL249" s="214"/>
      <c r="AM249" s="214"/>
    </row>
    <row r="250" spans="1:40" s="213" customFormat="1">
      <c r="B250" s="225"/>
      <c r="D250" s="910"/>
      <c r="F250" s="242"/>
      <c r="G250" s="243"/>
      <c r="H250" s="243"/>
      <c r="I250" s="243"/>
      <c r="J250" s="243"/>
      <c r="K250" s="243"/>
      <c r="L250" s="243"/>
      <c r="M250" s="459"/>
      <c r="N250" s="242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14"/>
      <c r="AD250" s="214"/>
      <c r="AE250" s="214"/>
      <c r="AF250" s="214"/>
      <c r="AG250" s="214"/>
      <c r="AH250" s="214"/>
      <c r="AI250" s="214"/>
      <c r="AJ250" s="214"/>
      <c r="AK250" s="214"/>
      <c r="AL250" s="214"/>
      <c r="AM250" s="214"/>
    </row>
    <row r="251" spans="1:40" s="213" customFormat="1">
      <c r="B251" s="225"/>
      <c r="D251" s="910"/>
      <c r="F251" s="242"/>
      <c r="G251" s="243"/>
      <c r="H251" s="243"/>
      <c r="I251" s="243"/>
      <c r="J251" s="243"/>
      <c r="K251" s="243"/>
      <c r="L251" s="243"/>
      <c r="M251" s="459"/>
      <c r="N251" s="242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14"/>
      <c r="AD251" s="214"/>
      <c r="AE251" s="214"/>
      <c r="AF251" s="214"/>
      <c r="AG251" s="214"/>
      <c r="AH251" s="214"/>
      <c r="AI251" s="214"/>
      <c r="AJ251" s="214"/>
      <c r="AK251" s="214"/>
      <c r="AL251" s="214"/>
      <c r="AM251" s="214"/>
    </row>
    <row r="252" spans="1:40" s="213" customFormat="1">
      <c r="B252" s="225"/>
      <c r="D252" s="910"/>
      <c r="F252" s="242"/>
      <c r="G252" s="243"/>
      <c r="H252" s="243"/>
      <c r="I252" s="243"/>
      <c r="J252" s="243"/>
      <c r="K252" s="243"/>
      <c r="L252" s="243"/>
      <c r="M252" s="459"/>
      <c r="N252" s="242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14"/>
      <c r="AD252" s="214"/>
      <c r="AE252" s="214"/>
      <c r="AF252" s="214"/>
      <c r="AG252" s="214"/>
      <c r="AH252" s="214"/>
      <c r="AI252" s="214"/>
      <c r="AJ252" s="214"/>
      <c r="AK252" s="214"/>
      <c r="AL252" s="214"/>
      <c r="AM252" s="214"/>
    </row>
    <row r="253" spans="1:40">
      <c r="A253" s="204"/>
      <c r="O253" s="155"/>
      <c r="P253" s="155"/>
      <c r="Q253" s="156"/>
      <c r="R253" s="156"/>
      <c r="S253" s="251"/>
      <c r="T253" s="251"/>
      <c r="U253" s="252"/>
      <c r="V253" s="252"/>
      <c r="W253" s="252"/>
      <c r="X253" s="252"/>
      <c r="Y253" s="252"/>
      <c r="Z253" s="252"/>
      <c r="AA253" s="252"/>
      <c r="AN253" s="204"/>
    </row>
    <row r="254" spans="1:40">
      <c r="A254" s="204"/>
      <c r="O254" s="155"/>
      <c r="P254" s="155"/>
      <c r="Q254" s="156"/>
      <c r="R254" s="156"/>
      <c r="S254" s="251"/>
      <c r="T254" s="251"/>
      <c r="U254" s="252"/>
      <c r="V254" s="252"/>
      <c r="W254" s="252"/>
      <c r="X254" s="252"/>
      <c r="Y254" s="252"/>
      <c r="Z254" s="252"/>
      <c r="AA254" s="252"/>
      <c r="AN254" s="204"/>
    </row>
    <row r="255" spans="1:40">
      <c r="A255" s="204"/>
      <c r="O255" s="155"/>
      <c r="P255" s="155"/>
      <c r="Q255" s="156"/>
      <c r="R255" s="156"/>
      <c r="S255" s="251"/>
      <c r="T255" s="251"/>
      <c r="U255" s="252"/>
      <c r="V255" s="252"/>
      <c r="W255" s="252"/>
      <c r="X255" s="252"/>
      <c r="Y255" s="252"/>
      <c r="Z255" s="252"/>
      <c r="AA255" s="252"/>
      <c r="AN255" s="204"/>
    </row>
    <row r="256" spans="1:40">
      <c r="A256" s="204"/>
      <c r="O256" s="155"/>
      <c r="P256" s="155"/>
      <c r="Q256" s="156"/>
      <c r="R256" s="156"/>
      <c r="S256" s="251"/>
      <c r="T256" s="251"/>
      <c r="U256" s="252"/>
      <c r="V256" s="252"/>
      <c r="W256" s="252"/>
      <c r="X256" s="252"/>
      <c r="Y256" s="252"/>
      <c r="Z256" s="252"/>
      <c r="AA256" s="252"/>
      <c r="AN256" s="204"/>
    </row>
    <row r="257" spans="1:40">
      <c r="A257" s="204"/>
      <c r="O257" s="155"/>
      <c r="P257" s="155"/>
      <c r="Q257" s="156"/>
      <c r="R257" s="156"/>
      <c r="S257" s="251"/>
      <c r="T257" s="251"/>
      <c r="U257" s="252"/>
      <c r="V257" s="252"/>
      <c r="W257" s="252"/>
      <c r="X257" s="252"/>
      <c r="Y257" s="252"/>
      <c r="Z257" s="252"/>
      <c r="AA257" s="252"/>
      <c r="AN257" s="204"/>
    </row>
    <row r="258" spans="1:40">
      <c r="A258" s="204"/>
      <c r="O258" s="155"/>
      <c r="P258" s="155"/>
      <c r="Q258" s="156"/>
      <c r="R258" s="156"/>
      <c r="S258" s="251"/>
      <c r="T258" s="251"/>
      <c r="U258" s="252"/>
      <c r="V258" s="252"/>
      <c r="W258" s="252"/>
      <c r="X258" s="252"/>
      <c r="Y258" s="252"/>
      <c r="Z258" s="252"/>
      <c r="AA258" s="252"/>
      <c r="AN258" s="204"/>
    </row>
    <row r="259" spans="1:40">
      <c r="A259" s="204"/>
      <c r="O259" s="155"/>
      <c r="P259" s="155"/>
      <c r="Q259" s="156"/>
      <c r="R259" s="156"/>
      <c r="S259" s="251"/>
      <c r="T259" s="251"/>
      <c r="U259" s="252"/>
      <c r="V259" s="252"/>
      <c r="W259" s="252"/>
      <c r="X259" s="252"/>
      <c r="Y259" s="252"/>
      <c r="Z259" s="252"/>
      <c r="AA259" s="252"/>
      <c r="AN259" s="204"/>
    </row>
    <row r="260" spans="1:40">
      <c r="A260" s="204"/>
      <c r="O260" s="155"/>
      <c r="P260" s="155"/>
      <c r="Q260" s="156"/>
      <c r="R260" s="156"/>
      <c r="S260" s="251"/>
      <c r="T260" s="251"/>
      <c r="U260" s="252"/>
      <c r="V260" s="252"/>
      <c r="W260" s="252"/>
      <c r="X260" s="252"/>
      <c r="Y260" s="252"/>
      <c r="Z260" s="252"/>
      <c r="AA260" s="252"/>
      <c r="AN260" s="204"/>
    </row>
    <row r="261" spans="1:40">
      <c r="A261" s="204"/>
      <c r="B261" s="204"/>
      <c r="D261" s="204"/>
      <c r="F261" s="204"/>
      <c r="G261" s="204"/>
      <c r="H261" s="204"/>
      <c r="I261" s="204"/>
      <c r="J261" s="204"/>
      <c r="K261" s="204"/>
      <c r="L261" s="204"/>
      <c r="M261" s="204"/>
      <c r="N261" s="204"/>
      <c r="O261" s="155"/>
      <c r="P261" s="155"/>
      <c r="Q261" s="156"/>
      <c r="R261" s="156"/>
      <c r="S261" s="251"/>
      <c r="T261" s="251"/>
      <c r="U261" s="252"/>
      <c r="V261" s="252"/>
      <c r="W261" s="252"/>
      <c r="X261" s="252"/>
      <c r="Y261" s="252"/>
      <c r="Z261" s="252"/>
      <c r="AA261" s="252"/>
      <c r="AB261" s="204"/>
      <c r="AC261" s="204"/>
      <c r="AD261" s="204"/>
      <c r="AE261" s="204"/>
      <c r="AF261" s="204"/>
      <c r="AG261" s="204"/>
      <c r="AH261" s="204"/>
      <c r="AI261" s="204"/>
      <c r="AJ261" s="204"/>
      <c r="AK261" s="204"/>
      <c r="AL261" s="204"/>
      <c r="AM261" s="204"/>
      <c r="AN261" s="204"/>
    </row>
    <row r="262" spans="1:40">
      <c r="A262" s="204"/>
      <c r="B262" s="204"/>
      <c r="D262" s="204"/>
      <c r="F262" s="204"/>
      <c r="G262" s="204"/>
      <c r="H262" s="204"/>
      <c r="I262" s="204"/>
      <c r="J262" s="204"/>
      <c r="K262" s="204"/>
      <c r="L262" s="204"/>
      <c r="M262" s="204"/>
      <c r="N262" s="204"/>
      <c r="O262" s="155"/>
      <c r="P262" s="155"/>
      <c r="Q262" s="156"/>
      <c r="R262" s="156"/>
      <c r="S262" s="251"/>
      <c r="T262" s="251"/>
      <c r="U262" s="252"/>
      <c r="V262" s="252"/>
      <c r="W262" s="252"/>
      <c r="X262" s="252"/>
      <c r="Y262" s="252"/>
      <c r="Z262" s="252"/>
      <c r="AA262" s="252"/>
      <c r="AB262" s="204"/>
      <c r="AC262" s="204"/>
      <c r="AD262" s="204"/>
      <c r="AE262" s="204"/>
      <c r="AF262" s="204"/>
      <c r="AG262" s="204"/>
      <c r="AH262" s="204"/>
      <c r="AI262" s="204"/>
      <c r="AJ262" s="204"/>
      <c r="AK262" s="204"/>
      <c r="AL262" s="204"/>
      <c r="AM262" s="204"/>
      <c r="AN262" s="204"/>
    </row>
    <row r="263" spans="1:40">
      <c r="A263" s="204"/>
      <c r="B263" s="204"/>
      <c r="D263" s="204"/>
      <c r="F263" s="204"/>
      <c r="G263" s="204"/>
      <c r="H263" s="204"/>
      <c r="I263" s="204"/>
      <c r="J263" s="204"/>
      <c r="K263" s="204"/>
      <c r="L263" s="204"/>
      <c r="M263" s="204"/>
      <c r="N263" s="204"/>
      <c r="O263" s="155"/>
      <c r="P263" s="155"/>
      <c r="Q263" s="156"/>
      <c r="R263" s="156"/>
      <c r="S263" s="251"/>
      <c r="T263" s="251"/>
      <c r="U263" s="252"/>
      <c r="V263" s="252"/>
      <c r="W263" s="252"/>
      <c r="X263" s="252"/>
      <c r="Y263" s="252"/>
      <c r="Z263" s="252"/>
      <c r="AA263" s="252"/>
      <c r="AB263" s="204"/>
      <c r="AC263" s="204"/>
      <c r="AD263" s="204"/>
      <c r="AE263" s="204"/>
      <c r="AF263" s="204"/>
      <c r="AG263" s="204"/>
      <c r="AH263" s="204"/>
      <c r="AI263" s="204"/>
      <c r="AJ263" s="204"/>
      <c r="AK263" s="204"/>
      <c r="AL263" s="204"/>
      <c r="AM263" s="204"/>
      <c r="AN263" s="204"/>
    </row>
    <row r="264" spans="1:40">
      <c r="A264" s="204"/>
      <c r="B264" s="204"/>
      <c r="D264" s="204"/>
      <c r="F264" s="204"/>
      <c r="G264" s="204"/>
      <c r="H264" s="204"/>
      <c r="I264" s="204"/>
      <c r="J264" s="204"/>
      <c r="K264" s="204"/>
      <c r="L264" s="204"/>
      <c r="M264" s="204"/>
      <c r="N264" s="204"/>
      <c r="O264" s="155"/>
      <c r="P264" s="155"/>
      <c r="Q264" s="156"/>
      <c r="R264" s="156"/>
      <c r="S264" s="251"/>
      <c r="T264" s="251"/>
      <c r="U264" s="252"/>
      <c r="V264" s="252"/>
      <c r="W264" s="252"/>
      <c r="X264" s="252"/>
      <c r="Y264" s="252"/>
      <c r="Z264" s="252"/>
      <c r="AA264" s="252"/>
      <c r="AB264" s="204"/>
      <c r="AC264" s="204"/>
      <c r="AD264" s="204"/>
      <c r="AE264" s="204"/>
      <c r="AF264" s="204"/>
      <c r="AG264" s="204"/>
      <c r="AH264" s="204"/>
      <c r="AI264" s="204"/>
      <c r="AJ264" s="204"/>
      <c r="AK264" s="204"/>
      <c r="AL264" s="204"/>
      <c r="AM264" s="204"/>
      <c r="AN264" s="204"/>
    </row>
    <row r="265" spans="1:40">
      <c r="A265" s="204"/>
      <c r="B265" s="204"/>
      <c r="D265" s="204"/>
      <c r="F265" s="204"/>
      <c r="G265" s="204"/>
      <c r="H265" s="204"/>
      <c r="I265" s="204"/>
      <c r="J265" s="204"/>
      <c r="K265" s="204"/>
      <c r="L265" s="204"/>
      <c r="M265" s="204"/>
      <c r="N265" s="204"/>
      <c r="O265" s="155"/>
      <c r="P265" s="155"/>
      <c r="Q265" s="156"/>
      <c r="R265" s="156"/>
      <c r="S265" s="251"/>
      <c r="T265" s="251"/>
      <c r="U265" s="252"/>
      <c r="V265" s="252"/>
      <c r="W265" s="252"/>
      <c r="X265" s="252"/>
      <c r="Y265" s="252"/>
      <c r="Z265" s="252"/>
      <c r="AA265" s="252"/>
      <c r="AB265" s="204"/>
      <c r="AC265" s="204"/>
      <c r="AD265" s="204"/>
      <c r="AE265" s="204"/>
      <c r="AF265" s="204"/>
      <c r="AG265" s="204"/>
      <c r="AH265" s="204"/>
      <c r="AI265" s="204"/>
      <c r="AJ265" s="204"/>
      <c r="AK265" s="204"/>
      <c r="AL265" s="204"/>
      <c r="AM265" s="204"/>
      <c r="AN265" s="204"/>
    </row>
  </sheetData>
  <phoneticPr fontId="21" type="noConversion"/>
  <printOptions horizontalCentered="1" verticalCentered="1"/>
  <pageMargins left="0" right="0" top="0.59055118110236227" bottom="0.59055118110236227" header="0.39370078740157483" footer="0.39370078740157483"/>
  <pageSetup paperSize="9" scale="110" orientation="landscape" horizontalDpi="0" verticalDpi="0"/>
  <headerFooter>
    <oddHeader>&amp;L&amp;A&amp;F&amp;C&amp;D&amp;R&amp;P de&amp;N</oddHead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49D9F-BF1D-1C45-A0A8-E51FFF5F68C3}">
  <sheetPr codeName="Hoja63"/>
  <dimension ref="A1:AO274"/>
  <sheetViews>
    <sheetView topLeftCell="A43" zoomScale="143" zoomScaleNormal="143" workbookViewId="0">
      <selection activeCell="A46" sqref="A46:R77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33203125" style="204" customWidth="1"/>
    <col min="4" max="4" width="1" style="902" customWidth="1"/>
    <col min="5" max="5" width="2.5" style="204" customWidth="1"/>
    <col min="6" max="6" width="3.33203125" style="207" customWidth="1"/>
    <col min="7" max="7" width="5.6640625" style="208" customWidth="1"/>
    <col min="8" max="8" width="7.33203125" style="208" customWidth="1"/>
    <col min="9" max="10" width="7.83203125" style="208" customWidth="1"/>
    <col min="11" max="11" width="29.33203125" style="208" customWidth="1"/>
    <col min="12" max="12" width="9.33203125" style="208" customWidth="1"/>
    <col min="13" max="13" width="0.6640625" style="449" customWidth="1"/>
    <col min="14" max="14" width="10.1640625" style="207" customWidth="1"/>
    <col min="15" max="15" width="1" style="208" customWidth="1"/>
    <col min="16" max="16" width="9" style="208" customWidth="1"/>
    <col min="17" max="18" width="7.33203125" style="209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26.25" customHeight="1">
      <c r="A1" s="203" t="s">
        <v>2193</v>
      </c>
      <c r="B1" s="204"/>
      <c r="C1" s="205"/>
      <c r="D1" s="901"/>
      <c r="E1" s="206"/>
      <c r="M1" s="743"/>
      <c r="V1" s="212"/>
      <c r="AI1" s="213"/>
      <c r="AJ1" s="213"/>
      <c r="AK1" s="213"/>
      <c r="AL1" s="213"/>
      <c r="AM1" s="213"/>
    </row>
    <row r="2" spans="1:40" ht="14.25" customHeight="1" thickBot="1">
      <c r="F2" s="527"/>
      <c r="G2" s="155"/>
      <c r="H2" s="155"/>
      <c r="I2" s="155"/>
      <c r="J2" s="217"/>
      <c r="K2" s="527">
        <v>44725</v>
      </c>
      <c r="L2" s="583"/>
      <c r="U2" s="218" t="s">
        <v>345</v>
      </c>
      <c r="AI2" s="213"/>
      <c r="AJ2" s="213"/>
      <c r="AK2" s="213"/>
      <c r="AL2" s="213"/>
      <c r="AM2" s="213"/>
    </row>
    <row r="3" spans="1:40" s="223" customFormat="1" ht="69.75" customHeight="1" thickTop="1" thickBot="1">
      <c r="A3" s="351" t="s">
        <v>346</v>
      </c>
      <c r="B3" s="352" t="s">
        <v>347</v>
      </c>
      <c r="C3" s="353" t="s">
        <v>348</v>
      </c>
      <c r="D3" s="903"/>
      <c r="E3" s="353" t="s">
        <v>349</v>
      </c>
      <c r="F3" s="35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350"/>
      <c r="M3" s="450" t="s">
        <v>355</v>
      </c>
      <c r="N3" s="350" t="s">
        <v>445</v>
      </c>
      <c r="O3" s="353" t="s">
        <v>446</v>
      </c>
      <c r="P3" s="353" t="s">
        <v>447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3" customFormat="1" ht="9.75" customHeight="1" thickBot="1">
      <c r="A4" s="911"/>
      <c r="B4" s="912"/>
      <c r="C4" s="913"/>
      <c r="D4" s="914"/>
      <c r="E4" s="913"/>
      <c r="F4" s="915"/>
      <c r="G4" s="913"/>
      <c r="H4" s="913"/>
      <c r="I4" s="913"/>
      <c r="J4" s="915"/>
      <c r="K4" s="913"/>
      <c r="L4" s="913"/>
      <c r="M4" s="916"/>
      <c r="N4" s="913"/>
      <c r="O4" s="913"/>
      <c r="P4" s="913"/>
      <c r="Q4" s="917"/>
      <c r="R4" s="918"/>
      <c r="S4" s="919"/>
      <c r="T4" s="919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0"/>
      <c r="AC4" s="221"/>
      <c r="AD4" s="222"/>
      <c r="AE4" s="222"/>
      <c r="AF4" s="222"/>
      <c r="AG4" s="222"/>
      <c r="AH4" s="222"/>
      <c r="AI4" s="220"/>
      <c r="AJ4" s="220"/>
      <c r="AK4" s="220"/>
      <c r="AL4" s="220"/>
      <c r="AM4" s="220"/>
      <c r="AN4" s="220"/>
    </row>
    <row r="5" spans="1:40" s="228" customFormat="1" ht="5.25" customHeight="1" thickBot="1">
      <c r="A5" s="357"/>
      <c r="B5" s="358"/>
      <c r="C5" s="359"/>
      <c r="D5" s="904"/>
      <c r="E5" s="359"/>
      <c r="F5" s="360"/>
      <c r="G5" s="361"/>
      <c r="H5" s="361"/>
      <c r="I5" s="361"/>
      <c r="J5" s="360"/>
      <c r="K5" s="361"/>
      <c r="L5" s="361"/>
      <c r="M5" s="524"/>
      <c r="N5" s="361"/>
      <c r="O5" s="359"/>
      <c r="P5" s="359"/>
      <c r="Q5" s="359"/>
      <c r="R5" s="362"/>
      <c r="S5" s="224"/>
      <c r="T5" s="224"/>
      <c r="U5" s="111">
        <f>U4/4</f>
        <v>2.2880964381720439E-4</v>
      </c>
      <c r="V5" s="111">
        <f t="shared" ref="V5:AA5" si="0">V4/4</f>
        <v>2.1908757716049393E-4</v>
      </c>
      <c r="W5" s="111">
        <f t="shared" si="0"/>
        <v>2.1222190799396687E-4</v>
      </c>
      <c r="X5" s="111">
        <f t="shared" si="0"/>
        <v>2.0247664488766629E-4</v>
      </c>
      <c r="Y5" s="111">
        <f t="shared" si="0"/>
        <v>1.8933937422552669E-4</v>
      </c>
      <c r="Z5" s="111">
        <f t="shared" si="0"/>
        <v>1.8229166666666673E-4</v>
      </c>
      <c r="AA5" s="111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s="228" customFormat="1" ht="15.75" customHeight="1" thickTop="1" thickBot="1">
      <c r="A6" s="401" t="s">
        <v>214</v>
      </c>
      <c r="B6" s="1117" t="s">
        <v>215</v>
      </c>
      <c r="C6" s="274">
        <f>IF(D6=1,U$5,IF(D6=2,V$5,IF(D6=3,W$5,IF(D6=4,X$5,IF(D6=5,Y$5,IF(D6=6,Z$5,IF(D6=7,AA$5,0)))))))</f>
        <v>2.2880964381720439E-4</v>
      </c>
      <c r="D6" s="547">
        <v>1</v>
      </c>
      <c r="E6" s="275">
        <v>1</v>
      </c>
      <c r="F6" s="275">
        <v>1</v>
      </c>
      <c r="G6" s="275">
        <v>400</v>
      </c>
      <c r="H6" s="276"/>
      <c r="I6" s="276">
        <v>0</v>
      </c>
      <c r="J6" s="276">
        <v>1.1574074074074073E-4</v>
      </c>
      <c r="K6" s="312" t="s">
        <v>919</v>
      </c>
      <c r="L6" s="993">
        <v>0.2986111111111111</v>
      </c>
      <c r="M6" s="451">
        <v>1.1000000000000001</v>
      </c>
      <c r="N6" s="276">
        <f>P6*E6*F6+I6*E6*F6+J6*E6</f>
        <v>4.1427904719235388E-3</v>
      </c>
      <c r="O6" s="296">
        <f>C6*(G6/25)</f>
        <v>3.6609543010752703E-3</v>
      </c>
      <c r="P6" s="296">
        <f>O6*M6</f>
        <v>4.0270497311827979E-3</v>
      </c>
      <c r="Q6" s="548">
        <v>129</v>
      </c>
      <c r="R6" s="275">
        <f>E6*F6*G6</f>
        <v>400</v>
      </c>
      <c r="S6" s="229">
        <f>E6*F6*G6/1000</f>
        <v>0.4</v>
      </c>
      <c r="T6" s="230">
        <f>E6*F6*O6*4</f>
        <v>1.4643817204301081E-2</v>
      </c>
      <c r="U6" s="374">
        <f>IF(C6*4&gt;=$U$4,S6,0)</f>
        <v>0.4</v>
      </c>
      <c r="V6" s="375">
        <f>IF(AND(C6*4&gt;=$V$4,C6*4&lt;$U$4),S6,0)</f>
        <v>0</v>
      </c>
      <c r="W6" s="376">
        <f>IF(AND(C6*4&gt;=$W$4,C6*4&lt;$V$4),S6,0)</f>
        <v>0</v>
      </c>
      <c r="X6" s="377">
        <f>IF(AND(C6*4&gt;=$X$4,C6*4&lt;$W$4),S6,0)</f>
        <v>0</v>
      </c>
      <c r="Y6" s="378">
        <f>IF(AND(C6*4&gt;=$Y$4,C6*4&lt;$X$4),S6,0)</f>
        <v>0</v>
      </c>
      <c r="Z6" s="379">
        <f>IF(AND(C6*4&gt;=$Z$4,C6*4&lt;$Y$4),S6,0)</f>
        <v>0</v>
      </c>
      <c r="AA6" s="380">
        <f>IF(AND(C6*4&gt;=$AA$4,C6*4&lt;$Z$4),S6,0)</f>
        <v>0</v>
      </c>
      <c r="AB6" s="225"/>
      <c r="AC6" s="231">
        <v>0</v>
      </c>
      <c r="AD6" s="231">
        <v>0</v>
      </c>
      <c r="AE6" s="231">
        <v>0</v>
      </c>
      <c r="AF6" s="231">
        <v>0</v>
      </c>
      <c r="AG6" s="231">
        <v>0</v>
      </c>
      <c r="AH6" s="231">
        <v>0</v>
      </c>
      <c r="AI6" s="225"/>
      <c r="AJ6" s="225"/>
      <c r="AK6" s="225"/>
      <c r="AL6" s="225"/>
      <c r="AM6" s="225"/>
      <c r="AN6" s="225"/>
    </row>
    <row r="7" spans="1:40" s="228" customFormat="1" ht="13.5" customHeight="1" thickBot="1">
      <c r="A7" s="1116" t="s">
        <v>459</v>
      </c>
      <c r="B7" s="1117" t="s">
        <v>215</v>
      </c>
      <c r="C7" s="274">
        <f t="shared" ref="C7:C11" si="1">IF(D7=1,U$5,IF(D7=2,V$5,IF(D7=3,W$5,IF(D7=4,X$5,IF(D7=5,Y$5,IF(D7=6,Z$5,IF(D7=7,AA$5,0)))))))</f>
        <v>2.1222190799396687E-4</v>
      </c>
      <c r="D7" s="1384">
        <v>3</v>
      </c>
      <c r="E7" s="280">
        <v>1</v>
      </c>
      <c r="F7" s="280">
        <v>2</v>
      </c>
      <c r="G7" s="280">
        <v>200</v>
      </c>
      <c r="H7" s="281"/>
      <c r="I7" s="281">
        <v>3.4722222222222224E-4</v>
      </c>
      <c r="J7" s="281">
        <v>3.4722222222222224E-4</v>
      </c>
      <c r="K7" s="1074" t="s">
        <v>918</v>
      </c>
      <c r="L7" s="1148">
        <f>L6+N6</f>
        <v>0.30275390158303467</v>
      </c>
      <c r="M7" s="453">
        <v>1</v>
      </c>
      <c r="N7" s="281">
        <f>H7*F7*E7</f>
        <v>0</v>
      </c>
      <c r="O7" s="298">
        <f>C7*(G7/25)*1.07</f>
        <v>1.8166195324283564E-3</v>
      </c>
      <c r="P7" s="298">
        <f t="shared" ref="P7:P8" si="2">O7*M7</f>
        <v>1.8166195324283564E-3</v>
      </c>
      <c r="Q7" s="333">
        <v>166</v>
      </c>
      <c r="R7" s="280">
        <f t="shared" ref="R7:R8" si="3">E7*F7*G7</f>
        <v>400</v>
      </c>
      <c r="S7" s="229">
        <f t="shared" ref="S7:S11" si="4">E7*F7*G7/1000</f>
        <v>0.4</v>
      </c>
      <c r="T7" s="230">
        <f t="shared" ref="T7:T11" si="5">E7*F7*O7*4</f>
        <v>1.4532956259426851E-2</v>
      </c>
      <c r="U7" s="374">
        <f t="shared" ref="U7:U11" si="6">IF(C7*4&gt;=$U$4,S7,0)</f>
        <v>0</v>
      </c>
      <c r="V7" s="375">
        <f t="shared" ref="V7:V11" si="7">IF(AND(C7*4&gt;=$V$4,C7*4&lt;$U$4),S7,0)</f>
        <v>0</v>
      </c>
      <c r="W7" s="376">
        <f t="shared" ref="W7:W11" si="8">IF(AND(C7*4&gt;=$W$4,C7*4&lt;$V$4),S7,0)</f>
        <v>0.4</v>
      </c>
      <c r="X7" s="377">
        <f t="shared" ref="X7:X11" si="9">IF(AND(C7*4&gt;=$X$4,C7*4&lt;$W$4),S7,0)</f>
        <v>0</v>
      </c>
      <c r="Y7" s="378">
        <f t="shared" ref="Y7:Y11" si="10">IF(AND(C7*4&gt;=$Y$4,C7*4&lt;$X$4),S7,0)</f>
        <v>0</v>
      </c>
      <c r="Z7" s="379">
        <f t="shared" ref="Z7:Z11" si="11">IF(AND(C7*4&gt;=$Z$4,C7*4&lt;$Y$4),S7,0)</f>
        <v>0</v>
      </c>
      <c r="AA7" s="380">
        <f t="shared" ref="AA7:AA11" si="12">IF(AND(C7*4&gt;=$AA$4,C7*4&lt;$Z$4),S7,0)</f>
        <v>0</v>
      </c>
      <c r="AB7" s="225"/>
      <c r="AC7" s="231"/>
      <c r="AD7" s="231"/>
      <c r="AE7" s="231"/>
      <c r="AF7" s="231"/>
      <c r="AG7" s="231"/>
      <c r="AH7" s="231"/>
      <c r="AI7" s="225"/>
      <c r="AJ7" s="225"/>
      <c r="AK7" s="225"/>
      <c r="AL7" s="225"/>
      <c r="AM7" s="225"/>
      <c r="AN7" s="225"/>
    </row>
    <row r="8" spans="1:40" s="228" customFormat="1" ht="13.5" customHeight="1" thickBot="1">
      <c r="A8" s="1116" t="s">
        <v>460</v>
      </c>
      <c r="B8" s="1117" t="s">
        <v>215</v>
      </c>
      <c r="C8" s="274">
        <f t="shared" si="1"/>
        <v>2.0247664488766629E-4</v>
      </c>
      <c r="D8" s="1385">
        <v>4</v>
      </c>
      <c r="E8" s="1177">
        <v>1</v>
      </c>
      <c r="F8" s="1177">
        <v>4</v>
      </c>
      <c r="G8" s="1177">
        <v>100</v>
      </c>
      <c r="H8" s="1178"/>
      <c r="I8" s="1178">
        <v>2.8935185185185189E-4</v>
      </c>
      <c r="J8" s="1178">
        <v>6.9444444444444447E-4</v>
      </c>
      <c r="K8" s="316" t="s">
        <v>92</v>
      </c>
      <c r="L8" s="996">
        <f t="shared" ref="L8:L9" si="13">L7+N7</f>
        <v>0.30275390158303467</v>
      </c>
      <c r="M8" s="1180">
        <v>1.1000000000000001</v>
      </c>
      <c r="N8" s="1178">
        <f>P8*E8*F8+I8*E8*F8+J8*E8</f>
        <v>5.4154408018747789E-3</v>
      </c>
      <c r="O8" s="1181">
        <f t="shared" ref="O8" si="14">C8*(G8/25)</f>
        <v>8.0990657955066516E-4</v>
      </c>
      <c r="P8" s="1181">
        <f t="shared" si="2"/>
        <v>8.9089723750573175E-4</v>
      </c>
      <c r="Q8" s="334">
        <v>166</v>
      </c>
      <c r="R8" s="1177">
        <f t="shared" si="3"/>
        <v>400</v>
      </c>
      <c r="S8" s="229">
        <f t="shared" si="4"/>
        <v>0.4</v>
      </c>
      <c r="T8" s="230">
        <f t="shared" si="5"/>
        <v>1.2958505272810643E-2</v>
      </c>
      <c r="U8" s="374">
        <f t="shared" si="6"/>
        <v>0</v>
      </c>
      <c r="V8" s="375">
        <f t="shared" si="7"/>
        <v>0</v>
      </c>
      <c r="W8" s="376">
        <f t="shared" si="8"/>
        <v>0</v>
      </c>
      <c r="X8" s="377">
        <f t="shared" si="9"/>
        <v>0.4</v>
      </c>
      <c r="Y8" s="378">
        <f t="shared" si="10"/>
        <v>0</v>
      </c>
      <c r="Z8" s="379">
        <f t="shared" si="11"/>
        <v>0</v>
      </c>
      <c r="AA8" s="380">
        <f t="shared" si="12"/>
        <v>0</v>
      </c>
      <c r="AB8" s="225"/>
      <c r="AC8" s="231"/>
      <c r="AD8" s="231"/>
      <c r="AE8" s="231"/>
      <c r="AF8" s="231"/>
      <c r="AG8" s="231"/>
      <c r="AH8" s="231"/>
      <c r="AI8" s="225"/>
      <c r="AJ8" s="225"/>
      <c r="AK8" s="225"/>
      <c r="AL8" s="225"/>
      <c r="AM8" s="225"/>
      <c r="AN8" s="225"/>
    </row>
    <row r="9" spans="1:40" s="228" customFormat="1" ht="15.75" customHeight="1" thickBot="1">
      <c r="A9" s="1116" t="s">
        <v>458</v>
      </c>
      <c r="B9" s="1117" t="s">
        <v>215</v>
      </c>
      <c r="C9" s="274">
        <f t="shared" si="1"/>
        <v>2.1222190799396687E-4</v>
      </c>
      <c r="D9" s="890">
        <v>3</v>
      </c>
      <c r="E9" s="300">
        <v>1</v>
      </c>
      <c r="F9" s="300">
        <v>8</v>
      </c>
      <c r="G9" s="300">
        <v>100</v>
      </c>
      <c r="H9" s="301"/>
      <c r="I9" s="301">
        <v>2.8935185185185189E-4</v>
      </c>
      <c r="J9" s="281">
        <v>6.9444444444444447E-4</v>
      </c>
      <c r="K9" s="847" t="s">
        <v>1303</v>
      </c>
      <c r="L9" s="995">
        <f t="shared" si="13"/>
        <v>0.30816934238490945</v>
      </c>
      <c r="M9" s="1180">
        <v>1.2</v>
      </c>
      <c r="N9" s="1178">
        <f>P9*E9*F9+I9*E9*F9+J9*E9</f>
        <v>1.1158580526227585E-2</v>
      </c>
      <c r="O9" s="1181">
        <f>C9*(G9/25)</f>
        <v>8.4888763197586746E-4</v>
      </c>
      <c r="P9" s="1181">
        <f>O9*M9</f>
        <v>1.0186651583710409E-3</v>
      </c>
      <c r="Q9" s="334">
        <v>166</v>
      </c>
      <c r="R9" s="1177">
        <f>E9*F9*G9</f>
        <v>800</v>
      </c>
      <c r="S9" s="229">
        <f t="shared" si="4"/>
        <v>0.8</v>
      </c>
      <c r="T9" s="230">
        <f t="shared" si="5"/>
        <v>2.7164404223227759E-2</v>
      </c>
      <c r="U9" s="374">
        <f t="shared" si="6"/>
        <v>0</v>
      </c>
      <c r="V9" s="375">
        <f t="shared" si="7"/>
        <v>0</v>
      </c>
      <c r="W9" s="376">
        <f t="shared" si="8"/>
        <v>0.8</v>
      </c>
      <c r="X9" s="377">
        <f t="shared" si="9"/>
        <v>0</v>
      </c>
      <c r="Y9" s="378">
        <f t="shared" si="10"/>
        <v>0</v>
      </c>
      <c r="Z9" s="379">
        <f t="shared" si="11"/>
        <v>0</v>
      </c>
      <c r="AA9" s="380">
        <f t="shared" si="12"/>
        <v>0</v>
      </c>
      <c r="AB9" s="225"/>
      <c r="AC9" s="231"/>
      <c r="AD9" s="231"/>
      <c r="AE9" s="231"/>
      <c r="AF9" s="231"/>
      <c r="AG9" s="231"/>
      <c r="AH9" s="231"/>
      <c r="AI9" s="225"/>
      <c r="AJ9" s="225"/>
      <c r="AK9" s="225"/>
      <c r="AL9" s="225"/>
      <c r="AM9" s="225"/>
      <c r="AN9" s="225"/>
    </row>
    <row r="10" spans="1:40" s="228" customFormat="1" ht="16.25" customHeight="1" thickBot="1">
      <c r="A10" s="1116" t="s">
        <v>219</v>
      </c>
      <c r="B10" s="1117" t="s">
        <v>215</v>
      </c>
      <c r="C10" s="274">
        <f t="shared" si="1"/>
        <v>2.0247664488766629E-4</v>
      </c>
      <c r="D10" s="1028">
        <v>4</v>
      </c>
      <c r="E10" s="3459">
        <v>3</v>
      </c>
      <c r="F10" s="3459">
        <v>6</v>
      </c>
      <c r="G10" s="3459">
        <v>30</v>
      </c>
      <c r="H10" s="3032"/>
      <c r="I10" s="3032">
        <v>6.9444444444444447E-4</v>
      </c>
      <c r="J10" s="3032">
        <v>1.5046296296296294E-3</v>
      </c>
      <c r="K10" s="3465" t="s">
        <v>2194</v>
      </c>
      <c r="L10" s="4096">
        <f>L9+N9</f>
        <v>0.31932792291113704</v>
      </c>
      <c r="M10" s="4097">
        <v>1</v>
      </c>
      <c r="N10" s="3032">
        <v>1.7013888888888887E-2</v>
      </c>
      <c r="O10" s="3464">
        <f t="shared" ref="O10" si="15">C10*(G10/25)</f>
        <v>2.4297197386519953E-4</v>
      </c>
      <c r="P10" s="3464">
        <f t="shared" ref="P10" si="16">O10*M10</f>
        <v>2.4297197386519953E-4</v>
      </c>
      <c r="Q10" s="4098">
        <v>166</v>
      </c>
      <c r="R10" s="3459">
        <f t="shared" ref="R10" si="17">E10*F10*G10</f>
        <v>540</v>
      </c>
      <c r="S10" s="229">
        <f t="shared" si="4"/>
        <v>0.54</v>
      </c>
      <c r="T10" s="230">
        <f t="shared" si="5"/>
        <v>1.7493982118294366E-2</v>
      </c>
      <c r="U10" s="374">
        <f t="shared" si="6"/>
        <v>0</v>
      </c>
      <c r="V10" s="375">
        <f t="shared" si="7"/>
        <v>0</v>
      </c>
      <c r="W10" s="376">
        <f t="shared" si="8"/>
        <v>0</v>
      </c>
      <c r="X10" s="377">
        <f t="shared" si="9"/>
        <v>0.54</v>
      </c>
      <c r="Y10" s="378">
        <f t="shared" si="10"/>
        <v>0</v>
      </c>
      <c r="Z10" s="379">
        <f t="shared" si="11"/>
        <v>0</v>
      </c>
      <c r="AA10" s="380">
        <f t="shared" si="12"/>
        <v>0</v>
      </c>
      <c r="AB10" s="225"/>
      <c r="AC10" s="231"/>
      <c r="AD10" s="231"/>
      <c r="AE10" s="231"/>
      <c r="AF10" s="231"/>
      <c r="AG10" s="231"/>
      <c r="AH10" s="231"/>
      <c r="AI10" s="225"/>
      <c r="AJ10" s="225"/>
      <c r="AK10" s="225"/>
      <c r="AL10" s="225"/>
      <c r="AM10" s="225"/>
      <c r="AN10" s="225"/>
    </row>
    <row r="11" spans="1:40" s="228" customFormat="1" ht="16.25" customHeight="1">
      <c r="A11" s="401"/>
      <c r="B11" s="1117" t="s">
        <v>215</v>
      </c>
      <c r="C11" s="274">
        <f t="shared" si="1"/>
        <v>1.7682291666666674E-4</v>
      </c>
      <c r="D11" s="1054">
        <v>7</v>
      </c>
      <c r="E11" s="1371">
        <v>2</v>
      </c>
      <c r="F11" s="1040">
        <v>4</v>
      </c>
      <c r="G11" s="1040">
        <v>25</v>
      </c>
      <c r="H11" s="1041"/>
      <c r="I11" s="1041">
        <v>4.6296296296296293E-4</v>
      </c>
      <c r="J11" s="1041">
        <v>1.3888888888888889E-3</v>
      </c>
      <c r="K11" s="1320" t="s">
        <v>891</v>
      </c>
      <c r="L11" s="1007">
        <f>L10+N10</f>
        <v>0.33634181180002592</v>
      </c>
      <c r="M11" s="1042">
        <v>0.9</v>
      </c>
      <c r="N11" s="1041">
        <f>P11*E11*F11+I11*E11*F11+J11*E11</f>
        <v>7.7546064814814821E-3</v>
      </c>
      <c r="O11" s="439">
        <f>C11</f>
        <v>1.7682291666666674E-4</v>
      </c>
      <c r="P11" s="587">
        <f>O11*M11</f>
        <v>1.5914062500000008E-4</v>
      </c>
      <c r="Q11" s="789" t="s">
        <v>274</v>
      </c>
      <c r="R11" s="1045">
        <f>E11*F11*G11</f>
        <v>200</v>
      </c>
      <c r="S11" s="229">
        <f t="shared" si="4"/>
        <v>0.2</v>
      </c>
      <c r="T11" s="230">
        <f t="shared" si="5"/>
        <v>5.6583333333333355E-3</v>
      </c>
      <c r="U11" s="374">
        <f t="shared" si="6"/>
        <v>0</v>
      </c>
      <c r="V11" s="375">
        <f t="shared" si="7"/>
        <v>0</v>
      </c>
      <c r="W11" s="376">
        <f t="shared" si="8"/>
        <v>0</v>
      </c>
      <c r="X11" s="377">
        <f t="shared" si="9"/>
        <v>0</v>
      </c>
      <c r="Y11" s="378">
        <f t="shared" si="10"/>
        <v>0</v>
      </c>
      <c r="Z11" s="379">
        <f t="shared" si="11"/>
        <v>0</v>
      </c>
      <c r="AA11" s="380">
        <f t="shared" si="12"/>
        <v>0.2</v>
      </c>
      <c r="AB11" s="225"/>
      <c r="AC11" s="231"/>
      <c r="AD11" s="231"/>
      <c r="AE11" s="231"/>
      <c r="AF11" s="231"/>
      <c r="AG11" s="231"/>
      <c r="AH11" s="231"/>
      <c r="AI11" s="225"/>
      <c r="AJ11" s="225"/>
      <c r="AK11" s="225"/>
      <c r="AL11" s="225"/>
      <c r="AM11" s="225"/>
      <c r="AN11" s="225"/>
    </row>
    <row r="12" spans="1:40" s="228" customFormat="1" ht="16.25" customHeight="1">
      <c r="A12" s="401" t="s">
        <v>214</v>
      </c>
      <c r="B12" s="1116"/>
      <c r="C12" s="274"/>
      <c r="D12" s="899"/>
      <c r="E12" s="336"/>
      <c r="F12" s="336"/>
      <c r="G12" s="336"/>
      <c r="H12" s="336"/>
      <c r="I12" s="336"/>
      <c r="J12" s="336"/>
      <c r="K12" s="336"/>
      <c r="L12" s="1003">
        <f>L11+N11</f>
        <v>0.34409641828150739</v>
      </c>
      <c r="M12" s="448"/>
      <c r="N12" s="325">
        <f>SUM(N6:N11)</f>
        <v>4.5485307170396276E-2</v>
      </c>
      <c r="O12" s="336"/>
      <c r="P12" s="336"/>
      <c r="Q12" s="336"/>
      <c r="R12" s="363">
        <f>SUM(R6:R11)</f>
        <v>2740</v>
      </c>
      <c r="S12" s="229">
        <f t="shared" ref="S12:S71" si="18">E12*F12*G12/1000</f>
        <v>0</v>
      </c>
      <c r="T12" s="230">
        <f t="shared" ref="T12:T71" si="19">E12*F12*O12*4</f>
        <v>0</v>
      </c>
      <c r="U12" s="374">
        <f t="shared" ref="U12:U71" si="20">IF(C12*4&gt;=$U$4,S12,0)</f>
        <v>0</v>
      </c>
      <c r="V12" s="375">
        <f t="shared" ref="V12:V71" si="21">IF(AND(C12*4&gt;=$V$4,C12*4&lt;$U$4),S12,0)</f>
        <v>0</v>
      </c>
      <c r="W12" s="376">
        <f t="shared" ref="W12:W71" si="22">IF(AND(C12*4&gt;=$W$4,C12*4&lt;$V$4),S12,0)</f>
        <v>0</v>
      </c>
      <c r="X12" s="377">
        <f t="shared" ref="X12:X71" si="23">IF(AND(C12*4&gt;=$X$4,C12*4&lt;$W$4),S12,0)</f>
        <v>0</v>
      </c>
      <c r="Y12" s="378">
        <f t="shared" ref="Y12:Y71" si="24">IF(AND(C12*4&gt;=$Y$4,C12*4&lt;$X$4),S12,0)</f>
        <v>0</v>
      </c>
      <c r="Z12" s="379">
        <f t="shared" ref="Z12:Z71" si="25">IF(AND(C12*4&gt;=$Z$4,C12*4&lt;$Y$4),S12,0)</f>
        <v>0</v>
      </c>
      <c r="AA12" s="380">
        <f t="shared" ref="AA12:AA71" si="26">IF(AND(C12*4&gt;=$AA$4,C12*4&lt;$Z$4),S12,0)</f>
        <v>0</v>
      </c>
      <c r="AB12" s="225"/>
      <c r="AC12" s="231"/>
      <c r="AD12" s="231"/>
      <c r="AE12" s="231"/>
      <c r="AF12" s="231"/>
      <c r="AG12" s="231"/>
      <c r="AH12" s="231"/>
      <c r="AI12" s="225"/>
      <c r="AJ12" s="225"/>
      <c r="AK12" s="225"/>
      <c r="AL12" s="225"/>
      <c r="AM12" s="225"/>
      <c r="AN12" s="225"/>
    </row>
    <row r="13" spans="1:40" s="228" customFormat="1" ht="16.25" customHeight="1">
      <c r="A13" s="397" t="s">
        <v>215</v>
      </c>
      <c r="B13" s="1124" t="s">
        <v>215</v>
      </c>
      <c r="C13" s="274">
        <f t="shared" ref="C13:C18" si="27">IF(D13=1,U$5,IF(D13=2,V$5,IF(D13=3,W$5,IF(D13=4,X$5,IF(D13=5,Y$5,IF(D13=6,Z$5,IF(D13=7,AA$5,0)))))))</f>
        <v>2.2880964381720439E-4</v>
      </c>
      <c r="D13" s="547">
        <v>1</v>
      </c>
      <c r="E13" s="275">
        <v>1</v>
      </c>
      <c r="F13" s="275">
        <v>2</v>
      </c>
      <c r="G13" s="275">
        <v>300</v>
      </c>
      <c r="H13" s="276"/>
      <c r="I13" s="276">
        <v>1.1574074074074073E-4</v>
      </c>
      <c r="J13" s="276">
        <v>1.3888888888888889E-3</v>
      </c>
      <c r="K13" s="312" t="s">
        <v>762</v>
      </c>
      <c r="L13" s="993">
        <v>0.34027777777777773</v>
      </c>
      <c r="M13" s="451">
        <v>0.9</v>
      </c>
      <c r="N13" s="276">
        <f>P13*E13*F13+I13*E13*F13+J13*E13</f>
        <v>6.5626586768219863E-3</v>
      </c>
      <c r="O13" s="296">
        <f t="shared" ref="O13:O18" si="28">C13*(G13/25)</f>
        <v>2.7457157258064528E-3</v>
      </c>
      <c r="P13" s="296">
        <f t="shared" ref="P13:P18" si="29">O13*M13</f>
        <v>2.4711441532258077E-3</v>
      </c>
      <c r="Q13" s="548">
        <v>129</v>
      </c>
      <c r="R13" s="275">
        <f t="shared" ref="R13:R18" si="30">E13*F13*G13</f>
        <v>600</v>
      </c>
      <c r="S13" s="229">
        <f t="shared" si="18"/>
        <v>0.6</v>
      </c>
      <c r="T13" s="230">
        <f t="shared" si="19"/>
        <v>2.1965725806451623E-2</v>
      </c>
      <c r="U13" s="374">
        <f t="shared" si="20"/>
        <v>0.6</v>
      </c>
      <c r="V13" s="375">
        <f t="shared" si="21"/>
        <v>0</v>
      </c>
      <c r="W13" s="376">
        <f t="shared" si="22"/>
        <v>0</v>
      </c>
      <c r="X13" s="377">
        <f t="shared" si="23"/>
        <v>0</v>
      </c>
      <c r="Y13" s="378">
        <f t="shared" si="24"/>
        <v>0</v>
      </c>
      <c r="Z13" s="379">
        <f t="shared" si="25"/>
        <v>0</v>
      </c>
      <c r="AA13" s="380">
        <f t="shared" si="26"/>
        <v>0</v>
      </c>
      <c r="AB13" s="225"/>
      <c r="AC13" s="231"/>
      <c r="AD13" s="231"/>
      <c r="AE13" s="231"/>
      <c r="AF13" s="231"/>
      <c r="AG13" s="231"/>
      <c r="AH13" s="231"/>
      <c r="AI13" s="225"/>
      <c r="AJ13" s="225"/>
      <c r="AK13" s="225"/>
      <c r="AL13" s="225"/>
      <c r="AM13" s="225"/>
      <c r="AN13" s="225"/>
    </row>
    <row r="14" spans="1:40" s="228" customFormat="1" ht="16.25" customHeight="1">
      <c r="A14" s="397" t="s">
        <v>138</v>
      </c>
      <c r="B14" s="1124" t="s">
        <v>215</v>
      </c>
      <c r="C14" s="274">
        <f t="shared" si="27"/>
        <v>2.1908757716049393E-4</v>
      </c>
      <c r="D14" s="890">
        <v>2</v>
      </c>
      <c r="E14" s="300">
        <v>1</v>
      </c>
      <c r="F14" s="300">
        <v>1</v>
      </c>
      <c r="G14" s="300">
        <v>400</v>
      </c>
      <c r="H14" s="301">
        <v>5.5555555555555558E-3</v>
      </c>
      <c r="I14" s="301"/>
      <c r="J14" s="301">
        <v>1.3888888888888889E-3</v>
      </c>
      <c r="K14" s="1123" t="s">
        <v>1865</v>
      </c>
      <c r="L14" s="994">
        <f t="shared" ref="L14:L16" si="31">L13+N13</f>
        <v>0.34684043645459972</v>
      </c>
      <c r="M14" s="455">
        <v>1</v>
      </c>
      <c r="N14" s="301">
        <f>H14*F14*E14</f>
        <v>5.5555555555555558E-3</v>
      </c>
      <c r="O14" s="302">
        <f t="shared" si="28"/>
        <v>3.5054012345679029E-3</v>
      </c>
      <c r="P14" s="302">
        <f t="shared" si="29"/>
        <v>3.5054012345679029E-3</v>
      </c>
      <c r="Q14" s="550">
        <v>146</v>
      </c>
      <c r="R14" s="369">
        <f t="shared" si="30"/>
        <v>400</v>
      </c>
      <c r="S14" s="229">
        <f t="shared" si="18"/>
        <v>0.4</v>
      </c>
      <c r="T14" s="230">
        <f t="shared" si="19"/>
        <v>1.4021604938271611E-2</v>
      </c>
      <c r="U14" s="374">
        <f t="shared" si="20"/>
        <v>0</v>
      </c>
      <c r="V14" s="375">
        <f t="shared" si="21"/>
        <v>0.4</v>
      </c>
      <c r="W14" s="376">
        <f t="shared" si="22"/>
        <v>0</v>
      </c>
      <c r="X14" s="377">
        <f t="shared" si="23"/>
        <v>0</v>
      </c>
      <c r="Y14" s="378">
        <f t="shared" si="24"/>
        <v>0</v>
      </c>
      <c r="Z14" s="379">
        <f t="shared" si="25"/>
        <v>0</v>
      </c>
      <c r="AA14" s="380">
        <f t="shared" si="26"/>
        <v>0</v>
      </c>
      <c r="AB14" s="225"/>
      <c r="AC14" s="231"/>
      <c r="AD14" s="231"/>
      <c r="AE14" s="231"/>
      <c r="AF14" s="231"/>
      <c r="AG14" s="231"/>
      <c r="AH14" s="231"/>
      <c r="AI14" s="225"/>
      <c r="AJ14" s="225"/>
      <c r="AK14" s="225"/>
      <c r="AL14" s="225"/>
      <c r="AM14" s="225"/>
      <c r="AN14" s="225"/>
    </row>
    <row r="15" spans="1:40" s="228" customFormat="1" ht="16.25" customHeight="1">
      <c r="A15" s="397" t="s">
        <v>462</v>
      </c>
      <c r="B15" s="1124" t="s">
        <v>215</v>
      </c>
      <c r="C15" s="274">
        <f t="shared" si="27"/>
        <v>2.1222190799396687E-4</v>
      </c>
      <c r="D15" s="891">
        <v>3</v>
      </c>
      <c r="E15" s="280">
        <v>1</v>
      </c>
      <c r="F15" s="280">
        <v>12</v>
      </c>
      <c r="G15" s="280">
        <v>50</v>
      </c>
      <c r="H15" s="281"/>
      <c r="I15" s="281">
        <v>8.1018518518518516E-5</v>
      </c>
      <c r="J15" s="281">
        <v>1.3888888888888889E-3</v>
      </c>
      <c r="K15" s="1073" t="s">
        <v>1866</v>
      </c>
      <c r="L15" s="995">
        <f t="shared" si="31"/>
        <v>0.35239599201015526</v>
      </c>
      <c r="M15" s="453">
        <v>1</v>
      </c>
      <c r="N15" s="281">
        <f>P15*E15*F15+I15*E15*F15+J15*E15</f>
        <v>7.4544369029663164E-3</v>
      </c>
      <c r="O15" s="298">
        <f t="shared" si="28"/>
        <v>4.2444381598793373E-4</v>
      </c>
      <c r="P15" s="298">
        <f t="shared" si="29"/>
        <v>4.2444381598793373E-4</v>
      </c>
      <c r="Q15" s="333">
        <v>164</v>
      </c>
      <c r="R15" s="280">
        <f t="shared" si="30"/>
        <v>600</v>
      </c>
      <c r="S15" s="229">
        <f t="shared" si="18"/>
        <v>0.6</v>
      </c>
      <c r="T15" s="230">
        <f t="shared" si="19"/>
        <v>2.0373303167420819E-2</v>
      </c>
      <c r="U15" s="374">
        <f t="shared" si="20"/>
        <v>0</v>
      </c>
      <c r="V15" s="375">
        <f t="shared" si="21"/>
        <v>0</v>
      </c>
      <c r="W15" s="376">
        <f t="shared" si="22"/>
        <v>0.6</v>
      </c>
      <c r="X15" s="377">
        <f t="shared" si="23"/>
        <v>0</v>
      </c>
      <c r="Y15" s="378">
        <f t="shared" si="24"/>
        <v>0</v>
      </c>
      <c r="Z15" s="379">
        <f t="shared" si="25"/>
        <v>0</v>
      </c>
      <c r="AA15" s="380">
        <f t="shared" si="26"/>
        <v>0</v>
      </c>
      <c r="AB15" s="225"/>
      <c r="AC15" s="231"/>
      <c r="AD15" s="231"/>
      <c r="AE15" s="231"/>
      <c r="AF15" s="231"/>
      <c r="AG15" s="231"/>
      <c r="AH15" s="231"/>
      <c r="AI15" s="225"/>
      <c r="AJ15" s="225"/>
      <c r="AK15" s="225"/>
      <c r="AL15" s="225"/>
      <c r="AM15" s="225"/>
      <c r="AN15" s="225"/>
    </row>
    <row r="16" spans="1:40" s="228" customFormat="1" ht="16.25" customHeight="1">
      <c r="A16" s="397" t="s">
        <v>461</v>
      </c>
      <c r="B16" s="1124" t="s">
        <v>215</v>
      </c>
      <c r="C16" s="274">
        <f t="shared" si="27"/>
        <v>1.8933937422552669E-4</v>
      </c>
      <c r="D16" s="894">
        <v>5</v>
      </c>
      <c r="E16" s="308">
        <v>5</v>
      </c>
      <c r="F16" s="308">
        <v>1</v>
      </c>
      <c r="G16" s="309">
        <v>100</v>
      </c>
      <c r="H16" s="306"/>
      <c r="I16" s="306">
        <v>5.7870370370370366E-5</v>
      </c>
      <c r="J16" s="306">
        <v>2.0833333333333333E-3</v>
      </c>
      <c r="K16" s="534" t="s">
        <v>1304</v>
      </c>
      <c r="L16" s="1005">
        <f t="shared" si="31"/>
        <v>0.35985042891312158</v>
      </c>
      <c r="M16" s="452">
        <v>1</v>
      </c>
      <c r="N16" s="306">
        <f>P16*E16*F16+I16*E16*F16+J16*E16</f>
        <v>1.4492806003029051E-2</v>
      </c>
      <c r="O16" s="305">
        <f t="shared" si="28"/>
        <v>7.5735749690210676E-4</v>
      </c>
      <c r="P16" s="585">
        <f t="shared" si="29"/>
        <v>7.5735749690210676E-4</v>
      </c>
      <c r="Q16" s="786" t="s">
        <v>278</v>
      </c>
      <c r="R16" s="290">
        <f t="shared" si="30"/>
        <v>500</v>
      </c>
      <c r="S16" s="229">
        <f t="shared" si="18"/>
        <v>0.5</v>
      </c>
      <c r="T16" s="230">
        <f t="shared" si="19"/>
        <v>1.5147149938042136E-2</v>
      </c>
      <c r="U16" s="374">
        <f t="shared" si="20"/>
        <v>0</v>
      </c>
      <c r="V16" s="375">
        <f t="shared" si="21"/>
        <v>0</v>
      </c>
      <c r="W16" s="376">
        <f t="shared" si="22"/>
        <v>0</v>
      </c>
      <c r="X16" s="377">
        <f t="shared" si="23"/>
        <v>0</v>
      </c>
      <c r="Y16" s="378">
        <f t="shared" si="24"/>
        <v>0.5</v>
      </c>
      <c r="Z16" s="379">
        <f t="shared" si="25"/>
        <v>0</v>
      </c>
      <c r="AA16" s="380">
        <f t="shared" si="26"/>
        <v>0</v>
      </c>
      <c r="AB16" s="225"/>
      <c r="AC16" s="231"/>
      <c r="AD16" s="231"/>
      <c r="AE16" s="231"/>
      <c r="AF16" s="231"/>
      <c r="AG16" s="231"/>
      <c r="AH16" s="231"/>
      <c r="AI16" s="225"/>
      <c r="AJ16" s="225"/>
      <c r="AK16" s="225"/>
      <c r="AL16" s="225"/>
      <c r="AM16" s="225"/>
      <c r="AN16" s="225"/>
    </row>
    <row r="17" spans="1:40" s="228" customFormat="1" ht="16.25" customHeight="1">
      <c r="A17" s="397" t="s">
        <v>458</v>
      </c>
      <c r="B17" s="1124" t="s">
        <v>215</v>
      </c>
      <c r="C17" s="274">
        <f t="shared" si="27"/>
        <v>2.1908757716049393E-4</v>
      </c>
      <c r="D17" s="890">
        <v>2</v>
      </c>
      <c r="E17" s="4086">
        <v>1</v>
      </c>
      <c r="F17" s="4086">
        <v>10</v>
      </c>
      <c r="G17" s="4086">
        <v>5</v>
      </c>
      <c r="H17" s="4087"/>
      <c r="I17" s="4087">
        <v>3.4722222222222224E-4</v>
      </c>
      <c r="J17" s="4087">
        <v>1.5046296296296294E-3</v>
      </c>
      <c r="K17" s="4082" t="s">
        <v>1863</v>
      </c>
      <c r="L17" s="4083">
        <f t="shared" ref="L17:L19" si="32">L16+N16</f>
        <v>0.37434323491615062</v>
      </c>
      <c r="M17" s="4088">
        <v>1</v>
      </c>
      <c r="N17" s="4087">
        <f t="shared" ref="N17:N18" si="33">P17*E17*F17+I17*E17*F17+J17*E17</f>
        <v>5.4150270061728394E-3</v>
      </c>
      <c r="O17" s="4084">
        <f t="shared" si="28"/>
        <v>4.3817515432098787E-5</v>
      </c>
      <c r="P17" s="4084">
        <f t="shared" si="29"/>
        <v>4.3817515432098787E-5</v>
      </c>
      <c r="Q17" s="4085"/>
      <c r="R17" s="4086">
        <f t="shared" si="30"/>
        <v>50</v>
      </c>
      <c r="S17" s="229">
        <f t="shared" si="18"/>
        <v>0.05</v>
      </c>
      <c r="T17" s="230">
        <f t="shared" si="19"/>
        <v>1.7527006172839514E-3</v>
      </c>
      <c r="U17" s="374">
        <f t="shared" si="20"/>
        <v>0</v>
      </c>
      <c r="V17" s="375">
        <f t="shared" si="21"/>
        <v>0.05</v>
      </c>
      <c r="W17" s="376">
        <f t="shared" si="22"/>
        <v>0</v>
      </c>
      <c r="X17" s="377">
        <f t="shared" si="23"/>
        <v>0</v>
      </c>
      <c r="Y17" s="378">
        <f t="shared" si="24"/>
        <v>0</v>
      </c>
      <c r="Z17" s="379">
        <f t="shared" si="25"/>
        <v>0</v>
      </c>
      <c r="AA17" s="380">
        <f t="shared" si="26"/>
        <v>0</v>
      </c>
      <c r="AB17" s="225"/>
      <c r="AC17" s="231"/>
      <c r="AD17" s="231"/>
      <c r="AE17" s="231"/>
      <c r="AF17" s="231"/>
      <c r="AG17" s="231"/>
      <c r="AH17" s="231"/>
      <c r="AI17" s="225"/>
      <c r="AJ17" s="225"/>
      <c r="AK17" s="225"/>
      <c r="AL17" s="225"/>
      <c r="AM17" s="225"/>
      <c r="AN17" s="225"/>
    </row>
    <row r="18" spans="1:40" s="228" customFormat="1" ht="16.25" customHeight="1">
      <c r="A18" s="397" t="s">
        <v>219</v>
      </c>
      <c r="B18" s="1124" t="s">
        <v>215</v>
      </c>
      <c r="C18" s="274">
        <f t="shared" si="27"/>
        <v>1.7682291666666674E-4</v>
      </c>
      <c r="D18" s="293">
        <v>7</v>
      </c>
      <c r="E18" s="444">
        <v>1</v>
      </c>
      <c r="F18" s="444">
        <v>10</v>
      </c>
      <c r="G18" s="444">
        <v>15</v>
      </c>
      <c r="H18" s="434"/>
      <c r="I18" s="434">
        <v>4.6296296296296293E-4</v>
      </c>
      <c r="J18" s="434">
        <v>6.9444444444444447E-4</v>
      </c>
      <c r="K18" s="1493" t="s">
        <v>932</v>
      </c>
      <c r="L18" s="1007">
        <f t="shared" si="32"/>
        <v>0.37975826192232348</v>
      </c>
      <c r="M18" s="519">
        <v>1</v>
      </c>
      <c r="N18" s="434">
        <f t="shared" si="33"/>
        <v>6.3850115740740742E-3</v>
      </c>
      <c r="O18" s="436">
        <f t="shared" si="28"/>
        <v>1.0609375000000004E-4</v>
      </c>
      <c r="P18" s="439">
        <f t="shared" si="29"/>
        <v>1.0609375000000004E-4</v>
      </c>
      <c r="Q18" s="446">
        <v>129</v>
      </c>
      <c r="R18" s="435">
        <f t="shared" si="30"/>
        <v>150</v>
      </c>
      <c r="S18" s="229">
        <f t="shared" si="18"/>
        <v>0.15</v>
      </c>
      <c r="T18" s="230">
        <f t="shared" si="19"/>
        <v>4.2437500000000019E-3</v>
      </c>
      <c r="U18" s="374">
        <f t="shared" si="20"/>
        <v>0</v>
      </c>
      <c r="V18" s="375">
        <f t="shared" si="21"/>
        <v>0</v>
      </c>
      <c r="W18" s="376">
        <f t="shared" si="22"/>
        <v>0</v>
      </c>
      <c r="X18" s="377">
        <f t="shared" si="23"/>
        <v>0</v>
      </c>
      <c r="Y18" s="378">
        <f t="shared" si="24"/>
        <v>0</v>
      </c>
      <c r="Z18" s="379">
        <f t="shared" si="25"/>
        <v>0</v>
      </c>
      <c r="AA18" s="380">
        <f t="shared" si="26"/>
        <v>0.15</v>
      </c>
      <c r="AB18" s="225"/>
      <c r="AC18" s="231"/>
      <c r="AD18" s="231"/>
      <c r="AE18" s="231"/>
      <c r="AF18" s="231"/>
      <c r="AG18" s="231"/>
      <c r="AH18" s="231"/>
      <c r="AI18" s="225"/>
      <c r="AJ18" s="225"/>
      <c r="AK18" s="225"/>
      <c r="AL18" s="225"/>
      <c r="AM18" s="225"/>
      <c r="AN18" s="225"/>
    </row>
    <row r="19" spans="1:40" s="228" customFormat="1" ht="16.25" customHeight="1" thickBot="1">
      <c r="A19" s="397"/>
      <c r="B19" s="403"/>
      <c r="C19" s="641"/>
      <c r="D19" s="959"/>
      <c r="E19" s="642"/>
      <c r="F19" s="642"/>
      <c r="G19" s="642"/>
      <c r="H19" s="642"/>
      <c r="I19" s="642"/>
      <c r="J19" s="642"/>
      <c r="K19" s="642"/>
      <c r="L19" s="1003">
        <f t="shared" si="32"/>
        <v>0.38614327349639754</v>
      </c>
      <c r="M19" s="643">
        <v>1</v>
      </c>
      <c r="N19" s="644">
        <f>SUM(N13:N18)</f>
        <v>4.5865495718619823E-2</v>
      </c>
      <c r="O19" s="642"/>
      <c r="P19" s="642"/>
      <c r="Q19" s="642"/>
      <c r="R19" s="645">
        <f>SUM(R13:R18)</f>
        <v>2300</v>
      </c>
      <c r="S19" s="229">
        <f t="shared" si="18"/>
        <v>0</v>
      </c>
      <c r="T19" s="230">
        <f t="shared" si="19"/>
        <v>0</v>
      </c>
      <c r="U19" s="374">
        <f t="shared" si="20"/>
        <v>0</v>
      </c>
      <c r="V19" s="375">
        <f t="shared" si="21"/>
        <v>0</v>
      </c>
      <c r="W19" s="376">
        <f t="shared" si="22"/>
        <v>0</v>
      </c>
      <c r="X19" s="377">
        <f t="shared" si="23"/>
        <v>0</v>
      </c>
      <c r="Y19" s="378">
        <f t="shared" si="24"/>
        <v>0</v>
      </c>
      <c r="Z19" s="379">
        <f t="shared" si="25"/>
        <v>0</v>
      </c>
      <c r="AA19" s="380">
        <f t="shared" si="26"/>
        <v>0</v>
      </c>
      <c r="AB19" s="225"/>
      <c r="AC19" s="231"/>
      <c r="AD19" s="231"/>
      <c r="AE19" s="231"/>
      <c r="AF19" s="231"/>
      <c r="AG19" s="231"/>
      <c r="AH19" s="231"/>
      <c r="AI19" s="225"/>
      <c r="AJ19" s="225"/>
      <c r="AK19" s="225"/>
      <c r="AL19" s="225"/>
      <c r="AM19" s="225"/>
      <c r="AN19" s="225"/>
    </row>
    <row r="20" spans="1:40" ht="15" customHeight="1">
      <c r="A20" s="397" t="s">
        <v>215</v>
      </c>
      <c r="B20" s="403"/>
      <c r="C20" s="274">
        <f t="shared" ref="C20:C71" si="34">IF(D20=1,U$5,IF(D20=2,V$5,IF(D20=3,W$5,IF(D20=4,X$5,IF(D20=5,Y$5,IF(D20=6,Z$5,IF(D20=7,AA$5,0)))))))</f>
        <v>2.2880964381720439E-4</v>
      </c>
      <c r="D20" s="547">
        <v>1</v>
      </c>
      <c r="E20" s="275">
        <v>1</v>
      </c>
      <c r="F20" s="275">
        <v>2</v>
      </c>
      <c r="G20" s="275">
        <v>300</v>
      </c>
      <c r="H20" s="276"/>
      <c r="I20" s="276">
        <v>1.1574074074074073E-4</v>
      </c>
      <c r="J20" s="276">
        <v>1.3888888888888889E-3</v>
      </c>
      <c r="K20" s="312" t="s">
        <v>762</v>
      </c>
      <c r="L20" s="1008">
        <v>0.79166666666666663</v>
      </c>
      <c r="M20" s="451">
        <v>0.9</v>
      </c>
      <c r="N20" s="276">
        <f>P20*E20*F20+I20*E20*F20+J20*E20</f>
        <v>6.5626586768219863E-3</v>
      </c>
      <c r="O20" s="296">
        <f t="shared" ref="O20:O25" si="35">C20*(G20/25)</f>
        <v>2.7457157258064528E-3</v>
      </c>
      <c r="P20" s="296">
        <f t="shared" ref="P20:P25" si="36">O20*M20</f>
        <v>2.4711441532258077E-3</v>
      </c>
      <c r="Q20" s="548">
        <v>129</v>
      </c>
      <c r="R20" s="275">
        <f t="shared" ref="R20:R23" si="37">E20*F20*G20</f>
        <v>600</v>
      </c>
      <c r="S20" s="229">
        <f t="shared" si="18"/>
        <v>0.6</v>
      </c>
      <c r="T20" s="230">
        <f t="shared" si="19"/>
        <v>2.1965725806451623E-2</v>
      </c>
      <c r="U20" s="374">
        <f t="shared" si="20"/>
        <v>0.6</v>
      </c>
      <c r="V20" s="375">
        <f t="shared" si="21"/>
        <v>0</v>
      </c>
      <c r="W20" s="376">
        <f t="shared" si="22"/>
        <v>0</v>
      </c>
      <c r="X20" s="377">
        <f t="shared" si="23"/>
        <v>0</v>
      </c>
      <c r="Y20" s="378">
        <f t="shared" si="24"/>
        <v>0</v>
      </c>
      <c r="Z20" s="379">
        <f t="shared" si="25"/>
        <v>0</v>
      </c>
      <c r="AA20" s="380">
        <f t="shared" si="26"/>
        <v>0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</row>
    <row r="21" spans="1:40" ht="15" customHeight="1">
      <c r="A21" s="397" t="s">
        <v>138</v>
      </c>
      <c r="B21" s="403" t="s">
        <v>461</v>
      </c>
      <c r="C21" s="274">
        <f t="shared" si="34"/>
        <v>2.1908757716049393E-4</v>
      </c>
      <c r="D21" s="890">
        <v>2</v>
      </c>
      <c r="E21" s="300">
        <v>1</v>
      </c>
      <c r="F21" s="300">
        <v>2</v>
      </c>
      <c r="G21" s="300">
        <v>400</v>
      </c>
      <c r="H21" s="301">
        <v>5.5555555555555558E-3</v>
      </c>
      <c r="I21" s="301"/>
      <c r="J21" s="301">
        <v>1.3888888888888889E-3</v>
      </c>
      <c r="K21" s="314" t="s">
        <v>703</v>
      </c>
      <c r="L21" s="994">
        <f t="shared" ref="L21:L23" si="38">L20+N20</f>
        <v>0.79822932534348867</v>
      </c>
      <c r="M21" s="455">
        <v>1</v>
      </c>
      <c r="N21" s="301">
        <f>H21*F21*E21</f>
        <v>1.1111111111111112E-2</v>
      </c>
      <c r="O21" s="302">
        <f t="shared" si="35"/>
        <v>3.5054012345679029E-3</v>
      </c>
      <c r="P21" s="302">
        <f t="shared" si="36"/>
        <v>3.5054012345679029E-3</v>
      </c>
      <c r="Q21" s="550">
        <v>146</v>
      </c>
      <c r="R21" s="369">
        <f t="shared" si="37"/>
        <v>800</v>
      </c>
      <c r="S21" s="229">
        <f t="shared" si="18"/>
        <v>0.8</v>
      </c>
      <c r="T21" s="230">
        <f t="shared" si="19"/>
        <v>2.8043209876543223E-2</v>
      </c>
      <c r="U21" s="374">
        <f t="shared" si="20"/>
        <v>0</v>
      </c>
      <c r="V21" s="375">
        <f t="shared" si="21"/>
        <v>0.8</v>
      </c>
      <c r="W21" s="376">
        <f t="shared" si="22"/>
        <v>0</v>
      </c>
      <c r="X21" s="377">
        <f t="shared" si="23"/>
        <v>0</v>
      </c>
      <c r="Y21" s="378">
        <f t="shared" si="24"/>
        <v>0</v>
      </c>
      <c r="Z21" s="379">
        <f t="shared" si="25"/>
        <v>0</v>
      </c>
      <c r="AA21" s="380">
        <f t="shared" si="26"/>
        <v>0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</row>
    <row r="22" spans="1:40" ht="14" customHeight="1">
      <c r="A22" s="397" t="s">
        <v>462</v>
      </c>
      <c r="B22" s="403" t="s">
        <v>461</v>
      </c>
      <c r="C22" s="274">
        <f t="shared" si="34"/>
        <v>2.1222190799396687E-4</v>
      </c>
      <c r="D22" s="891">
        <v>3</v>
      </c>
      <c r="E22" s="280">
        <v>1</v>
      </c>
      <c r="F22" s="280">
        <v>16</v>
      </c>
      <c r="G22" s="280">
        <v>25</v>
      </c>
      <c r="H22" s="281"/>
      <c r="I22" s="281">
        <v>8.1018518518518516E-5</v>
      </c>
      <c r="J22" s="281">
        <v>1.3888888888888889E-3</v>
      </c>
      <c r="K22" s="1073" t="s">
        <v>1867</v>
      </c>
      <c r="L22" s="995">
        <f t="shared" si="38"/>
        <v>0.80934043645459974</v>
      </c>
      <c r="M22" s="453">
        <v>1</v>
      </c>
      <c r="N22" s="281">
        <f>P22*E22*F22+I22*E22*F22+J22*E22</f>
        <v>6.0807357130886553E-3</v>
      </c>
      <c r="O22" s="298">
        <f t="shared" si="35"/>
        <v>2.1222190799396687E-4</v>
      </c>
      <c r="P22" s="298">
        <f t="shared" si="36"/>
        <v>2.1222190799396687E-4</v>
      </c>
      <c r="Q22" s="333">
        <v>164</v>
      </c>
      <c r="R22" s="280">
        <f t="shared" si="37"/>
        <v>400</v>
      </c>
      <c r="S22" s="229">
        <f t="shared" si="18"/>
        <v>0.4</v>
      </c>
      <c r="T22" s="230">
        <f t="shared" si="19"/>
        <v>1.3582202111613879E-2</v>
      </c>
      <c r="U22" s="374">
        <f t="shared" si="20"/>
        <v>0</v>
      </c>
      <c r="V22" s="375">
        <f t="shared" si="21"/>
        <v>0</v>
      </c>
      <c r="W22" s="376">
        <f t="shared" si="22"/>
        <v>0.4</v>
      </c>
      <c r="X22" s="377">
        <f t="shared" si="23"/>
        <v>0</v>
      </c>
      <c r="Y22" s="378">
        <f t="shared" si="24"/>
        <v>0</v>
      </c>
      <c r="Z22" s="379">
        <f t="shared" si="25"/>
        <v>0</v>
      </c>
      <c r="AA22" s="380">
        <f t="shared" si="26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</row>
    <row r="23" spans="1:40" ht="17" customHeight="1">
      <c r="A23" s="397" t="s">
        <v>461</v>
      </c>
      <c r="B23" s="403" t="s">
        <v>461</v>
      </c>
      <c r="C23" s="274">
        <f t="shared" si="34"/>
        <v>1.8933937422552669E-4</v>
      </c>
      <c r="D23" s="894">
        <v>5</v>
      </c>
      <c r="E23" s="308">
        <v>5</v>
      </c>
      <c r="F23" s="308">
        <v>1</v>
      </c>
      <c r="G23" s="309">
        <v>100</v>
      </c>
      <c r="H23" s="306"/>
      <c r="I23" s="306">
        <v>5.7870370370370366E-5</v>
      </c>
      <c r="J23" s="306">
        <v>2.0833333333333333E-3</v>
      </c>
      <c r="K23" s="534" t="s">
        <v>1304</v>
      </c>
      <c r="L23" s="1005">
        <f t="shared" si="38"/>
        <v>0.81542117216768839</v>
      </c>
      <c r="M23" s="452">
        <v>1</v>
      </c>
      <c r="N23" s="306">
        <f>P23*E23*F23+I23*E23*F23+J23*E23</f>
        <v>1.4492806003029051E-2</v>
      </c>
      <c r="O23" s="305">
        <f t="shared" si="35"/>
        <v>7.5735749690210676E-4</v>
      </c>
      <c r="P23" s="585">
        <f t="shared" si="36"/>
        <v>7.5735749690210676E-4</v>
      </c>
      <c r="Q23" s="786" t="s">
        <v>278</v>
      </c>
      <c r="R23" s="290">
        <f t="shared" si="37"/>
        <v>500</v>
      </c>
      <c r="S23" s="229">
        <f t="shared" si="18"/>
        <v>0.5</v>
      </c>
      <c r="T23" s="230">
        <f t="shared" si="19"/>
        <v>1.5147149938042136E-2</v>
      </c>
      <c r="U23" s="374">
        <f t="shared" si="20"/>
        <v>0</v>
      </c>
      <c r="V23" s="375">
        <f t="shared" si="21"/>
        <v>0</v>
      </c>
      <c r="W23" s="376">
        <f t="shared" si="22"/>
        <v>0</v>
      </c>
      <c r="X23" s="377">
        <f t="shared" si="23"/>
        <v>0</v>
      </c>
      <c r="Y23" s="378">
        <f t="shared" si="24"/>
        <v>0.5</v>
      </c>
      <c r="Z23" s="379">
        <f t="shared" si="25"/>
        <v>0</v>
      </c>
      <c r="AA23" s="380">
        <f t="shared" si="26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</row>
    <row r="24" spans="1:40" ht="14" customHeight="1">
      <c r="A24" s="397" t="s">
        <v>458</v>
      </c>
      <c r="B24" s="403" t="s">
        <v>461</v>
      </c>
      <c r="C24" s="274">
        <f t="shared" si="34"/>
        <v>1.8933937422552669E-4</v>
      </c>
      <c r="D24" s="890">
        <v>5</v>
      </c>
      <c r="E24" s="4099">
        <v>1</v>
      </c>
      <c r="F24" s="4099">
        <v>8</v>
      </c>
      <c r="G24" s="4099">
        <v>12</v>
      </c>
      <c r="H24" s="4099"/>
      <c r="I24" s="4100">
        <v>3.4722222222222224E-4</v>
      </c>
      <c r="J24" s="4100">
        <v>1.1574074074074073E-4</v>
      </c>
      <c r="K24" s="4101" t="s">
        <v>2195</v>
      </c>
      <c r="L24" s="4104">
        <f t="shared" ref="L24:L26" si="39">L23+N23</f>
        <v>0.82991397817071744</v>
      </c>
      <c r="M24" s="4099">
        <v>1</v>
      </c>
      <c r="N24" s="4100">
        <f t="shared" ref="N24:N25" si="40">P24*E24*F24+I24*E24*F24+J24*E24</f>
        <v>3.6205817155445415E-3</v>
      </c>
      <c r="O24" s="4102">
        <f t="shared" si="35"/>
        <v>9.0882899628252808E-5</v>
      </c>
      <c r="P24" s="4102">
        <f t="shared" si="36"/>
        <v>9.0882899628252808E-5</v>
      </c>
      <c r="Q24" s="4103" t="s">
        <v>278</v>
      </c>
      <c r="R24" s="4099">
        <f>F24*G24</f>
        <v>96</v>
      </c>
      <c r="S24" s="229">
        <f t="shared" si="18"/>
        <v>9.6000000000000002E-2</v>
      </c>
      <c r="T24" s="230">
        <f t="shared" si="19"/>
        <v>2.9082527881040899E-3</v>
      </c>
      <c r="U24" s="374">
        <f t="shared" si="20"/>
        <v>0</v>
      </c>
      <c r="V24" s="375">
        <f t="shared" si="21"/>
        <v>0</v>
      </c>
      <c r="W24" s="376">
        <f t="shared" si="22"/>
        <v>0</v>
      </c>
      <c r="X24" s="377">
        <f t="shared" si="23"/>
        <v>0</v>
      </c>
      <c r="Y24" s="378">
        <f t="shared" si="24"/>
        <v>9.6000000000000002E-2</v>
      </c>
      <c r="Z24" s="379">
        <f t="shared" si="25"/>
        <v>0</v>
      </c>
      <c r="AA24" s="380">
        <f t="shared" si="26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</row>
    <row r="25" spans="1:40" ht="15" customHeight="1">
      <c r="A25" s="397" t="s">
        <v>219</v>
      </c>
      <c r="B25" s="403" t="s">
        <v>461</v>
      </c>
      <c r="C25" s="274">
        <f t="shared" si="34"/>
        <v>1.7682291666666674E-4</v>
      </c>
      <c r="D25" s="293">
        <v>7</v>
      </c>
      <c r="E25" s="444">
        <v>1</v>
      </c>
      <c r="F25" s="444">
        <v>12</v>
      </c>
      <c r="G25" s="444">
        <v>12.5</v>
      </c>
      <c r="H25" s="434"/>
      <c r="I25" s="434">
        <v>4.6296296296296293E-4</v>
      </c>
      <c r="J25" s="434">
        <v>6.9444444444444447E-4</v>
      </c>
      <c r="K25" s="1038" t="s">
        <v>1868</v>
      </c>
      <c r="L25" s="1007">
        <f t="shared" si="39"/>
        <v>0.83353455988626202</v>
      </c>
      <c r="M25" s="519">
        <v>1</v>
      </c>
      <c r="N25" s="434">
        <f t="shared" si="40"/>
        <v>7.3109374999999997E-3</v>
      </c>
      <c r="O25" s="436">
        <f t="shared" si="35"/>
        <v>8.8411458333333368E-5</v>
      </c>
      <c r="P25" s="439">
        <f t="shared" si="36"/>
        <v>8.8411458333333368E-5</v>
      </c>
      <c r="Q25" s="446">
        <v>129</v>
      </c>
      <c r="R25" s="435">
        <f>F25*G25</f>
        <v>150</v>
      </c>
      <c r="S25" s="229">
        <f t="shared" si="18"/>
        <v>0.15</v>
      </c>
      <c r="T25" s="230">
        <f t="shared" si="19"/>
        <v>4.2437500000000019E-3</v>
      </c>
      <c r="U25" s="374">
        <f t="shared" si="20"/>
        <v>0</v>
      </c>
      <c r="V25" s="375">
        <f t="shared" si="21"/>
        <v>0</v>
      </c>
      <c r="W25" s="376">
        <f t="shared" si="22"/>
        <v>0</v>
      </c>
      <c r="X25" s="377">
        <f t="shared" si="23"/>
        <v>0</v>
      </c>
      <c r="Y25" s="378">
        <f t="shared" si="24"/>
        <v>0</v>
      </c>
      <c r="Z25" s="379">
        <f t="shared" si="25"/>
        <v>0</v>
      </c>
      <c r="AA25" s="380">
        <f t="shared" si="26"/>
        <v>0.15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</row>
    <row r="26" spans="1:40" ht="15" customHeight="1" thickBot="1">
      <c r="A26" s="397"/>
      <c r="B26" s="403"/>
      <c r="C26" s="641"/>
      <c r="D26" s="959"/>
      <c r="E26" s="642"/>
      <c r="F26" s="642"/>
      <c r="G26" s="642"/>
      <c r="H26" s="642"/>
      <c r="I26" s="642"/>
      <c r="J26" s="642"/>
      <c r="K26" s="642"/>
      <c r="L26" s="1003">
        <f t="shared" si="39"/>
        <v>0.84084549738626202</v>
      </c>
      <c r="M26" s="643">
        <v>1</v>
      </c>
      <c r="N26" s="644"/>
      <c r="O26" s="642"/>
      <c r="P26" s="642"/>
      <c r="Q26" s="642"/>
      <c r="R26" s="645">
        <f>SUM(R20:R25)</f>
        <v>2546</v>
      </c>
      <c r="S26" s="229">
        <f t="shared" si="18"/>
        <v>0</v>
      </c>
      <c r="T26" s="230">
        <f t="shared" si="19"/>
        <v>0</v>
      </c>
      <c r="U26" s="374">
        <f t="shared" si="20"/>
        <v>0</v>
      </c>
      <c r="V26" s="375">
        <f t="shared" si="21"/>
        <v>0</v>
      </c>
      <c r="W26" s="376">
        <f t="shared" si="22"/>
        <v>0</v>
      </c>
      <c r="X26" s="377">
        <f t="shared" si="23"/>
        <v>0</v>
      </c>
      <c r="Y26" s="378">
        <f t="shared" si="24"/>
        <v>0</v>
      </c>
      <c r="Z26" s="379">
        <f t="shared" si="25"/>
        <v>0</v>
      </c>
      <c r="AA26" s="380">
        <f t="shared" si="26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</row>
    <row r="27" spans="1:40" ht="15" customHeight="1" thickBot="1">
      <c r="A27" s="398" t="s">
        <v>215</v>
      </c>
      <c r="B27" s="402" t="s">
        <v>461</v>
      </c>
      <c r="C27" s="274">
        <f t="shared" ref="C27:C36" si="41">IF(D27=1,U$5,IF(D27=2,V$5,IF(D27=3,W$5,IF(D27=4,X$5,IF(D27=5,Y$5,IF(D27=6,Z$5,IF(D27=7,AA$5,0)))))))</f>
        <v>2.2880964381720439E-4</v>
      </c>
      <c r="D27" s="547">
        <v>1</v>
      </c>
      <c r="E27" s="275">
        <v>1</v>
      </c>
      <c r="F27" s="275">
        <v>1</v>
      </c>
      <c r="G27" s="275">
        <v>200</v>
      </c>
      <c r="H27" s="276"/>
      <c r="I27" s="276">
        <v>0</v>
      </c>
      <c r="J27" s="276">
        <v>1.1574074074074073E-4</v>
      </c>
      <c r="K27" s="312" t="s">
        <v>300</v>
      </c>
      <c r="L27" s="1008">
        <v>0.2986111111111111</v>
      </c>
      <c r="M27" s="451">
        <v>1</v>
      </c>
      <c r="N27" s="276">
        <f t="shared" ref="N27:N35" si="42">P27*E27*F27+I27*E27*F27+J27*E27</f>
        <v>1.9462178912783758E-3</v>
      </c>
      <c r="O27" s="276">
        <f t="shared" ref="O27:O35" si="43">C27*(G27/25)</f>
        <v>1.8304771505376352E-3</v>
      </c>
      <c r="P27" s="296">
        <f t="shared" ref="P27:P35" si="44">O27*M27</f>
        <v>1.8304771505376352E-3</v>
      </c>
      <c r="Q27" s="548">
        <v>129</v>
      </c>
      <c r="R27" s="275">
        <f t="shared" ref="R27:R35" si="45">E27*F27*G27</f>
        <v>200</v>
      </c>
      <c r="S27" s="229">
        <f t="shared" si="18"/>
        <v>0.2</v>
      </c>
      <c r="T27" s="230">
        <f t="shared" si="19"/>
        <v>7.3219086021505406E-3</v>
      </c>
      <c r="U27" s="374">
        <f t="shared" si="20"/>
        <v>0.2</v>
      </c>
      <c r="V27" s="375">
        <f t="shared" si="21"/>
        <v>0</v>
      </c>
      <c r="W27" s="376">
        <f t="shared" si="22"/>
        <v>0</v>
      </c>
      <c r="X27" s="377">
        <f t="shared" si="23"/>
        <v>0</v>
      </c>
      <c r="Y27" s="378">
        <f t="shared" si="24"/>
        <v>0</v>
      </c>
      <c r="Z27" s="379">
        <f t="shared" si="25"/>
        <v>0</v>
      </c>
      <c r="AA27" s="380">
        <f t="shared" si="26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40" ht="15" customHeight="1" thickBot="1">
      <c r="A28" s="398" t="s">
        <v>139</v>
      </c>
      <c r="B28" s="402" t="s">
        <v>461</v>
      </c>
      <c r="C28" s="274">
        <f t="shared" si="41"/>
        <v>2.1908757716049393E-4</v>
      </c>
      <c r="D28" s="890">
        <v>2</v>
      </c>
      <c r="E28" s="300">
        <v>1</v>
      </c>
      <c r="F28" s="300">
        <v>1</v>
      </c>
      <c r="G28" s="300">
        <v>200</v>
      </c>
      <c r="H28" s="301"/>
      <c r="I28" s="301">
        <v>2.8935185185185189E-4</v>
      </c>
      <c r="J28" s="301">
        <v>1.3888888888888889E-3</v>
      </c>
      <c r="K28" s="1123" t="s">
        <v>1869</v>
      </c>
      <c r="L28" s="994">
        <f t="shared" ref="L28:L35" si="46">L27+N27</f>
        <v>0.30055732900238946</v>
      </c>
      <c r="M28" s="455">
        <v>1</v>
      </c>
      <c r="N28" s="301">
        <f t="shared" si="42"/>
        <v>3.4309413580246922E-3</v>
      </c>
      <c r="O28" s="301">
        <f t="shared" si="43"/>
        <v>1.7527006172839514E-3</v>
      </c>
      <c r="P28" s="302">
        <f t="shared" si="44"/>
        <v>1.7527006172839514E-3</v>
      </c>
      <c r="Q28" s="550">
        <v>129</v>
      </c>
      <c r="R28" s="369">
        <f t="shared" si="45"/>
        <v>200</v>
      </c>
      <c r="S28" s="229">
        <f t="shared" si="18"/>
        <v>0.2</v>
      </c>
      <c r="T28" s="230">
        <f t="shared" si="19"/>
        <v>7.0108024691358057E-3</v>
      </c>
      <c r="U28" s="374">
        <f t="shared" si="20"/>
        <v>0</v>
      </c>
      <c r="V28" s="375">
        <f t="shared" si="21"/>
        <v>0.2</v>
      </c>
      <c r="W28" s="376">
        <f t="shared" si="22"/>
        <v>0</v>
      </c>
      <c r="X28" s="377">
        <f t="shared" si="23"/>
        <v>0</v>
      </c>
      <c r="Y28" s="378">
        <f t="shared" si="24"/>
        <v>0</v>
      </c>
      <c r="Z28" s="379">
        <f t="shared" si="25"/>
        <v>0</v>
      </c>
      <c r="AA28" s="380">
        <f t="shared" si="26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40" ht="15" customHeight="1" thickBot="1">
      <c r="A29" s="398" t="s">
        <v>140</v>
      </c>
      <c r="B29" s="402" t="s">
        <v>461</v>
      </c>
      <c r="C29" s="274">
        <f t="shared" si="41"/>
        <v>2.1222190799396687E-4</v>
      </c>
      <c r="D29" s="890">
        <v>3</v>
      </c>
      <c r="E29" s="280">
        <v>1</v>
      </c>
      <c r="F29" s="280">
        <v>1</v>
      </c>
      <c r="G29" s="280">
        <v>200</v>
      </c>
      <c r="H29" s="281"/>
      <c r="I29" s="281">
        <v>2.3148148148148146E-4</v>
      </c>
      <c r="J29" s="281">
        <v>1.3888888888888889E-3</v>
      </c>
      <c r="K29" s="315" t="s">
        <v>257</v>
      </c>
      <c r="L29" s="995">
        <f t="shared" si="46"/>
        <v>0.30398827036041415</v>
      </c>
      <c r="M29" s="453">
        <v>1</v>
      </c>
      <c r="N29" s="281">
        <f t="shared" si="42"/>
        <v>3.318145634322105E-3</v>
      </c>
      <c r="O29" s="281">
        <f t="shared" si="43"/>
        <v>1.6977752639517349E-3</v>
      </c>
      <c r="P29" s="298">
        <f t="shared" si="44"/>
        <v>1.6977752639517349E-3</v>
      </c>
      <c r="Q29" s="333">
        <v>129</v>
      </c>
      <c r="R29" s="280">
        <f t="shared" si="45"/>
        <v>200</v>
      </c>
      <c r="S29" s="229">
        <f t="shared" si="18"/>
        <v>0.2</v>
      </c>
      <c r="T29" s="230">
        <f t="shared" si="19"/>
        <v>6.7911010558069397E-3</v>
      </c>
      <c r="U29" s="374">
        <f t="shared" si="20"/>
        <v>0</v>
      </c>
      <c r="V29" s="375">
        <f t="shared" si="21"/>
        <v>0</v>
      </c>
      <c r="W29" s="376">
        <f t="shared" si="22"/>
        <v>0.2</v>
      </c>
      <c r="X29" s="377">
        <f t="shared" si="23"/>
        <v>0</v>
      </c>
      <c r="Y29" s="378">
        <f t="shared" si="24"/>
        <v>0</v>
      </c>
      <c r="Z29" s="379">
        <f t="shared" si="25"/>
        <v>0</v>
      </c>
      <c r="AA29" s="380">
        <f t="shared" si="26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</row>
    <row r="30" spans="1:40" ht="15" customHeight="1" thickBot="1">
      <c r="A30" s="398"/>
      <c r="B30" s="402" t="s">
        <v>461</v>
      </c>
      <c r="C30" s="274">
        <f t="shared" si="41"/>
        <v>1.8933937422552669E-4</v>
      </c>
      <c r="D30" s="890">
        <v>5</v>
      </c>
      <c r="E30" s="307">
        <v>4</v>
      </c>
      <c r="F30" s="307">
        <v>1</v>
      </c>
      <c r="G30" s="307">
        <v>225</v>
      </c>
      <c r="H30" s="306"/>
      <c r="I30" s="306">
        <v>5.7870370370370366E-5</v>
      </c>
      <c r="J30" s="306">
        <v>2.0833333333333333E-3</v>
      </c>
      <c r="K30" s="534" t="s">
        <v>1870</v>
      </c>
      <c r="L30" s="1005">
        <f t="shared" si="46"/>
        <v>0.30730641599473624</v>
      </c>
      <c r="M30" s="452">
        <v>1</v>
      </c>
      <c r="N30" s="306">
        <f t="shared" si="42"/>
        <v>1.5381032286933775E-2</v>
      </c>
      <c r="O30" s="306">
        <f t="shared" si="43"/>
        <v>1.7040543680297401E-3</v>
      </c>
      <c r="P30" s="305">
        <f t="shared" si="44"/>
        <v>1.7040543680297401E-3</v>
      </c>
      <c r="Q30" s="290">
        <v>129</v>
      </c>
      <c r="R30" s="290">
        <f t="shared" si="45"/>
        <v>900</v>
      </c>
      <c r="S30" s="229">
        <f t="shared" si="18"/>
        <v>0.9</v>
      </c>
      <c r="T30" s="230">
        <f t="shared" si="19"/>
        <v>2.7264869888475842E-2</v>
      </c>
      <c r="U30" s="374">
        <f t="shared" si="20"/>
        <v>0</v>
      </c>
      <c r="V30" s="375">
        <f t="shared" si="21"/>
        <v>0</v>
      </c>
      <c r="W30" s="376">
        <f t="shared" si="22"/>
        <v>0</v>
      </c>
      <c r="X30" s="377">
        <f t="shared" si="23"/>
        <v>0</v>
      </c>
      <c r="Y30" s="378">
        <f t="shared" si="24"/>
        <v>0.9</v>
      </c>
      <c r="Z30" s="379">
        <f t="shared" si="25"/>
        <v>0</v>
      </c>
      <c r="AA30" s="380">
        <f t="shared" si="26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</row>
    <row r="31" spans="1:40" ht="15" customHeight="1" thickBot="1">
      <c r="A31" s="398"/>
      <c r="B31" s="402" t="s">
        <v>461</v>
      </c>
      <c r="C31" s="274">
        <f t="shared" si="41"/>
        <v>2.2880964381720439E-4</v>
      </c>
      <c r="D31" s="890">
        <v>1</v>
      </c>
      <c r="E31" s="275">
        <v>1</v>
      </c>
      <c r="F31" s="275">
        <v>4</v>
      </c>
      <c r="G31" s="275">
        <v>25</v>
      </c>
      <c r="H31" s="276"/>
      <c r="I31" s="276">
        <v>0</v>
      </c>
      <c r="J31" s="276">
        <v>1.1574074074074073E-4</v>
      </c>
      <c r="K31" s="312" t="s">
        <v>706</v>
      </c>
      <c r="L31" s="1008">
        <f t="shared" si="46"/>
        <v>0.32268744828167001</v>
      </c>
      <c r="M31" s="451">
        <v>1</v>
      </c>
      <c r="N31" s="276">
        <f t="shared" si="42"/>
        <v>1.0309793160095584E-3</v>
      </c>
      <c r="O31" s="276">
        <f t="shared" si="43"/>
        <v>2.2880964381720439E-4</v>
      </c>
      <c r="P31" s="296">
        <f t="shared" si="44"/>
        <v>2.2880964381720439E-4</v>
      </c>
      <c r="Q31" s="548">
        <v>129</v>
      </c>
      <c r="R31" s="275">
        <f t="shared" si="45"/>
        <v>100</v>
      </c>
      <c r="S31" s="229">
        <f t="shared" si="18"/>
        <v>0.1</v>
      </c>
      <c r="T31" s="230">
        <f t="shared" si="19"/>
        <v>3.6609543010752703E-3</v>
      </c>
      <c r="U31" s="374">
        <f t="shared" si="20"/>
        <v>0.1</v>
      </c>
      <c r="V31" s="375">
        <f t="shared" si="21"/>
        <v>0</v>
      </c>
      <c r="W31" s="376">
        <f t="shared" si="22"/>
        <v>0</v>
      </c>
      <c r="X31" s="377">
        <f t="shared" si="23"/>
        <v>0</v>
      </c>
      <c r="Y31" s="378">
        <f t="shared" si="24"/>
        <v>0</v>
      </c>
      <c r="Z31" s="379">
        <f t="shared" si="25"/>
        <v>0</v>
      </c>
      <c r="AA31" s="380">
        <f t="shared" si="26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</row>
    <row r="32" spans="1:40" ht="15" customHeight="1" thickBot="1">
      <c r="A32" s="398" t="s">
        <v>674</v>
      </c>
      <c r="B32" s="402" t="s">
        <v>461</v>
      </c>
      <c r="C32" s="274">
        <f t="shared" si="41"/>
        <v>1.8933937422552669E-4</v>
      </c>
      <c r="D32" s="891">
        <v>5</v>
      </c>
      <c r="E32" s="307">
        <v>2</v>
      </c>
      <c r="F32" s="307">
        <v>1</v>
      </c>
      <c r="G32" s="307">
        <v>150</v>
      </c>
      <c r="H32" s="306"/>
      <c r="I32" s="306">
        <v>5.7870370370370366E-5</v>
      </c>
      <c r="J32" s="306">
        <v>3.472222222222222E-3</v>
      </c>
      <c r="K32" s="534" t="s">
        <v>1871</v>
      </c>
      <c r="L32" s="1005">
        <f t="shared" si="46"/>
        <v>0.32371842759767955</v>
      </c>
      <c r="M32" s="452">
        <v>1</v>
      </c>
      <c r="N32" s="306">
        <f t="shared" si="42"/>
        <v>9.332257675891506E-3</v>
      </c>
      <c r="O32" s="306">
        <f t="shared" si="43"/>
        <v>1.1360362453531601E-3</v>
      </c>
      <c r="P32" s="305">
        <f t="shared" si="44"/>
        <v>1.1360362453531601E-3</v>
      </c>
      <c r="Q32" s="290">
        <v>129</v>
      </c>
      <c r="R32" s="290">
        <f t="shared" si="45"/>
        <v>300</v>
      </c>
      <c r="S32" s="229">
        <f t="shared" si="18"/>
        <v>0.3</v>
      </c>
      <c r="T32" s="230">
        <f t="shared" si="19"/>
        <v>9.0882899628252807E-3</v>
      </c>
      <c r="U32" s="374">
        <f t="shared" si="20"/>
        <v>0</v>
      </c>
      <c r="V32" s="375">
        <f t="shared" si="21"/>
        <v>0</v>
      </c>
      <c r="W32" s="376">
        <f t="shared" si="22"/>
        <v>0</v>
      </c>
      <c r="X32" s="377">
        <f t="shared" si="23"/>
        <v>0</v>
      </c>
      <c r="Y32" s="378">
        <f t="shared" si="24"/>
        <v>0.3</v>
      </c>
      <c r="Z32" s="379">
        <f t="shared" si="25"/>
        <v>0</v>
      </c>
      <c r="AA32" s="380">
        <f t="shared" si="26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</row>
    <row r="33" spans="1:40" ht="15" customHeight="1" thickBot="1">
      <c r="A33" s="398" t="s">
        <v>214</v>
      </c>
      <c r="B33" s="402" t="s">
        <v>461</v>
      </c>
      <c r="C33" s="274">
        <f t="shared" si="41"/>
        <v>1.7682291666666674E-4</v>
      </c>
      <c r="D33" s="891">
        <v>7</v>
      </c>
      <c r="E33" s="441">
        <v>2</v>
      </c>
      <c r="F33" s="441">
        <v>4</v>
      </c>
      <c r="G33" s="441">
        <v>25</v>
      </c>
      <c r="H33" s="436"/>
      <c r="I33" s="436">
        <v>4.6296296296296293E-4</v>
      </c>
      <c r="J33" s="436">
        <v>1.3888888888888889E-3</v>
      </c>
      <c r="K33" s="442" t="s">
        <v>1872</v>
      </c>
      <c r="L33" s="1007">
        <f t="shared" si="46"/>
        <v>0.33305068527357107</v>
      </c>
      <c r="M33" s="517">
        <v>1</v>
      </c>
      <c r="N33" s="436">
        <f t="shared" si="42"/>
        <v>7.8960648148148158E-3</v>
      </c>
      <c r="O33" s="436">
        <f t="shared" si="43"/>
        <v>1.7682291666666674E-4</v>
      </c>
      <c r="P33" s="439">
        <f t="shared" si="44"/>
        <v>1.7682291666666674E-4</v>
      </c>
      <c r="Q33" s="443">
        <v>129</v>
      </c>
      <c r="R33" s="435">
        <f t="shared" si="45"/>
        <v>200</v>
      </c>
      <c r="S33" s="229">
        <f t="shared" si="18"/>
        <v>0.2</v>
      </c>
      <c r="T33" s="230">
        <f t="shared" si="19"/>
        <v>5.6583333333333355E-3</v>
      </c>
      <c r="U33" s="374">
        <f t="shared" si="20"/>
        <v>0</v>
      </c>
      <c r="V33" s="375">
        <f t="shared" si="21"/>
        <v>0</v>
      </c>
      <c r="W33" s="376">
        <f t="shared" si="22"/>
        <v>0</v>
      </c>
      <c r="X33" s="377">
        <f t="shared" si="23"/>
        <v>0</v>
      </c>
      <c r="Y33" s="378">
        <f t="shared" si="24"/>
        <v>0</v>
      </c>
      <c r="Z33" s="379">
        <f t="shared" si="25"/>
        <v>0</v>
      </c>
      <c r="AA33" s="380">
        <f t="shared" si="26"/>
        <v>0.2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</row>
    <row r="34" spans="1:40" ht="15" customHeight="1" thickBot="1">
      <c r="A34" s="398" t="s">
        <v>458</v>
      </c>
      <c r="B34" s="402" t="s">
        <v>461</v>
      </c>
      <c r="C34" s="274">
        <f t="shared" si="41"/>
        <v>1.7682291666666674E-4</v>
      </c>
      <c r="D34" s="890">
        <v>7</v>
      </c>
      <c r="E34" s="444">
        <v>1</v>
      </c>
      <c r="F34" s="444">
        <v>6</v>
      </c>
      <c r="G34" s="444">
        <v>20</v>
      </c>
      <c r="H34" s="434"/>
      <c r="I34" s="434">
        <v>4.6296296296296293E-4</v>
      </c>
      <c r="J34" s="434">
        <v>2.0833333333333333E-3</v>
      </c>
      <c r="K34" s="5999" t="s">
        <v>258</v>
      </c>
      <c r="L34" s="1007">
        <f t="shared" si="46"/>
        <v>0.34094675008838587</v>
      </c>
      <c r="M34" s="519">
        <v>1</v>
      </c>
      <c r="N34" s="436">
        <f t="shared" si="42"/>
        <v>5.7098611111111117E-3</v>
      </c>
      <c r="O34" s="436">
        <f t="shared" si="43"/>
        <v>1.4145833333333339E-4</v>
      </c>
      <c r="P34" s="439">
        <f t="shared" si="44"/>
        <v>1.4145833333333339E-4</v>
      </c>
      <c r="Q34" s="446">
        <v>129</v>
      </c>
      <c r="R34" s="435">
        <f t="shared" si="45"/>
        <v>120</v>
      </c>
      <c r="S34" s="229">
        <f t="shared" si="18"/>
        <v>0.12</v>
      </c>
      <c r="T34" s="230">
        <f t="shared" si="19"/>
        <v>3.3950000000000013E-3</v>
      </c>
      <c r="U34" s="374">
        <f t="shared" si="20"/>
        <v>0</v>
      </c>
      <c r="V34" s="375">
        <f t="shared" si="21"/>
        <v>0</v>
      </c>
      <c r="W34" s="376">
        <f t="shared" si="22"/>
        <v>0</v>
      </c>
      <c r="X34" s="377">
        <f t="shared" si="23"/>
        <v>0</v>
      </c>
      <c r="Y34" s="378">
        <f t="shared" si="24"/>
        <v>0</v>
      </c>
      <c r="Z34" s="379">
        <f t="shared" si="25"/>
        <v>0</v>
      </c>
      <c r="AA34" s="380">
        <f t="shared" si="26"/>
        <v>0.12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</row>
    <row r="35" spans="1:40" ht="15" customHeight="1">
      <c r="A35" s="398" t="s">
        <v>219</v>
      </c>
      <c r="B35" s="402" t="s">
        <v>461</v>
      </c>
      <c r="C35" s="274">
        <f t="shared" si="41"/>
        <v>2.2880964381720439E-4</v>
      </c>
      <c r="D35" s="891">
        <v>1</v>
      </c>
      <c r="E35" s="275">
        <v>1</v>
      </c>
      <c r="F35" s="275">
        <v>1</v>
      </c>
      <c r="G35" s="275">
        <v>100</v>
      </c>
      <c r="H35" s="276"/>
      <c r="I35" s="276">
        <v>0</v>
      </c>
      <c r="J35" s="276">
        <v>1.1574074074074073E-4</v>
      </c>
      <c r="K35" s="4643" t="s">
        <v>706</v>
      </c>
      <c r="L35" s="1003">
        <f t="shared" si="46"/>
        <v>0.34665661119949698</v>
      </c>
      <c r="M35" s="451">
        <v>1</v>
      </c>
      <c r="N35" s="276">
        <f t="shared" si="42"/>
        <v>1.0309793160095584E-3</v>
      </c>
      <c r="O35" s="276">
        <f t="shared" si="43"/>
        <v>9.1523857526881758E-4</v>
      </c>
      <c r="P35" s="296">
        <f t="shared" si="44"/>
        <v>9.1523857526881758E-4</v>
      </c>
      <c r="Q35" s="548">
        <v>129</v>
      </c>
      <c r="R35" s="275">
        <f t="shared" si="45"/>
        <v>100</v>
      </c>
      <c r="S35" s="229">
        <f t="shared" si="18"/>
        <v>0.1</v>
      </c>
      <c r="T35" s="230">
        <f t="shared" si="19"/>
        <v>3.6609543010752703E-3</v>
      </c>
      <c r="U35" s="374">
        <f t="shared" si="20"/>
        <v>0.1</v>
      </c>
      <c r="V35" s="375">
        <f t="shared" si="21"/>
        <v>0</v>
      </c>
      <c r="W35" s="376">
        <f t="shared" si="22"/>
        <v>0</v>
      </c>
      <c r="X35" s="377">
        <f t="shared" si="23"/>
        <v>0</v>
      </c>
      <c r="Y35" s="378">
        <f t="shared" si="24"/>
        <v>0</v>
      </c>
      <c r="Z35" s="379">
        <f t="shared" si="25"/>
        <v>0</v>
      </c>
      <c r="AA35" s="380">
        <f t="shared" si="26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</row>
    <row r="36" spans="1:40" ht="15" customHeight="1" thickBot="1">
      <c r="A36" s="397"/>
      <c r="B36" s="395"/>
      <c r="C36" s="274">
        <f t="shared" si="41"/>
        <v>0</v>
      </c>
      <c r="D36" s="899"/>
      <c r="E36" s="336"/>
      <c r="F36" s="336"/>
      <c r="G36" s="6001" t="s">
        <v>2196</v>
      </c>
      <c r="H36" s="6000"/>
      <c r="I36" s="6000"/>
      <c r="J36" s="6000"/>
      <c r="K36" s="6000"/>
      <c r="L36" s="1003"/>
      <c r="M36" s="448"/>
      <c r="N36" s="325">
        <f>SUM(N27:N35)</f>
        <v>4.9076479404395495E-2</v>
      </c>
      <c r="O36" s="336"/>
      <c r="P36" s="336"/>
      <c r="Q36" s="336"/>
      <c r="R36" s="363">
        <f>SUM(R27:R35)</f>
        <v>2320</v>
      </c>
      <c r="S36" s="229" t="e">
        <f t="shared" si="18"/>
        <v>#VALUE!</v>
      </c>
      <c r="T36" s="230">
        <f t="shared" si="19"/>
        <v>0</v>
      </c>
      <c r="U36" s="374">
        <f t="shared" si="20"/>
        <v>0</v>
      </c>
      <c r="V36" s="375">
        <f t="shared" si="21"/>
        <v>0</v>
      </c>
      <c r="W36" s="376">
        <f t="shared" si="22"/>
        <v>0</v>
      </c>
      <c r="X36" s="377">
        <f t="shared" si="23"/>
        <v>0</v>
      </c>
      <c r="Y36" s="378">
        <f t="shared" si="24"/>
        <v>0</v>
      </c>
      <c r="Z36" s="379">
        <f t="shared" si="25"/>
        <v>0</v>
      </c>
      <c r="AA36" s="380">
        <f t="shared" si="26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</row>
    <row r="37" spans="1:40" ht="15" customHeight="1" thickBot="1">
      <c r="A37" s="398" t="s">
        <v>215</v>
      </c>
      <c r="B37" s="402" t="s">
        <v>461</v>
      </c>
      <c r="C37" s="274">
        <f t="shared" si="34"/>
        <v>2.2880964381720439E-4</v>
      </c>
      <c r="D37" s="547">
        <v>1</v>
      </c>
      <c r="E37" s="275">
        <v>1</v>
      </c>
      <c r="F37" s="275">
        <v>1</v>
      </c>
      <c r="G37" s="275">
        <v>400</v>
      </c>
      <c r="H37" s="276"/>
      <c r="I37" s="276">
        <v>0</v>
      </c>
      <c r="J37" s="276">
        <v>1.1574074074074073E-4</v>
      </c>
      <c r="K37" s="312" t="s">
        <v>300</v>
      </c>
      <c r="L37" s="1008">
        <v>0.79166666666666663</v>
      </c>
      <c r="M37" s="451">
        <v>1</v>
      </c>
      <c r="N37" s="276">
        <f t="shared" ref="N37:N44" si="47">P37*E37*F37+I37*E37*F37+J37*E37</f>
        <v>3.7766950418160112E-3</v>
      </c>
      <c r="O37" s="276">
        <f t="shared" ref="O37:O44" si="48">C37*(G37/25)</f>
        <v>3.6609543010752703E-3</v>
      </c>
      <c r="P37" s="296">
        <f t="shared" ref="P37:P44" si="49">O37*M37</f>
        <v>3.6609543010752703E-3</v>
      </c>
      <c r="Q37" s="548">
        <v>129</v>
      </c>
      <c r="R37" s="275">
        <f t="shared" ref="R37:R44" si="50">E37*F37*G37</f>
        <v>400</v>
      </c>
      <c r="S37" s="229">
        <f t="shared" si="18"/>
        <v>0.4</v>
      </c>
      <c r="T37" s="230">
        <f t="shared" si="19"/>
        <v>1.4643817204301081E-2</v>
      </c>
      <c r="U37" s="374">
        <f t="shared" si="20"/>
        <v>0.4</v>
      </c>
      <c r="V37" s="375">
        <f t="shared" si="21"/>
        <v>0</v>
      </c>
      <c r="W37" s="376">
        <f t="shared" si="22"/>
        <v>0</v>
      </c>
      <c r="X37" s="377">
        <f t="shared" si="23"/>
        <v>0</v>
      </c>
      <c r="Y37" s="378">
        <f t="shared" si="24"/>
        <v>0</v>
      </c>
      <c r="Z37" s="379">
        <f t="shared" si="25"/>
        <v>0</v>
      </c>
      <c r="AA37" s="380">
        <f t="shared" si="26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  <c r="AN37" s="204"/>
    </row>
    <row r="38" spans="1:40" ht="14" customHeight="1" thickBot="1">
      <c r="A38" s="398" t="s">
        <v>140</v>
      </c>
      <c r="B38" s="402" t="s">
        <v>461</v>
      </c>
      <c r="C38" s="274">
        <f t="shared" si="34"/>
        <v>2.1222190799396687E-4</v>
      </c>
      <c r="D38" s="890">
        <v>3</v>
      </c>
      <c r="E38" s="280">
        <v>1</v>
      </c>
      <c r="F38" s="280">
        <v>1</v>
      </c>
      <c r="G38" s="280">
        <v>200</v>
      </c>
      <c r="H38" s="281"/>
      <c r="I38" s="281">
        <v>2.3148148148148146E-4</v>
      </c>
      <c r="J38" s="281">
        <v>1.3888888888888889E-3</v>
      </c>
      <c r="K38" s="315" t="s">
        <v>257</v>
      </c>
      <c r="L38" s="995">
        <f>L37+N37</f>
        <v>0.79544336170848262</v>
      </c>
      <c r="M38" s="453">
        <v>1</v>
      </c>
      <c r="N38" s="281">
        <f t="shared" si="47"/>
        <v>3.318145634322105E-3</v>
      </c>
      <c r="O38" s="281">
        <f t="shared" si="48"/>
        <v>1.6977752639517349E-3</v>
      </c>
      <c r="P38" s="298">
        <f t="shared" si="49"/>
        <v>1.6977752639517349E-3</v>
      </c>
      <c r="Q38" s="333">
        <v>129</v>
      </c>
      <c r="R38" s="280">
        <f t="shared" si="50"/>
        <v>200</v>
      </c>
      <c r="S38" s="229">
        <f t="shared" si="18"/>
        <v>0.2</v>
      </c>
      <c r="T38" s="230">
        <f t="shared" si="19"/>
        <v>6.7911010558069397E-3</v>
      </c>
      <c r="U38" s="374">
        <f t="shared" si="20"/>
        <v>0</v>
      </c>
      <c r="V38" s="375">
        <f t="shared" si="21"/>
        <v>0</v>
      </c>
      <c r="W38" s="376">
        <f t="shared" si="22"/>
        <v>0.2</v>
      </c>
      <c r="X38" s="377">
        <f t="shared" si="23"/>
        <v>0</v>
      </c>
      <c r="Y38" s="378">
        <f t="shared" si="24"/>
        <v>0</v>
      </c>
      <c r="Z38" s="379">
        <f t="shared" si="25"/>
        <v>0</v>
      </c>
      <c r="AA38" s="380">
        <f t="shared" si="26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  <c r="AN38" s="204"/>
    </row>
    <row r="39" spans="1:40" ht="14" customHeight="1" thickBot="1">
      <c r="A39" s="398"/>
      <c r="B39" s="402" t="s">
        <v>461</v>
      </c>
      <c r="C39" s="274">
        <f t="shared" si="34"/>
        <v>1.8933937422552669E-4</v>
      </c>
      <c r="D39" s="890">
        <v>5</v>
      </c>
      <c r="E39" s="307">
        <v>4</v>
      </c>
      <c r="F39" s="307">
        <v>1</v>
      </c>
      <c r="G39" s="307">
        <v>225</v>
      </c>
      <c r="H39" s="306"/>
      <c r="I39" s="306">
        <v>5.7870370370370366E-5</v>
      </c>
      <c r="J39" s="306">
        <v>2.0833333333333333E-3</v>
      </c>
      <c r="K39" s="534" t="s">
        <v>1873</v>
      </c>
      <c r="L39" s="1005">
        <f t="shared" ref="L39:L44" si="51">L38+N38</f>
        <v>0.79876150734280471</v>
      </c>
      <c r="M39" s="452">
        <v>1</v>
      </c>
      <c r="N39" s="306">
        <f t="shared" si="47"/>
        <v>1.5381032286933775E-2</v>
      </c>
      <c r="O39" s="306">
        <f t="shared" si="48"/>
        <v>1.7040543680297401E-3</v>
      </c>
      <c r="P39" s="305">
        <f t="shared" si="49"/>
        <v>1.7040543680297401E-3</v>
      </c>
      <c r="Q39" s="290">
        <v>129</v>
      </c>
      <c r="R39" s="290">
        <f t="shared" si="50"/>
        <v>900</v>
      </c>
      <c r="S39" s="229">
        <f t="shared" si="18"/>
        <v>0.9</v>
      </c>
      <c r="T39" s="230">
        <f t="shared" si="19"/>
        <v>2.7264869888475842E-2</v>
      </c>
      <c r="U39" s="374">
        <f t="shared" si="20"/>
        <v>0</v>
      </c>
      <c r="V39" s="375">
        <f t="shared" si="21"/>
        <v>0</v>
      </c>
      <c r="W39" s="376">
        <f t="shared" si="22"/>
        <v>0</v>
      </c>
      <c r="X39" s="377">
        <f t="shared" si="23"/>
        <v>0</v>
      </c>
      <c r="Y39" s="378">
        <f t="shared" si="24"/>
        <v>0.9</v>
      </c>
      <c r="Z39" s="379">
        <f t="shared" si="25"/>
        <v>0</v>
      </c>
      <c r="AA39" s="380">
        <f t="shared" si="26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  <c r="AN39" s="204"/>
    </row>
    <row r="40" spans="1:40" ht="14" customHeight="1" thickBot="1">
      <c r="A40" s="398"/>
      <c r="B40" s="402" t="s">
        <v>461</v>
      </c>
      <c r="C40" s="274">
        <f t="shared" si="34"/>
        <v>2.2880964381720439E-4</v>
      </c>
      <c r="D40" s="890">
        <v>1</v>
      </c>
      <c r="E40" s="275">
        <v>1</v>
      </c>
      <c r="F40" s="275">
        <v>4</v>
      </c>
      <c r="G40" s="275">
        <v>25</v>
      </c>
      <c r="H40" s="276"/>
      <c r="I40" s="276">
        <v>0</v>
      </c>
      <c r="J40" s="276">
        <v>1.1574074074074073E-4</v>
      </c>
      <c r="K40" s="312" t="s">
        <v>706</v>
      </c>
      <c r="L40" s="1008">
        <f t="shared" si="51"/>
        <v>0.81414253962973848</v>
      </c>
      <c r="M40" s="451">
        <v>1</v>
      </c>
      <c r="N40" s="276">
        <f t="shared" si="47"/>
        <v>1.0309793160095584E-3</v>
      </c>
      <c r="O40" s="276">
        <f t="shared" si="48"/>
        <v>2.2880964381720439E-4</v>
      </c>
      <c r="P40" s="296">
        <f t="shared" si="49"/>
        <v>2.2880964381720439E-4</v>
      </c>
      <c r="Q40" s="548">
        <v>129</v>
      </c>
      <c r="R40" s="275">
        <f t="shared" si="50"/>
        <v>100</v>
      </c>
      <c r="S40" s="229">
        <f t="shared" si="18"/>
        <v>0.1</v>
      </c>
      <c r="T40" s="230">
        <f t="shared" si="19"/>
        <v>3.6609543010752703E-3</v>
      </c>
      <c r="U40" s="374">
        <f t="shared" si="20"/>
        <v>0.1</v>
      </c>
      <c r="V40" s="375">
        <f t="shared" si="21"/>
        <v>0</v>
      </c>
      <c r="W40" s="376">
        <f t="shared" si="22"/>
        <v>0</v>
      </c>
      <c r="X40" s="377">
        <f t="shared" si="23"/>
        <v>0</v>
      </c>
      <c r="Y40" s="378">
        <f t="shared" si="24"/>
        <v>0</v>
      </c>
      <c r="Z40" s="379">
        <f t="shared" si="25"/>
        <v>0</v>
      </c>
      <c r="AA40" s="380">
        <f t="shared" si="26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  <c r="AN40" s="204"/>
    </row>
    <row r="41" spans="1:40" ht="15" customHeight="1" thickBot="1">
      <c r="A41" s="398" t="s">
        <v>674</v>
      </c>
      <c r="B41" s="402" t="s">
        <v>461</v>
      </c>
      <c r="C41" s="274">
        <f t="shared" si="34"/>
        <v>1.8933937422552669E-4</v>
      </c>
      <c r="D41" s="891">
        <v>5</v>
      </c>
      <c r="E41" s="307">
        <v>2</v>
      </c>
      <c r="F41" s="307">
        <v>1</v>
      </c>
      <c r="G41" s="307">
        <v>150</v>
      </c>
      <c r="H41" s="306"/>
      <c r="I41" s="306">
        <v>5.7870370370370366E-5</v>
      </c>
      <c r="J41" s="306">
        <v>3.472222222222222E-3</v>
      </c>
      <c r="K41" s="534" t="s">
        <v>1874</v>
      </c>
      <c r="L41" s="1005">
        <f t="shared" si="51"/>
        <v>0.81517351894574808</v>
      </c>
      <c r="M41" s="452">
        <v>1</v>
      </c>
      <c r="N41" s="306">
        <f t="shared" si="47"/>
        <v>9.332257675891506E-3</v>
      </c>
      <c r="O41" s="306">
        <f t="shared" si="48"/>
        <v>1.1360362453531601E-3</v>
      </c>
      <c r="P41" s="305">
        <f t="shared" si="49"/>
        <v>1.1360362453531601E-3</v>
      </c>
      <c r="Q41" s="290">
        <v>129</v>
      </c>
      <c r="R41" s="290">
        <f t="shared" si="50"/>
        <v>300</v>
      </c>
      <c r="S41" s="229">
        <f t="shared" si="18"/>
        <v>0.3</v>
      </c>
      <c r="T41" s="230">
        <f t="shared" si="19"/>
        <v>9.0882899628252807E-3</v>
      </c>
      <c r="U41" s="374">
        <f t="shared" si="20"/>
        <v>0</v>
      </c>
      <c r="V41" s="375">
        <f t="shared" si="21"/>
        <v>0</v>
      </c>
      <c r="W41" s="376">
        <f t="shared" si="22"/>
        <v>0</v>
      </c>
      <c r="X41" s="377">
        <f t="shared" si="23"/>
        <v>0</v>
      </c>
      <c r="Y41" s="378">
        <f t="shared" si="24"/>
        <v>0.3</v>
      </c>
      <c r="Z41" s="379">
        <f t="shared" si="25"/>
        <v>0</v>
      </c>
      <c r="AA41" s="380">
        <f t="shared" si="26"/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  <c r="AN41" s="204"/>
    </row>
    <row r="42" spans="1:40" ht="14" customHeight="1" thickBot="1">
      <c r="A42" s="398" t="s">
        <v>214</v>
      </c>
      <c r="B42" s="402" t="s">
        <v>461</v>
      </c>
      <c r="C42" s="274">
        <f t="shared" si="34"/>
        <v>1.7682291666666674E-4</v>
      </c>
      <c r="D42" s="891">
        <v>7</v>
      </c>
      <c r="E42" s="441">
        <v>2</v>
      </c>
      <c r="F42" s="441">
        <v>4</v>
      </c>
      <c r="G42" s="441">
        <v>25</v>
      </c>
      <c r="H42" s="436"/>
      <c r="I42" s="436">
        <v>4.6296296296296293E-4</v>
      </c>
      <c r="J42" s="436">
        <v>1.3888888888888889E-3</v>
      </c>
      <c r="K42" s="442" t="s">
        <v>411</v>
      </c>
      <c r="L42" s="1007">
        <f t="shared" si="51"/>
        <v>0.8245057766216396</v>
      </c>
      <c r="M42" s="517">
        <v>1</v>
      </c>
      <c r="N42" s="436">
        <f t="shared" si="47"/>
        <v>7.8960648148148158E-3</v>
      </c>
      <c r="O42" s="436">
        <f t="shared" si="48"/>
        <v>1.7682291666666674E-4</v>
      </c>
      <c r="P42" s="439">
        <f t="shared" si="49"/>
        <v>1.7682291666666674E-4</v>
      </c>
      <c r="Q42" s="443">
        <v>129</v>
      </c>
      <c r="R42" s="435">
        <f t="shared" si="50"/>
        <v>200</v>
      </c>
      <c r="S42" s="229">
        <f t="shared" si="18"/>
        <v>0.2</v>
      </c>
      <c r="T42" s="230">
        <f t="shared" si="19"/>
        <v>5.6583333333333355E-3</v>
      </c>
      <c r="U42" s="374">
        <f t="shared" si="20"/>
        <v>0</v>
      </c>
      <c r="V42" s="375">
        <f t="shared" si="21"/>
        <v>0</v>
      </c>
      <c r="W42" s="376">
        <f t="shared" si="22"/>
        <v>0</v>
      </c>
      <c r="X42" s="377">
        <f t="shared" si="23"/>
        <v>0</v>
      </c>
      <c r="Y42" s="378">
        <f t="shared" si="24"/>
        <v>0</v>
      </c>
      <c r="Z42" s="379">
        <f t="shared" si="25"/>
        <v>0</v>
      </c>
      <c r="AA42" s="380">
        <f t="shared" si="26"/>
        <v>0.2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  <c r="AN42" s="204"/>
    </row>
    <row r="43" spans="1:40" ht="15" customHeight="1" thickBot="1">
      <c r="A43" s="398" t="s">
        <v>458</v>
      </c>
      <c r="B43" s="402" t="s">
        <v>461</v>
      </c>
      <c r="C43" s="274">
        <f t="shared" si="34"/>
        <v>1.7682291666666674E-4</v>
      </c>
      <c r="D43" s="890">
        <v>7</v>
      </c>
      <c r="E43" s="444">
        <v>1</v>
      </c>
      <c r="F43" s="444">
        <v>6</v>
      </c>
      <c r="G43" s="444">
        <v>20</v>
      </c>
      <c r="H43" s="434"/>
      <c r="I43" s="434">
        <v>4.6296296296296293E-4</v>
      </c>
      <c r="J43" s="434">
        <v>2.0833333333333333E-3</v>
      </c>
      <c r="K43" s="447"/>
      <c r="L43" s="1007">
        <f t="shared" si="51"/>
        <v>0.83240184143645446</v>
      </c>
      <c r="M43" s="519">
        <v>1</v>
      </c>
      <c r="N43" s="436">
        <f t="shared" si="47"/>
        <v>5.7098611111111117E-3</v>
      </c>
      <c r="O43" s="436">
        <f t="shared" si="48"/>
        <v>1.4145833333333339E-4</v>
      </c>
      <c r="P43" s="439">
        <f t="shared" si="49"/>
        <v>1.4145833333333339E-4</v>
      </c>
      <c r="Q43" s="446">
        <v>129</v>
      </c>
      <c r="R43" s="435">
        <f t="shared" si="50"/>
        <v>120</v>
      </c>
      <c r="S43" s="229">
        <f t="shared" ref="S43:S61" si="52">E43*F43*G43/1000</f>
        <v>0.12</v>
      </c>
      <c r="T43" s="230">
        <f t="shared" ref="T43:T61" si="53">E43*F43*O43*4</f>
        <v>3.3950000000000013E-3</v>
      </c>
      <c r="U43" s="374">
        <f t="shared" ref="U43:U61" si="54">IF(C43*4&gt;=$U$4,S43,0)</f>
        <v>0</v>
      </c>
      <c r="V43" s="375">
        <f t="shared" ref="V43:V61" si="55">IF(AND(C43*4&gt;=$V$4,C43*4&lt;$U$4),S43,0)</f>
        <v>0</v>
      </c>
      <c r="W43" s="376">
        <f t="shared" ref="W43:W61" si="56">IF(AND(C43*4&gt;=$W$4,C43*4&lt;$V$4),S43,0)</f>
        <v>0</v>
      </c>
      <c r="X43" s="377">
        <f t="shared" ref="X43:X61" si="57">IF(AND(C43*4&gt;=$X$4,C43*4&lt;$W$4),S43,0)</f>
        <v>0</v>
      </c>
      <c r="Y43" s="378">
        <f t="shared" ref="Y43:Y61" si="58">IF(AND(C43*4&gt;=$Y$4,C43*4&lt;$X$4),S43,0)</f>
        <v>0</v>
      </c>
      <c r="Z43" s="379">
        <f t="shared" ref="Z43:Z61" si="59">IF(AND(C43*4&gt;=$Z$4,C43*4&lt;$Y$4),S43,0)</f>
        <v>0</v>
      </c>
      <c r="AA43" s="380">
        <f t="shared" ref="AA43:AA61" si="60">IF(AND(C43*4&gt;=$AA$4,C43*4&lt;$Z$4),S43,0)</f>
        <v>0.12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  <c r="AN43" s="204"/>
    </row>
    <row r="44" spans="1:40" ht="16.25" customHeight="1">
      <c r="A44" s="398" t="s">
        <v>219</v>
      </c>
      <c r="B44" s="402" t="s">
        <v>461</v>
      </c>
      <c r="C44" s="274">
        <f t="shared" si="34"/>
        <v>2.2880964381720439E-4</v>
      </c>
      <c r="D44" s="891">
        <v>1</v>
      </c>
      <c r="E44" s="275">
        <v>1</v>
      </c>
      <c r="F44" s="275">
        <v>1</v>
      </c>
      <c r="G44" s="275">
        <v>100</v>
      </c>
      <c r="H44" s="276"/>
      <c r="I44" s="276">
        <v>0</v>
      </c>
      <c r="J44" s="276">
        <v>1.1574074074074073E-4</v>
      </c>
      <c r="K44" s="312" t="s">
        <v>706</v>
      </c>
      <c r="L44" s="1003">
        <f t="shared" si="51"/>
        <v>0.83811170254756562</v>
      </c>
      <c r="M44" s="451">
        <v>1</v>
      </c>
      <c r="N44" s="276">
        <f t="shared" si="47"/>
        <v>1.0309793160095584E-3</v>
      </c>
      <c r="O44" s="276">
        <f t="shared" si="48"/>
        <v>9.1523857526881758E-4</v>
      </c>
      <c r="P44" s="296">
        <f t="shared" si="49"/>
        <v>9.1523857526881758E-4</v>
      </c>
      <c r="Q44" s="548">
        <v>129</v>
      </c>
      <c r="R44" s="275">
        <f t="shared" si="50"/>
        <v>100</v>
      </c>
      <c r="S44" s="229">
        <f t="shared" si="52"/>
        <v>0.1</v>
      </c>
      <c r="T44" s="230">
        <f t="shared" si="53"/>
        <v>3.6609543010752703E-3</v>
      </c>
      <c r="U44" s="374">
        <f t="shared" si="54"/>
        <v>0.1</v>
      </c>
      <c r="V44" s="375">
        <f t="shared" si="55"/>
        <v>0</v>
      </c>
      <c r="W44" s="376">
        <f t="shared" si="56"/>
        <v>0</v>
      </c>
      <c r="X44" s="377">
        <f t="shared" si="57"/>
        <v>0</v>
      </c>
      <c r="Y44" s="378">
        <f t="shared" si="58"/>
        <v>0</v>
      </c>
      <c r="Z44" s="379">
        <f t="shared" si="59"/>
        <v>0</v>
      </c>
      <c r="AA44" s="380">
        <f t="shared" si="60"/>
        <v>0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  <c r="AN44" s="204"/>
    </row>
    <row r="45" spans="1:40" ht="15" customHeight="1" thickBot="1">
      <c r="A45" s="397"/>
      <c r="B45" s="395"/>
      <c r="C45" s="274">
        <f t="shared" si="34"/>
        <v>0</v>
      </c>
      <c r="D45" s="899"/>
      <c r="E45" s="336"/>
      <c r="F45" s="336"/>
      <c r="G45" s="336"/>
      <c r="H45" s="336"/>
      <c r="I45" s="336"/>
      <c r="J45" s="336"/>
      <c r="K45" s="336"/>
      <c r="L45" s="1003"/>
      <c r="M45" s="448"/>
      <c r="N45" s="325">
        <f>SUM(N37:N44)</f>
        <v>4.7476015196908437E-2</v>
      </c>
      <c r="O45" s="336"/>
      <c r="P45" s="336"/>
      <c r="Q45" s="336"/>
      <c r="R45" s="363">
        <f>SUM(R37:R44)</f>
        <v>2320</v>
      </c>
      <c r="S45" s="229">
        <f t="shared" si="52"/>
        <v>0</v>
      </c>
      <c r="T45" s="230">
        <f t="shared" si="53"/>
        <v>0</v>
      </c>
      <c r="U45" s="374">
        <f t="shared" si="54"/>
        <v>0</v>
      </c>
      <c r="V45" s="375">
        <f t="shared" si="55"/>
        <v>0</v>
      </c>
      <c r="W45" s="376">
        <f t="shared" si="56"/>
        <v>0</v>
      </c>
      <c r="X45" s="377">
        <f t="shared" si="57"/>
        <v>0</v>
      </c>
      <c r="Y45" s="378">
        <f t="shared" si="58"/>
        <v>0</v>
      </c>
      <c r="Z45" s="379">
        <f t="shared" si="59"/>
        <v>0</v>
      </c>
      <c r="AA45" s="380">
        <f t="shared" si="60"/>
        <v>0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  <c r="AN45" s="204"/>
    </row>
    <row r="46" spans="1:40" ht="15" customHeight="1">
      <c r="A46" s="669" t="s">
        <v>217</v>
      </c>
      <c r="B46" s="1917" t="s">
        <v>215</v>
      </c>
      <c r="C46" s="274">
        <f t="shared" si="34"/>
        <v>2.2880964381720439E-4</v>
      </c>
      <c r="D46" s="547">
        <v>1</v>
      </c>
      <c r="E46" s="4394">
        <v>1</v>
      </c>
      <c r="F46" s="4394">
        <v>3</v>
      </c>
      <c r="G46" s="4394">
        <v>100</v>
      </c>
      <c r="H46" s="4394"/>
      <c r="I46" s="4395">
        <v>1.1574074074074073E-4</v>
      </c>
      <c r="J46" s="4395">
        <v>1.3888888888888889E-3</v>
      </c>
      <c r="K46" s="4572" t="s">
        <v>1049</v>
      </c>
      <c r="L46" s="4573">
        <v>0.33333333333333331</v>
      </c>
      <c r="M46" s="4574">
        <v>1</v>
      </c>
      <c r="N46" s="4395">
        <f t="shared" ref="N46:N47" si="61">P46*E46*F46+I46*E46*F46+J46*E46</f>
        <v>4.4818268369175643E-3</v>
      </c>
      <c r="O46" s="296">
        <f t="shared" ref="O46" si="62">C46*(G46/25)</f>
        <v>9.1523857526881758E-4</v>
      </c>
      <c r="P46" s="296">
        <f t="shared" ref="P46:P52" si="63">O46*M46</f>
        <v>9.1523857526881758E-4</v>
      </c>
      <c r="Q46" s="548">
        <v>147</v>
      </c>
      <c r="R46" s="275">
        <f t="shared" ref="R46:R49" si="64">E46*F46*G46</f>
        <v>300</v>
      </c>
      <c r="S46" s="229">
        <f t="shared" si="52"/>
        <v>0.3</v>
      </c>
      <c r="T46" s="230">
        <f t="shared" si="53"/>
        <v>1.0982862903225811E-2</v>
      </c>
      <c r="U46" s="374">
        <f t="shared" si="54"/>
        <v>0.3</v>
      </c>
      <c r="V46" s="375">
        <f t="shared" si="55"/>
        <v>0</v>
      </c>
      <c r="W46" s="376">
        <f t="shared" si="56"/>
        <v>0</v>
      </c>
      <c r="X46" s="377">
        <f t="shared" si="57"/>
        <v>0</v>
      </c>
      <c r="Y46" s="378">
        <f t="shared" si="58"/>
        <v>0</v>
      </c>
      <c r="Z46" s="379">
        <f t="shared" si="59"/>
        <v>0</v>
      </c>
      <c r="AA46" s="380">
        <f t="shared" si="60"/>
        <v>0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  <c r="AN46" s="204"/>
    </row>
    <row r="47" spans="1:40" ht="15" customHeight="1">
      <c r="A47" s="656" t="s">
        <v>459</v>
      </c>
      <c r="B47" s="1918" t="s">
        <v>215</v>
      </c>
      <c r="C47" s="274">
        <f t="shared" si="34"/>
        <v>1.8229166666666673E-4</v>
      </c>
      <c r="D47" s="4558">
        <v>6</v>
      </c>
      <c r="E47" s="4559">
        <v>1</v>
      </c>
      <c r="F47" s="4559">
        <v>3</v>
      </c>
      <c r="G47" s="4559">
        <v>100</v>
      </c>
      <c r="H47" s="4559"/>
      <c r="I47" s="4560">
        <v>3.4722222222222224E-4</v>
      </c>
      <c r="J47" s="4560">
        <v>6.9444444444444441E-3</v>
      </c>
      <c r="K47" s="4561" t="s">
        <v>974</v>
      </c>
      <c r="L47" s="4560">
        <f t="shared" ref="L47:L53" si="65">L46+N46</f>
        <v>0.33781516017025087</v>
      </c>
      <c r="M47" s="4562">
        <v>1.07</v>
      </c>
      <c r="N47" s="4560">
        <f t="shared" si="61"/>
        <v>1.0326736111111111E-2</v>
      </c>
      <c r="O47" s="4563">
        <f>C47*(G47/25)</f>
        <v>7.2916666666666692E-4</v>
      </c>
      <c r="P47" s="4564">
        <f t="shared" si="63"/>
        <v>7.802083333333336E-4</v>
      </c>
      <c r="Q47" s="4565">
        <v>177</v>
      </c>
      <c r="R47" s="4559">
        <f t="shared" si="64"/>
        <v>300</v>
      </c>
      <c r="S47" s="229">
        <f t="shared" si="52"/>
        <v>0.3</v>
      </c>
      <c r="T47" s="230">
        <f t="shared" si="53"/>
        <v>8.7500000000000026E-3</v>
      </c>
      <c r="U47" s="374">
        <f t="shared" si="54"/>
        <v>0</v>
      </c>
      <c r="V47" s="375">
        <f t="shared" si="55"/>
        <v>0</v>
      </c>
      <c r="W47" s="376">
        <f t="shared" si="56"/>
        <v>0</v>
      </c>
      <c r="X47" s="377">
        <f t="shared" si="57"/>
        <v>0</v>
      </c>
      <c r="Y47" s="378">
        <f t="shared" si="58"/>
        <v>0</v>
      </c>
      <c r="Z47" s="379">
        <f t="shared" si="59"/>
        <v>0.3</v>
      </c>
      <c r="AA47" s="380">
        <f t="shared" si="60"/>
        <v>0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  <c r="AN47" s="204"/>
    </row>
    <row r="48" spans="1:40" ht="14" customHeight="1">
      <c r="A48" s="656" t="s">
        <v>458</v>
      </c>
      <c r="B48" s="1918" t="s">
        <v>215</v>
      </c>
      <c r="C48" s="274">
        <f t="shared" si="34"/>
        <v>2.1908757716049393E-4</v>
      </c>
      <c r="D48" s="890">
        <v>2</v>
      </c>
      <c r="E48" s="300">
        <v>1</v>
      </c>
      <c r="F48" s="300">
        <v>4</v>
      </c>
      <c r="G48" s="300">
        <v>20</v>
      </c>
      <c r="H48" s="300"/>
      <c r="I48" s="301">
        <v>1.3888888888888889E-4</v>
      </c>
      <c r="J48" s="301">
        <v>1.3888888888888889E-3</v>
      </c>
      <c r="K48" s="1123" t="s">
        <v>894</v>
      </c>
      <c r="L48" s="994">
        <f t="shared" si="65"/>
        <v>0.348141896281362</v>
      </c>
      <c r="M48" s="455">
        <v>1.2</v>
      </c>
      <c r="N48" s="301">
        <f>P48*E48*F48+I48*E48*F48+J48*E48</f>
        <v>2.7857407407407414E-3</v>
      </c>
      <c r="O48" s="302">
        <f t="shared" ref="O48" si="66">C48*(G48/25)</f>
        <v>1.7527006172839515E-4</v>
      </c>
      <c r="P48" s="302">
        <f t="shared" si="63"/>
        <v>2.1032407407407417E-4</v>
      </c>
      <c r="Q48" s="550">
        <v>146</v>
      </c>
      <c r="R48" s="369">
        <f t="shared" si="64"/>
        <v>80</v>
      </c>
      <c r="S48" s="229">
        <f t="shared" si="52"/>
        <v>0.08</v>
      </c>
      <c r="T48" s="230">
        <f t="shared" si="53"/>
        <v>2.8043209876543224E-3</v>
      </c>
      <c r="U48" s="374">
        <f t="shared" si="54"/>
        <v>0</v>
      </c>
      <c r="V48" s="375">
        <f t="shared" si="55"/>
        <v>0.08</v>
      </c>
      <c r="W48" s="376">
        <f t="shared" si="56"/>
        <v>0</v>
      </c>
      <c r="X48" s="377">
        <f t="shared" si="57"/>
        <v>0</v>
      </c>
      <c r="Y48" s="378">
        <f t="shared" si="58"/>
        <v>0</v>
      </c>
      <c r="Z48" s="379">
        <f t="shared" si="59"/>
        <v>0</v>
      </c>
      <c r="AA48" s="380">
        <f t="shared" si="60"/>
        <v>0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  <c r="AN48" s="204"/>
    </row>
    <row r="49" spans="1:40" ht="14" customHeight="1">
      <c r="A49" s="656" t="s">
        <v>218</v>
      </c>
      <c r="B49" s="829" t="s">
        <v>215</v>
      </c>
      <c r="C49" s="274">
        <f t="shared" si="34"/>
        <v>1.8229166666666673E-4</v>
      </c>
      <c r="D49" s="4558">
        <v>6</v>
      </c>
      <c r="E49" s="4559">
        <v>1</v>
      </c>
      <c r="F49" s="4559">
        <v>4</v>
      </c>
      <c r="G49" s="4559">
        <v>75</v>
      </c>
      <c r="H49" s="4559"/>
      <c r="I49" s="4560">
        <v>6.9444444444444447E-4</v>
      </c>
      <c r="J49" s="4560">
        <v>3.472222222222222E-3</v>
      </c>
      <c r="K49" s="4561" t="s">
        <v>974</v>
      </c>
      <c r="L49" s="4560">
        <f>L48+N48</f>
        <v>0.35092763702210272</v>
      </c>
      <c r="M49" s="4562">
        <v>1.08</v>
      </c>
      <c r="N49" s="4560">
        <f t="shared" ref="N49:N50" si="67">P49*E49*F49+I49*E49*F49+J49*E49</f>
        <v>8.6597500000000008E-3</v>
      </c>
      <c r="O49" s="4563">
        <f>C49*(G49/25)*1.02</f>
        <v>5.5781250000000015E-4</v>
      </c>
      <c r="P49" s="4564">
        <f t="shared" si="63"/>
        <v>6.0243750000000022E-4</v>
      </c>
      <c r="Q49" s="4565">
        <v>177</v>
      </c>
      <c r="R49" s="4559">
        <f t="shared" si="64"/>
        <v>300</v>
      </c>
      <c r="S49" s="229">
        <f t="shared" si="52"/>
        <v>0.3</v>
      </c>
      <c r="T49" s="230">
        <f t="shared" si="53"/>
        <v>8.9250000000000024E-3</v>
      </c>
      <c r="U49" s="374">
        <f t="shared" si="54"/>
        <v>0</v>
      </c>
      <c r="V49" s="375">
        <f t="shared" si="55"/>
        <v>0</v>
      </c>
      <c r="W49" s="376">
        <f t="shared" si="56"/>
        <v>0</v>
      </c>
      <c r="X49" s="377">
        <f t="shared" si="57"/>
        <v>0</v>
      </c>
      <c r="Y49" s="378">
        <f t="shared" si="58"/>
        <v>0</v>
      </c>
      <c r="Z49" s="379">
        <f t="shared" si="59"/>
        <v>0.3</v>
      </c>
      <c r="AA49" s="380">
        <f t="shared" si="60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  <c r="AN49" s="204"/>
    </row>
    <row r="50" spans="1:40" ht="15" customHeight="1">
      <c r="A50" s="656" t="s">
        <v>458</v>
      </c>
      <c r="B50" s="829" t="s">
        <v>215</v>
      </c>
      <c r="C50" s="274">
        <f t="shared" si="34"/>
        <v>2.0247664488766629E-4</v>
      </c>
      <c r="D50" s="892">
        <v>4</v>
      </c>
      <c r="E50" s="303">
        <v>1</v>
      </c>
      <c r="F50" s="303">
        <v>5</v>
      </c>
      <c r="G50" s="303">
        <v>40</v>
      </c>
      <c r="H50" s="303"/>
      <c r="I50" s="304">
        <v>3.4722222222222224E-4</v>
      </c>
      <c r="J50" s="304">
        <v>1.3888888888888889E-3</v>
      </c>
      <c r="K50" s="316" t="s">
        <v>974</v>
      </c>
      <c r="L50" s="304">
        <f t="shared" si="65"/>
        <v>0.35958738702210274</v>
      </c>
      <c r="M50" s="457">
        <v>1.07</v>
      </c>
      <c r="N50" s="304">
        <f t="shared" si="67"/>
        <v>4.8582000802384236E-3</v>
      </c>
      <c r="O50" s="297">
        <f>C50*(G50/25)</f>
        <v>3.239626318202661E-4</v>
      </c>
      <c r="P50" s="297">
        <f t="shared" si="63"/>
        <v>3.4664001604768472E-4</v>
      </c>
      <c r="Q50" s="334">
        <v>166</v>
      </c>
      <c r="R50" s="303">
        <f>E50*F50*G50</f>
        <v>200</v>
      </c>
      <c r="S50" s="229">
        <f t="shared" si="52"/>
        <v>0.2</v>
      </c>
      <c r="T50" s="230">
        <f t="shared" si="53"/>
        <v>6.4792526364053221E-3</v>
      </c>
      <c r="U50" s="374">
        <f t="shared" si="54"/>
        <v>0</v>
      </c>
      <c r="V50" s="375">
        <f t="shared" si="55"/>
        <v>0</v>
      </c>
      <c r="W50" s="376">
        <f t="shared" si="56"/>
        <v>0</v>
      </c>
      <c r="X50" s="377">
        <f t="shared" si="57"/>
        <v>0.2</v>
      </c>
      <c r="Y50" s="378">
        <f t="shared" si="58"/>
        <v>0</v>
      </c>
      <c r="Z50" s="379">
        <f t="shared" si="59"/>
        <v>0</v>
      </c>
      <c r="AA50" s="380">
        <f t="shared" si="60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  <c r="AN50" s="204"/>
    </row>
    <row r="51" spans="1:40" ht="15" customHeight="1">
      <c r="A51" s="208" t="s">
        <v>219</v>
      </c>
      <c r="B51" s="1918" t="s">
        <v>215</v>
      </c>
      <c r="C51" s="274">
        <f t="shared" si="34"/>
        <v>2.1908757716049393E-4</v>
      </c>
      <c r="D51" s="890">
        <v>2</v>
      </c>
      <c r="E51" s="300">
        <v>1</v>
      </c>
      <c r="F51" s="300">
        <v>6</v>
      </c>
      <c r="G51" s="300">
        <v>20</v>
      </c>
      <c r="H51" s="300"/>
      <c r="I51" s="301">
        <v>1.3888888888888889E-4</v>
      </c>
      <c r="J51" s="301">
        <v>1.3888888888888889E-3</v>
      </c>
      <c r="K51" s="1123" t="s">
        <v>1967</v>
      </c>
      <c r="L51" s="994">
        <f t="shared" si="65"/>
        <v>0.36444558710234115</v>
      </c>
      <c r="M51" s="455">
        <v>1.2</v>
      </c>
      <c r="N51" s="301">
        <f>P51*E51*F51+I51*E51*F51+J51*E51</f>
        <v>3.4841666666666675E-3</v>
      </c>
      <c r="O51" s="302">
        <f t="shared" ref="O51:O52" si="68">C51*(G51/25)</f>
        <v>1.7527006172839515E-4</v>
      </c>
      <c r="P51" s="302">
        <f t="shared" si="63"/>
        <v>2.1032407407407417E-4</v>
      </c>
      <c r="Q51" s="550">
        <v>146</v>
      </c>
      <c r="R51" s="369">
        <f t="shared" ref="R51:R52" si="69">E51*F51*G51</f>
        <v>120</v>
      </c>
      <c r="S51" s="229">
        <f t="shared" si="52"/>
        <v>0.12</v>
      </c>
      <c r="T51" s="230">
        <f t="shared" si="53"/>
        <v>4.2064814814814838E-3</v>
      </c>
      <c r="U51" s="374">
        <f t="shared" si="54"/>
        <v>0</v>
      </c>
      <c r="V51" s="375">
        <f t="shared" si="55"/>
        <v>0.12</v>
      </c>
      <c r="W51" s="376">
        <f t="shared" si="56"/>
        <v>0</v>
      </c>
      <c r="X51" s="377">
        <f t="shared" si="57"/>
        <v>0</v>
      </c>
      <c r="Y51" s="378">
        <f t="shared" si="58"/>
        <v>0</v>
      </c>
      <c r="Z51" s="379">
        <f t="shared" si="59"/>
        <v>0</v>
      </c>
      <c r="AA51" s="380">
        <f t="shared" si="60"/>
        <v>0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  <c r="AN51" s="204"/>
    </row>
    <row r="52" spans="1:40" ht="12.75" customHeight="1">
      <c r="A52" s="204"/>
      <c r="B52" s="1918" t="s">
        <v>215</v>
      </c>
      <c r="C52" s="274">
        <f t="shared" ref="C52" si="70">IF(D52=1,U$5,IF(D52=2,V$5,IF(D52=3,W$5,IF(D52=4,X$5,IF(D52=5,Y$5,IF(D52=6,Z$5,IF(D52=7,AA$5,0)))))))</f>
        <v>1.7682291666666674E-4</v>
      </c>
      <c r="D52" s="890">
        <v>7</v>
      </c>
      <c r="E52" s="444">
        <v>1</v>
      </c>
      <c r="F52" s="444">
        <v>4</v>
      </c>
      <c r="G52" s="444">
        <v>25</v>
      </c>
      <c r="H52" s="434"/>
      <c r="I52" s="434">
        <v>4.6296296296296293E-4</v>
      </c>
      <c r="J52" s="434">
        <v>1.3888888888888889E-3</v>
      </c>
      <c r="K52" s="6005" t="s">
        <v>411</v>
      </c>
      <c r="L52" s="1007">
        <f t="shared" si="65"/>
        <v>0.36792975376900783</v>
      </c>
      <c r="M52" s="519">
        <v>1</v>
      </c>
      <c r="N52" s="436">
        <f t="shared" ref="N52" si="71">P52*E52*F52+I52*E52*F52+J52*E52</f>
        <v>3.9480324074074079E-3</v>
      </c>
      <c r="O52" s="436">
        <f t="shared" si="68"/>
        <v>1.7682291666666674E-4</v>
      </c>
      <c r="P52" s="439">
        <f t="shared" si="63"/>
        <v>1.7682291666666674E-4</v>
      </c>
      <c r="Q52" s="446">
        <v>129</v>
      </c>
      <c r="R52" s="435">
        <f t="shared" si="69"/>
        <v>100</v>
      </c>
      <c r="S52" s="229">
        <f t="shared" si="52"/>
        <v>0.1</v>
      </c>
      <c r="T52" s="230">
        <f t="shared" si="53"/>
        <v>2.8291666666666678E-3</v>
      </c>
      <c r="U52" s="374">
        <f t="shared" si="54"/>
        <v>0</v>
      </c>
      <c r="V52" s="375">
        <f t="shared" si="55"/>
        <v>0</v>
      </c>
      <c r="W52" s="376">
        <f t="shared" si="56"/>
        <v>0</v>
      </c>
      <c r="X52" s="377">
        <f t="shared" si="57"/>
        <v>0</v>
      </c>
      <c r="Y52" s="378">
        <f t="shared" si="58"/>
        <v>0</v>
      </c>
      <c r="Z52" s="379">
        <f t="shared" si="59"/>
        <v>0</v>
      </c>
      <c r="AA52" s="380">
        <f t="shared" si="60"/>
        <v>0.1</v>
      </c>
      <c r="AC52" s="231"/>
      <c r="AD52" s="231"/>
      <c r="AE52" s="231"/>
      <c r="AF52" s="231"/>
      <c r="AG52" s="231"/>
      <c r="AH52" s="231"/>
      <c r="AI52" s="213"/>
      <c r="AJ52" s="213"/>
      <c r="AK52" s="213"/>
      <c r="AL52" s="213"/>
      <c r="AM52" s="213"/>
      <c r="AN52" s="204"/>
    </row>
    <row r="53" spans="1:40" ht="15" customHeight="1" thickBot="1">
      <c r="C53" s="641"/>
      <c r="D53" s="959"/>
      <c r="E53" s="642"/>
      <c r="F53" s="642"/>
      <c r="G53" s="642"/>
      <c r="H53" s="642"/>
      <c r="I53" s="642"/>
      <c r="J53" s="642"/>
      <c r="K53" s="642"/>
      <c r="L53" s="1003">
        <f t="shared" si="65"/>
        <v>0.37187778617641526</v>
      </c>
      <c r="M53" s="643"/>
      <c r="N53" s="644">
        <f>SUM(N46:N52)</f>
        <v>3.8544452843081917E-2</v>
      </c>
      <c r="O53" s="642"/>
      <c r="P53" s="642"/>
      <c r="Q53" s="642"/>
      <c r="R53" s="645">
        <f>SUM(R46:R52)</f>
        <v>1400</v>
      </c>
      <c r="S53" s="229">
        <f t="shared" si="52"/>
        <v>0</v>
      </c>
      <c r="T53" s="230">
        <f t="shared" si="53"/>
        <v>0</v>
      </c>
      <c r="U53" s="374">
        <f t="shared" si="54"/>
        <v>0</v>
      </c>
      <c r="V53" s="375">
        <f t="shared" si="55"/>
        <v>0</v>
      </c>
      <c r="W53" s="376">
        <f t="shared" si="56"/>
        <v>0</v>
      </c>
      <c r="X53" s="377">
        <f t="shared" si="57"/>
        <v>0</v>
      </c>
      <c r="Y53" s="378">
        <f t="shared" si="58"/>
        <v>0</v>
      </c>
      <c r="Z53" s="379">
        <f t="shared" si="59"/>
        <v>0</v>
      </c>
      <c r="AA53" s="380">
        <f t="shared" si="60"/>
        <v>0</v>
      </c>
      <c r="AC53" s="231"/>
      <c r="AD53" s="231"/>
      <c r="AE53" s="231"/>
      <c r="AF53" s="231"/>
      <c r="AG53" s="231"/>
      <c r="AH53" s="231"/>
      <c r="AI53" s="213"/>
      <c r="AJ53" s="213"/>
      <c r="AK53" s="213"/>
      <c r="AL53" s="213"/>
      <c r="AM53" s="213"/>
      <c r="AN53" s="204"/>
    </row>
    <row r="54" spans="1:40" ht="15" customHeight="1">
      <c r="A54" s="669" t="s">
        <v>217</v>
      </c>
      <c r="B54" s="1917" t="s">
        <v>461</v>
      </c>
      <c r="C54" s="274">
        <f t="shared" ref="C54:C61" si="72">IF(D54=1,U$5,IF(D54=2,V$5,IF(D54=3,W$5,IF(D54=4,X$5,IF(D54=5,Y$5,IF(D54=6,Z$5,IF(D54=7,AA$5,0)))))))</f>
        <v>0</v>
      </c>
      <c r="D54" s="274"/>
      <c r="E54" s="275"/>
      <c r="F54" s="275"/>
      <c r="G54" s="275"/>
      <c r="H54" s="276"/>
      <c r="I54" s="276"/>
      <c r="J54" s="276"/>
      <c r="K54" s="832" t="s">
        <v>151</v>
      </c>
      <c r="L54" s="276"/>
      <c r="M54" s="451"/>
      <c r="N54" s="276"/>
      <c r="O54" s="276">
        <f t="shared" ref="O54:O61" si="73">D54*(G54/25)</f>
        <v>0</v>
      </c>
      <c r="P54" s="296"/>
      <c r="Q54" s="277"/>
      <c r="R54" s="275"/>
      <c r="S54" s="229">
        <f t="shared" si="52"/>
        <v>0</v>
      </c>
      <c r="T54" s="230">
        <f t="shared" si="53"/>
        <v>0</v>
      </c>
      <c r="U54" s="374">
        <f t="shared" si="54"/>
        <v>0</v>
      </c>
      <c r="V54" s="375">
        <f t="shared" si="55"/>
        <v>0</v>
      </c>
      <c r="W54" s="376">
        <f t="shared" si="56"/>
        <v>0</v>
      </c>
      <c r="X54" s="377">
        <f t="shared" si="57"/>
        <v>0</v>
      </c>
      <c r="Y54" s="378">
        <f t="shared" si="58"/>
        <v>0</v>
      </c>
      <c r="Z54" s="379">
        <f t="shared" si="59"/>
        <v>0</v>
      </c>
      <c r="AA54" s="380">
        <f t="shared" si="60"/>
        <v>0</v>
      </c>
      <c r="AC54" s="231"/>
      <c r="AD54" s="231"/>
      <c r="AE54" s="231"/>
      <c r="AF54" s="231"/>
      <c r="AG54" s="231"/>
      <c r="AH54" s="231"/>
      <c r="AI54" s="213"/>
      <c r="AJ54" s="213"/>
      <c r="AK54" s="213"/>
      <c r="AL54" s="213"/>
      <c r="AM54" s="213"/>
      <c r="AN54" s="204"/>
    </row>
    <row r="55" spans="1:40" ht="15" customHeight="1">
      <c r="A55" s="656" t="s">
        <v>459</v>
      </c>
      <c r="B55" s="1918" t="s">
        <v>461</v>
      </c>
      <c r="C55" s="274">
        <f t="shared" si="72"/>
        <v>2.2880964381720439E-4</v>
      </c>
      <c r="D55" s="274">
        <v>1</v>
      </c>
      <c r="E55" s="275">
        <v>1</v>
      </c>
      <c r="F55" s="275">
        <v>1</v>
      </c>
      <c r="G55" s="275">
        <v>800</v>
      </c>
      <c r="H55" s="276"/>
      <c r="I55" s="276">
        <v>0</v>
      </c>
      <c r="J55" s="276">
        <v>1.1574074074074073E-4</v>
      </c>
      <c r="K55" s="312" t="s">
        <v>300</v>
      </c>
      <c r="L55" s="312"/>
      <c r="M55" s="451">
        <v>1</v>
      </c>
      <c r="N55" s="276">
        <f t="shared" ref="N55:N60" si="74">P55*E55*F55+I55*E55*F55+J55*E55</f>
        <v>32.000115740740739</v>
      </c>
      <c r="O55" s="276">
        <f t="shared" si="73"/>
        <v>32</v>
      </c>
      <c r="P55" s="296">
        <f t="shared" ref="P55:P60" si="75">O55*M55</f>
        <v>32</v>
      </c>
      <c r="Q55" s="548">
        <v>129</v>
      </c>
      <c r="R55" s="275">
        <f t="shared" ref="R55:R60" si="76">E55*F55*G55</f>
        <v>800</v>
      </c>
      <c r="S55" s="229">
        <f t="shared" si="52"/>
        <v>0.8</v>
      </c>
      <c r="T55" s="230">
        <f t="shared" si="53"/>
        <v>128</v>
      </c>
      <c r="U55" s="374">
        <f t="shared" si="54"/>
        <v>0.8</v>
      </c>
      <c r="V55" s="375">
        <f t="shared" si="55"/>
        <v>0</v>
      </c>
      <c r="W55" s="376">
        <f t="shared" si="56"/>
        <v>0</v>
      </c>
      <c r="X55" s="377">
        <f t="shared" si="57"/>
        <v>0</v>
      </c>
      <c r="Y55" s="378">
        <f t="shared" si="58"/>
        <v>0</v>
      </c>
      <c r="Z55" s="379">
        <f t="shared" si="59"/>
        <v>0</v>
      </c>
      <c r="AA55" s="380">
        <f t="shared" si="60"/>
        <v>0</v>
      </c>
      <c r="AC55" s="231"/>
      <c r="AD55" s="231"/>
      <c r="AE55" s="231"/>
      <c r="AF55" s="231"/>
      <c r="AG55" s="231"/>
      <c r="AH55" s="231"/>
      <c r="AI55" s="213"/>
      <c r="AJ55" s="213"/>
      <c r="AK55" s="213"/>
      <c r="AL55" s="213"/>
      <c r="AM55" s="213"/>
      <c r="AN55" s="204"/>
    </row>
    <row r="56" spans="1:40" ht="15" customHeight="1">
      <c r="A56" s="656" t="s">
        <v>458</v>
      </c>
      <c r="B56" s="1918" t="s">
        <v>461</v>
      </c>
      <c r="C56" s="274">
        <f t="shared" si="72"/>
        <v>2.1908757716049393E-4</v>
      </c>
      <c r="D56" s="433">
        <v>2</v>
      </c>
      <c r="E56" s="300">
        <v>1</v>
      </c>
      <c r="F56" s="300">
        <v>1</v>
      </c>
      <c r="G56" s="300">
        <v>400</v>
      </c>
      <c r="H56" s="301">
        <v>5.5555555555555558E-3</v>
      </c>
      <c r="I56" s="301"/>
      <c r="J56" s="301">
        <v>1.3888888888888889E-3</v>
      </c>
      <c r="K56" s="1123" t="s">
        <v>535</v>
      </c>
      <c r="L56" s="314"/>
      <c r="M56" s="455">
        <v>1</v>
      </c>
      <c r="N56" s="301">
        <f t="shared" si="74"/>
        <v>32.00138888888889</v>
      </c>
      <c r="O56" s="301">
        <f t="shared" si="73"/>
        <v>32</v>
      </c>
      <c r="P56" s="302">
        <f t="shared" si="75"/>
        <v>32</v>
      </c>
      <c r="Q56" s="550">
        <v>129</v>
      </c>
      <c r="R56" s="369">
        <f t="shared" si="76"/>
        <v>400</v>
      </c>
      <c r="S56" s="229">
        <f t="shared" si="52"/>
        <v>0.4</v>
      </c>
      <c r="T56" s="230">
        <f t="shared" si="53"/>
        <v>128</v>
      </c>
      <c r="U56" s="374">
        <f t="shared" si="54"/>
        <v>0</v>
      </c>
      <c r="V56" s="375">
        <f t="shared" si="55"/>
        <v>0.4</v>
      </c>
      <c r="W56" s="376">
        <f t="shared" si="56"/>
        <v>0</v>
      </c>
      <c r="X56" s="377">
        <f t="shared" si="57"/>
        <v>0</v>
      </c>
      <c r="Y56" s="378">
        <f t="shared" si="58"/>
        <v>0</v>
      </c>
      <c r="Z56" s="379">
        <f t="shared" si="59"/>
        <v>0</v>
      </c>
      <c r="AA56" s="380">
        <f t="shared" si="60"/>
        <v>0</v>
      </c>
      <c r="AC56" s="231"/>
      <c r="AD56" s="231"/>
      <c r="AE56" s="231"/>
      <c r="AF56" s="231"/>
      <c r="AG56" s="231"/>
      <c r="AH56" s="231"/>
      <c r="AI56" s="213"/>
      <c r="AJ56" s="213"/>
      <c r="AK56" s="213"/>
      <c r="AL56" s="213"/>
      <c r="AM56" s="213"/>
      <c r="AN56" s="204"/>
    </row>
    <row r="57" spans="1:40" ht="15" customHeight="1">
      <c r="A57" s="656" t="s">
        <v>218</v>
      </c>
      <c r="B57" s="831" t="s">
        <v>461</v>
      </c>
      <c r="C57" s="274">
        <f t="shared" si="72"/>
        <v>1.8933937422552669E-4</v>
      </c>
      <c r="D57" s="289">
        <v>5</v>
      </c>
      <c r="E57" s="307">
        <v>4</v>
      </c>
      <c r="F57" s="307">
        <v>1</v>
      </c>
      <c r="G57" s="307">
        <v>150</v>
      </c>
      <c r="H57" s="306"/>
      <c r="I57" s="306">
        <v>5.7870370370370366E-5</v>
      </c>
      <c r="J57" s="306">
        <v>3.472222222222222E-3</v>
      </c>
      <c r="K57" s="534" t="s">
        <v>1307</v>
      </c>
      <c r="L57" s="859"/>
      <c r="M57" s="452">
        <v>1</v>
      </c>
      <c r="N57" s="306">
        <f t="shared" si="74"/>
        <v>120.01412037037036</v>
      </c>
      <c r="O57" s="306">
        <f t="shared" si="73"/>
        <v>30</v>
      </c>
      <c r="P57" s="305">
        <f t="shared" si="75"/>
        <v>30</v>
      </c>
      <c r="Q57" s="290">
        <v>129</v>
      </c>
      <c r="R57" s="290">
        <f t="shared" si="76"/>
        <v>600</v>
      </c>
      <c r="S57" s="229">
        <f t="shared" si="52"/>
        <v>0.6</v>
      </c>
      <c r="T57" s="230">
        <f t="shared" si="53"/>
        <v>480</v>
      </c>
      <c r="U57" s="374">
        <f t="shared" si="54"/>
        <v>0</v>
      </c>
      <c r="V57" s="375">
        <f t="shared" si="55"/>
        <v>0</v>
      </c>
      <c r="W57" s="376">
        <f t="shared" si="56"/>
        <v>0</v>
      </c>
      <c r="X57" s="377">
        <f t="shared" si="57"/>
        <v>0</v>
      </c>
      <c r="Y57" s="378">
        <f t="shared" si="58"/>
        <v>0.6</v>
      </c>
      <c r="Z57" s="379">
        <f t="shared" si="59"/>
        <v>0</v>
      </c>
      <c r="AA57" s="380">
        <f t="shared" si="60"/>
        <v>0</v>
      </c>
      <c r="AC57" s="231"/>
      <c r="AD57" s="231"/>
      <c r="AE57" s="231"/>
      <c r="AF57" s="231"/>
      <c r="AG57" s="231"/>
      <c r="AH57" s="231"/>
      <c r="AI57" s="213"/>
      <c r="AJ57" s="213"/>
      <c r="AK57" s="213"/>
      <c r="AL57" s="213"/>
      <c r="AM57" s="213"/>
      <c r="AN57" s="204"/>
    </row>
    <row r="58" spans="1:40" ht="15" customHeight="1">
      <c r="A58" s="656" t="s">
        <v>458</v>
      </c>
      <c r="B58" s="831" t="s">
        <v>461</v>
      </c>
      <c r="C58" s="274">
        <f t="shared" si="72"/>
        <v>1.7682291666666674E-4</v>
      </c>
      <c r="D58" s="293">
        <v>7</v>
      </c>
      <c r="E58" s="441">
        <v>4</v>
      </c>
      <c r="F58" s="441">
        <v>3</v>
      </c>
      <c r="G58" s="441">
        <v>15</v>
      </c>
      <c r="H58" s="436"/>
      <c r="I58" s="436">
        <v>6.9444444444444447E-4</v>
      </c>
      <c r="J58" s="437">
        <v>6.9444444444444447E-4</v>
      </c>
      <c r="K58" s="442" t="s">
        <v>1875</v>
      </c>
      <c r="L58" s="442"/>
      <c r="M58" s="517">
        <v>1</v>
      </c>
      <c r="N58" s="437">
        <f t="shared" si="74"/>
        <v>50.411111111111119</v>
      </c>
      <c r="O58" s="436">
        <f t="shared" si="73"/>
        <v>4.2</v>
      </c>
      <c r="P58" s="439">
        <f t="shared" si="75"/>
        <v>4.2</v>
      </c>
      <c r="Q58" s="443">
        <v>129</v>
      </c>
      <c r="R58" s="435">
        <f t="shared" si="76"/>
        <v>180</v>
      </c>
      <c r="S58" s="229">
        <f t="shared" si="52"/>
        <v>0.18</v>
      </c>
      <c r="T58" s="230">
        <f t="shared" si="53"/>
        <v>201.60000000000002</v>
      </c>
      <c r="U58" s="374">
        <f t="shared" si="54"/>
        <v>0</v>
      </c>
      <c r="V58" s="375">
        <f t="shared" si="55"/>
        <v>0</v>
      </c>
      <c r="W58" s="376">
        <f t="shared" si="56"/>
        <v>0</v>
      </c>
      <c r="X58" s="377">
        <f t="shared" si="57"/>
        <v>0</v>
      </c>
      <c r="Y58" s="378">
        <f t="shared" si="58"/>
        <v>0</v>
      </c>
      <c r="Z58" s="379">
        <f t="shared" si="59"/>
        <v>0</v>
      </c>
      <c r="AA58" s="380">
        <f t="shared" si="60"/>
        <v>0.18</v>
      </c>
      <c r="AC58" s="231"/>
      <c r="AD58" s="231"/>
      <c r="AE58" s="231"/>
      <c r="AF58" s="231"/>
      <c r="AG58" s="231"/>
      <c r="AH58" s="231"/>
      <c r="AI58" s="213"/>
      <c r="AJ58" s="213"/>
      <c r="AK58" s="213"/>
      <c r="AL58" s="213"/>
      <c r="AM58" s="213"/>
      <c r="AN58" s="204"/>
    </row>
    <row r="59" spans="1:40" ht="15" customHeight="1">
      <c r="A59" s="208" t="s">
        <v>219</v>
      </c>
      <c r="B59" s="1918" t="s">
        <v>461</v>
      </c>
      <c r="C59" s="274">
        <f t="shared" si="72"/>
        <v>1.8933937422552669E-4</v>
      </c>
      <c r="D59" s="289">
        <v>5</v>
      </c>
      <c r="E59" s="307">
        <v>3</v>
      </c>
      <c r="F59" s="307">
        <v>3</v>
      </c>
      <c r="G59" s="307">
        <v>50</v>
      </c>
      <c r="H59" s="306"/>
      <c r="I59" s="306">
        <v>1.1574074074074073E-4</v>
      </c>
      <c r="J59" s="306">
        <v>2.0833333333333333E-3</v>
      </c>
      <c r="K59" s="317" t="s">
        <v>282</v>
      </c>
      <c r="L59" s="858"/>
      <c r="M59" s="454">
        <v>1</v>
      </c>
      <c r="N59" s="306">
        <f t="shared" si="74"/>
        <v>90.00729166666666</v>
      </c>
      <c r="O59" s="306">
        <f t="shared" si="73"/>
        <v>10</v>
      </c>
      <c r="P59" s="305">
        <f t="shared" si="75"/>
        <v>10</v>
      </c>
      <c r="Q59" s="290">
        <v>129</v>
      </c>
      <c r="R59" s="290">
        <f t="shared" si="76"/>
        <v>450</v>
      </c>
      <c r="S59" s="229">
        <f t="shared" si="52"/>
        <v>0.45</v>
      </c>
      <c r="T59" s="230">
        <f t="shared" si="53"/>
        <v>360</v>
      </c>
      <c r="U59" s="374">
        <f t="shared" si="54"/>
        <v>0</v>
      </c>
      <c r="V59" s="375">
        <f t="shared" si="55"/>
        <v>0</v>
      </c>
      <c r="W59" s="376">
        <f t="shared" si="56"/>
        <v>0</v>
      </c>
      <c r="X59" s="377">
        <f t="shared" si="57"/>
        <v>0</v>
      </c>
      <c r="Y59" s="378">
        <f t="shared" si="58"/>
        <v>0.45</v>
      </c>
      <c r="Z59" s="379">
        <f t="shared" si="59"/>
        <v>0</v>
      </c>
      <c r="AA59" s="380">
        <f t="shared" si="60"/>
        <v>0</v>
      </c>
      <c r="AC59" s="231"/>
      <c r="AD59" s="231"/>
      <c r="AE59" s="231"/>
      <c r="AF59" s="231"/>
      <c r="AG59" s="231"/>
      <c r="AH59" s="231"/>
      <c r="AI59" s="213"/>
      <c r="AJ59" s="213"/>
      <c r="AK59" s="213"/>
      <c r="AL59" s="213"/>
      <c r="AM59" s="213"/>
      <c r="AN59" s="204"/>
    </row>
    <row r="60" spans="1:40" ht="15" customHeight="1">
      <c r="A60" s="204"/>
      <c r="B60" s="1918" t="s">
        <v>461</v>
      </c>
      <c r="C60" s="274">
        <f t="shared" si="72"/>
        <v>2.2880964381720439E-4</v>
      </c>
      <c r="D60" s="274">
        <v>1</v>
      </c>
      <c r="E60" s="275">
        <v>1</v>
      </c>
      <c r="F60" s="275">
        <v>1</v>
      </c>
      <c r="G60" s="275">
        <v>300</v>
      </c>
      <c r="H60" s="276"/>
      <c r="I60" s="276">
        <v>1.1574074074074073E-4</v>
      </c>
      <c r="J60" s="276">
        <v>1.3888888888888889E-3</v>
      </c>
      <c r="K60" s="312" t="s">
        <v>706</v>
      </c>
      <c r="L60" s="312"/>
      <c r="M60" s="451">
        <v>1</v>
      </c>
      <c r="N60" s="276">
        <f t="shared" si="74"/>
        <v>12.001504629629629</v>
      </c>
      <c r="O60" s="276">
        <f t="shared" si="73"/>
        <v>12</v>
      </c>
      <c r="P60" s="296">
        <f t="shared" si="75"/>
        <v>12</v>
      </c>
      <c r="Q60" s="548">
        <v>129</v>
      </c>
      <c r="R60" s="275">
        <f t="shared" si="76"/>
        <v>300</v>
      </c>
      <c r="S60" s="229">
        <f t="shared" si="52"/>
        <v>0.3</v>
      </c>
      <c r="T60" s="230">
        <f t="shared" si="53"/>
        <v>48</v>
      </c>
      <c r="U60" s="374">
        <f t="shared" si="54"/>
        <v>0.3</v>
      </c>
      <c r="V60" s="375">
        <f t="shared" si="55"/>
        <v>0</v>
      </c>
      <c r="W60" s="376">
        <f t="shared" si="56"/>
        <v>0</v>
      </c>
      <c r="X60" s="377">
        <f t="shared" si="57"/>
        <v>0</v>
      </c>
      <c r="Y60" s="378">
        <f t="shared" si="58"/>
        <v>0</v>
      </c>
      <c r="Z60" s="379">
        <f t="shared" si="59"/>
        <v>0</v>
      </c>
      <c r="AA60" s="380">
        <f t="shared" si="60"/>
        <v>0</v>
      </c>
      <c r="AC60" s="231"/>
      <c r="AD60" s="231"/>
      <c r="AE60" s="231"/>
      <c r="AF60" s="231"/>
      <c r="AG60" s="231"/>
      <c r="AH60" s="231"/>
      <c r="AI60" s="213"/>
      <c r="AJ60" s="213"/>
      <c r="AK60" s="213"/>
      <c r="AL60" s="213"/>
      <c r="AM60" s="213"/>
      <c r="AN60" s="204"/>
    </row>
    <row r="61" spans="1:40" ht="15" customHeight="1" thickBot="1">
      <c r="A61" s="663"/>
      <c r="B61" s="663"/>
      <c r="C61" s="274">
        <f t="shared" si="72"/>
        <v>2.1908757716049393E-4</v>
      </c>
      <c r="D61" s="668">
        <v>2</v>
      </c>
      <c r="E61" s="658"/>
      <c r="F61" s="659"/>
      <c r="G61" s="659"/>
      <c r="H61" s="659"/>
      <c r="I61" s="659"/>
      <c r="J61" s="659"/>
      <c r="K61" s="660"/>
      <c r="L61" s="660"/>
      <c r="M61" s="659"/>
      <c r="N61" s="660">
        <f>SUM(N55:N60)</f>
        <v>336.43553240740738</v>
      </c>
      <c r="O61" s="660">
        <f t="shared" si="73"/>
        <v>0</v>
      </c>
      <c r="P61" s="659"/>
      <c r="Q61" s="659"/>
      <c r="R61" s="662">
        <f>SUM(R55:R60)</f>
        <v>2730</v>
      </c>
      <c r="S61" s="229">
        <f t="shared" si="52"/>
        <v>0</v>
      </c>
      <c r="T61" s="230">
        <f t="shared" si="53"/>
        <v>0</v>
      </c>
      <c r="U61" s="374">
        <f t="shared" si="54"/>
        <v>0</v>
      </c>
      <c r="V61" s="375">
        <f t="shared" si="55"/>
        <v>0</v>
      </c>
      <c r="W61" s="376">
        <f t="shared" si="56"/>
        <v>0</v>
      </c>
      <c r="X61" s="377">
        <f t="shared" si="57"/>
        <v>0</v>
      </c>
      <c r="Y61" s="378">
        <f t="shared" si="58"/>
        <v>0</v>
      </c>
      <c r="Z61" s="379">
        <f t="shared" si="59"/>
        <v>0</v>
      </c>
      <c r="AA61" s="380">
        <f t="shared" si="60"/>
        <v>0</v>
      </c>
      <c r="AC61" s="231"/>
      <c r="AD61" s="231"/>
      <c r="AE61" s="231"/>
      <c r="AF61" s="231"/>
      <c r="AG61" s="231"/>
      <c r="AH61" s="231"/>
      <c r="AI61" s="213"/>
      <c r="AJ61" s="213"/>
      <c r="AK61" s="213"/>
      <c r="AL61" s="213"/>
      <c r="AM61" s="213"/>
      <c r="AN61" s="204"/>
    </row>
    <row r="62" spans="1:40" ht="14" customHeight="1">
      <c r="A62" s="670" t="s">
        <v>218</v>
      </c>
      <c r="B62" s="667" t="s">
        <v>461</v>
      </c>
      <c r="C62" s="274">
        <f t="shared" si="34"/>
        <v>2.2880964381720439E-4</v>
      </c>
      <c r="D62" s="274">
        <v>1</v>
      </c>
      <c r="E62" s="275">
        <v>1</v>
      </c>
      <c r="F62" s="275">
        <v>1</v>
      </c>
      <c r="G62" s="275">
        <v>500</v>
      </c>
      <c r="H62" s="276"/>
      <c r="I62" s="276">
        <v>0</v>
      </c>
      <c r="J62" s="276">
        <v>0</v>
      </c>
      <c r="K62" s="277"/>
      <c r="L62" s="277"/>
      <c r="M62" s="451">
        <v>1</v>
      </c>
      <c r="N62" s="276">
        <f t="shared" ref="N62:N68" si="77">P62*E62*F62+I62*E62*F62+J62*E62</f>
        <v>20</v>
      </c>
      <c r="O62" s="276">
        <f t="shared" ref="O62:O64" si="78">D62*(G62/25)</f>
        <v>20</v>
      </c>
      <c r="P62" s="296">
        <f t="shared" ref="P62:P68" si="79">O62*M62</f>
        <v>20</v>
      </c>
      <c r="Q62" s="548">
        <v>129</v>
      </c>
      <c r="R62" s="275">
        <f t="shared" ref="R62:R68" si="80">E62*F62*G62</f>
        <v>500</v>
      </c>
      <c r="S62" s="229">
        <f t="shared" ref="S62:S64" si="81">E70*F70*G70/1000</f>
        <v>0.5</v>
      </c>
      <c r="T62" s="230">
        <f t="shared" ref="T62:T64" si="82">E70*F70*O70*4</f>
        <v>80</v>
      </c>
      <c r="U62" s="374">
        <f t="shared" ref="U62:U64" si="83">IF(C70*4&gt;=$U$4,S62,0)</f>
        <v>0.5</v>
      </c>
      <c r="V62" s="375">
        <f t="shared" ref="V62:V64" si="84">IF(AND(C70*4&gt;=$V$4,C70*4&lt;$U$4),S62,0)</f>
        <v>0</v>
      </c>
      <c r="W62" s="376">
        <f t="shared" ref="W62:W64" si="85">IF(AND(C70*4&gt;=$W$4,C70*4&lt;$V$4),S62,0)</f>
        <v>0</v>
      </c>
      <c r="X62" s="377">
        <f t="shared" ref="X62:X64" si="86">IF(AND(C70*4&gt;=$X$4,C70*4&lt;$W$4),S62,0)</f>
        <v>0</v>
      </c>
      <c r="Y62" s="378">
        <f t="shared" ref="Y62:Y64" si="87">IF(AND(C70*4&gt;=$Y$4,C70*4&lt;$X$4),S62,0)</f>
        <v>0</v>
      </c>
      <c r="Z62" s="379">
        <f t="shared" ref="Z62:Z64" si="88">IF(AND(C70*4&gt;=$Z$4,C70*4&lt;$Y$4),S62,0)</f>
        <v>0</v>
      </c>
      <c r="AA62" s="380">
        <f t="shared" ref="AA62:AA64" si="89">IF(AND(C70*4&gt;=$AA$4,C70*4&lt;$Z$4),S62,0)</f>
        <v>0</v>
      </c>
      <c r="AC62" s="231"/>
      <c r="AD62" s="231"/>
      <c r="AE62" s="231"/>
      <c r="AF62" s="231"/>
      <c r="AG62" s="231"/>
      <c r="AH62" s="231"/>
      <c r="AI62" s="213"/>
      <c r="AJ62" s="213"/>
      <c r="AK62" s="213"/>
      <c r="AL62" s="213"/>
      <c r="AM62" s="213"/>
      <c r="AN62" s="204"/>
    </row>
    <row r="63" spans="1:40" ht="14" customHeight="1">
      <c r="A63" s="664" t="s">
        <v>139</v>
      </c>
      <c r="B63" s="665" t="s">
        <v>461</v>
      </c>
      <c r="C63" s="274">
        <f t="shared" si="34"/>
        <v>2.1908757716049393E-4</v>
      </c>
      <c r="D63" s="433">
        <v>2</v>
      </c>
      <c r="E63" s="300">
        <v>1</v>
      </c>
      <c r="F63" s="300">
        <v>5</v>
      </c>
      <c r="G63" s="300">
        <v>250</v>
      </c>
      <c r="H63" s="301"/>
      <c r="I63" s="301">
        <v>2.3148148148148146E-4</v>
      </c>
      <c r="J63" s="301">
        <v>1.3888888888888889E-3</v>
      </c>
      <c r="K63" s="810" t="s">
        <v>260</v>
      </c>
      <c r="L63" s="810"/>
      <c r="M63" s="455">
        <v>1</v>
      </c>
      <c r="N63" s="301">
        <f t="shared" si="77"/>
        <v>100.00254629629629</v>
      </c>
      <c r="O63" s="301">
        <f t="shared" si="78"/>
        <v>20</v>
      </c>
      <c r="P63" s="302">
        <f t="shared" si="79"/>
        <v>20</v>
      </c>
      <c r="Q63" s="550">
        <v>129</v>
      </c>
      <c r="R63" s="369">
        <f t="shared" si="80"/>
        <v>1250</v>
      </c>
      <c r="S63" s="229">
        <f t="shared" si="81"/>
        <v>0</v>
      </c>
      <c r="T63" s="230">
        <f t="shared" si="82"/>
        <v>0</v>
      </c>
      <c r="U63" s="374">
        <f t="shared" si="83"/>
        <v>0</v>
      </c>
      <c r="V63" s="375">
        <f t="shared" si="84"/>
        <v>0</v>
      </c>
      <c r="W63" s="376">
        <f t="shared" si="85"/>
        <v>0</v>
      </c>
      <c r="X63" s="377">
        <f t="shared" si="86"/>
        <v>0</v>
      </c>
      <c r="Y63" s="378">
        <f t="shared" si="87"/>
        <v>0</v>
      </c>
      <c r="Z63" s="379">
        <f t="shared" si="88"/>
        <v>0</v>
      </c>
      <c r="AA63" s="380">
        <f t="shared" si="89"/>
        <v>0</v>
      </c>
      <c r="AC63" s="231"/>
      <c r="AD63" s="231"/>
      <c r="AE63" s="231"/>
      <c r="AF63" s="231"/>
      <c r="AG63" s="231"/>
      <c r="AH63" s="231"/>
      <c r="AI63" s="213"/>
      <c r="AJ63" s="213"/>
      <c r="AK63" s="213"/>
      <c r="AL63" s="213"/>
      <c r="AM63" s="213"/>
      <c r="AN63" s="204"/>
    </row>
    <row r="64" spans="1:40" ht="14" customHeight="1">
      <c r="A64" s="664" t="s">
        <v>462</v>
      </c>
      <c r="B64" s="829" t="s">
        <v>461</v>
      </c>
      <c r="C64" s="274">
        <f t="shared" si="34"/>
        <v>2.2880964381720439E-4</v>
      </c>
      <c r="D64" s="274">
        <v>1</v>
      </c>
      <c r="E64" s="275">
        <v>1</v>
      </c>
      <c r="F64" s="275">
        <v>1</v>
      </c>
      <c r="G64" s="275">
        <v>200</v>
      </c>
      <c r="H64" s="276"/>
      <c r="I64" s="276">
        <v>0</v>
      </c>
      <c r="J64" s="276">
        <v>1.1574074074074073E-4</v>
      </c>
      <c r="K64" s="312" t="s">
        <v>706</v>
      </c>
      <c r="L64" s="312"/>
      <c r="M64" s="451">
        <v>1</v>
      </c>
      <c r="N64" s="276">
        <f t="shared" si="77"/>
        <v>8.0001157407407408</v>
      </c>
      <c r="O64" s="276">
        <f t="shared" si="78"/>
        <v>8</v>
      </c>
      <c r="P64" s="296">
        <f t="shared" si="79"/>
        <v>8</v>
      </c>
      <c r="Q64" s="548">
        <v>129</v>
      </c>
      <c r="R64" s="275">
        <f t="shared" si="80"/>
        <v>200</v>
      </c>
      <c r="S64" s="229">
        <f t="shared" si="81"/>
        <v>0</v>
      </c>
      <c r="T64" s="230">
        <f t="shared" si="82"/>
        <v>0</v>
      </c>
      <c r="U64" s="374">
        <f t="shared" si="83"/>
        <v>0</v>
      </c>
      <c r="V64" s="375">
        <f t="shared" si="84"/>
        <v>0</v>
      </c>
      <c r="W64" s="376">
        <f t="shared" si="85"/>
        <v>0</v>
      </c>
      <c r="X64" s="377">
        <f t="shared" si="86"/>
        <v>0</v>
      </c>
      <c r="Y64" s="378">
        <f t="shared" si="87"/>
        <v>0</v>
      </c>
      <c r="Z64" s="379">
        <f t="shared" si="88"/>
        <v>0</v>
      </c>
      <c r="AA64" s="380">
        <f t="shared" si="89"/>
        <v>0</v>
      </c>
      <c r="AC64" s="231"/>
      <c r="AD64" s="231"/>
      <c r="AE64" s="231"/>
      <c r="AF64" s="231"/>
      <c r="AG64" s="231"/>
      <c r="AH64" s="231"/>
      <c r="AI64" s="213"/>
      <c r="AJ64" s="213"/>
      <c r="AK64" s="213"/>
      <c r="AL64" s="213"/>
      <c r="AM64" s="213"/>
      <c r="AN64" s="204"/>
    </row>
    <row r="65" spans="1:40" ht="14" customHeight="1" thickBot="1">
      <c r="A65" s="664" t="s">
        <v>460</v>
      </c>
      <c r="B65" s="833" t="s">
        <v>461</v>
      </c>
      <c r="C65" s="274">
        <f t="shared" si="34"/>
        <v>2.1222190799396687E-4</v>
      </c>
      <c r="D65" s="840">
        <v>3</v>
      </c>
      <c r="E65" s="867">
        <v>1</v>
      </c>
      <c r="F65" s="867">
        <v>6</v>
      </c>
      <c r="G65" s="867">
        <v>75</v>
      </c>
      <c r="H65" s="868"/>
      <c r="I65" s="868">
        <v>2.3148148148148146E-4</v>
      </c>
      <c r="J65" s="868">
        <v>1.3888888888888889E-3</v>
      </c>
      <c r="K65" s="871" t="s">
        <v>261</v>
      </c>
      <c r="L65" s="871"/>
      <c r="M65" s="869">
        <v>1</v>
      </c>
      <c r="N65" s="868">
        <f t="shared" si="77"/>
        <v>54.00277777777778</v>
      </c>
      <c r="O65" s="868">
        <f>D65*(G65/25)</f>
        <v>9</v>
      </c>
      <c r="P65" s="795">
        <f t="shared" si="79"/>
        <v>9</v>
      </c>
      <c r="Q65" s="870">
        <v>129</v>
      </c>
      <c r="R65" s="867">
        <f t="shared" si="80"/>
        <v>450</v>
      </c>
      <c r="S65" s="229">
        <f t="shared" si="18"/>
        <v>0.45</v>
      </c>
      <c r="T65" s="230">
        <f t="shared" si="19"/>
        <v>216</v>
      </c>
      <c r="U65" s="374">
        <f t="shared" si="20"/>
        <v>0</v>
      </c>
      <c r="V65" s="375">
        <f t="shared" si="21"/>
        <v>0</v>
      </c>
      <c r="W65" s="376">
        <f t="shared" si="22"/>
        <v>0.45</v>
      </c>
      <c r="X65" s="377">
        <f t="shared" si="23"/>
        <v>0</v>
      </c>
      <c r="Y65" s="378">
        <f t="shared" si="24"/>
        <v>0</v>
      </c>
      <c r="Z65" s="379">
        <f t="shared" si="25"/>
        <v>0</v>
      </c>
      <c r="AA65" s="380">
        <f t="shared" si="26"/>
        <v>0</v>
      </c>
      <c r="AC65" s="231"/>
      <c r="AD65" s="231"/>
      <c r="AE65" s="231"/>
      <c r="AF65" s="231"/>
      <c r="AG65" s="231"/>
      <c r="AH65" s="231"/>
      <c r="AI65" s="213"/>
      <c r="AJ65" s="213"/>
      <c r="AK65" s="213"/>
      <c r="AL65" s="213"/>
      <c r="AM65" s="213"/>
      <c r="AN65" s="204"/>
    </row>
    <row r="66" spans="1:40" ht="14" customHeight="1">
      <c r="A66" s="664" t="s">
        <v>458</v>
      </c>
      <c r="B66" s="665" t="s">
        <v>461</v>
      </c>
      <c r="C66" s="274">
        <f t="shared" si="34"/>
        <v>2.2880964381720439E-4</v>
      </c>
      <c r="D66" s="274">
        <v>1</v>
      </c>
      <c r="E66" s="275">
        <v>1</v>
      </c>
      <c r="F66" s="275">
        <v>1</v>
      </c>
      <c r="G66" s="275">
        <v>175</v>
      </c>
      <c r="H66" s="276"/>
      <c r="I66" s="276">
        <v>0</v>
      </c>
      <c r="J66" s="276">
        <v>1.1574074074074073E-4</v>
      </c>
      <c r="K66" s="312" t="s">
        <v>706</v>
      </c>
      <c r="L66" s="312"/>
      <c r="M66" s="451">
        <v>1</v>
      </c>
      <c r="N66" s="276">
        <f t="shared" si="77"/>
        <v>7.0001157407407408</v>
      </c>
      <c r="O66" s="276">
        <f t="shared" ref="O66:O71" si="90">D66*(G66/25)</f>
        <v>7</v>
      </c>
      <c r="P66" s="296">
        <f t="shared" si="79"/>
        <v>7</v>
      </c>
      <c r="Q66" s="548">
        <v>129</v>
      </c>
      <c r="R66" s="275">
        <f t="shared" si="80"/>
        <v>175</v>
      </c>
      <c r="S66" s="229">
        <f t="shared" si="18"/>
        <v>0.17499999999999999</v>
      </c>
      <c r="T66" s="230">
        <f t="shared" si="19"/>
        <v>28</v>
      </c>
      <c r="U66" s="374">
        <f t="shared" si="20"/>
        <v>0.17499999999999999</v>
      </c>
      <c r="V66" s="375">
        <f t="shared" si="21"/>
        <v>0</v>
      </c>
      <c r="W66" s="376">
        <f t="shared" si="22"/>
        <v>0</v>
      </c>
      <c r="X66" s="377">
        <f t="shared" si="23"/>
        <v>0</v>
      </c>
      <c r="Y66" s="378">
        <f t="shared" si="24"/>
        <v>0</v>
      </c>
      <c r="Z66" s="379">
        <f t="shared" si="25"/>
        <v>0</v>
      </c>
      <c r="AA66" s="380">
        <f t="shared" si="26"/>
        <v>0</v>
      </c>
      <c r="AC66" s="231"/>
      <c r="AD66" s="231"/>
      <c r="AE66" s="231"/>
      <c r="AF66" s="231"/>
      <c r="AG66" s="231"/>
      <c r="AH66" s="231"/>
      <c r="AI66" s="213"/>
      <c r="AJ66" s="213"/>
      <c r="AK66" s="213"/>
      <c r="AL66" s="213"/>
      <c r="AM66" s="213"/>
      <c r="AN66" s="204"/>
    </row>
    <row r="67" spans="1:40" ht="14" customHeight="1">
      <c r="A67" s="664" t="s">
        <v>219</v>
      </c>
      <c r="B67" s="665" t="s">
        <v>461</v>
      </c>
      <c r="C67" s="274">
        <f t="shared" si="34"/>
        <v>1.8229166666666673E-4</v>
      </c>
      <c r="D67" s="364">
        <v>6</v>
      </c>
      <c r="E67" s="365">
        <v>1</v>
      </c>
      <c r="F67" s="365">
        <v>18</v>
      </c>
      <c r="G67" s="365">
        <v>25</v>
      </c>
      <c r="H67" s="366"/>
      <c r="I67" s="366">
        <v>3.4722222222222224E-4</v>
      </c>
      <c r="J67" s="366">
        <v>0</v>
      </c>
      <c r="K67" s="367" t="s">
        <v>1305</v>
      </c>
      <c r="L67" s="685"/>
      <c r="M67" s="456">
        <v>1</v>
      </c>
      <c r="N67" s="366">
        <f t="shared" si="77"/>
        <v>108.00624999999999</v>
      </c>
      <c r="O67" s="366">
        <f t="shared" si="90"/>
        <v>6</v>
      </c>
      <c r="P67" s="368">
        <f t="shared" si="79"/>
        <v>6</v>
      </c>
      <c r="Q67" s="365">
        <v>129</v>
      </c>
      <c r="R67" s="365">
        <f t="shared" si="80"/>
        <v>450</v>
      </c>
      <c r="S67" s="229">
        <f t="shared" si="18"/>
        <v>0.45</v>
      </c>
      <c r="T67" s="230">
        <f t="shared" si="19"/>
        <v>432</v>
      </c>
      <c r="U67" s="374">
        <f t="shared" si="20"/>
        <v>0</v>
      </c>
      <c r="V67" s="375">
        <f t="shared" si="21"/>
        <v>0</v>
      </c>
      <c r="W67" s="376">
        <f t="shared" si="22"/>
        <v>0</v>
      </c>
      <c r="X67" s="377">
        <f t="shared" si="23"/>
        <v>0</v>
      </c>
      <c r="Y67" s="378">
        <f t="shared" si="24"/>
        <v>0</v>
      </c>
      <c r="Z67" s="379">
        <f t="shared" si="25"/>
        <v>0.45</v>
      </c>
      <c r="AA67" s="380">
        <f t="shared" si="26"/>
        <v>0</v>
      </c>
      <c r="AC67" s="231"/>
      <c r="AD67" s="231"/>
      <c r="AE67" s="231"/>
      <c r="AF67" s="231"/>
      <c r="AG67" s="231"/>
      <c r="AH67" s="231"/>
      <c r="AI67" s="213"/>
      <c r="AJ67" s="213"/>
      <c r="AK67" s="213"/>
      <c r="AL67" s="213"/>
      <c r="AM67" s="213"/>
      <c r="AN67" s="204"/>
    </row>
    <row r="68" spans="1:40" ht="13.25" customHeight="1">
      <c r="A68" s="664"/>
      <c r="B68" s="665" t="s">
        <v>461</v>
      </c>
      <c r="C68" s="274">
        <f t="shared" si="34"/>
        <v>2.2880964381720439E-4</v>
      </c>
      <c r="D68" s="274">
        <v>1</v>
      </c>
      <c r="E68" s="275">
        <v>1</v>
      </c>
      <c r="F68" s="275">
        <v>1</v>
      </c>
      <c r="G68" s="275">
        <v>300</v>
      </c>
      <c r="H68" s="276"/>
      <c r="I68" s="276">
        <v>1.1574074074074073E-4</v>
      </c>
      <c r="J68" s="276">
        <v>1.3888888888888889E-3</v>
      </c>
      <c r="K68" s="312" t="s">
        <v>706</v>
      </c>
      <c r="L68" s="312"/>
      <c r="M68" s="451">
        <v>1</v>
      </c>
      <c r="N68" s="276">
        <f t="shared" si="77"/>
        <v>12.001504629629629</v>
      </c>
      <c r="O68" s="276">
        <f t="shared" si="90"/>
        <v>12</v>
      </c>
      <c r="P68" s="296">
        <f t="shared" si="79"/>
        <v>12</v>
      </c>
      <c r="Q68" s="548">
        <v>129</v>
      </c>
      <c r="R68" s="275">
        <f t="shared" si="80"/>
        <v>300</v>
      </c>
      <c r="S68" s="229">
        <f t="shared" si="18"/>
        <v>0.3</v>
      </c>
      <c r="T68" s="230">
        <f t="shared" si="19"/>
        <v>48</v>
      </c>
      <c r="U68" s="374">
        <f t="shared" si="20"/>
        <v>0.3</v>
      </c>
      <c r="V68" s="375">
        <f t="shared" si="21"/>
        <v>0</v>
      </c>
      <c r="W68" s="376">
        <f t="shared" si="22"/>
        <v>0</v>
      </c>
      <c r="X68" s="377">
        <f t="shared" si="23"/>
        <v>0</v>
      </c>
      <c r="Y68" s="378">
        <f t="shared" si="24"/>
        <v>0</v>
      </c>
      <c r="Z68" s="379">
        <f t="shared" si="25"/>
        <v>0</v>
      </c>
      <c r="AA68" s="380">
        <f t="shared" si="26"/>
        <v>0</v>
      </c>
      <c r="AC68" s="231"/>
      <c r="AD68" s="231"/>
      <c r="AE68" s="231"/>
      <c r="AF68" s="231"/>
      <c r="AG68" s="231"/>
      <c r="AH68" s="231"/>
      <c r="AI68" s="213"/>
      <c r="AJ68" s="213"/>
      <c r="AK68" s="213"/>
      <c r="AL68" s="213"/>
      <c r="AM68" s="213"/>
      <c r="AN68" s="204"/>
    </row>
    <row r="69" spans="1:40" ht="14" customHeight="1" thickBot="1">
      <c r="A69" s="664"/>
      <c r="B69" s="830"/>
      <c r="C69" s="274">
        <f t="shared" si="34"/>
        <v>2.1908757716049393E-4</v>
      </c>
      <c r="D69" s="658">
        <v>2</v>
      </c>
      <c r="E69" s="659"/>
      <c r="F69" s="659"/>
      <c r="G69" s="659"/>
      <c r="H69" s="659"/>
      <c r="I69" s="659"/>
      <c r="J69" s="659"/>
      <c r="K69" s="660"/>
      <c r="L69" s="660"/>
      <c r="M69" s="661"/>
      <c r="N69" s="660">
        <f>SUM(N62:N68)</f>
        <v>309.01331018518511</v>
      </c>
      <c r="O69" s="659">
        <f t="shared" si="90"/>
        <v>0</v>
      </c>
      <c r="P69" s="659"/>
      <c r="Q69" s="659"/>
      <c r="R69" s="662">
        <f>SUM(R62:R68)</f>
        <v>3325</v>
      </c>
      <c r="S69" s="229">
        <f t="shared" si="18"/>
        <v>0</v>
      </c>
      <c r="T69" s="230">
        <f t="shared" si="19"/>
        <v>0</v>
      </c>
      <c r="U69" s="374">
        <f t="shared" si="20"/>
        <v>0</v>
      </c>
      <c r="V69" s="375">
        <f t="shared" si="21"/>
        <v>0</v>
      </c>
      <c r="W69" s="376">
        <f t="shared" si="22"/>
        <v>0</v>
      </c>
      <c r="X69" s="377">
        <f t="shared" si="23"/>
        <v>0</v>
      </c>
      <c r="Y69" s="378">
        <f t="shared" si="24"/>
        <v>0</v>
      </c>
      <c r="Z69" s="379">
        <f t="shared" si="25"/>
        <v>0</v>
      </c>
      <c r="AA69" s="380">
        <f t="shared" si="26"/>
        <v>0</v>
      </c>
      <c r="AC69" s="231"/>
      <c r="AD69" s="231"/>
      <c r="AE69" s="231"/>
      <c r="AF69" s="231"/>
      <c r="AG69" s="231"/>
      <c r="AH69" s="231"/>
      <c r="AI69" s="213"/>
      <c r="AJ69" s="213"/>
      <c r="AK69" s="213"/>
      <c r="AL69" s="213"/>
      <c r="AM69" s="213"/>
      <c r="AN69" s="204"/>
    </row>
    <row r="70" spans="1:40" ht="13.25" customHeight="1" thickBot="1">
      <c r="A70" s="851"/>
      <c r="B70" s="829"/>
      <c r="C70" s="274">
        <f t="shared" si="34"/>
        <v>2.2880964381720439E-4</v>
      </c>
      <c r="D70" s="678">
        <v>1</v>
      </c>
      <c r="E70" s="275">
        <v>1</v>
      </c>
      <c r="F70" s="275">
        <v>1</v>
      </c>
      <c r="G70" s="275">
        <v>500</v>
      </c>
      <c r="H70" s="276"/>
      <c r="I70" s="276">
        <v>0</v>
      </c>
      <c r="J70" s="276">
        <v>0</v>
      </c>
      <c r="K70" s="8030" t="s">
        <v>2197</v>
      </c>
      <c r="L70" s="312"/>
      <c r="M70" s="451">
        <v>1</v>
      </c>
      <c r="N70" s="276">
        <f>P70*E70*F70+I70*E70*F70+J70*E70</f>
        <v>20</v>
      </c>
      <c r="O70" s="276">
        <f t="shared" si="90"/>
        <v>20</v>
      </c>
      <c r="P70" s="296">
        <f>O70*M70</f>
        <v>20</v>
      </c>
      <c r="Q70" s="548">
        <v>129</v>
      </c>
      <c r="R70" s="275">
        <f>E70*F70*G70</f>
        <v>500</v>
      </c>
      <c r="S70" s="229">
        <f t="shared" si="18"/>
        <v>0.5</v>
      </c>
      <c r="T70" s="230">
        <f t="shared" si="19"/>
        <v>80</v>
      </c>
      <c r="U70" s="374">
        <f t="shared" si="20"/>
        <v>0.5</v>
      </c>
      <c r="V70" s="375">
        <f t="shared" si="21"/>
        <v>0</v>
      </c>
      <c r="W70" s="376">
        <f t="shared" si="22"/>
        <v>0</v>
      </c>
      <c r="X70" s="377">
        <f t="shared" si="23"/>
        <v>0</v>
      </c>
      <c r="Y70" s="378">
        <f t="shared" si="24"/>
        <v>0</v>
      </c>
      <c r="Z70" s="379">
        <f t="shared" si="25"/>
        <v>0</v>
      </c>
      <c r="AA70" s="380">
        <f t="shared" si="26"/>
        <v>0</v>
      </c>
      <c r="AC70" s="231"/>
      <c r="AD70" s="231"/>
      <c r="AE70" s="231"/>
      <c r="AF70" s="231"/>
      <c r="AG70" s="231"/>
      <c r="AH70" s="231"/>
      <c r="AI70" s="213"/>
      <c r="AJ70" s="213"/>
      <c r="AK70" s="213"/>
      <c r="AL70" s="213"/>
      <c r="AM70" s="213"/>
      <c r="AN70" s="204"/>
    </row>
    <row r="71" spans="1:40" ht="14" customHeight="1" thickBot="1">
      <c r="A71" s="963"/>
      <c r="B71" s="964"/>
      <c r="C71" s="274">
        <f t="shared" si="34"/>
        <v>2.2880964381720439E-4</v>
      </c>
      <c r="D71" s="658">
        <v>1</v>
      </c>
      <c r="E71" s="659"/>
      <c r="F71" s="659"/>
      <c r="G71" s="659"/>
      <c r="H71" s="659"/>
      <c r="I71" s="659"/>
      <c r="J71" s="659"/>
      <c r="K71" s="8031"/>
      <c r="L71" s="660"/>
      <c r="M71" s="661"/>
      <c r="N71" s="660"/>
      <c r="O71" s="659">
        <f t="shared" si="90"/>
        <v>0</v>
      </c>
      <c r="P71" s="659"/>
      <c r="Q71" s="659"/>
      <c r="R71" s="662"/>
      <c r="S71" s="229">
        <f t="shared" si="18"/>
        <v>0</v>
      </c>
      <c r="T71" s="230">
        <f t="shared" si="19"/>
        <v>0</v>
      </c>
      <c r="U71" s="374">
        <f t="shared" si="20"/>
        <v>0</v>
      </c>
      <c r="V71" s="375">
        <f t="shared" si="21"/>
        <v>0</v>
      </c>
      <c r="W71" s="376">
        <f t="shared" si="22"/>
        <v>0</v>
      </c>
      <c r="X71" s="377">
        <f t="shared" si="23"/>
        <v>0</v>
      </c>
      <c r="Y71" s="378">
        <f t="shared" si="24"/>
        <v>0</v>
      </c>
      <c r="Z71" s="379">
        <f t="shared" si="25"/>
        <v>0</v>
      </c>
      <c r="AA71" s="380">
        <f t="shared" si="26"/>
        <v>0</v>
      </c>
      <c r="AC71" s="231"/>
      <c r="AD71" s="231"/>
      <c r="AE71" s="231"/>
      <c r="AF71" s="231"/>
      <c r="AG71" s="231"/>
      <c r="AH71" s="231"/>
      <c r="AI71" s="213"/>
      <c r="AJ71" s="213"/>
      <c r="AK71" s="213"/>
      <c r="AL71" s="213"/>
      <c r="AM71" s="213"/>
      <c r="AN71" s="204"/>
    </row>
    <row r="72" spans="1:40" ht="14" customHeight="1">
      <c r="A72" s="669" t="s">
        <v>219</v>
      </c>
      <c r="B72" s="1262" t="s">
        <v>461</v>
      </c>
      <c r="C72" s="274"/>
      <c r="D72" s="1237"/>
      <c r="E72" s="438"/>
      <c r="F72" s="438"/>
      <c r="G72" s="438"/>
      <c r="H72" s="1301"/>
      <c r="I72" s="1301"/>
      <c r="J72" s="2425"/>
      <c r="K72" s="2497"/>
      <c r="L72" s="4116"/>
      <c r="M72" s="1202"/>
      <c r="N72" s="1904"/>
      <c r="O72" s="1191"/>
      <c r="P72" s="1904"/>
      <c r="Q72" s="788"/>
      <c r="R72" s="1187"/>
      <c r="S72" s="229">
        <f t="shared" ref="S72:S77" si="91">E72*F72*G72/1000</f>
        <v>0</v>
      </c>
      <c r="T72" s="230">
        <f t="shared" ref="T72:T77" si="92">E72*F72*O72*4</f>
        <v>0</v>
      </c>
      <c r="U72" s="374">
        <f t="shared" ref="U72:U77" si="93">IF(C72*4&gt;=$U$4,S72,0)</f>
        <v>0</v>
      </c>
      <c r="V72" s="375">
        <f t="shared" ref="V72:V77" si="94">IF(AND(C72*4&gt;=$V$4,C72*4&lt;$U$4),S72,0)</f>
        <v>0</v>
      </c>
      <c r="W72" s="376">
        <f t="shared" ref="W72:W77" si="95">IF(AND(C72*4&gt;=$W$4,C72*4&lt;$V$4),S72,0)</f>
        <v>0</v>
      </c>
      <c r="X72" s="377">
        <f t="shared" ref="X72:X77" si="96">IF(AND(C72*4&gt;=$X$4,C72*4&lt;$W$4),S72,0)</f>
        <v>0</v>
      </c>
      <c r="Y72" s="378">
        <f t="shared" ref="Y72:Y77" si="97">IF(AND(C72*4&gt;=$Y$4,C72*4&lt;$X$4),S72,0)</f>
        <v>0</v>
      </c>
      <c r="Z72" s="379">
        <f t="shared" ref="Z72:Z77" si="98">IF(AND(C72*4&gt;=$Z$4,C72*4&lt;$Y$4),S72,0)</f>
        <v>0</v>
      </c>
      <c r="AA72" s="380">
        <f t="shared" ref="AA72:AA77" si="99">IF(AND(C72*4&gt;=$AA$4,C72*4&lt;$Z$4),S72,0)</f>
        <v>0</v>
      </c>
      <c r="AB72" s="144"/>
      <c r="AC72" s="213"/>
      <c r="AD72" s="213"/>
      <c r="AE72" s="222"/>
      <c r="AF72" s="222"/>
      <c r="AG72" s="222"/>
      <c r="AH72" s="222"/>
      <c r="AI72" s="222"/>
      <c r="AJ72" s="213"/>
      <c r="AK72" s="213"/>
      <c r="AL72" s="213"/>
      <c r="AM72" s="213"/>
    </row>
    <row r="73" spans="1:40" ht="14" customHeight="1">
      <c r="A73" s="1918" t="s">
        <v>138</v>
      </c>
      <c r="B73" s="1262"/>
      <c r="C73" s="4107"/>
      <c r="D73" s="1237"/>
      <c r="E73" s="4108"/>
      <c r="F73" s="4108"/>
      <c r="G73" s="438"/>
      <c r="H73" s="1301"/>
      <c r="I73" s="4109"/>
      <c r="J73" s="2425"/>
      <c r="K73" s="4110"/>
      <c r="L73" s="1904"/>
      <c r="M73" s="4111"/>
      <c r="N73" s="1904"/>
      <c r="O73" s="4112"/>
      <c r="P73" s="1904"/>
      <c r="Q73" s="4113"/>
      <c r="R73" s="4114"/>
      <c r="S73" s="229">
        <f t="shared" si="91"/>
        <v>0</v>
      </c>
      <c r="T73" s="230">
        <f t="shared" si="92"/>
        <v>0</v>
      </c>
      <c r="U73" s="374">
        <f t="shared" si="93"/>
        <v>0</v>
      </c>
      <c r="V73" s="375">
        <f t="shared" si="94"/>
        <v>0</v>
      </c>
      <c r="W73" s="376">
        <f t="shared" si="95"/>
        <v>0</v>
      </c>
      <c r="X73" s="377">
        <f t="shared" si="96"/>
        <v>0</v>
      </c>
      <c r="Y73" s="378">
        <f t="shared" si="97"/>
        <v>0</v>
      </c>
      <c r="Z73" s="379">
        <f t="shared" si="98"/>
        <v>0</v>
      </c>
      <c r="AA73" s="380">
        <f t="shared" si="99"/>
        <v>0</v>
      </c>
      <c r="AB73" s="144"/>
      <c r="AC73" s="213"/>
      <c r="AD73" s="213"/>
      <c r="AE73" s="222"/>
      <c r="AF73" s="222"/>
      <c r="AG73" s="222"/>
      <c r="AH73" s="222"/>
      <c r="AI73" s="222"/>
      <c r="AJ73" s="213"/>
      <c r="AK73" s="213"/>
      <c r="AL73" s="213"/>
      <c r="AM73" s="213"/>
    </row>
    <row r="74" spans="1:40" s="245" customFormat="1" ht="14" customHeight="1">
      <c r="A74" s="1918" t="s">
        <v>779</v>
      </c>
      <c r="B74" s="1262" t="s">
        <v>461</v>
      </c>
      <c r="C74" s="274"/>
      <c r="D74" s="1237"/>
      <c r="E74" s="438"/>
      <c r="F74" s="438"/>
      <c r="G74" s="438"/>
      <c r="H74" s="1301"/>
      <c r="I74" s="1301"/>
      <c r="J74" s="2425"/>
      <c r="K74" s="2498"/>
      <c r="L74" s="4118"/>
      <c r="M74" s="1202"/>
      <c r="N74" s="1904"/>
      <c r="O74" s="1191"/>
      <c r="P74" s="1904"/>
      <c r="Q74" s="788"/>
      <c r="R74" s="1187"/>
      <c r="S74" s="229">
        <f t="shared" si="91"/>
        <v>0</v>
      </c>
      <c r="T74" s="230">
        <f t="shared" si="92"/>
        <v>0</v>
      </c>
      <c r="U74" s="374">
        <f t="shared" si="93"/>
        <v>0</v>
      </c>
      <c r="V74" s="375">
        <f t="shared" si="94"/>
        <v>0</v>
      </c>
      <c r="W74" s="376">
        <f t="shared" si="95"/>
        <v>0</v>
      </c>
      <c r="X74" s="377">
        <f t="shared" si="96"/>
        <v>0</v>
      </c>
      <c r="Y74" s="378">
        <f t="shared" si="97"/>
        <v>0</v>
      </c>
      <c r="Z74" s="379">
        <f t="shared" si="98"/>
        <v>0</v>
      </c>
      <c r="AA74" s="380">
        <f t="shared" si="99"/>
        <v>0</v>
      </c>
      <c r="AB74" s="144"/>
      <c r="AC74" s="214"/>
      <c r="AD74" s="214"/>
      <c r="AE74" s="222"/>
      <c r="AF74" s="222"/>
      <c r="AG74" s="222"/>
      <c r="AH74" s="222"/>
      <c r="AI74" s="222"/>
      <c r="AJ74" s="214"/>
      <c r="AK74" s="214"/>
      <c r="AL74" s="214"/>
      <c r="AM74" s="214"/>
      <c r="AN74" s="244"/>
    </row>
    <row r="75" spans="1:40" ht="17" customHeight="1">
      <c r="A75" s="1918" t="s">
        <v>138</v>
      </c>
      <c r="B75" s="1262" t="s">
        <v>461</v>
      </c>
      <c r="C75" s="274"/>
      <c r="D75" s="1237"/>
      <c r="E75" s="438"/>
      <c r="F75" s="438"/>
      <c r="G75" s="438"/>
      <c r="H75" s="1301"/>
      <c r="I75" s="1301"/>
      <c r="J75" s="2425"/>
      <c r="K75" s="2426"/>
      <c r="L75" s="4116"/>
      <c r="M75" s="1202"/>
      <c r="N75" s="1904"/>
      <c r="O75" s="1191"/>
      <c r="P75" s="1904"/>
      <c r="Q75" s="788"/>
      <c r="R75" s="1187"/>
      <c r="S75" s="229">
        <f t="shared" si="91"/>
        <v>0</v>
      </c>
      <c r="T75" s="230">
        <f t="shared" si="92"/>
        <v>0</v>
      </c>
      <c r="U75" s="374">
        <f t="shared" si="93"/>
        <v>0</v>
      </c>
      <c r="V75" s="375">
        <f t="shared" si="94"/>
        <v>0</v>
      </c>
      <c r="W75" s="376">
        <f t="shared" si="95"/>
        <v>0</v>
      </c>
      <c r="X75" s="377">
        <f t="shared" si="96"/>
        <v>0</v>
      </c>
      <c r="Y75" s="378">
        <f t="shared" si="97"/>
        <v>0</v>
      </c>
      <c r="Z75" s="379">
        <f t="shared" si="98"/>
        <v>0</v>
      </c>
      <c r="AA75" s="380">
        <f t="shared" si="99"/>
        <v>0</v>
      </c>
      <c r="AB75" s="144"/>
      <c r="AE75" s="222"/>
      <c r="AF75" s="222"/>
      <c r="AG75" s="222"/>
      <c r="AH75" s="222"/>
      <c r="AI75" s="222"/>
    </row>
    <row r="76" spans="1:40" ht="17" customHeight="1" thickBot="1">
      <c r="A76" s="1918" t="s">
        <v>220</v>
      </c>
      <c r="B76" s="1262"/>
      <c r="C76" s="4107"/>
      <c r="D76" s="1237"/>
      <c r="E76" s="4108"/>
      <c r="F76" s="4108"/>
      <c r="G76" s="4108"/>
      <c r="H76" s="4109"/>
      <c r="I76" s="4109"/>
      <c r="J76" s="2425"/>
      <c r="K76" s="4115"/>
      <c r="L76" s="4117"/>
      <c r="M76" s="4111"/>
      <c r="N76" s="1904"/>
      <c r="O76" s="4112"/>
      <c r="P76" s="1904"/>
      <c r="Q76" s="4113"/>
      <c r="R76" s="1187"/>
      <c r="S76" s="229">
        <f t="shared" si="91"/>
        <v>0</v>
      </c>
      <c r="T76" s="230">
        <f t="shared" si="92"/>
        <v>0</v>
      </c>
      <c r="U76" s="374">
        <f t="shared" si="93"/>
        <v>0</v>
      </c>
      <c r="V76" s="375">
        <f t="shared" si="94"/>
        <v>0</v>
      </c>
      <c r="W76" s="376">
        <f t="shared" si="95"/>
        <v>0</v>
      </c>
      <c r="X76" s="377">
        <f t="shared" si="96"/>
        <v>0</v>
      </c>
      <c r="Y76" s="378">
        <f t="shared" si="97"/>
        <v>0</v>
      </c>
      <c r="Z76" s="379">
        <f t="shared" si="98"/>
        <v>0</v>
      </c>
      <c r="AA76" s="380">
        <f t="shared" si="99"/>
        <v>0</v>
      </c>
      <c r="AB76" s="144"/>
      <c r="AE76" s="222"/>
      <c r="AF76" s="222"/>
      <c r="AG76" s="222"/>
      <c r="AH76" s="222"/>
      <c r="AI76" s="222"/>
    </row>
    <row r="77" spans="1:40" ht="15.75" customHeight="1">
      <c r="A77" s="208" t="s">
        <v>674</v>
      </c>
      <c r="B77" s="1273" t="s">
        <v>461</v>
      </c>
      <c r="C77" s="274"/>
      <c r="D77" s="1237"/>
      <c r="E77" s="438"/>
      <c r="F77" s="438"/>
      <c r="G77" s="438"/>
      <c r="H77" s="1301"/>
      <c r="I77" s="1301"/>
      <c r="J77" s="2425"/>
      <c r="K77" s="4110"/>
      <c r="L77" s="1904"/>
      <c r="M77" s="1202"/>
      <c r="N77" s="1904"/>
      <c r="O77" s="1191"/>
      <c r="P77" s="1904"/>
      <c r="Q77" s="788"/>
      <c r="R77" s="1187"/>
      <c r="S77" s="229">
        <f t="shared" si="91"/>
        <v>0</v>
      </c>
      <c r="T77" s="230">
        <f t="shared" si="92"/>
        <v>0</v>
      </c>
      <c r="U77" s="374">
        <f t="shared" si="93"/>
        <v>0</v>
      </c>
      <c r="V77" s="375">
        <f t="shared" si="94"/>
        <v>0</v>
      </c>
      <c r="W77" s="376">
        <f t="shared" si="95"/>
        <v>0</v>
      </c>
      <c r="X77" s="377">
        <f t="shared" si="96"/>
        <v>0</v>
      </c>
      <c r="Y77" s="378">
        <f t="shared" si="97"/>
        <v>0</v>
      </c>
      <c r="Z77" s="379">
        <f t="shared" si="98"/>
        <v>0</v>
      </c>
      <c r="AA77" s="380">
        <f t="shared" si="99"/>
        <v>0</v>
      </c>
      <c r="AB77" s="144"/>
    </row>
    <row r="78" spans="1:40" ht="14" customHeight="1">
      <c r="A78" s="204"/>
      <c r="B78" s="1262" t="s">
        <v>461</v>
      </c>
      <c r="C78" s="1258"/>
      <c r="D78" s="1259"/>
      <c r="E78" s="336"/>
      <c r="F78" s="336"/>
      <c r="G78" s="336"/>
      <c r="H78" s="336"/>
      <c r="I78" s="336"/>
      <c r="J78" s="336"/>
      <c r="K78" s="336"/>
      <c r="L78" s="1003"/>
      <c r="M78" s="1198"/>
      <c r="N78" s="1008"/>
      <c r="O78" s="336"/>
      <c r="P78" s="336"/>
      <c r="Q78" s="336"/>
      <c r="R78" s="1238">
        <f>SUM(R72:R77)</f>
        <v>0</v>
      </c>
      <c r="S78" s="144"/>
      <c r="T78" s="6002"/>
      <c r="U78" s="6003">
        <f>SUM(U6:U77)</f>
        <v>5.4749999999999996</v>
      </c>
      <c r="V78" s="6003">
        <f t="shared" ref="V78:AA78" si="100">SUM(V6:V77)</f>
        <v>2.0499999999999998</v>
      </c>
      <c r="W78" s="6003">
        <f t="shared" si="100"/>
        <v>3.0500000000000007</v>
      </c>
      <c r="X78" s="6003">
        <f t="shared" si="100"/>
        <v>1.1400000000000001</v>
      </c>
      <c r="Y78" s="6003">
        <f t="shared" si="100"/>
        <v>4.5459999999999994</v>
      </c>
      <c r="Z78" s="6003">
        <f t="shared" si="100"/>
        <v>1.05</v>
      </c>
      <c r="AA78" s="6003">
        <f t="shared" si="100"/>
        <v>1.4200000000000002</v>
      </c>
      <c r="AB78" s="6004">
        <f>SUM(U78:AA78)</f>
        <v>18.731000000000002</v>
      </c>
      <c r="AC78" s="221"/>
      <c r="AD78" s="222"/>
      <c r="AE78" s="222"/>
      <c r="AF78" s="222"/>
      <c r="AG78" s="222"/>
      <c r="AH78" s="222"/>
      <c r="AI78" s="220"/>
      <c r="AJ78" s="204"/>
      <c r="AK78" s="204"/>
      <c r="AL78" s="204"/>
      <c r="AM78" s="204"/>
      <c r="AN78" s="204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566">
        <f t="shared" ref="U79:AA90" si="101">IF(U78&gt;0,U78,U77)</f>
        <v>5.4749999999999996</v>
      </c>
      <c r="V79" s="566">
        <f t="shared" si="101"/>
        <v>2.0499999999999998</v>
      </c>
      <c r="W79" s="566">
        <f t="shared" si="101"/>
        <v>3.0500000000000007</v>
      </c>
      <c r="X79" s="566">
        <f t="shared" si="101"/>
        <v>1.1400000000000001</v>
      </c>
      <c r="Y79" s="566">
        <f t="shared" si="101"/>
        <v>4.5459999999999994</v>
      </c>
      <c r="Z79" s="566">
        <f t="shared" si="101"/>
        <v>1.05</v>
      </c>
      <c r="AA79" s="566">
        <f t="shared" si="101"/>
        <v>1.4200000000000002</v>
      </c>
      <c r="AB79" s="144"/>
      <c r="AC79" s="231" t="s">
        <v>193</v>
      </c>
      <c r="AD79" s="227"/>
      <c r="AE79" s="227"/>
      <c r="AF79" s="227"/>
      <c r="AG79" s="227"/>
      <c r="AH79" s="227"/>
      <c r="AI79" s="225"/>
      <c r="AJ79" s="204"/>
      <c r="AK79" s="204"/>
      <c r="AL79" s="204"/>
      <c r="AM79" s="204"/>
      <c r="AN79" s="204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566">
        <f t="shared" si="101"/>
        <v>5.4749999999999996</v>
      </c>
      <c r="V80" s="566">
        <f t="shared" si="101"/>
        <v>2.0499999999999998</v>
      </c>
      <c r="W80" s="566">
        <f t="shared" si="101"/>
        <v>3.0500000000000007</v>
      </c>
      <c r="X80" s="566">
        <f t="shared" si="101"/>
        <v>1.1400000000000001</v>
      </c>
      <c r="Y80" s="566">
        <f t="shared" si="101"/>
        <v>4.5459999999999994</v>
      </c>
      <c r="Z80" s="566">
        <f t="shared" si="101"/>
        <v>1.05</v>
      </c>
      <c r="AA80" s="566">
        <f t="shared" si="101"/>
        <v>1.4200000000000002</v>
      </c>
      <c r="AB80" s="144"/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25"/>
      <c r="AJ80" s="204"/>
      <c r="AK80" s="204"/>
      <c r="AL80" s="204"/>
      <c r="AM80" s="204"/>
      <c r="AN80" s="204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566">
        <f t="shared" si="101"/>
        <v>5.4749999999999996</v>
      </c>
      <c r="V81" s="566">
        <f t="shared" si="101"/>
        <v>2.0499999999999998</v>
      </c>
      <c r="W81" s="566">
        <f t="shared" si="101"/>
        <v>3.0500000000000007</v>
      </c>
      <c r="X81" s="566">
        <f t="shared" si="101"/>
        <v>1.1400000000000001</v>
      </c>
      <c r="Y81" s="566">
        <f t="shared" si="101"/>
        <v>4.5459999999999994</v>
      </c>
      <c r="Z81" s="566">
        <f t="shared" si="101"/>
        <v>1.05</v>
      </c>
      <c r="AA81" s="566">
        <f t="shared" si="101"/>
        <v>1.4200000000000002</v>
      </c>
      <c r="AB81" s="144"/>
      <c r="AC81" s="231"/>
      <c r="AD81" s="231"/>
      <c r="AE81" s="231"/>
      <c r="AF81" s="231"/>
      <c r="AG81" s="231"/>
      <c r="AH81" s="231"/>
      <c r="AI81" s="225"/>
      <c r="AJ81" s="204"/>
      <c r="AK81" s="204"/>
      <c r="AL81" s="204"/>
      <c r="AM81" s="204"/>
      <c r="AN81" s="204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566">
        <f t="shared" si="101"/>
        <v>5.4749999999999996</v>
      </c>
      <c r="V82" s="566">
        <f t="shared" si="101"/>
        <v>2.0499999999999998</v>
      </c>
      <c r="W82" s="566">
        <f t="shared" si="101"/>
        <v>3.0500000000000007</v>
      </c>
      <c r="X82" s="566">
        <f t="shared" si="101"/>
        <v>1.1400000000000001</v>
      </c>
      <c r="Y82" s="566">
        <f t="shared" si="101"/>
        <v>4.5459999999999994</v>
      </c>
      <c r="Z82" s="566">
        <f t="shared" si="101"/>
        <v>1.05</v>
      </c>
      <c r="AA82" s="566">
        <f t="shared" si="101"/>
        <v>1.4200000000000002</v>
      </c>
      <c r="AB82" s="144"/>
      <c r="AC82" s="231"/>
      <c r="AD82" s="231"/>
      <c r="AE82" s="231"/>
      <c r="AF82" s="231"/>
      <c r="AG82" s="231"/>
      <c r="AH82" s="231"/>
      <c r="AI82" s="225"/>
      <c r="AJ82" s="204"/>
      <c r="AK82" s="204"/>
      <c r="AL82" s="204"/>
      <c r="AM82" s="204"/>
      <c r="AN82" s="204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566">
        <f t="shared" si="101"/>
        <v>5.4749999999999996</v>
      </c>
      <c r="V83" s="566">
        <f t="shared" si="101"/>
        <v>2.0499999999999998</v>
      </c>
      <c r="W83" s="566">
        <f t="shared" si="101"/>
        <v>3.0500000000000007</v>
      </c>
      <c r="X83" s="566">
        <f t="shared" si="101"/>
        <v>1.1400000000000001</v>
      </c>
      <c r="Y83" s="566">
        <f t="shared" si="101"/>
        <v>4.5459999999999994</v>
      </c>
      <c r="Z83" s="566">
        <f t="shared" si="101"/>
        <v>1.05</v>
      </c>
      <c r="AA83" s="566">
        <f t="shared" si="101"/>
        <v>1.4200000000000002</v>
      </c>
      <c r="AB83" s="144"/>
      <c r="AC83" s="231">
        <v>0</v>
      </c>
      <c r="AD83" s="231">
        <v>0</v>
      </c>
      <c r="AE83" s="231">
        <v>0</v>
      </c>
      <c r="AF83" s="231">
        <v>0</v>
      </c>
      <c r="AG83" s="231">
        <v>0</v>
      </c>
      <c r="AH83" s="231">
        <v>0</v>
      </c>
      <c r="AI83" s="225"/>
      <c r="AJ83" s="204"/>
      <c r="AK83" s="204"/>
      <c r="AL83" s="204"/>
      <c r="AM83" s="204"/>
      <c r="AN83" s="204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566">
        <f t="shared" si="101"/>
        <v>5.4749999999999996</v>
      </c>
      <c r="V84" s="566">
        <f t="shared" si="101"/>
        <v>2.0499999999999998</v>
      </c>
      <c r="W84" s="566">
        <f t="shared" si="101"/>
        <v>3.0500000000000007</v>
      </c>
      <c r="X84" s="566">
        <f t="shared" si="101"/>
        <v>1.1400000000000001</v>
      </c>
      <c r="Y84" s="566">
        <f t="shared" si="101"/>
        <v>4.5459999999999994</v>
      </c>
      <c r="Z84" s="566">
        <f t="shared" si="101"/>
        <v>1.05</v>
      </c>
      <c r="AA84" s="566">
        <f t="shared" si="101"/>
        <v>1.4200000000000002</v>
      </c>
      <c r="AB84" s="144"/>
      <c r="AC84" s="231">
        <v>0</v>
      </c>
      <c r="AD84" s="231">
        <v>0</v>
      </c>
      <c r="AE84" s="231">
        <v>0</v>
      </c>
      <c r="AF84" s="231">
        <v>0</v>
      </c>
      <c r="AG84" s="231">
        <v>0</v>
      </c>
      <c r="AH84" s="231">
        <v>0</v>
      </c>
      <c r="AI84" s="213"/>
      <c r="AJ84" s="204"/>
      <c r="AK84" s="204"/>
      <c r="AL84" s="204"/>
      <c r="AM84" s="204"/>
      <c r="AN84" s="204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566">
        <f t="shared" si="101"/>
        <v>5.4749999999999996</v>
      </c>
      <c r="V85" s="566">
        <f t="shared" si="101"/>
        <v>2.0499999999999998</v>
      </c>
      <c r="W85" s="566">
        <f t="shared" si="101"/>
        <v>3.0500000000000007</v>
      </c>
      <c r="X85" s="566">
        <f t="shared" si="101"/>
        <v>1.1400000000000001</v>
      </c>
      <c r="Y85" s="566">
        <f t="shared" si="101"/>
        <v>4.5459999999999994</v>
      </c>
      <c r="Z85" s="566">
        <f t="shared" si="101"/>
        <v>1.05</v>
      </c>
      <c r="AA85" s="566">
        <f t="shared" si="101"/>
        <v>1.4200000000000002</v>
      </c>
      <c r="AB85" s="144"/>
      <c r="AC85" s="231"/>
      <c r="AD85" s="231"/>
      <c r="AE85" s="231"/>
      <c r="AF85" s="231"/>
      <c r="AG85" s="231"/>
      <c r="AH85" s="231"/>
      <c r="AI85" s="213"/>
      <c r="AJ85" s="204"/>
      <c r="AK85" s="204"/>
      <c r="AL85" s="204"/>
      <c r="AM85" s="204"/>
      <c r="AN85" s="204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566">
        <f t="shared" si="101"/>
        <v>5.4749999999999996</v>
      </c>
      <c r="V86" s="566">
        <f t="shared" si="101"/>
        <v>2.0499999999999998</v>
      </c>
      <c r="W86" s="566">
        <f t="shared" si="101"/>
        <v>3.0500000000000007</v>
      </c>
      <c r="X86" s="566">
        <f t="shared" si="101"/>
        <v>1.1400000000000001</v>
      </c>
      <c r="Y86" s="566">
        <f t="shared" si="101"/>
        <v>4.5459999999999994</v>
      </c>
      <c r="Z86" s="566">
        <f t="shared" si="101"/>
        <v>1.05</v>
      </c>
      <c r="AA86" s="566">
        <f t="shared" si="101"/>
        <v>1.4200000000000002</v>
      </c>
      <c r="AB86" s="144"/>
      <c r="AC86" s="231"/>
      <c r="AD86" s="231"/>
      <c r="AE86" s="231"/>
      <c r="AF86" s="231"/>
      <c r="AG86" s="231"/>
      <c r="AH86" s="231"/>
      <c r="AI86" s="213"/>
      <c r="AJ86" s="204"/>
      <c r="AK86" s="204"/>
      <c r="AL86" s="204"/>
      <c r="AM86" s="204"/>
      <c r="AN86" s="204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566">
        <f t="shared" si="101"/>
        <v>5.4749999999999996</v>
      </c>
      <c r="V87" s="566">
        <f t="shared" si="101"/>
        <v>2.0499999999999998</v>
      </c>
      <c r="W87" s="566">
        <f t="shared" si="101"/>
        <v>3.0500000000000007</v>
      </c>
      <c r="X87" s="566">
        <f t="shared" si="101"/>
        <v>1.1400000000000001</v>
      </c>
      <c r="Y87" s="566">
        <f t="shared" si="101"/>
        <v>4.5459999999999994</v>
      </c>
      <c r="Z87" s="566">
        <f t="shared" si="101"/>
        <v>1.05</v>
      </c>
      <c r="AA87" s="566">
        <f t="shared" si="101"/>
        <v>1.4200000000000002</v>
      </c>
      <c r="AB87" s="144"/>
      <c r="AC87" s="231">
        <v>0</v>
      </c>
      <c r="AD87" s="231">
        <v>0</v>
      </c>
      <c r="AE87" s="231">
        <v>0</v>
      </c>
      <c r="AF87" s="231">
        <v>0</v>
      </c>
      <c r="AG87" s="231">
        <v>0</v>
      </c>
      <c r="AH87" s="231">
        <v>0</v>
      </c>
      <c r="AI87" s="213"/>
      <c r="AJ87" s="204"/>
      <c r="AK87" s="204"/>
      <c r="AL87" s="204"/>
      <c r="AM87" s="204"/>
      <c r="AN87" s="204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566">
        <f t="shared" si="101"/>
        <v>5.4749999999999996</v>
      </c>
      <c r="V88" s="566">
        <f t="shared" si="101"/>
        <v>2.0499999999999998</v>
      </c>
      <c r="W88" s="566">
        <f t="shared" si="101"/>
        <v>3.0500000000000007</v>
      </c>
      <c r="X88" s="566">
        <f t="shared" si="101"/>
        <v>1.1400000000000001</v>
      </c>
      <c r="Y88" s="566">
        <f t="shared" si="101"/>
        <v>4.5459999999999994</v>
      </c>
      <c r="Z88" s="566">
        <f t="shared" si="101"/>
        <v>1.05</v>
      </c>
      <c r="AA88" s="566">
        <f t="shared" si="101"/>
        <v>1.4200000000000002</v>
      </c>
      <c r="AB88" s="144"/>
      <c r="AC88" s="231">
        <v>0</v>
      </c>
      <c r="AD88" s="231">
        <v>0</v>
      </c>
      <c r="AE88" s="231">
        <v>0</v>
      </c>
      <c r="AF88" s="231">
        <v>0</v>
      </c>
      <c r="AG88" s="231">
        <v>0</v>
      </c>
      <c r="AH88" s="231">
        <v>0</v>
      </c>
      <c r="AI88" s="213"/>
      <c r="AJ88" s="204"/>
      <c r="AK88" s="204"/>
      <c r="AL88" s="204"/>
      <c r="AM88" s="204"/>
      <c r="AN88" s="204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566">
        <f t="shared" si="101"/>
        <v>5.4749999999999996</v>
      </c>
      <c r="V89" s="566">
        <f t="shared" si="101"/>
        <v>2.0499999999999998</v>
      </c>
      <c r="W89" s="566">
        <f t="shared" si="101"/>
        <v>3.0500000000000007</v>
      </c>
      <c r="X89" s="566">
        <f t="shared" si="101"/>
        <v>1.1400000000000001</v>
      </c>
      <c r="Y89" s="566">
        <f t="shared" si="101"/>
        <v>4.5459999999999994</v>
      </c>
      <c r="Z89" s="566">
        <f t="shared" si="101"/>
        <v>1.05</v>
      </c>
      <c r="AA89" s="566">
        <f t="shared" si="101"/>
        <v>1.4200000000000002</v>
      </c>
      <c r="AB89" s="144"/>
      <c r="AC89" s="231">
        <v>0</v>
      </c>
      <c r="AD89" s="231">
        <v>0</v>
      </c>
      <c r="AE89" s="231">
        <v>0</v>
      </c>
      <c r="AF89" s="231">
        <v>0</v>
      </c>
      <c r="AG89" s="231">
        <v>0</v>
      </c>
      <c r="AH89" s="231">
        <v>0</v>
      </c>
      <c r="AI89" s="213"/>
      <c r="AJ89" s="204"/>
      <c r="AK89" s="204"/>
      <c r="AL89" s="204"/>
      <c r="AM89" s="204"/>
      <c r="AN89" s="204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566">
        <f t="shared" si="101"/>
        <v>5.4749999999999996</v>
      </c>
      <c r="V90" s="566">
        <f t="shared" si="101"/>
        <v>2.0499999999999998</v>
      </c>
      <c r="W90" s="566">
        <f t="shared" si="101"/>
        <v>3.0500000000000007</v>
      </c>
      <c r="X90" s="566">
        <f t="shared" si="101"/>
        <v>1.1400000000000001</v>
      </c>
      <c r="Y90" s="566">
        <f t="shared" si="101"/>
        <v>4.5459999999999994</v>
      </c>
      <c r="Z90" s="566">
        <f t="shared" si="101"/>
        <v>1.05</v>
      </c>
      <c r="AA90" s="566">
        <f t="shared" si="101"/>
        <v>1.4200000000000002</v>
      </c>
      <c r="AB90" s="144"/>
      <c r="AC90" s="231">
        <v>0</v>
      </c>
      <c r="AD90" s="231">
        <v>0</v>
      </c>
      <c r="AE90" s="231">
        <v>0</v>
      </c>
      <c r="AF90" s="231">
        <v>0</v>
      </c>
      <c r="AG90" s="231">
        <v>0</v>
      </c>
      <c r="AH90" s="231">
        <v>0</v>
      </c>
      <c r="AI90" s="213"/>
      <c r="AJ90" s="204"/>
      <c r="AK90" s="204"/>
      <c r="AL90" s="204"/>
      <c r="AM90" s="204"/>
      <c r="AN90" s="204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566">
        <f t="shared" ref="U91:AA106" si="102">IF(U90&gt;0,U90,U89)</f>
        <v>5.4749999999999996</v>
      </c>
      <c r="V91" s="566">
        <f t="shared" si="102"/>
        <v>2.0499999999999998</v>
      </c>
      <c r="W91" s="566">
        <f t="shared" si="102"/>
        <v>3.0500000000000007</v>
      </c>
      <c r="X91" s="566">
        <f t="shared" si="102"/>
        <v>1.1400000000000001</v>
      </c>
      <c r="Y91" s="566">
        <f t="shared" si="102"/>
        <v>4.5459999999999994</v>
      </c>
      <c r="Z91" s="566">
        <f t="shared" si="102"/>
        <v>1.05</v>
      </c>
      <c r="AA91" s="566">
        <f t="shared" si="102"/>
        <v>1.4200000000000002</v>
      </c>
      <c r="AB91" s="144"/>
      <c r="AC91" s="231"/>
      <c r="AD91" s="231"/>
      <c r="AE91" s="231"/>
      <c r="AF91" s="231"/>
      <c r="AG91" s="231"/>
      <c r="AH91" s="231"/>
      <c r="AI91" s="213"/>
      <c r="AJ91" s="204"/>
      <c r="AK91" s="204"/>
      <c r="AL91" s="204"/>
      <c r="AM91" s="204"/>
      <c r="AN91" s="204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566">
        <f t="shared" si="102"/>
        <v>5.4749999999999996</v>
      </c>
      <c r="V92" s="566">
        <f t="shared" si="102"/>
        <v>2.0499999999999998</v>
      </c>
      <c r="W92" s="566">
        <f t="shared" si="102"/>
        <v>3.0500000000000007</v>
      </c>
      <c r="X92" s="566">
        <f t="shared" si="102"/>
        <v>1.1400000000000001</v>
      </c>
      <c r="Y92" s="566">
        <f t="shared" si="102"/>
        <v>4.5459999999999994</v>
      </c>
      <c r="Z92" s="566">
        <f t="shared" si="102"/>
        <v>1.05</v>
      </c>
      <c r="AA92" s="566">
        <f t="shared" si="102"/>
        <v>1.4200000000000002</v>
      </c>
      <c r="AB92" s="144"/>
      <c r="AC92" s="231"/>
      <c r="AD92" s="231"/>
      <c r="AE92" s="231"/>
      <c r="AF92" s="231"/>
      <c r="AG92" s="231"/>
      <c r="AH92" s="231"/>
      <c r="AI92" s="213"/>
      <c r="AJ92" s="204"/>
      <c r="AK92" s="204"/>
      <c r="AL92" s="204"/>
      <c r="AM92" s="204"/>
      <c r="AN92" s="204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566">
        <f t="shared" si="102"/>
        <v>5.4749999999999996</v>
      </c>
      <c r="V93" s="566">
        <f t="shared" si="102"/>
        <v>2.0499999999999998</v>
      </c>
      <c r="W93" s="566">
        <f t="shared" si="102"/>
        <v>3.0500000000000007</v>
      </c>
      <c r="X93" s="566">
        <f t="shared" si="102"/>
        <v>1.1400000000000001</v>
      </c>
      <c r="Y93" s="566">
        <f t="shared" si="102"/>
        <v>4.5459999999999994</v>
      </c>
      <c r="Z93" s="566">
        <f t="shared" si="102"/>
        <v>1.05</v>
      </c>
      <c r="AA93" s="566">
        <f t="shared" si="102"/>
        <v>1.4200000000000002</v>
      </c>
      <c r="AB93" s="144"/>
      <c r="AC93" s="231">
        <v>0</v>
      </c>
      <c r="AD93" s="231">
        <v>0</v>
      </c>
      <c r="AE93" s="231">
        <v>0</v>
      </c>
      <c r="AF93" s="231">
        <v>0</v>
      </c>
      <c r="AG93" s="231">
        <v>0</v>
      </c>
      <c r="AH93" s="231">
        <v>0</v>
      </c>
      <c r="AI93" s="213"/>
      <c r="AJ93" s="204"/>
      <c r="AK93" s="204"/>
      <c r="AL93" s="204"/>
      <c r="AM93" s="204"/>
      <c r="AN93" s="204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566">
        <f t="shared" si="102"/>
        <v>5.4749999999999996</v>
      </c>
      <c r="V94" s="566">
        <f t="shared" si="102"/>
        <v>2.0499999999999998</v>
      </c>
      <c r="W94" s="566">
        <f t="shared" si="102"/>
        <v>3.0500000000000007</v>
      </c>
      <c r="X94" s="566">
        <f t="shared" si="102"/>
        <v>1.1400000000000001</v>
      </c>
      <c r="Y94" s="566">
        <f t="shared" si="102"/>
        <v>4.5459999999999994</v>
      </c>
      <c r="Z94" s="566">
        <f t="shared" si="102"/>
        <v>1.05</v>
      </c>
      <c r="AA94" s="566">
        <f t="shared" si="102"/>
        <v>1.4200000000000002</v>
      </c>
      <c r="AB94" s="144"/>
      <c r="AC94" s="231">
        <v>0</v>
      </c>
      <c r="AD94" s="231">
        <v>0</v>
      </c>
      <c r="AE94" s="231">
        <v>0</v>
      </c>
      <c r="AF94" s="231">
        <v>0</v>
      </c>
      <c r="AG94" s="231">
        <v>0</v>
      </c>
      <c r="AH94" s="231">
        <v>0</v>
      </c>
      <c r="AI94" s="213"/>
      <c r="AJ94" s="204"/>
      <c r="AK94" s="204"/>
      <c r="AL94" s="204"/>
      <c r="AM94" s="204"/>
      <c r="AN94" s="204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566">
        <f t="shared" si="102"/>
        <v>5.4749999999999996</v>
      </c>
      <c r="V95" s="566">
        <f t="shared" si="102"/>
        <v>2.0499999999999998</v>
      </c>
      <c r="W95" s="566">
        <f t="shared" si="102"/>
        <v>3.0500000000000007</v>
      </c>
      <c r="X95" s="566">
        <f t="shared" si="102"/>
        <v>1.1400000000000001</v>
      </c>
      <c r="Y95" s="566">
        <f t="shared" si="102"/>
        <v>4.5459999999999994</v>
      </c>
      <c r="Z95" s="566">
        <f t="shared" si="102"/>
        <v>1.05</v>
      </c>
      <c r="AA95" s="566">
        <f t="shared" si="102"/>
        <v>1.4200000000000002</v>
      </c>
      <c r="AB95" s="144"/>
      <c r="AC95" s="231">
        <v>0</v>
      </c>
      <c r="AD95" s="231">
        <v>0</v>
      </c>
      <c r="AE95" s="231">
        <v>0</v>
      </c>
      <c r="AF95" s="231">
        <v>0</v>
      </c>
      <c r="AG95" s="231">
        <v>0</v>
      </c>
      <c r="AH95" s="231">
        <v>0</v>
      </c>
      <c r="AI95" s="213"/>
      <c r="AJ95" s="204"/>
      <c r="AK95" s="204"/>
      <c r="AL95" s="204"/>
      <c r="AM95" s="204"/>
      <c r="AN95" s="204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566">
        <f t="shared" si="102"/>
        <v>5.4749999999999996</v>
      </c>
      <c r="V96" s="566">
        <f t="shared" si="102"/>
        <v>2.0499999999999998</v>
      </c>
      <c r="W96" s="566">
        <f t="shared" si="102"/>
        <v>3.0500000000000007</v>
      </c>
      <c r="X96" s="566">
        <f t="shared" si="102"/>
        <v>1.1400000000000001</v>
      </c>
      <c r="Y96" s="566">
        <f t="shared" si="102"/>
        <v>4.5459999999999994</v>
      </c>
      <c r="Z96" s="566">
        <f t="shared" si="102"/>
        <v>1.05</v>
      </c>
      <c r="AA96" s="566">
        <f t="shared" si="102"/>
        <v>1.4200000000000002</v>
      </c>
      <c r="AB96" s="144"/>
      <c r="AC96" s="231"/>
      <c r="AD96" s="231"/>
      <c r="AE96" s="231"/>
      <c r="AF96" s="231"/>
      <c r="AG96" s="231"/>
      <c r="AH96" s="231"/>
      <c r="AI96" s="213"/>
      <c r="AJ96" s="204"/>
      <c r="AK96" s="204"/>
      <c r="AL96" s="204"/>
      <c r="AM96" s="204"/>
      <c r="AN96" s="204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566">
        <f t="shared" si="102"/>
        <v>5.4749999999999996</v>
      </c>
      <c r="V97" s="566">
        <f t="shared" si="102"/>
        <v>2.0499999999999998</v>
      </c>
      <c r="W97" s="566">
        <f t="shared" si="102"/>
        <v>3.0500000000000007</v>
      </c>
      <c r="X97" s="566">
        <f t="shared" si="102"/>
        <v>1.1400000000000001</v>
      </c>
      <c r="Y97" s="566">
        <f t="shared" si="102"/>
        <v>4.5459999999999994</v>
      </c>
      <c r="Z97" s="566">
        <f t="shared" si="102"/>
        <v>1.05</v>
      </c>
      <c r="AA97" s="566">
        <f t="shared" si="102"/>
        <v>1.4200000000000002</v>
      </c>
      <c r="AB97" s="144"/>
      <c r="AC97" s="231"/>
      <c r="AD97" s="231"/>
      <c r="AE97" s="231"/>
      <c r="AF97" s="231"/>
      <c r="AG97" s="231"/>
      <c r="AH97" s="231"/>
      <c r="AI97" s="213"/>
      <c r="AJ97" s="204"/>
      <c r="AK97" s="204"/>
      <c r="AL97" s="204"/>
      <c r="AM97" s="204"/>
      <c r="AN97" s="204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566">
        <f t="shared" si="102"/>
        <v>5.4749999999999996</v>
      </c>
      <c r="V98" s="566">
        <f t="shared" si="102"/>
        <v>2.0499999999999998</v>
      </c>
      <c r="W98" s="566">
        <f t="shared" si="102"/>
        <v>3.0500000000000007</v>
      </c>
      <c r="X98" s="566">
        <f t="shared" si="102"/>
        <v>1.1400000000000001</v>
      </c>
      <c r="Y98" s="566">
        <f t="shared" si="102"/>
        <v>4.5459999999999994</v>
      </c>
      <c r="Z98" s="566">
        <f t="shared" si="102"/>
        <v>1.05</v>
      </c>
      <c r="AA98" s="566">
        <f t="shared" si="102"/>
        <v>1.4200000000000002</v>
      </c>
      <c r="AB98" s="144"/>
      <c r="AC98" s="231">
        <v>0</v>
      </c>
      <c r="AD98" s="231">
        <v>0</v>
      </c>
      <c r="AE98" s="231">
        <v>0</v>
      </c>
      <c r="AF98" s="231">
        <v>0</v>
      </c>
      <c r="AG98" s="231">
        <v>0</v>
      </c>
      <c r="AH98" s="231">
        <v>0</v>
      </c>
      <c r="AI98" s="213"/>
      <c r="AJ98" s="204"/>
      <c r="AK98" s="204"/>
      <c r="AL98" s="204"/>
      <c r="AM98" s="204"/>
      <c r="AN98" s="204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566">
        <f t="shared" si="102"/>
        <v>5.4749999999999996</v>
      </c>
      <c r="V99" s="566">
        <f t="shared" si="102"/>
        <v>2.0499999999999998</v>
      </c>
      <c r="W99" s="566">
        <f t="shared" si="102"/>
        <v>3.0500000000000007</v>
      </c>
      <c r="X99" s="566">
        <f t="shared" si="102"/>
        <v>1.1400000000000001</v>
      </c>
      <c r="Y99" s="566">
        <f t="shared" si="102"/>
        <v>4.5459999999999994</v>
      </c>
      <c r="Z99" s="566">
        <f t="shared" si="102"/>
        <v>1.05</v>
      </c>
      <c r="AA99" s="566">
        <f t="shared" si="102"/>
        <v>1.4200000000000002</v>
      </c>
      <c r="AB99" s="144"/>
      <c r="AC99" s="231">
        <v>0</v>
      </c>
      <c r="AD99" s="231">
        <v>0</v>
      </c>
      <c r="AE99" s="231">
        <v>0</v>
      </c>
      <c r="AF99" s="231">
        <v>0</v>
      </c>
      <c r="AG99" s="231">
        <v>0</v>
      </c>
      <c r="AH99" s="231">
        <v>0</v>
      </c>
      <c r="AI99" s="213"/>
      <c r="AJ99" s="204"/>
      <c r="AK99" s="204"/>
      <c r="AL99" s="204"/>
      <c r="AM99" s="204"/>
      <c r="AN99" s="204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566">
        <f t="shared" si="102"/>
        <v>5.4749999999999996</v>
      </c>
      <c r="V100" s="566">
        <f t="shared" si="102"/>
        <v>2.0499999999999998</v>
      </c>
      <c r="W100" s="566">
        <f t="shared" si="102"/>
        <v>3.0500000000000007</v>
      </c>
      <c r="X100" s="566">
        <f t="shared" si="102"/>
        <v>1.1400000000000001</v>
      </c>
      <c r="Y100" s="566">
        <f t="shared" si="102"/>
        <v>4.5459999999999994</v>
      </c>
      <c r="Z100" s="566">
        <f t="shared" si="102"/>
        <v>1.05</v>
      </c>
      <c r="AA100" s="566">
        <f t="shared" si="102"/>
        <v>1.4200000000000002</v>
      </c>
      <c r="AB100" s="144"/>
      <c r="AC100" s="231">
        <v>0</v>
      </c>
      <c r="AD100" s="231">
        <v>0</v>
      </c>
      <c r="AE100" s="231">
        <v>0</v>
      </c>
      <c r="AF100" s="231">
        <v>0</v>
      </c>
      <c r="AG100" s="231">
        <v>0</v>
      </c>
      <c r="AH100" s="231">
        <v>0</v>
      </c>
      <c r="AI100" s="213"/>
      <c r="AJ100" s="204"/>
      <c r="AK100" s="204"/>
      <c r="AL100" s="204"/>
      <c r="AM100" s="204"/>
      <c r="AN100" s="204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566">
        <f t="shared" si="102"/>
        <v>5.4749999999999996</v>
      </c>
      <c r="V101" s="566">
        <f t="shared" si="102"/>
        <v>2.0499999999999998</v>
      </c>
      <c r="W101" s="566">
        <f t="shared" si="102"/>
        <v>3.0500000000000007</v>
      </c>
      <c r="X101" s="566">
        <f t="shared" si="102"/>
        <v>1.1400000000000001</v>
      </c>
      <c r="Y101" s="566">
        <f t="shared" si="102"/>
        <v>4.5459999999999994</v>
      </c>
      <c r="Z101" s="566">
        <f t="shared" si="102"/>
        <v>1.05</v>
      </c>
      <c r="AA101" s="566">
        <f t="shared" si="102"/>
        <v>1.4200000000000002</v>
      </c>
      <c r="AB101" s="144"/>
      <c r="AC101" s="231"/>
      <c r="AD101" s="231"/>
      <c r="AE101" s="231"/>
      <c r="AF101" s="231"/>
      <c r="AG101" s="231"/>
      <c r="AH101" s="231"/>
      <c r="AI101" s="213"/>
      <c r="AJ101" s="204"/>
      <c r="AK101" s="204"/>
      <c r="AL101" s="204"/>
      <c r="AM101" s="204"/>
      <c r="AN101" s="204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566">
        <f t="shared" si="102"/>
        <v>5.4749999999999996</v>
      </c>
      <c r="V102" s="566">
        <f t="shared" si="102"/>
        <v>2.0499999999999998</v>
      </c>
      <c r="W102" s="566">
        <f t="shared" si="102"/>
        <v>3.0500000000000007</v>
      </c>
      <c r="X102" s="566">
        <f t="shared" si="102"/>
        <v>1.1400000000000001</v>
      </c>
      <c r="Y102" s="566">
        <f t="shared" si="102"/>
        <v>4.5459999999999994</v>
      </c>
      <c r="Z102" s="566">
        <f t="shared" si="102"/>
        <v>1.05</v>
      </c>
      <c r="AA102" s="566">
        <f t="shared" si="102"/>
        <v>1.4200000000000002</v>
      </c>
      <c r="AB102" s="144"/>
      <c r="AC102" s="231"/>
      <c r="AD102" s="231"/>
      <c r="AE102" s="231"/>
      <c r="AF102" s="231"/>
      <c r="AG102" s="231"/>
      <c r="AH102" s="231"/>
      <c r="AI102" s="213"/>
      <c r="AJ102" s="204"/>
      <c r="AK102" s="204"/>
      <c r="AL102" s="204"/>
      <c r="AM102" s="204"/>
      <c r="AN102" s="204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566">
        <f t="shared" si="102"/>
        <v>5.4749999999999996</v>
      </c>
      <c r="V103" s="566">
        <f t="shared" si="102"/>
        <v>2.0499999999999998</v>
      </c>
      <c r="W103" s="566">
        <f t="shared" si="102"/>
        <v>3.0500000000000007</v>
      </c>
      <c r="X103" s="566">
        <f t="shared" si="102"/>
        <v>1.1400000000000001</v>
      </c>
      <c r="Y103" s="566">
        <f t="shared" si="102"/>
        <v>4.5459999999999994</v>
      </c>
      <c r="Z103" s="566">
        <f t="shared" si="102"/>
        <v>1.05</v>
      </c>
      <c r="AA103" s="566">
        <f t="shared" si="102"/>
        <v>1.4200000000000002</v>
      </c>
      <c r="AB103" s="144"/>
      <c r="AC103" s="231">
        <v>0</v>
      </c>
      <c r="AD103" s="231">
        <v>0</v>
      </c>
      <c r="AE103" s="231">
        <v>0</v>
      </c>
      <c r="AF103" s="231">
        <v>0</v>
      </c>
      <c r="AG103" s="231">
        <v>0</v>
      </c>
      <c r="AH103" s="231">
        <v>0</v>
      </c>
      <c r="AI103" s="213"/>
      <c r="AJ103" s="204"/>
      <c r="AK103" s="204"/>
      <c r="AL103" s="204"/>
      <c r="AM103" s="204"/>
      <c r="AN103" s="204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566">
        <f t="shared" si="102"/>
        <v>5.4749999999999996</v>
      </c>
      <c r="V104" s="566">
        <f t="shared" si="102"/>
        <v>2.0499999999999998</v>
      </c>
      <c r="W104" s="566">
        <f t="shared" si="102"/>
        <v>3.0500000000000007</v>
      </c>
      <c r="X104" s="566">
        <f t="shared" si="102"/>
        <v>1.1400000000000001</v>
      </c>
      <c r="Y104" s="566">
        <f t="shared" si="102"/>
        <v>4.5459999999999994</v>
      </c>
      <c r="Z104" s="566">
        <f t="shared" si="102"/>
        <v>1.05</v>
      </c>
      <c r="AA104" s="566">
        <f t="shared" si="102"/>
        <v>1.4200000000000002</v>
      </c>
      <c r="AB104" s="144"/>
      <c r="AC104" s="231">
        <v>0</v>
      </c>
      <c r="AD104" s="231">
        <v>0</v>
      </c>
      <c r="AE104" s="231">
        <v>0</v>
      </c>
      <c r="AF104" s="231">
        <v>0</v>
      </c>
      <c r="AG104" s="231">
        <v>0</v>
      </c>
      <c r="AH104" s="231">
        <v>0</v>
      </c>
      <c r="AI104" s="213"/>
      <c r="AJ104" s="204"/>
      <c r="AK104" s="204"/>
      <c r="AL104" s="204"/>
      <c r="AM104" s="204"/>
      <c r="AN104" s="204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566">
        <f t="shared" si="102"/>
        <v>5.4749999999999996</v>
      </c>
      <c r="V105" s="566">
        <f t="shared" si="102"/>
        <v>2.0499999999999998</v>
      </c>
      <c r="W105" s="566">
        <f t="shared" si="102"/>
        <v>3.0500000000000007</v>
      </c>
      <c r="X105" s="566">
        <f t="shared" si="102"/>
        <v>1.1400000000000001</v>
      </c>
      <c r="Y105" s="566">
        <f t="shared" si="102"/>
        <v>4.5459999999999994</v>
      </c>
      <c r="Z105" s="566">
        <f t="shared" si="102"/>
        <v>1.05</v>
      </c>
      <c r="AA105" s="566">
        <f t="shared" si="102"/>
        <v>1.4200000000000002</v>
      </c>
      <c r="AB105" s="144"/>
      <c r="AC105" s="231"/>
      <c r="AD105" s="231"/>
      <c r="AE105" s="231"/>
      <c r="AF105" s="231"/>
      <c r="AG105" s="231"/>
      <c r="AH105" s="231"/>
      <c r="AI105" s="213"/>
      <c r="AJ105" s="204"/>
      <c r="AK105" s="204"/>
      <c r="AL105" s="204"/>
      <c r="AM105" s="204"/>
      <c r="AN105" s="204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566">
        <f t="shared" si="102"/>
        <v>5.4749999999999996</v>
      </c>
      <c r="V106" s="566">
        <f t="shared" si="102"/>
        <v>2.0499999999999998</v>
      </c>
      <c r="W106" s="566">
        <f t="shared" si="102"/>
        <v>3.0500000000000007</v>
      </c>
      <c r="X106" s="566">
        <f t="shared" si="102"/>
        <v>1.1400000000000001</v>
      </c>
      <c r="Y106" s="566">
        <f t="shared" si="102"/>
        <v>4.5459999999999994</v>
      </c>
      <c r="Z106" s="566">
        <f t="shared" si="102"/>
        <v>1.05</v>
      </c>
      <c r="AA106" s="566">
        <f t="shared" si="102"/>
        <v>1.4200000000000002</v>
      </c>
      <c r="AB106" s="144"/>
      <c r="AC106" s="231"/>
      <c r="AD106" s="231"/>
      <c r="AE106" s="231"/>
      <c r="AF106" s="231"/>
      <c r="AG106" s="231"/>
      <c r="AH106" s="231"/>
      <c r="AI106" s="213"/>
      <c r="AJ106" s="204"/>
      <c r="AK106" s="204"/>
      <c r="AL106" s="204"/>
      <c r="AM106" s="204"/>
      <c r="AN106" s="204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566">
        <f t="shared" ref="U107:AA122" si="103">IF(U106&gt;0,U106,U105)</f>
        <v>5.4749999999999996</v>
      </c>
      <c r="V107" s="566">
        <f t="shared" si="103"/>
        <v>2.0499999999999998</v>
      </c>
      <c r="W107" s="566">
        <f t="shared" si="103"/>
        <v>3.0500000000000007</v>
      </c>
      <c r="X107" s="566">
        <f t="shared" si="103"/>
        <v>1.1400000000000001</v>
      </c>
      <c r="Y107" s="566">
        <f t="shared" si="103"/>
        <v>4.5459999999999994</v>
      </c>
      <c r="Z107" s="566">
        <f t="shared" si="103"/>
        <v>1.05</v>
      </c>
      <c r="AA107" s="566">
        <f t="shared" si="103"/>
        <v>1.4200000000000002</v>
      </c>
      <c r="AB107" s="144"/>
      <c r="AC107" s="231">
        <v>0</v>
      </c>
      <c r="AD107" s="231">
        <v>0</v>
      </c>
      <c r="AE107" s="231">
        <v>0</v>
      </c>
      <c r="AF107" s="231">
        <v>0</v>
      </c>
      <c r="AG107" s="231">
        <v>0</v>
      </c>
      <c r="AH107" s="231">
        <v>0</v>
      </c>
      <c r="AI107" s="213"/>
      <c r="AJ107" s="204"/>
      <c r="AK107" s="204"/>
      <c r="AL107" s="204"/>
      <c r="AM107" s="204"/>
      <c r="AN107" s="204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566">
        <f t="shared" si="103"/>
        <v>5.4749999999999996</v>
      </c>
      <c r="V108" s="566">
        <f t="shared" si="103"/>
        <v>2.0499999999999998</v>
      </c>
      <c r="W108" s="566">
        <f t="shared" si="103"/>
        <v>3.0500000000000007</v>
      </c>
      <c r="X108" s="566">
        <f t="shared" si="103"/>
        <v>1.1400000000000001</v>
      </c>
      <c r="Y108" s="566">
        <f t="shared" si="103"/>
        <v>4.5459999999999994</v>
      </c>
      <c r="Z108" s="566">
        <f t="shared" si="103"/>
        <v>1.05</v>
      </c>
      <c r="AA108" s="566">
        <f t="shared" si="103"/>
        <v>1.4200000000000002</v>
      </c>
      <c r="AB108" s="144"/>
      <c r="AC108" s="231">
        <v>0</v>
      </c>
      <c r="AD108" s="231">
        <v>0</v>
      </c>
      <c r="AE108" s="231">
        <v>0</v>
      </c>
      <c r="AF108" s="231">
        <v>0</v>
      </c>
      <c r="AG108" s="231">
        <v>0</v>
      </c>
      <c r="AH108" s="231">
        <v>0</v>
      </c>
      <c r="AI108" s="213"/>
      <c r="AJ108" s="204"/>
      <c r="AK108" s="204"/>
      <c r="AL108" s="204"/>
      <c r="AM108" s="204"/>
      <c r="AN108" s="204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566">
        <f t="shared" si="103"/>
        <v>5.4749999999999996</v>
      </c>
      <c r="V109" s="566">
        <f t="shared" si="103"/>
        <v>2.0499999999999998</v>
      </c>
      <c r="W109" s="566">
        <f t="shared" si="103"/>
        <v>3.0500000000000007</v>
      </c>
      <c r="X109" s="566">
        <f t="shared" si="103"/>
        <v>1.1400000000000001</v>
      </c>
      <c r="Y109" s="566">
        <f t="shared" si="103"/>
        <v>4.5459999999999994</v>
      </c>
      <c r="Z109" s="566">
        <f t="shared" si="103"/>
        <v>1.05</v>
      </c>
      <c r="AA109" s="566">
        <f t="shared" si="103"/>
        <v>1.4200000000000002</v>
      </c>
      <c r="AB109" s="144"/>
      <c r="AC109" s="231">
        <v>0</v>
      </c>
      <c r="AD109" s="231">
        <v>0</v>
      </c>
      <c r="AE109" s="231">
        <v>0</v>
      </c>
      <c r="AF109" s="231">
        <v>0</v>
      </c>
      <c r="AG109" s="231">
        <v>0</v>
      </c>
      <c r="AH109" s="231">
        <v>0</v>
      </c>
      <c r="AI109" s="213"/>
      <c r="AJ109" s="204"/>
      <c r="AK109" s="204"/>
      <c r="AL109" s="204"/>
      <c r="AM109" s="204"/>
      <c r="AN109" s="204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566">
        <f t="shared" si="103"/>
        <v>5.4749999999999996</v>
      </c>
      <c r="V110" s="566">
        <f t="shared" si="103"/>
        <v>2.0499999999999998</v>
      </c>
      <c r="W110" s="566">
        <f t="shared" si="103"/>
        <v>3.0500000000000007</v>
      </c>
      <c r="X110" s="566">
        <f t="shared" si="103"/>
        <v>1.1400000000000001</v>
      </c>
      <c r="Y110" s="566">
        <f t="shared" si="103"/>
        <v>4.5459999999999994</v>
      </c>
      <c r="Z110" s="566">
        <f t="shared" si="103"/>
        <v>1.05</v>
      </c>
      <c r="AA110" s="566">
        <f t="shared" si="103"/>
        <v>1.4200000000000002</v>
      </c>
      <c r="AB110" s="144"/>
      <c r="AC110" s="231">
        <v>0</v>
      </c>
      <c r="AD110" s="231">
        <v>0</v>
      </c>
      <c r="AE110" s="231">
        <v>0</v>
      </c>
      <c r="AF110" s="231">
        <v>0</v>
      </c>
      <c r="AG110" s="231">
        <v>0</v>
      </c>
      <c r="AH110" s="231">
        <v>0</v>
      </c>
      <c r="AI110" s="213"/>
      <c r="AJ110" s="204"/>
      <c r="AK110" s="204"/>
      <c r="AL110" s="204"/>
      <c r="AM110" s="204"/>
      <c r="AN110" s="204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566">
        <f t="shared" si="103"/>
        <v>5.4749999999999996</v>
      </c>
      <c r="V111" s="566">
        <f t="shared" si="103"/>
        <v>2.0499999999999998</v>
      </c>
      <c r="W111" s="566">
        <f t="shared" si="103"/>
        <v>3.0500000000000007</v>
      </c>
      <c r="X111" s="566">
        <f t="shared" si="103"/>
        <v>1.1400000000000001</v>
      </c>
      <c r="Y111" s="566">
        <f t="shared" si="103"/>
        <v>4.5459999999999994</v>
      </c>
      <c r="Z111" s="566">
        <f t="shared" si="103"/>
        <v>1.05</v>
      </c>
      <c r="AA111" s="566">
        <f t="shared" si="103"/>
        <v>1.4200000000000002</v>
      </c>
      <c r="AB111" s="144"/>
      <c r="AC111" s="231"/>
      <c r="AD111" s="231"/>
      <c r="AE111" s="231"/>
      <c r="AF111" s="231"/>
      <c r="AG111" s="231"/>
      <c r="AH111" s="231"/>
      <c r="AI111" s="213"/>
      <c r="AJ111" s="204"/>
      <c r="AK111" s="204"/>
      <c r="AL111" s="204"/>
      <c r="AM111" s="204"/>
      <c r="AN111" s="204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566">
        <f t="shared" si="103"/>
        <v>5.4749999999999996</v>
      </c>
      <c r="V112" s="566">
        <f t="shared" si="103"/>
        <v>2.0499999999999998</v>
      </c>
      <c r="W112" s="566">
        <f t="shared" si="103"/>
        <v>3.0500000000000007</v>
      </c>
      <c r="X112" s="566">
        <f t="shared" si="103"/>
        <v>1.1400000000000001</v>
      </c>
      <c r="Y112" s="566">
        <f t="shared" si="103"/>
        <v>4.5459999999999994</v>
      </c>
      <c r="Z112" s="566">
        <f t="shared" si="103"/>
        <v>1.05</v>
      </c>
      <c r="AA112" s="566">
        <f t="shared" si="103"/>
        <v>1.4200000000000002</v>
      </c>
      <c r="AB112" s="144"/>
      <c r="AC112" s="231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13"/>
      <c r="AJ112" s="204"/>
      <c r="AK112" s="204"/>
      <c r="AL112" s="204"/>
      <c r="AM112" s="204"/>
      <c r="AN112" s="204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566">
        <f t="shared" si="103"/>
        <v>5.4749999999999996</v>
      </c>
      <c r="V113" s="566">
        <f t="shared" si="103"/>
        <v>2.0499999999999998</v>
      </c>
      <c r="W113" s="566">
        <f t="shared" si="103"/>
        <v>3.0500000000000007</v>
      </c>
      <c r="X113" s="566">
        <f t="shared" si="103"/>
        <v>1.1400000000000001</v>
      </c>
      <c r="Y113" s="566">
        <f t="shared" si="103"/>
        <v>4.5459999999999994</v>
      </c>
      <c r="Z113" s="566">
        <f t="shared" si="103"/>
        <v>1.05</v>
      </c>
      <c r="AA113" s="566">
        <f t="shared" si="103"/>
        <v>1.4200000000000002</v>
      </c>
      <c r="AB113" s="144"/>
      <c r="AC113" s="231">
        <v>0</v>
      </c>
      <c r="AD113" s="231">
        <v>0</v>
      </c>
      <c r="AE113" s="231">
        <v>0</v>
      </c>
      <c r="AF113" s="231">
        <v>0</v>
      </c>
      <c r="AG113" s="231">
        <v>0</v>
      </c>
      <c r="AH113" s="231">
        <v>0</v>
      </c>
      <c r="AI113" s="213"/>
      <c r="AJ113" s="204"/>
      <c r="AK113" s="204"/>
      <c r="AL113" s="204"/>
      <c r="AM113" s="204"/>
      <c r="AN113" s="204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566">
        <f t="shared" si="103"/>
        <v>5.4749999999999996</v>
      </c>
      <c r="V114" s="566">
        <f t="shared" si="103"/>
        <v>2.0499999999999998</v>
      </c>
      <c r="W114" s="566">
        <f t="shared" si="103"/>
        <v>3.0500000000000007</v>
      </c>
      <c r="X114" s="566">
        <f t="shared" si="103"/>
        <v>1.1400000000000001</v>
      </c>
      <c r="Y114" s="566">
        <f t="shared" si="103"/>
        <v>4.5459999999999994</v>
      </c>
      <c r="Z114" s="566">
        <f t="shared" si="103"/>
        <v>1.05</v>
      </c>
      <c r="AA114" s="566">
        <f t="shared" si="103"/>
        <v>1.4200000000000002</v>
      </c>
      <c r="AB114" s="144"/>
      <c r="AC114" s="231"/>
      <c r="AD114" s="231"/>
      <c r="AE114" s="231"/>
      <c r="AF114" s="231"/>
      <c r="AG114" s="231"/>
      <c r="AH114" s="231"/>
      <c r="AI114" s="213"/>
      <c r="AJ114" s="204"/>
      <c r="AK114" s="204"/>
      <c r="AL114" s="204"/>
      <c r="AM114" s="204"/>
      <c r="AN114" s="204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566">
        <f t="shared" si="103"/>
        <v>5.4749999999999996</v>
      </c>
      <c r="V115" s="566">
        <f t="shared" si="103"/>
        <v>2.0499999999999998</v>
      </c>
      <c r="W115" s="566">
        <f t="shared" si="103"/>
        <v>3.0500000000000007</v>
      </c>
      <c r="X115" s="566">
        <f t="shared" si="103"/>
        <v>1.1400000000000001</v>
      </c>
      <c r="Y115" s="566">
        <f t="shared" si="103"/>
        <v>4.5459999999999994</v>
      </c>
      <c r="Z115" s="566">
        <f t="shared" si="103"/>
        <v>1.05</v>
      </c>
      <c r="AA115" s="566">
        <f t="shared" si="103"/>
        <v>1.4200000000000002</v>
      </c>
      <c r="AB115" s="144"/>
      <c r="AC115" s="231"/>
      <c r="AD115" s="231"/>
      <c r="AE115" s="231"/>
      <c r="AF115" s="231"/>
      <c r="AG115" s="231"/>
      <c r="AH115" s="231"/>
      <c r="AI115" s="213"/>
      <c r="AJ115" s="204"/>
      <c r="AK115" s="204"/>
      <c r="AL115" s="204"/>
      <c r="AM115" s="204"/>
      <c r="AN115" s="204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566">
        <f t="shared" si="103"/>
        <v>5.4749999999999996</v>
      </c>
      <c r="V116" s="566">
        <f t="shared" si="103"/>
        <v>2.0499999999999998</v>
      </c>
      <c r="W116" s="566">
        <f t="shared" si="103"/>
        <v>3.0500000000000007</v>
      </c>
      <c r="X116" s="566">
        <f t="shared" si="103"/>
        <v>1.1400000000000001</v>
      </c>
      <c r="Y116" s="566">
        <f t="shared" si="103"/>
        <v>4.5459999999999994</v>
      </c>
      <c r="Z116" s="566">
        <f t="shared" si="103"/>
        <v>1.05</v>
      </c>
      <c r="AA116" s="566">
        <f t="shared" si="103"/>
        <v>1.4200000000000002</v>
      </c>
      <c r="AB116" s="144"/>
      <c r="AC116" s="231">
        <v>0</v>
      </c>
      <c r="AD116" s="231">
        <v>0</v>
      </c>
      <c r="AE116" s="231">
        <v>0</v>
      </c>
      <c r="AF116" s="231">
        <v>0</v>
      </c>
      <c r="AG116" s="231">
        <v>0</v>
      </c>
      <c r="AH116" s="231">
        <v>0</v>
      </c>
      <c r="AI116" s="213"/>
      <c r="AJ116" s="204"/>
      <c r="AK116" s="204"/>
      <c r="AL116" s="204"/>
      <c r="AM116" s="204"/>
      <c r="AN116" s="204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566">
        <f t="shared" si="103"/>
        <v>5.4749999999999996</v>
      </c>
      <c r="V117" s="566">
        <f t="shared" si="103"/>
        <v>2.0499999999999998</v>
      </c>
      <c r="W117" s="566">
        <f t="shared" si="103"/>
        <v>3.0500000000000007</v>
      </c>
      <c r="X117" s="566">
        <f t="shared" si="103"/>
        <v>1.1400000000000001</v>
      </c>
      <c r="Y117" s="566">
        <f t="shared" si="103"/>
        <v>4.5459999999999994</v>
      </c>
      <c r="Z117" s="566">
        <f t="shared" si="103"/>
        <v>1.05</v>
      </c>
      <c r="AA117" s="566">
        <f t="shared" si="103"/>
        <v>1.4200000000000002</v>
      </c>
      <c r="AB117" s="144"/>
      <c r="AC117" s="231">
        <v>0</v>
      </c>
      <c r="AD117" s="231">
        <v>0</v>
      </c>
      <c r="AE117" s="231">
        <v>0</v>
      </c>
      <c r="AF117" s="231">
        <v>0</v>
      </c>
      <c r="AG117" s="231">
        <v>0</v>
      </c>
      <c r="AH117" s="231">
        <v>0</v>
      </c>
      <c r="AI117" s="213"/>
      <c r="AJ117" s="204"/>
      <c r="AK117" s="204"/>
      <c r="AL117" s="204"/>
      <c r="AM117" s="204"/>
      <c r="AN117" s="204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566">
        <f t="shared" si="103"/>
        <v>5.4749999999999996</v>
      </c>
      <c r="V118" s="566">
        <f t="shared" si="103"/>
        <v>2.0499999999999998</v>
      </c>
      <c r="W118" s="566">
        <f t="shared" si="103"/>
        <v>3.0500000000000007</v>
      </c>
      <c r="X118" s="566">
        <f t="shared" si="103"/>
        <v>1.1400000000000001</v>
      </c>
      <c r="Y118" s="566">
        <f t="shared" si="103"/>
        <v>4.5459999999999994</v>
      </c>
      <c r="Z118" s="566">
        <f t="shared" si="103"/>
        <v>1.05</v>
      </c>
      <c r="AA118" s="566">
        <f t="shared" si="103"/>
        <v>1.4200000000000002</v>
      </c>
      <c r="AB118" s="144"/>
      <c r="AC118" s="231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13"/>
      <c r="AJ118" s="204"/>
      <c r="AK118" s="204"/>
      <c r="AL118" s="204"/>
      <c r="AM118" s="204"/>
      <c r="AN118" s="204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566">
        <f t="shared" si="103"/>
        <v>5.4749999999999996</v>
      </c>
      <c r="V119" s="566">
        <f t="shared" si="103"/>
        <v>2.0499999999999998</v>
      </c>
      <c r="W119" s="566">
        <f t="shared" si="103"/>
        <v>3.0500000000000007</v>
      </c>
      <c r="X119" s="566">
        <f t="shared" si="103"/>
        <v>1.1400000000000001</v>
      </c>
      <c r="Y119" s="566">
        <f t="shared" si="103"/>
        <v>4.5459999999999994</v>
      </c>
      <c r="Z119" s="566">
        <f t="shared" si="103"/>
        <v>1.05</v>
      </c>
      <c r="AA119" s="566">
        <f t="shared" si="103"/>
        <v>1.4200000000000002</v>
      </c>
      <c r="AB119" s="144"/>
      <c r="AC119" s="231"/>
      <c r="AD119" s="231"/>
      <c r="AE119" s="231"/>
      <c r="AF119" s="231"/>
      <c r="AG119" s="231"/>
      <c r="AH119" s="231"/>
      <c r="AI119" s="213"/>
      <c r="AJ119" s="204"/>
      <c r="AK119" s="204"/>
      <c r="AL119" s="204"/>
      <c r="AM119" s="204"/>
      <c r="AN119" s="204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566">
        <f t="shared" si="103"/>
        <v>5.4749999999999996</v>
      </c>
      <c r="V120" s="566">
        <f t="shared" si="103"/>
        <v>2.0499999999999998</v>
      </c>
      <c r="W120" s="566">
        <f t="shared" si="103"/>
        <v>3.0500000000000007</v>
      </c>
      <c r="X120" s="566">
        <f t="shared" si="103"/>
        <v>1.1400000000000001</v>
      </c>
      <c r="Y120" s="566">
        <f t="shared" si="103"/>
        <v>4.5459999999999994</v>
      </c>
      <c r="Z120" s="566">
        <f t="shared" si="103"/>
        <v>1.05</v>
      </c>
      <c r="AA120" s="566">
        <f t="shared" si="103"/>
        <v>1.4200000000000002</v>
      </c>
      <c r="AB120" s="144"/>
      <c r="AC120" s="231"/>
      <c r="AD120" s="231"/>
      <c r="AE120" s="231"/>
      <c r="AF120" s="231"/>
      <c r="AG120" s="231"/>
      <c r="AH120" s="231"/>
      <c r="AI120" s="213"/>
      <c r="AJ120" s="204"/>
      <c r="AK120" s="204"/>
      <c r="AL120" s="204"/>
      <c r="AM120" s="204"/>
      <c r="AN120" s="204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566">
        <f t="shared" si="103"/>
        <v>5.4749999999999996</v>
      </c>
      <c r="V121" s="566">
        <f t="shared" si="103"/>
        <v>2.0499999999999998</v>
      </c>
      <c r="W121" s="566">
        <f t="shared" si="103"/>
        <v>3.0500000000000007</v>
      </c>
      <c r="X121" s="566">
        <f t="shared" si="103"/>
        <v>1.1400000000000001</v>
      </c>
      <c r="Y121" s="566">
        <f t="shared" si="103"/>
        <v>4.5459999999999994</v>
      </c>
      <c r="Z121" s="566">
        <f t="shared" si="103"/>
        <v>1.05</v>
      </c>
      <c r="AA121" s="566">
        <f t="shared" si="103"/>
        <v>1.4200000000000002</v>
      </c>
      <c r="AB121" s="144"/>
      <c r="AC121" s="231">
        <v>0</v>
      </c>
      <c r="AD121" s="231">
        <v>0</v>
      </c>
      <c r="AE121" s="231">
        <v>0</v>
      </c>
      <c r="AF121" s="231">
        <v>0</v>
      </c>
      <c r="AG121" s="231">
        <v>0</v>
      </c>
      <c r="AH121" s="231">
        <v>0</v>
      </c>
      <c r="AI121" s="213"/>
      <c r="AJ121" s="204"/>
      <c r="AK121" s="204"/>
      <c r="AL121" s="204"/>
      <c r="AM121" s="204"/>
      <c r="AN121" s="204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566">
        <f t="shared" si="103"/>
        <v>5.4749999999999996</v>
      </c>
      <c r="V122" s="566">
        <f t="shared" si="103"/>
        <v>2.0499999999999998</v>
      </c>
      <c r="W122" s="566">
        <f t="shared" si="103"/>
        <v>3.0500000000000007</v>
      </c>
      <c r="X122" s="566">
        <f t="shared" si="103"/>
        <v>1.1400000000000001</v>
      </c>
      <c r="Y122" s="566">
        <f t="shared" si="103"/>
        <v>4.5459999999999994</v>
      </c>
      <c r="Z122" s="566">
        <f t="shared" si="103"/>
        <v>1.05</v>
      </c>
      <c r="AA122" s="566">
        <f t="shared" si="103"/>
        <v>1.4200000000000002</v>
      </c>
      <c r="AB122" s="144"/>
      <c r="AC122" s="231">
        <v>0</v>
      </c>
      <c r="AD122" s="231">
        <v>0</v>
      </c>
      <c r="AE122" s="231">
        <v>0</v>
      </c>
      <c r="AF122" s="231">
        <v>0</v>
      </c>
      <c r="AG122" s="231">
        <v>0</v>
      </c>
      <c r="AH122" s="231">
        <v>0</v>
      </c>
      <c r="AI122" s="213"/>
      <c r="AJ122" s="204"/>
      <c r="AK122" s="204"/>
      <c r="AL122" s="204"/>
      <c r="AM122" s="204"/>
      <c r="AN122" s="204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566">
        <f t="shared" ref="U123:AA129" si="104">IF(U122&gt;0,U122,U121)</f>
        <v>5.4749999999999996</v>
      </c>
      <c r="V123" s="566">
        <f t="shared" si="104"/>
        <v>2.0499999999999998</v>
      </c>
      <c r="W123" s="566">
        <f t="shared" si="104"/>
        <v>3.0500000000000007</v>
      </c>
      <c r="X123" s="566">
        <f t="shared" si="104"/>
        <v>1.1400000000000001</v>
      </c>
      <c r="Y123" s="566">
        <f t="shared" si="104"/>
        <v>4.5459999999999994</v>
      </c>
      <c r="Z123" s="566">
        <f t="shared" si="104"/>
        <v>1.05</v>
      </c>
      <c r="AA123" s="566">
        <f t="shared" si="104"/>
        <v>1.4200000000000002</v>
      </c>
      <c r="AB123" s="144"/>
      <c r="AC123" s="231">
        <v>0</v>
      </c>
      <c r="AD123" s="231">
        <v>0</v>
      </c>
      <c r="AE123" s="231">
        <v>0</v>
      </c>
      <c r="AF123" s="231">
        <v>0</v>
      </c>
      <c r="AG123" s="231">
        <v>0</v>
      </c>
      <c r="AH123" s="231">
        <v>0</v>
      </c>
      <c r="AI123" s="213"/>
      <c r="AJ123" s="204"/>
      <c r="AK123" s="204"/>
      <c r="AL123" s="204"/>
      <c r="AM123" s="204"/>
      <c r="AN123" s="204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566">
        <f t="shared" si="104"/>
        <v>5.4749999999999996</v>
      </c>
      <c r="V124" s="566">
        <f t="shared" si="104"/>
        <v>2.0499999999999998</v>
      </c>
      <c r="W124" s="566">
        <f t="shared" si="104"/>
        <v>3.0500000000000007</v>
      </c>
      <c r="X124" s="566">
        <f t="shared" si="104"/>
        <v>1.1400000000000001</v>
      </c>
      <c r="Y124" s="566">
        <f t="shared" si="104"/>
        <v>4.5459999999999994</v>
      </c>
      <c r="Z124" s="566">
        <f t="shared" si="104"/>
        <v>1.05</v>
      </c>
      <c r="AA124" s="566">
        <f t="shared" si="104"/>
        <v>1.4200000000000002</v>
      </c>
      <c r="AB124" s="144"/>
      <c r="AC124" s="231"/>
      <c r="AD124" s="231"/>
      <c r="AE124" s="231"/>
      <c r="AF124" s="231"/>
      <c r="AG124" s="231"/>
      <c r="AH124" s="231"/>
      <c r="AI124" s="213"/>
      <c r="AJ124" s="204"/>
      <c r="AK124" s="204"/>
      <c r="AL124" s="204"/>
      <c r="AM124" s="204"/>
      <c r="AN124" s="204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566">
        <f t="shared" si="104"/>
        <v>5.4749999999999996</v>
      </c>
      <c r="V125" s="566">
        <f t="shared" si="104"/>
        <v>2.0499999999999998</v>
      </c>
      <c r="W125" s="566">
        <f t="shared" si="104"/>
        <v>3.0500000000000007</v>
      </c>
      <c r="X125" s="566">
        <f t="shared" si="104"/>
        <v>1.1400000000000001</v>
      </c>
      <c r="Y125" s="566">
        <f t="shared" si="104"/>
        <v>4.5459999999999994</v>
      </c>
      <c r="Z125" s="566">
        <f t="shared" si="104"/>
        <v>1.05</v>
      </c>
      <c r="AA125" s="566">
        <f t="shared" si="104"/>
        <v>1.4200000000000002</v>
      </c>
      <c r="AB125" s="144"/>
      <c r="AC125" s="231"/>
      <c r="AD125" s="231"/>
      <c r="AE125" s="231"/>
      <c r="AF125" s="231"/>
      <c r="AG125" s="231"/>
      <c r="AH125" s="231"/>
      <c r="AI125" s="213"/>
      <c r="AJ125" s="204"/>
      <c r="AK125" s="204"/>
      <c r="AL125" s="204"/>
      <c r="AM125" s="204"/>
      <c r="AN125" s="204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566">
        <f t="shared" si="104"/>
        <v>5.4749999999999996</v>
      </c>
      <c r="V126" s="566">
        <f t="shared" si="104"/>
        <v>2.0499999999999998</v>
      </c>
      <c r="W126" s="566">
        <f t="shared" si="104"/>
        <v>3.0500000000000007</v>
      </c>
      <c r="X126" s="566">
        <f t="shared" si="104"/>
        <v>1.1400000000000001</v>
      </c>
      <c r="Y126" s="566">
        <f t="shared" si="104"/>
        <v>4.5459999999999994</v>
      </c>
      <c r="Z126" s="566">
        <f t="shared" si="104"/>
        <v>1.05</v>
      </c>
      <c r="AA126" s="566">
        <f t="shared" si="104"/>
        <v>1.4200000000000002</v>
      </c>
      <c r="AB126" s="144"/>
      <c r="AC126" s="231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13"/>
      <c r="AJ126" s="204"/>
      <c r="AK126" s="204"/>
      <c r="AL126" s="204"/>
      <c r="AM126" s="204"/>
      <c r="AN126" s="204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566">
        <f t="shared" si="104"/>
        <v>5.4749999999999996</v>
      </c>
      <c r="V127" s="566">
        <f t="shared" si="104"/>
        <v>2.0499999999999998</v>
      </c>
      <c r="W127" s="566">
        <f t="shared" si="104"/>
        <v>3.0500000000000007</v>
      </c>
      <c r="X127" s="566">
        <f t="shared" si="104"/>
        <v>1.1400000000000001</v>
      </c>
      <c r="Y127" s="566">
        <f t="shared" si="104"/>
        <v>4.5459999999999994</v>
      </c>
      <c r="Z127" s="566">
        <f t="shared" si="104"/>
        <v>1.05</v>
      </c>
      <c r="AA127" s="566">
        <f t="shared" si="104"/>
        <v>1.4200000000000002</v>
      </c>
      <c r="AB127" s="144"/>
      <c r="AC127" s="231">
        <v>0</v>
      </c>
      <c r="AD127" s="231">
        <v>0</v>
      </c>
      <c r="AE127" s="231">
        <v>0</v>
      </c>
      <c r="AF127" s="231">
        <v>0</v>
      </c>
      <c r="AG127" s="231">
        <v>0</v>
      </c>
      <c r="AH127" s="231">
        <v>0</v>
      </c>
      <c r="AI127" s="213"/>
      <c r="AJ127" s="204"/>
      <c r="AK127" s="204"/>
      <c r="AL127" s="204"/>
      <c r="AM127" s="204"/>
      <c r="AN127" s="204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566">
        <f t="shared" si="104"/>
        <v>5.4749999999999996</v>
      </c>
      <c r="V128" s="566">
        <f t="shared" si="104"/>
        <v>2.0499999999999998</v>
      </c>
      <c r="W128" s="566">
        <f t="shared" si="104"/>
        <v>3.0500000000000007</v>
      </c>
      <c r="X128" s="566">
        <f t="shared" si="104"/>
        <v>1.1400000000000001</v>
      </c>
      <c r="Y128" s="566">
        <f t="shared" si="104"/>
        <v>4.5459999999999994</v>
      </c>
      <c r="Z128" s="566">
        <f t="shared" si="104"/>
        <v>1.05</v>
      </c>
      <c r="AA128" s="566">
        <f t="shared" si="104"/>
        <v>1.4200000000000002</v>
      </c>
      <c r="AB128" s="144"/>
      <c r="AC128" s="231">
        <v>0</v>
      </c>
      <c r="AD128" s="231">
        <v>0</v>
      </c>
      <c r="AE128" s="231">
        <v>0</v>
      </c>
      <c r="AF128" s="231">
        <v>0</v>
      </c>
      <c r="AG128" s="231">
        <v>0</v>
      </c>
      <c r="AH128" s="231">
        <v>0</v>
      </c>
      <c r="AI128" s="213"/>
      <c r="AJ128" s="204"/>
      <c r="AK128" s="204"/>
      <c r="AL128" s="204"/>
      <c r="AM128" s="204"/>
      <c r="AN128" s="204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567">
        <f>IF(U128&gt;0,U128,U127)</f>
        <v>5.4749999999999996</v>
      </c>
      <c r="V129" s="567">
        <f t="shared" si="104"/>
        <v>2.0499999999999998</v>
      </c>
      <c r="W129" s="567">
        <f t="shared" si="104"/>
        <v>3.0500000000000007</v>
      </c>
      <c r="X129" s="567">
        <f t="shared" si="104"/>
        <v>1.1400000000000001</v>
      </c>
      <c r="Y129" s="567">
        <f t="shared" si="104"/>
        <v>4.5459999999999994</v>
      </c>
      <c r="Z129" s="567">
        <f t="shared" si="104"/>
        <v>1.05</v>
      </c>
      <c r="AA129" s="567">
        <f t="shared" si="104"/>
        <v>1.4200000000000002</v>
      </c>
      <c r="AB129" s="144"/>
      <c r="AC129" s="231"/>
      <c r="AD129" s="231"/>
      <c r="AE129" s="231"/>
      <c r="AF129" s="231"/>
      <c r="AG129" s="231"/>
      <c r="AH129" s="231"/>
      <c r="AI129" s="213"/>
      <c r="AJ129" s="204"/>
      <c r="AK129" s="204"/>
      <c r="AL129" s="204"/>
      <c r="AM129" s="204"/>
      <c r="AN129" s="204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222"/>
      <c r="V130" s="222"/>
      <c r="W130" s="222"/>
      <c r="X130" s="222"/>
      <c r="Y130" s="222"/>
      <c r="Z130" s="222"/>
      <c r="AA130" s="222"/>
      <c r="AB130" s="144"/>
      <c r="AC130" s="231"/>
      <c r="AD130" s="231"/>
      <c r="AE130" s="231"/>
      <c r="AF130" s="231"/>
      <c r="AG130" s="231"/>
      <c r="AH130" s="231"/>
      <c r="AI130" s="213"/>
      <c r="AJ130" s="204"/>
      <c r="AK130" s="204"/>
      <c r="AL130" s="204"/>
      <c r="AM130" s="204"/>
      <c r="AN130" s="204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222"/>
      <c r="V131" s="222"/>
      <c r="W131" s="222"/>
      <c r="X131" s="222"/>
      <c r="Y131" s="222"/>
      <c r="Z131" s="222"/>
      <c r="AA131" s="222"/>
      <c r="AB131" s="144"/>
      <c r="AC131" s="231">
        <v>0</v>
      </c>
      <c r="AD131" s="231">
        <v>0</v>
      </c>
      <c r="AE131" s="231">
        <v>0</v>
      </c>
      <c r="AF131" s="231">
        <v>0</v>
      </c>
      <c r="AG131" s="231">
        <v>0</v>
      </c>
      <c r="AH131" s="231">
        <v>0</v>
      </c>
      <c r="AI131" s="213"/>
      <c r="AJ131" s="204"/>
      <c r="AK131" s="204"/>
      <c r="AL131" s="204"/>
      <c r="AM131" s="204"/>
      <c r="AN131" s="204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222"/>
      <c r="V132" s="222"/>
      <c r="W132" s="222"/>
      <c r="X132" s="222"/>
      <c r="Y132" s="222"/>
      <c r="Z132" s="222"/>
      <c r="AA132" s="222"/>
      <c r="AB132" s="144"/>
      <c r="AC132" s="231"/>
      <c r="AD132" s="231"/>
      <c r="AE132" s="231"/>
      <c r="AF132" s="231"/>
      <c r="AG132" s="231"/>
      <c r="AH132" s="231"/>
      <c r="AJ132" s="204"/>
      <c r="AK132" s="204"/>
      <c r="AL132" s="204"/>
      <c r="AM132" s="204"/>
      <c r="AN132" s="204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222"/>
      <c r="V133" s="222"/>
      <c r="W133" s="222"/>
      <c r="X133" s="222"/>
      <c r="Y133" s="222"/>
      <c r="Z133" s="222"/>
      <c r="AA133" s="222"/>
      <c r="AB133" s="144"/>
      <c r="AJ133" s="204"/>
      <c r="AK133" s="204"/>
      <c r="AL133" s="204"/>
      <c r="AM133" s="204"/>
      <c r="AN133" s="204"/>
    </row>
    <row r="134" spans="1:40" ht="15" customHeight="1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222"/>
      <c r="V134" s="222"/>
      <c r="W134" s="222"/>
      <c r="X134" s="222"/>
      <c r="Y134" s="222"/>
      <c r="Z134" s="222"/>
      <c r="AA134" s="222"/>
      <c r="AB134" s="144"/>
      <c r="AJ134" s="204"/>
      <c r="AK134" s="204"/>
      <c r="AL134" s="204"/>
      <c r="AM134" s="204"/>
      <c r="AN134" s="204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222"/>
      <c r="V135" s="222"/>
      <c r="W135" s="222"/>
      <c r="X135" s="222"/>
      <c r="Y135" s="222"/>
      <c r="Z135" s="222"/>
      <c r="AA135" s="222"/>
      <c r="AB135" s="144"/>
      <c r="AJ135" s="204"/>
      <c r="AK135" s="204"/>
      <c r="AL135" s="204"/>
      <c r="AM135" s="204"/>
      <c r="AN135" s="204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222"/>
      <c r="V136" s="222"/>
      <c r="W136" s="222"/>
      <c r="X136" s="222"/>
      <c r="Y136" s="222"/>
      <c r="Z136" s="222"/>
      <c r="AA136" s="222"/>
      <c r="AB136" s="144"/>
      <c r="AJ136" s="204"/>
      <c r="AK136" s="204"/>
      <c r="AL136" s="204"/>
      <c r="AM136" s="204"/>
      <c r="AN136" s="204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222"/>
      <c r="V137" s="222"/>
      <c r="W137" s="222"/>
      <c r="X137" s="222"/>
      <c r="Y137" s="222"/>
      <c r="Z137" s="222"/>
      <c r="AA137" s="222"/>
      <c r="AB137" s="144"/>
      <c r="AJ137" s="204"/>
      <c r="AK137" s="204"/>
      <c r="AL137" s="204"/>
      <c r="AM137" s="204"/>
      <c r="AN137" s="204"/>
    </row>
    <row r="138" spans="1:40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222"/>
      <c r="V138" s="222"/>
      <c r="W138" s="222"/>
      <c r="X138" s="222"/>
      <c r="Y138" s="222"/>
      <c r="Z138" s="222"/>
      <c r="AA138" s="222"/>
      <c r="AB138" s="144"/>
      <c r="AJ138" s="204"/>
      <c r="AK138" s="204"/>
      <c r="AL138" s="204"/>
      <c r="AM138" s="204"/>
      <c r="AN138" s="204"/>
    </row>
    <row r="139" spans="1:40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222"/>
      <c r="V139" s="222"/>
      <c r="W139" s="222"/>
      <c r="X139" s="222"/>
      <c r="Y139" s="222"/>
      <c r="Z139" s="222"/>
      <c r="AA139" s="222"/>
      <c r="AB139" s="144"/>
      <c r="AJ139" s="204"/>
      <c r="AK139" s="204"/>
      <c r="AL139" s="204"/>
      <c r="AM139" s="204"/>
      <c r="AN139" s="204"/>
    </row>
    <row r="140" spans="1:40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222"/>
      <c r="V140" s="222"/>
      <c r="W140" s="222"/>
      <c r="X140" s="222"/>
      <c r="Y140" s="222"/>
      <c r="Z140" s="222"/>
      <c r="AA140" s="222"/>
      <c r="AB140" s="144"/>
      <c r="AJ140" s="204"/>
      <c r="AK140" s="204"/>
      <c r="AL140" s="204"/>
      <c r="AM140" s="204"/>
      <c r="AN140" s="204"/>
    </row>
    <row r="141" spans="1:40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222"/>
      <c r="V141" s="222"/>
      <c r="W141" s="222"/>
      <c r="X141" s="222"/>
      <c r="Y141" s="222"/>
      <c r="Z141" s="222"/>
      <c r="AA141" s="222"/>
      <c r="AB141" s="144"/>
      <c r="AJ141" s="204"/>
      <c r="AK141" s="204"/>
      <c r="AL141" s="204"/>
      <c r="AM141" s="204"/>
      <c r="AN141" s="204"/>
    </row>
    <row r="142" spans="1:40">
      <c r="A142" s="144"/>
      <c r="B142" s="144"/>
      <c r="C142" s="144"/>
      <c r="D142" s="906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222"/>
      <c r="V142" s="222"/>
      <c r="W142" s="222"/>
      <c r="X142" s="222"/>
      <c r="Y142" s="222"/>
      <c r="Z142" s="222"/>
      <c r="AA142" s="222"/>
      <c r="AB142" s="144"/>
      <c r="AN142" s="204"/>
    </row>
    <row r="143" spans="1:40">
      <c r="A143" s="144"/>
      <c r="B143" s="144"/>
      <c r="C143" s="144"/>
      <c r="D143" s="906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222"/>
      <c r="V143" s="222"/>
      <c r="W143" s="222"/>
      <c r="X143" s="222"/>
      <c r="Y143" s="222"/>
      <c r="Z143" s="222"/>
      <c r="AA143" s="222"/>
      <c r="AB143" s="144"/>
      <c r="AN143" s="204"/>
    </row>
    <row r="144" spans="1:40">
      <c r="A144" s="144"/>
      <c r="B144" s="144"/>
      <c r="C144" s="144"/>
      <c r="D144" s="906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222"/>
      <c r="V144" s="222"/>
      <c r="W144" s="222"/>
      <c r="X144" s="222"/>
      <c r="Y144" s="222"/>
      <c r="Z144" s="222"/>
      <c r="AA144" s="222"/>
      <c r="AB144" s="144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3"/>
      <c r="AM144" s="213"/>
      <c r="AN144" s="204"/>
    </row>
    <row r="145" spans="1:39" s="247" customFormat="1" ht="11">
      <c r="A145" s="144"/>
      <c r="B145" s="144"/>
      <c r="C145" s="144"/>
      <c r="D145" s="906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222"/>
      <c r="V145" s="222"/>
      <c r="W145" s="222"/>
      <c r="X145" s="222"/>
      <c r="Y145" s="222"/>
      <c r="Z145" s="222"/>
      <c r="AA145" s="222"/>
      <c r="AB145" s="144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1:39" s="247" customFormat="1" ht="11">
      <c r="A146" s="144"/>
      <c r="B146" s="144"/>
      <c r="C146" s="144"/>
      <c r="D146" s="906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222"/>
      <c r="V146" s="222"/>
      <c r="W146" s="222"/>
      <c r="X146" s="222"/>
      <c r="Y146" s="222"/>
      <c r="Z146" s="222"/>
      <c r="AA146" s="222"/>
      <c r="AB146" s="144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1:39" s="247" customFormat="1" ht="11">
      <c r="A147" s="144"/>
      <c r="B147" s="144"/>
      <c r="C147" s="144"/>
      <c r="D147" s="906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222"/>
      <c r="V147" s="222"/>
      <c r="W147" s="222"/>
      <c r="X147" s="222"/>
      <c r="Y147" s="222"/>
      <c r="Z147" s="222"/>
      <c r="AA147" s="222"/>
      <c r="AB147" s="14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1:39" s="247" customFormat="1" ht="11">
      <c r="A148" s="144"/>
      <c r="B148" s="144"/>
      <c r="C148" s="144"/>
      <c r="D148" s="906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222"/>
      <c r="V148" s="222"/>
      <c r="W148" s="222"/>
      <c r="X148" s="222"/>
      <c r="Y148" s="222"/>
      <c r="Z148" s="222"/>
      <c r="AA148" s="222"/>
      <c r="AB148" s="14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1:39" s="247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222"/>
      <c r="V149" s="222"/>
      <c r="W149" s="222"/>
      <c r="X149" s="222"/>
      <c r="Y149" s="222"/>
      <c r="Z149" s="222"/>
      <c r="AA149" s="222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1:39" s="247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222"/>
      <c r="V150" s="222"/>
      <c r="W150" s="222"/>
      <c r="X150" s="222"/>
      <c r="Y150" s="222"/>
      <c r="Z150" s="222"/>
      <c r="AA150" s="222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1:39" s="247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222"/>
      <c r="V151" s="222"/>
      <c r="W151" s="222"/>
      <c r="X151" s="222"/>
      <c r="Y151" s="222"/>
      <c r="Z151" s="222"/>
      <c r="AA151" s="222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1:39" s="247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222"/>
      <c r="V152" s="222"/>
      <c r="W152" s="222"/>
      <c r="X152" s="222"/>
      <c r="Y152" s="222"/>
      <c r="Z152" s="222"/>
      <c r="AA152" s="222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1:39" s="247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1:39" s="247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1:39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1:39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1:39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1:39" s="247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1:39" s="247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1:39" s="247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39" s="247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39" s="247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39" s="247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39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39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39" s="247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39" s="247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2:39" s="247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39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39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39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39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39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39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247">
        <f>SUBTOTAL(9,AB132:AB173)</f>
        <v>0</v>
      </c>
      <c r="AC174" s="214">
        <f>SUBTOTAL(9,AC132:AC173)</f>
        <v>0</v>
      </c>
      <c r="AD174" s="214">
        <f>SUBTOTAL(9,AD132:AD173)</f>
        <v>0</v>
      </c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39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247">
        <v>0</v>
      </c>
      <c r="AC175" s="214">
        <v>0</v>
      </c>
      <c r="AD175" s="214">
        <v>0</v>
      </c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39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B176" s="247">
        <v>0</v>
      </c>
      <c r="AC176" s="214">
        <v>0</v>
      </c>
      <c r="AD176" s="214">
        <v>0</v>
      </c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41" s="247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B177" s="247">
        <v>0</v>
      </c>
      <c r="AC177" s="214">
        <v>0</v>
      </c>
      <c r="AD177" s="214">
        <v>0</v>
      </c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41" s="247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B178" s="247">
        <v>0</v>
      </c>
      <c r="AC178" s="214">
        <v>0</v>
      </c>
      <c r="AD178" s="214">
        <v>0</v>
      </c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41" s="247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B179" s="247">
        <v>0</v>
      </c>
      <c r="AC179" s="214">
        <v>0</v>
      </c>
      <c r="AD179" s="214">
        <v>0</v>
      </c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41" s="247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B180" s="247">
        <v>0</v>
      </c>
      <c r="AC180" s="214">
        <v>0</v>
      </c>
      <c r="AD180" s="214">
        <v>0</v>
      </c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41" s="247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B181" s="247">
        <v>0</v>
      </c>
      <c r="AC181" s="214">
        <v>0</v>
      </c>
      <c r="AD181" s="214">
        <v>0</v>
      </c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41" s="247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B182" s="247">
        <v>0</v>
      </c>
      <c r="AC182" s="214">
        <v>0</v>
      </c>
      <c r="AD182" s="214">
        <v>0</v>
      </c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41" s="247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B183" s="247">
        <v>0</v>
      </c>
      <c r="AC183" s="214">
        <v>0</v>
      </c>
      <c r="AD183" s="214">
        <v>0</v>
      </c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41" s="247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B184" s="247">
        <v>0</v>
      </c>
      <c r="AC184" s="214">
        <v>0</v>
      </c>
      <c r="AD184" s="214">
        <v>0</v>
      </c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41" s="247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>
        <f>SUBTOTAL(9,U143:U184)</f>
        <v>0</v>
      </c>
      <c r="V185" s="146">
        <f t="shared" ref="V185:AA185" si="105">SUBTOTAL(9,V143:V184)</f>
        <v>0</v>
      </c>
      <c r="W185" s="146">
        <f t="shared" si="105"/>
        <v>0</v>
      </c>
      <c r="X185" s="146">
        <f t="shared" si="105"/>
        <v>0</v>
      </c>
      <c r="Y185" s="146">
        <f t="shared" si="105"/>
        <v>0</v>
      </c>
      <c r="Z185" s="146">
        <f t="shared" si="105"/>
        <v>0</v>
      </c>
      <c r="AA185" s="146">
        <f t="shared" si="105"/>
        <v>0</v>
      </c>
      <c r="AB185" s="247">
        <v>0</v>
      </c>
      <c r="AC185" s="214">
        <v>0</v>
      </c>
      <c r="AD185" s="214">
        <v>0</v>
      </c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41" s="213" customFormat="1" ht="14" thickBot="1">
      <c r="B186" s="139"/>
      <c r="C186" s="138"/>
      <c r="D186" s="908"/>
      <c r="E186" s="138"/>
      <c r="F186" s="140"/>
      <c r="G186" s="141"/>
      <c r="H186" s="141"/>
      <c r="I186" s="141"/>
      <c r="J186" s="141"/>
      <c r="K186" s="141"/>
      <c r="L186" s="141"/>
      <c r="M186" s="458"/>
      <c r="N186" s="140"/>
      <c r="O186" s="141"/>
      <c r="P186" s="141"/>
      <c r="Q186" s="148"/>
      <c r="R186" s="148"/>
      <c r="S186" s="149"/>
      <c r="T186" s="149"/>
      <c r="U186" s="150"/>
      <c r="V186" s="150"/>
      <c r="W186" s="150"/>
      <c r="X186" s="150"/>
      <c r="Y186" s="150"/>
      <c r="Z186" s="150"/>
      <c r="AA186" s="150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41" s="213" customFormat="1" ht="15" thickTop="1" thickBot="1">
      <c r="B187" s="139"/>
      <c r="C187" s="138"/>
      <c r="D187" s="908"/>
      <c r="E187" s="138"/>
      <c r="F187" s="140"/>
      <c r="G187" s="141"/>
      <c r="H187" s="141"/>
      <c r="I187" s="141"/>
      <c r="J187" s="141"/>
      <c r="K187" s="141"/>
      <c r="L187" s="141"/>
      <c r="M187" s="458"/>
      <c r="N187" s="140"/>
      <c r="O187" s="141"/>
      <c r="P187" s="141"/>
      <c r="Q187" s="148"/>
      <c r="R187" s="148"/>
      <c r="S187" s="148"/>
      <c r="T187" s="149"/>
      <c r="U187" s="151"/>
      <c r="V187" s="152"/>
      <c r="W187" s="153"/>
      <c r="X187" s="153"/>
      <c r="Y187" s="153"/>
      <c r="Z187" s="153"/>
      <c r="AA187" s="154"/>
      <c r="AB187" s="246"/>
      <c r="AC187" s="246"/>
      <c r="AE187" s="214"/>
      <c r="AF187" s="214"/>
      <c r="AG187" s="214"/>
      <c r="AH187" s="214"/>
      <c r="AI187" s="214"/>
      <c r="AJ187" s="214"/>
      <c r="AK187" s="214"/>
      <c r="AL187" s="214"/>
      <c r="AM187" s="214"/>
      <c r="AN187" s="214"/>
      <c r="AO187" s="214"/>
    </row>
    <row r="188" spans="2:41" s="247" customFormat="1" ht="12" thickTop="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41" s="247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41" s="247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41" s="247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41" s="247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39" s="247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39" s="247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39" s="247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39" s="247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39" s="247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39" s="247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39" s="247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39" s="247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39" s="247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39" s="247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39" s="247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39" s="247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39" s="247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39" s="247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39" s="247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39" s="247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39" s="247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39" s="247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39" s="247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39" s="247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39" s="247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39" s="247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39" s="247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39" s="247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39" s="247" customFormat="1" ht="11">
      <c r="B217" s="144"/>
      <c r="C217" s="143"/>
      <c r="D217" s="907"/>
      <c r="E217" s="143"/>
      <c r="F217" s="145"/>
      <c r="G217" s="146"/>
      <c r="H217" s="146"/>
      <c r="I217" s="146"/>
      <c r="J217" s="146"/>
      <c r="K217" s="146"/>
      <c r="L217" s="146"/>
      <c r="M217" s="458"/>
      <c r="N217" s="145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39" s="247" customFormat="1" ht="11">
      <c r="B218" s="144"/>
      <c r="C218" s="143"/>
      <c r="D218" s="907"/>
      <c r="E218" s="143"/>
      <c r="F218" s="145"/>
      <c r="G218" s="146"/>
      <c r="H218" s="146"/>
      <c r="I218" s="146"/>
      <c r="J218" s="146"/>
      <c r="K218" s="146"/>
      <c r="L218" s="146"/>
      <c r="M218" s="458"/>
      <c r="N218" s="145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39" s="247" customFormat="1" ht="11">
      <c r="B219" s="144"/>
      <c r="C219" s="143"/>
      <c r="D219" s="907"/>
      <c r="E219" s="143"/>
      <c r="F219" s="145"/>
      <c r="G219" s="146"/>
      <c r="H219" s="146"/>
      <c r="I219" s="146"/>
      <c r="J219" s="146"/>
      <c r="K219" s="146"/>
      <c r="L219" s="146"/>
      <c r="M219" s="458"/>
      <c r="N219" s="145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39" s="247" customFormat="1" ht="11">
      <c r="B220" s="144"/>
      <c r="C220" s="143"/>
      <c r="D220" s="907"/>
      <c r="E220" s="143"/>
      <c r="F220" s="145"/>
      <c r="G220" s="146"/>
      <c r="H220" s="146"/>
      <c r="I220" s="146"/>
      <c r="J220" s="146"/>
      <c r="K220" s="146"/>
      <c r="L220" s="146"/>
      <c r="M220" s="458"/>
      <c r="N220" s="145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39" s="247" customFormat="1" ht="11">
      <c r="B221" s="144"/>
      <c r="C221" s="143"/>
      <c r="D221" s="907"/>
      <c r="E221" s="143"/>
      <c r="F221" s="145"/>
      <c r="G221" s="146"/>
      <c r="H221" s="146"/>
      <c r="I221" s="146"/>
      <c r="J221" s="146"/>
      <c r="K221" s="146"/>
      <c r="L221" s="146"/>
      <c r="M221" s="458"/>
      <c r="N221" s="145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</row>
    <row r="222" spans="2:39" s="247" customFormat="1" ht="11">
      <c r="B222" s="144"/>
      <c r="C222" s="143"/>
      <c r="D222" s="907"/>
      <c r="E222" s="143"/>
      <c r="F222" s="145"/>
      <c r="G222" s="146"/>
      <c r="H222" s="146"/>
      <c r="I222" s="146"/>
      <c r="J222" s="146"/>
      <c r="K222" s="146"/>
      <c r="L222" s="146"/>
      <c r="M222" s="458"/>
      <c r="N222" s="145"/>
      <c r="O222" s="146"/>
      <c r="P222" s="146"/>
      <c r="Q222" s="147"/>
      <c r="R222" s="147"/>
      <c r="S222" s="142"/>
      <c r="T222" s="142"/>
      <c r="U222" s="146"/>
      <c r="V222" s="146"/>
      <c r="W222" s="146"/>
      <c r="X222" s="146"/>
      <c r="Y222" s="146"/>
      <c r="Z222" s="146"/>
      <c r="AA222" s="146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39" s="247" customFormat="1" ht="11">
      <c r="B223" s="144"/>
      <c r="C223" s="143"/>
      <c r="D223" s="907"/>
      <c r="E223" s="143"/>
      <c r="F223" s="145"/>
      <c r="G223" s="146"/>
      <c r="H223" s="146"/>
      <c r="I223" s="146"/>
      <c r="J223" s="146"/>
      <c r="K223" s="146"/>
      <c r="L223" s="146"/>
      <c r="M223" s="458"/>
      <c r="N223" s="145"/>
      <c r="O223" s="146"/>
      <c r="P223" s="146"/>
      <c r="Q223" s="147"/>
      <c r="R223" s="147"/>
      <c r="S223" s="142"/>
      <c r="T223" s="142"/>
      <c r="U223" s="146"/>
      <c r="V223" s="146"/>
      <c r="W223" s="146"/>
      <c r="X223" s="146"/>
      <c r="Y223" s="146"/>
      <c r="Z223" s="146"/>
      <c r="AA223" s="146"/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</row>
    <row r="224" spans="2:39" s="247" customFormat="1" ht="11">
      <c r="B224" s="248"/>
      <c r="D224" s="909"/>
      <c r="F224" s="249"/>
      <c r="G224" s="250"/>
      <c r="H224" s="250"/>
      <c r="I224" s="250"/>
      <c r="J224" s="250"/>
      <c r="K224" s="250"/>
      <c r="L224" s="250"/>
      <c r="M224" s="459"/>
      <c r="N224" s="249"/>
      <c r="O224" s="146"/>
      <c r="P224" s="146"/>
      <c r="Q224" s="147"/>
      <c r="R224" s="147"/>
      <c r="S224" s="142"/>
      <c r="T224" s="142"/>
      <c r="U224" s="146"/>
      <c r="V224" s="146"/>
      <c r="W224" s="146"/>
      <c r="X224" s="146"/>
      <c r="Y224" s="146"/>
      <c r="Z224" s="146"/>
      <c r="AA224" s="146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2:41" s="247" customFormat="1" ht="11">
      <c r="B225" s="248"/>
      <c r="D225" s="909"/>
      <c r="F225" s="249"/>
      <c r="G225" s="250"/>
      <c r="H225" s="250"/>
      <c r="I225" s="250"/>
      <c r="J225" s="250"/>
      <c r="K225" s="250"/>
      <c r="L225" s="250"/>
      <c r="M225" s="459"/>
      <c r="N225" s="249"/>
      <c r="O225" s="146"/>
      <c r="P225" s="146"/>
      <c r="Q225" s="147"/>
      <c r="R225" s="147"/>
      <c r="S225" s="142"/>
      <c r="T225" s="142"/>
      <c r="U225" s="146"/>
      <c r="V225" s="146"/>
      <c r="W225" s="146"/>
      <c r="X225" s="146"/>
      <c r="Y225" s="146"/>
      <c r="Z225" s="146"/>
      <c r="AA225" s="146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</row>
    <row r="226" spans="2:41" s="247" customFormat="1" ht="11">
      <c r="B226" s="248"/>
      <c r="D226" s="909"/>
      <c r="F226" s="249"/>
      <c r="G226" s="250"/>
      <c r="H226" s="250"/>
      <c r="I226" s="250"/>
      <c r="J226" s="250"/>
      <c r="K226" s="250"/>
      <c r="L226" s="250"/>
      <c r="M226" s="459"/>
      <c r="N226" s="249"/>
      <c r="O226" s="146"/>
      <c r="P226" s="146"/>
      <c r="Q226" s="147"/>
      <c r="R226" s="147"/>
      <c r="S226" s="142"/>
      <c r="T226" s="142"/>
      <c r="U226" s="146"/>
      <c r="V226" s="146"/>
      <c r="W226" s="146"/>
      <c r="X226" s="146"/>
      <c r="Y226" s="146"/>
      <c r="Z226" s="146"/>
      <c r="AA226" s="146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2:41" s="247" customFormat="1" ht="11">
      <c r="B227" s="248"/>
      <c r="D227" s="909"/>
      <c r="F227" s="249"/>
      <c r="G227" s="250"/>
      <c r="H227" s="250"/>
      <c r="I227" s="250"/>
      <c r="J227" s="250"/>
      <c r="K227" s="250"/>
      <c r="L227" s="250"/>
      <c r="M227" s="459"/>
      <c r="N227" s="249"/>
      <c r="O227" s="146"/>
      <c r="P227" s="146"/>
      <c r="Q227" s="147"/>
      <c r="R227" s="147"/>
      <c r="S227" s="142"/>
      <c r="T227" s="142"/>
      <c r="U227" s="146"/>
      <c r="V227" s="146"/>
      <c r="W227" s="146"/>
      <c r="X227" s="146"/>
      <c r="Y227" s="146"/>
      <c r="Z227" s="146"/>
      <c r="AA227" s="146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2:41" s="247" customFormat="1" ht="11">
      <c r="B228" s="248"/>
      <c r="D228" s="909"/>
      <c r="F228" s="249"/>
      <c r="G228" s="250"/>
      <c r="H228" s="250"/>
      <c r="I228" s="250"/>
      <c r="J228" s="250"/>
      <c r="K228" s="250"/>
      <c r="L228" s="250"/>
      <c r="M228" s="459"/>
      <c r="N228" s="249"/>
      <c r="O228" s="146"/>
      <c r="P228" s="146"/>
      <c r="Q228" s="147"/>
      <c r="R228" s="147"/>
      <c r="S228" s="142"/>
      <c r="T228" s="142"/>
      <c r="U228" s="146">
        <f>SUBTOTAL(9,U186:U227)</f>
        <v>0</v>
      </c>
      <c r="V228" s="146">
        <f t="shared" ref="V228:AA228" si="106">SUBTOTAL(9,V186:V227)</f>
        <v>0</v>
      </c>
      <c r="W228" s="146">
        <f t="shared" si="106"/>
        <v>0</v>
      </c>
      <c r="X228" s="146">
        <f t="shared" si="106"/>
        <v>0</v>
      </c>
      <c r="Y228" s="146">
        <f t="shared" si="106"/>
        <v>0</v>
      </c>
      <c r="Z228" s="146">
        <f t="shared" si="106"/>
        <v>0</v>
      </c>
      <c r="AA228" s="146">
        <f t="shared" si="106"/>
        <v>0</v>
      </c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2:41" s="213" customFormat="1" ht="14" thickBot="1">
      <c r="B229" s="225"/>
      <c r="D229" s="910"/>
      <c r="F229" s="242"/>
      <c r="G229" s="243"/>
      <c r="H229" s="243"/>
      <c r="I229" s="243"/>
      <c r="J229" s="243"/>
      <c r="K229" s="243"/>
      <c r="L229" s="243"/>
      <c r="M229" s="459"/>
      <c r="N229" s="242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2:41" s="213" customFormat="1" ht="15" thickTop="1" thickBot="1">
      <c r="B230" s="225"/>
      <c r="D230" s="910"/>
      <c r="F230" s="242"/>
      <c r="G230" s="243"/>
      <c r="H230" s="243"/>
      <c r="I230" s="243"/>
      <c r="J230" s="243"/>
      <c r="K230" s="243"/>
      <c r="L230" s="243"/>
      <c r="M230" s="459"/>
      <c r="N230" s="242"/>
      <c r="O230" s="141"/>
      <c r="P230" s="141"/>
      <c r="Q230" s="148"/>
      <c r="R230" s="148"/>
      <c r="S230" s="148"/>
      <c r="T230" s="148"/>
      <c r="U230" s="151">
        <f>SUBTOTAL(9,U188:U229)</f>
        <v>0</v>
      </c>
      <c r="V230" s="152">
        <f t="shared" ref="V230:AA230" si="107">SUBTOTAL(9,V188:V229)</f>
        <v>0</v>
      </c>
      <c r="W230" s="153">
        <f t="shared" si="107"/>
        <v>0</v>
      </c>
      <c r="X230" s="153">
        <f t="shared" si="107"/>
        <v>0</v>
      </c>
      <c r="Y230" s="153">
        <f t="shared" si="107"/>
        <v>0</v>
      </c>
      <c r="Z230" s="153">
        <f t="shared" si="107"/>
        <v>0</v>
      </c>
      <c r="AA230" s="154">
        <f t="shared" si="107"/>
        <v>0</v>
      </c>
      <c r="AB230" s="246"/>
      <c r="AC230" s="246"/>
      <c r="AE230" s="214"/>
      <c r="AF230" s="214"/>
      <c r="AG230" s="214"/>
      <c r="AH230" s="214"/>
      <c r="AI230" s="214"/>
      <c r="AJ230" s="214"/>
      <c r="AK230" s="214"/>
      <c r="AL230" s="214"/>
      <c r="AM230" s="214"/>
      <c r="AN230" s="214"/>
      <c r="AO230" s="214"/>
    </row>
    <row r="231" spans="2:41" s="213" customFormat="1" ht="14" thickTop="1">
      <c r="B231" s="225"/>
      <c r="D231" s="910"/>
      <c r="F231" s="242"/>
      <c r="G231" s="243"/>
      <c r="H231" s="243"/>
      <c r="I231" s="243"/>
      <c r="J231" s="243"/>
      <c r="K231" s="243"/>
      <c r="L231" s="243"/>
      <c r="M231" s="459"/>
      <c r="N231" s="242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2:41" s="213" customFormat="1">
      <c r="B232" s="225"/>
      <c r="D232" s="910"/>
      <c r="F232" s="242"/>
      <c r="G232" s="243"/>
      <c r="H232" s="243"/>
      <c r="I232" s="243"/>
      <c r="J232" s="243"/>
      <c r="K232" s="243"/>
      <c r="L232" s="243"/>
      <c r="M232" s="459"/>
      <c r="N232" s="242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2:41" s="213" customFormat="1">
      <c r="B233" s="225"/>
      <c r="D233" s="910"/>
      <c r="F233" s="242"/>
      <c r="G233" s="243"/>
      <c r="H233" s="243"/>
      <c r="I233" s="243"/>
      <c r="J233" s="243"/>
      <c r="K233" s="243"/>
      <c r="L233" s="243"/>
      <c r="M233" s="459"/>
      <c r="N233" s="242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2:41" s="213" customFormat="1">
      <c r="B234" s="225"/>
      <c r="D234" s="910"/>
      <c r="F234" s="242"/>
      <c r="G234" s="243"/>
      <c r="H234" s="243"/>
      <c r="I234" s="243"/>
      <c r="J234" s="243"/>
      <c r="K234" s="243"/>
      <c r="L234" s="243"/>
      <c r="M234" s="459"/>
      <c r="N234" s="242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14"/>
      <c r="AD234" s="214"/>
      <c r="AE234" s="214"/>
      <c r="AF234" s="214"/>
      <c r="AG234" s="214"/>
      <c r="AH234" s="214"/>
      <c r="AI234" s="214"/>
      <c r="AJ234" s="214"/>
      <c r="AK234" s="214"/>
      <c r="AL234" s="214"/>
      <c r="AM234" s="214"/>
    </row>
    <row r="235" spans="2:41" s="213" customFormat="1">
      <c r="B235" s="225"/>
      <c r="D235" s="910"/>
      <c r="F235" s="242"/>
      <c r="G235" s="243"/>
      <c r="H235" s="243"/>
      <c r="I235" s="243"/>
      <c r="J235" s="243"/>
      <c r="K235" s="243"/>
      <c r="L235" s="243"/>
      <c r="M235" s="459"/>
      <c r="N235" s="242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</row>
    <row r="236" spans="2:41" s="213" customFormat="1">
      <c r="B236" s="225"/>
      <c r="D236" s="910"/>
      <c r="F236" s="242"/>
      <c r="G236" s="243"/>
      <c r="H236" s="243"/>
      <c r="I236" s="243"/>
      <c r="J236" s="243"/>
      <c r="K236" s="243"/>
      <c r="L236" s="243"/>
      <c r="M236" s="459"/>
      <c r="N236" s="242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14"/>
      <c r="AD236" s="214"/>
      <c r="AE236" s="214"/>
      <c r="AF236" s="214"/>
      <c r="AG236" s="214"/>
      <c r="AH236" s="214"/>
      <c r="AI236" s="214"/>
      <c r="AJ236" s="214"/>
      <c r="AK236" s="214"/>
      <c r="AL236" s="214"/>
      <c r="AM236" s="214"/>
    </row>
    <row r="237" spans="2:41" s="213" customFormat="1">
      <c r="B237" s="225"/>
      <c r="D237" s="910"/>
      <c r="F237" s="242"/>
      <c r="G237" s="243"/>
      <c r="H237" s="243"/>
      <c r="I237" s="243"/>
      <c r="J237" s="243"/>
      <c r="K237" s="243"/>
      <c r="L237" s="243"/>
      <c r="M237" s="459"/>
      <c r="N237" s="242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14"/>
      <c r="AD237" s="214"/>
      <c r="AE237" s="214"/>
      <c r="AF237" s="214"/>
      <c r="AG237" s="214"/>
      <c r="AH237" s="214"/>
      <c r="AI237" s="214"/>
      <c r="AJ237" s="214"/>
      <c r="AK237" s="214"/>
      <c r="AL237" s="214"/>
      <c r="AM237" s="214"/>
    </row>
    <row r="238" spans="2:41" s="213" customFormat="1">
      <c r="B238" s="225"/>
      <c r="D238" s="910"/>
      <c r="F238" s="242"/>
      <c r="G238" s="243"/>
      <c r="H238" s="243"/>
      <c r="I238" s="243"/>
      <c r="J238" s="243"/>
      <c r="K238" s="243"/>
      <c r="L238" s="243"/>
      <c r="M238" s="459"/>
      <c r="N238" s="242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14"/>
      <c r="AD238" s="214"/>
      <c r="AE238" s="214"/>
      <c r="AF238" s="214"/>
      <c r="AG238" s="214"/>
      <c r="AH238" s="214"/>
      <c r="AI238" s="214"/>
      <c r="AJ238" s="214"/>
      <c r="AK238" s="214"/>
      <c r="AL238" s="214"/>
      <c r="AM238" s="214"/>
    </row>
    <row r="239" spans="2:41" s="213" customFormat="1">
      <c r="B239" s="225"/>
      <c r="D239" s="910"/>
      <c r="F239" s="242"/>
      <c r="G239" s="243"/>
      <c r="H239" s="243"/>
      <c r="I239" s="243"/>
      <c r="J239" s="243"/>
      <c r="K239" s="243"/>
      <c r="L239" s="243"/>
      <c r="M239" s="459"/>
      <c r="N239" s="242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14"/>
      <c r="AD239" s="214"/>
      <c r="AE239" s="214"/>
      <c r="AF239" s="214"/>
      <c r="AG239" s="214"/>
      <c r="AH239" s="214"/>
      <c r="AI239" s="214"/>
      <c r="AJ239" s="214"/>
      <c r="AK239" s="214"/>
      <c r="AL239" s="214"/>
      <c r="AM239" s="214"/>
    </row>
    <row r="240" spans="2:41" s="213" customFormat="1">
      <c r="B240" s="225"/>
      <c r="D240" s="910"/>
      <c r="F240" s="242"/>
      <c r="G240" s="243"/>
      <c r="H240" s="243"/>
      <c r="I240" s="243"/>
      <c r="J240" s="243"/>
      <c r="K240" s="243"/>
      <c r="L240" s="243"/>
      <c r="M240" s="459"/>
      <c r="N240" s="242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14"/>
      <c r="AD240" s="214"/>
      <c r="AE240" s="214"/>
      <c r="AF240" s="214"/>
      <c r="AG240" s="214"/>
      <c r="AH240" s="214"/>
      <c r="AI240" s="214"/>
      <c r="AJ240" s="214"/>
      <c r="AK240" s="214"/>
      <c r="AL240" s="214"/>
      <c r="AM240" s="214"/>
    </row>
    <row r="241" spans="2:39" s="213" customFormat="1">
      <c r="B241" s="225"/>
      <c r="D241" s="910"/>
      <c r="F241" s="242"/>
      <c r="G241" s="243"/>
      <c r="H241" s="243"/>
      <c r="I241" s="243"/>
      <c r="J241" s="243"/>
      <c r="K241" s="243"/>
      <c r="L241" s="243"/>
      <c r="M241" s="459"/>
      <c r="N241" s="242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14"/>
      <c r="AD241" s="214"/>
      <c r="AE241" s="214"/>
      <c r="AF241" s="214"/>
      <c r="AG241" s="214"/>
      <c r="AH241" s="214"/>
      <c r="AI241" s="214"/>
      <c r="AJ241" s="214"/>
      <c r="AK241" s="214"/>
      <c r="AL241" s="214"/>
      <c r="AM241" s="214"/>
    </row>
    <row r="242" spans="2:39" s="213" customFormat="1">
      <c r="B242" s="225"/>
      <c r="D242" s="910"/>
      <c r="F242" s="242"/>
      <c r="G242" s="243"/>
      <c r="H242" s="243"/>
      <c r="I242" s="243"/>
      <c r="J242" s="243"/>
      <c r="K242" s="243"/>
      <c r="L242" s="243"/>
      <c r="M242" s="459"/>
      <c r="N242" s="242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14"/>
      <c r="AD242" s="214"/>
      <c r="AE242" s="214"/>
      <c r="AF242" s="214"/>
      <c r="AG242" s="214"/>
      <c r="AH242" s="214"/>
      <c r="AI242" s="214"/>
      <c r="AJ242" s="214"/>
      <c r="AK242" s="214"/>
      <c r="AL242" s="214"/>
      <c r="AM242" s="214"/>
    </row>
    <row r="243" spans="2:39" s="213" customFormat="1">
      <c r="B243" s="225"/>
      <c r="D243" s="910"/>
      <c r="F243" s="242"/>
      <c r="G243" s="243"/>
      <c r="H243" s="243"/>
      <c r="I243" s="243"/>
      <c r="J243" s="243"/>
      <c r="K243" s="243"/>
      <c r="L243" s="243"/>
      <c r="M243" s="459"/>
      <c r="N243" s="242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14"/>
      <c r="AD243" s="214"/>
      <c r="AE243" s="214"/>
      <c r="AF243" s="214"/>
      <c r="AG243" s="214"/>
      <c r="AH243" s="214"/>
      <c r="AI243" s="214"/>
      <c r="AJ243" s="214"/>
      <c r="AK243" s="214"/>
      <c r="AL243" s="214"/>
      <c r="AM243" s="214"/>
    </row>
    <row r="244" spans="2:39" s="213" customFormat="1">
      <c r="B244" s="225"/>
      <c r="D244" s="910"/>
      <c r="F244" s="242"/>
      <c r="G244" s="243"/>
      <c r="H244" s="243"/>
      <c r="I244" s="243"/>
      <c r="J244" s="243"/>
      <c r="K244" s="243"/>
      <c r="L244" s="243"/>
      <c r="M244" s="459"/>
      <c r="N244" s="242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14"/>
      <c r="AD244" s="214"/>
      <c r="AE244" s="214"/>
      <c r="AF244" s="214"/>
      <c r="AG244" s="214"/>
      <c r="AH244" s="214"/>
      <c r="AI244" s="214"/>
      <c r="AJ244" s="214"/>
      <c r="AK244" s="214"/>
      <c r="AL244" s="214"/>
      <c r="AM244" s="214"/>
    </row>
    <row r="245" spans="2:39" s="213" customFormat="1">
      <c r="B245" s="225"/>
      <c r="D245" s="910"/>
      <c r="F245" s="242"/>
      <c r="G245" s="243"/>
      <c r="H245" s="243"/>
      <c r="I245" s="243"/>
      <c r="J245" s="243"/>
      <c r="K245" s="243"/>
      <c r="L245" s="243"/>
      <c r="M245" s="459"/>
      <c r="N245" s="242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14"/>
      <c r="AD245" s="214"/>
      <c r="AE245" s="214"/>
      <c r="AF245" s="214"/>
      <c r="AG245" s="214"/>
      <c r="AH245" s="214"/>
      <c r="AI245" s="214"/>
      <c r="AJ245" s="214"/>
      <c r="AK245" s="214"/>
      <c r="AL245" s="214"/>
      <c r="AM245" s="214"/>
    </row>
    <row r="246" spans="2:39" s="213" customFormat="1">
      <c r="B246" s="225"/>
      <c r="D246" s="910"/>
      <c r="F246" s="242"/>
      <c r="G246" s="243"/>
      <c r="H246" s="243"/>
      <c r="I246" s="243"/>
      <c r="J246" s="243"/>
      <c r="K246" s="243"/>
      <c r="L246" s="243"/>
      <c r="M246" s="459"/>
      <c r="N246" s="242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14"/>
      <c r="AD246" s="214"/>
      <c r="AE246" s="214"/>
      <c r="AF246" s="214"/>
      <c r="AG246" s="214"/>
      <c r="AH246" s="214"/>
      <c r="AI246" s="214"/>
      <c r="AJ246" s="214"/>
      <c r="AK246" s="214"/>
      <c r="AL246" s="214"/>
      <c r="AM246" s="214"/>
    </row>
    <row r="247" spans="2:39" s="213" customFormat="1">
      <c r="B247" s="225"/>
      <c r="D247" s="910"/>
      <c r="F247" s="242"/>
      <c r="G247" s="243"/>
      <c r="H247" s="243"/>
      <c r="I247" s="243"/>
      <c r="J247" s="243"/>
      <c r="K247" s="243"/>
      <c r="L247" s="243"/>
      <c r="M247" s="459"/>
      <c r="N247" s="242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14"/>
      <c r="AD247" s="214"/>
      <c r="AE247" s="214"/>
      <c r="AF247" s="214"/>
      <c r="AG247" s="214"/>
      <c r="AH247" s="214"/>
      <c r="AI247" s="214"/>
      <c r="AJ247" s="214"/>
      <c r="AK247" s="214"/>
      <c r="AL247" s="214"/>
      <c r="AM247" s="214"/>
    </row>
    <row r="248" spans="2:39" s="213" customFormat="1">
      <c r="B248" s="225"/>
      <c r="D248" s="910"/>
      <c r="F248" s="242"/>
      <c r="G248" s="243"/>
      <c r="H248" s="243"/>
      <c r="I248" s="243"/>
      <c r="J248" s="243"/>
      <c r="K248" s="243"/>
      <c r="L248" s="243"/>
      <c r="M248" s="459"/>
      <c r="N248" s="242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14"/>
      <c r="AD248" s="214"/>
      <c r="AE248" s="214"/>
      <c r="AF248" s="214"/>
      <c r="AG248" s="214"/>
      <c r="AH248" s="214"/>
      <c r="AI248" s="214"/>
      <c r="AJ248" s="214"/>
      <c r="AK248" s="214"/>
      <c r="AL248" s="214"/>
      <c r="AM248" s="214"/>
    </row>
    <row r="249" spans="2:39" s="213" customFormat="1">
      <c r="B249" s="225"/>
      <c r="D249" s="910"/>
      <c r="F249" s="242"/>
      <c r="G249" s="243"/>
      <c r="H249" s="243"/>
      <c r="I249" s="243"/>
      <c r="J249" s="243"/>
      <c r="K249" s="243"/>
      <c r="L249" s="243"/>
      <c r="M249" s="459"/>
      <c r="N249" s="242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14"/>
      <c r="AD249" s="214"/>
      <c r="AE249" s="214"/>
      <c r="AF249" s="214"/>
      <c r="AG249" s="214"/>
      <c r="AH249" s="214"/>
      <c r="AI249" s="214"/>
      <c r="AJ249" s="214"/>
      <c r="AK249" s="214"/>
      <c r="AL249" s="214"/>
      <c r="AM249" s="214"/>
    </row>
    <row r="250" spans="2:39" s="213" customFormat="1">
      <c r="B250" s="225"/>
      <c r="D250" s="910"/>
      <c r="F250" s="242"/>
      <c r="G250" s="243"/>
      <c r="H250" s="243"/>
      <c r="I250" s="243"/>
      <c r="J250" s="243"/>
      <c r="K250" s="243"/>
      <c r="L250" s="243"/>
      <c r="M250" s="459"/>
      <c r="N250" s="242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14"/>
      <c r="AD250" s="214"/>
      <c r="AE250" s="214"/>
      <c r="AF250" s="214"/>
      <c r="AG250" s="214"/>
      <c r="AH250" s="214"/>
      <c r="AI250" s="214"/>
      <c r="AJ250" s="214"/>
      <c r="AK250" s="214"/>
      <c r="AL250" s="214"/>
      <c r="AM250" s="214"/>
    </row>
    <row r="251" spans="2:39" s="213" customFormat="1">
      <c r="B251" s="225"/>
      <c r="D251" s="910"/>
      <c r="F251" s="242"/>
      <c r="G251" s="243"/>
      <c r="H251" s="243"/>
      <c r="I251" s="243"/>
      <c r="J251" s="243"/>
      <c r="K251" s="243"/>
      <c r="L251" s="243"/>
      <c r="M251" s="459"/>
      <c r="N251" s="242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14"/>
      <c r="AD251" s="214"/>
      <c r="AE251" s="214"/>
      <c r="AF251" s="214"/>
      <c r="AG251" s="214"/>
      <c r="AH251" s="214"/>
      <c r="AI251" s="214"/>
      <c r="AJ251" s="214"/>
      <c r="AK251" s="214"/>
      <c r="AL251" s="214"/>
      <c r="AM251" s="214"/>
    </row>
    <row r="252" spans="2:39" s="213" customFormat="1">
      <c r="B252" s="225"/>
      <c r="D252" s="910"/>
      <c r="F252" s="242"/>
      <c r="G252" s="243"/>
      <c r="H252" s="243"/>
      <c r="I252" s="243"/>
      <c r="J252" s="243"/>
      <c r="K252" s="243"/>
      <c r="L252" s="243"/>
      <c r="M252" s="459"/>
      <c r="N252" s="242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14"/>
      <c r="AD252" s="214"/>
      <c r="AE252" s="214"/>
      <c r="AF252" s="214"/>
      <c r="AG252" s="214"/>
      <c r="AH252" s="214"/>
      <c r="AI252" s="214"/>
      <c r="AJ252" s="214"/>
      <c r="AK252" s="214"/>
      <c r="AL252" s="214"/>
      <c r="AM252" s="214"/>
    </row>
    <row r="253" spans="2:39" s="213" customFormat="1">
      <c r="B253" s="225"/>
      <c r="D253" s="910"/>
      <c r="F253" s="242"/>
      <c r="G253" s="243"/>
      <c r="H253" s="243"/>
      <c r="I253" s="243"/>
      <c r="J253" s="243"/>
      <c r="K253" s="243"/>
      <c r="L253" s="243"/>
      <c r="M253" s="459"/>
      <c r="N253" s="242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14"/>
      <c r="AD253" s="214"/>
      <c r="AE253" s="214"/>
      <c r="AF253" s="214"/>
      <c r="AG253" s="214"/>
      <c r="AH253" s="214"/>
      <c r="AI253" s="214"/>
      <c r="AJ253" s="214"/>
      <c r="AK253" s="214"/>
      <c r="AL253" s="214"/>
      <c r="AM253" s="214"/>
    </row>
    <row r="254" spans="2:39" s="213" customFormat="1">
      <c r="B254" s="225"/>
      <c r="D254" s="910"/>
      <c r="F254" s="242"/>
      <c r="G254" s="243"/>
      <c r="H254" s="243"/>
      <c r="I254" s="243"/>
      <c r="J254" s="243"/>
      <c r="K254" s="243"/>
      <c r="L254" s="243"/>
      <c r="M254" s="459"/>
      <c r="N254" s="242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14"/>
      <c r="AD254" s="214"/>
      <c r="AE254" s="214"/>
      <c r="AF254" s="214"/>
      <c r="AG254" s="214"/>
      <c r="AH254" s="214"/>
      <c r="AI254" s="214"/>
      <c r="AJ254" s="214"/>
      <c r="AK254" s="214"/>
      <c r="AL254" s="214"/>
      <c r="AM254" s="214"/>
    </row>
    <row r="255" spans="2:39" s="213" customFormat="1">
      <c r="B255" s="225"/>
      <c r="D255" s="910"/>
      <c r="F255" s="242"/>
      <c r="G255" s="243"/>
      <c r="H255" s="243"/>
      <c r="I255" s="243"/>
      <c r="J255" s="243"/>
      <c r="K255" s="243"/>
      <c r="L255" s="243"/>
      <c r="M255" s="459"/>
      <c r="N255" s="242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14"/>
      <c r="AD255" s="214"/>
      <c r="AE255" s="214"/>
      <c r="AF255" s="214"/>
      <c r="AG255" s="214"/>
      <c r="AH255" s="214"/>
      <c r="AI255" s="214"/>
      <c r="AJ255" s="214"/>
      <c r="AK255" s="214"/>
      <c r="AL255" s="214"/>
      <c r="AM255" s="214"/>
    </row>
    <row r="256" spans="2:39" s="213" customFormat="1">
      <c r="B256" s="225"/>
      <c r="D256" s="910"/>
      <c r="F256" s="242"/>
      <c r="G256" s="243"/>
      <c r="H256" s="243"/>
      <c r="I256" s="243"/>
      <c r="J256" s="243"/>
      <c r="K256" s="243"/>
      <c r="L256" s="243"/>
      <c r="M256" s="459"/>
      <c r="N256" s="242"/>
      <c r="O256" s="141"/>
      <c r="P256" s="141"/>
      <c r="Q256" s="148"/>
      <c r="R256" s="148"/>
      <c r="S256" s="149"/>
      <c r="T256" s="149"/>
      <c r="U256" s="150"/>
      <c r="V256" s="150"/>
      <c r="W256" s="150"/>
      <c r="X256" s="150"/>
      <c r="Y256" s="150"/>
      <c r="Z256" s="150"/>
      <c r="AA256" s="150"/>
      <c r="AC256" s="214"/>
      <c r="AD256" s="214"/>
      <c r="AE256" s="214"/>
      <c r="AF256" s="214"/>
      <c r="AG256" s="214"/>
      <c r="AH256" s="214"/>
      <c r="AI256" s="214"/>
      <c r="AJ256" s="214"/>
      <c r="AK256" s="214"/>
      <c r="AL256" s="214"/>
      <c r="AM256" s="214"/>
    </row>
    <row r="257" spans="1:40" s="213" customFormat="1">
      <c r="B257" s="225"/>
      <c r="D257" s="910"/>
      <c r="F257" s="242"/>
      <c r="G257" s="243"/>
      <c r="H257" s="243"/>
      <c r="I257" s="243"/>
      <c r="J257" s="243"/>
      <c r="K257" s="243"/>
      <c r="L257" s="243"/>
      <c r="M257" s="459"/>
      <c r="N257" s="242"/>
      <c r="O257" s="141"/>
      <c r="P257" s="141"/>
      <c r="Q257" s="148"/>
      <c r="R257" s="148"/>
      <c r="S257" s="149"/>
      <c r="T257" s="149"/>
      <c r="U257" s="150"/>
      <c r="V257" s="150"/>
      <c r="W257" s="150"/>
      <c r="X257" s="150"/>
      <c r="Y257" s="150"/>
      <c r="Z257" s="150"/>
      <c r="AA257" s="150"/>
      <c r="AC257" s="214"/>
      <c r="AD257" s="214"/>
      <c r="AE257" s="214"/>
      <c r="AF257" s="214"/>
      <c r="AG257" s="214"/>
      <c r="AH257" s="214"/>
      <c r="AI257" s="214"/>
      <c r="AJ257" s="214"/>
      <c r="AK257" s="214"/>
      <c r="AL257" s="214"/>
      <c r="AM257" s="214"/>
    </row>
    <row r="258" spans="1:40" s="213" customFormat="1">
      <c r="B258" s="225"/>
      <c r="D258" s="910"/>
      <c r="F258" s="242"/>
      <c r="G258" s="243"/>
      <c r="H258" s="243"/>
      <c r="I258" s="243"/>
      <c r="J258" s="243"/>
      <c r="K258" s="243"/>
      <c r="L258" s="243"/>
      <c r="M258" s="459"/>
      <c r="N258" s="242"/>
      <c r="O258" s="141"/>
      <c r="P258" s="141"/>
      <c r="Q258" s="148"/>
      <c r="R258" s="148"/>
      <c r="S258" s="149"/>
      <c r="T258" s="149"/>
      <c r="U258" s="150"/>
      <c r="V258" s="150"/>
      <c r="W258" s="150"/>
      <c r="X258" s="150"/>
      <c r="Y258" s="150"/>
      <c r="Z258" s="150"/>
      <c r="AA258" s="150"/>
      <c r="AC258" s="214"/>
      <c r="AD258" s="214"/>
      <c r="AE258" s="214"/>
      <c r="AF258" s="214"/>
      <c r="AG258" s="214"/>
      <c r="AH258" s="214"/>
      <c r="AI258" s="214"/>
      <c r="AJ258" s="214"/>
      <c r="AK258" s="214"/>
      <c r="AL258" s="214"/>
      <c r="AM258" s="214"/>
    </row>
    <row r="259" spans="1:40" s="213" customFormat="1">
      <c r="B259" s="225"/>
      <c r="D259" s="910"/>
      <c r="F259" s="242"/>
      <c r="G259" s="243"/>
      <c r="H259" s="243"/>
      <c r="I259" s="243"/>
      <c r="J259" s="243"/>
      <c r="K259" s="243"/>
      <c r="L259" s="243"/>
      <c r="M259" s="459"/>
      <c r="N259" s="242"/>
      <c r="O259" s="141"/>
      <c r="P259" s="141"/>
      <c r="Q259" s="148"/>
      <c r="R259" s="148"/>
      <c r="S259" s="149"/>
      <c r="T259" s="149"/>
      <c r="U259" s="150"/>
      <c r="V259" s="150"/>
      <c r="W259" s="150"/>
      <c r="X259" s="150"/>
      <c r="Y259" s="150"/>
      <c r="Z259" s="150"/>
      <c r="AA259" s="150"/>
      <c r="AC259" s="214"/>
      <c r="AD259" s="214"/>
      <c r="AE259" s="214"/>
      <c r="AF259" s="214"/>
      <c r="AG259" s="214"/>
      <c r="AH259" s="214"/>
      <c r="AI259" s="214"/>
      <c r="AJ259" s="214"/>
      <c r="AK259" s="214"/>
      <c r="AL259" s="214"/>
      <c r="AM259" s="214"/>
    </row>
    <row r="260" spans="1:40" s="213" customFormat="1">
      <c r="B260" s="225"/>
      <c r="D260" s="910"/>
      <c r="F260" s="242"/>
      <c r="G260" s="243"/>
      <c r="H260" s="243"/>
      <c r="I260" s="243"/>
      <c r="J260" s="243"/>
      <c r="K260" s="243"/>
      <c r="L260" s="243"/>
      <c r="M260" s="459"/>
      <c r="N260" s="242"/>
      <c r="O260" s="141"/>
      <c r="P260" s="141"/>
      <c r="Q260" s="148"/>
      <c r="R260" s="148"/>
      <c r="S260" s="149"/>
      <c r="T260" s="149"/>
      <c r="U260" s="150"/>
      <c r="V260" s="150"/>
      <c r="W260" s="150"/>
      <c r="X260" s="150"/>
      <c r="Y260" s="150"/>
      <c r="Z260" s="150"/>
      <c r="AA260" s="150"/>
      <c r="AC260" s="214"/>
      <c r="AD260" s="214"/>
      <c r="AE260" s="214"/>
      <c r="AF260" s="214"/>
      <c r="AG260" s="214"/>
      <c r="AH260" s="214"/>
      <c r="AI260" s="214"/>
      <c r="AJ260" s="214"/>
      <c r="AK260" s="214"/>
      <c r="AL260" s="214"/>
      <c r="AM260" s="214"/>
    </row>
    <row r="261" spans="1:40" s="213" customFormat="1">
      <c r="B261" s="225"/>
      <c r="D261" s="910"/>
      <c r="F261" s="242"/>
      <c r="G261" s="243"/>
      <c r="H261" s="243"/>
      <c r="I261" s="243"/>
      <c r="J261" s="243"/>
      <c r="K261" s="243"/>
      <c r="L261" s="243"/>
      <c r="M261" s="459"/>
      <c r="N261" s="242"/>
      <c r="O261" s="141"/>
      <c r="P261" s="141"/>
      <c r="Q261" s="148"/>
      <c r="R261" s="148"/>
      <c r="S261" s="149"/>
      <c r="T261" s="149"/>
      <c r="U261" s="150"/>
      <c r="V261" s="150"/>
      <c r="W261" s="150"/>
      <c r="X261" s="150"/>
      <c r="Y261" s="150"/>
      <c r="Z261" s="150"/>
      <c r="AA261" s="150"/>
      <c r="AC261" s="214"/>
      <c r="AD261" s="214"/>
      <c r="AE261" s="214"/>
      <c r="AF261" s="214"/>
      <c r="AG261" s="214"/>
      <c r="AH261" s="214"/>
      <c r="AI261" s="214"/>
      <c r="AJ261" s="214"/>
      <c r="AK261" s="214"/>
      <c r="AL261" s="214"/>
      <c r="AM261" s="214"/>
    </row>
    <row r="262" spans="1:40">
      <c r="A262" s="204"/>
      <c r="O262" s="155"/>
      <c r="P262" s="155"/>
      <c r="Q262" s="156"/>
      <c r="R262" s="156"/>
      <c r="S262" s="251"/>
      <c r="T262" s="251"/>
      <c r="U262" s="252"/>
      <c r="V262" s="252"/>
      <c r="W262" s="252"/>
      <c r="X262" s="252"/>
      <c r="Y262" s="252"/>
      <c r="Z262" s="252"/>
      <c r="AA262" s="252"/>
      <c r="AN262" s="204"/>
    </row>
    <row r="263" spans="1:40">
      <c r="A263" s="204"/>
      <c r="O263" s="155"/>
      <c r="P263" s="155"/>
      <c r="Q263" s="156"/>
      <c r="R263" s="156"/>
      <c r="S263" s="251"/>
      <c r="T263" s="251"/>
      <c r="U263" s="252"/>
      <c r="V263" s="252"/>
      <c r="W263" s="252"/>
      <c r="X263" s="252"/>
      <c r="Y263" s="252"/>
      <c r="Z263" s="252"/>
      <c r="AA263" s="252"/>
      <c r="AN263" s="204"/>
    </row>
    <row r="264" spans="1:40">
      <c r="A264" s="204"/>
      <c r="O264" s="155"/>
      <c r="P264" s="155"/>
      <c r="Q264" s="156"/>
      <c r="R264" s="156"/>
      <c r="S264" s="251"/>
      <c r="T264" s="251"/>
      <c r="U264" s="252"/>
      <c r="V264" s="252"/>
      <c r="W264" s="252"/>
      <c r="X264" s="252"/>
      <c r="Y264" s="252"/>
      <c r="Z264" s="252"/>
      <c r="AA264" s="252"/>
      <c r="AN264" s="204"/>
    </row>
    <row r="265" spans="1:40">
      <c r="A265" s="204"/>
      <c r="O265" s="155"/>
      <c r="P265" s="155"/>
      <c r="Q265" s="156"/>
      <c r="R265" s="156"/>
      <c r="S265" s="251"/>
      <c r="T265" s="251"/>
      <c r="U265" s="252"/>
      <c r="V265" s="252"/>
      <c r="W265" s="252"/>
      <c r="X265" s="252"/>
      <c r="Y265" s="252"/>
      <c r="Z265" s="252"/>
      <c r="AA265" s="252"/>
      <c r="AN265" s="204"/>
    </row>
    <row r="266" spans="1:40">
      <c r="A266" s="204"/>
      <c r="O266" s="155"/>
      <c r="P266" s="155"/>
      <c r="Q266" s="156"/>
      <c r="R266" s="156"/>
      <c r="S266" s="251"/>
      <c r="T266" s="251"/>
      <c r="U266" s="252"/>
      <c r="V266" s="252"/>
      <c r="W266" s="252"/>
      <c r="X266" s="252"/>
      <c r="Y266" s="252"/>
      <c r="Z266" s="252"/>
      <c r="AA266" s="252"/>
      <c r="AN266" s="204"/>
    </row>
    <row r="267" spans="1:40">
      <c r="A267" s="204"/>
      <c r="O267" s="155"/>
      <c r="P267" s="155"/>
      <c r="Q267" s="156"/>
      <c r="R267" s="156"/>
      <c r="S267" s="251"/>
      <c r="T267" s="251"/>
      <c r="U267" s="252"/>
      <c r="V267" s="252"/>
      <c r="W267" s="252"/>
      <c r="X267" s="252"/>
      <c r="Y267" s="252"/>
      <c r="Z267" s="252"/>
      <c r="AA267" s="252"/>
      <c r="AN267" s="204"/>
    </row>
    <row r="268" spans="1:40">
      <c r="A268" s="204"/>
      <c r="O268" s="155"/>
      <c r="P268" s="155"/>
      <c r="Q268" s="156"/>
      <c r="R268" s="156"/>
      <c r="S268" s="251"/>
      <c r="T268" s="251"/>
      <c r="U268" s="252"/>
      <c r="V268" s="252"/>
      <c r="W268" s="252"/>
      <c r="X268" s="252"/>
      <c r="Y268" s="252"/>
      <c r="Z268" s="252"/>
      <c r="AA268" s="252"/>
      <c r="AN268" s="204"/>
    </row>
    <row r="269" spans="1:40">
      <c r="A269" s="204"/>
      <c r="O269" s="155"/>
      <c r="P269" s="155"/>
      <c r="Q269" s="156"/>
      <c r="R269" s="156"/>
      <c r="S269" s="251"/>
      <c r="T269" s="251"/>
      <c r="U269" s="252"/>
      <c r="V269" s="252"/>
      <c r="W269" s="252"/>
      <c r="X269" s="252"/>
      <c r="Y269" s="252"/>
      <c r="Z269" s="252"/>
      <c r="AA269" s="252"/>
      <c r="AN269" s="204"/>
    </row>
    <row r="270" spans="1:40">
      <c r="A270" s="204"/>
      <c r="B270" s="204"/>
      <c r="D270" s="204"/>
      <c r="F270" s="204"/>
      <c r="G270" s="204"/>
      <c r="H270" s="204"/>
      <c r="I270" s="204"/>
      <c r="J270" s="204"/>
      <c r="K270" s="204"/>
      <c r="L270" s="204"/>
      <c r="M270" s="204"/>
      <c r="N270" s="204"/>
      <c r="O270" s="155"/>
      <c r="P270" s="155"/>
      <c r="Q270" s="156"/>
      <c r="R270" s="156"/>
      <c r="S270" s="251"/>
      <c r="T270" s="251"/>
      <c r="U270" s="252"/>
      <c r="V270" s="252"/>
      <c r="W270" s="252"/>
      <c r="X270" s="252"/>
      <c r="Y270" s="252"/>
      <c r="Z270" s="252"/>
      <c r="AA270" s="252"/>
      <c r="AB270" s="204"/>
      <c r="AC270" s="204"/>
      <c r="AD270" s="204"/>
      <c r="AE270" s="204"/>
      <c r="AF270" s="204"/>
      <c r="AG270" s="204"/>
      <c r="AH270" s="204"/>
      <c r="AI270" s="204"/>
      <c r="AJ270" s="204"/>
      <c r="AK270" s="204"/>
      <c r="AL270" s="204"/>
      <c r="AM270" s="204"/>
      <c r="AN270" s="204"/>
    </row>
    <row r="271" spans="1:40">
      <c r="A271" s="204"/>
      <c r="B271" s="204"/>
      <c r="D271" s="204"/>
      <c r="F271" s="204"/>
      <c r="G271" s="204"/>
      <c r="H271" s="204"/>
      <c r="I271" s="204"/>
      <c r="J271" s="204"/>
      <c r="K271" s="204"/>
      <c r="L271" s="204"/>
      <c r="M271" s="204"/>
      <c r="N271" s="204"/>
      <c r="O271" s="155"/>
      <c r="P271" s="155"/>
      <c r="Q271" s="156"/>
      <c r="R271" s="156"/>
      <c r="S271" s="251"/>
      <c r="T271" s="251"/>
      <c r="U271" s="252"/>
      <c r="V271" s="252"/>
      <c r="W271" s="252"/>
      <c r="X271" s="252"/>
      <c r="Y271" s="252"/>
      <c r="Z271" s="252"/>
      <c r="AA271" s="252"/>
      <c r="AB271" s="204"/>
      <c r="AC271" s="204"/>
      <c r="AD271" s="204"/>
      <c r="AE271" s="204"/>
      <c r="AF271" s="204"/>
      <c r="AG271" s="204"/>
      <c r="AH271" s="204"/>
      <c r="AI271" s="204"/>
      <c r="AJ271" s="204"/>
      <c r="AK271" s="204"/>
      <c r="AL271" s="204"/>
      <c r="AM271" s="204"/>
      <c r="AN271" s="204"/>
    </row>
    <row r="272" spans="1:40">
      <c r="A272" s="204"/>
      <c r="B272" s="204"/>
      <c r="D272" s="204"/>
      <c r="F272" s="204"/>
      <c r="G272" s="204"/>
      <c r="H272" s="204"/>
      <c r="I272" s="204"/>
      <c r="J272" s="204"/>
      <c r="K272" s="204"/>
      <c r="L272" s="204"/>
      <c r="M272" s="204"/>
      <c r="N272" s="204"/>
      <c r="O272" s="155"/>
      <c r="P272" s="155"/>
      <c r="Q272" s="156"/>
      <c r="R272" s="156"/>
      <c r="S272" s="251"/>
      <c r="T272" s="251"/>
      <c r="U272" s="252"/>
      <c r="V272" s="252"/>
      <c r="W272" s="252"/>
      <c r="X272" s="252"/>
      <c r="Y272" s="252"/>
      <c r="Z272" s="252"/>
      <c r="AA272" s="252"/>
      <c r="AB272" s="204"/>
      <c r="AC272" s="204"/>
      <c r="AD272" s="204"/>
      <c r="AE272" s="204"/>
      <c r="AF272" s="204"/>
      <c r="AG272" s="204"/>
      <c r="AH272" s="204"/>
      <c r="AI272" s="204"/>
      <c r="AJ272" s="204"/>
      <c r="AK272" s="204"/>
      <c r="AL272" s="204"/>
      <c r="AM272" s="204"/>
      <c r="AN272" s="204"/>
    </row>
    <row r="273" spans="1:40">
      <c r="A273" s="204"/>
      <c r="B273" s="204"/>
      <c r="D273" s="204"/>
      <c r="F273" s="204"/>
      <c r="G273" s="204"/>
      <c r="H273" s="204"/>
      <c r="I273" s="204"/>
      <c r="J273" s="204"/>
      <c r="K273" s="204"/>
      <c r="L273" s="204"/>
      <c r="M273" s="204"/>
      <c r="N273" s="204"/>
      <c r="O273" s="155"/>
      <c r="P273" s="155"/>
      <c r="Q273" s="156"/>
      <c r="R273" s="156"/>
      <c r="S273" s="251"/>
      <c r="T273" s="251"/>
      <c r="U273" s="252"/>
      <c r="V273" s="252"/>
      <c r="W273" s="252"/>
      <c r="X273" s="252"/>
      <c r="Y273" s="252"/>
      <c r="Z273" s="252"/>
      <c r="AA273" s="252"/>
      <c r="AB273" s="204"/>
      <c r="AC273" s="204"/>
      <c r="AD273" s="204"/>
      <c r="AE273" s="204"/>
      <c r="AF273" s="204"/>
      <c r="AG273" s="204"/>
      <c r="AH273" s="204"/>
      <c r="AI273" s="204"/>
      <c r="AJ273" s="204"/>
      <c r="AK273" s="204"/>
      <c r="AL273" s="204"/>
      <c r="AM273" s="204"/>
      <c r="AN273" s="204"/>
    </row>
    <row r="274" spans="1:40">
      <c r="A274" s="204"/>
      <c r="B274" s="204"/>
      <c r="D274" s="204"/>
      <c r="F274" s="204"/>
      <c r="G274" s="204"/>
      <c r="H274" s="204"/>
      <c r="I274" s="204"/>
      <c r="J274" s="204"/>
      <c r="K274" s="204"/>
      <c r="L274" s="204"/>
      <c r="M274" s="204"/>
      <c r="N274" s="204"/>
      <c r="O274" s="155"/>
      <c r="P274" s="155"/>
      <c r="Q274" s="156"/>
      <c r="R274" s="156"/>
      <c r="S274" s="251"/>
      <c r="T274" s="251"/>
      <c r="U274" s="252"/>
      <c r="V274" s="252"/>
      <c r="W274" s="252"/>
      <c r="X274" s="252"/>
      <c r="Y274" s="252"/>
      <c r="Z274" s="252"/>
      <c r="AA274" s="252"/>
      <c r="AB274" s="204"/>
      <c r="AC274" s="204"/>
      <c r="AD274" s="204"/>
      <c r="AE274" s="204"/>
      <c r="AF274" s="204"/>
      <c r="AG274" s="204"/>
      <c r="AH274" s="204"/>
      <c r="AI274" s="204"/>
      <c r="AJ274" s="204"/>
      <c r="AK274" s="204"/>
      <c r="AL274" s="204"/>
      <c r="AM274" s="204"/>
      <c r="AN274" s="204"/>
    </row>
  </sheetData>
  <mergeCells count="1">
    <mergeCell ref="K70:K71"/>
  </mergeCells>
  <conditionalFormatting sqref="D12 G12:K12">
    <cfRule type="cellIs" dxfId="72" priority="28" stopIfTrue="1" operator="equal">
      <formula>1</formula>
    </cfRule>
  </conditionalFormatting>
  <conditionalFormatting sqref="F10:K10 D10">
    <cfRule type="cellIs" dxfId="71" priority="27" stopIfTrue="1" operator="equal">
      <formula>1</formula>
    </cfRule>
  </conditionalFormatting>
  <conditionalFormatting sqref="F6:K6 D6">
    <cfRule type="cellIs" dxfId="70" priority="26" stopIfTrue="1" operator="equal">
      <formula>1</formula>
    </cfRule>
  </conditionalFormatting>
  <conditionalFormatting sqref="E6">
    <cfRule type="cellIs" dxfId="69" priority="25" stopIfTrue="1" operator="equal">
      <formula>1</formula>
    </cfRule>
  </conditionalFormatting>
  <conditionalFormatting sqref="G54:K54 D54">
    <cfRule type="cellIs" dxfId="68" priority="24" stopIfTrue="1" operator="equal">
      <formula>1</formula>
    </cfRule>
  </conditionalFormatting>
  <conditionalFormatting sqref="F20:K21 D20:D21 D23:D24 F23:K24 F26:K26 D26">
    <cfRule type="cellIs" dxfId="67" priority="22" stopIfTrue="1" operator="equal">
      <formula>1</formula>
    </cfRule>
  </conditionalFormatting>
  <conditionalFormatting sqref="F38:K39 D38:D39 D41:D42 F41:K42 F44:K44 D44">
    <cfRule type="cellIs" dxfId="66" priority="21" stopIfTrue="1" operator="equal">
      <formula>1</formula>
    </cfRule>
  </conditionalFormatting>
  <conditionalFormatting sqref="F45:K45 D45">
    <cfRule type="cellIs" dxfId="65" priority="20" stopIfTrue="1" operator="equal">
      <formula>1</formula>
    </cfRule>
  </conditionalFormatting>
  <conditionalFormatting sqref="K72:K73">
    <cfRule type="cellIs" dxfId="64" priority="15" stopIfTrue="1" operator="equal">
      <formula>1</formula>
    </cfRule>
  </conditionalFormatting>
  <conditionalFormatting sqref="K74:K76">
    <cfRule type="cellIs" dxfId="63" priority="14" stopIfTrue="1" operator="equal">
      <formula>1</formula>
    </cfRule>
  </conditionalFormatting>
  <conditionalFormatting sqref="D9 F9:I9">
    <cfRule type="cellIs" dxfId="62" priority="9" stopIfTrue="1" operator="equal">
      <formula>1</formula>
    </cfRule>
  </conditionalFormatting>
  <conditionalFormatting sqref="F13:K14 D13:D14 D16:D17 F16:K17 F19:K19 D19">
    <cfRule type="cellIs" dxfId="61" priority="8" stopIfTrue="1" operator="equal">
      <formula>1</formula>
    </cfRule>
  </conditionalFormatting>
  <conditionalFormatting sqref="D28 G28:K28">
    <cfRule type="cellIs" dxfId="60" priority="7" stopIfTrue="1" operator="equal">
      <formula>1</formula>
    </cfRule>
  </conditionalFormatting>
  <conditionalFormatting sqref="F29:K30 D29:D30 D32:D33 F32:K33 F35:K35 D35">
    <cfRule type="cellIs" dxfId="59" priority="6" stopIfTrue="1" operator="equal">
      <formula>1</formula>
    </cfRule>
  </conditionalFormatting>
  <conditionalFormatting sqref="F36:K36 D36">
    <cfRule type="cellIs" dxfId="58" priority="5" stopIfTrue="1" operator="equal">
      <formula>1</formula>
    </cfRule>
  </conditionalFormatting>
  <conditionalFormatting sqref="K77">
    <cfRule type="cellIs" dxfId="57" priority="4" stopIfTrue="1" operator="equal">
      <formula>1</formula>
    </cfRule>
  </conditionalFormatting>
  <conditionalFormatting sqref="F53:K53 D53">
    <cfRule type="cellIs" dxfId="56" priority="2" stopIfTrue="1" operator="equal">
      <formula>1</formula>
    </cfRule>
  </conditionalFormatting>
  <conditionalFormatting sqref="F46:G47 D46:D47 D49:D50 F49:G50 I46:K47 I49:K50">
    <cfRule type="cellIs" dxfId="55" priority="3" stopIfTrue="1" operator="equal">
      <formula>1</formula>
    </cfRule>
  </conditionalFormatting>
  <conditionalFormatting sqref="H46:H47 H49:H50">
    <cfRule type="cellIs" dxfId="54" priority="1" stopIfTrue="1" operator="equal">
      <formula>1</formula>
    </cfRule>
  </conditionalFormatting>
  <printOptions horizontalCentered="1" verticalCentered="1"/>
  <pageMargins left="0" right="0" top="0.39370078740157483" bottom="0" header="0.19685039370078741" footer="0"/>
  <pageSetup paperSize="9" scale="110" orientation="landscape" horizontalDpi="0" verticalDpi="0"/>
  <headerFooter>
    <oddHeader>&amp;L&amp;K000000&amp;P&amp;N&amp;D&amp;T&amp;Z&amp;F</oddHeader>
  </headerFooter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52A6E-D0CF-CF4F-8838-361EF178B329}">
  <sheetPr codeName="Hoja64"/>
  <dimension ref="A1:AO290"/>
  <sheetViews>
    <sheetView topLeftCell="A64" zoomScale="177" zoomScaleNormal="177" workbookViewId="0">
      <selection activeCell="N94" sqref="N94"/>
    </sheetView>
  </sheetViews>
  <sheetFormatPr baseColWidth="10" defaultColWidth="11.5" defaultRowHeight="11"/>
  <cols>
    <col min="1" max="1" width="2.83203125" style="1020" customWidth="1"/>
    <col min="2" max="2" width="2.83203125" style="1212" customWidth="1"/>
    <col min="3" max="3" width="1.5" style="245" customWidth="1"/>
    <col min="4" max="4" width="0.6640625" style="245" customWidth="1"/>
    <col min="5" max="5" width="3.1640625" style="245" customWidth="1"/>
    <col min="6" max="6" width="3" style="1205" customWidth="1"/>
    <col min="7" max="7" width="3.83203125" style="1206" customWidth="1"/>
    <col min="8" max="8" width="2.83203125" style="1206" customWidth="1"/>
    <col min="9" max="9" width="7.33203125" style="1206" customWidth="1"/>
    <col min="10" max="10" width="6.83203125" style="1206" customWidth="1"/>
    <col min="11" max="11" width="54.83203125" style="1206" customWidth="1"/>
    <col min="12" max="12" width="7.6640625" style="1206" customWidth="1"/>
    <col min="13" max="13" width="1.5" style="1208" customWidth="1"/>
    <col min="14" max="14" width="6.33203125" style="1205" customWidth="1"/>
    <col min="15" max="15" width="6.83203125" style="1206" customWidth="1"/>
    <col min="16" max="16" width="7.83203125" style="1206" customWidth="1"/>
    <col min="17" max="18" width="5.83203125" style="1209" customWidth="1"/>
    <col min="19" max="20" width="0.33203125" style="210" customWidth="1"/>
    <col min="21" max="22" width="6" style="1098" customWidth="1"/>
    <col min="23" max="23" width="6.33203125" style="1098" customWidth="1"/>
    <col min="24" max="24" width="5.33203125" style="1098" customWidth="1"/>
    <col min="25" max="25" width="6" style="1098" customWidth="1"/>
    <col min="26" max="27" width="5.33203125" style="1098" customWidth="1"/>
    <col min="28" max="28" width="7.6640625" style="244" customWidth="1"/>
    <col min="29" max="30" width="4.5" style="1211" customWidth="1"/>
    <col min="31" max="31" width="7" style="1211" customWidth="1"/>
    <col min="32" max="32" width="8.5" style="1211" customWidth="1"/>
    <col min="33" max="33" width="7.6640625" style="1211" customWidth="1"/>
    <col min="34" max="34" width="8" style="1211" customWidth="1"/>
    <col min="35" max="37" width="7.33203125" style="1211" customWidth="1"/>
    <col min="38" max="38" width="9.6640625" style="1211" customWidth="1"/>
    <col min="39" max="39" width="5.33203125" style="1211" customWidth="1"/>
    <col min="40" max="40" width="11.5" style="244"/>
    <col min="41" max="16384" width="11.5" style="245"/>
  </cols>
  <sheetData>
    <row r="1" spans="1:40" ht="19" customHeight="1">
      <c r="A1" s="1204" t="s">
        <v>344</v>
      </c>
      <c r="B1" s="245"/>
      <c r="C1" s="1126"/>
      <c r="D1" s="1126"/>
      <c r="E1" s="1128"/>
      <c r="V1" s="1210"/>
      <c r="AI1" s="244"/>
      <c r="AJ1" s="244"/>
      <c r="AK1" s="244"/>
      <c r="AL1" s="244"/>
      <c r="AM1" s="244"/>
    </row>
    <row r="2" spans="1:40" ht="15.75" customHeight="1" thickBot="1">
      <c r="A2" s="3176"/>
      <c r="B2" s="3177"/>
      <c r="C2" s="3176"/>
      <c r="D2" s="3176"/>
      <c r="E2" s="3178" t="s">
        <v>193</v>
      </c>
      <c r="F2" s="3178"/>
      <c r="G2" s="3179"/>
      <c r="H2" s="3179"/>
      <c r="I2" s="3179"/>
      <c r="K2" s="6049">
        <v>44732</v>
      </c>
      <c r="L2" s="3180"/>
      <c r="M2" s="3181"/>
      <c r="N2" s="3182"/>
      <c r="O2" s="3183"/>
      <c r="P2" s="3183"/>
      <c r="Q2" s="3184"/>
      <c r="R2" s="3184"/>
      <c r="U2" s="1219" t="s">
        <v>345</v>
      </c>
      <c r="AI2" s="244"/>
      <c r="AJ2" s="244"/>
      <c r="AK2" s="244"/>
      <c r="AL2" s="244"/>
      <c r="AM2" s="244"/>
    </row>
    <row r="3" spans="1:40" s="223" customFormat="1" ht="71" customHeight="1" thickTop="1" thickBot="1">
      <c r="A3" s="649" t="s">
        <v>346</v>
      </c>
      <c r="B3" s="650" t="s">
        <v>347</v>
      </c>
      <c r="C3" s="651" t="s">
        <v>348</v>
      </c>
      <c r="D3" s="651"/>
      <c r="E3" s="651" t="s">
        <v>349</v>
      </c>
      <c r="F3" s="652" t="s">
        <v>350</v>
      </c>
      <c r="G3" s="653" t="s">
        <v>351</v>
      </c>
      <c r="H3" s="653" t="s">
        <v>924</v>
      </c>
      <c r="I3" s="653" t="s">
        <v>352</v>
      </c>
      <c r="J3" s="652" t="s">
        <v>353</v>
      </c>
      <c r="K3" s="653" t="s">
        <v>354</v>
      </c>
      <c r="L3" s="653"/>
      <c r="M3" s="3185" t="s">
        <v>355</v>
      </c>
      <c r="N3" s="653" t="s">
        <v>445</v>
      </c>
      <c r="O3" s="651" t="s">
        <v>447</v>
      </c>
      <c r="P3" s="651" t="s">
        <v>447</v>
      </c>
      <c r="Q3" s="654" t="s">
        <v>448</v>
      </c>
      <c r="R3" s="655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1221"/>
      <c r="AD3" s="1211"/>
      <c r="AE3" s="1211"/>
      <c r="AF3" s="1211"/>
      <c r="AG3" s="1211"/>
      <c r="AH3" s="1211"/>
      <c r="AI3" s="220"/>
      <c r="AJ3" s="220"/>
      <c r="AK3" s="220"/>
      <c r="AL3" s="220"/>
      <c r="AM3" s="220"/>
      <c r="AN3" s="220"/>
    </row>
    <row r="4" spans="1:40" s="223" customFormat="1" ht="4" customHeight="1" thickBot="1">
      <c r="A4" s="911"/>
      <c r="B4" s="912"/>
      <c r="C4" s="913"/>
      <c r="D4" s="914"/>
      <c r="E4" s="913"/>
      <c r="F4" s="915"/>
      <c r="G4" s="913"/>
      <c r="H4" s="913"/>
      <c r="I4" s="913"/>
      <c r="J4" s="915"/>
      <c r="K4" s="913"/>
      <c r="L4" s="913"/>
      <c r="M4" s="1339"/>
      <c r="N4" s="913"/>
      <c r="O4" s="913"/>
      <c r="P4" s="913"/>
      <c r="Q4" s="917"/>
      <c r="R4" s="918"/>
      <c r="S4" s="919"/>
      <c r="T4" s="919"/>
      <c r="U4" s="1108">
        <f>Test!$D$29</f>
        <v>9.1523857526881758E-4</v>
      </c>
      <c r="V4" s="1108">
        <f>Test!$D$31</f>
        <v>8.7635030864197572E-4</v>
      </c>
      <c r="W4" s="1108">
        <f>Test!$D$33</f>
        <v>8.4888763197586746E-4</v>
      </c>
      <c r="X4" s="1108">
        <f>Test!$D$35</f>
        <v>8.0990657955066516E-4</v>
      </c>
      <c r="Y4" s="1108">
        <f>Test!$D$37</f>
        <v>7.5735749690210676E-4</v>
      </c>
      <c r="Z4" s="1108">
        <f>Test!$D$39</f>
        <v>7.2916666666666692E-4</v>
      </c>
      <c r="AA4" s="3186">
        <f>Test!$D$41</f>
        <v>7.0729166666666694E-4</v>
      </c>
      <c r="AB4" s="220"/>
      <c r="AC4" s="1229"/>
      <c r="AD4" s="1230"/>
      <c r="AE4" s="1230"/>
      <c r="AF4" s="1230"/>
      <c r="AG4" s="1230"/>
      <c r="AH4" s="1230"/>
      <c r="AI4" s="220"/>
      <c r="AJ4" s="220"/>
      <c r="AK4" s="220"/>
      <c r="AL4" s="220"/>
      <c r="AM4" s="220"/>
      <c r="AN4" s="220"/>
    </row>
    <row r="5" spans="1:40" s="223" customFormat="1" ht="12" customHeight="1" thickBot="1">
      <c r="A5" s="911"/>
      <c r="B5" s="912"/>
      <c r="C5" s="274"/>
      <c r="D5" s="914"/>
      <c r="E5" s="913"/>
      <c r="F5" s="624"/>
      <c r="G5" s="625"/>
      <c r="H5" s="625"/>
      <c r="I5" s="625"/>
      <c r="J5" s="624"/>
      <c r="K5" s="4119" t="s">
        <v>1877</v>
      </c>
      <c r="L5" s="1952"/>
      <c r="M5" s="1231"/>
      <c r="N5" s="1952"/>
      <c r="O5" s="913"/>
      <c r="P5" s="913"/>
      <c r="Q5" s="913"/>
      <c r="R5" s="918"/>
      <c r="S5" s="1228"/>
      <c r="T5" s="1228"/>
      <c r="U5" s="1108">
        <f>U4/4</f>
        <v>2.2880964381720439E-4</v>
      </c>
      <c r="V5" s="1108">
        <f t="shared" ref="V5:AA5" si="0">V4/4</f>
        <v>2.1908757716049393E-4</v>
      </c>
      <c r="W5" s="1108">
        <f t="shared" si="0"/>
        <v>2.1222190799396687E-4</v>
      </c>
      <c r="X5" s="1108">
        <f t="shared" si="0"/>
        <v>2.0247664488766629E-4</v>
      </c>
      <c r="Y5" s="1108">
        <f t="shared" si="0"/>
        <v>1.8933937422552669E-4</v>
      </c>
      <c r="Z5" s="1108">
        <f t="shared" si="0"/>
        <v>1.8229166666666673E-4</v>
      </c>
      <c r="AA5" s="1108">
        <f t="shared" si="0"/>
        <v>1.7682291666666674E-4</v>
      </c>
      <c r="AB5" s="220"/>
      <c r="AC5" s="1229"/>
      <c r="AD5" s="1230"/>
      <c r="AE5" s="1230"/>
      <c r="AF5" s="1230"/>
      <c r="AG5" s="1230"/>
      <c r="AH5" s="1230"/>
      <c r="AI5" s="220"/>
      <c r="AJ5" s="220"/>
      <c r="AK5" s="220"/>
      <c r="AL5" s="220"/>
      <c r="AM5" s="220"/>
      <c r="AN5" s="220"/>
    </row>
    <row r="6" spans="1:40" s="223" customFormat="1" ht="19.25" customHeight="1" thickTop="1">
      <c r="A6" s="3187" t="s">
        <v>214</v>
      </c>
      <c r="B6" s="3194" t="s">
        <v>215</v>
      </c>
      <c r="C6" s="274">
        <f t="shared" ref="C6:C76" si="1">IF(D6=1,U$5,IF(D6=2,V$5,IF(D6=3,W$5,IF(D6=4,X$5,IF(D6=5,Y$5,IF(D6=6,Z$5,IF(D6=7,AA$5,0)))))))</f>
        <v>2.2880964381720439E-4</v>
      </c>
      <c r="D6" s="547">
        <v>1</v>
      </c>
      <c r="E6" s="1194">
        <v>1</v>
      </c>
      <c r="F6" s="1194">
        <v>1</v>
      </c>
      <c r="G6" s="1194">
        <v>400</v>
      </c>
      <c r="H6" s="274"/>
      <c r="I6" s="274">
        <v>1.1574074074074073E-4</v>
      </c>
      <c r="J6" s="274">
        <v>6.9444444444444447E-4</v>
      </c>
      <c r="K6" s="312" t="s">
        <v>923</v>
      </c>
      <c r="L6" s="1453">
        <v>0.3125</v>
      </c>
      <c r="M6" s="2395">
        <v>1</v>
      </c>
      <c r="N6" s="1667">
        <f>P6*E6*F6+I6*E6*F6+J6*E6</f>
        <v>4.4711394862604554E-3</v>
      </c>
      <c r="O6" s="1196">
        <f t="shared" ref="O6:O12" si="2">C6*(G6/25)</f>
        <v>3.6609543010752703E-3</v>
      </c>
      <c r="P6" s="1196">
        <f t="shared" ref="P6:P12" si="3">O6*M6</f>
        <v>3.6609543010752703E-3</v>
      </c>
      <c r="Q6" s="548">
        <v>129</v>
      </c>
      <c r="R6" s="2384">
        <f t="shared" ref="R6:R12" si="4">E6*F6*G6</f>
        <v>400</v>
      </c>
      <c r="S6" s="1118">
        <f t="shared" ref="S6:S76" si="5">E6*F6*G6/1000</f>
        <v>0.4</v>
      </c>
      <c r="T6" s="1119">
        <f t="shared" ref="T6:T76" si="6">E6*F6*O6*4</f>
        <v>1.4643817204301081E-2</v>
      </c>
      <c r="U6" s="374">
        <f>IF(C6*4&gt;=$U$4,S6,0)</f>
        <v>0.4</v>
      </c>
      <c r="V6" s="1120">
        <f>IF(AND(C6*4&gt;=$V$4,C6*4&lt;$U$4),S6,0)</f>
        <v>0</v>
      </c>
      <c r="W6" s="376">
        <f>IF(AND(C6*4&gt;=$W$4,C6*4&lt;$V$4),S6,0)</f>
        <v>0</v>
      </c>
      <c r="X6" s="377">
        <f>IF(AND(C6*4&gt;=$X$4,C6*4&lt;$W$4),S6,0)</f>
        <v>0</v>
      </c>
      <c r="Y6" s="378">
        <f>IF(AND(C6*4&gt;=$Y$4,C6*4&lt;$X$4),S6,0)</f>
        <v>0</v>
      </c>
      <c r="Z6" s="1121">
        <f>IF(AND(C6*4&gt;=$Z$4,C6*4&lt;$Y$4),S6,0)</f>
        <v>0</v>
      </c>
      <c r="AA6" s="1122">
        <f>IF(AND(C6*4&gt;=$AA$4,C6*4&lt;$Z$4),S6,0)</f>
        <v>0</v>
      </c>
      <c r="AB6" s="220"/>
      <c r="AC6" s="1229"/>
      <c r="AD6" s="1230"/>
      <c r="AE6" s="1230"/>
      <c r="AF6" s="1230"/>
      <c r="AG6" s="1230"/>
      <c r="AH6" s="1230"/>
      <c r="AI6" s="220"/>
      <c r="AJ6" s="220"/>
      <c r="AK6" s="220"/>
      <c r="AL6" s="220"/>
      <c r="AM6" s="220"/>
      <c r="AN6" s="220"/>
    </row>
    <row r="7" spans="1:40" s="223" customFormat="1" ht="18" customHeight="1" thickBot="1">
      <c r="A7" s="3187" t="s">
        <v>459</v>
      </c>
      <c r="B7" s="3187" t="s">
        <v>215</v>
      </c>
      <c r="C7" s="274">
        <f t="shared" si="1"/>
        <v>2.1908757716049393E-4</v>
      </c>
      <c r="D7" s="675">
        <v>2</v>
      </c>
      <c r="E7" s="1173">
        <v>1</v>
      </c>
      <c r="F7" s="1173">
        <v>16</v>
      </c>
      <c r="G7" s="1173">
        <v>25</v>
      </c>
      <c r="H7" s="299"/>
      <c r="I7" s="299">
        <v>4.6296296296296294E-5</v>
      </c>
      <c r="J7" s="299">
        <v>6.9444444444444447E-4</v>
      </c>
      <c r="K7" s="1123" t="s">
        <v>878</v>
      </c>
      <c r="L7" s="1453">
        <f t="shared" ref="L7:L12" si="7">L6+N6</f>
        <v>0.31697113948626043</v>
      </c>
      <c r="M7" s="2397">
        <v>1</v>
      </c>
      <c r="N7" s="1453">
        <f t="shared" ref="N7:N12" si="8">P7*E7*F7+I7*F7*E7+J7*E7</f>
        <v>4.9405864197530885E-3</v>
      </c>
      <c r="O7" s="1453">
        <f t="shared" si="2"/>
        <v>2.1908757716049393E-4</v>
      </c>
      <c r="P7" s="1175">
        <f t="shared" si="3"/>
        <v>2.1908757716049393E-4</v>
      </c>
      <c r="Q7" s="550">
        <v>144</v>
      </c>
      <c r="R7" s="2398">
        <f t="shared" si="4"/>
        <v>400</v>
      </c>
      <c r="S7" s="1118">
        <f t="shared" si="5"/>
        <v>0.4</v>
      </c>
      <c r="T7" s="1119">
        <f t="shared" si="6"/>
        <v>1.4021604938271611E-2</v>
      </c>
      <c r="U7" s="374">
        <f t="shared" ref="U7:U78" si="9">IF(C7*4&gt;=$U$4,S7,0)</f>
        <v>0</v>
      </c>
      <c r="V7" s="1120">
        <f t="shared" ref="V7:V78" si="10">IF(AND(C7*4&gt;=$V$4,C7*4&lt;$U$4),S7,0)</f>
        <v>0.4</v>
      </c>
      <c r="W7" s="376">
        <f t="shared" ref="W7:W78" si="11">IF(AND(C7*4&gt;=$W$4,C7*4&lt;$V$4),S7,0)</f>
        <v>0</v>
      </c>
      <c r="X7" s="377">
        <f t="shared" ref="X7:X78" si="12">IF(AND(C7*4&gt;=$X$4,C7*4&lt;$W$4),S7,0)</f>
        <v>0</v>
      </c>
      <c r="Y7" s="378">
        <f t="shared" ref="Y7:Y78" si="13">IF(AND(C7*4&gt;=$Y$4,C7*4&lt;$X$4),S7,0)</f>
        <v>0</v>
      </c>
      <c r="Z7" s="1121">
        <f t="shared" ref="Z7:Z78" si="14">IF(AND(C7*4&gt;=$Z$4,C7*4&lt;$Y$4),S7,0)</f>
        <v>0</v>
      </c>
      <c r="AA7" s="1122">
        <f t="shared" ref="AA7:AA78" si="15">IF(AND(C7*4&gt;=$AA$4,C7*4&lt;$Z$4),S7,0)</f>
        <v>0</v>
      </c>
      <c r="AB7" s="220"/>
      <c r="AC7" s="1229"/>
      <c r="AD7" s="1230"/>
      <c r="AE7" s="1230"/>
      <c r="AF7" s="1230"/>
      <c r="AG7" s="1230"/>
      <c r="AH7" s="1230"/>
      <c r="AI7" s="220"/>
      <c r="AJ7" s="220"/>
      <c r="AK7" s="220"/>
      <c r="AL7" s="220"/>
      <c r="AM7" s="220"/>
      <c r="AN7" s="220"/>
    </row>
    <row r="8" spans="1:40" s="223" customFormat="1" ht="17" customHeight="1" thickBot="1">
      <c r="A8" s="3187" t="s">
        <v>460</v>
      </c>
      <c r="B8" s="3194" t="s">
        <v>215</v>
      </c>
      <c r="C8" s="274">
        <f t="shared" si="1"/>
        <v>1.8933937422552669E-4</v>
      </c>
      <c r="D8" s="1203">
        <v>5</v>
      </c>
      <c r="E8" s="1248">
        <v>5</v>
      </c>
      <c r="F8" s="3190">
        <v>1</v>
      </c>
      <c r="G8" s="1249">
        <v>100</v>
      </c>
      <c r="H8" s="3191" t="s">
        <v>1456</v>
      </c>
      <c r="I8" s="1250">
        <v>3.4722222222222224E-4</v>
      </c>
      <c r="J8" s="1250">
        <v>1.3888888888888889E-3</v>
      </c>
      <c r="K8" s="1035" t="s">
        <v>1535</v>
      </c>
      <c r="L8" s="1456">
        <f>L7+N7</f>
        <v>0.32191172590601352</v>
      </c>
      <c r="M8" s="2399">
        <v>1.05</v>
      </c>
      <c r="N8" s="1456">
        <f>P8*E8*F8+I8*E8*F8+J8*E8</f>
        <v>1.2656682414291617E-2</v>
      </c>
      <c r="O8" s="1253">
        <f t="shared" si="2"/>
        <v>7.5735749690210676E-4</v>
      </c>
      <c r="P8" s="1254">
        <f t="shared" si="3"/>
        <v>7.9522537174721211E-4</v>
      </c>
      <c r="Q8" s="1255" t="s">
        <v>267</v>
      </c>
      <c r="R8" s="1255">
        <f t="shared" si="4"/>
        <v>500</v>
      </c>
      <c r="S8" s="1118">
        <f t="shared" si="5"/>
        <v>0.5</v>
      </c>
      <c r="T8" s="1119">
        <f t="shared" si="6"/>
        <v>1.5147149938042136E-2</v>
      </c>
      <c r="U8" s="374">
        <f t="shared" si="9"/>
        <v>0</v>
      </c>
      <c r="V8" s="1120">
        <f t="shared" si="10"/>
        <v>0</v>
      </c>
      <c r="W8" s="376">
        <f t="shared" si="11"/>
        <v>0</v>
      </c>
      <c r="X8" s="377">
        <f t="shared" si="12"/>
        <v>0</v>
      </c>
      <c r="Y8" s="378">
        <f t="shared" si="13"/>
        <v>0.5</v>
      </c>
      <c r="Z8" s="1121">
        <f t="shared" si="14"/>
        <v>0</v>
      </c>
      <c r="AA8" s="1122">
        <f t="shared" si="15"/>
        <v>0</v>
      </c>
      <c r="AB8" s="220"/>
      <c r="AC8" s="1229"/>
      <c r="AD8" s="1230"/>
      <c r="AE8" s="1230"/>
      <c r="AF8" s="1230"/>
      <c r="AG8" s="1230"/>
      <c r="AH8" s="1230"/>
      <c r="AI8" s="220"/>
      <c r="AJ8" s="220"/>
      <c r="AK8" s="220"/>
      <c r="AL8" s="220"/>
      <c r="AM8" s="220"/>
      <c r="AN8" s="220"/>
    </row>
    <row r="9" spans="1:40" s="223" customFormat="1" ht="19.25" customHeight="1">
      <c r="A9" s="3187" t="s">
        <v>458</v>
      </c>
      <c r="B9" s="3194" t="s">
        <v>215</v>
      </c>
      <c r="C9" s="274">
        <f t="shared" si="1"/>
        <v>2.0247664488766629E-4</v>
      </c>
      <c r="D9" s="1173">
        <v>4</v>
      </c>
      <c r="E9" s="1173">
        <v>1</v>
      </c>
      <c r="F9" s="3190">
        <v>12</v>
      </c>
      <c r="G9" s="1173">
        <v>50</v>
      </c>
      <c r="H9" s="3191"/>
      <c r="I9" s="299">
        <v>2.3148148148148146E-4</v>
      </c>
      <c r="J9" s="1250">
        <v>2.3148148148148146E-4</v>
      </c>
      <c r="K9" s="1123" t="s">
        <v>1534</v>
      </c>
      <c r="L9" s="1456">
        <f t="shared" si="7"/>
        <v>0.33456840832030516</v>
      </c>
      <c r="M9" s="2397">
        <v>1</v>
      </c>
      <c r="N9" s="1456">
        <f t="shared" si="8"/>
        <v>7.86869873656325E-3</v>
      </c>
      <c r="O9" s="1453">
        <f t="shared" si="2"/>
        <v>4.0495328977533258E-4</v>
      </c>
      <c r="P9" s="1254">
        <f t="shared" si="3"/>
        <v>4.0495328977533258E-4</v>
      </c>
      <c r="Q9" s="550">
        <v>144</v>
      </c>
      <c r="R9" s="1255">
        <f t="shared" si="4"/>
        <v>600</v>
      </c>
      <c r="S9" s="1118">
        <f t="shared" si="5"/>
        <v>0.6</v>
      </c>
      <c r="T9" s="1119">
        <f t="shared" si="6"/>
        <v>1.9437757909215963E-2</v>
      </c>
      <c r="U9" s="374">
        <f t="shared" si="9"/>
        <v>0</v>
      </c>
      <c r="V9" s="1120">
        <f t="shared" si="10"/>
        <v>0</v>
      </c>
      <c r="W9" s="376">
        <f t="shared" si="11"/>
        <v>0</v>
      </c>
      <c r="X9" s="377">
        <f t="shared" si="12"/>
        <v>0.6</v>
      </c>
      <c r="Y9" s="378">
        <f t="shared" si="13"/>
        <v>0</v>
      </c>
      <c r="Z9" s="1121">
        <f t="shared" si="14"/>
        <v>0</v>
      </c>
      <c r="AA9" s="1122">
        <f t="shared" si="15"/>
        <v>0</v>
      </c>
      <c r="AB9" s="220"/>
      <c r="AC9" s="1229"/>
      <c r="AD9" s="1230"/>
      <c r="AE9" s="1230"/>
      <c r="AF9" s="1230"/>
      <c r="AG9" s="1230"/>
      <c r="AH9" s="1230"/>
      <c r="AI9" s="220"/>
      <c r="AJ9" s="220"/>
      <c r="AK9" s="220"/>
      <c r="AL9" s="220"/>
      <c r="AM9" s="220"/>
      <c r="AN9" s="220"/>
    </row>
    <row r="10" spans="1:40" s="223" customFormat="1" ht="19.25" customHeight="1">
      <c r="A10" s="3187" t="s">
        <v>219</v>
      </c>
      <c r="B10" s="3187" t="s">
        <v>215</v>
      </c>
      <c r="C10" s="274">
        <f t="shared" si="1"/>
        <v>2.1222190799396687E-4</v>
      </c>
      <c r="D10" s="1161">
        <v>3</v>
      </c>
      <c r="E10" s="1161">
        <v>1</v>
      </c>
      <c r="F10" s="1161">
        <v>12</v>
      </c>
      <c r="G10" s="1161">
        <v>25</v>
      </c>
      <c r="H10" s="3204"/>
      <c r="I10" s="3204">
        <v>1.7361111111111112E-4</v>
      </c>
      <c r="J10" s="3204">
        <v>1.3888888888888889E-3</v>
      </c>
      <c r="K10" s="1123" t="s">
        <v>1537</v>
      </c>
      <c r="L10" s="1454">
        <f t="shared" si="7"/>
        <v>0.34243710705686842</v>
      </c>
      <c r="M10" s="2396">
        <v>1</v>
      </c>
      <c r="N10" s="1454">
        <f t="shared" si="8"/>
        <v>6.0188851181498249E-3</v>
      </c>
      <c r="O10" s="1454">
        <f t="shared" si="2"/>
        <v>2.1222190799396687E-4</v>
      </c>
      <c r="P10" s="1165">
        <f t="shared" si="3"/>
        <v>2.1222190799396687E-4</v>
      </c>
      <c r="Q10" s="333">
        <v>160</v>
      </c>
      <c r="R10" s="2385">
        <f t="shared" si="4"/>
        <v>300</v>
      </c>
      <c r="S10" s="1118">
        <f t="shared" si="5"/>
        <v>0.3</v>
      </c>
      <c r="T10" s="1119">
        <f t="shared" si="6"/>
        <v>1.018665158371041E-2</v>
      </c>
      <c r="U10" s="374">
        <f t="shared" si="9"/>
        <v>0</v>
      </c>
      <c r="V10" s="1120">
        <f t="shared" si="10"/>
        <v>0</v>
      </c>
      <c r="W10" s="376">
        <f t="shared" si="11"/>
        <v>0.3</v>
      </c>
      <c r="X10" s="377">
        <f t="shared" si="12"/>
        <v>0</v>
      </c>
      <c r="Y10" s="378">
        <f t="shared" si="13"/>
        <v>0</v>
      </c>
      <c r="Z10" s="1121">
        <f t="shared" si="14"/>
        <v>0</v>
      </c>
      <c r="AA10" s="1122">
        <f t="shared" si="15"/>
        <v>0</v>
      </c>
      <c r="AB10" s="220"/>
      <c r="AC10" s="1229"/>
      <c r="AD10" s="1230"/>
      <c r="AE10" s="1230"/>
      <c r="AF10" s="1230"/>
      <c r="AG10" s="1230"/>
      <c r="AH10" s="1230"/>
      <c r="AI10" s="220"/>
      <c r="AJ10" s="220"/>
      <c r="AK10" s="220"/>
      <c r="AL10" s="220"/>
      <c r="AM10" s="220"/>
      <c r="AN10" s="220"/>
    </row>
    <row r="11" spans="1:40" s="223" customFormat="1" ht="19.25" customHeight="1" thickBot="1">
      <c r="A11" s="3187"/>
      <c r="B11" s="3187" t="s">
        <v>215</v>
      </c>
      <c r="C11" s="274">
        <f t="shared" si="1"/>
        <v>1.7682291666666674E-4</v>
      </c>
      <c r="D11" s="3205">
        <v>7</v>
      </c>
      <c r="E11" s="1187">
        <v>1</v>
      </c>
      <c r="F11" s="1187">
        <v>3</v>
      </c>
      <c r="G11" s="1187">
        <v>15</v>
      </c>
      <c r="H11" s="1051"/>
      <c r="I11" s="1051">
        <v>3.4722222222222224E-4</v>
      </c>
      <c r="J11" s="1188">
        <v>1.3888888888888889E-3</v>
      </c>
      <c r="K11" s="1187" t="s">
        <v>526</v>
      </c>
      <c r="L11" s="1954">
        <f t="shared" si="7"/>
        <v>0.34845599217501821</v>
      </c>
      <c r="M11" s="3206">
        <v>1</v>
      </c>
      <c r="N11" s="1954">
        <f t="shared" si="8"/>
        <v>2.7488368055555556E-3</v>
      </c>
      <c r="O11" s="1954">
        <f t="shared" si="2"/>
        <v>1.0609375000000004E-4</v>
      </c>
      <c r="P11" s="1191">
        <f t="shared" si="3"/>
        <v>1.0609375000000004E-4</v>
      </c>
      <c r="Q11" s="789"/>
      <c r="R11" s="2419">
        <f t="shared" si="4"/>
        <v>45</v>
      </c>
      <c r="S11" s="1118">
        <f t="shared" si="5"/>
        <v>4.4999999999999998E-2</v>
      </c>
      <c r="T11" s="1119">
        <f t="shared" si="6"/>
        <v>1.2731250000000004E-3</v>
      </c>
      <c r="U11" s="374">
        <f t="shared" si="9"/>
        <v>0</v>
      </c>
      <c r="V11" s="1120">
        <f t="shared" si="10"/>
        <v>0</v>
      </c>
      <c r="W11" s="376">
        <f t="shared" si="11"/>
        <v>0</v>
      </c>
      <c r="X11" s="377">
        <f t="shared" si="12"/>
        <v>0</v>
      </c>
      <c r="Y11" s="378">
        <f t="shared" si="13"/>
        <v>0</v>
      </c>
      <c r="Z11" s="1121">
        <f t="shared" si="14"/>
        <v>0</v>
      </c>
      <c r="AA11" s="1122">
        <f t="shared" si="15"/>
        <v>4.4999999999999998E-2</v>
      </c>
      <c r="AB11" s="220"/>
      <c r="AC11" s="1229"/>
      <c r="AD11" s="1230"/>
      <c r="AE11" s="1230"/>
      <c r="AF11" s="1230"/>
      <c r="AG11" s="1230"/>
      <c r="AH11" s="1230"/>
      <c r="AI11" s="220"/>
      <c r="AJ11" s="220"/>
      <c r="AK11" s="220"/>
      <c r="AL11" s="220"/>
      <c r="AM11" s="220"/>
      <c r="AN11" s="220"/>
    </row>
    <row r="12" spans="1:40" s="223" customFormat="1" ht="18" customHeight="1" thickBot="1">
      <c r="A12" s="3187"/>
      <c r="B12" s="3194" t="s">
        <v>215</v>
      </c>
      <c r="C12" s="274">
        <f t="shared" si="1"/>
        <v>1.7682291666666674E-4</v>
      </c>
      <c r="D12" s="3205">
        <v>7</v>
      </c>
      <c r="E12" s="1187">
        <v>1</v>
      </c>
      <c r="F12" s="1187">
        <v>6</v>
      </c>
      <c r="G12" s="1187">
        <v>15</v>
      </c>
      <c r="H12" s="1051"/>
      <c r="I12" s="1051">
        <v>3.4722222222222224E-4</v>
      </c>
      <c r="J12" s="1188">
        <v>1.3888888888888889E-3</v>
      </c>
      <c r="K12" s="1187" t="s">
        <v>527</v>
      </c>
      <c r="L12" s="1954">
        <f t="shared" si="7"/>
        <v>0.35120482898057376</v>
      </c>
      <c r="M12" s="3206">
        <v>1</v>
      </c>
      <c r="N12" s="1954">
        <f t="shared" si="8"/>
        <v>4.1087847222222229E-3</v>
      </c>
      <c r="O12" s="1954">
        <f t="shared" si="2"/>
        <v>1.0609375000000004E-4</v>
      </c>
      <c r="P12" s="1191">
        <f t="shared" si="3"/>
        <v>1.0609375000000004E-4</v>
      </c>
      <c r="Q12" s="789"/>
      <c r="R12" s="2419">
        <f t="shared" si="4"/>
        <v>90</v>
      </c>
      <c r="S12" s="1118">
        <f t="shared" si="5"/>
        <v>0.09</v>
      </c>
      <c r="T12" s="1119">
        <f t="shared" si="6"/>
        <v>2.5462500000000008E-3</v>
      </c>
      <c r="U12" s="374">
        <f t="shared" si="9"/>
        <v>0</v>
      </c>
      <c r="V12" s="1120">
        <f t="shared" si="10"/>
        <v>0</v>
      </c>
      <c r="W12" s="376">
        <f t="shared" si="11"/>
        <v>0</v>
      </c>
      <c r="X12" s="377">
        <f t="shared" si="12"/>
        <v>0</v>
      </c>
      <c r="Y12" s="378">
        <f t="shared" si="13"/>
        <v>0</v>
      </c>
      <c r="Z12" s="1121">
        <f t="shared" si="14"/>
        <v>0</v>
      </c>
      <c r="AA12" s="1122">
        <f t="shared" si="15"/>
        <v>0.09</v>
      </c>
      <c r="AB12" s="220"/>
      <c r="AC12" s="1229"/>
      <c r="AD12" s="1230"/>
      <c r="AE12" s="1230"/>
      <c r="AF12" s="1230"/>
      <c r="AG12" s="1230"/>
      <c r="AH12" s="1230"/>
      <c r="AI12" s="220"/>
      <c r="AJ12" s="220"/>
      <c r="AK12" s="220"/>
      <c r="AL12" s="220"/>
      <c r="AM12" s="220"/>
      <c r="AN12" s="220"/>
    </row>
    <row r="13" spans="1:40" ht="18" customHeight="1">
      <c r="A13" s="3187" t="s">
        <v>214</v>
      </c>
      <c r="B13" s="3194"/>
      <c r="C13" s="274">
        <f t="shared" si="1"/>
        <v>0</v>
      </c>
      <c r="D13" s="3208"/>
      <c r="E13" s="3209"/>
      <c r="F13" s="3209"/>
      <c r="G13" s="3209"/>
      <c r="H13" s="3208"/>
      <c r="I13" s="3208"/>
      <c r="J13" s="3208"/>
      <c r="K13" s="4120"/>
      <c r="L13" s="3169">
        <f>L12+N12</f>
        <v>0.35531361370279596</v>
      </c>
      <c r="M13" s="3201"/>
      <c r="N13" s="2711"/>
      <c r="O13" s="2714"/>
      <c r="P13" s="2711"/>
      <c r="Q13" s="3202"/>
      <c r="R13" s="3203">
        <f>SUM(R6:R12)</f>
        <v>2335</v>
      </c>
      <c r="S13" s="1118">
        <f t="shared" si="5"/>
        <v>0</v>
      </c>
      <c r="T13" s="1119">
        <f t="shared" si="6"/>
        <v>0</v>
      </c>
      <c r="U13" s="374">
        <f t="shared" si="9"/>
        <v>0</v>
      </c>
      <c r="V13" s="1120">
        <f t="shared" si="10"/>
        <v>0</v>
      </c>
      <c r="W13" s="376">
        <f t="shared" si="11"/>
        <v>0</v>
      </c>
      <c r="X13" s="377">
        <f t="shared" si="12"/>
        <v>0</v>
      </c>
      <c r="Y13" s="378">
        <f t="shared" si="13"/>
        <v>0</v>
      </c>
      <c r="Z13" s="1121">
        <f t="shared" si="14"/>
        <v>0</v>
      </c>
      <c r="AA13" s="1122">
        <f t="shared" si="15"/>
        <v>0</v>
      </c>
      <c r="AC13" s="1244"/>
      <c r="AD13" s="1244"/>
      <c r="AE13" s="1244"/>
      <c r="AF13" s="1244"/>
      <c r="AG13" s="1244"/>
      <c r="AH13" s="1244"/>
      <c r="AI13" s="244"/>
      <c r="AJ13" s="244"/>
      <c r="AK13" s="244"/>
      <c r="AL13" s="244"/>
      <c r="AM13" s="244"/>
    </row>
    <row r="14" spans="1:40" ht="18" customHeight="1" thickBot="1">
      <c r="A14" s="3187" t="s">
        <v>459</v>
      </c>
      <c r="B14" s="3187" t="s">
        <v>461</v>
      </c>
      <c r="C14" s="274">
        <f t="shared" si="1"/>
        <v>2.2880964381720439E-4</v>
      </c>
      <c r="D14" s="547">
        <v>1</v>
      </c>
      <c r="E14" s="4498">
        <v>1</v>
      </c>
      <c r="F14" s="4498">
        <v>2</v>
      </c>
      <c r="G14" s="4498">
        <v>240</v>
      </c>
      <c r="H14" s="4498"/>
      <c r="I14" s="4681">
        <v>1.1574074074074073E-4</v>
      </c>
      <c r="J14" s="4681">
        <v>1.3888888888888889E-3</v>
      </c>
      <c r="K14" s="4572" t="s">
        <v>1049</v>
      </c>
      <c r="L14" s="4573">
        <v>0.64583333333333337</v>
      </c>
      <c r="M14" s="4682">
        <v>1</v>
      </c>
      <c r="N14" s="274">
        <f>P14*E14*F14+I14*E14*F14+J14*E14</f>
        <v>6.0135155316606952E-3</v>
      </c>
      <c r="O14" s="1196">
        <f t="shared" ref="O14" si="16">C14*(G14/25)</f>
        <v>2.1965725806451621E-3</v>
      </c>
      <c r="P14" s="1196">
        <f t="shared" ref="P14:P20" si="17">O14*M14</f>
        <v>2.1965725806451621E-3</v>
      </c>
      <c r="Q14" s="548">
        <v>147</v>
      </c>
      <c r="R14" s="1194">
        <f t="shared" ref="R14:R17" si="18">E14*F14*G14</f>
        <v>480</v>
      </c>
      <c r="S14" s="1118">
        <f t="shared" ref="S14:S26" si="19">E14*F14*G14/1000</f>
        <v>0.48</v>
      </c>
      <c r="T14" s="1119">
        <f t="shared" ref="T14:T26" si="20">E14*F14*O14*4</f>
        <v>1.7572580645161297E-2</v>
      </c>
      <c r="U14" s="374">
        <f t="shared" ref="U14:U26" si="21">IF(C14*4&gt;=$U$4,S14,0)</f>
        <v>0.48</v>
      </c>
      <c r="V14" s="1120">
        <f t="shared" ref="V14:V26" si="22">IF(AND(C14*4&gt;=$V$4,C14*4&lt;$U$4),S14,0)</f>
        <v>0</v>
      </c>
      <c r="W14" s="376">
        <f t="shared" ref="W14:W26" si="23">IF(AND(C14*4&gt;=$W$4,C14*4&lt;$V$4),S14,0)</f>
        <v>0</v>
      </c>
      <c r="X14" s="377">
        <f t="shared" ref="X14:X26" si="24">IF(AND(C14*4&gt;=$X$4,C14*4&lt;$W$4),S14,0)</f>
        <v>0</v>
      </c>
      <c r="Y14" s="378">
        <f t="shared" ref="Y14:Y26" si="25">IF(AND(C14*4&gt;=$Y$4,C14*4&lt;$X$4),S14,0)</f>
        <v>0</v>
      </c>
      <c r="Z14" s="1121">
        <f t="shared" ref="Z14:Z26" si="26">IF(AND(C14*4&gt;=$Z$4,C14*4&lt;$Y$4),S14,0)</f>
        <v>0</v>
      </c>
      <c r="AA14" s="1122">
        <f t="shared" ref="AA14:AA26" si="27">IF(AND(C14*4&gt;=$AA$4,C14*4&lt;$Z$4),S14,0)</f>
        <v>0</v>
      </c>
      <c r="AC14" s="1244"/>
      <c r="AD14" s="1244"/>
      <c r="AE14" s="1244"/>
      <c r="AF14" s="1244"/>
      <c r="AG14" s="1244"/>
      <c r="AH14" s="1244"/>
      <c r="AI14" s="244"/>
      <c r="AJ14" s="244"/>
      <c r="AK14" s="244"/>
      <c r="AL14" s="244"/>
      <c r="AM14" s="244"/>
    </row>
    <row r="15" spans="1:40" ht="18" customHeight="1" thickBot="1">
      <c r="A15" s="3187" t="s">
        <v>460</v>
      </c>
      <c r="B15" s="3194" t="s">
        <v>461</v>
      </c>
      <c r="C15" s="274">
        <f t="shared" si="1"/>
        <v>1.8229166666666673E-4</v>
      </c>
      <c r="D15" s="4558">
        <v>6</v>
      </c>
      <c r="E15" s="4683">
        <v>2</v>
      </c>
      <c r="F15" s="4683">
        <v>2</v>
      </c>
      <c r="G15" s="4683">
        <v>100</v>
      </c>
      <c r="H15" s="4683"/>
      <c r="I15" s="4684">
        <v>3.4722222222222224E-4</v>
      </c>
      <c r="J15" s="4684">
        <v>6.9444444444444441E-3</v>
      </c>
      <c r="K15" s="4561" t="s">
        <v>974</v>
      </c>
      <c r="L15" s="4684">
        <f t="shared" ref="L15:L21" si="28">L14+N14</f>
        <v>0.65184684886499411</v>
      </c>
      <c r="M15" s="4685">
        <v>1.07</v>
      </c>
      <c r="N15" s="4684">
        <f t="shared" ref="N15" si="29">P15*E15*F15+I15*E15*F15+J15*E15</f>
        <v>1.8398611111111112E-2</v>
      </c>
      <c r="O15" s="4586">
        <f>C15*(G15/25)</f>
        <v>7.2916666666666692E-4</v>
      </c>
      <c r="P15" s="4686">
        <f t="shared" si="17"/>
        <v>7.802083333333336E-4</v>
      </c>
      <c r="Q15" s="4687">
        <v>177</v>
      </c>
      <c r="R15" s="4683">
        <f t="shared" si="18"/>
        <v>400</v>
      </c>
      <c r="S15" s="1118">
        <f t="shared" si="19"/>
        <v>0.4</v>
      </c>
      <c r="T15" s="1119">
        <f t="shared" si="20"/>
        <v>1.1666666666666671E-2</v>
      </c>
      <c r="U15" s="374">
        <f t="shared" si="21"/>
        <v>0</v>
      </c>
      <c r="V15" s="1120">
        <f t="shared" si="22"/>
        <v>0</v>
      </c>
      <c r="W15" s="376">
        <f t="shared" si="23"/>
        <v>0</v>
      </c>
      <c r="X15" s="377">
        <f t="shared" si="24"/>
        <v>0</v>
      </c>
      <c r="Y15" s="378">
        <f t="shared" si="25"/>
        <v>0</v>
      </c>
      <c r="Z15" s="1121">
        <f t="shared" si="26"/>
        <v>0.4</v>
      </c>
      <c r="AA15" s="1122">
        <f t="shared" si="27"/>
        <v>0</v>
      </c>
      <c r="AC15" s="1244"/>
      <c r="AD15" s="1244"/>
      <c r="AE15" s="1244"/>
      <c r="AF15" s="1244"/>
      <c r="AG15" s="1244"/>
      <c r="AH15" s="1244"/>
      <c r="AI15" s="244"/>
      <c r="AJ15" s="244"/>
      <c r="AK15" s="244"/>
      <c r="AL15" s="244"/>
      <c r="AM15" s="244"/>
    </row>
    <row r="16" spans="1:40" ht="18" customHeight="1">
      <c r="A16" s="3187" t="s">
        <v>458</v>
      </c>
      <c r="B16" s="3194" t="s">
        <v>461</v>
      </c>
      <c r="C16" s="274">
        <f t="shared" si="1"/>
        <v>2.1908757716049393E-4</v>
      </c>
      <c r="D16" s="890">
        <v>2</v>
      </c>
      <c r="E16" s="1173">
        <v>1</v>
      </c>
      <c r="F16" s="1173">
        <v>4</v>
      </c>
      <c r="G16" s="1173">
        <v>20</v>
      </c>
      <c r="H16" s="1173"/>
      <c r="I16" s="299">
        <v>1.3888888888888889E-4</v>
      </c>
      <c r="J16" s="299">
        <v>1.3888888888888889E-3</v>
      </c>
      <c r="K16" s="1123" t="s">
        <v>894</v>
      </c>
      <c r="L16" s="1149">
        <f t="shared" si="28"/>
        <v>0.67024545997610518</v>
      </c>
      <c r="M16" s="1174">
        <v>1.2</v>
      </c>
      <c r="N16" s="299">
        <f>P16*E16*F16+I16*E16*F16+J16*E16</f>
        <v>2.7857407407407414E-3</v>
      </c>
      <c r="O16" s="1175">
        <f t="shared" ref="O16" si="30">C16*(G16/25)</f>
        <v>1.7527006172839515E-4</v>
      </c>
      <c r="P16" s="1175">
        <f t="shared" si="17"/>
        <v>2.1032407407407417E-4</v>
      </c>
      <c r="Q16" s="550">
        <v>146</v>
      </c>
      <c r="R16" s="1176">
        <f t="shared" si="18"/>
        <v>80</v>
      </c>
      <c r="S16" s="1118">
        <f t="shared" si="19"/>
        <v>0.08</v>
      </c>
      <c r="T16" s="1119">
        <f t="shared" si="20"/>
        <v>2.8043209876543224E-3</v>
      </c>
      <c r="U16" s="374">
        <f t="shared" si="21"/>
        <v>0</v>
      </c>
      <c r="V16" s="1120">
        <f t="shared" si="22"/>
        <v>0.08</v>
      </c>
      <c r="W16" s="376">
        <f t="shared" si="23"/>
        <v>0</v>
      </c>
      <c r="X16" s="377">
        <f t="shared" si="24"/>
        <v>0</v>
      </c>
      <c r="Y16" s="378">
        <f t="shared" si="25"/>
        <v>0</v>
      </c>
      <c r="Z16" s="1121">
        <f t="shared" si="26"/>
        <v>0</v>
      </c>
      <c r="AA16" s="1122">
        <f t="shared" si="27"/>
        <v>0</v>
      </c>
      <c r="AC16" s="1244"/>
      <c r="AD16" s="1244"/>
      <c r="AE16" s="1244"/>
      <c r="AF16" s="1244"/>
      <c r="AG16" s="1244"/>
      <c r="AH16" s="1244"/>
      <c r="AI16" s="244"/>
      <c r="AJ16" s="244"/>
      <c r="AK16" s="244"/>
      <c r="AL16" s="244"/>
      <c r="AM16" s="244"/>
    </row>
    <row r="17" spans="1:39" ht="18" customHeight="1">
      <c r="A17" s="3187" t="s">
        <v>219</v>
      </c>
      <c r="B17" s="3187" t="s">
        <v>461</v>
      </c>
      <c r="C17" s="274">
        <f t="shared" si="1"/>
        <v>1.8229166666666673E-4</v>
      </c>
      <c r="D17" s="4558">
        <v>6</v>
      </c>
      <c r="E17" s="4683">
        <v>2</v>
      </c>
      <c r="F17" s="4683">
        <v>3</v>
      </c>
      <c r="G17" s="4683">
        <v>75</v>
      </c>
      <c r="H17" s="4683"/>
      <c r="I17" s="4684">
        <v>6.9444444444444447E-4</v>
      </c>
      <c r="J17" s="4684">
        <v>3.472222222222222E-3</v>
      </c>
      <c r="K17" s="4561" t="s">
        <v>974</v>
      </c>
      <c r="L17" s="4684">
        <f>L15+N15</f>
        <v>0.67024545997610518</v>
      </c>
      <c r="M17" s="4685">
        <v>1.08</v>
      </c>
      <c r="N17" s="4684">
        <f t="shared" ref="N17:N18" si="31">P17*E17*F17+I17*E17*F17+J17*E17</f>
        <v>1.4725736111111113E-2</v>
      </c>
      <c r="O17" s="4586">
        <f>C17*(G17/25)*1.02</f>
        <v>5.5781250000000015E-4</v>
      </c>
      <c r="P17" s="4686">
        <f t="shared" si="17"/>
        <v>6.0243750000000022E-4</v>
      </c>
      <c r="Q17" s="4687">
        <v>177</v>
      </c>
      <c r="R17" s="4683">
        <f t="shared" si="18"/>
        <v>450</v>
      </c>
      <c r="S17" s="1118">
        <f t="shared" si="19"/>
        <v>0.45</v>
      </c>
      <c r="T17" s="1119">
        <f t="shared" si="20"/>
        <v>1.3387500000000004E-2</v>
      </c>
      <c r="U17" s="374">
        <f t="shared" si="21"/>
        <v>0</v>
      </c>
      <c r="V17" s="1120">
        <f t="shared" si="22"/>
        <v>0</v>
      </c>
      <c r="W17" s="376">
        <f t="shared" si="23"/>
        <v>0</v>
      </c>
      <c r="X17" s="377">
        <f t="shared" si="24"/>
        <v>0</v>
      </c>
      <c r="Y17" s="378">
        <f t="shared" si="25"/>
        <v>0</v>
      </c>
      <c r="Z17" s="1121">
        <f t="shared" si="26"/>
        <v>0.45</v>
      </c>
      <c r="AA17" s="1122">
        <f t="shared" si="27"/>
        <v>0</v>
      </c>
      <c r="AC17" s="1244"/>
      <c r="AD17" s="1244"/>
      <c r="AE17" s="1244"/>
      <c r="AF17" s="1244"/>
      <c r="AG17" s="1244"/>
      <c r="AH17" s="1244"/>
      <c r="AI17" s="244"/>
      <c r="AJ17" s="244"/>
      <c r="AK17" s="244"/>
      <c r="AL17" s="244"/>
      <c r="AM17" s="244"/>
    </row>
    <row r="18" spans="1:39" ht="18" customHeight="1">
      <c r="A18" s="3187"/>
      <c r="B18" s="3187" t="s">
        <v>461</v>
      </c>
      <c r="C18" s="274">
        <f t="shared" si="1"/>
        <v>2.0247664488766629E-4</v>
      </c>
      <c r="D18" s="892">
        <v>4</v>
      </c>
      <c r="E18" s="1177">
        <v>1</v>
      </c>
      <c r="F18" s="1177">
        <v>6</v>
      </c>
      <c r="G18" s="1177">
        <v>25</v>
      </c>
      <c r="H18" s="1177"/>
      <c r="I18" s="1178">
        <v>3.4722222222222224E-4</v>
      </c>
      <c r="J18" s="1178">
        <v>1.3888888888888889E-3</v>
      </c>
      <c r="K18" s="316" t="s">
        <v>974</v>
      </c>
      <c r="L18" s="1178">
        <f t="shared" si="28"/>
        <v>0.68497119608721635</v>
      </c>
      <c r="M18" s="1180">
        <v>1.07</v>
      </c>
      <c r="N18" s="1178">
        <f t="shared" si="31"/>
        <v>4.7721222824010402E-3</v>
      </c>
      <c r="O18" s="1181">
        <f>C18*(G18/25)</f>
        <v>2.0247664488766629E-4</v>
      </c>
      <c r="P18" s="1181">
        <f t="shared" si="17"/>
        <v>2.1665001002980295E-4</v>
      </c>
      <c r="Q18" s="334">
        <v>166</v>
      </c>
      <c r="R18" s="1177">
        <f>E18*F18*G18</f>
        <v>150</v>
      </c>
      <c r="S18" s="1118">
        <f t="shared" si="19"/>
        <v>0.15</v>
      </c>
      <c r="T18" s="1119">
        <f t="shared" si="20"/>
        <v>4.8594394773039907E-3</v>
      </c>
      <c r="U18" s="374">
        <f t="shared" si="21"/>
        <v>0</v>
      </c>
      <c r="V18" s="1120">
        <f t="shared" si="22"/>
        <v>0</v>
      </c>
      <c r="W18" s="376">
        <f t="shared" si="23"/>
        <v>0</v>
      </c>
      <c r="X18" s="377">
        <f t="shared" si="24"/>
        <v>0.15</v>
      </c>
      <c r="Y18" s="378">
        <f t="shared" si="25"/>
        <v>0</v>
      </c>
      <c r="Z18" s="1121">
        <f t="shared" si="26"/>
        <v>0</v>
      </c>
      <c r="AA18" s="1122">
        <f t="shared" si="27"/>
        <v>0</v>
      </c>
      <c r="AC18" s="1244"/>
      <c r="AD18" s="1244"/>
      <c r="AE18" s="1244"/>
      <c r="AF18" s="1244"/>
      <c r="AG18" s="1244"/>
      <c r="AH18" s="1244"/>
      <c r="AI18" s="244"/>
      <c r="AJ18" s="244"/>
      <c r="AK18" s="244"/>
      <c r="AL18" s="244"/>
      <c r="AM18" s="244"/>
    </row>
    <row r="19" spans="1:39" ht="18" customHeight="1">
      <c r="A19" s="3187"/>
      <c r="B19" s="3187" t="s">
        <v>461</v>
      </c>
      <c r="C19" s="274">
        <f t="shared" si="1"/>
        <v>2.1908757716049393E-4</v>
      </c>
      <c r="D19" s="890">
        <v>2</v>
      </c>
      <c r="E19" s="1173">
        <v>1</v>
      </c>
      <c r="F19" s="1173">
        <v>8</v>
      </c>
      <c r="G19" s="1173">
        <v>20</v>
      </c>
      <c r="H19" s="1173"/>
      <c r="I19" s="299">
        <v>1.3888888888888889E-4</v>
      </c>
      <c r="J19" s="299">
        <v>1.3888888888888889E-3</v>
      </c>
      <c r="K19" s="1123" t="s">
        <v>1967</v>
      </c>
      <c r="L19" s="1149">
        <f t="shared" si="28"/>
        <v>0.68974331836961744</v>
      </c>
      <c r="M19" s="1174">
        <v>1.2</v>
      </c>
      <c r="N19" s="299">
        <f>P19*E19*F19+I19*E19*F19+J19*E19</f>
        <v>4.1825925925925937E-3</v>
      </c>
      <c r="O19" s="1175">
        <f t="shared" ref="O19" si="32">C19*(G19/25)</f>
        <v>1.7527006172839515E-4</v>
      </c>
      <c r="P19" s="1175">
        <f t="shared" si="17"/>
        <v>2.1032407407407417E-4</v>
      </c>
      <c r="Q19" s="550">
        <v>146</v>
      </c>
      <c r="R19" s="1176">
        <f t="shared" ref="R19:R20" si="33">E19*F19*G19</f>
        <v>160</v>
      </c>
      <c r="S19" s="1118">
        <f t="shared" si="19"/>
        <v>0.16</v>
      </c>
      <c r="T19" s="1119">
        <f t="shared" si="20"/>
        <v>5.6086419753086448E-3</v>
      </c>
      <c r="U19" s="374">
        <f t="shared" si="21"/>
        <v>0</v>
      </c>
      <c r="V19" s="1120">
        <f t="shared" si="22"/>
        <v>0.16</v>
      </c>
      <c r="W19" s="376">
        <f t="shared" si="23"/>
        <v>0</v>
      </c>
      <c r="X19" s="377">
        <f t="shared" si="24"/>
        <v>0</v>
      </c>
      <c r="Y19" s="378">
        <f t="shared" si="25"/>
        <v>0</v>
      </c>
      <c r="Z19" s="1121">
        <f t="shared" si="26"/>
        <v>0</v>
      </c>
      <c r="AA19" s="1122">
        <f t="shared" si="27"/>
        <v>0</v>
      </c>
      <c r="AC19" s="1244"/>
      <c r="AD19" s="1244"/>
      <c r="AE19" s="1244"/>
      <c r="AF19" s="1244"/>
      <c r="AG19" s="1244"/>
      <c r="AH19" s="1244"/>
      <c r="AI19" s="244"/>
      <c r="AJ19" s="244"/>
      <c r="AK19" s="244"/>
      <c r="AL19" s="244"/>
      <c r="AM19" s="244"/>
    </row>
    <row r="20" spans="1:39" ht="18" customHeight="1">
      <c r="A20" s="6006"/>
      <c r="B20" s="6007"/>
      <c r="C20" s="274">
        <f t="shared" si="1"/>
        <v>2.0247664488766629E-4</v>
      </c>
      <c r="D20" s="892">
        <v>4</v>
      </c>
      <c r="E20" s="1177">
        <v>1</v>
      </c>
      <c r="F20" s="1177">
        <v>6</v>
      </c>
      <c r="G20" s="1177">
        <v>60</v>
      </c>
      <c r="H20" s="1177"/>
      <c r="I20" s="1178">
        <v>2.3148148148148146E-4</v>
      </c>
      <c r="J20" s="1178">
        <v>1.3888888888888889E-3</v>
      </c>
      <c r="K20" s="316" t="s">
        <v>875</v>
      </c>
      <c r="L20" s="1178">
        <f t="shared" si="28"/>
        <v>0.69392591096221001</v>
      </c>
      <c r="M20" s="1180">
        <v>1.07</v>
      </c>
      <c r="N20" s="1178">
        <f t="shared" ref="N20" si="34">P20*E20*F20+I20*E20*F20+J20*E20</f>
        <v>5.9911307265398152E-3</v>
      </c>
      <c r="O20" s="1181">
        <f>C20*(G20/25)*1.03</f>
        <v>5.0052226616231104E-4</v>
      </c>
      <c r="P20" s="1181">
        <f t="shared" si="17"/>
        <v>5.3555882479367281E-4</v>
      </c>
      <c r="Q20" s="334">
        <v>166</v>
      </c>
      <c r="R20" s="1177">
        <f t="shared" si="33"/>
        <v>360</v>
      </c>
      <c r="S20" s="1118">
        <f t="shared" si="19"/>
        <v>0.36</v>
      </c>
      <c r="T20" s="1119">
        <f t="shared" si="20"/>
        <v>1.2012534387895464E-2</v>
      </c>
      <c r="U20" s="374">
        <f t="shared" si="21"/>
        <v>0</v>
      </c>
      <c r="V20" s="1120">
        <f t="shared" si="22"/>
        <v>0</v>
      </c>
      <c r="W20" s="376">
        <f t="shared" si="23"/>
        <v>0</v>
      </c>
      <c r="X20" s="377">
        <f t="shared" si="24"/>
        <v>0.36</v>
      </c>
      <c r="Y20" s="378">
        <f t="shared" si="25"/>
        <v>0</v>
      </c>
      <c r="Z20" s="1121">
        <f t="shared" si="26"/>
        <v>0</v>
      </c>
      <c r="AA20" s="1122">
        <f t="shared" si="27"/>
        <v>0</v>
      </c>
      <c r="AC20" s="1244"/>
      <c r="AD20" s="1244"/>
      <c r="AE20" s="1244"/>
      <c r="AF20" s="1244"/>
      <c r="AG20" s="1244"/>
      <c r="AH20" s="1244"/>
      <c r="AI20" s="244"/>
      <c r="AJ20" s="244"/>
      <c r="AK20" s="244"/>
      <c r="AL20" s="244"/>
      <c r="AM20" s="244"/>
    </row>
    <row r="21" spans="1:39" ht="18" customHeight="1" thickBot="1">
      <c r="A21" s="6006"/>
      <c r="B21" s="6007"/>
      <c r="C21" s="274">
        <f t="shared" si="1"/>
        <v>0</v>
      </c>
      <c r="D21" s="959"/>
      <c r="E21" s="642"/>
      <c r="F21" s="642"/>
      <c r="G21" s="642"/>
      <c r="H21" s="642"/>
      <c r="I21" s="642"/>
      <c r="J21" s="642"/>
      <c r="K21" s="642"/>
      <c r="L21" s="1003">
        <f t="shared" si="28"/>
        <v>0.6999170416887498</v>
      </c>
      <c r="M21" s="1184"/>
      <c r="N21" s="1185">
        <f>SUM(N14:N20)</f>
        <v>5.6869449096157113E-2</v>
      </c>
      <c r="O21" s="642"/>
      <c r="P21" s="642"/>
      <c r="Q21" s="642"/>
      <c r="R21" s="1186">
        <f>SUM(R14:R20)</f>
        <v>2080</v>
      </c>
      <c r="S21" s="1118">
        <f t="shared" si="19"/>
        <v>0</v>
      </c>
      <c r="T21" s="1119">
        <f t="shared" si="20"/>
        <v>0</v>
      </c>
      <c r="U21" s="374">
        <f t="shared" si="21"/>
        <v>0</v>
      </c>
      <c r="V21" s="1120">
        <f t="shared" si="22"/>
        <v>0</v>
      </c>
      <c r="W21" s="376">
        <f t="shared" si="23"/>
        <v>0</v>
      </c>
      <c r="X21" s="377">
        <f t="shared" si="24"/>
        <v>0</v>
      </c>
      <c r="Y21" s="378">
        <f t="shared" si="25"/>
        <v>0</v>
      </c>
      <c r="Z21" s="1121">
        <f t="shared" si="26"/>
        <v>0</v>
      </c>
      <c r="AA21" s="1122">
        <f t="shared" si="27"/>
        <v>0</v>
      </c>
      <c r="AC21" s="1244"/>
      <c r="AD21" s="1244"/>
      <c r="AE21" s="1244"/>
      <c r="AF21" s="1244"/>
      <c r="AG21" s="1244"/>
      <c r="AH21" s="1244"/>
      <c r="AI21" s="244"/>
      <c r="AJ21" s="244"/>
      <c r="AK21" s="244"/>
      <c r="AL21" s="244"/>
      <c r="AM21" s="244"/>
    </row>
    <row r="22" spans="1:39" ht="16.25" customHeight="1">
      <c r="A22" s="1261" t="s">
        <v>215</v>
      </c>
      <c r="B22" s="1269" t="s">
        <v>215</v>
      </c>
      <c r="C22" s="274">
        <f t="shared" si="1"/>
        <v>0</v>
      </c>
      <c r="D22" s="6008"/>
      <c r="E22" s="6009">
        <v>1</v>
      </c>
      <c r="F22" s="6009">
        <v>4</v>
      </c>
      <c r="G22" s="6009">
        <v>200</v>
      </c>
      <c r="H22" s="6009"/>
      <c r="I22" s="6015">
        <v>1.1574074074074073E-4</v>
      </c>
      <c r="J22" s="6015">
        <v>1.3888888888888889E-3</v>
      </c>
      <c r="K22" s="6009" t="s">
        <v>762</v>
      </c>
      <c r="L22" s="6010">
        <v>0.30208333333333331</v>
      </c>
      <c r="M22" s="6016" t="s">
        <v>1122</v>
      </c>
      <c r="N22" s="6015">
        <v>8.1597222222222227E-3</v>
      </c>
      <c r="O22" s="6017"/>
      <c r="P22" s="6017">
        <v>1.5740740740740741E-3</v>
      </c>
      <c r="Q22" s="6011">
        <v>129</v>
      </c>
      <c r="R22" s="6018">
        <v>800</v>
      </c>
      <c r="S22" s="1118">
        <f t="shared" si="19"/>
        <v>0.8</v>
      </c>
      <c r="T22" s="1119">
        <f t="shared" si="20"/>
        <v>0</v>
      </c>
      <c r="U22" s="374">
        <f t="shared" si="21"/>
        <v>0</v>
      </c>
      <c r="V22" s="1120">
        <f t="shared" si="22"/>
        <v>0</v>
      </c>
      <c r="W22" s="376">
        <f t="shared" si="23"/>
        <v>0</v>
      </c>
      <c r="X22" s="377">
        <f t="shared" si="24"/>
        <v>0</v>
      </c>
      <c r="Y22" s="378">
        <f t="shared" si="25"/>
        <v>0</v>
      </c>
      <c r="Z22" s="1121">
        <f t="shared" si="26"/>
        <v>0</v>
      </c>
      <c r="AA22" s="1122">
        <f t="shared" si="27"/>
        <v>0</v>
      </c>
      <c r="AC22" s="1244"/>
      <c r="AD22" s="1244"/>
      <c r="AE22" s="1244"/>
      <c r="AF22" s="1244"/>
      <c r="AG22" s="1244"/>
      <c r="AH22" s="1244"/>
      <c r="AI22" s="244"/>
      <c r="AJ22" s="244"/>
      <c r="AK22" s="244"/>
      <c r="AL22" s="244"/>
      <c r="AM22" s="244"/>
    </row>
    <row r="23" spans="1:39" ht="16.25" customHeight="1">
      <c r="A23" s="1261" t="s">
        <v>138</v>
      </c>
      <c r="B23" s="1269" t="s">
        <v>215</v>
      </c>
      <c r="C23" s="274">
        <f t="shared" si="1"/>
        <v>1.8229166666666673E-4</v>
      </c>
      <c r="D23" s="6019">
        <v>6</v>
      </c>
      <c r="E23" s="5134">
        <v>2</v>
      </c>
      <c r="F23" s="6020">
        <v>3</v>
      </c>
      <c r="G23" s="6020">
        <v>75</v>
      </c>
      <c r="H23" s="6020"/>
      <c r="I23" s="6021">
        <v>6.9444444444444447E-4</v>
      </c>
      <c r="J23" s="6022">
        <v>3.472222222222222E-3</v>
      </c>
      <c r="K23" s="5134" t="s">
        <v>974</v>
      </c>
      <c r="L23" s="6021">
        <f>L22+N22</f>
        <v>0.31024305555555554</v>
      </c>
      <c r="M23" s="6023">
        <v>1.08</v>
      </c>
      <c r="N23" s="6021">
        <f t="shared" ref="N23" si="35">P23*E23*F23+I23*E23*F23+J23*E23</f>
        <v>1.4725736111111113E-2</v>
      </c>
      <c r="O23" s="6024">
        <f>C23*(G23/25)*1.02</f>
        <v>5.5781250000000015E-4</v>
      </c>
      <c r="P23" s="5137">
        <f t="shared" ref="P23" si="36">O23*M23</f>
        <v>6.0243750000000022E-4</v>
      </c>
      <c r="Q23" s="6025">
        <v>177</v>
      </c>
      <c r="R23" s="6020">
        <f t="shared" ref="R23" si="37">E23*F23*G23</f>
        <v>450</v>
      </c>
      <c r="S23" s="1118">
        <f t="shared" si="19"/>
        <v>0.45</v>
      </c>
      <c r="T23" s="1119">
        <f t="shared" si="20"/>
        <v>1.3387500000000004E-2</v>
      </c>
      <c r="U23" s="374">
        <f t="shared" si="21"/>
        <v>0</v>
      </c>
      <c r="V23" s="1120">
        <f t="shared" si="22"/>
        <v>0</v>
      </c>
      <c r="W23" s="376">
        <f t="shared" si="23"/>
        <v>0</v>
      </c>
      <c r="X23" s="377">
        <f t="shared" si="24"/>
        <v>0</v>
      </c>
      <c r="Y23" s="378">
        <f t="shared" si="25"/>
        <v>0</v>
      </c>
      <c r="Z23" s="1121">
        <f t="shared" si="26"/>
        <v>0.45</v>
      </c>
      <c r="AA23" s="1122">
        <f t="shared" si="27"/>
        <v>0</v>
      </c>
      <c r="AC23" s="1244"/>
      <c r="AD23" s="1244"/>
      <c r="AE23" s="1244"/>
      <c r="AF23" s="1244"/>
      <c r="AG23" s="1244"/>
      <c r="AH23" s="1244"/>
      <c r="AI23" s="244"/>
      <c r="AJ23" s="244"/>
      <c r="AK23" s="244"/>
      <c r="AL23" s="244"/>
      <c r="AM23" s="244"/>
    </row>
    <row r="24" spans="1:39" ht="15" customHeight="1">
      <c r="A24" s="1261" t="s">
        <v>462</v>
      </c>
      <c r="B24" s="1269" t="s">
        <v>215</v>
      </c>
      <c r="C24" s="274">
        <f t="shared" si="1"/>
        <v>0</v>
      </c>
      <c r="D24" s="6008"/>
      <c r="E24" s="6009">
        <v>1</v>
      </c>
      <c r="F24" s="6009">
        <v>2</v>
      </c>
      <c r="G24" s="6009">
        <v>20</v>
      </c>
      <c r="H24" s="6009"/>
      <c r="I24" s="6026">
        <v>1.3888888888888889E-4</v>
      </c>
      <c r="J24" s="6026">
        <v>1.3888888888888889E-3</v>
      </c>
      <c r="K24" s="6009" t="s">
        <v>894</v>
      </c>
      <c r="L24" s="4234">
        <v>0.82302083333333342</v>
      </c>
      <c r="M24" s="6016" t="s">
        <v>1122</v>
      </c>
      <c r="N24" s="6026">
        <v>2.0833333333333333E-3</v>
      </c>
      <c r="O24" s="6027"/>
      <c r="P24" s="6017">
        <v>2.0833333333333335E-4</v>
      </c>
      <c r="Q24" s="6011">
        <v>146</v>
      </c>
      <c r="R24" s="6018">
        <v>40</v>
      </c>
      <c r="S24" s="1118">
        <f t="shared" si="19"/>
        <v>0.04</v>
      </c>
      <c r="T24" s="1119">
        <f t="shared" si="20"/>
        <v>0</v>
      </c>
      <c r="U24" s="374">
        <f t="shared" si="21"/>
        <v>0</v>
      </c>
      <c r="V24" s="1120">
        <f t="shared" si="22"/>
        <v>0</v>
      </c>
      <c r="W24" s="376">
        <f t="shared" si="23"/>
        <v>0</v>
      </c>
      <c r="X24" s="377">
        <f t="shared" si="24"/>
        <v>0</v>
      </c>
      <c r="Y24" s="378">
        <f t="shared" si="25"/>
        <v>0</v>
      </c>
      <c r="Z24" s="1121">
        <f t="shared" si="26"/>
        <v>0</v>
      </c>
      <c r="AA24" s="1122">
        <f t="shared" si="27"/>
        <v>0</v>
      </c>
      <c r="AC24" s="1244"/>
      <c r="AD24" s="1244"/>
      <c r="AE24" s="1244"/>
      <c r="AF24" s="1244"/>
      <c r="AG24" s="1244"/>
      <c r="AH24" s="1244"/>
      <c r="AI24" s="244"/>
      <c r="AJ24" s="244"/>
      <c r="AK24" s="244"/>
      <c r="AL24" s="244"/>
      <c r="AM24" s="244"/>
    </row>
    <row r="25" spans="1:39" ht="15" customHeight="1">
      <c r="A25" s="1261" t="s">
        <v>461</v>
      </c>
      <c r="B25" s="1269" t="s">
        <v>215</v>
      </c>
      <c r="C25" s="274">
        <f t="shared" ref="C25" si="38">IF(D25=1,U$5,IF(D25=2,V$5,IF(D25=3,W$5,IF(D25=4,X$5,IF(D25=5,Y$5,IF(D25=6,Z$5,IF(D25=7,AA$5,0)))))))</f>
        <v>1.8229166666666673E-4</v>
      </c>
      <c r="D25" s="6019">
        <v>6</v>
      </c>
      <c r="E25" s="5134">
        <v>1</v>
      </c>
      <c r="F25" s="6020">
        <v>8</v>
      </c>
      <c r="G25" s="6020">
        <v>50</v>
      </c>
      <c r="H25" s="6020"/>
      <c r="I25" s="6021">
        <v>6.9444444444444447E-4</v>
      </c>
      <c r="J25" s="6022">
        <v>3.472222222222222E-3</v>
      </c>
      <c r="K25" s="5134" t="s">
        <v>974</v>
      </c>
      <c r="L25" s="6021">
        <f>L23+N23</f>
        <v>0.32496879166666665</v>
      </c>
      <c r="M25" s="6023">
        <v>1.08</v>
      </c>
      <c r="N25" s="6021">
        <f t="shared" ref="N25" si="39">P25*E25*F25+I25*E25*F25+J25*E25</f>
        <v>1.2240777777777779E-2</v>
      </c>
      <c r="O25" s="6024">
        <f>C25*(G25/25)*1.02</f>
        <v>3.7187500000000014E-4</v>
      </c>
      <c r="P25" s="5137">
        <f t="shared" ref="P25:P26" si="40">O25*M25</f>
        <v>4.0162500000000018E-4</v>
      </c>
      <c r="Q25" s="6025">
        <v>177</v>
      </c>
      <c r="R25" s="6020">
        <f t="shared" ref="R25:R26" si="41">E25*F25*G25</f>
        <v>400</v>
      </c>
      <c r="S25" s="1118">
        <f t="shared" si="19"/>
        <v>0.4</v>
      </c>
      <c r="T25" s="1119">
        <f t="shared" si="20"/>
        <v>1.1900000000000004E-2</v>
      </c>
      <c r="U25" s="374">
        <f t="shared" si="21"/>
        <v>0</v>
      </c>
      <c r="V25" s="1120">
        <f t="shared" si="22"/>
        <v>0</v>
      </c>
      <c r="W25" s="376">
        <f t="shared" si="23"/>
        <v>0</v>
      </c>
      <c r="X25" s="377">
        <f t="shared" si="24"/>
        <v>0</v>
      </c>
      <c r="Y25" s="378">
        <f t="shared" si="25"/>
        <v>0</v>
      </c>
      <c r="Z25" s="1121">
        <f t="shared" si="26"/>
        <v>0.4</v>
      </c>
      <c r="AA25" s="1122">
        <f t="shared" si="27"/>
        <v>0</v>
      </c>
      <c r="AC25" s="1244"/>
      <c r="AD25" s="1244"/>
      <c r="AE25" s="1244"/>
      <c r="AF25" s="1244"/>
      <c r="AG25" s="1244"/>
      <c r="AH25" s="1244"/>
      <c r="AI25" s="244"/>
      <c r="AJ25" s="244"/>
      <c r="AK25" s="244"/>
      <c r="AL25" s="244"/>
      <c r="AM25" s="244"/>
    </row>
    <row r="26" spans="1:39" ht="16.25" customHeight="1">
      <c r="A26" s="1261" t="s">
        <v>458</v>
      </c>
      <c r="B26" s="1269" t="s">
        <v>215</v>
      </c>
      <c r="C26" s="274">
        <f t="shared" si="1"/>
        <v>1.7682291666666674E-4</v>
      </c>
      <c r="D26" s="6028">
        <v>7</v>
      </c>
      <c r="E26" s="6012">
        <v>5</v>
      </c>
      <c r="F26" s="6012">
        <v>4</v>
      </c>
      <c r="G26" s="6012">
        <v>25</v>
      </c>
      <c r="H26" s="6029"/>
      <c r="I26" s="6030">
        <v>3.4722222222222224E-4</v>
      </c>
      <c r="J26" s="6030">
        <v>6.9444444444444447E-4</v>
      </c>
      <c r="K26" s="6012" t="s">
        <v>1512</v>
      </c>
      <c r="L26" s="2789">
        <f t="shared" ref="L26:L27" si="42">L25+N25</f>
        <v>0.33720956944444441</v>
      </c>
      <c r="M26" s="6031">
        <v>2</v>
      </c>
      <c r="N26" s="6030">
        <f t="shared" ref="N26" si="43">P26*E26*F26+I26*F26*E26+J26*E26</f>
        <v>1.7489583333333336E-2</v>
      </c>
      <c r="O26" s="6032">
        <f t="shared" ref="O26" si="44">C26*(G26/25)</f>
        <v>1.7682291666666674E-4</v>
      </c>
      <c r="P26" s="6033">
        <f t="shared" si="40"/>
        <v>3.5364583333333347E-4</v>
      </c>
      <c r="Q26" s="6013"/>
      <c r="R26" s="4300">
        <f t="shared" si="41"/>
        <v>500</v>
      </c>
      <c r="S26" s="1118">
        <f t="shared" si="19"/>
        <v>0.5</v>
      </c>
      <c r="T26" s="1119">
        <f t="shared" si="20"/>
        <v>1.4145833333333338E-2</v>
      </c>
      <c r="U26" s="374">
        <f t="shared" si="21"/>
        <v>0</v>
      </c>
      <c r="V26" s="1120">
        <f t="shared" si="22"/>
        <v>0</v>
      </c>
      <c r="W26" s="376">
        <f t="shared" si="23"/>
        <v>0</v>
      </c>
      <c r="X26" s="377">
        <f t="shared" si="24"/>
        <v>0</v>
      </c>
      <c r="Y26" s="378">
        <f t="shared" si="25"/>
        <v>0</v>
      </c>
      <c r="Z26" s="1121">
        <f t="shared" si="26"/>
        <v>0</v>
      </c>
      <c r="AA26" s="1122">
        <f t="shared" si="27"/>
        <v>0.5</v>
      </c>
      <c r="AC26" s="1244"/>
      <c r="AD26" s="1244"/>
      <c r="AE26" s="1244"/>
      <c r="AF26" s="1244"/>
      <c r="AG26" s="1244"/>
      <c r="AH26" s="1244"/>
      <c r="AI26" s="244"/>
      <c r="AJ26" s="244"/>
      <c r="AK26" s="244"/>
      <c r="AL26" s="244"/>
      <c r="AM26" s="244"/>
    </row>
    <row r="27" spans="1:39" ht="16.25" customHeight="1" thickBot="1">
      <c r="A27" s="1261" t="s">
        <v>219</v>
      </c>
      <c r="B27" s="1269"/>
      <c r="C27" s="274">
        <f t="shared" si="1"/>
        <v>0</v>
      </c>
      <c r="D27" s="6034"/>
      <c r="E27" s="6014"/>
      <c r="F27" s="6014"/>
      <c r="G27" s="6014"/>
      <c r="H27" s="6014"/>
      <c r="I27" s="6014"/>
      <c r="J27" s="6014"/>
      <c r="K27" s="6014"/>
      <c r="L27" s="6038">
        <f t="shared" si="42"/>
        <v>0.35469915277777775</v>
      </c>
      <c r="M27" s="6035"/>
      <c r="N27" s="6036">
        <f>SUM(N22:N26)</f>
        <v>5.4699152777777788E-2</v>
      </c>
      <c r="O27" s="6014"/>
      <c r="P27" s="6014"/>
      <c r="Q27" s="6014"/>
      <c r="R27" s="6037">
        <v>2220</v>
      </c>
      <c r="S27" s="1118">
        <f t="shared" si="5"/>
        <v>0</v>
      </c>
      <c r="T27" s="1119">
        <f t="shared" si="6"/>
        <v>0</v>
      </c>
      <c r="U27" s="374">
        <f t="shared" si="9"/>
        <v>0</v>
      </c>
      <c r="V27" s="1120">
        <f t="shared" si="10"/>
        <v>0</v>
      </c>
      <c r="W27" s="376">
        <f t="shared" si="11"/>
        <v>0</v>
      </c>
      <c r="X27" s="377">
        <f t="shared" si="12"/>
        <v>0</v>
      </c>
      <c r="Y27" s="378">
        <f t="shared" si="13"/>
        <v>0</v>
      </c>
      <c r="Z27" s="1121">
        <f t="shared" si="14"/>
        <v>0</v>
      </c>
      <c r="AA27" s="1122">
        <f t="shared" si="15"/>
        <v>0</v>
      </c>
      <c r="AC27" s="1244"/>
      <c r="AD27" s="1244"/>
      <c r="AE27" s="1244"/>
      <c r="AF27" s="1244"/>
      <c r="AG27" s="1244"/>
      <c r="AH27" s="1244"/>
      <c r="AI27" s="244"/>
      <c r="AJ27" s="244"/>
      <c r="AK27" s="244"/>
      <c r="AL27" s="244"/>
      <c r="AM27" s="244"/>
    </row>
    <row r="28" spans="1:39" ht="16.25" customHeight="1">
      <c r="A28" s="1261"/>
      <c r="B28" s="1269" t="s">
        <v>461</v>
      </c>
      <c r="C28" s="274">
        <f t="shared" si="1"/>
        <v>2.2880964381720439E-4</v>
      </c>
      <c r="D28" s="1029">
        <v>1</v>
      </c>
      <c r="E28" s="6039">
        <v>1</v>
      </c>
      <c r="F28" s="6039">
        <v>3</v>
      </c>
      <c r="G28" s="1194">
        <v>100</v>
      </c>
      <c r="H28" s="274"/>
      <c r="I28" s="274">
        <v>1.1574074074074073E-4</v>
      </c>
      <c r="J28" s="274">
        <v>6.9444444444444447E-4</v>
      </c>
      <c r="K28" s="312" t="s">
        <v>24</v>
      </c>
      <c r="L28" s="1149">
        <v>0.6358449074074074</v>
      </c>
      <c r="M28" s="1195">
        <v>0.9</v>
      </c>
      <c r="N28" s="274">
        <v>3.90505592357911E-3</v>
      </c>
      <c r="O28" s="1196">
        <f t="shared" ref="O28:O29" si="45">C28*(G28/25)</f>
        <v>9.1523857526881758E-4</v>
      </c>
      <c r="P28" s="548"/>
      <c r="Q28" s="548"/>
      <c r="R28" s="1194">
        <f t="shared" ref="R28:R32" si="46">E28*F28*G28</f>
        <v>300</v>
      </c>
      <c r="S28" s="1118">
        <f t="shared" si="5"/>
        <v>0.3</v>
      </c>
      <c r="T28" s="1119">
        <f t="shared" si="6"/>
        <v>1.0982862903225811E-2</v>
      </c>
      <c r="U28" s="374">
        <f t="shared" si="9"/>
        <v>0.3</v>
      </c>
      <c r="V28" s="1120">
        <f t="shared" si="10"/>
        <v>0</v>
      </c>
      <c r="W28" s="376">
        <f t="shared" si="11"/>
        <v>0</v>
      </c>
      <c r="X28" s="377">
        <f t="shared" si="12"/>
        <v>0</v>
      </c>
      <c r="Y28" s="378">
        <f t="shared" si="13"/>
        <v>0</v>
      </c>
      <c r="Z28" s="1121">
        <f t="shared" si="14"/>
        <v>0</v>
      </c>
      <c r="AA28" s="1122">
        <f t="shared" si="15"/>
        <v>0</v>
      </c>
      <c r="AC28" s="1244"/>
      <c r="AD28" s="1244"/>
      <c r="AE28" s="1244"/>
      <c r="AF28" s="1244"/>
      <c r="AG28" s="1244"/>
      <c r="AH28" s="1244"/>
      <c r="AI28" s="244"/>
      <c r="AJ28" s="244"/>
      <c r="AK28" s="244"/>
      <c r="AL28" s="244"/>
      <c r="AM28" s="244"/>
    </row>
    <row r="29" spans="1:39" ht="16.25" customHeight="1">
      <c r="A29" s="1281" t="s">
        <v>215</v>
      </c>
      <c r="B29" s="1269" t="s">
        <v>461</v>
      </c>
      <c r="C29" s="274">
        <f t="shared" si="1"/>
        <v>2.1908757716049393E-4</v>
      </c>
      <c r="D29" s="1302">
        <v>2</v>
      </c>
      <c r="E29" s="6040">
        <v>2</v>
      </c>
      <c r="F29" s="1296">
        <v>1</v>
      </c>
      <c r="G29" s="1173">
        <v>200</v>
      </c>
      <c r="H29" s="299"/>
      <c r="I29" s="299">
        <v>1.7361111111111112E-4</v>
      </c>
      <c r="J29" s="299">
        <v>2.3148148148148146E-4</v>
      </c>
      <c r="K29" s="1123" t="s">
        <v>724</v>
      </c>
      <c r="L29" s="1149">
        <f>L28+N28</f>
        <v>0.63974996333098655</v>
      </c>
      <c r="M29" s="1174">
        <v>1.3</v>
      </c>
      <c r="N29" s="299">
        <v>6.0905435528120725E-3</v>
      </c>
      <c r="O29" s="1175">
        <f t="shared" si="45"/>
        <v>1.7527006172839514E-3</v>
      </c>
      <c r="P29" s="550"/>
      <c r="Q29" s="550"/>
      <c r="R29" s="1176">
        <f t="shared" si="46"/>
        <v>400</v>
      </c>
      <c r="S29" s="1118">
        <f t="shared" si="5"/>
        <v>0.4</v>
      </c>
      <c r="T29" s="1119">
        <f t="shared" si="6"/>
        <v>1.4021604938271611E-2</v>
      </c>
      <c r="U29" s="374">
        <f t="shared" si="9"/>
        <v>0</v>
      </c>
      <c r="V29" s="1120">
        <f t="shared" si="10"/>
        <v>0.4</v>
      </c>
      <c r="W29" s="376">
        <f t="shared" si="11"/>
        <v>0</v>
      </c>
      <c r="X29" s="377">
        <f t="shared" si="12"/>
        <v>0</v>
      </c>
      <c r="Y29" s="378">
        <f t="shared" si="13"/>
        <v>0</v>
      </c>
      <c r="Z29" s="1121">
        <f t="shared" si="14"/>
        <v>0</v>
      </c>
      <c r="AA29" s="1122">
        <f t="shared" si="15"/>
        <v>0</v>
      </c>
      <c r="AC29" s="1244"/>
      <c r="AD29" s="1244"/>
      <c r="AE29" s="1244"/>
      <c r="AF29" s="1244"/>
      <c r="AG29" s="1244"/>
      <c r="AH29" s="1244"/>
      <c r="AI29" s="244"/>
      <c r="AJ29" s="244"/>
      <c r="AK29" s="244"/>
      <c r="AL29" s="244"/>
      <c r="AM29" s="244"/>
    </row>
    <row r="30" spans="1:39" ht="16.25" customHeight="1">
      <c r="A30" s="1261" t="s">
        <v>138</v>
      </c>
      <c r="B30" s="1269" t="s">
        <v>461</v>
      </c>
      <c r="C30" s="274">
        <f t="shared" si="1"/>
        <v>1.7682291666666674E-4</v>
      </c>
      <c r="D30" s="6041">
        <v>7</v>
      </c>
      <c r="E30" s="6042">
        <v>5</v>
      </c>
      <c r="F30" s="6043">
        <v>5</v>
      </c>
      <c r="G30" s="4582">
        <v>35</v>
      </c>
      <c r="H30" s="4684"/>
      <c r="I30" s="4684">
        <v>4.0509259259259258E-4</v>
      </c>
      <c r="J30" s="4585">
        <v>0</v>
      </c>
      <c r="K30" s="4582" t="s">
        <v>1970</v>
      </c>
      <c r="L30" s="6044">
        <f t="shared" ref="L30:L33" si="47">L29+N29</f>
        <v>0.64584050688379857</v>
      </c>
      <c r="M30" s="4584">
        <v>1.05</v>
      </c>
      <c r="N30" s="4585">
        <f t="shared" ref="N30:N32" si="48">P30*E30*F30+I30*E30*F30+J30*E30</f>
        <v>1.6885486689814818E-2</v>
      </c>
      <c r="O30" s="4586">
        <f>C30*(G30/25)*1.04</f>
        <v>2.5745416666666675E-4</v>
      </c>
      <c r="P30" s="4587">
        <f t="shared" ref="P30:P32" si="49">O30*M30</f>
        <v>2.7032687500000012E-4</v>
      </c>
      <c r="Q30" s="4588">
        <v>177</v>
      </c>
      <c r="R30" s="4582">
        <f t="shared" si="46"/>
        <v>875</v>
      </c>
      <c r="S30" s="1118">
        <f t="shared" si="5"/>
        <v>0.875</v>
      </c>
      <c r="T30" s="1119">
        <f t="shared" si="6"/>
        <v>2.5745416666666673E-2</v>
      </c>
      <c r="U30" s="374">
        <f t="shared" si="9"/>
        <v>0</v>
      </c>
      <c r="V30" s="1120">
        <f t="shared" si="10"/>
        <v>0</v>
      </c>
      <c r="W30" s="376">
        <f t="shared" si="11"/>
        <v>0</v>
      </c>
      <c r="X30" s="377">
        <f t="shared" si="12"/>
        <v>0</v>
      </c>
      <c r="Y30" s="378">
        <f t="shared" si="13"/>
        <v>0</v>
      </c>
      <c r="Z30" s="1121">
        <f t="shared" si="14"/>
        <v>0</v>
      </c>
      <c r="AA30" s="1122">
        <f t="shared" si="15"/>
        <v>0.875</v>
      </c>
      <c r="AC30" s="1244"/>
      <c r="AD30" s="1244"/>
      <c r="AE30" s="1244"/>
      <c r="AF30" s="1244"/>
      <c r="AG30" s="1244"/>
      <c r="AH30" s="1244"/>
      <c r="AI30" s="244"/>
      <c r="AJ30" s="244"/>
      <c r="AK30" s="244"/>
      <c r="AL30" s="244"/>
      <c r="AM30" s="244"/>
    </row>
    <row r="31" spans="1:39" ht="16.25" customHeight="1">
      <c r="A31" s="1261" t="s">
        <v>462</v>
      </c>
      <c r="B31" s="1269" t="s">
        <v>461</v>
      </c>
      <c r="C31" s="274">
        <f t="shared" si="1"/>
        <v>1.7682291666666674E-4</v>
      </c>
      <c r="D31" s="6041">
        <v>7</v>
      </c>
      <c r="E31" s="6045">
        <v>5</v>
      </c>
      <c r="F31" s="6043">
        <v>3</v>
      </c>
      <c r="G31" s="6046">
        <v>12.5</v>
      </c>
      <c r="H31" s="4684"/>
      <c r="I31" s="4684">
        <v>3.4722222222222224E-4</v>
      </c>
      <c r="J31" s="4585">
        <v>0</v>
      </c>
      <c r="K31" s="4582" t="s">
        <v>1971</v>
      </c>
      <c r="L31" s="6044">
        <f t="shared" si="47"/>
        <v>0.66272599357361339</v>
      </c>
      <c r="M31" s="4584">
        <v>1.05</v>
      </c>
      <c r="N31" s="4585">
        <f t="shared" si="48"/>
        <v>6.6565130208333344E-3</v>
      </c>
      <c r="O31" s="4586">
        <f>C31*(G31/25)*1.04</f>
        <v>9.1947916666666705E-5</v>
      </c>
      <c r="P31" s="4587">
        <f t="shared" si="49"/>
        <v>9.6545312500000044E-5</v>
      </c>
      <c r="Q31" s="4588">
        <v>177</v>
      </c>
      <c r="R31" s="4582">
        <f t="shared" si="46"/>
        <v>187.5</v>
      </c>
      <c r="S31" s="1118">
        <f t="shared" si="5"/>
        <v>0.1875</v>
      </c>
      <c r="T31" s="1119">
        <f t="shared" si="6"/>
        <v>5.5168750000000027E-3</v>
      </c>
      <c r="U31" s="374">
        <f t="shared" si="9"/>
        <v>0</v>
      </c>
      <c r="V31" s="1120">
        <f t="shared" si="10"/>
        <v>0</v>
      </c>
      <c r="W31" s="376">
        <f t="shared" si="11"/>
        <v>0</v>
      </c>
      <c r="X31" s="377">
        <f t="shared" si="12"/>
        <v>0</v>
      </c>
      <c r="Y31" s="378">
        <f t="shared" si="13"/>
        <v>0</v>
      </c>
      <c r="Z31" s="1121">
        <f t="shared" si="14"/>
        <v>0</v>
      </c>
      <c r="AA31" s="1122">
        <f t="shared" si="15"/>
        <v>0.1875</v>
      </c>
      <c r="AC31" s="1244"/>
      <c r="AD31" s="1244"/>
      <c r="AE31" s="1244"/>
      <c r="AF31" s="1244"/>
      <c r="AG31" s="1244"/>
      <c r="AH31" s="1244"/>
      <c r="AI31" s="244"/>
      <c r="AJ31" s="244"/>
      <c r="AK31" s="244"/>
      <c r="AL31" s="244"/>
      <c r="AM31" s="244"/>
    </row>
    <row r="32" spans="1:39" ht="16.25" customHeight="1">
      <c r="A32" s="1261" t="s">
        <v>458</v>
      </c>
      <c r="B32" s="1269" t="s">
        <v>461</v>
      </c>
      <c r="C32" s="274">
        <f t="shared" si="1"/>
        <v>1.7682291666666674E-4</v>
      </c>
      <c r="D32" s="6041">
        <v>7</v>
      </c>
      <c r="E32" s="6047">
        <v>5</v>
      </c>
      <c r="F32" s="6043">
        <v>1</v>
      </c>
      <c r="G32" s="4582">
        <v>15</v>
      </c>
      <c r="H32" s="4684"/>
      <c r="I32" s="4684">
        <v>2.0833333333333333E-3</v>
      </c>
      <c r="J32" s="4585">
        <v>3.472222222222222E-3</v>
      </c>
      <c r="K32" s="4582" t="s">
        <v>1972</v>
      </c>
      <c r="L32" s="6044">
        <f t="shared" si="47"/>
        <v>0.66938250659444676</v>
      </c>
      <c r="M32" s="4584">
        <v>1.05</v>
      </c>
      <c r="N32" s="4585">
        <f t="shared" si="48"/>
        <v>2.8357049652777779E-2</v>
      </c>
      <c r="O32" s="4586">
        <f>C32*(G32/25)*1.04</f>
        <v>1.1033750000000005E-4</v>
      </c>
      <c r="P32" s="4587">
        <f t="shared" si="49"/>
        <v>1.1585437500000005E-4</v>
      </c>
      <c r="Q32" s="4588">
        <v>177</v>
      </c>
      <c r="R32" s="4582">
        <f t="shared" si="46"/>
        <v>75</v>
      </c>
      <c r="S32" s="1118">
        <f t="shared" si="5"/>
        <v>7.4999999999999997E-2</v>
      </c>
      <c r="T32" s="1119">
        <f t="shared" si="6"/>
        <v>2.2067500000000008E-3</v>
      </c>
      <c r="U32" s="374">
        <f t="shared" si="9"/>
        <v>0</v>
      </c>
      <c r="V32" s="1120">
        <f t="shared" si="10"/>
        <v>0</v>
      </c>
      <c r="W32" s="376">
        <f t="shared" si="11"/>
        <v>0</v>
      </c>
      <c r="X32" s="377">
        <f t="shared" si="12"/>
        <v>0</v>
      </c>
      <c r="Y32" s="378">
        <f t="shared" si="13"/>
        <v>0</v>
      </c>
      <c r="Z32" s="1121">
        <f t="shared" si="14"/>
        <v>0</v>
      </c>
      <c r="AA32" s="1122">
        <f t="shared" si="15"/>
        <v>7.4999999999999997E-2</v>
      </c>
      <c r="AC32" s="1244"/>
      <c r="AD32" s="1244"/>
      <c r="AE32" s="1244"/>
      <c r="AF32" s="1244"/>
      <c r="AG32" s="1244"/>
      <c r="AH32" s="1244"/>
      <c r="AI32" s="244"/>
      <c r="AJ32" s="244"/>
      <c r="AK32" s="244"/>
      <c r="AL32" s="244"/>
      <c r="AM32" s="244"/>
    </row>
    <row r="33" spans="1:39" ht="16.25" customHeight="1">
      <c r="A33" s="1261" t="s">
        <v>219</v>
      </c>
      <c r="B33" s="1269" t="s">
        <v>461</v>
      </c>
      <c r="C33" s="1258"/>
      <c r="D33" s="1259"/>
      <c r="E33" s="336"/>
      <c r="F33" s="336"/>
      <c r="G33" s="336"/>
      <c r="H33" s="336"/>
      <c r="I33" s="336"/>
      <c r="J33" s="336"/>
      <c r="K33" s="336" t="s">
        <v>2198</v>
      </c>
      <c r="L33" s="1003">
        <f t="shared" si="47"/>
        <v>0.6977395562472245</v>
      </c>
      <c r="M33" s="1198"/>
      <c r="N33" s="1008"/>
      <c r="O33" s="336">
        <f t="shared" ref="O33" si="50">C33*(G33/25)</f>
        <v>0</v>
      </c>
      <c r="P33" s="336">
        <f>SUM(P30:P32)</f>
        <v>4.8272656250000025E-4</v>
      </c>
      <c r="Q33" s="336">
        <f>SUM(Q30:Q32)</f>
        <v>531</v>
      </c>
      <c r="R33" s="1238">
        <f>SUM(R28:R32)</f>
        <v>1837.5</v>
      </c>
      <c r="S33" s="1118">
        <f t="shared" si="5"/>
        <v>0</v>
      </c>
      <c r="T33" s="1119">
        <f t="shared" si="6"/>
        <v>0</v>
      </c>
      <c r="U33" s="374">
        <f t="shared" si="9"/>
        <v>0</v>
      </c>
      <c r="V33" s="1120">
        <f t="shared" si="10"/>
        <v>0</v>
      </c>
      <c r="W33" s="376">
        <f t="shared" si="11"/>
        <v>0</v>
      </c>
      <c r="X33" s="377">
        <f t="shared" si="12"/>
        <v>0</v>
      </c>
      <c r="Y33" s="378">
        <f t="shared" si="13"/>
        <v>0</v>
      </c>
      <c r="Z33" s="1121">
        <f t="shared" si="14"/>
        <v>0</v>
      </c>
      <c r="AA33" s="1122">
        <f t="shared" si="15"/>
        <v>0</v>
      </c>
      <c r="AC33" s="1244"/>
      <c r="AD33" s="1244"/>
      <c r="AE33" s="1244"/>
      <c r="AF33" s="1244"/>
      <c r="AG33" s="1244"/>
      <c r="AH33" s="1244"/>
      <c r="AI33" s="244"/>
      <c r="AJ33" s="244"/>
      <c r="AK33" s="244"/>
      <c r="AL33" s="244"/>
      <c r="AM33" s="244"/>
    </row>
    <row r="34" spans="1:39" ht="16.25" customHeight="1">
      <c r="A34" s="1261"/>
      <c r="B34" s="1269" t="s">
        <v>461</v>
      </c>
      <c r="C34" s="274">
        <f t="shared" si="1"/>
        <v>1.7682291666666674E-4</v>
      </c>
      <c r="D34" s="3205">
        <v>7</v>
      </c>
      <c r="E34" s="1187">
        <v>1</v>
      </c>
      <c r="F34" s="1187">
        <v>3</v>
      </c>
      <c r="G34" s="1187">
        <v>15</v>
      </c>
      <c r="H34" s="8032" t="s">
        <v>713</v>
      </c>
      <c r="I34" s="1051">
        <v>3.4722222222222224E-4</v>
      </c>
      <c r="J34" s="1188">
        <v>1.3888888888888889E-3</v>
      </c>
      <c r="K34" s="1187" t="s">
        <v>526</v>
      </c>
      <c r="L34" s="1954">
        <f t="shared" ref="L34:L36" si="51">L33+N33</f>
        <v>0.6977395562472245</v>
      </c>
      <c r="M34" s="3206">
        <v>1</v>
      </c>
      <c r="N34" s="1954">
        <f t="shared" ref="N34:N35" si="52">P34*E34*F34+I34*F34*E34+J34*E34</f>
        <v>2.7488368055555556E-3</v>
      </c>
      <c r="O34" s="1954">
        <f t="shared" ref="O34:O35" si="53">C34*(G34/25)</f>
        <v>1.0609375000000004E-4</v>
      </c>
      <c r="P34" s="1191">
        <f t="shared" ref="P34:P35" si="54">O34*M34</f>
        <v>1.0609375000000004E-4</v>
      </c>
      <c r="Q34" s="789"/>
      <c r="R34" s="2419">
        <f t="shared" ref="R34:R35" si="55">E34*F34*G34</f>
        <v>45</v>
      </c>
      <c r="S34" s="1118">
        <f t="shared" si="5"/>
        <v>4.4999999999999998E-2</v>
      </c>
      <c r="T34" s="1119">
        <f t="shared" si="6"/>
        <v>1.2731250000000004E-3</v>
      </c>
      <c r="U34" s="374">
        <f t="shared" si="9"/>
        <v>0</v>
      </c>
      <c r="V34" s="1120">
        <f t="shared" si="10"/>
        <v>0</v>
      </c>
      <c r="W34" s="376">
        <f t="shared" si="11"/>
        <v>0</v>
      </c>
      <c r="X34" s="377">
        <f t="shared" si="12"/>
        <v>0</v>
      </c>
      <c r="Y34" s="378">
        <f t="shared" si="13"/>
        <v>0</v>
      </c>
      <c r="Z34" s="1121">
        <f t="shared" si="14"/>
        <v>0</v>
      </c>
      <c r="AA34" s="1122">
        <f t="shared" si="15"/>
        <v>4.4999999999999998E-2</v>
      </c>
      <c r="AC34" s="1244"/>
      <c r="AD34" s="1244"/>
      <c r="AE34" s="1244"/>
      <c r="AF34" s="1244"/>
      <c r="AG34" s="1244"/>
      <c r="AH34" s="1244"/>
      <c r="AI34" s="244"/>
      <c r="AJ34" s="244"/>
      <c r="AK34" s="244"/>
      <c r="AL34" s="244"/>
      <c r="AM34" s="244"/>
    </row>
    <row r="35" spans="1:39" ht="16.25" customHeight="1">
      <c r="A35" s="1261"/>
      <c r="B35" s="1269" t="s">
        <v>461</v>
      </c>
      <c r="C35" s="274">
        <f t="shared" si="1"/>
        <v>1.7682291666666674E-4</v>
      </c>
      <c r="D35" s="3205">
        <v>7</v>
      </c>
      <c r="E35" s="1187">
        <v>1</v>
      </c>
      <c r="F35" s="1187">
        <v>6</v>
      </c>
      <c r="G35" s="1187">
        <v>15</v>
      </c>
      <c r="H35" s="8033"/>
      <c r="I35" s="1051">
        <v>3.4722222222222224E-4</v>
      </c>
      <c r="J35" s="1188">
        <v>1.3888888888888889E-3</v>
      </c>
      <c r="K35" s="1187" t="s">
        <v>527</v>
      </c>
      <c r="L35" s="1954">
        <f t="shared" si="51"/>
        <v>0.7004883930527801</v>
      </c>
      <c r="M35" s="3206">
        <v>1</v>
      </c>
      <c r="N35" s="1954">
        <f t="shared" si="52"/>
        <v>4.1087847222222229E-3</v>
      </c>
      <c r="O35" s="1954">
        <f t="shared" si="53"/>
        <v>1.0609375000000004E-4</v>
      </c>
      <c r="P35" s="1191">
        <f t="shared" si="54"/>
        <v>1.0609375000000004E-4</v>
      </c>
      <c r="Q35" s="789"/>
      <c r="R35" s="2419">
        <f t="shared" si="55"/>
        <v>90</v>
      </c>
      <c r="S35" s="1118">
        <f t="shared" si="5"/>
        <v>0.09</v>
      </c>
      <c r="T35" s="1119">
        <f t="shared" si="6"/>
        <v>2.5462500000000008E-3</v>
      </c>
      <c r="U35" s="374">
        <f t="shared" si="9"/>
        <v>0</v>
      </c>
      <c r="V35" s="1120">
        <f t="shared" si="10"/>
        <v>0</v>
      </c>
      <c r="W35" s="376">
        <f t="shared" si="11"/>
        <v>0</v>
      </c>
      <c r="X35" s="377">
        <f t="shared" si="12"/>
        <v>0</v>
      </c>
      <c r="Y35" s="378">
        <f t="shared" si="13"/>
        <v>0</v>
      </c>
      <c r="Z35" s="1121">
        <f t="shared" si="14"/>
        <v>0</v>
      </c>
      <c r="AA35" s="1122">
        <f t="shared" si="15"/>
        <v>0.09</v>
      </c>
      <c r="AC35" s="1244"/>
      <c r="AD35" s="1244"/>
      <c r="AE35" s="1244"/>
      <c r="AF35" s="1244"/>
      <c r="AG35" s="1244"/>
      <c r="AH35" s="1244"/>
      <c r="AI35" s="244"/>
      <c r="AJ35" s="244"/>
      <c r="AK35" s="244"/>
      <c r="AL35" s="244"/>
      <c r="AM35" s="244"/>
    </row>
    <row r="36" spans="1:39" ht="16.25" customHeight="1">
      <c r="A36" s="3217"/>
      <c r="B36" s="3218"/>
      <c r="C36" s="274">
        <f t="shared" si="1"/>
        <v>0</v>
      </c>
      <c r="D36" s="3208"/>
      <c r="E36" s="3209"/>
      <c r="F36" s="3209"/>
      <c r="G36" s="3209"/>
      <c r="H36" s="3208"/>
      <c r="I36" s="3208"/>
      <c r="J36" s="3208"/>
      <c r="K36" s="4120" t="s">
        <v>1876</v>
      </c>
      <c r="L36" s="3169">
        <f t="shared" si="51"/>
        <v>0.7045971777750023</v>
      </c>
      <c r="M36" s="3201"/>
      <c r="N36" s="2711"/>
      <c r="O36" s="2714"/>
      <c r="P36" s="2711"/>
      <c r="Q36" s="3202"/>
      <c r="R36" s="3203">
        <f>SUM(R33:R35)</f>
        <v>1972.5</v>
      </c>
      <c r="S36" s="1118">
        <f t="shared" si="5"/>
        <v>0</v>
      </c>
      <c r="T36" s="1119">
        <f t="shared" si="6"/>
        <v>0</v>
      </c>
      <c r="U36" s="374">
        <f t="shared" si="9"/>
        <v>0</v>
      </c>
      <c r="V36" s="1120">
        <f t="shared" si="10"/>
        <v>0</v>
      </c>
      <c r="W36" s="376">
        <f t="shared" si="11"/>
        <v>0</v>
      </c>
      <c r="X36" s="377">
        <f t="shared" si="12"/>
        <v>0</v>
      </c>
      <c r="Y36" s="378">
        <f t="shared" si="13"/>
        <v>0</v>
      </c>
      <c r="Z36" s="1121">
        <f t="shared" si="14"/>
        <v>0</v>
      </c>
      <c r="AA36" s="1122">
        <f t="shared" si="15"/>
        <v>0</v>
      </c>
      <c r="AC36" s="1244"/>
      <c r="AD36" s="1244"/>
      <c r="AE36" s="1244"/>
      <c r="AF36" s="1244"/>
      <c r="AG36" s="1244"/>
      <c r="AH36" s="1244"/>
      <c r="AI36" s="244"/>
      <c r="AJ36" s="244"/>
      <c r="AK36" s="244"/>
      <c r="AL36" s="244"/>
      <c r="AM36" s="244"/>
    </row>
    <row r="37" spans="1:39" ht="16.25" customHeight="1" thickBot="1">
      <c r="A37" s="3219"/>
      <c r="B37" s="3220" t="s">
        <v>215</v>
      </c>
      <c r="C37" s="274">
        <f t="shared" si="1"/>
        <v>0</v>
      </c>
      <c r="D37" s="3221"/>
      <c r="E37" s="3222"/>
      <c r="F37" s="3222"/>
      <c r="G37" s="3222"/>
      <c r="H37" s="3223"/>
      <c r="I37" s="3221"/>
      <c r="J37" s="3221"/>
      <c r="K37" s="1919" t="s">
        <v>1878</v>
      </c>
      <c r="L37" s="3224"/>
      <c r="M37" s="3225"/>
      <c r="N37" s="3226"/>
      <c r="O37" s="3227"/>
      <c r="P37" s="3228"/>
      <c r="Q37" s="3229"/>
      <c r="R37" s="3230"/>
      <c r="S37" s="1118">
        <f t="shared" si="5"/>
        <v>0</v>
      </c>
      <c r="T37" s="1119">
        <f t="shared" si="6"/>
        <v>0</v>
      </c>
      <c r="U37" s="374">
        <f t="shared" si="9"/>
        <v>0</v>
      </c>
      <c r="V37" s="1120">
        <f t="shared" si="10"/>
        <v>0</v>
      </c>
      <c r="W37" s="376">
        <f t="shared" si="11"/>
        <v>0</v>
      </c>
      <c r="X37" s="377">
        <f t="shared" si="12"/>
        <v>0</v>
      </c>
      <c r="Y37" s="378">
        <f t="shared" si="13"/>
        <v>0</v>
      </c>
      <c r="Z37" s="1121">
        <f t="shared" si="14"/>
        <v>0</v>
      </c>
      <c r="AA37" s="1122">
        <f t="shared" si="15"/>
        <v>0</v>
      </c>
      <c r="AC37" s="1244"/>
      <c r="AD37" s="1244"/>
      <c r="AE37" s="1244"/>
      <c r="AF37" s="1244"/>
      <c r="AG37" s="1244"/>
      <c r="AH37" s="1244"/>
      <c r="AI37" s="244"/>
      <c r="AJ37" s="244"/>
      <c r="AK37" s="244"/>
      <c r="AL37" s="244"/>
      <c r="AM37" s="244"/>
    </row>
    <row r="38" spans="1:39" ht="16.25" customHeight="1">
      <c r="A38" s="3187" t="s">
        <v>215</v>
      </c>
      <c r="B38" s="3187" t="s">
        <v>215</v>
      </c>
      <c r="C38" s="274">
        <f t="shared" si="1"/>
        <v>2.2880964381720439E-4</v>
      </c>
      <c r="D38" s="920">
        <v>1</v>
      </c>
      <c r="E38" s="1194">
        <v>1</v>
      </c>
      <c r="F38" s="1194">
        <v>1</v>
      </c>
      <c r="G38" s="1194">
        <v>750</v>
      </c>
      <c r="H38" s="1194"/>
      <c r="I38" s="274">
        <v>0</v>
      </c>
      <c r="J38" s="274">
        <v>1.1574074074074073E-4</v>
      </c>
      <c r="K38" s="312" t="s">
        <v>967</v>
      </c>
      <c r="L38" s="1500">
        <v>0.3125</v>
      </c>
      <c r="M38" s="3188">
        <v>1.2</v>
      </c>
      <c r="N38" s="3170">
        <f>P38*E38*F38+I38*E38*F38+J38*E38</f>
        <v>8.3528879181600981E-3</v>
      </c>
      <c r="O38" s="1159">
        <f t="shared" ref="O38:O43" si="56">C38*(G38/25)</f>
        <v>6.8642893145161319E-3</v>
      </c>
      <c r="P38" s="1159">
        <f t="shared" ref="P38:P43" si="57">O38*M38</f>
        <v>8.2371471774193572E-3</v>
      </c>
      <c r="Q38" s="635">
        <v>129</v>
      </c>
      <c r="R38" s="3189">
        <f>E38*F38*G38</f>
        <v>750</v>
      </c>
      <c r="S38" s="1118"/>
      <c r="T38" s="1119"/>
      <c r="U38" s="374">
        <f t="shared" si="9"/>
        <v>0</v>
      </c>
      <c r="V38" s="1120">
        <f t="shared" si="10"/>
        <v>0</v>
      </c>
      <c r="W38" s="376">
        <f t="shared" si="11"/>
        <v>0</v>
      </c>
      <c r="X38" s="377">
        <f t="shared" si="12"/>
        <v>0</v>
      </c>
      <c r="Y38" s="378">
        <f t="shared" si="13"/>
        <v>0</v>
      </c>
      <c r="Z38" s="1121">
        <f t="shared" si="14"/>
        <v>0</v>
      </c>
      <c r="AA38" s="1122">
        <f t="shared" si="15"/>
        <v>0</v>
      </c>
      <c r="AC38" s="1244"/>
      <c r="AD38" s="1244"/>
      <c r="AE38" s="1244"/>
      <c r="AF38" s="1244"/>
      <c r="AG38" s="1244"/>
      <c r="AH38" s="1244"/>
      <c r="AI38" s="244"/>
      <c r="AJ38" s="244"/>
      <c r="AK38" s="244"/>
      <c r="AL38" s="244"/>
      <c r="AM38" s="244"/>
    </row>
    <row r="39" spans="1:39" ht="16.25" customHeight="1">
      <c r="A39" s="3187" t="s">
        <v>139</v>
      </c>
      <c r="B39" s="3187" t="s">
        <v>215</v>
      </c>
      <c r="C39" s="274">
        <f t="shared" si="1"/>
        <v>1.8933937422552669E-4</v>
      </c>
      <c r="D39" s="1203">
        <v>5</v>
      </c>
      <c r="E39" s="1248">
        <v>5</v>
      </c>
      <c r="F39" s="3190">
        <v>1</v>
      </c>
      <c r="G39" s="1249">
        <v>100</v>
      </c>
      <c r="H39" s="3191" t="s">
        <v>1456</v>
      </c>
      <c r="I39" s="1250">
        <v>3.4722222222222224E-4</v>
      </c>
      <c r="J39" s="1250">
        <v>1.3888888888888889E-3</v>
      </c>
      <c r="K39" s="1035" t="s">
        <v>1539</v>
      </c>
      <c r="L39" s="1456">
        <f t="shared" ref="L39:L44" si="58">L38+N38</f>
        <v>0.32085288791816008</v>
      </c>
      <c r="M39" s="2399">
        <v>1.05</v>
      </c>
      <c r="N39" s="1456">
        <f>P39*E39*F39+I39*E39*F39+J39*E39</f>
        <v>1.2656682414291617E-2</v>
      </c>
      <c r="O39" s="1253">
        <f t="shared" si="56"/>
        <v>7.5735749690210676E-4</v>
      </c>
      <c r="P39" s="1254">
        <f t="shared" si="57"/>
        <v>7.9522537174721211E-4</v>
      </c>
      <c r="Q39" s="1255" t="s">
        <v>267</v>
      </c>
      <c r="R39" s="1255">
        <f t="shared" ref="R39:R43" si="59">E39*F39*G39</f>
        <v>500</v>
      </c>
      <c r="S39" s="1118"/>
      <c r="T39" s="1119"/>
      <c r="U39" s="374">
        <f t="shared" si="9"/>
        <v>0</v>
      </c>
      <c r="V39" s="1120">
        <f t="shared" si="10"/>
        <v>0</v>
      </c>
      <c r="W39" s="376">
        <f t="shared" si="11"/>
        <v>0</v>
      </c>
      <c r="X39" s="377">
        <f t="shared" si="12"/>
        <v>0</v>
      </c>
      <c r="Y39" s="378">
        <f t="shared" si="13"/>
        <v>0</v>
      </c>
      <c r="Z39" s="1121">
        <f t="shared" si="14"/>
        <v>0</v>
      </c>
      <c r="AA39" s="1122">
        <f t="shared" si="15"/>
        <v>0</v>
      </c>
      <c r="AC39" s="1244"/>
      <c r="AD39" s="1244"/>
      <c r="AE39" s="1244"/>
      <c r="AF39" s="1244"/>
      <c r="AG39" s="1244"/>
      <c r="AH39" s="1244"/>
      <c r="AI39" s="244"/>
      <c r="AJ39" s="244"/>
      <c r="AK39" s="244"/>
      <c r="AL39" s="244"/>
      <c r="AM39" s="244"/>
    </row>
    <row r="40" spans="1:39" ht="16.25" customHeight="1" thickBot="1">
      <c r="A40" s="3187" t="s">
        <v>458</v>
      </c>
      <c r="B40" s="3187" t="s">
        <v>215</v>
      </c>
      <c r="C40" s="274">
        <f t="shared" si="1"/>
        <v>1.7682291666666674E-4</v>
      </c>
      <c r="D40" s="1300">
        <v>7</v>
      </c>
      <c r="E40" s="1201">
        <v>4</v>
      </c>
      <c r="F40" s="1201">
        <v>1</v>
      </c>
      <c r="G40" s="1201">
        <v>75</v>
      </c>
      <c r="H40" s="1888" t="s">
        <v>1457</v>
      </c>
      <c r="I40" s="1051">
        <v>4.6296296296296293E-4</v>
      </c>
      <c r="J40" s="1051">
        <v>1.3888888888888889E-3</v>
      </c>
      <c r="K40" s="4121" t="s">
        <v>1879</v>
      </c>
      <c r="L40" s="2709">
        <f t="shared" si="58"/>
        <v>0.33350957033245171</v>
      </c>
      <c r="M40" s="3192">
        <v>0.85</v>
      </c>
      <c r="N40" s="2418">
        <f>SUM(N38:N39)</f>
        <v>2.1009570332451717E-2</v>
      </c>
      <c r="O40" s="1191">
        <f t="shared" si="56"/>
        <v>5.3046875000000023E-4</v>
      </c>
      <c r="P40" s="1191">
        <f t="shared" si="57"/>
        <v>4.5089843750000018E-4</v>
      </c>
      <c r="Q40" s="790">
        <v>200</v>
      </c>
      <c r="R40" s="3193">
        <f t="shared" si="59"/>
        <v>300</v>
      </c>
      <c r="S40" s="1118"/>
      <c r="T40" s="1119"/>
      <c r="U40" s="374">
        <f t="shared" si="9"/>
        <v>0</v>
      </c>
      <c r="V40" s="1120">
        <f t="shared" si="10"/>
        <v>0</v>
      </c>
      <c r="W40" s="376">
        <f t="shared" si="11"/>
        <v>0</v>
      </c>
      <c r="X40" s="377">
        <f t="shared" si="12"/>
        <v>0</v>
      </c>
      <c r="Y40" s="378">
        <f t="shared" si="13"/>
        <v>0</v>
      </c>
      <c r="Z40" s="1121">
        <f t="shared" si="14"/>
        <v>0</v>
      </c>
      <c r="AA40" s="1122">
        <f t="shared" si="15"/>
        <v>0</v>
      </c>
      <c r="AC40" s="1244"/>
      <c r="AD40" s="1244"/>
      <c r="AE40" s="1244"/>
      <c r="AF40" s="1244"/>
      <c r="AG40" s="1244"/>
      <c r="AH40" s="1244"/>
      <c r="AI40" s="244"/>
      <c r="AJ40" s="244"/>
      <c r="AK40" s="244"/>
      <c r="AL40" s="244"/>
      <c r="AM40" s="244"/>
    </row>
    <row r="41" spans="1:39" ht="16.25" customHeight="1" thickBot="1">
      <c r="A41" s="3187" t="s">
        <v>462</v>
      </c>
      <c r="B41" s="3194" t="s">
        <v>215</v>
      </c>
      <c r="C41" s="274">
        <f t="shared" si="1"/>
        <v>2.2880964381720439E-4</v>
      </c>
      <c r="D41" s="1300">
        <v>1</v>
      </c>
      <c r="E41" s="1194">
        <v>1</v>
      </c>
      <c r="F41" s="1194">
        <v>4</v>
      </c>
      <c r="G41" s="1194">
        <v>100</v>
      </c>
      <c r="H41" s="1194"/>
      <c r="I41" s="274">
        <v>1.1574074074074073E-4</v>
      </c>
      <c r="J41" s="274">
        <v>1.3888888888888889E-3</v>
      </c>
      <c r="K41" s="312" t="s">
        <v>968</v>
      </c>
      <c r="L41" s="1667">
        <f t="shared" si="58"/>
        <v>0.35451914066490342</v>
      </c>
      <c r="M41" s="3195">
        <v>1.3</v>
      </c>
      <c r="N41" s="1667">
        <f t="shared" ref="N41:N43" si="60">P41*E41*F41+I41*F41*E41+J41*E41</f>
        <v>6.6110924432497033E-3</v>
      </c>
      <c r="O41" s="1667">
        <f t="shared" si="56"/>
        <v>9.1523857526881758E-4</v>
      </c>
      <c r="P41" s="1196">
        <f t="shared" si="57"/>
        <v>1.1898101478494628E-3</v>
      </c>
      <c r="Q41" s="548">
        <v>144</v>
      </c>
      <c r="R41" s="3196">
        <f t="shared" si="59"/>
        <v>400</v>
      </c>
      <c r="S41" s="1118"/>
      <c r="T41" s="1119"/>
      <c r="U41" s="374">
        <f t="shared" si="9"/>
        <v>0</v>
      </c>
      <c r="V41" s="1120">
        <f t="shared" si="10"/>
        <v>0</v>
      </c>
      <c r="W41" s="376">
        <f t="shared" si="11"/>
        <v>0</v>
      </c>
      <c r="X41" s="377">
        <f t="shared" si="12"/>
        <v>0</v>
      </c>
      <c r="Y41" s="378">
        <f t="shared" si="13"/>
        <v>0</v>
      </c>
      <c r="Z41" s="1121">
        <f t="shared" si="14"/>
        <v>0</v>
      </c>
      <c r="AA41" s="1122">
        <f t="shared" si="15"/>
        <v>0</v>
      </c>
      <c r="AC41" s="1244"/>
      <c r="AD41" s="1244"/>
      <c r="AE41" s="1244"/>
      <c r="AF41" s="1244"/>
      <c r="AG41" s="1244"/>
      <c r="AH41" s="1244"/>
      <c r="AI41" s="244"/>
      <c r="AJ41" s="244"/>
      <c r="AK41" s="244"/>
      <c r="AL41" s="244"/>
      <c r="AM41" s="244"/>
    </row>
    <row r="42" spans="1:39" ht="16.25" customHeight="1" thickBot="1">
      <c r="A42" s="3187" t="s">
        <v>140</v>
      </c>
      <c r="B42" s="3194" t="s">
        <v>215</v>
      </c>
      <c r="C42" s="274">
        <f t="shared" si="1"/>
        <v>2.0247664488766629E-4</v>
      </c>
      <c r="D42" s="1300">
        <v>4</v>
      </c>
      <c r="E42" s="1177">
        <v>1</v>
      </c>
      <c r="F42" s="1177">
        <v>4</v>
      </c>
      <c r="G42" s="1177">
        <v>50</v>
      </c>
      <c r="H42" s="1177"/>
      <c r="I42" s="1178">
        <v>2.3148148148148146E-4</v>
      </c>
      <c r="J42" s="1178">
        <v>1.3888888888888889E-3</v>
      </c>
      <c r="K42" s="316" t="s">
        <v>1536</v>
      </c>
      <c r="L42" s="1955">
        <f t="shared" si="58"/>
        <v>0.36113023310815312</v>
      </c>
      <c r="M42" s="3197">
        <v>2</v>
      </c>
      <c r="N42" s="1955">
        <f t="shared" si="60"/>
        <v>5.5544411330174757E-3</v>
      </c>
      <c r="O42" s="1955">
        <f t="shared" si="56"/>
        <v>4.0495328977533258E-4</v>
      </c>
      <c r="P42" s="1336">
        <f t="shared" si="57"/>
        <v>8.0990657955066516E-4</v>
      </c>
      <c r="Q42" s="1049">
        <v>145</v>
      </c>
      <c r="R42" s="3198">
        <f t="shared" si="59"/>
        <v>200</v>
      </c>
      <c r="S42" s="1118"/>
      <c r="T42" s="1119"/>
      <c r="U42" s="374">
        <f t="shared" si="9"/>
        <v>0</v>
      </c>
      <c r="V42" s="1120">
        <f t="shared" si="10"/>
        <v>0</v>
      </c>
      <c r="W42" s="376">
        <f t="shared" si="11"/>
        <v>0</v>
      </c>
      <c r="X42" s="377">
        <f t="shared" si="12"/>
        <v>0</v>
      </c>
      <c r="Y42" s="378">
        <f t="shared" si="13"/>
        <v>0</v>
      </c>
      <c r="Z42" s="1121">
        <f t="shared" si="14"/>
        <v>0</v>
      </c>
      <c r="AA42" s="1122">
        <f t="shared" si="15"/>
        <v>0</v>
      </c>
      <c r="AC42" s="1244"/>
      <c r="AD42" s="1244"/>
      <c r="AE42" s="1244"/>
      <c r="AF42" s="1244"/>
      <c r="AG42" s="1244"/>
      <c r="AH42" s="1244"/>
      <c r="AI42" s="244"/>
      <c r="AJ42" s="244"/>
      <c r="AK42" s="244"/>
      <c r="AL42" s="244"/>
      <c r="AM42" s="244"/>
    </row>
    <row r="43" spans="1:39" ht="16.25" customHeight="1" thickBot="1">
      <c r="A43" s="3187" t="s">
        <v>674</v>
      </c>
      <c r="B43" s="3194" t="s">
        <v>215</v>
      </c>
      <c r="C43" s="274">
        <f t="shared" si="1"/>
        <v>2.1908757716049393E-4</v>
      </c>
      <c r="D43" s="1300">
        <v>2</v>
      </c>
      <c r="E43" s="1173">
        <v>1</v>
      </c>
      <c r="F43" s="1173">
        <v>4</v>
      </c>
      <c r="G43" s="1173">
        <v>100</v>
      </c>
      <c r="H43" s="1173"/>
      <c r="I43" s="299">
        <v>1.7361111111111112E-4</v>
      </c>
      <c r="J43" s="299">
        <v>1.3888888888888889E-3</v>
      </c>
      <c r="K43" s="1123" t="s">
        <v>1880</v>
      </c>
      <c r="L43" s="3171">
        <f t="shared" si="58"/>
        <v>0.36668467424117057</v>
      </c>
      <c r="M43" s="3199">
        <v>1.4</v>
      </c>
      <c r="N43" s="3171">
        <f t="shared" si="60"/>
        <v>6.9908950617283971E-3</v>
      </c>
      <c r="O43" s="3171">
        <f t="shared" si="56"/>
        <v>8.7635030864197572E-4</v>
      </c>
      <c r="P43" s="1618">
        <f t="shared" si="57"/>
        <v>1.2268904320987659E-3</v>
      </c>
      <c r="Q43" s="3172"/>
      <c r="R43" s="3200">
        <f t="shared" si="59"/>
        <v>400</v>
      </c>
      <c r="S43" s="1118"/>
      <c r="T43" s="1119"/>
      <c r="U43" s="374">
        <f t="shared" si="9"/>
        <v>0</v>
      </c>
      <c r="V43" s="1120">
        <f t="shared" si="10"/>
        <v>0</v>
      </c>
      <c r="W43" s="376">
        <f t="shared" si="11"/>
        <v>0</v>
      </c>
      <c r="X43" s="377">
        <f t="shared" si="12"/>
        <v>0</v>
      </c>
      <c r="Y43" s="378">
        <f t="shared" si="13"/>
        <v>0</v>
      </c>
      <c r="Z43" s="1121">
        <f t="shared" si="14"/>
        <v>0</v>
      </c>
      <c r="AA43" s="1122">
        <f t="shared" si="15"/>
        <v>0</v>
      </c>
      <c r="AC43" s="1244"/>
      <c r="AD43" s="1244"/>
      <c r="AE43" s="1244"/>
      <c r="AF43" s="1244"/>
      <c r="AG43" s="1244"/>
      <c r="AH43" s="1244"/>
      <c r="AI43" s="244"/>
      <c r="AJ43" s="244"/>
      <c r="AK43" s="244"/>
      <c r="AL43" s="244"/>
      <c r="AM43" s="244"/>
    </row>
    <row r="44" spans="1:39" ht="16.25" customHeight="1">
      <c r="A44" s="3187"/>
      <c r="B44" s="3194"/>
      <c r="C44" s="274">
        <f t="shared" si="1"/>
        <v>0</v>
      </c>
      <c r="D44" s="914"/>
      <c r="E44" s="913"/>
      <c r="F44" s="624"/>
      <c r="G44" s="625"/>
      <c r="H44" s="625"/>
      <c r="I44" s="625"/>
      <c r="J44" s="624"/>
      <c r="K44" s="625"/>
      <c r="L44" s="3169">
        <f t="shared" si="58"/>
        <v>0.37367556930289897</v>
      </c>
      <c r="M44" s="3201"/>
      <c r="N44" s="2711"/>
      <c r="O44" s="2714"/>
      <c r="P44" s="2711"/>
      <c r="Q44" s="3202"/>
      <c r="R44" s="3203">
        <f>SUM(R38:R43)</f>
        <v>2550</v>
      </c>
      <c r="S44" s="1118"/>
      <c r="T44" s="1119"/>
      <c r="U44" s="374">
        <f t="shared" si="9"/>
        <v>0</v>
      </c>
      <c r="V44" s="1120">
        <f t="shared" si="10"/>
        <v>0</v>
      </c>
      <c r="W44" s="376">
        <f t="shared" si="11"/>
        <v>0</v>
      </c>
      <c r="X44" s="377">
        <f t="shared" si="12"/>
        <v>0</v>
      </c>
      <c r="Y44" s="378">
        <f t="shared" si="13"/>
        <v>0</v>
      </c>
      <c r="Z44" s="1121">
        <f t="shared" si="14"/>
        <v>0</v>
      </c>
      <c r="AA44" s="1122">
        <f t="shared" si="15"/>
        <v>0</v>
      </c>
      <c r="AC44" s="1244"/>
      <c r="AD44" s="1244"/>
      <c r="AE44" s="1244"/>
      <c r="AF44" s="1244"/>
      <c r="AG44" s="1244"/>
      <c r="AH44" s="1244"/>
      <c r="AI44" s="244"/>
      <c r="AJ44" s="244"/>
      <c r="AK44" s="244"/>
      <c r="AL44" s="244"/>
      <c r="AM44" s="244"/>
    </row>
    <row r="45" spans="1:39" ht="15" customHeight="1">
      <c r="A45" s="3187" t="s">
        <v>139</v>
      </c>
      <c r="B45" s="3187" t="s">
        <v>461</v>
      </c>
      <c r="C45" s="274">
        <f t="shared" si="1"/>
        <v>2.2880964381720439E-4</v>
      </c>
      <c r="D45" s="547">
        <v>1</v>
      </c>
      <c r="E45" s="1194">
        <v>1</v>
      </c>
      <c r="F45" s="1194">
        <v>1</v>
      </c>
      <c r="G45" s="1194">
        <v>700</v>
      </c>
      <c r="H45" s="8034" t="s">
        <v>139</v>
      </c>
      <c r="I45" s="274">
        <v>0</v>
      </c>
      <c r="J45" s="274">
        <v>1.1574074074074073E-4</v>
      </c>
      <c r="K45" s="312" t="s">
        <v>171</v>
      </c>
      <c r="L45" s="3173">
        <v>0.64583333333333337</v>
      </c>
      <c r="M45" s="2395">
        <v>1.2</v>
      </c>
      <c r="N45" s="1667">
        <f>P45*E45*F45+I45*E45*F45+J45*E45</f>
        <v>7.8037447729988087E-3</v>
      </c>
      <c r="O45" s="1196">
        <f>C45*(G45/25)</f>
        <v>6.4066700268817231E-3</v>
      </c>
      <c r="P45" s="1196">
        <f t="shared" ref="P45:P51" si="61">O45*M45</f>
        <v>7.6880040322580678E-3</v>
      </c>
      <c r="Q45" s="548">
        <v>129</v>
      </c>
      <c r="R45" s="2384">
        <f t="shared" ref="R45:R51" si="62">E45*F45*G45</f>
        <v>700</v>
      </c>
      <c r="S45" s="1118">
        <f t="shared" si="5"/>
        <v>0.7</v>
      </c>
      <c r="T45" s="1119">
        <f t="shared" si="6"/>
        <v>2.5626680107526893E-2</v>
      </c>
      <c r="U45" s="374">
        <f t="shared" si="9"/>
        <v>0.7</v>
      </c>
      <c r="V45" s="1120">
        <f t="shared" si="10"/>
        <v>0</v>
      </c>
      <c r="W45" s="376">
        <f t="shared" si="11"/>
        <v>0</v>
      </c>
      <c r="X45" s="377">
        <f t="shared" si="12"/>
        <v>0</v>
      </c>
      <c r="Y45" s="378">
        <f t="shared" si="13"/>
        <v>0</v>
      </c>
      <c r="Z45" s="1121">
        <f t="shared" si="14"/>
        <v>0</v>
      </c>
      <c r="AA45" s="1122">
        <f t="shared" si="15"/>
        <v>0</v>
      </c>
      <c r="AC45" s="1244"/>
      <c r="AD45" s="1244"/>
      <c r="AE45" s="1244"/>
      <c r="AF45" s="1244"/>
      <c r="AG45" s="1244"/>
      <c r="AH45" s="1244"/>
      <c r="AI45" s="244"/>
      <c r="AJ45" s="244"/>
      <c r="AK45" s="244"/>
      <c r="AL45" s="244"/>
      <c r="AM45" s="244"/>
    </row>
    <row r="46" spans="1:39" ht="17" customHeight="1">
      <c r="A46" s="3187" t="s">
        <v>458</v>
      </c>
      <c r="B46" s="3187" t="s">
        <v>461</v>
      </c>
      <c r="C46" s="274">
        <f t="shared" si="1"/>
        <v>2.1222190799396687E-4</v>
      </c>
      <c r="D46" s="1236">
        <v>3</v>
      </c>
      <c r="E46" s="1161">
        <v>1</v>
      </c>
      <c r="F46" s="1161">
        <v>20</v>
      </c>
      <c r="G46" s="1161">
        <v>25</v>
      </c>
      <c r="H46" s="8035"/>
      <c r="I46" s="1163">
        <v>5.7870370370370366E-5</v>
      </c>
      <c r="J46" s="1163">
        <v>1.3888888888888889E-3</v>
      </c>
      <c r="K46" s="1074" t="s">
        <v>1064</v>
      </c>
      <c r="L46" s="1147">
        <f>L45+N45</f>
        <v>0.6536370781063322</v>
      </c>
      <c r="M46" s="2396">
        <v>1</v>
      </c>
      <c r="N46" s="1454">
        <f>P46*E46*F46+I46*E46*F46+J46*E46</f>
        <v>6.7907344561756334E-3</v>
      </c>
      <c r="O46" s="1165">
        <f>C46*(G46/25)</f>
        <v>2.1222190799396687E-4</v>
      </c>
      <c r="P46" s="1165">
        <f t="shared" si="61"/>
        <v>2.1222190799396687E-4</v>
      </c>
      <c r="Q46" s="333">
        <v>160</v>
      </c>
      <c r="R46" s="2385">
        <f t="shared" si="62"/>
        <v>500</v>
      </c>
      <c r="S46" s="1118">
        <f t="shared" si="5"/>
        <v>0.5</v>
      </c>
      <c r="T46" s="1119">
        <f t="shared" si="6"/>
        <v>1.6977752639517348E-2</v>
      </c>
      <c r="U46" s="374">
        <f t="shared" si="9"/>
        <v>0</v>
      </c>
      <c r="V46" s="1120">
        <f t="shared" si="10"/>
        <v>0</v>
      </c>
      <c r="W46" s="376">
        <f t="shared" si="11"/>
        <v>0.5</v>
      </c>
      <c r="X46" s="377">
        <f t="shared" si="12"/>
        <v>0</v>
      </c>
      <c r="Y46" s="378">
        <f t="shared" si="13"/>
        <v>0</v>
      </c>
      <c r="Z46" s="1121">
        <f t="shared" si="14"/>
        <v>0</v>
      </c>
      <c r="AA46" s="1122">
        <f t="shared" si="15"/>
        <v>0</v>
      </c>
      <c r="AC46" s="1244"/>
      <c r="AD46" s="1244"/>
      <c r="AE46" s="1244"/>
      <c r="AF46" s="1244"/>
      <c r="AG46" s="1244"/>
      <c r="AH46" s="1244"/>
      <c r="AI46" s="244"/>
      <c r="AJ46" s="244"/>
      <c r="AK46" s="244"/>
      <c r="AL46" s="244"/>
      <c r="AM46" s="244"/>
    </row>
    <row r="47" spans="1:39" ht="17" customHeight="1" thickBot="1">
      <c r="A47" s="3187" t="s">
        <v>462</v>
      </c>
      <c r="B47" s="3187" t="s">
        <v>461</v>
      </c>
      <c r="C47" s="274">
        <f t="shared" si="1"/>
        <v>1.8933937422552669E-4</v>
      </c>
      <c r="D47" s="1248">
        <v>5</v>
      </c>
      <c r="E47" s="3190">
        <v>2</v>
      </c>
      <c r="F47" s="1249">
        <v>1</v>
      </c>
      <c r="G47" s="3190">
        <f>100+2*50</f>
        <v>200</v>
      </c>
      <c r="H47" s="8035"/>
      <c r="I47" s="1250">
        <v>5.7870370370370366E-5</v>
      </c>
      <c r="J47" s="1250">
        <v>2.0833333333333333E-3</v>
      </c>
      <c r="K47" s="1035" t="s">
        <v>1541</v>
      </c>
      <c r="L47" s="3174">
        <f t="shared" ref="L47:L52" si="63">L46+N46</f>
        <v>0.66042781256250782</v>
      </c>
      <c r="M47" s="2399">
        <v>1</v>
      </c>
      <c r="N47" s="1456">
        <f>P47*E47*F47+I47*E47*F47+J47*E47</f>
        <v>7.493603194272341E-3</v>
      </c>
      <c r="O47" s="1253">
        <f>C47*(G47/25)*1.06</f>
        <v>1.6055978934324665E-3</v>
      </c>
      <c r="P47" s="1254">
        <f t="shared" si="61"/>
        <v>1.6055978934324665E-3</v>
      </c>
      <c r="Q47" s="1255">
        <v>173</v>
      </c>
      <c r="R47" s="1255">
        <f t="shared" si="62"/>
        <v>400</v>
      </c>
      <c r="S47" s="1118">
        <f t="shared" si="5"/>
        <v>0.4</v>
      </c>
      <c r="T47" s="1119">
        <f t="shared" si="6"/>
        <v>1.2844783147459732E-2</v>
      </c>
      <c r="U47" s="374">
        <f t="shared" si="9"/>
        <v>0</v>
      </c>
      <c r="V47" s="1120">
        <f t="shared" si="10"/>
        <v>0</v>
      </c>
      <c r="W47" s="376">
        <f t="shared" si="11"/>
        <v>0</v>
      </c>
      <c r="X47" s="377">
        <f t="shared" si="12"/>
        <v>0</v>
      </c>
      <c r="Y47" s="378">
        <f t="shared" si="13"/>
        <v>0.4</v>
      </c>
      <c r="Z47" s="1121">
        <f t="shared" si="14"/>
        <v>0</v>
      </c>
      <c r="AA47" s="1122">
        <f t="shared" si="15"/>
        <v>0</v>
      </c>
      <c r="AC47" s="1244"/>
      <c r="AD47" s="1244"/>
      <c r="AE47" s="1244"/>
      <c r="AF47" s="1244"/>
      <c r="AG47" s="1244"/>
      <c r="AH47" s="1244"/>
      <c r="AI47" s="244"/>
      <c r="AJ47" s="244"/>
      <c r="AK47" s="244"/>
      <c r="AL47" s="244"/>
      <c r="AM47" s="244"/>
    </row>
    <row r="48" spans="1:39" ht="15" customHeight="1" thickBot="1">
      <c r="A48" s="3187" t="s">
        <v>140</v>
      </c>
      <c r="B48" s="3194" t="s">
        <v>461</v>
      </c>
      <c r="C48" s="274">
        <f t="shared" si="1"/>
        <v>2.0247664488766629E-4</v>
      </c>
      <c r="D48" s="1197">
        <v>4</v>
      </c>
      <c r="E48" s="1177">
        <v>1</v>
      </c>
      <c r="F48" s="1177">
        <v>4</v>
      </c>
      <c r="G48" s="1177">
        <v>50</v>
      </c>
      <c r="H48" s="8035"/>
      <c r="I48" s="1178">
        <v>5.7870370370370366E-5</v>
      </c>
      <c r="J48" s="1178">
        <v>1.3888888888888889E-3</v>
      </c>
      <c r="K48" s="316" t="s">
        <v>1536</v>
      </c>
      <c r="L48" s="3175">
        <f t="shared" si="63"/>
        <v>0.66792141575678021</v>
      </c>
      <c r="M48" s="3231">
        <v>1</v>
      </c>
      <c r="N48" s="1455">
        <f>P48*E48*F48+I48*E48*F48+J48*E48</f>
        <v>3.2401835294717006E-3</v>
      </c>
      <c r="O48" s="1181">
        <f>C48*(G48/25)</f>
        <v>4.0495328977533258E-4</v>
      </c>
      <c r="P48" s="1181">
        <f t="shared" si="61"/>
        <v>4.0495328977533258E-4</v>
      </c>
      <c r="Q48" s="334">
        <v>166</v>
      </c>
      <c r="R48" s="3232">
        <f t="shared" si="62"/>
        <v>200</v>
      </c>
      <c r="S48" s="1118">
        <f t="shared" si="5"/>
        <v>0.2</v>
      </c>
      <c r="T48" s="1119">
        <f t="shared" si="6"/>
        <v>6.4792526364053213E-3</v>
      </c>
      <c r="U48" s="374">
        <f t="shared" si="9"/>
        <v>0</v>
      </c>
      <c r="V48" s="1120">
        <f t="shared" si="10"/>
        <v>0</v>
      </c>
      <c r="W48" s="376">
        <f t="shared" si="11"/>
        <v>0</v>
      </c>
      <c r="X48" s="377">
        <f t="shared" si="12"/>
        <v>0.2</v>
      </c>
      <c r="Y48" s="378">
        <f t="shared" si="13"/>
        <v>0</v>
      </c>
      <c r="Z48" s="1121">
        <f t="shared" si="14"/>
        <v>0</v>
      </c>
      <c r="AA48" s="1122">
        <f t="shared" si="15"/>
        <v>0</v>
      </c>
      <c r="AC48" s="1244"/>
      <c r="AD48" s="1244"/>
      <c r="AE48" s="1244"/>
      <c r="AF48" s="1244"/>
      <c r="AG48" s="1244"/>
      <c r="AH48" s="1244"/>
      <c r="AI48" s="244"/>
      <c r="AJ48" s="244"/>
      <c r="AK48" s="244"/>
      <c r="AL48" s="244"/>
      <c r="AM48" s="244"/>
    </row>
    <row r="49" spans="1:39" ht="15" customHeight="1">
      <c r="A49" s="3187" t="s">
        <v>458</v>
      </c>
      <c r="B49" s="3194" t="s">
        <v>461</v>
      </c>
      <c r="C49" s="274">
        <f t="shared" si="1"/>
        <v>2.1222190799396687E-4</v>
      </c>
      <c r="D49" s="1161">
        <v>3</v>
      </c>
      <c r="E49" s="1161">
        <v>1</v>
      </c>
      <c r="F49" s="1161">
        <v>15</v>
      </c>
      <c r="G49" s="1161">
        <v>100</v>
      </c>
      <c r="H49" s="4106"/>
      <c r="I49" s="3204">
        <v>2.3148148148148146E-4</v>
      </c>
      <c r="J49" s="3204">
        <v>2.3148148148148146E-4</v>
      </c>
      <c r="K49" s="1075" t="s">
        <v>928</v>
      </c>
      <c r="L49" s="1454">
        <f t="shared" si="63"/>
        <v>0.67116159928625196</v>
      </c>
      <c r="M49" s="2396">
        <v>1.4</v>
      </c>
      <c r="N49" s="1454">
        <f>P49*E49*F49+I49*F49*E49+J49*E49</f>
        <v>2.153034397519692E-2</v>
      </c>
      <c r="O49" s="1454">
        <f>C49*(G49/25)</f>
        <v>8.4888763197586746E-4</v>
      </c>
      <c r="P49" s="1165">
        <f t="shared" si="61"/>
        <v>1.1884426847662143E-3</v>
      </c>
      <c r="Q49" s="333">
        <v>144</v>
      </c>
      <c r="R49" s="2385">
        <f t="shared" si="62"/>
        <v>1500</v>
      </c>
      <c r="S49" s="1118">
        <f t="shared" si="5"/>
        <v>1.5</v>
      </c>
      <c r="T49" s="1119">
        <f t="shared" si="6"/>
        <v>5.093325791855205E-2</v>
      </c>
      <c r="U49" s="374">
        <f t="shared" si="9"/>
        <v>0</v>
      </c>
      <c r="V49" s="1120">
        <f t="shared" si="10"/>
        <v>0</v>
      </c>
      <c r="W49" s="376">
        <f t="shared" si="11"/>
        <v>1.5</v>
      </c>
      <c r="X49" s="377">
        <f t="shared" si="12"/>
        <v>0</v>
      </c>
      <c r="Y49" s="378">
        <f t="shared" si="13"/>
        <v>0</v>
      </c>
      <c r="Z49" s="1121">
        <f t="shared" si="14"/>
        <v>0</v>
      </c>
      <c r="AA49" s="1122">
        <f t="shared" si="15"/>
        <v>0</v>
      </c>
      <c r="AC49" s="1244"/>
      <c r="AD49" s="1244"/>
      <c r="AE49" s="1244"/>
      <c r="AF49" s="1244"/>
      <c r="AG49" s="1244"/>
      <c r="AH49" s="1244"/>
      <c r="AI49" s="244"/>
      <c r="AJ49" s="244"/>
      <c r="AK49" s="244"/>
      <c r="AL49" s="244"/>
      <c r="AM49" s="244"/>
    </row>
    <row r="50" spans="1:39" ht="19.25" customHeight="1" thickBot="1">
      <c r="A50" s="3187"/>
      <c r="B50" s="3187" t="s">
        <v>461</v>
      </c>
      <c r="C50" s="274">
        <f t="shared" si="1"/>
        <v>1.7682291666666674E-4</v>
      </c>
      <c r="D50" s="3205">
        <v>7</v>
      </c>
      <c r="E50" s="1187">
        <v>1</v>
      </c>
      <c r="F50" s="1187">
        <v>3</v>
      </c>
      <c r="G50" s="1187">
        <v>15</v>
      </c>
      <c r="H50" s="8032" t="s">
        <v>713</v>
      </c>
      <c r="I50" s="1051">
        <v>3.4722222222222224E-4</v>
      </c>
      <c r="J50" s="1188">
        <v>1.3888888888888889E-3</v>
      </c>
      <c r="K50" s="1187" t="s">
        <v>526</v>
      </c>
      <c r="L50" s="1954">
        <f t="shared" si="63"/>
        <v>0.69269194326144889</v>
      </c>
      <c r="M50" s="3206">
        <v>1</v>
      </c>
      <c r="N50" s="1954">
        <f>P50*E50*F50+I50*F50*E50+J50*E50</f>
        <v>2.7488368055555556E-3</v>
      </c>
      <c r="O50" s="1954">
        <f>C50*(G50/25)</f>
        <v>1.0609375000000004E-4</v>
      </c>
      <c r="P50" s="1191">
        <f t="shared" si="61"/>
        <v>1.0609375000000004E-4</v>
      </c>
      <c r="Q50" s="789"/>
      <c r="R50" s="2419">
        <f t="shared" si="62"/>
        <v>45</v>
      </c>
      <c r="S50" s="1118">
        <f t="shared" si="5"/>
        <v>4.4999999999999998E-2</v>
      </c>
      <c r="T50" s="1119">
        <f t="shared" si="6"/>
        <v>1.2731250000000004E-3</v>
      </c>
      <c r="U50" s="374">
        <f t="shared" si="9"/>
        <v>0</v>
      </c>
      <c r="V50" s="1120">
        <f t="shared" si="10"/>
        <v>0</v>
      </c>
      <c r="W50" s="376">
        <f t="shared" si="11"/>
        <v>0</v>
      </c>
      <c r="X50" s="377">
        <f t="shared" si="12"/>
        <v>0</v>
      </c>
      <c r="Y50" s="378">
        <f t="shared" si="13"/>
        <v>0</v>
      </c>
      <c r="Z50" s="1121">
        <f t="shared" si="14"/>
        <v>0</v>
      </c>
      <c r="AA50" s="1122">
        <f t="shared" si="15"/>
        <v>4.4999999999999998E-2</v>
      </c>
      <c r="AC50" s="1244"/>
      <c r="AD50" s="1244"/>
      <c r="AE50" s="1244"/>
      <c r="AF50" s="1244"/>
      <c r="AG50" s="1244"/>
      <c r="AH50" s="1244"/>
      <c r="AI50" s="244"/>
      <c r="AJ50" s="244"/>
      <c r="AK50" s="244"/>
      <c r="AL50" s="244"/>
      <c r="AM50" s="244"/>
    </row>
    <row r="51" spans="1:39" ht="14" customHeight="1">
      <c r="A51" s="3187"/>
      <c r="B51" s="3194" t="s">
        <v>461</v>
      </c>
      <c r="C51" s="274">
        <f t="shared" si="1"/>
        <v>1.7682291666666674E-4</v>
      </c>
      <c r="D51" s="3205">
        <v>7</v>
      </c>
      <c r="E51" s="1187">
        <v>1</v>
      </c>
      <c r="F51" s="1187">
        <v>4</v>
      </c>
      <c r="G51" s="1187">
        <v>15</v>
      </c>
      <c r="H51" s="8033"/>
      <c r="I51" s="1051">
        <v>3.4722222222222224E-4</v>
      </c>
      <c r="J51" s="1188">
        <v>1.3888888888888889E-3</v>
      </c>
      <c r="K51" s="1187" t="s">
        <v>527</v>
      </c>
      <c r="L51" s="1954">
        <f t="shared" si="63"/>
        <v>0.69544078006700449</v>
      </c>
      <c r="M51" s="3206">
        <v>1</v>
      </c>
      <c r="N51" s="1954">
        <f>P51*E51*F51+I51*F51*E51+J51*E51</f>
        <v>3.2021527777777777E-3</v>
      </c>
      <c r="O51" s="1954">
        <f>C51*(G51/25)</f>
        <v>1.0609375000000004E-4</v>
      </c>
      <c r="P51" s="1191">
        <f t="shared" si="61"/>
        <v>1.0609375000000004E-4</v>
      </c>
      <c r="Q51" s="789"/>
      <c r="R51" s="2419">
        <f t="shared" si="62"/>
        <v>60</v>
      </c>
      <c r="S51" s="1118">
        <f t="shared" si="5"/>
        <v>0.06</v>
      </c>
      <c r="T51" s="1119">
        <f t="shared" si="6"/>
        <v>1.6975000000000007E-3</v>
      </c>
      <c r="U51" s="374">
        <f t="shared" si="9"/>
        <v>0</v>
      </c>
      <c r="V51" s="1120">
        <f t="shared" si="10"/>
        <v>0</v>
      </c>
      <c r="W51" s="376">
        <f t="shared" si="11"/>
        <v>0</v>
      </c>
      <c r="X51" s="377">
        <f t="shared" si="12"/>
        <v>0</v>
      </c>
      <c r="Y51" s="378">
        <f t="shared" si="13"/>
        <v>0</v>
      </c>
      <c r="Z51" s="1121">
        <f t="shared" si="14"/>
        <v>0</v>
      </c>
      <c r="AA51" s="1122">
        <f t="shared" si="15"/>
        <v>0.06</v>
      </c>
      <c r="AC51" s="1244"/>
      <c r="AD51" s="1244"/>
      <c r="AE51" s="1244"/>
      <c r="AF51" s="1244"/>
      <c r="AG51" s="1244"/>
      <c r="AH51" s="1244"/>
      <c r="AI51" s="244"/>
      <c r="AJ51" s="244"/>
      <c r="AK51" s="244"/>
      <c r="AL51" s="244"/>
      <c r="AM51" s="244"/>
    </row>
    <row r="52" spans="1:39" ht="16.25" customHeight="1" thickBot="1">
      <c r="A52" s="3207" t="s">
        <v>215</v>
      </c>
      <c r="B52" s="3207" t="s">
        <v>215</v>
      </c>
      <c r="C52" s="274">
        <f t="shared" si="1"/>
        <v>0</v>
      </c>
      <c r="D52" s="3208"/>
      <c r="E52" s="3209"/>
      <c r="F52" s="3209"/>
      <c r="G52" s="3209"/>
      <c r="H52" s="3208"/>
      <c r="I52" s="3208"/>
      <c r="J52" s="3208"/>
      <c r="K52" s="3248"/>
      <c r="L52" s="3169">
        <f t="shared" si="63"/>
        <v>0.69864293284478229</v>
      </c>
      <c r="M52" s="3201"/>
      <c r="N52" s="3235"/>
      <c r="O52" s="3237"/>
      <c r="P52" s="3238"/>
      <c r="Q52" s="1413"/>
      <c r="R52" s="3236">
        <f>SUM(R45:R51)</f>
        <v>3405</v>
      </c>
      <c r="S52" s="1118">
        <f t="shared" si="5"/>
        <v>0</v>
      </c>
      <c r="T52" s="1119">
        <f t="shared" si="6"/>
        <v>0</v>
      </c>
      <c r="U52" s="374">
        <f t="shared" si="9"/>
        <v>0</v>
      </c>
      <c r="V52" s="1120">
        <f t="shared" si="10"/>
        <v>0</v>
      </c>
      <c r="W52" s="376">
        <f t="shared" si="11"/>
        <v>0</v>
      </c>
      <c r="X52" s="377">
        <f t="shared" si="12"/>
        <v>0</v>
      </c>
      <c r="Y52" s="378">
        <f t="shared" si="13"/>
        <v>0</v>
      </c>
      <c r="Z52" s="1121">
        <f t="shared" si="14"/>
        <v>0</v>
      </c>
      <c r="AA52" s="1122">
        <f t="shared" si="15"/>
        <v>0</v>
      </c>
      <c r="AC52" s="1244"/>
      <c r="AD52" s="1244"/>
      <c r="AE52" s="1244"/>
      <c r="AF52" s="1244"/>
      <c r="AG52" s="1244"/>
      <c r="AH52" s="1244"/>
      <c r="AI52" s="244"/>
      <c r="AJ52" s="244"/>
      <c r="AK52" s="244"/>
      <c r="AL52" s="244"/>
      <c r="AM52" s="244"/>
    </row>
    <row r="53" spans="1:39" ht="16.25" customHeight="1" thickBot="1">
      <c r="A53" s="1261" t="s">
        <v>217</v>
      </c>
      <c r="B53" s="1269" t="s">
        <v>215</v>
      </c>
      <c r="C53" s="274">
        <f t="shared" si="1"/>
        <v>2.1908757716049393E-4</v>
      </c>
      <c r="D53" s="1441">
        <v>2</v>
      </c>
      <c r="E53" s="1324">
        <v>1</v>
      </c>
      <c r="F53" s="1324">
        <v>6</v>
      </c>
      <c r="G53" s="1324">
        <v>25</v>
      </c>
      <c r="H53" s="3249"/>
      <c r="I53" s="3249">
        <v>5.7870370370370366E-5</v>
      </c>
      <c r="J53" s="3249">
        <v>6.9444444444444447E-4</v>
      </c>
      <c r="K53" s="1324" t="s">
        <v>284</v>
      </c>
      <c r="L53" s="1355">
        <v>0.33333333333333331</v>
      </c>
      <c r="M53" s="3250">
        <v>1.17</v>
      </c>
      <c r="N53" s="3249">
        <f t="shared" ref="N53:N59" si="64">P53*E53*F53+I53*F53*E53+J53*E53</f>
        <v>2.5796614583333344E-3</v>
      </c>
      <c r="O53" s="1431">
        <f t="shared" ref="O53:O59" si="65">C53*(G53/25)</f>
        <v>2.1908757716049393E-4</v>
      </c>
      <c r="P53" s="1431">
        <f t="shared" ref="P53:P59" si="66">O53*M53</f>
        <v>2.5633246527777791E-4</v>
      </c>
      <c r="Q53" s="1432">
        <v>160</v>
      </c>
      <c r="R53" s="3251">
        <f t="shared" ref="R53:R59" si="67">E53*F53*G53</f>
        <v>150</v>
      </c>
      <c r="S53" s="1118">
        <f t="shared" si="5"/>
        <v>0.15</v>
      </c>
      <c r="T53" s="1119">
        <f t="shared" si="6"/>
        <v>5.2581018518518541E-3</v>
      </c>
      <c r="U53" s="374">
        <f t="shared" si="9"/>
        <v>0</v>
      </c>
      <c r="V53" s="1120">
        <f t="shared" si="10"/>
        <v>0.15</v>
      </c>
      <c r="W53" s="376">
        <f t="shared" si="11"/>
        <v>0</v>
      </c>
      <c r="X53" s="377">
        <f t="shared" si="12"/>
        <v>0</v>
      </c>
      <c r="Y53" s="378">
        <f t="shared" si="13"/>
        <v>0</v>
      </c>
      <c r="Z53" s="1121">
        <f t="shared" si="14"/>
        <v>0</v>
      </c>
      <c r="AA53" s="1122">
        <f t="shared" si="15"/>
        <v>0</v>
      </c>
      <c r="AC53" s="1244"/>
      <c r="AD53" s="1244"/>
      <c r="AE53" s="1244"/>
      <c r="AF53" s="1244"/>
      <c r="AG53" s="1244"/>
      <c r="AH53" s="1244"/>
      <c r="AI53" s="244"/>
      <c r="AJ53" s="244"/>
      <c r="AK53" s="244"/>
      <c r="AL53" s="244"/>
      <c r="AM53" s="244"/>
    </row>
    <row r="54" spans="1:39" ht="12.75" customHeight="1" thickBot="1">
      <c r="A54" s="1261" t="s">
        <v>459</v>
      </c>
      <c r="B54" s="1269" t="s">
        <v>215</v>
      </c>
      <c r="C54" s="274">
        <f t="shared" si="1"/>
        <v>1.7682291666666674E-4</v>
      </c>
      <c r="D54" s="1441">
        <v>7</v>
      </c>
      <c r="E54" s="2114">
        <v>1</v>
      </c>
      <c r="F54" s="2114">
        <v>4</v>
      </c>
      <c r="G54" s="2114">
        <v>25</v>
      </c>
      <c r="H54" s="2121"/>
      <c r="I54" s="2121">
        <v>4.6296296296296293E-4</v>
      </c>
      <c r="J54" s="2121">
        <v>1.3888888888888889E-3</v>
      </c>
      <c r="K54" s="2046" t="s">
        <v>284</v>
      </c>
      <c r="L54" s="2047">
        <f t="shared" ref="L54:L60" si="68">L53+N53</f>
        <v>0.33591299479166664</v>
      </c>
      <c r="M54" s="3252">
        <v>1.17</v>
      </c>
      <c r="N54" s="2121">
        <f t="shared" si="64"/>
        <v>4.0682719907407412E-3</v>
      </c>
      <c r="O54" s="2123">
        <f t="shared" si="65"/>
        <v>1.7682291666666674E-4</v>
      </c>
      <c r="P54" s="2124">
        <f t="shared" si="66"/>
        <v>2.0688281250000006E-4</v>
      </c>
      <c r="Q54" s="2049">
        <v>160</v>
      </c>
      <c r="R54" s="3253">
        <f t="shared" si="67"/>
        <v>100</v>
      </c>
      <c r="S54" s="1118">
        <f t="shared" si="5"/>
        <v>0.1</v>
      </c>
      <c r="T54" s="1119">
        <f t="shared" si="6"/>
        <v>2.8291666666666678E-3</v>
      </c>
      <c r="U54" s="374">
        <f t="shared" si="9"/>
        <v>0</v>
      </c>
      <c r="V54" s="1120">
        <f t="shared" si="10"/>
        <v>0</v>
      </c>
      <c r="W54" s="376">
        <f t="shared" si="11"/>
        <v>0</v>
      </c>
      <c r="X54" s="377">
        <f t="shared" si="12"/>
        <v>0</v>
      </c>
      <c r="Y54" s="378">
        <f t="shared" si="13"/>
        <v>0</v>
      </c>
      <c r="Z54" s="1121">
        <f t="shared" si="14"/>
        <v>0</v>
      </c>
      <c r="AA54" s="1122">
        <f t="shared" si="15"/>
        <v>0.1</v>
      </c>
      <c r="AC54" s="1244"/>
      <c r="AD54" s="1244"/>
      <c r="AE54" s="1244"/>
      <c r="AF54" s="1244"/>
      <c r="AG54" s="1244"/>
      <c r="AH54" s="1244"/>
      <c r="AI54" s="244"/>
      <c r="AJ54" s="244"/>
      <c r="AK54" s="244"/>
      <c r="AL54" s="244"/>
      <c r="AM54" s="244"/>
    </row>
    <row r="55" spans="1:39" ht="12.75" customHeight="1" thickBot="1">
      <c r="A55" s="1261" t="s">
        <v>458</v>
      </c>
      <c r="B55" s="1269" t="s">
        <v>215</v>
      </c>
      <c r="C55" s="274">
        <f t="shared" si="1"/>
        <v>2.1222190799396687E-4</v>
      </c>
      <c r="D55" s="1441">
        <v>3</v>
      </c>
      <c r="E55" s="1634">
        <v>1</v>
      </c>
      <c r="F55" s="1634">
        <v>6</v>
      </c>
      <c r="G55" s="1634">
        <v>25</v>
      </c>
      <c r="H55" s="3254"/>
      <c r="I55" s="3254">
        <v>2.8935185185185189E-4</v>
      </c>
      <c r="J55" s="3254">
        <v>1.3888888888888889E-3</v>
      </c>
      <c r="K55" s="1634" t="s">
        <v>974</v>
      </c>
      <c r="L55" s="1458">
        <f t="shared" si="68"/>
        <v>0.33998126678240737</v>
      </c>
      <c r="M55" s="3255">
        <v>1.17</v>
      </c>
      <c r="N55" s="3254">
        <f t="shared" si="64"/>
        <v>4.6147977941176479E-3</v>
      </c>
      <c r="O55" s="3256">
        <f t="shared" si="65"/>
        <v>2.1222190799396687E-4</v>
      </c>
      <c r="P55" s="2712">
        <f t="shared" si="66"/>
        <v>2.4829963235294123E-4</v>
      </c>
      <c r="Q55" s="1635">
        <v>160</v>
      </c>
      <c r="R55" s="3257">
        <f t="shared" si="67"/>
        <v>150</v>
      </c>
      <c r="S55" s="1118">
        <f t="shared" si="5"/>
        <v>0.15</v>
      </c>
      <c r="T55" s="1119">
        <f t="shared" si="6"/>
        <v>5.0933257918552048E-3</v>
      </c>
      <c r="U55" s="374">
        <f t="shared" si="9"/>
        <v>0</v>
      </c>
      <c r="V55" s="1120">
        <f t="shared" si="10"/>
        <v>0</v>
      </c>
      <c r="W55" s="376">
        <f t="shared" si="11"/>
        <v>0.15</v>
      </c>
      <c r="X55" s="377">
        <f t="shared" si="12"/>
        <v>0</v>
      </c>
      <c r="Y55" s="378">
        <f t="shared" si="13"/>
        <v>0</v>
      </c>
      <c r="Z55" s="1121">
        <f t="shared" si="14"/>
        <v>0</v>
      </c>
      <c r="AA55" s="1122">
        <f t="shared" si="15"/>
        <v>0</v>
      </c>
      <c r="AC55" s="1244"/>
      <c r="AD55" s="1244"/>
      <c r="AE55" s="1244"/>
      <c r="AF55" s="1244"/>
      <c r="AG55" s="1244"/>
      <c r="AH55" s="1244"/>
      <c r="AI55" s="244"/>
      <c r="AJ55" s="244"/>
      <c r="AK55" s="244"/>
      <c r="AL55" s="244"/>
      <c r="AM55" s="244"/>
    </row>
    <row r="56" spans="1:39" ht="12.75" customHeight="1" thickBot="1">
      <c r="A56" s="1261" t="s">
        <v>218</v>
      </c>
      <c r="B56" s="1269" t="s">
        <v>215</v>
      </c>
      <c r="C56" s="274">
        <f t="shared" si="1"/>
        <v>1.7682291666666674E-4</v>
      </c>
      <c r="D56" s="1441">
        <v>7</v>
      </c>
      <c r="E56" s="2114">
        <v>1</v>
      </c>
      <c r="F56" s="2114">
        <v>1</v>
      </c>
      <c r="G56" s="2114">
        <v>100</v>
      </c>
      <c r="H56" s="2121"/>
      <c r="I56" s="2121">
        <v>2.3148148148148146E-4</v>
      </c>
      <c r="J56" s="2121">
        <v>1.3888888888888889E-3</v>
      </c>
      <c r="K56" s="2046" t="s">
        <v>284</v>
      </c>
      <c r="L56" s="2047">
        <f t="shared" si="68"/>
        <v>0.34459606457652503</v>
      </c>
      <c r="M56" s="3252">
        <v>1.17</v>
      </c>
      <c r="N56" s="2121">
        <f t="shared" si="64"/>
        <v>2.4479016203703707E-3</v>
      </c>
      <c r="O56" s="2123">
        <f t="shared" si="65"/>
        <v>7.0729166666666694E-4</v>
      </c>
      <c r="P56" s="2124">
        <f t="shared" si="66"/>
        <v>8.2753125000000025E-4</v>
      </c>
      <c r="Q56" s="2049">
        <v>160</v>
      </c>
      <c r="R56" s="3253">
        <f t="shared" si="67"/>
        <v>100</v>
      </c>
      <c r="S56" s="1118">
        <f t="shared" si="5"/>
        <v>0.1</v>
      </c>
      <c r="T56" s="1119">
        <f t="shared" si="6"/>
        <v>2.8291666666666678E-3</v>
      </c>
      <c r="U56" s="374">
        <f t="shared" si="9"/>
        <v>0</v>
      </c>
      <c r="V56" s="1120">
        <f t="shared" si="10"/>
        <v>0</v>
      </c>
      <c r="W56" s="376">
        <f t="shared" si="11"/>
        <v>0</v>
      </c>
      <c r="X56" s="377">
        <f t="shared" si="12"/>
        <v>0</v>
      </c>
      <c r="Y56" s="378">
        <f t="shared" si="13"/>
        <v>0</v>
      </c>
      <c r="Z56" s="1121">
        <f t="shared" si="14"/>
        <v>0</v>
      </c>
      <c r="AA56" s="1122">
        <f t="shared" si="15"/>
        <v>0.1</v>
      </c>
      <c r="AC56" s="1244"/>
      <c r="AD56" s="1244"/>
      <c r="AE56" s="1244"/>
      <c r="AF56" s="1244"/>
      <c r="AG56" s="1244"/>
      <c r="AH56" s="1244"/>
      <c r="AI56" s="244"/>
      <c r="AJ56" s="244"/>
      <c r="AK56" s="244"/>
      <c r="AL56" s="244"/>
      <c r="AM56" s="244"/>
    </row>
    <row r="57" spans="1:39" ht="12" customHeight="1" thickBot="1">
      <c r="A57" s="1261" t="s">
        <v>458</v>
      </c>
      <c r="B57" s="1269" t="s">
        <v>215</v>
      </c>
      <c r="C57" s="274">
        <f t="shared" si="1"/>
        <v>2.1222190799396687E-4</v>
      </c>
      <c r="D57" s="1441">
        <v>3</v>
      </c>
      <c r="E57" s="1634">
        <v>1</v>
      </c>
      <c r="F57" s="1634">
        <v>6</v>
      </c>
      <c r="G57" s="1634">
        <v>25</v>
      </c>
      <c r="H57" s="3254"/>
      <c r="I57" s="3254">
        <v>2.8935185185185189E-4</v>
      </c>
      <c r="J57" s="3254">
        <v>1.3888888888888889E-3</v>
      </c>
      <c r="K57" s="1634" t="s">
        <v>974</v>
      </c>
      <c r="L57" s="1458">
        <f t="shared" si="68"/>
        <v>0.34704396619689543</v>
      </c>
      <c r="M57" s="3255">
        <v>1.17</v>
      </c>
      <c r="N57" s="3254">
        <f t="shared" si="64"/>
        <v>4.6147977941176479E-3</v>
      </c>
      <c r="O57" s="3256">
        <f t="shared" si="65"/>
        <v>2.1222190799396687E-4</v>
      </c>
      <c r="P57" s="2712">
        <f t="shared" si="66"/>
        <v>2.4829963235294123E-4</v>
      </c>
      <c r="Q57" s="1635">
        <v>160</v>
      </c>
      <c r="R57" s="3257">
        <f t="shared" si="67"/>
        <v>150</v>
      </c>
      <c r="S57" s="1118">
        <f t="shared" si="5"/>
        <v>0.15</v>
      </c>
      <c r="T57" s="1119">
        <f t="shared" si="6"/>
        <v>5.0933257918552048E-3</v>
      </c>
      <c r="U57" s="374">
        <f t="shared" si="9"/>
        <v>0</v>
      </c>
      <c r="V57" s="1120">
        <f t="shared" si="10"/>
        <v>0</v>
      </c>
      <c r="W57" s="376">
        <f t="shared" si="11"/>
        <v>0.15</v>
      </c>
      <c r="X57" s="377">
        <f t="shared" si="12"/>
        <v>0</v>
      </c>
      <c r="Y57" s="378">
        <f t="shared" si="13"/>
        <v>0</v>
      </c>
      <c r="Z57" s="1121">
        <f t="shared" si="14"/>
        <v>0</v>
      </c>
      <c r="AA57" s="1122">
        <f t="shared" si="15"/>
        <v>0</v>
      </c>
      <c r="AC57" s="1244"/>
      <c r="AD57" s="1244"/>
      <c r="AE57" s="1244"/>
      <c r="AF57" s="1244"/>
      <c r="AG57" s="1244"/>
      <c r="AH57" s="1244"/>
      <c r="AI57" s="244"/>
      <c r="AJ57" s="244"/>
      <c r="AK57" s="244"/>
      <c r="AL57" s="244"/>
      <c r="AM57" s="244"/>
    </row>
    <row r="58" spans="1:39" ht="16.25" customHeight="1" thickBot="1">
      <c r="A58" s="1261"/>
      <c r="B58" s="1269" t="s">
        <v>215</v>
      </c>
      <c r="C58" s="274">
        <f t="shared" si="1"/>
        <v>1.8229166666666673E-4</v>
      </c>
      <c r="D58" s="1441">
        <v>6</v>
      </c>
      <c r="E58" s="3258">
        <v>1</v>
      </c>
      <c r="F58" s="3258">
        <v>4</v>
      </c>
      <c r="G58" s="3258">
        <v>50</v>
      </c>
      <c r="H58" s="4105" t="s">
        <v>710</v>
      </c>
      <c r="I58" s="3259">
        <v>6.9444444444444447E-4</v>
      </c>
      <c r="J58" s="3259">
        <v>1.1574074074074073E-3</v>
      </c>
      <c r="K58" s="2014" t="s">
        <v>1542</v>
      </c>
      <c r="L58" s="3259">
        <f t="shared" si="68"/>
        <v>0.35165876399101309</v>
      </c>
      <c r="M58" s="3260">
        <v>1</v>
      </c>
      <c r="N58" s="3259">
        <f t="shared" si="64"/>
        <v>5.3935185185185188E-3</v>
      </c>
      <c r="O58" s="3259">
        <f t="shared" si="65"/>
        <v>3.6458333333333346E-4</v>
      </c>
      <c r="P58" s="2713">
        <f t="shared" si="66"/>
        <v>3.6458333333333346E-4</v>
      </c>
      <c r="Q58" s="3261">
        <v>160</v>
      </c>
      <c r="R58" s="3262">
        <f t="shared" si="67"/>
        <v>200</v>
      </c>
      <c r="S58" s="1118">
        <f t="shared" si="5"/>
        <v>0.2</v>
      </c>
      <c r="T58" s="1119">
        <f t="shared" si="6"/>
        <v>5.8333333333333353E-3</v>
      </c>
      <c r="U58" s="374">
        <f t="shared" si="9"/>
        <v>0</v>
      </c>
      <c r="V58" s="1120">
        <f t="shared" si="10"/>
        <v>0</v>
      </c>
      <c r="W58" s="376">
        <f t="shared" si="11"/>
        <v>0</v>
      </c>
      <c r="X58" s="377">
        <f t="shared" si="12"/>
        <v>0</v>
      </c>
      <c r="Y58" s="378">
        <f t="shared" si="13"/>
        <v>0</v>
      </c>
      <c r="Z58" s="1121">
        <f t="shared" si="14"/>
        <v>0.2</v>
      </c>
      <c r="AA58" s="1122">
        <f t="shared" si="15"/>
        <v>0</v>
      </c>
      <c r="AC58" s="1244"/>
      <c r="AD58" s="1244"/>
      <c r="AE58" s="1244"/>
      <c r="AF58" s="1244"/>
      <c r="AG58" s="1244"/>
      <c r="AH58" s="1244"/>
      <c r="AI58" s="244"/>
      <c r="AJ58" s="244"/>
      <c r="AK58" s="244"/>
      <c r="AL58" s="244"/>
      <c r="AM58" s="244"/>
    </row>
    <row r="59" spans="1:39" ht="16.25" customHeight="1">
      <c r="A59" s="1261"/>
      <c r="B59" s="1269" t="s">
        <v>215</v>
      </c>
      <c r="C59" s="274">
        <f t="shared" si="1"/>
        <v>1.8229166666666673E-4</v>
      </c>
      <c r="D59" s="1441">
        <v>6</v>
      </c>
      <c r="E59" s="3258">
        <v>1</v>
      </c>
      <c r="F59" s="3258">
        <v>4</v>
      </c>
      <c r="G59" s="3258">
        <v>50</v>
      </c>
      <c r="H59" s="4106" t="s">
        <v>713</v>
      </c>
      <c r="I59" s="3259">
        <v>8.6805555555555551E-4</v>
      </c>
      <c r="J59" s="3259">
        <v>2.8935185185185189E-4</v>
      </c>
      <c r="K59" s="2014" t="s">
        <v>882</v>
      </c>
      <c r="L59" s="3259">
        <f t="shared" si="68"/>
        <v>0.35705228250953158</v>
      </c>
      <c r="M59" s="3260">
        <v>1</v>
      </c>
      <c r="N59" s="3259">
        <f t="shared" si="64"/>
        <v>5.2199074074074083E-3</v>
      </c>
      <c r="O59" s="3259">
        <f t="shared" si="65"/>
        <v>3.6458333333333346E-4</v>
      </c>
      <c r="P59" s="2713">
        <f t="shared" si="66"/>
        <v>3.6458333333333346E-4</v>
      </c>
      <c r="Q59" s="3261">
        <v>160</v>
      </c>
      <c r="R59" s="3263">
        <f t="shared" si="67"/>
        <v>200</v>
      </c>
      <c r="S59" s="1118">
        <f t="shared" si="5"/>
        <v>0.2</v>
      </c>
      <c r="T59" s="1119">
        <f t="shared" si="6"/>
        <v>5.8333333333333353E-3</v>
      </c>
      <c r="U59" s="374">
        <f t="shared" si="9"/>
        <v>0</v>
      </c>
      <c r="V59" s="1120">
        <f t="shared" si="10"/>
        <v>0</v>
      </c>
      <c r="W59" s="376">
        <f t="shared" si="11"/>
        <v>0</v>
      </c>
      <c r="X59" s="377">
        <f t="shared" si="12"/>
        <v>0</v>
      </c>
      <c r="Y59" s="378">
        <f t="shared" si="13"/>
        <v>0</v>
      </c>
      <c r="Z59" s="1121">
        <f t="shared" si="14"/>
        <v>0.2</v>
      </c>
      <c r="AA59" s="1122">
        <f t="shared" si="15"/>
        <v>0</v>
      </c>
      <c r="AC59" s="1244"/>
      <c r="AD59" s="1244"/>
      <c r="AE59" s="1244"/>
      <c r="AF59" s="1244"/>
      <c r="AG59" s="1244"/>
      <c r="AH59" s="1244"/>
      <c r="AI59" s="244"/>
      <c r="AJ59" s="244"/>
      <c r="AK59" s="244"/>
      <c r="AL59" s="244"/>
      <c r="AM59" s="244"/>
    </row>
    <row r="60" spans="1:39" ht="16.25" customHeight="1" thickBot="1">
      <c r="A60" s="3207" t="s">
        <v>215</v>
      </c>
      <c r="B60" s="3207" t="s">
        <v>215</v>
      </c>
      <c r="C60" s="274">
        <f t="shared" si="1"/>
        <v>0</v>
      </c>
      <c r="D60" s="3208"/>
      <c r="E60" s="3209"/>
      <c r="F60" s="3209"/>
      <c r="G60" s="3209"/>
      <c r="H60" s="3208"/>
      <c r="I60" s="3208"/>
      <c r="J60" s="3208"/>
      <c r="K60" s="3248"/>
      <c r="L60" s="3169">
        <f t="shared" si="68"/>
        <v>0.36227218991693899</v>
      </c>
      <c r="M60" s="3201"/>
      <c r="N60" s="3235"/>
      <c r="O60" s="3237"/>
      <c r="P60" s="3238"/>
      <c r="Q60" s="1413"/>
      <c r="R60" s="3236">
        <f>SUM(R53:R59)</f>
        <v>1050</v>
      </c>
      <c r="S60" s="1118"/>
      <c r="T60" s="1119"/>
      <c r="U60" s="374">
        <f t="shared" si="9"/>
        <v>0</v>
      </c>
      <c r="V60" s="1120">
        <f t="shared" si="10"/>
        <v>0</v>
      </c>
      <c r="W60" s="376">
        <f t="shared" si="11"/>
        <v>0</v>
      </c>
      <c r="X60" s="377">
        <f t="shared" si="12"/>
        <v>0</v>
      </c>
      <c r="Y60" s="378">
        <f t="shared" si="13"/>
        <v>0</v>
      </c>
      <c r="Z60" s="1121">
        <f t="shared" si="14"/>
        <v>0</v>
      </c>
      <c r="AA60" s="1122">
        <f t="shared" si="15"/>
        <v>0</v>
      </c>
      <c r="AC60" s="1244"/>
      <c r="AD60" s="1244"/>
      <c r="AE60" s="1244"/>
      <c r="AF60" s="1244"/>
      <c r="AG60" s="1244"/>
      <c r="AH60" s="1244"/>
      <c r="AI60" s="244"/>
      <c r="AJ60" s="244"/>
      <c r="AK60" s="244"/>
      <c r="AL60" s="244"/>
      <c r="AM60" s="244"/>
    </row>
    <row r="61" spans="1:39" ht="16.25" customHeight="1" thickBot="1">
      <c r="A61" s="1261" t="s">
        <v>217</v>
      </c>
      <c r="B61" s="1269" t="s">
        <v>461</v>
      </c>
      <c r="C61" s="274">
        <f t="shared" si="1"/>
        <v>2.1908757716049393E-4</v>
      </c>
      <c r="D61" s="1441">
        <v>2</v>
      </c>
      <c r="E61" s="1324">
        <v>1</v>
      </c>
      <c r="F61" s="1324">
        <v>6</v>
      </c>
      <c r="G61" s="1324">
        <v>25</v>
      </c>
      <c r="H61" s="3249"/>
      <c r="I61" s="3249">
        <v>5.7870370370370366E-5</v>
      </c>
      <c r="J61" s="3249">
        <v>6.9444444444444447E-4</v>
      </c>
      <c r="K61" s="1324" t="s">
        <v>1881</v>
      </c>
      <c r="L61" s="1355">
        <v>0.64583333333333337</v>
      </c>
      <c r="M61" s="3250">
        <v>1.17</v>
      </c>
      <c r="N61" s="3249">
        <f t="shared" ref="N61:N67" si="69">P61*E61*F61+I61*F61*E61+J61*E61</f>
        <v>2.5796614583333344E-3</v>
      </c>
      <c r="O61" s="1431">
        <f t="shared" ref="O61:O67" si="70">C61*(G61/25)</f>
        <v>2.1908757716049393E-4</v>
      </c>
      <c r="P61" s="1431">
        <f t="shared" ref="P61:P67" si="71">O61*M61</f>
        <v>2.5633246527777791E-4</v>
      </c>
      <c r="Q61" s="1432">
        <v>160</v>
      </c>
      <c r="R61" s="3251">
        <f t="shared" ref="R61:R67" si="72">E61*F61*G61</f>
        <v>150</v>
      </c>
      <c r="S61" s="1118"/>
      <c r="T61" s="1119"/>
      <c r="U61" s="374">
        <f t="shared" si="9"/>
        <v>0</v>
      </c>
      <c r="V61" s="1120">
        <f t="shared" si="10"/>
        <v>0</v>
      </c>
      <c r="W61" s="376">
        <f t="shared" si="11"/>
        <v>0</v>
      </c>
      <c r="X61" s="377">
        <f t="shared" si="12"/>
        <v>0</v>
      </c>
      <c r="Y61" s="378">
        <f t="shared" si="13"/>
        <v>0</v>
      </c>
      <c r="Z61" s="1121">
        <f t="shared" si="14"/>
        <v>0</v>
      </c>
      <c r="AA61" s="1122">
        <f t="shared" si="15"/>
        <v>0</v>
      </c>
      <c r="AC61" s="1244"/>
      <c r="AD61" s="1244"/>
      <c r="AE61" s="1244"/>
      <c r="AF61" s="1244"/>
      <c r="AG61" s="1244"/>
      <c r="AH61" s="1244"/>
      <c r="AI61" s="244"/>
      <c r="AJ61" s="244"/>
      <c r="AK61" s="244"/>
      <c r="AL61" s="244"/>
      <c r="AM61" s="244"/>
    </row>
    <row r="62" spans="1:39" ht="16.25" customHeight="1" thickBot="1">
      <c r="A62" s="1261" t="s">
        <v>459</v>
      </c>
      <c r="B62" s="1269" t="s">
        <v>461</v>
      </c>
      <c r="C62" s="274">
        <f t="shared" si="1"/>
        <v>1.7682291666666674E-4</v>
      </c>
      <c r="D62" s="1441">
        <v>7</v>
      </c>
      <c r="E62" s="2114">
        <v>1</v>
      </c>
      <c r="F62" s="2114">
        <v>8</v>
      </c>
      <c r="G62" s="2114">
        <v>25</v>
      </c>
      <c r="H62" s="2121"/>
      <c r="I62" s="2121">
        <v>4.6296296296296293E-4</v>
      </c>
      <c r="J62" s="2121">
        <v>1.3888888888888889E-3</v>
      </c>
      <c r="K62" s="2046" t="s">
        <v>1887</v>
      </c>
      <c r="L62" s="2047">
        <f t="shared" ref="L62:L68" si="73">L61+N61</f>
        <v>0.6484129947916667</v>
      </c>
      <c r="M62" s="3252">
        <v>1.17</v>
      </c>
      <c r="N62" s="2121">
        <f t="shared" si="69"/>
        <v>6.7476550925925933E-3</v>
      </c>
      <c r="O62" s="2123">
        <f t="shared" si="70"/>
        <v>1.7682291666666674E-4</v>
      </c>
      <c r="P62" s="2124">
        <f t="shared" si="71"/>
        <v>2.0688281250000006E-4</v>
      </c>
      <c r="Q62" s="2049">
        <v>160</v>
      </c>
      <c r="R62" s="3253">
        <f t="shared" si="72"/>
        <v>200</v>
      </c>
      <c r="S62" s="1118"/>
      <c r="T62" s="1119"/>
      <c r="U62" s="374">
        <f t="shared" si="9"/>
        <v>0</v>
      </c>
      <c r="V62" s="1120">
        <f t="shared" si="10"/>
        <v>0</v>
      </c>
      <c r="W62" s="376">
        <f t="shared" si="11"/>
        <v>0</v>
      </c>
      <c r="X62" s="377">
        <f t="shared" si="12"/>
        <v>0</v>
      </c>
      <c r="Y62" s="378">
        <f t="shared" si="13"/>
        <v>0</v>
      </c>
      <c r="Z62" s="1121">
        <f t="shared" si="14"/>
        <v>0</v>
      </c>
      <c r="AA62" s="1122">
        <f t="shared" si="15"/>
        <v>0</v>
      </c>
      <c r="AC62" s="1244"/>
      <c r="AD62" s="1244"/>
      <c r="AE62" s="1244"/>
      <c r="AF62" s="1244"/>
      <c r="AG62" s="1244"/>
      <c r="AH62" s="1244"/>
      <c r="AI62" s="244"/>
      <c r="AJ62" s="244"/>
      <c r="AK62" s="244"/>
      <c r="AL62" s="244"/>
      <c r="AM62" s="244"/>
    </row>
    <row r="63" spans="1:39" ht="16.25" customHeight="1" thickBot="1">
      <c r="A63" s="1261" t="s">
        <v>458</v>
      </c>
      <c r="B63" s="1269" t="s">
        <v>461</v>
      </c>
      <c r="C63" s="274">
        <f t="shared" si="1"/>
        <v>2.1908757716049393E-4</v>
      </c>
      <c r="D63" s="1441">
        <v>2</v>
      </c>
      <c r="E63" s="1324">
        <v>1</v>
      </c>
      <c r="F63" s="1324">
        <v>6</v>
      </c>
      <c r="G63" s="1324">
        <v>25</v>
      </c>
      <c r="H63" s="3249"/>
      <c r="I63" s="3249">
        <v>2.8935185185185189E-4</v>
      </c>
      <c r="J63" s="3249">
        <v>1.3888888888888889E-3</v>
      </c>
      <c r="K63" s="1324" t="s">
        <v>1882</v>
      </c>
      <c r="L63" s="1355">
        <f t="shared" si="73"/>
        <v>0.65516064988425926</v>
      </c>
      <c r="M63" s="3250">
        <v>1.17</v>
      </c>
      <c r="N63" s="3249">
        <f t="shared" si="69"/>
        <v>4.6629947916666682E-3</v>
      </c>
      <c r="O63" s="1431">
        <f t="shared" si="70"/>
        <v>2.1908757716049393E-4</v>
      </c>
      <c r="P63" s="1431">
        <f t="shared" si="71"/>
        <v>2.5633246527777791E-4</v>
      </c>
      <c r="Q63" s="1432">
        <v>160</v>
      </c>
      <c r="R63" s="3251">
        <f t="shared" si="72"/>
        <v>150</v>
      </c>
      <c r="S63" s="1118"/>
      <c r="T63" s="1119"/>
      <c r="U63" s="374">
        <f t="shared" si="9"/>
        <v>0</v>
      </c>
      <c r="V63" s="1120">
        <f t="shared" si="10"/>
        <v>0</v>
      </c>
      <c r="W63" s="376">
        <f t="shared" si="11"/>
        <v>0</v>
      </c>
      <c r="X63" s="377">
        <f t="shared" si="12"/>
        <v>0</v>
      </c>
      <c r="Y63" s="378">
        <f t="shared" si="13"/>
        <v>0</v>
      </c>
      <c r="Z63" s="1121">
        <f t="shared" si="14"/>
        <v>0</v>
      </c>
      <c r="AA63" s="1122">
        <f t="shared" si="15"/>
        <v>0</v>
      </c>
      <c r="AC63" s="1244"/>
      <c r="AD63" s="1244"/>
      <c r="AE63" s="1244"/>
      <c r="AF63" s="1244"/>
      <c r="AG63" s="1244"/>
      <c r="AH63" s="1244"/>
      <c r="AI63" s="244"/>
      <c r="AJ63" s="244"/>
      <c r="AK63" s="244"/>
      <c r="AL63" s="244"/>
      <c r="AM63" s="244"/>
    </row>
    <row r="64" spans="1:39" ht="16.25" customHeight="1" thickBot="1">
      <c r="A64" s="1261" t="s">
        <v>218</v>
      </c>
      <c r="B64" s="1269" t="s">
        <v>461</v>
      </c>
      <c r="C64" s="274">
        <f t="shared" si="1"/>
        <v>1.7682291666666674E-4</v>
      </c>
      <c r="D64" s="1441">
        <v>7</v>
      </c>
      <c r="E64" s="2114">
        <v>1</v>
      </c>
      <c r="F64" s="2114">
        <v>8</v>
      </c>
      <c r="G64" s="2114">
        <v>25</v>
      </c>
      <c r="H64" s="2121"/>
      <c r="I64" s="2121">
        <v>2.3148148148148146E-4</v>
      </c>
      <c r="J64" s="2121">
        <v>1.3888888888888889E-3</v>
      </c>
      <c r="K64" s="2046" t="s">
        <v>1887</v>
      </c>
      <c r="L64" s="2047">
        <f t="shared" si="73"/>
        <v>0.65982364467592591</v>
      </c>
      <c r="M64" s="3252">
        <v>1.17</v>
      </c>
      <c r="N64" s="2121">
        <f t="shared" si="69"/>
        <v>4.8958032407407414E-3</v>
      </c>
      <c r="O64" s="2123">
        <f t="shared" si="70"/>
        <v>1.7682291666666674E-4</v>
      </c>
      <c r="P64" s="2124">
        <f t="shared" si="71"/>
        <v>2.0688281250000006E-4</v>
      </c>
      <c r="Q64" s="2049">
        <v>160</v>
      </c>
      <c r="R64" s="3253">
        <f t="shared" si="72"/>
        <v>200</v>
      </c>
      <c r="S64" s="1118"/>
      <c r="T64" s="1119"/>
      <c r="U64" s="374">
        <f t="shared" si="9"/>
        <v>0</v>
      </c>
      <c r="V64" s="1120">
        <f t="shared" si="10"/>
        <v>0</v>
      </c>
      <c r="W64" s="376">
        <f t="shared" si="11"/>
        <v>0</v>
      </c>
      <c r="X64" s="377">
        <f t="shared" si="12"/>
        <v>0</v>
      </c>
      <c r="Y64" s="378">
        <f t="shared" si="13"/>
        <v>0</v>
      </c>
      <c r="Z64" s="1121">
        <f t="shared" si="14"/>
        <v>0</v>
      </c>
      <c r="AA64" s="1122">
        <f t="shared" si="15"/>
        <v>0</v>
      </c>
      <c r="AC64" s="1244"/>
      <c r="AD64" s="1244"/>
      <c r="AE64" s="1244"/>
      <c r="AF64" s="1244"/>
      <c r="AG64" s="1244"/>
      <c r="AH64" s="1244"/>
      <c r="AI64" s="244"/>
      <c r="AJ64" s="244"/>
      <c r="AK64" s="244"/>
      <c r="AL64" s="244"/>
      <c r="AM64" s="244"/>
    </row>
    <row r="65" spans="1:39" ht="16.25" customHeight="1" thickBot="1">
      <c r="A65" s="1261" t="s">
        <v>458</v>
      </c>
      <c r="B65" s="1269" t="s">
        <v>461</v>
      </c>
      <c r="C65" s="274">
        <f t="shared" si="1"/>
        <v>2.1222190799396687E-4</v>
      </c>
      <c r="D65" s="1441">
        <v>3</v>
      </c>
      <c r="E65" s="1634">
        <v>1</v>
      </c>
      <c r="F65" s="1634">
        <v>16</v>
      </c>
      <c r="G65" s="1634">
        <v>25</v>
      </c>
      <c r="H65" s="3254"/>
      <c r="I65" s="3254">
        <v>2.3148148148148146E-4</v>
      </c>
      <c r="J65" s="3254">
        <v>1.3888888888888889E-3</v>
      </c>
      <c r="K65" s="1634" t="s">
        <v>1883</v>
      </c>
      <c r="L65" s="1458">
        <f t="shared" si="73"/>
        <v>0.66471944791666671</v>
      </c>
      <c r="M65" s="3255">
        <v>1.17</v>
      </c>
      <c r="N65" s="3254">
        <f t="shared" si="69"/>
        <v>9.0653867102396517E-3</v>
      </c>
      <c r="O65" s="3256">
        <f t="shared" si="70"/>
        <v>2.1222190799396687E-4</v>
      </c>
      <c r="P65" s="2712">
        <f t="shared" si="71"/>
        <v>2.4829963235294123E-4</v>
      </c>
      <c r="Q65" s="1635">
        <v>160</v>
      </c>
      <c r="R65" s="3257">
        <f t="shared" si="72"/>
        <v>400</v>
      </c>
      <c r="S65" s="1118"/>
      <c r="T65" s="1119"/>
      <c r="U65" s="374">
        <f t="shared" si="9"/>
        <v>0</v>
      </c>
      <c r="V65" s="1120">
        <f t="shared" si="10"/>
        <v>0</v>
      </c>
      <c r="W65" s="376">
        <f t="shared" si="11"/>
        <v>0</v>
      </c>
      <c r="X65" s="377">
        <f t="shared" si="12"/>
        <v>0</v>
      </c>
      <c r="Y65" s="378">
        <f t="shared" si="13"/>
        <v>0</v>
      </c>
      <c r="Z65" s="1121">
        <f t="shared" si="14"/>
        <v>0</v>
      </c>
      <c r="AA65" s="1122">
        <f t="shared" si="15"/>
        <v>0</v>
      </c>
      <c r="AC65" s="1244"/>
      <c r="AD65" s="1244"/>
      <c r="AE65" s="1244"/>
      <c r="AF65" s="1244"/>
      <c r="AG65" s="1244"/>
      <c r="AH65" s="1244"/>
      <c r="AI65" s="244"/>
      <c r="AJ65" s="244"/>
      <c r="AK65" s="244"/>
      <c r="AL65" s="244"/>
      <c r="AM65" s="244"/>
    </row>
    <row r="66" spans="1:39" ht="16.25" customHeight="1" thickBot="1">
      <c r="A66" s="1261"/>
      <c r="B66" s="1269" t="s">
        <v>461</v>
      </c>
      <c r="C66" s="274">
        <f t="shared" si="1"/>
        <v>1.8229166666666673E-4</v>
      </c>
      <c r="D66" s="1441">
        <v>6</v>
      </c>
      <c r="E66" s="3258">
        <v>1</v>
      </c>
      <c r="F66" s="3258">
        <v>4</v>
      </c>
      <c r="G66" s="3258">
        <v>50</v>
      </c>
      <c r="H66" s="4105" t="s">
        <v>710</v>
      </c>
      <c r="I66" s="3259">
        <v>6.9444444444444447E-4</v>
      </c>
      <c r="J66" s="3259">
        <v>1.1574074074074073E-3</v>
      </c>
      <c r="K66" s="2014" t="s">
        <v>1542</v>
      </c>
      <c r="L66" s="3259">
        <f t="shared" si="73"/>
        <v>0.6737848346269063</v>
      </c>
      <c r="M66" s="3260">
        <v>1.17</v>
      </c>
      <c r="N66" s="3259">
        <f t="shared" si="69"/>
        <v>5.641435185185186E-3</v>
      </c>
      <c r="O66" s="3259">
        <f t="shared" si="70"/>
        <v>3.6458333333333346E-4</v>
      </c>
      <c r="P66" s="2713">
        <f t="shared" si="71"/>
        <v>4.2656250000000013E-4</v>
      </c>
      <c r="Q66" s="3261">
        <v>160</v>
      </c>
      <c r="R66" s="3262">
        <f t="shared" si="72"/>
        <v>200</v>
      </c>
      <c r="S66" s="1118"/>
      <c r="T66" s="1119"/>
      <c r="U66" s="374">
        <f t="shared" si="9"/>
        <v>0</v>
      </c>
      <c r="V66" s="1120">
        <f t="shared" si="10"/>
        <v>0</v>
      </c>
      <c r="W66" s="376">
        <f t="shared" si="11"/>
        <v>0</v>
      </c>
      <c r="X66" s="377">
        <f t="shared" si="12"/>
        <v>0</v>
      </c>
      <c r="Y66" s="378">
        <f t="shared" si="13"/>
        <v>0</v>
      </c>
      <c r="Z66" s="1121">
        <f t="shared" si="14"/>
        <v>0</v>
      </c>
      <c r="AA66" s="1122">
        <f t="shared" si="15"/>
        <v>0</v>
      </c>
      <c r="AC66" s="1244"/>
      <c r="AD66" s="1244"/>
      <c r="AE66" s="1244"/>
      <c r="AF66" s="1244"/>
      <c r="AG66" s="1244"/>
      <c r="AH66" s="1244"/>
      <c r="AI66" s="244"/>
      <c r="AJ66" s="244"/>
      <c r="AK66" s="244"/>
      <c r="AL66" s="244"/>
      <c r="AM66" s="244"/>
    </row>
    <row r="67" spans="1:39" ht="16.25" customHeight="1">
      <c r="A67" s="1261"/>
      <c r="B67" s="1269" t="s">
        <v>461</v>
      </c>
      <c r="C67" s="274">
        <f t="shared" si="1"/>
        <v>1.8229166666666673E-4</v>
      </c>
      <c r="D67" s="1441">
        <v>6</v>
      </c>
      <c r="E67" s="3258">
        <v>1</v>
      </c>
      <c r="F67" s="3258">
        <v>4</v>
      </c>
      <c r="G67" s="3258">
        <v>50</v>
      </c>
      <c r="H67" s="4106" t="s">
        <v>713</v>
      </c>
      <c r="I67" s="3259">
        <v>8.6805555555555551E-4</v>
      </c>
      <c r="J67" s="3259">
        <v>2.8935185185185189E-4</v>
      </c>
      <c r="K67" s="2014" t="s">
        <v>882</v>
      </c>
      <c r="L67" s="3259">
        <f t="shared" si="73"/>
        <v>0.67942626981209153</v>
      </c>
      <c r="M67" s="3260">
        <v>1.17</v>
      </c>
      <c r="N67" s="3259">
        <f t="shared" si="69"/>
        <v>5.4678240740740746E-3</v>
      </c>
      <c r="O67" s="3259">
        <f t="shared" si="70"/>
        <v>3.6458333333333346E-4</v>
      </c>
      <c r="P67" s="2713">
        <f t="shared" si="71"/>
        <v>4.2656250000000013E-4</v>
      </c>
      <c r="Q67" s="3261">
        <v>160</v>
      </c>
      <c r="R67" s="3263">
        <f t="shared" si="72"/>
        <v>200</v>
      </c>
      <c r="S67" s="1118"/>
      <c r="T67" s="1119"/>
      <c r="U67" s="374">
        <f t="shared" si="9"/>
        <v>0</v>
      </c>
      <c r="V67" s="1120">
        <f t="shared" si="10"/>
        <v>0</v>
      </c>
      <c r="W67" s="376">
        <f t="shared" si="11"/>
        <v>0</v>
      </c>
      <c r="X67" s="377">
        <f t="shared" si="12"/>
        <v>0</v>
      </c>
      <c r="Y67" s="378">
        <f t="shared" si="13"/>
        <v>0</v>
      </c>
      <c r="Z67" s="1121">
        <f t="shared" si="14"/>
        <v>0</v>
      </c>
      <c r="AA67" s="1122">
        <f t="shared" si="15"/>
        <v>0</v>
      </c>
      <c r="AC67" s="1244"/>
      <c r="AD67" s="1244"/>
      <c r="AE67" s="1244"/>
      <c r="AF67" s="1244"/>
      <c r="AG67" s="1244"/>
      <c r="AH67" s="1244"/>
      <c r="AI67" s="244"/>
      <c r="AJ67" s="244"/>
      <c r="AK67" s="244"/>
      <c r="AL67" s="244"/>
      <c r="AM67" s="244"/>
    </row>
    <row r="68" spans="1:39" ht="16.25" customHeight="1">
      <c r="A68" s="3207" t="s">
        <v>215</v>
      </c>
      <c r="B68" s="3207" t="s">
        <v>215</v>
      </c>
      <c r="C68" s="274">
        <f t="shared" si="1"/>
        <v>0</v>
      </c>
      <c r="D68" s="3208"/>
      <c r="E68" s="3209"/>
      <c r="F68" s="3209"/>
      <c r="G68" s="3209"/>
      <c r="H68" s="3208"/>
      <c r="I68" s="3208"/>
      <c r="J68" s="3208"/>
      <c r="K68" s="3248"/>
      <c r="L68" s="3169">
        <f t="shared" si="73"/>
        <v>0.68489409388616562</v>
      </c>
      <c r="M68" s="3201"/>
      <c r="N68" s="3235"/>
      <c r="O68" s="3237"/>
      <c r="P68" s="3238"/>
      <c r="Q68" s="1413"/>
      <c r="R68" s="3236">
        <f>SUM(R61:R67)</f>
        <v>1500</v>
      </c>
      <c r="S68" s="1118"/>
      <c r="T68" s="1119"/>
      <c r="U68" s="374">
        <f t="shared" si="9"/>
        <v>0</v>
      </c>
      <c r="V68" s="1120">
        <f t="shared" si="10"/>
        <v>0</v>
      </c>
      <c r="W68" s="376">
        <f t="shared" si="11"/>
        <v>0</v>
      </c>
      <c r="X68" s="377">
        <f t="shared" si="12"/>
        <v>0</v>
      </c>
      <c r="Y68" s="378">
        <f t="shared" si="13"/>
        <v>0</v>
      </c>
      <c r="Z68" s="1121">
        <f t="shared" si="14"/>
        <v>0</v>
      </c>
      <c r="AA68" s="1122">
        <f t="shared" si="15"/>
        <v>0</v>
      </c>
      <c r="AC68" s="1244"/>
      <c r="AD68" s="1244"/>
      <c r="AE68" s="1244"/>
      <c r="AF68" s="1244"/>
      <c r="AG68" s="1244"/>
      <c r="AH68" s="1244"/>
      <c r="AI68" s="244"/>
      <c r="AJ68" s="244"/>
      <c r="AK68" s="244"/>
      <c r="AL68" s="244"/>
      <c r="AM68" s="244"/>
    </row>
    <row r="69" spans="1:39" ht="16.25" customHeight="1" thickBot="1">
      <c r="A69" s="3187" t="s">
        <v>218</v>
      </c>
      <c r="B69" s="3187" t="s">
        <v>215</v>
      </c>
      <c r="C69" s="274">
        <f t="shared" si="1"/>
        <v>2.2880964381720439E-4</v>
      </c>
      <c r="D69" s="3264">
        <v>1</v>
      </c>
      <c r="E69" s="2066">
        <v>1</v>
      </c>
      <c r="F69" s="2066">
        <v>3</v>
      </c>
      <c r="G69" s="2066">
        <v>500</v>
      </c>
      <c r="H69" s="2066"/>
      <c r="I69" s="3265">
        <v>1.9675925925925926E-4</v>
      </c>
      <c r="J69" s="3265">
        <v>2.3148148148148146E-4</v>
      </c>
      <c r="K69" s="2061" t="s">
        <v>1125</v>
      </c>
      <c r="L69" s="3265">
        <v>0.34722222222222227</v>
      </c>
      <c r="M69" s="1968">
        <v>1.2</v>
      </c>
      <c r="N69" s="1950">
        <f t="shared" ref="N69:N75" si="74">P69*E69*F69+I69*F69*E69+J69*E69</f>
        <v>1.7296053614097976E-2</v>
      </c>
      <c r="O69" s="3266">
        <f t="shared" ref="O69:O75" si="75">C69*(G69/25)</f>
        <v>4.5761928763440882E-3</v>
      </c>
      <c r="P69" s="1950">
        <f t="shared" ref="P69:P75" si="76">O69*M69</f>
        <v>5.4914314516129057E-3</v>
      </c>
      <c r="Q69" s="2062">
        <v>144</v>
      </c>
      <c r="R69" s="3267">
        <f t="shared" ref="R69:R75" si="77">E69*F69*G69</f>
        <v>1500</v>
      </c>
      <c r="S69" s="1118"/>
      <c r="T69" s="1119"/>
      <c r="U69" s="374">
        <f t="shared" si="9"/>
        <v>0</v>
      </c>
      <c r="V69" s="1120">
        <f t="shared" si="10"/>
        <v>0</v>
      </c>
      <c r="W69" s="376">
        <f t="shared" si="11"/>
        <v>0</v>
      </c>
      <c r="X69" s="377">
        <f t="shared" si="12"/>
        <v>0</v>
      </c>
      <c r="Y69" s="378">
        <f t="shared" si="13"/>
        <v>0</v>
      </c>
      <c r="Z69" s="1121">
        <f t="shared" si="14"/>
        <v>0</v>
      </c>
      <c r="AA69" s="1122">
        <f t="shared" si="15"/>
        <v>0</v>
      </c>
      <c r="AC69" s="1244"/>
      <c r="AD69" s="1244"/>
      <c r="AE69" s="1244"/>
      <c r="AF69" s="1244"/>
      <c r="AG69" s="1244"/>
      <c r="AH69" s="1244"/>
      <c r="AI69" s="244"/>
      <c r="AJ69" s="244"/>
      <c r="AK69" s="244"/>
      <c r="AL69" s="244"/>
      <c r="AM69" s="244"/>
    </row>
    <row r="70" spans="1:39" ht="16.25" customHeight="1">
      <c r="A70" s="3187" t="s">
        <v>139</v>
      </c>
      <c r="B70" s="3187" t="s">
        <v>215</v>
      </c>
      <c r="C70" s="274">
        <f t="shared" si="1"/>
        <v>2.1908757716049393E-4</v>
      </c>
      <c r="D70" s="920">
        <v>2</v>
      </c>
      <c r="E70" s="3267">
        <v>1</v>
      </c>
      <c r="F70" s="3267">
        <v>1</v>
      </c>
      <c r="G70" s="3267">
        <v>200</v>
      </c>
      <c r="H70" s="3267"/>
      <c r="I70" s="1950">
        <v>0</v>
      </c>
      <c r="J70" s="1950">
        <v>3.4722222222222224E-4</v>
      </c>
      <c r="K70" s="1968" t="s">
        <v>1422</v>
      </c>
      <c r="L70" s="1950">
        <f t="shared" ref="L70:L76" si="78">L69+N69</f>
        <v>0.36451827583632024</v>
      </c>
      <c r="M70" s="1968">
        <v>1.1499999999999999</v>
      </c>
      <c r="N70" s="1950">
        <f t="shared" si="74"/>
        <v>2.3628279320987663E-3</v>
      </c>
      <c r="O70" s="3266">
        <f t="shared" si="75"/>
        <v>1.7527006172839514E-3</v>
      </c>
      <c r="P70" s="1950">
        <f t="shared" si="76"/>
        <v>2.015605709876544E-3</v>
      </c>
      <c r="Q70" s="2062">
        <v>160</v>
      </c>
      <c r="R70" s="3267">
        <f t="shared" si="77"/>
        <v>200</v>
      </c>
      <c r="S70" s="1118"/>
      <c r="T70" s="1119"/>
      <c r="U70" s="374">
        <f t="shared" si="9"/>
        <v>0</v>
      </c>
      <c r="V70" s="1120">
        <f t="shared" si="10"/>
        <v>0</v>
      </c>
      <c r="W70" s="376">
        <f t="shared" si="11"/>
        <v>0</v>
      </c>
      <c r="X70" s="377">
        <f t="shared" si="12"/>
        <v>0</v>
      </c>
      <c r="Y70" s="378">
        <f t="shared" si="13"/>
        <v>0</v>
      </c>
      <c r="Z70" s="1121">
        <f t="shared" si="14"/>
        <v>0</v>
      </c>
      <c r="AA70" s="1122">
        <f t="shared" si="15"/>
        <v>0</v>
      </c>
      <c r="AC70" s="1244"/>
      <c r="AD70" s="1244"/>
      <c r="AE70" s="1244"/>
      <c r="AF70" s="1244"/>
      <c r="AG70" s="1244"/>
      <c r="AH70" s="1244"/>
      <c r="AI70" s="244"/>
      <c r="AJ70" s="244"/>
      <c r="AK70" s="244"/>
      <c r="AL70" s="244"/>
      <c r="AM70" s="244"/>
    </row>
    <row r="71" spans="1:39" ht="16.25" customHeight="1">
      <c r="A71" s="3187" t="s">
        <v>458</v>
      </c>
      <c r="B71" s="3187" t="s">
        <v>215</v>
      </c>
      <c r="C71" s="274">
        <f t="shared" si="1"/>
        <v>2.1222190799396687E-4</v>
      </c>
      <c r="D71" s="1357">
        <v>3</v>
      </c>
      <c r="E71" s="1161">
        <v>1</v>
      </c>
      <c r="F71" s="1161">
        <v>4</v>
      </c>
      <c r="G71" s="1161">
        <v>50</v>
      </c>
      <c r="H71" s="1161"/>
      <c r="I71" s="1163">
        <v>1.7361111111111112E-4</v>
      </c>
      <c r="J71" s="1163">
        <v>1.3888888888888889E-3</v>
      </c>
      <c r="K71" s="1074" t="s">
        <v>1423</v>
      </c>
      <c r="L71" s="1163">
        <f t="shared" si="78"/>
        <v>0.36688110376841898</v>
      </c>
      <c r="M71" s="1074">
        <v>1.1499999999999999</v>
      </c>
      <c r="N71" s="1163">
        <f t="shared" si="74"/>
        <v>4.0357748868778288E-3</v>
      </c>
      <c r="O71" s="1491">
        <f t="shared" si="75"/>
        <v>4.2444381598793373E-4</v>
      </c>
      <c r="P71" s="1163">
        <f t="shared" si="76"/>
        <v>4.8811038838612376E-4</v>
      </c>
      <c r="Q71" s="1492">
        <v>160</v>
      </c>
      <c r="R71" s="1161">
        <f t="shared" si="77"/>
        <v>200</v>
      </c>
      <c r="S71" s="1118"/>
      <c r="T71" s="1119"/>
      <c r="U71" s="374">
        <f t="shared" si="9"/>
        <v>0</v>
      </c>
      <c r="V71" s="1120">
        <f t="shared" si="10"/>
        <v>0</v>
      </c>
      <c r="W71" s="376">
        <f t="shared" si="11"/>
        <v>0</v>
      </c>
      <c r="X71" s="377">
        <f t="shared" si="12"/>
        <v>0</v>
      </c>
      <c r="Y71" s="378">
        <f t="shared" si="13"/>
        <v>0</v>
      </c>
      <c r="Z71" s="1121">
        <f t="shared" si="14"/>
        <v>0</v>
      </c>
      <c r="AA71" s="1122">
        <f t="shared" si="15"/>
        <v>0</v>
      </c>
      <c r="AC71" s="1244"/>
      <c r="AD71" s="1244"/>
      <c r="AE71" s="1244"/>
      <c r="AF71" s="1244"/>
      <c r="AG71" s="1244"/>
      <c r="AH71" s="1244"/>
      <c r="AI71" s="244"/>
      <c r="AJ71" s="244"/>
      <c r="AK71" s="244"/>
      <c r="AL71" s="244"/>
      <c r="AM71" s="244"/>
    </row>
    <row r="72" spans="1:39" ht="16.25" customHeight="1">
      <c r="A72" s="3187" t="s">
        <v>462</v>
      </c>
      <c r="B72" s="3187" t="s">
        <v>215</v>
      </c>
      <c r="C72" s="274">
        <f t="shared" si="1"/>
        <v>2.1908757716049393E-4</v>
      </c>
      <c r="D72" s="1357">
        <v>2</v>
      </c>
      <c r="E72" s="3268">
        <v>1</v>
      </c>
      <c r="F72" s="3267">
        <v>1</v>
      </c>
      <c r="G72" s="3267">
        <v>250</v>
      </c>
      <c r="H72" s="3267"/>
      <c r="I72" s="1950">
        <v>2.8935185185185189E-4</v>
      </c>
      <c r="J72" s="1950">
        <v>1.3888888888888889E-3</v>
      </c>
      <c r="K72" s="1968" t="s">
        <v>1424</v>
      </c>
      <c r="L72" s="1950">
        <f t="shared" si="78"/>
        <v>0.37091687865529682</v>
      </c>
      <c r="M72" s="1968">
        <v>1.1499999999999999</v>
      </c>
      <c r="N72" s="1950">
        <f t="shared" si="74"/>
        <v>4.1977478780864212E-3</v>
      </c>
      <c r="O72" s="3266">
        <f t="shared" si="75"/>
        <v>2.1908757716049393E-3</v>
      </c>
      <c r="P72" s="1950">
        <f t="shared" si="76"/>
        <v>2.5195071373456802E-3</v>
      </c>
      <c r="Q72" s="2062">
        <v>160</v>
      </c>
      <c r="R72" s="3267">
        <f t="shared" si="77"/>
        <v>250</v>
      </c>
      <c r="S72" s="1118"/>
      <c r="T72" s="1119"/>
      <c r="U72" s="374">
        <f t="shared" si="9"/>
        <v>0</v>
      </c>
      <c r="V72" s="1120">
        <f t="shared" si="10"/>
        <v>0</v>
      </c>
      <c r="W72" s="376">
        <f t="shared" si="11"/>
        <v>0</v>
      </c>
      <c r="X72" s="377">
        <f t="shared" si="12"/>
        <v>0</v>
      </c>
      <c r="Y72" s="378">
        <f t="shared" si="13"/>
        <v>0</v>
      </c>
      <c r="Z72" s="1121">
        <f t="shared" si="14"/>
        <v>0</v>
      </c>
      <c r="AA72" s="1122">
        <f t="shared" si="15"/>
        <v>0</v>
      </c>
      <c r="AC72" s="1244"/>
      <c r="AD72" s="1244"/>
      <c r="AE72" s="1244"/>
      <c r="AF72" s="1244"/>
      <c r="AG72" s="1244"/>
      <c r="AH72" s="1244"/>
      <c r="AI72" s="244"/>
      <c r="AJ72" s="244"/>
      <c r="AK72" s="244"/>
      <c r="AL72" s="244"/>
      <c r="AM72" s="244"/>
    </row>
    <row r="73" spans="1:39" ht="16.25" customHeight="1">
      <c r="A73" s="3187" t="s">
        <v>460</v>
      </c>
      <c r="B73" s="3187" t="s">
        <v>215</v>
      </c>
      <c r="C73" s="274">
        <f t="shared" si="1"/>
        <v>2.1222190799396687E-4</v>
      </c>
      <c r="D73" s="1357">
        <v>3</v>
      </c>
      <c r="E73" s="3269">
        <v>1</v>
      </c>
      <c r="F73" s="3269">
        <v>4</v>
      </c>
      <c r="G73" s="1161">
        <v>50</v>
      </c>
      <c r="H73" s="1161"/>
      <c r="I73" s="1163">
        <v>1.7361111111111112E-4</v>
      </c>
      <c r="J73" s="1163">
        <v>2.8935185185185189E-4</v>
      </c>
      <c r="K73" s="1074" t="s">
        <v>1423</v>
      </c>
      <c r="L73" s="1163">
        <f t="shared" si="78"/>
        <v>0.37511462653338323</v>
      </c>
      <c r="M73" s="1074">
        <v>1.1499999999999999</v>
      </c>
      <c r="N73" s="1163">
        <f t="shared" si="74"/>
        <v>2.9362378498407915E-3</v>
      </c>
      <c r="O73" s="1491">
        <f t="shared" si="75"/>
        <v>4.2444381598793373E-4</v>
      </c>
      <c r="P73" s="1163">
        <f t="shared" si="76"/>
        <v>4.8811038838612376E-4</v>
      </c>
      <c r="Q73" s="1492">
        <v>160</v>
      </c>
      <c r="R73" s="1161">
        <f t="shared" si="77"/>
        <v>200</v>
      </c>
      <c r="S73" s="1118"/>
      <c r="T73" s="1119"/>
      <c r="U73" s="374">
        <f t="shared" si="9"/>
        <v>0</v>
      </c>
      <c r="V73" s="1120">
        <f t="shared" si="10"/>
        <v>0</v>
      </c>
      <c r="W73" s="376">
        <f t="shared" si="11"/>
        <v>0</v>
      </c>
      <c r="X73" s="377">
        <f t="shared" si="12"/>
        <v>0</v>
      </c>
      <c r="Y73" s="378">
        <f t="shared" si="13"/>
        <v>0</v>
      </c>
      <c r="Z73" s="1121">
        <f t="shared" si="14"/>
        <v>0</v>
      </c>
      <c r="AA73" s="1122">
        <f t="shared" si="15"/>
        <v>0</v>
      </c>
      <c r="AC73" s="1244"/>
      <c r="AD73" s="1244"/>
      <c r="AE73" s="1244"/>
      <c r="AF73" s="1244"/>
      <c r="AG73" s="1244"/>
      <c r="AH73" s="1244"/>
      <c r="AI73" s="244"/>
      <c r="AJ73" s="244"/>
      <c r="AK73" s="244"/>
      <c r="AL73" s="244"/>
      <c r="AM73" s="244"/>
    </row>
    <row r="74" spans="1:39" ht="15" customHeight="1">
      <c r="A74" s="3187" t="s">
        <v>458</v>
      </c>
      <c r="B74" s="3187" t="s">
        <v>215</v>
      </c>
      <c r="C74" s="274">
        <f t="shared" si="1"/>
        <v>2.1222190799396687E-4</v>
      </c>
      <c r="D74" s="1357">
        <v>3</v>
      </c>
      <c r="E74" s="3268">
        <v>1</v>
      </c>
      <c r="F74" s="3267">
        <v>1</v>
      </c>
      <c r="G74" s="3267">
        <v>1000</v>
      </c>
      <c r="H74" s="3267"/>
      <c r="I74" s="1950">
        <v>2.8935185185185189E-4</v>
      </c>
      <c r="J74" s="1950">
        <v>1.3888888888888889E-3</v>
      </c>
      <c r="K74" s="1968" t="s">
        <v>1162</v>
      </c>
      <c r="L74" s="1950">
        <f t="shared" si="78"/>
        <v>0.37805086438322405</v>
      </c>
      <c r="M74" s="1968">
        <v>1.1499999999999999</v>
      </c>
      <c r="N74" s="1950">
        <f t="shared" si="74"/>
        <v>1.1440448508463215E-2</v>
      </c>
      <c r="O74" s="3266">
        <f t="shared" si="75"/>
        <v>8.4888763197586738E-3</v>
      </c>
      <c r="P74" s="1950">
        <f t="shared" si="76"/>
        <v>9.7622077677224743E-3</v>
      </c>
      <c r="Q74" s="2062">
        <v>160</v>
      </c>
      <c r="R74" s="3267">
        <f t="shared" si="77"/>
        <v>1000</v>
      </c>
      <c r="S74" s="1118">
        <f t="shared" si="5"/>
        <v>1</v>
      </c>
      <c r="T74" s="1119">
        <f t="shared" si="6"/>
        <v>3.3955505279034695E-2</v>
      </c>
      <c r="U74" s="374">
        <f t="shared" si="9"/>
        <v>0</v>
      </c>
      <c r="V74" s="1120">
        <f t="shared" si="10"/>
        <v>0</v>
      </c>
      <c r="W74" s="376">
        <f t="shared" si="11"/>
        <v>1</v>
      </c>
      <c r="X74" s="377">
        <f t="shared" si="12"/>
        <v>0</v>
      </c>
      <c r="Y74" s="378">
        <f t="shared" si="13"/>
        <v>0</v>
      </c>
      <c r="Z74" s="1121">
        <f t="shared" si="14"/>
        <v>0</v>
      </c>
      <c r="AA74" s="1122">
        <f t="shared" si="15"/>
        <v>0</v>
      </c>
      <c r="AC74" s="1244"/>
      <c r="AD74" s="1244"/>
      <c r="AE74" s="1244"/>
      <c r="AF74" s="1244"/>
      <c r="AG74" s="1244"/>
      <c r="AH74" s="1244"/>
      <c r="AI74" s="244"/>
      <c r="AJ74" s="244"/>
      <c r="AK74" s="244"/>
      <c r="AL74" s="244"/>
      <c r="AM74" s="244"/>
    </row>
    <row r="75" spans="1:39" ht="15" customHeight="1" thickBot="1">
      <c r="A75" s="3187" t="s">
        <v>219</v>
      </c>
      <c r="B75" s="3187" t="s">
        <v>215</v>
      </c>
      <c r="C75" s="274">
        <f t="shared" si="1"/>
        <v>2.0247664488766629E-4</v>
      </c>
      <c r="D75" s="1357">
        <v>4</v>
      </c>
      <c r="E75" s="3270">
        <v>1</v>
      </c>
      <c r="F75" s="3270">
        <v>1</v>
      </c>
      <c r="G75" s="3271">
        <v>300</v>
      </c>
      <c r="H75" s="3272"/>
      <c r="I75" s="3273">
        <v>4.0509259259259258E-4</v>
      </c>
      <c r="J75" s="3273">
        <v>2.0833333333333333E-3</v>
      </c>
      <c r="K75" s="2063" t="s">
        <v>1425</v>
      </c>
      <c r="L75" s="1921">
        <f t="shared" si="78"/>
        <v>0.38949131289168726</v>
      </c>
      <c r="M75" s="1994">
        <v>1.1000000000000001</v>
      </c>
      <c r="N75" s="1921">
        <f t="shared" si="74"/>
        <v>5.1611176384431211E-3</v>
      </c>
      <c r="O75" s="2170">
        <f t="shared" si="75"/>
        <v>2.4297197386519954E-3</v>
      </c>
      <c r="P75" s="1921">
        <f t="shared" si="76"/>
        <v>2.672691712517195E-3</v>
      </c>
      <c r="Q75" s="2064">
        <v>175</v>
      </c>
      <c r="R75" s="1934">
        <f t="shared" si="77"/>
        <v>300</v>
      </c>
      <c r="S75" s="1118">
        <f t="shared" si="5"/>
        <v>0.3</v>
      </c>
      <c r="T75" s="1119">
        <f t="shared" si="6"/>
        <v>9.7188789546079814E-3</v>
      </c>
      <c r="U75" s="374">
        <f t="shared" si="9"/>
        <v>0</v>
      </c>
      <c r="V75" s="1120">
        <f t="shared" si="10"/>
        <v>0</v>
      </c>
      <c r="W75" s="376">
        <f t="shared" si="11"/>
        <v>0</v>
      </c>
      <c r="X75" s="377">
        <f t="shared" si="12"/>
        <v>0.3</v>
      </c>
      <c r="Y75" s="378">
        <f t="shared" si="13"/>
        <v>0</v>
      </c>
      <c r="Z75" s="1121">
        <f t="shared" si="14"/>
        <v>0</v>
      </c>
      <c r="AA75" s="1122">
        <f t="shared" si="15"/>
        <v>0</v>
      </c>
      <c r="AC75" s="1244"/>
      <c r="AD75" s="1244"/>
      <c r="AE75" s="1244"/>
      <c r="AF75" s="1244"/>
      <c r="AG75" s="1244"/>
      <c r="AH75" s="1244"/>
      <c r="AI75" s="244"/>
      <c r="AJ75" s="244"/>
      <c r="AK75" s="244"/>
      <c r="AL75" s="244"/>
      <c r="AM75" s="244"/>
    </row>
    <row r="76" spans="1:39" ht="15" customHeight="1" thickBot="1">
      <c r="A76" s="3187"/>
      <c r="B76" s="3187"/>
      <c r="C76" s="274">
        <f t="shared" si="1"/>
        <v>0</v>
      </c>
      <c r="D76" s="920"/>
      <c r="E76" s="3275"/>
      <c r="F76" s="1408"/>
      <c r="G76" s="1408"/>
      <c r="H76" s="3233"/>
      <c r="I76" s="3234"/>
      <c r="J76" s="3234"/>
      <c r="K76" s="1408"/>
      <c r="L76" s="3276">
        <f t="shared" si="78"/>
        <v>0.39465243053013038</v>
      </c>
      <c r="M76" s="3277">
        <v>0.78</v>
      </c>
      <c r="N76" s="1596">
        <f>SUM(N69:N75)</f>
        <v>4.7430208307908117E-2</v>
      </c>
      <c r="O76" s="1596"/>
      <c r="P76" s="3278"/>
      <c r="Q76" s="1662"/>
      <c r="R76" s="3279">
        <f>SUM(R69:R75)</f>
        <v>3650</v>
      </c>
      <c r="S76" s="1118">
        <f t="shared" si="5"/>
        <v>0</v>
      </c>
      <c r="T76" s="1119">
        <f t="shared" si="6"/>
        <v>0</v>
      </c>
      <c r="U76" s="374">
        <f t="shared" si="9"/>
        <v>0</v>
      </c>
      <c r="V76" s="1120">
        <f t="shared" si="10"/>
        <v>0</v>
      </c>
      <c r="W76" s="376">
        <f t="shared" si="11"/>
        <v>0</v>
      </c>
      <c r="X76" s="377">
        <f t="shared" si="12"/>
        <v>0</v>
      </c>
      <c r="Y76" s="378">
        <f t="shared" si="13"/>
        <v>0</v>
      </c>
      <c r="Z76" s="1121">
        <f t="shared" si="14"/>
        <v>0</v>
      </c>
      <c r="AA76" s="1122">
        <f t="shared" si="15"/>
        <v>0</v>
      </c>
      <c r="AC76" s="1244"/>
      <c r="AD76" s="1244"/>
      <c r="AE76" s="1244"/>
      <c r="AF76" s="1244"/>
      <c r="AG76" s="1244"/>
      <c r="AH76" s="1244"/>
      <c r="AI76" s="244"/>
      <c r="AJ76" s="244"/>
      <c r="AK76" s="244"/>
      <c r="AL76" s="244"/>
      <c r="AM76" s="244"/>
    </row>
    <row r="77" spans="1:39" ht="15" customHeight="1" thickBot="1">
      <c r="A77" s="3187" t="s">
        <v>218</v>
      </c>
      <c r="B77" s="3187" t="s">
        <v>215</v>
      </c>
      <c r="C77" s="274">
        <f t="shared" ref="C77:C90" si="79">IF(D77=1,U$5,IF(D77=2,V$5,IF(D77=3,W$5,IF(D77=4,X$5,IF(D77=5,Y$5,IF(D77=6,Z$5,IF(D77=7,AA$5,0)))))))</f>
        <v>2.1908757716049393E-4</v>
      </c>
      <c r="D77" s="1441">
        <v>2</v>
      </c>
      <c r="E77" s="1324">
        <v>1</v>
      </c>
      <c r="F77" s="1324">
        <v>6</v>
      </c>
      <c r="G77" s="1324">
        <v>25</v>
      </c>
      <c r="H77" s="3249"/>
      <c r="I77" s="3249">
        <v>5.7870370370370366E-5</v>
      </c>
      <c r="J77" s="3249">
        <v>6.9444444444444447E-4</v>
      </c>
      <c r="K77" s="1324" t="s">
        <v>1884</v>
      </c>
      <c r="L77" s="1355">
        <v>0.64583333333333337</v>
      </c>
      <c r="M77" s="3250">
        <v>1.17</v>
      </c>
      <c r="N77" s="3249">
        <f t="shared" ref="N77:N83" si="80">P77*E77*F77+I77*F77*E77+J77*E77</f>
        <v>2.5796614583333344E-3</v>
      </c>
      <c r="O77" s="1431">
        <f t="shared" ref="O77:O83" si="81">C77*(G77/25)</f>
        <v>2.1908757716049393E-4</v>
      </c>
      <c r="P77" s="1431">
        <f t="shared" ref="P77:P83" si="82">O77*M77</f>
        <v>2.5633246527777791E-4</v>
      </c>
      <c r="Q77" s="1432">
        <v>160</v>
      </c>
      <c r="R77" s="3251">
        <f t="shared" ref="R77:R83" si="83">E77*F77*G77</f>
        <v>150</v>
      </c>
      <c r="S77" s="1118">
        <f t="shared" ref="S77:S81" si="84">E77*F77*G77/1000</f>
        <v>0.15</v>
      </c>
      <c r="T77" s="1119">
        <f t="shared" ref="T77:T81" si="85">E77*F77*O77*4</f>
        <v>5.2581018518518541E-3</v>
      </c>
      <c r="U77" s="374">
        <f t="shared" si="9"/>
        <v>0</v>
      </c>
      <c r="V77" s="1120">
        <f t="shared" si="10"/>
        <v>0.15</v>
      </c>
      <c r="W77" s="376">
        <f t="shared" si="11"/>
        <v>0</v>
      </c>
      <c r="X77" s="377">
        <f t="shared" si="12"/>
        <v>0</v>
      </c>
      <c r="Y77" s="378">
        <f t="shared" si="13"/>
        <v>0</v>
      </c>
      <c r="Z77" s="1121">
        <f t="shared" si="14"/>
        <v>0</v>
      </c>
      <c r="AA77" s="1122">
        <f t="shared" si="15"/>
        <v>0</v>
      </c>
      <c r="AC77" s="1244"/>
      <c r="AD77" s="1244"/>
      <c r="AE77" s="1244"/>
      <c r="AF77" s="1244"/>
      <c r="AG77" s="1244"/>
      <c r="AH77" s="1244"/>
      <c r="AI77" s="244"/>
      <c r="AJ77" s="244"/>
      <c r="AK77" s="244"/>
      <c r="AL77" s="244"/>
      <c r="AM77" s="244"/>
    </row>
    <row r="78" spans="1:39" ht="15" customHeight="1" thickBot="1">
      <c r="A78" s="3187" t="s">
        <v>139</v>
      </c>
      <c r="B78" s="3187" t="s">
        <v>215</v>
      </c>
      <c r="C78" s="274">
        <f t="shared" si="79"/>
        <v>1.7682291666666674E-4</v>
      </c>
      <c r="D78" s="1441">
        <v>7</v>
      </c>
      <c r="E78" s="2114">
        <v>1</v>
      </c>
      <c r="F78" s="2114">
        <v>8</v>
      </c>
      <c r="G78" s="2114">
        <v>25</v>
      </c>
      <c r="H78" s="2121"/>
      <c r="I78" s="2121">
        <v>4.6296296296296293E-4</v>
      </c>
      <c r="J78" s="2121">
        <v>1.3888888888888889E-3</v>
      </c>
      <c r="K78" s="2046" t="s">
        <v>1886</v>
      </c>
      <c r="L78" s="2047">
        <f t="shared" ref="L78:L84" si="86">L77+N77</f>
        <v>0.6484129947916667</v>
      </c>
      <c r="M78" s="3252">
        <v>1.17</v>
      </c>
      <c r="N78" s="2121">
        <f t="shared" si="80"/>
        <v>6.7476550925925933E-3</v>
      </c>
      <c r="O78" s="2123">
        <f t="shared" si="81"/>
        <v>1.7682291666666674E-4</v>
      </c>
      <c r="P78" s="2124">
        <f t="shared" si="82"/>
        <v>2.0688281250000006E-4</v>
      </c>
      <c r="Q78" s="2049">
        <v>160</v>
      </c>
      <c r="R78" s="3253">
        <f t="shared" si="83"/>
        <v>200</v>
      </c>
      <c r="S78" s="1118">
        <f t="shared" si="84"/>
        <v>0.2</v>
      </c>
      <c r="T78" s="1119">
        <f t="shared" si="85"/>
        <v>5.6583333333333355E-3</v>
      </c>
      <c r="U78" s="374">
        <f t="shared" si="9"/>
        <v>0</v>
      </c>
      <c r="V78" s="1120">
        <f t="shared" si="10"/>
        <v>0</v>
      </c>
      <c r="W78" s="376">
        <f t="shared" si="11"/>
        <v>0</v>
      </c>
      <c r="X78" s="377">
        <f t="shared" si="12"/>
        <v>0</v>
      </c>
      <c r="Y78" s="378">
        <f t="shared" si="13"/>
        <v>0</v>
      </c>
      <c r="Z78" s="1121">
        <f t="shared" si="14"/>
        <v>0</v>
      </c>
      <c r="AA78" s="1122">
        <f t="shared" si="15"/>
        <v>0.2</v>
      </c>
      <c r="AC78" s="1244"/>
      <c r="AD78" s="1244"/>
      <c r="AE78" s="1244"/>
      <c r="AF78" s="1244"/>
      <c r="AG78" s="1244"/>
      <c r="AH78" s="1244"/>
      <c r="AI78" s="244"/>
      <c r="AJ78" s="244"/>
      <c r="AK78" s="244"/>
      <c r="AL78" s="244"/>
      <c r="AM78" s="244"/>
    </row>
    <row r="79" spans="1:39" ht="15" customHeight="1" thickBot="1">
      <c r="A79" s="3187" t="s">
        <v>458</v>
      </c>
      <c r="B79" s="3187" t="s">
        <v>215</v>
      </c>
      <c r="C79" s="274">
        <f t="shared" si="79"/>
        <v>2.1908757716049393E-4</v>
      </c>
      <c r="D79" s="1441">
        <v>2</v>
      </c>
      <c r="E79" s="1324">
        <v>1</v>
      </c>
      <c r="F79" s="1324">
        <v>6</v>
      </c>
      <c r="G79" s="1324">
        <v>25</v>
      </c>
      <c r="H79" s="3249"/>
      <c r="I79" s="3249">
        <v>2.8935185185185189E-4</v>
      </c>
      <c r="J79" s="3249">
        <v>1.3888888888888889E-3</v>
      </c>
      <c r="K79" s="1324" t="s">
        <v>1885</v>
      </c>
      <c r="L79" s="1355">
        <f t="shared" si="86"/>
        <v>0.65516064988425926</v>
      </c>
      <c r="M79" s="3250">
        <v>1.17</v>
      </c>
      <c r="N79" s="3249">
        <f t="shared" si="80"/>
        <v>4.6629947916666682E-3</v>
      </c>
      <c r="O79" s="1431">
        <f t="shared" si="81"/>
        <v>2.1908757716049393E-4</v>
      </c>
      <c r="P79" s="1431">
        <f t="shared" si="82"/>
        <v>2.5633246527777791E-4</v>
      </c>
      <c r="Q79" s="1432">
        <v>160</v>
      </c>
      <c r="R79" s="3251">
        <f t="shared" si="83"/>
        <v>150</v>
      </c>
      <c r="S79" s="1118">
        <f t="shared" si="84"/>
        <v>0.15</v>
      </c>
      <c r="T79" s="1119">
        <f t="shared" si="85"/>
        <v>5.2581018518518541E-3</v>
      </c>
      <c r="U79" s="374">
        <f t="shared" ref="U79:U88" si="87">IF(C79*4&gt;=$U$4,S79,0)</f>
        <v>0</v>
      </c>
      <c r="V79" s="1120">
        <f t="shared" ref="V79:V88" si="88">IF(AND(C79*4&gt;=$V$4,C79*4&lt;$U$4),S79,0)</f>
        <v>0.15</v>
      </c>
      <c r="W79" s="376">
        <f t="shared" ref="W79:W88" si="89">IF(AND(C79*4&gt;=$W$4,C79*4&lt;$V$4),S79,0)</f>
        <v>0</v>
      </c>
      <c r="X79" s="377">
        <f t="shared" ref="X79:X88" si="90">IF(AND(C79*4&gt;=$X$4,C79*4&lt;$W$4),S79,0)</f>
        <v>0</v>
      </c>
      <c r="Y79" s="378">
        <f t="shared" ref="Y79:Y88" si="91">IF(AND(C79*4&gt;=$Y$4,C79*4&lt;$X$4),S79,0)</f>
        <v>0</v>
      </c>
      <c r="Z79" s="1121">
        <f t="shared" ref="Z79:Z88" si="92">IF(AND(C79*4&gt;=$Z$4,C79*4&lt;$Y$4),S79,0)</f>
        <v>0</v>
      </c>
      <c r="AA79" s="1122">
        <f t="shared" ref="AA79:AA88" si="93">IF(AND(C79*4&gt;=$AA$4,C79*4&lt;$Z$4),S79,0)</f>
        <v>0</v>
      </c>
      <c r="AC79" s="1244"/>
      <c r="AD79" s="1244"/>
      <c r="AE79" s="1244"/>
      <c r="AF79" s="1244"/>
      <c r="AG79" s="1244"/>
      <c r="AH79" s="1244"/>
      <c r="AI79" s="244"/>
      <c r="AJ79" s="244"/>
      <c r="AK79" s="244"/>
      <c r="AL79" s="244"/>
      <c r="AM79" s="244"/>
    </row>
    <row r="80" spans="1:39" ht="15" customHeight="1" thickBot="1">
      <c r="A80" s="3187" t="s">
        <v>462</v>
      </c>
      <c r="B80" s="3187" t="s">
        <v>215</v>
      </c>
      <c r="C80" s="274">
        <f t="shared" si="79"/>
        <v>1.7682291666666674E-4</v>
      </c>
      <c r="D80" s="1441">
        <v>7</v>
      </c>
      <c r="E80" s="2114">
        <v>1</v>
      </c>
      <c r="F80" s="2114">
        <v>8</v>
      </c>
      <c r="G80" s="2114">
        <v>25</v>
      </c>
      <c r="H80" s="2121"/>
      <c r="I80" s="2121">
        <v>2.3148148148148146E-4</v>
      </c>
      <c r="J80" s="2121">
        <v>1.3888888888888889E-3</v>
      </c>
      <c r="K80" s="2046" t="s">
        <v>1886</v>
      </c>
      <c r="L80" s="2047">
        <f t="shared" si="86"/>
        <v>0.65982364467592591</v>
      </c>
      <c r="M80" s="3252">
        <v>1.17</v>
      </c>
      <c r="N80" s="2121">
        <f t="shared" si="80"/>
        <v>4.8958032407407414E-3</v>
      </c>
      <c r="O80" s="2123">
        <f t="shared" si="81"/>
        <v>1.7682291666666674E-4</v>
      </c>
      <c r="P80" s="2124">
        <f t="shared" si="82"/>
        <v>2.0688281250000006E-4</v>
      </c>
      <c r="Q80" s="2049">
        <v>160</v>
      </c>
      <c r="R80" s="3253">
        <f t="shared" si="83"/>
        <v>200</v>
      </c>
      <c r="S80" s="1118">
        <f t="shared" si="84"/>
        <v>0.2</v>
      </c>
      <c r="T80" s="1119">
        <f t="shared" si="85"/>
        <v>5.6583333333333355E-3</v>
      </c>
      <c r="U80" s="374">
        <f t="shared" si="87"/>
        <v>0</v>
      </c>
      <c r="V80" s="1120">
        <f t="shared" si="88"/>
        <v>0</v>
      </c>
      <c r="W80" s="376">
        <f t="shared" si="89"/>
        <v>0</v>
      </c>
      <c r="X80" s="377">
        <f t="shared" si="90"/>
        <v>0</v>
      </c>
      <c r="Y80" s="378">
        <f t="shared" si="91"/>
        <v>0</v>
      </c>
      <c r="Z80" s="1121">
        <f t="shared" si="92"/>
        <v>0</v>
      </c>
      <c r="AA80" s="1122">
        <f t="shared" si="93"/>
        <v>0.2</v>
      </c>
      <c r="AC80" s="1244"/>
      <c r="AD80" s="1244"/>
      <c r="AE80" s="1244"/>
      <c r="AF80" s="1244"/>
      <c r="AG80" s="1244"/>
      <c r="AH80" s="1244"/>
      <c r="AI80" s="244"/>
      <c r="AJ80" s="244"/>
      <c r="AK80" s="244"/>
      <c r="AL80" s="244"/>
      <c r="AM80" s="244"/>
    </row>
    <row r="81" spans="1:39" ht="15" customHeight="1" thickBot="1">
      <c r="A81" s="3187" t="s">
        <v>460</v>
      </c>
      <c r="B81" s="3187" t="s">
        <v>215</v>
      </c>
      <c r="C81" s="274">
        <f t="shared" si="79"/>
        <v>2.1222190799396687E-4</v>
      </c>
      <c r="D81" s="1441">
        <v>3</v>
      </c>
      <c r="E81" s="1634">
        <v>1</v>
      </c>
      <c r="F81" s="1634">
        <v>16</v>
      </c>
      <c r="G81" s="1634">
        <v>25</v>
      </c>
      <c r="H81" s="3254"/>
      <c r="I81" s="3254">
        <v>2.3148148148148146E-4</v>
      </c>
      <c r="J81" s="3254">
        <v>1.3888888888888889E-3</v>
      </c>
      <c r="K81" s="1634" t="s">
        <v>1883</v>
      </c>
      <c r="L81" s="1458">
        <f t="shared" si="86"/>
        <v>0.66471944791666671</v>
      </c>
      <c r="M81" s="3255">
        <v>1.17</v>
      </c>
      <c r="N81" s="3254">
        <f t="shared" si="80"/>
        <v>9.0653867102396517E-3</v>
      </c>
      <c r="O81" s="3256">
        <f t="shared" si="81"/>
        <v>2.1222190799396687E-4</v>
      </c>
      <c r="P81" s="2712">
        <f t="shared" si="82"/>
        <v>2.4829963235294123E-4</v>
      </c>
      <c r="Q81" s="1635">
        <v>160</v>
      </c>
      <c r="R81" s="3257">
        <f t="shared" si="83"/>
        <v>400</v>
      </c>
      <c r="S81" s="1118">
        <f t="shared" si="84"/>
        <v>0.4</v>
      </c>
      <c r="T81" s="1119">
        <f t="shared" si="85"/>
        <v>1.3582202111613879E-2</v>
      </c>
      <c r="U81" s="374">
        <f t="shared" si="87"/>
        <v>0</v>
      </c>
      <c r="V81" s="1120">
        <f t="shared" si="88"/>
        <v>0</v>
      </c>
      <c r="W81" s="376">
        <f t="shared" si="89"/>
        <v>0.4</v>
      </c>
      <c r="X81" s="377">
        <f t="shared" si="90"/>
        <v>0</v>
      </c>
      <c r="Y81" s="378">
        <f t="shared" si="91"/>
        <v>0</v>
      </c>
      <c r="Z81" s="1121">
        <f t="shared" si="92"/>
        <v>0</v>
      </c>
      <c r="AA81" s="1122">
        <f t="shared" si="93"/>
        <v>0</v>
      </c>
      <c r="AC81" s="1244"/>
      <c r="AD81" s="1244"/>
      <c r="AE81" s="1244"/>
      <c r="AF81" s="1244"/>
      <c r="AG81" s="1244"/>
      <c r="AH81" s="1244"/>
      <c r="AI81" s="244"/>
      <c r="AJ81" s="244"/>
      <c r="AK81" s="244"/>
      <c r="AL81" s="244"/>
      <c r="AM81" s="244"/>
    </row>
    <row r="82" spans="1:39" ht="15" customHeight="1" thickBot="1">
      <c r="A82" s="3187" t="s">
        <v>458</v>
      </c>
      <c r="B82" s="3187" t="s">
        <v>215</v>
      </c>
      <c r="C82" s="274">
        <f t="shared" si="79"/>
        <v>1.8229166666666673E-4</v>
      </c>
      <c r="D82" s="1441">
        <v>6</v>
      </c>
      <c r="E82" s="3258">
        <v>1</v>
      </c>
      <c r="F82" s="3258">
        <v>4</v>
      </c>
      <c r="G82" s="3258">
        <v>50</v>
      </c>
      <c r="H82" s="4122" t="s">
        <v>710</v>
      </c>
      <c r="I82" s="3259">
        <v>6.9444444444444447E-4</v>
      </c>
      <c r="J82" s="3259">
        <v>1.1574074074074073E-3</v>
      </c>
      <c r="K82" s="2014" t="s">
        <v>1542</v>
      </c>
      <c r="L82" s="3259">
        <f t="shared" si="86"/>
        <v>0.6737848346269063</v>
      </c>
      <c r="M82" s="3260">
        <v>1.17</v>
      </c>
      <c r="N82" s="3259">
        <f t="shared" si="80"/>
        <v>5.641435185185186E-3</v>
      </c>
      <c r="O82" s="3259">
        <f t="shared" si="81"/>
        <v>3.6458333333333346E-4</v>
      </c>
      <c r="P82" s="2713">
        <f t="shared" si="82"/>
        <v>4.2656250000000013E-4</v>
      </c>
      <c r="Q82" s="3261">
        <v>160</v>
      </c>
      <c r="R82" s="3262">
        <f t="shared" si="83"/>
        <v>200</v>
      </c>
      <c r="S82" s="1118">
        <f t="shared" ref="S82:S88" si="94">E82*F82*G82/1000</f>
        <v>0.2</v>
      </c>
      <c r="T82" s="1119">
        <f t="shared" ref="T82:T88" si="95">E82*F82*O82*4</f>
        <v>5.8333333333333353E-3</v>
      </c>
      <c r="U82" s="374">
        <f t="shared" si="87"/>
        <v>0</v>
      </c>
      <c r="V82" s="1120">
        <f t="shared" si="88"/>
        <v>0</v>
      </c>
      <c r="W82" s="376">
        <f t="shared" si="89"/>
        <v>0</v>
      </c>
      <c r="X82" s="377">
        <f t="shared" si="90"/>
        <v>0</v>
      </c>
      <c r="Y82" s="378">
        <f t="shared" si="91"/>
        <v>0</v>
      </c>
      <c r="Z82" s="1121">
        <f t="shared" si="92"/>
        <v>0.2</v>
      </c>
      <c r="AA82" s="1122">
        <f t="shared" si="93"/>
        <v>0</v>
      </c>
      <c r="AC82" s="1244"/>
      <c r="AD82" s="1244"/>
      <c r="AE82" s="1244"/>
      <c r="AF82" s="1244"/>
      <c r="AG82" s="1244"/>
      <c r="AH82" s="1244"/>
      <c r="AI82" s="244"/>
      <c r="AJ82" s="244"/>
      <c r="AK82" s="244"/>
      <c r="AL82" s="244"/>
      <c r="AM82" s="244"/>
    </row>
    <row r="83" spans="1:39" ht="15" customHeight="1">
      <c r="A83" s="3187" t="s">
        <v>219</v>
      </c>
      <c r="B83" s="3187" t="s">
        <v>215</v>
      </c>
      <c r="C83" s="274">
        <f t="shared" si="79"/>
        <v>1.8229166666666673E-4</v>
      </c>
      <c r="D83" s="1441">
        <v>6</v>
      </c>
      <c r="E83" s="3258">
        <v>1</v>
      </c>
      <c r="F83" s="3258">
        <v>4</v>
      </c>
      <c r="G83" s="3258">
        <v>50</v>
      </c>
      <c r="H83" s="4123" t="s">
        <v>713</v>
      </c>
      <c r="I83" s="3259">
        <v>8.6805555555555551E-4</v>
      </c>
      <c r="J83" s="3259">
        <v>2.8935185185185189E-4</v>
      </c>
      <c r="K83" s="2014" t="s">
        <v>882</v>
      </c>
      <c r="L83" s="3259">
        <f t="shared" si="86"/>
        <v>0.67942626981209153</v>
      </c>
      <c r="M83" s="3260">
        <v>1.17</v>
      </c>
      <c r="N83" s="3259">
        <f t="shared" si="80"/>
        <v>5.4678240740740746E-3</v>
      </c>
      <c r="O83" s="3259">
        <f t="shared" si="81"/>
        <v>3.6458333333333346E-4</v>
      </c>
      <c r="P83" s="2713">
        <f t="shared" si="82"/>
        <v>4.2656250000000013E-4</v>
      </c>
      <c r="Q83" s="3261">
        <v>160</v>
      </c>
      <c r="R83" s="3263">
        <f t="shared" si="83"/>
        <v>200</v>
      </c>
      <c r="S83" s="1118">
        <f t="shared" si="94"/>
        <v>0.2</v>
      </c>
      <c r="T83" s="1119">
        <f t="shared" si="95"/>
        <v>5.8333333333333353E-3</v>
      </c>
      <c r="U83" s="374">
        <f t="shared" si="87"/>
        <v>0</v>
      </c>
      <c r="V83" s="1120">
        <f t="shared" si="88"/>
        <v>0</v>
      </c>
      <c r="W83" s="376">
        <f t="shared" si="89"/>
        <v>0</v>
      </c>
      <c r="X83" s="377">
        <f t="shared" si="90"/>
        <v>0</v>
      </c>
      <c r="Y83" s="378">
        <f t="shared" si="91"/>
        <v>0</v>
      </c>
      <c r="Z83" s="1121">
        <f t="shared" si="92"/>
        <v>0.2</v>
      </c>
      <c r="AA83" s="1122">
        <f t="shared" si="93"/>
        <v>0</v>
      </c>
      <c r="AC83" s="1244"/>
      <c r="AD83" s="1244"/>
      <c r="AE83" s="1244"/>
      <c r="AF83" s="1244"/>
      <c r="AG83" s="1244"/>
      <c r="AH83" s="1244"/>
      <c r="AI83" s="244"/>
      <c r="AJ83" s="244"/>
      <c r="AK83" s="244"/>
      <c r="AL83" s="244"/>
      <c r="AM83" s="244"/>
    </row>
    <row r="84" spans="1:39" ht="15" customHeight="1" thickBot="1">
      <c r="A84" s="3187"/>
      <c r="B84" s="3187"/>
      <c r="C84" s="274">
        <f t="shared" si="79"/>
        <v>0</v>
      </c>
      <c r="D84" s="3208"/>
      <c r="E84" s="3209"/>
      <c r="F84" s="3209"/>
      <c r="G84" s="3209"/>
      <c r="H84" s="3208"/>
      <c r="I84" s="3208"/>
      <c r="J84" s="3208"/>
      <c r="K84" s="6048" t="s">
        <v>2199</v>
      </c>
      <c r="L84" s="3169">
        <f t="shared" si="86"/>
        <v>0.68489409388616562</v>
      </c>
      <c r="M84" s="3201"/>
      <c r="N84" s="3235"/>
      <c r="O84" s="3237"/>
      <c r="P84" s="3238"/>
      <c r="Q84" s="1413"/>
      <c r="R84" s="4124">
        <f>SUM(R77:R83)</f>
        <v>1500</v>
      </c>
      <c r="S84" s="1118">
        <f t="shared" si="94"/>
        <v>0</v>
      </c>
      <c r="T84" s="1119">
        <f t="shared" si="95"/>
        <v>0</v>
      </c>
      <c r="U84" s="374">
        <f t="shared" si="87"/>
        <v>0</v>
      </c>
      <c r="V84" s="1120">
        <f t="shared" si="88"/>
        <v>0</v>
      </c>
      <c r="W84" s="376">
        <f t="shared" si="89"/>
        <v>0</v>
      </c>
      <c r="X84" s="377">
        <f t="shared" si="90"/>
        <v>0</v>
      </c>
      <c r="Y84" s="378">
        <f t="shared" si="91"/>
        <v>0</v>
      </c>
      <c r="Z84" s="1121">
        <f t="shared" si="92"/>
        <v>0</v>
      </c>
      <c r="AA84" s="1122">
        <f t="shared" si="93"/>
        <v>0</v>
      </c>
      <c r="AC84" s="1244"/>
      <c r="AD84" s="1244"/>
      <c r="AE84" s="1244"/>
      <c r="AF84" s="1244"/>
      <c r="AG84" s="1244"/>
      <c r="AH84" s="1244"/>
      <c r="AI84" s="244"/>
      <c r="AJ84" s="244"/>
      <c r="AK84" s="244"/>
      <c r="AL84" s="244"/>
      <c r="AM84" s="244"/>
    </row>
    <row r="85" spans="1:39" ht="15" customHeight="1" thickBot="1">
      <c r="A85" s="5891" t="s">
        <v>219</v>
      </c>
      <c r="B85" s="5892"/>
      <c r="C85" s="274">
        <f t="shared" si="79"/>
        <v>2.0247664488766629E-4</v>
      </c>
      <c r="D85" s="5866">
        <v>4</v>
      </c>
      <c r="E85" s="5867">
        <v>1</v>
      </c>
      <c r="F85" s="5867">
        <v>4</v>
      </c>
      <c r="G85" s="5867">
        <v>1200</v>
      </c>
      <c r="H85" s="5868"/>
      <c r="I85" s="5868">
        <v>6.3657407407407402E-4</v>
      </c>
      <c r="J85" s="5868">
        <v>1.3888888888888889E-3</v>
      </c>
      <c r="K85" s="5869" t="s">
        <v>709</v>
      </c>
      <c r="L85" s="5797"/>
      <c r="M85" s="5829">
        <v>1</v>
      </c>
      <c r="N85" s="5830">
        <f>P85*E85*F85+I85*E85*F85+J85*E85</f>
        <v>3.7885185185185202E-2</v>
      </c>
      <c r="O85" s="5831">
        <f>C90*(G85/25)</f>
        <v>8.4875000000000037E-3</v>
      </c>
      <c r="P85" s="5831">
        <f t="shared" ref="P85" si="96">O85*M85</f>
        <v>8.4875000000000037E-3</v>
      </c>
      <c r="Q85" s="5871">
        <v>196</v>
      </c>
      <c r="R85" s="5872">
        <f t="shared" ref="R85" si="97">E85*F85*G85</f>
        <v>4800</v>
      </c>
      <c r="S85" s="1118">
        <f t="shared" si="94"/>
        <v>4.8</v>
      </c>
      <c r="T85" s="1119">
        <f t="shared" si="95"/>
        <v>0.13580000000000006</v>
      </c>
      <c r="U85" s="374">
        <f>IF(C90*4&gt;=$U$4,S85,0)</f>
        <v>0</v>
      </c>
      <c r="V85" s="1120">
        <f>IF(AND(C90*4&gt;=$V$4,C90*4&lt;$U$4),S85,0)</f>
        <v>0</v>
      </c>
      <c r="W85" s="376">
        <f>IF(AND(C90*4&gt;=$W$4,C90*4&lt;$V$4),S85,0)</f>
        <v>0</v>
      </c>
      <c r="X85" s="377">
        <f>IF(AND(C90*4&gt;=$X$4,C90*4&lt;$W$4),S85,0)</f>
        <v>0</v>
      </c>
      <c r="Y85" s="378">
        <f>IF(AND(C90*4&gt;=$Y$4,C90*4&lt;$X$4),S85,0)</f>
        <v>0</v>
      </c>
      <c r="Z85" s="1121">
        <f>IF(AND(C90*4&gt;=$Z$4,C90*4&lt;$Y$4),S85,0)</f>
        <v>0</v>
      </c>
      <c r="AA85" s="1122">
        <f>IF(AND(C90*4&gt;=$AA$4,C90*4&lt;$Z$4),S85,0)</f>
        <v>4.8</v>
      </c>
      <c r="AC85" s="1244"/>
      <c r="AD85" s="1244"/>
      <c r="AE85" s="1244"/>
      <c r="AF85" s="1244"/>
      <c r="AG85" s="1244"/>
      <c r="AH85" s="1244"/>
      <c r="AI85" s="244"/>
      <c r="AJ85" s="244"/>
      <c r="AK85" s="244"/>
      <c r="AL85" s="244"/>
      <c r="AM85" s="244"/>
    </row>
    <row r="86" spans="1:39" ht="15" customHeight="1" thickBot="1">
      <c r="A86" s="5891"/>
      <c r="B86" s="5892"/>
      <c r="C86" s="274">
        <f t="shared" si="79"/>
        <v>1.7682291666666674E-4</v>
      </c>
      <c r="D86" s="5631">
        <v>7</v>
      </c>
      <c r="E86" s="1321">
        <v>1</v>
      </c>
      <c r="F86" s="1321">
        <v>1</v>
      </c>
      <c r="G86" s="1321">
        <v>100</v>
      </c>
      <c r="H86" s="1322" t="s">
        <v>558</v>
      </c>
      <c r="I86" s="1322"/>
      <c r="J86" s="1322" t="s">
        <v>1232</v>
      </c>
      <c r="K86" s="1038"/>
      <c r="L86" s="3664" t="s">
        <v>2201</v>
      </c>
      <c r="M86" s="5632"/>
      <c r="N86" s="6050"/>
      <c r="O86" s="5634"/>
      <c r="P86" s="3664"/>
      <c r="Q86" s="3664"/>
      <c r="R86" s="1321">
        <v>100</v>
      </c>
      <c r="S86" s="1118">
        <f t="shared" si="94"/>
        <v>0.1</v>
      </c>
      <c r="T86" s="1119">
        <f t="shared" si="95"/>
        <v>0</v>
      </c>
      <c r="U86" s="374">
        <f t="shared" si="87"/>
        <v>0</v>
      </c>
      <c r="V86" s="1120">
        <f t="shared" si="88"/>
        <v>0</v>
      </c>
      <c r="W86" s="376">
        <f t="shared" si="89"/>
        <v>0</v>
      </c>
      <c r="X86" s="377">
        <f t="shared" si="90"/>
        <v>0</v>
      </c>
      <c r="Y86" s="378">
        <f t="shared" si="91"/>
        <v>0</v>
      </c>
      <c r="Z86" s="1121">
        <f t="shared" si="92"/>
        <v>0</v>
      </c>
      <c r="AA86" s="1122">
        <f t="shared" si="93"/>
        <v>0.1</v>
      </c>
      <c r="AC86" s="1244"/>
      <c r="AD86" s="1244"/>
      <c r="AE86" s="1244"/>
      <c r="AF86" s="1244"/>
      <c r="AG86" s="1244"/>
      <c r="AH86" s="1244"/>
      <c r="AI86" s="244"/>
      <c r="AJ86" s="244"/>
      <c r="AK86" s="244"/>
      <c r="AL86" s="244"/>
      <c r="AM86" s="244"/>
    </row>
    <row r="87" spans="1:39" ht="15" customHeight="1" thickBot="1">
      <c r="A87" s="5891" t="s">
        <v>220</v>
      </c>
      <c r="B87" s="5892" t="s">
        <v>461</v>
      </c>
      <c r="C87" s="274">
        <f t="shared" si="79"/>
        <v>1.7682291666666674E-4</v>
      </c>
      <c r="D87" s="5863">
        <v>7</v>
      </c>
      <c r="E87" s="5864">
        <v>1</v>
      </c>
      <c r="F87" s="5864">
        <v>1</v>
      </c>
      <c r="G87" s="5864">
        <v>50</v>
      </c>
      <c r="H87" s="1322" t="s">
        <v>558</v>
      </c>
      <c r="I87" s="5882"/>
      <c r="J87" s="1322" t="s">
        <v>1232</v>
      </c>
      <c r="K87" s="5865"/>
      <c r="L87" s="3664">
        <v>3.2210648148148148E-4</v>
      </c>
      <c r="M87" s="5883"/>
      <c r="N87" s="6065"/>
      <c r="O87" s="5813"/>
      <c r="P87" s="4151"/>
      <c r="Q87" s="5871"/>
      <c r="R87" s="5872">
        <f t="shared" ref="R87" si="98">E87*F87*G87</f>
        <v>50</v>
      </c>
      <c r="S87" s="1118">
        <f t="shared" si="94"/>
        <v>0.05</v>
      </c>
      <c r="T87" s="1119">
        <f t="shared" si="95"/>
        <v>0</v>
      </c>
      <c r="U87" s="374">
        <f t="shared" si="87"/>
        <v>0</v>
      </c>
      <c r="V87" s="1120">
        <f t="shared" si="88"/>
        <v>0</v>
      </c>
      <c r="W87" s="376">
        <f t="shared" si="89"/>
        <v>0</v>
      </c>
      <c r="X87" s="377">
        <f t="shared" si="90"/>
        <v>0</v>
      </c>
      <c r="Y87" s="378">
        <f t="shared" si="91"/>
        <v>0</v>
      </c>
      <c r="Z87" s="1121">
        <f t="shared" si="92"/>
        <v>0</v>
      </c>
      <c r="AA87" s="1122">
        <f t="shared" si="93"/>
        <v>0.05</v>
      </c>
      <c r="AC87" s="1244"/>
      <c r="AD87" s="1244"/>
      <c r="AE87" s="1244"/>
      <c r="AF87" s="1244"/>
      <c r="AG87" s="1244"/>
      <c r="AH87" s="1244"/>
      <c r="AI87" s="244"/>
      <c r="AJ87" s="244"/>
      <c r="AK87" s="244"/>
      <c r="AL87" s="244"/>
      <c r="AM87" s="244"/>
    </row>
    <row r="88" spans="1:39" ht="15" customHeight="1" thickBot="1">
      <c r="A88" s="5891" t="s">
        <v>674</v>
      </c>
      <c r="B88" s="5892" t="s">
        <v>461</v>
      </c>
      <c r="C88" s="274">
        <f t="shared" si="79"/>
        <v>1.7682291666666674E-4</v>
      </c>
      <c r="D88" s="4022">
        <v>7</v>
      </c>
      <c r="E88" s="1321">
        <v>1</v>
      </c>
      <c r="F88" s="1321">
        <v>1</v>
      </c>
      <c r="G88" s="5639">
        <v>50</v>
      </c>
      <c r="H88" s="1322" t="s">
        <v>875</v>
      </c>
      <c r="I88" s="3933"/>
      <c r="J88" s="1322" t="s">
        <v>1232</v>
      </c>
      <c r="K88" s="1038"/>
      <c r="L88" s="3664">
        <v>3.3726851851851848E-4</v>
      </c>
      <c r="M88" s="4023"/>
      <c r="N88" s="5638"/>
      <c r="O88" s="4024"/>
      <c r="P88" s="4015"/>
      <c r="Q88" s="4025"/>
      <c r="R88" s="5639">
        <v>50</v>
      </c>
      <c r="S88" s="1118">
        <f t="shared" si="94"/>
        <v>0.05</v>
      </c>
      <c r="T88" s="1119">
        <f t="shared" si="95"/>
        <v>0</v>
      </c>
      <c r="U88" s="374">
        <f t="shared" si="87"/>
        <v>0</v>
      </c>
      <c r="V88" s="1120">
        <f t="shared" si="88"/>
        <v>0</v>
      </c>
      <c r="W88" s="376">
        <f t="shared" si="89"/>
        <v>0</v>
      </c>
      <c r="X88" s="377">
        <f t="shared" si="90"/>
        <v>0</v>
      </c>
      <c r="Y88" s="378">
        <f t="shared" si="91"/>
        <v>0</v>
      </c>
      <c r="Z88" s="1121">
        <f t="shared" si="92"/>
        <v>0</v>
      </c>
      <c r="AA88" s="1122">
        <f t="shared" si="93"/>
        <v>0.05</v>
      </c>
      <c r="AC88" s="1244"/>
      <c r="AD88" s="1244"/>
      <c r="AE88" s="1244"/>
      <c r="AF88" s="1244"/>
      <c r="AG88" s="1244"/>
      <c r="AH88" s="1244"/>
      <c r="AI88" s="244"/>
      <c r="AJ88" s="244"/>
      <c r="AK88" s="244"/>
      <c r="AL88" s="244"/>
      <c r="AM88" s="244"/>
    </row>
    <row r="89" spans="1:39" ht="15" customHeight="1" thickBot="1">
      <c r="A89" s="5891" t="s">
        <v>139</v>
      </c>
      <c r="B89" s="5892" t="s">
        <v>461</v>
      </c>
      <c r="C89" s="274">
        <f t="shared" si="79"/>
        <v>1.7682291666666674E-4</v>
      </c>
      <c r="D89" s="4022">
        <v>7</v>
      </c>
      <c r="E89" s="1321">
        <v>1</v>
      </c>
      <c r="F89" s="1321">
        <v>1</v>
      </c>
      <c r="G89" s="5639">
        <v>200</v>
      </c>
      <c r="H89" s="1322" t="s">
        <v>1904</v>
      </c>
      <c r="I89" s="3933"/>
      <c r="J89" s="1322" t="s">
        <v>1232</v>
      </c>
      <c r="K89" s="1038"/>
      <c r="L89" s="3664">
        <v>1.4844907407407409E-3</v>
      </c>
      <c r="M89" s="5883">
        <v>1</v>
      </c>
      <c r="N89" s="4042" t="s">
        <v>2208</v>
      </c>
      <c r="O89" s="4024"/>
      <c r="P89" s="4015"/>
      <c r="Q89" s="4025"/>
      <c r="R89" s="5639">
        <v>50</v>
      </c>
      <c r="S89" s="1118">
        <f t="shared" ref="S89" si="99">E89*F89*G89/1000</f>
        <v>0.2</v>
      </c>
      <c r="T89" s="1119">
        <f t="shared" ref="T89" si="100">E89*F89*O89*4</f>
        <v>0</v>
      </c>
      <c r="U89" s="374">
        <f t="shared" ref="U89" si="101">IF(C89*4&gt;=$U$4,S89,0)</f>
        <v>0</v>
      </c>
      <c r="V89" s="1120">
        <f t="shared" ref="V89" si="102">IF(AND(C89*4&gt;=$V$4,C89*4&lt;$U$4),S89,0)</f>
        <v>0</v>
      </c>
      <c r="W89" s="376">
        <f t="shared" ref="W89" si="103">IF(AND(C89*4&gt;=$W$4,C89*4&lt;$V$4),S89,0)</f>
        <v>0</v>
      </c>
      <c r="X89" s="377">
        <f t="shared" ref="X89" si="104">IF(AND(C89*4&gt;=$X$4,C89*4&lt;$W$4),S89,0)</f>
        <v>0</v>
      </c>
      <c r="Y89" s="378">
        <f t="shared" ref="Y89" si="105">IF(AND(C89*4&gt;=$Y$4,C89*4&lt;$X$4),S89,0)</f>
        <v>0</v>
      </c>
      <c r="Z89" s="1121">
        <f t="shared" ref="Z89" si="106">IF(AND(C89*4&gt;=$Z$4,C89*4&lt;$Y$4),S89,0)</f>
        <v>0</v>
      </c>
      <c r="AA89" s="1122">
        <f t="shared" ref="AA89" si="107">IF(AND(C89*4&gt;=$AA$4,C89*4&lt;$Z$4),S89,0)</f>
        <v>0.2</v>
      </c>
      <c r="AC89" s="1244"/>
      <c r="AD89" s="1244"/>
      <c r="AE89" s="1244"/>
      <c r="AF89" s="1244"/>
      <c r="AG89" s="1244"/>
      <c r="AH89" s="1244"/>
      <c r="AI89" s="244"/>
      <c r="AJ89" s="244"/>
      <c r="AK89" s="244"/>
      <c r="AL89" s="244"/>
      <c r="AM89" s="244"/>
    </row>
    <row r="90" spans="1:39" ht="16.5" customHeight="1">
      <c r="A90" s="5891" t="s">
        <v>1500</v>
      </c>
      <c r="B90" s="5892" t="s">
        <v>461</v>
      </c>
      <c r="C90" s="274">
        <f t="shared" si="79"/>
        <v>1.7682291666666674E-4</v>
      </c>
      <c r="D90" s="1794">
        <v>7</v>
      </c>
      <c r="E90" s="1321">
        <v>1</v>
      </c>
      <c r="F90" s="1321">
        <v>1</v>
      </c>
      <c r="G90" s="5639">
        <v>50</v>
      </c>
      <c r="H90" s="1322" t="s">
        <v>2200</v>
      </c>
      <c r="I90" s="1322"/>
      <c r="J90" s="1322" t="s">
        <v>1232</v>
      </c>
      <c r="K90" s="1038"/>
      <c r="L90" s="3664">
        <v>3.0381944444444445E-4</v>
      </c>
      <c r="M90" s="1763">
        <v>0.85</v>
      </c>
      <c r="N90" s="4042" t="s">
        <v>2209</v>
      </c>
      <c r="O90" s="1541"/>
      <c r="P90" s="1709"/>
      <c r="Q90" s="4025"/>
      <c r="R90" s="5639">
        <v>50</v>
      </c>
      <c r="S90" s="1118">
        <f t="shared" ref="S90:S91" si="108">E90*F90*G90/1000</f>
        <v>0.05</v>
      </c>
      <c r="T90" s="1119">
        <f t="shared" ref="T90:T91" si="109">E90*F90*O90*4</f>
        <v>0</v>
      </c>
      <c r="U90" s="374">
        <f t="shared" ref="U90:U91" si="110">IF(C90*4&gt;=$U$4,S90,0)</f>
        <v>0</v>
      </c>
      <c r="V90" s="1120">
        <f t="shared" ref="V90:V91" si="111">IF(AND(C90*4&gt;=$V$4,C90*4&lt;$U$4),S90,0)</f>
        <v>0</v>
      </c>
      <c r="W90" s="376">
        <f t="shared" ref="W90:W91" si="112">IF(AND(C90*4&gt;=$W$4,C90*4&lt;$V$4),S90,0)</f>
        <v>0</v>
      </c>
      <c r="X90" s="377">
        <f t="shared" ref="X90:X91" si="113">IF(AND(C90*4&gt;=$X$4,C90*4&lt;$W$4),S90,0)</f>
        <v>0</v>
      </c>
      <c r="Y90" s="378">
        <f t="shared" ref="Y90:Y91" si="114">IF(AND(C90*4&gt;=$Y$4,C90*4&lt;$X$4),S90,0)</f>
        <v>0</v>
      </c>
      <c r="Z90" s="1121">
        <f t="shared" ref="Z90:Z91" si="115">IF(AND(C90*4&gt;=$Z$4,C90*4&lt;$Y$4),S90,0)</f>
        <v>0</v>
      </c>
      <c r="AA90" s="1122">
        <f t="shared" ref="AA90:AA91" si="116">IF(AND(C90*4&gt;=$AA$4,C90*4&lt;$Z$4),S90,0)</f>
        <v>0.05</v>
      </c>
      <c r="AB90" s="1277">
        <f>SUM(U90:AA90)</f>
        <v>0.05</v>
      </c>
      <c r="AC90" s="1211">
        <v>0</v>
      </c>
      <c r="AD90" s="1211">
        <v>0</v>
      </c>
    </row>
    <row r="91" spans="1:39" ht="18" customHeight="1" thickBot="1">
      <c r="A91" s="4162"/>
      <c r="B91" s="4163"/>
      <c r="C91" s="5780"/>
      <c r="D91" s="5873"/>
      <c r="E91" s="5874"/>
      <c r="F91" s="5874"/>
      <c r="G91" s="5874"/>
      <c r="H91" s="5875"/>
      <c r="I91" s="5875"/>
      <c r="J91" s="5875"/>
      <c r="K91" s="5876">
        <v>2</v>
      </c>
      <c r="L91" s="2182"/>
      <c r="M91" s="5790"/>
      <c r="N91" s="5785"/>
      <c r="O91" s="5877"/>
      <c r="P91" s="5877"/>
      <c r="Q91" s="5878"/>
      <c r="R91" s="5879">
        <f>SUM(R85:R90)</f>
        <v>5100</v>
      </c>
      <c r="S91" s="1118">
        <f t="shared" si="108"/>
        <v>0</v>
      </c>
      <c r="T91" s="1119">
        <f t="shared" si="109"/>
        <v>0</v>
      </c>
      <c r="U91" s="374">
        <f t="shared" si="110"/>
        <v>0</v>
      </c>
      <c r="V91" s="1120">
        <f t="shared" si="111"/>
        <v>0</v>
      </c>
      <c r="W91" s="376">
        <f t="shared" si="112"/>
        <v>0</v>
      </c>
      <c r="X91" s="377">
        <f t="shared" si="113"/>
        <v>0</v>
      </c>
      <c r="Y91" s="378">
        <f t="shared" si="114"/>
        <v>0</v>
      </c>
      <c r="Z91" s="1121">
        <f t="shared" si="115"/>
        <v>0</v>
      </c>
      <c r="AA91" s="1122">
        <f t="shared" si="116"/>
        <v>0</v>
      </c>
    </row>
    <row r="92" spans="1:39" ht="13" thickTop="1" thickBot="1">
      <c r="A92" s="1211" t="s">
        <v>219</v>
      </c>
      <c r="B92" s="1211" t="e" cm="1">
        <f t="array" ref="B92">B91:B89A</f>
        <v>#NAME?</v>
      </c>
      <c r="C92" s="1211"/>
      <c r="D92" s="1211"/>
      <c r="E92" s="1211"/>
      <c r="F92" s="1211"/>
      <c r="G92" s="1211"/>
      <c r="H92" s="1211"/>
      <c r="I92" s="1211"/>
      <c r="J92" s="1211"/>
      <c r="K92" s="1211"/>
      <c r="L92" s="1211"/>
      <c r="M92" s="1211"/>
      <c r="N92" s="1211"/>
      <c r="O92" s="1211"/>
      <c r="P92" s="1211"/>
      <c r="Q92" s="1211"/>
      <c r="R92" s="1211"/>
      <c r="S92" s="1274"/>
      <c r="T92" s="1275"/>
      <c r="U92" s="3247">
        <f t="shared" ref="U92:AA92" si="117">SUM(U8:U91)</f>
        <v>1.48</v>
      </c>
      <c r="V92" s="3247">
        <f t="shared" si="117"/>
        <v>1.0900000000000001</v>
      </c>
      <c r="W92" s="3247">
        <f t="shared" si="117"/>
        <v>3.9999999999999996</v>
      </c>
      <c r="X92" s="3247">
        <f t="shared" si="117"/>
        <v>1.6099999999999999</v>
      </c>
      <c r="Y92" s="3247">
        <f t="shared" si="117"/>
        <v>0.9</v>
      </c>
      <c r="Z92" s="3247">
        <f t="shared" si="117"/>
        <v>2.5000000000000004</v>
      </c>
      <c r="AA92" s="3247">
        <f t="shared" si="117"/>
        <v>7.8624999999999989</v>
      </c>
    </row>
    <row r="93" spans="1:39" ht="15.75" customHeight="1" thickTop="1">
      <c r="A93" s="1211"/>
      <c r="B93" s="1211"/>
      <c r="C93" s="1211"/>
      <c r="D93" s="1211"/>
      <c r="E93" s="1211"/>
      <c r="F93" s="1211"/>
      <c r="G93" s="1211"/>
      <c r="H93" s="1211"/>
      <c r="I93" s="1211"/>
      <c r="J93" s="1211"/>
      <c r="K93" s="1211"/>
      <c r="L93" s="1211"/>
      <c r="M93" s="1211"/>
      <c r="N93" s="1211"/>
      <c r="O93" s="1211"/>
      <c r="P93" s="1211"/>
      <c r="Q93" s="1211"/>
      <c r="R93" s="1211"/>
      <c r="S93" s="1211"/>
      <c r="T93" s="1211"/>
      <c r="U93" s="1211">
        <f t="shared" ref="U93:AA108" si="118">IF(U92&gt;0,U92,U91)</f>
        <v>1.48</v>
      </c>
      <c r="V93" s="1211">
        <f t="shared" si="118"/>
        <v>1.0900000000000001</v>
      </c>
      <c r="W93" s="1211">
        <f t="shared" si="118"/>
        <v>3.9999999999999996</v>
      </c>
      <c r="X93" s="1211">
        <f t="shared" si="118"/>
        <v>1.6099999999999999</v>
      </c>
      <c r="Y93" s="1211">
        <f t="shared" si="118"/>
        <v>0.9</v>
      </c>
      <c r="Z93" s="1211">
        <f t="shared" si="118"/>
        <v>2.5000000000000004</v>
      </c>
      <c r="AA93" s="1211">
        <f t="shared" si="118"/>
        <v>7.8624999999999989</v>
      </c>
    </row>
    <row r="94" spans="1:39" ht="16.5" customHeight="1">
      <c r="A94" s="1211"/>
      <c r="B94" s="1211"/>
      <c r="C94" s="1211"/>
      <c r="D94" s="1211"/>
      <c r="E94" s="1211"/>
      <c r="F94" s="1211"/>
      <c r="G94" s="1211"/>
      <c r="H94" s="1211"/>
      <c r="I94" s="1211"/>
      <c r="J94" s="1211"/>
      <c r="K94" s="1211"/>
      <c r="L94" s="1211"/>
      <c r="M94" s="1211"/>
      <c r="N94" s="1211"/>
      <c r="O94" s="1211"/>
      <c r="P94" s="1211"/>
      <c r="Q94" s="1211"/>
      <c r="R94" s="1211"/>
      <c r="S94" s="1211"/>
      <c r="T94" s="1211"/>
      <c r="U94" s="1211">
        <f t="shared" si="118"/>
        <v>1.48</v>
      </c>
      <c r="V94" s="1211">
        <f t="shared" si="118"/>
        <v>1.0900000000000001</v>
      </c>
      <c r="W94" s="1211">
        <f t="shared" si="118"/>
        <v>3.9999999999999996</v>
      </c>
      <c r="X94" s="1211">
        <f t="shared" si="118"/>
        <v>1.6099999999999999</v>
      </c>
      <c r="Y94" s="1211">
        <f t="shared" si="118"/>
        <v>0.9</v>
      </c>
      <c r="Z94" s="1211">
        <f t="shared" si="118"/>
        <v>2.5000000000000004</v>
      </c>
      <c r="AA94" s="1211">
        <f t="shared" si="118"/>
        <v>7.8624999999999989</v>
      </c>
      <c r="AB94" s="220"/>
      <c r="AC94" s="1221" t="s">
        <v>714</v>
      </c>
      <c r="AI94" s="220"/>
    </row>
    <row r="95" spans="1:39">
      <c r="A95" s="1211"/>
      <c r="B95" s="1211"/>
      <c r="C95" s="1211"/>
      <c r="D95" s="1211"/>
      <c r="E95" s="1211"/>
      <c r="F95" s="1211"/>
      <c r="G95" s="1211"/>
      <c r="H95" s="1211"/>
      <c r="I95" s="1211"/>
      <c r="J95" s="1211"/>
      <c r="K95" s="1211"/>
      <c r="L95" s="1211"/>
      <c r="M95" s="1211"/>
      <c r="N95" s="1211"/>
      <c r="O95" s="1211"/>
      <c r="P95" s="1211"/>
      <c r="Q95" s="1211"/>
      <c r="R95" s="1211"/>
      <c r="S95" s="1211"/>
      <c r="T95" s="1211"/>
      <c r="U95" s="1211">
        <f t="shared" si="118"/>
        <v>1.48</v>
      </c>
      <c r="V95" s="1211">
        <f t="shared" si="118"/>
        <v>1.0900000000000001</v>
      </c>
      <c r="W95" s="1211">
        <f t="shared" si="118"/>
        <v>3.9999999999999996</v>
      </c>
      <c r="X95" s="1211">
        <f t="shared" si="118"/>
        <v>1.6099999999999999</v>
      </c>
      <c r="Y95" s="1211">
        <f t="shared" si="118"/>
        <v>0.9</v>
      </c>
      <c r="Z95" s="1211">
        <f t="shared" si="118"/>
        <v>2.5000000000000004</v>
      </c>
      <c r="AA95" s="1211">
        <f t="shared" si="118"/>
        <v>7.8624999999999989</v>
      </c>
      <c r="AB95" s="220"/>
      <c r="AC95" s="1229" t="s">
        <v>715</v>
      </c>
      <c r="AD95" s="1230"/>
      <c r="AE95" s="1230"/>
      <c r="AF95" s="1230"/>
      <c r="AG95" s="1230"/>
      <c r="AH95" s="1230"/>
      <c r="AI95" s="220"/>
    </row>
    <row r="96" spans="1:39">
      <c r="A96" s="1211"/>
      <c r="B96" s="1211"/>
      <c r="C96" s="1211"/>
      <c r="D96" s="1211"/>
      <c r="E96" s="1211"/>
      <c r="F96" s="1211"/>
      <c r="G96" s="1211"/>
      <c r="H96" s="1211"/>
      <c r="I96" s="1211"/>
      <c r="J96" s="1211"/>
      <c r="K96" s="1211"/>
      <c r="L96" s="1211"/>
      <c r="M96" s="1211"/>
      <c r="N96" s="1211"/>
      <c r="O96" s="1211"/>
      <c r="P96" s="1211"/>
      <c r="Q96" s="1211"/>
      <c r="R96" s="1211"/>
      <c r="S96" s="1211"/>
      <c r="T96" s="1211"/>
      <c r="U96" s="1211">
        <f t="shared" si="118"/>
        <v>1.48</v>
      </c>
      <c r="V96" s="1211">
        <f t="shared" si="118"/>
        <v>1.0900000000000001</v>
      </c>
      <c r="W96" s="1211">
        <f t="shared" si="118"/>
        <v>3.9999999999999996</v>
      </c>
      <c r="X96" s="1211">
        <f t="shared" si="118"/>
        <v>1.6099999999999999</v>
      </c>
      <c r="Y96" s="1211">
        <f t="shared" si="118"/>
        <v>0.9</v>
      </c>
      <c r="Z96" s="1211">
        <f t="shared" si="118"/>
        <v>2.5000000000000004</v>
      </c>
      <c r="AA96" s="1211">
        <f t="shared" si="118"/>
        <v>7.8624999999999989</v>
      </c>
      <c r="AB96" s="220"/>
      <c r="AC96" s="1244">
        <v>0</v>
      </c>
      <c r="AD96" s="1244">
        <v>0</v>
      </c>
      <c r="AE96" s="1244">
        <v>0</v>
      </c>
      <c r="AF96" s="1244">
        <v>0</v>
      </c>
      <c r="AG96" s="1244">
        <v>0</v>
      </c>
      <c r="AH96" s="1244">
        <v>0</v>
      </c>
      <c r="AI96" s="220"/>
    </row>
    <row r="97" spans="1:35">
      <c r="A97" s="1211"/>
      <c r="B97" s="1211"/>
      <c r="C97" s="1211"/>
      <c r="D97" s="1211"/>
      <c r="E97" s="1211"/>
      <c r="F97" s="1211"/>
      <c r="G97" s="1211"/>
      <c r="H97" s="1211"/>
      <c r="I97" s="1211"/>
      <c r="J97" s="1211"/>
      <c r="K97" s="1211"/>
      <c r="L97" s="1211"/>
      <c r="M97" s="1211"/>
      <c r="N97" s="1211"/>
      <c r="O97" s="1211"/>
      <c r="P97" s="1211"/>
      <c r="Q97" s="1211"/>
      <c r="R97" s="1211"/>
      <c r="S97" s="1211"/>
      <c r="T97" s="1211"/>
      <c r="U97" s="1211">
        <f t="shared" si="118"/>
        <v>1.48</v>
      </c>
      <c r="V97" s="1211">
        <f t="shared" si="118"/>
        <v>1.0900000000000001</v>
      </c>
      <c r="W97" s="1211">
        <f t="shared" si="118"/>
        <v>3.9999999999999996</v>
      </c>
      <c r="X97" s="1211">
        <f t="shared" si="118"/>
        <v>1.6099999999999999</v>
      </c>
      <c r="Y97" s="1211">
        <f t="shared" si="118"/>
        <v>0.9</v>
      </c>
      <c r="Z97" s="1211">
        <f t="shared" si="118"/>
        <v>2.5000000000000004</v>
      </c>
      <c r="AA97" s="1211">
        <f t="shared" si="118"/>
        <v>7.8624999999999989</v>
      </c>
      <c r="AB97" s="220"/>
      <c r="AC97" s="1244"/>
      <c r="AD97" s="1244"/>
      <c r="AE97" s="1244"/>
      <c r="AF97" s="1244"/>
      <c r="AG97" s="1244"/>
      <c r="AH97" s="1244"/>
      <c r="AI97" s="220"/>
    </row>
    <row r="98" spans="1:35">
      <c r="A98" s="1211"/>
      <c r="B98" s="1211"/>
      <c r="C98" s="1211"/>
      <c r="D98" s="1211"/>
      <c r="E98" s="1211"/>
      <c r="F98" s="1211"/>
      <c r="G98" s="1211"/>
      <c r="H98" s="1211"/>
      <c r="I98" s="1211"/>
      <c r="J98" s="1211"/>
      <c r="K98" s="1211"/>
      <c r="L98" s="1211"/>
      <c r="M98" s="1211"/>
      <c r="N98" s="1211"/>
      <c r="O98" s="1211"/>
      <c r="P98" s="1211"/>
      <c r="Q98" s="1211"/>
      <c r="R98" s="1211"/>
      <c r="S98" s="1211"/>
      <c r="T98" s="1211"/>
      <c r="U98" s="1211">
        <f t="shared" si="118"/>
        <v>1.48</v>
      </c>
      <c r="V98" s="1211">
        <f t="shared" si="118"/>
        <v>1.0900000000000001</v>
      </c>
      <c r="W98" s="1211">
        <f t="shared" si="118"/>
        <v>3.9999999999999996</v>
      </c>
      <c r="X98" s="1211">
        <f t="shared" si="118"/>
        <v>1.6099999999999999</v>
      </c>
      <c r="Y98" s="1211">
        <f t="shared" si="118"/>
        <v>0.9</v>
      </c>
      <c r="Z98" s="1211">
        <f t="shared" si="118"/>
        <v>2.5000000000000004</v>
      </c>
      <c r="AA98" s="1211">
        <f t="shared" si="118"/>
        <v>7.8624999999999989</v>
      </c>
      <c r="AB98" s="220"/>
      <c r="AC98" s="1244"/>
      <c r="AD98" s="1244"/>
      <c r="AE98" s="1244"/>
      <c r="AF98" s="1244"/>
      <c r="AG98" s="1244"/>
      <c r="AH98" s="1244"/>
      <c r="AI98" s="220"/>
    </row>
    <row r="99" spans="1:35">
      <c r="A99" s="1211"/>
      <c r="B99" s="1211"/>
      <c r="C99" s="1211"/>
      <c r="D99" s="1211"/>
      <c r="E99" s="1211"/>
      <c r="F99" s="1211"/>
      <c r="G99" s="1211"/>
      <c r="H99" s="1211"/>
      <c r="I99" s="1211"/>
      <c r="J99" s="1211"/>
      <c r="K99" s="1211"/>
      <c r="L99" s="1211"/>
      <c r="M99" s="1211"/>
      <c r="N99" s="1211"/>
      <c r="O99" s="1211"/>
      <c r="P99" s="1211"/>
      <c r="Q99" s="1211"/>
      <c r="R99" s="1211"/>
      <c r="S99" s="1211"/>
      <c r="T99" s="1211"/>
      <c r="U99" s="1211">
        <f t="shared" si="118"/>
        <v>1.48</v>
      </c>
      <c r="V99" s="1211">
        <f t="shared" si="118"/>
        <v>1.0900000000000001</v>
      </c>
      <c r="W99" s="1211">
        <f t="shared" si="118"/>
        <v>3.9999999999999996</v>
      </c>
      <c r="X99" s="1211">
        <f t="shared" si="118"/>
        <v>1.6099999999999999</v>
      </c>
      <c r="Y99" s="1211">
        <f t="shared" si="118"/>
        <v>0.9</v>
      </c>
      <c r="Z99" s="1211">
        <f t="shared" si="118"/>
        <v>2.5000000000000004</v>
      </c>
      <c r="AA99" s="1211">
        <f t="shared" si="118"/>
        <v>7.8624999999999989</v>
      </c>
      <c r="AB99" s="220"/>
      <c r="AC99" s="1244">
        <v>0</v>
      </c>
      <c r="AD99" s="1244">
        <v>0</v>
      </c>
      <c r="AE99" s="1244">
        <v>0</v>
      </c>
      <c r="AF99" s="1244">
        <v>0</v>
      </c>
      <c r="AG99" s="1244">
        <v>0</v>
      </c>
      <c r="AH99" s="1244">
        <v>0</v>
      </c>
      <c r="AI99" s="220"/>
    </row>
    <row r="100" spans="1:35">
      <c r="A100" s="1211"/>
      <c r="B100" s="1211"/>
      <c r="C100" s="1211"/>
      <c r="D100" s="1211"/>
      <c r="E100" s="1211"/>
      <c r="F100" s="1211"/>
      <c r="G100" s="1211"/>
      <c r="H100" s="1211"/>
      <c r="I100" s="1211"/>
      <c r="J100" s="1211"/>
      <c r="K100" s="1211"/>
      <c r="L100" s="1211"/>
      <c r="M100" s="1211">
        <f>+K100</f>
        <v>0</v>
      </c>
      <c r="N100" s="1211"/>
      <c r="O100" s="1211"/>
      <c r="P100" s="1211"/>
      <c r="Q100" s="1211"/>
      <c r="R100" s="1211"/>
      <c r="S100" s="1211"/>
      <c r="T100" s="1211"/>
      <c r="U100" s="1211">
        <f t="shared" si="118"/>
        <v>1.48</v>
      </c>
      <c r="V100" s="1211">
        <f t="shared" si="118"/>
        <v>1.0900000000000001</v>
      </c>
      <c r="W100" s="1211">
        <f t="shared" si="118"/>
        <v>3.9999999999999996</v>
      </c>
      <c r="X100" s="1211">
        <f t="shared" si="118"/>
        <v>1.6099999999999999</v>
      </c>
      <c r="Y100" s="1211">
        <f t="shared" si="118"/>
        <v>0.9</v>
      </c>
      <c r="Z100" s="1211">
        <f t="shared" si="118"/>
        <v>2.5000000000000004</v>
      </c>
      <c r="AA100" s="1211">
        <f t="shared" si="118"/>
        <v>7.8624999999999989</v>
      </c>
      <c r="AC100" s="1244">
        <v>0</v>
      </c>
      <c r="AD100" s="1244">
        <v>0</v>
      </c>
      <c r="AE100" s="1244">
        <v>0</v>
      </c>
      <c r="AF100" s="1244">
        <v>0</v>
      </c>
      <c r="AG100" s="1244">
        <v>0</v>
      </c>
      <c r="AH100" s="1244">
        <v>0</v>
      </c>
      <c r="AI100" s="244"/>
    </row>
    <row r="101" spans="1:35">
      <c r="A101" s="1211"/>
      <c r="B101" s="1211"/>
      <c r="C101" s="1211"/>
      <c r="D101" s="1211"/>
      <c r="E101" s="1211"/>
      <c r="F101" s="1211"/>
      <c r="G101" s="1211"/>
      <c r="H101" s="1211"/>
      <c r="I101" s="1211"/>
      <c r="J101" s="1211"/>
      <c r="K101" s="1211"/>
      <c r="L101" s="1211"/>
      <c r="M101" s="1211"/>
      <c r="N101" s="1211"/>
      <c r="O101" s="1211"/>
      <c r="P101" s="1211"/>
      <c r="Q101" s="1211"/>
      <c r="R101" s="1211"/>
      <c r="S101" s="1211"/>
      <c r="T101" s="1211"/>
      <c r="U101" s="1211">
        <f t="shared" si="118"/>
        <v>1.48</v>
      </c>
      <c r="V101" s="1211">
        <f t="shared" si="118"/>
        <v>1.0900000000000001</v>
      </c>
      <c r="W101" s="1211">
        <f t="shared" si="118"/>
        <v>3.9999999999999996</v>
      </c>
      <c r="X101" s="1211">
        <f t="shared" si="118"/>
        <v>1.6099999999999999</v>
      </c>
      <c r="Y101" s="1211">
        <f t="shared" si="118"/>
        <v>0.9</v>
      </c>
      <c r="Z101" s="1211">
        <f t="shared" si="118"/>
        <v>2.5000000000000004</v>
      </c>
      <c r="AA101" s="1211">
        <f t="shared" si="118"/>
        <v>7.8624999999999989</v>
      </c>
      <c r="AC101" s="1244"/>
      <c r="AD101" s="1244"/>
      <c r="AE101" s="1244"/>
      <c r="AF101" s="1244"/>
      <c r="AG101" s="1244"/>
      <c r="AH101" s="1244"/>
      <c r="AI101" s="244"/>
    </row>
    <row r="102" spans="1:35">
      <c r="A102" s="1211"/>
      <c r="B102" s="1211"/>
      <c r="C102" s="1211"/>
      <c r="D102" s="1211"/>
      <c r="E102" s="1211"/>
      <c r="F102" s="1211"/>
      <c r="G102" s="1211"/>
      <c r="H102" s="1211"/>
      <c r="I102" s="1211"/>
      <c r="J102" s="1211"/>
      <c r="K102" s="1211"/>
      <c r="L102" s="1211"/>
      <c r="M102" s="1211"/>
      <c r="N102" s="1211"/>
      <c r="O102" s="1211"/>
      <c r="P102" s="1211"/>
      <c r="Q102" s="1211"/>
      <c r="R102" s="1211"/>
      <c r="S102" s="1211"/>
      <c r="T102" s="1211"/>
      <c r="U102" s="1211">
        <f t="shared" si="118"/>
        <v>1.48</v>
      </c>
      <c r="V102" s="1211">
        <f t="shared" si="118"/>
        <v>1.0900000000000001</v>
      </c>
      <c r="W102" s="1211">
        <f t="shared" si="118"/>
        <v>3.9999999999999996</v>
      </c>
      <c r="X102" s="1211">
        <f t="shared" si="118"/>
        <v>1.6099999999999999</v>
      </c>
      <c r="Y102" s="1211">
        <f t="shared" si="118"/>
        <v>0.9</v>
      </c>
      <c r="Z102" s="1211">
        <f t="shared" si="118"/>
        <v>2.5000000000000004</v>
      </c>
      <c r="AA102" s="1211">
        <f t="shared" si="118"/>
        <v>7.8624999999999989</v>
      </c>
      <c r="AC102" s="1244"/>
      <c r="AD102" s="1244"/>
      <c r="AE102" s="1244"/>
      <c r="AF102" s="1244"/>
      <c r="AG102" s="1244"/>
      <c r="AH102" s="1244"/>
      <c r="AI102" s="244"/>
    </row>
    <row r="103" spans="1:35">
      <c r="A103" s="1211"/>
      <c r="B103" s="1211"/>
      <c r="C103" s="1211"/>
      <c r="D103" s="1211"/>
      <c r="E103" s="1211"/>
      <c r="F103" s="1211"/>
      <c r="G103" s="1211"/>
      <c r="H103" s="1211"/>
      <c r="I103" s="1211"/>
      <c r="J103" s="1211"/>
      <c r="K103" s="1211"/>
      <c r="L103" s="1211"/>
      <c r="M103" s="1211"/>
      <c r="N103" s="1211"/>
      <c r="O103" s="1211"/>
      <c r="P103" s="1211"/>
      <c r="Q103" s="1211"/>
      <c r="R103" s="1211"/>
      <c r="S103" s="1211"/>
      <c r="T103" s="1211"/>
      <c r="U103" s="1211">
        <f t="shared" si="118"/>
        <v>1.48</v>
      </c>
      <c r="V103" s="1211">
        <f t="shared" si="118"/>
        <v>1.0900000000000001</v>
      </c>
      <c r="W103" s="1211">
        <f t="shared" si="118"/>
        <v>3.9999999999999996</v>
      </c>
      <c r="X103" s="1211">
        <f t="shared" si="118"/>
        <v>1.6099999999999999</v>
      </c>
      <c r="Y103" s="1211">
        <f t="shared" si="118"/>
        <v>0.9</v>
      </c>
      <c r="Z103" s="1211">
        <f t="shared" si="118"/>
        <v>2.5000000000000004</v>
      </c>
      <c r="AA103" s="1211">
        <f t="shared" si="118"/>
        <v>7.8624999999999989</v>
      </c>
      <c r="AC103" s="1244">
        <v>0</v>
      </c>
      <c r="AD103" s="1244">
        <v>0</v>
      </c>
      <c r="AE103" s="1244">
        <v>0</v>
      </c>
      <c r="AF103" s="1244">
        <v>0</v>
      </c>
      <c r="AG103" s="1244">
        <v>0</v>
      </c>
      <c r="AH103" s="1244">
        <v>0</v>
      </c>
      <c r="AI103" s="244"/>
    </row>
    <row r="104" spans="1:35">
      <c r="A104" s="1211"/>
      <c r="B104" s="1211"/>
      <c r="C104" s="1211"/>
      <c r="D104" s="1211"/>
      <c r="E104" s="1211"/>
      <c r="F104" s="1211"/>
      <c r="G104" s="1211"/>
      <c r="H104" s="1211"/>
      <c r="I104" s="1211"/>
      <c r="J104" s="1211"/>
      <c r="K104" s="1211"/>
      <c r="L104" s="1211"/>
      <c r="M104" s="1211"/>
      <c r="N104" s="1211"/>
      <c r="O104" s="1211"/>
      <c r="P104" s="1211"/>
      <c r="Q104" s="1211"/>
      <c r="R104" s="1211"/>
      <c r="S104" s="1211"/>
      <c r="T104" s="1211"/>
      <c r="U104" s="1211">
        <f t="shared" si="118"/>
        <v>1.48</v>
      </c>
      <c r="V104" s="1211">
        <f t="shared" si="118"/>
        <v>1.0900000000000001</v>
      </c>
      <c r="W104" s="1211">
        <f t="shared" si="118"/>
        <v>3.9999999999999996</v>
      </c>
      <c r="X104" s="1211">
        <f t="shared" si="118"/>
        <v>1.6099999999999999</v>
      </c>
      <c r="Y104" s="1211">
        <f t="shared" si="118"/>
        <v>0.9</v>
      </c>
      <c r="Z104" s="1211">
        <f t="shared" si="118"/>
        <v>2.5000000000000004</v>
      </c>
      <c r="AA104" s="1211">
        <f t="shared" si="118"/>
        <v>7.8624999999999989</v>
      </c>
      <c r="AC104" s="1244">
        <v>0</v>
      </c>
      <c r="AD104" s="1244">
        <v>0</v>
      </c>
      <c r="AE104" s="1244">
        <v>0</v>
      </c>
      <c r="AF104" s="1244">
        <v>0</v>
      </c>
      <c r="AG104" s="1244">
        <v>0</v>
      </c>
      <c r="AH104" s="1244">
        <v>0</v>
      </c>
      <c r="AI104" s="244"/>
    </row>
    <row r="105" spans="1:35">
      <c r="A105" s="1211"/>
      <c r="B105" s="1211"/>
      <c r="C105" s="1211"/>
      <c r="D105" s="1211"/>
      <c r="E105" s="1211"/>
      <c r="F105" s="1211"/>
      <c r="G105" s="1211"/>
      <c r="H105" s="1211"/>
      <c r="I105" s="1211"/>
      <c r="J105" s="1211"/>
      <c r="K105" s="1211"/>
      <c r="L105" s="1211"/>
      <c r="M105" s="1211"/>
      <c r="N105" s="1211"/>
      <c r="O105" s="1211"/>
      <c r="P105" s="1211"/>
      <c r="Q105" s="1211"/>
      <c r="R105" s="1211"/>
      <c r="S105" s="1211"/>
      <c r="T105" s="1211"/>
      <c r="U105" s="1211">
        <f t="shared" si="118"/>
        <v>1.48</v>
      </c>
      <c r="V105" s="1211">
        <f t="shared" si="118"/>
        <v>1.0900000000000001</v>
      </c>
      <c r="W105" s="1211">
        <f t="shared" si="118"/>
        <v>3.9999999999999996</v>
      </c>
      <c r="X105" s="1211">
        <f t="shared" si="118"/>
        <v>1.6099999999999999</v>
      </c>
      <c r="Y105" s="1211">
        <f t="shared" si="118"/>
        <v>0.9</v>
      </c>
      <c r="Z105" s="1211">
        <f t="shared" si="118"/>
        <v>2.5000000000000004</v>
      </c>
      <c r="AA105" s="1211">
        <f t="shared" si="118"/>
        <v>7.8624999999999989</v>
      </c>
      <c r="AC105" s="1244">
        <v>0</v>
      </c>
      <c r="AD105" s="1244">
        <v>0</v>
      </c>
      <c r="AE105" s="1244">
        <v>0</v>
      </c>
      <c r="AF105" s="1244">
        <v>0</v>
      </c>
      <c r="AG105" s="1244">
        <v>0</v>
      </c>
      <c r="AH105" s="1244">
        <v>0</v>
      </c>
      <c r="AI105" s="244"/>
    </row>
    <row r="106" spans="1:35">
      <c r="A106" s="1211"/>
      <c r="B106" s="1211"/>
      <c r="C106" s="1211"/>
      <c r="D106" s="1211"/>
      <c r="E106" s="1211"/>
      <c r="F106" s="1211"/>
      <c r="G106" s="1211"/>
      <c r="H106" s="1211"/>
      <c r="I106" s="1211"/>
      <c r="J106" s="1211"/>
      <c r="K106" s="1211"/>
      <c r="L106" s="1211"/>
      <c r="M106" s="1211"/>
      <c r="N106" s="1211"/>
      <c r="O106" s="1211"/>
      <c r="P106" s="1211"/>
      <c r="Q106" s="1211"/>
      <c r="R106" s="1211"/>
      <c r="S106" s="1211"/>
      <c r="T106" s="1211"/>
      <c r="U106" s="1211">
        <f t="shared" si="118"/>
        <v>1.48</v>
      </c>
      <c r="V106" s="1211">
        <f t="shared" si="118"/>
        <v>1.0900000000000001</v>
      </c>
      <c r="W106" s="1211">
        <f t="shared" si="118"/>
        <v>3.9999999999999996</v>
      </c>
      <c r="X106" s="1211">
        <f t="shared" si="118"/>
        <v>1.6099999999999999</v>
      </c>
      <c r="Y106" s="1211">
        <f t="shared" si="118"/>
        <v>0.9</v>
      </c>
      <c r="Z106" s="1211">
        <f t="shared" si="118"/>
        <v>2.5000000000000004</v>
      </c>
      <c r="AA106" s="1211">
        <f t="shared" si="118"/>
        <v>7.8624999999999989</v>
      </c>
      <c r="AC106" s="1244">
        <v>0</v>
      </c>
      <c r="AD106" s="1244">
        <v>0</v>
      </c>
      <c r="AE106" s="1244">
        <v>0</v>
      </c>
      <c r="AF106" s="1244">
        <v>0</v>
      </c>
      <c r="AG106" s="1244">
        <v>0</v>
      </c>
      <c r="AH106" s="1244">
        <v>0</v>
      </c>
      <c r="AI106" s="244"/>
    </row>
    <row r="107" spans="1:35">
      <c r="A107" s="1211"/>
      <c r="B107" s="1211"/>
      <c r="C107" s="1211"/>
      <c r="D107" s="1211"/>
      <c r="E107" s="1211"/>
      <c r="F107" s="1211"/>
      <c r="G107" s="1211"/>
      <c r="H107" s="1211"/>
      <c r="I107" s="1211"/>
      <c r="J107" s="1211"/>
      <c r="K107" s="1211"/>
      <c r="L107" s="1211"/>
      <c r="M107" s="1211"/>
      <c r="N107" s="1211"/>
      <c r="O107" s="1211"/>
      <c r="P107" s="1211"/>
      <c r="Q107" s="1211"/>
      <c r="R107" s="1211"/>
      <c r="S107" s="1211"/>
      <c r="T107" s="1211"/>
      <c r="U107" s="1211">
        <f t="shared" si="118"/>
        <v>1.48</v>
      </c>
      <c r="V107" s="1211">
        <f t="shared" si="118"/>
        <v>1.0900000000000001</v>
      </c>
      <c r="W107" s="1211">
        <f t="shared" si="118"/>
        <v>3.9999999999999996</v>
      </c>
      <c r="X107" s="1211">
        <f t="shared" si="118"/>
        <v>1.6099999999999999</v>
      </c>
      <c r="Y107" s="1211">
        <f t="shared" si="118"/>
        <v>0.9</v>
      </c>
      <c r="Z107" s="1211">
        <f t="shared" si="118"/>
        <v>2.5000000000000004</v>
      </c>
      <c r="AA107" s="1211">
        <f t="shared" si="118"/>
        <v>7.8624999999999989</v>
      </c>
      <c r="AC107" s="1244"/>
      <c r="AD107" s="1244"/>
      <c r="AE107" s="1244"/>
      <c r="AF107" s="1244"/>
      <c r="AG107" s="1244"/>
      <c r="AH107" s="1244"/>
      <c r="AI107" s="244"/>
    </row>
    <row r="108" spans="1:35">
      <c r="A108" s="1211"/>
      <c r="B108" s="1211"/>
      <c r="C108" s="1211"/>
      <c r="D108" s="1211"/>
      <c r="E108" s="1211"/>
      <c r="F108" s="1211"/>
      <c r="G108" s="1211"/>
      <c r="H108" s="1211"/>
      <c r="I108" s="1211"/>
      <c r="J108" s="1211"/>
      <c r="K108" s="1211"/>
      <c r="L108" s="1211"/>
      <c r="M108" s="1211"/>
      <c r="N108" s="1211"/>
      <c r="O108" s="1211"/>
      <c r="P108" s="1211"/>
      <c r="Q108" s="1211"/>
      <c r="R108" s="1211"/>
      <c r="S108" s="1211"/>
      <c r="T108" s="1211"/>
      <c r="U108" s="1211">
        <f t="shared" si="118"/>
        <v>1.48</v>
      </c>
      <c r="V108" s="1211">
        <f t="shared" si="118"/>
        <v>1.0900000000000001</v>
      </c>
      <c r="W108" s="1211">
        <f t="shared" si="118"/>
        <v>3.9999999999999996</v>
      </c>
      <c r="X108" s="1211">
        <f t="shared" si="118"/>
        <v>1.6099999999999999</v>
      </c>
      <c r="Y108" s="1211">
        <f t="shared" si="118"/>
        <v>0.9</v>
      </c>
      <c r="Z108" s="1211">
        <f t="shared" si="118"/>
        <v>2.5000000000000004</v>
      </c>
      <c r="AA108" s="1211">
        <f t="shared" si="118"/>
        <v>7.8624999999999989</v>
      </c>
      <c r="AC108" s="1244"/>
      <c r="AD108" s="1244"/>
      <c r="AE108" s="1244"/>
      <c r="AF108" s="1244"/>
      <c r="AG108" s="1244"/>
      <c r="AH108" s="1244"/>
      <c r="AI108" s="244"/>
    </row>
    <row r="109" spans="1:35">
      <c r="A109" s="1211"/>
      <c r="B109" s="1211"/>
      <c r="C109" s="1211"/>
      <c r="D109" s="1211"/>
      <c r="E109" s="1211"/>
      <c r="F109" s="1211"/>
      <c r="G109" s="1211"/>
      <c r="H109" s="1211"/>
      <c r="I109" s="1211"/>
      <c r="J109" s="1211"/>
      <c r="K109" s="1211"/>
      <c r="L109" s="1211"/>
      <c r="M109" s="1211"/>
      <c r="N109" s="1211"/>
      <c r="O109" s="1211"/>
      <c r="P109" s="1211"/>
      <c r="Q109" s="1211"/>
      <c r="R109" s="1211"/>
      <c r="S109" s="1211"/>
      <c r="T109" s="1211"/>
      <c r="U109" s="1211">
        <f t="shared" ref="U109:AA124" si="119">IF(U108&gt;0,U108,U107)</f>
        <v>1.48</v>
      </c>
      <c r="V109" s="1211">
        <f t="shared" si="119"/>
        <v>1.0900000000000001</v>
      </c>
      <c r="W109" s="1211">
        <f t="shared" si="119"/>
        <v>3.9999999999999996</v>
      </c>
      <c r="X109" s="1211">
        <f t="shared" si="119"/>
        <v>1.6099999999999999</v>
      </c>
      <c r="Y109" s="1211">
        <f t="shared" si="119"/>
        <v>0.9</v>
      </c>
      <c r="Z109" s="1211">
        <f t="shared" si="119"/>
        <v>2.5000000000000004</v>
      </c>
      <c r="AA109" s="1211">
        <f t="shared" si="119"/>
        <v>7.8624999999999989</v>
      </c>
      <c r="AC109" s="1244">
        <v>0</v>
      </c>
      <c r="AD109" s="1244">
        <v>0</v>
      </c>
      <c r="AE109" s="1244">
        <v>0</v>
      </c>
      <c r="AF109" s="1244">
        <v>0</v>
      </c>
      <c r="AG109" s="1244">
        <v>0</v>
      </c>
      <c r="AH109" s="1244">
        <v>0</v>
      </c>
      <c r="AI109" s="244"/>
    </row>
    <row r="110" spans="1:35">
      <c r="A110" s="1211"/>
      <c r="B110" s="1211"/>
      <c r="C110" s="1211"/>
      <c r="D110" s="1211"/>
      <c r="E110" s="1211"/>
      <c r="F110" s="1211"/>
      <c r="G110" s="1211"/>
      <c r="H110" s="1211"/>
      <c r="I110" s="1211"/>
      <c r="J110" s="1211"/>
      <c r="K110" s="1211"/>
      <c r="L110" s="1211"/>
      <c r="M110" s="1211"/>
      <c r="N110" s="1211"/>
      <c r="O110" s="1211"/>
      <c r="P110" s="1211"/>
      <c r="Q110" s="1211"/>
      <c r="R110" s="1211"/>
      <c r="S110" s="1211"/>
      <c r="T110" s="1211"/>
      <c r="U110" s="1211">
        <f t="shared" si="119"/>
        <v>1.48</v>
      </c>
      <c r="V110" s="1211">
        <f t="shared" si="119"/>
        <v>1.0900000000000001</v>
      </c>
      <c r="W110" s="1211">
        <f t="shared" si="119"/>
        <v>3.9999999999999996</v>
      </c>
      <c r="X110" s="1211">
        <f t="shared" si="119"/>
        <v>1.6099999999999999</v>
      </c>
      <c r="Y110" s="1211">
        <f t="shared" si="119"/>
        <v>0.9</v>
      </c>
      <c r="Z110" s="1211">
        <f t="shared" si="119"/>
        <v>2.5000000000000004</v>
      </c>
      <c r="AA110" s="1211">
        <f t="shared" si="119"/>
        <v>7.8624999999999989</v>
      </c>
      <c r="AC110" s="1244">
        <v>0</v>
      </c>
      <c r="AD110" s="1244">
        <v>0</v>
      </c>
      <c r="AE110" s="1244">
        <v>0</v>
      </c>
      <c r="AF110" s="1244">
        <v>0</v>
      </c>
      <c r="AG110" s="1244">
        <v>0</v>
      </c>
      <c r="AH110" s="1244">
        <v>0</v>
      </c>
      <c r="AI110" s="244"/>
    </row>
    <row r="111" spans="1:35">
      <c r="A111" s="1211"/>
      <c r="B111" s="1211"/>
      <c r="C111" s="1211"/>
      <c r="D111" s="1211"/>
      <c r="E111" s="1211"/>
      <c r="F111" s="1211"/>
      <c r="G111" s="1211"/>
      <c r="H111" s="1211"/>
      <c r="I111" s="1211"/>
      <c r="J111" s="1211"/>
      <c r="K111" s="1211"/>
      <c r="L111" s="1211"/>
      <c r="M111" s="1211"/>
      <c r="N111" s="1211"/>
      <c r="O111" s="1211"/>
      <c r="P111" s="1211"/>
      <c r="Q111" s="1211"/>
      <c r="R111" s="1211"/>
      <c r="S111" s="1211"/>
      <c r="T111" s="1211"/>
      <c r="U111" s="1211">
        <f t="shared" si="119"/>
        <v>1.48</v>
      </c>
      <c r="V111" s="1211">
        <f t="shared" si="119"/>
        <v>1.0900000000000001</v>
      </c>
      <c r="W111" s="1211">
        <f t="shared" si="119"/>
        <v>3.9999999999999996</v>
      </c>
      <c r="X111" s="1211">
        <f t="shared" si="119"/>
        <v>1.6099999999999999</v>
      </c>
      <c r="Y111" s="1211">
        <f t="shared" si="119"/>
        <v>0.9</v>
      </c>
      <c r="Z111" s="1211">
        <f t="shared" si="119"/>
        <v>2.5000000000000004</v>
      </c>
      <c r="AA111" s="1211">
        <f t="shared" si="119"/>
        <v>7.8624999999999989</v>
      </c>
      <c r="AC111" s="1244">
        <v>0</v>
      </c>
      <c r="AD111" s="1244">
        <v>0</v>
      </c>
      <c r="AE111" s="1244">
        <v>0</v>
      </c>
      <c r="AF111" s="1244">
        <v>0</v>
      </c>
      <c r="AG111" s="1244">
        <v>0</v>
      </c>
      <c r="AH111" s="1244">
        <v>0</v>
      </c>
      <c r="AI111" s="244"/>
    </row>
    <row r="112" spans="1:35">
      <c r="A112" s="1211"/>
      <c r="B112" s="1211"/>
      <c r="C112" s="1211"/>
      <c r="D112" s="1211"/>
      <c r="E112" s="1211"/>
      <c r="F112" s="1211"/>
      <c r="G112" s="1211"/>
      <c r="H112" s="1211"/>
      <c r="I112" s="1211"/>
      <c r="J112" s="1211"/>
      <c r="K112" s="1211"/>
      <c r="L112" s="1211"/>
      <c r="M112" s="1211"/>
      <c r="N112" s="1211"/>
      <c r="O112" s="1211"/>
      <c r="P112" s="1211"/>
      <c r="Q112" s="1211"/>
      <c r="R112" s="1211"/>
      <c r="S112" s="1211"/>
      <c r="T112" s="1211"/>
      <c r="U112" s="1211">
        <f t="shared" si="119"/>
        <v>1.48</v>
      </c>
      <c r="V112" s="1211">
        <f t="shared" si="119"/>
        <v>1.0900000000000001</v>
      </c>
      <c r="W112" s="1211">
        <f t="shared" si="119"/>
        <v>3.9999999999999996</v>
      </c>
      <c r="X112" s="1211">
        <f t="shared" si="119"/>
        <v>1.6099999999999999</v>
      </c>
      <c r="Y112" s="1211">
        <f t="shared" si="119"/>
        <v>0.9</v>
      </c>
      <c r="Z112" s="1211">
        <f t="shared" si="119"/>
        <v>2.5000000000000004</v>
      </c>
      <c r="AA112" s="1211">
        <f t="shared" si="119"/>
        <v>7.8624999999999989</v>
      </c>
      <c r="AC112" s="1244"/>
      <c r="AD112" s="1244"/>
      <c r="AE112" s="1244"/>
      <c r="AF112" s="1244"/>
      <c r="AG112" s="1244"/>
      <c r="AH112" s="1244"/>
      <c r="AI112" s="244"/>
    </row>
    <row r="113" spans="1:35">
      <c r="A113" s="1211"/>
      <c r="B113" s="1211"/>
      <c r="C113" s="1211"/>
      <c r="D113" s="1211"/>
      <c r="E113" s="1211"/>
      <c r="F113" s="1211"/>
      <c r="G113" s="1211"/>
      <c r="H113" s="1211"/>
      <c r="I113" s="1211"/>
      <c r="J113" s="1211"/>
      <c r="K113" s="1211"/>
      <c r="L113" s="1211"/>
      <c r="M113" s="1211"/>
      <c r="N113" s="1211"/>
      <c r="O113" s="1211"/>
      <c r="P113" s="1211"/>
      <c r="Q113" s="1211"/>
      <c r="R113" s="1211"/>
      <c r="S113" s="1211"/>
      <c r="T113" s="1211"/>
      <c r="U113" s="1211">
        <f t="shared" si="119"/>
        <v>1.48</v>
      </c>
      <c r="V113" s="1211">
        <f t="shared" si="119"/>
        <v>1.0900000000000001</v>
      </c>
      <c r="W113" s="1211">
        <f t="shared" si="119"/>
        <v>3.9999999999999996</v>
      </c>
      <c r="X113" s="1211">
        <f t="shared" si="119"/>
        <v>1.6099999999999999</v>
      </c>
      <c r="Y113" s="1211">
        <f t="shared" si="119"/>
        <v>0.9</v>
      </c>
      <c r="Z113" s="1211">
        <f t="shared" si="119"/>
        <v>2.5000000000000004</v>
      </c>
      <c r="AA113" s="1211">
        <f t="shared" si="119"/>
        <v>7.8624999999999989</v>
      </c>
      <c r="AC113" s="1244"/>
      <c r="AD113" s="1244"/>
      <c r="AE113" s="1244"/>
      <c r="AF113" s="1244"/>
      <c r="AG113" s="1244"/>
      <c r="AH113" s="1244"/>
      <c r="AI113" s="244"/>
    </row>
    <row r="114" spans="1:35">
      <c r="A114" s="1211"/>
      <c r="B114" s="1211"/>
      <c r="C114" s="1211"/>
      <c r="D114" s="1211"/>
      <c r="E114" s="1211"/>
      <c r="F114" s="1211"/>
      <c r="G114" s="1211"/>
      <c r="H114" s="1211"/>
      <c r="I114" s="1211"/>
      <c r="J114" s="1211"/>
      <c r="K114" s="1211"/>
      <c r="L114" s="1211"/>
      <c r="M114" s="1211"/>
      <c r="N114" s="1211"/>
      <c r="O114" s="1211"/>
      <c r="P114" s="1211"/>
      <c r="Q114" s="1211"/>
      <c r="R114" s="1211"/>
      <c r="S114" s="1211"/>
      <c r="T114" s="1211"/>
      <c r="U114" s="1211">
        <f t="shared" si="119"/>
        <v>1.48</v>
      </c>
      <c r="V114" s="1211">
        <f t="shared" si="119"/>
        <v>1.0900000000000001</v>
      </c>
      <c r="W114" s="1211">
        <f t="shared" si="119"/>
        <v>3.9999999999999996</v>
      </c>
      <c r="X114" s="1211">
        <f t="shared" si="119"/>
        <v>1.6099999999999999</v>
      </c>
      <c r="Y114" s="1211">
        <f t="shared" si="119"/>
        <v>0.9</v>
      </c>
      <c r="Z114" s="1211">
        <f t="shared" si="119"/>
        <v>2.5000000000000004</v>
      </c>
      <c r="AA114" s="1211">
        <f t="shared" si="119"/>
        <v>7.8624999999999989</v>
      </c>
      <c r="AC114" s="1244">
        <v>0</v>
      </c>
      <c r="AD114" s="1244">
        <v>0</v>
      </c>
      <c r="AE114" s="1244">
        <v>0</v>
      </c>
      <c r="AF114" s="1244">
        <v>0</v>
      </c>
      <c r="AG114" s="1244">
        <v>0</v>
      </c>
      <c r="AH114" s="1244">
        <v>0</v>
      </c>
      <c r="AI114" s="244"/>
    </row>
    <row r="115" spans="1:35">
      <c r="A115" s="1211"/>
      <c r="B115" s="1211"/>
      <c r="C115" s="1211"/>
      <c r="D115" s="1211"/>
      <c r="E115" s="1211"/>
      <c r="F115" s="1211"/>
      <c r="G115" s="1211"/>
      <c r="H115" s="1211"/>
      <c r="I115" s="1211"/>
      <c r="J115" s="1211"/>
      <c r="K115" s="1211"/>
      <c r="L115" s="1211"/>
      <c r="M115" s="1211"/>
      <c r="N115" s="1211"/>
      <c r="O115" s="1211"/>
      <c r="P115" s="1211"/>
      <c r="Q115" s="1211"/>
      <c r="R115" s="1211"/>
      <c r="S115" s="1211"/>
      <c r="T115" s="1211"/>
      <c r="U115" s="1211">
        <f t="shared" si="119"/>
        <v>1.48</v>
      </c>
      <c r="V115" s="1211">
        <f t="shared" si="119"/>
        <v>1.0900000000000001</v>
      </c>
      <c r="W115" s="1211">
        <f t="shared" si="119"/>
        <v>3.9999999999999996</v>
      </c>
      <c r="X115" s="1211">
        <f t="shared" si="119"/>
        <v>1.6099999999999999</v>
      </c>
      <c r="Y115" s="1211">
        <f t="shared" si="119"/>
        <v>0.9</v>
      </c>
      <c r="Z115" s="1211">
        <f t="shared" si="119"/>
        <v>2.5000000000000004</v>
      </c>
      <c r="AA115" s="1211">
        <f t="shared" si="119"/>
        <v>7.8624999999999989</v>
      </c>
      <c r="AC115" s="1244">
        <v>0</v>
      </c>
      <c r="AD115" s="1244">
        <v>0</v>
      </c>
      <c r="AE115" s="1244">
        <v>0</v>
      </c>
      <c r="AF115" s="1244">
        <v>0</v>
      </c>
      <c r="AG115" s="1244">
        <v>0</v>
      </c>
      <c r="AH115" s="1244">
        <v>0</v>
      </c>
      <c r="AI115" s="244"/>
    </row>
    <row r="116" spans="1:35">
      <c r="A116" s="1211"/>
      <c r="B116" s="1211"/>
      <c r="C116" s="1211"/>
      <c r="D116" s="1211"/>
      <c r="E116" s="1211"/>
      <c r="F116" s="1211"/>
      <c r="G116" s="1211"/>
      <c r="H116" s="1211"/>
      <c r="I116" s="1211"/>
      <c r="J116" s="1211"/>
      <c r="K116" s="1211"/>
      <c r="L116" s="1211"/>
      <c r="M116" s="1211"/>
      <c r="N116" s="1211"/>
      <c r="O116" s="1211"/>
      <c r="P116" s="1211"/>
      <c r="Q116" s="1211"/>
      <c r="R116" s="1211"/>
      <c r="S116" s="1211"/>
      <c r="T116" s="1211"/>
      <c r="U116" s="1211">
        <f t="shared" si="119"/>
        <v>1.48</v>
      </c>
      <c r="V116" s="1211">
        <f t="shared" si="119"/>
        <v>1.0900000000000001</v>
      </c>
      <c r="W116" s="1211">
        <f t="shared" si="119"/>
        <v>3.9999999999999996</v>
      </c>
      <c r="X116" s="1211">
        <f t="shared" si="119"/>
        <v>1.6099999999999999</v>
      </c>
      <c r="Y116" s="1211">
        <f t="shared" si="119"/>
        <v>0.9</v>
      </c>
      <c r="Z116" s="1211">
        <f t="shared" si="119"/>
        <v>2.5000000000000004</v>
      </c>
      <c r="AA116" s="1211">
        <f t="shared" si="119"/>
        <v>7.8624999999999989</v>
      </c>
      <c r="AC116" s="1244">
        <v>0</v>
      </c>
      <c r="AD116" s="1244">
        <v>0</v>
      </c>
      <c r="AE116" s="1244">
        <v>0</v>
      </c>
      <c r="AF116" s="1244">
        <v>0</v>
      </c>
      <c r="AG116" s="1244">
        <v>0</v>
      </c>
      <c r="AH116" s="1244">
        <v>0</v>
      </c>
      <c r="AI116" s="244"/>
    </row>
    <row r="117" spans="1:35">
      <c r="A117" s="1211"/>
      <c r="B117" s="1211"/>
      <c r="C117" s="1211"/>
      <c r="D117" s="1211"/>
      <c r="E117" s="1211"/>
      <c r="F117" s="1211"/>
      <c r="G117" s="1211"/>
      <c r="H117" s="1211"/>
      <c r="I117" s="1211"/>
      <c r="J117" s="1211"/>
      <c r="K117" s="1211"/>
      <c r="L117" s="1211"/>
      <c r="M117" s="1211"/>
      <c r="N117" s="1211"/>
      <c r="O117" s="1211"/>
      <c r="P117" s="1211"/>
      <c r="Q117" s="1211"/>
      <c r="R117" s="1211"/>
      <c r="S117" s="1211"/>
      <c r="T117" s="1211"/>
      <c r="U117" s="1211">
        <f t="shared" si="119"/>
        <v>1.48</v>
      </c>
      <c r="V117" s="1211">
        <f t="shared" si="119"/>
        <v>1.0900000000000001</v>
      </c>
      <c r="W117" s="1211">
        <f t="shared" si="119"/>
        <v>3.9999999999999996</v>
      </c>
      <c r="X117" s="1211">
        <f t="shared" si="119"/>
        <v>1.6099999999999999</v>
      </c>
      <c r="Y117" s="1211">
        <f t="shared" si="119"/>
        <v>0.9</v>
      </c>
      <c r="Z117" s="1211">
        <f t="shared" si="119"/>
        <v>2.5000000000000004</v>
      </c>
      <c r="AA117" s="1211">
        <f t="shared" si="119"/>
        <v>7.8624999999999989</v>
      </c>
      <c r="AC117" s="1244"/>
      <c r="AD117" s="1244"/>
      <c r="AE117" s="1244"/>
      <c r="AF117" s="1244"/>
      <c r="AG117" s="1244"/>
      <c r="AH117" s="1244"/>
      <c r="AI117" s="244"/>
    </row>
    <row r="118" spans="1:35">
      <c r="A118" s="1211"/>
      <c r="B118" s="1211"/>
      <c r="C118" s="1211"/>
      <c r="D118" s="1211"/>
      <c r="E118" s="1211"/>
      <c r="F118" s="1211"/>
      <c r="G118" s="1211"/>
      <c r="H118" s="1211"/>
      <c r="I118" s="1211"/>
      <c r="J118" s="1211"/>
      <c r="K118" s="1211"/>
      <c r="L118" s="1211"/>
      <c r="M118" s="1211"/>
      <c r="N118" s="1211"/>
      <c r="O118" s="1211"/>
      <c r="P118" s="1211"/>
      <c r="Q118" s="1211"/>
      <c r="R118" s="1211"/>
      <c r="S118" s="1211"/>
      <c r="T118" s="1211"/>
      <c r="U118" s="1211">
        <f t="shared" si="119"/>
        <v>1.48</v>
      </c>
      <c r="V118" s="1211">
        <f t="shared" si="119"/>
        <v>1.0900000000000001</v>
      </c>
      <c r="W118" s="1211">
        <f t="shared" si="119"/>
        <v>3.9999999999999996</v>
      </c>
      <c r="X118" s="1211">
        <f t="shared" si="119"/>
        <v>1.6099999999999999</v>
      </c>
      <c r="Y118" s="1211">
        <f t="shared" si="119"/>
        <v>0.9</v>
      </c>
      <c r="Z118" s="1211">
        <f t="shared" si="119"/>
        <v>2.5000000000000004</v>
      </c>
      <c r="AA118" s="1211">
        <f t="shared" si="119"/>
        <v>7.8624999999999989</v>
      </c>
      <c r="AC118" s="1244"/>
      <c r="AD118" s="1244"/>
      <c r="AE118" s="1244"/>
      <c r="AF118" s="1244"/>
      <c r="AG118" s="1244"/>
      <c r="AH118" s="1244"/>
      <c r="AI118" s="244"/>
    </row>
    <row r="119" spans="1:35">
      <c r="A119" s="1211"/>
      <c r="B119" s="1211"/>
      <c r="C119" s="1211"/>
      <c r="D119" s="1211"/>
      <c r="E119" s="1211"/>
      <c r="F119" s="1211"/>
      <c r="G119" s="1211"/>
      <c r="H119" s="1211"/>
      <c r="I119" s="1211"/>
      <c r="J119" s="1211"/>
      <c r="K119" s="1211"/>
      <c r="L119" s="1211"/>
      <c r="M119" s="1211"/>
      <c r="N119" s="1211"/>
      <c r="O119" s="1211"/>
      <c r="P119" s="1211"/>
      <c r="Q119" s="1211"/>
      <c r="R119" s="1211"/>
      <c r="S119" s="1211"/>
      <c r="T119" s="1211"/>
      <c r="U119" s="1211">
        <f t="shared" si="119"/>
        <v>1.48</v>
      </c>
      <c r="V119" s="1211">
        <f t="shared" si="119"/>
        <v>1.0900000000000001</v>
      </c>
      <c r="W119" s="1211">
        <f t="shared" si="119"/>
        <v>3.9999999999999996</v>
      </c>
      <c r="X119" s="1211">
        <f t="shared" si="119"/>
        <v>1.6099999999999999</v>
      </c>
      <c r="Y119" s="1211">
        <f t="shared" si="119"/>
        <v>0.9</v>
      </c>
      <c r="Z119" s="1211">
        <f t="shared" si="119"/>
        <v>2.5000000000000004</v>
      </c>
      <c r="AA119" s="1211">
        <f t="shared" si="119"/>
        <v>7.8624999999999989</v>
      </c>
      <c r="AC119" s="1244">
        <v>0</v>
      </c>
      <c r="AD119" s="1244">
        <v>0</v>
      </c>
      <c r="AE119" s="1244">
        <v>0</v>
      </c>
      <c r="AF119" s="1244">
        <v>0</v>
      </c>
      <c r="AG119" s="1244">
        <v>0</v>
      </c>
      <c r="AH119" s="1244">
        <v>0</v>
      </c>
      <c r="AI119" s="244"/>
    </row>
    <row r="120" spans="1:35">
      <c r="A120" s="1211"/>
      <c r="B120" s="1211"/>
      <c r="C120" s="1211"/>
      <c r="D120" s="1211"/>
      <c r="E120" s="1211"/>
      <c r="F120" s="1211"/>
      <c r="G120" s="1211"/>
      <c r="H120" s="1211"/>
      <c r="I120" s="1211"/>
      <c r="J120" s="1211"/>
      <c r="K120" s="1211"/>
      <c r="L120" s="1211"/>
      <c r="M120" s="1211"/>
      <c r="N120" s="1211"/>
      <c r="O120" s="1211"/>
      <c r="P120" s="1211"/>
      <c r="Q120" s="1211"/>
      <c r="R120" s="1211"/>
      <c r="S120" s="1211"/>
      <c r="T120" s="1211"/>
      <c r="U120" s="1211">
        <f t="shared" si="119"/>
        <v>1.48</v>
      </c>
      <c r="V120" s="1211">
        <f t="shared" si="119"/>
        <v>1.0900000000000001</v>
      </c>
      <c r="W120" s="1211">
        <f t="shared" si="119"/>
        <v>3.9999999999999996</v>
      </c>
      <c r="X120" s="1211">
        <f t="shared" si="119"/>
        <v>1.6099999999999999</v>
      </c>
      <c r="Y120" s="1211">
        <f t="shared" si="119"/>
        <v>0.9</v>
      </c>
      <c r="Z120" s="1211">
        <f t="shared" si="119"/>
        <v>2.5000000000000004</v>
      </c>
      <c r="AA120" s="1211">
        <f t="shared" si="119"/>
        <v>7.8624999999999989</v>
      </c>
      <c r="AC120" s="1244">
        <v>0</v>
      </c>
      <c r="AD120" s="1244">
        <v>0</v>
      </c>
      <c r="AE120" s="1244">
        <v>0</v>
      </c>
      <c r="AF120" s="1244">
        <v>0</v>
      </c>
      <c r="AG120" s="1244">
        <v>0</v>
      </c>
      <c r="AH120" s="1244">
        <v>0</v>
      </c>
      <c r="AI120" s="244"/>
    </row>
    <row r="121" spans="1:35">
      <c r="A121" s="1211"/>
      <c r="B121" s="1211"/>
      <c r="C121" s="1211"/>
      <c r="D121" s="1211"/>
      <c r="E121" s="1211"/>
      <c r="F121" s="1211"/>
      <c r="G121" s="1211"/>
      <c r="H121" s="1211"/>
      <c r="I121" s="1211"/>
      <c r="J121" s="1211"/>
      <c r="K121" s="1211"/>
      <c r="L121" s="1211"/>
      <c r="M121" s="1211"/>
      <c r="N121" s="1211"/>
      <c r="O121" s="1211"/>
      <c r="P121" s="1211"/>
      <c r="Q121" s="1211"/>
      <c r="R121" s="1211"/>
      <c r="S121" s="1211"/>
      <c r="T121" s="1211"/>
      <c r="U121" s="1211">
        <f t="shared" si="119"/>
        <v>1.48</v>
      </c>
      <c r="V121" s="1211">
        <f t="shared" si="119"/>
        <v>1.0900000000000001</v>
      </c>
      <c r="W121" s="1211">
        <f t="shared" si="119"/>
        <v>3.9999999999999996</v>
      </c>
      <c r="X121" s="1211">
        <f t="shared" si="119"/>
        <v>1.6099999999999999</v>
      </c>
      <c r="Y121" s="1211">
        <f t="shared" si="119"/>
        <v>0.9</v>
      </c>
      <c r="Z121" s="1211">
        <f t="shared" si="119"/>
        <v>2.5000000000000004</v>
      </c>
      <c r="AA121" s="1211">
        <f t="shared" si="119"/>
        <v>7.8624999999999989</v>
      </c>
      <c r="AC121" s="1244"/>
      <c r="AD121" s="1244"/>
      <c r="AE121" s="1244"/>
      <c r="AF121" s="1244"/>
      <c r="AG121" s="1244"/>
      <c r="AH121" s="1244"/>
      <c r="AI121" s="244"/>
    </row>
    <row r="122" spans="1:35">
      <c r="A122" s="1211"/>
      <c r="B122" s="1211"/>
      <c r="C122" s="1211"/>
      <c r="D122" s="1211"/>
      <c r="E122" s="1211"/>
      <c r="F122" s="1211"/>
      <c r="G122" s="1211"/>
      <c r="H122" s="1211"/>
      <c r="I122" s="1211"/>
      <c r="J122" s="1211"/>
      <c r="K122" s="1211"/>
      <c r="L122" s="1211"/>
      <c r="M122" s="1211"/>
      <c r="N122" s="1211"/>
      <c r="O122" s="1211"/>
      <c r="P122" s="1211"/>
      <c r="Q122" s="1211"/>
      <c r="R122" s="1211"/>
      <c r="S122" s="1211"/>
      <c r="T122" s="1211"/>
      <c r="U122" s="1211">
        <f t="shared" si="119"/>
        <v>1.48</v>
      </c>
      <c r="V122" s="1211">
        <f t="shared" si="119"/>
        <v>1.0900000000000001</v>
      </c>
      <c r="W122" s="1211">
        <f t="shared" si="119"/>
        <v>3.9999999999999996</v>
      </c>
      <c r="X122" s="1211">
        <f t="shared" si="119"/>
        <v>1.6099999999999999</v>
      </c>
      <c r="Y122" s="1211">
        <f t="shared" si="119"/>
        <v>0.9</v>
      </c>
      <c r="Z122" s="1211">
        <f t="shared" si="119"/>
        <v>2.5000000000000004</v>
      </c>
      <c r="AA122" s="1211">
        <f t="shared" si="119"/>
        <v>7.8624999999999989</v>
      </c>
      <c r="AC122" s="1244"/>
      <c r="AD122" s="1244"/>
      <c r="AE122" s="1244"/>
      <c r="AF122" s="1244"/>
      <c r="AG122" s="1244"/>
      <c r="AH122" s="1244"/>
      <c r="AI122" s="244"/>
    </row>
    <row r="123" spans="1:35">
      <c r="A123" s="1211"/>
      <c r="B123" s="1211"/>
      <c r="C123" s="1211"/>
      <c r="D123" s="1211"/>
      <c r="E123" s="1211"/>
      <c r="F123" s="1211"/>
      <c r="G123" s="1211"/>
      <c r="H123" s="1211"/>
      <c r="I123" s="1211"/>
      <c r="J123" s="1211"/>
      <c r="K123" s="1211"/>
      <c r="L123" s="1211"/>
      <c r="M123" s="1211"/>
      <c r="N123" s="1211"/>
      <c r="O123" s="1211"/>
      <c r="P123" s="1211"/>
      <c r="Q123" s="1211"/>
      <c r="R123" s="1211"/>
      <c r="S123" s="1211"/>
      <c r="T123" s="1211"/>
      <c r="U123" s="1211">
        <f t="shared" si="119"/>
        <v>1.48</v>
      </c>
      <c r="V123" s="1211">
        <f t="shared" si="119"/>
        <v>1.0900000000000001</v>
      </c>
      <c r="W123" s="1211">
        <f t="shared" si="119"/>
        <v>3.9999999999999996</v>
      </c>
      <c r="X123" s="1211">
        <f t="shared" si="119"/>
        <v>1.6099999999999999</v>
      </c>
      <c r="Y123" s="1211">
        <f t="shared" si="119"/>
        <v>0.9</v>
      </c>
      <c r="Z123" s="1211">
        <f t="shared" si="119"/>
        <v>2.5000000000000004</v>
      </c>
      <c r="AA123" s="1211">
        <f t="shared" si="119"/>
        <v>7.8624999999999989</v>
      </c>
      <c r="AC123" s="1244">
        <v>0</v>
      </c>
      <c r="AD123" s="1244">
        <v>0</v>
      </c>
      <c r="AE123" s="1244">
        <v>0</v>
      </c>
      <c r="AF123" s="1244">
        <v>0</v>
      </c>
      <c r="AG123" s="1244">
        <v>0</v>
      </c>
      <c r="AH123" s="1244">
        <v>0</v>
      </c>
      <c r="AI123" s="244"/>
    </row>
    <row r="124" spans="1:35">
      <c r="A124" s="1211"/>
      <c r="B124" s="1211"/>
      <c r="C124" s="1211"/>
      <c r="D124" s="1211"/>
      <c r="E124" s="1211"/>
      <c r="F124" s="1211"/>
      <c r="G124" s="1211"/>
      <c r="H124" s="1211"/>
      <c r="I124" s="1211"/>
      <c r="J124" s="1211"/>
      <c r="K124" s="1211"/>
      <c r="L124" s="1211"/>
      <c r="M124" s="1211"/>
      <c r="N124" s="1211"/>
      <c r="O124" s="1211"/>
      <c r="P124" s="1211"/>
      <c r="Q124" s="1211"/>
      <c r="R124" s="1211"/>
      <c r="S124" s="1211"/>
      <c r="T124" s="1211"/>
      <c r="U124" s="1211">
        <f t="shared" si="119"/>
        <v>1.48</v>
      </c>
      <c r="V124" s="1211">
        <f t="shared" si="119"/>
        <v>1.0900000000000001</v>
      </c>
      <c r="W124" s="1211">
        <f t="shared" si="119"/>
        <v>3.9999999999999996</v>
      </c>
      <c r="X124" s="1211">
        <f t="shared" si="119"/>
        <v>1.6099999999999999</v>
      </c>
      <c r="Y124" s="1211">
        <f t="shared" si="119"/>
        <v>0.9</v>
      </c>
      <c r="Z124" s="1211">
        <f t="shared" si="119"/>
        <v>2.5000000000000004</v>
      </c>
      <c r="AA124" s="1211">
        <f t="shared" si="119"/>
        <v>7.8624999999999989</v>
      </c>
      <c r="AC124" s="1244">
        <v>0</v>
      </c>
      <c r="AD124" s="1244">
        <v>0</v>
      </c>
      <c r="AE124" s="1244">
        <v>0</v>
      </c>
      <c r="AF124" s="1244">
        <v>0</v>
      </c>
      <c r="AG124" s="1244">
        <v>0</v>
      </c>
      <c r="AH124" s="1244">
        <v>0</v>
      </c>
      <c r="AI124" s="244"/>
    </row>
    <row r="125" spans="1:35">
      <c r="A125" s="1211"/>
      <c r="B125" s="1211"/>
      <c r="C125" s="1211"/>
      <c r="D125" s="1211"/>
      <c r="E125" s="1211"/>
      <c r="F125" s="1211"/>
      <c r="G125" s="1211"/>
      <c r="H125" s="1211"/>
      <c r="I125" s="1211"/>
      <c r="J125" s="1211"/>
      <c r="K125" s="1211"/>
      <c r="L125" s="1211"/>
      <c r="M125" s="1211"/>
      <c r="N125" s="1211"/>
      <c r="O125" s="1211"/>
      <c r="P125" s="1211"/>
      <c r="Q125" s="1211"/>
      <c r="R125" s="1211"/>
      <c r="S125" s="1211"/>
      <c r="T125" s="1211"/>
      <c r="U125" s="1211">
        <f t="shared" ref="U125:AA140" si="120">IF(U124&gt;0,U124,U123)</f>
        <v>1.48</v>
      </c>
      <c r="V125" s="1211">
        <f t="shared" si="120"/>
        <v>1.0900000000000001</v>
      </c>
      <c r="W125" s="1211">
        <f t="shared" si="120"/>
        <v>3.9999999999999996</v>
      </c>
      <c r="X125" s="1211">
        <f t="shared" si="120"/>
        <v>1.6099999999999999</v>
      </c>
      <c r="Y125" s="1211">
        <f t="shared" si="120"/>
        <v>0.9</v>
      </c>
      <c r="Z125" s="1211">
        <f t="shared" si="120"/>
        <v>2.5000000000000004</v>
      </c>
      <c r="AA125" s="1211">
        <f t="shared" si="120"/>
        <v>7.8624999999999989</v>
      </c>
      <c r="AC125" s="1244">
        <v>0</v>
      </c>
      <c r="AD125" s="1244">
        <v>0</v>
      </c>
      <c r="AE125" s="1244">
        <v>0</v>
      </c>
      <c r="AF125" s="1244">
        <v>0</v>
      </c>
      <c r="AG125" s="1244">
        <v>0</v>
      </c>
      <c r="AH125" s="1244">
        <v>0</v>
      </c>
      <c r="AI125" s="244"/>
    </row>
    <row r="126" spans="1:35">
      <c r="A126" s="1211"/>
      <c r="B126" s="1211"/>
      <c r="C126" s="1211"/>
      <c r="D126" s="1211"/>
      <c r="E126" s="1211"/>
      <c r="F126" s="1211"/>
      <c r="G126" s="1211"/>
      <c r="H126" s="1211"/>
      <c r="I126" s="1211"/>
      <c r="J126" s="1211"/>
      <c r="K126" s="1211"/>
      <c r="L126" s="1211"/>
      <c r="M126" s="1211"/>
      <c r="N126" s="1211"/>
      <c r="O126" s="1211"/>
      <c r="P126" s="1211"/>
      <c r="Q126" s="1211"/>
      <c r="R126" s="1211"/>
      <c r="S126" s="1211"/>
      <c r="T126" s="1211"/>
      <c r="U126" s="1211">
        <f t="shared" si="120"/>
        <v>1.48</v>
      </c>
      <c r="V126" s="1211">
        <f t="shared" si="120"/>
        <v>1.0900000000000001</v>
      </c>
      <c r="W126" s="1211">
        <f t="shared" si="120"/>
        <v>3.9999999999999996</v>
      </c>
      <c r="X126" s="1211">
        <f t="shared" si="120"/>
        <v>1.6099999999999999</v>
      </c>
      <c r="Y126" s="1211">
        <f t="shared" si="120"/>
        <v>0.9</v>
      </c>
      <c r="Z126" s="1211">
        <f t="shared" si="120"/>
        <v>2.5000000000000004</v>
      </c>
      <c r="AA126" s="1211">
        <f t="shared" si="120"/>
        <v>7.8624999999999989</v>
      </c>
      <c r="AC126" s="1244">
        <v>0</v>
      </c>
      <c r="AD126" s="1244">
        <v>0</v>
      </c>
      <c r="AE126" s="1244">
        <v>0</v>
      </c>
      <c r="AF126" s="1244">
        <v>0</v>
      </c>
      <c r="AG126" s="1244">
        <v>0</v>
      </c>
      <c r="AH126" s="1244">
        <v>0</v>
      </c>
      <c r="AI126" s="244"/>
    </row>
    <row r="127" spans="1:35">
      <c r="A127" s="1211"/>
      <c r="B127" s="1211"/>
      <c r="C127" s="1211"/>
      <c r="D127" s="1211"/>
      <c r="E127" s="1211"/>
      <c r="F127" s="1211"/>
      <c r="G127" s="1211"/>
      <c r="H127" s="1211"/>
      <c r="I127" s="1211"/>
      <c r="J127" s="1211"/>
      <c r="K127" s="1211"/>
      <c r="L127" s="1211"/>
      <c r="M127" s="1211"/>
      <c r="N127" s="1211"/>
      <c r="O127" s="1211"/>
      <c r="P127" s="1211"/>
      <c r="Q127" s="1211"/>
      <c r="R127" s="1211"/>
      <c r="S127" s="1211"/>
      <c r="T127" s="1211"/>
      <c r="U127" s="1211">
        <f t="shared" si="120"/>
        <v>1.48</v>
      </c>
      <c r="V127" s="1211">
        <f t="shared" si="120"/>
        <v>1.0900000000000001</v>
      </c>
      <c r="W127" s="1211">
        <f t="shared" si="120"/>
        <v>3.9999999999999996</v>
      </c>
      <c r="X127" s="1211">
        <f t="shared" si="120"/>
        <v>1.6099999999999999</v>
      </c>
      <c r="Y127" s="1211">
        <f t="shared" si="120"/>
        <v>0.9</v>
      </c>
      <c r="Z127" s="1211">
        <f t="shared" si="120"/>
        <v>2.5000000000000004</v>
      </c>
      <c r="AA127" s="1211">
        <f t="shared" si="120"/>
        <v>7.8624999999999989</v>
      </c>
      <c r="AC127" s="1244"/>
      <c r="AD127" s="1244"/>
      <c r="AE127" s="1244"/>
      <c r="AF127" s="1244"/>
      <c r="AG127" s="1244"/>
      <c r="AH127" s="1244"/>
      <c r="AI127" s="244"/>
    </row>
    <row r="128" spans="1:35">
      <c r="A128" s="1211"/>
      <c r="B128" s="1211"/>
      <c r="C128" s="1211"/>
      <c r="D128" s="1211"/>
      <c r="E128" s="1211"/>
      <c r="F128" s="1211"/>
      <c r="G128" s="1211"/>
      <c r="H128" s="1211"/>
      <c r="I128" s="1211"/>
      <c r="J128" s="1211"/>
      <c r="K128" s="1211"/>
      <c r="L128" s="1211"/>
      <c r="M128" s="1211"/>
      <c r="N128" s="1211"/>
      <c r="O128" s="1211"/>
      <c r="P128" s="1211"/>
      <c r="Q128" s="1211"/>
      <c r="R128" s="1211"/>
      <c r="S128" s="1211"/>
      <c r="T128" s="1211"/>
      <c r="U128" s="1211">
        <f t="shared" si="120"/>
        <v>1.48</v>
      </c>
      <c r="V128" s="1211">
        <f t="shared" si="120"/>
        <v>1.0900000000000001</v>
      </c>
      <c r="W128" s="1211">
        <f t="shared" si="120"/>
        <v>3.9999999999999996</v>
      </c>
      <c r="X128" s="1211">
        <f t="shared" si="120"/>
        <v>1.6099999999999999</v>
      </c>
      <c r="Y128" s="1211">
        <f t="shared" si="120"/>
        <v>0.9</v>
      </c>
      <c r="Z128" s="1211">
        <f t="shared" si="120"/>
        <v>2.5000000000000004</v>
      </c>
      <c r="AA128" s="1211">
        <f t="shared" si="120"/>
        <v>7.8624999999999989</v>
      </c>
      <c r="AC128" s="1244">
        <v>0</v>
      </c>
      <c r="AD128" s="1244">
        <v>0</v>
      </c>
      <c r="AE128" s="1244">
        <v>0</v>
      </c>
      <c r="AF128" s="1244">
        <v>0</v>
      </c>
      <c r="AG128" s="1244">
        <v>0</v>
      </c>
      <c r="AH128" s="1244">
        <v>0</v>
      </c>
      <c r="AI128" s="244"/>
    </row>
    <row r="129" spans="1:35">
      <c r="A129" s="1211"/>
      <c r="B129" s="1211"/>
      <c r="C129" s="1211"/>
      <c r="D129" s="1211"/>
      <c r="E129" s="1211"/>
      <c r="F129" s="1211"/>
      <c r="G129" s="1211"/>
      <c r="H129" s="1211"/>
      <c r="I129" s="1211"/>
      <c r="J129" s="1211"/>
      <c r="K129" s="1211"/>
      <c r="L129" s="1211"/>
      <c r="M129" s="1211"/>
      <c r="N129" s="1211"/>
      <c r="O129" s="1211"/>
      <c r="P129" s="1211"/>
      <c r="Q129" s="1211"/>
      <c r="R129" s="1211"/>
      <c r="S129" s="1211"/>
      <c r="T129" s="1211"/>
      <c r="U129" s="1211">
        <f t="shared" si="120"/>
        <v>1.48</v>
      </c>
      <c r="V129" s="1211">
        <f t="shared" si="120"/>
        <v>1.0900000000000001</v>
      </c>
      <c r="W129" s="1211">
        <f t="shared" si="120"/>
        <v>3.9999999999999996</v>
      </c>
      <c r="X129" s="1211">
        <f t="shared" si="120"/>
        <v>1.6099999999999999</v>
      </c>
      <c r="Y129" s="1211">
        <f t="shared" si="120"/>
        <v>0.9</v>
      </c>
      <c r="Z129" s="1211">
        <f t="shared" si="120"/>
        <v>2.5000000000000004</v>
      </c>
      <c r="AA129" s="1211">
        <f t="shared" si="120"/>
        <v>7.8624999999999989</v>
      </c>
      <c r="AC129" s="1244">
        <v>0</v>
      </c>
      <c r="AD129" s="1244">
        <v>0</v>
      </c>
      <c r="AE129" s="1244">
        <v>0</v>
      </c>
      <c r="AF129" s="1244">
        <v>0</v>
      </c>
      <c r="AG129" s="1244">
        <v>0</v>
      </c>
      <c r="AH129" s="1244">
        <v>0</v>
      </c>
      <c r="AI129" s="244"/>
    </row>
    <row r="130" spans="1:35">
      <c r="A130" s="1211"/>
      <c r="B130" s="1211"/>
      <c r="C130" s="1211"/>
      <c r="D130" s="1211"/>
      <c r="E130" s="1211"/>
      <c r="F130" s="1211"/>
      <c r="G130" s="1211"/>
      <c r="H130" s="1211"/>
      <c r="I130" s="1211"/>
      <c r="J130" s="1211"/>
      <c r="K130" s="1211"/>
      <c r="L130" s="1211"/>
      <c r="M130" s="1211"/>
      <c r="N130" s="1211"/>
      <c r="O130" s="1211"/>
      <c r="P130" s="1211"/>
      <c r="Q130" s="1211"/>
      <c r="R130" s="1211"/>
      <c r="S130" s="1211"/>
      <c r="T130" s="1211"/>
      <c r="U130" s="1211">
        <f t="shared" si="120"/>
        <v>1.48</v>
      </c>
      <c r="V130" s="1211">
        <f t="shared" si="120"/>
        <v>1.0900000000000001</v>
      </c>
      <c r="W130" s="1211">
        <f t="shared" si="120"/>
        <v>3.9999999999999996</v>
      </c>
      <c r="X130" s="1211">
        <f t="shared" si="120"/>
        <v>1.6099999999999999</v>
      </c>
      <c r="Y130" s="1211">
        <f t="shared" si="120"/>
        <v>0.9</v>
      </c>
      <c r="Z130" s="1211">
        <f t="shared" si="120"/>
        <v>2.5000000000000004</v>
      </c>
      <c r="AA130" s="1211">
        <f t="shared" si="120"/>
        <v>7.8624999999999989</v>
      </c>
      <c r="AC130" s="1244"/>
      <c r="AD130" s="1244"/>
      <c r="AE130" s="1244"/>
      <c r="AF130" s="1244"/>
      <c r="AG130" s="1244"/>
      <c r="AH130" s="1244"/>
      <c r="AI130" s="244"/>
    </row>
    <row r="131" spans="1:35">
      <c r="A131" s="1211"/>
      <c r="B131" s="1211"/>
      <c r="C131" s="1211"/>
      <c r="D131" s="1211"/>
      <c r="E131" s="1211"/>
      <c r="F131" s="1211"/>
      <c r="G131" s="1211"/>
      <c r="H131" s="1211"/>
      <c r="I131" s="1211"/>
      <c r="J131" s="1211"/>
      <c r="K131" s="1211"/>
      <c r="L131" s="1211"/>
      <c r="M131" s="1211"/>
      <c r="N131" s="1211"/>
      <c r="O131" s="1211"/>
      <c r="P131" s="1211"/>
      <c r="Q131" s="1211"/>
      <c r="R131" s="1211"/>
      <c r="S131" s="1211"/>
      <c r="T131" s="1211"/>
      <c r="U131" s="1211">
        <f t="shared" si="120"/>
        <v>1.48</v>
      </c>
      <c r="V131" s="1211">
        <f t="shared" si="120"/>
        <v>1.0900000000000001</v>
      </c>
      <c r="W131" s="1211">
        <f t="shared" si="120"/>
        <v>3.9999999999999996</v>
      </c>
      <c r="X131" s="1211">
        <f t="shared" si="120"/>
        <v>1.6099999999999999</v>
      </c>
      <c r="Y131" s="1211">
        <f t="shared" si="120"/>
        <v>0.9</v>
      </c>
      <c r="Z131" s="1211">
        <f t="shared" si="120"/>
        <v>2.5000000000000004</v>
      </c>
      <c r="AA131" s="1211">
        <f t="shared" si="120"/>
        <v>7.8624999999999989</v>
      </c>
      <c r="AC131" s="1244"/>
      <c r="AD131" s="1244"/>
      <c r="AE131" s="1244"/>
      <c r="AF131" s="1244"/>
      <c r="AG131" s="1244"/>
      <c r="AH131" s="1244"/>
      <c r="AI131" s="244"/>
    </row>
    <row r="132" spans="1:35">
      <c r="A132" s="1211"/>
      <c r="B132" s="1211"/>
      <c r="C132" s="1211"/>
      <c r="D132" s="1211"/>
      <c r="E132" s="1211"/>
      <c r="F132" s="1211"/>
      <c r="G132" s="1211"/>
      <c r="H132" s="1211"/>
      <c r="I132" s="1211"/>
      <c r="J132" s="1211"/>
      <c r="K132" s="1211"/>
      <c r="L132" s="1211"/>
      <c r="M132" s="1211"/>
      <c r="N132" s="1211"/>
      <c r="O132" s="1211"/>
      <c r="P132" s="1211"/>
      <c r="Q132" s="1211"/>
      <c r="R132" s="1211"/>
      <c r="S132" s="1211"/>
      <c r="T132" s="1211"/>
      <c r="U132" s="1211">
        <f t="shared" si="120"/>
        <v>1.48</v>
      </c>
      <c r="V132" s="1211">
        <f t="shared" si="120"/>
        <v>1.0900000000000001</v>
      </c>
      <c r="W132" s="1211">
        <f t="shared" si="120"/>
        <v>3.9999999999999996</v>
      </c>
      <c r="X132" s="1211">
        <f t="shared" si="120"/>
        <v>1.6099999999999999</v>
      </c>
      <c r="Y132" s="1211">
        <f t="shared" si="120"/>
        <v>0.9</v>
      </c>
      <c r="Z132" s="1211">
        <f t="shared" si="120"/>
        <v>2.5000000000000004</v>
      </c>
      <c r="AA132" s="1211">
        <f t="shared" si="120"/>
        <v>7.8624999999999989</v>
      </c>
      <c r="AC132" s="1244">
        <v>0</v>
      </c>
      <c r="AD132" s="1244">
        <v>0</v>
      </c>
      <c r="AE132" s="1244">
        <v>0</v>
      </c>
      <c r="AF132" s="1244">
        <v>0</v>
      </c>
      <c r="AG132" s="1244">
        <v>0</v>
      </c>
      <c r="AH132" s="1244">
        <v>0</v>
      </c>
      <c r="AI132" s="244"/>
    </row>
    <row r="133" spans="1:35">
      <c r="A133" s="1211"/>
      <c r="B133" s="1211"/>
      <c r="C133" s="1211"/>
      <c r="D133" s="1211"/>
      <c r="E133" s="1211"/>
      <c r="F133" s="1211"/>
      <c r="G133" s="1211"/>
      <c r="H133" s="1211"/>
      <c r="I133" s="1211"/>
      <c r="J133" s="1211"/>
      <c r="K133" s="1211"/>
      <c r="L133" s="1211"/>
      <c r="M133" s="1211"/>
      <c r="N133" s="1211"/>
      <c r="O133" s="1211"/>
      <c r="P133" s="1211"/>
      <c r="Q133" s="1211"/>
      <c r="R133" s="1211"/>
      <c r="S133" s="1211"/>
      <c r="T133" s="1211"/>
      <c r="U133" s="1211">
        <f t="shared" si="120"/>
        <v>1.48</v>
      </c>
      <c r="V133" s="1211">
        <f t="shared" si="120"/>
        <v>1.0900000000000001</v>
      </c>
      <c r="W133" s="1211">
        <f t="shared" si="120"/>
        <v>3.9999999999999996</v>
      </c>
      <c r="X133" s="1211">
        <f t="shared" si="120"/>
        <v>1.6099999999999999</v>
      </c>
      <c r="Y133" s="1211">
        <f t="shared" si="120"/>
        <v>0.9</v>
      </c>
      <c r="Z133" s="1211">
        <f t="shared" si="120"/>
        <v>2.5000000000000004</v>
      </c>
      <c r="AA133" s="1211">
        <f t="shared" si="120"/>
        <v>7.8624999999999989</v>
      </c>
      <c r="AC133" s="1244">
        <v>0</v>
      </c>
      <c r="AD133" s="1244">
        <v>0</v>
      </c>
      <c r="AE133" s="1244">
        <v>0</v>
      </c>
      <c r="AF133" s="1244">
        <v>0</v>
      </c>
      <c r="AG133" s="1244">
        <v>0</v>
      </c>
      <c r="AH133" s="1244">
        <v>0</v>
      </c>
      <c r="AI133" s="244"/>
    </row>
    <row r="134" spans="1:35">
      <c r="A134" s="1211"/>
      <c r="B134" s="1211"/>
      <c r="C134" s="1211"/>
      <c r="D134" s="1211"/>
      <c r="E134" s="1211"/>
      <c r="F134" s="1211"/>
      <c r="G134" s="1211"/>
      <c r="H134" s="1211"/>
      <c r="I134" s="1211"/>
      <c r="J134" s="1211"/>
      <c r="K134" s="1211"/>
      <c r="L134" s="1211"/>
      <c r="M134" s="1211"/>
      <c r="N134" s="1211"/>
      <c r="O134" s="1211"/>
      <c r="P134" s="1211"/>
      <c r="Q134" s="1211"/>
      <c r="R134" s="1211"/>
      <c r="S134" s="1211"/>
      <c r="T134" s="1211"/>
      <c r="U134" s="1211">
        <f t="shared" si="120"/>
        <v>1.48</v>
      </c>
      <c r="V134" s="1211">
        <f t="shared" si="120"/>
        <v>1.0900000000000001</v>
      </c>
      <c r="W134" s="1211">
        <f t="shared" si="120"/>
        <v>3.9999999999999996</v>
      </c>
      <c r="X134" s="1211">
        <f t="shared" si="120"/>
        <v>1.6099999999999999</v>
      </c>
      <c r="Y134" s="1211">
        <f t="shared" si="120"/>
        <v>0.9</v>
      </c>
      <c r="Z134" s="1211">
        <f t="shared" si="120"/>
        <v>2.5000000000000004</v>
      </c>
      <c r="AA134" s="1211">
        <f t="shared" si="120"/>
        <v>7.8624999999999989</v>
      </c>
      <c r="AC134" s="1244">
        <v>0</v>
      </c>
      <c r="AD134" s="1244">
        <v>0</v>
      </c>
      <c r="AE134" s="1244">
        <v>0</v>
      </c>
      <c r="AF134" s="1244">
        <v>0</v>
      </c>
      <c r="AG134" s="1244">
        <v>0</v>
      </c>
      <c r="AH134" s="1244">
        <v>0</v>
      </c>
      <c r="AI134" s="244"/>
    </row>
    <row r="135" spans="1:35">
      <c r="A135" s="1211"/>
      <c r="B135" s="1211"/>
      <c r="C135" s="1211"/>
      <c r="D135" s="1211"/>
      <c r="E135" s="1211"/>
      <c r="F135" s="1211"/>
      <c r="G135" s="1211"/>
      <c r="H135" s="1211"/>
      <c r="I135" s="1211"/>
      <c r="J135" s="1211"/>
      <c r="K135" s="1211"/>
      <c r="L135" s="1211"/>
      <c r="M135" s="1211"/>
      <c r="N135" s="1211"/>
      <c r="O135" s="1211"/>
      <c r="P135" s="1211"/>
      <c r="Q135" s="1211"/>
      <c r="R135" s="1211"/>
      <c r="S135" s="1211"/>
      <c r="T135" s="1211"/>
      <c r="U135" s="1211">
        <f t="shared" si="120"/>
        <v>1.48</v>
      </c>
      <c r="V135" s="1211">
        <f t="shared" si="120"/>
        <v>1.0900000000000001</v>
      </c>
      <c r="W135" s="1211">
        <f t="shared" si="120"/>
        <v>3.9999999999999996</v>
      </c>
      <c r="X135" s="1211">
        <f t="shared" si="120"/>
        <v>1.6099999999999999</v>
      </c>
      <c r="Y135" s="1211">
        <f t="shared" si="120"/>
        <v>0.9</v>
      </c>
      <c r="Z135" s="1211">
        <f t="shared" si="120"/>
        <v>2.5000000000000004</v>
      </c>
      <c r="AA135" s="1211">
        <f t="shared" si="120"/>
        <v>7.8624999999999989</v>
      </c>
      <c r="AC135" s="1244"/>
      <c r="AD135" s="1244"/>
      <c r="AE135" s="1244"/>
      <c r="AF135" s="1244"/>
      <c r="AG135" s="1244"/>
      <c r="AH135" s="1244"/>
      <c r="AI135" s="244"/>
    </row>
    <row r="136" spans="1:35">
      <c r="A136" s="1211"/>
      <c r="B136" s="1211"/>
      <c r="C136" s="1211"/>
      <c r="D136" s="1211"/>
      <c r="E136" s="1211"/>
      <c r="F136" s="1211"/>
      <c r="G136" s="1211"/>
      <c r="H136" s="1211"/>
      <c r="I136" s="1211"/>
      <c r="J136" s="1211"/>
      <c r="K136" s="1211"/>
      <c r="L136" s="1211"/>
      <c r="M136" s="1211"/>
      <c r="N136" s="1211"/>
      <c r="O136" s="1211"/>
      <c r="P136" s="1211"/>
      <c r="Q136" s="1211"/>
      <c r="R136" s="1211"/>
      <c r="S136" s="1211"/>
      <c r="T136" s="1211"/>
      <c r="U136" s="1211">
        <f t="shared" si="120"/>
        <v>1.48</v>
      </c>
      <c r="V136" s="1211">
        <f t="shared" si="120"/>
        <v>1.0900000000000001</v>
      </c>
      <c r="W136" s="1211">
        <f t="shared" si="120"/>
        <v>3.9999999999999996</v>
      </c>
      <c r="X136" s="1211">
        <f t="shared" si="120"/>
        <v>1.6099999999999999</v>
      </c>
      <c r="Y136" s="1211">
        <f t="shared" si="120"/>
        <v>0.9</v>
      </c>
      <c r="Z136" s="1211">
        <f t="shared" si="120"/>
        <v>2.5000000000000004</v>
      </c>
      <c r="AA136" s="1211">
        <f t="shared" si="120"/>
        <v>7.8624999999999989</v>
      </c>
      <c r="AC136" s="1244"/>
      <c r="AD136" s="1244"/>
      <c r="AE136" s="1244"/>
      <c r="AF136" s="1244"/>
      <c r="AG136" s="1244"/>
      <c r="AH136" s="1244"/>
      <c r="AI136" s="244"/>
    </row>
    <row r="137" spans="1:35">
      <c r="A137" s="1211"/>
      <c r="B137" s="1211"/>
      <c r="C137" s="1211"/>
      <c r="D137" s="1211"/>
      <c r="E137" s="1211"/>
      <c r="F137" s="1211"/>
      <c r="G137" s="1211"/>
      <c r="H137" s="1211"/>
      <c r="I137" s="1211"/>
      <c r="J137" s="1211"/>
      <c r="K137" s="1211"/>
      <c r="L137" s="1211"/>
      <c r="M137" s="1211"/>
      <c r="N137" s="1211"/>
      <c r="O137" s="1211"/>
      <c r="P137" s="1211"/>
      <c r="Q137" s="1211"/>
      <c r="R137" s="1211"/>
      <c r="S137" s="1211"/>
      <c r="T137" s="1211"/>
      <c r="U137" s="1211">
        <f t="shared" si="120"/>
        <v>1.48</v>
      </c>
      <c r="V137" s="1211">
        <f t="shared" si="120"/>
        <v>1.0900000000000001</v>
      </c>
      <c r="W137" s="1211">
        <f t="shared" si="120"/>
        <v>3.9999999999999996</v>
      </c>
      <c r="X137" s="1211">
        <f t="shared" si="120"/>
        <v>1.6099999999999999</v>
      </c>
      <c r="Y137" s="1211">
        <f t="shared" si="120"/>
        <v>0.9</v>
      </c>
      <c r="Z137" s="1211">
        <f t="shared" si="120"/>
        <v>2.5000000000000004</v>
      </c>
      <c r="AA137" s="1211">
        <f t="shared" si="120"/>
        <v>7.8624999999999989</v>
      </c>
      <c r="AC137" s="1244">
        <v>0</v>
      </c>
      <c r="AD137" s="1244">
        <v>0</v>
      </c>
      <c r="AE137" s="1244">
        <v>0</v>
      </c>
      <c r="AF137" s="1244">
        <v>0</v>
      </c>
      <c r="AG137" s="1244">
        <v>0</v>
      </c>
      <c r="AH137" s="1244">
        <v>0</v>
      </c>
      <c r="AI137" s="244"/>
    </row>
    <row r="138" spans="1:35">
      <c r="A138" s="1211"/>
      <c r="B138" s="1211"/>
      <c r="C138" s="1211"/>
      <c r="D138" s="1211"/>
      <c r="E138" s="1211"/>
      <c r="F138" s="1211"/>
      <c r="G138" s="1211"/>
      <c r="H138" s="1211"/>
      <c r="I138" s="1211"/>
      <c r="J138" s="1211"/>
      <c r="K138" s="1211"/>
      <c r="L138" s="1211"/>
      <c r="M138" s="1211"/>
      <c r="N138" s="1211"/>
      <c r="O138" s="1211"/>
      <c r="P138" s="1211"/>
      <c r="Q138" s="1211"/>
      <c r="R138" s="1211"/>
      <c r="S138" s="1211"/>
      <c r="T138" s="1211"/>
      <c r="U138" s="1211">
        <f t="shared" si="120"/>
        <v>1.48</v>
      </c>
      <c r="V138" s="1211">
        <f t="shared" si="120"/>
        <v>1.0900000000000001</v>
      </c>
      <c r="W138" s="1211">
        <f t="shared" si="120"/>
        <v>3.9999999999999996</v>
      </c>
      <c r="X138" s="1211">
        <f t="shared" si="120"/>
        <v>1.6099999999999999</v>
      </c>
      <c r="Y138" s="1211">
        <f t="shared" si="120"/>
        <v>0.9</v>
      </c>
      <c r="Z138" s="1211">
        <f t="shared" si="120"/>
        <v>2.5000000000000004</v>
      </c>
      <c r="AA138" s="1211">
        <f t="shared" si="120"/>
        <v>7.8624999999999989</v>
      </c>
      <c r="AC138" s="1244">
        <v>0</v>
      </c>
      <c r="AD138" s="1244">
        <v>0</v>
      </c>
      <c r="AE138" s="1244">
        <v>0</v>
      </c>
      <c r="AF138" s="1244">
        <v>0</v>
      </c>
      <c r="AG138" s="1244">
        <v>0</v>
      </c>
      <c r="AH138" s="1244">
        <v>0</v>
      </c>
      <c r="AI138" s="244"/>
    </row>
    <row r="139" spans="1:35">
      <c r="A139" s="1211"/>
      <c r="B139" s="1211"/>
      <c r="C139" s="1211"/>
      <c r="D139" s="1211"/>
      <c r="E139" s="1211"/>
      <c r="F139" s="1211"/>
      <c r="G139" s="1211"/>
      <c r="H139" s="1211"/>
      <c r="I139" s="1211"/>
      <c r="J139" s="1211"/>
      <c r="K139" s="1211"/>
      <c r="L139" s="1211"/>
      <c r="M139" s="1211"/>
      <c r="N139" s="1211"/>
      <c r="O139" s="1211"/>
      <c r="P139" s="1211"/>
      <c r="Q139" s="1211"/>
      <c r="R139" s="1211"/>
      <c r="S139" s="1211"/>
      <c r="T139" s="1211"/>
      <c r="U139" s="1211">
        <f t="shared" si="120"/>
        <v>1.48</v>
      </c>
      <c r="V139" s="1211">
        <f t="shared" si="120"/>
        <v>1.0900000000000001</v>
      </c>
      <c r="W139" s="1211">
        <f t="shared" si="120"/>
        <v>3.9999999999999996</v>
      </c>
      <c r="X139" s="1211">
        <f t="shared" si="120"/>
        <v>1.6099999999999999</v>
      </c>
      <c r="Y139" s="1211">
        <f t="shared" si="120"/>
        <v>0.9</v>
      </c>
      <c r="Z139" s="1211">
        <f t="shared" si="120"/>
        <v>2.5000000000000004</v>
      </c>
      <c r="AA139" s="1211">
        <f t="shared" si="120"/>
        <v>7.8624999999999989</v>
      </c>
      <c r="AC139" s="1244">
        <v>0</v>
      </c>
      <c r="AD139" s="1244">
        <v>0</v>
      </c>
      <c r="AE139" s="1244">
        <v>0</v>
      </c>
      <c r="AF139" s="1244">
        <v>0</v>
      </c>
      <c r="AG139" s="1244">
        <v>0</v>
      </c>
      <c r="AH139" s="1244">
        <v>0</v>
      </c>
      <c r="AI139" s="244"/>
    </row>
    <row r="140" spans="1:35">
      <c r="A140" s="1211"/>
      <c r="B140" s="1211"/>
      <c r="C140" s="1211"/>
      <c r="D140" s="1211"/>
      <c r="E140" s="1211"/>
      <c r="F140" s="1211"/>
      <c r="G140" s="1211"/>
      <c r="H140" s="1211"/>
      <c r="I140" s="1211"/>
      <c r="J140" s="1211"/>
      <c r="K140" s="1211"/>
      <c r="L140" s="1211"/>
      <c r="M140" s="1211"/>
      <c r="N140" s="1211"/>
      <c r="O140" s="1211"/>
      <c r="P140" s="1211"/>
      <c r="Q140" s="1211"/>
      <c r="R140" s="1211"/>
      <c r="S140" s="1211"/>
      <c r="T140" s="1211"/>
      <c r="U140" s="1211">
        <f t="shared" si="120"/>
        <v>1.48</v>
      </c>
      <c r="V140" s="1211">
        <f t="shared" si="120"/>
        <v>1.0900000000000001</v>
      </c>
      <c r="W140" s="1211">
        <f t="shared" si="120"/>
        <v>3.9999999999999996</v>
      </c>
      <c r="X140" s="1211">
        <f t="shared" si="120"/>
        <v>1.6099999999999999</v>
      </c>
      <c r="Y140" s="1211">
        <f t="shared" si="120"/>
        <v>0.9</v>
      </c>
      <c r="Z140" s="1211">
        <f t="shared" si="120"/>
        <v>2.5000000000000004</v>
      </c>
      <c r="AA140" s="1211">
        <f t="shared" si="120"/>
        <v>7.8624999999999989</v>
      </c>
      <c r="AC140" s="1244"/>
      <c r="AD140" s="1244"/>
      <c r="AE140" s="1244"/>
      <c r="AF140" s="1244"/>
      <c r="AG140" s="1244"/>
      <c r="AH140" s="1244"/>
      <c r="AI140" s="244"/>
    </row>
    <row r="141" spans="1:35">
      <c r="A141" s="1211"/>
      <c r="B141" s="1211"/>
      <c r="C141" s="1211"/>
      <c r="D141" s="1211"/>
      <c r="E141" s="1211"/>
      <c r="F141" s="1211"/>
      <c r="G141" s="1211"/>
      <c r="H141" s="1211"/>
      <c r="I141" s="1211"/>
      <c r="J141" s="1211"/>
      <c r="K141" s="1211"/>
      <c r="L141" s="1211"/>
      <c r="M141" s="1211"/>
      <c r="N141" s="1211"/>
      <c r="O141" s="1211"/>
      <c r="P141" s="1211"/>
      <c r="Q141" s="1211"/>
      <c r="R141" s="1211"/>
      <c r="S141" s="1211"/>
      <c r="T141" s="1211"/>
      <c r="U141" s="1211">
        <f t="shared" ref="U141:AA145" si="121">IF(U140&gt;0,U140,U139)</f>
        <v>1.48</v>
      </c>
      <c r="V141" s="1211">
        <f t="shared" si="121"/>
        <v>1.0900000000000001</v>
      </c>
      <c r="W141" s="1211">
        <f t="shared" si="121"/>
        <v>3.9999999999999996</v>
      </c>
      <c r="X141" s="1211">
        <f t="shared" si="121"/>
        <v>1.6099999999999999</v>
      </c>
      <c r="Y141" s="1211">
        <f t="shared" si="121"/>
        <v>0.9</v>
      </c>
      <c r="Z141" s="1211">
        <f t="shared" si="121"/>
        <v>2.5000000000000004</v>
      </c>
      <c r="AA141" s="1211">
        <f t="shared" si="121"/>
        <v>7.8624999999999989</v>
      </c>
      <c r="AC141" s="1244"/>
      <c r="AD141" s="1244"/>
      <c r="AE141" s="1244"/>
      <c r="AF141" s="1244"/>
      <c r="AG141" s="1244"/>
      <c r="AH141" s="1244"/>
      <c r="AI141" s="244"/>
    </row>
    <row r="142" spans="1:35">
      <c r="A142" s="1211"/>
      <c r="B142" s="1211"/>
      <c r="C142" s="1211"/>
      <c r="D142" s="1211"/>
      <c r="E142" s="1211"/>
      <c r="F142" s="1211"/>
      <c r="G142" s="1211"/>
      <c r="H142" s="1211"/>
      <c r="I142" s="1211"/>
      <c r="J142" s="1211"/>
      <c r="K142" s="1211"/>
      <c r="L142" s="1211"/>
      <c r="M142" s="1211"/>
      <c r="N142" s="1211"/>
      <c r="O142" s="1211"/>
      <c r="P142" s="1211"/>
      <c r="Q142" s="1211"/>
      <c r="R142" s="1211"/>
      <c r="S142" s="1211"/>
      <c r="T142" s="1211"/>
      <c r="U142" s="1211">
        <f t="shared" si="121"/>
        <v>1.48</v>
      </c>
      <c r="V142" s="1211">
        <f t="shared" si="121"/>
        <v>1.0900000000000001</v>
      </c>
      <c r="W142" s="1211">
        <f t="shared" si="121"/>
        <v>3.9999999999999996</v>
      </c>
      <c r="X142" s="1211">
        <f t="shared" si="121"/>
        <v>1.6099999999999999</v>
      </c>
      <c r="Y142" s="1211">
        <f t="shared" si="121"/>
        <v>0.9</v>
      </c>
      <c r="Z142" s="1211">
        <f t="shared" si="121"/>
        <v>2.5000000000000004</v>
      </c>
      <c r="AA142" s="1211">
        <f t="shared" si="121"/>
        <v>7.8624999999999989</v>
      </c>
      <c r="AC142" s="1244">
        <v>0</v>
      </c>
      <c r="AD142" s="1244">
        <v>0</v>
      </c>
      <c r="AE142" s="1244">
        <v>0</v>
      </c>
      <c r="AF142" s="1244">
        <v>0</v>
      </c>
      <c r="AG142" s="1244">
        <v>0</v>
      </c>
      <c r="AH142" s="1244">
        <v>0</v>
      </c>
      <c r="AI142" s="244"/>
    </row>
    <row r="143" spans="1:35">
      <c r="A143" s="1211"/>
      <c r="B143" s="1211"/>
      <c r="C143" s="1211"/>
      <c r="D143" s="1211"/>
      <c r="E143" s="1211"/>
      <c r="F143" s="1211"/>
      <c r="G143" s="1211"/>
      <c r="H143" s="1211"/>
      <c r="I143" s="1211"/>
      <c r="J143" s="1211"/>
      <c r="K143" s="1211"/>
      <c r="L143" s="1211"/>
      <c r="M143" s="1211"/>
      <c r="N143" s="1211"/>
      <c r="O143" s="1211"/>
      <c r="P143" s="1211"/>
      <c r="Q143" s="1211"/>
      <c r="R143" s="1211"/>
      <c r="S143" s="1211"/>
      <c r="T143" s="1211"/>
      <c r="U143" s="1211">
        <f t="shared" si="121"/>
        <v>1.48</v>
      </c>
      <c r="V143" s="1211">
        <f t="shared" si="121"/>
        <v>1.0900000000000001</v>
      </c>
      <c r="W143" s="1211">
        <f t="shared" si="121"/>
        <v>3.9999999999999996</v>
      </c>
      <c r="X143" s="1211">
        <f t="shared" si="121"/>
        <v>1.6099999999999999</v>
      </c>
      <c r="Y143" s="1211">
        <f t="shared" si="121"/>
        <v>0.9</v>
      </c>
      <c r="Z143" s="1211">
        <f t="shared" si="121"/>
        <v>2.5000000000000004</v>
      </c>
      <c r="AA143" s="1211">
        <f t="shared" si="121"/>
        <v>7.8624999999999989</v>
      </c>
      <c r="AC143" s="1244">
        <v>0</v>
      </c>
      <c r="AD143" s="1244">
        <v>0</v>
      </c>
      <c r="AE143" s="1244">
        <v>0</v>
      </c>
      <c r="AF143" s="1244">
        <v>0</v>
      </c>
      <c r="AG143" s="1244">
        <v>0</v>
      </c>
      <c r="AH143" s="1244">
        <v>0</v>
      </c>
      <c r="AI143" s="244"/>
    </row>
    <row r="144" spans="1:35">
      <c r="A144" s="1211"/>
      <c r="B144" s="1211"/>
      <c r="C144" s="1211"/>
      <c r="D144" s="1211"/>
      <c r="E144" s="1211"/>
      <c r="F144" s="1211"/>
      <c r="G144" s="1211"/>
      <c r="H144" s="1211"/>
      <c r="I144" s="1211"/>
      <c r="J144" s="1211"/>
      <c r="K144" s="1211"/>
      <c r="L144" s="1211"/>
      <c r="M144" s="1211"/>
      <c r="N144" s="1211"/>
      <c r="O144" s="1211"/>
      <c r="P144" s="1211"/>
      <c r="Q144" s="1211"/>
      <c r="R144" s="1211"/>
      <c r="S144" s="1211"/>
      <c r="T144" s="1211"/>
      <c r="U144" s="1211">
        <f t="shared" si="121"/>
        <v>1.48</v>
      </c>
      <c r="V144" s="1211">
        <f t="shared" si="121"/>
        <v>1.0900000000000001</v>
      </c>
      <c r="W144" s="1211">
        <f t="shared" si="121"/>
        <v>3.9999999999999996</v>
      </c>
      <c r="X144" s="1211">
        <f t="shared" si="121"/>
        <v>1.6099999999999999</v>
      </c>
      <c r="Y144" s="1211">
        <f t="shared" si="121"/>
        <v>0.9</v>
      </c>
      <c r="Z144" s="1211">
        <f t="shared" si="121"/>
        <v>2.5000000000000004</v>
      </c>
      <c r="AA144" s="1211">
        <f t="shared" si="121"/>
        <v>7.8624999999999989</v>
      </c>
      <c r="AC144" s="1244">
        <v>0</v>
      </c>
      <c r="AD144" s="1244">
        <v>0</v>
      </c>
      <c r="AE144" s="1244">
        <v>0</v>
      </c>
      <c r="AF144" s="1244">
        <v>0</v>
      </c>
      <c r="AG144" s="1244">
        <v>0</v>
      </c>
      <c r="AH144" s="1244">
        <v>0</v>
      </c>
      <c r="AI144" s="244"/>
    </row>
    <row r="145" spans="1:39">
      <c r="A145" s="1211"/>
      <c r="B145" s="1211"/>
      <c r="C145" s="1211"/>
      <c r="D145" s="1211"/>
      <c r="E145" s="1211"/>
      <c r="F145" s="1211"/>
      <c r="G145" s="1211"/>
      <c r="H145" s="1211"/>
      <c r="I145" s="1211"/>
      <c r="J145" s="1211"/>
      <c r="K145" s="1211"/>
      <c r="L145" s="1211"/>
      <c r="M145" s="1211"/>
      <c r="N145" s="1211"/>
      <c r="O145" s="1211"/>
      <c r="P145" s="1211"/>
      <c r="Q145" s="1211"/>
      <c r="R145" s="1211"/>
      <c r="S145" s="1211"/>
      <c r="T145" s="1211"/>
      <c r="U145" s="1281">
        <f>IF(U144&gt;0,U144,U143)</f>
        <v>1.48</v>
      </c>
      <c r="V145" s="1281">
        <f t="shared" si="121"/>
        <v>1.0900000000000001</v>
      </c>
      <c r="W145" s="1281">
        <f t="shared" si="121"/>
        <v>3.9999999999999996</v>
      </c>
      <c r="X145" s="1281">
        <f t="shared" si="121"/>
        <v>1.6099999999999999</v>
      </c>
      <c r="Y145" s="1281">
        <f t="shared" si="121"/>
        <v>0.9</v>
      </c>
      <c r="Z145" s="1281">
        <f t="shared" si="121"/>
        <v>2.5000000000000004</v>
      </c>
      <c r="AA145" s="1281">
        <f t="shared" si="121"/>
        <v>7.8624999999999989</v>
      </c>
      <c r="AC145" s="1244"/>
      <c r="AD145" s="1244"/>
      <c r="AE145" s="1244"/>
      <c r="AF145" s="1244"/>
      <c r="AG145" s="1244"/>
      <c r="AH145" s="1244"/>
      <c r="AI145" s="244"/>
    </row>
    <row r="146" spans="1:39">
      <c r="A146" s="1211"/>
      <c r="B146" s="1211"/>
      <c r="C146" s="1211"/>
      <c r="D146" s="1211"/>
      <c r="E146" s="1211"/>
      <c r="F146" s="1211"/>
      <c r="G146" s="1211"/>
      <c r="H146" s="1211"/>
      <c r="I146" s="1211"/>
      <c r="J146" s="1211"/>
      <c r="K146" s="1211"/>
      <c r="L146" s="1211"/>
      <c r="M146" s="1211"/>
      <c r="N146" s="1211"/>
      <c r="O146" s="1211"/>
      <c r="P146" s="1211"/>
      <c r="Q146" s="1211"/>
      <c r="R146" s="1211"/>
      <c r="S146" s="1211"/>
      <c r="T146" s="1211"/>
      <c r="U146" s="1211"/>
      <c r="V146" s="1211"/>
      <c r="W146" s="1211"/>
      <c r="X146" s="1211"/>
      <c r="Y146" s="1211"/>
      <c r="Z146" s="1211"/>
      <c r="AA146" s="1211"/>
      <c r="AC146" s="1244"/>
      <c r="AD146" s="1244"/>
      <c r="AE146" s="1244"/>
      <c r="AF146" s="1244"/>
      <c r="AG146" s="1244"/>
      <c r="AH146" s="1244"/>
      <c r="AI146" s="244"/>
    </row>
    <row r="147" spans="1:39">
      <c r="A147" s="1211"/>
      <c r="B147" s="1211"/>
      <c r="C147" s="1211"/>
      <c r="D147" s="1211"/>
      <c r="E147" s="1211"/>
      <c r="F147" s="1211"/>
      <c r="G147" s="1211"/>
      <c r="H147" s="1211"/>
      <c r="I147" s="1211"/>
      <c r="J147" s="1211"/>
      <c r="K147" s="1211"/>
      <c r="L147" s="1211"/>
      <c r="M147" s="1211"/>
      <c r="N147" s="1211"/>
      <c r="O147" s="1211"/>
      <c r="P147" s="1211"/>
      <c r="Q147" s="1211"/>
      <c r="R147" s="1211"/>
      <c r="S147" s="1211"/>
      <c r="T147" s="1211"/>
      <c r="U147" s="1211"/>
      <c r="V147" s="1211"/>
      <c r="W147" s="1211"/>
      <c r="X147" s="1211"/>
      <c r="Y147" s="1211"/>
      <c r="Z147" s="1211"/>
      <c r="AA147" s="1211"/>
      <c r="AC147" s="1244">
        <v>0</v>
      </c>
      <c r="AD147" s="1244">
        <v>0</v>
      </c>
      <c r="AE147" s="1244">
        <v>0</v>
      </c>
      <c r="AF147" s="1244">
        <v>0</v>
      </c>
      <c r="AG147" s="1244">
        <v>0</v>
      </c>
      <c r="AH147" s="1244">
        <v>0</v>
      </c>
      <c r="AI147" s="244"/>
    </row>
    <row r="148" spans="1:39">
      <c r="A148" s="1211"/>
      <c r="B148" s="1211"/>
      <c r="C148" s="1211"/>
      <c r="D148" s="1211"/>
      <c r="E148" s="1211"/>
      <c r="F148" s="1211"/>
      <c r="G148" s="1211"/>
      <c r="H148" s="1211"/>
      <c r="I148" s="1211"/>
      <c r="J148" s="1211"/>
      <c r="K148" s="1211"/>
      <c r="L148" s="1211"/>
      <c r="M148" s="1211"/>
      <c r="N148" s="1211"/>
      <c r="O148" s="1211"/>
      <c r="P148" s="1211"/>
      <c r="Q148" s="1211"/>
      <c r="R148" s="1211"/>
      <c r="S148" s="1211"/>
      <c r="T148" s="1211"/>
      <c r="U148" s="1211"/>
      <c r="V148" s="1211"/>
      <c r="W148" s="1211"/>
      <c r="X148" s="1211"/>
      <c r="Y148" s="1211"/>
      <c r="Z148" s="1211"/>
      <c r="AA148" s="1211"/>
      <c r="AC148" s="1244"/>
      <c r="AD148" s="1244"/>
      <c r="AE148" s="1244"/>
      <c r="AF148" s="1244"/>
      <c r="AG148" s="1244"/>
      <c r="AH148" s="1244"/>
    </row>
    <row r="149" spans="1:39">
      <c r="A149" s="1211"/>
      <c r="B149" s="1211"/>
      <c r="C149" s="1211"/>
      <c r="D149" s="1211"/>
      <c r="E149" s="1211"/>
      <c r="F149" s="1211"/>
      <c r="G149" s="1211"/>
      <c r="H149" s="1211"/>
      <c r="I149" s="1211"/>
      <c r="J149" s="1211"/>
      <c r="K149" s="1211"/>
      <c r="L149" s="1211"/>
      <c r="M149" s="1211"/>
      <c r="N149" s="1211"/>
      <c r="O149" s="1211"/>
      <c r="P149" s="1211"/>
      <c r="Q149" s="1211"/>
      <c r="R149" s="1211"/>
      <c r="S149" s="1211"/>
      <c r="T149" s="1211"/>
      <c r="U149" s="1211"/>
      <c r="V149" s="1211"/>
      <c r="W149" s="1211"/>
      <c r="X149" s="1211"/>
      <c r="Y149" s="1211"/>
      <c r="Z149" s="1211"/>
      <c r="AA149" s="1211"/>
    </row>
    <row r="150" spans="1:39" ht="15" customHeight="1">
      <c r="A150" s="1211"/>
      <c r="B150" s="1211"/>
      <c r="C150" s="1211"/>
      <c r="D150" s="1211"/>
      <c r="E150" s="1211"/>
      <c r="F150" s="1211"/>
      <c r="G150" s="1211"/>
      <c r="H150" s="1211"/>
      <c r="I150" s="1211"/>
      <c r="J150" s="1211"/>
      <c r="K150" s="1211"/>
      <c r="L150" s="1211"/>
      <c r="M150" s="1211"/>
      <c r="N150" s="1211"/>
      <c r="O150" s="1211"/>
      <c r="P150" s="1211"/>
      <c r="Q150" s="1211"/>
      <c r="R150" s="1211"/>
      <c r="S150" s="1211"/>
      <c r="T150" s="1211"/>
      <c r="U150" s="1211"/>
      <c r="V150" s="1211"/>
      <c r="W150" s="1211"/>
      <c r="X150" s="1211"/>
      <c r="Y150" s="1211"/>
      <c r="Z150" s="1211"/>
      <c r="AA150" s="1211"/>
    </row>
    <row r="151" spans="1:39">
      <c r="A151" s="1211"/>
      <c r="B151" s="1211"/>
      <c r="C151" s="1211"/>
      <c r="D151" s="1211"/>
      <c r="E151" s="1211"/>
      <c r="F151" s="1211"/>
      <c r="G151" s="1211"/>
      <c r="H151" s="1211"/>
      <c r="I151" s="1211"/>
      <c r="J151" s="1211"/>
      <c r="K151" s="1211"/>
      <c r="L151" s="1211"/>
      <c r="M151" s="1211"/>
      <c r="N151" s="1211"/>
      <c r="O151" s="1211"/>
      <c r="P151" s="1211"/>
      <c r="Q151" s="1211"/>
      <c r="R151" s="1211"/>
      <c r="S151" s="1211"/>
      <c r="T151" s="1211"/>
      <c r="U151" s="1211"/>
      <c r="V151" s="1211"/>
      <c r="W151" s="1211"/>
      <c r="X151" s="1211"/>
      <c r="Y151" s="1211"/>
      <c r="Z151" s="1211"/>
      <c r="AA151" s="1211"/>
    </row>
    <row r="152" spans="1:39" ht="8" customHeight="1">
      <c r="A152" s="1211"/>
      <c r="B152" s="1211"/>
      <c r="C152" s="1211"/>
      <c r="D152" s="1211"/>
      <c r="E152" s="1211"/>
      <c r="F152" s="1211"/>
      <c r="G152" s="1211"/>
      <c r="H152" s="1211"/>
      <c r="I152" s="1211"/>
      <c r="J152" s="1211"/>
      <c r="K152" s="1211"/>
      <c r="L152" s="1211"/>
      <c r="M152" s="1211"/>
      <c r="N152" s="1211"/>
      <c r="O152" s="1211"/>
      <c r="P152" s="1211"/>
      <c r="Q152" s="1211"/>
      <c r="R152" s="1211"/>
      <c r="S152" s="1211"/>
      <c r="T152" s="1211"/>
      <c r="U152" s="1211"/>
      <c r="V152" s="1211"/>
      <c r="W152" s="1211"/>
      <c r="X152" s="1211"/>
      <c r="Y152" s="1211"/>
      <c r="Z152" s="1211"/>
      <c r="AA152" s="1211"/>
    </row>
    <row r="153" spans="1:39">
      <c r="A153" s="1211"/>
      <c r="B153" s="1211"/>
      <c r="C153" s="1211"/>
      <c r="D153" s="1211"/>
      <c r="E153" s="1211"/>
      <c r="F153" s="1211"/>
      <c r="G153" s="1211"/>
      <c r="H153" s="1211"/>
      <c r="I153" s="1211"/>
      <c r="J153" s="1211"/>
      <c r="K153" s="1211"/>
      <c r="L153" s="1211"/>
      <c r="M153" s="1211"/>
      <c r="N153" s="1211"/>
      <c r="O153" s="1211"/>
      <c r="P153" s="1211"/>
      <c r="Q153" s="1211"/>
      <c r="R153" s="1211"/>
      <c r="S153" s="1211"/>
      <c r="T153" s="1211"/>
      <c r="U153" s="1211"/>
      <c r="V153" s="1211"/>
      <c r="W153" s="1211"/>
      <c r="X153" s="1211"/>
      <c r="Y153" s="1211"/>
      <c r="Z153" s="1211"/>
      <c r="AA153" s="1211"/>
    </row>
    <row r="154" spans="1:39">
      <c r="A154" s="1211"/>
      <c r="B154" s="1211"/>
      <c r="C154" s="1211"/>
      <c r="D154" s="1211"/>
      <c r="E154" s="1211"/>
      <c r="F154" s="1211"/>
      <c r="G154" s="1211"/>
      <c r="H154" s="1211"/>
      <c r="I154" s="1211"/>
      <c r="J154" s="1211"/>
      <c r="K154" s="1211"/>
      <c r="L154" s="1211"/>
      <c r="M154" s="1211"/>
      <c r="N154" s="1211"/>
      <c r="O154" s="1211"/>
      <c r="P154" s="1211"/>
      <c r="Q154" s="1211"/>
      <c r="R154" s="1211"/>
      <c r="S154" s="1211"/>
      <c r="T154" s="1211"/>
      <c r="U154" s="1211"/>
      <c r="V154" s="1211"/>
      <c r="W154" s="1211"/>
      <c r="X154" s="1211"/>
      <c r="Y154" s="1211"/>
      <c r="Z154" s="1211"/>
      <c r="AA154" s="1211"/>
    </row>
    <row r="155" spans="1:39">
      <c r="A155" s="1211"/>
      <c r="B155" s="1211"/>
      <c r="C155" s="1211"/>
      <c r="D155" s="1211"/>
      <c r="E155" s="1211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  <c r="R155" s="1211"/>
      <c r="S155" s="1211"/>
      <c r="T155" s="1211"/>
      <c r="U155" s="1211"/>
      <c r="V155" s="1211"/>
      <c r="W155" s="1211"/>
      <c r="X155" s="1211"/>
      <c r="Y155" s="1211"/>
      <c r="Z155" s="1211"/>
      <c r="AA155" s="1211"/>
    </row>
    <row r="156" spans="1:39">
      <c r="A156" s="1211"/>
      <c r="B156" s="1211"/>
      <c r="C156" s="1211"/>
      <c r="D156" s="1211"/>
      <c r="E156" s="1211"/>
      <c r="F156" s="1211"/>
      <c r="G156" s="1211"/>
      <c r="H156" s="1211"/>
      <c r="I156" s="1211"/>
      <c r="J156" s="1211"/>
      <c r="K156" s="1211"/>
      <c r="L156" s="1211"/>
      <c r="M156" s="1211"/>
      <c r="N156" s="1211"/>
      <c r="O156" s="1211"/>
      <c r="P156" s="1211"/>
      <c r="Q156" s="1211"/>
      <c r="R156" s="1211"/>
      <c r="S156" s="1211"/>
      <c r="T156" s="1211"/>
      <c r="U156" s="1211"/>
      <c r="V156" s="1211"/>
      <c r="W156" s="1211"/>
      <c r="X156" s="1211"/>
      <c r="Y156" s="1211"/>
      <c r="Z156" s="1211"/>
      <c r="AA156" s="1211"/>
    </row>
    <row r="157" spans="1:39">
      <c r="A157" s="1211"/>
      <c r="B157" s="1211"/>
      <c r="C157" s="1211"/>
      <c r="D157" s="1211"/>
      <c r="E157" s="1211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  <c r="R157" s="1211"/>
      <c r="S157" s="1211"/>
      <c r="T157" s="1211"/>
      <c r="U157" s="1211"/>
      <c r="V157" s="1211"/>
      <c r="W157" s="1211"/>
      <c r="X157" s="1211"/>
      <c r="Y157" s="1211"/>
      <c r="Z157" s="1211"/>
      <c r="AA157" s="1211"/>
    </row>
    <row r="158" spans="1:39">
      <c r="A158" s="1211"/>
      <c r="B158" s="1211"/>
      <c r="C158" s="1211"/>
      <c r="D158" s="1211"/>
      <c r="E158" s="1211"/>
      <c r="F158" s="1211"/>
      <c r="G158" s="1211"/>
      <c r="H158" s="1211"/>
      <c r="I158" s="1211"/>
      <c r="J158" s="1211"/>
      <c r="K158" s="1211"/>
      <c r="L158" s="1211"/>
      <c r="M158" s="1211"/>
      <c r="N158" s="1211"/>
      <c r="O158" s="1211"/>
      <c r="P158" s="1211"/>
      <c r="Q158" s="1211"/>
      <c r="R158" s="1211"/>
      <c r="S158" s="1211"/>
      <c r="T158" s="1211"/>
      <c r="U158" s="1211"/>
      <c r="V158" s="1211"/>
      <c r="W158" s="1211"/>
      <c r="X158" s="1211"/>
      <c r="Y158" s="1211"/>
      <c r="Z158" s="1211"/>
      <c r="AA158" s="1211"/>
    </row>
    <row r="159" spans="1:39">
      <c r="A159" s="1211"/>
      <c r="B159" s="1211"/>
      <c r="C159" s="1211"/>
      <c r="D159" s="1211"/>
      <c r="E159" s="1211"/>
      <c r="F159" s="1211"/>
      <c r="G159" s="1211"/>
      <c r="H159" s="1211"/>
      <c r="I159" s="1211"/>
      <c r="J159" s="1211"/>
      <c r="K159" s="1211"/>
      <c r="L159" s="1211"/>
      <c r="M159" s="1211"/>
      <c r="N159" s="1211"/>
      <c r="O159" s="1211"/>
      <c r="P159" s="1211"/>
      <c r="Q159" s="1211"/>
      <c r="R159" s="1211"/>
      <c r="S159" s="1211"/>
      <c r="T159" s="1211"/>
      <c r="U159" s="1211"/>
      <c r="V159" s="1211"/>
      <c r="W159" s="1211"/>
      <c r="X159" s="1211"/>
      <c r="Y159" s="1211"/>
      <c r="Z159" s="1211"/>
      <c r="AA159" s="1211"/>
    </row>
    <row r="160" spans="1:39">
      <c r="A160" s="1211"/>
      <c r="B160" s="1211"/>
      <c r="C160" s="1211"/>
      <c r="D160" s="1211"/>
      <c r="E160" s="1211"/>
      <c r="F160" s="1211"/>
      <c r="G160" s="1211"/>
      <c r="H160" s="1211"/>
      <c r="I160" s="1211"/>
      <c r="J160" s="1211"/>
      <c r="K160" s="1211"/>
      <c r="L160" s="1211"/>
      <c r="M160" s="1211"/>
      <c r="N160" s="1211"/>
      <c r="O160" s="1211"/>
      <c r="P160" s="1211"/>
      <c r="Q160" s="1211"/>
      <c r="R160" s="1211"/>
      <c r="S160" s="1211"/>
      <c r="T160" s="1211"/>
      <c r="U160" s="1211"/>
      <c r="V160" s="1211"/>
      <c r="W160" s="1211"/>
      <c r="X160" s="1211"/>
      <c r="Y160" s="1211"/>
      <c r="Z160" s="1211"/>
      <c r="AA160" s="1211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44"/>
    </row>
    <row r="161" spans="1:39" s="244" customFormat="1">
      <c r="A161" s="1211"/>
      <c r="B161" s="1211"/>
      <c r="C161" s="1211"/>
      <c r="D161" s="1211"/>
      <c r="E161" s="1211"/>
      <c r="F161" s="1211"/>
      <c r="G161" s="1211"/>
      <c r="H161" s="1211"/>
      <c r="I161" s="1211"/>
      <c r="J161" s="1211"/>
      <c r="K161" s="1211"/>
      <c r="L161" s="1211"/>
      <c r="M161" s="1211"/>
      <c r="N161" s="1211"/>
      <c r="O161" s="1211"/>
      <c r="P161" s="1211"/>
      <c r="Q161" s="1211"/>
      <c r="R161" s="1211"/>
      <c r="S161" s="1211"/>
      <c r="T161" s="1211"/>
      <c r="U161" s="1211"/>
      <c r="V161" s="1211"/>
      <c r="W161" s="1211"/>
      <c r="X161" s="1211"/>
      <c r="Y161" s="1211"/>
      <c r="Z161" s="1211"/>
      <c r="AA161" s="1211"/>
      <c r="AC161" s="1211"/>
      <c r="AD161" s="1211"/>
      <c r="AE161" s="1211"/>
      <c r="AF161" s="1211"/>
      <c r="AG161" s="1211"/>
      <c r="AH161" s="1211"/>
      <c r="AI161" s="1211"/>
      <c r="AJ161" s="1211"/>
      <c r="AK161" s="1211"/>
      <c r="AL161" s="1211"/>
      <c r="AM161" s="1211"/>
    </row>
    <row r="162" spans="1:39" s="244" customFormat="1">
      <c r="A162" s="1211"/>
      <c r="B162" s="1211"/>
      <c r="C162" s="1211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  <c r="R162" s="1211"/>
      <c r="S162" s="1211"/>
      <c r="T162" s="1211"/>
      <c r="U162" s="1211"/>
      <c r="V162" s="1211"/>
      <c r="W162" s="1211"/>
      <c r="X162" s="1211"/>
      <c r="Y162" s="1211"/>
      <c r="Z162" s="1211"/>
      <c r="AA162" s="1211"/>
      <c r="AC162" s="1211"/>
      <c r="AD162" s="1211"/>
      <c r="AE162" s="1211"/>
      <c r="AF162" s="1211"/>
      <c r="AG162" s="1211"/>
      <c r="AH162" s="1211"/>
      <c r="AI162" s="1211"/>
      <c r="AJ162" s="1211"/>
      <c r="AK162" s="1211"/>
      <c r="AL162" s="1211"/>
      <c r="AM162" s="1211"/>
    </row>
    <row r="163" spans="1:39" s="244" customFormat="1">
      <c r="A163" s="1211"/>
      <c r="B163" s="1211"/>
      <c r="C163" s="1211"/>
      <c r="D163" s="1211"/>
      <c r="E163" s="1211"/>
      <c r="F163" s="1211"/>
      <c r="G163" s="1211"/>
      <c r="H163" s="1211"/>
      <c r="I163" s="1211"/>
      <c r="J163" s="1211"/>
      <c r="K163" s="1211"/>
      <c r="L163" s="1211"/>
      <c r="M163" s="1211"/>
      <c r="N163" s="1211"/>
      <c r="O163" s="1211"/>
      <c r="P163" s="1211"/>
      <c r="Q163" s="1211"/>
      <c r="R163" s="1211"/>
      <c r="S163" s="1211"/>
      <c r="T163" s="1211"/>
      <c r="U163" s="1211"/>
      <c r="V163" s="1211"/>
      <c r="W163" s="1211"/>
      <c r="X163" s="1211"/>
      <c r="Y163" s="1211"/>
      <c r="Z163" s="1211"/>
      <c r="AA163" s="1211"/>
      <c r="AC163" s="1211"/>
      <c r="AD163" s="1211"/>
      <c r="AE163" s="1211"/>
      <c r="AF163" s="1211"/>
      <c r="AG163" s="1211"/>
      <c r="AH163" s="1211"/>
      <c r="AI163" s="1211"/>
      <c r="AJ163" s="1211"/>
      <c r="AK163" s="1211"/>
      <c r="AL163" s="1211"/>
      <c r="AM163" s="1211"/>
    </row>
    <row r="164" spans="1:39" s="244" customFormat="1">
      <c r="A164" s="1211"/>
      <c r="B164" s="1211"/>
      <c r="C164" s="1211"/>
      <c r="D164" s="1211"/>
      <c r="E164" s="1211"/>
      <c r="F164" s="1211"/>
      <c r="G164" s="1211"/>
      <c r="H164" s="1211"/>
      <c r="I164" s="1211"/>
      <c r="J164" s="1211"/>
      <c r="K164" s="1211"/>
      <c r="L164" s="1211"/>
      <c r="M164" s="1211"/>
      <c r="N164" s="1211"/>
      <c r="O164" s="1211"/>
      <c r="P164" s="1211"/>
      <c r="Q164" s="1211"/>
      <c r="R164" s="1211"/>
      <c r="S164" s="1211"/>
      <c r="T164" s="1211"/>
      <c r="U164" s="1211"/>
      <c r="V164" s="1211"/>
      <c r="W164" s="1211"/>
      <c r="X164" s="1211"/>
      <c r="Y164" s="1211"/>
      <c r="Z164" s="1211"/>
      <c r="AA164" s="1211"/>
      <c r="AC164" s="1211"/>
      <c r="AD164" s="1211"/>
      <c r="AE164" s="1211"/>
      <c r="AF164" s="1211"/>
      <c r="AG164" s="1211"/>
      <c r="AH164" s="1211"/>
      <c r="AI164" s="1211"/>
      <c r="AJ164" s="1211"/>
      <c r="AK164" s="1211"/>
      <c r="AL164" s="1211"/>
      <c r="AM164" s="1211"/>
    </row>
    <row r="165" spans="1:39" s="244" customFormat="1">
      <c r="A165" s="1211"/>
      <c r="B165" s="1211"/>
      <c r="C165" s="1211"/>
      <c r="D165" s="1211"/>
      <c r="E165" s="1211"/>
      <c r="F165" s="1211"/>
      <c r="G165" s="1211"/>
      <c r="H165" s="1211"/>
      <c r="I165" s="1211"/>
      <c r="J165" s="1211"/>
      <c r="K165" s="1211"/>
      <c r="L165" s="1211"/>
      <c r="M165" s="1211"/>
      <c r="N165" s="1211"/>
      <c r="O165" s="1211"/>
      <c r="P165" s="1211"/>
      <c r="Q165" s="1211"/>
      <c r="R165" s="1211"/>
      <c r="S165" s="1211"/>
      <c r="T165" s="1211"/>
      <c r="U165" s="1211"/>
      <c r="V165" s="1211"/>
      <c r="W165" s="1211"/>
      <c r="X165" s="1211"/>
      <c r="Y165" s="1211"/>
      <c r="Z165" s="1211"/>
      <c r="AA165" s="1211"/>
      <c r="AC165" s="1211"/>
      <c r="AD165" s="1211"/>
      <c r="AE165" s="1211"/>
      <c r="AF165" s="1211"/>
      <c r="AG165" s="1211"/>
      <c r="AH165" s="1211"/>
      <c r="AI165" s="1211"/>
      <c r="AJ165" s="1211"/>
      <c r="AK165" s="1211"/>
      <c r="AL165" s="1211"/>
      <c r="AM165" s="1211"/>
    </row>
    <row r="166" spans="1:39" s="244" customFormat="1">
      <c r="A166" s="1211"/>
      <c r="B166" s="1211"/>
      <c r="C166" s="1211"/>
      <c r="D166" s="1211"/>
      <c r="E166" s="1211"/>
      <c r="F166" s="1211"/>
      <c r="G166" s="1211"/>
      <c r="H166" s="1211"/>
      <c r="I166" s="1211"/>
      <c r="J166" s="1211"/>
      <c r="K166" s="1211"/>
      <c r="L166" s="1211"/>
      <c r="M166" s="1211"/>
      <c r="N166" s="1211"/>
      <c r="O166" s="1211"/>
      <c r="P166" s="1211"/>
      <c r="Q166" s="1211"/>
      <c r="R166" s="1211"/>
      <c r="S166" s="1211"/>
      <c r="T166" s="1211"/>
      <c r="U166" s="1211"/>
      <c r="V166" s="1211"/>
      <c r="W166" s="1211"/>
      <c r="X166" s="1211"/>
      <c r="Y166" s="1211"/>
      <c r="Z166" s="1211"/>
      <c r="AA166" s="1211"/>
      <c r="AC166" s="1211"/>
      <c r="AD166" s="1211"/>
      <c r="AE166" s="1211"/>
      <c r="AF166" s="1211"/>
      <c r="AG166" s="1211"/>
      <c r="AH166" s="1211"/>
      <c r="AI166" s="1211"/>
      <c r="AJ166" s="1211"/>
      <c r="AK166" s="1211"/>
      <c r="AL166" s="1211"/>
      <c r="AM166" s="1211"/>
    </row>
    <row r="167" spans="1:39" s="244" customFormat="1">
      <c r="A167" s="1211"/>
      <c r="B167" s="1211"/>
      <c r="C167" s="1211"/>
      <c r="D167" s="1211"/>
      <c r="E167" s="1211"/>
      <c r="F167" s="1211"/>
      <c r="G167" s="1211"/>
      <c r="H167" s="1211"/>
      <c r="I167" s="1211"/>
      <c r="J167" s="1211"/>
      <c r="K167" s="1211"/>
      <c r="L167" s="1211"/>
      <c r="M167" s="1211"/>
      <c r="N167" s="1211"/>
      <c r="O167" s="1211"/>
      <c r="P167" s="1211"/>
      <c r="Q167" s="1211"/>
      <c r="R167" s="1211"/>
      <c r="S167" s="1211"/>
      <c r="T167" s="1211"/>
      <c r="U167" s="1211"/>
      <c r="V167" s="1211"/>
      <c r="W167" s="1211"/>
      <c r="X167" s="1211"/>
      <c r="Y167" s="1211"/>
      <c r="Z167" s="1211"/>
      <c r="AA167" s="1211"/>
      <c r="AC167" s="1211"/>
      <c r="AD167" s="1211"/>
      <c r="AE167" s="1211"/>
      <c r="AF167" s="1211"/>
      <c r="AG167" s="1211"/>
      <c r="AH167" s="1211"/>
      <c r="AI167" s="1211"/>
      <c r="AJ167" s="1211"/>
      <c r="AK167" s="1211"/>
      <c r="AL167" s="1211"/>
      <c r="AM167" s="1211"/>
    </row>
    <row r="168" spans="1:39" s="244" customFormat="1">
      <c r="A168" s="1211"/>
      <c r="B168" s="1211"/>
      <c r="C168" s="1211"/>
      <c r="D168" s="1211"/>
      <c r="E168" s="1211"/>
      <c r="F168" s="1211"/>
      <c r="G168" s="1211"/>
      <c r="H168" s="1211"/>
      <c r="I168" s="1211"/>
      <c r="J168" s="1211"/>
      <c r="K168" s="1211"/>
      <c r="L168" s="1211"/>
      <c r="M168" s="1211"/>
      <c r="N168" s="1211"/>
      <c r="O168" s="1211"/>
      <c r="P168" s="1211"/>
      <c r="Q168" s="1211"/>
      <c r="R168" s="1211"/>
      <c r="S168" s="1211"/>
      <c r="T168" s="1211"/>
      <c r="U168" s="1211"/>
      <c r="V168" s="1211"/>
      <c r="W168" s="1211"/>
      <c r="X168" s="1211"/>
      <c r="Y168" s="1211"/>
      <c r="Z168" s="1211"/>
      <c r="AA168" s="1211"/>
      <c r="AC168" s="1211"/>
      <c r="AD168" s="1211"/>
      <c r="AE168" s="1211"/>
      <c r="AF168" s="1211"/>
      <c r="AG168" s="1211"/>
      <c r="AH168" s="1211"/>
      <c r="AI168" s="1211"/>
      <c r="AJ168" s="1211"/>
      <c r="AK168" s="1211"/>
      <c r="AL168" s="1211"/>
      <c r="AM168" s="1211"/>
    </row>
    <row r="169" spans="1:39" s="244" customFormat="1">
      <c r="B169" s="1278"/>
      <c r="C169" s="1282"/>
      <c r="D169" s="1282"/>
      <c r="E169" s="1282"/>
      <c r="F169" s="1284"/>
      <c r="G169" s="150"/>
      <c r="H169" s="150"/>
      <c r="I169" s="150"/>
      <c r="J169" s="150"/>
      <c r="K169" s="150"/>
      <c r="L169" s="150"/>
      <c r="M169" s="1286"/>
      <c r="N169" s="1284"/>
      <c r="O169" s="235"/>
      <c r="P169" s="150"/>
      <c r="Q169" s="1287"/>
      <c r="R169" s="1287"/>
      <c r="S169" s="149"/>
      <c r="T169" s="149"/>
      <c r="U169" s="150"/>
      <c r="V169" s="150"/>
      <c r="W169" s="150"/>
      <c r="X169" s="150"/>
      <c r="Y169" s="150"/>
      <c r="Z169" s="150"/>
      <c r="AA169" s="150"/>
      <c r="AC169" s="1211"/>
      <c r="AD169" s="1211"/>
      <c r="AE169" s="1211"/>
      <c r="AF169" s="1211"/>
      <c r="AG169" s="1211"/>
      <c r="AH169" s="1211"/>
      <c r="AI169" s="1211"/>
      <c r="AJ169" s="1211"/>
      <c r="AK169" s="1211"/>
      <c r="AL169" s="1211"/>
      <c r="AM169" s="1211"/>
    </row>
    <row r="170" spans="1:39" s="244" customFormat="1">
      <c r="B170" s="1278"/>
      <c r="C170" s="1282"/>
      <c r="D170" s="1282"/>
      <c r="E170" s="1282"/>
      <c r="F170" s="1284"/>
      <c r="G170" s="150"/>
      <c r="H170" s="150"/>
      <c r="I170" s="150"/>
      <c r="J170" s="150"/>
      <c r="K170" s="150"/>
      <c r="L170" s="150"/>
      <c r="M170" s="1286"/>
      <c r="N170" s="1284"/>
      <c r="O170" s="235"/>
      <c r="P170" s="150"/>
      <c r="Q170" s="1287"/>
      <c r="R170" s="1287"/>
      <c r="S170" s="149"/>
      <c r="T170" s="149"/>
      <c r="U170" s="150"/>
      <c r="V170" s="150"/>
      <c r="W170" s="150"/>
      <c r="X170" s="150"/>
      <c r="Y170" s="150"/>
      <c r="Z170" s="150"/>
      <c r="AA170" s="150"/>
      <c r="AC170" s="1211"/>
      <c r="AD170" s="1211"/>
      <c r="AE170" s="1211"/>
      <c r="AF170" s="1211"/>
      <c r="AG170" s="1211"/>
      <c r="AH170" s="1211"/>
      <c r="AI170" s="1211"/>
      <c r="AJ170" s="1211"/>
      <c r="AK170" s="1211"/>
      <c r="AL170" s="1211"/>
      <c r="AM170" s="1211"/>
    </row>
    <row r="171" spans="1:39" s="244" customFormat="1">
      <c r="B171" s="1278"/>
      <c r="C171" s="1282"/>
      <c r="D171" s="1282"/>
      <c r="E171" s="1282"/>
      <c r="F171" s="1284"/>
      <c r="G171" s="150"/>
      <c r="H171" s="150"/>
      <c r="I171" s="150"/>
      <c r="J171" s="150"/>
      <c r="K171" s="150"/>
      <c r="L171" s="150"/>
      <c r="M171" s="1286"/>
      <c r="N171" s="1284"/>
      <c r="O171" s="235"/>
      <c r="P171" s="150"/>
      <c r="Q171" s="1287"/>
      <c r="R171" s="1287"/>
      <c r="S171" s="149"/>
      <c r="T171" s="149"/>
      <c r="U171" s="150"/>
      <c r="V171" s="150"/>
      <c r="W171" s="150"/>
      <c r="X171" s="150"/>
      <c r="Y171" s="150"/>
      <c r="Z171" s="150"/>
      <c r="AA171" s="150"/>
      <c r="AC171" s="1211"/>
      <c r="AD171" s="1211"/>
      <c r="AE171" s="1211"/>
      <c r="AF171" s="1211"/>
      <c r="AG171" s="1211"/>
      <c r="AH171" s="1211"/>
      <c r="AI171" s="1211"/>
      <c r="AJ171" s="1211"/>
      <c r="AK171" s="1211"/>
      <c r="AL171" s="1211"/>
      <c r="AM171" s="1211"/>
    </row>
    <row r="172" spans="1:39" s="244" customFormat="1">
      <c r="B172" s="1278"/>
      <c r="C172" s="1282"/>
      <c r="D172" s="1282"/>
      <c r="E172" s="1282"/>
      <c r="F172" s="1284"/>
      <c r="G172" s="150"/>
      <c r="H172" s="150"/>
      <c r="I172" s="150"/>
      <c r="J172" s="150"/>
      <c r="K172" s="150"/>
      <c r="L172" s="150"/>
      <c r="M172" s="1286"/>
      <c r="N172" s="1284"/>
      <c r="O172" s="235"/>
      <c r="P172" s="150"/>
      <c r="Q172" s="1287"/>
      <c r="R172" s="1287"/>
      <c r="S172" s="149"/>
      <c r="T172" s="149"/>
      <c r="U172" s="150"/>
      <c r="V172" s="150"/>
      <c r="W172" s="150"/>
      <c r="X172" s="150"/>
      <c r="Y172" s="150"/>
      <c r="Z172" s="150"/>
      <c r="AA172" s="150"/>
      <c r="AC172" s="1211"/>
      <c r="AD172" s="1211"/>
      <c r="AE172" s="1211"/>
      <c r="AF172" s="1211"/>
      <c r="AG172" s="1211"/>
      <c r="AH172" s="1211"/>
      <c r="AI172" s="1211"/>
      <c r="AJ172" s="1211"/>
      <c r="AK172" s="1211"/>
      <c r="AL172" s="1211"/>
      <c r="AM172" s="1211"/>
    </row>
    <row r="173" spans="1:39" s="244" customFormat="1">
      <c r="B173" s="1278"/>
      <c r="C173" s="1282"/>
      <c r="D173" s="1282"/>
      <c r="E173" s="1282"/>
      <c r="F173" s="1284"/>
      <c r="G173" s="150"/>
      <c r="H173" s="150"/>
      <c r="I173" s="150"/>
      <c r="J173" s="150"/>
      <c r="K173" s="150"/>
      <c r="L173" s="150"/>
      <c r="M173" s="1286"/>
      <c r="N173" s="1284"/>
      <c r="O173" s="235"/>
      <c r="P173" s="150"/>
      <c r="Q173" s="1287"/>
      <c r="R173" s="1287"/>
      <c r="S173" s="149"/>
      <c r="T173" s="149"/>
      <c r="U173" s="150"/>
      <c r="V173" s="150"/>
      <c r="W173" s="150"/>
      <c r="X173" s="150"/>
      <c r="Y173" s="150"/>
      <c r="Z173" s="150"/>
      <c r="AA173" s="150"/>
      <c r="AC173" s="1211"/>
      <c r="AD173" s="1211"/>
      <c r="AE173" s="1211"/>
      <c r="AF173" s="1211"/>
      <c r="AG173" s="1211"/>
      <c r="AH173" s="1211"/>
      <c r="AI173" s="1211"/>
      <c r="AJ173" s="1211"/>
      <c r="AK173" s="1211"/>
      <c r="AL173" s="1211"/>
      <c r="AM173" s="1211"/>
    </row>
    <row r="174" spans="1:39" s="244" customFormat="1">
      <c r="B174" s="1278"/>
      <c r="C174" s="1282"/>
      <c r="D174" s="1282"/>
      <c r="E174" s="1282"/>
      <c r="F174" s="1284"/>
      <c r="G174" s="150"/>
      <c r="H174" s="150"/>
      <c r="I174" s="150"/>
      <c r="J174" s="150"/>
      <c r="K174" s="150"/>
      <c r="L174" s="150"/>
      <c r="M174" s="1286"/>
      <c r="N174" s="1284"/>
      <c r="O174" s="235"/>
      <c r="P174" s="150"/>
      <c r="Q174" s="1287"/>
      <c r="R174" s="1287"/>
      <c r="S174" s="149"/>
      <c r="T174" s="149"/>
      <c r="U174" s="150"/>
      <c r="V174" s="150"/>
      <c r="W174" s="150"/>
      <c r="X174" s="150"/>
      <c r="Y174" s="150"/>
      <c r="Z174" s="150"/>
      <c r="AA174" s="150"/>
      <c r="AC174" s="1211"/>
      <c r="AD174" s="1211"/>
      <c r="AE174" s="1211"/>
      <c r="AF174" s="1211"/>
      <c r="AG174" s="1211"/>
      <c r="AH174" s="1211"/>
      <c r="AI174" s="1211"/>
      <c r="AJ174" s="1211"/>
      <c r="AK174" s="1211"/>
      <c r="AL174" s="1211"/>
      <c r="AM174" s="1211"/>
    </row>
    <row r="175" spans="1:39" s="244" customFormat="1">
      <c r="B175" s="1278"/>
      <c r="C175" s="1282"/>
      <c r="D175" s="1282"/>
      <c r="E175" s="1282"/>
      <c r="F175" s="1284"/>
      <c r="G175" s="150"/>
      <c r="H175" s="150"/>
      <c r="I175" s="150"/>
      <c r="J175" s="150"/>
      <c r="K175" s="150"/>
      <c r="L175" s="150"/>
      <c r="M175" s="1286"/>
      <c r="N175" s="1284"/>
      <c r="O175" s="235"/>
      <c r="P175" s="150"/>
      <c r="Q175" s="1287"/>
      <c r="R175" s="1287"/>
      <c r="S175" s="149"/>
      <c r="T175" s="149"/>
      <c r="U175" s="150"/>
      <c r="V175" s="150"/>
      <c r="W175" s="150"/>
      <c r="X175" s="150"/>
      <c r="Y175" s="150"/>
      <c r="Z175" s="150"/>
      <c r="AA175" s="150"/>
      <c r="AC175" s="1211"/>
      <c r="AD175" s="1211"/>
      <c r="AE175" s="1211"/>
      <c r="AF175" s="1211"/>
      <c r="AG175" s="1211"/>
      <c r="AH175" s="1211"/>
      <c r="AI175" s="1211"/>
      <c r="AJ175" s="1211"/>
      <c r="AK175" s="1211"/>
      <c r="AL175" s="1211"/>
      <c r="AM175" s="1211"/>
    </row>
    <row r="176" spans="1:39" s="244" customFormat="1">
      <c r="B176" s="1278"/>
      <c r="C176" s="1282"/>
      <c r="D176" s="1282"/>
      <c r="E176" s="1282"/>
      <c r="F176" s="1284"/>
      <c r="G176" s="150"/>
      <c r="H176" s="150"/>
      <c r="I176" s="150"/>
      <c r="J176" s="150"/>
      <c r="K176" s="150"/>
      <c r="L176" s="150"/>
      <c r="M176" s="1286"/>
      <c r="N176" s="1284"/>
      <c r="O176" s="235"/>
      <c r="P176" s="150"/>
      <c r="Q176" s="1287"/>
      <c r="R176" s="1287"/>
      <c r="S176" s="149"/>
      <c r="T176" s="149"/>
      <c r="U176" s="150"/>
      <c r="V176" s="150"/>
      <c r="W176" s="150"/>
      <c r="X176" s="150"/>
      <c r="Y176" s="150"/>
      <c r="Z176" s="150"/>
      <c r="AA176" s="150"/>
      <c r="AC176" s="1211"/>
      <c r="AD176" s="1211"/>
      <c r="AE176" s="1211"/>
      <c r="AF176" s="1211"/>
      <c r="AG176" s="1211"/>
      <c r="AH176" s="1211"/>
      <c r="AI176" s="1211"/>
      <c r="AJ176" s="1211"/>
      <c r="AK176" s="1211"/>
      <c r="AL176" s="1211"/>
      <c r="AM176" s="1211"/>
    </row>
    <row r="177" spans="2:39" s="244" customFormat="1">
      <c r="B177" s="1278"/>
      <c r="C177" s="1282"/>
      <c r="D177" s="1282"/>
      <c r="E177" s="1282"/>
      <c r="F177" s="1284"/>
      <c r="G177" s="150"/>
      <c r="H177" s="150"/>
      <c r="I177" s="150"/>
      <c r="J177" s="150"/>
      <c r="K177" s="150"/>
      <c r="L177" s="150"/>
      <c r="M177" s="1286"/>
      <c r="N177" s="1284"/>
      <c r="O177" s="235"/>
      <c r="P177" s="150"/>
      <c r="Q177" s="1287"/>
      <c r="R177" s="1287"/>
      <c r="S177" s="149"/>
      <c r="T177" s="149"/>
      <c r="U177" s="150"/>
      <c r="V177" s="150"/>
      <c r="W177" s="150"/>
      <c r="X177" s="150"/>
      <c r="Y177" s="150"/>
      <c r="Z177" s="150"/>
      <c r="AA177" s="150"/>
      <c r="AC177" s="1211"/>
      <c r="AD177" s="1211"/>
      <c r="AE177" s="1211"/>
      <c r="AF177" s="1211"/>
      <c r="AG177" s="1211"/>
      <c r="AH177" s="1211"/>
      <c r="AI177" s="1211"/>
      <c r="AJ177" s="1211"/>
      <c r="AK177" s="1211"/>
      <c r="AL177" s="1211"/>
      <c r="AM177" s="1211"/>
    </row>
    <row r="178" spans="2:39" s="244" customFormat="1">
      <c r="B178" s="1278"/>
      <c r="C178" s="1282"/>
      <c r="D178" s="1282"/>
      <c r="E178" s="1282"/>
      <c r="F178" s="1284"/>
      <c r="G178" s="150"/>
      <c r="H178" s="150"/>
      <c r="I178" s="150"/>
      <c r="J178" s="150"/>
      <c r="K178" s="150"/>
      <c r="L178" s="150"/>
      <c r="M178" s="1286"/>
      <c r="N178" s="1284"/>
      <c r="O178" s="235"/>
      <c r="P178" s="150"/>
      <c r="Q178" s="1287"/>
      <c r="R178" s="1287"/>
      <c r="S178" s="149"/>
      <c r="T178" s="149"/>
      <c r="U178" s="150"/>
      <c r="V178" s="150"/>
      <c r="W178" s="150"/>
      <c r="X178" s="150"/>
      <c r="Y178" s="150"/>
      <c r="Z178" s="150"/>
      <c r="AA178" s="150"/>
      <c r="AC178" s="1211"/>
      <c r="AD178" s="1211"/>
      <c r="AE178" s="1211"/>
      <c r="AF178" s="1211"/>
      <c r="AG178" s="1211"/>
      <c r="AH178" s="1211"/>
      <c r="AI178" s="1211"/>
      <c r="AJ178" s="1211"/>
      <c r="AK178" s="1211"/>
      <c r="AL178" s="1211"/>
      <c r="AM178" s="1211"/>
    </row>
    <row r="179" spans="2:39" s="244" customFormat="1">
      <c r="B179" s="1278"/>
      <c r="C179" s="1282"/>
      <c r="D179" s="1282"/>
      <c r="E179" s="1282"/>
      <c r="F179" s="1284"/>
      <c r="G179" s="150"/>
      <c r="H179" s="150"/>
      <c r="I179" s="150"/>
      <c r="J179" s="150"/>
      <c r="K179" s="150"/>
      <c r="L179" s="150"/>
      <c r="M179" s="1286"/>
      <c r="N179" s="1284"/>
      <c r="O179" s="235"/>
      <c r="P179" s="150"/>
      <c r="Q179" s="1287"/>
      <c r="R179" s="1287"/>
      <c r="S179" s="149"/>
      <c r="T179" s="149"/>
      <c r="U179" s="150"/>
      <c r="V179" s="150"/>
      <c r="W179" s="150"/>
      <c r="X179" s="150"/>
      <c r="Y179" s="150"/>
      <c r="Z179" s="150"/>
      <c r="AA179" s="150"/>
      <c r="AC179" s="1211"/>
      <c r="AD179" s="1211"/>
      <c r="AE179" s="1211"/>
      <c r="AF179" s="1211"/>
      <c r="AG179" s="1211"/>
      <c r="AH179" s="1211"/>
      <c r="AI179" s="1211"/>
      <c r="AJ179" s="1211"/>
      <c r="AK179" s="1211"/>
      <c r="AL179" s="1211"/>
      <c r="AM179" s="1211"/>
    </row>
    <row r="180" spans="2:39" s="244" customFormat="1">
      <c r="B180" s="1278"/>
      <c r="C180" s="1282"/>
      <c r="D180" s="1282"/>
      <c r="E180" s="1282"/>
      <c r="F180" s="1284"/>
      <c r="G180" s="150"/>
      <c r="H180" s="150"/>
      <c r="I180" s="150"/>
      <c r="J180" s="150"/>
      <c r="K180" s="150"/>
      <c r="L180" s="150"/>
      <c r="M180" s="1286"/>
      <c r="N180" s="1284"/>
      <c r="O180" s="235"/>
      <c r="P180" s="150"/>
      <c r="Q180" s="1287"/>
      <c r="R180" s="1287"/>
      <c r="S180" s="149"/>
      <c r="T180" s="149"/>
      <c r="U180" s="150"/>
      <c r="V180" s="150"/>
      <c r="W180" s="150"/>
      <c r="X180" s="150"/>
      <c r="Y180" s="150"/>
      <c r="Z180" s="150"/>
      <c r="AA180" s="150"/>
      <c r="AC180" s="1211"/>
      <c r="AD180" s="1211"/>
      <c r="AE180" s="1211"/>
      <c r="AF180" s="1211"/>
      <c r="AG180" s="1211"/>
      <c r="AH180" s="1211"/>
      <c r="AI180" s="1211"/>
      <c r="AJ180" s="1211"/>
      <c r="AK180" s="1211"/>
      <c r="AL180" s="1211"/>
      <c r="AM180" s="1211"/>
    </row>
    <row r="181" spans="2:39" s="244" customFormat="1">
      <c r="B181" s="1278"/>
      <c r="C181" s="1282"/>
      <c r="D181" s="1282"/>
      <c r="E181" s="1282"/>
      <c r="F181" s="1284"/>
      <c r="G181" s="150"/>
      <c r="H181" s="150"/>
      <c r="I181" s="150"/>
      <c r="J181" s="150"/>
      <c r="K181" s="150"/>
      <c r="L181" s="150"/>
      <c r="M181" s="1286"/>
      <c r="N181" s="1284"/>
      <c r="O181" s="235"/>
      <c r="P181" s="150"/>
      <c r="Q181" s="1287"/>
      <c r="R181" s="1287"/>
      <c r="S181" s="149"/>
      <c r="T181" s="149"/>
      <c r="U181" s="150"/>
      <c r="V181" s="150"/>
      <c r="W181" s="150"/>
      <c r="X181" s="150"/>
      <c r="Y181" s="150"/>
      <c r="Z181" s="150"/>
      <c r="AA181" s="150"/>
      <c r="AC181" s="1211"/>
      <c r="AD181" s="1211"/>
      <c r="AE181" s="1211"/>
      <c r="AF181" s="1211"/>
      <c r="AG181" s="1211"/>
      <c r="AH181" s="1211"/>
      <c r="AI181" s="1211"/>
      <c r="AJ181" s="1211"/>
      <c r="AK181" s="1211"/>
      <c r="AL181" s="1211"/>
      <c r="AM181" s="1211"/>
    </row>
    <row r="182" spans="2:39" s="244" customFormat="1">
      <c r="B182" s="1278"/>
      <c r="C182" s="1282"/>
      <c r="D182" s="1282"/>
      <c r="E182" s="1282"/>
      <c r="F182" s="1284"/>
      <c r="G182" s="150"/>
      <c r="H182" s="150"/>
      <c r="I182" s="150"/>
      <c r="J182" s="150"/>
      <c r="K182" s="150"/>
      <c r="L182" s="150"/>
      <c r="M182" s="1286"/>
      <c r="N182" s="1284"/>
      <c r="O182" s="235"/>
      <c r="P182" s="150"/>
      <c r="Q182" s="1287"/>
      <c r="R182" s="1287"/>
      <c r="S182" s="149"/>
      <c r="T182" s="149"/>
      <c r="U182" s="150"/>
      <c r="V182" s="150"/>
      <c r="W182" s="150"/>
      <c r="X182" s="150"/>
      <c r="Y182" s="150"/>
      <c r="Z182" s="150"/>
      <c r="AA182" s="150"/>
      <c r="AC182" s="1211"/>
      <c r="AD182" s="1211"/>
      <c r="AE182" s="1211"/>
      <c r="AF182" s="1211"/>
      <c r="AG182" s="1211"/>
      <c r="AH182" s="1211"/>
      <c r="AI182" s="1211"/>
      <c r="AJ182" s="1211"/>
      <c r="AK182" s="1211"/>
      <c r="AL182" s="1211"/>
      <c r="AM182" s="1211"/>
    </row>
    <row r="183" spans="2:39" s="244" customFormat="1">
      <c r="B183" s="1278"/>
      <c r="C183" s="1282"/>
      <c r="D183" s="1282"/>
      <c r="E183" s="1282"/>
      <c r="F183" s="1284"/>
      <c r="G183" s="150"/>
      <c r="H183" s="150"/>
      <c r="I183" s="150"/>
      <c r="J183" s="150"/>
      <c r="K183" s="150"/>
      <c r="L183" s="150"/>
      <c r="M183" s="1286"/>
      <c r="N183" s="1284"/>
      <c r="O183" s="235"/>
      <c r="P183" s="150"/>
      <c r="Q183" s="1287"/>
      <c r="R183" s="1287"/>
      <c r="S183" s="149"/>
      <c r="T183" s="149"/>
      <c r="U183" s="150"/>
      <c r="V183" s="150"/>
      <c r="W183" s="150"/>
      <c r="X183" s="150"/>
      <c r="Y183" s="150"/>
      <c r="Z183" s="150"/>
      <c r="AA183" s="150"/>
      <c r="AC183" s="1211"/>
      <c r="AD183" s="1211"/>
      <c r="AE183" s="1211"/>
      <c r="AF183" s="1211"/>
      <c r="AG183" s="1211"/>
      <c r="AH183" s="1211"/>
      <c r="AI183" s="1211"/>
      <c r="AJ183" s="1211"/>
      <c r="AK183" s="1211"/>
      <c r="AL183" s="1211"/>
      <c r="AM183" s="1211"/>
    </row>
    <row r="184" spans="2:39" s="244" customFormat="1">
      <c r="B184" s="1278"/>
      <c r="C184" s="1282"/>
      <c r="D184" s="1282"/>
      <c r="E184" s="1282"/>
      <c r="F184" s="1284"/>
      <c r="G184" s="150"/>
      <c r="H184" s="150"/>
      <c r="I184" s="150"/>
      <c r="J184" s="150"/>
      <c r="K184" s="150"/>
      <c r="L184" s="150"/>
      <c r="M184" s="1286"/>
      <c r="N184" s="1284"/>
      <c r="O184" s="235"/>
      <c r="P184" s="150"/>
      <c r="Q184" s="1287"/>
      <c r="R184" s="1287"/>
      <c r="S184" s="149"/>
      <c r="T184" s="149"/>
      <c r="U184" s="150"/>
      <c r="V184" s="150"/>
      <c r="W184" s="150"/>
      <c r="X184" s="150"/>
      <c r="Y184" s="150"/>
      <c r="Z184" s="150"/>
      <c r="AA184" s="150"/>
      <c r="AC184" s="1211"/>
      <c r="AD184" s="1211"/>
      <c r="AE184" s="1211"/>
      <c r="AF184" s="1211"/>
      <c r="AG184" s="1211"/>
      <c r="AH184" s="1211"/>
      <c r="AI184" s="1211"/>
      <c r="AJ184" s="1211"/>
      <c r="AK184" s="1211"/>
      <c r="AL184" s="1211"/>
      <c r="AM184" s="1211"/>
    </row>
    <row r="185" spans="2:39" s="244" customFormat="1">
      <c r="B185" s="1278"/>
      <c r="C185" s="1282"/>
      <c r="D185" s="1282"/>
      <c r="E185" s="1282"/>
      <c r="F185" s="1284"/>
      <c r="G185" s="150"/>
      <c r="H185" s="150"/>
      <c r="I185" s="150"/>
      <c r="J185" s="150"/>
      <c r="K185" s="150"/>
      <c r="L185" s="150"/>
      <c r="M185" s="1286"/>
      <c r="N185" s="1284"/>
      <c r="O185" s="235"/>
      <c r="P185" s="150"/>
      <c r="Q185" s="1287"/>
      <c r="R185" s="1287"/>
      <c r="S185" s="149"/>
      <c r="T185" s="149"/>
      <c r="U185" s="150"/>
      <c r="V185" s="150"/>
      <c r="W185" s="150"/>
      <c r="X185" s="150"/>
      <c r="Y185" s="150"/>
      <c r="Z185" s="150"/>
      <c r="AA185" s="150"/>
      <c r="AC185" s="1211"/>
      <c r="AD185" s="1211"/>
      <c r="AE185" s="1211"/>
      <c r="AF185" s="1211"/>
      <c r="AG185" s="1211"/>
      <c r="AH185" s="1211"/>
      <c r="AI185" s="1211"/>
      <c r="AJ185" s="1211"/>
      <c r="AK185" s="1211"/>
      <c r="AL185" s="1211"/>
      <c r="AM185" s="1211"/>
    </row>
    <row r="186" spans="2:39" s="244" customFormat="1">
      <c r="B186" s="1278"/>
      <c r="C186" s="1282"/>
      <c r="D186" s="1282"/>
      <c r="E186" s="1282"/>
      <c r="F186" s="1284"/>
      <c r="G186" s="150"/>
      <c r="H186" s="150"/>
      <c r="I186" s="150"/>
      <c r="J186" s="150"/>
      <c r="K186" s="150"/>
      <c r="L186" s="150"/>
      <c r="M186" s="1286"/>
      <c r="N186" s="1284"/>
      <c r="O186" s="235"/>
      <c r="P186" s="150"/>
      <c r="Q186" s="1287"/>
      <c r="R186" s="1287"/>
      <c r="S186" s="149"/>
      <c r="T186" s="149"/>
      <c r="U186" s="150"/>
      <c r="V186" s="150"/>
      <c r="W186" s="150"/>
      <c r="X186" s="150"/>
      <c r="Y186" s="150"/>
      <c r="Z186" s="150"/>
      <c r="AA186" s="150"/>
      <c r="AC186" s="1211"/>
      <c r="AD186" s="1211"/>
      <c r="AE186" s="1211"/>
      <c r="AF186" s="1211"/>
      <c r="AG186" s="1211"/>
      <c r="AH186" s="1211"/>
      <c r="AI186" s="1211"/>
      <c r="AJ186" s="1211"/>
      <c r="AK186" s="1211"/>
      <c r="AL186" s="1211"/>
      <c r="AM186" s="1211"/>
    </row>
    <row r="187" spans="2:39" s="244" customFormat="1">
      <c r="B187" s="1278"/>
      <c r="C187" s="1282"/>
      <c r="D187" s="1282"/>
      <c r="E187" s="1282"/>
      <c r="F187" s="1284"/>
      <c r="G187" s="150"/>
      <c r="H187" s="150"/>
      <c r="I187" s="150"/>
      <c r="J187" s="150"/>
      <c r="K187" s="150"/>
      <c r="L187" s="150"/>
      <c r="M187" s="1286"/>
      <c r="N187" s="1284"/>
      <c r="O187" s="235"/>
      <c r="P187" s="150"/>
      <c r="Q187" s="1287"/>
      <c r="R187" s="1287"/>
      <c r="S187" s="149"/>
      <c r="T187" s="149"/>
      <c r="U187" s="150"/>
      <c r="V187" s="150"/>
      <c r="W187" s="150"/>
      <c r="X187" s="150"/>
      <c r="Y187" s="150"/>
      <c r="Z187" s="150"/>
      <c r="AA187" s="150"/>
      <c r="AC187" s="1211"/>
      <c r="AD187" s="1211"/>
      <c r="AE187" s="1211"/>
      <c r="AF187" s="1211"/>
      <c r="AG187" s="1211"/>
      <c r="AH187" s="1211"/>
      <c r="AI187" s="1211"/>
      <c r="AJ187" s="1211"/>
      <c r="AK187" s="1211"/>
      <c r="AL187" s="1211"/>
      <c r="AM187" s="1211"/>
    </row>
    <row r="188" spans="2:39" s="244" customFormat="1">
      <c r="B188" s="1278"/>
      <c r="C188" s="1282"/>
      <c r="D188" s="1282"/>
      <c r="E188" s="1282"/>
      <c r="F188" s="1284"/>
      <c r="G188" s="150"/>
      <c r="H188" s="150"/>
      <c r="I188" s="150"/>
      <c r="J188" s="150"/>
      <c r="K188" s="150"/>
      <c r="L188" s="150"/>
      <c r="M188" s="1286"/>
      <c r="N188" s="1284"/>
      <c r="O188" s="235"/>
      <c r="P188" s="150"/>
      <c r="Q188" s="1287"/>
      <c r="R188" s="1287"/>
      <c r="S188" s="149"/>
      <c r="T188" s="149"/>
      <c r="U188" s="150"/>
      <c r="V188" s="150"/>
      <c r="W188" s="150"/>
      <c r="X188" s="150"/>
      <c r="Y188" s="150"/>
      <c r="Z188" s="150"/>
      <c r="AA188" s="150"/>
      <c r="AC188" s="1211"/>
      <c r="AD188" s="1211"/>
      <c r="AE188" s="1211"/>
      <c r="AF188" s="1211"/>
      <c r="AG188" s="1211"/>
      <c r="AH188" s="1211"/>
      <c r="AI188" s="1211"/>
      <c r="AJ188" s="1211"/>
      <c r="AK188" s="1211"/>
      <c r="AL188" s="1211"/>
      <c r="AM188" s="1211"/>
    </row>
    <row r="189" spans="2:39" s="244" customFormat="1">
      <c r="B189" s="1278"/>
      <c r="C189" s="1282"/>
      <c r="D189" s="1282"/>
      <c r="E189" s="1282"/>
      <c r="F189" s="1284"/>
      <c r="G189" s="150"/>
      <c r="H189" s="150"/>
      <c r="I189" s="150"/>
      <c r="J189" s="150"/>
      <c r="K189" s="150"/>
      <c r="L189" s="150"/>
      <c r="M189" s="1286"/>
      <c r="N189" s="1284"/>
      <c r="O189" s="235"/>
      <c r="P189" s="150"/>
      <c r="Q189" s="1287"/>
      <c r="R189" s="1287"/>
      <c r="S189" s="149"/>
      <c r="T189" s="149"/>
      <c r="U189" s="150"/>
      <c r="V189" s="150"/>
      <c r="W189" s="150"/>
      <c r="X189" s="150"/>
      <c r="Y189" s="150"/>
      <c r="Z189" s="150"/>
      <c r="AA189" s="150"/>
      <c r="AC189" s="1211"/>
      <c r="AD189" s="1211"/>
      <c r="AE189" s="1211"/>
      <c r="AF189" s="1211"/>
      <c r="AG189" s="1211"/>
      <c r="AH189" s="1211"/>
      <c r="AI189" s="1211"/>
      <c r="AJ189" s="1211"/>
      <c r="AK189" s="1211"/>
      <c r="AL189" s="1211"/>
      <c r="AM189" s="1211"/>
    </row>
    <row r="190" spans="2:39" s="244" customFormat="1">
      <c r="B190" s="1278"/>
      <c r="C190" s="1282"/>
      <c r="D190" s="1282"/>
      <c r="E190" s="1282"/>
      <c r="F190" s="1284"/>
      <c r="G190" s="150"/>
      <c r="H190" s="150"/>
      <c r="I190" s="150"/>
      <c r="J190" s="150"/>
      <c r="K190" s="150"/>
      <c r="L190" s="150"/>
      <c r="M190" s="1286"/>
      <c r="N190" s="1284"/>
      <c r="O190" s="235"/>
      <c r="P190" s="150"/>
      <c r="Q190" s="1287"/>
      <c r="R190" s="1287"/>
      <c r="S190" s="149"/>
      <c r="T190" s="149"/>
      <c r="U190" s="150"/>
      <c r="V190" s="150"/>
      <c r="W190" s="150"/>
      <c r="X190" s="150"/>
      <c r="Y190" s="150"/>
      <c r="Z190" s="150"/>
      <c r="AA190" s="150"/>
      <c r="AB190" s="244">
        <f>SUBTOTAL(9,AB148:AB189)</f>
        <v>0</v>
      </c>
      <c r="AC190" s="1211">
        <f>SUBTOTAL(9,AC148:AC189)</f>
        <v>0</v>
      </c>
      <c r="AD190" s="1211">
        <f>SUBTOTAL(9,AD148:AD189)</f>
        <v>0</v>
      </c>
      <c r="AE190" s="1211"/>
      <c r="AF190" s="1211"/>
      <c r="AG190" s="1211"/>
      <c r="AH190" s="1211"/>
      <c r="AI190" s="1211"/>
      <c r="AJ190" s="1211"/>
      <c r="AK190" s="1211"/>
      <c r="AL190" s="1211"/>
      <c r="AM190" s="1211"/>
    </row>
    <row r="191" spans="2:39" s="244" customFormat="1">
      <c r="B191" s="1278"/>
      <c r="C191" s="1282"/>
      <c r="D191" s="1282"/>
      <c r="E191" s="1282"/>
      <c r="F191" s="1284"/>
      <c r="G191" s="150"/>
      <c r="H191" s="150"/>
      <c r="I191" s="150"/>
      <c r="J191" s="150"/>
      <c r="K191" s="150"/>
      <c r="L191" s="150"/>
      <c r="M191" s="1286"/>
      <c r="N191" s="1284"/>
      <c r="O191" s="235"/>
      <c r="P191" s="150"/>
      <c r="Q191" s="1287"/>
      <c r="R191" s="1287"/>
      <c r="S191" s="149"/>
      <c r="T191" s="149"/>
      <c r="U191" s="150"/>
      <c r="V191" s="150"/>
      <c r="W191" s="150"/>
      <c r="X191" s="150"/>
      <c r="Y191" s="150"/>
      <c r="Z191" s="150"/>
      <c r="AA191" s="150"/>
      <c r="AB191" s="244">
        <v>0</v>
      </c>
      <c r="AC191" s="1211">
        <v>0</v>
      </c>
      <c r="AD191" s="1211">
        <v>0</v>
      </c>
      <c r="AE191" s="1211"/>
      <c r="AF191" s="1211"/>
      <c r="AG191" s="1211"/>
      <c r="AH191" s="1211"/>
      <c r="AI191" s="1211"/>
      <c r="AJ191" s="1211"/>
      <c r="AK191" s="1211"/>
      <c r="AL191" s="1211"/>
      <c r="AM191" s="1211"/>
    </row>
    <row r="192" spans="2:39" s="244" customFormat="1">
      <c r="B192" s="1278"/>
      <c r="C192" s="1282"/>
      <c r="D192" s="1282"/>
      <c r="E192" s="1282"/>
      <c r="F192" s="1284"/>
      <c r="G192" s="150"/>
      <c r="H192" s="150"/>
      <c r="I192" s="150"/>
      <c r="J192" s="150"/>
      <c r="K192" s="150"/>
      <c r="L192" s="150"/>
      <c r="M192" s="1286"/>
      <c r="N192" s="1284"/>
      <c r="O192" s="235"/>
      <c r="P192" s="150"/>
      <c r="Q192" s="1287"/>
      <c r="R192" s="1287"/>
      <c r="S192" s="149"/>
      <c r="T192" s="149"/>
      <c r="U192" s="150"/>
      <c r="V192" s="150"/>
      <c r="W192" s="150"/>
      <c r="X192" s="150"/>
      <c r="Y192" s="150"/>
      <c r="Z192" s="150"/>
      <c r="AA192" s="150"/>
      <c r="AB192" s="244">
        <v>0</v>
      </c>
      <c r="AC192" s="1211">
        <v>0</v>
      </c>
      <c r="AD192" s="1211">
        <v>0</v>
      </c>
      <c r="AE192" s="1211"/>
      <c r="AF192" s="1211"/>
      <c r="AG192" s="1211"/>
      <c r="AH192" s="1211"/>
      <c r="AI192" s="1211"/>
      <c r="AJ192" s="1211"/>
      <c r="AK192" s="1211"/>
      <c r="AL192" s="1211"/>
      <c r="AM192" s="1211"/>
    </row>
    <row r="193" spans="2:41" s="244" customFormat="1">
      <c r="B193" s="1278"/>
      <c r="C193" s="1282"/>
      <c r="D193" s="1282"/>
      <c r="E193" s="1282"/>
      <c r="F193" s="1284"/>
      <c r="G193" s="150"/>
      <c r="H193" s="150"/>
      <c r="I193" s="150"/>
      <c r="J193" s="150"/>
      <c r="K193" s="150"/>
      <c r="L193" s="150"/>
      <c r="M193" s="1286"/>
      <c r="N193" s="1284"/>
      <c r="O193" s="235"/>
      <c r="P193" s="150"/>
      <c r="Q193" s="1287"/>
      <c r="R193" s="1287"/>
      <c r="S193" s="149"/>
      <c r="T193" s="149"/>
      <c r="U193" s="150"/>
      <c r="V193" s="150"/>
      <c r="W193" s="150"/>
      <c r="X193" s="150"/>
      <c r="Y193" s="150"/>
      <c r="Z193" s="150"/>
      <c r="AA193" s="150"/>
      <c r="AB193" s="244">
        <v>0</v>
      </c>
      <c r="AC193" s="1211">
        <v>0</v>
      </c>
      <c r="AD193" s="1211">
        <v>0</v>
      </c>
      <c r="AE193" s="1211"/>
      <c r="AF193" s="1211"/>
      <c r="AG193" s="1211"/>
      <c r="AH193" s="1211"/>
      <c r="AI193" s="1211"/>
      <c r="AJ193" s="1211"/>
      <c r="AK193" s="1211"/>
      <c r="AL193" s="1211"/>
      <c r="AM193" s="1211"/>
    </row>
    <row r="194" spans="2:41" s="244" customFormat="1">
      <c r="B194" s="1278"/>
      <c r="C194" s="1282"/>
      <c r="D194" s="1282"/>
      <c r="E194" s="1282"/>
      <c r="F194" s="1284"/>
      <c r="G194" s="150"/>
      <c r="H194" s="150"/>
      <c r="I194" s="150"/>
      <c r="J194" s="150"/>
      <c r="K194" s="150"/>
      <c r="L194" s="150"/>
      <c r="M194" s="1286"/>
      <c r="N194" s="1284"/>
      <c r="O194" s="235"/>
      <c r="P194" s="150"/>
      <c r="Q194" s="1287"/>
      <c r="R194" s="1287"/>
      <c r="S194" s="149"/>
      <c r="T194" s="149"/>
      <c r="U194" s="150"/>
      <c r="V194" s="150"/>
      <c r="W194" s="150"/>
      <c r="X194" s="150"/>
      <c r="Y194" s="150"/>
      <c r="Z194" s="150"/>
      <c r="AA194" s="150"/>
      <c r="AB194" s="244">
        <v>0</v>
      </c>
      <c r="AC194" s="1211">
        <v>0</v>
      </c>
      <c r="AD194" s="1211">
        <v>0</v>
      </c>
      <c r="AE194" s="1211"/>
      <c r="AF194" s="1211"/>
      <c r="AG194" s="1211"/>
      <c r="AH194" s="1211"/>
      <c r="AI194" s="1211"/>
      <c r="AJ194" s="1211"/>
      <c r="AK194" s="1211"/>
      <c r="AL194" s="1211"/>
      <c r="AM194" s="1211"/>
    </row>
    <row r="195" spans="2:41" s="244" customFormat="1">
      <c r="B195" s="1278"/>
      <c r="C195" s="1282"/>
      <c r="D195" s="1282"/>
      <c r="E195" s="1282"/>
      <c r="F195" s="1284"/>
      <c r="G195" s="150"/>
      <c r="H195" s="150"/>
      <c r="I195" s="150"/>
      <c r="J195" s="150"/>
      <c r="K195" s="150"/>
      <c r="L195" s="150"/>
      <c r="M195" s="1286"/>
      <c r="N195" s="1284"/>
      <c r="O195" s="235"/>
      <c r="P195" s="150"/>
      <c r="Q195" s="1287"/>
      <c r="R195" s="1287"/>
      <c r="S195" s="149"/>
      <c r="T195" s="149"/>
      <c r="U195" s="150"/>
      <c r="V195" s="150"/>
      <c r="W195" s="150"/>
      <c r="X195" s="150"/>
      <c r="Y195" s="150"/>
      <c r="Z195" s="150"/>
      <c r="AA195" s="150"/>
      <c r="AB195" s="244">
        <v>0</v>
      </c>
      <c r="AC195" s="1211">
        <v>0</v>
      </c>
      <c r="AD195" s="1211">
        <v>0</v>
      </c>
      <c r="AE195" s="1211"/>
      <c r="AF195" s="1211"/>
      <c r="AG195" s="1211"/>
      <c r="AH195" s="1211"/>
      <c r="AI195" s="1211"/>
      <c r="AJ195" s="1211"/>
      <c r="AK195" s="1211"/>
      <c r="AL195" s="1211"/>
      <c r="AM195" s="1211"/>
    </row>
    <row r="196" spans="2:41" s="244" customFormat="1">
      <c r="B196" s="1278"/>
      <c r="C196" s="1282"/>
      <c r="D196" s="1282"/>
      <c r="E196" s="1282"/>
      <c r="F196" s="1284"/>
      <c r="G196" s="150"/>
      <c r="H196" s="150"/>
      <c r="I196" s="150"/>
      <c r="J196" s="150"/>
      <c r="K196" s="150"/>
      <c r="L196" s="150"/>
      <c r="M196" s="1286"/>
      <c r="N196" s="1284"/>
      <c r="O196" s="235"/>
      <c r="P196" s="150"/>
      <c r="Q196" s="1287"/>
      <c r="R196" s="1287"/>
      <c r="S196" s="149"/>
      <c r="T196" s="149"/>
      <c r="U196" s="150"/>
      <c r="V196" s="150"/>
      <c r="W196" s="150"/>
      <c r="X196" s="150"/>
      <c r="Y196" s="150"/>
      <c r="Z196" s="150"/>
      <c r="AA196" s="150"/>
      <c r="AB196" s="244">
        <v>0</v>
      </c>
      <c r="AC196" s="1211">
        <v>0</v>
      </c>
      <c r="AD196" s="1211">
        <v>0</v>
      </c>
      <c r="AE196" s="1211"/>
      <c r="AF196" s="1211"/>
      <c r="AG196" s="1211"/>
      <c r="AH196" s="1211"/>
      <c r="AI196" s="1211"/>
      <c r="AJ196" s="1211"/>
      <c r="AK196" s="1211"/>
      <c r="AL196" s="1211"/>
      <c r="AM196" s="1211"/>
    </row>
    <row r="197" spans="2:41" s="244" customFormat="1">
      <c r="B197" s="1278"/>
      <c r="C197" s="1282"/>
      <c r="D197" s="1282"/>
      <c r="E197" s="1282"/>
      <c r="F197" s="1284"/>
      <c r="G197" s="150"/>
      <c r="H197" s="150"/>
      <c r="I197" s="150"/>
      <c r="J197" s="150"/>
      <c r="K197" s="150"/>
      <c r="L197" s="150"/>
      <c r="M197" s="1286"/>
      <c r="N197" s="1284"/>
      <c r="O197" s="235"/>
      <c r="P197" s="150"/>
      <c r="Q197" s="1287"/>
      <c r="R197" s="1287"/>
      <c r="S197" s="149"/>
      <c r="T197" s="149"/>
      <c r="U197" s="150"/>
      <c r="V197" s="150"/>
      <c r="W197" s="150"/>
      <c r="X197" s="150"/>
      <c r="Y197" s="150"/>
      <c r="Z197" s="150"/>
      <c r="AA197" s="150"/>
      <c r="AB197" s="244">
        <v>0</v>
      </c>
      <c r="AC197" s="1211">
        <v>0</v>
      </c>
      <c r="AD197" s="1211">
        <v>0</v>
      </c>
      <c r="AE197" s="1211"/>
      <c r="AF197" s="1211"/>
      <c r="AG197" s="1211"/>
      <c r="AH197" s="1211"/>
      <c r="AI197" s="1211"/>
      <c r="AJ197" s="1211"/>
      <c r="AK197" s="1211"/>
      <c r="AL197" s="1211"/>
      <c r="AM197" s="1211"/>
    </row>
    <row r="198" spans="2:41" s="244" customFormat="1">
      <c r="B198" s="1278"/>
      <c r="C198" s="1282"/>
      <c r="D198" s="1282"/>
      <c r="E198" s="1282"/>
      <c r="F198" s="1284"/>
      <c r="G198" s="150"/>
      <c r="H198" s="150"/>
      <c r="I198" s="150"/>
      <c r="J198" s="150"/>
      <c r="K198" s="150"/>
      <c r="L198" s="150"/>
      <c r="M198" s="1286"/>
      <c r="N198" s="1284"/>
      <c r="O198" s="235"/>
      <c r="P198" s="150"/>
      <c r="Q198" s="1287"/>
      <c r="R198" s="1287"/>
      <c r="S198" s="149"/>
      <c r="T198" s="149"/>
      <c r="U198" s="150"/>
      <c r="V198" s="150"/>
      <c r="W198" s="150"/>
      <c r="X198" s="150"/>
      <c r="Y198" s="150"/>
      <c r="Z198" s="150"/>
      <c r="AA198" s="150"/>
      <c r="AB198" s="244">
        <v>0</v>
      </c>
      <c r="AC198" s="1211">
        <v>0</v>
      </c>
      <c r="AD198" s="1211">
        <v>0</v>
      </c>
      <c r="AE198" s="1211"/>
      <c r="AF198" s="1211"/>
      <c r="AG198" s="1211"/>
      <c r="AH198" s="1211"/>
      <c r="AI198" s="1211"/>
      <c r="AJ198" s="1211"/>
      <c r="AK198" s="1211"/>
      <c r="AL198" s="1211"/>
      <c r="AM198" s="1211"/>
    </row>
    <row r="199" spans="2:41" s="244" customFormat="1">
      <c r="B199" s="1278"/>
      <c r="C199" s="1282"/>
      <c r="D199" s="1282"/>
      <c r="E199" s="1282"/>
      <c r="F199" s="1284"/>
      <c r="G199" s="150"/>
      <c r="H199" s="150"/>
      <c r="I199" s="150"/>
      <c r="J199" s="150"/>
      <c r="K199" s="150"/>
      <c r="L199" s="150"/>
      <c r="M199" s="1286"/>
      <c r="N199" s="1284"/>
      <c r="O199" s="235"/>
      <c r="P199" s="150"/>
      <c r="Q199" s="1287"/>
      <c r="R199" s="1287"/>
      <c r="S199" s="149"/>
      <c r="T199" s="149"/>
      <c r="U199" s="150"/>
      <c r="V199" s="150"/>
      <c r="W199" s="150"/>
      <c r="X199" s="150"/>
      <c r="Y199" s="150"/>
      <c r="Z199" s="150"/>
      <c r="AA199" s="150"/>
      <c r="AB199" s="244">
        <v>0</v>
      </c>
      <c r="AC199" s="1211">
        <v>0</v>
      </c>
      <c r="AD199" s="1211">
        <v>0</v>
      </c>
      <c r="AE199" s="1211"/>
      <c r="AF199" s="1211"/>
      <c r="AG199" s="1211"/>
      <c r="AH199" s="1211"/>
      <c r="AI199" s="1211"/>
      <c r="AJ199" s="1211"/>
      <c r="AK199" s="1211"/>
      <c r="AL199" s="1211"/>
      <c r="AM199" s="1211"/>
    </row>
    <row r="200" spans="2:41" s="244" customFormat="1">
      <c r="B200" s="1278"/>
      <c r="C200" s="1282"/>
      <c r="D200" s="1282"/>
      <c r="E200" s="1282"/>
      <c r="F200" s="1284"/>
      <c r="G200" s="150"/>
      <c r="H200" s="150"/>
      <c r="I200" s="150"/>
      <c r="J200" s="150"/>
      <c r="K200" s="150"/>
      <c r="L200" s="150"/>
      <c r="M200" s="1286"/>
      <c r="N200" s="1284"/>
      <c r="O200" s="235"/>
      <c r="P200" s="150"/>
      <c r="Q200" s="1287"/>
      <c r="R200" s="1287"/>
      <c r="S200" s="149"/>
      <c r="T200" s="149"/>
      <c r="U200" s="150"/>
      <c r="V200" s="150"/>
      <c r="W200" s="150"/>
      <c r="X200" s="150"/>
      <c r="Y200" s="150"/>
      <c r="Z200" s="150"/>
      <c r="AA200" s="150"/>
      <c r="AB200" s="244">
        <v>0</v>
      </c>
      <c r="AC200" s="1211">
        <v>0</v>
      </c>
      <c r="AD200" s="1211">
        <v>0</v>
      </c>
      <c r="AE200" s="1211"/>
      <c r="AF200" s="1211"/>
      <c r="AG200" s="1211"/>
      <c r="AH200" s="1211"/>
      <c r="AI200" s="1211"/>
      <c r="AJ200" s="1211"/>
      <c r="AK200" s="1211"/>
      <c r="AL200" s="1211"/>
      <c r="AM200" s="1211"/>
    </row>
    <row r="201" spans="2:41" s="244" customFormat="1">
      <c r="B201" s="1278"/>
      <c r="C201" s="1282"/>
      <c r="D201" s="1282"/>
      <c r="E201" s="1282"/>
      <c r="F201" s="1284"/>
      <c r="G201" s="150"/>
      <c r="H201" s="150"/>
      <c r="I201" s="150"/>
      <c r="J201" s="150"/>
      <c r="K201" s="150"/>
      <c r="L201" s="150"/>
      <c r="M201" s="1286"/>
      <c r="N201" s="1284"/>
      <c r="O201" s="235"/>
      <c r="P201" s="150"/>
      <c r="Q201" s="1287"/>
      <c r="R201" s="1287"/>
      <c r="S201" s="149"/>
      <c r="T201" s="149"/>
      <c r="U201" s="150">
        <f>SUBTOTAL(9,U159:U200)</f>
        <v>0</v>
      </c>
      <c r="V201" s="150">
        <f t="shared" ref="V201:AA201" si="122">SUBTOTAL(9,V159:V200)</f>
        <v>0</v>
      </c>
      <c r="W201" s="150">
        <f t="shared" si="122"/>
        <v>0</v>
      </c>
      <c r="X201" s="150">
        <f t="shared" si="122"/>
        <v>0</v>
      </c>
      <c r="Y201" s="150">
        <f t="shared" si="122"/>
        <v>0</v>
      </c>
      <c r="Z201" s="150">
        <f t="shared" si="122"/>
        <v>0</v>
      </c>
      <c r="AA201" s="150">
        <f t="shared" si="122"/>
        <v>0</v>
      </c>
      <c r="AB201" s="244">
        <v>0</v>
      </c>
      <c r="AC201" s="1211">
        <v>0</v>
      </c>
      <c r="AD201" s="1211">
        <v>0</v>
      </c>
      <c r="AE201" s="1211"/>
      <c r="AF201" s="1211"/>
      <c r="AG201" s="1211"/>
      <c r="AH201" s="1211"/>
      <c r="AI201" s="1211"/>
      <c r="AJ201" s="1211"/>
      <c r="AK201" s="1211"/>
      <c r="AL201" s="1211"/>
      <c r="AM201" s="1211"/>
    </row>
    <row r="202" spans="2:41" s="244" customFormat="1" ht="12" thickBot="1">
      <c r="B202" s="1278"/>
      <c r="C202" s="1282"/>
      <c r="D202" s="1282"/>
      <c r="E202" s="1282"/>
      <c r="F202" s="1284"/>
      <c r="G202" s="150"/>
      <c r="H202" s="150"/>
      <c r="I202" s="150"/>
      <c r="J202" s="150"/>
      <c r="K202" s="150"/>
      <c r="L202" s="150"/>
      <c r="M202" s="1286"/>
      <c r="N202" s="1284"/>
      <c r="O202" s="235"/>
      <c r="P202" s="150"/>
      <c r="Q202" s="1287"/>
      <c r="R202" s="1287"/>
      <c r="S202" s="149"/>
      <c r="T202" s="149"/>
      <c r="U202" s="150"/>
      <c r="V202" s="150"/>
      <c r="W202" s="150"/>
      <c r="X202" s="150"/>
      <c r="Y202" s="150"/>
      <c r="Z202" s="150"/>
      <c r="AA202" s="150"/>
      <c r="AC202" s="1211"/>
      <c r="AD202" s="1211"/>
      <c r="AE202" s="1211"/>
      <c r="AF202" s="1211"/>
      <c r="AG202" s="1211"/>
      <c r="AH202" s="1211"/>
      <c r="AI202" s="1211"/>
      <c r="AJ202" s="1211"/>
      <c r="AK202" s="1211"/>
      <c r="AL202" s="1211"/>
      <c r="AM202" s="1211"/>
    </row>
    <row r="203" spans="2:41" s="244" customFormat="1" ht="13" thickTop="1" thickBot="1">
      <c r="B203" s="1278"/>
      <c r="C203" s="1282"/>
      <c r="D203" s="1282"/>
      <c r="E203" s="1282"/>
      <c r="F203" s="1284"/>
      <c r="G203" s="150"/>
      <c r="H203" s="150"/>
      <c r="I203" s="150"/>
      <c r="J203" s="150"/>
      <c r="K203" s="150"/>
      <c r="L203" s="150"/>
      <c r="M203" s="1286"/>
      <c r="N203" s="1284"/>
      <c r="O203" s="235"/>
      <c r="P203" s="150"/>
      <c r="Q203" s="1287"/>
      <c r="R203" s="1287"/>
      <c r="S203" s="1287"/>
      <c r="T203" s="149"/>
      <c r="U203" s="151"/>
      <c r="V203" s="152"/>
      <c r="W203" s="153"/>
      <c r="X203" s="153"/>
      <c r="Y203" s="153"/>
      <c r="Z203" s="153"/>
      <c r="AA203" s="154"/>
      <c r="AB203" s="1288"/>
      <c r="AC203" s="1288"/>
      <c r="AE203" s="1211"/>
      <c r="AF203" s="1211"/>
      <c r="AG203" s="1211"/>
      <c r="AH203" s="1211"/>
      <c r="AI203" s="1211"/>
      <c r="AJ203" s="1211"/>
      <c r="AK203" s="1211"/>
      <c r="AL203" s="1211"/>
      <c r="AM203" s="1211"/>
      <c r="AN203" s="1211"/>
      <c r="AO203" s="1211"/>
    </row>
    <row r="204" spans="2:41" s="244" customFormat="1" ht="12" thickTop="1">
      <c r="B204" s="1278"/>
      <c r="C204" s="1282"/>
      <c r="D204" s="1282"/>
      <c r="E204" s="1282"/>
      <c r="F204" s="1284"/>
      <c r="G204" s="150"/>
      <c r="H204" s="150"/>
      <c r="I204" s="150"/>
      <c r="J204" s="150"/>
      <c r="K204" s="150"/>
      <c r="L204" s="150"/>
      <c r="M204" s="1286"/>
      <c r="N204" s="1284"/>
      <c r="O204" s="235"/>
      <c r="P204" s="150"/>
      <c r="Q204" s="1287"/>
      <c r="R204" s="1287"/>
      <c r="S204" s="149"/>
      <c r="T204" s="149"/>
      <c r="U204" s="150"/>
      <c r="V204" s="150"/>
      <c r="W204" s="150"/>
      <c r="X204" s="150"/>
      <c r="Y204" s="150"/>
      <c r="Z204" s="150"/>
      <c r="AA204" s="150"/>
      <c r="AC204" s="1211"/>
      <c r="AD204" s="1211"/>
      <c r="AE204" s="1211"/>
      <c r="AF204" s="1211"/>
      <c r="AG204" s="1211"/>
      <c r="AH204" s="1211"/>
      <c r="AI204" s="1211"/>
      <c r="AJ204" s="1211"/>
      <c r="AK204" s="1211"/>
      <c r="AL204" s="1211"/>
      <c r="AM204" s="1211"/>
    </row>
    <row r="205" spans="2:41" s="244" customFormat="1">
      <c r="B205" s="1278"/>
      <c r="C205" s="1282"/>
      <c r="D205" s="1282"/>
      <c r="E205" s="1282"/>
      <c r="F205" s="1284"/>
      <c r="G205" s="150"/>
      <c r="H205" s="150"/>
      <c r="I205" s="150"/>
      <c r="J205" s="150"/>
      <c r="K205" s="150"/>
      <c r="L205" s="150"/>
      <c r="M205" s="1286"/>
      <c r="N205" s="1284"/>
      <c r="O205" s="235"/>
      <c r="P205" s="150"/>
      <c r="Q205" s="1287"/>
      <c r="R205" s="1287"/>
      <c r="S205" s="149"/>
      <c r="T205" s="149"/>
      <c r="U205" s="150"/>
      <c r="V205" s="150"/>
      <c r="W205" s="150"/>
      <c r="X205" s="150"/>
      <c r="Y205" s="150"/>
      <c r="Z205" s="150"/>
      <c r="AA205" s="150"/>
      <c r="AC205" s="1211"/>
      <c r="AD205" s="1211"/>
      <c r="AE205" s="1211"/>
      <c r="AF205" s="1211"/>
      <c r="AG205" s="1211"/>
      <c r="AH205" s="1211"/>
      <c r="AI205" s="1211"/>
      <c r="AJ205" s="1211"/>
      <c r="AK205" s="1211"/>
      <c r="AL205" s="1211"/>
      <c r="AM205" s="1211"/>
    </row>
    <row r="206" spans="2:41" s="244" customFormat="1">
      <c r="B206" s="1278"/>
      <c r="C206" s="1282"/>
      <c r="D206" s="1282"/>
      <c r="E206" s="1282"/>
      <c r="F206" s="1284"/>
      <c r="G206" s="150"/>
      <c r="H206" s="150"/>
      <c r="I206" s="150"/>
      <c r="J206" s="150"/>
      <c r="K206" s="150"/>
      <c r="L206" s="150"/>
      <c r="M206" s="1286"/>
      <c r="N206" s="1284"/>
      <c r="O206" s="235"/>
      <c r="P206" s="150"/>
      <c r="Q206" s="1287"/>
      <c r="R206" s="1287"/>
      <c r="S206" s="149"/>
      <c r="T206" s="149"/>
      <c r="U206" s="150"/>
      <c r="V206" s="150"/>
      <c r="W206" s="150"/>
      <c r="X206" s="150"/>
      <c r="Y206" s="150"/>
      <c r="Z206" s="150"/>
      <c r="AA206" s="150"/>
      <c r="AC206" s="1211"/>
      <c r="AD206" s="1211"/>
      <c r="AE206" s="1211"/>
      <c r="AF206" s="1211"/>
      <c r="AG206" s="1211"/>
      <c r="AH206" s="1211"/>
      <c r="AI206" s="1211"/>
      <c r="AJ206" s="1211"/>
      <c r="AK206" s="1211"/>
      <c r="AL206" s="1211"/>
      <c r="AM206" s="1211"/>
    </row>
    <row r="207" spans="2:41" s="244" customFormat="1">
      <c r="B207" s="1278"/>
      <c r="C207" s="1282"/>
      <c r="D207" s="1282"/>
      <c r="E207" s="1282"/>
      <c r="F207" s="1284"/>
      <c r="G207" s="150"/>
      <c r="H207" s="150"/>
      <c r="I207" s="150"/>
      <c r="J207" s="150"/>
      <c r="K207" s="150"/>
      <c r="L207" s="150"/>
      <c r="M207" s="1286"/>
      <c r="N207" s="1284"/>
      <c r="O207" s="235"/>
      <c r="P207" s="150"/>
      <c r="Q207" s="1287"/>
      <c r="R207" s="1287"/>
      <c r="S207" s="149"/>
      <c r="T207" s="149"/>
      <c r="U207" s="150"/>
      <c r="V207" s="150"/>
      <c r="W207" s="150"/>
      <c r="X207" s="150"/>
      <c r="Y207" s="150"/>
      <c r="Z207" s="150"/>
      <c r="AA207" s="150"/>
      <c r="AC207" s="1211"/>
      <c r="AD207" s="1211"/>
      <c r="AE207" s="1211"/>
      <c r="AF207" s="1211"/>
      <c r="AG207" s="1211"/>
      <c r="AH207" s="1211"/>
      <c r="AI207" s="1211"/>
      <c r="AJ207" s="1211"/>
      <c r="AK207" s="1211"/>
      <c r="AL207" s="1211"/>
      <c r="AM207" s="1211"/>
    </row>
    <row r="208" spans="2:41" s="244" customFormat="1">
      <c r="B208" s="1278"/>
      <c r="C208" s="1282"/>
      <c r="D208" s="1282"/>
      <c r="E208" s="1282"/>
      <c r="F208" s="1284"/>
      <c r="G208" s="150"/>
      <c r="H208" s="150"/>
      <c r="I208" s="150"/>
      <c r="J208" s="150"/>
      <c r="K208" s="150"/>
      <c r="L208" s="150"/>
      <c r="M208" s="1286"/>
      <c r="N208" s="1284"/>
      <c r="O208" s="235"/>
      <c r="P208" s="150"/>
      <c r="Q208" s="1287"/>
      <c r="R208" s="1287"/>
      <c r="S208" s="149"/>
      <c r="T208" s="149"/>
      <c r="U208" s="150"/>
      <c r="V208" s="150"/>
      <c r="W208" s="150"/>
      <c r="X208" s="150"/>
      <c r="Y208" s="150"/>
      <c r="Z208" s="150"/>
      <c r="AA208" s="150"/>
      <c r="AC208" s="1211"/>
      <c r="AD208" s="1211"/>
      <c r="AE208" s="1211"/>
      <c r="AF208" s="1211"/>
      <c r="AG208" s="1211"/>
      <c r="AH208" s="1211"/>
      <c r="AI208" s="1211"/>
      <c r="AJ208" s="1211"/>
      <c r="AK208" s="1211"/>
      <c r="AL208" s="1211"/>
      <c r="AM208" s="1211"/>
    </row>
    <row r="209" spans="2:39" s="244" customFormat="1">
      <c r="B209" s="1278"/>
      <c r="C209" s="1282"/>
      <c r="D209" s="1282"/>
      <c r="E209" s="1282"/>
      <c r="F209" s="1284"/>
      <c r="G209" s="150"/>
      <c r="H209" s="150"/>
      <c r="I209" s="150"/>
      <c r="J209" s="150"/>
      <c r="K209" s="150"/>
      <c r="L209" s="150"/>
      <c r="M209" s="1286"/>
      <c r="N209" s="1284"/>
      <c r="O209" s="235"/>
      <c r="P209" s="150"/>
      <c r="Q209" s="1287"/>
      <c r="R209" s="1287"/>
      <c r="S209" s="149"/>
      <c r="T209" s="149"/>
      <c r="U209" s="150"/>
      <c r="V209" s="150"/>
      <c r="W209" s="150"/>
      <c r="X209" s="150"/>
      <c r="Y209" s="150"/>
      <c r="Z209" s="150"/>
      <c r="AA209" s="150"/>
      <c r="AC209" s="1211"/>
      <c r="AD209" s="1211"/>
      <c r="AE209" s="1211"/>
      <c r="AF209" s="1211"/>
      <c r="AG209" s="1211"/>
      <c r="AH209" s="1211"/>
      <c r="AI209" s="1211"/>
      <c r="AJ209" s="1211"/>
      <c r="AK209" s="1211"/>
      <c r="AL209" s="1211"/>
      <c r="AM209" s="1211"/>
    </row>
    <row r="210" spans="2:39" s="244" customFormat="1">
      <c r="B210" s="1278"/>
      <c r="C210" s="1282"/>
      <c r="D210" s="1282"/>
      <c r="E210" s="1282"/>
      <c r="F210" s="1284"/>
      <c r="G210" s="150"/>
      <c r="H210" s="150"/>
      <c r="I210" s="150"/>
      <c r="J210" s="150"/>
      <c r="K210" s="150"/>
      <c r="L210" s="150"/>
      <c r="M210" s="1286"/>
      <c r="N210" s="1284"/>
      <c r="O210" s="235"/>
      <c r="P210" s="150"/>
      <c r="Q210" s="1287"/>
      <c r="R210" s="1287"/>
      <c r="S210" s="149"/>
      <c r="T210" s="149"/>
      <c r="U210" s="150"/>
      <c r="V210" s="150"/>
      <c r="W210" s="150"/>
      <c r="X210" s="150"/>
      <c r="Y210" s="150"/>
      <c r="Z210" s="150"/>
      <c r="AA210" s="150"/>
      <c r="AC210" s="1211"/>
      <c r="AD210" s="1211"/>
      <c r="AE210" s="1211"/>
      <c r="AF210" s="1211"/>
      <c r="AG210" s="1211"/>
      <c r="AH210" s="1211"/>
      <c r="AI210" s="1211"/>
      <c r="AJ210" s="1211"/>
      <c r="AK210" s="1211"/>
      <c r="AL210" s="1211"/>
      <c r="AM210" s="1211"/>
    </row>
    <row r="211" spans="2:39" s="244" customFormat="1">
      <c r="B211" s="1278"/>
      <c r="C211" s="1282"/>
      <c r="D211" s="1282"/>
      <c r="E211" s="1282"/>
      <c r="F211" s="1284"/>
      <c r="G211" s="150"/>
      <c r="H211" s="150"/>
      <c r="I211" s="150"/>
      <c r="J211" s="150"/>
      <c r="K211" s="150"/>
      <c r="L211" s="150"/>
      <c r="M211" s="1286"/>
      <c r="N211" s="1284"/>
      <c r="O211" s="235"/>
      <c r="P211" s="150"/>
      <c r="Q211" s="1287"/>
      <c r="R211" s="1287"/>
      <c r="S211" s="149"/>
      <c r="T211" s="149"/>
      <c r="U211" s="150"/>
      <c r="V211" s="150"/>
      <c r="W211" s="150"/>
      <c r="X211" s="150"/>
      <c r="Y211" s="150"/>
      <c r="Z211" s="150"/>
      <c r="AA211" s="150"/>
      <c r="AC211" s="1211"/>
      <c r="AD211" s="1211"/>
      <c r="AE211" s="1211"/>
      <c r="AF211" s="1211"/>
      <c r="AG211" s="1211"/>
      <c r="AH211" s="1211"/>
      <c r="AI211" s="1211"/>
      <c r="AJ211" s="1211"/>
      <c r="AK211" s="1211"/>
      <c r="AL211" s="1211"/>
      <c r="AM211" s="1211"/>
    </row>
    <row r="212" spans="2:39" s="244" customFormat="1">
      <c r="B212" s="1278"/>
      <c r="C212" s="1282"/>
      <c r="D212" s="1282"/>
      <c r="E212" s="1282"/>
      <c r="F212" s="1284"/>
      <c r="G212" s="150"/>
      <c r="H212" s="150"/>
      <c r="I212" s="150"/>
      <c r="J212" s="150"/>
      <c r="K212" s="150"/>
      <c r="L212" s="150"/>
      <c r="M212" s="1286"/>
      <c r="N212" s="1284"/>
      <c r="O212" s="235"/>
      <c r="P212" s="150"/>
      <c r="Q212" s="1287"/>
      <c r="R212" s="1287"/>
      <c r="S212" s="149"/>
      <c r="T212" s="149"/>
      <c r="U212" s="150"/>
      <c r="V212" s="150"/>
      <c r="W212" s="150"/>
      <c r="X212" s="150"/>
      <c r="Y212" s="150"/>
      <c r="Z212" s="150"/>
      <c r="AA212" s="150"/>
      <c r="AC212" s="1211"/>
      <c r="AD212" s="1211"/>
      <c r="AE212" s="1211"/>
      <c r="AF212" s="1211"/>
      <c r="AG212" s="1211"/>
      <c r="AH212" s="1211"/>
      <c r="AI212" s="1211"/>
      <c r="AJ212" s="1211"/>
      <c r="AK212" s="1211"/>
      <c r="AL212" s="1211"/>
      <c r="AM212" s="1211"/>
    </row>
    <row r="213" spans="2:39" s="244" customFormat="1">
      <c r="B213" s="1278"/>
      <c r="C213" s="1282"/>
      <c r="D213" s="1282"/>
      <c r="E213" s="1282"/>
      <c r="F213" s="1284"/>
      <c r="G213" s="150"/>
      <c r="H213" s="150"/>
      <c r="I213" s="150"/>
      <c r="J213" s="150"/>
      <c r="K213" s="150"/>
      <c r="L213" s="150"/>
      <c r="M213" s="1286"/>
      <c r="N213" s="1284"/>
      <c r="O213" s="235"/>
      <c r="P213" s="150"/>
      <c r="Q213" s="1287"/>
      <c r="R213" s="1287"/>
      <c r="S213" s="149"/>
      <c r="T213" s="149"/>
      <c r="U213" s="150"/>
      <c r="V213" s="150"/>
      <c r="W213" s="150"/>
      <c r="X213" s="150"/>
      <c r="Y213" s="150"/>
      <c r="Z213" s="150"/>
      <c r="AA213" s="150"/>
      <c r="AC213" s="1211"/>
      <c r="AD213" s="1211"/>
      <c r="AE213" s="1211"/>
      <c r="AF213" s="1211"/>
      <c r="AG213" s="1211"/>
      <c r="AH213" s="1211"/>
      <c r="AI213" s="1211"/>
      <c r="AJ213" s="1211"/>
      <c r="AK213" s="1211"/>
      <c r="AL213" s="1211"/>
      <c r="AM213" s="1211"/>
    </row>
    <row r="214" spans="2:39" s="244" customFormat="1">
      <c r="B214" s="1278"/>
      <c r="C214" s="1282"/>
      <c r="D214" s="1282"/>
      <c r="E214" s="1282"/>
      <c r="F214" s="1284"/>
      <c r="G214" s="150"/>
      <c r="H214" s="150"/>
      <c r="I214" s="150"/>
      <c r="J214" s="150"/>
      <c r="K214" s="150"/>
      <c r="L214" s="150"/>
      <c r="M214" s="1286"/>
      <c r="N214" s="1284"/>
      <c r="O214" s="235"/>
      <c r="P214" s="150"/>
      <c r="Q214" s="1287"/>
      <c r="R214" s="1287"/>
      <c r="S214" s="149"/>
      <c r="T214" s="149"/>
      <c r="U214" s="150"/>
      <c r="V214" s="150"/>
      <c r="W214" s="150"/>
      <c r="X214" s="150"/>
      <c r="Y214" s="150"/>
      <c r="Z214" s="150"/>
      <c r="AA214" s="150"/>
      <c r="AC214" s="1211"/>
      <c r="AD214" s="1211"/>
      <c r="AE214" s="1211"/>
      <c r="AF214" s="1211"/>
      <c r="AG214" s="1211"/>
      <c r="AH214" s="1211"/>
      <c r="AI214" s="1211"/>
      <c r="AJ214" s="1211"/>
      <c r="AK214" s="1211"/>
      <c r="AL214" s="1211"/>
      <c r="AM214" s="1211"/>
    </row>
    <row r="215" spans="2:39" s="244" customFormat="1">
      <c r="B215" s="1278"/>
      <c r="C215" s="1282"/>
      <c r="D215" s="1282"/>
      <c r="E215" s="1282"/>
      <c r="F215" s="1284"/>
      <c r="G215" s="150"/>
      <c r="H215" s="150"/>
      <c r="I215" s="150"/>
      <c r="J215" s="150"/>
      <c r="K215" s="150"/>
      <c r="L215" s="150"/>
      <c r="M215" s="1286"/>
      <c r="N215" s="1284"/>
      <c r="O215" s="235"/>
      <c r="P215" s="150"/>
      <c r="Q215" s="1287"/>
      <c r="R215" s="1287"/>
      <c r="S215" s="149"/>
      <c r="T215" s="149"/>
      <c r="U215" s="150"/>
      <c r="V215" s="150"/>
      <c r="W215" s="150"/>
      <c r="X215" s="150"/>
      <c r="Y215" s="150"/>
      <c r="Z215" s="150"/>
      <c r="AA215" s="150"/>
      <c r="AC215" s="1211"/>
      <c r="AD215" s="1211"/>
      <c r="AE215" s="1211"/>
      <c r="AF215" s="1211"/>
      <c r="AG215" s="1211"/>
      <c r="AH215" s="1211"/>
      <c r="AI215" s="1211"/>
      <c r="AJ215" s="1211"/>
      <c r="AK215" s="1211"/>
      <c r="AL215" s="1211"/>
      <c r="AM215" s="1211"/>
    </row>
    <row r="216" spans="2:39" s="244" customFormat="1">
      <c r="B216" s="1278"/>
      <c r="C216" s="1282"/>
      <c r="D216" s="1282"/>
      <c r="E216" s="1282"/>
      <c r="F216" s="1284"/>
      <c r="G216" s="150"/>
      <c r="H216" s="150"/>
      <c r="I216" s="150"/>
      <c r="J216" s="150"/>
      <c r="K216" s="150"/>
      <c r="L216" s="150"/>
      <c r="M216" s="1286"/>
      <c r="N216" s="1284"/>
      <c r="O216" s="235"/>
      <c r="P216" s="150"/>
      <c r="Q216" s="1287"/>
      <c r="R216" s="1287"/>
      <c r="S216" s="149"/>
      <c r="T216" s="149"/>
      <c r="U216" s="150"/>
      <c r="V216" s="150"/>
      <c r="W216" s="150"/>
      <c r="X216" s="150"/>
      <c r="Y216" s="150"/>
      <c r="Z216" s="150"/>
      <c r="AA216" s="150"/>
      <c r="AC216" s="1211"/>
      <c r="AD216" s="1211"/>
      <c r="AE216" s="1211"/>
      <c r="AF216" s="1211"/>
      <c r="AG216" s="1211"/>
      <c r="AH216" s="1211"/>
      <c r="AI216" s="1211"/>
      <c r="AJ216" s="1211"/>
      <c r="AK216" s="1211"/>
      <c r="AL216" s="1211"/>
      <c r="AM216" s="1211"/>
    </row>
    <row r="217" spans="2:39" s="244" customFormat="1">
      <c r="B217" s="1278"/>
      <c r="C217" s="1282"/>
      <c r="D217" s="1282"/>
      <c r="E217" s="1282"/>
      <c r="F217" s="1284"/>
      <c r="G217" s="150"/>
      <c r="H217" s="150"/>
      <c r="I217" s="150"/>
      <c r="J217" s="150"/>
      <c r="K217" s="150"/>
      <c r="L217" s="150"/>
      <c r="M217" s="1286"/>
      <c r="N217" s="1284"/>
      <c r="O217" s="235"/>
      <c r="P217" s="150"/>
      <c r="Q217" s="1287"/>
      <c r="R217" s="1287"/>
      <c r="S217" s="149"/>
      <c r="T217" s="149"/>
      <c r="U217" s="150"/>
      <c r="V217" s="150"/>
      <c r="W217" s="150"/>
      <c r="X217" s="150"/>
      <c r="Y217" s="150"/>
      <c r="Z217" s="150"/>
      <c r="AA217" s="150"/>
      <c r="AC217" s="1211"/>
      <c r="AD217" s="1211"/>
      <c r="AE217" s="1211"/>
      <c r="AF217" s="1211"/>
      <c r="AG217" s="1211"/>
      <c r="AH217" s="1211"/>
      <c r="AI217" s="1211"/>
      <c r="AJ217" s="1211"/>
      <c r="AK217" s="1211"/>
      <c r="AL217" s="1211"/>
      <c r="AM217" s="1211"/>
    </row>
    <row r="218" spans="2:39" s="244" customFormat="1">
      <c r="B218" s="1278"/>
      <c r="C218" s="1282"/>
      <c r="D218" s="1282"/>
      <c r="E218" s="1282"/>
      <c r="F218" s="1284"/>
      <c r="G218" s="150"/>
      <c r="H218" s="150"/>
      <c r="I218" s="150"/>
      <c r="J218" s="150"/>
      <c r="K218" s="150"/>
      <c r="L218" s="150"/>
      <c r="M218" s="1286"/>
      <c r="N218" s="1284"/>
      <c r="O218" s="235"/>
      <c r="P218" s="150"/>
      <c r="Q218" s="1287"/>
      <c r="R218" s="1287"/>
      <c r="S218" s="149"/>
      <c r="T218" s="149"/>
      <c r="U218" s="150"/>
      <c r="V218" s="150"/>
      <c r="W218" s="150"/>
      <c r="X218" s="150"/>
      <c r="Y218" s="150"/>
      <c r="Z218" s="150"/>
      <c r="AA218" s="150"/>
      <c r="AC218" s="1211"/>
      <c r="AD218" s="1211"/>
      <c r="AE218" s="1211"/>
      <c r="AF218" s="1211"/>
      <c r="AG218" s="1211"/>
      <c r="AH218" s="1211"/>
      <c r="AI218" s="1211"/>
      <c r="AJ218" s="1211"/>
      <c r="AK218" s="1211"/>
      <c r="AL218" s="1211"/>
      <c r="AM218" s="1211"/>
    </row>
    <row r="219" spans="2:39" s="244" customFormat="1">
      <c r="B219" s="1278"/>
      <c r="C219" s="1282"/>
      <c r="D219" s="1282"/>
      <c r="E219" s="1282"/>
      <c r="F219" s="1284"/>
      <c r="G219" s="150"/>
      <c r="H219" s="150"/>
      <c r="I219" s="150"/>
      <c r="J219" s="150"/>
      <c r="K219" s="150"/>
      <c r="L219" s="150"/>
      <c r="M219" s="1286"/>
      <c r="N219" s="1284"/>
      <c r="O219" s="235"/>
      <c r="P219" s="150"/>
      <c r="Q219" s="1287"/>
      <c r="R219" s="1287"/>
      <c r="S219" s="149"/>
      <c r="T219" s="149"/>
      <c r="U219" s="150"/>
      <c r="V219" s="150"/>
      <c r="W219" s="150"/>
      <c r="X219" s="150"/>
      <c r="Y219" s="150"/>
      <c r="Z219" s="150"/>
      <c r="AA219" s="150"/>
      <c r="AC219" s="1211"/>
      <c r="AD219" s="1211"/>
      <c r="AE219" s="1211"/>
      <c r="AF219" s="1211"/>
      <c r="AG219" s="1211"/>
      <c r="AH219" s="1211"/>
      <c r="AI219" s="1211"/>
      <c r="AJ219" s="1211"/>
      <c r="AK219" s="1211"/>
      <c r="AL219" s="1211"/>
      <c r="AM219" s="1211"/>
    </row>
    <row r="220" spans="2:39" s="244" customFormat="1">
      <c r="B220" s="1278"/>
      <c r="C220" s="1282"/>
      <c r="D220" s="1282"/>
      <c r="E220" s="1282"/>
      <c r="F220" s="1284"/>
      <c r="G220" s="150"/>
      <c r="H220" s="150"/>
      <c r="I220" s="150"/>
      <c r="J220" s="150"/>
      <c r="K220" s="150"/>
      <c r="L220" s="150"/>
      <c r="M220" s="1286"/>
      <c r="N220" s="1284"/>
      <c r="O220" s="235"/>
      <c r="P220" s="150"/>
      <c r="Q220" s="1287"/>
      <c r="R220" s="1287"/>
      <c r="S220" s="149"/>
      <c r="T220" s="149"/>
      <c r="U220" s="150"/>
      <c r="V220" s="150"/>
      <c r="W220" s="150"/>
      <c r="X220" s="150"/>
      <c r="Y220" s="150"/>
      <c r="Z220" s="150"/>
      <c r="AA220" s="150"/>
      <c r="AC220" s="1211"/>
      <c r="AD220" s="1211"/>
      <c r="AE220" s="1211"/>
      <c r="AF220" s="1211"/>
      <c r="AG220" s="1211"/>
      <c r="AH220" s="1211"/>
      <c r="AI220" s="1211"/>
      <c r="AJ220" s="1211"/>
      <c r="AK220" s="1211"/>
      <c r="AL220" s="1211"/>
      <c r="AM220" s="1211"/>
    </row>
    <row r="221" spans="2:39" s="244" customFormat="1">
      <c r="B221" s="1278"/>
      <c r="C221" s="1282"/>
      <c r="D221" s="1282"/>
      <c r="E221" s="1282"/>
      <c r="F221" s="1284"/>
      <c r="G221" s="150"/>
      <c r="H221" s="150"/>
      <c r="I221" s="150"/>
      <c r="J221" s="150"/>
      <c r="K221" s="150"/>
      <c r="L221" s="150"/>
      <c r="M221" s="1286"/>
      <c r="N221" s="1284"/>
      <c r="O221" s="235"/>
      <c r="P221" s="150"/>
      <c r="Q221" s="1287"/>
      <c r="R221" s="1287"/>
      <c r="S221" s="149"/>
      <c r="T221" s="149"/>
      <c r="U221" s="150"/>
      <c r="V221" s="150"/>
      <c r="W221" s="150"/>
      <c r="X221" s="150"/>
      <c r="Y221" s="150"/>
      <c r="Z221" s="150"/>
      <c r="AA221" s="150"/>
      <c r="AC221" s="1211"/>
      <c r="AD221" s="1211"/>
      <c r="AE221" s="1211"/>
      <c r="AF221" s="1211"/>
      <c r="AG221" s="1211"/>
      <c r="AH221" s="1211"/>
      <c r="AI221" s="1211"/>
      <c r="AJ221" s="1211"/>
      <c r="AK221" s="1211"/>
      <c r="AL221" s="1211"/>
      <c r="AM221" s="1211"/>
    </row>
    <row r="222" spans="2:39" s="244" customFormat="1">
      <c r="B222" s="1278"/>
      <c r="C222" s="1282"/>
      <c r="D222" s="1282"/>
      <c r="E222" s="1282"/>
      <c r="F222" s="1284"/>
      <c r="G222" s="150"/>
      <c r="H222" s="150"/>
      <c r="I222" s="150"/>
      <c r="J222" s="150"/>
      <c r="K222" s="150"/>
      <c r="L222" s="150"/>
      <c r="M222" s="1286"/>
      <c r="N222" s="1284"/>
      <c r="O222" s="235"/>
      <c r="P222" s="150"/>
      <c r="Q222" s="1287"/>
      <c r="R222" s="1287"/>
      <c r="S222" s="149"/>
      <c r="T222" s="149"/>
      <c r="U222" s="150"/>
      <c r="V222" s="150"/>
      <c r="W222" s="150"/>
      <c r="X222" s="150"/>
      <c r="Y222" s="150"/>
      <c r="Z222" s="150"/>
      <c r="AA222" s="150"/>
      <c r="AC222" s="1211"/>
      <c r="AD222" s="1211"/>
      <c r="AE222" s="1211"/>
      <c r="AF222" s="1211"/>
      <c r="AG222" s="1211"/>
      <c r="AH222" s="1211"/>
      <c r="AI222" s="1211"/>
      <c r="AJ222" s="1211"/>
      <c r="AK222" s="1211"/>
      <c r="AL222" s="1211"/>
      <c r="AM222" s="1211"/>
    </row>
    <row r="223" spans="2:39" s="244" customFormat="1">
      <c r="B223" s="1278"/>
      <c r="C223" s="1282"/>
      <c r="D223" s="1282"/>
      <c r="E223" s="1282"/>
      <c r="F223" s="1284"/>
      <c r="G223" s="150"/>
      <c r="H223" s="150"/>
      <c r="I223" s="150"/>
      <c r="J223" s="150"/>
      <c r="K223" s="150"/>
      <c r="L223" s="150"/>
      <c r="M223" s="1286"/>
      <c r="N223" s="1284"/>
      <c r="O223" s="235"/>
      <c r="P223" s="150"/>
      <c r="Q223" s="1287"/>
      <c r="R223" s="1287"/>
      <c r="S223" s="149"/>
      <c r="T223" s="149"/>
      <c r="U223" s="150"/>
      <c r="V223" s="150"/>
      <c r="W223" s="150"/>
      <c r="X223" s="150"/>
      <c r="Y223" s="150"/>
      <c r="Z223" s="150"/>
      <c r="AA223" s="150"/>
      <c r="AC223" s="1211"/>
      <c r="AD223" s="1211"/>
      <c r="AE223" s="1211"/>
      <c r="AF223" s="1211"/>
      <c r="AG223" s="1211"/>
      <c r="AH223" s="1211"/>
      <c r="AI223" s="1211"/>
      <c r="AJ223" s="1211"/>
      <c r="AK223" s="1211"/>
      <c r="AL223" s="1211"/>
      <c r="AM223" s="1211"/>
    </row>
    <row r="224" spans="2:39" s="244" customFormat="1">
      <c r="B224" s="1278"/>
      <c r="C224" s="1282"/>
      <c r="D224" s="1282"/>
      <c r="E224" s="1282"/>
      <c r="F224" s="1284"/>
      <c r="G224" s="150"/>
      <c r="H224" s="150"/>
      <c r="I224" s="150"/>
      <c r="J224" s="150"/>
      <c r="K224" s="150"/>
      <c r="L224" s="150"/>
      <c r="M224" s="1286"/>
      <c r="N224" s="1284"/>
      <c r="O224" s="235"/>
      <c r="P224" s="150"/>
      <c r="Q224" s="1287"/>
      <c r="R224" s="1287"/>
      <c r="S224" s="149"/>
      <c r="T224" s="149"/>
      <c r="U224" s="150"/>
      <c r="V224" s="150"/>
      <c r="W224" s="150"/>
      <c r="X224" s="150"/>
      <c r="Y224" s="150"/>
      <c r="Z224" s="150"/>
      <c r="AA224" s="150"/>
      <c r="AC224" s="1211"/>
      <c r="AD224" s="1211"/>
      <c r="AE224" s="1211"/>
      <c r="AF224" s="1211"/>
      <c r="AG224" s="1211"/>
      <c r="AH224" s="1211"/>
      <c r="AI224" s="1211"/>
      <c r="AJ224" s="1211"/>
      <c r="AK224" s="1211"/>
      <c r="AL224" s="1211"/>
      <c r="AM224" s="1211"/>
    </row>
    <row r="225" spans="2:39" s="244" customFormat="1">
      <c r="B225" s="1278"/>
      <c r="C225" s="1282"/>
      <c r="D225" s="1282"/>
      <c r="E225" s="1282"/>
      <c r="F225" s="1284"/>
      <c r="G225" s="150"/>
      <c r="H225" s="150"/>
      <c r="I225" s="150"/>
      <c r="J225" s="150"/>
      <c r="K225" s="150"/>
      <c r="L225" s="150"/>
      <c r="M225" s="1286"/>
      <c r="N225" s="1284"/>
      <c r="O225" s="235"/>
      <c r="P225" s="150"/>
      <c r="Q225" s="1287"/>
      <c r="R225" s="1287"/>
      <c r="S225" s="149"/>
      <c r="T225" s="149"/>
      <c r="U225" s="150"/>
      <c r="V225" s="150"/>
      <c r="W225" s="150"/>
      <c r="X225" s="150"/>
      <c r="Y225" s="150"/>
      <c r="Z225" s="150"/>
      <c r="AA225" s="150"/>
      <c r="AC225" s="1211"/>
      <c r="AD225" s="1211"/>
      <c r="AE225" s="1211"/>
      <c r="AF225" s="1211"/>
      <c r="AG225" s="1211"/>
      <c r="AH225" s="1211"/>
      <c r="AI225" s="1211"/>
      <c r="AJ225" s="1211"/>
      <c r="AK225" s="1211"/>
      <c r="AL225" s="1211"/>
      <c r="AM225" s="1211"/>
    </row>
    <row r="226" spans="2:39" s="244" customFormat="1">
      <c r="B226" s="1278"/>
      <c r="C226" s="1282"/>
      <c r="D226" s="1282"/>
      <c r="E226" s="1282"/>
      <c r="F226" s="1284"/>
      <c r="G226" s="150"/>
      <c r="H226" s="150"/>
      <c r="I226" s="150"/>
      <c r="J226" s="150"/>
      <c r="K226" s="150"/>
      <c r="L226" s="150"/>
      <c r="M226" s="1286"/>
      <c r="N226" s="1284"/>
      <c r="O226" s="235"/>
      <c r="P226" s="150"/>
      <c r="Q226" s="1287"/>
      <c r="R226" s="1287"/>
      <c r="S226" s="149"/>
      <c r="T226" s="149"/>
      <c r="U226" s="150"/>
      <c r="V226" s="150"/>
      <c r="W226" s="150"/>
      <c r="X226" s="150"/>
      <c r="Y226" s="150"/>
      <c r="Z226" s="150"/>
      <c r="AA226" s="150"/>
      <c r="AC226" s="1211"/>
      <c r="AD226" s="1211"/>
      <c r="AE226" s="1211"/>
      <c r="AF226" s="1211"/>
      <c r="AG226" s="1211"/>
      <c r="AH226" s="1211"/>
      <c r="AI226" s="1211"/>
      <c r="AJ226" s="1211"/>
      <c r="AK226" s="1211"/>
      <c r="AL226" s="1211"/>
      <c r="AM226" s="1211"/>
    </row>
    <row r="227" spans="2:39" s="244" customFormat="1">
      <c r="B227" s="1278"/>
      <c r="C227" s="1282"/>
      <c r="D227" s="1282"/>
      <c r="E227" s="1282"/>
      <c r="F227" s="1284"/>
      <c r="G227" s="150"/>
      <c r="H227" s="150"/>
      <c r="I227" s="150"/>
      <c r="J227" s="150"/>
      <c r="K227" s="150"/>
      <c r="L227" s="150"/>
      <c r="M227" s="1286"/>
      <c r="N227" s="1284"/>
      <c r="O227" s="235"/>
      <c r="P227" s="150"/>
      <c r="Q227" s="1287"/>
      <c r="R227" s="1287"/>
      <c r="S227" s="149"/>
      <c r="T227" s="149"/>
      <c r="U227" s="150"/>
      <c r="V227" s="150"/>
      <c r="W227" s="150"/>
      <c r="X227" s="150"/>
      <c r="Y227" s="150"/>
      <c r="Z227" s="150"/>
      <c r="AA227" s="150"/>
      <c r="AC227" s="1211"/>
      <c r="AD227" s="1211"/>
      <c r="AE227" s="1211"/>
      <c r="AF227" s="1211"/>
      <c r="AG227" s="1211"/>
      <c r="AH227" s="1211"/>
      <c r="AI227" s="1211"/>
      <c r="AJ227" s="1211"/>
      <c r="AK227" s="1211"/>
      <c r="AL227" s="1211"/>
      <c r="AM227" s="1211"/>
    </row>
    <row r="228" spans="2:39" s="244" customFormat="1">
      <c r="B228" s="1278"/>
      <c r="C228" s="1282"/>
      <c r="D228" s="1282"/>
      <c r="E228" s="1282"/>
      <c r="F228" s="1284"/>
      <c r="G228" s="150"/>
      <c r="H228" s="150"/>
      <c r="I228" s="150"/>
      <c r="J228" s="150"/>
      <c r="K228" s="150"/>
      <c r="L228" s="150"/>
      <c r="M228" s="1286"/>
      <c r="N228" s="1284"/>
      <c r="O228" s="235"/>
      <c r="P228" s="150"/>
      <c r="Q228" s="1287"/>
      <c r="R228" s="1287"/>
      <c r="S228" s="149"/>
      <c r="T228" s="149"/>
      <c r="U228" s="150"/>
      <c r="V228" s="150"/>
      <c r="W228" s="150"/>
      <c r="X228" s="150"/>
      <c r="Y228" s="150"/>
      <c r="Z228" s="150"/>
      <c r="AA228" s="150"/>
      <c r="AC228" s="1211"/>
      <c r="AD228" s="1211"/>
      <c r="AE228" s="1211"/>
      <c r="AF228" s="1211"/>
      <c r="AG228" s="1211"/>
      <c r="AH228" s="1211"/>
      <c r="AI228" s="1211"/>
      <c r="AJ228" s="1211"/>
      <c r="AK228" s="1211"/>
      <c r="AL228" s="1211"/>
      <c r="AM228" s="1211"/>
    </row>
    <row r="229" spans="2:39" s="244" customFormat="1">
      <c r="B229" s="1278"/>
      <c r="C229" s="1282"/>
      <c r="D229" s="1282"/>
      <c r="E229" s="1282"/>
      <c r="F229" s="1284"/>
      <c r="G229" s="150"/>
      <c r="H229" s="150"/>
      <c r="I229" s="150"/>
      <c r="J229" s="150"/>
      <c r="K229" s="150"/>
      <c r="L229" s="150"/>
      <c r="M229" s="1286"/>
      <c r="N229" s="1284"/>
      <c r="O229" s="235"/>
      <c r="P229" s="150"/>
      <c r="Q229" s="1287"/>
      <c r="R229" s="1287"/>
      <c r="S229" s="149"/>
      <c r="T229" s="149"/>
      <c r="U229" s="150"/>
      <c r="V229" s="150"/>
      <c r="W229" s="150"/>
      <c r="X229" s="150"/>
      <c r="Y229" s="150"/>
      <c r="Z229" s="150"/>
      <c r="AA229" s="150"/>
      <c r="AC229" s="1211"/>
      <c r="AD229" s="1211"/>
      <c r="AE229" s="1211"/>
      <c r="AF229" s="1211"/>
      <c r="AG229" s="1211"/>
      <c r="AH229" s="1211"/>
      <c r="AI229" s="1211"/>
      <c r="AJ229" s="1211"/>
      <c r="AK229" s="1211"/>
      <c r="AL229" s="1211"/>
      <c r="AM229" s="1211"/>
    </row>
    <row r="230" spans="2:39" s="244" customFormat="1">
      <c r="B230" s="1278"/>
      <c r="C230" s="1282"/>
      <c r="D230" s="1282"/>
      <c r="E230" s="1282"/>
      <c r="F230" s="1284"/>
      <c r="G230" s="150"/>
      <c r="H230" s="150"/>
      <c r="I230" s="150"/>
      <c r="J230" s="150"/>
      <c r="K230" s="150"/>
      <c r="L230" s="150"/>
      <c r="M230" s="1286"/>
      <c r="N230" s="1284"/>
      <c r="O230" s="235"/>
      <c r="P230" s="150"/>
      <c r="Q230" s="1287"/>
      <c r="R230" s="1287"/>
      <c r="S230" s="149"/>
      <c r="T230" s="149"/>
      <c r="U230" s="150"/>
      <c r="V230" s="150"/>
      <c r="W230" s="150"/>
      <c r="X230" s="150"/>
      <c r="Y230" s="150"/>
      <c r="Z230" s="150"/>
      <c r="AA230" s="150"/>
      <c r="AC230" s="1211"/>
      <c r="AD230" s="1211"/>
      <c r="AE230" s="1211"/>
      <c r="AF230" s="1211"/>
      <c r="AG230" s="1211"/>
      <c r="AH230" s="1211"/>
      <c r="AI230" s="1211"/>
      <c r="AJ230" s="1211"/>
      <c r="AK230" s="1211"/>
      <c r="AL230" s="1211"/>
      <c r="AM230" s="1211"/>
    </row>
    <row r="231" spans="2:39" s="244" customFormat="1">
      <c r="B231" s="1278"/>
      <c r="C231" s="1282"/>
      <c r="D231" s="1282"/>
      <c r="E231" s="1282"/>
      <c r="F231" s="1284"/>
      <c r="G231" s="150"/>
      <c r="H231" s="150"/>
      <c r="I231" s="150"/>
      <c r="J231" s="150"/>
      <c r="K231" s="150"/>
      <c r="L231" s="150"/>
      <c r="M231" s="1286"/>
      <c r="N231" s="1284"/>
      <c r="O231" s="235"/>
      <c r="P231" s="150"/>
      <c r="Q231" s="1287"/>
      <c r="R231" s="1287"/>
      <c r="S231" s="149"/>
      <c r="T231" s="149"/>
      <c r="U231" s="150"/>
      <c r="V231" s="150"/>
      <c r="W231" s="150"/>
      <c r="X231" s="150"/>
      <c r="Y231" s="150"/>
      <c r="Z231" s="150"/>
      <c r="AA231" s="150"/>
      <c r="AC231" s="1211"/>
      <c r="AD231" s="1211"/>
      <c r="AE231" s="1211"/>
      <c r="AF231" s="1211"/>
      <c r="AG231" s="1211"/>
      <c r="AH231" s="1211"/>
      <c r="AI231" s="1211"/>
      <c r="AJ231" s="1211"/>
      <c r="AK231" s="1211"/>
      <c r="AL231" s="1211"/>
      <c r="AM231" s="1211"/>
    </row>
    <row r="232" spans="2:39" s="244" customFormat="1">
      <c r="B232" s="1278"/>
      <c r="C232" s="1282"/>
      <c r="D232" s="1282"/>
      <c r="E232" s="1282"/>
      <c r="F232" s="1284"/>
      <c r="G232" s="150"/>
      <c r="H232" s="150"/>
      <c r="I232" s="150"/>
      <c r="J232" s="150"/>
      <c r="K232" s="150"/>
      <c r="L232" s="150"/>
      <c r="M232" s="1286"/>
      <c r="N232" s="1284"/>
      <c r="O232" s="235"/>
      <c r="P232" s="150"/>
      <c r="Q232" s="1287"/>
      <c r="R232" s="1287"/>
      <c r="S232" s="149"/>
      <c r="T232" s="149"/>
      <c r="U232" s="150"/>
      <c r="V232" s="150"/>
      <c r="W232" s="150"/>
      <c r="X232" s="150"/>
      <c r="Y232" s="150"/>
      <c r="Z232" s="150"/>
      <c r="AA232" s="150"/>
      <c r="AC232" s="1211"/>
      <c r="AD232" s="1211"/>
      <c r="AE232" s="1211"/>
      <c r="AF232" s="1211"/>
      <c r="AG232" s="1211"/>
      <c r="AH232" s="1211"/>
      <c r="AI232" s="1211"/>
      <c r="AJ232" s="1211"/>
      <c r="AK232" s="1211"/>
      <c r="AL232" s="1211"/>
      <c r="AM232" s="1211"/>
    </row>
    <row r="233" spans="2:39" s="244" customFormat="1">
      <c r="B233" s="1278"/>
      <c r="C233" s="1282"/>
      <c r="D233" s="1282"/>
      <c r="E233" s="1282"/>
      <c r="F233" s="1284"/>
      <c r="G233" s="150"/>
      <c r="H233" s="150"/>
      <c r="I233" s="150"/>
      <c r="J233" s="150"/>
      <c r="K233" s="150"/>
      <c r="L233" s="150"/>
      <c r="M233" s="1286"/>
      <c r="N233" s="1284"/>
      <c r="O233" s="235"/>
      <c r="P233" s="150"/>
      <c r="Q233" s="1287"/>
      <c r="R233" s="1287"/>
      <c r="S233" s="149"/>
      <c r="T233" s="149"/>
      <c r="U233" s="150"/>
      <c r="V233" s="150"/>
      <c r="W233" s="150"/>
      <c r="X233" s="150"/>
      <c r="Y233" s="150"/>
      <c r="Z233" s="150"/>
      <c r="AA233" s="150"/>
      <c r="AC233" s="1211"/>
      <c r="AD233" s="1211"/>
      <c r="AE233" s="1211"/>
      <c r="AF233" s="1211"/>
      <c r="AG233" s="1211"/>
      <c r="AH233" s="1211"/>
      <c r="AI233" s="1211"/>
      <c r="AJ233" s="1211"/>
      <c r="AK233" s="1211"/>
      <c r="AL233" s="1211"/>
      <c r="AM233" s="1211"/>
    </row>
    <row r="234" spans="2:39" s="244" customFormat="1">
      <c r="B234" s="1278"/>
      <c r="C234" s="1282"/>
      <c r="D234" s="1282"/>
      <c r="E234" s="1282"/>
      <c r="F234" s="1284"/>
      <c r="G234" s="150"/>
      <c r="H234" s="150"/>
      <c r="I234" s="150"/>
      <c r="J234" s="150"/>
      <c r="K234" s="150"/>
      <c r="L234" s="150"/>
      <c r="M234" s="1286"/>
      <c r="N234" s="1284"/>
      <c r="O234" s="235"/>
      <c r="P234" s="150"/>
      <c r="Q234" s="1287"/>
      <c r="R234" s="1287"/>
      <c r="S234" s="149"/>
      <c r="T234" s="149"/>
      <c r="U234" s="150"/>
      <c r="V234" s="150"/>
      <c r="W234" s="150"/>
      <c r="X234" s="150"/>
      <c r="Y234" s="150"/>
      <c r="Z234" s="150"/>
      <c r="AA234" s="150"/>
      <c r="AC234" s="1211"/>
      <c r="AD234" s="1211"/>
      <c r="AE234" s="1211"/>
      <c r="AF234" s="1211"/>
      <c r="AG234" s="1211"/>
      <c r="AH234" s="1211"/>
      <c r="AI234" s="1211"/>
      <c r="AJ234" s="1211"/>
      <c r="AK234" s="1211"/>
      <c r="AL234" s="1211"/>
      <c r="AM234" s="1211"/>
    </row>
    <row r="235" spans="2:39" s="244" customFormat="1">
      <c r="B235" s="1278"/>
      <c r="C235" s="1282"/>
      <c r="D235" s="1282"/>
      <c r="E235" s="1282"/>
      <c r="F235" s="1284"/>
      <c r="G235" s="150"/>
      <c r="H235" s="150"/>
      <c r="I235" s="150"/>
      <c r="J235" s="150"/>
      <c r="K235" s="150"/>
      <c r="L235" s="150"/>
      <c r="M235" s="1286"/>
      <c r="N235" s="1284"/>
      <c r="O235" s="235"/>
      <c r="P235" s="150"/>
      <c r="Q235" s="1287"/>
      <c r="R235" s="1287"/>
      <c r="S235" s="149"/>
      <c r="T235" s="149"/>
      <c r="U235" s="150"/>
      <c r="V235" s="150"/>
      <c r="W235" s="150"/>
      <c r="X235" s="150"/>
      <c r="Y235" s="150"/>
      <c r="Z235" s="150"/>
      <c r="AA235" s="150"/>
      <c r="AC235" s="1211"/>
      <c r="AD235" s="1211"/>
      <c r="AE235" s="1211"/>
      <c r="AF235" s="1211"/>
      <c r="AG235" s="1211"/>
      <c r="AH235" s="1211"/>
      <c r="AI235" s="1211"/>
      <c r="AJ235" s="1211"/>
      <c r="AK235" s="1211"/>
      <c r="AL235" s="1211"/>
      <c r="AM235" s="1211"/>
    </row>
    <row r="236" spans="2:39" s="244" customFormat="1">
      <c r="B236" s="1278"/>
      <c r="C236" s="1282"/>
      <c r="D236" s="1282"/>
      <c r="E236" s="1282"/>
      <c r="F236" s="1284"/>
      <c r="G236" s="150"/>
      <c r="H236" s="150"/>
      <c r="I236" s="150"/>
      <c r="J236" s="150"/>
      <c r="K236" s="150"/>
      <c r="L236" s="150"/>
      <c r="M236" s="1286"/>
      <c r="N236" s="1284"/>
      <c r="O236" s="235"/>
      <c r="P236" s="150"/>
      <c r="Q236" s="1287"/>
      <c r="R236" s="1287"/>
      <c r="S236" s="149"/>
      <c r="T236" s="149"/>
      <c r="U236" s="150"/>
      <c r="V236" s="150"/>
      <c r="W236" s="150"/>
      <c r="X236" s="150"/>
      <c r="Y236" s="150"/>
      <c r="Z236" s="150"/>
      <c r="AA236" s="150"/>
      <c r="AC236" s="1211"/>
      <c r="AD236" s="1211"/>
      <c r="AE236" s="1211"/>
      <c r="AF236" s="1211"/>
      <c r="AG236" s="1211"/>
      <c r="AH236" s="1211"/>
      <c r="AI236" s="1211"/>
      <c r="AJ236" s="1211"/>
      <c r="AK236" s="1211"/>
      <c r="AL236" s="1211"/>
      <c r="AM236" s="1211"/>
    </row>
    <row r="237" spans="2:39" s="244" customFormat="1">
      <c r="B237" s="1278"/>
      <c r="C237" s="1282"/>
      <c r="D237" s="1282"/>
      <c r="E237" s="1282"/>
      <c r="F237" s="1284"/>
      <c r="G237" s="150"/>
      <c r="H237" s="150"/>
      <c r="I237" s="150"/>
      <c r="J237" s="150"/>
      <c r="K237" s="150"/>
      <c r="L237" s="150"/>
      <c r="M237" s="1286"/>
      <c r="N237" s="1284"/>
      <c r="O237" s="235"/>
      <c r="P237" s="150"/>
      <c r="Q237" s="1287"/>
      <c r="R237" s="1287"/>
      <c r="S237" s="149"/>
      <c r="T237" s="149"/>
      <c r="U237" s="150"/>
      <c r="V237" s="150"/>
      <c r="W237" s="150"/>
      <c r="X237" s="150"/>
      <c r="Y237" s="150"/>
      <c r="Z237" s="150"/>
      <c r="AA237" s="150"/>
      <c r="AC237" s="1211"/>
      <c r="AD237" s="1211"/>
      <c r="AE237" s="1211"/>
      <c r="AF237" s="1211"/>
      <c r="AG237" s="1211"/>
      <c r="AH237" s="1211"/>
      <c r="AI237" s="1211"/>
      <c r="AJ237" s="1211"/>
      <c r="AK237" s="1211"/>
      <c r="AL237" s="1211"/>
      <c r="AM237" s="1211"/>
    </row>
    <row r="238" spans="2:39" s="244" customFormat="1">
      <c r="B238" s="1278"/>
      <c r="C238" s="1282"/>
      <c r="D238" s="1282"/>
      <c r="E238" s="1282"/>
      <c r="F238" s="1284"/>
      <c r="G238" s="150"/>
      <c r="H238" s="150"/>
      <c r="I238" s="150"/>
      <c r="J238" s="150"/>
      <c r="K238" s="150"/>
      <c r="L238" s="150"/>
      <c r="M238" s="1286"/>
      <c r="N238" s="1284"/>
      <c r="O238" s="235"/>
      <c r="P238" s="150"/>
      <c r="Q238" s="1287"/>
      <c r="R238" s="1287"/>
      <c r="S238" s="149"/>
      <c r="T238" s="149"/>
      <c r="U238" s="150"/>
      <c r="V238" s="150"/>
      <c r="W238" s="150"/>
      <c r="X238" s="150"/>
      <c r="Y238" s="150"/>
      <c r="Z238" s="150"/>
      <c r="AA238" s="150"/>
      <c r="AC238" s="1211"/>
      <c r="AD238" s="1211"/>
      <c r="AE238" s="1211"/>
      <c r="AF238" s="1211"/>
      <c r="AG238" s="1211"/>
      <c r="AH238" s="1211"/>
      <c r="AI238" s="1211"/>
      <c r="AJ238" s="1211"/>
      <c r="AK238" s="1211"/>
      <c r="AL238" s="1211"/>
      <c r="AM238" s="1211"/>
    </row>
    <row r="239" spans="2:39" s="244" customFormat="1">
      <c r="B239" s="1278"/>
      <c r="C239" s="1282"/>
      <c r="D239" s="1282"/>
      <c r="E239" s="1282"/>
      <c r="F239" s="1284"/>
      <c r="G239" s="150"/>
      <c r="H239" s="150"/>
      <c r="I239" s="150"/>
      <c r="J239" s="150"/>
      <c r="K239" s="150"/>
      <c r="L239" s="150"/>
      <c r="M239" s="1286"/>
      <c r="N239" s="1284"/>
      <c r="O239" s="235"/>
      <c r="P239" s="150"/>
      <c r="Q239" s="1287"/>
      <c r="R239" s="1287"/>
      <c r="S239" s="149"/>
      <c r="T239" s="149"/>
      <c r="U239" s="150"/>
      <c r="V239" s="150"/>
      <c r="W239" s="150"/>
      <c r="X239" s="150"/>
      <c r="Y239" s="150"/>
      <c r="Z239" s="150"/>
      <c r="AA239" s="150"/>
      <c r="AC239" s="1211"/>
      <c r="AD239" s="1211"/>
      <c r="AE239" s="1211"/>
      <c r="AF239" s="1211"/>
      <c r="AG239" s="1211"/>
      <c r="AH239" s="1211"/>
      <c r="AI239" s="1211"/>
      <c r="AJ239" s="1211"/>
      <c r="AK239" s="1211"/>
      <c r="AL239" s="1211"/>
      <c r="AM239" s="1211"/>
    </row>
    <row r="240" spans="2:39" s="244" customFormat="1">
      <c r="B240" s="220"/>
      <c r="F240" s="1290"/>
      <c r="G240" s="1291"/>
      <c r="H240" s="1291"/>
      <c r="I240" s="1291"/>
      <c r="J240" s="1291"/>
      <c r="K240" s="1291"/>
      <c r="L240" s="1291"/>
      <c r="M240" s="1244"/>
      <c r="N240" s="1290"/>
      <c r="O240" s="235"/>
      <c r="P240" s="150"/>
      <c r="Q240" s="1287"/>
      <c r="R240" s="1287"/>
      <c r="S240" s="149"/>
      <c r="T240" s="149"/>
      <c r="U240" s="150"/>
      <c r="V240" s="150"/>
      <c r="W240" s="150"/>
      <c r="X240" s="150"/>
      <c r="Y240" s="150"/>
      <c r="Z240" s="150"/>
      <c r="AA240" s="150"/>
      <c r="AC240" s="1211"/>
      <c r="AD240" s="1211"/>
      <c r="AE240" s="1211"/>
      <c r="AF240" s="1211"/>
      <c r="AG240" s="1211"/>
      <c r="AH240" s="1211"/>
      <c r="AI240" s="1211"/>
      <c r="AJ240" s="1211"/>
      <c r="AK240" s="1211"/>
      <c r="AL240" s="1211"/>
      <c r="AM240" s="1211"/>
    </row>
    <row r="241" spans="2:41" s="244" customFormat="1">
      <c r="B241" s="220"/>
      <c r="F241" s="1290"/>
      <c r="G241" s="1291"/>
      <c r="H241" s="1291"/>
      <c r="I241" s="1291"/>
      <c r="J241" s="1291"/>
      <c r="K241" s="1291"/>
      <c r="L241" s="1291"/>
      <c r="M241" s="1244"/>
      <c r="N241" s="1290"/>
      <c r="O241" s="235"/>
      <c r="P241" s="150"/>
      <c r="Q241" s="1287"/>
      <c r="R241" s="1287"/>
      <c r="S241" s="149"/>
      <c r="T241" s="149"/>
      <c r="U241" s="150"/>
      <c r="V241" s="150"/>
      <c r="W241" s="150"/>
      <c r="X241" s="150"/>
      <c r="Y241" s="150"/>
      <c r="Z241" s="150"/>
      <c r="AA241" s="150"/>
      <c r="AC241" s="1211"/>
      <c r="AD241" s="1211"/>
      <c r="AE241" s="1211"/>
      <c r="AF241" s="1211"/>
      <c r="AG241" s="1211"/>
      <c r="AH241" s="1211"/>
      <c r="AI241" s="1211"/>
      <c r="AJ241" s="1211"/>
      <c r="AK241" s="1211"/>
      <c r="AL241" s="1211"/>
      <c r="AM241" s="1211"/>
    </row>
    <row r="242" spans="2:41" s="244" customFormat="1">
      <c r="B242" s="220"/>
      <c r="F242" s="1290"/>
      <c r="G242" s="1291"/>
      <c r="H242" s="1291"/>
      <c r="I242" s="1291"/>
      <c r="J242" s="1291"/>
      <c r="K242" s="1291"/>
      <c r="L242" s="1291"/>
      <c r="M242" s="1244"/>
      <c r="N242" s="1290"/>
      <c r="O242" s="235"/>
      <c r="P242" s="150"/>
      <c r="Q242" s="1287"/>
      <c r="R242" s="1287"/>
      <c r="S242" s="149"/>
      <c r="T242" s="149"/>
      <c r="U242" s="150"/>
      <c r="V242" s="150"/>
      <c r="W242" s="150"/>
      <c r="X242" s="150"/>
      <c r="Y242" s="150"/>
      <c r="Z242" s="150"/>
      <c r="AA242" s="150"/>
      <c r="AC242" s="1211"/>
      <c r="AD242" s="1211"/>
      <c r="AE242" s="1211"/>
      <c r="AF242" s="1211"/>
      <c r="AG242" s="1211"/>
      <c r="AH242" s="1211"/>
      <c r="AI242" s="1211"/>
      <c r="AJ242" s="1211"/>
      <c r="AK242" s="1211"/>
      <c r="AL242" s="1211"/>
      <c r="AM242" s="1211"/>
    </row>
    <row r="243" spans="2:41" s="244" customFormat="1">
      <c r="B243" s="220"/>
      <c r="F243" s="1290"/>
      <c r="G243" s="1291"/>
      <c r="H243" s="1291"/>
      <c r="I243" s="1291"/>
      <c r="J243" s="1291"/>
      <c r="K243" s="1291"/>
      <c r="L243" s="1291"/>
      <c r="M243" s="1244"/>
      <c r="N243" s="1290"/>
      <c r="O243" s="235"/>
      <c r="P243" s="150"/>
      <c r="Q243" s="1287"/>
      <c r="R243" s="1287"/>
      <c r="S243" s="149"/>
      <c r="T243" s="149"/>
      <c r="U243" s="150"/>
      <c r="V243" s="150"/>
      <c r="W243" s="150"/>
      <c r="X243" s="150"/>
      <c r="Y243" s="150"/>
      <c r="Z243" s="150"/>
      <c r="AA243" s="150"/>
      <c r="AC243" s="1211"/>
      <c r="AD243" s="1211"/>
      <c r="AE243" s="1211"/>
      <c r="AF243" s="1211"/>
      <c r="AG243" s="1211"/>
      <c r="AH243" s="1211"/>
      <c r="AI243" s="1211"/>
      <c r="AJ243" s="1211"/>
      <c r="AK243" s="1211"/>
      <c r="AL243" s="1211"/>
      <c r="AM243" s="1211"/>
    </row>
    <row r="244" spans="2:41" s="244" customFormat="1">
      <c r="B244" s="220"/>
      <c r="F244" s="1290"/>
      <c r="G244" s="1291"/>
      <c r="H244" s="1291"/>
      <c r="I244" s="1291"/>
      <c r="J244" s="1291"/>
      <c r="K244" s="1291"/>
      <c r="L244" s="1291"/>
      <c r="M244" s="1244"/>
      <c r="N244" s="1290"/>
      <c r="O244" s="235"/>
      <c r="P244" s="150"/>
      <c r="Q244" s="1287"/>
      <c r="R244" s="1287"/>
      <c r="S244" s="149"/>
      <c r="T244" s="149"/>
      <c r="U244" s="150">
        <f>SUBTOTAL(9,U202:U243)</f>
        <v>0</v>
      </c>
      <c r="V244" s="150">
        <f t="shared" ref="V244:AA244" si="123">SUBTOTAL(9,V202:V243)</f>
        <v>0</v>
      </c>
      <c r="W244" s="150">
        <f t="shared" si="123"/>
        <v>0</v>
      </c>
      <c r="X244" s="150">
        <f t="shared" si="123"/>
        <v>0</v>
      </c>
      <c r="Y244" s="150">
        <f t="shared" si="123"/>
        <v>0</v>
      </c>
      <c r="Z244" s="150">
        <f t="shared" si="123"/>
        <v>0</v>
      </c>
      <c r="AA244" s="150">
        <f t="shared" si="123"/>
        <v>0</v>
      </c>
      <c r="AC244" s="1211"/>
      <c r="AD244" s="1211"/>
      <c r="AE244" s="1211"/>
      <c r="AF244" s="1211"/>
      <c r="AG244" s="1211"/>
      <c r="AH244" s="1211"/>
      <c r="AI244" s="1211"/>
      <c r="AJ244" s="1211"/>
      <c r="AK244" s="1211"/>
      <c r="AL244" s="1211"/>
      <c r="AM244" s="1211"/>
    </row>
    <row r="245" spans="2:41" s="244" customFormat="1" ht="12" thickBot="1">
      <c r="B245" s="220"/>
      <c r="F245" s="1290"/>
      <c r="G245" s="1291"/>
      <c r="H245" s="1291"/>
      <c r="I245" s="1291"/>
      <c r="J245" s="1291"/>
      <c r="K245" s="1291"/>
      <c r="L245" s="1291"/>
      <c r="M245" s="1244"/>
      <c r="N245" s="1290"/>
      <c r="O245" s="235"/>
      <c r="P245" s="150"/>
      <c r="Q245" s="1287"/>
      <c r="R245" s="1287"/>
      <c r="S245" s="149"/>
      <c r="T245" s="149"/>
      <c r="U245" s="150"/>
      <c r="V245" s="150"/>
      <c r="W245" s="150"/>
      <c r="X245" s="150"/>
      <c r="Y245" s="150"/>
      <c r="Z245" s="150"/>
      <c r="AA245" s="150"/>
      <c r="AC245" s="1211"/>
      <c r="AD245" s="1211"/>
      <c r="AE245" s="1211"/>
      <c r="AF245" s="1211"/>
      <c r="AG245" s="1211"/>
      <c r="AH245" s="1211"/>
      <c r="AI245" s="1211"/>
      <c r="AJ245" s="1211"/>
      <c r="AK245" s="1211"/>
      <c r="AL245" s="1211"/>
      <c r="AM245" s="1211"/>
    </row>
    <row r="246" spans="2:41" s="244" customFormat="1" ht="13" thickTop="1" thickBot="1">
      <c r="B246" s="220"/>
      <c r="F246" s="1290"/>
      <c r="G246" s="1291"/>
      <c r="H246" s="1291"/>
      <c r="I246" s="1291"/>
      <c r="J246" s="1291"/>
      <c r="K246" s="1291"/>
      <c r="L246" s="1291"/>
      <c r="M246" s="1244"/>
      <c r="N246" s="1290"/>
      <c r="O246" s="235"/>
      <c r="P246" s="150"/>
      <c r="Q246" s="1287"/>
      <c r="R246" s="1287"/>
      <c r="S246" s="1287"/>
      <c r="T246" s="1287"/>
      <c r="U246" s="151">
        <f>SUBTOTAL(9,U204:U245)</f>
        <v>0</v>
      </c>
      <c r="V246" s="152">
        <f t="shared" ref="V246:AA246" si="124">SUBTOTAL(9,V204:V245)</f>
        <v>0</v>
      </c>
      <c r="W246" s="153">
        <f t="shared" si="124"/>
        <v>0</v>
      </c>
      <c r="X246" s="153">
        <f t="shared" si="124"/>
        <v>0</v>
      </c>
      <c r="Y246" s="153">
        <f t="shared" si="124"/>
        <v>0</v>
      </c>
      <c r="Z246" s="153">
        <f t="shared" si="124"/>
        <v>0</v>
      </c>
      <c r="AA246" s="154">
        <f t="shared" si="124"/>
        <v>0</v>
      </c>
      <c r="AB246" s="1288"/>
      <c r="AC246" s="1288"/>
      <c r="AE246" s="1211"/>
      <c r="AF246" s="1211"/>
      <c r="AG246" s="1211"/>
      <c r="AH246" s="1211"/>
      <c r="AI246" s="1211"/>
      <c r="AJ246" s="1211"/>
      <c r="AK246" s="1211"/>
      <c r="AL246" s="1211"/>
      <c r="AM246" s="1211"/>
      <c r="AN246" s="1211"/>
      <c r="AO246" s="1211"/>
    </row>
    <row r="247" spans="2:41" s="244" customFormat="1" ht="12" thickTop="1">
      <c r="B247" s="220"/>
      <c r="F247" s="1290"/>
      <c r="G247" s="1291"/>
      <c r="H247" s="1291"/>
      <c r="I247" s="1291"/>
      <c r="J247" s="1291"/>
      <c r="K247" s="1291"/>
      <c r="L247" s="1291"/>
      <c r="M247" s="1244"/>
      <c r="N247" s="1290"/>
      <c r="O247" s="235"/>
      <c r="P247" s="150"/>
      <c r="Q247" s="1287"/>
      <c r="R247" s="1287"/>
      <c r="S247" s="149"/>
      <c r="T247" s="149"/>
      <c r="U247" s="150"/>
      <c r="V247" s="150"/>
      <c r="W247" s="150"/>
      <c r="X247" s="150"/>
      <c r="Y247" s="150"/>
      <c r="Z247" s="150"/>
      <c r="AA247" s="150"/>
      <c r="AC247" s="1211"/>
      <c r="AD247" s="1211"/>
      <c r="AE247" s="1211"/>
      <c r="AF247" s="1211"/>
      <c r="AG247" s="1211"/>
      <c r="AH247" s="1211"/>
      <c r="AI247" s="1211"/>
      <c r="AJ247" s="1211"/>
      <c r="AK247" s="1211"/>
      <c r="AL247" s="1211"/>
      <c r="AM247" s="1211"/>
    </row>
    <row r="248" spans="2:41" s="244" customFormat="1">
      <c r="B248" s="220"/>
      <c r="F248" s="1290"/>
      <c r="G248" s="1291"/>
      <c r="H248" s="1291"/>
      <c r="I248" s="1291"/>
      <c r="J248" s="1291"/>
      <c r="K248" s="1291"/>
      <c r="L248" s="1291"/>
      <c r="M248" s="1244"/>
      <c r="N248" s="1290"/>
      <c r="O248" s="235"/>
      <c r="P248" s="150"/>
      <c r="Q248" s="1287"/>
      <c r="R248" s="1287"/>
      <c r="S248" s="149"/>
      <c r="T248" s="149"/>
      <c r="U248" s="150"/>
      <c r="V248" s="150"/>
      <c r="W248" s="150"/>
      <c r="X248" s="150"/>
      <c r="Y248" s="150"/>
      <c r="Z248" s="150"/>
      <c r="AA248" s="150"/>
      <c r="AC248" s="1211"/>
      <c r="AD248" s="1211"/>
      <c r="AE248" s="1211"/>
      <c r="AF248" s="1211"/>
      <c r="AG248" s="1211"/>
      <c r="AH248" s="1211"/>
      <c r="AI248" s="1211"/>
      <c r="AJ248" s="1211"/>
      <c r="AK248" s="1211"/>
      <c r="AL248" s="1211"/>
      <c r="AM248" s="1211"/>
    </row>
    <row r="249" spans="2:41" s="244" customFormat="1">
      <c r="B249" s="220"/>
      <c r="F249" s="1290"/>
      <c r="G249" s="1291"/>
      <c r="H249" s="1291"/>
      <c r="I249" s="1291"/>
      <c r="J249" s="1291"/>
      <c r="K249" s="1291"/>
      <c r="L249" s="1291"/>
      <c r="M249" s="1244"/>
      <c r="N249" s="1290"/>
      <c r="O249" s="235"/>
      <c r="P249" s="150"/>
      <c r="Q249" s="1287"/>
      <c r="R249" s="1287"/>
      <c r="S249" s="149"/>
      <c r="T249" s="149"/>
      <c r="U249" s="150"/>
      <c r="V249" s="150"/>
      <c r="W249" s="150"/>
      <c r="X249" s="150"/>
      <c r="Y249" s="150"/>
      <c r="Z249" s="150"/>
      <c r="AA249" s="150"/>
      <c r="AC249" s="1211"/>
      <c r="AD249" s="1211"/>
      <c r="AE249" s="1211"/>
      <c r="AF249" s="1211"/>
      <c r="AG249" s="1211"/>
      <c r="AH249" s="1211"/>
      <c r="AI249" s="1211"/>
      <c r="AJ249" s="1211"/>
      <c r="AK249" s="1211"/>
      <c r="AL249" s="1211"/>
      <c r="AM249" s="1211"/>
    </row>
    <row r="250" spans="2:41" s="244" customFormat="1">
      <c r="B250" s="220"/>
      <c r="F250" s="1290"/>
      <c r="G250" s="1291"/>
      <c r="H250" s="1291"/>
      <c r="I250" s="1291"/>
      <c r="J250" s="1291"/>
      <c r="K250" s="1291"/>
      <c r="L250" s="1291"/>
      <c r="M250" s="1244"/>
      <c r="N250" s="1290"/>
      <c r="O250" s="235"/>
      <c r="P250" s="150"/>
      <c r="Q250" s="1287"/>
      <c r="R250" s="1287"/>
      <c r="S250" s="149"/>
      <c r="T250" s="149"/>
      <c r="U250" s="150"/>
      <c r="V250" s="150"/>
      <c r="W250" s="150"/>
      <c r="X250" s="150"/>
      <c r="Y250" s="150"/>
      <c r="Z250" s="150"/>
      <c r="AA250" s="150"/>
      <c r="AC250" s="1211"/>
      <c r="AD250" s="1211"/>
      <c r="AE250" s="1211"/>
      <c r="AF250" s="1211"/>
      <c r="AG250" s="1211"/>
      <c r="AH250" s="1211"/>
      <c r="AI250" s="1211"/>
      <c r="AJ250" s="1211"/>
      <c r="AK250" s="1211"/>
      <c r="AL250" s="1211"/>
      <c r="AM250" s="1211"/>
    </row>
    <row r="251" spans="2:41" s="244" customFormat="1">
      <c r="B251" s="220"/>
      <c r="F251" s="1290"/>
      <c r="G251" s="1291"/>
      <c r="H251" s="1291"/>
      <c r="I251" s="1291"/>
      <c r="J251" s="1291"/>
      <c r="K251" s="1291"/>
      <c r="L251" s="1291"/>
      <c r="M251" s="1244"/>
      <c r="N251" s="1290"/>
      <c r="O251" s="235"/>
      <c r="P251" s="150"/>
      <c r="Q251" s="1287"/>
      <c r="R251" s="1287"/>
      <c r="S251" s="149"/>
      <c r="T251" s="149"/>
      <c r="U251" s="150"/>
      <c r="V251" s="150"/>
      <c r="W251" s="150"/>
      <c r="X251" s="150"/>
      <c r="Y251" s="150"/>
      <c r="Z251" s="150"/>
      <c r="AA251" s="150"/>
      <c r="AC251" s="1211"/>
      <c r="AD251" s="1211"/>
      <c r="AE251" s="1211"/>
      <c r="AF251" s="1211"/>
      <c r="AG251" s="1211"/>
      <c r="AH251" s="1211"/>
      <c r="AI251" s="1211"/>
      <c r="AJ251" s="1211"/>
      <c r="AK251" s="1211"/>
      <c r="AL251" s="1211"/>
      <c r="AM251" s="1211"/>
    </row>
    <row r="252" spans="2:41" s="244" customFormat="1">
      <c r="B252" s="220"/>
      <c r="F252" s="1290"/>
      <c r="G252" s="1291"/>
      <c r="H252" s="1291"/>
      <c r="I252" s="1291"/>
      <c r="J252" s="1291"/>
      <c r="K252" s="1291"/>
      <c r="L252" s="1291"/>
      <c r="M252" s="1244"/>
      <c r="N252" s="1290"/>
      <c r="O252" s="235"/>
      <c r="P252" s="150"/>
      <c r="Q252" s="1287"/>
      <c r="R252" s="1287"/>
      <c r="S252" s="149"/>
      <c r="T252" s="149"/>
      <c r="U252" s="150"/>
      <c r="V252" s="150"/>
      <c r="W252" s="150"/>
      <c r="X252" s="150"/>
      <c r="Y252" s="150"/>
      <c r="Z252" s="150"/>
      <c r="AA252" s="150"/>
      <c r="AC252" s="1211"/>
      <c r="AD252" s="1211"/>
      <c r="AE252" s="1211"/>
      <c r="AF252" s="1211"/>
      <c r="AG252" s="1211"/>
      <c r="AH252" s="1211"/>
      <c r="AI252" s="1211"/>
      <c r="AJ252" s="1211"/>
      <c r="AK252" s="1211"/>
      <c r="AL252" s="1211"/>
      <c r="AM252" s="1211"/>
    </row>
    <row r="253" spans="2:41" s="244" customFormat="1">
      <c r="B253" s="220"/>
      <c r="F253" s="1290"/>
      <c r="G253" s="1291"/>
      <c r="H253" s="1291"/>
      <c r="I253" s="1291"/>
      <c r="J253" s="1291"/>
      <c r="K253" s="1291"/>
      <c r="L253" s="1291"/>
      <c r="M253" s="1244"/>
      <c r="N253" s="1290"/>
      <c r="O253" s="235"/>
      <c r="P253" s="150"/>
      <c r="Q253" s="1287"/>
      <c r="R253" s="1287"/>
      <c r="S253" s="149"/>
      <c r="T253" s="149"/>
      <c r="U253" s="150"/>
      <c r="V253" s="150"/>
      <c r="W253" s="150"/>
      <c r="X253" s="150"/>
      <c r="Y253" s="150"/>
      <c r="Z253" s="150"/>
      <c r="AA253" s="150"/>
      <c r="AC253" s="1211"/>
      <c r="AD253" s="1211"/>
      <c r="AE253" s="1211"/>
      <c r="AF253" s="1211"/>
      <c r="AG253" s="1211"/>
      <c r="AH253" s="1211"/>
      <c r="AI253" s="1211"/>
      <c r="AJ253" s="1211"/>
      <c r="AK253" s="1211"/>
      <c r="AL253" s="1211"/>
      <c r="AM253" s="1211"/>
    </row>
    <row r="254" spans="2:41" s="244" customFormat="1">
      <c r="B254" s="220"/>
      <c r="F254" s="1290"/>
      <c r="G254" s="1291"/>
      <c r="H254" s="1291"/>
      <c r="I254" s="1291"/>
      <c r="J254" s="1291"/>
      <c r="K254" s="1291"/>
      <c r="L254" s="1291"/>
      <c r="M254" s="1244"/>
      <c r="N254" s="1290"/>
      <c r="O254" s="235"/>
      <c r="P254" s="150"/>
      <c r="Q254" s="1287"/>
      <c r="R254" s="1287"/>
      <c r="S254" s="149"/>
      <c r="T254" s="149"/>
      <c r="U254" s="150"/>
      <c r="V254" s="150"/>
      <c r="W254" s="150"/>
      <c r="X254" s="150"/>
      <c r="Y254" s="150"/>
      <c r="Z254" s="150"/>
      <c r="AA254" s="150"/>
      <c r="AC254" s="1211"/>
      <c r="AD254" s="1211"/>
      <c r="AE254" s="1211"/>
      <c r="AF254" s="1211"/>
      <c r="AG254" s="1211"/>
      <c r="AH254" s="1211"/>
      <c r="AI254" s="1211"/>
      <c r="AJ254" s="1211"/>
      <c r="AK254" s="1211"/>
      <c r="AL254" s="1211"/>
      <c r="AM254" s="1211"/>
    </row>
    <row r="255" spans="2:41" s="244" customFormat="1">
      <c r="B255" s="220"/>
      <c r="F255" s="1290"/>
      <c r="G255" s="1291"/>
      <c r="H255" s="1291"/>
      <c r="I255" s="1291"/>
      <c r="J255" s="1291"/>
      <c r="K255" s="1291"/>
      <c r="L255" s="1291"/>
      <c r="M255" s="1244"/>
      <c r="N255" s="1290"/>
      <c r="O255" s="150"/>
      <c r="P255" s="150"/>
      <c r="Q255" s="1287"/>
      <c r="R255" s="1287"/>
      <c r="S255" s="149"/>
      <c r="T255" s="149"/>
      <c r="U255" s="150"/>
      <c r="V255" s="150"/>
      <c r="W255" s="150"/>
      <c r="X255" s="150"/>
      <c r="Y255" s="150"/>
      <c r="Z255" s="150"/>
      <c r="AA255" s="150"/>
      <c r="AC255" s="1211"/>
      <c r="AD255" s="1211"/>
      <c r="AE255" s="1211"/>
      <c r="AF255" s="1211"/>
      <c r="AG255" s="1211"/>
      <c r="AH255" s="1211"/>
      <c r="AI255" s="1211"/>
      <c r="AJ255" s="1211"/>
      <c r="AK255" s="1211"/>
      <c r="AL255" s="1211"/>
      <c r="AM255" s="1211"/>
    </row>
    <row r="256" spans="2:41" s="244" customFormat="1">
      <c r="B256" s="220"/>
      <c r="F256" s="1290"/>
      <c r="G256" s="1291"/>
      <c r="H256" s="1291"/>
      <c r="I256" s="1291"/>
      <c r="J256" s="1291"/>
      <c r="K256" s="1291"/>
      <c r="L256" s="1291"/>
      <c r="M256" s="1244"/>
      <c r="N256" s="1290"/>
      <c r="O256" s="150"/>
      <c r="P256" s="150"/>
      <c r="Q256" s="1287"/>
      <c r="R256" s="1287"/>
      <c r="S256" s="149"/>
      <c r="T256" s="149"/>
      <c r="U256" s="150"/>
      <c r="V256" s="150"/>
      <c r="W256" s="150"/>
      <c r="X256" s="150"/>
      <c r="Y256" s="150"/>
      <c r="Z256" s="150"/>
      <c r="AA256" s="150"/>
      <c r="AC256" s="1211"/>
      <c r="AD256" s="1211"/>
      <c r="AE256" s="1211"/>
      <c r="AF256" s="1211"/>
      <c r="AG256" s="1211"/>
      <c r="AH256" s="1211"/>
      <c r="AI256" s="1211"/>
      <c r="AJ256" s="1211"/>
      <c r="AK256" s="1211"/>
      <c r="AL256" s="1211"/>
      <c r="AM256" s="1211"/>
    </row>
    <row r="257" spans="2:39" s="244" customFormat="1">
      <c r="B257" s="220"/>
      <c r="F257" s="1290"/>
      <c r="G257" s="1291"/>
      <c r="H257" s="1291"/>
      <c r="I257" s="1291"/>
      <c r="J257" s="1291"/>
      <c r="K257" s="1291"/>
      <c r="L257" s="1291"/>
      <c r="M257" s="1244"/>
      <c r="N257" s="1290"/>
      <c r="O257" s="150"/>
      <c r="P257" s="150"/>
      <c r="Q257" s="1287"/>
      <c r="R257" s="1287"/>
      <c r="S257" s="149"/>
      <c r="T257" s="149"/>
      <c r="U257" s="150"/>
      <c r="V257" s="150"/>
      <c r="W257" s="150"/>
      <c r="X257" s="150"/>
      <c r="Y257" s="150"/>
      <c r="Z257" s="150"/>
      <c r="AA257" s="150"/>
      <c r="AC257" s="1211"/>
      <c r="AD257" s="1211"/>
      <c r="AE257" s="1211"/>
      <c r="AF257" s="1211"/>
      <c r="AG257" s="1211"/>
      <c r="AH257" s="1211"/>
      <c r="AI257" s="1211"/>
      <c r="AJ257" s="1211"/>
      <c r="AK257" s="1211"/>
      <c r="AL257" s="1211"/>
      <c r="AM257" s="1211"/>
    </row>
    <row r="258" spans="2:39" s="244" customFormat="1">
      <c r="B258" s="220"/>
      <c r="F258" s="1290"/>
      <c r="G258" s="1291"/>
      <c r="H258" s="1291"/>
      <c r="I258" s="1291"/>
      <c r="J258" s="1291"/>
      <c r="K258" s="1291"/>
      <c r="L258" s="1291"/>
      <c r="M258" s="1244"/>
      <c r="N258" s="1290"/>
      <c r="O258" s="150"/>
      <c r="P258" s="150"/>
      <c r="Q258" s="1287"/>
      <c r="R258" s="1287"/>
      <c r="S258" s="149"/>
      <c r="T258" s="149"/>
      <c r="U258" s="150"/>
      <c r="V258" s="150"/>
      <c r="W258" s="150"/>
      <c r="X258" s="150"/>
      <c r="Y258" s="150"/>
      <c r="Z258" s="150"/>
      <c r="AA258" s="150"/>
      <c r="AC258" s="1211"/>
      <c r="AD258" s="1211"/>
      <c r="AE258" s="1211"/>
      <c r="AF258" s="1211"/>
      <c r="AG258" s="1211"/>
      <c r="AH258" s="1211"/>
      <c r="AI258" s="1211"/>
      <c r="AJ258" s="1211"/>
      <c r="AK258" s="1211"/>
      <c r="AL258" s="1211"/>
      <c r="AM258" s="1211"/>
    </row>
    <row r="259" spans="2:39" s="244" customFormat="1">
      <c r="B259" s="220"/>
      <c r="F259" s="1290"/>
      <c r="G259" s="1291"/>
      <c r="H259" s="1291"/>
      <c r="I259" s="1291"/>
      <c r="J259" s="1291"/>
      <c r="K259" s="1291"/>
      <c r="L259" s="1291"/>
      <c r="M259" s="1244"/>
      <c r="N259" s="1290"/>
      <c r="O259" s="150"/>
      <c r="P259" s="150"/>
      <c r="Q259" s="1287"/>
      <c r="R259" s="1287"/>
      <c r="S259" s="149"/>
      <c r="T259" s="149"/>
      <c r="U259" s="150"/>
      <c r="V259" s="150"/>
      <c r="W259" s="150"/>
      <c r="X259" s="150"/>
      <c r="Y259" s="150"/>
      <c r="Z259" s="150"/>
      <c r="AA259" s="150"/>
      <c r="AC259" s="1211"/>
      <c r="AD259" s="1211"/>
      <c r="AE259" s="1211"/>
      <c r="AF259" s="1211"/>
      <c r="AG259" s="1211"/>
      <c r="AH259" s="1211"/>
      <c r="AI259" s="1211"/>
      <c r="AJ259" s="1211"/>
      <c r="AK259" s="1211"/>
      <c r="AL259" s="1211"/>
      <c r="AM259" s="1211"/>
    </row>
    <row r="260" spans="2:39" s="244" customFormat="1">
      <c r="B260" s="220"/>
      <c r="F260" s="1290"/>
      <c r="G260" s="1291"/>
      <c r="H260" s="1291"/>
      <c r="I260" s="1291"/>
      <c r="J260" s="1291"/>
      <c r="K260" s="1291"/>
      <c r="L260" s="1291"/>
      <c r="M260" s="1244"/>
      <c r="N260" s="1290"/>
      <c r="O260" s="150"/>
      <c r="P260" s="150"/>
      <c r="Q260" s="1287"/>
      <c r="R260" s="1287"/>
      <c r="S260" s="149"/>
      <c r="T260" s="149"/>
      <c r="U260" s="150"/>
      <c r="V260" s="150"/>
      <c r="W260" s="150"/>
      <c r="X260" s="150"/>
      <c r="Y260" s="150"/>
      <c r="Z260" s="150"/>
      <c r="AA260" s="150"/>
      <c r="AC260" s="1211"/>
      <c r="AD260" s="1211"/>
      <c r="AE260" s="1211"/>
      <c r="AF260" s="1211"/>
      <c r="AG260" s="1211"/>
      <c r="AH260" s="1211"/>
      <c r="AI260" s="1211"/>
      <c r="AJ260" s="1211"/>
      <c r="AK260" s="1211"/>
      <c r="AL260" s="1211"/>
      <c r="AM260" s="1211"/>
    </row>
    <row r="261" spans="2:39" s="244" customFormat="1">
      <c r="B261" s="220"/>
      <c r="F261" s="1290"/>
      <c r="G261" s="1291"/>
      <c r="H261" s="1291"/>
      <c r="I261" s="1291"/>
      <c r="J261" s="1291"/>
      <c r="K261" s="1291"/>
      <c r="L261" s="1291"/>
      <c r="M261" s="1244"/>
      <c r="N261" s="1290"/>
      <c r="O261" s="150"/>
      <c r="P261" s="150"/>
      <c r="Q261" s="1287"/>
      <c r="R261" s="1287"/>
      <c r="S261" s="149"/>
      <c r="T261" s="149"/>
      <c r="U261" s="150"/>
      <c r="V261" s="150"/>
      <c r="W261" s="150"/>
      <c r="X261" s="150"/>
      <c r="Y261" s="150"/>
      <c r="Z261" s="150"/>
      <c r="AA261" s="150"/>
      <c r="AC261" s="1211"/>
      <c r="AD261" s="1211"/>
      <c r="AE261" s="1211"/>
      <c r="AF261" s="1211"/>
      <c r="AG261" s="1211"/>
      <c r="AH261" s="1211"/>
      <c r="AI261" s="1211"/>
      <c r="AJ261" s="1211"/>
      <c r="AK261" s="1211"/>
      <c r="AL261" s="1211"/>
      <c r="AM261" s="1211"/>
    </row>
    <row r="262" spans="2:39" s="244" customFormat="1">
      <c r="B262" s="220"/>
      <c r="F262" s="1290"/>
      <c r="G262" s="1291"/>
      <c r="H262" s="1291"/>
      <c r="I262" s="1291"/>
      <c r="J262" s="1291"/>
      <c r="K262" s="1291"/>
      <c r="L262" s="1291"/>
      <c r="M262" s="1244"/>
      <c r="N262" s="1290"/>
      <c r="O262" s="150"/>
      <c r="P262" s="150"/>
      <c r="Q262" s="1287"/>
      <c r="R262" s="1287"/>
      <c r="S262" s="149"/>
      <c r="T262" s="149"/>
      <c r="U262" s="150"/>
      <c r="V262" s="150"/>
      <c r="W262" s="150"/>
      <c r="X262" s="150"/>
      <c r="Y262" s="150"/>
      <c r="Z262" s="150"/>
      <c r="AA262" s="150"/>
      <c r="AC262" s="1211"/>
      <c r="AD262" s="1211"/>
      <c r="AE262" s="1211"/>
      <c r="AF262" s="1211"/>
      <c r="AG262" s="1211"/>
      <c r="AH262" s="1211"/>
      <c r="AI262" s="1211"/>
      <c r="AJ262" s="1211"/>
      <c r="AK262" s="1211"/>
      <c r="AL262" s="1211"/>
      <c r="AM262" s="1211"/>
    </row>
    <row r="263" spans="2:39" s="244" customFormat="1">
      <c r="B263" s="220"/>
      <c r="F263" s="1290"/>
      <c r="G263" s="1291"/>
      <c r="H263" s="1291"/>
      <c r="I263" s="1291"/>
      <c r="J263" s="1291"/>
      <c r="K263" s="1291"/>
      <c r="L263" s="1291"/>
      <c r="M263" s="1244"/>
      <c r="N263" s="1290"/>
      <c r="O263" s="150"/>
      <c r="P263" s="150"/>
      <c r="Q263" s="1287"/>
      <c r="R263" s="1287"/>
      <c r="S263" s="149"/>
      <c r="T263" s="149"/>
      <c r="U263" s="150"/>
      <c r="V263" s="150"/>
      <c r="W263" s="150"/>
      <c r="X263" s="150"/>
      <c r="Y263" s="150"/>
      <c r="Z263" s="150"/>
      <c r="AA263" s="150"/>
      <c r="AC263" s="1211"/>
      <c r="AD263" s="1211"/>
      <c r="AE263" s="1211"/>
      <c r="AF263" s="1211"/>
      <c r="AG263" s="1211"/>
      <c r="AH263" s="1211"/>
      <c r="AI263" s="1211"/>
      <c r="AJ263" s="1211"/>
      <c r="AK263" s="1211"/>
      <c r="AL263" s="1211"/>
      <c r="AM263" s="1211"/>
    </row>
    <row r="264" spans="2:39" s="244" customFormat="1">
      <c r="B264" s="220"/>
      <c r="F264" s="1290"/>
      <c r="G264" s="1291"/>
      <c r="H264" s="1291"/>
      <c r="I264" s="1291"/>
      <c r="J264" s="1291"/>
      <c r="K264" s="1291"/>
      <c r="L264" s="1291"/>
      <c r="M264" s="1244"/>
      <c r="N264" s="1290"/>
      <c r="O264" s="150"/>
      <c r="P264" s="150"/>
      <c r="Q264" s="1287"/>
      <c r="R264" s="1287"/>
      <c r="S264" s="149"/>
      <c r="T264" s="149"/>
      <c r="U264" s="150"/>
      <c r="V264" s="150"/>
      <c r="W264" s="150"/>
      <c r="X264" s="150"/>
      <c r="Y264" s="150"/>
      <c r="Z264" s="150"/>
      <c r="AA264" s="150"/>
      <c r="AC264" s="1211"/>
      <c r="AD264" s="1211"/>
      <c r="AE264" s="1211"/>
      <c r="AF264" s="1211"/>
      <c r="AG264" s="1211"/>
      <c r="AH264" s="1211"/>
      <c r="AI264" s="1211"/>
      <c r="AJ264" s="1211"/>
      <c r="AK264" s="1211"/>
      <c r="AL264" s="1211"/>
      <c r="AM264" s="1211"/>
    </row>
    <row r="265" spans="2:39" s="244" customFormat="1">
      <c r="B265" s="220"/>
      <c r="F265" s="1290"/>
      <c r="G265" s="1291"/>
      <c r="H265" s="1291"/>
      <c r="I265" s="1291"/>
      <c r="J265" s="1291"/>
      <c r="K265" s="1291"/>
      <c r="L265" s="1291"/>
      <c r="M265" s="1244"/>
      <c r="N265" s="1290"/>
      <c r="O265" s="150"/>
      <c r="P265" s="150"/>
      <c r="Q265" s="1287"/>
      <c r="R265" s="1287"/>
      <c r="S265" s="149"/>
      <c r="T265" s="149"/>
      <c r="U265" s="150"/>
      <c r="V265" s="150"/>
      <c r="W265" s="150"/>
      <c r="X265" s="150"/>
      <c r="Y265" s="150"/>
      <c r="Z265" s="150"/>
      <c r="AA265" s="150"/>
      <c r="AC265" s="1211"/>
      <c r="AD265" s="1211"/>
      <c r="AE265" s="1211"/>
      <c r="AF265" s="1211"/>
      <c r="AG265" s="1211"/>
      <c r="AH265" s="1211"/>
      <c r="AI265" s="1211"/>
      <c r="AJ265" s="1211"/>
      <c r="AK265" s="1211"/>
      <c r="AL265" s="1211"/>
      <c r="AM265" s="1211"/>
    </row>
    <row r="266" spans="2:39" s="244" customFormat="1">
      <c r="B266" s="220"/>
      <c r="F266" s="1290"/>
      <c r="G266" s="1291"/>
      <c r="H266" s="1291"/>
      <c r="I266" s="1291"/>
      <c r="J266" s="1291"/>
      <c r="K266" s="1291"/>
      <c r="L266" s="1291"/>
      <c r="M266" s="1244"/>
      <c r="N266" s="1290"/>
      <c r="O266" s="150"/>
      <c r="P266" s="150"/>
      <c r="Q266" s="1287"/>
      <c r="R266" s="1287"/>
      <c r="S266" s="149"/>
      <c r="T266" s="149"/>
      <c r="U266" s="150"/>
      <c r="V266" s="150"/>
      <c r="W266" s="150"/>
      <c r="X266" s="150"/>
      <c r="Y266" s="150"/>
      <c r="Z266" s="150"/>
      <c r="AA266" s="150"/>
      <c r="AC266" s="1211"/>
      <c r="AD266" s="1211"/>
      <c r="AE266" s="1211"/>
      <c r="AF266" s="1211"/>
      <c r="AG266" s="1211"/>
      <c r="AH266" s="1211"/>
      <c r="AI266" s="1211"/>
      <c r="AJ266" s="1211"/>
      <c r="AK266" s="1211"/>
      <c r="AL266" s="1211"/>
      <c r="AM266" s="1211"/>
    </row>
    <row r="267" spans="2:39" s="244" customFormat="1">
      <c r="B267" s="220"/>
      <c r="F267" s="1290"/>
      <c r="G267" s="1291"/>
      <c r="H267" s="1291"/>
      <c r="I267" s="1291"/>
      <c r="J267" s="1291"/>
      <c r="K267" s="1291"/>
      <c r="L267" s="1291"/>
      <c r="M267" s="1244"/>
      <c r="N267" s="1290"/>
      <c r="O267" s="150"/>
      <c r="P267" s="150"/>
      <c r="Q267" s="1287"/>
      <c r="R267" s="1287"/>
      <c r="S267" s="149"/>
      <c r="T267" s="149"/>
      <c r="U267" s="150"/>
      <c r="V267" s="150"/>
      <c r="W267" s="150"/>
      <c r="X267" s="150"/>
      <c r="Y267" s="150"/>
      <c r="Z267" s="150"/>
      <c r="AA267" s="150"/>
      <c r="AC267" s="1211"/>
      <c r="AD267" s="1211"/>
      <c r="AE267" s="1211"/>
      <c r="AF267" s="1211"/>
      <c r="AG267" s="1211"/>
      <c r="AH267" s="1211"/>
      <c r="AI267" s="1211"/>
      <c r="AJ267" s="1211"/>
      <c r="AK267" s="1211"/>
      <c r="AL267" s="1211"/>
      <c r="AM267" s="1211"/>
    </row>
    <row r="268" spans="2:39" s="244" customFormat="1">
      <c r="B268" s="220"/>
      <c r="F268" s="1290"/>
      <c r="G268" s="1291"/>
      <c r="H268" s="1291"/>
      <c r="I268" s="1291"/>
      <c r="J268" s="1291"/>
      <c r="K268" s="1291"/>
      <c r="L268" s="1291"/>
      <c r="M268" s="1244"/>
      <c r="N268" s="1290"/>
      <c r="O268" s="150"/>
      <c r="P268" s="150"/>
      <c r="Q268" s="1287"/>
      <c r="R268" s="1287"/>
      <c r="S268" s="149"/>
      <c r="T268" s="149"/>
      <c r="U268" s="150"/>
      <c r="V268" s="150"/>
      <c r="W268" s="150"/>
      <c r="X268" s="150"/>
      <c r="Y268" s="150"/>
      <c r="Z268" s="150"/>
      <c r="AA268" s="150"/>
      <c r="AC268" s="1211"/>
      <c r="AD268" s="1211"/>
      <c r="AE268" s="1211"/>
      <c r="AF268" s="1211"/>
      <c r="AG268" s="1211"/>
      <c r="AH268" s="1211"/>
      <c r="AI268" s="1211"/>
      <c r="AJ268" s="1211"/>
      <c r="AK268" s="1211"/>
      <c r="AL268" s="1211"/>
      <c r="AM268" s="1211"/>
    </row>
    <row r="269" spans="2:39" s="244" customFormat="1">
      <c r="B269" s="220"/>
      <c r="F269" s="1290"/>
      <c r="G269" s="1291"/>
      <c r="H269" s="1291"/>
      <c r="I269" s="1291"/>
      <c r="J269" s="1291"/>
      <c r="K269" s="1291"/>
      <c r="L269" s="1291"/>
      <c r="M269" s="1244"/>
      <c r="N269" s="1290"/>
      <c r="O269" s="150"/>
      <c r="P269" s="150"/>
      <c r="Q269" s="1287"/>
      <c r="R269" s="1287"/>
      <c r="S269" s="149"/>
      <c r="T269" s="149"/>
      <c r="U269" s="150"/>
      <c r="V269" s="150"/>
      <c r="W269" s="150"/>
      <c r="X269" s="150"/>
      <c r="Y269" s="150"/>
      <c r="Z269" s="150"/>
      <c r="AA269" s="150"/>
      <c r="AC269" s="1211"/>
      <c r="AD269" s="1211"/>
      <c r="AE269" s="1211"/>
      <c r="AF269" s="1211"/>
      <c r="AG269" s="1211"/>
      <c r="AH269" s="1211"/>
      <c r="AI269" s="1211"/>
      <c r="AJ269" s="1211"/>
      <c r="AK269" s="1211"/>
      <c r="AL269" s="1211"/>
      <c r="AM269" s="1211"/>
    </row>
    <row r="270" spans="2:39" s="244" customFormat="1">
      <c r="B270" s="220"/>
      <c r="F270" s="1290"/>
      <c r="G270" s="1291"/>
      <c r="H270" s="1291"/>
      <c r="I270" s="1291"/>
      <c r="J270" s="1291"/>
      <c r="K270" s="1291"/>
      <c r="L270" s="1291"/>
      <c r="M270" s="1244"/>
      <c r="N270" s="1290"/>
      <c r="O270" s="150"/>
      <c r="P270" s="150"/>
      <c r="Q270" s="1287"/>
      <c r="R270" s="1287"/>
      <c r="S270" s="149"/>
      <c r="T270" s="149"/>
      <c r="U270" s="150"/>
      <c r="V270" s="150"/>
      <c r="W270" s="150"/>
      <c r="X270" s="150"/>
      <c r="Y270" s="150"/>
      <c r="Z270" s="150"/>
      <c r="AA270" s="150"/>
      <c r="AC270" s="1211"/>
      <c r="AD270" s="1211"/>
      <c r="AE270" s="1211"/>
      <c r="AF270" s="1211"/>
      <c r="AG270" s="1211"/>
      <c r="AH270" s="1211"/>
      <c r="AI270" s="1211"/>
      <c r="AJ270" s="1211"/>
      <c r="AK270" s="1211"/>
      <c r="AL270" s="1211"/>
      <c r="AM270" s="1211"/>
    </row>
    <row r="271" spans="2:39" s="244" customFormat="1">
      <c r="B271" s="220"/>
      <c r="F271" s="1290"/>
      <c r="G271" s="1291"/>
      <c r="H271" s="1291"/>
      <c r="I271" s="1291"/>
      <c r="J271" s="1291"/>
      <c r="K271" s="1291"/>
      <c r="L271" s="1291"/>
      <c r="M271" s="1244"/>
      <c r="N271" s="1290"/>
      <c r="O271" s="150"/>
      <c r="P271" s="150"/>
      <c r="Q271" s="1287"/>
      <c r="R271" s="1287"/>
      <c r="S271" s="149"/>
      <c r="T271" s="149"/>
      <c r="U271" s="150"/>
      <c r="V271" s="150"/>
      <c r="W271" s="150"/>
      <c r="X271" s="150"/>
      <c r="Y271" s="150"/>
      <c r="Z271" s="150"/>
      <c r="AA271" s="150"/>
      <c r="AC271" s="1211"/>
      <c r="AD271" s="1211"/>
      <c r="AE271" s="1211"/>
      <c r="AF271" s="1211"/>
      <c r="AG271" s="1211"/>
      <c r="AH271" s="1211"/>
      <c r="AI271" s="1211"/>
      <c r="AJ271" s="1211"/>
      <c r="AK271" s="1211"/>
      <c r="AL271" s="1211"/>
      <c r="AM271" s="1211"/>
    </row>
    <row r="272" spans="2:39" s="244" customFormat="1">
      <c r="B272" s="220"/>
      <c r="F272" s="1290"/>
      <c r="G272" s="1291"/>
      <c r="H272" s="1291"/>
      <c r="I272" s="1291"/>
      <c r="J272" s="1291"/>
      <c r="K272" s="1291"/>
      <c r="L272" s="1291"/>
      <c r="M272" s="1244"/>
      <c r="N272" s="1290"/>
      <c r="O272" s="150"/>
      <c r="P272" s="150"/>
      <c r="Q272" s="1287"/>
      <c r="R272" s="1287"/>
      <c r="S272" s="149"/>
      <c r="T272" s="149"/>
      <c r="U272" s="150"/>
      <c r="V272" s="150"/>
      <c r="W272" s="150"/>
      <c r="X272" s="150"/>
      <c r="Y272" s="150"/>
      <c r="Z272" s="150"/>
      <c r="AA272" s="150"/>
      <c r="AC272" s="1211"/>
      <c r="AD272" s="1211"/>
      <c r="AE272" s="1211"/>
      <c r="AF272" s="1211"/>
      <c r="AG272" s="1211"/>
      <c r="AH272" s="1211"/>
      <c r="AI272" s="1211"/>
      <c r="AJ272" s="1211"/>
      <c r="AK272" s="1211"/>
      <c r="AL272" s="1211"/>
      <c r="AM272" s="1211"/>
    </row>
    <row r="273" spans="2:39" s="244" customFormat="1">
      <c r="B273" s="220"/>
      <c r="F273" s="1290"/>
      <c r="G273" s="1291"/>
      <c r="H273" s="1291"/>
      <c r="I273" s="1291"/>
      <c r="J273" s="1291"/>
      <c r="K273" s="1291"/>
      <c r="L273" s="1291"/>
      <c r="M273" s="1244"/>
      <c r="N273" s="1290"/>
      <c r="O273" s="150"/>
      <c r="P273" s="150"/>
      <c r="Q273" s="1287"/>
      <c r="R273" s="1287"/>
      <c r="S273" s="149"/>
      <c r="T273" s="149"/>
      <c r="U273" s="150"/>
      <c r="V273" s="150"/>
      <c r="W273" s="150"/>
      <c r="X273" s="150"/>
      <c r="Y273" s="150"/>
      <c r="Z273" s="150"/>
      <c r="AA273" s="150"/>
      <c r="AC273" s="1211"/>
      <c r="AD273" s="1211"/>
      <c r="AE273" s="1211"/>
      <c r="AF273" s="1211"/>
      <c r="AG273" s="1211"/>
      <c r="AH273" s="1211"/>
      <c r="AI273" s="1211"/>
      <c r="AJ273" s="1211"/>
      <c r="AK273" s="1211"/>
      <c r="AL273" s="1211"/>
      <c r="AM273" s="1211"/>
    </row>
    <row r="274" spans="2:39" s="244" customFormat="1">
      <c r="B274" s="220"/>
      <c r="F274" s="1290"/>
      <c r="G274" s="1291"/>
      <c r="H274" s="1291"/>
      <c r="I274" s="1291"/>
      <c r="J274" s="1291"/>
      <c r="K274" s="1291"/>
      <c r="L274" s="1291"/>
      <c r="M274" s="1244"/>
      <c r="N274" s="1290"/>
      <c r="O274" s="150"/>
      <c r="P274" s="150"/>
      <c r="Q274" s="1287"/>
      <c r="R274" s="1287"/>
      <c r="S274" s="149"/>
      <c r="T274" s="149"/>
      <c r="U274" s="150"/>
      <c r="V274" s="150"/>
      <c r="W274" s="150"/>
      <c r="X274" s="150"/>
      <c r="Y274" s="150"/>
      <c r="Z274" s="150"/>
      <c r="AA274" s="150"/>
      <c r="AC274" s="1211"/>
      <c r="AD274" s="1211"/>
      <c r="AE274" s="1211"/>
      <c r="AF274" s="1211"/>
      <c r="AG274" s="1211"/>
      <c r="AH274" s="1211"/>
      <c r="AI274" s="1211"/>
      <c r="AJ274" s="1211"/>
      <c r="AK274" s="1211"/>
      <c r="AL274" s="1211"/>
      <c r="AM274" s="1211"/>
    </row>
    <row r="275" spans="2:39" s="244" customFormat="1">
      <c r="B275" s="220"/>
      <c r="F275" s="1290"/>
      <c r="G275" s="1291"/>
      <c r="H275" s="1291"/>
      <c r="I275" s="1291"/>
      <c r="J275" s="1291"/>
      <c r="K275" s="1291"/>
      <c r="L275" s="1291"/>
      <c r="M275" s="1244"/>
      <c r="N275" s="1290"/>
      <c r="O275" s="150"/>
      <c r="P275" s="150"/>
      <c r="Q275" s="1287"/>
      <c r="R275" s="1287"/>
      <c r="S275" s="149"/>
      <c r="T275" s="149"/>
      <c r="U275" s="150"/>
      <c r="V275" s="150"/>
      <c r="W275" s="150"/>
      <c r="X275" s="150"/>
      <c r="Y275" s="150"/>
      <c r="Z275" s="150"/>
      <c r="AA275" s="150"/>
      <c r="AC275" s="1211"/>
      <c r="AD275" s="1211"/>
      <c r="AE275" s="1211"/>
      <c r="AF275" s="1211"/>
      <c r="AG275" s="1211"/>
      <c r="AH275" s="1211"/>
      <c r="AI275" s="1211"/>
      <c r="AJ275" s="1211"/>
      <c r="AK275" s="1211"/>
      <c r="AL275" s="1211"/>
      <c r="AM275" s="1211"/>
    </row>
    <row r="276" spans="2:39" s="244" customFormat="1">
      <c r="B276" s="220"/>
      <c r="F276" s="1290"/>
      <c r="G276" s="1291"/>
      <c r="H276" s="1291"/>
      <c r="I276" s="1291"/>
      <c r="J276" s="1291"/>
      <c r="K276" s="1291"/>
      <c r="L276" s="1291"/>
      <c r="M276" s="1244"/>
      <c r="N276" s="1290"/>
      <c r="O276" s="150"/>
      <c r="P276" s="150"/>
      <c r="Q276" s="1287"/>
      <c r="R276" s="1287"/>
      <c r="S276" s="149"/>
      <c r="T276" s="149"/>
      <c r="U276" s="150"/>
      <c r="V276" s="150"/>
      <c r="W276" s="150"/>
      <c r="X276" s="150"/>
      <c r="Y276" s="150"/>
      <c r="Z276" s="150"/>
      <c r="AA276" s="150"/>
      <c r="AC276" s="1211"/>
      <c r="AD276" s="1211"/>
      <c r="AE276" s="1211"/>
      <c r="AF276" s="1211"/>
      <c r="AG276" s="1211"/>
      <c r="AH276" s="1211"/>
      <c r="AI276" s="1211"/>
      <c r="AJ276" s="1211"/>
      <c r="AK276" s="1211"/>
      <c r="AL276" s="1211"/>
      <c r="AM276" s="1211"/>
    </row>
    <row r="277" spans="2:39" s="244" customFormat="1">
      <c r="B277" s="220"/>
      <c r="F277" s="1290"/>
      <c r="G277" s="1291"/>
      <c r="H277" s="1291"/>
      <c r="I277" s="1291"/>
      <c r="J277" s="1291"/>
      <c r="K277" s="1291"/>
      <c r="L277" s="1291"/>
      <c r="M277" s="1244"/>
      <c r="N277" s="1290"/>
      <c r="O277" s="150"/>
      <c r="P277" s="150"/>
      <c r="Q277" s="1287"/>
      <c r="R277" s="1287"/>
      <c r="S277" s="149"/>
      <c r="T277" s="149"/>
      <c r="U277" s="150"/>
      <c r="V277" s="150"/>
      <c r="W277" s="150"/>
      <c r="X277" s="150"/>
      <c r="Y277" s="150"/>
      <c r="Z277" s="150"/>
      <c r="AA277" s="150"/>
      <c r="AC277" s="1211"/>
      <c r="AD277" s="1211"/>
      <c r="AE277" s="1211"/>
      <c r="AF277" s="1211"/>
      <c r="AG277" s="1211"/>
      <c r="AH277" s="1211"/>
      <c r="AI277" s="1211"/>
      <c r="AJ277" s="1211"/>
      <c r="AK277" s="1211"/>
      <c r="AL277" s="1211"/>
      <c r="AM277" s="1211"/>
    </row>
    <row r="278" spans="2:39">
      <c r="O278" s="1215"/>
      <c r="P278" s="1215"/>
      <c r="Q278" s="1293"/>
      <c r="R278" s="1293"/>
      <c r="S278" s="251"/>
      <c r="T278" s="251"/>
      <c r="U278" s="1132"/>
      <c r="V278" s="1132"/>
      <c r="W278" s="1132"/>
      <c r="X278" s="1132"/>
      <c r="Y278" s="1132"/>
      <c r="Z278" s="1132"/>
      <c r="AA278" s="1132"/>
    </row>
    <row r="279" spans="2:39">
      <c r="O279" s="1215"/>
      <c r="P279" s="1215"/>
      <c r="Q279" s="1293"/>
      <c r="R279" s="1293"/>
      <c r="S279" s="251"/>
      <c r="T279" s="251"/>
      <c r="U279" s="1132"/>
      <c r="V279" s="1132"/>
      <c r="W279" s="1132"/>
      <c r="X279" s="1132"/>
      <c r="Y279" s="1132"/>
      <c r="Z279" s="1132"/>
      <c r="AA279" s="1132"/>
    </row>
    <row r="280" spans="2:39">
      <c r="O280" s="1215"/>
      <c r="P280" s="1215"/>
      <c r="Q280" s="1293"/>
      <c r="R280" s="1293"/>
      <c r="S280" s="251"/>
      <c r="T280" s="251"/>
      <c r="U280" s="1132"/>
      <c r="V280" s="1132"/>
      <c r="W280" s="1132"/>
      <c r="X280" s="1132"/>
      <c r="Y280" s="1132"/>
      <c r="Z280" s="1132"/>
      <c r="AA280" s="1132"/>
    </row>
    <row r="281" spans="2:39">
      <c r="O281" s="1215"/>
      <c r="P281" s="1215"/>
      <c r="Q281" s="1293"/>
      <c r="R281" s="1293"/>
      <c r="S281" s="251"/>
      <c r="T281" s="251"/>
      <c r="U281" s="1132"/>
      <c r="V281" s="1132"/>
      <c r="W281" s="1132"/>
      <c r="X281" s="1132"/>
      <c r="Y281" s="1132"/>
      <c r="Z281" s="1132"/>
      <c r="AA281" s="1132"/>
    </row>
    <row r="282" spans="2:39">
      <c r="O282" s="1215"/>
      <c r="P282" s="1215"/>
      <c r="Q282" s="1293"/>
      <c r="R282" s="1293"/>
      <c r="S282" s="251"/>
      <c r="T282" s="251"/>
      <c r="U282" s="1132"/>
      <c r="V282" s="1132"/>
      <c r="W282" s="1132"/>
      <c r="X282" s="1132"/>
      <c r="Y282" s="1132"/>
      <c r="Z282" s="1132"/>
      <c r="AA282" s="1132"/>
    </row>
    <row r="283" spans="2:39">
      <c r="O283" s="1215"/>
      <c r="P283" s="1215"/>
      <c r="Q283" s="1293"/>
      <c r="R283" s="1293"/>
      <c r="S283" s="251"/>
      <c r="T283" s="251"/>
      <c r="U283" s="1132"/>
      <c r="V283" s="1132"/>
      <c r="W283" s="1132"/>
      <c r="X283" s="1132"/>
      <c r="Y283" s="1132"/>
      <c r="Z283" s="1132"/>
      <c r="AA283" s="1132"/>
    </row>
    <row r="284" spans="2:39">
      <c r="O284" s="1215"/>
      <c r="P284" s="1215"/>
      <c r="Q284" s="1293"/>
      <c r="R284" s="1293"/>
      <c r="S284" s="251"/>
      <c r="T284" s="251"/>
      <c r="U284" s="1132"/>
      <c r="V284" s="1132"/>
      <c r="W284" s="1132"/>
      <c r="X284" s="1132"/>
      <c r="Y284" s="1132"/>
      <c r="Z284" s="1132"/>
      <c r="AA284" s="1132"/>
    </row>
    <row r="285" spans="2:39">
      <c r="O285" s="1215"/>
      <c r="P285" s="1215"/>
      <c r="Q285" s="1293"/>
      <c r="R285" s="1293"/>
      <c r="S285" s="251"/>
      <c r="T285" s="251"/>
      <c r="U285" s="1132"/>
      <c r="V285" s="1132"/>
      <c r="W285" s="1132"/>
      <c r="X285" s="1132"/>
      <c r="Y285" s="1132"/>
      <c r="Z285" s="1132"/>
      <c r="AA285" s="1132"/>
    </row>
    <row r="286" spans="2:39">
      <c r="O286" s="1215"/>
      <c r="P286" s="1215"/>
      <c r="Q286" s="1293"/>
      <c r="R286" s="1293"/>
      <c r="S286" s="251"/>
      <c r="T286" s="251"/>
      <c r="U286" s="1132"/>
      <c r="V286" s="1132"/>
      <c r="W286" s="1132"/>
      <c r="X286" s="1132"/>
      <c r="Y286" s="1132"/>
      <c r="Z286" s="1132"/>
      <c r="AA286" s="1132"/>
    </row>
    <row r="287" spans="2:39">
      <c r="O287" s="1215"/>
      <c r="P287" s="1215"/>
      <c r="Q287" s="1293"/>
      <c r="R287" s="1293"/>
      <c r="S287" s="251"/>
      <c r="T287" s="251"/>
      <c r="U287" s="1132"/>
      <c r="V287" s="1132"/>
      <c r="W287" s="1132"/>
      <c r="X287" s="1132"/>
      <c r="Y287" s="1132"/>
      <c r="Z287" s="1132"/>
      <c r="AA287" s="1132"/>
    </row>
    <row r="288" spans="2:39">
      <c r="O288" s="1215"/>
      <c r="P288" s="1215"/>
      <c r="Q288" s="1293"/>
      <c r="R288" s="1293"/>
      <c r="S288" s="251"/>
      <c r="T288" s="251"/>
      <c r="U288" s="1132"/>
      <c r="V288" s="1132"/>
      <c r="W288" s="1132"/>
      <c r="X288" s="1132"/>
      <c r="Y288" s="1132"/>
      <c r="Z288" s="1132"/>
      <c r="AA288" s="1132"/>
    </row>
    <row r="289" spans="15:27">
      <c r="O289" s="1215"/>
      <c r="P289" s="1215"/>
      <c r="Q289" s="1293"/>
      <c r="R289" s="1293"/>
      <c r="S289" s="251"/>
      <c r="T289" s="251"/>
      <c r="U289" s="1132"/>
      <c r="V289" s="1132"/>
      <c r="W289" s="1132"/>
      <c r="X289" s="1132"/>
      <c r="Y289" s="1132"/>
      <c r="Z289" s="1132"/>
      <c r="AA289" s="1132"/>
    </row>
    <row r="290" spans="15:27">
      <c r="O290" s="1215"/>
      <c r="P290" s="1215"/>
      <c r="Q290" s="1293"/>
      <c r="R290" s="1293"/>
      <c r="S290" s="251"/>
      <c r="T290" s="251"/>
      <c r="U290" s="1132"/>
      <c r="V290" s="1132"/>
      <c r="W290" s="1132"/>
      <c r="X290" s="1132"/>
      <c r="Y290" s="1132"/>
      <c r="Z290" s="1132"/>
      <c r="AA290" s="1132"/>
    </row>
  </sheetData>
  <mergeCells count="3">
    <mergeCell ref="H34:H35"/>
    <mergeCell ref="H45:H48"/>
    <mergeCell ref="H50:H51"/>
  </mergeCells>
  <conditionalFormatting sqref="F21:K21 D21">
    <cfRule type="cellIs" dxfId="53" priority="4" stopIfTrue="1" operator="equal">
      <formula>1</formula>
    </cfRule>
  </conditionalFormatting>
  <conditionalFormatting sqref="F14:G15 D14:D15 D17:D18 F17:G18 F20:G20 D20 I20:K20 I14:K15 I17:K18">
    <cfRule type="cellIs" dxfId="52" priority="5" stopIfTrue="1" operator="equal">
      <formula>1</formula>
    </cfRule>
  </conditionalFormatting>
  <conditionalFormatting sqref="H14:H15 H17:H18 H20">
    <cfRule type="cellIs" dxfId="51" priority="3" stopIfTrue="1" operator="equal">
      <formula>1</formula>
    </cfRule>
  </conditionalFormatting>
  <conditionalFormatting sqref="F28:K28 D28">
    <cfRule type="cellIs" dxfId="50" priority="2" stopIfTrue="1" operator="equal">
      <formula>1</formula>
    </cfRule>
  </conditionalFormatting>
  <conditionalFormatting sqref="E28">
    <cfRule type="cellIs" dxfId="49" priority="1" stopIfTrue="1" operator="equal">
      <formula>1</formula>
    </cfRule>
  </conditionalFormatting>
  <printOptions horizontalCentered="1" verticalCentered="1"/>
  <pageMargins left="0" right="0" top="0.39370078740157483" bottom="0" header="0.31496062992125984" footer="0"/>
  <pageSetup paperSize="9" orientation="landscape" horizontalDpi="0" verticalDpi="0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9840-6B2A-CA46-9252-F70691DE57CB}">
  <sheetPr codeName="Hoja65"/>
  <dimension ref="A1:AO302"/>
  <sheetViews>
    <sheetView topLeftCell="A60" zoomScale="200" zoomScaleNormal="200" workbookViewId="0">
      <selection activeCell="E46" sqref="E46:R46"/>
    </sheetView>
  </sheetViews>
  <sheetFormatPr baseColWidth="10" defaultColWidth="11.5" defaultRowHeight="13"/>
  <cols>
    <col min="1" max="1" width="2.83203125" style="3029" customWidth="1"/>
    <col min="2" max="2" width="2.83203125" style="3028" customWidth="1"/>
    <col min="3" max="3" width="1.6640625" style="1" customWidth="1"/>
    <col min="4" max="4" width="0.83203125" style="3082" customWidth="1"/>
    <col min="5" max="5" width="2.33203125" style="1" customWidth="1"/>
    <col min="6" max="6" width="2.6640625" style="2818" customWidth="1"/>
    <col min="7" max="7" width="5.6640625" style="780" customWidth="1"/>
    <col min="8" max="8" width="8" style="780" customWidth="1"/>
    <col min="9" max="9" width="8.83203125" style="780" customWidth="1"/>
    <col min="10" max="10" width="9" style="780" customWidth="1"/>
    <col min="11" max="11" width="29.83203125" style="780" customWidth="1"/>
    <col min="12" max="12" width="7.1640625" style="780" customWidth="1"/>
    <col min="13" max="13" width="1" style="2820" customWidth="1"/>
    <col min="14" max="14" width="10.1640625" style="2818" customWidth="1"/>
    <col min="15" max="15" width="0.33203125" style="780" customWidth="1"/>
    <col min="16" max="16" width="9" style="780" customWidth="1"/>
    <col min="17" max="17" width="7.33203125" style="2821" customWidth="1"/>
    <col min="18" max="18" width="7.6640625" style="2821" customWidth="1"/>
    <col min="19" max="19" width="1.33203125" style="2822" customWidth="1"/>
    <col min="20" max="20" width="0.33203125" style="2822" customWidth="1"/>
    <col min="21" max="21" width="6.33203125" style="2823" customWidth="1"/>
    <col min="22" max="22" width="5.6640625" style="2823" customWidth="1"/>
    <col min="23" max="23" width="6.33203125" style="2823" customWidth="1"/>
    <col min="24" max="24" width="5.33203125" style="2823" customWidth="1"/>
    <col min="25" max="25" width="6" style="2823" customWidth="1"/>
    <col min="26" max="27" width="5.33203125" style="2823" customWidth="1"/>
    <col min="28" max="28" width="7.6640625" style="2825" customWidth="1"/>
    <col min="29" max="33" width="4.5" style="2826" customWidth="1"/>
    <col min="34" max="34" width="6.5" style="2826" customWidth="1"/>
    <col min="35" max="39" width="5.33203125" style="2826" customWidth="1"/>
    <col min="40" max="40" width="11.5" style="2825"/>
    <col min="41" max="16384" width="11.5" style="1"/>
  </cols>
  <sheetData>
    <row r="1" spans="1:40" ht="18" customHeight="1">
      <c r="A1" s="3080" t="s">
        <v>810</v>
      </c>
      <c r="B1" s="1"/>
      <c r="C1" s="2816"/>
      <c r="D1" s="3081"/>
      <c r="E1" s="2817"/>
      <c r="V1" s="2824"/>
      <c r="AI1" s="2825"/>
      <c r="AJ1" s="2825"/>
      <c r="AK1" s="2825"/>
      <c r="AL1" s="2825"/>
      <c r="AM1" s="2825"/>
    </row>
    <row r="2" spans="1:40" ht="12" customHeight="1" thickBot="1">
      <c r="F2" s="527"/>
      <c r="G2" s="155"/>
      <c r="H2" s="155"/>
      <c r="I2" s="155"/>
      <c r="J2" s="3083"/>
      <c r="K2" s="4176">
        <v>44739</v>
      </c>
      <c r="L2" s="583"/>
      <c r="U2" s="2827" t="s">
        <v>345</v>
      </c>
      <c r="AI2" s="2825"/>
      <c r="AJ2" s="2825"/>
      <c r="AK2" s="2825"/>
      <c r="AL2" s="2825"/>
      <c r="AM2" s="2825"/>
    </row>
    <row r="3" spans="1:40" s="2839" customFormat="1" ht="61.5" customHeight="1" thickTop="1" thickBot="1">
      <c r="A3" s="3084" t="s">
        <v>346</v>
      </c>
      <c r="B3" s="3085" t="s">
        <v>347</v>
      </c>
      <c r="C3" s="3086" t="s">
        <v>348</v>
      </c>
      <c r="D3" s="3087"/>
      <c r="E3" s="3086" t="s">
        <v>349</v>
      </c>
      <c r="F3" s="3088" t="s">
        <v>350</v>
      </c>
      <c r="G3" s="3089" t="s">
        <v>351</v>
      </c>
      <c r="H3" s="3089" t="s">
        <v>624</v>
      </c>
      <c r="I3" s="3089" t="s">
        <v>352</v>
      </c>
      <c r="J3" s="3088" t="s">
        <v>353</v>
      </c>
      <c r="K3" s="3089" t="s">
        <v>354</v>
      </c>
      <c r="L3" s="3089"/>
      <c r="M3" s="3090" t="s">
        <v>355</v>
      </c>
      <c r="N3" s="3089" t="s">
        <v>445</v>
      </c>
      <c r="O3" s="3086" t="s">
        <v>446</v>
      </c>
      <c r="P3" s="3086" t="s">
        <v>447</v>
      </c>
      <c r="Q3" s="3091" t="s">
        <v>448</v>
      </c>
      <c r="R3" s="3092" t="s">
        <v>371</v>
      </c>
      <c r="S3" s="2828" t="s">
        <v>449</v>
      </c>
      <c r="T3" s="2828" t="s">
        <v>450</v>
      </c>
      <c r="U3" s="2829" t="s">
        <v>451</v>
      </c>
      <c r="V3" s="2830" t="s">
        <v>452</v>
      </c>
      <c r="W3" s="2831" t="s">
        <v>453</v>
      </c>
      <c r="X3" s="2832" t="s">
        <v>454</v>
      </c>
      <c r="Y3" s="2833" t="s">
        <v>455</v>
      </c>
      <c r="Z3" s="2834" t="s">
        <v>456</v>
      </c>
      <c r="AA3" s="2835" t="s">
        <v>457</v>
      </c>
      <c r="AB3" s="2836"/>
      <c r="AC3" s="2837"/>
      <c r="AD3" s="2838"/>
      <c r="AE3" s="2838"/>
      <c r="AF3" s="2838"/>
      <c r="AG3" s="2838"/>
      <c r="AH3" s="2838"/>
      <c r="AI3" s="2836"/>
      <c r="AJ3" s="2836"/>
      <c r="AK3" s="2836"/>
      <c r="AL3" s="2836"/>
      <c r="AM3" s="2836"/>
      <c r="AN3" s="2836"/>
    </row>
    <row r="4" spans="1:40" s="2839" customFormat="1" ht="9" customHeight="1" thickBot="1">
      <c r="A4" s="3093"/>
      <c r="B4" s="3094"/>
      <c r="C4" s="3095"/>
      <c r="D4" s="3096"/>
      <c r="E4" s="3095"/>
      <c r="F4" s="3097"/>
      <c r="G4" s="3095"/>
      <c r="H4" s="3095"/>
      <c r="I4" s="3095"/>
      <c r="J4" s="3097"/>
      <c r="K4" s="3095"/>
      <c r="L4" s="3095"/>
      <c r="M4" s="3098"/>
      <c r="N4" s="3095"/>
      <c r="O4" s="3095"/>
      <c r="P4" s="3095"/>
      <c r="Q4" s="3099"/>
      <c r="R4" s="3100"/>
      <c r="S4" s="2840"/>
      <c r="T4" s="2840"/>
      <c r="U4" s="2843">
        <f>[7]Test!$D$29</f>
        <v>9.1523857526881758E-4</v>
      </c>
      <c r="V4" s="2843">
        <f>[7]Test!$D$31</f>
        <v>8.7635030864197572E-4</v>
      </c>
      <c r="W4" s="2843">
        <f>[7]Test!$D$33</f>
        <v>8.4888763197586746E-4</v>
      </c>
      <c r="X4" s="2843">
        <f>[7]Test!$D$35</f>
        <v>8.0990657955066516E-4</v>
      </c>
      <c r="Y4" s="2843">
        <f>[7]Test!$D$37</f>
        <v>7.5735749690210676E-4</v>
      </c>
      <c r="Z4" s="2843">
        <f>[7]Test!$D$39</f>
        <v>7.2916666666666692E-4</v>
      </c>
      <c r="AA4" s="3043">
        <f>[7]Test!$D$41</f>
        <v>7.0729166666666694E-4</v>
      </c>
      <c r="AB4" s="2836"/>
      <c r="AC4" s="2837"/>
      <c r="AD4" s="2838"/>
      <c r="AE4" s="2838"/>
      <c r="AF4" s="2838"/>
      <c r="AG4" s="2838"/>
      <c r="AH4" s="2838"/>
      <c r="AI4" s="2836"/>
      <c r="AJ4" s="2836"/>
      <c r="AK4" s="2836"/>
      <c r="AL4" s="2836"/>
      <c r="AM4" s="2836"/>
      <c r="AN4" s="2836"/>
    </row>
    <row r="5" spans="1:40" s="63" customFormat="1" ht="3" customHeight="1" thickBot="1">
      <c r="A5" s="3101"/>
      <c r="B5" s="3102"/>
      <c r="C5" s="3103"/>
      <c r="D5" s="3104"/>
      <c r="E5" s="3103"/>
      <c r="F5" s="3105"/>
      <c r="G5" s="3106"/>
      <c r="H5" s="3106"/>
      <c r="I5" s="3106"/>
      <c r="J5" s="3105"/>
      <c r="K5" s="3106"/>
      <c r="L5" s="3106"/>
      <c r="M5" s="3107"/>
      <c r="N5" s="3106"/>
      <c r="O5" s="3103"/>
      <c r="P5" s="3103"/>
      <c r="Q5" s="3103"/>
      <c r="R5" s="3108"/>
      <c r="S5" s="2842"/>
      <c r="T5" s="2842"/>
      <c r="U5" s="2843">
        <f>U4/4</f>
        <v>2.2880964381720439E-4</v>
      </c>
      <c r="V5" s="2843">
        <f t="shared" ref="V5:AA5" si="0">V4/4</f>
        <v>2.1908757716049393E-4</v>
      </c>
      <c r="W5" s="2843">
        <f t="shared" si="0"/>
        <v>2.1222190799396687E-4</v>
      </c>
      <c r="X5" s="2843">
        <f t="shared" si="0"/>
        <v>2.0247664488766629E-4</v>
      </c>
      <c r="Y5" s="2843">
        <f t="shared" si="0"/>
        <v>1.8933937422552669E-4</v>
      </c>
      <c r="Z5" s="2843">
        <f t="shared" si="0"/>
        <v>1.8229166666666673E-4</v>
      </c>
      <c r="AA5" s="2843">
        <f t="shared" si="0"/>
        <v>1.7682291666666674E-4</v>
      </c>
      <c r="AB5" s="2935"/>
      <c r="AC5" s="2936"/>
      <c r="AD5" s="2937"/>
      <c r="AE5" s="2937"/>
      <c r="AF5" s="2937"/>
      <c r="AG5" s="2937"/>
      <c r="AH5" s="2937"/>
      <c r="AI5" s="2935"/>
      <c r="AJ5" s="2935"/>
      <c r="AK5" s="2935"/>
      <c r="AL5" s="2935"/>
      <c r="AM5" s="2935"/>
      <c r="AN5" s="2935"/>
    </row>
    <row r="6" spans="1:40" s="63" customFormat="1" ht="14" customHeight="1" thickTop="1" thickBot="1">
      <c r="A6" s="4162"/>
      <c r="B6" s="4163"/>
      <c r="C6" s="4166">
        <f t="shared" ref="C6" si="1">IF(D6=1,U$5,IF(D6=2,V$5,IF(D6=3,W$5,IF(D6=4,X$5,IF(D6=5,Y$5,IF(D6=6,Z$5,IF(D6=7,AA$5,0)))))))</f>
        <v>0</v>
      </c>
      <c r="D6" s="4160"/>
      <c r="E6" s="4161"/>
      <c r="F6" s="4161"/>
      <c r="G6" s="4161"/>
      <c r="H6" s="4161"/>
      <c r="I6" s="4161"/>
      <c r="J6" s="4161"/>
      <c r="K6" s="4161"/>
      <c r="L6" s="4173"/>
      <c r="M6" s="4174"/>
      <c r="N6" s="4175"/>
      <c r="O6" s="4161"/>
      <c r="P6" s="4161"/>
      <c r="Q6" s="4161"/>
      <c r="R6" s="3118"/>
      <c r="S6" s="2844">
        <f t="shared" ref="S6" si="2">E6*F6*G6/1000</f>
        <v>0</v>
      </c>
      <c r="T6" s="2845">
        <f t="shared" ref="T6" si="3">E6*F6*O6*4</f>
        <v>0</v>
      </c>
      <c r="U6" s="374">
        <f t="shared" ref="U6" si="4">IF(C6*4&gt;=$U$4,S6,0)</f>
        <v>0</v>
      </c>
      <c r="V6" s="2846">
        <f t="shared" ref="V6" si="5">IF(AND(C6*4&gt;=$V$4,C6*4&lt;$U$4),S6,0)</f>
        <v>0</v>
      </c>
      <c r="W6" s="2847">
        <f t="shared" ref="W6" si="6">IF(AND(C6*4&gt;=$W$4,C6*4&lt;$V$4),S6,0)</f>
        <v>0</v>
      </c>
      <c r="X6" s="2848">
        <f t="shared" ref="X6" si="7">IF(AND(C6*4&gt;=$X$4,C6*4&lt;$W$4),S6,0)</f>
        <v>0</v>
      </c>
      <c r="Y6" s="2849">
        <f t="shared" ref="Y6" si="8">IF(AND(C6*4&gt;=$Y$4,C6*4&lt;$X$4),S6,0)</f>
        <v>0</v>
      </c>
      <c r="Z6" s="2850">
        <f t="shared" ref="Z6" si="9">IF(AND(C6*4&gt;=$Z$4,C6*4&lt;$Y$4),S6,0)</f>
        <v>0</v>
      </c>
      <c r="AA6" s="2851">
        <f t="shared" ref="AA6" si="10">IF(AND(C6*4&gt;=$AA$4,C6*4&lt;$Z$4),S6,0)</f>
        <v>0</v>
      </c>
      <c r="AB6" s="2935"/>
      <c r="AC6" s="2867"/>
      <c r="AD6" s="2867"/>
      <c r="AE6" s="2867"/>
      <c r="AF6" s="2867"/>
      <c r="AG6" s="2867"/>
      <c r="AH6" s="2867"/>
      <c r="AI6" s="2935"/>
      <c r="AJ6" s="2935"/>
      <c r="AK6" s="2935"/>
      <c r="AL6" s="2935"/>
      <c r="AM6" s="2935"/>
      <c r="AN6" s="2935"/>
    </row>
    <row r="7" spans="1:40" s="63" customFormat="1" ht="14" customHeight="1" thickBot="1">
      <c r="A7" s="3109" t="s">
        <v>215</v>
      </c>
      <c r="B7" s="3115" t="s">
        <v>215</v>
      </c>
      <c r="C7" s="2423">
        <f t="shared" ref="C7:C20" si="11">IF(D7=1,U$5,IF(D7=2,V$5,IF(D7=3,W$5,IF(D7=4,X$5,IF(D7=5,Y$5,IF(D7=6,Z$5,IF(D7=7,AA$5,0)))))))</f>
        <v>2.2880964381720439E-4</v>
      </c>
      <c r="D7" s="6066">
        <v>1</v>
      </c>
      <c r="E7" s="6067">
        <v>1</v>
      </c>
      <c r="F7" s="6068">
        <v>1</v>
      </c>
      <c r="G7" s="6068">
        <v>800</v>
      </c>
      <c r="H7" s="6068"/>
      <c r="I7" s="6069">
        <v>0</v>
      </c>
      <c r="J7" s="6069">
        <v>8.1018518518518516E-4</v>
      </c>
      <c r="K7" s="2099" t="s">
        <v>1163</v>
      </c>
      <c r="L7" s="1332">
        <v>0.33333333333333331</v>
      </c>
      <c r="M7" s="1123">
        <v>1</v>
      </c>
      <c r="N7" s="2128">
        <f t="shared" ref="N7" si="12">P7*E7*F7+I7*F7*E7+J7*E7</f>
        <v>8.1320937873357261E-3</v>
      </c>
      <c r="O7" s="1175">
        <f t="shared" ref="O7:O12" si="13">C7*(G7/25)</f>
        <v>7.3219086021505406E-3</v>
      </c>
      <c r="P7" s="2128">
        <f t="shared" ref="P7:P12" si="14">O7*M7</f>
        <v>7.3219086021505406E-3</v>
      </c>
      <c r="Q7" s="798">
        <v>145</v>
      </c>
      <c r="R7" s="2129">
        <f t="shared" ref="R7:R12" si="15">E7*F7*G7</f>
        <v>800</v>
      </c>
      <c r="S7" s="2844">
        <f t="shared" ref="S7:S69" si="16">E7*F7*G7/1000</f>
        <v>0.8</v>
      </c>
      <c r="T7" s="2845">
        <f t="shared" ref="T7:T69" si="17">E7*F7*O7*4</f>
        <v>2.9287634408602162E-2</v>
      </c>
      <c r="U7" s="374">
        <f t="shared" ref="U7:U69" si="18">IF(C7*4&gt;=$U$4,S7,0)</f>
        <v>0.8</v>
      </c>
      <c r="V7" s="2846">
        <f t="shared" ref="V7:V69" si="19">IF(AND(C7*4&gt;=$V$4,C7*4&lt;$U$4),S7,0)</f>
        <v>0</v>
      </c>
      <c r="W7" s="2847">
        <f t="shared" ref="W7:W69" si="20">IF(AND(C7*4&gt;=$W$4,C7*4&lt;$V$4),S7,0)</f>
        <v>0</v>
      </c>
      <c r="X7" s="2848">
        <f t="shared" ref="X7:X69" si="21">IF(AND(C7*4&gt;=$X$4,C7*4&lt;$W$4),S7,0)</f>
        <v>0</v>
      </c>
      <c r="Y7" s="2849">
        <f t="shared" ref="Y7:Y69" si="22">IF(AND(C7*4&gt;=$Y$4,C7*4&lt;$X$4),S7,0)</f>
        <v>0</v>
      </c>
      <c r="Z7" s="2850">
        <f t="shared" ref="Z7:Z69" si="23">IF(AND(C7*4&gt;=$Z$4,C7*4&lt;$Y$4),S7,0)</f>
        <v>0</v>
      </c>
      <c r="AA7" s="2851">
        <f t="shared" ref="AA7:AA69" si="24">IF(AND(C7*4&gt;=$AA$4,C7*4&lt;$Z$4),S7,0)</f>
        <v>0</v>
      </c>
      <c r="AB7" s="2935"/>
      <c r="AC7" s="2867"/>
      <c r="AD7" s="2867"/>
      <c r="AE7" s="2867"/>
      <c r="AF7" s="2867"/>
      <c r="AG7" s="2867"/>
      <c r="AH7" s="2867"/>
      <c r="AI7" s="2935"/>
      <c r="AJ7" s="2935"/>
      <c r="AK7" s="2935"/>
      <c r="AL7" s="2935"/>
      <c r="AM7" s="2935"/>
      <c r="AN7" s="2935"/>
    </row>
    <row r="8" spans="1:40" s="63" customFormat="1" ht="14" customHeight="1">
      <c r="A8" s="3109" t="s">
        <v>138</v>
      </c>
      <c r="B8" s="3115" t="s">
        <v>215</v>
      </c>
      <c r="C8" s="2423">
        <f t="shared" si="11"/>
        <v>1.8229166666666673E-4</v>
      </c>
      <c r="D8" s="6070">
        <v>6</v>
      </c>
      <c r="E8" s="6071">
        <v>2</v>
      </c>
      <c r="F8" s="6072">
        <v>5</v>
      </c>
      <c r="G8" s="4086">
        <v>15</v>
      </c>
      <c r="H8" s="4087" t="s">
        <v>558</v>
      </c>
      <c r="I8" s="4087">
        <v>3.4722222222222224E-4</v>
      </c>
      <c r="J8" s="4087">
        <v>1.1574074074074073E-4</v>
      </c>
      <c r="K8" s="4082" t="s">
        <v>2205</v>
      </c>
      <c r="L8" s="4083">
        <f>L7+N7</f>
        <v>0.34146542712066902</v>
      </c>
      <c r="M8" s="4088">
        <v>1</v>
      </c>
      <c r="N8" s="4087">
        <v>8.7962962962962968E-3</v>
      </c>
      <c r="O8" s="4084">
        <f t="shared" si="13"/>
        <v>1.0937500000000003E-4</v>
      </c>
      <c r="P8" s="4084">
        <f t="shared" si="14"/>
        <v>1.0937500000000003E-4</v>
      </c>
      <c r="Q8" s="4085"/>
      <c r="R8" s="4086">
        <f t="shared" si="15"/>
        <v>150</v>
      </c>
      <c r="S8" s="2844">
        <f t="shared" si="16"/>
        <v>0.15</v>
      </c>
      <c r="T8" s="2845">
        <f t="shared" si="17"/>
        <v>4.3750000000000013E-3</v>
      </c>
      <c r="U8" s="374">
        <f t="shared" si="18"/>
        <v>0</v>
      </c>
      <c r="V8" s="2846">
        <f t="shared" si="19"/>
        <v>0</v>
      </c>
      <c r="W8" s="2847">
        <f t="shared" si="20"/>
        <v>0</v>
      </c>
      <c r="X8" s="2848">
        <f t="shared" si="21"/>
        <v>0</v>
      </c>
      <c r="Y8" s="2849">
        <f t="shared" si="22"/>
        <v>0</v>
      </c>
      <c r="Z8" s="2850">
        <f t="shared" si="23"/>
        <v>0.15</v>
      </c>
      <c r="AA8" s="2851">
        <f t="shared" si="24"/>
        <v>0</v>
      </c>
      <c r="AB8" s="2935"/>
      <c r="AC8" s="2867"/>
      <c r="AD8" s="2867"/>
      <c r="AE8" s="2867"/>
      <c r="AF8" s="2867"/>
      <c r="AG8" s="2867"/>
      <c r="AH8" s="2867"/>
      <c r="AI8" s="2935"/>
      <c r="AJ8" s="2935"/>
      <c r="AK8" s="2935"/>
      <c r="AL8" s="2935"/>
      <c r="AM8" s="2935"/>
      <c r="AN8" s="2935"/>
    </row>
    <row r="9" spans="1:40" s="63" customFormat="1" ht="14" customHeight="1">
      <c r="A9" s="3109" t="s">
        <v>462</v>
      </c>
      <c r="B9" s="3115"/>
      <c r="C9" s="2423">
        <f t="shared" si="11"/>
        <v>0</v>
      </c>
      <c r="D9" s="6070"/>
      <c r="E9" s="6073">
        <v>2</v>
      </c>
      <c r="F9" s="6173">
        <v>8</v>
      </c>
      <c r="G9" s="6173">
        <v>20</v>
      </c>
      <c r="H9" s="4087" t="s">
        <v>558</v>
      </c>
      <c r="I9" s="4100">
        <v>3.4722222222222224E-4</v>
      </c>
      <c r="J9" s="4100">
        <v>1.1574074074074073E-4</v>
      </c>
      <c r="K9" s="6174" t="s">
        <v>2206</v>
      </c>
      <c r="L9" s="6175">
        <f>L8+N8</f>
        <v>0.35026172341696532</v>
      </c>
      <c r="M9" s="6074"/>
      <c r="N9" s="4100">
        <f t="shared" ref="N9" si="25">P9*E9*F9+I9*E9*F9+J9*E9</f>
        <v>5.7870370370370376E-3</v>
      </c>
      <c r="O9" s="4102">
        <f t="shared" si="13"/>
        <v>0</v>
      </c>
      <c r="P9" s="4102">
        <f t="shared" si="14"/>
        <v>0</v>
      </c>
      <c r="Q9" s="6074"/>
      <c r="R9" s="6173">
        <f t="shared" si="15"/>
        <v>320</v>
      </c>
      <c r="S9" s="2844">
        <f t="shared" si="16"/>
        <v>0.32</v>
      </c>
      <c r="T9" s="2845">
        <f t="shared" si="17"/>
        <v>0</v>
      </c>
      <c r="U9" s="374">
        <f t="shared" si="18"/>
        <v>0</v>
      </c>
      <c r="V9" s="2846">
        <f t="shared" si="19"/>
        <v>0</v>
      </c>
      <c r="W9" s="2847">
        <f t="shared" si="20"/>
        <v>0</v>
      </c>
      <c r="X9" s="2848">
        <f t="shared" si="21"/>
        <v>0</v>
      </c>
      <c r="Y9" s="2849">
        <f t="shared" si="22"/>
        <v>0</v>
      </c>
      <c r="Z9" s="2850">
        <f t="shared" si="23"/>
        <v>0</v>
      </c>
      <c r="AA9" s="2851">
        <f t="shared" si="24"/>
        <v>0</v>
      </c>
      <c r="AB9" s="2935"/>
      <c r="AC9" s="2867"/>
      <c r="AD9" s="2867"/>
      <c r="AE9" s="2867"/>
      <c r="AF9" s="2867"/>
      <c r="AG9" s="2867"/>
      <c r="AH9" s="2867"/>
      <c r="AI9" s="2935"/>
      <c r="AJ9" s="2935"/>
      <c r="AK9" s="2935"/>
      <c r="AL9" s="2935"/>
      <c r="AM9" s="2935"/>
      <c r="AN9" s="2935"/>
    </row>
    <row r="10" spans="1:40" s="63" customFormat="1" ht="14" customHeight="1" thickBot="1">
      <c r="A10" s="3109" t="s">
        <v>461</v>
      </c>
      <c r="B10" s="3115" t="s">
        <v>215</v>
      </c>
      <c r="C10" s="2423">
        <f t="shared" si="11"/>
        <v>2.1908757716049393E-4</v>
      </c>
      <c r="D10" s="6075">
        <v>2</v>
      </c>
      <c r="E10" s="6076">
        <v>2</v>
      </c>
      <c r="F10" s="6072">
        <v>10</v>
      </c>
      <c r="G10" s="6077">
        <v>20</v>
      </c>
      <c r="H10" s="4087" t="s">
        <v>558</v>
      </c>
      <c r="I10" s="6078">
        <v>5.2083333333333333E-4</v>
      </c>
      <c r="J10" s="6078">
        <v>1.1574074074074073E-4</v>
      </c>
      <c r="K10" s="4091" t="s">
        <v>2207</v>
      </c>
      <c r="L10" s="4092">
        <f t="shared" ref="L10:L23" si="26">L9+N9</f>
        <v>0.35604876045400236</v>
      </c>
      <c r="M10" s="6079">
        <v>1</v>
      </c>
      <c r="N10" s="6078">
        <v>6.7129629629629622E-3</v>
      </c>
      <c r="O10" s="4094">
        <f t="shared" si="13"/>
        <v>1.7527006172839515E-4</v>
      </c>
      <c r="P10" s="4094">
        <f t="shared" si="14"/>
        <v>1.7527006172839515E-4</v>
      </c>
      <c r="Q10" s="4095"/>
      <c r="R10" s="6077">
        <f t="shared" ref="R10" si="27">E10*F10*G10</f>
        <v>400</v>
      </c>
      <c r="S10" s="2844">
        <f t="shared" si="16"/>
        <v>0.4</v>
      </c>
      <c r="T10" s="2845">
        <f t="shared" si="17"/>
        <v>1.4021604938271611E-2</v>
      </c>
      <c r="U10" s="374">
        <f t="shared" si="18"/>
        <v>0</v>
      </c>
      <c r="V10" s="2846">
        <f t="shared" si="19"/>
        <v>0.4</v>
      </c>
      <c r="W10" s="2847">
        <f t="shared" si="20"/>
        <v>0</v>
      </c>
      <c r="X10" s="2848">
        <f t="shared" si="21"/>
        <v>0</v>
      </c>
      <c r="Y10" s="2849">
        <f t="shared" si="22"/>
        <v>0</v>
      </c>
      <c r="Z10" s="2850">
        <f t="shared" si="23"/>
        <v>0</v>
      </c>
      <c r="AA10" s="2851">
        <f t="shared" si="24"/>
        <v>0</v>
      </c>
      <c r="AB10" s="2935"/>
      <c r="AC10" s="2867"/>
      <c r="AD10" s="2867"/>
      <c r="AE10" s="2867"/>
      <c r="AF10" s="2867"/>
      <c r="AG10" s="2867"/>
      <c r="AH10" s="2867"/>
      <c r="AI10" s="2935"/>
      <c r="AJ10" s="2935"/>
      <c r="AK10" s="2935"/>
      <c r="AL10" s="2935"/>
      <c r="AM10" s="2935"/>
      <c r="AN10" s="2935"/>
    </row>
    <row r="11" spans="1:40" s="63" customFormat="1" ht="14" customHeight="1">
      <c r="A11" s="3109" t="s">
        <v>458</v>
      </c>
      <c r="B11" s="3115" t="s">
        <v>215</v>
      </c>
      <c r="C11" s="2423">
        <f t="shared" si="11"/>
        <v>1.8933937422552669E-4</v>
      </c>
      <c r="D11" s="6080">
        <v>5</v>
      </c>
      <c r="E11" s="6081">
        <v>1</v>
      </c>
      <c r="F11" s="6173">
        <v>4</v>
      </c>
      <c r="G11" s="6173">
        <v>50</v>
      </c>
      <c r="H11" s="4100" t="s">
        <v>944</v>
      </c>
      <c r="I11" s="4100">
        <v>5.7870370370370366E-5</v>
      </c>
      <c r="J11" s="4100">
        <v>1.3888888888888889E-3</v>
      </c>
      <c r="K11" s="6174" t="s">
        <v>1890</v>
      </c>
      <c r="L11" s="6175">
        <f t="shared" si="26"/>
        <v>0.36276172341696533</v>
      </c>
      <c r="M11" s="6074">
        <v>1</v>
      </c>
      <c r="N11" s="4100">
        <f t="shared" ref="N11:N12" si="28">P11*E11*F11+I11*E11*F11+J11*E11</f>
        <v>3.1350853641745838E-3</v>
      </c>
      <c r="O11" s="4102">
        <f t="shared" si="13"/>
        <v>3.7867874845105338E-4</v>
      </c>
      <c r="P11" s="4102">
        <f t="shared" si="14"/>
        <v>3.7867874845105338E-4</v>
      </c>
      <c r="Q11" s="6074" t="s">
        <v>278</v>
      </c>
      <c r="R11" s="6173">
        <f t="shared" si="15"/>
        <v>200</v>
      </c>
      <c r="S11" s="2844">
        <f t="shared" si="16"/>
        <v>0.2</v>
      </c>
      <c r="T11" s="2845">
        <f t="shared" si="17"/>
        <v>6.0588599752168541E-3</v>
      </c>
      <c r="U11" s="374">
        <f t="shared" si="18"/>
        <v>0</v>
      </c>
      <c r="V11" s="2846">
        <f t="shared" si="19"/>
        <v>0</v>
      </c>
      <c r="W11" s="2847">
        <f t="shared" si="20"/>
        <v>0</v>
      </c>
      <c r="X11" s="2848">
        <f t="shared" si="21"/>
        <v>0</v>
      </c>
      <c r="Y11" s="2849">
        <f t="shared" si="22"/>
        <v>0.2</v>
      </c>
      <c r="Z11" s="2850">
        <f t="shared" si="23"/>
        <v>0</v>
      </c>
      <c r="AA11" s="2851">
        <f t="shared" si="24"/>
        <v>0</v>
      </c>
      <c r="AB11" s="2935"/>
      <c r="AC11" s="2867"/>
      <c r="AD11" s="2867"/>
      <c r="AE11" s="2867"/>
      <c r="AF11" s="2867"/>
      <c r="AG11" s="2867"/>
      <c r="AH11" s="2867"/>
      <c r="AI11" s="2935"/>
      <c r="AJ11" s="2935"/>
      <c r="AK11" s="2935"/>
      <c r="AL11" s="2935"/>
      <c r="AM11" s="2935"/>
      <c r="AN11" s="2935"/>
    </row>
    <row r="12" spans="1:40" s="63" customFormat="1" ht="14" customHeight="1">
      <c r="A12" s="3109" t="s">
        <v>219</v>
      </c>
      <c r="B12" s="3115" t="s">
        <v>215</v>
      </c>
      <c r="C12" s="2423">
        <f t="shared" si="11"/>
        <v>2.1908757716049393E-4</v>
      </c>
      <c r="D12" s="6080">
        <v>2</v>
      </c>
      <c r="E12" s="6082">
        <v>2</v>
      </c>
      <c r="F12" s="1123">
        <v>1</v>
      </c>
      <c r="G12" s="1123">
        <v>200</v>
      </c>
      <c r="H12" s="3368" t="s">
        <v>944</v>
      </c>
      <c r="I12" s="2128">
        <v>8.6805555555555551E-4</v>
      </c>
      <c r="J12" s="2128">
        <v>1.3888888888888889E-3</v>
      </c>
      <c r="K12" s="1123" t="s">
        <v>983</v>
      </c>
      <c r="L12" s="1332">
        <f t="shared" si="26"/>
        <v>0.36589680878113989</v>
      </c>
      <c r="M12" s="2127">
        <v>1</v>
      </c>
      <c r="N12" s="2128">
        <f t="shared" si="28"/>
        <v>8.0192901234567918E-3</v>
      </c>
      <c r="O12" s="1175">
        <f t="shared" si="13"/>
        <v>1.7527006172839514E-3</v>
      </c>
      <c r="P12" s="1175">
        <f t="shared" si="14"/>
        <v>1.7527006172839514E-3</v>
      </c>
      <c r="Q12" s="550" t="s">
        <v>278</v>
      </c>
      <c r="R12" s="2129">
        <f t="shared" si="15"/>
        <v>400</v>
      </c>
      <c r="S12" s="2844">
        <f t="shared" si="16"/>
        <v>0.4</v>
      </c>
      <c r="T12" s="2845">
        <f t="shared" si="17"/>
        <v>1.4021604938271611E-2</v>
      </c>
      <c r="U12" s="374">
        <f t="shared" si="18"/>
        <v>0</v>
      </c>
      <c r="V12" s="2846">
        <f t="shared" si="19"/>
        <v>0.4</v>
      </c>
      <c r="W12" s="2847">
        <f t="shared" si="20"/>
        <v>0</v>
      </c>
      <c r="X12" s="2848">
        <f t="shared" si="21"/>
        <v>0</v>
      </c>
      <c r="Y12" s="2849">
        <f t="shared" si="22"/>
        <v>0</v>
      </c>
      <c r="Z12" s="2850">
        <f t="shared" si="23"/>
        <v>0</v>
      </c>
      <c r="AA12" s="2851">
        <f t="shared" si="24"/>
        <v>0</v>
      </c>
      <c r="AB12" s="2935"/>
      <c r="AC12" s="2867"/>
      <c r="AD12" s="2867"/>
      <c r="AE12" s="2867"/>
      <c r="AF12" s="2867"/>
      <c r="AG12" s="2867"/>
      <c r="AH12" s="2867"/>
      <c r="AI12" s="2935"/>
      <c r="AJ12" s="2935"/>
      <c r="AK12" s="2935"/>
      <c r="AL12" s="2935"/>
      <c r="AM12" s="2935"/>
      <c r="AN12" s="2935"/>
    </row>
    <row r="13" spans="1:40" s="63" customFormat="1" ht="14" customHeight="1">
      <c r="A13" s="3109"/>
      <c r="B13" s="3115" t="s">
        <v>215</v>
      </c>
      <c r="C13" s="2423">
        <f t="shared" si="11"/>
        <v>1.7682291666666674E-4</v>
      </c>
      <c r="D13" s="6083">
        <v>7</v>
      </c>
      <c r="E13" s="1040">
        <v>1</v>
      </c>
      <c r="F13" s="1040">
        <v>8</v>
      </c>
      <c r="G13" s="1040">
        <v>15</v>
      </c>
      <c r="H13" s="1720"/>
      <c r="I13" s="1041">
        <v>4.6296296296296293E-4</v>
      </c>
      <c r="J13" s="1041">
        <v>4.1666666666666666E-3</v>
      </c>
      <c r="K13" s="443" t="s">
        <v>1178</v>
      </c>
      <c r="L13" s="1301">
        <f t="shared" si="26"/>
        <v>0.37391609890459671</v>
      </c>
      <c r="M13" s="4147">
        <v>1</v>
      </c>
      <c r="N13" s="1301">
        <f>P13*E13*F13+I13*F13+J13*E13</f>
        <v>8.7191203703703701E-3</v>
      </c>
      <c r="O13" s="1730">
        <f>C13*(G13/25)</f>
        <v>1.0609375000000004E-4</v>
      </c>
      <c r="P13" s="1191">
        <f>O13*M13</f>
        <v>1.0609375000000004E-4</v>
      </c>
      <c r="Q13" s="443" t="s">
        <v>274</v>
      </c>
      <c r="R13" s="3253">
        <f>E13*F13*G13</f>
        <v>120</v>
      </c>
      <c r="S13" s="2844">
        <f t="shared" si="16"/>
        <v>0.12</v>
      </c>
      <c r="T13" s="2845">
        <f t="shared" si="17"/>
        <v>3.3950000000000013E-3</v>
      </c>
      <c r="U13" s="374">
        <f t="shared" si="18"/>
        <v>0</v>
      </c>
      <c r="V13" s="2846">
        <f t="shared" si="19"/>
        <v>0</v>
      </c>
      <c r="W13" s="2847">
        <f t="shared" si="20"/>
        <v>0</v>
      </c>
      <c r="X13" s="2848">
        <f t="shared" si="21"/>
        <v>0</v>
      </c>
      <c r="Y13" s="2849">
        <f t="shared" si="22"/>
        <v>0</v>
      </c>
      <c r="Z13" s="2850">
        <f t="shared" si="23"/>
        <v>0</v>
      </c>
      <c r="AA13" s="2851">
        <f t="shared" si="24"/>
        <v>0.12</v>
      </c>
      <c r="AB13" s="2935"/>
      <c r="AC13" s="2867"/>
      <c r="AD13" s="2867"/>
      <c r="AE13" s="2867"/>
      <c r="AF13" s="2867"/>
      <c r="AG13" s="2867"/>
      <c r="AH13" s="2867"/>
      <c r="AI13" s="2935"/>
      <c r="AJ13" s="2935"/>
      <c r="AK13" s="2935"/>
      <c r="AL13" s="2935"/>
      <c r="AM13" s="2935"/>
      <c r="AN13" s="2935"/>
    </row>
    <row r="14" spans="1:40" s="63" customFormat="1" ht="14" customHeight="1" thickBot="1">
      <c r="A14" s="3109"/>
      <c r="B14" s="3115"/>
      <c r="C14" s="2423">
        <f t="shared" si="11"/>
        <v>0</v>
      </c>
      <c r="D14" s="6084"/>
      <c r="E14" s="1494"/>
      <c r="F14" s="1494"/>
      <c r="G14" s="1494"/>
      <c r="H14" s="1494"/>
      <c r="I14" s="1494"/>
      <c r="J14" s="1494"/>
      <c r="K14" s="1494"/>
      <c r="L14" s="1008">
        <f t="shared" si="26"/>
        <v>0.38263521927496708</v>
      </c>
      <c r="M14" s="6085">
        <v>1</v>
      </c>
      <c r="N14" s="1008">
        <f>SUM(N7:N13)</f>
        <v>4.9301885941633768E-2</v>
      </c>
      <c r="O14" s="1494">
        <f>C14*20/25</f>
        <v>0</v>
      </c>
      <c r="P14" s="1494"/>
      <c r="Q14" s="1494"/>
      <c r="R14" s="1238">
        <f>SUM(R7:R12)</f>
        <v>2270</v>
      </c>
      <c r="S14" s="2844">
        <f t="shared" si="16"/>
        <v>0</v>
      </c>
      <c r="T14" s="2845">
        <f t="shared" si="17"/>
        <v>0</v>
      </c>
      <c r="U14" s="374">
        <f t="shared" si="18"/>
        <v>0</v>
      </c>
      <c r="V14" s="2846">
        <f t="shared" si="19"/>
        <v>0</v>
      </c>
      <c r="W14" s="2847">
        <f t="shared" si="20"/>
        <v>0</v>
      </c>
      <c r="X14" s="2848">
        <f t="shared" si="21"/>
        <v>0</v>
      </c>
      <c r="Y14" s="2849">
        <f t="shared" si="22"/>
        <v>0</v>
      </c>
      <c r="Z14" s="2850">
        <f t="shared" si="23"/>
        <v>0</v>
      </c>
      <c r="AA14" s="2851">
        <f t="shared" si="24"/>
        <v>0</v>
      </c>
      <c r="AB14" s="2935"/>
      <c r="AC14" s="2867"/>
      <c r="AD14" s="2867"/>
      <c r="AE14" s="2867"/>
      <c r="AF14" s="2867"/>
      <c r="AG14" s="2867"/>
      <c r="AH14" s="2867"/>
      <c r="AI14" s="2935"/>
      <c r="AJ14" s="2935"/>
      <c r="AK14" s="2935"/>
      <c r="AL14" s="2935"/>
      <c r="AM14" s="2935"/>
      <c r="AN14" s="2935"/>
    </row>
    <row r="15" spans="1:40" s="63" customFormat="1" ht="14" customHeight="1" thickBot="1">
      <c r="A15" s="3109"/>
      <c r="B15" s="3115" t="s">
        <v>461</v>
      </c>
      <c r="C15" s="2423">
        <f t="shared" si="11"/>
        <v>2.2880964381720439E-4</v>
      </c>
      <c r="D15" s="6066">
        <v>1</v>
      </c>
      <c r="E15" s="6067">
        <v>1</v>
      </c>
      <c r="F15" s="6068">
        <v>1</v>
      </c>
      <c r="G15" s="6068">
        <v>800</v>
      </c>
      <c r="H15" s="6068"/>
      <c r="I15" s="6069">
        <v>0</v>
      </c>
      <c r="J15" s="6069">
        <v>8.1018518518518516E-4</v>
      </c>
      <c r="K15" s="2099" t="s">
        <v>1429</v>
      </c>
      <c r="L15" s="1332">
        <v>0.63194444444444442</v>
      </c>
      <c r="M15" s="1123">
        <v>1</v>
      </c>
      <c r="N15" s="2128">
        <f t="shared" ref="N15" si="29">P15*E15*F15+I15*F15*E15+J15*E15</f>
        <v>8.1320937873357261E-3</v>
      </c>
      <c r="O15" s="1175">
        <f t="shared" ref="O15:O21" si="30">C15*(G15/25)</f>
        <v>7.3219086021505406E-3</v>
      </c>
      <c r="P15" s="6086">
        <f t="shared" ref="P15:P21" si="31">O15*M15</f>
        <v>7.3219086021505406E-3</v>
      </c>
      <c r="Q15" s="2680">
        <v>145</v>
      </c>
      <c r="R15" s="6087">
        <f t="shared" ref="R15:R21" si="32">E15*F15*G15</f>
        <v>800</v>
      </c>
      <c r="S15" s="2844">
        <f t="shared" si="16"/>
        <v>0.8</v>
      </c>
      <c r="T15" s="2845">
        <f t="shared" si="17"/>
        <v>2.9287634408602162E-2</v>
      </c>
      <c r="U15" s="374">
        <f t="shared" si="18"/>
        <v>0.8</v>
      </c>
      <c r="V15" s="2846">
        <f t="shared" si="19"/>
        <v>0</v>
      </c>
      <c r="W15" s="2847">
        <f t="shared" si="20"/>
        <v>0</v>
      </c>
      <c r="X15" s="2848">
        <f t="shared" si="21"/>
        <v>0</v>
      </c>
      <c r="Y15" s="2849">
        <f t="shared" si="22"/>
        <v>0</v>
      </c>
      <c r="Z15" s="2850">
        <f t="shared" si="23"/>
        <v>0</v>
      </c>
      <c r="AA15" s="2851">
        <f t="shared" si="24"/>
        <v>0</v>
      </c>
      <c r="AB15" s="2935"/>
      <c r="AC15" s="2867"/>
      <c r="AD15" s="2867"/>
      <c r="AE15" s="2867"/>
      <c r="AF15" s="2867"/>
      <c r="AG15" s="2867"/>
      <c r="AH15" s="2867"/>
      <c r="AI15" s="2935"/>
      <c r="AJ15" s="2935"/>
      <c r="AK15" s="2935"/>
      <c r="AL15" s="2935"/>
      <c r="AM15" s="2935"/>
      <c r="AN15" s="2935"/>
    </row>
    <row r="16" spans="1:40" s="63" customFormat="1" ht="14" customHeight="1">
      <c r="A16" s="3109" t="s">
        <v>215</v>
      </c>
      <c r="B16" s="3115" t="s">
        <v>461</v>
      </c>
      <c r="C16" s="2423">
        <f t="shared" si="11"/>
        <v>2.2880964381720439E-4</v>
      </c>
      <c r="D16" s="6088">
        <v>1</v>
      </c>
      <c r="E16" s="6063">
        <v>2</v>
      </c>
      <c r="F16" s="6089">
        <v>6</v>
      </c>
      <c r="G16" s="6090">
        <v>30</v>
      </c>
      <c r="H16" s="6091"/>
      <c r="I16" s="6091">
        <v>6.9444444444444447E-4</v>
      </c>
      <c r="J16" s="6091">
        <v>1.1574074074074073E-4</v>
      </c>
      <c r="K16" s="3465" t="s">
        <v>1862</v>
      </c>
      <c r="L16" s="4096">
        <f t="shared" si="26"/>
        <v>0.64007653823178012</v>
      </c>
      <c r="M16" s="6092">
        <v>1</v>
      </c>
      <c r="N16" s="6091">
        <v>1.7013888888888887E-2</v>
      </c>
      <c r="O16" s="3464">
        <f t="shared" si="30"/>
        <v>2.7457157258064526E-4</v>
      </c>
      <c r="P16" s="3464">
        <f t="shared" si="31"/>
        <v>2.7457157258064526E-4</v>
      </c>
      <c r="Q16" s="4098"/>
      <c r="R16" s="6090">
        <f t="shared" si="32"/>
        <v>360</v>
      </c>
      <c r="S16" s="2844">
        <f t="shared" si="16"/>
        <v>0.36</v>
      </c>
      <c r="T16" s="2845">
        <f t="shared" si="17"/>
        <v>1.3179435483870973E-2</v>
      </c>
      <c r="U16" s="374">
        <f t="shared" si="18"/>
        <v>0.36</v>
      </c>
      <c r="V16" s="2846">
        <f t="shared" si="19"/>
        <v>0</v>
      </c>
      <c r="W16" s="2847">
        <f t="shared" si="20"/>
        <v>0</v>
      </c>
      <c r="X16" s="2848">
        <f t="shared" si="21"/>
        <v>0</v>
      </c>
      <c r="Y16" s="2849">
        <f t="shared" si="22"/>
        <v>0</v>
      </c>
      <c r="Z16" s="2850">
        <f t="shared" si="23"/>
        <v>0</v>
      </c>
      <c r="AA16" s="2851">
        <f t="shared" si="24"/>
        <v>0</v>
      </c>
      <c r="AB16" s="2935"/>
      <c r="AC16" s="2867"/>
      <c r="AD16" s="2867"/>
      <c r="AE16" s="2867"/>
      <c r="AF16" s="2867"/>
      <c r="AG16" s="2867"/>
      <c r="AH16" s="2867"/>
      <c r="AI16" s="2935"/>
      <c r="AJ16" s="2935"/>
      <c r="AK16" s="2935"/>
      <c r="AL16" s="2935"/>
      <c r="AM16" s="2935"/>
      <c r="AN16" s="2935"/>
    </row>
    <row r="17" spans="1:40" s="63" customFormat="1" ht="14" customHeight="1" thickBot="1">
      <c r="A17" s="3109" t="s">
        <v>138</v>
      </c>
      <c r="B17" s="3115" t="s">
        <v>461</v>
      </c>
      <c r="C17" s="2423">
        <f t="shared" si="11"/>
        <v>2.2880964381720439E-4</v>
      </c>
      <c r="D17" s="6088">
        <v>1</v>
      </c>
      <c r="E17" s="6062">
        <v>2</v>
      </c>
      <c r="F17" s="6061">
        <v>10</v>
      </c>
      <c r="G17" s="4086">
        <v>5</v>
      </c>
      <c r="H17" s="4087"/>
      <c r="I17" s="4087">
        <v>3.4722222222222224E-4</v>
      </c>
      <c r="J17" s="4087">
        <v>1.1574074074074073E-4</v>
      </c>
      <c r="K17" s="4082" t="s">
        <v>1863</v>
      </c>
      <c r="L17" s="4083">
        <f t="shared" si="26"/>
        <v>0.65709042712066901</v>
      </c>
      <c r="M17" s="4088">
        <v>1</v>
      </c>
      <c r="N17" s="4087">
        <f t="shared" ref="N17" si="33">P17*E17*F17+I17*E17*F17+J17*E17</f>
        <v>8.0911645011947451E-3</v>
      </c>
      <c r="O17" s="4084">
        <f t="shared" si="30"/>
        <v>4.5761928763440881E-5</v>
      </c>
      <c r="P17" s="4084">
        <f t="shared" si="31"/>
        <v>4.5761928763440881E-5</v>
      </c>
      <c r="Q17" s="4085"/>
      <c r="R17" s="4086">
        <f t="shared" si="32"/>
        <v>100</v>
      </c>
      <c r="S17" s="2844">
        <f t="shared" si="16"/>
        <v>0.1</v>
      </c>
      <c r="T17" s="2845">
        <f t="shared" si="17"/>
        <v>3.6609543010752707E-3</v>
      </c>
      <c r="U17" s="374">
        <f t="shared" si="18"/>
        <v>0.1</v>
      </c>
      <c r="V17" s="2846">
        <f t="shared" si="19"/>
        <v>0</v>
      </c>
      <c r="W17" s="2847">
        <f t="shared" si="20"/>
        <v>0</v>
      </c>
      <c r="X17" s="2848">
        <f t="shared" si="21"/>
        <v>0</v>
      </c>
      <c r="Y17" s="2849">
        <f t="shared" si="22"/>
        <v>0</v>
      </c>
      <c r="Z17" s="2850">
        <f t="shared" si="23"/>
        <v>0</v>
      </c>
      <c r="AA17" s="2851">
        <f t="shared" si="24"/>
        <v>0</v>
      </c>
      <c r="AB17" s="2935"/>
      <c r="AC17" s="2867"/>
      <c r="AD17" s="2867"/>
      <c r="AE17" s="2867"/>
      <c r="AF17" s="2867"/>
      <c r="AG17" s="2867"/>
      <c r="AH17" s="2867"/>
      <c r="AI17" s="2935"/>
      <c r="AJ17" s="2935"/>
      <c r="AK17" s="2935"/>
      <c r="AL17" s="2935"/>
      <c r="AM17" s="2935"/>
      <c r="AN17" s="2935"/>
    </row>
    <row r="18" spans="1:40" s="63" customFormat="1" ht="14" customHeight="1">
      <c r="A18" s="3109" t="s">
        <v>462</v>
      </c>
      <c r="B18" s="3115" t="s">
        <v>461</v>
      </c>
      <c r="C18" s="2423">
        <f t="shared" si="11"/>
        <v>1.8229166666666673E-4</v>
      </c>
      <c r="D18" s="6093">
        <v>6</v>
      </c>
      <c r="E18" s="6094">
        <v>2</v>
      </c>
      <c r="F18" s="2116">
        <v>4</v>
      </c>
      <c r="G18" s="2116">
        <v>50</v>
      </c>
      <c r="H18" s="2117"/>
      <c r="I18" s="1053">
        <v>9.2592592592592585E-4</v>
      </c>
      <c r="J18" s="1053">
        <v>1.3888888888888889E-3</v>
      </c>
      <c r="K18" s="1065" t="s">
        <v>1165</v>
      </c>
      <c r="L18" s="2118">
        <f t="shared" si="26"/>
        <v>0.66518159162186374</v>
      </c>
      <c r="M18" s="4146">
        <v>1</v>
      </c>
      <c r="N18" s="2118">
        <f t="shared" ref="N18:N21" si="34">P18*E18*F18+I18*E18*F18+J18*E18</f>
        <v>1.3101851851851852E-2</v>
      </c>
      <c r="O18" s="1169">
        <f t="shared" si="30"/>
        <v>3.6458333333333346E-4</v>
      </c>
      <c r="P18" s="1170">
        <f t="shared" si="31"/>
        <v>3.6458333333333346E-4</v>
      </c>
      <c r="Q18" s="1495">
        <v>164</v>
      </c>
      <c r="R18" s="1065">
        <f t="shared" si="32"/>
        <v>400</v>
      </c>
      <c r="S18" s="2844">
        <f t="shared" si="16"/>
        <v>0.4</v>
      </c>
      <c r="T18" s="2845">
        <f t="shared" si="17"/>
        <v>1.1666666666666671E-2</v>
      </c>
      <c r="U18" s="374">
        <f t="shared" si="18"/>
        <v>0</v>
      </c>
      <c r="V18" s="2846">
        <f t="shared" si="19"/>
        <v>0</v>
      </c>
      <c r="W18" s="2847">
        <f t="shared" si="20"/>
        <v>0</v>
      </c>
      <c r="X18" s="2848">
        <f t="shared" si="21"/>
        <v>0</v>
      </c>
      <c r="Y18" s="2849">
        <f t="shared" si="22"/>
        <v>0</v>
      </c>
      <c r="Z18" s="2850">
        <f t="shared" si="23"/>
        <v>0.4</v>
      </c>
      <c r="AA18" s="2851">
        <f t="shared" si="24"/>
        <v>0</v>
      </c>
      <c r="AB18" s="2935"/>
      <c r="AC18" s="2867"/>
      <c r="AD18" s="2867"/>
      <c r="AE18" s="2867"/>
      <c r="AF18" s="2867"/>
      <c r="AG18" s="2867"/>
      <c r="AH18" s="2867"/>
      <c r="AI18" s="2935"/>
      <c r="AJ18" s="2935"/>
      <c r="AK18" s="2935"/>
      <c r="AL18" s="2935"/>
      <c r="AM18" s="2935"/>
      <c r="AN18" s="2935"/>
    </row>
    <row r="19" spans="1:40" s="63" customFormat="1" ht="14" customHeight="1">
      <c r="A19" s="3109" t="s">
        <v>461</v>
      </c>
      <c r="B19" s="3115" t="s">
        <v>461</v>
      </c>
      <c r="C19" s="2423">
        <f t="shared" si="11"/>
        <v>2.1908757716049393E-4</v>
      </c>
      <c r="D19" s="6095">
        <v>2</v>
      </c>
      <c r="E19" s="6096">
        <v>1</v>
      </c>
      <c r="F19" s="1123">
        <v>1</v>
      </c>
      <c r="G19" s="1123">
        <v>200</v>
      </c>
      <c r="H19" s="3368" t="s">
        <v>218</v>
      </c>
      <c r="I19" s="2128">
        <v>1.1574074074074073E-4</v>
      </c>
      <c r="J19" s="2128">
        <v>6.9444444444444447E-4</v>
      </c>
      <c r="K19" s="1123" t="s">
        <v>942</v>
      </c>
      <c r="L19" s="2128">
        <f t="shared" si="26"/>
        <v>0.67828344347371561</v>
      </c>
      <c r="M19" s="2127">
        <v>1</v>
      </c>
      <c r="N19" s="2128">
        <f t="shared" si="34"/>
        <v>2.5628858024691367E-3</v>
      </c>
      <c r="O19" s="1196">
        <f t="shared" si="30"/>
        <v>1.7527006172839514E-3</v>
      </c>
      <c r="P19" s="1175">
        <f t="shared" si="31"/>
        <v>1.7527006172839514E-3</v>
      </c>
      <c r="Q19" s="550">
        <v>146</v>
      </c>
      <c r="R19" s="2129">
        <f t="shared" si="32"/>
        <v>200</v>
      </c>
      <c r="S19" s="2844">
        <f t="shared" si="16"/>
        <v>0.2</v>
      </c>
      <c r="T19" s="2845">
        <f t="shared" si="17"/>
        <v>7.0108024691358057E-3</v>
      </c>
      <c r="U19" s="374">
        <f t="shared" si="18"/>
        <v>0</v>
      </c>
      <c r="V19" s="2846">
        <f t="shared" si="19"/>
        <v>0.2</v>
      </c>
      <c r="W19" s="2847">
        <f t="shared" si="20"/>
        <v>0</v>
      </c>
      <c r="X19" s="2848">
        <f t="shared" si="21"/>
        <v>0</v>
      </c>
      <c r="Y19" s="2849">
        <f t="shared" si="22"/>
        <v>0</v>
      </c>
      <c r="Z19" s="2850">
        <f t="shared" si="23"/>
        <v>0</v>
      </c>
      <c r="AA19" s="2851">
        <f t="shared" si="24"/>
        <v>0</v>
      </c>
      <c r="AB19" s="2935"/>
      <c r="AC19" s="2867"/>
      <c r="AD19" s="2867"/>
      <c r="AE19" s="2867"/>
      <c r="AF19" s="2867"/>
      <c r="AG19" s="2867"/>
      <c r="AH19" s="2867"/>
      <c r="AI19" s="2935"/>
      <c r="AJ19" s="2935"/>
      <c r="AK19" s="2935"/>
      <c r="AL19" s="2935"/>
      <c r="AM19" s="2935"/>
      <c r="AN19" s="2935"/>
    </row>
    <row r="20" spans="1:40" s="63" customFormat="1" ht="14" customHeight="1">
      <c r="A20" s="3109" t="s">
        <v>458</v>
      </c>
      <c r="B20" s="3115" t="s">
        <v>461</v>
      </c>
      <c r="C20" s="2423">
        <f t="shared" si="11"/>
        <v>1.8933937422552669E-4</v>
      </c>
      <c r="D20" s="6080">
        <v>5</v>
      </c>
      <c r="E20" s="6097">
        <v>1</v>
      </c>
      <c r="F20" s="6176">
        <v>4</v>
      </c>
      <c r="G20" s="6177">
        <v>75</v>
      </c>
      <c r="H20" s="6178" t="s">
        <v>944</v>
      </c>
      <c r="I20" s="6179">
        <v>5.7870370370370366E-5</v>
      </c>
      <c r="J20" s="6179">
        <v>1.3888888888888889E-3</v>
      </c>
      <c r="K20" s="6180" t="s">
        <v>1428</v>
      </c>
      <c r="L20" s="6181">
        <f t="shared" si="26"/>
        <v>0.68084632927618471</v>
      </c>
      <c r="M20" s="6182">
        <v>1</v>
      </c>
      <c r="N20" s="6179">
        <f t="shared" si="34"/>
        <v>3.8924428610766903E-3</v>
      </c>
      <c r="O20" s="6183">
        <f t="shared" si="30"/>
        <v>5.6801812267658004E-4</v>
      </c>
      <c r="P20" s="6184">
        <f t="shared" si="31"/>
        <v>5.6801812267658004E-4</v>
      </c>
      <c r="Q20" s="6185" t="s">
        <v>278</v>
      </c>
      <c r="R20" s="6177">
        <f t="shared" si="32"/>
        <v>300</v>
      </c>
      <c r="S20" s="2844">
        <f t="shared" si="16"/>
        <v>0.3</v>
      </c>
      <c r="T20" s="2845">
        <f t="shared" si="17"/>
        <v>9.0882899628252807E-3</v>
      </c>
      <c r="U20" s="374">
        <f t="shared" si="18"/>
        <v>0</v>
      </c>
      <c r="V20" s="2846">
        <f t="shared" si="19"/>
        <v>0</v>
      </c>
      <c r="W20" s="2847">
        <f t="shared" si="20"/>
        <v>0</v>
      </c>
      <c r="X20" s="2848">
        <f t="shared" si="21"/>
        <v>0</v>
      </c>
      <c r="Y20" s="2849">
        <f t="shared" si="22"/>
        <v>0.3</v>
      </c>
      <c r="Z20" s="2850">
        <f t="shared" si="23"/>
        <v>0</v>
      </c>
      <c r="AA20" s="2851">
        <f t="shared" si="24"/>
        <v>0</v>
      </c>
      <c r="AB20" s="2935"/>
      <c r="AC20" s="2867"/>
      <c r="AD20" s="2867"/>
      <c r="AE20" s="2867"/>
      <c r="AF20" s="2867"/>
      <c r="AG20" s="2867"/>
      <c r="AH20" s="2867"/>
      <c r="AI20" s="2935"/>
      <c r="AJ20" s="2935"/>
      <c r="AK20" s="2935"/>
      <c r="AL20" s="2935"/>
      <c r="AM20" s="2935"/>
      <c r="AN20" s="2935"/>
    </row>
    <row r="21" spans="1:40" s="63" customFormat="1" ht="14" customHeight="1">
      <c r="A21" s="3109" t="s">
        <v>219</v>
      </c>
      <c r="B21" s="3115" t="s">
        <v>461</v>
      </c>
      <c r="C21" s="4126"/>
      <c r="D21" s="6080">
        <v>2</v>
      </c>
      <c r="E21" s="6082">
        <v>2</v>
      </c>
      <c r="F21" s="1123">
        <v>1</v>
      </c>
      <c r="G21" s="1123">
        <v>200</v>
      </c>
      <c r="H21" s="3368" t="s">
        <v>944</v>
      </c>
      <c r="I21" s="2128">
        <v>8.6805555555555551E-4</v>
      </c>
      <c r="J21" s="2128">
        <v>1.3888888888888889E-3</v>
      </c>
      <c r="K21" s="1123" t="s">
        <v>983</v>
      </c>
      <c r="L21" s="1332">
        <f t="shared" si="26"/>
        <v>0.68473877213726142</v>
      </c>
      <c r="M21" s="2127">
        <v>1</v>
      </c>
      <c r="N21" s="2128">
        <f t="shared" si="34"/>
        <v>4.5138888888888885E-3</v>
      </c>
      <c r="O21" s="1175">
        <f t="shared" si="30"/>
        <v>0</v>
      </c>
      <c r="P21" s="1175">
        <f t="shared" si="31"/>
        <v>0</v>
      </c>
      <c r="Q21" s="550" t="s">
        <v>278</v>
      </c>
      <c r="R21" s="2129">
        <f t="shared" si="32"/>
        <v>400</v>
      </c>
      <c r="S21" s="2844">
        <f t="shared" si="16"/>
        <v>0.4</v>
      </c>
      <c r="T21" s="2845">
        <f t="shared" si="17"/>
        <v>0</v>
      </c>
      <c r="U21" s="374">
        <f t="shared" si="18"/>
        <v>0</v>
      </c>
      <c r="V21" s="2846">
        <f t="shared" si="19"/>
        <v>0</v>
      </c>
      <c r="W21" s="2847">
        <f t="shared" si="20"/>
        <v>0</v>
      </c>
      <c r="X21" s="2848">
        <f t="shared" si="21"/>
        <v>0</v>
      </c>
      <c r="Y21" s="2849">
        <f t="shared" si="22"/>
        <v>0</v>
      </c>
      <c r="Z21" s="2850">
        <f t="shared" si="23"/>
        <v>0</v>
      </c>
      <c r="AA21" s="2851">
        <f t="shared" si="24"/>
        <v>0</v>
      </c>
      <c r="AB21" s="2935"/>
      <c r="AC21" s="2867"/>
      <c r="AD21" s="2867"/>
      <c r="AE21" s="2867"/>
      <c r="AF21" s="2867"/>
      <c r="AG21" s="2867"/>
      <c r="AH21" s="2867"/>
      <c r="AI21" s="2935"/>
      <c r="AJ21" s="2935"/>
      <c r="AK21" s="2935"/>
      <c r="AL21" s="2935"/>
      <c r="AM21" s="2935"/>
      <c r="AN21" s="2935"/>
    </row>
    <row r="22" spans="1:40" s="63" customFormat="1" ht="14" customHeight="1">
      <c r="A22" s="3109"/>
      <c r="B22" s="3115"/>
      <c r="C22" s="5783"/>
      <c r="D22" s="6083">
        <v>7</v>
      </c>
      <c r="E22" s="1040">
        <v>1</v>
      </c>
      <c r="F22" s="1040">
        <v>8</v>
      </c>
      <c r="G22" s="1040">
        <v>15</v>
      </c>
      <c r="H22" s="1720"/>
      <c r="I22" s="1041">
        <v>4.6296296296296293E-4</v>
      </c>
      <c r="J22" s="1041">
        <v>4.1666666666666666E-3</v>
      </c>
      <c r="K22" s="443" t="s">
        <v>1178</v>
      </c>
      <c r="L22" s="1301">
        <f t="shared" si="26"/>
        <v>0.68925266102615035</v>
      </c>
      <c r="M22" s="4147">
        <v>1</v>
      </c>
      <c r="N22" s="1301">
        <f>P22*E22*F22+I22*F22+J22*E22</f>
        <v>7.8703703703703696E-3</v>
      </c>
      <c r="O22" s="1730">
        <f>C22*(G22/25)</f>
        <v>0</v>
      </c>
      <c r="P22" s="1191">
        <f>O22*M22</f>
        <v>0</v>
      </c>
      <c r="Q22" s="443" t="s">
        <v>274</v>
      </c>
      <c r="R22" s="3253">
        <f>E22*F22*G22</f>
        <v>120</v>
      </c>
      <c r="S22" s="2844">
        <f t="shared" si="16"/>
        <v>0.12</v>
      </c>
      <c r="T22" s="2845">
        <f t="shared" si="17"/>
        <v>0</v>
      </c>
      <c r="U22" s="374">
        <f t="shared" si="18"/>
        <v>0</v>
      </c>
      <c r="V22" s="2846">
        <f t="shared" si="19"/>
        <v>0</v>
      </c>
      <c r="W22" s="2847">
        <f t="shared" si="20"/>
        <v>0</v>
      </c>
      <c r="X22" s="2848">
        <f t="shared" si="21"/>
        <v>0</v>
      </c>
      <c r="Y22" s="2849">
        <f t="shared" si="22"/>
        <v>0</v>
      </c>
      <c r="Z22" s="2850">
        <f t="shared" si="23"/>
        <v>0</v>
      </c>
      <c r="AA22" s="2851">
        <f t="shared" si="24"/>
        <v>0</v>
      </c>
      <c r="AB22" s="2935"/>
      <c r="AC22" s="2867"/>
      <c r="AD22" s="2867"/>
      <c r="AE22" s="2867"/>
      <c r="AF22" s="2867"/>
      <c r="AG22" s="2867"/>
      <c r="AH22" s="2867"/>
      <c r="AI22" s="2935"/>
      <c r="AJ22" s="2935"/>
      <c r="AK22" s="2935"/>
      <c r="AL22" s="2935"/>
      <c r="AM22" s="2935"/>
      <c r="AN22" s="2935"/>
    </row>
    <row r="23" spans="1:40" s="63" customFormat="1" ht="14" customHeight="1">
      <c r="A23" s="4162"/>
      <c r="B23" s="4163"/>
      <c r="C23" s="6098"/>
      <c r="D23" s="6099"/>
      <c r="E23" s="6100"/>
      <c r="F23" s="6100"/>
      <c r="G23" s="6100"/>
      <c r="H23" s="6100"/>
      <c r="I23" s="6100"/>
      <c r="J23" s="6100"/>
      <c r="K23" s="6100"/>
      <c r="L23" s="1008">
        <f t="shared" si="26"/>
        <v>0.69712303139652076</v>
      </c>
      <c r="M23" s="6101">
        <v>1</v>
      </c>
      <c r="N23" s="4168">
        <f>SUM(N15:N21)</f>
        <v>5.7308216581705922E-2</v>
      </c>
      <c r="O23" s="6100">
        <f>C23*20/25</f>
        <v>0</v>
      </c>
      <c r="P23" s="6100"/>
      <c r="Q23" s="6100"/>
      <c r="R23" s="1238">
        <f>SUM(R15:R22)</f>
        <v>2680</v>
      </c>
      <c r="S23" s="2844">
        <f t="shared" si="16"/>
        <v>0</v>
      </c>
      <c r="T23" s="2845">
        <f t="shared" si="17"/>
        <v>0</v>
      </c>
      <c r="U23" s="374">
        <f t="shared" si="18"/>
        <v>0</v>
      </c>
      <c r="V23" s="2846">
        <f t="shared" si="19"/>
        <v>0</v>
      </c>
      <c r="W23" s="2847">
        <f t="shared" si="20"/>
        <v>0</v>
      </c>
      <c r="X23" s="2848">
        <f t="shared" si="21"/>
        <v>0</v>
      </c>
      <c r="Y23" s="2849">
        <f t="shared" si="22"/>
        <v>0</v>
      </c>
      <c r="Z23" s="2850">
        <f t="shared" si="23"/>
        <v>0</v>
      </c>
      <c r="AA23" s="2851">
        <f t="shared" si="24"/>
        <v>0</v>
      </c>
      <c r="AB23" s="2935"/>
      <c r="AC23" s="2867"/>
      <c r="AD23" s="2867"/>
      <c r="AE23" s="2867"/>
      <c r="AF23" s="2867"/>
      <c r="AG23" s="2867"/>
      <c r="AH23" s="2867"/>
      <c r="AI23" s="2935"/>
      <c r="AJ23" s="2935"/>
      <c r="AK23" s="2935"/>
      <c r="AL23" s="2935"/>
      <c r="AM23" s="2935"/>
      <c r="AN23" s="2935"/>
    </row>
    <row r="24" spans="1:40" ht="12.75" customHeight="1">
      <c r="A24" s="6064"/>
      <c r="B24" s="2184" t="s">
        <v>215</v>
      </c>
      <c r="C24" s="2423">
        <f t="shared" ref="C24:C29" si="35">IF(D24=1,U$5,IF(D24=2,V$5,IF(D24=3,W$5,IF(D24=4,X$5,IF(D24=5,Y$5,IF(D24=6,Z$5,IF(D24=7,AA$5,0)))))))</f>
        <v>2.2880964381720439E-4</v>
      </c>
      <c r="D24" s="4596">
        <v>1</v>
      </c>
      <c r="E24" s="2529">
        <v>1</v>
      </c>
      <c r="F24" s="2529">
        <v>2</v>
      </c>
      <c r="G24" s="2529">
        <v>300</v>
      </c>
      <c r="H24" s="2528"/>
      <c r="I24" s="2528">
        <v>1.1574074074074073E-4</v>
      </c>
      <c r="J24" s="2528">
        <v>1.3888888888888889E-3</v>
      </c>
      <c r="K24" s="2338" t="s">
        <v>2204</v>
      </c>
      <c r="L24" s="3119">
        <v>0.3125</v>
      </c>
      <c r="M24" s="6102">
        <v>1</v>
      </c>
      <c r="N24" s="2423">
        <f>P24*E24*F24+I24*E24*F24+J24*E24</f>
        <v>7.1118018219832766E-3</v>
      </c>
      <c r="O24" s="2340">
        <f t="shared" ref="O24" si="36">C24*(G24/25)</f>
        <v>2.7457157258064528E-3</v>
      </c>
      <c r="P24" s="2340">
        <f t="shared" ref="P24" si="37">O24*M24</f>
        <v>2.7457157258064528E-3</v>
      </c>
      <c r="Q24" s="2341">
        <v>129</v>
      </c>
      <c r="R24" s="4157">
        <f t="shared" ref="R24" si="38">E24*F24*G24</f>
        <v>600</v>
      </c>
      <c r="S24" s="2844">
        <f t="shared" si="16"/>
        <v>0.6</v>
      </c>
      <c r="T24" s="2845">
        <f t="shared" si="17"/>
        <v>2.1965725806451623E-2</v>
      </c>
      <c r="U24" s="374">
        <f t="shared" si="18"/>
        <v>0.6</v>
      </c>
      <c r="V24" s="2846">
        <f t="shared" si="19"/>
        <v>0</v>
      </c>
      <c r="W24" s="2847">
        <f t="shared" si="20"/>
        <v>0</v>
      </c>
      <c r="X24" s="2848">
        <f t="shared" si="21"/>
        <v>0</v>
      </c>
      <c r="Y24" s="2849">
        <f t="shared" si="22"/>
        <v>0</v>
      </c>
      <c r="Z24" s="2850">
        <f t="shared" si="23"/>
        <v>0</v>
      </c>
      <c r="AA24" s="2851">
        <f t="shared" si="24"/>
        <v>0</v>
      </c>
      <c r="AC24" s="2867"/>
      <c r="AD24" s="2867"/>
      <c r="AE24" s="2867"/>
      <c r="AF24" s="2867"/>
      <c r="AG24" s="2867"/>
      <c r="AH24" s="2867"/>
      <c r="AI24" s="2825"/>
      <c r="AJ24" s="2825"/>
      <c r="AK24" s="2825"/>
      <c r="AL24" s="2825"/>
      <c r="AM24" s="2825"/>
    </row>
    <row r="25" spans="1:40" ht="12.75" customHeight="1">
      <c r="A25" s="6064" t="s">
        <v>215</v>
      </c>
      <c r="B25" s="2184" t="s">
        <v>215</v>
      </c>
      <c r="C25" s="2423">
        <f t="shared" si="35"/>
        <v>0</v>
      </c>
      <c r="D25" s="6008"/>
      <c r="E25" s="6009">
        <v>1</v>
      </c>
      <c r="F25" s="6009">
        <v>4</v>
      </c>
      <c r="G25" s="6009">
        <v>200</v>
      </c>
      <c r="H25" s="6009"/>
      <c r="I25" s="6015">
        <v>1.1574074074074073E-4</v>
      </c>
      <c r="J25" s="6015">
        <v>1.3888888888888889E-3</v>
      </c>
      <c r="K25" s="6009" t="s">
        <v>762</v>
      </c>
      <c r="L25" s="6010">
        <v>0.30208333333333331</v>
      </c>
      <c r="M25" s="6016" t="s">
        <v>1122</v>
      </c>
      <c r="N25" s="6015">
        <v>8.1597222222222227E-3</v>
      </c>
      <c r="O25" s="6017"/>
      <c r="P25" s="6017">
        <v>1.5740740740740741E-3</v>
      </c>
      <c r="Q25" s="6011">
        <v>129</v>
      </c>
      <c r="R25" s="6018">
        <v>800</v>
      </c>
      <c r="S25" s="2844">
        <f t="shared" si="16"/>
        <v>0.8</v>
      </c>
      <c r="T25" s="2845">
        <f t="shared" si="17"/>
        <v>0</v>
      </c>
      <c r="U25" s="374">
        <f t="shared" si="18"/>
        <v>0</v>
      </c>
      <c r="V25" s="2846">
        <f t="shared" si="19"/>
        <v>0</v>
      </c>
      <c r="W25" s="2847">
        <f t="shared" si="20"/>
        <v>0</v>
      </c>
      <c r="X25" s="2848">
        <f t="shared" si="21"/>
        <v>0</v>
      </c>
      <c r="Y25" s="2849">
        <f t="shared" si="22"/>
        <v>0</v>
      </c>
      <c r="Z25" s="2850">
        <f t="shared" si="23"/>
        <v>0</v>
      </c>
      <c r="AA25" s="2851">
        <f t="shared" si="24"/>
        <v>0</v>
      </c>
      <c r="AC25" s="2867"/>
      <c r="AD25" s="2867"/>
      <c r="AE25" s="2867"/>
      <c r="AF25" s="2867"/>
      <c r="AG25" s="2867"/>
      <c r="AH25" s="2867"/>
      <c r="AI25" s="2825"/>
      <c r="AJ25" s="2825"/>
      <c r="AK25" s="2825"/>
      <c r="AL25" s="2825"/>
      <c r="AM25" s="2825"/>
    </row>
    <row r="26" spans="1:40" ht="12.75" customHeight="1">
      <c r="A26" s="6064" t="s">
        <v>139</v>
      </c>
      <c r="B26" s="2184" t="s">
        <v>215</v>
      </c>
      <c r="C26" s="2423">
        <f t="shared" si="35"/>
        <v>1.8229166666666673E-4</v>
      </c>
      <c r="D26" s="6019">
        <v>6</v>
      </c>
      <c r="E26" s="5134">
        <v>2</v>
      </c>
      <c r="F26" s="6020">
        <v>3</v>
      </c>
      <c r="G26" s="6020">
        <v>75</v>
      </c>
      <c r="H26" s="6020"/>
      <c r="I26" s="6021">
        <v>6.9444444444444447E-4</v>
      </c>
      <c r="J26" s="6022">
        <v>3.472222222222222E-3</v>
      </c>
      <c r="K26" s="5134" t="s">
        <v>974</v>
      </c>
      <c r="L26" s="6021">
        <f>L25+N25</f>
        <v>0.31024305555555554</v>
      </c>
      <c r="M26" s="6023">
        <v>1.08</v>
      </c>
      <c r="N26" s="6021">
        <f t="shared" ref="N26" si="39">P26*E26*F26+I26*E26*F26+J26*E26</f>
        <v>1.4725736111111113E-2</v>
      </c>
      <c r="O26" s="6024">
        <f>C26*(G26/25)*1.02</f>
        <v>5.5781250000000015E-4</v>
      </c>
      <c r="P26" s="5137">
        <f t="shared" ref="P26" si="40">O26*M26</f>
        <v>6.0243750000000022E-4</v>
      </c>
      <c r="Q26" s="6025">
        <v>177</v>
      </c>
      <c r="R26" s="6020">
        <f t="shared" ref="R26" si="41">E26*F26*G26</f>
        <v>450</v>
      </c>
      <c r="S26" s="2844">
        <f t="shared" si="16"/>
        <v>0.45</v>
      </c>
      <c r="T26" s="2845">
        <f t="shared" si="17"/>
        <v>1.3387500000000004E-2</v>
      </c>
      <c r="U26" s="374">
        <f t="shared" si="18"/>
        <v>0</v>
      </c>
      <c r="V26" s="2846">
        <f t="shared" si="19"/>
        <v>0</v>
      </c>
      <c r="W26" s="2847">
        <f t="shared" si="20"/>
        <v>0</v>
      </c>
      <c r="X26" s="2848">
        <f t="shared" si="21"/>
        <v>0</v>
      </c>
      <c r="Y26" s="2849">
        <f t="shared" si="22"/>
        <v>0</v>
      </c>
      <c r="Z26" s="2850">
        <f t="shared" si="23"/>
        <v>0.45</v>
      </c>
      <c r="AA26" s="2851">
        <f t="shared" si="24"/>
        <v>0</v>
      </c>
      <c r="AC26" s="2867"/>
      <c r="AD26" s="2867"/>
      <c r="AE26" s="2867"/>
      <c r="AF26" s="2867"/>
      <c r="AG26" s="2867"/>
      <c r="AH26" s="2867"/>
      <c r="AI26" s="2825"/>
      <c r="AJ26" s="2825"/>
      <c r="AK26" s="2825"/>
      <c r="AL26" s="2825"/>
      <c r="AM26" s="2825"/>
    </row>
    <row r="27" spans="1:40" ht="12.75" customHeight="1">
      <c r="A27" s="6064" t="s">
        <v>458</v>
      </c>
      <c r="B27" s="2184" t="s">
        <v>215</v>
      </c>
      <c r="C27" s="2423">
        <f t="shared" si="35"/>
        <v>0</v>
      </c>
      <c r="D27" s="6008"/>
      <c r="E27" s="6009">
        <v>1</v>
      </c>
      <c r="F27" s="6009">
        <v>2</v>
      </c>
      <c r="G27" s="6009">
        <v>20</v>
      </c>
      <c r="H27" s="6009"/>
      <c r="I27" s="6026">
        <v>1.3888888888888889E-4</v>
      </c>
      <c r="J27" s="6026">
        <v>1.3888888888888889E-3</v>
      </c>
      <c r="K27" s="6009" t="s">
        <v>894</v>
      </c>
      <c r="L27" s="4234">
        <v>0.82302083333333342</v>
      </c>
      <c r="M27" s="6016" t="s">
        <v>1122</v>
      </c>
      <c r="N27" s="6026">
        <v>2.0833333333333333E-3</v>
      </c>
      <c r="O27" s="6027"/>
      <c r="P27" s="6017">
        <v>2.0833333333333335E-4</v>
      </c>
      <c r="Q27" s="6011">
        <v>146</v>
      </c>
      <c r="R27" s="6018">
        <v>40</v>
      </c>
      <c r="S27" s="2844">
        <f t="shared" si="16"/>
        <v>0.04</v>
      </c>
      <c r="T27" s="2845">
        <f t="shared" si="17"/>
        <v>0</v>
      </c>
      <c r="U27" s="374">
        <f t="shared" si="18"/>
        <v>0</v>
      </c>
      <c r="V27" s="2846">
        <f t="shared" si="19"/>
        <v>0</v>
      </c>
      <c r="W27" s="2847">
        <f t="shared" si="20"/>
        <v>0</v>
      </c>
      <c r="X27" s="2848">
        <f t="shared" si="21"/>
        <v>0</v>
      </c>
      <c r="Y27" s="2849">
        <f t="shared" si="22"/>
        <v>0</v>
      </c>
      <c r="Z27" s="2850">
        <f t="shared" si="23"/>
        <v>0</v>
      </c>
      <c r="AA27" s="2851">
        <f t="shared" si="24"/>
        <v>0</v>
      </c>
      <c r="AC27" s="2867"/>
      <c r="AD27" s="2867"/>
      <c r="AE27" s="2867"/>
      <c r="AF27" s="2867"/>
      <c r="AG27" s="2867"/>
      <c r="AH27" s="2867"/>
      <c r="AI27" s="2825"/>
      <c r="AJ27" s="2825"/>
      <c r="AK27" s="2825"/>
      <c r="AL27" s="2825"/>
      <c r="AM27" s="2825"/>
      <c r="AN27" s="1"/>
    </row>
    <row r="28" spans="1:40" ht="12.75" customHeight="1">
      <c r="A28" s="6064" t="s">
        <v>462</v>
      </c>
      <c r="B28" s="2184" t="s">
        <v>215</v>
      </c>
      <c r="C28" s="2423">
        <f t="shared" si="35"/>
        <v>1.8229166666666673E-4</v>
      </c>
      <c r="D28" s="6019">
        <v>6</v>
      </c>
      <c r="E28" s="5134">
        <v>1</v>
      </c>
      <c r="F28" s="6020">
        <v>8</v>
      </c>
      <c r="G28" s="6020">
        <v>50</v>
      </c>
      <c r="H28" s="6020"/>
      <c r="I28" s="6021">
        <v>6.9444444444444447E-4</v>
      </c>
      <c r="J28" s="6022">
        <v>3.472222222222222E-3</v>
      </c>
      <c r="K28" s="5134" t="s">
        <v>974</v>
      </c>
      <c r="L28" s="6021">
        <f>L26+N26</f>
        <v>0.32496879166666665</v>
      </c>
      <c r="M28" s="6023">
        <v>1.08</v>
      </c>
      <c r="N28" s="6021">
        <f t="shared" ref="N28" si="42">P28*E28*F28+I28*E28*F28+J28*E28</f>
        <v>1.2240777777777779E-2</v>
      </c>
      <c r="O28" s="6024">
        <f>C28*(G28/25)*1.02</f>
        <v>3.7187500000000014E-4</v>
      </c>
      <c r="P28" s="5137">
        <f t="shared" ref="P28" si="43">O28*M28</f>
        <v>4.0162500000000018E-4</v>
      </c>
      <c r="Q28" s="6025">
        <v>177</v>
      </c>
      <c r="R28" s="6020">
        <f t="shared" ref="R28" si="44">E28*F28*G28</f>
        <v>400</v>
      </c>
      <c r="S28" s="2844">
        <f t="shared" si="16"/>
        <v>0.4</v>
      </c>
      <c r="T28" s="2845">
        <f t="shared" si="17"/>
        <v>1.1900000000000004E-2</v>
      </c>
      <c r="U28" s="374">
        <f t="shared" si="18"/>
        <v>0</v>
      </c>
      <c r="V28" s="2846">
        <f t="shared" si="19"/>
        <v>0</v>
      </c>
      <c r="W28" s="2847">
        <f t="shared" si="20"/>
        <v>0</v>
      </c>
      <c r="X28" s="2848">
        <f t="shared" si="21"/>
        <v>0</v>
      </c>
      <c r="Y28" s="2849">
        <f t="shared" si="22"/>
        <v>0</v>
      </c>
      <c r="Z28" s="2850">
        <f t="shared" si="23"/>
        <v>0.4</v>
      </c>
      <c r="AA28" s="2851">
        <f t="shared" si="24"/>
        <v>0</v>
      </c>
      <c r="AC28" s="2867"/>
      <c r="AD28" s="2867"/>
      <c r="AE28" s="2867"/>
      <c r="AF28" s="2867"/>
      <c r="AG28" s="2867"/>
      <c r="AH28" s="2867"/>
      <c r="AI28" s="2825"/>
      <c r="AJ28" s="2825"/>
      <c r="AK28" s="2825"/>
      <c r="AL28" s="2825"/>
      <c r="AM28" s="2825"/>
      <c r="AN28" s="1"/>
    </row>
    <row r="29" spans="1:40" ht="12.75" customHeight="1">
      <c r="A29" s="6064" t="s">
        <v>140</v>
      </c>
      <c r="B29" s="2184" t="s">
        <v>215</v>
      </c>
      <c r="C29" s="2423">
        <f t="shared" si="35"/>
        <v>1.7682291666666674E-4</v>
      </c>
      <c r="D29" s="6083">
        <v>7</v>
      </c>
      <c r="E29" s="1040">
        <v>1</v>
      </c>
      <c r="F29" s="1040">
        <v>8</v>
      </c>
      <c r="G29" s="1040">
        <v>15</v>
      </c>
      <c r="H29" s="1720"/>
      <c r="I29" s="1041">
        <v>4.6296296296296293E-4</v>
      </c>
      <c r="J29" s="1041">
        <v>4.1666666666666666E-3</v>
      </c>
      <c r="K29" s="443" t="s">
        <v>1178</v>
      </c>
      <c r="L29" s="1301">
        <f>L28+N29</f>
        <v>0.33368791203703702</v>
      </c>
      <c r="M29" s="4147">
        <v>1</v>
      </c>
      <c r="N29" s="1301">
        <f>P29*E29*F29+I29*F29+J29*E29</f>
        <v>8.7191203703703701E-3</v>
      </c>
      <c r="O29" s="1730">
        <f>C29*(G29/25)</f>
        <v>1.0609375000000004E-4</v>
      </c>
      <c r="P29" s="1191">
        <f>O29*M29</f>
        <v>1.0609375000000004E-4</v>
      </c>
      <c r="Q29" s="443" t="s">
        <v>274</v>
      </c>
      <c r="R29" s="3253">
        <f>E29*F29*G29</f>
        <v>120</v>
      </c>
      <c r="S29" s="2844">
        <f t="shared" si="16"/>
        <v>0.12</v>
      </c>
      <c r="T29" s="2845">
        <f t="shared" si="17"/>
        <v>3.3950000000000013E-3</v>
      </c>
      <c r="U29" s="374">
        <f t="shared" si="18"/>
        <v>0</v>
      </c>
      <c r="V29" s="2846">
        <f t="shared" si="19"/>
        <v>0</v>
      </c>
      <c r="W29" s="2847">
        <f t="shared" si="20"/>
        <v>0</v>
      </c>
      <c r="X29" s="2848">
        <f t="shared" si="21"/>
        <v>0</v>
      </c>
      <c r="Y29" s="2849">
        <f t="shared" si="22"/>
        <v>0</v>
      </c>
      <c r="Z29" s="2850">
        <f t="shared" si="23"/>
        <v>0</v>
      </c>
      <c r="AA29" s="2851">
        <f t="shared" si="24"/>
        <v>0.12</v>
      </c>
      <c r="AC29" s="2867"/>
      <c r="AD29" s="2867"/>
      <c r="AE29" s="2867"/>
      <c r="AF29" s="2867"/>
      <c r="AG29" s="2867"/>
      <c r="AH29" s="2867"/>
      <c r="AI29" s="2825"/>
      <c r="AJ29" s="2825"/>
      <c r="AK29" s="2825"/>
      <c r="AL29" s="2825"/>
      <c r="AM29" s="2825"/>
      <c r="AN29" s="1"/>
    </row>
    <row r="30" spans="1:40" ht="12.75" customHeight="1" thickBot="1">
      <c r="A30" s="6064" t="s">
        <v>674</v>
      </c>
      <c r="B30" s="2184"/>
      <c r="C30" s="6103"/>
      <c r="D30" s="4611"/>
      <c r="E30" s="4612"/>
      <c r="F30" s="4612"/>
      <c r="G30" s="4612"/>
      <c r="H30" s="4612"/>
      <c r="I30" s="4612"/>
      <c r="J30" s="4612"/>
      <c r="K30" s="1664"/>
      <c r="L30" s="2182">
        <f t="shared" ref="L30" si="45">L29+N29</f>
        <v>0.34240703240740739</v>
      </c>
      <c r="M30" s="6104">
        <v>1</v>
      </c>
      <c r="N30" s="4152">
        <f>SUM(N24:N29)</f>
        <v>5.3040491636798096E-2</v>
      </c>
      <c r="O30" s="4612"/>
      <c r="P30" s="4612"/>
      <c r="Q30" s="4612"/>
      <c r="R30" s="4153">
        <f>SUM(R24:R29)</f>
        <v>2410</v>
      </c>
      <c r="S30" s="2844">
        <f t="shared" si="16"/>
        <v>0</v>
      </c>
      <c r="T30" s="2845">
        <f t="shared" si="17"/>
        <v>0</v>
      </c>
      <c r="U30" s="374">
        <f t="shared" si="18"/>
        <v>0</v>
      </c>
      <c r="V30" s="2846">
        <f t="shared" si="19"/>
        <v>0</v>
      </c>
      <c r="W30" s="2847">
        <f t="shared" si="20"/>
        <v>0</v>
      </c>
      <c r="X30" s="2848">
        <f t="shared" si="21"/>
        <v>0</v>
      </c>
      <c r="Y30" s="2849">
        <f t="shared" si="22"/>
        <v>0</v>
      </c>
      <c r="Z30" s="2850">
        <f t="shared" si="23"/>
        <v>0</v>
      </c>
      <c r="AA30" s="2851">
        <f t="shared" si="24"/>
        <v>0</v>
      </c>
      <c r="AC30" s="2867"/>
      <c r="AD30" s="2867"/>
      <c r="AE30" s="2867"/>
      <c r="AF30" s="2867"/>
      <c r="AG30" s="2867"/>
      <c r="AH30" s="2867"/>
      <c r="AI30" s="2825"/>
      <c r="AJ30" s="2825"/>
      <c r="AK30" s="2825"/>
      <c r="AL30" s="2825"/>
      <c r="AM30" s="2825"/>
      <c r="AN30" s="1"/>
    </row>
    <row r="31" spans="1:40" ht="12.75" customHeight="1" thickBot="1">
      <c r="A31" s="6064" t="s">
        <v>214</v>
      </c>
      <c r="B31" s="2530" t="s">
        <v>461</v>
      </c>
      <c r="C31" s="2423">
        <f>IF(D31=1,U$5,IF(D31=2,V$5,IF(D31=3,W$5,IF(D31=4,X$5,IF(D31=5,Y$5,IF(D31=6,Z$5,IF(D31=7,AA$5,0)))))))</f>
        <v>2.2880964381720439E-4</v>
      </c>
      <c r="D31" s="4596">
        <v>1</v>
      </c>
      <c r="E31" s="2529">
        <v>1</v>
      </c>
      <c r="F31" s="2529">
        <v>2</v>
      </c>
      <c r="G31" s="2529">
        <v>300</v>
      </c>
      <c r="H31" s="2528"/>
      <c r="I31" s="2528">
        <v>1.1574074074074073E-4</v>
      </c>
      <c r="J31" s="2528">
        <v>1.3888888888888889E-3</v>
      </c>
      <c r="K31" s="2338" t="s">
        <v>762</v>
      </c>
      <c r="L31" s="2423">
        <v>0.63194444444444442</v>
      </c>
      <c r="M31" s="6102">
        <v>1</v>
      </c>
      <c r="N31" s="2423">
        <f>P31*E31*F31+I31*E31*F31+J31*E31</f>
        <v>7.1118018219832766E-3</v>
      </c>
      <c r="O31" s="2340">
        <f>C31*(G31/25)</f>
        <v>2.7457157258064528E-3</v>
      </c>
      <c r="P31" s="2340">
        <f>O31*M31</f>
        <v>2.7457157258064528E-3</v>
      </c>
      <c r="Q31" s="2341">
        <v>129</v>
      </c>
      <c r="R31" s="4157">
        <f>E31*F31*G31</f>
        <v>600</v>
      </c>
      <c r="S31" s="2844">
        <f t="shared" si="16"/>
        <v>0.6</v>
      </c>
      <c r="T31" s="2845">
        <f t="shared" si="17"/>
        <v>2.1965725806451623E-2</v>
      </c>
      <c r="U31" s="374">
        <f t="shared" si="18"/>
        <v>0.6</v>
      </c>
      <c r="V31" s="2846">
        <f t="shared" si="19"/>
        <v>0</v>
      </c>
      <c r="W31" s="2847">
        <f t="shared" si="20"/>
        <v>0</v>
      </c>
      <c r="X31" s="2848">
        <f t="shared" si="21"/>
        <v>0</v>
      </c>
      <c r="Y31" s="2849">
        <f t="shared" si="22"/>
        <v>0</v>
      </c>
      <c r="Z31" s="2850">
        <f t="shared" si="23"/>
        <v>0</v>
      </c>
      <c r="AA31" s="2851">
        <f t="shared" si="24"/>
        <v>0</v>
      </c>
      <c r="AC31" s="2867"/>
      <c r="AD31" s="2867"/>
      <c r="AE31" s="2867"/>
      <c r="AF31" s="2867"/>
      <c r="AG31" s="2867"/>
      <c r="AH31" s="2867"/>
      <c r="AI31" s="2825"/>
      <c r="AJ31" s="2825"/>
      <c r="AK31" s="2825"/>
      <c r="AL31" s="2825"/>
      <c r="AM31" s="2825"/>
      <c r="AN31" s="1"/>
    </row>
    <row r="32" spans="1:40" ht="12.75" customHeight="1" thickBot="1">
      <c r="A32" s="6064" t="s">
        <v>458</v>
      </c>
      <c r="B32" s="2530" t="s">
        <v>461</v>
      </c>
      <c r="C32" s="2423">
        <f>IF(D32=1,U$5,IF(D32=2,V$5,IF(D32=3,W$5,IF(D32=4,X$5,IF(D32=5,Y$5,IF(D32=6,Z$5,IF(D32=7,AA$5,0)))))))</f>
        <v>2.1908757716049393E-4</v>
      </c>
      <c r="D32" s="6105">
        <v>2</v>
      </c>
      <c r="E32" s="4599">
        <v>1</v>
      </c>
      <c r="F32" s="4599">
        <v>3</v>
      </c>
      <c r="G32" s="4599">
        <v>400</v>
      </c>
      <c r="H32" s="4600"/>
      <c r="I32" s="4600">
        <v>2.3148148148148146E-4</v>
      </c>
      <c r="J32" s="4600">
        <v>1.3888888888888889E-3</v>
      </c>
      <c r="K32" s="2278" t="s">
        <v>535</v>
      </c>
      <c r="L32" s="2503">
        <f>L31+N31</f>
        <v>0.63905624626642765</v>
      </c>
      <c r="M32" s="6106">
        <v>1</v>
      </c>
      <c r="N32" s="6107">
        <f>P32*E32*F32+I32*E32*F32+J32*E32</f>
        <v>7.5517592592592624E-3</v>
      </c>
      <c r="O32" s="2307">
        <f>C32*8*1.04</f>
        <v>1.8228086419753095E-3</v>
      </c>
      <c r="P32" s="2307">
        <f>O32*M32</f>
        <v>1.8228086419753095E-3</v>
      </c>
      <c r="Q32" s="2282">
        <v>146</v>
      </c>
      <c r="R32" s="6108">
        <f>E32*F32*G32</f>
        <v>1200</v>
      </c>
      <c r="S32" s="2844">
        <f t="shared" si="16"/>
        <v>1.2</v>
      </c>
      <c r="T32" s="2845">
        <f t="shared" si="17"/>
        <v>2.1873703703703715E-2</v>
      </c>
      <c r="U32" s="374">
        <f t="shared" si="18"/>
        <v>0</v>
      </c>
      <c r="V32" s="2846">
        <f t="shared" si="19"/>
        <v>1.2</v>
      </c>
      <c r="W32" s="2847">
        <f t="shared" si="20"/>
        <v>0</v>
      </c>
      <c r="X32" s="2848">
        <f t="shared" si="21"/>
        <v>0</v>
      </c>
      <c r="Y32" s="2849">
        <f t="shared" si="22"/>
        <v>0</v>
      </c>
      <c r="Z32" s="2850">
        <f t="shared" si="23"/>
        <v>0</v>
      </c>
      <c r="AA32" s="2851">
        <f t="shared" si="24"/>
        <v>0</v>
      </c>
      <c r="AC32" s="2867"/>
      <c r="AD32" s="2867"/>
      <c r="AE32" s="2867"/>
      <c r="AF32" s="2867"/>
      <c r="AG32" s="2867"/>
      <c r="AH32" s="2867"/>
      <c r="AI32" s="2825"/>
      <c r="AJ32" s="2825"/>
      <c r="AK32" s="2825"/>
      <c r="AL32" s="2825"/>
      <c r="AM32" s="2825"/>
      <c r="AN32" s="1"/>
    </row>
    <row r="33" spans="1:40" ht="12.75" customHeight="1" thickBot="1">
      <c r="A33" s="6064" t="s">
        <v>219</v>
      </c>
      <c r="B33" s="2530" t="s">
        <v>461</v>
      </c>
      <c r="C33" s="2423">
        <f>IF(D33=1,U$5,IF(D33=2,V$5,IF(D33=3,W$5,IF(D33=4,X$5,IF(D33=5,Y$5,IF(D33=6,Z$5,IF(D33=7,AA$5,0)))))))</f>
        <v>2.1222190799396687E-4</v>
      </c>
      <c r="D33" s="4603">
        <v>3</v>
      </c>
      <c r="E33" s="2261">
        <v>2</v>
      </c>
      <c r="F33" s="2261">
        <v>10</v>
      </c>
      <c r="G33" s="2261">
        <v>50</v>
      </c>
      <c r="H33" s="4604"/>
      <c r="I33" s="4604">
        <v>8.1018518518518516E-5</v>
      </c>
      <c r="J33" s="4604">
        <v>1.3888888888888889E-3</v>
      </c>
      <c r="K33" s="2310" t="s">
        <v>1510</v>
      </c>
      <c r="L33" s="2504">
        <f>L32+N32</f>
        <v>0.64660800552568687</v>
      </c>
      <c r="M33" s="6109">
        <v>1</v>
      </c>
      <c r="N33" s="6110">
        <f>P33*E33*F33+I33*E33*F33+J33*E33</f>
        <v>1.2887024467906823E-2</v>
      </c>
      <c r="O33" s="2315">
        <f>C33*(G33/25)</f>
        <v>4.2444381598793373E-4</v>
      </c>
      <c r="P33" s="2315">
        <f>O33*M33</f>
        <v>4.2444381598793373E-4</v>
      </c>
      <c r="Q33" s="2518">
        <v>164</v>
      </c>
      <c r="R33" s="4149">
        <f>E33*F33*G33</f>
        <v>1000</v>
      </c>
      <c r="S33" s="2844">
        <f t="shared" si="16"/>
        <v>1</v>
      </c>
      <c r="T33" s="2845">
        <f t="shared" si="17"/>
        <v>3.3955505279034695E-2</v>
      </c>
      <c r="U33" s="374">
        <f t="shared" si="18"/>
        <v>0</v>
      </c>
      <c r="V33" s="2846">
        <f t="shared" si="19"/>
        <v>0</v>
      </c>
      <c r="W33" s="2847">
        <f t="shared" si="20"/>
        <v>1</v>
      </c>
      <c r="X33" s="2848">
        <f t="shared" si="21"/>
        <v>0</v>
      </c>
      <c r="Y33" s="2849">
        <f t="shared" si="22"/>
        <v>0</v>
      </c>
      <c r="Z33" s="2850">
        <f t="shared" si="23"/>
        <v>0</v>
      </c>
      <c r="AA33" s="2851">
        <f t="shared" si="24"/>
        <v>0</v>
      </c>
      <c r="AC33" s="2867"/>
      <c r="AD33" s="2867"/>
      <c r="AE33" s="2867"/>
      <c r="AF33" s="2867"/>
      <c r="AG33" s="2867"/>
      <c r="AH33" s="2867"/>
      <c r="AI33" s="2825"/>
      <c r="AJ33" s="2825"/>
      <c r="AK33" s="2825"/>
      <c r="AL33" s="2825"/>
      <c r="AM33" s="2825"/>
      <c r="AN33" s="1"/>
    </row>
    <row r="34" spans="1:40" ht="12.75" customHeight="1" thickBot="1">
      <c r="A34" s="2183"/>
      <c r="B34" s="2530" t="s">
        <v>461</v>
      </c>
      <c r="C34" s="2423">
        <f>IF(D34=1,U$5,IF(D34=2,V$5,IF(D34=3,W$5,IF(D34=4,X$5,IF(D34=5,Y$5,IF(D34=6,Z$5,IF(D34=7,AA$5,0)))))))</f>
        <v>1.8933937422552669E-4</v>
      </c>
      <c r="D34" s="4607">
        <v>5</v>
      </c>
      <c r="E34" s="4608">
        <v>4</v>
      </c>
      <c r="F34" s="4608">
        <v>3</v>
      </c>
      <c r="G34" s="4608">
        <v>75</v>
      </c>
      <c r="H34" s="4609"/>
      <c r="I34" s="4609">
        <v>6.9444444444444447E-4</v>
      </c>
      <c r="J34" s="4609">
        <v>2.0833333333333333E-3</v>
      </c>
      <c r="K34" s="3127" t="s">
        <v>1511</v>
      </c>
      <c r="L34" s="2508">
        <f>L33+N33</f>
        <v>0.65949502999359366</v>
      </c>
      <c r="M34" s="6111">
        <v>1</v>
      </c>
      <c r="N34" s="6112">
        <f>P34*E34*F34+I34*E34*F34+J34*E34</f>
        <v>2.3482884138785624E-2</v>
      </c>
      <c r="O34" s="3451">
        <f>C34*(G34/25)</f>
        <v>5.6801812267658004E-4</v>
      </c>
      <c r="P34" s="4148">
        <f>O34*M34</f>
        <v>5.6801812267658004E-4</v>
      </c>
      <c r="Q34" s="6113" t="s">
        <v>278</v>
      </c>
      <c r="R34" s="6114">
        <f>E34*F34*G34</f>
        <v>900</v>
      </c>
      <c r="S34" s="2844">
        <f t="shared" si="16"/>
        <v>0.9</v>
      </c>
      <c r="T34" s="2845">
        <f t="shared" si="17"/>
        <v>2.7264869888475842E-2</v>
      </c>
      <c r="U34" s="374">
        <f t="shared" si="18"/>
        <v>0</v>
      </c>
      <c r="V34" s="2846">
        <f t="shared" si="19"/>
        <v>0</v>
      </c>
      <c r="W34" s="2847">
        <f t="shared" si="20"/>
        <v>0</v>
      </c>
      <c r="X34" s="2848">
        <f t="shared" si="21"/>
        <v>0</v>
      </c>
      <c r="Y34" s="2849">
        <f t="shared" si="22"/>
        <v>0.9</v>
      </c>
      <c r="Z34" s="2850">
        <f t="shared" si="23"/>
        <v>0</v>
      </c>
      <c r="AA34" s="2851">
        <f t="shared" si="24"/>
        <v>0</v>
      </c>
      <c r="AC34" s="2867"/>
      <c r="AD34" s="2867"/>
      <c r="AE34" s="2867"/>
      <c r="AF34" s="2867"/>
      <c r="AG34" s="2867"/>
      <c r="AH34" s="2867"/>
      <c r="AI34" s="2825"/>
      <c r="AJ34" s="2825"/>
      <c r="AK34" s="2825"/>
      <c r="AL34" s="2825"/>
      <c r="AM34" s="2825"/>
      <c r="AN34" s="1"/>
    </row>
    <row r="35" spans="1:40" ht="12.75" customHeight="1" thickBot="1">
      <c r="A35" s="2183"/>
      <c r="B35" s="2530" t="s">
        <v>461</v>
      </c>
      <c r="C35" s="2423">
        <f>IF(D35=1,U$5,IF(D35=2,V$5,IF(D35=3,W$5,IF(D35=4,X$5,IF(D35=5,Y$5,IF(D35=6,Z$5,IF(D35=7,AA$5,0)))))))</f>
        <v>1.7682291666666674E-4</v>
      </c>
      <c r="D35" s="3123">
        <v>7</v>
      </c>
      <c r="E35" s="3124">
        <v>5</v>
      </c>
      <c r="F35" s="3124">
        <v>4</v>
      </c>
      <c r="G35" s="3124">
        <v>25</v>
      </c>
      <c r="H35" s="2377" t="s">
        <v>1508</v>
      </c>
      <c r="I35" s="2377">
        <v>3.4722222222222224E-4</v>
      </c>
      <c r="J35" s="2377">
        <v>6.9444444444444447E-4</v>
      </c>
      <c r="K35" s="3125" t="s">
        <v>1512</v>
      </c>
      <c r="L35" s="2515">
        <f>L34+N34</f>
        <v>0.68297791413237929</v>
      </c>
      <c r="M35" s="4150">
        <v>1</v>
      </c>
      <c r="N35" s="3793">
        <f>P35*E35*F35+I35*E35*F35+J35*E35</f>
        <v>1.3953125000000002E-2</v>
      </c>
      <c r="O35" s="3496">
        <f>C35*(G35/25)</f>
        <v>1.7682291666666674E-4</v>
      </c>
      <c r="P35" s="4151">
        <f>O35*M35</f>
        <v>1.7682291666666674E-4</v>
      </c>
      <c r="Q35" s="3130" t="s">
        <v>316</v>
      </c>
      <c r="R35" s="4149">
        <f>E35*F35*G35</f>
        <v>500</v>
      </c>
      <c r="S35" s="2844">
        <f t="shared" si="16"/>
        <v>0.5</v>
      </c>
      <c r="T35" s="2845">
        <f t="shared" si="17"/>
        <v>1.4145833333333338E-2</v>
      </c>
      <c r="U35" s="374">
        <f t="shared" si="18"/>
        <v>0</v>
      </c>
      <c r="V35" s="2846">
        <f t="shared" si="19"/>
        <v>0</v>
      </c>
      <c r="W35" s="2847">
        <f t="shared" si="20"/>
        <v>0</v>
      </c>
      <c r="X35" s="2848">
        <f t="shared" si="21"/>
        <v>0</v>
      </c>
      <c r="Y35" s="2849">
        <f t="shared" si="22"/>
        <v>0</v>
      </c>
      <c r="Z35" s="2850">
        <f t="shared" si="23"/>
        <v>0</v>
      </c>
      <c r="AA35" s="2851">
        <f t="shared" si="24"/>
        <v>0.5</v>
      </c>
      <c r="AC35" s="2867"/>
      <c r="AD35" s="2867"/>
      <c r="AE35" s="2867"/>
      <c r="AF35" s="2867"/>
      <c r="AG35" s="2867"/>
      <c r="AH35" s="2867"/>
      <c r="AI35" s="2825"/>
      <c r="AJ35" s="2825"/>
      <c r="AK35" s="2825"/>
      <c r="AL35" s="2825"/>
      <c r="AM35" s="2825"/>
      <c r="AN35" s="1"/>
    </row>
    <row r="36" spans="1:40" ht="12.75" customHeight="1" thickBot="1">
      <c r="A36" s="4162"/>
      <c r="B36" s="4164"/>
      <c r="C36" s="2423">
        <f t="shared" ref="C36:C53" si="46">IF(D36=1,U$5,IF(D36=2,V$5,IF(D36=3,W$5,IF(D36=4,X$5,IF(D36=5,Y$5,IF(D36=6,Z$5,IF(D36=7,AA$5,0)))))))</f>
        <v>0</v>
      </c>
      <c r="D36" s="6115"/>
      <c r="E36" s="6116"/>
      <c r="F36" s="6116"/>
      <c r="G36" s="6116"/>
      <c r="H36" s="6116"/>
      <c r="I36" s="6116"/>
      <c r="J36" s="6116"/>
      <c r="K36" s="6116"/>
      <c r="L36" s="2182">
        <f>L35+N35</f>
        <v>0.6969310391323793</v>
      </c>
      <c r="M36" s="6104"/>
      <c r="N36" s="4169">
        <f>SUM(N31:N35)</f>
        <v>6.4986594687934982E-2</v>
      </c>
      <c r="O36" s="6116"/>
      <c r="P36" s="6116"/>
      <c r="Q36" s="6116"/>
      <c r="R36" s="4153">
        <f>SUM(R31:R35)</f>
        <v>4200</v>
      </c>
      <c r="S36" s="2844">
        <f t="shared" si="16"/>
        <v>0</v>
      </c>
      <c r="T36" s="2845">
        <f t="shared" si="17"/>
        <v>0</v>
      </c>
      <c r="U36" s="374">
        <f t="shared" si="18"/>
        <v>0</v>
      </c>
      <c r="V36" s="2846">
        <f t="shared" si="19"/>
        <v>0</v>
      </c>
      <c r="W36" s="2847">
        <f t="shared" si="20"/>
        <v>0</v>
      </c>
      <c r="X36" s="2848">
        <f t="shared" si="21"/>
        <v>0</v>
      </c>
      <c r="Y36" s="2849">
        <f t="shared" si="22"/>
        <v>0</v>
      </c>
      <c r="Z36" s="2850">
        <f t="shared" si="23"/>
        <v>0</v>
      </c>
      <c r="AA36" s="2851">
        <f t="shared" si="24"/>
        <v>0</v>
      </c>
      <c r="AC36" s="2867"/>
      <c r="AD36" s="2867"/>
      <c r="AE36" s="2867"/>
      <c r="AF36" s="2867"/>
      <c r="AG36" s="2867"/>
      <c r="AH36" s="2867"/>
      <c r="AI36" s="2825"/>
      <c r="AJ36" s="2825"/>
      <c r="AK36" s="2825"/>
      <c r="AL36" s="2825"/>
      <c r="AM36" s="2825"/>
      <c r="AN36" s="1"/>
    </row>
    <row r="37" spans="1:40" ht="12.75" customHeight="1" thickBot="1">
      <c r="A37" s="3109"/>
      <c r="B37" s="3110" t="s">
        <v>215</v>
      </c>
      <c r="C37" s="2423">
        <f t="shared" si="46"/>
        <v>2.1908757716049393E-4</v>
      </c>
      <c r="D37" s="4614">
        <v>2</v>
      </c>
      <c r="E37" s="1324">
        <v>1</v>
      </c>
      <c r="F37" s="1324">
        <v>1</v>
      </c>
      <c r="G37" s="1324">
        <v>400</v>
      </c>
      <c r="H37" s="3249"/>
      <c r="I37" s="3249"/>
      <c r="J37" s="3249">
        <v>1.3888888888888889E-3</v>
      </c>
      <c r="K37" s="1324" t="s">
        <v>703</v>
      </c>
      <c r="L37" s="2126">
        <v>0.33333333333333331</v>
      </c>
      <c r="M37" s="3250">
        <v>1</v>
      </c>
      <c r="N37" s="2126">
        <v>9.5138888888888894E-3</v>
      </c>
      <c r="O37" s="1470">
        <v>4.0624999999999993E-3</v>
      </c>
      <c r="P37" s="1431">
        <v>4.0624999999999993E-3</v>
      </c>
      <c r="Q37" s="1432">
        <v>146</v>
      </c>
      <c r="R37" s="2129">
        <f t="shared" ref="R37:R46" si="47">E37*F37*G37</f>
        <v>400</v>
      </c>
      <c r="S37" s="2844">
        <f t="shared" si="16"/>
        <v>0.4</v>
      </c>
      <c r="T37" s="2845">
        <f t="shared" si="17"/>
        <v>1.6249999999999997E-2</v>
      </c>
      <c r="U37" s="374">
        <f t="shared" si="18"/>
        <v>0</v>
      </c>
      <c r="V37" s="2846">
        <f t="shared" si="19"/>
        <v>0.4</v>
      </c>
      <c r="W37" s="2847">
        <f t="shared" si="20"/>
        <v>0</v>
      </c>
      <c r="X37" s="2848">
        <f t="shared" si="21"/>
        <v>0</v>
      </c>
      <c r="Y37" s="2849">
        <f t="shared" si="22"/>
        <v>0</v>
      </c>
      <c r="Z37" s="2850">
        <f t="shared" si="23"/>
        <v>0</v>
      </c>
      <c r="AA37" s="2851">
        <f t="shared" si="24"/>
        <v>0</v>
      </c>
      <c r="AC37" s="2867"/>
      <c r="AD37" s="2867"/>
      <c r="AE37" s="2867"/>
      <c r="AF37" s="2867"/>
      <c r="AG37" s="2867"/>
      <c r="AH37" s="2867"/>
      <c r="AI37" s="2825"/>
      <c r="AJ37" s="2825"/>
      <c r="AK37" s="2825"/>
      <c r="AL37" s="2825"/>
      <c r="AM37" s="2825"/>
      <c r="AN37" s="1"/>
    </row>
    <row r="38" spans="1:40" ht="12.75" customHeight="1" thickBot="1">
      <c r="A38" s="3109"/>
      <c r="B38" s="3110" t="s">
        <v>215</v>
      </c>
      <c r="C38" s="2423">
        <f t="shared" si="46"/>
        <v>2.0247664488766629E-4</v>
      </c>
      <c r="D38" s="6117">
        <v>4</v>
      </c>
      <c r="E38" s="6118">
        <v>1</v>
      </c>
      <c r="F38" s="6118">
        <v>5</v>
      </c>
      <c r="G38" s="6118">
        <v>50</v>
      </c>
      <c r="H38" s="6119" t="s">
        <v>710</v>
      </c>
      <c r="I38" s="6120">
        <v>5.2083333333333333E-4</v>
      </c>
      <c r="J38" s="6120">
        <v>1.3888888888888889E-3</v>
      </c>
      <c r="K38" s="2112" t="s">
        <v>1180</v>
      </c>
      <c r="L38" s="6120">
        <f t="shared" ref="L38:L48" si="48">L37+N37</f>
        <v>0.34284722222222219</v>
      </c>
      <c r="M38" s="6121">
        <v>1</v>
      </c>
      <c r="N38" s="6122">
        <f>P38*E38*F38+I38*E38*F38+J38*E38</f>
        <v>6.0178220044322184E-3</v>
      </c>
      <c r="O38" s="1196">
        <f t="shared" ref="O38:O46" si="49">C38*(G38/25)</f>
        <v>4.0495328977533258E-4</v>
      </c>
      <c r="P38" s="1181">
        <f t="shared" ref="P38:P46" si="50">O38*M38</f>
        <v>4.0495328977533258E-4</v>
      </c>
      <c r="Q38" s="334" t="s">
        <v>316</v>
      </c>
      <c r="R38" s="316">
        <f t="shared" si="47"/>
        <v>250</v>
      </c>
      <c r="S38" s="2844">
        <f t="shared" si="16"/>
        <v>0.25</v>
      </c>
      <c r="T38" s="2845">
        <f t="shared" si="17"/>
        <v>8.0990657955066509E-3</v>
      </c>
      <c r="U38" s="374">
        <f t="shared" si="18"/>
        <v>0</v>
      </c>
      <c r="V38" s="2846">
        <f t="shared" si="19"/>
        <v>0</v>
      </c>
      <c r="W38" s="2847">
        <f t="shared" si="20"/>
        <v>0</v>
      </c>
      <c r="X38" s="2848">
        <f t="shared" si="21"/>
        <v>0.25</v>
      </c>
      <c r="Y38" s="2849">
        <f t="shared" si="22"/>
        <v>0</v>
      </c>
      <c r="Z38" s="2850">
        <f t="shared" si="23"/>
        <v>0</v>
      </c>
      <c r="AA38" s="2851">
        <f t="shared" si="24"/>
        <v>0</v>
      </c>
      <c r="AC38" s="2867"/>
      <c r="AD38" s="2867"/>
      <c r="AE38" s="2867"/>
      <c r="AF38" s="2867"/>
      <c r="AG38" s="2867"/>
      <c r="AH38" s="2867"/>
      <c r="AI38" s="2825"/>
      <c r="AJ38" s="2825"/>
      <c r="AK38" s="2825"/>
      <c r="AL38" s="2825"/>
      <c r="AM38" s="2825"/>
      <c r="AN38" s="1"/>
    </row>
    <row r="39" spans="1:40" ht="12.75" customHeight="1" thickBot="1">
      <c r="A39" s="3109"/>
      <c r="B39" s="3110" t="s">
        <v>215</v>
      </c>
      <c r="C39" s="2423">
        <f t="shared" si="46"/>
        <v>2.1908757716049393E-4</v>
      </c>
      <c r="D39" s="6123">
        <v>2</v>
      </c>
      <c r="E39" s="1474">
        <v>1</v>
      </c>
      <c r="F39" s="1474">
        <v>1</v>
      </c>
      <c r="G39" s="1474">
        <v>200</v>
      </c>
      <c r="H39" s="1438" t="s">
        <v>713</v>
      </c>
      <c r="I39" s="2126">
        <v>1.1574074074074073E-4</v>
      </c>
      <c r="J39" s="2126">
        <v>6.9444444444444447E-4</v>
      </c>
      <c r="K39" s="1474" t="s">
        <v>1181</v>
      </c>
      <c r="L39" s="2126">
        <f t="shared" si="48"/>
        <v>0.34886504422665443</v>
      </c>
      <c r="M39" s="2127">
        <v>1</v>
      </c>
      <c r="N39" s="2128">
        <f t="shared" ref="N39:N46" si="51">P39*E39*F39+I39*E39*F39+J39*E39</f>
        <v>2.5628858024691367E-3</v>
      </c>
      <c r="O39" s="1196">
        <f t="shared" si="49"/>
        <v>1.7527006172839514E-3</v>
      </c>
      <c r="P39" s="1175">
        <f t="shared" si="50"/>
        <v>1.7527006172839514E-3</v>
      </c>
      <c r="Q39" s="550">
        <v>146</v>
      </c>
      <c r="R39" s="2129">
        <f t="shared" si="47"/>
        <v>200</v>
      </c>
      <c r="S39" s="2844">
        <f t="shared" si="16"/>
        <v>0.2</v>
      </c>
      <c r="T39" s="2845">
        <f t="shared" si="17"/>
        <v>7.0108024691358057E-3</v>
      </c>
      <c r="U39" s="374">
        <f t="shared" si="18"/>
        <v>0</v>
      </c>
      <c r="V39" s="2846">
        <f t="shared" si="19"/>
        <v>0.2</v>
      </c>
      <c r="W39" s="2847">
        <f t="shared" si="20"/>
        <v>0</v>
      </c>
      <c r="X39" s="2848">
        <f t="shared" si="21"/>
        <v>0</v>
      </c>
      <c r="Y39" s="2849">
        <f t="shared" si="22"/>
        <v>0</v>
      </c>
      <c r="Z39" s="2850">
        <f t="shared" si="23"/>
        <v>0</v>
      </c>
      <c r="AA39" s="2851">
        <f t="shared" si="24"/>
        <v>0</v>
      </c>
      <c r="AC39" s="2867"/>
      <c r="AD39" s="2867"/>
      <c r="AE39" s="2867"/>
      <c r="AF39" s="2867"/>
      <c r="AG39" s="2867"/>
      <c r="AH39" s="2867"/>
      <c r="AI39" s="2825"/>
      <c r="AJ39" s="2825"/>
      <c r="AK39" s="2825"/>
      <c r="AL39" s="2825"/>
      <c r="AM39" s="2825"/>
      <c r="AN39" s="1"/>
    </row>
    <row r="40" spans="1:40" ht="12.75" customHeight="1" thickBot="1">
      <c r="A40" s="3109"/>
      <c r="B40" s="3110" t="s">
        <v>215</v>
      </c>
      <c r="C40" s="2423">
        <f t="shared" si="46"/>
        <v>1.8229166666666673E-4</v>
      </c>
      <c r="D40" s="6124">
        <v>6</v>
      </c>
      <c r="E40" s="2116">
        <v>1</v>
      </c>
      <c r="F40" s="2116">
        <v>4</v>
      </c>
      <c r="G40" s="2116">
        <v>50</v>
      </c>
      <c r="H40" s="2117" t="s">
        <v>20</v>
      </c>
      <c r="I40" s="1053">
        <v>9.2592592592592585E-4</v>
      </c>
      <c r="J40" s="1053">
        <v>1.736111111111111E-3</v>
      </c>
      <c r="K40" s="1065" t="s">
        <v>1172</v>
      </c>
      <c r="L40" s="2118">
        <f t="shared" si="48"/>
        <v>0.35142793002912359</v>
      </c>
      <c r="M40" s="4146">
        <v>1</v>
      </c>
      <c r="N40" s="2118">
        <f t="shared" si="51"/>
        <v>6.898148148148148E-3</v>
      </c>
      <c r="O40" s="1169">
        <f t="shared" si="49"/>
        <v>3.6458333333333346E-4</v>
      </c>
      <c r="P40" s="1170">
        <f t="shared" si="50"/>
        <v>3.6458333333333346E-4</v>
      </c>
      <c r="Q40" s="1495">
        <v>164</v>
      </c>
      <c r="R40" s="1065">
        <f t="shared" si="47"/>
        <v>200</v>
      </c>
      <c r="S40" s="2844">
        <f t="shared" si="16"/>
        <v>0.2</v>
      </c>
      <c r="T40" s="2845">
        <f t="shared" si="17"/>
        <v>5.8333333333333353E-3</v>
      </c>
      <c r="U40" s="374">
        <f t="shared" si="18"/>
        <v>0</v>
      </c>
      <c r="V40" s="2846">
        <f t="shared" si="19"/>
        <v>0</v>
      </c>
      <c r="W40" s="2847">
        <f t="shared" si="20"/>
        <v>0</v>
      </c>
      <c r="X40" s="2848">
        <f t="shared" si="21"/>
        <v>0</v>
      </c>
      <c r="Y40" s="2849">
        <f t="shared" si="22"/>
        <v>0</v>
      </c>
      <c r="Z40" s="2850">
        <f t="shared" si="23"/>
        <v>0.2</v>
      </c>
      <c r="AA40" s="2851">
        <f t="shared" si="24"/>
        <v>0</v>
      </c>
      <c r="AC40" s="2867"/>
      <c r="AD40" s="2867"/>
      <c r="AE40" s="2867"/>
      <c r="AF40" s="2867"/>
      <c r="AG40" s="2867"/>
      <c r="AH40" s="2867"/>
      <c r="AI40" s="2825"/>
      <c r="AJ40" s="2825"/>
      <c r="AK40" s="2825"/>
      <c r="AL40" s="2825"/>
      <c r="AM40" s="2825"/>
      <c r="AN40" s="1"/>
    </row>
    <row r="41" spans="1:40" ht="12.75" customHeight="1" thickBot="1">
      <c r="A41" s="3109"/>
      <c r="B41" s="3110" t="s">
        <v>215</v>
      </c>
      <c r="C41" s="2423">
        <f t="shared" si="46"/>
        <v>2.1908757716049393E-4</v>
      </c>
      <c r="D41" s="6123">
        <v>2</v>
      </c>
      <c r="E41" s="1474">
        <v>1</v>
      </c>
      <c r="F41" s="1474">
        <v>1</v>
      </c>
      <c r="G41" s="1474">
        <v>200</v>
      </c>
      <c r="H41" s="1438" t="s">
        <v>218</v>
      </c>
      <c r="I41" s="2126">
        <v>1.1574074074074073E-4</v>
      </c>
      <c r="J41" s="2126">
        <v>6.9444444444444447E-4</v>
      </c>
      <c r="K41" s="1474" t="s">
        <v>1170</v>
      </c>
      <c r="L41" s="2126">
        <f t="shared" si="48"/>
        <v>0.35832607817727175</v>
      </c>
      <c r="M41" s="2127">
        <v>1</v>
      </c>
      <c r="N41" s="2128">
        <f t="shared" si="51"/>
        <v>2.5628858024691367E-3</v>
      </c>
      <c r="O41" s="1196">
        <f t="shared" si="49"/>
        <v>1.7527006172839514E-3</v>
      </c>
      <c r="P41" s="1175">
        <f t="shared" si="50"/>
        <v>1.7527006172839514E-3</v>
      </c>
      <c r="Q41" s="550">
        <v>146</v>
      </c>
      <c r="R41" s="2129">
        <f t="shared" si="47"/>
        <v>200</v>
      </c>
      <c r="S41" s="2844">
        <f t="shared" si="16"/>
        <v>0.2</v>
      </c>
      <c r="T41" s="2845">
        <f t="shared" si="17"/>
        <v>7.0108024691358057E-3</v>
      </c>
      <c r="U41" s="374">
        <f t="shared" si="18"/>
        <v>0</v>
      </c>
      <c r="V41" s="2846">
        <f t="shared" si="19"/>
        <v>0.2</v>
      </c>
      <c r="W41" s="2847">
        <f t="shared" si="20"/>
        <v>0</v>
      </c>
      <c r="X41" s="2848">
        <f t="shared" si="21"/>
        <v>0</v>
      </c>
      <c r="Y41" s="2849">
        <f t="shared" si="22"/>
        <v>0</v>
      </c>
      <c r="Z41" s="2850">
        <f t="shared" si="23"/>
        <v>0</v>
      </c>
      <c r="AA41" s="2851">
        <f t="shared" si="24"/>
        <v>0</v>
      </c>
      <c r="AC41" s="2867"/>
      <c r="AD41" s="2867"/>
      <c r="AE41" s="2867"/>
      <c r="AF41" s="2867"/>
      <c r="AG41" s="2867"/>
      <c r="AH41" s="2867"/>
      <c r="AI41" s="2825"/>
      <c r="AJ41" s="2825"/>
      <c r="AK41" s="2825"/>
      <c r="AL41" s="2825"/>
      <c r="AM41" s="2825"/>
      <c r="AN41" s="1"/>
    </row>
    <row r="42" spans="1:40" ht="12.75" customHeight="1" thickBot="1">
      <c r="A42" s="3109"/>
      <c r="B42" s="3110" t="s">
        <v>215</v>
      </c>
      <c r="C42" s="2423">
        <f t="shared" si="46"/>
        <v>1.8229166666666673E-4</v>
      </c>
      <c r="D42" s="6124">
        <v>6</v>
      </c>
      <c r="E42" s="2116">
        <v>1</v>
      </c>
      <c r="F42" s="2116">
        <v>4</v>
      </c>
      <c r="G42" s="2116">
        <v>50</v>
      </c>
      <c r="H42" s="2117" t="s">
        <v>20</v>
      </c>
      <c r="I42" s="1053">
        <v>9.2592592592592585E-4</v>
      </c>
      <c r="J42" s="1053">
        <v>1.736111111111111E-3</v>
      </c>
      <c r="K42" s="1065" t="s">
        <v>1182</v>
      </c>
      <c r="L42" s="2118">
        <f t="shared" si="48"/>
        <v>0.36088896397974091</v>
      </c>
      <c r="M42" s="4146">
        <v>1</v>
      </c>
      <c r="N42" s="2118">
        <f t="shared" si="51"/>
        <v>6.898148148148148E-3</v>
      </c>
      <c r="O42" s="1169">
        <f t="shared" si="49"/>
        <v>3.6458333333333346E-4</v>
      </c>
      <c r="P42" s="1170">
        <f t="shared" si="50"/>
        <v>3.6458333333333346E-4</v>
      </c>
      <c r="Q42" s="1495">
        <v>165</v>
      </c>
      <c r="R42" s="1065">
        <f t="shared" si="47"/>
        <v>200</v>
      </c>
      <c r="S42" s="2844">
        <f t="shared" si="16"/>
        <v>0.2</v>
      </c>
      <c r="T42" s="2845">
        <f t="shared" si="17"/>
        <v>5.8333333333333353E-3</v>
      </c>
      <c r="U42" s="374">
        <f t="shared" si="18"/>
        <v>0</v>
      </c>
      <c r="V42" s="2846">
        <f t="shared" si="19"/>
        <v>0</v>
      </c>
      <c r="W42" s="2847">
        <f t="shared" si="20"/>
        <v>0</v>
      </c>
      <c r="X42" s="2848">
        <f t="shared" si="21"/>
        <v>0</v>
      </c>
      <c r="Y42" s="2849">
        <f t="shared" si="22"/>
        <v>0</v>
      </c>
      <c r="Z42" s="2850">
        <f t="shared" si="23"/>
        <v>0.2</v>
      </c>
      <c r="AA42" s="2851">
        <f t="shared" si="24"/>
        <v>0</v>
      </c>
      <c r="AC42" s="2867"/>
      <c r="AD42" s="2867"/>
      <c r="AE42" s="2867"/>
      <c r="AF42" s="2867"/>
      <c r="AG42" s="2867"/>
      <c r="AH42" s="2867"/>
      <c r="AI42" s="2825"/>
      <c r="AJ42" s="2825"/>
      <c r="AK42" s="2825"/>
      <c r="AL42" s="2825"/>
      <c r="AM42" s="2825"/>
      <c r="AN42" s="1"/>
    </row>
    <row r="43" spans="1:40" ht="12.75" customHeight="1" thickBot="1">
      <c r="A43" s="3109"/>
      <c r="B43" s="3110" t="s">
        <v>215</v>
      </c>
      <c r="C43" s="2423">
        <f t="shared" si="46"/>
        <v>2.1908757716049393E-4</v>
      </c>
      <c r="D43" s="6123">
        <v>2</v>
      </c>
      <c r="E43" s="1474">
        <v>1</v>
      </c>
      <c r="F43" s="1474">
        <v>1</v>
      </c>
      <c r="G43" s="1474">
        <v>400</v>
      </c>
      <c r="H43" s="1438" t="s">
        <v>218</v>
      </c>
      <c r="I43" s="2126">
        <v>1.1574074074074073E-4</v>
      </c>
      <c r="J43" s="2126">
        <v>6.9444444444444447E-4</v>
      </c>
      <c r="K43" s="1474" t="s">
        <v>1173</v>
      </c>
      <c r="L43" s="2126">
        <f t="shared" si="48"/>
        <v>0.36778711212788906</v>
      </c>
      <c r="M43" s="2127">
        <v>1</v>
      </c>
      <c r="N43" s="2128">
        <f t="shared" si="51"/>
        <v>4.3155864197530879E-3</v>
      </c>
      <c r="O43" s="1196">
        <f t="shared" si="49"/>
        <v>3.5054012345679029E-3</v>
      </c>
      <c r="P43" s="1175">
        <f t="shared" si="50"/>
        <v>3.5054012345679029E-3</v>
      </c>
      <c r="Q43" s="550">
        <v>146</v>
      </c>
      <c r="R43" s="2129">
        <f t="shared" si="47"/>
        <v>400</v>
      </c>
      <c r="S43" s="2844">
        <f t="shared" si="16"/>
        <v>0.4</v>
      </c>
      <c r="T43" s="2845">
        <f t="shared" si="17"/>
        <v>1.4021604938271611E-2</v>
      </c>
      <c r="U43" s="374">
        <f t="shared" si="18"/>
        <v>0</v>
      </c>
      <c r="V43" s="2846">
        <f t="shared" si="19"/>
        <v>0.4</v>
      </c>
      <c r="W43" s="2847">
        <f t="shared" si="20"/>
        <v>0</v>
      </c>
      <c r="X43" s="2848">
        <f t="shared" si="21"/>
        <v>0</v>
      </c>
      <c r="Y43" s="2849">
        <f t="shared" si="22"/>
        <v>0</v>
      </c>
      <c r="Z43" s="2850">
        <f t="shared" si="23"/>
        <v>0</v>
      </c>
      <c r="AA43" s="2851">
        <f t="shared" si="24"/>
        <v>0</v>
      </c>
      <c r="AC43" s="2867"/>
      <c r="AD43" s="2867"/>
      <c r="AE43" s="2867"/>
      <c r="AF43" s="2867"/>
      <c r="AG43" s="2867"/>
      <c r="AH43" s="2867"/>
      <c r="AI43" s="2825"/>
      <c r="AJ43" s="2825"/>
      <c r="AK43" s="2825"/>
      <c r="AL43" s="2825"/>
      <c r="AM43" s="2825"/>
      <c r="AN43" s="1"/>
    </row>
    <row r="44" spans="1:40" ht="12.75" customHeight="1" thickBot="1">
      <c r="A44" s="3109"/>
      <c r="B44" s="3110" t="s">
        <v>215</v>
      </c>
      <c r="C44" s="2423">
        <f t="shared" si="46"/>
        <v>1.8933937422552669E-4</v>
      </c>
      <c r="D44" s="6125">
        <v>5</v>
      </c>
      <c r="E44" s="6186">
        <v>2</v>
      </c>
      <c r="F44" s="6187">
        <v>1</v>
      </c>
      <c r="G44" s="6187">
        <v>75</v>
      </c>
      <c r="H44" s="6188" t="s">
        <v>944</v>
      </c>
      <c r="I44" s="6189">
        <v>5.7870370370370366E-5</v>
      </c>
      <c r="J44" s="6189">
        <v>1.3888888888888889E-3</v>
      </c>
      <c r="K44" s="6190" t="s">
        <v>1183</v>
      </c>
      <c r="L44" s="6191">
        <f t="shared" si="48"/>
        <v>0.37210269854764216</v>
      </c>
      <c r="M44" s="6192">
        <v>1</v>
      </c>
      <c r="N44" s="6193">
        <f t="shared" si="51"/>
        <v>4.0295547638716789E-3</v>
      </c>
      <c r="O44" s="6194">
        <f t="shared" si="49"/>
        <v>5.6801812267658004E-4</v>
      </c>
      <c r="P44" s="6195">
        <f t="shared" si="50"/>
        <v>5.6801812267658004E-4</v>
      </c>
      <c r="Q44" s="6196" t="s">
        <v>278</v>
      </c>
      <c r="R44" s="6197">
        <f t="shared" si="47"/>
        <v>150</v>
      </c>
      <c r="S44" s="2844">
        <f t="shared" si="16"/>
        <v>0.15</v>
      </c>
      <c r="T44" s="2845">
        <f t="shared" si="17"/>
        <v>4.5441449814126404E-3</v>
      </c>
      <c r="U44" s="374">
        <f t="shared" si="18"/>
        <v>0</v>
      </c>
      <c r="V44" s="2846">
        <f t="shared" si="19"/>
        <v>0</v>
      </c>
      <c r="W44" s="2847">
        <f t="shared" si="20"/>
        <v>0</v>
      </c>
      <c r="X44" s="2848">
        <f t="shared" si="21"/>
        <v>0</v>
      </c>
      <c r="Y44" s="2849">
        <f t="shared" si="22"/>
        <v>0.15</v>
      </c>
      <c r="Z44" s="2850">
        <f t="shared" si="23"/>
        <v>0</v>
      </c>
      <c r="AA44" s="2851">
        <f t="shared" si="24"/>
        <v>0</v>
      </c>
      <c r="AC44" s="2867"/>
      <c r="AD44" s="2867"/>
      <c r="AE44" s="2867"/>
      <c r="AF44" s="2867"/>
      <c r="AG44" s="2867"/>
      <c r="AH44" s="2867"/>
      <c r="AI44" s="2825"/>
      <c r="AJ44" s="2825"/>
      <c r="AK44" s="2825"/>
      <c r="AL44" s="2825"/>
      <c r="AM44" s="2825"/>
      <c r="AN44" s="1"/>
    </row>
    <row r="45" spans="1:40" ht="12.75" customHeight="1" thickBot="1">
      <c r="A45" s="3109" t="s">
        <v>217</v>
      </c>
      <c r="B45" s="3110" t="s">
        <v>215</v>
      </c>
      <c r="C45" s="2423">
        <f t="shared" si="46"/>
        <v>2.1908757716049393E-4</v>
      </c>
      <c r="D45" s="6123">
        <v>2</v>
      </c>
      <c r="E45" s="1474">
        <v>1</v>
      </c>
      <c r="F45" s="1474">
        <v>1</v>
      </c>
      <c r="G45" s="1474">
        <v>200</v>
      </c>
      <c r="H45" s="1438" t="s">
        <v>218</v>
      </c>
      <c r="I45" s="2126">
        <v>1.1574074074074073E-4</v>
      </c>
      <c r="J45" s="2126">
        <v>6.9444444444444447E-4</v>
      </c>
      <c r="K45" s="1474" t="s">
        <v>1169</v>
      </c>
      <c r="L45" s="2126">
        <f t="shared" si="48"/>
        <v>0.37613225331151384</v>
      </c>
      <c r="M45" s="2127">
        <v>1</v>
      </c>
      <c r="N45" s="2128">
        <f t="shared" si="51"/>
        <v>2.5628858024691367E-3</v>
      </c>
      <c r="O45" s="1196">
        <f t="shared" si="49"/>
        <v>1.7527006172839514E-3</v>
      </c>
      <c r="P45" s="1175">
        <f t="shared" si="50"/>
        <v>1.7527006172839514E-3</v>
      </c>
      <c r="Q45" s="550">
        <v>146</v>
      </c>
      <c r="R45" s="2129">
        <f t="shared" si="47"/>
        <v>200</v>
      </c>
      <c r="S45" s="2844">
        <f t="shared" si="16"/>
        <v>0.2</v>
      </c>
      <c r="T45" s="2845">
        <f t="shared" si="17"/>
        <v>7.0108024691358057E-3</v>
      </c>
      <c r="U45" s="374">
        <f t="shared" si="18"/>
        <v>0</v>
      </c>
      <c r="V45" s="2846">
        <f t="shared" si="19"/>
        <v>0.2</v>
      </c>
      <c r="W45" s="2847">
        <f t="shared" si="20"/>
        <v>0</v>
      </c>
      <c r="X45" s="2848">
        <f t="shared" si="21"/>
        <v>0</v>
      </c>
      <c r="Y45" s="2849">
        <f t="shared" si="22"/>
        <v>0</v>
      </c>
      <c r="Z45" s="2850">
        <f t="shared" si="23"/>
        <v>0</v>
      </c>
      <c r="AA45" s="2851">
        <f t="shared" si="24"/>
        <v>0</v>
      </c>
      <c r="AC45" s="2867"/>
      <c r="AD45" s="2867"/>
      <c r="AE45" s="2867"/>
      <c r="AF45" s="2867"/>
      <c r="AG45" s="2867"/>
      <c r="AH45" s="2867"/>
      <c r="AI45" s="2825"/>
      <c r="AJ45" s="2825"/>
      <c r="AK45" s="2825"/>
      <c r="AL45" s="2825"/>
      <c r="AM45" s="2825"/>
      <c r="AN45" s="1"/>
    </row>
    <row r="46" spans="1:40" ht="12.75" customHeight="1" thickBot="1">
      <c r="A46" s="3109" t="s">
        <v>459</v>
      </c>
      <c r="B46" s="3110" t="s">
        <v>215</v>
      </c>
      <c r="C46" s="2423">
        <f t="shared" si="46"/>
        <v>1.8933937422552669E-4</v>
      </c>
      <c r="D46" s="6125">
        <v>5</v>
      </c>
      <c r="E46" s="6186">
        <v>2</v>
      </c>
      <c r="F46" s="6187">
        <v>1</v>
      </c>
      <c r="G46" s="6187">
        <v>75</v>
      </c>
      <c r="H46" s="6188" t="s">
        <v>944</v>
      </c>
      <c r="I46" s="6189">
        <v>5.7870370370370366E-5</v>
      </c>
      <c r="J46" s="6189">
        <v>1.3888888888888889E-3</v>
      </c>
      <c r="K46" s="6190" t="s">
        <v>1184</v>
      </c>
      <c r="L46" s="6191">
        <f t="shared" si="48"/>
        <v>0.378695139113983</v>
      </c>
      <c r="M46" s="6192">
        <v>1</v>
      </c>
      <c r="N46" s="6193">
        <f t="shared" si="51"/>
        <v>4.0295547638716789E-3</v>
      </c>
      <c r="O46" s="6194">
        <f t="shared" si="49"/>
        <v>5.6801812267658004E-4</v>
      </c>
      <c r="P46" s="6195">
        <f t="shared" si="50"/>
        <v>5.6801812267658004E-4</v>
      </c>
      <c r="Q46" s="6196" t="s">
        <v>278</v>
      </c>
      <c r="R46" s="6197">
        <f t="shared" si="47"/>
        <v>150</v>
      </c>
      <c r="S46" s="2844">
        <f t="shared" si="16"/>
        <v>0.15</v>
      </c>
      <c r="T46" s="2845">
        <f t="shared" si="17"/>
        <v>4.5441449814126404E-3</v>
      </c>
      <c r="U46" s="374">
        <f t="shared" si="18"/>
        <v>0</v>
      </c>
      <c r="V46" s="2846">
        <f t="shared" si="19"/>
        <v>0</v>
      </c>
      <c r="W46" s="2847">
        <f t="shared" si="20"/>
        <v>0</v>
      </c>
      <c r="X46" s="2848">
        <f t="shared" si="21"/>
        <v>0</v>
      </c>
      <c r="Y46" s="2849">
        <f t="shared" si="22"/>
        <v>0.15</v>
      </c>
      <c r="Z46" s="2850">
        <f t="shared" si="23"/>
        <v>0</v>
      </c>
      <c r="AA46" s="2851">
        <f t="shared" si="24"/>
        <v>0</v>
      </c>
      <c r="AC46" s="2867"/>
      <c r="AD46" s="2867"/>
      <c r="AE46" s="2867"/>
      <c r="AF46" s="2867"/>
      <c r="AG46" s="2867"/>
      <c r="AH46" s="2867"/>
      <c r="AI46" s="2825"/>
      <c r="AJ46" s="2825"/>
      <c r="AK46" s="2825"/>
      <c r="AL46" s="2825"/>
      <c r="AM46" s="2825"/>
      <c r="AN46" s="1"/>
    </row>
    <row r="47" spans="1:40" ht="12.75" customHeight="1" thickBot="1">
      <c r="A47" s="3109" t="s">
        <v>458</v>
      </c>
      <c r="B47" s="3110" t="s">
        <v>215</v>
      </c>
      <c r="C47" s="2423">
        <f t="shared" si="46"/>
        <v>0</v>
      </c>
      <c r="D47" s="6126"/>
      <c r="E47" s="6052">
        <v>1</v>
      </c>
      <c r="F47" s="6052">
        <v>8</v>
      </c>
      <c r="G47" s="6052">
        <v>15</v>
      </c>
      <c r="H47" s="6053"/>
      <c r="I47" s="6054">
        <v>4.6296296296296293E-4</v>
      </c>
      <c r="J47" s="6054">
        <v>4.1666666666666666E-3</v>
      </c>
      <c r="K47" s="6055" t="s">
        <v>1178</v>
      </c>
      <c r="L47" s="2515">
        <f>L46+N46</f>
        <v>0.38272469387785468</v>
      </c>
      <c r="M47" s="6057"/>
      <c r="N47" s="6056">
        <v>7.8703703703703713E-3</v>
      </c>
      <c r="O47" s="6058"/>
      <c r="P47" s="6059">
        <v>0</v>
      </c>
      <c r="Q47" s="6055" t="s">
        <v>274</v>
      </c>
      <c r="R47" s="6060">
        <v>120</v>
      </c>
      <c r="S47" s="2844">
        <f t="shared" si="16"/>
        <v>0.12</v>
      </c>
      <c r="T47" s="2845">
        <f t="shared" si="17"/>
        <v>0</v>
      </c>
      <c r="U47" s="374">
        <f t="shared" si="18"/>
        <v>0</v>
      </c>
      <c r="V47" s="2846">
        <f t="shared" si="19"/>
        <v>0</v>
      </c>
      <c r="W47" s="2847">
        <f t="shared" si="20"/>
        <v>0</v>
      </c>
      <c r="X47" s="2848">
        <f t="shared" si="21"/>
        <v>0</v>
      </c>
      <c r="Y47" s="2849">
        <f t="shared" si="22"/>
        <v>0</v>
      </c>
      <c r="Z47" s="2850">
        <f t="shared" si="23"/>
        <v>0</v>
      </c>
      <c r="AA47" s="2851">
        <f t="shared" si="24"/>
        <v>0</v>
      </c>
      <c r="AC47" s="2867"/>
      <c r="AD47" s="2867"/>
      <c r="AE47" s="2867"/>
      <c r="AF47" s="2867"/>
      <c r="AG47" s="2867"/>
      <c r="AH47" s="2867"/>
      <c r="AI47" s="2825"/>
      <c r="AJ47" s="2825"/>
      <c r="AK47" s="2825"/>
      <c r="AL47" s="2825"/>
      <c r="AM47" s="2825"/>
      <c r="AN47" s="1"/>
    </row>
    <row r="48" spans="1:40" ht="12.75" customHeight="1" thickBot="1">
      <c r="A48" s="3109" t="s">
        <v>218</v>
      </c>
      <c r="B48" s="3110"/>
      <c r="C48" s="2423">
        <f t="shared" si="46"/>
        <v>0</v>
      </c>
      <c r="D48" s="6127"/>
      <c r="E48" s="6128"/>
      <c r="F48" s="6128"/>
      <c r="G48" s="6128"/>
      <c r="H48" s="6129"/>
      <c r="I48" s="6129"/>
      <c r="J48" s="6129"/>
      <c r="K48" s="1664" t="s">
        <v>1437</v>
      </c>
      <c r="L48" s="1485">
        <f t="shared" si="48"/>
        <v>0.39059506424822504</v>
      </c>
      <c r="M48" s="6130">
        <v>1</v>
      </c>
      <c r="N48" s="1477">
        <f>SUM(N37:N47)</f>
        <v>5.7261730914891631E-2</v>
      </c>
      <c r="O48" s="6131">
        <v>0</v>
      </c>
      <c r="P48" s="6131"/>
      <c r="Q48" s="6131"/>
      <c r="R48" s="4155">
        <f>SUM(R37:R47)</f>
        <v>2470</v>
      </c>
      <c r="S48" s="2844">
        <f t="shared" si="16"/>
        <v>0</v>
      </c>
      <c r="T48" s="2845">
        <f t="shared" si="17"/>
        <v>0</v>
      </c>
      <c r="U48" s="374">
        <f t="shared" si="18"/>
        <v>0</v>
      </c>
      <c r="V48" s="2846">
        <f t="shared" si="19"/>
        <v>0</v>
      </c>
      <c r="W48" s="2847">
        <f t="shared" si="20"/>
        <v>0</v>
      </c>
      <c r="X48" s="2848">
        <f t="shared" si="21"/>
        <v>0</v>
      </c>
      <c r="Y48" s="2849">
        <f t="shared" si="22"/>
        <v>0</v>
      </c>
      <c r="Z48" s="2850">
        <f t="shared" si="23"/>
        <v>0</v>
      </c>
      <c r="AA48" s="2851">
        <f t="shared" si="24"/>
        <v>0</v>
      </c>
      <c r="AC48" s="2867"/>
      <c r="AD48" s="2867"/>
      <c r="AE48" s="2867"/>
      <c r="AF48" s="2867"/>
      <c r="AG48" s="2867"/>
      <c r="AH48" s="2867"/>
      <c r="AI48" s="2825"/>
      <c r="AJ48" s="2825"/>
      <c r="AK48" s="2825"/>
      <c r="AL48" s="2825"/>
      <c r="AM48" s="2825"/>
      <c r="AN48" s="1"/>
    </row>
    <row r="49" spans="1:40" ht="12.75" customHeight="1" thickBot="1">
      <c r="A49" s="3109" t="s">
        <v>458</v>
      </c>
      <c r="B49" s="3110" t="s">
        <v>461</v>
      </c>
      <c r="C49" s="1008">
        <f t="shared" si="46"/>
        <v>2.2880964381720439E-4</v>
      </c>
      <c r="D49" s="4630">
        <v>1</v>
      </c>
      <c r="E49" s="4631">
        <v>1</v>
      </c>
      <c r="F49" s="4631">
        <v>3</v>
      </c>
      <c r="G49" s="4632">
        <v>100</v>
      </c>
      <c r="H49" s="325"/>
      <c r="I49" s="325">
        <v>1.1574074074074073E-4</v>
      </c>
      <c r="J49" s="325">
        <v>6.9444444444444447E-4</v>
      </c>
      <c r="K49" s="312" t="s">
        <v>24</v>
      </c>
      <c r="L49" s="1374">
        <v>0.79861111111111116</v>
      </c>
      <c r="M49" s="4633">
        <v>0.9</v>
      </c>
      <c r="N49" s="1379">
        <v>3.90505592357911E-3</v>
      </c>
      <c r="O49" s="296">
        <f t="shared" ref="O49:O50" si="52">C49*(G49/25)</f>
        <v>9.1523857526881758E-4</v>
      </c>
      <c r="P49" s="548"/>
      <c r="Q49" s="548"/>
      <c r="R49" s="4632">
        <f t="shared" ref="R49:R53" si="53">E49*F49*G49</f>
        <v>300</v>
      </c>
      <c r="S49" s="2844">
        <f t="shared" si="16"/>
        <v>0.3</v>
      </c>
      <c r="T49" s="2845">
        <f t="shared" si="17"/>
        <v>1.0982862903225811E-2</v>
      </c>
      <c r="U49" s="374">
        <f t="shared" si="18"/>
        <v>0.3</v>
      </c>
      <c r="V49" s="2846">
        <f t="shared" si="19"/>
        <v>0</v>
      </c>
      <c r="W49" s="2847">
        <f t="shared" si="20"/>
        <v>0</v>
      </c>
      <c r="X49" s="2848">
        <f t="shared" si="21"/>
        <v>0</v>
      </c>
      <c r="Y49" s="2849">
        <f t="shared" si="22"/>
        <v>0</v>
      </c>
      <c r="Z49" s="2850">
        <f t="shared" si="23"/>
        <v>0</v>
      </c>
      <c r="AA49" s="2851">
        <f t="shared" si="24"/>
        <v>0</v>
      </c>
      <c r="AC49" s="2867"/>
      <c r="AD49" s="2867"/>
      <c r="AE49" s="2867"/>
      <c r="AF49" s="2867"/>
      <c r="AG49" s="2867"/>
      <c r="AH49" s="2867"/>
      <c r="AI49" s="2825"/>
      <c r="AJ49" s="2825"/>
      <c r="AK49" s="2825"/>
      <c r="AL49" s="2825"/>
      <c r="AM49" s="2825"/>
      <c r="AN49" s="1"/>
    </row>
    <row r="50" spans="1:40" ht="12.75" customHeight="1" thickBot="1">
      <c r="A50" s="3109" t="s">
        <v>219</v>
      </c>
      <c r="B50" s="3110" t="s">
        <v>461</v>
      </c>
      <c r="C50" s="1008">
        <f t="shared" si="46"/>
        <v>2.1908757716049393E-4</v>
      </c>
      <c r="D50" s="4634">
        <v>2</v>
      </c>
      <c r="E50" s="5957">
        <v>2</v>
      </c>
      <c r="F50" s="2045">
        <v>1</v>
      </c>
      <c r="G50" s="4615">
        <v>200</v>
      </c>
      <c r="H50" s="4616"/>
      <c r="I50" s="4616">
        <v>1.7361111111111112E-4</v>
      </c>
      <c r="J50" s="4616">
        <v>2.3148148148148146E-4</v>
      </c>
      <c r="K50" s="1123" t="s">
        <v>724</v>
      </c>
      <c r="L50" s="1376">
        <v>0.80251616703469031</v>
      </c>
      <c r="M50" s="4617">
        <v>1.3</v>
      </c>
      <c r="N50" s="4635">
        <v>6.0905435528120725E-3</v>
      </c>
      <c r="O50" s="302">
        <f t="shared" si="52"/>
        <v>1.7527006172839514E-3</v>
      </c>
      <c r="P50" s="550"/>
      <c r="Q50" s="550"/>
      <c r="R50" s="4618">
        <f t="shared" si="53"/>
        <v>400</v>
      </c>
      <c r="S50" s="2844">
        <f t="shared" si="16"/>
        <v>0.4</v>
      </c>
      <c r="T50" s="2845">
        <f t="shared" si="17"/>
        <v>1.4021604938271611E-2</v>
      </c>
      <c r="U50" s="374">
        <f t="shared" si="18"/>
        <v>0</v>
      </c>
      <c r="V50" s="2846">
        <f t="shared" si="19"/>
        <v>0.4</v>
      </c>
      <c r="W50" s="2847">
        <f t="shared" si="20"/>
        <v>0</v>
      </c>
      <c r="X50" s="2848">
        <f t="shared" si="21"/>
        <v>0</v>
      </c>
      <c r="Y50" s="2849">
        <f t="shared" si="22"/>
        <v>0</v>
      </c>
      <c r="Z50" s="2850">
        <f t="shared" si="23"/>
        <v>0</v>
      </c>
      <c r="AA50" s="2851">
        <f t="shared" si="24"/>
        <v>0</v>
      </c>
      <c r="AC50" s="2867"/>
      <c r="AD50" s="2867"/>
      <c r="AE50" s="2867"/>
      <c r="AF50" s="2867"/>
      <c r="AG50" s="2867"/>
      <c r="AH50" s="2867"/>
      <c r="AI50" s="2825"/>
      <c r="AJ50" s="2825"/>
      <c r="AK50" s="2825"/>
      <c r="AL50" s="2825"/>
      <c r="AM50" s="2825"/>
      <c r="AN50" s="1"/>
    </row>
    <row r="51" spans="1:40" ht="12.75" customHeight="1" thickBot="1">
      <c r="A51" s="3109"/>
      <c r="B51" s="3110" t="s">
        <v>461</v>
      </c>
      <c r="C51" s="1008">
        <f t="shared" si="46"/>
        <v>1.7682291666666674E-4</v>
      </c>
      <c r="D51" s="6132">
        <v>7</v>
      </c>
      <c r="E51" s="6133">
        <v>5</v>
      </c>
      <c r="F51" s="6134">
        <v>5</v>
      </c>
      <c r="G51" s="6135">
        <v>35</v>
      </c>
      <c r="H51" s="4621"/>
      <c r="I51" s="4621">
        <v>4.0509259259259258E-4</v>
      </c>
      <c r="J51" s="6136">
        <v>0</v>
      </c>
      <c r="K51" s="6137" t="s">
        <v>1970</v>
      </c>
      <c r="L51" s="4583">
        <f t="shared" ref="L51:L53" si="54">L50+N50</f>
        <v>0.80860671058750233</v>
      </c>
      <c r="M51" s="6138">
        <v>1.05</v>
      </c>
      <c r="N51" s="6139">
        <f t="shared" ref="N51:N53" si="55">P51*E51*F51+I51*E51*F51+J51*E51</f>
        <v>1.6885486689814818E-2</v>
      </c>
      <c r="O51" s="4586">
        <f>C51*(G51/25)*1.04</f>
        <v>2.5745416666666675E-4</v>
      </c>
      <c r="P51" s="6140">
        <f t="shared" ref="P51:P53" si="56">O51*M51</f>
        <v>2.7032687500000012E-4</v>
      </c>
      <c r="Q51" s="6141">
        <v>177</v>
      </c>
      <c r="R51" s="6137">
        <f t="shared" si="53"/>
        <v>875</v>
      </c>
      <c r="S51" s="2844">
        <f t="shared" si="16"/>
        <v>0.875</v>
      </c>
      <c r="T51" s="2845">
        <f t="shared" si="17"/>
        <v>2.5745416666666673E-2</v>
      </c>
      <c r="U51" s="374">
        <f t="shared" si="18"/>
        <v>0</v>
      </c>
      <c r="V51" s="2846">
        <f t="shared" si="19"/>
        <v>0</v>
      </c>
      <c r="W51" s="2847">
        <f t="shared" si="20"/>
        <v>0</v>
      </c>
      <c r="X51" s="2848">
        <f t="shared" si="21"/>
        <v>0</v>
      </c>
      <c r="Y51" s="2849">
        <f t="shared" si="22"/>
        <v>0</v>
      </c>
      <c r="Z51" s="2850">
        <f t="shared" si="23"/>
        <v>0</v>
      </c>
      <c r="AA51" s="2851">
        <f t="shared" si="24"/>
        <v>0.875</v>
      </c>
      <c r="AC51" s="2867"/>
      <c r="AD51" s="2867"/>
      <c r="AE51" s="2867"/>
      <c r="AF51" s="2867"/>
      <c r="AG51" s="2867"/>
      <c r="AH51" s="2867"/>
      <c r="AI51" s="2825"/>
      <c r="AJ51" s="2825"/>
      <c r="AK51" s="2825"/>
      <c r="AL51" s="2825"/>
      <c r="AM51" s="2825"/>
      <c r="AN51" s="1"/>
    </row>
    <row r="52" spans="1:40" ht="14" customHeight="1" thickBot="1">
      <c r="A52" s="3109"/>
      <c r="B52" s="3110" t="s">
        <v>461</v>
      </c>
      <c r="C52" s="1008">
        <f t="shared" si="46"/>
        <v>1.7682291666666674E-4</v>
      </c>
      <c r="D52" s="6132">
        <v>7</v>
      </c>
      <c r="E52" s="6142">
        <v>5</v>
      </c>
      <c r="F52" s="6134">
        <v>3</v>
      </c>
      <c r="G52" s="6143">
        <v>12.5</v>
      </c>
      <c r="H52" s="4621"/>
      <c r="I52" s="4621">
        <v>3.4722222222222224E-4</v>
      </c>
      <c r="J52" s="6136">
        <v>0</v>
      </c>
      <c r="K52" s="6137" t="s">
        <v>1971</v>
      </c>
      <c r="L52" s="4583">
        <f t="shared" si="54"/>
        <v>0.82549219727731715</v>
      </c>
      <c r="M52" s="6138">
        <v>1.05</v>
      </c>
      <c r="N52" s="6139">
        <f t="shared" si="55"/>
        <v>6.6565130208333344E-3</v>
      </c>
      <c r="O52" s="4586">
        <f>C52*(G52/25)*1.04</f>
        <v>9.1947916666666705E-5</v>
      </c>
      <c r="P52" s="6140">
        <f t="shared" si="56"/>
        <v>9.6545312500000044E-5</v>
      </c>
      <c r="Q52" s="6141">
        <v>177</v>
      </c>
      <c r="R52" s="6137">
        <f t="shared" si="53"/>
        <v>187.5</v>
      </c>
      <c r="S52" s="2844">
        <f t="shared" si="16"/>
        <v>0.1875</v>
      </c>
      <c r="T52" s="2845">
        <f t="shared" si="17"/>
        <v>5.5168750000000027E-3</v>
      </c>
      <c r="U52" s="374">
        <f t="shared" si="18"/>
        <v>0</v>
      </c>
      <c r="V52" s="2846">
        <f t="shared" si="19"/>
        <v>0</v>
      </c>
      <c r="W52" s="2847">
        <f t="shared" si="20"/>
        <v>0</v>
      </c>
      <c r="X52" s="2848">
        <f t="shared" si="21"/>
        <v>0</v>
      </c>
      <c r="Y52" s="2849">
        <f t="shared" si="22"/>
        <v>0</v>
      </c>
      <c r="Z52" s="2850">
        <f t="shared" si="23"/>
        <v>0</v>
      </c>
      <c r="AA52" s="2851">
        <f t="shared" si="24"/>
        <v>0.1875</v>
      </c>
      <c r="AC52" s="2867"/>
      <c r="AD52" s="2867"/>
      <c r="AE52" s="2867"/>
      <c r="AF52" s="2867"/>
      <c r="AG52" s="2867"/>
      <c r="AH52" s="2867"/>
      <c r="AI52" s="2825"/>
      <c r="AJ52" s="2825"/>
      <c r="AK52" s="2825"/>
      <c r="AL52" s="2825"/>
      <c r="AM52" s="2825"/>
      <c r="AN52" s="1"/>
    </row>
    <row r="53" spans="1:40" ht="12.75" customHeight="1" thickBot="1">
      <c r="A53" s="3109"/>
      <c r="B53" s="3110" t="s">
        <v>461</v>
      </c>
      <c r="C53" s="1008">
        <f t="shared" si="46"/>
        <v>1.7682291666666674E-4</v>
      </c>
      <c r="D53" s="6132">
        <v>7</v>
      </c>
      <c r="E53" s="6144">
        <v>5</v>
      </c>
      <c r="F53" s="6134">
        <v>1</v>
      </c>
      <c r="G53" s="6135">
        <v>15</v>
      </c>
      <c r="H53" s="4621"/>
      <c r="I53" s="4621">
        <v>2.0833333333333333E-3</v>
      </c>
      <c r="J53" s="6136">
        <v>3.472222222222222E-3</v>
      </c>
      <c r="K53" s="6137" t="s">
        <v>1972</v>
      </c>
      <c r="L53" s="4583">
        <f t="shared" si="54"/>
        <v>0.83214871029815052</v>
      </c>
      <c r="M53" s="6138">
        <v>1.05</v>
      </c>
      <c r="N53" s="6139">
        <f t="shared" si="55"/>
        <v>2.8357049652777779E-2</v>
      </c>
      <c r="O53" s="4586">
        <f>C53*(G53/25)*1.04</f>
        <v>1.1033750000000005E-4</v>
      </c>
      <c r="P53" s="6140">
        <f t="shared" si="56"/>
        <v>1.1585437500000005E-4</v>
      </c>
      <c r="Q53" s="6141">
        <v>177</v>
      </c>
      <c r="R53" s="6137">
        <f t="shared" si="53"/>
        <v>75</v>
      </c>
      <c r="S53" s="2844">
        <f t="shared" si="16"/>
        <v>7.4999999999999997E-2</v>
      </c>
      <c r="T53" s="2845">
        <f t="shared" si="17"/>
        <v>2.2067500000000008E-3</v>
      </c>
      <c r="U53" s="374">
        <f t="shared" si="18"/>
        <v>0</v>
      </c>
      <c r="V53" s="2846">
        <f t="shared" si="19"/>
        <v>0</v>
      </c>
      <c r="W53" s="2847">
        <f t="shared" si="20"/>
        <v>0</v>
      </c>
      <c r="X53" s="2848">
        <f t="shared" si="21"/>
        <v>0</v>
      </c>
      <c r="Y53" s="2849">
        <f t="shared" si="22"/>
        <v>0</v>
      </c>
      <c r="Z53" s="2850">
        <f t="shared" si="23"/>
        <v>0</v>
      </c>
      <c r="AA53" s="2851">
        <f t="shared" si="24"/>
        <v>7.4999999999999997E-2</v>
      </c>
      <c r="AC53" s="2867"/>
      <c r="AD53" s="2867"/>
      <c r="AE53" s="2867"/>
      <c r="AF53" s="2867"/>
      <c r="AG53" s="2867"/>
      <c r="AH53" s="2867"/>
      <c r="AI53" s="2825"/>
      <c r="AJ53" s="2825"/>
      <c r="AK53" s="2825"/>
      <c r="AL53" s="2825"/>
      <c r="AM53" s="2825"/>
      <c r="AN53" s="1"/>
    </row>
    <row r="54" spans="1:40" ht="12.75" customHeight="1" thickBot="1">
      <c r="A54" s="3109"/>
      <c r="B54" s="3110" t="s">
        <v>461</v>
      </c>
      <c r="C54" s="6145"/>
      <c r="D54" s="4637"/>
      <c r="E54" s="1494"/>
      <c r="F54" s="1494"/>
      <c r="G54" s="1494"/>
      <c r="H54" s="1494"/>
      <c r="I54" s="1494"/>
      <c r="J54" s="1494"/>
      <c r="K54" s="1494" t="s">
        <v>1973</v>
      </c>
      <c r="L54" s="1378">
        <f>L53+N53</f>
        <v>0.86050575995092826</v>
      </c>
      <c r="M54" s="4638"/>
      <c r="N54" s="1379"/>
      <c r="O54" s="1494">
        <f t="shared" ref="O54" si="57">C54*(G54/25)</f>
        <v>0</v>
      </c>
      <c r="P54" s="1494">
        <f>SUM(P51:P53)</f>
        <v>4.8272656250000025E-4</v>
      </c>
      <c r="Q54" s="1494">
        <f>SUM(Q51:Q53)</f>
        <v>531</v>
      </c>
      <c r="R54" s="363">
        <f>SUM(R49:R53)</f>
        <v>1837.5</v>
      </c>
      <c r="S54" s="2844">
        <f t="shared" si="16"/>
        <v>0</v>
      </c>
      <c r="T54" s="2845">
        <f t="shared" si="17"/>
        <v>0</v>
      </c>
      <c r="U54" s="374">
        <f t="shared" si="18"/>
        <v>0</v>
      </c>
      <c r="V54" s="2846">
        <f t="shared" si="19"/>
        <v>0</v>
      </c>
      <c r="W54" s="2847">
        <f t="shared" si="20"/>
        <v>0</v>
      </c>
      <c r="X54" s="2848">
        <f t="shared" si="21"/>
        <v>0</v>
      </c>
      <c r="Y54" s="2849">
        <f t="shared" si="22"/>
        <v>0</v>
      </c>
      <c r="Z54" s="2850">
        <f t="shared" si="23"/>
        <v>0</v>
      </c>
      <c r="AA54" s="2851">
        <f t="shared" si="24"/>
        <v>0</v>
      </c>
      <c r="AC54" s="2867"/>
      <c r="AD54" s="2867"/>
      <c r="AE54" s="2867"/>
      <c r="AF54" s="2867"/>
      <c r="AG54" s="2867"/>
      <c r="AH54" s="2867"/>
      <c r="AI54" s="2825"/>
      <c r="AJ54" s="2825"/>
      <c r="AK54" s="2825"/>
      <c r="AL54" s="2825"/>
      <c r="AM54" s="2825"/>
      <c r="AN54" s="1"/>
    </row>
    <row r="55" spans="1:40" ht="12.75" customHeight="1" thickBot="1">
      <c r="A55" s="4162"/>
      <c r="B55" s="4165"/>
      <c r="C55" s="6146"/>
      <c r="D55" s="6147"/>
      <c r="E55" s="6148"/>
      <c r="F55" s="6148"/>
      <c r="G55" s="6148"/>
      <c r="H55" s="6149"/>
      <c r="I55" s="6149"/>
      <c r="J55" s="6149"/>
      <c r="K55" s="4167"/>
      <c r="L55" s="2182">
        <f>L54+N54</f>
        <v>0.86050575995092826</v>
      </c>
      <c r="M55" s="6102">
        <v>1</v>
      </c>
      <c r="N55" s="4170">
        <f>SUM(N49:N54)</f>
        <v>6.1894648839817108E-2</v>
      </c>
      <c r="O55" s="4171">
        <f t="shared" ref="O55" si="58">C55*(G55/25)</f>
        <v>0</v>
      </c>
      <c r="P55" s="4171"/>
      <c r="Q55" s="4172"/>
      <c r="R55" s="4157">
        <f>SUM(R49:R54)</f>
        <v>3675</v>
      </c>
      <c r="S55" s="2844">
        <f t="shared" si="16"/>
        <v>0</v>
      </c>
      <c r="T55" s="2845">
        <f t="shared" si="17"/>
        <v>0</v>
      </c>
      <c r="U55" s="374">
        <f t="shared" si="18"/>
        <v>0</v>
      </c>
      <c r="V55" s="2846">
        <f t="shared" si="19"/>
        <v>0</v>
      </c>
      <c r="W55" s="2847">
        <f t="shared" si="20"/>
        <v>0</v>
      </c>
      <c r="X55" s="2848">
        <f t="shared" si="21"/>
        <v>0</v>
      </c>
      <c r="Y55" s="2849">
        <f t="shared" si="22"/>
        <v>0</v>
      </c>
      <c r="Z55" s="2850">
        <f t="shared" si="23"/>
        <v>0</v>
      </c>
      <c r="AA55" s="2851">
        <f t="shared" si="24"/>
        <v>0</v>
      </c>
      <c r="AC55" s="2867"/>
      <c r="AD55" s="2867"/>
      <c r="AE55" s="2867"/>
      <c r="AF55" s="2867"/>
      <c r="AG55" s="2867"/>
      <c r="AH55" s="2867"/>
      <c r="AI55" s="2825"/>
      <c r="AJ55" s="2825"/>
      <c r="AK55" s="2825"/>
      <c r="AL55" s="2825"/>
      <c r="AM55" s="2825"/>
    </row>
    <row r="56" spans="1:40" ht="12.75" customHeight="1" thickBot="1">
      <c r="A56" s="2183"/>
      <c r="B56" s="2530"/>
      <c r="C56" s="2423">
        <f t="shared" ref="C56:C62" si="59">IF(D56=1,U$5,IF(D56=2,V$5,IF(D56=3,W$5,IF(D56=4,X$5,IF(D56=5,Y$5,IF(D56=6,Z$5,IF(D56=7,AA$5,0)))))))</f>
        <v>2.1222190799396687E-4</v>
      </c>
      <c r="D56" s="4603">
        <v>3</v>
      </c>
      <c r="E56" s="2261"/>
      <c r="F56" s="2261"/>
      <c r="G56" s="2261"/>
      <c r="H56" s="4604"/>
      <c r="I56" s="2694" t="s">
        <v>984</v>
      </c>
      <c r="J56" s="2694" t="s">
        <v>1450</v>
      </c>
      <c r="K56" s="2694" t="s">
        <v>1453</v>
      </c>
      <c r="L56" s="2694" t="s">
        <v>1451</v>
      </c>
      <c r="M56" s="2692">
        <v>1</v>
      </c>
      <c r="N56" s="2692"/>
      <c r="O56" s="2692" t="s">
        <v>1452</v>
      </c>
      <c r="P56" s="4158"/>
      <c r="Q56" s="4159"/>
      <c r="R56" s="2259" t="s">
        <v>1496</v>
      </c>
      <c r="S56" s="2844">
        <f t="shared" si="16"/>
        <v>0</v>
      </c>
      <c r="T56" s="2845" t="e">
        <f t="shared" si="17"/>
        <v>#VALUE!</v>
      </c>
      <c r="U56" s="374">
        <f t="shared" si="18"/>
        <v>0</v>
      </c>
      <c r="V56" s="2846">
        <f t="shared" si="19"/>
        <v>0</v>
      </c>
      <c r="W56" s="2847">
        <f t="shared" si="20"/>
        <v>0</v>
      </c>
      <c r="X56" s="2848">
        <f t="shared" si="21"/>
        <v>0</v>
      </c>
      <c r="Y56" s="2849">
        <f t="shared" si="22"/>
        <v>0</v>
      </c>
      <c r="Z56" s="2850">
        <f t="shared" si="23"/>
        <v>0</v>
      </c>
      <c r="AA56" s="2851">
        <f t="shared" si="24"/>
        <v>0</v>
      </c>
      <c r="AC56" s="2867"/>
      <c r="AD56" s="2867"/>
      <c r="AE56" s="2867"/>
      <c r="AF56" s="2867"/>
      <c r="AG56" s="2867"/>
      <c r="AH56" s="2867"/>
      <c r="AI56" s="2825"/>
      <c r="AJ56" s="2825"/>
      <c r="AK56" s="2825"/>
      <c r="AL56" s="2825"/>
      <c r="AM56" s="2825"/>
    </row>
    <row r="57" spans="1:40" ht="12.75" customHeight="1" thickBot="1">
      <c r="A57" s="3109" t="s">
        <v>218</v>
      </c>
      <c r="B57" s="3110" t="s">
        <v>461</v>
      </c>
      <c r="C57" s="2423">
        <f t="shared" si="59"/>
        <v>2.1908757716049393E-4</v>
      </c>
      <c r="D57" s="4598">
        <v>2</v>
      </c>
      <c r="E57" s="4599">
        <v>1</v>
      </c>
      <c r="F57" s="4599">
        <v>8</v>
      </c>
      <c r="G57" s="4599">
        <v>100</v>
      </c>
      <c r="H57" s="4600"/>
      <c r="I57" s="4600">
        <v>2.3148148148148146E-4</v>
      </c>
      <c r="J57" s="4600">
        <v>1.3888888888888889E-3</v>
      </c>
      <c r="K57" s="2278" t="s">
        <v>1518</v>
      </c>
      <c r="L57" s="2503">
        <v>0.63194444444444442</v>
      </c>
      <c r="M57" s="6106">
        <v>1</v>
      </c>
      <c r="N57" s="6107">
        <f>P57*E57*F57+I57*E57*F57+J57*E57</f>
        <v>1.0251543209876547E-2</v>
      </c>
      <c r="O57" s="2307">
        <f t="shared" ref="O57:O60" si="60">C57*(G57/25)</f>
        <v>8.7635030864197572E-4</v>
      </c>
      <c r="P57" s="2307">
        <f t="shared" ref="P57:P60" si="61">O57*M57</f>
        <v>8.7635030864197572E-4</v>
      </c>
      <c r="Q57" s="2282">
        <v>129</v>
      </c>
      <c r="R57" s="6150">
        <f t="shared" ref="R57:R60" si="62">E57*F57*G57</f>
        <v>800</v>
      </c>
      <c r="S57" s="2844">
        <f t="shared" si="16"/>
        <v>0.8</v>
      </c>
      <c r="T57" s="2845">
        <f t="shared" si="17"/>
        <v>2.8043209876543223E-2</v>
      </c>
      <c r="U57" s="374">
        <f t="shared" si="18"/>
        <v>0</v>
      </c>
      <c r="V57" s="2846">
        <f t="shared" si="19"/>
        <v>0.8</v>
      </c>
      <c r="W57" s="2847">
        <f t="shared" si="20"/>
        <v>0</v>
      </c>
      <c r="X57" s="2848">
        <f t="shared" si="21"/>
        <v>0</v>
      </c>
      <c r="Y57" s="2849">
        <f t="shared" si="22"/>
        <v>0</v>
      </c>
      <c r="Z57" s="2850">
        <f t="shared" si="23"/>
        <v>0</v>
      </c>
      <c r="AA57" s="2851">
        <f t="shared" si="24"/>
        <v>0</v>
      </c>
      <c r="AC57" s="2867"/>
      <c r="AD57" s="2867"/>
      <c r="AE57" s="2867"/>
      <c r="AF57" s="2867"/>
      <c r="AG57" s="2867"/>
      <c r="AH57" s="2867"/>
      <c r="AI57" s="2825"/>
      <c r="AJ57" s="2825"/>
      <c r="AK57" s="2825"/>
      <c r="AL57" s="2825"/>
      <c r="AM57" s="2825"/>
    </row>
    <row r="58" spans="1:40" ht="12.75" customHeight="1" thickBot="1">
      <c r="A58" s="3109" t="s">
        <v>139</v>
      </c>
      <c r="B58" s="3110" t="s">
        <v>461</v>
      </c>
      <c r="C58" s="2423">
        <f t="shared" si="59"/>
        <v>2.1908757716049393E-4</v>
      </c>
      <c r="D58" s="4598">
        <v>2</v>
      </c>
      <c r="E58" s="4599">
        <v>1</v>
      </c>
      <c r="F58" s="4599">
        <v>16</v>
      </c>
      <c r="G58" s="4599">
        <v>50</v>
      </c>
      <c r="H58" s="4600"/>
      <c r="I58" s="4600">
        <v>1.7361111111111112E-4</v>
      </c>
      <c r="J58" s="4600">
        <v>1.3888888888888889E-3</v>
      </c>
      <c r="K58" s="2278" t="s">
        <v>1519</v>
      </c>
      <c r="L58" s="2503">
        <f>L57+N57</f>
        <v>0.64219598765432095</v>
      </c>
      <c r="M58" s="6106">
        <v>1</v>
      </c>
      <c r="N58" s="6107">
        <f>P58*E58*F58+I58*E58*F58+J58*E58</f>
        <v>1.1177469135802472E-2</v>
      </c>
      <c r="O58" s="2307">
        <f t="shared" si="60"/>
        <v>4.3817515432098786E-4</v>
      </c>
      <c r="P58" s="2307">
        <f t="shared" si="61"/>
        <v>4.3817515432098786E-4</v>
      </c>
      <c r="Q58" s="3140">
        <v>165</v>
      </c>
      <c r="R58" s="6150">
        <f t="shared" si="62"/>
        <v>800</v>
      </c>
      <c r="S58" s="2844">
        <f t="shared" si="16"/>
        <v>0.8</v>
      </c>
      <c r="T58" s="2845">
        <f t="shared" si="17"/>
        <v>2.8043209876543223E-2</v>
      </c>
      <c r="U58" s="374">
        <f t="shared" si="18"/>
        <v>0</v>
      </c>
      <c r="V58" s="2846">
        <f t="shared" si="19"/>
        <v>0.8</v>
      </c>
      <c r="W58" s="2847">
        <f t="shared" si="20"/>
        <v>0</v>
      </c>
      <c r="X58" s="2848">
        <f t="shared" si="21"/>
        <v>0</v>
      </c>
      <c r="Y58" s="2849">
        <f t="shared" si="22"/>
        <v>0</v>
      </c>
      <c r="Z58" s="2850">
        <f t="shared" si="23"/>
        <v>0</v>
      </c>
      <c r="AA58" s="2851">
        <f t="shared" si="24"/>
        <v>0</v>
      </c>
      <c r="AC58" s="2867"/>
      <c r="AD58" s="2867"/>
      <c r="AE58" s="2867"/>
      <c r="AF58" s="2867"/>
      <c r="AG58" s="2867"/>
      <c r="AH58" s="2867"/>
      <c r="AI58" s="2825"/>
      <c r="AJ58" s="2825"/>
      <c r="AK58" s="2825"/>
      <c r="AL58" s="2825"/>
      <c r="AM58" s="2825"/>
    </row>
    <row r="59" spans="1:40" ht="12.75" customHeight="1" thickBot="1">
      <c r="A59" s="3109" t="s">
        <v>458</v>
      </c>
      <c r="B59" s="3110" t="s">
        <v>461</v>
      </c>
      <c r="C59" s="2423">
        <f t="shared" si="59"/>
        <v>2.1222190799396687E-4</v>
      </c>
      <c r="D59" s="4603">
        <v>3</v>
      </c>
      <c r="E59" s="2261">
        <v>1</v>
      </c>
      <c r="F59" s="2261">
        <v>12</v>
      </c>
      <c r="G59" s="2261">
        <v>50</v>
      </c>
      <c r="H59" s="4604"/>
      <c r="I59" s="4604">
        <v>3.4722222222222224E-4</v>
      </c>
      <c r="J59" s="4604">
        <v>1.3888888888888889E-3</v>
      </c>
      <c r="K59" s="2259" t="s">
        <v>980</v>
      </c>
      <c r="L59" s="2504">
        <f>L58+N58</f>
        <v>0.65337345679012337</v>
      </c>
      <c r="M59" s="6109">
        <v>1</v>
      </c>
      <c r="N59" s="6110">
        <f>P59*E59*F59+I59*E59*F59+J59*E59</f>
        <v>1.0648881347410761E-2</v>
      </c>
      <c r="O59" s="2315">
        <f t="shared" si="60"/>
        <v>4.2444381598793373E-4</v>
      </c>
      <c r="P59" s="2315">
        <f t="shared" si="61"/>
        <v>4.2444381598793373E-4</v>
      </c>
      <c r="Q59" s="2274">
        <v>147</v>
      </c>
      <c r="R59" s="2259">
        <f t="shared" si="62"/>
        <v>600</v>
      </c>
      <c r="S59" s="2844">
        <f t="shared" si="16"/>
        <v>0.6</v>
      </c>
      <c r="T59" s="2845">
        <f t="shared" si="17"/>
        <v>2.0373303167420819E-2</v>
      </c>
      <c r="U59" s="374">
        <f t="shared" si="18"/>
        <v>0</v>
      </c>
      <c r="V59" s="2846">
        <f t="shared" si="19"/>
        <v>0</v>
      </c>
      <c r="W59" s="2847">
        <f t="shared" si="20"/>
        <v>0.6</v>
      </c>
      <c r="X59" s="2848">
        <f t="shared" si="21"/>
        <v>0</v>
      </c>
      <c r="Y59" s="2849">
        <f t="shared" si="22"/>
        <v>0</v>
      </c>
      <c r="Z59" s="2850">
        <f t="shared" si="23"/>
        <v>0</v>
      </c>
      <c r="AA59" s="2851">
        <f t="shared" si="24"/>
        <v>0</v>
      </c>
      <c r="AC59" s="2867"/>
      <c r="AD59" s="2867"/>
      <c r="AE59" s="2867"/>
      <c r="AF59" s="2867"/>
      <c r="AG59" s="2867"/>
      <c r="AH59" s="2867"/>
      <c r="AI59" s="2825"/>
      <c r="AJ59" s="2825"/>
      <c r="AK59" s="2825"/>
      <c r="AL59" s="2825"/>
      <c r="AM59" s="2825"/>
    </row>
    <row r="60" spans="1:40" ht="12.75" customHeight="1" thickBot="1">
      <c r="A60" s="3109" t="s">
        <v>462</v>
      </c>
      <c r="B60" s="3110" t="s">
        <v>461</v>
      </c>
      <c r="C60" s="2423">
        <f t="shared" si="59"/>
        <v>2.2880964381720439E-4</v>
      </c>
      <c r="D60" s="4596">
        <v>1</v>
      </c>
      <c r="E60" s="2529">
        <v>1</v>
      </c>
      <c r="F60" s="2529">
        <v>1</v>
      </c>
      <c r="G60" s="2529">
        <v>200</v>
      </c>
      <c r="H60" s="2528">
        <v>1.9097222222222222E-3</v>
      </c>
      <c r="I60" s="2528"/>
      <c r="J60" s="2528">
        <v>1.3888888888888889E-3</v>
      </c>
      <c r="K60" s="2338" t="s">
        <v>1332</v>
      </c>
      <c r="L60" s="2501">
        <f>L59+N59</f>
        <v>0.66402233813753408</v>
      </c>
      <c r="M60" s="6102">
        <v>1</v>
      </c>
      <c r="N60" s="2423">
        <f>H60*F60*E60</f>
        <v>1.9097222222222222E-3</v>
      </c>
      <c r="O60" s="2340">
        <f t="shared" si="60"/>
        <v>1.8304771505376352E-3</v>
      </c>
      <c r="P60" s="2340">
        <f t="shared" si="61"/>
        <v>1.8304771505376352E-3</v>
      </c>
      <c r="Q60" s="2341">
        <v>164</v>
      </c>
      <c r="R60" s="4157">
        <f t="shared" si="62"/>
        <v>200</v>
      </c>
      <c r="S60" s="2844">
        <f t="shared" si="16"/>
        <v>0.2</v>
      </c>
      <c r="T60" s="2845">
        <f t="shared" si="17"/>
        <v>7.3219086021505406E-3</v>
      </c>
      <c r="U60" s="374">
        <f t="shared" si="18"/>
        <v>0.2</v>
      </c>
      <c r="V60" s="2846">
        <f t="shared" si="19"/>
        <v>0</v>
      </c>
      <c r="W60" s="2847">
        <f t="shared" si="20"/>
        <v>0</v>
      </c>
      <c r="X60" s="2848">
        <f t="shared" si="21"/>
        <v>0</v>
      </c>
      <c r="Y60" s="2849">
        <f t="shared" si="22"/>
        <v>0</v>
      </c>
      <c r="Z60" s="2850">
        <f t="shared" si="23"/>
        <v>0</v>
      </c>
      <c r="AA60" s="2851">
        <f t="shared" si="24"/>
        <v>0</v>
      </c>
      <c r="AC60" s="2867"/>
      <c r="AD60" s="2867"/>
      <c r="AE60" s="2867"/>
      <c r="AF60" s="2867"/>
      <c r="AG60" s="2867"/>
      <c r="AH60" s="2867"/>
      <c r="AI60" s="2825"/>
      <c r="AJ60" s="2825"/>
      <c r="AK60" s="2825"/>
      <c r="AL60" s="2825"/>
      <c r="AM60" s="2825"/>
    </row>
    <row r="61" spans="1:40" ht="12.75" customHeight="1" thickBot="1">
      <c r="A61" s="3109" t="s">
        <v>1500</v>
      </c>
      <c r="B61" s="3110" t="s">
        <v>461</v>
      </c>
      <c r="C61" s="2423">
        <f t="shared" si="59"/>
        <v>1.7682291666666674E-4</v>
      </c>
      <c r="D61" s="3123">
        <v>7</v>
      </c>
      <c r="E61" s="3124">
        <v>4</v>
      </c>
      <c r="F61" s="3124">
        <v>4</v>
      </c>
      <c r="G61" s="3124">
        <v>25</v>
      </c>
      <c r="H61" s="2377" t="s">
        <v>1508</v>
      </c>
      <c r="I61" s="2377">
        <v>3.4722222222222224E-4</v>
      </c>
      <c r="J61" s="2377">
        <v>6.9444444444444447E-4</v>
      </c>
      <c r="K61" s="2514" t="s">
        <v>1513</v>
      </c>
      <c r="L61" s="2515">
        <f>L60+N60</f>
        <v>0.66593206035975627</v>
      </c>
      <c r="M61" s="4150">
        <v>1</v>
      </c>
      <c r="N61" s="3793">
        <f>P61*E61*F61+I61*E61*F61+J61*E61</f>
        <v>1.1162500000000002E-2</v>
      </c>
      <c r="O61" s="3496">
        <f>C61*(G61/25)</f>
        <v>1.7682291666666674E-4</v>
      </c>
      <c r="P61" s="4151">
        <f>O61*M61</f>
        <v>1.7682291666666674E-4</v>
      </c>
      <c r="Q61" s="3130" t="s">
        <v>316</v>
      </c>
      <c r="R61" s="4149">
        <f>E61*F61*G61</f>
        <v>400</v>
      </c>
      <c r="S61" s="2844">
        <f t="shared" si="16"/>
        <v>0.4</v>
      </c>
      <c r="T61" s="2845">
        <f t="shared" si="17"/>
        <v>1.1316666666666671E-2</v>
      </c>
      <c r="U61" s="374">
        <f t="shared" si="18"/>
        <v>0</v>
      </c>
      <c r="V61" s="2846">
        <f t="shared" si="19"/>
        <v>0</v>
      </c>
      <c r="W61" s="2847">
        <f t="shared" si="20"/>
        <v>0</v>
      </c>
      <c r="X61" s="2848">
        <f t="shared" si="21"/>
        <v>0</v>
      </c>
      <c r="Y61" s="2849">
        <f t="shared" si="22"/>
        <v>0</v>
      </c>
      <c r="Z61" s="2850">
        <f t="shared" si="23"/>
        <v>0</v>
      </c>
      <c r="AA61" s="2851">
        <f t="shared" si="24"/>
        <v>0.4</v>
      </c>
      <c r="AC61" s="2867"/>
      <c r="AD61" s="2867"/>
      <c r="AE61" s="2867"/>
      <c r="AF61" s="2867"/>
      <c r="AG61" s="2867"/>
      <c r="AH61" s="2867"/>
      <c r="AI61" s="2825"/>
      <c r="AJ61" s="2825"/>
      <c r="AK61" s="2825"/>
      <c r="AL61" s="2825"/>
      <c r="AM61" s="2825"/>
    </row>
    <row r="62" spans="1:40" ht="12.75" customHeight="1" thickBot="1">
      <c r="A62" s="3109" t="s">
        <v>458</v>
      </c>
      <c r="B62" s="3110" t="s">
        <v>461</v>
      </c>
      <c r="C62" s="2423">
        <f t="shared" si="59"/>
        <v>2.0247664488766629E-4</v>
      </c>
      <c r="D62" s="4624">
        <v>4</v>
      </c>
      <c r="E62" s="4625">
        <v>1</v>
      </c>
      <c r="F62" s="4625">
        <v>4</v>
      </c>
      <c r="G62" s="4625">
        <v>200</v>
      </c>
      <c r="H62" s="4626"/>
      <c r="I62" s="4626">
        <v>6.3657407407407402E-4</v>
      </c>
      <c r="J62" s="4626">
        <v>1.3888888888888889E-3</v>
      </c>
      <c r="K62" s="2523" t="s">
        <v>2210</v>
      </c>
      <c r="L62" s="2524">
        <f>L60+N60</f>
        <v>0.66593206035975627</v>
      </c>
      <c r="M62" s="6151">
        <v>1</v>
      </c>
      <c r="N62" s="6152">
        <f>P62*E62*F62+I62*E62*F62+J62*E62</f>
        <v>1.0414437821590506E-2</v>
      </c>
      <c r="O62" s="4156">
        <f t="shared" ref="O62:O63" si="63">C62*(G62/25)</f>
        <v>1.6198131591013303E-3</v>
      </c>
      <c r="P62" s="4156">
        <f t="shared" ref="P62" si="64">O62*M62</f>
        <v>1.6198131591013303E-3</v>
      </c>
      <c r="Q62" s="3132">
        <v>196</v>
      </c>
      <c r="R62" s="6153">
        <f t="shared" ref="R62" si="65">E62*F62*G62</f>
        <v>800</v>
      </c>
      <c r="S62" s="2844">
        <f t="shared" si="16"/>
        <v>0.8</v>
      </c>
      <c r="T62" s="2845">
        <f t="shared" si="17"/>
        <v>2.5917010545621285E-2</v>
      </c>
      <c r="U62" s="374">
        <f t="shared" si="18"/>
        <v>0</v>
      </c>
      <c r="V62" s="2846">
        <f t="shared" si="19"/>
        <v>0</v>
      </c>
      <c r="W62" s="2847">
        <f t="shared" si="20"/>
        <v>0</v>
      </c>
      <c r="X62" s="2848">
        <f t="shared" si="21"/>
        <v>0.8</v>
      </c>
      <c r="Y62" s="2849">
        <f t="shared" si="22"/>
        <v>0</v>
      </c>
      <c r="Z62" s="2850">
        <f t="shared" si="23"/>
        <v>0</v>
      </c>
      <c r="AA62" s="2851">
        <f t="shared" si="24"/>
        <v>0</v>
      </c>
      <c r="AC62" s="2867"/>
      <c r="AD62" s="2867"/>
      <c r="AE62" s="2867"/>
      <c r="AF62" s="2867"/>
      <c r="AG62" s="2867"/>
      <c r="AH62" s="2867"/>
      <c r="AI62" s="2825"/>
      <c r="AJ62" s="2825"/>
      <c r="AK62" s="2825"/>
      <c r="AL62" s="2825"/>
      <c r="AM62" s="2825"/>
    </row>
    <row r="63" spans="1:40" ht="12.75" customHeight="1" thickBot="1">
      <c r="A63" s="4162"/>
      <c r="B63" s="4165"/>
      <c r="C63" s="6146"/>
      <c r="D63" s="6147"/>
      <c r="E63" s="6148"/>
      <c r="F63" s="6148"/>
      <c r="G63" s="6148"/>
      <c r="H63" s="6149"/>
      <c r="I63" s="6149"/>
      <c r="J63" s="6149"/>
      <c r="K63" s="6051" t="s">
        <v>2202</v>
      </c>
      <c r="L63" s="2182">
        <f>L62+N62</f>
        <v>0.67634649818134673</v>
      </c>
      <c r="M63" s="6102">
        <v>1</v>
      </c>
      <c r="N63" s="4170">
        <f>SUM(N57:N62)</f>
        <v>5.55645537369025E-2</v>
      </c>
      <c r="O63" s="4171">
        <f t="shared" si="63"/>
        <v>0</v>
      </c>
      <c r="P63" s="4171"/>
      <c r="Q63" s="4172"/>
      <c r="R63" s="4157">
        <f>SUM(R57:R62)</f>
        <v>3600</v>
      </c>
      <c r="S63" s="2844">
        <f t="shared" si="16"/>
        <v>0</v>
      </c>
      <c r="T63" s="2845">
        <f t="shared" si="17"/>
        <v>0</v>
      </c>
      <c r="U63" s="374">
        <f t="shared" si="18"/>
        <v>0</v>
      </c>
      <c r="V63" s="2846">
        <f t="shared" si="19"/>
        <v>0</v>
      </c>
      <c r="W63" s="2847">
        <f t="shared" si="20"/>
        <v>0</v>
      </c>
      <c r="X63" s="2848">
        <f t="shared" si="21"/>
        <v>0</v>
      </c>
      <c r="Y63" s="2849">
        <f t="shared" si="22"/>
        <v>0</v>
      </c>
      <c r="Z63" s="2850">
        <f t="shared" si="23"/>
        <v>0</v>
      </c>
      <c r="AA63" s="2851">
        <f t="shared" si="24"/>
        <v>0</v>
      </c>
      <c r="AC63" s="2867"/>
      <c r="AD63" s="2867"/>
      <c r="AE63" s="2867"/>
      <c r="AF63" s="2867"/>
      <c r="AG63" s="2867"/>
      <c r="AH63" s="2867"/>
      <c r="AI63" s="2825"/>
      <c r="AJ63" s="2825"/>
      <c r="AK63" s="2825"/>
      <c r="AL63" s="2825"/>
      <c r="AM63" s="2825"/>
    </row>
    <row r="64" spans="1:40" ht="12.75" customHeight="1" thickBot="1">
      <c r="A64" s="5891" t="s">
        <v>219</v>
      </c>
      <c r="B64" s="5892"/>
      <c r="C64" s="1008">
        <f t="shared" ref="C64:C69" si="66">IF(D64=1,U$5,IF(D64=2,V$5,IF(D64=3,W$5,IF(D64=4,X$5,IF(D64=5,Y$5,IF(D64=6,Z$5,IF(D64=7,AA$5,0)))))))</f>
        <v>2.0247664488766629E-4</v>
      </c>
      <c r="D64" s="6154">
        <v>4</v>
      </c>
      <c r="E64" s="6155">
        <v>1</v>
      </c>
      <c r="F64" s="6155">
        <v>4</v>
      </c>
      <c r="G64" s="6155">
        <v>1200</v>
      </c>
      <c r="H64" s="6156"/>
      <c r="I64" s="6156">
        <v>6.3657407407407402E-4</v>
      </c>
      <c r="J64" s="6156">
        <v>1.3888888888888889E-3</v>
      </c>
      <c r="K64" s="5869" t="s">
        <v>709</v>
      </c>
      <c r="L64" s="5797"/>
      <c r="M64" s="6157">
        <v>1</v>
      </c>
      <c r="N64" s="6158">
        <f>P64*E64*F64+I64*E64*F64+J64*E64</f>
        <v>3.7885185185185202E-2</v>
      </c>
      <c r="O64" s="5831">
        <f>C69*(G64/25)</f>
        <v>8.4875000000000037E-3</v>
      </c>
      <c r="P64" s="5831">
        <f t="shared" ref="P64" si="67">O64*M64</f>
        <v>8.4875000000000037E-3</v>
      </c>
      <c r="Q64" s="5871">
        <v>196</v>
      </c>
      <c r="R64" s="6159">
        <f t="shared" ref="R64" si="68">E64*F64*G64</f>
        <v>4800</v>
      </c>
      <c r="S64" s="2844">
        <f t="shared" si="16"/>
        <v>4.8</v>
      </c>
      <c r="T64" s="2845">
        <f t="shared" si="17"/>
        <v>0.13580000000000006</v>
      </c>
      <c r="U64" s="374">
        <f t="shared" si="18"/>
        <v>0</v>
      </c>
      <c r="V64" s="2846">
        <f t="shared" si="19"/>
        <v>0</v>
      </c>
      <c r="W64" s="2847">
        <f t="shared" si="20"/>
        <v>0</v>
      </c>
      <c r="X64" s="2848">
        <f t="shared" si="21"/>
        <v>4.8</v>
      </c>
      <c r="Y64" s="2849">
        <f t="shared" si="22"/>
        <v>0</v>
      </c>
      <c r="Z64" s="2850">
        <f t="shared" si="23"/>
        <v>0</v>
      </c>
      <c r="AA64" s="2851">
        <f t="shared" si="24"/>
        <v>0</v>
      </c>
      <c r="AC64" s="2867"/>
      <c r="AD64" s="2867"/>
      <c r="AE64" s="2867"/>
      <c r="AF64" s="2867"/>
      <c r="AG64" s="2867"/>
      <c r="AH64" s="2867"/>
      <c r="AI64" s="2825"/>
      <c r="AJ64" s="2825"/>
      <c r="AK64" s="2825"/>
      <c r="AL64" s="2825"/>
      <c r="AM64" s="2825"/>
    </row>
    <row r="65" spans="1:40" ht="12.75" customHeight="1" thickBot="1">
      <c r="A65" s="5891"/>
      <c r="B65" s="5892"/>
      <c r="C65" s="1008">
        <f t="shared" si="66"/>
        <v>1.7682291666666674E-4</v>
      </c>
      <c r="D65" s="6160">
        <v>7</v>
      </c>
      <c r="E65" s="1655">
        <v>1</v>
      </c>
      <c r="F65" s="1655">
        <v>1</v>
      </c>
      <c r="G65" s="1655">
        <v>100</v>
      </c>
      <c r="H65" s="2042" t="s">
        <v>558</v>
      </c>
      <c r="I65" s="2042"/>
      <c r="J65" s="2042"/>
      <c r="K65" s="1038"/>
      <c r="L65" s="3664"/>
      <c r="M65" s="6161"/>
      <c r="N65" s="6162"/>
      <c r="O65" s="6163"/>
      <c r="P65" s="3664"/>
      <c r="Q65" s="3664"/>
      <c r="R65" s="1655">
        <v>100</v>
      </c>
      <c r="S65" s="2844">
        <f t="shared" si="16"/>
        <v>0.1</v>
      </c>
      <c r="T65" s="2845">
        <f t="shared" si="17"/>
        <v>0</v>
      </c>
      <c r="U65" s="374">
        <f t="shared" si="18"/>
        <v>0</v>
      </c>
      <c r="V65" s="2846">
        <f t="shared" si="19"/>
        <v>0</v>
      </c>
      <c r="W65" s="2847">
        <f t="shared" si="20"/>
        <v>0</v>
      </c>
      <c r="X65" s="2848">
        <f t="shared" si="21"/>
        <v>0</v>
      </c>
      <c r="Y65" s="2849">
        <f t="shared" si="22"/>
        <v>0</v>
      </c>
      <c r="Z65" s="2850">
        <f t="shared" si="23"/>
        <v>0</v>
      </c>
      <c r="AA65" s="2851">
        <f t="shared" si="24"/>
        <v>0.1</v>
      </c>
      <c r="AC65" s="2867"/>
      <c r="AD65" s="2867"/>
      <c r="AE65" s="2867"/>
      <c r="AF65" s="2867"/>
      <c r="AG65" s="2867"/>
      <c r="AH65" s="2867"/>
      <c r="AI65" s="2825"/>
      <c r="AJ65" s="2825"/>
      <c r="AK65" s="2825"/>
      <c r="AL65" s="2825"/>
      <c r="AM65" s="2825"/>
    </row>
    <row r="66" spans="1:40" ht="12.75" customHeight="1" thickBot="1">
      <c r="A66" s="5891" t="s">
        <v>220</v>
      </c>
      <c r="B66" s="5892" t="s">
        <v>461</v>
      </c>
      <c r="C66" s="1008">
        <f t="shared" si="66"/>
        <v>1.7682291666666674E-4</v>
      </c>
      <c r="D66" s="6164">
        <v>7</v>
      </c>
      <c r="E66" s="6165">
        <v>1</v>
      </c>
      <c r="F66" s="6165">
        <v>1</v>
      </c>
      <c r="G66" s="6165">
        <v>50</v>
      </c>
      <c r="H66" s="2042" t="s">
        <v>558</v>
      </c>
      <c r="I66" s="5809"/>
      <c r="J66" s="2042"/>
      <c r="K66" s="5865"/>
      <c r="L66" s="3664"/>
      <c r="M66" s="6166">
        <v>1</v>
      </c>
      <c r="N66" s="6162"/>
      <c r="O66" s="5813"/>
      <c r="P66" s="4151"/>
      <c r="Q66" s="5871"/>
      <c r="R66" s="6167">
        <f t="shared" ref="R66" si="69">E66*F66*G66</f>
        <v>50</v>
      </c>
      <c r="S66" s="2844">
        <f t="shared" si="16"/>
        <v>0.05</v>
      </c>
      <c r="T66" s="2845">
        <f t="shared" si="17"/>
        <v>0</v>
      </c>
      <c r="U66" s="374">
        <f t="shared" si="18"/>
        <v>0</v>
      </c>
      <c r="V66" s="2846">
        <f t="shared" si="19"/>
        <v>0</v>
      </c>
      <c r="W66" s="2847">
        <f t="shared" si="20"/>
        <v>0</v>
      </c>
      <c r="X66" s="2848">
        <f t="shared" si="21"/>
        <v>0</v>
      </c>
      <c r="Y66" s="2849">
        <f t="shared" si="22"/>
        <v>0</v>
      </c>
      <c r="Z66" s="2850">
        <f t="shared" si="23"/>
        <v>0</v>
      </c>
      <c r="AA66" s="2851">
        <f t="shared" si="24"/>
        <v>0.05</v>
      </c>
      <c r="AC66" s="2867"/>
      <c r="AD66" s="2867"/>
      <c r="AE66" s="2867"/>
      <c r="AF66" s="2867"/>
      <c r="AG66" s="2867"/>
      <c r="AH66" s="2867"/>
      <c r="AI66" s="2825"/>
      <c r="AJ66" s="2825"/>
      <c r="AK66" s="2825"/>
      <c r="AL66" s="2825"/>
      <c r="AM66" s="2825"/>
    </row>
    <row r="67" spans="1:40" ht="12.75" customHeight="1" thickBot="1">
      <c r="A67" s="5891" t="s">
        <v>674</v>
      </c>
      <c r="B67" s="5892" t="s">
        <v>461</v>
      </c>
      <c r="C67" s="1008">
        <f t="shared" si="66"/>
        <v>1.7682291666666674E-4</v>
      </c>
      <c r="D67" s="6168">
        <v>7</v>
      </c>
      <c r="E67" s="1655">
        <v>1</v>
      </c>
      <c r="F67" s="1655">
        <v>1</v>
      </c>
      <c r="G67" s="6167">
        <v>50</v>
      </c>
      <c r="H67" s="2042" t="s">
        <v>875</v>
      </c>
      <c r="I67" s="6169"/>
      <c r="J67" s="2042"/>
      <c r="K67" s="1038"/>
      <c r="L67" s="3664"/>
      <c r="M67" s="6170"/>
      <c r="N67" s="6162"/>
      <c r="O67" s="4011"/>
      <c r="P67" s="4015"/>
      <c r="Q67" s="4025"/>
      <c r="R67" s="6167">
        <v>50</v>
      </c>
      <c r="S67" s="2844">
        <f t="shared" si="16"/>
        <v>0.05</v>
      </c>
      <c r="T67" s="2845">
        <f t="shared" si="17"/>
        <v>0</v>
      </c>
      <c r="U67" s="374">
        <f t="shared" si="18"/>
        <v>0</v>
      </c>
      <c r="V67" s="2846">
        <f t="shared" si="19"/>
        <v>0</v>
      </c>
      <c r="W67" s="2847">
        <f t="shared" si="20"/>
        <v>0</v>
      </c>
      <c r="X67" s="2848">
        <f t="shared" si="21"/>
        <v>0</v>
      </c>
      <c r="Y67" s="2849">
        <f t="shared" si="22"/>
        <v>0</v>
      </c>
      <c r="Z67" s="2850">
        <f t="shared" si="23"/>
        <v>0</v>
      </c>
      <c r="AA67" s="2851">
        <f t="shared" si="24"/>
        <v>0.05</v>
      </c>
      <c r="AC67" s="2867"/>
      <c r="AD67" s="2867"/>
      <c r="AE67" s="2867"/>
      <c r="AF67" s="2867"/>
      <c r="AG67" s="2867"/>
      <c r="AH67" s="2867"/>
      <c r="AI67" s="2825"/>
      <c r="AJ67" s="2825"/>
      <c r="AK67" s="2825"/>
      <c r="AL67" s="2825"/>
      <c r="AM67" s="2825"/>
    </row>
    <row r="68" spans="1:40" ht="12.75" customHeight="1" thickBot="1">
      <c r="A68" s="5891" t="s">
        <v>139</v>
      </c>
      <c r="B68" s="5892" t="s">
        <v>461</v>
      </c>
      <c r="C68" s="1008">
        <f t="shared" si="66"/>
        <v>1.7682291666666674E-4</v>
      </c>
      <c r="D68" s="6168">
        <v>7</v>
      </c>
      <c r="E68" s="1655">
        <v>1</v>
      </c>
      <c r="F68" s="1655">
        <v>1</v>
      </c>
      <c r="G68" s="6167">
        <v>200</v>
      </c>
      <c r="H68" s="2042" t="s">
        <v>2203</v>
      </c>
      <c r="I68" s="6169"/>
      <c r="J68" s="2042"/>
      <c r="K68" s="1038"/>
      <c r="L68" s="3664"/>
      <c r="M68" s="6170"/>
      <c r="N68" s="6162"/>
      <c r="O68" s="4011"/>
      <c r="P68" s="4015"/>
      <c r="Q68" s="4025"/>
      <c r="R68" s="6167">
        <v>50</v>
      </c>
      <c r="S68" s="2844">
        <f t="shared" si="16"/>
        <v>0.2</v>
      </c>
      <c r="T68" s="2845">
        <f t="shared" si="17"/>
        <v>0</v>
      </c>
      <c r="U68" s="374">
        <f t="shared" si="18"/>
        <v>0</v>
      </c>
      <c r="V68" s="2846">
        <f t="shared" si="19"/>
        <v>0</v>
      </c>
      <c r="W68" s="2847">
        <f t="shared" si="20"/>
        <v>0</v>
      </c>
      <c r="X68" s="2848">
        <f t="shared" si="21"/>
        <v>0</v>
      </c>
      <c r="Y68" s="2849">
        <f t="shared" si="22"/>
        <v>0</v>
      </c>
      <c r="Z68" s="2850">
        <f t="shared" si="23"/>
        <v>0</v>
      </c>
      <c r="AA68" s="2851">
        <f t="shared" si="24"/>
        <v>0.2</v>
      </c>
      <c r="AC68" s="2867"/>
      <c r="AD68" s="2867"/>
      <c r="AE68" s="2867"/>
      <c r="AF68" s="2867"/>
      <c r="AG68" s="2867"/>
      <c r="AH68" s="2867"/>
      <c r="AI68" s="2825"/>
      <c r="AJ68" s="2825"/>
      <c r="AK68" s="2825"/>
      <c r="AL68" s="2825"/>
      <c r="AM68" s="2825"/>
    </row>
    <row r="69" spans="1:40" ht="12.75" customHeight="1" thickBot="1">
      <c r="A69" s="5891" t="s">
        <v>1500</v>
      </c>
      <c r="B69" s="5892" t="s">
        <v>461</v>
      </c>
      <c r="C69" s="1008">
        <f t="shared" si="66"/>
        <v>1.7682291666666674E-4</v>
      </c>
      <c r="D69" s="6171">
        <v>7</v>
      </c>
      <c r="E69" s="1655">
        <v>1</v>
      </c>
      <c r="F69" s="1655">
        <v>1</v>
      </c>
      <c r="G69" s="6167">
        <v>50</v>
      </c>
      <c r="H69" s="2042" t="s">
        <v>2200</v>
      </c>
      <c r="I69" s="2042"/>
      <c r="J69" s="2042"/>
      <c r="K69" s="1038"/>
      <c r="L69" s="3664"/>
      <c r="M69" s="6172">
        <v>0.85</v>
      </c>
      <c r="N69" s="6162"/>
      <c r="O69" s="1720"/>
      <c r="P69" s="1709"/>
      <c r="Q69" s="4025"/>
      <c r="R69" s="6167">
        <v>50</v>
      </c>
      <c r="S69" s="2844">
        <f t="shared" si="16"/>
        <v>0.05</v>
      </c>
      <c r="T69" s="2845">
        <f t="shared" si="17"/>
        <v>0</v>
      </c>
      <c r="U69" s="374">
        <f t="shared" si="18"/>
        <v>0</v>
      </c>
      <c r="V69" s="2846">
        <f t="shared" si="19"/>
        <v>0</v>
      </c>
      <c r="W69" s="2847">
        <f t="shared" si="20"/>
        <v>0</v>
      </c>
      <c r="X69" s="2848">
        <f t="shared" si="21"/>
        <v>0</v>
      </c>
      <c r="Y69" s="2849">
        <f t="shared" si="22"/>
        <v>0</v>
      </c>
      <c r="Z69" s="2850">
        <f t="shared" si="23"/>
        <v>0</v>
      </c>
      <c r="AA69" s="2851">
        <f t="shared" si="24"/>
        <v>0.05</v>
      </c>
      <c r="AC69" s="2867"/>
      <c r="AD69" s="2867"/>
      <c r="AE69" s="2867"/>
      <c r="AF69" s="2867"/>
      <c r="AG69" s="2867"/>
      <c r="AH69" s="2867"/>
      <c r="AI69" s="2825"/>
      <c r="AJ69" s="2825"/>
      <c r="AK69" s="2825"/>
      <c r="AL69" s="2825"/>
      <c r="AM69" s="2825"/>
    </row>
    <row r="70" spans="1:40" ht="16.5" customHeight="1" thickTop="1" thickBot="1">
      <c r="A70" s="1"/>
      <c r="B70" s="1"/>
      <c r="C70" s="2816"/>
      <c r="D70" s="3081"/>
      <c r="E70" s="2817"/>
      <c r="F70" s="3146"/>
      <c r="G70" s="3147"/>
      <c r="H70" s="3147"/>
      <c r="I70" s="3148"/>
      <c r="J70" s="3147"/>
      <c r="K70" s="3149"/>
      <c r="L70" s="3149"/>
      <c r="M70" s="3150"/>
      <c r="N70" s="3147"/>
      <c r="O70" s="3147"/>
      <c r="P70" s="3147"/>
      <c r="Q70" s="3151"/>
      <c r="R70" s="3152"/>
      <c r="S70" s="3153"/>
      <c r="T70" s="3154"/>
      <c r="U70" s="3155">
        <f t="shared" ref="U70:AA70" si="70">SUM(U6:U69)</f>
        <v>3.7600000000000002</v>
      </c>
      <c r="V70" s="3155">
        <f t="shared" si="70"/>
        <v>5.6000000000000005</v>
      </c>
      <c r="W70" s="3155">
        <f t="shared" si="70"/>
        <v>1.6</v>
      </c>
      <c r="X70" s="3155">
        <f t="shared" si="70"/>
        <v>5.85</v>
      </c>
      <c r="Y70" s="3155">
        <f t="shared" si="70"/>
        <v>1.6999999999999997</v>
      </c>
      <c r="Z70" s="3155">
        <f t="shared" si="70"/>
        <v>1.7999999999999998</v>
      </c>
      <c r="AA70" s="3155">
        <f t="shared" si="70"/>
        <v>2.7274999999999996</v>
      </c>
      <c r="AB70" s="3156">
        <f>SUM(U70:AA70)</f>
        <v>23.037500000000001</v>
      </c>
      <c r="AC70" s="2867">
        <v>0</v>
      </c>
      <c r="AD70" s="2867">
        <v>0</v>
      </c>
      <c r="AE70" s="2838"/>
      <c r="AF70" s="2838"/>
      <c r="AG70" s="2838"/>
      <c r="AH70" s="2838"/>
      <c r="AI70" s="2838"/>
    </row>
    <row r="71" spans="1:40" ht="20.25" customHeight="1" thickTop="1">
      <c r="A71" s="144" t="s">
        <v>60</v>
      </c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3157">
        <f>IF(U70&gt;0,U70,#REF!)</f>
        <v>3.7600000000000002</v>
      </c>
      <c r="V71" s="3157">
        <f>IF(V70&gt;0,V70,#REF!)</f>
        <v>5.6000000000000005</v>
      </c>
      <c r="W71" s="3157">
        <f>IF(W70&gt;0,W70,#REF!)</f>
        <v>1.6</v>
      </c>
      <c r="X71" s="3157">
        <f>IF(X70&gt;0,X70,#REF!)</f>
        <v>5.85</v>
      </c>
      <c r="Y71" s="3157">
        <f>IF(Y70&gt;0,Y70,#REF!)</f>
        <v>1.6999999999999997</v>
      </c>
      <c r="Z71" s="3157">
        <f>IF(Z70&gt;0,Z70,#REF!)</f>
        <v>1.7999999999999998</v>
      </c>
      <c r="AA71" s="3157">
        <f>IF(AA70&gt;0,AA70,#REF!)</f>
        <v>2.7274999999999996</v>
      </c>
      <c r="AB71" s="144"/>
      <c r="AC71" s="2825"/>
      <c r="AD71" s="2825"/>
      <c r="AE71" s="2838"/>
      <c r="AF71" s="2838"/>
      <c r="AG71" s="2838"/>
      <c r="AH71" s="2838"/>
      <c r="AI71" s="2838"/>
      <c r="AJ71" s="2825"/>
      <c r="AK71" s="2825"/>
      <c r="AL71" s="2825"/>
      <c r="AM71" s="2825"/>
    </row>
    <row r="72" spans="1:40" s="2914" customFormat="1" ht="19.5" customHeight="1">
      <c r="A72" s="144"/>
      <c r="B72" s="144"/>
      <c r="C72" s="144"/>
      <c r="D72" s="906"/>
      <c r="E72" s="144"/>
      <c r="F72" s="144"/>
      <c r="G72" s="144"/>
      <c r="H72" s="144"/>
      <c r="I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3157">
        <f t="shared" ref="U72:AA87" si="71">IF(U71&gt;0,U71,U70)</f>
        <v>3.7600000000000002</v>
      </c>
      <c r="V72" s="3157">
        <f t="shared" si="71"/>
        <v>5.6000000000000005</v>
      </c>
      <c r="W72" s="3157">
        <f t="shared" si="71"/>
        <v>1.6</v>
      </c>
      <c r="X72" s="3157">
        <f t="shared" si="71"/>
        <v>5.85</v>
      </c>
      <c r="Y72" s="3157">
        <f t="shared" si="71"/>
        <v>1.6999999999999997</v>
      </c>
      <c r="Z72" s="3157">
        <f t="shared" si="71"/>
        <v>1.7999999999999998</v>
      </c>
      <c r="AA72" s="3157">
        <f t="shared" si="71"/>
        <v>2.7274999999999996</v>
      </c>
      <c r="AB72" s="144"/>
      <c r="AC72" s="2826"/>
      <c r="AD72" s="2826"/>
      <c r="AE72" s="2838"/>
      <c r="AF72" s="2838"/>
      <c r="AG72" s="2838"/>
      <c r="AH72" s="2838"/>
      <c r="AI72" s="2838"/>
      <c r="AJ72" s="2826"/>
      <c r="AK72" s="2826"/>
      <c r="AL72" s="2826"/>
      <c r="AM72" s="2826"/>
      <c r="AN72" s="2913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3157">
        <f t="shared" si="71"/>
        <v>3.7600000000000002</v>
      </c>
      <c r="V73" s="3157">
        <f t="shared" si="71"/>
        <v>5.6000000000000005</v>
      </c>
      <c r="W73" s="3157">
        <f t="shared" si="71"/>
        <v>1.6</v>
      </c>
      <c r="X73" s="3157">
        <f t="shared" si="71"/>
        <v>5.85</v>
      </c>
      <c r="Y73" s="3157">
        <f t="shared" si="71"/>
        <v>1.6999999999999997</v>
      </c>
      <c r="Z73" s="3157">
        <f t="shared" si="71"/>
        <v>1.7999999999999998</v>
      </c>
      <c r="AA73" s="3157">
        <f t="shared" si="71"/>
        <v>2.7274999999999996</v>
      </c>
      <c r="AB73" s="144"/>
      <c r="AE73" s="2838"/>
      <c r="AF73" s="2838"/>
      <c r="AG73" s="2838"/>
      <c r="AH73" s="2838"/>
      <c r="AI73" s="2838"/>
    </row>
    <row r="74" spans="1:40" ht="15.75" customHeight="1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3157">
        <f t="shared" si="71"/>
        <v>3.7600000000000002</v>
      </c>
      <c r="V74" s="3157">
        <f t="shared" si="71"/>
        <v>5.6000000000000005</v>
      </c>
      <c r="W74" s="3157">
        <f t="shared" si="71"/>
        <v>1.6</v>
      </c>
      <c r="X74" s="3157">
        <f t="shared" si="71"/>
        <v>5.85</v>
      </c>
      <c r="Y74" s="3157">
        <f t="shared" si="71"/>
        <v>1.6999999999999997</v>
      </c>
      <c r="Z74" s="3157">
        <f t="shared" si="71"/>
        <v>1.7999999999999998</v>
      </c>
      <c r="AA74" s="3157">
        <f t="shared" si="71"/>
        <v>2.7274999999999996</v>
      </c>
      <c r="AB74" s="144"/>
    </row>
    <row r="75" spans="1:40" ht="72" customHeight="1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3157">
        <f t="shared" si="71"/>
        <v>3.7600000000000002</v>
      </c>
      <c r="V75" s="3157">
        <f t="shared" si="71"/>
        <v>5.6000000000000005</v>
      </c>
      <c r="W75" s="3157">
        <f t="shared" si="71"/>
        <v>1.6</v>
      </c>
      <c r="X75" s="3157">
        <f t="shared" si="71"/>
        <v>5.85</v>
      </c>
      <c r="Y75" s="3157">
        <f t="shared" si="71"/>
        <v>1.6999999999999997</v>
      </c>
      <c r="Z75" s="3157">
        <f t="shared" si="71"/>
        <v>1.7999999999999998</v>
      </c>
      <c r="AA75" s="3157">
        <f t="shared" si="71"/>
        <v>2.7274999999999996</v>
      </c>
      <c r="AB75" s="144"/>
      <c r="AC75" s="2837"/>
      <c r="AD75" s="2838"/>
      <c r="AE75" s="2838"/>
      <c r="AF75" s="2838"/>
      <c r="AG75" s="2838"/>
      <c r="AH75" s="2838"/>
      <c r="AI75" s="2836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3157">
        <f t="shared" si="71"/>
        <v>3.7600000000000002</v>
      </c>
      <c r="V76" s="3157">
        <f t="shared" si="71"/>
        <v>5.6000000000000005</v>
      </c>
      <c r="W76" s="3157">
        <f t="shared" si="71"/>
        <v>1.6</v>
      </c>
      <c r="X76" s="3157">
        <f t="shared" si="71"/>
        <v>5.85</v>
      </c>
      <c r="Y76" s="3157">
        <f t="shared" si="71"/>
        <v>1.6999999999999997</v>
      </c>
      <c r="Z76" s="3157">
        <f t="shared" si="71"/>
        <v>1.7999999999999998</v>
      </c>
      <c r="AA76" s="3157">
        <f t="shared" si="71"/>
        <v>2.7274999999999996</v>
      </c>
      <c r="AB76" s="144"/>
      <c r="AC76" s="2867" t="s">
        <v>193</v>
      </c>
      <c r="AD76" s="2937"/>
      <c r="AE76" s="2937"/>
      <c r="AF76" s="2937"/>
      <c r="AG76" s="2937"/>
      <c r="AH76" s="2937"/>
      <c r="AI76" s="2935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3157">
        <f t="shared" si="71"/>
        <v>3.7600000000000002</v>
      </c>
      <c r="V77" s="3157">
        <f t="shared" si="71"/>
        <v>5.6000000000000005</v>
      </c>
      <c r="W77" s="3157">
        <f t="shared" si="71"/>
        <v>1.6</v>
      </c>
      <c r="X77" s="3157">
        <f t="shared" si="71"/>
        <v>5.85</v>
      </c>
      <c r="Y77" s="3157">
        <f t="shared" si="71"/>
        <v>1.6999999999999997</v>
      </c>
      <c r="Z77" s="3157">
        <f t="shared" si="71"/>
        <v>1.7999999999999998</v>
      </c>
      <c r="AA77" s="3157">
        <f t="shared" si="71"/>
        <v>2.7274999999999996</v>
      </c>
      <c r="AB77" s="144"/>
      <c r="AC77" s="2867">
        <v>0</v>
      </c>
      <c r="AD77" s="2867">
        <v>0</v>
      </c>
      <c r="AE77" s="2867">
        <v>0</v>
      </c>
      <c r="AF77" s="2867">
        <v>0</v>
      </c>
      <c r="AG77" s="2867">
        <v>0</v>
      </c>
      <c r="AH77" s="2867">
        <v>0</v>
      </c>
      <c r="AI77" s="2935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3157">
        <f t="shared" si="71"/>
        <v>3.7600000000000002</v>
      </c>
      <c r="V78" s="3157">
        <f t="shared" si="71"/>
        <v>5.6000000000000005</v>
      </c>
      <c r="W78" s="3157">
        <f t="shared" si="71"/>
        <v>1.6</v>
      </c>
      <c r="X78" s="3157">
        <f t="shared" si="71"/>
        <v>5.85</v>
      </c>
      <c r="Y78" s="3157">
        <f t="shared" si="71"/>
        <v>1.6999999999999997</v>
      </c>
      <c r="Z78" s="3157">
        <f t="shared" si="71"/>
        <v>1.7999999999999998</v>
      </c>
      <c r="AA78" s="3157">
        <f t="shared" si="71"/>
        <v>2.7274999999999996</v>
      </c>
      <c r="AB78" s="144"/>
      <c r="AC78" s="2867"/>
      <c r="AD78" s="2867"/>
      <c r="AE78" s="2867"/>
      <c r="AF78" s="2867"/>
      <c r="AG78" s="2867"/>
      <c r="AH78" s="2867"/>
      <c r="AI78" s="2935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3157">
        <f t="shared" si="71"/>
        <v>3.7600000000000002</v>
      </c>
      <c r="V79" s="3157">
        <f t="shared" si="71"/>
        <v>5.6000000000000005</v>
      </c>
      <c r="W79" s="3157">
        <f t="shared" si="71"/>
        <v>1.6</v>
      </c>
      <c r="X79" s="3157">
        <f t="shared" si="71"/>
        <v>5.85</v>
      </c>
      <c r="Y79" s="3157">
        <f t="shared" si="71"/>
        <v>1.6999999999999997</v>
      </c>
      <c r="Z79" s="3157">
        <f t="shared" si="71"/>
        <v>1.7999999999999998</v>
      </c>
      <c r="AA79" s="3157">
        <f t="shared" si="71"/>
        <v>2.7274999999999996</v>
      </c>
      <c r="AB79" s="144"/>
      <c r="AC79" s="2867"/>
      <c r="AD79" s="2867"/>
      <c r="AE79" s="2867"/>
      <c r="AF79" s="2867"/>
      <c r="AG79" s="2867"/>
      <c r="AH79" s="2867"/>
      <c r="AI79" s="2935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3157">
        <f t="shared" si="71"/>
        <v>3.7600000000000002</v>
      </c>
      <c r="V80" s="3157">
        <f t="shared" si="71"/>
        <v>5.6000000000000005</v>
      </c>
      <c r="W80" s="3157">
        <f t="shared" si="71"/>
        <v>1.6</v>
      </c>
      <c r="X80" s="3157">
        <f t="shared" si="71"/>
        <v>5.85</v>
      </c>
      <c r="Y80" s="3157">
        <f t="shared" si="71"/>
        <v>1.6999999999999997</v>
      </c>
      <c r="Z80" s="3157">
        <f t="shared" si="71"/>
        <v>1.7999999999999998</v>
      </c>
      <c r="AA80" s="3157">
        <f t="shared" si="71"/>
        <v>2.7274999999999996</v>
      </c>
      <c r="AB80" s="144"/>
      <c r="AC80" s="2867">
        <v>0</v>
      </c>
      <c r="AD80" s="2867">
        <v>0</v>
      </c>
      <c r="AE80" s="2867">
        <v>0</v>
      </c>
      <c r="AF80" s="2867">
        <v>0</v>
      </c>
      <c r="AG80" s="2867">
        <v>0</v>
      </c>
      <c r="AH80" s="2867">
        <v>0</v>
      </c>
      <c r="AI80" s="2935"/>
      <c r="AJ80" s="1"/>
      <c r="AK80" s="1"/>
      <c r="AL80" s="1"/>
      <c r="AM80" s="1"/>
      <c r="AN80" s="1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3157">
        <f t="shared" si="71"/>
        <v>3.7600000000000002</v>
      </c>
      <c r="V81" s="3157">
        <f t="shared" si="71"/>
        <v>5.6000000000000005</v>
      </c>
      <c r="W81" s="3157">
        <f t="shared" si="71"/>
        <v>1.6</v>
      </c>
      <c r="X81" s="3157">
        <f t="shared" si="71"/>
        <v>5.85</v>
      </c>
      <c r="Y81" s="3157">
        <f t="shared" si="71"/>
        <v>1.6999999999999997</v>
      </c>
      <c r="Z81" s="3157">
        <f t="shared" si="71"/>
        <v>1.7999999999999998</v>
      </c>
      <c r="AA81" s="3157">
        <f t="shared" si="71"/>
        <v>2.7274999999999996</v>
      </c>
      <c r="AB81" s="144"/>
      <c r="AC81" s="2867">
        <v>0</v>
      </c>
      <c r="AD81" s="2867">
        <v>0</v>
      </c>
      <c r="AE81" s="2867">
        <v>0</v>
      </c>
      <c r="AF81" s="2867">
        <v>0</v>
      </c>
      <c r="AG81" s="2867">
        <v>0</v>
      </c>
      <c r="AH81" s="2867">
        <v>0</v>
      </c>
      <c r="AI81" s="2825"/>
      <c r="AJ81" s="1"/>
      <c r="AK81" s="1"/>
      <c r="AL81" s="1"/>
      <c r="AM81" s="1"/>
      <c r="AN81" s="1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3157">
        <f t="shared" si="71"/>
        <v>3.7600000000000002</v>
      </c>
      <c r="V82" s="3157">
        <f t="shared" si="71"/>
        <v>5.6000000000000005</v>
      </c>
      <c r="W82" s="3157">
        <f t="shared" si="71"/>
        <v>1.6</v>
      </c>
      <c r="X82" s="3157">
        <f t="shared" si="71"/>
        <v>5.85</v>
      </c>
      <c r="Y82" s="3157">
        <f t="shared" si="71"/>
        <v>1.6999999999999997</v>
      </c>
      <c r="Z82" s="3157">
        <f t="shared" si="71"/>
        <v>1.7999999999999998</v>
      </c>
      <c r="AA82" s="3157">
        <f t="shared" si="71"/>
        <v>2.7274999999999996</v>
      </c>
      <c r="AB82" s="144"/>
      <c r="AC82" s="2867"/>
      <c r="AD82" s="2867"/>
      <c r="AE82" s="2867"/>
      <c r="AF82" s="2867"/>
      <c r="AG82" s="2867"/>
      <c r="AH82" s="2867"/>
      <c r="AI82" s="2825"/>
      <c r="AJ82" s="1"/>
      <c r="AK82" s="1"/>
      <c r="AL82" s="1"/>
      <c r="AM82" s="1"/>
      <c r="AN82" s="1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3157">
        <f t="shared" si="71"/>
        <v>3.7600000000000002</v>
      </c>
      <c r="V83" s="3157">
        <f t="shared" si="71"/>
        <v>5.6000000000000005</v>
      </c>
      <c r="W83" s="3157">
        <f t="shared" si="71"/>
        <v>1.6</v>
      </c>
      <c r="X83" s="3157">
        <f t="shared" si="71"/>
        <v>5.85</v>
      </c>
      <c r="Y83" s="3157">
        <f t="shared" si="71"/>
        <v>1.6999999999999997</v>
      </c>
      <c r="Z83" s="3157">
        <f t="shared" si="71"/>
        <v>1.7999999999999998</v>
      </c>
      <c r="AA83" s="3157">
        <f t="shared" si="71"/>
        <v>2.7274999999999996</v>
      </c>
      <c r="AB83" s="144"/>
      <c r="AC83" s="2867"/>
      <c r="AD83" s="2867"/>
      <c r="AE83" s="2867"/>
      <c r="AF83" s="2867"/>
      <c r="AG83" s="2867"/>
      <c r="AH83" s="2867"/>
      <c r="AI83" s="2825"/>
      <c r="AJ83" s="1"/>
      <c r="AK83" s="1"/>
      <c r="AL83" s="1"/>
      <c r="AM83" s="1"/>
      <c r="AN83" s="1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3157">
        <f t="shared" si="71"/>
        <v>3.7600000000000002</v>
      </c>
      <c r="V84" s="3157">
        <f t="shared" si="71"/>
        <v>5.6000000000000005</v>
      </c>
      <c r="W84" s="3157">
        <f t="shared" si="71"/>
        <v>1.6</v>
      </c>
      <c r="X84" s="3157">
        <f t="shared" si="71"/>
        <v>5.85</v>
      </c>
      <c r="Y84" s="3157">
        <f t="shared" si="71"/>
        <v>1.6999999999999997</v>
      </c>
      <c r="Z84" s="3157">
        <f t="shared" si="71"/>
        <v>1.7999999999999998</v>
      </c>
      <c r="AA84" s="3157">
        <f t="shared" si="71"/>
        <v>2.7274999999999996</v>
      </c>
      <c r="AB84" s="144"/>
      <c r="AC84" s="2867">
        <v>0</v>
      </c>
      <c r="AD84" s="2867">
        <v>0</v>
      </c>
      <c r="AE84" s="2867">
        <v>0</v>
      </c>
      <c r="AF84" s="2867">
        <v>0</v>
      </c>
      <c r="AG84" s="2867">
        <v>0</v>
      </c>
      <c r="AH84" s="2867">
        <v>0</v>
      </c>
      <c r="AI84" s="2825"/>
      <c r="AJ84" s="1"/>
      <c r="AK84" s="1"/>
      <c r="AL84" s="1"/>
      <c r="AM84" s="1"/>
      <c r="AN84" s="1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3157">
        <f t="shared" si="71"/>
        <v>3.7600000000000002</v>
      </c>
      <c r="V85" s="3157">
        <f t="shared" si="71"/>
        <v>5.6000000000000005</v>
      </c>
      <c r="W85" s="3157">
        <f t="shared" si="71"/>
        <v>1.6</v>
      </c>
      <c r="X85" s="3157">
        <f t="shared" si="71"/>
        <v>5.85</v>
      </c>
      <c r="Y85" s="3157">
        <f t="shared" si="71"/>
        <v>1.6999999999999997</v>
      </c>
      <c r="Z85" s="3157">
        <f t="shared" si="71"/>
        <v>1.7999999999999998</v>
      </c>
      <c r="AA85" s="3157">
        <f t="shared" si="71"/>
        <v>2.7274999999999996</v>
      </c>
      <c r="AB85" s="144"/>
      <c r="AC85" s="2867">
        <v>0</v>
      </c>
      <c r="AD85" s="2867">
        <v>0</v>
      </c>
      <c r="AE85" s="2867">
        <v>0</v>
      </c>
      <c r="AF85" s="2867">
        <v>0</v>
      </c>
      <c r="AG85" s="2867">
        <v>0</v>
      </c>
      <c r="AH85" s="2867">
        <v>0</v>
      </c>
      <c r="AI85" s="2825"/>
      <c r="AJ85" s="1"/>
      <c r="AK85" s="1"/>
      <c r="AL85" s="1"/>
      <c r="AM85" s="1"/>
      <c r="AN85" s="1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3157">
        <f t="shared" si="71"/>
        <v>3.7600000000000002</v>
      </c>
      <c r="V86" s="3157">
        <f t="shared" si="71"/>
        <v>5.6000000000000005</v>
      </c>
      <c r="W86" s="3157">
        <f t="shared" si="71"/>
        <v>1.6</v>
      </c>
      <c r="X86" s="3157">
        <f t="shared" si="71"/>
        <v>5.85</v>
      </c>
      <c r="Y86" s="3157">
        <f t="shared" si="71"/>
        <v>1.6999999999999997</v>
      </c>
      <c r="Z86" s="3157">
        <f t="shared" si="71"/>
        <v>1.7999999999999998</v>
      </c>
      <c r="AA86" s="3157">
        <f t="shared" si="71"/>
        <v>2.7274999999999996</v>
      </c>
      <c r="AB86" s="144"/>
      <c r="AC86" s="2867">
        <v>0</v>
      </c>
      <c r="AD86" s="2867">
        <v>0</v>
      </c>
      <c r="AE86" s="2867">
        <v>0</v>
      </c>
      <c r="AF86" s="2867">
        <v>0</v>
      </c>
      <c r="AG86" s="2867">
        <v>0</v>
      </c>
      <c r="AH86" s="2867">
        <v>0</v>
      </c>
      <c r="AI86" s="2825"/>
      <c r="AJ86" s="1"/>
      <c r="AK86" s="1"/>
      <c r="AL86" s="1"/>
      <c r="AM86" s="1"/>
      <c r="AN86" s="1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3157">
        <f t="shared" si="71"/>
        <v>3.7600000000000002</v>
      </c>
      <c r="V87" s="3157">
        <f t="shared" si="71"/>
        <v>5.6000000000000005</v>
      </c>
      <c r="W87" s="3157">
        <f t="shared" si="71"/>
        <v>1.6</v>
      </c>
      <c r="X87" s="3157">
        <f t="shared" si="71"/>
        <v>5.85</v>
      </c>
      <c r="Y87" s="3157">
        <f t="shared" si="71"/>
        <v>1.6999999999999997</v>
      </c>
      <c r="Z87" s="3157">
        <f t="shared" si="71"/>
        <v>1.7999999999999998</v>
      </c>
      <c r="AA87" s="3157">
        <f t="shared" si="71"/>
        <v>2.7274999999999996</v>
      </c>
      <c r="AB87" s="144"/>
      <c r="AC87" s="2867">
        <v>0</v>
      </c>
      <c r="AD87" s="2867">
        <v>0</v>
      </c>
      <c r="AE87" s="2867">
        <v>0</v>
      </c>
      <c r="AF87" s="2867">
        <v>0</v>
      </c>
      <c r="AG87" s="2867">
        <v>0</v>
      </c>
      <c r="AH87" s="2867">
        <v>0</v>
      </c>
      <c r="AI87" s="2825"/>
      <c r="AJ87" s="1"/>
      <c r="AK87" s="1"/>
      <c r="AL87" s="1"/>
      <c r="AM87" s="1"/>
      <c r="AN87" s="1"/>
    </row>
    <row r="88" spans="1:40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3157">
        <f t="shared" ref="U88:AA103" si="72">IF(U87&gt;0,U87,U86)</f>
        <v>3.7600000000000002</v>
      </c>
      <c r="V88" s="3157">
        <f t="shared" si="72"/>
        <v>5.6000000000000005</v>
      </c>
      <c r="W88" s="3157">
        <f t="shared" si="72"/>
        <v>1.6</v>
      </c>
      <c r="X88" s="3157">
        <f t="shared" si="72"/>
        <v>5.85</v>
      </c>
      <c r="Y88" s="3157">
        <f t="shared" si="72"/>
        <v>1.6999999999999997</v>
      </c>
      <c r="Z88" s="3157">
        <f t="shared" si="72"/>
        <v>1.7999999999999998</v>
      </c>
      <c r="AA88" s="3157">
        <f t="shared" si="72"/>
        <v>2.7274999999999996</v>
      </c>
      <c r="AB88" s="144"/>
      <c r="AC88" s="2867"/>
      <c r="AD88" s="2867"/>
      <c r="AE88" s="2867"/>
      <c r="AF88" s="2867"/>
      <c r="AG88" s="2867"/>
      <c r="AH88" s="2867"/>
      <c r="AI88" s="2825"/>
      <c r="AJ88" s="1"/>
      <c r="AK88" s="1"/>
      <c r="AL88" s="1"/>
      <c r="AM88" s="1"/>
      <c r="AN88" s="1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3157">
        <f t="shared" si="72"/>
        <v>3.7600000000000002</v>
      </c>
      <c r="V89" s="3157">
        <f t="shared" si="72"/>
        <v>5.6000000000000005</v>
      </c>
      <c r="W89" s="3157">
        <f t="shared" si="72"/>
        <v>1.6</v>
      </c>
      <c r="X89" s="3157">
        <f t="shared" si="72"/>
        <v>5.85</v>
      </c>
      <c r="Y89" s="3157">
        <f t="shared" si="72"/>
        <v>1.6999999999999997</v>
      </c>
      <c r="Z89" s="3157">
        <f t="shared" si="72"/>
        <v>1.7999999999999998</v>
      </c>
      <c r="AA89" s="3157">
        <f t="shared" si="72"/>
        <v>2.7274999999999996</v>
      </c>
      <c r="AB89" s="144"/>
      <c r="AC89" s="2867"/>
      <c r="AD89" s="2867"/>
      <c r="AE89" s="2867"/>
      <c r="AF89" s="2867"/>
      <c r="AG89" s="2867"/>
      <c r="AH89" s="2867"/>
      <c r="AI89" s="2825"/>
      <c r="AJ89" s="1"/>
      <c r="AK89" s="1"/>
      <c r="AL89" s="1"/>
      <c r="AM89" s="1"/>
      <c r="AN89" s="1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3157">
        <f t="shared" si="72"/>
        <v>3.7600000000000002</v>
      </c>
      <c r="V90" s="3157">
        <f t="shared" si="72"/>
        <v>5.6000000000000005</v>
      </c>
      <c r="W90" s="3157">
        <f t="shared" si="72"/>
        <v>1.6</v>
      </c>
      <c r="X90" s="3157">
        <f t="shared" si="72"/>
        <v>5.85</v>
      </c>
      <c r="Y90" s="3157">
        <f t="shared" si="72"/>
        <v>1.6999999999999997</v>
      </c>
      <c r="Z90" s="3157">
        <f t="shared" si="72"/>
        <v>1.7999999999999998</v>
      </c>
      <c r="AA90" s="3157">
        <f t="shared" si="72"/>
        <v>2.7274999999999996</v>
      </c>
      <c r="AB90" s="144"/>
      <c r="AC90" s="2867">
        <v>0</v>
      </c>
      <c r="AD90" s="2867">
        <v>0</v>
      </c>
      <c r="AE90" s="2867">
        <v>0</v>
      </c>
      <c r="AF90" s="2867">
        <v>0</v>
      </c>
      <c r="AG90" s="2867">
        <v>0</v>
      </c>
      <c r="AH90" s="2867">
        <v>0</v>
      </c>
      <c r="AI90" s="2825"/>
      <c r="AJ90" s="1"/>
      <c r="AK90" s="1"/>
      <c r="AL90" s="1"/>
      <c r="AM90" s="1"/>
      <c r="AN90" s="1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3157">
        <f t="shared" si="72"/>
        <v>3.7600000000000002</v>
      </c>
      <c r="V91" s="3157">
        <f t="shared" si="72"/>
        <v>5.6000000000000005</v>
      </c>
      <c r="W91" s="3157">
        <f t="shared" si="72"/>
        <v>1.6</v>
      </c>
      <c r="X91" s="3157">
        <f t="shared" si="72"/>
        <v>5.85</v>
      </c>
      <c r="Y91" s="3157">
        <f t="shared" si="72"/>
        <v>1.6999999999999997</v>
      </c>
      <c r="Z91" s="3157">
        <f t="shared" si="72"/>
        <v>1.7999999999999998</v>
      </c>
      <c r="AA91" s="3157">
        <f t="shared" si="72"/>
        <v>2.7274999999999996</v>
      </c>
      <c r="AB91" s="144"/>
      <c r="AC91" s="2867">
        <v>0</v>
      </c>
      <c r="AD91" s="2867">
        <v>0</v>
      </c>
      <c r="AE91" s="2867">
        <v>0</v>
      </c>
      <c r="AF91" s="2867">
        <v>0</v>
      </c>
      <c r="AG91" s="2867">
        <v>0</v>
      </c>
      <c r="AH91" s="2867">
        <v>0</v>
      </c>
      <c r="AI91" s="2825"/>
      <c r="AJ91" s="1"/>
      <c r="AK91" s="1"/>
      <c r="AL91" s="1"/>
      <c r="AM91" s="1"/>
      <c r="AN91" s="1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3157">
        <f t="shared" si="72"/>
        <v>3.7600000000000002</v>
      </c>
      <c r="V92" s="3157">
        <f t="shared" si="72"/>
        <v>5.6000000000000005</v>
      </c>
      <c r="W92" s="3157">
        <f t="shared" si="72"/>
        <v>1.6</v>
      </c>
      <c r="X92" s="3157">
        <f t="shared" si="72"/>
        <v>5.85</v>
      </c>
      <c r="Y92" s="3157">
        <f t="shared" si="72"/>
        <v>1.6999999999999997</v>
      </c>
      <c r="Z92" s="3157">
        <f t="shared" si="72"/>
        <v>1.7999999999999998</v>
      </c>
      <c r="AA92" s="3157">
        <f t="shared" si="72"/>
        <v>2.7274999999999996</v>
      </c>
      <c r="AB92" s="144"/>
      <c r="AC92" s="2867">
        <v>0</v>
      </c>
      <c r="AD92" s="2867">
        <v>0</v>
      </c>
      <c r="AE92" s="2867">
        <v>0</v>
      </c>
      <c r="AF92" s="2867">
        <v>0</v>
      </c>
      <c r="AG92" s="2867">
        <v>0</v>
      </c>
      <c r="AH92" s="2867">
        <v>0</v>
      </c>
      <c r="AI92" s="2825"/>
      <c r="AJ92" s="1"/>
      <c r="AK92" s="1"/>
      <c r="AL92" s="1"/>
      <c r="AM92" s="1"/>
      <c r="AN92" s="1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3157">
        <f t="shared" si="72"/>
        <v>3.7600000000000002</v>
      </c>
      <c r="V93" s="3157">
        <f t="shared" si="72"/>
        <v>5.6000000000000005</v>
      </c>
      <c r="W93" s="3157">
        <f t="shared" si="72"/>
        <v>1.6</v>
      </c>
      <c r="X93" s="3157">
        <f t="shared" si="72"/>
        <v>5.85</v>
      </c>
      <c r="Y93" s="3157">
        <f t="shared" si="72"/>
        <v>1.6999999999999997</v>
      </c>
      <c r="Z93" s="3157">
        <f t="shared" si="72"/>
        <v>1.7999999999999998</v>
      </c>
      <c r="AA93" s="3157">
        <f t="shared" si="72"/>
        <v>2.7274999999999996</v>
      </c>
      <c r="AB93" s="144"/>
      <c r="AC93" s="2867"/>
      <c r="AD93" s="2867"/>
      <c r="AE93" s="2867"/>
      <c r="AF93" s="2867"/>
      <c r="AG93" s="2867"/>
      <c r="AH93" s="2867"/>
      <c r="AI93" s="2825"/>
      <c r="AJ93" s="1"/>
      <c r="AK93" s="1"/>
      <c r="AL93" s="1"/>
      <c r="AM93" s="1"/>
      <c r="AN93" s="1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3157">
        <f t="shared" si="72"/>
        <v>3.7600000000000002</v>
      </c>
      <c r="V94" s="3157">
        <f t="shared" si="72"/>
        <v>5.6000000000000005</v>
      </c>
      <c r="W94" s="3157">
        <f t="shared" si="72"/>
        <v>1.6</v>
      </c>
      <c r="X94" s="3157">
        <f t="shared" si="72"/>
        <v>5.85</v>
      </c>
      <c r="Y94" s="3157">
        <f t="shared" si="72"/>
        <v>1.6999999999999997</v>
      </c>
      <c r="Z94" s="3157">
        <f t="shared" si="72"/>
        <v>1.7999999999999998</v>
      </c>
      <c r="AA94" s="3157">
        <f t="shared" si="72"/>
        <v>2.7274999999999996</v>
      </c>
      <c r="AB94" s="144"/>
      <c r="AC94" s="2867"/>
      <c r="AD94" s="2867"/>
      <c r="AE94" s="2867"/>
      <c r="AF94" s="2867"/>
      <c r="AG94" s="2867"/>
      <c r="AH94" s="2867"/>
      <c r="AI94" s="2825"/>
      <c r="AJ94" s="1"/>
      <c r="AK94" s="1"/>
      <c r="AL94" s="1"/>
      <c r="AM94" s="1"/>
      <c r="AN94" s="1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3157">
        <f t="shared" si="72"/>
        <v>3.7600000000000002</v>
      </c>
      <c r="V95" s="3157">
        <f t="shared" si="72"/>
        <v>5.6000000000000005</v>
      </c>
      <c r="W95" s="3157">
        <f t="shared" si="72"/>
        <v>1.6</v>
      </c>
      <c r="X95" s="3157">
        <f t="shared" si="72"/>
        <v>5.85</v>
      </c>
      <c r="Y95" s="3157">
        <f t="shared" si="72"/>
        <v>1.6999999999999997</v>
      </c>
      <c r="Z95" s="3157">
        <f t="shared" si="72"/>
        <v>1.7999999999999998</v>
      </c>
      <c r="AA95" s="3157">
        <f t="shared" si="72"/>
        <v>2.7274999999999996</v>
      </c>
      <c r="AB95" s="144"/>
      <c r="AC95" s="2867">
        <v>0</v>
      </c>
      <c r="AD95" s="2867">
        <v>0</v>
      </c>
      <c r="AE95" s="2867">
        <v>0</v>
      </c>
      <c r="AF95" s="2867">
        <v>0</v>
      </c>
      <c r="AG95" s="2867">
        <v>0</v>
      </c>
      <c r="AH95" s="2867">
        <v>0</v>
      </c>
      <c r="AI95" s="2825"/>
      <c r="AJ95" s="1"/>
      <c r="AK95" s="1"/>
      <c r="AL95" s="1"/>
      <c r="AM95" s="1"/>
      <c r="AN95" s="1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3157">
        <f t="shared" si="72"/>
        <v>3.7600000000000002</v>
      </c>
      <c r="V96" s="3157">
        <f t="shared" si="72"/>
        <v>5.6000000000000005</v>
      </c>
      <c r="W96" s="3157">
        <f t="shared" si="72"/>
        <v>1.6</v>
      </c>
      <c r="X96" s="3157">
        <f t="shared" si="72"/>
        <v>5.85</v>
      </c>
      <c r="Y96" s="3157">
        <f t="shared" si="72"/>
        <v>1.6999999999999997</v>
      </c>
      <c r="Z96" s="3157">
        <f t="shared" si="72"/>
        <v>1.7999999999999998</v>
      </c>
      <c r="AA96" s="3157">
        <f t="shared" si="72"/>
        <v>2.7274999999999996</v>
      </c>
      <c r="AB96" s="144"/>
      <c r="AC96" s="2867">
        <v>0</v>
      </c>
      <c r="AD96" s="2867">
        <v>0</v>
      </c>
      <c r="AE96" s="2867">
        <v>0</v>
      </c>
      <c r="AF96" s="2867">
        <v>0</v>
      </c>
      <c r="AG96" s="2867">
        <v>0</v>
      </c>
      <c r="AH96" s="2867">
        <v>0</v>
      </c>
      <c r="AI96" s="2825"/>
      <c r="AJ96" s="1"/>
      <c r="AK96" s="1"/>
      <c r="AL96" s="1"/>
      <c r="AM96" s="1"/>
      <c r="AN96" s="1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3157">
        <f t="shared" si="72"/>
        <v>3.7600000000000002</v>
      </c>
      <c r="V97" s="3157">
        <f t="shared" si="72"/>
        <v>5.6000000000000005</v>
      </c>
      <c r="W97" s="3157">
        <f t="shared" si="72"/>
        <v>1.6</v>
      </c>
      <c r="X97" s="3157">
        <f t="shared" si="72"/>
        <v>5.85</v>
      </c>
      <c r="Y97" s="3157">
        <f t="shared" si="72"/>
        <v>1.6999999999999997</v>
      </c>
      <c r="Z97" s="3157">
        <f t="shared" si="72"/>
        <v>1.7999999999999998</v>
      </c>
      <c r="AA97" s="3157">
        <f t="shared" si="72"/>
        <v>2.7274999999999996</v>
      </c>
      <c r="AB97" s="144"/>
      <c r="AC97" s="2867">
        <v>0</v>
      </c>
      <c r="AD97" s="2867">
        <v>0</v>
      </c>
      <c r="AE97" s="2867">
        <v>0</v>
      </c>
      <c r="AF97" s="2867">
        <v>0</v>
      </c>
      <c r="AG97" s="2867">
        <v>0</v>
      </c>
      <c r="AH97" s="2867">
        <v>0</v>
      </c>
      <c r="AI97" s="2825"/>
      <c r="AJ97" s="1"/>
      <c r="AK97" s="1"/>
      <c r="AL97" s="1"/>
      <c r="AM97" s="1"/>
      <c r="AN97" s="1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3157">
        <f t="shared" si="72"/>
        <v>3.7600000000000002</v>
      </c>
      <c r="V98" s="3157">
        <f t="shared" si="72"/>
        <v>5.6000000000000005</v>
      </c>
      <c r="W98" s="3157">
        <f t="shared" si="72"/>
        <v>1.6</v>
      </c>
      <c r="X98" s="3157">
        <f t="shared" si="72"/>
        <v>5.85</v>
      </c>
      <c r="Y98" s="3157">
        <f t="shared" si="72"/>
        <v>1.6999999999999997</v>
      </c>
      <c r="Z98" s="3157">
        <f t="shared" si="72"/>
        <v>1.7999999999999998</v>
      </c>
      <c r="AA98" s="3157">
        <f t="shared" si="72"/>
        <v>2.7274999999999996</v>
      </c>
      <c r="AB98" s="144"/>
      <c r="AC98" s="2867"/>
      <c r="AD98" s="2867"/>
      <c r="AE98" s="2867"/>
      <c r="AF98" s="2867"/>
      <c r="AG98" s="2867"/>
      <c r="AH98" s="2867"/>
      <c r="AI98" s="2825"/>
      <c r="AJ98" s="1"/>
      <c r="AK98" s="1"/>
      <c r="AL98" s="1"/>
      <c r="AM98" s="1"/>
      <c r="AN98" s="1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3157">
        <f t="shared" si="72"/>
        <v>3.7600000000000002</v>
      </c>
      <c r="V99" s="3157">
        <f t="shared" si="72"/>
        <v>5.6000000000000005</v>
      </c>
      <c r="W99" s="3157">
        <f t="shared" si="72"/>
        <v>1.6</v>
      </c>
      <c r="X99" s="3157">
        <f t="shared" si="72"/>
        <v>5.85</v>
      </c>
      <c r="Y99" s="3157">
        <f t="shared" si="72"/>
        <v>1.6999999999999997</v>
      </c>
      <c r="Z99" s="3157">
        <f t="shared" si="72"/>
        <v>1.7999999999999998</v>
      </c>
      <c r="AA99" s="3157">
        <f t="shared" si="72"/>
        <v>2.7274999999999996</v>
      </c>
      <c r="AB99" s="144"/>
      <c r="AC99" s="2867"/>
      <c r="AD99" s="2867"/>
      <c r="AE99" s="2867"/>
      <c r="AF99" s="2867"/>
      <c r="AG99" s="2867"/>
      <c r="AH99" s="2867"/>
      <c r="AI99" s="2825"/>
      <c r="AJ99" s="1"/>
      <c r="AK99" s="1"/>
      <c r="AL99" s="1"/>
      <c r="AM99" s="1"/>
      <c r="AN99" s="1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3157">
        <f t="shared" si="72"/>
        <v>3.7600000000000002</v>
      </c>
      <c r="V100" s="3157">
        <f t="shared" si="72"/>
        <v>5.6000000000000005</v>
      </c>
      <c r="W100" s="3157">
        <f t="shared" si="72"/>
        <v>1.6</v>
      </c>
      <c r="X100" s="3157">
        <f t="shared" si="72"/>
        <v>5.85</v>
      </c>
      <c r="Y100" s="3157">
        <f t="shared" si="72"/>
        <v>1.6999999999999997</v>
      </c>
      <c r="Z100" s="3157">
        <f t="shared" si="72"/>
        <v>1.7999999999999998</v>
      </c>
      <c r="AA100" s="3157">
        <f t="shared" si="72"/>
        <v>2.7274999999999996</v>
      </c>
      <c r="AB100" s="144"/>
      <c r="AC100" s="2867">
        <v>0</v>
      </c>
      <c r="AD100" s="2867">
        <v>0</v>
      </c>
      <c r="AE100" s="2867">
        <v>0</v>
      </c>
      <c r="AF100" s="2867">
        <v>0</v>
      </c>
      <c r="AG100" s="2867">
        <v>0</v>
      </c>
      <c r="AH100" s="2867">
        <v>0</v>
      </c>
      <c r="AI100" s="2825"/>
      <c r="AJ100" s="1"/>
      <c r="AK100" s="1"/>
      <c r="AL100" s="1"/>
      <c r="AM100" s="1"/>
      <c r="AN100" s="1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3157">
        <f t="shared" si="72"/>
        <v>3.7600000000000002</v>
      </c>
      <c r="V101" s="3157">
        <f t="shared" si="72"/>
        <v>5.6000000000000005</v>
      </c>
      <c r="W101" s="3157">
        <f t="shared" si="72"/>
        <v>1.6</v>
      </c>
      <c r="X101" s="3157">
        <f t="shared" si="72"/>
        <v>5.85</v>
      </c>
      <c r="Y101" s="3157">
        <f t="shared" si="72"/>
        <v>1.6999999999999997</v>
      </c>
      <c r="Z101" s="3157">
        <f t="shared" si="72"/>
        <v>1.7999999999999998</v>
      </c>
      <c r="AA101" s="3157">
        <f t="shared" si="72"/>
        <v>2.7274999999999996</v>
      </c>
      <c r="AB101" s="144"/>
      <c r="AC101" s="2867">
        <v>0</v>
      </c>
      <c r="AD101" s="2867">
        <v>0</v>
      </c>
      <c r="AE101" s="2867">
        <v>0</v>
      </c>
      <c r="AF101" s="2867">
        <v>0</v>
      </c>
      <c r="AG101" s="2867">
        <v>0</v>
      </c>
      <c r="AH101" s="2867">
        <v>0</v>
      </c>
      <c r="AI101" s="2825"/>
      <c r="AJ101" s="1"/>
      <c r="AK101" s="1"/>
      <c r="AL101" s="1"/>
      <c r="AM101" s="1"/>
      <c r="AN101" s="1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3157">
        <f t="shared" si="72"/>
        <v>3.7600000000000002</v>
      </c>
      <c r="V102" s="3157">
        <f t="shared" si="72"/>
        <v>5.6000000000000005</v>
      </c>
      <c r="W102" s="3157">
        <f t="shared" si="72"/>
        <v>1.6</v>
      </c>
      <c r="X102" s="3157">
        <f t="shared" si="72"/>
        <v>5.85</v>
      </c>
      <c r="Y102" s="3157">
        <f t="shared" si="72"/>
        <v>1.6999999999999997</v>
      </c>
      <c r="Z102" s="3157">
        <f t="shared" si="72"/>
        <v>1.7999999999999998</v>
      </c>
      <c r="AA102" s="3157">
        <f t="shared" si="72"/>
        <v>2.7274999999999996</v>
      </c>
      <c r="AB102" s="144"/>
      <c r="AC102" s="2867"/>
      <c r="AD102" s="2867"/>
      <c r="AE102" s="2867"/>
      <c r="AF102" s="2867"/>
      <c r="AG102" s="2867"/>
      <c r="AH102" s="2867"/>
      <c r="AI102" s="2825"/>
      <c r="AJ102" s="1"/>
      <c r="AK102" s="1"/>
      <c r="AL102" s="1"/>
      <c r="AM102" s="1"/>
      <c r="AN102" s="1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3157">
        <f t="shared" si="72"/>
        <v>3.7600000000000002</v>
      </c>
      <c r="V103" s="3157">
        <f t="shared" si="72"/>
        <v>5.6000000000000005</v>
      </c>
      <c r="W103" s="3157">
        <f t="shared" si="72"/>
        <v>1.6</v>
      </c>
      <c r="X103" s="3157">
        <f t="shared" si="72"/>
        <v>5.85</v>
      </c>
      <c r="Y103" s="3157">
        <f t="shared" si="72"/>
        <v>1.6999999999999997</v>
      </c>
      <c r="Z103" s="3157">
        <f t="shared" si="72"/>
        <v>1.7999999999999998</v>
      </c>
      <c r="AA103" s="3157">
        <f t="shared" si="72"/>
        <v>2.7274999999999996</v>
      </c>
      <c r="AB103" s="144"/>
      <c r="AC103" s="2867"/>
      <c r="AD103" s="2867"/>
      <c r="AE103" s="2867"/>
      <c r="AF103" s="2867"/>
      <c r="AG103" s="2867"/>
      <c r="AH103" s="2867"/>
      <c r="AI103" s="2825"/>
      <c r="AJ103" s="1"/>
      <c r="AK103" s="1"/>
      <c r="AL103" s="1"/>
      <c r="AM103" s="1"/>
      <c r="AN103" s="1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3157">
        <f t="shared" ref="U104:AA119" si="73">IF(U103&gt;0,U103,U102)</f>
        <v>3.7600000000000002</v>
      </c>
      <c r="V104" s="3157">
        <f t="shared" si="73"/>
        <v>5.6000000000000005</v>
      </c>
      <c r="W104" s="3157">
        <f t="shared" si="73"/>
        <v>1.6</v>
      </c>
      <c r="X104" s="3157">
        <f t="shared" si="73"/>
        <v>5.85</v>
      </c>
      <c r="Y104" s="3157">
        <f t="shared" si="73"/>
        <v>1.6999999999999997</v>
      </c>
      <c r="Z104" s="3157">
        <f t="shared" si="73"/>
        <v>1.7999999999999998</v>
      </c>
      <c r="AA104" s="3157">
        <f t="shared" si="73"/>
        <v>2.7274999999999996</v>
      </c>
      <c r="AB104" s="144"/>
      <c r="AC104" s="2867">
        <v>0</v>
      </c>
      <c r="AD104" s="2867">
        <v>0</v>
      </c>
      <c r="AE104" s="2867">
        <v>0</v>
      </c>
      <c r="AF104" s="2867">
        <v>0</v>
      </c>
      <c r="AG104" s="2867">
        <v>0</v>
      </c>
      <c r="AH104" s="2867">
        <v>0</v>
      </c>
      <c r="AI104" s="2825"/>
      <c r="AJ104" s="1"/>
      <c r="AK104" s="1"/>
      <c r="AL104" s="1"/>
      <c r="AM104" s="1"/>
      <c r="AN104" s="1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3157">
        <f t="shared" si="73"/>
        <v>3.7600000000000002</v>
      </c>
      <c r="V105" s="3157">
        <f t="shared" si="73"/>
        <v>5.6000000000000005</v>
      </c>
      <c r="W105" s="3157">
        <f t="shared" si="73"/>
        <v>1.6</v>
      </c>
      <c r="X105" s="3157">
        <f t="shared" si="73"/>
        <v>5.85</v>
      </c>
      <c r="Y105" s="3157">
        <f t="shared" si="73"/>
        <v>1.6999999999999997</v>
      </c>
      <c r="Z105" s="3157">
        <f t="shared" si="73"/>
        <v>1.7999999999999998</v>
      </c>
      <c r="AA105" s="3157">
        <f t="shared" si="73"/>
        <v>2.7274999999999996</v>
      </c>
      <c r="AB105" s="144"/>
      <c r="AC105" s="2867">
        <v>0</v>
      </c>
      <c r="AD105" s="2867">
        <v>0</v>
      </c>
      <c r="AE105" s="2867">
        <v>0</v>
      </c>
      <c r="AF105" s="2867">
        <v>0</v>
      </c>
      <c r="AG105" s="2867">
        <v>0</v>
      </c>
      <c r="AH105" s="2867">
        <v>0</v>
      </c>
      <c r="AI105" s="2825"/>
      <c r="AJ105" s="1"/>
      <c r="AK105" s="1"/>
      <c r="AL105" s="1"/>
      <c r="AM105" s="1"/>
      <c r="AN105" s="1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3157">
        <f t="shared" si="73"/>
        <v>3.7600000000000002</v>
      </c>
      <c r="V106" s="3157">
        <f t="shared" si="73"/>
        <v>5.6000000000000005</v>
      </c>
      <c r="W106" s="3157">
        <f t="shared" si="73"/>
        <v>1.6</v>
      </c>
      <c r="X106" s="3157">
        <f t="shared" si="73"/>
        <v>5.85</v>
      </c>
      <c r="Y106" s="3157">
        <f t="shared" si="73"/>
        <v>1.6999999999999997</v>
      </c>
      <c r="Z106" s="3157">
        <f t="shared" si="73"/>
        <v>1.7999999999999998</v>
      </c>
      <c r="AA106" s="3157">
        <f t="shared" si="73"/>
        <v>2.7274999999999996</v>
      </c>
      <c r="AB106" s="144"/>
      <c r="AC106" s="2867">
        <v>0</v>
      </c>
      <c r="AD106" s="2867">
        <v>0</v>
      </c>
      <c r="AE106" s="2867">
        <v>0</v>
      </c>
      <c r="AF106" s="2867">
        <v>0</v>
      </c>
      <c r="AG106" s="2867">
        <v>0</v>
      </c>
      <c r="AH106" s="2867">
        <v>0</v>
      </c>
      <c r="AI106" s="2825"/>
      <c r="AJ106" s="1"/>
      <c r="AK106" s="1"/>
      <c r="AL106" s="1"/>
      <c r="AM106" s="1"/>
      <c r="AN106" s="1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3157">
        <f t="shared" si="73"/>
        <v>3.7600000000000002</v>
      </c>
      <c r="V107" s="3157">
        <f t="shared" si="73"/>
        <v>5.6000000000000005</v>
      </c>
      <c r="W107" s="3157">
        <f t="shared" si="73"/>
        <v>1.6</v>
      </c>
      <c r="X107" s="3157">
        <f t="shared" si="73"/>
        <v>5.85</v>
      </c>
      <c r="Y107" s="3157">
        <f t="shared" si="73"/>
        <v>1.6999999999999997</v>
      </c>
      <c r="Z107" s="3157">
        <f t="shared" si="73"/>
        <v>1.7999999999999998</v>
      </c>
      <c r="AA107" s="3157">
        <f t="shared" si="73"/>
        <v>2.7274999999999996</v>
      </c>
      <c r="AB107" s="144"/>
      <c r="AC107" s="2867">
        <v>0</v>
      </c>
      <c r="AD107" s="2867">
        <v>0</v>
      </c>
      <c r="AE107" s="2867">
        <v>0</v>
      </c>
      <c r="AF107" s="2867">
        <v>0</v>
      </c>
      <c r="AG107" s="2867">
        <v>0</v>
      </c>
      <c r="AH107" s="2867">
        <v>0</v>
      </c>
      <c r="AI107" s="2825"/>
      <c r="AJ107" s="1"/>
      <c r="AK107" s="1"/>
      <c r="AL107" s="1"/>
      <c r="AM107" s="1"/>
      <c r="AN107" s="1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3157">
        <f t="shared" si="73"/>
        <v>3.7600000000000002</v>
      </c>
      <c r="V108" s="3157">
        <f t="shared" si="73"/>
        <v>5.6000000000000005</v>
      </c>
      <c r="W108" s="3157">
        <f t="shared" si="73"/>
        <v>1.6</v>
      </c>
      <c r="X108" s="3157">
        <f t="shared" si="73"/>
        <v>5.85</v>
      </c>
      <c r="Y108" s="3157">
        <f t="shared" si="73"/>
        <v>1.6999999999999997</v>
      </c>
      <c r="Z108" s="3157">
        <f t="shared" si="73"/>
        <v>1.7999999999999998</v>
      </c>
      <c r="AA108" s="3157">
        <f t="shared" si="73"/>
        <v>2.7274999999999996</v>
      </c>
      <c r="AB108" s="144"/>
      <c r="AC108" s="2867"/>
      <c r="AD108" s="2867"/>
      <c r="AE108" s="2867"/>
      <c r="AF108" s="2867"/>
      <c r="AG108" s="2867"/>
      <c r="AH108" s="2867"/>
      <c r="AI108" s="2825"/>
      <c r="AJ108" s="1"/>
      <c r="AK108" s="1"/>
      <c r="AL108" s="1"/>
      <c r="AM108" s="1"/>
      <c r="AN108" s="1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3157">
        <f t="shared" si="73"/>
        <v>3.7600000000000002</v>
      </c>
      <c r="V109" s="3157">
        <f t="shared" si="73"/>
        <v>5.6000000000000005</v>
      </c>
      <c r="W109" s="3157">
        <f t="shared" si="73"/>
        <v>1.6</v>
      </c>
      <c r="X109" s="3157">
        <f t="shared" si="73"/>
        <v>5.85</v>
      </c>
      <c r="Y109" s="3157">
        <f t="shared" si="73"/>
        <v>1.6999999999999997</v>
      </c>
      <c r="Z109" s="3157">
        <f t="shared" si="73"/>
        <v>1.7999999999999998</v>
      </c>
      <c r="AA109" s="3157">
        <f t="shared" si="73"/>
        <v>2.7274999999999996</v>
      </c>
      <c r="AB109" s="144"/>
      <c r="AC109" s="2867">
        <v>0</v>
      </c>
      <c r="AD109" s="2867">
        <v>0</v>
      </c>
      <c r="AE109" s="2867">
        <v>0</v>
      </c>
      <c r="AF109" s="2867">
        <v>0</v>
      </c>
      <c r="AG109" s="2867">
        <v>0</v>
      </c>
      <c r="AH109" s="2867">
        <v>0</v>
      </c>
      <c r="AI109" s="2825"/>
      <c r="AJ109" s="1"/>
      <c r="AK109" s="1"/>
      <c r="AL109" s="1"/>
      <c r="AM109" s="1"/>
      <c r="AN109" s="1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3157">
        <f t="shared" si="73"/>
        <v>3.7600000000000002</v>
      </c>
      <c r="V110" s="3157">
        <f t="shared" si="73"/>
        <v>5.6000000000000005</v>
      </c>
      <c r="W110" s="3157">
        <f t="shared" si="73"/>
        <v>1.6</v>
      </c>
      <c r="X110" s="3157">
        <f t="shared" si="73"/>
        <v>5.85</v>
      </c>
      <c r="Y110" s="3157">
        <f t="shared" si="73"/>
        <v>1.6999999999999997</v>
      </c>
      <c r="Z110" s="3157">
        <f t="shared" si="73"/>
        <v>1.7999999999999998</v>
      </c>
      <c r="AA110" s="3157">
        <f t="shared" si="73"/>
        <v>2.7274999999999996</v>
      </c>
      <c r="AB110" s="144"/>
      <c r="AC110" s="2867">
        <v>0</v>
      </c>
      <c r="AD110" s="2867">
        <v>0</v>
      </c>
      <c r="AE110" s="2867">
        <v>0</v>
      </c>
      <c r="AF110" s="2867">
        <v>0</v>
      </c>
      <c r="AG110" s="2867">
        <v>0</v>
      </c>
      <c r="AH110" s="2867">
        <v>0</v>
      </c>
      <c r="AI110" s="2825"/>
      <c r="AJ110" s="1"/>
      <c r="AK110" s="1"/>
      <c r="AL110" s="1"/>
      <c r="AM110" s="1"/>
      <c r="AN110" s="1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3157">
        <f t="shared" si="73"/>
        <v>3.7600000000000002</v>
      </c>
      <c r="V111" s="3157">
        <f t="shared" si="73"/>
        <v>5.6000000000000005</v>
      </c>
      <c r="W111" s="3157">
        <f t="shared" si="73"/>
        <v>1.6</v>
      </c>
      <c r="X111" s="3157">
        <f t="shared" si="73"/>
        <v>5.85</v>
      </c>
      <c r="Y111" s="3157">
        <f t="shared" si="73"/>
        <v>1.6999999999999997</v>
      </c>
      <c r="Z111" s="3157">
        <f t="shared" si="73"/>
        <v>1.7999999999999998</v>
      </c>
      <c r="AA111" s="3157">
        <f t="shared" si="73"/>
        <v>2.7274999999999996</v>
      </c>
      <c r="AB111" s="144"/>
      <c r="AC111" s="2867"/>
      <c r="AD111" s="2867"/>
      <c r="AE111" s="2867"/>
      <c r="AF111" s="2867"/>
      <c r="AG111" s="2867"/>
      <c r="AH111" s="2867"/>
      <c r="AI111" s="2825"/>
      <c r="AJ111" s="1"/>
      <c r="AK111" s="1"/>
      <c r="AL111" s="1"/>
      <c r="AM111" s="1"/>
      <c r="AN111" s="1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3157">
        <f t="shared" si="73"/>
        <v>3.7600000000000002</v>
      </c>
      <c r="V112" s="3157">
        <f t="shared" si="73"/>
        <v>5.6000000000000005</v>
      </c>
      <c r="W112" s="3157">
        <f t="shared" si="73"/>
        <v>1.6</v>
      </c>
      <c r="X112" s="3157">
        <f t="shared" si="73"/>
        <v>5.85</v>
      </c>
      <c r="Y112" s="3157">
        <f t="shared" si="73"/>
        <v>1.6999999999999997</v>
      </c>
      <c r="Z112" s="3157">
        <f t="shared" si="73"/>
        <v>1.7999999999999998</v>
      </c>
      <c r="AA112" s="3157">
        <f t="shared" si="73"/>
        <v>2.7274999999999996</v>
      </c>
      <c r="AB112" s="144"/>
      <c r="AC112" s="2867"/>
      <c r="AD112" s="2867"/>
      <c r="AE112" s="2867"/>
      <c r="AF112" s="2867"/>
      <c r="AG112" s="2867"/>
      <c r="AH112" s="2867"/>
      <c r="AI112" s="2825"/>
      <c r="AJ112" s="1"/>
      <c r="AK112" s="1"/>
      <c r="AL112" s="1"/>
      <c r="AM112" s="1"/>
      <c r="AN112" s="1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3157">
        <f t="shared" si="73"/>
        <v>3.7600000000000002</v>
      </c>
      <c r="V113" s="3157">
        <f t="shared" si="73"/>
        <v>5.6000000000000005</v>
      </c>
      <c r="W113" s="3157">
        <f t="shared" si="73"/>
        <v>1.6</v>
      </c>
      <c r="X113" s="3157">
        <f t="shared" si="73"/>
        <v>5.85</v>
      </c>
      <c r="Y113" s="3157">
        <f t="shared" si="73"/>
        <v>1.6999999999999997</v>
      </c>
      <c r="Z113" s="3157">
        <f t="shared" si="73"/>
        <v>1.7999999999999998</v>
      </c>
      <c r="AA113" s="3157">
        <f t="shared" si="73"/>
        <v>2.7274999999999996</v>
      </c>
      <c r="AB113" s="144"/>
      <c r="AC113" s="2867">
        <v>0</v>
      </c>
      <c r="AD113" s="2867">
        <v>0</v>
      </c>
      <c r="AE113" s="2867">
        <v>0</v>
      </c>
      <c r="AF113" s="2867">
        <v>0</v>
      </c>
      <c r="AG113" s="2867">
        <v>0</v>
      </c>
      <c r="AH113" s="2867">
        <v>0</v>
      </c>
      <c r="AI113" s="2825"/>
      <c r="AJ113" s="1"/>
      <c r="AK113" s="1"/>
      <c r="AL113" s="1"/>
      <c r="AM113" s="1"/>
      <c r="AN113" s="1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3157">
        <f t="shared" si="73"/>
        <v>3.7600000000000002</v>
      </c>
      <c r="V114" s="3157">
        <f t="shared" si="73"/>
        <v>5.6000000000000005</v>
      </c>
      <c r="W114" s="3157">
        <f t="shared" si="73"/>
        <v>1.6</v>
      </c>
      <c r="X114" s="3157">
        <f t="shared" si="73"/>
        <v>5.85</v>
      </c>
      <c r="Y114" s="3157">
        <f t="shared" si="73"/>
        <v>1.6999999999999997</v>
      </c>
      <c r="Z114" s="3157">
        <f t="shared" si="73"/>
        <v>1.7999999999999998</v>
      </c>
      <c r="AA114" s="3157">
        <f t="shared" si="73"/>
        <v>2.7274999999999996</v>
      </c>
      <c r="AB114" s="144"/>
      <c r="AC114" s="2867">
        <v>0</v>
      </c>
      <c r="AD114" s="2867">
        <v>0</v>
      </c>
      <c r="AE114" s="2867">
        <v>0</v>
      </c>
      <c r="AF114" s="2867">
        <v>0</v>
      </c>
      <c r="AG114" s="2867">
        <v>0</v>
      </c>
      <c r="AH114" s="2867">
        <v>0</v>
      </c>
      <c r="AI114" s="2825"/>
      <c r="AJ114" s="1"/>
      <c r="AK114" s="1"/>
      <c r="AL114" s="1"/>
      <c r="AM114" s="1"/>
      <c r="AN114" s="1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3157">
        <f t="shared" si="73"/>
        <v>3.7600000000000002</v>
      </c>
      <c r="V115" s="3157">
        <f t="shared" si="73"/>
        <v>5.6000000000000005</v>
      </c>
      <c r="W115" s="3157">
        <f t="shared" si="73"/>
        <v>1.6</v>
      </c>
      <c r="X115" s="3157">
        <f t="shared" si="73"/>
        <v>5.85</v>
      </c>
      <c r="Y115" s="3157">
        <f t="shared" si="73"/>
        <v>1.6999999999999997</v>
      </c>
      <c r="Z115" s="3157">
        <f t="shared" si="73"/>
        <v>1.7999999999999998</v>
      </c>
      <c r="AA115" s="3157">
        <f t="shared" si="73"/>
        <v>2.7274999999999996</v>
      </c>
      <c r="AB115" s="144"/>
      <c r="AC115" s="2867">
        <v>0</v>
      </c>
      <c r="AD115" s="2867">
        <v>0</v>
      </c>
      <c r="AE115" s="2867">
        <v>0</v>
      </c>
      <c r="AF115" s="2867">
        <v>0</v>
      </c>
      <c r="AG115" s="2867">
        <v>0</v>
      </c>
      <c r="AH115" s="2867">
        <v>0</v>
      </c>
      <c r="AI115" s="2825"/>
      <c r="AJ115" s="1"/>
      <c r="AK115" s="1"/>
      <c r="AL115" s="1"/>
      <c r="AM115" s="1"/>
      <c r="AN115" s="1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3157">
        <f t="shared" si="73"/>
        <v>3.7600000000000002</v>
      </c>
      <c r="V116" s="3157">
        <f t="shared" si="73"/>
        <v>5.6000000000000005</v>
      </c>
      <c r="W116" s="3157">
        <f t="shared" si="73"/>
        <v>1.6</v>
      </c>
      <c r="X116" s="3157">
        <f t="shared" si="73"/>
        <v>5.85</v>
      </c>
      <c r="Y116" s="3157">
        <f t="shared" si="73"/>
        <v>1.6999999999999997</v>
      </c>
      <c r="Z116" s="3157">
        <f t="shared" si="73"/>
        <v>1.7999999999999998</v>
      </c>
      <c r="AA116" s="3157">
        <f t="shared" si="73"/>
        <v>2.7274999999999996</v>
      </c>
      <c r="AB116" s="144"/>
      <c r="AC116" s="2867"/>
      <c r="AD116" s="2867"/>
      <c r="AE116" s="2867"/>
      <c r="AF116" s="2867"/>
      <c r="AG116" s="2867"/>
      <c r="AH116" s="2867"/>
      <c r="AI116" s="2825"/>
      <c r="AJ116" s="1"/>
      <c r="AK116" s="1"/>
      <c r="AL116" s="1"/>
      <c r="AM116" s="1"/>
      <c r="AN116" s="1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3157">
        <f t="shared" si="73"/>
        <v>3.7600000000000002</v>
      </c>
      <c r="V117" s="3157">
        <f t="shared" si="73"/>
        <v>5.6000000000000005</v>
      </c>
      <c r="W117" s="3157">
        <f t="shared" si="73"/>
        <v>1.6</v>
      </c>
      <c r="X117" s="3157">
        <f t="shared" si="73"/>
        <v>5.85</v>
      </c>
      <c r="Y117" s="3157">
        <f t="shared" si="73"/>
        <v>1.6999999999999997</v>
      </c>
      <c r="Z117" s="3157">
        <f t="shared" si="73"/>
        <v>1.7999999999999998</v>
      </c>
      <c r="AA117" s="3157">
        <f t="shared" si="73"/>
        <v>2.7274999999999996</v>
      </c>
      <c r="AB117" s="144"/>
      <c r="AC117" s="2867"/>
      <c r="AD117" s="2867"/>
      <c r="AE117" s="2867"/>
      <c r="AF117" s="2867"/>
      <c r="AG117" s="2867"/>
      <c r="AH117" s="2867"/>
      <c r="AI117" s="2825"/>
      <c r="AJ117" s="1"/>
      <c r="AK117" s="1"/>
      <c r="AL117" s="1"/>
      <c r="AM117" s="1"/>
      <c r="AN117" s="1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3157">
        <f t="shared" si="73"/>
        <v>3.7600000000000002</v>
      </c>
      <c r="V118" s="3157">
        <f t="shared" si="73"/>
        <v>5.6000000000000005</v>
      </c>
      <c r="W118" s="3157">
        <f t="shared" si="73"/>
        <v>1.6</v>
      </c>
      <c r="X118" s="3157">
        <f t="shared" si="73"/>
        <v>5.85</v>
      </c>
      <c r="Y118" s="3157">
        <f t="shared" si="73"/>
        <v>1.6999999999999997</v>
      </c>
      <c r="Z118" s="3157">
        <f t="shared" si="73"/>
        <v>1.7999999999999998</v>
      </c>
      <c r="AA118" s="3157">
        <f t="shared" si="73"/>
        <v>2.7274999999999996</v>
      </c>
      <c r="AB118" s="144"/>
      <c r="AC118" s="2867">
        <v>0</v>
      </c>
      <c r="AD118" s="2867">
        <v>0</v>
      </c>
      <c r="AE118" s="2867">
        <v>0</v>
      </c>
      <c r="AF118" s="2867">
        <v>0</v>
      </c>
      <c r="AG118" s="2867">
        <v>0</v>
      </c>
      <c r="AH118" s="2867">
        <v>0</v>
      </c>
      <c r="AI118" s="2825"/>
      <c r="AJ118" s="1"/>
      <c r="AK118" s="1"/>
      <c r="AL118" s="1"/>
      <c r="AM118" s="1"/>
      <c r="AN118" s="1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3157">
        <f t="shared" si="73"/>
        <v>3.7600000000000002</v>
      </c>
      <c r="V119" s="3157">
        <f t="shared" si="73"/>
        <v>5.6000000000000005</v>
      </c>
      <c r="W119" s="3157">
        <f t="shared" si="73"/>
        <v>1.6</v>
      </c>
      <c r="X119" s="3157">
        <f t="shared" si="73"/>
        <v>5.85</v>
      </c>
      <c r="Y119" s="3157">
        <f t="shared" si="73"/>
        <v>1.6999999999999997</v>
      </c>
      <c r="Z119" s="3157">
        <f t="shared" si="73"/>
        <v>1.7999999999999998</v>
      </c>
      <c r="AA119" s="3157">
        <f t="shared" si="73"/>
        <v>2.7274999999999996</v>
      </c>
      <c r="AB119" s="144"/>
      <c r="AC119" s="2867">
        <v>0</v>
      </c>
      <c r="AD119" s="2867">
        <v>0</v>
      </c>
      <c r="AE119" s="2867">
        <v>0</v>
      </c>
      <c r="AF119" s="2867">
        <v>0</v>
      </c>
      <c r="AG119" s="2867">
        <v>0</v>
      </c>
      <c r="AH119" s="2867">
        <v>0</v>
      </c>
      <c r="AI119" s="2825"/>
      <c r="AJ119" s="1"/>
      <c r="AK119" s="1"/>
      <c r="AL119" s="1"/>
      <c r="AM119" s="1"/>
      <c r="AN119" s="1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3157">
        <f t="shared" ref="U120:AA126" si="74">IF(U119&gt;0,U119,U118)</f>
        <v>3.7600000000000002</v>
      </c>
      <c r="V120" s="3157">
        <f t="shared" si="74"/>
        <v>5.6000000000000005</v>
      </c>
      <c r="W120" s="3157">
        <f t="shared" si="74"/>
        <v>1.6</v>
      </c>
      <c r="X120" s="3157">
        <f t="shared" si="74"/>
        <v>5.85</v>
      </c>
      <c r="Y120" s="3157">
        <f t="shared" si="74"/>
        <v>1.6999999999999997</v>
      </c>
      <c r="Z120" s="3157">
        <f t="shared" si="74"/>
        <v>1.7999999999999998</v>
      </c>
      <c r="AA120" s="3157">
        <f t="shared" si="74"/>
        <v>2.7274999999999996</v>
      </c>
      <c r="AB120" s="144"/>
      <c r="AC120" s="2867">
        <v>0</v>
      </c>
      <c r="AD120" s="2867">
        <v>0</v>
      </c>
      <c r="AE120" s="2867">
        <v>0</v>
      </c>
      <c r="AF120" s="2867">
        <v>0</v>
      </c>
      <c r="AG120" s="2867">
        <v>0</v>
      </c>
      <c r="AH120" s="2867">
        <v>0</v>
      </c>
      <c r="AI120" s="2825"/>
      <c r="AJ120" s="1"/>
      <c r="AK120" s="1"/>
      <c r="AL120" s="1"/>
      <c r="AM120" s="1"/>
      <c r="AN120" s="1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3157">
        <f t="shared" si="74"/>
        <v>3.7600000000000002</v>
      </c>
      <c r="V121" s="3157">
        <f t="shared" si="74"/>
        <v>5.6000000000000005</v>
      </c>
      <c r="W121" s="3157">
        <f t="shared" si="74"/>
        <v>1.6</v>
      </c>
      <c r="X121" s="3157">
        <f t="shared" si="74"/>
        <v>5.85</v>
      </c>
      <c r="Y121" s="3157">
        <f t="shared" si="74"/>
        <v>1.6999999999999997</v>
      </c>
      <c r="Z121" s="3157">
        <f t="shared" si="74"/>
        <v>1.7999999999999998</v>
      </c>
      <c r="AA121" s="3157">
        <f t="shared" si="74"/>
        <v>2.7274999999999996</v>
      </c>
      <c r="AB121" s="144"/>
      <c r="AC121" s="2867"/>
      <c r="AD121" s="2867"/>
      <c r="AE121" s="2867"/>
      <c r="AF121" s="2867"/>
      <c r="AG121" s="2867"/>
      <c r="AH121" s="2867"/>
      <c r="AI121" s="2825"/>
      <c r="AJ121" s="1"/>
      <c r="AK121" s="1"/>
      <c r="AL121" s="1"/>
      <c r="AM121" s="1"/>
      <c r="AN121" s="1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3157">
        <f t="shared" si="74"/>
        <v>3.7600000000000002</v>
      </c>
      <c r="V122" s="3157">
        <f t="shared" si="74"/>
        <v>5.6000000000000005</v>
      </c>
      <c r="W122" s="3157">
        <f t="shared" si="74"/>
        <v>1.6</v>
      </c>
      <c r="X122" s="3157">
        <f t="shared" si="74"/>
        <v>5.85</v>
      </c>
      <c r="Y122" s="3157">
        <f t="shared" si="74"/>
        <v>1.6999999999999997</v>
      </c>
      <c r="Z122" s="3157">
        <f t="shared" si="74"/>
        <v>1.7999999999999998</v>
      </c>
      <c r="AA122" s="3157">
        <f t="shared" si="74"/>
        <v>2.7274999999999996</v>
      </c>
      <c r="AB122" s="144"/>
      <c r="AC122" s="2867"/>
      <c r="AD122" s="2867"/>
      <c r="AE122" s="2867"/>
      <c r="AF122" s="2867"/>
      <c r="AG122" s="2867"/>
      <c r="AH122" s="2867"/>
      <c r="AI122" s="2825"/>
      <c r="AJ122" s="1"/>
      <c r="AK122" s="1"/>
      <c r="AL122" s="1"/>
      <c r="AM122" s="1"/>
      <c r="AN122" s="1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3157">
        <f t="shared" si="74"/>
        <v>3.7600000000000002</v>
      </c>
      <c r="V123" s="3157">
        <f t="shared" si="74"/>
        <v>5.6000000000000005</v>
      </c>
      <c r="W123" s="3157">
        <f t="shared" si="74"/>
        <v>1.6</v>
      </c>
      <c r="X123" s="3157">
        <f t="shared" si="74"/>
        <v>5.85</v>
      </c>
      <c r="Y123" s="3157">
        <f t="shared" si="74"/>
        <v>1.6999999999999997</v>
      </c>
      <c r="Z123" s="3157">
        <f t="shared" si="74"/>
        <v>1.7999999999999998</v>
      </c>
      <c r="AA123" s="3157">
        <f t="shared" si="74"/>
        <v>2.7274999999999996</v>
      </c>
      <c r="AB123" s="144"/>
      <c r="AC123" s="2867">
        <v>0</v>
      </c>
      <c r="AD123" s="2867">
        <v>0</v>
      </c>
      <c r="AE123" s="2867">
        <v>0</v>
      </c>
      <c r="AF123" s="2867">
        <v>0</v>
      </c>
      <c r="AG123" s="2867">
        <v>0</v>
      </c>
      <c r="AH123" s="2867">
        <v>0</v>
      </c>
      <c r="AI123" s="2825"/>
      <c r="AJ123" s="1"/>
      <c r="AK123" s="1"/>
      <c r="AL123" s="1"/>
      <c r="AM123" s="1"/>
      <c r="AN123" s="1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3157">
        <f t="shared" si="74"/>
        <v>3.7600000000000002</v>
      </c>
      <c r="V124" s="3157">
        <f t="shared" si="74"/>
        <v>5.6000000000000005</v>
      </c>
      <c r="W124" s="3157">
        <f t="shared" si="74"/>
        <v>1.6</v>
      </c>
      <c r="X124" s="3157">
        <f t="shared" si="74"/>
        <v>5.85</v>
      </c>
      <c r="Y124" s="3157">
        <f t="shared" si="74"/>
        <v>1.6999999999999997</v>
      </c>
      <c r="Z124" s="3157">
        <f t="shared" si="74"/>
        <v>1.7999999999999998</v>
      </c>
      <c r="AA124" s="3157">
        <f t="shared" si="74"/>
        <v>2.7274999999999996</v>
      </c>
      <c r="AB124" s="144"/>
      <c r="AC124" s="2867">
        <v>0</v>
      </c>
      <c r="AD124" s="2867">
        <v>0</v>
      </c>
      <c r="AE124" s="2867">
        <v>0</v>
      </c>
      <c r="AF124" s="2867">
        <v>0</v>
      </c>
      <c r="AG124" s="2867">
        <v>0</v>
      </c>
      <c r="AH124" s="2867">
        <v>0</v>
      </c>
      <c r="AI124" s="2825"/>
      <c r="AJ124" s="1"/>
      <c r="AK124" s="1"/>
      <c r="AL124" s="1"/>
      <c r="AM124" s="1"/>
      <c r="AN124" s="1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3157">
        <f t="shared" si="74"/>
        <v>3.7600000000000002</v>
      </c>
      <c r="V125" s="3157">
        <f t="shared" si="74"/>
        <v>5.6000000000000005</v>
      </c>
      <c r="W125" s="3157">
        <f t="shared" si="74"/>
        <v>1.6</v>
      </c>
      <c r="X125" s="3157">
        <f t="shared" si="74"/>
        <v>5.85</v>
      </c>
      <c r="Y125" s="3157">
        <f t="shared" si="74"/>
        <v>1.6999999999999997</v>
      </c>
      <c r="Z125" s="3157">
        <f t="shared" si="74"/>
        <v>1.7999999999999998</v>
      </c>
      <c r="AA125" s="3157">
        <f t="shared" si="74"/>
        <v>2.7274999999999996</v>
      </c>
      <c r="AB125" s="144"/>
      <c r="AC125" s="2867">
        <v>0</v>
      </c>
      <c r="AD125" s="2867">
        <v>0</v>
      </c>
      <c r="AE125" s="2867">
        <v>0</v>
      </c>
      <c r="AF125" s="2867">
        <v>0</v>
      </c>
      <c r="AG125" s="2867">
        <v>0</v>
      </c>
      <c r="AH125" s="2867">
        <v>0</v>
      </c>
      <c r="AI125" s="2825"/>
      <c r="AJ125" s="1"/>
      <c r="AK125" s="1"/>
      <c r="AL125" s="1"/>
      <c r="AM125" s="1"/>
      <c r="AN125" s="1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3158">
        <f>IF(U125&gt;0,U125,U124)</f>
        <v>3.7600000000000002</v>
      </c>
      <c r="V126" s="3158">
        <f t="shared" si="74"/>
        <v>5.6000000000000005</v>
      </c>
      <c r="W126" s="3158">
        <f t="shared" si="74"/>
        <v>1.6</v>
      </c>
      <c r="X126" s="3158">
        <f t="shared" si="74"/>
        <v>5.85</v>
      </c>
      <c r="Y126" s="3158">
        <f t="shared" si="74"/>
        <v>1.6999999999999997</v>
      </c>
      <c r="Z126" s="3158">
        <f t="shared" si="74"/>
        <v>1.7999999999999998</v>
      </c>
      <c r="AA126" s="3158">
        <f t="shared" si="74"/>
        <v>2.7274999999999996</v>
      </c>
      <c r="AB126" s="144"/>
      <c r="AC126" s="2867"/>
      <c r="AD126" s="2867"/>
      <c r="AE126" s="2867"/>
      <c r="AF126" s="2867"/>
      <c r="AG126" s="2867"/>
      <c r="AH126" s="2867"/>
      <c r="AI126" s="2825"/>
      <c r="AJ126" s="1"/>
      <c r="AK126" s="1"/>
      <c r="AL126" s="1"/>
      <c r="AM126" s="1"/>
      <c r="AN126" s="1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2838"/>
      <c r="V127" s="2838"/>
      <c r="W127" s="2838"/>
      <c r="X127" s="2838"/>
      <c r="Y127" s="2838"/>
      <c r="Z127" s="2838"/>
      <c r="AA127" s="2838"/>
      <c r="AB127" s="144"/>
      <c r="AC127" s="2867"/>
      <c r="AD127" s="2867"/>
      <c r="AE127" s="2867"/>
      <c r="AF127" s="2867"/>
      <c r="AG127" s="2867"/>
      <c r="AH127" s="2867"/>
      <c r="AI127" s="2825"/>
      <c r="AJ127" s="1"/>
      <c r="AK127" s="1"/>
      <c r="AL127" s="1"/>
      <c r="AM127" s="1"/>
      <c r="AN127" s="1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2838"/>
      <c r="V128" s="2838"/>
      <c r="W128" s="2838"/>
      <c r="X128" s="2838"/>
      <c r="Y128" s="2838"/>
      <c r="Z128" s="2838"/>
      <c r="AA128" s="2838"/>
      <c r="AB128" s="144"/>
      <c r="AC128" s="2867">
        <v>0</v>
      </c>
      <c r="AD128" s="2867">
        <v>0</v>
      </c>
      <c r="AE128" s="2867">
        <v>0</v>
      </c>
      <c r="AF128" s="2867">
        <v>0</v>
      </c>
      <c r="AG128" s="2867">
        <v>0</v>
      </c>
      <c r="AH128" s="2867">
        <v>0</v>
      </c>
      <c r="AI128" s="2825"/>
      <c r="AN128" s="1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2838"/>
      <c r="V129" s="2838"/>
      <c r="W129" s="2838"/>
      <c r="X129" s="2838"/>
      <c r="Y129" s="2838"/>
      <c r="Z129" s="2838"/>
      <c r="AA129" s="2838"/>
      <c r="AB129" s="144"/>
      <c r="AC129" s="2867"/>
      <c r="AD129" s="2867"/>
      <c r="AE129" s="2867"/>
      <c r="AF129" s="2867"/>
      <c r="AG129" s="2867"/>
      <c r="AH129" s="2867"/>
      <c r="AN129" s="1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2838"/>
      <c r="V130" s="2838"/>
      <c r="W130" s="2838"/>
      <c r="X130" s="2838"/>
      <c r="Y130" s="2838"/>
      <c r="Z130" s="2838"/>
      <c r="AA130" s="2838"/>
      <c r="AB130" s="144"/>
      <c r="AN130" s="1"/>
    </row>
    <row r="131" spans="1:40" ht="15" customHeight="1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2838"/>
      <c r="V131" s="2838"/>
      <c r="W131" s="2838"/>
      <c r="X131" s="2838"/>
      <c r="Y131" s="2838"/>
      <c r="Z131" s="2838"/>
      <c r="AA131" s="2838"/>
      <c r="AB131" s="144"/>
      <c r="AN131" s="1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2838"/>
      <c r="V132" s="2838"/>
      <c r="W132" s="2838"/>
      <c r="X132" s="2838"/>
      <c r="Y132" s="2838"/>
      <c r="Z132" s="2838"/>
      <c r="AA132" s="2838"/>
      <c r="AB132" s="144"/>
      <c r="AN132" s="1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2838"/>
      <c r="V133" s="2838"/>
      <c r="W133" s="2838"/>
      <c r="X133" s="2838"/>
      <c r="Y133" s="2838"/>
      <c r="Z133" s="2838"/>
      <c r="AA133" s="2838"/>
      <c r="AB133" s="144"/>
      <c r="AN133" s="1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2838"/>
      <c r="V134" s="2838"/>
      <c r="W134" s="2838"/>
      <c r="X134" s="2838"/>
      <c r="Y134" s="2838"/>
      <c r="Z134" s="2838"/>
      <c r="AA134" s="2838"/>
      <c r="AB134" s="144"/>
      <c r="AN134" s="1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2838"/>
      <c r="V135" s="2838"/>
      <c r="W135" s="2838"/>
      <c r="X135" s="2838"/>
      <c r="Y135" s="2838"/>
      <c r="Z135" s="2838"/>
      <c r="AA135" s="2838"/>
      <c r="AB135" s="144"/>
      <c r="AN135" s="1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2838"/>
      <c r="V136" s="2838"/>
      <c r="W136" s="2838"/>
      <c r="X136" s="2838"/>
      <c r="Y136" s="2838"/>
      <c r="Z136" s="2838"/>
      <c r="AA136" s="2838"/>
      <c r="AB136" s="144"/>
      <c r="AN136" s="1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2838"/>
      <c r="V137" s="2838"/>
      <c r="W137" s="2838"/>
      <c r="X137" s="2838"/>
      <c r="Y137" s="2838"/>
      <c r="Z137" s="2838"/>
      <c r="AA137" s="2838"/>
      <c r="AB137" s="144"/>
      <c r="AN137" s="1"/>
    </row>
    <row r="138" spans="1:40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2838"/>
      <c r="V138" s="2838"/>
      <c r="W138" s="2838"/>
      <c r="X138" s="2838"/>
      <c r="Y138" s="2838"/>
      <c r="Z138" s="2838"/>
      <c r="AA138" s="2838"/>
      <c r="AB138" s="144"/>
      <c r="AN138" s="1"/>
    </row>
    <row r="139" spans="1:40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2838"/>
      <c r="V139" s="2838"/>
      <c r="W139" s="2838"/>
      <c r="X139" s="2838"/>
      <c r="Y139" s="2838"/>
      <c r="Z139" s="2838"/>
      <c r="AA139" s="2838"/>
      <c r="AB139" s="144"/>
      <c r="AN139" s="1"/>
    </row>
    <row r="140" spans="1:40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2838"/>
      <c r="V140" s="2838"/>
      <c r="W140" s="2838"/>
      <c r="X140" s="2838"/>
      <c r="Y140" s="2838"/>
      <c r="Z140" s="2838"/>
      <c r="AA140" s="2838"/>
      <c r="AB140" s="144"/>
      <c r="AN140" s="1"/>
    </row>
    <row r="141" spans="1:40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2838"/>
      <c r="V141" s="2838"/>
      <c r="W141" s="2838"/>
      <c r="X141" s="2838"/>
      <c r="Y141" s="2838"/>
      <c r="Z141" s="2838"/>
      <c r="AA141" s="2838"/>
      <c r="AB141" s="144"/>
      <c r="AC141" s="2825"/>
      <c r="AD141" s="2825"/>
      <c r="AE141" s="2825"/>
      <c r="AF141" s="2825"/>
      <c r="AG141" s="2825"/>
      <c r="AH141" s="2825"/>
      <c r="AI141" s="2825"/>
      <c r="AJ141" s="2825"/>
      <c r="AK141" s="2825"/>
      <c r="AL141" s="2825"/>
      <c r="AM141" s="2825"/>
      <c r="AN141" s="1"/>
    </row>
    <row r="142" spans="1:40" s="3021" customFormat="1" ht="11">
      <c r="A142" s="144"/>
      <c r="B142" s="144"/>
      <c r="C142" s="144"/>
      <c r="D142" s="906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2838"/>
      <c r="V142" s="2838"/>
      <c r="W142" s="2838"/>
      <c r="X142" s="2838"/>
      <c r="Y142" s="2838"/>
      <c r="Z142" s="2838"/>
      <c r="AA142" s="2838"/>
      <c r="AB142" s="144"/>
      <c r="AC142" s="2826"/>
      <c r="AD142" s="2826"/>
      <c r="AE142" s="2826"/>
      <c r="AF142" s="2826"/>
      <c r="AG142" s="2826"/>
      <c r="AH142" s="2826"/>
      <c r="AI142" s="2826"/>
      <c r="AJ142" s="2826"/>
      <c r="AK142" s="2826"/>
      <c r="AL142" s="2826"/>
      <c r="AM142" s="2826"/>
    </row>
    <row r="143" spans="1:40" s="3021" customFormat="1" ht="11">
      <c r="A143" s="144"/>
      <c r="B143" s="144"/>
      <c r="C143" s="144"/>
      <c r="D143" s="906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2838"/>
      <c r="V143" s="2838"/>
      <c r="W143" s="2838"/>
      <c r="X143" s="2838"/>
      <c r="Y143" s="2838"/>
      <c r="Z143" s="2838"/>
      <c r="AA143" s="2838"/>
      <c r="AB143" s="144"/>
      <c r="AC143" s="2826"/>
      <c r="AD143" s="2826"/>
      <c r="AE143" s="2826"/>
      <c r="AF143" s="2826"/>
      <c r="AG143" s="2826"/>
      <c r="AH143" s="2826"/>
      <c r="AI143" s="2826"/>
      <c r="AJ143" s="2826"/>
      <c r="AK143" s="2826"/>
      <c r="AL143" s="2826"/>
      <c r="AM143" s="2826"/>
    </row>
    <row r="144" spans="1:40" s="3021" customFormat="1" ht="11">
      <c r="A144" s="144"/>
      <c r="B144" s="144"/>
      <c r="C144" s="144"/>
      <c r="D144" s="906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2838"/>
      <c r="V144" s="2838"/>
      <c r="W144" s="2838"/>
      <c r="X144" s="2838"/>
      <c r="Y144" s="2838"/>
      <c r="Z144" s="2838"/>
      <c r="AA144" s="2838"/>
      <c r="AB144" s="144"/>
      <c r="AC144" s="2826"/>
      <c r="AD144" s="2826"/>
      <c r="AE144" s="2826"/>
      <c r="AF144" s="2826"/>
      <c r="AG144" s="2826"/>
      <c r="AH144" s="2826"/>
      <c r="AI144" s="2826"/>
      <c r="AJ144" s="2826"/>
      <c r="AK144" s="2826"/>
      <c r="AL144" s="2826"/>
      <c r="AM144" s="2826"/>
    </row>
    <row r="145" spans="1:39" s="3021" customFormat="1" ht="11">
      <c r="A145" s="144"/>
      <c r="B145" s="144"/>
      <c r="C145" s="144"/>
      <c r="D145" s="906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2838"/>
      <c r="V145" s="2838"/>
      <c r="W145" s="2838"/>
      <c r="X145" s="2838"/>
      <c r="Y145" s="2838"/>
      <c r="Z145" s="2838"/>
      <c r="AA145" s="2838"/>
      <c r="AB145" s="144"/>
      <c r="AC145" s="2826"/>
      <c r="AD145" s="2826"/>
      <c r="AE145" s="2826"/>
      <c r="AF145" s="2826"/>
      <c r="AG145" s="2826"/>
      <c r="AH145" s="2826"/>
      <c r="AI145" s="2826"/>
      <c r="AJ145" s="2826"/>
      <c r="AK145" s="2826"/>
      <c r="AL145" s="2826"/>
      <c r="AM145" s="2826"/>
    </row>
    <row r="146" spans="1:39" s="3021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2838"/>
      <c r="V146" s="2838"/>
      <c r="W146" s="2838"/>
      <c r="X146" s="2838"/>
      <c r="Y146" s="2838"/>
      <c r="Z146" s="2838"/>
      <c r="AA146" s="2838"/>
      <c r="AC146" s="2826"/>
      <c r="AD146" s="2826"/>
      <c r="AE146" s="2826"/>
      <c r="AF146" s="2826"/>
      <c r="AG146" s="2826"/>
      <c r="AH146" s="2826"/>
      <c r="AI146" s="2826"/>
      <c r="AJ146" s="2826"/>
      <c r="AK146" s="2826"/>
      <c r="AL146" s="2826"/>
      <c r="AM146" s="2826"/>
    </row>
    <row r="147" spans="1:39" s="3021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2838"/>
      <c r="V147" s="2838"/>
      <c r="W147" s="2838"/>
      <c r="X147" s="2838"/>
      <c r="Y147" s="2838"/>
      <c r="Z147" s="2838"/>
      <c r="AA147" s="2838"/>
      <c r="AC147" s="2826"/>
      <c r="AD147" s="2826"/>
      <c r="AE147" s="2826"/>
      <c r="AF147" s="2826"/>
      <c r="AG147" s="2826"/>
      <c r="AH147" s="2826"/>
      <c r="AI147" s="2826"/>
      <c r="AJ147" s="2826"/>
      <c r="AK147" s="2826"/>
      <c r="AL147" s="2826"/>
      <c r="AM147" s="2826"/>
    </row>
    <row r="148" spans="1:39" s="3021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2838"/>
      <c r="V148" s="2838"/>
      <c r="W148" s="2838"/>
      <c r="X148" s="2838"/>
      <c r="Y148" s="2838"/>
      <c r="Z148" s="2838"/>
      <c r="AA148" s="2838"/>
      <c r="AC148" s="2826"/>
      <c r="AD148" s="2826"/>
      <c r="AE148" s="2826"/>
      <c r="AF148" s="2826"/>
      <c r="AG148" s="2826"/>
      <c r="AH148" s="2826"/>
      <c r="AI148" s="2826"/>
      <c r="AJ148" s="2826"/>
      <c r="AK148" s="2826"/>
      <c r="AL148" s="2826"/>
      <c r="AM148" s="2826"/>
    </row>
    <row r="149" spans="1:39" s="3021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2838"/>
      <c r="V149" s="2838"/>
      <c r="W149" s="2838"/>
      <c r="X149" s="2838"/>
      <c r="Y149" s="2838"/>
      <c r="Z149" s="2838"/>
      <c r="AA149" s="2838"/>
      <c r="AC149" s="2826"/>
      <c r="AD149" s="2826"/>
      <c r="AE149" s="2826"/>
      <c r="AF149" s="2826"/>
      <c r="AG149" s="2826"/>
      <c r="AH149" s="2826"/>
      <c r="AI149" s="2826"/>
      <c r="AJ149" s="2826"/>
      <c r="AK149" s="2826"/>
      <c r="AL149" s="2826"/>
      <c r="AM149" s="2826"/>
    </row>
    <row r="150" spans="1:39" s="3021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826"/>
      <c r="AD150" s="2826"/>
      <c r="AE150" s="2826"/>
      <c r="AF150" s="2826"/>
      <c r="AG150" s="2826"/>
      <c r="AH150" s="2826"/>
      <c r="AI150" s="2826"/>
      <c r="AJ150" s="2826"/>
      <c r="AK150" s="2826"/>
      <c r="AL150" s="2826"/>
      <c r="AM150" s="2826"/>
    </row>
    <row r="151" spans="1:39" s="3021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826"/>
      <c r="AD151" s="2826"/>
      <c r="AE151" s="2826"/>
      <c r="AF151" s="2826"/>
      <c r="AG151" s="2826"/>
      <c r="AH151" s="2826"/>
      <c r="AI151" s="2826"/>
      <c r="AJ151" s="2826"/>
      <c r="AK151" s="2826"/>
      <c r="AL151" s="2826"/>
      <c r="AM151" s="2826"/>
    </row>
    <row r="152" spans="1:39" s="3021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826"/>
      <c r="AD152" s="2826"/>
      <c r="AE152" s="2826"/>
      <c r="AF152" s="2826"/>
      <c r="AG152" s="2826"/>
      <c r="AH152" s="2826"/>
      <c r="AI152" s="2826"/>
      <c r="AJ152" s="2826"/>
      <c r="AK152" s="2826"/>
      <c r="AL152" s="2826"/>
      <c r="AM152" s="2826"/>
    </row>
    <row r="153" spans="1:39" s="3021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826"/>
      <c r="AD153" s="2826"/>
      <c r="AE153" s="2826"/>
      <c r="AF153" s="2826"/>
      <c r="AG153" s="2826"/>
      <c r="AH153" s="2826"/>
      <c r="AI153" s="2826"/>
      <c r="AJ153" s="2826"/>
      <c r="AK153" s="2826"/>
      <c r="AL153" s="2826"/>
      <c r="AM153" s="2826"/>
    </row>
    <row r="154" spans="1:39" s="3021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C154" s="2826"/>
      <c r="AD154" s="2826"/>
      <c r="AE154" s="2826"/>
      <c r="AF154" s="2826"/>
      <c r="AG154" s="2826"/>
      <c r="AH154" s="2826"/>
      <c r="AI154" s="2826"/>
      <c r="AJ154" s="2826"/>
      <c r="AK154" s="2826"/>
      <c r="AL154" s="2826"/>
      <c r="AM154" s="2826"/>
    </row>
    <row r="155" spans="1:39" s="3021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C155" s="2826"/>
      <c r="AD155" s="2826"/>
      <c r="AE155" s="2826"/>
      <c r="AF155" s="2826"/>
      <c r="AG155" s="2826"/>
      <c r="AH155" s="2826"/>
      <c r="AI155" s="2826"/>
      <c r="AJ155" s="2826"/>
      <c r="AK155" s="2826"/>
      <c r="AL155" s="2826"/>
      <c r="AM155" s="2826"/>
    </row>
    <row r="156" spans="1:39" s="3021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C156" s="2826"/>
      <c r="AD156" s="2826"/>
      <c r="AE156" s="2826"/>
      <c r="AF156" s="2826"/>
      <c r="AG156" s="2826"/>
      <c r="AH156" s="2826"/>
      <c r="AI156" s="2826"/>
      <c r="AJ156" s="2826"/>
      <c r="AK156" s="2826"/>
      <c r="AL156" s="2826"/>
      <c r="AM156" s="2826"/>
    </row>
    <row r="157" spans="1:39" s="3021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C157" s="2826"/>
      <c r="AD157" s="2826"/>
      <c r="AE157" s="2826"/>
      <c r="AF157" s="2826"/>
      <c r="AG157" s="2826"/>
      <c r="AH157" s="2826"/>
      <c r="AI157" s="2826"/>
      <c r="AJ157" s="2826"/>
      <c r="AK157" s="2826"/>
      <c r="AL157" s="2826"/>
      <c r="AM157" s="2826"/>
    </row>
    <row r="158" spans="1:39" s="3021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C158" s="2826"/>
      <c r="AD158" s="2826"/>
      <c r="AE158" s="2826"/>
      <c r="AF158" s="2826"/>
      <c r="AG158" s="2826"/>
      <c r="AH158" s="2826"/>
      <c r="AI158" s="2826"/>
      <c r="AJ158" s="2826"/>
      <c r="AK158" s="2826"/>
      <c r="AL158" s="2826"/>
      <c r="AM158" s="2826"/>
    </row>
    <row r="159" spans="1:39" s="3021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C159" s="2826"/>
      <c r="AD159" s="2826"/>
      <c r="AE159" s="2826"/>
      <c r="AF159" s="2826"/>
      <c r="AG159" s="2826"/>
      <c r="AH159" s="2826"/>
      <c r="AI159" s="2826"/>
      <c r="AJ159" s="2826"/>
      <c r="AK159" s="2826"/>
      <c r="AL159" s="2826"/>
      <c r="AM159" s="2826"/>
    </row>
    <row r="160" spans="1:39" s="3021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C160" s="2826"/>
      <c r="AD160" s="2826"/>
      <c r="AE160" s="2826"/>
      <c r="AF160" s="2826"/>
      <c r="AG160" s="2826"/>
      <c r="AH160" s="2826"/>
      <c r="AI160" s="2826"/>
      <c r="AJ160" s="2826"/>
      <c r="AK160" s="2826"/>
      <c r="AL160" s="2826"/>
      <c r="AM160" s="2826"/>
    </row>
    <row r="161" spans="2:39" s="3021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C161" s="2826"/>
      <c r="AD161" s="2826"/>
      <c r="AE161" s="2826"/>
      <c r="AF161" s="2826"/>
      <c r="AG161" s="2826"/>
      <c r="AH161" s="2826"/>
      <c r="AI161" s="2826"/>
      <c r="AJ161" s="2826"/>
      <c r="AK161" s="2826"/>
      <c r="AL161" s="2826"/>
      <c r="AM161" s="2826"/>
    </row>
    <row r="162" spans="2:39" s="3021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C162" s="2826"/>
      <c r="AD162" s="2826"/>
      <c r="AE162" s="2826"/>
      <c r="AF162" s="2826"/>
      <c r="AG162" s="2826"/>
      <c r="AH162" s="2826"/>
      <c r="AI162" s="2826"/>
      <c r="AJ162" s="2826"/>
      <c r="AK162" s="2826"/>
      <c r="AL162" s="2826"/>
      <c r="AM162" s="2826"/>
    </row>
    <row r="163" spans="2:39" s="3021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C163" s="2826"/>
      <c r="AD163" s="2826"/>
      <c r="AE163" s="2826"/>
      <c r="AF163" s="2826"/>
      <c r="AG163" s="2826"/>
      <c r="AH163" s="2826"/>
      <c r="AI163" s="2826"/>
      <c r="AJ163" s="2826"/>
      <c r="AK163" s="2826"/>
      <c r="AL163" s="2826"/>
      <c r="AM163" s="2826"/>
    </row>
    <row r="164" spans="2:39" s="3021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C164" s="2826"/>
      <c r="AD164" s="2826"/>
      <c r="AE164" s="2826"/>
      <c r="AF164" s="2826"/>
      <c r="AG164" s="2826"/>
      <c r="AH164" s="2826"/>
      <c r="AI164" s="2826"/>
      <c r="AJ164" s="2826"/>
      <c r="AK164" s="2826"/>
      <c r="AL164" s="2826"/>
      <c r="AM164" s="2826"/>
    </row>
    <row r="165" spans="2:39" s="3021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/>
      <c r="V165" s="146"/>
      <c r="W165" s="146"/>
      <c r="X165" s="146"/>
      <c r="Y165" s="146"/>
      <c r="Z165" s="146"/>
      <c r="AA165" s="146"/>
      <c r="AC165" s="2826"/>
      <c r="AD165" s="2826"/>
      <c r="AE165" s="2826"/>
      <c r="AF165" s="2826"/>
      <c r="AG165" s="2826"/>
      <c r="AH165" s="2826"/>
      <c r="AI165" s="2826"/>
      <c r="AJ165" s="2826"/>
      <c r="AK165" s="2826"/>
      <c r="AL165" s="2826"/>
      <c r="AM165" s="2826"/>
    </row>
    <row r="166" spans="2:39" s="3021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146"/>
      <c r="V166" s="146"/>
      <c r="W166" s="146"/>
      <c r="X166" s="146"/>
      <c r="Y166" s="146"/>
      <c r="Z166" s="146"/>
      <c r="AA166" s="146"/>
      <c r="AC166" s="2826"/>
      <c r="AD166" s="2826"/>
      <c r="AE166" s="2826"/>
      <c r="AF166" s="2826"/>
      <c r="AG166" s="2826"/>
      <c r="AH166" s="2826"/>
      <c r="AI166" s="2826"/>
      <c r="AJ166" s="2826"/>
      <c r="AK166" s="2826"/>
      <c r="AL166" s="2826"/>
      <c r="AM166" s="2826"/>
    </row>
    <row r="167" spans="2:39" s="3021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146"/>
      <c r="V167" s="146"/>
      <c r="W167" s="146"/>
      <c r="X167" s="146"/>
      <c r="Y167" s="146"/>
      <c r="Z167" s="146"/>
      <c r="AA167" s="146"/>
      <c r="AC167" s="2826"/>
      <c r="AD167" s="2826"/>
      <c r="AE167" s="2826"/>
      <c r="AF167" s="2826"/>
      <c r="AG167" s="2826"/>
      <c r="AH167" s="2826"/>
      <c r="AI167" s="2826"/>
      <c r="AJ167" s="2826"/>
      <c r="AK167" s="2826"/>
      <c r="AL167" s="2826"/>
      <c r="AM167" s="2826"/>
    </row>
    <row r="168" spans="2:39" s="3021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826"/>
      <c r="AD168" s="2826"/>
      <c r="AE168" s="2826"/>
      <c r="AF168" s="2826"/>
      <c r="AG168" s="2826"/>
      <c r="AH168" s="2826"/>
      <c r="AI168" s="2826"/>
      <c r="AJ168" s="2826"/>
      <c r="AK168" s="2826"/>
      <c r="AL168" s="2826"/>
      <c r="AM168" s="2826"/>
    </row>
    <row r="169" spans="2:39" s="3021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826"/>
      <c r="AD169" s="2826"/>
      <c r="AE169" s="2826"/>
      <c r="AF169" s="2826"/>
      <c r="AG169" s="2826"/>
      <c r="AH169" s="2826"/>
      <c r="AI169" s="2826"/>
      <c r="AJ169" s="2826"/>
      <c r="AK169" s="2826"/>
      <c r="AL169" s="2826"/>
      <c r="AM169" s="2826"/>
    </row>
    <row r="170" spans="2:39" s="3021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826"/>
      <c r="AD170" s="2826"/>
      <c r="AE170" s="2826"/>
      <c r="AF170" s="2826"/>
      <c r="AG170" s="2826"/>
      <c r="AH170" s="2826"/>
      <c r="AI170" s="2826"/>
      <c r="AJ170" s="2826"/>
      <c r="AK170" s="2826"/>
      <c r="AL170" s="2826"/>
      <c r="AM170" s="2826"/>
    </row>
    <row r="171" spans="2:39" s="3021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B171" s="3021">
        <f>SUBTOTAL(9,AB129:AB170)</f>
        <v>0</v>
      </c>
      <c r="AC171" s="2826">
        <f>SUBTOTAL(9,AC129:AC170)</f>
        <v>0</v>
      </c>
      <c r="AD171" s="2826">
        <f>SUBTOTAL(9,AD129:AD170)</f>
        <v>0</v>
      </c>
      <c r="AE171" s="2826"/>
      <c r="AF171" s="2826"/>
      <c r="AG171" s="2826"/>
      <c r="AH171" s="2826"/>
      <c r="AI171" s="2826"/>
      <c r="AJ171" s="2826"/>
      <c r="AK171" s="2826"/>
      <c r="AL171" s="2826"/>
      <c r="AM171" s="2826"/>
    </row>
    <row r="172" spans="2:39" s="3021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B172" s="3021">
        <v>0</v>
      </c>
      <c r="AC172" s="2826">
        <v>0</v>
      </c>
      <c r="AD172" s="2826">
        <v>0</v>
      </c>
      <c r="AE172" s="2826"/>
      <c r="AF172" s="2826"/>
      <c r="AG172" s="2826"/>
      <c r="AH172" s="2826"/>
      <c r="AI172" s="2826"/>
      <c r="AJ172" s="2826"/>
      <c r="AK172" s="2826"/>
      <c r="AL172" s="2826"/>
      <c r="AM172" s="2826"/>
    </row>
    <row r="173" spans="2:39" s="3021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B173" s="3021">
        <v>0</v>
      </c>
      <c r="AC173" s="2826">
        <v>0</v>
      </c>
      <c r="AD173" s="2826">
        <v>0</v>
      </c>
      <c r="AE173" s="2826"/>
      <c r="AF173" s="2826"/>
      <c r="AG173" s="2826"/>
      <c r="AH173" s="2826"/>
      <c r="AI173" s="2826"/>
      <c r="AJ173" s="2826"/>
      <c r="AK173" s="2826"/>
      <c r="AL173" s="2826"/>
      <c r="AM173" s="2826"/>
    </row>
    <row r="174" spans="2:39" s="3021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B174" s="3021">
        <v>0</v>
      </c>
      <c r="AC174" s="2826">
        <v>0</v>
      </c>
      <c r="AD174" s="2826">
        <v>0</v>
      </c>
      <c r="AE174" s="2826"/>
      <c r="AF174" s="2826"/>
      <c r="AG174" s="2826"/>
      <c r="AH174" s="2826"/>
      <c r="AI174" s="2826"/>
      <c r="AJ174" s="2826"/>
      <c r="AK174" s="2826"/>
      <c r="AL174" s="2826"/>
      <c r="AM174" s="2826"/>
    </row>
    <row r="175" spans="2:39" s="3021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B175" s="3021">
        <v>0</v>
      </c>
      <c r="AC175" s="2826">
        <v>0</v>
      </c>
      <c r="AD175" s="2826">
        <v>0</v>
      </c>
      <c r="AE175" s="2826"/>
      <c r="AF175" s="2826"/>
      <c r="AG175" s="2826"/>
      <c r="AH175" s="2826"/>
      <c r="AI175" s="2826"/>
      <c r="AJ175" s="2826"/>
      <c r="AK175" s="2826"/>
      <c r="AL175" s="2826"/>
      <c r="AM175" s="2826"/>
    </row>
    <row r="176" spans="2:39" s="3021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B176" s="3021">
        <v>0</v>
      </c>
      <c r="AC176" s="2826">
        <v>0</v>
      </c>
      <c r="AD176" s="2826">
        <v>0</v>
      </c>
      <c r="AE176" s="2826"/>
      <c r="AF176" s="2826"/>
      <c r="AG176" s="2826"/>
      <c r="AH176" s="2826"/>
      <c r="AI176" s="2826"/>
      <c r="AJ176" s="2826"/>
      <c r="AK176" s="2826"/>
      <c r="AL176" s="2826"/>
      <c r="AM176" s="2826"/>
    </row>
    <row r="177" spans="2:41" s="3021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B177" s="3021">
        <v>0</v>
      </c>
      <c r="AC177" s="2826">
        <v>0</v>
      </c>
      <c r="AD177" s="2826">
        <v>0</v>
      </c>
      <c r="AE177" s="2826"/>
      <c r="AF177" s="2826"/>
      <c r="AG177" s="2826"/>
      <c r="AH177" s="2826"/>
      <c r="AI177" s="2826"/>
      <c r="AJ177" s="2826"/>
      <c r="AK177" s="2826"/>
      <c r="AL177" s="2826"/>
      <c r="AM177" s="2826"/>
    </row>
    <row r="178" spans="2:41" s="3021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B178" s="3021">
        <v>0</v>
      </c>
      <c r="AC178" s="2826">
        <v>0</v>
      </c>
      <c r="AD178" s="2826">
        <v>0</v>
      </c>
      <c r="AE178" s="2826"/>
      <c r="AF178" s="2826"/>
      <c r="AG178" s="2826"/>
      <c r="AH178" s="2826"/>
      <c r="AI178" s="2826"/>
      <c r="AJ178" s="2826"/>
      <c r="AK178" s="2826"/>
      <c r="AL178" s="2826"/>
      <c r="AM178" s="2826"/>
    </row>
    <row r="179" spans="2:41" s="3021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B179" s="3021">
        <v>0</v>
      </c>
      <c r="AC179" s="2826">
        <v>0</v>
      </c>
      <c r="AD179" s="2826">
        <v>0</v>
      </c>
      <c r="AE179" s="2826"/>
      <c r="AF179" s="2826"/>
      <c r="AG179" s="2826"/>
      <c r="AH179" s="2826"/>
      <c r="AI179" s="2826"/>
      <c r="AJ179" s="2826"/>
      <c r="AK179" s="2826"/>
      <c r="AL179" s="2826"/>
      <c r="AM179" s="2826"/>
    </row>
    <row r="180" spans="2:41" s="3021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B180" s="3021">
        <v>0</v>
      </c>
      <c r="AC180" s="2826">
        <v>0</v>
      </c>
      <c r="AD180" s="2826">
        <v>0</v>
      </c>
      <c r="AE180" s="2826"/>
      <c r="AF180" s="2826"/>
      <c r="AG180" s="2826"/>
      <c r="AH180" s="2826"/>
      <c r="AI180" s="2826"/>
      <c r="AJ180" s="2826"/>
      <c r="AK180" s="2826"/>
      <c r="AL180" s="2826"/>
      <c r="AM180" s="2826"/>
    </row>
    <row r="181" spans="2:41" s="3021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B181" s="3021">
        <v>0</v>
      </c>
      <c r="AC181" s="2826">
        <v>0</v>
      </c>
      <c r="AD181" s="2826">
        <v>0</v>
      </c>
      <c r="AE181" s="2826"/>
      <c r="AF181" s="2826"/>
      <c r="AG181" s="2826"/>
      <c r="AH181" s="2826"/>
      <c r="AI181" s="2826"/>
      <c r="AJ181" s="2826"/>
      <c r="AK181" s="2826"/>
      <c r="AL181" s="2826"/>
      <c r="AM181" s="2826"/>
    </row>
    <row r="182" spans="2:41" s="3021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>
        <f>SUBTOTAL(9,U140:U181)</f>
        <v>0</v>
      </c>
      <c r="V182" s="146">
        <f t="shared" ref="V182:AA182" si="75">SUBTOTAL(9,V140:V181)</f>
        <v>0</v>
      </c>
      <c r="W182" s="146">
        <f t="shared" si="75"/>
        <v>0</v>
      </c>
      <c r="X182" s="146">
        <f t="shared" si="75"/>
        <v>0</v>
      </c>
      <c r="Y182" s="146">
        <f t="shared" si="75"/>
        <v>0</v>
      </c>
      <c r="Z182" s="146">
        <f t="shared" si="75"/>
        <v>0</v>
      </c>
      <c r="AA182" s="146">
        <f t="shared" si="75"/>
        <v>0</v>
      </c>
      <c r="AB182" s="3021">
        <v>0</v>
      </c>
      <c r="AC182" s="2826">
        <v>0</v>
      </c>
      <c r="AD182" s="2826">
        <v>0</v>
      </c>
      <c r="AE182" s="2826"/>
      <c r="AF182" s="2826"/>
      <c r="AG182" s="2826"/>
      <c r="AH182" s="2826"/>
      <c r="AI182" s="2826"/>
      <c r="AJ182" s="2826"/>
      <c r="AK182" s="2826"/>
      <c r="AL182" s="2826"/>
      <c r="AM182" s="2826"/>
    </row>
    <row r="183" spans="2:41" s="2825" customFormat="1" ht="14" thickBot="1">
      <c r="B183" s="139"/>
      <c r="C183" s="138"/>
      <c r="D183" s="908"/>
      <c r="E183" s="138"/>
      <c r="F183" s="140"/>
      <c r="G183" s="141"/>
      <c r="H183" s="141"/>
      <c r="I183" s="141"/>
      <c r="J183" s="141"/>
      <c r="K183" s="141"/>
      <c r="L183" s="141"/>
      <c r="M183" s="458"/>
      <c r="N183" s="140"/>
      <c r="O183" s="141"/>
      <c r="P183" s="141"/>
      <c r="Q183" s="148"/>
      <c r="R183" s="148"/>
      <c r="S183" s="149"/>
      <c r="T183" s="149"/>
      <c r="U183" s="150"/>
      <c r="V183" s="150"/>
      <c r="W183" s="150"/>
      <c r="X183" s="150"/>
      <c r="Y183" s="150"/>
      <c r="Z183" s="150"/>
      <c r="AA183" s="150"/>
      <c r="AC183" s="2826"/>
      <c r="AD183" s="2826"/>
      <c r="AE183" s="2826"/>
      <c r="AF183" s="2826"/>
      <c r="AG183" s="2826"/>
      <c r="AH183" s="2826"/>
      <c r="AI183" s="2826"/>
      <c r="AJ183" s="2826"/>
      <c r="AK183" s="2826"/>
      <c r="AL183" s="2826"/>
      <c r="AM183" s="2826"/>
    </row>
    <row r="184" spans="2:41" s="2825" customFormat="1" ht="15" thickTop="1" thickBot="1">
      <c r="B184" s="139"/>
      <c r="C184" s="138"/>
      <c r="D184" s="908"/>
      <c r="E184" s="138"/>
      <c r="F184" s="140"/>
      <c r="G184" s="141"/>
      <c r="H184" s="141"/>
      <c r="I184" s="141"/>
      <c r="J184" s="141"/>
      <c r="K184" s="141"/>
      <c r="L184" s="141"/>
      <c r="M184" s="458"/>
      <c r="N184" s="140"/>
      <c r="O184" s="141"/>
      <c r="P184" s="141"/>
      <c r="Q184" s="148"/>
      <c r="R184" s="148"/>
      <c r="S184" s="148"/>
      <c r="T184" s="149"/>
      <c r="U184" s="151"/>
      <c r="V184" s="152"/>
      <c r="W184" s="153"/>
      <c r="X184" s="153"/>
      <c r="Y184" s="153"/>
      <c r="Z184" s="153"/>
      <c r="AA184" s="154"/>
      <c r="AB184" s="3022"/>
      <c r="AC184" s="3022"/>
      <c r="AE184" s="2826"/>
      <c r="AF184" s="2826"/>
      <c r="AG184" s="2826"/>
      <c r="AH184" s="2826"/>
      <c r="AI184" s="2826"/>
      <c r="AJ184" s="2826"/>
      <c r="AK184" s="2826"/>
      <c r="AL184" s="2826"/>
      <c r="AM184" s="2826"/>
      <c r="AN184" s="2826"/>
      <c r="AO184" s="2826"/>
    </row>
    <row r="185" spans="2:41" s="3021" customFormat="1" ht="12" thickTop="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826"/>
      <c r="AD185" s="2826"/>
      <c r="AE185" s="2826"/>
      <c r="AF185" s="2826"/>
      <c r="AG185" s="2826"/>
      <c r="AH185" s="2826"/>
      <c r="AI185" s="2826"/>
      <c r="AJ185" s="2826"/>
      <c r="AK185" s="2826"/>
      <c r="AL185" s="2826"/>
      <c r="AM185" s="2826"/>
    </row>
    <row r="186" spans="2:41" s="3021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826"/>
      <c r="AD186" s="2826"/>
      <c r="AE186" s="2826"/>
      <c r="AF186" s="2826"/>
      <c r="AG186" s="2826"/>
      <c r="AH186" s="2826"/>
      <c r="AI186" s="2826"/>
      <c r="AJ186" s="2826"/>
      <c r="AK186" s="2826"/>
      <c r="AL186" s="2826"/>
      <c r="AM186" s="2826"/>
    </row>
    <row r="187" spans="2:41" s="3021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826"/>
      <c r="AD187" s="2826"/>
      <c r="AE187" s="2826"/>
      <c r="AF187" s="2826"/>
      <c r="AG187" s="2826"/>
      <c r="AH187" s="2826"/>
      <c r="AI187" s="2826"/>
      <c r="AJ187" s="2826"/>
      <c r="AK187" s="2826"/>
      <c r="AL187" s="2826"/>
      <c r="AM187" s="2826"/>
    </row>
    <row r="188" spans="2:41" s="3021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826"/>
      <c r="AD188" s="2826"/>
      <c r="AE188" s="2826"/>
      <c r="AF188" s="2826"/>
      <c r="AG188" s="2826"/>
      <c r="AH188" s="2826"/>
      <c r="AI188" s="2826"/>
      <c r="AJ188" s="2826"/>
      <c r="AK188" s="2826"/>
      <c r="AL188" s="2826"/>
      <c r="AM188" s="2826"/>
    </row>
    <row r="189" spans="2:41" s="3021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826"/>
      <c r="AD189" s="2826"/>
      <c r="AE189" s="2826"/>
      <c r="AF189" s="2826"/>
      <c r="AG189" s="2826"/>
      <c r="AH189" s="2826"/>
      <c r="AI189" s="2826"/>
      <c r="AJ189" s="2826"/>
      <c r="AK189" s="2826"/>
      <c r="AL189" s="2826"/>
      <c r="AM189" s="2826"/>
    </row>
    <row r="190" spans="2:41" s="3021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826"/>
      <c r="AD190" s="2826"/>
      <c r="AE190" s="2826"/>
      <c r="AF190" s="2826"/>
      <c r="AG190" s="2826"/>
      <c r="AH190" s="2826"/>
      <c r="AI190" s="2826"/>
      <c r="AJ190" s="2826"/>
      <c r="AK190" s="2826"/>
      <c r="AL190" s="2826"/>
      <c r="AM190" s="2826"/>
    </row>
    <row r="191" spans="2:41" s="3021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826"/>
      <c r="AD191" s="2826"/>
      <c r="AE191" s="2826"/>
      <c r="AF191" s="2826"/>
      <c r="AG191" s="2826"/>
      <c r="AH191" s="2826"/>
      <c r="AI191" s="2826"/>
      <c r="AJ191" s="2826"/>
      <c r="AK191" s="2826"/>
      <c r="AL191" s="2826"/>
      <c r="AM191" s="2826"/>
    </row>
    <row r="192" spans="2:41" s="3021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826"/>
      <c r="AD192" s="2826"/>
      <c r="AE192" s="2826"/>
      <c r="AF192" s="2826"/>
      <c r="AG192" s="2826"/>
      <c r="AH192" s="2826"/>
      <c r="AI192" s="2826"/>
      <c r="AJ192" s="2826"/>
      <c r="AK192" s="2826"/>
      <c r="AL192" s="2826"/>
      <c r="AM192" s="2826"/>
    </row>
    <row r="193" spans="2:39" s="3021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826"/>
      <c r="AD193" s="2826"/>
      <c r="AE193" s="2826"/>
      <c r="AF193" s="2826"/>
      <c r="AG193" s="2826"/>
      <c r="AH193" s="2826"/>
      <c r="AI193" s="2826"/>
      <c r="AJ193" s="2826"/>
      <c r="AK193" s="2826"/>
      <c r="AL193" s="2826"/>
      <c r="AM193" s="2826"/>
    </row>
    <row r="194" spans="2:39" s="3021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826"/>
      <c r="AD194" s="2826"/>
      <c r="AE194" s="2826"/>
      <c r="AF194" s="2826"/>
      <c r="AG194" s="2826"/>
      <c r="AH194" s="2826"/>
      <c r="AI194" s="2826"/>
      <c r="AJ194" s="2826"/>
      <c r="AK194" s="2826"/>
      <c r="AL194" s="2826"/>
      <c r="AM194" s="2826"/>
    </row>
    <row r="195" spans="2:39" s="3021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826"/>
      <c r="AD195" s="2826"/>
      <c r="AE195" s="2826"/>
      <c r="AF195" s="2826"/>
      <c r="AG195" s="2826"/>
      <c r="AH195" s="2826"/>
      <c r="AI195" s="2826"/>
      <c r="AJ195" s="2826"/>
      <c r="AK195" s="2826"/>
      <c r="AL195" s="2826"/>
      <c r="AM195" s="2826"/>
    </row>
    <row r="196" spans="2:39" s="3021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826"/>
      <c r="AD196" s="2826"/>
      <c r="AE196" s="2826"/>
      <c r="AF196" s="2826"/>
      <c r="AG196" s="2826"/>
      <c r="AH196" s="2826"/>
      <c r="AI196" s="2826"/>
      <c r="AJ196" s="2826"/>
      <c r="AK196" s="2826"/>
      <c r="AL196" s="2826"/>
      <c r="AM196" s="2826"/>
    </row>
    <row r="197" spans="2:39" s="3021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826"/>
      <c r="AD197" s="2826"/>
      <c r="AE197" s="2826"/>
      <c r="AF197" s="2826"/>
      <c r="AG197" s="2826"/>
      <c r="AH197" s="2826"/>
      <c r="AI197" s="2826"/>
      <c r="AJ197" s="2826"/>
      <c r="AK197" s="2826"/>
      <c r="AL197" s="2826"/>
      <c r="AM197" s="2826"/>
    </row>
    <row r="198" spans="2:39" s="3021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826"/>
      <c r="AD198" s="2826"/>
      <c r="AE198" s="2826"/>
      <c r="AF198" s="2826"/>
      <c r="AG198" s="2826"/>
      <c r="AH198" s="2826"/>
      <c r="AI198" s="2826"/>
      <c r="AJ198" s="2826"/>
      <c r="AK198" s="2826"/>
      <c r="AL198" s="2826"/>
      <c r="AM198" s="2826"/>
    </row>
    <row r="199" spans="2:39" s="3021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826"/>
      <c r="AD199" s="2826"/>
      <c r="AE199" s="2826"/>
      <c r="AF199" s="2826"/>
      <c r="AG199" s="2826"/>
      <c r="AH199" s="2826"/>
      <c r="AI199" s="2826"/>
      <c r="AJ199" s="2826"/>
      <c r="AK199" s="2826"/>
      <c r="AL199" s="2826"/>
      <c r="AM199" s="2826"/>
    </row>
    <row r="200" spans="2:39" s="3021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826"/>
      <c r="AD200" s="2826"/>
      <c r="AE200" s="2826"/>
      <c r="AF200" s="2826"/>
      <c r="AG200" s="2826"/>
      <c r="AH200" s="2826"/>
      <c r="AI200" s="2826"/>
      <c r="AJ200" s="2826"/>
      <c r="AK200" s="2826"/>
      <c r="AL200" s="2826"/>
      <c r="AM200" s="2826"/>
    </row>
    <row r="201" spans="2:39" s="3021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826"/>
      <c r="AD201" s="2826"/>
      <c r="AE201" s="2826"/>
      <c r="AF201" s="2826"/>
      <c r="AG201" s="2826"/>
      <c r="AH201" s="2826"/>
      <c r="AI201" s="2826"/>
      <c r="AJ201" s="2826"/>
      <c r="AK201" s="2826"/>
      <c r="AL201" s="2826"/>
      <c r="AM201" s="2826"/>
    </row>
    <row r="202" spans="2:39" s="3021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826"/>
      <c r="AD202" s="2826"/>
      <c r="AE202" s="2826"/>
      <c r="AF202" s="2826"/>
      <c r="AG202" s="2826"/>
      <c r="AH202" s="2826"/>
      <c r="AI202" s="2826"/>
      <c r="AJ202" s="2826"/>
      <c r="AK202" s="2826"/>
      <c r="AL202" s="2826"/>
      <c r="AM202" s="2826"/>
    </row>
    <row r="203" spans="2:39" s="3021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826"/>
      <c r="AD203" s="2826"/>
      <c r="AE203" s="2826"/>
      <c r="AF203" s="2826"/>
      <c r="AG203" s="2826"/>
      <c r="AH203" s="2826"/>
      <c r="AI203" s="2826"/>
      <c r="AJ203" s="2826"/>
      <c r="AK203" s="2826"/>
      <c r="AL203" s="2826"/>
      <c r="AM203" s="2826"/>
    </row>
    <row r="204" spans="2:39" s="3021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826"/>
      <c r="AD204" s="2826"/>
      <c r="AE204" s="2826"/>
      <c r="AF204" s="2826"/>
      <c r="AG204" s="2826"/>
      <c r="AH204" s="2826"/>
      <c r="AI204" s="2826"/>
      <c r="AJ204" s="2826"/>
      <c r="AK204" s="2826"/>
      <c r="AL204" s="2826"/>
      <c r="AM204" s="2826"/>
    </row>
    <row r="205" spans="2:39" s="3021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826"/>
      <c r="AD205" s="2826"/>
      <c r="AE205" s="2826"/>
      <c r="AF205" s="2826"/>
      <c r="AG205" s="2826"/>
      <c r="AH205" s="2826"/>
      <c r="AI205" s="2826"/>
      <c r="AJ205" s="2826"/>
      <c r="AK205" s="2826"/>
      <c r="AL205" s="2826"/>
      <c r="AM205" s="2826"/>
    </row>
    <row r="206" spans="2:39" s="3021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826"/>
      <c r="AD206" s="2826"/>
      <c r="AE206" s="2826"/>
      <c r="AF206" s="2826"/>
      <c r="AG206" s="2826"/>
      <c r="AH206" s="2826"/>
      <c r="AI206" s="2826"/>
      <c r="AJ206" s="2826"/>
      <c r="AK206" s="2826"/>
      <c r="AL206" s="2826"/>
      <c r="AM206" s="2826"/>
    </row>
    <row r="207" spans="2:39" s="3021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826"/>
      <c r="AD207" s="2826"/>
      <c r="AE207" s="2826"/>
      <c r="AF207" s="2826"/>
      <c r="AG207" s="2826"/>
      <c r="AH207" s="2826"/>
      <c r="AI207" s="2826"/>
      <c r="AJ207" s="2826"/>
      <c r="AK207" s="2826"/>
      <c r="AL207" s="2826"/>
      <c r="AM207" s="2826"/>
    </row>
    <row r="208" spans="2:39" s="3021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826"/>
      <c r="AD208" s="2826"/>
      <c r="AE208" s="2826"/>
      <c r="AF208" s="2826"/>
      <c r="AG208" s="2826"/>
      <c r="AH208" s="2826"/>
      <c r="AI208" s="2826"/>
      <c r="AJ208" s="2826"/>
      <c r="AK208" s="2826"/>
      <c r="AL208" s="2826"/>
      <c r="AM208" s="2826"/>
    </row>
    <row r="209" spans="2:39" s="3021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826"/>
      <c r="AD209" s="2826"/>
      <c r="AE209" s="2826"/>
      <c r="AF209" s="2826"/>
      <c r="AG209" s="2826"/>
      <c r="AH209" s="2826"/>
      <c r="AI209" s="2826"/>
      <c r="AJ209" s="2826"/>
      <c r="AK209" s="2826"/>
      <c r="AL209" s="2826"/>
      <c r="AM209" s="2826"/>
    </row>
    <row r="210" spans="2:39" s="3021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826"/>
      <c r="AD210" s="2826"/>
      <c r="AE210" s="2826"/>
      <c r="AF210" s="2826"/>
      <c r="AG210" s="2826"/>
      <c r="AH210" s="2826"/>
      <c r="AI210" s="2826"/>
      <c r="AJ210" s="2826"/>
      <c r="AK210" s="2826"/>
      <c r="AL210" s="2826"/>
      <c r="AM210" s="2826"/>
    </row>
    <row r="211" spans="2:39" s="3021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826"/>
      <c r="AD211" s="2826"/>
      <c r="AE211" s="2826"/>
      <c r="AF211" s="2826"/>
      <c r="AG211" s="2826"/>
      <c r="AH211" s="2826"/>
      <c r="AI211" s="2826"/>
      <c r="AJ211" s="2826"/>
      <c r="AK211" s="2826"/>
      <c r="AL211" s="2826"/>
      <c r="AM211" s="2826"/>
    </row>
    <row r="212" spans="2:39" s="3021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826"/>
      <c r="AD212" s="2826"/>
      <c r="AE212" s="2826"/>
      <c r="AF212" s="2826"/>
      <c r="AG212" s="2826"/>
      <c r="AH212" s="2826"/>
      <c r="AI212" s="2826"/>
      <c r="AJ212" s="2826"/>
      <c r="AK212" s="2826"/>
      <c r="AL212" s="2826"/>
      <c r="AM212" s="2826"/>
    </row>
    <row r="213" spans="2:39" s="3021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826"/>
      <c r="AD213" s="2826"/>
      <c r="AE213" s="2826"/>
      <c r="AF213" s="2826"/>
      <c r="AG213" s="2826"/>
      <c r="AH213" s="2826"/>
      <c r="AI213" s="2826"/>
      <c r="AJ213" s="2826"/>
      <c r="AK213" s="2826"/>
      <c r="AL213" s="2826"/>
      <c r="AM213" s="2826"/>
    </row>
    <row r="214" spans="2:39" s="3021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826"/>
      <c r="AD214" s="2826"/>
      <c r="AE214" s="2826"/>
      <c r="AF214" s="2826"/>
      <c r="AG214" s="2826"/>
      <c r="AH214" s="2826"/>
      <c r="AI214" s="2826"/>
      <c r="AJ214" s="2826"/>
      <c r="AK214" s="2826"/>
      <c r="AL214" s="2826"/>
      <c r="AM214" s="2826"/>
    </row>
    <row r="215" spans="2:39" s="3021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826"/>
      <c r="AD215" s="2826"/>
      <c r="AE215" s="2826"/>
      <c r="AF215" s="2826"/>
      <c r="AG215" s="2826"/>
      <c r="AH215" s="2826"/>
      <c r="AI215" s="2826"/>
      <c r="AJ215" s="2826"/>
      <c r="AK215" s="2826"/>
      <c r="AL215" s="2826"/>
      <c r="AM215" s="2826"/>
    </row>
    <row r="216" spans="2:39" s="3021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826"/>
      <c r="AD216" s="2826"/>
      <c r="AE216" s="2826"/>
      <c r="AF216" s="2826"/>
      <c r="AG216" s="2826"/>
      <c r="AH216" s="2826"/>
      <c r="AI216" s="2826"/>
      <c r="AJ216" s="2826"/>
      <c r="AK216" s="2826"/>
      <c r="AL216" s="2826"/>
      <c r="AM216" s="2826"/>
    </row>
    <row r="217" spans="2:39" s="3021" customFormat="1" ht="11">
      <c r="B217" s="144"/>
      <c r="C217" s="143"/>
      <c r="D217" s="907"/>
      <c r="E217" s="143"/>
      <c r="F217" s="145"/>
      <c r="G217" s="146"/>
      <c r="H217" s="146"/>
      <c r="I217" s="146"/>
      <c r="J217" s="146"/>
      <c r="K217" s="146"/>
      <c r="L217" s="146"/>
      <c r="M217" s="458"/>
      <c r="N217" s="145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826"/>
      <c r="AD217" s="2826"/>
      <c r="AE217" s="2826"/>
      <c r="AF217" s="2826"/>
      <c r="AG217" s="2826"/>
      <c r="AH217" s="2826"/>
      <c r="AI217" s="2826"/>
      <c r="AJ217" s="2826"/>
      <c r="AK217" s="2826"/>
      <c r="AL217" s="2826"/>
      <c r="AM217" s="2826"/>
    </row>
    <row r="218" spans="2:39" s="3021" customFormat="1" ht="11">
      <c r="B218" s="144"/>
      <c r="C218" s="143"/>
      <c r="D218" s="907"/>
      <c r="E218" s="143"/>
      <c r="F218" s="145"/>
      <c r="G218" s="146"/>
      <c r="H218" s="146"/>
      <c r="I218" s="146"/>
      <c r="J218" s="146"/>
      <c r="K218" s="146"/>
      <c r="L218" s="146"/>
      <c r="M218" s="458"/>
      <c r="N218" s="145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826"/>
      <c r="AD218" s="2826"/>
      <c r="AE218" s="2826"/>
      <c r="AF218" s="2826"/>
      <c r="AG218" s="2826"/>
      <c r="AH218" s="2826"/>
      <c r="AI218" s="2826"/>
      <c r="AJ218" s="2826"/>
      <c r="AK218" s="2826"/>
      <c r="AL218" s="2826"/>
      <c r="AM218" s="2826"/>
    </row>
    <row r="219" spans="2:39" s="3021" customFormat="1" ht="11">
      <c r="B219" s="144"/>
      <c r="C219" s="143"/>
      <c r="D219" s="907"/>
      <c r="E219" s="143"/>
      <c r="F219" s="145"/>
      <c r="G219" s="146"/>
      <c r="H219" s="146"/>
      <c r="I219" s="146"/>
      <c r="J219" s="146"/>
      <c r="K219" s="146"/>
      <c r="L219" s="146"/>
      <c r="M219" s="458"/>
      <c r="N219" s="145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826"/>
      <c r="AD219" s="2826"/>
      <c r="AE219" s="2826"/>
      <c r="AF219" s="2826"/>
      <c r="AG219" s="2826"/>
      <c r="AH219" s="2826"/>
      <c r="AI219" s="2826"/>
      <c r="AJ219" s="2826"/>
      <c r="AK219" s="2826"/>
      <c r="AL219" s="2826"/>
      <c r="AM219" s="2826"/>
    </row>
    <row r="220" spans="2:39" s="3021" customFormat="1" ht="11">
      <c r="B220" s="144"/>
      <c r="C220" s="143"/>
      <c r="D220" s="907"/>
      <c r="E220" s="143"/>
      <c r="F220" s="145"/>
      <c r="G220" s="146"/>
      <c r="H220" s="146"/>
      <c r="I220" s="146"/>
      <c r="J220" s="146"/>
      <c r="K220" s="146"/>
      <c r="L220" s="146"/>
      <c r="M220" s="458"/>
      <c r="N220" s="145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826"/>
      <c r="AD220" s="2826"/>
      <c r="AE220" s="2826"/>
      <c r="AF220" s="2826"/>
      <c r="AG220" s="2826"/>
      <c r="AH220" s="2826"/>
      <c r="AI220" s="2826"/>
      <c r="AJ220" s="2826"/>
      <c r="AK220" s="2826"/>
      <c r="AL220" s="2826"/>
      <c r="AM220" s="2826"/>
    </row>
    <row r="221" spans="2:39" s="3021" customFormat="1" ht="11">
      <c r="B221" s="3159"/>
      <c r="D221" s="3160"/>
      <c r="F221" s="3023"/>
      <c r="G221" s="3024"/>
      <c r="H221" s="3024"/>
      <c r="I221" s="3024"/>
      <c r="J221" s="3024"/>
      <c r="K221" s="3024"/>
      <c r="L221" s="3024"/>
      <c r="M221" s="3025"/>
      <c r="N221" s="3023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826"/>
      <c r="AD221" s="2826"/>
      <c r="AE221" s="2826"/>
      <c r="AF221" s="2826"/>
      <c r="AG221" s="2826"/>
      <c r="AH221" s="2826"/>
      <c r="AI221" s="2826"/>
      <c r="AJ221" s="2826"/>
      <c r="AK221" s="2826"/>
      <c r="AL221" s="2826"/>
      <c r="AM221" s="2826"/>
    </row>
    <row r="222" spans="2:39" s="3021" customFormat="1" ht="11">
      <c r="B222" s="3159"/>
      <c r="D222" s="3160"/>
      <c r="F222" s="3023"/>
      <c r="G222" s="3024"/>
      <c r="H222" s="3024"/>
      <c r="I222" s="3024"/>
      <c r="J222" s="3024"/>
      <c r="K222" s="3024"/>
      <c r="L222" s="3024"/>
      <c r="M222" s="3025"/>
      <c r="N222" s="3023"/>
      <c r="O222" s="146"/>
      <c r="P222" s="146"/>
      <c r="Q222" s="147"/>
      <c r="R222" s="147"/>
      <c r="S222" s="142"/>
      <c r="T222" s="142"/>
      <c r="U222" s="146"/>
      <c r="V222" s="146"/>
      <c r="W222" s="146"/>
      <c r="X222" s="146"/>
      <c r="Y222" s="146"/>
      <c r="Z222" s="146"/>
      <c r="AA222" s="146"/>
      <c r="AC222" s="2826"/>
      <c r="AD222" s="2826"/>
      <c r="AE222" s="2826"/>
      <c r="AF222" s="2826"/>
      <c r="AG222" s="2826"/>
      <c r="AH222" s="2826"/>
      <c r="AI222" s="2826"/>
      <c r="AJ222" s="2826"/>
      <c r="AK222" s="2826"/>
      <c r="AL222" s="2826"/>
      <c r="AM222" s="2826"/>
    </row>
    <row r="223" spans="2:39" s="3021" customFormat="1" ht="11">
      <c r="B223" s="3159"/>
      <c r="D223" s="3160"/>
      <c r="F223" s="3023"/>
      <c r="G223" s="3024"/>
      <c r="H223" s="3024"/>
      <c r="I223" s="3024"/>
      <c r="J223" s="3024"/>
      <c r="K223" s="3024"/>
      <c r="L223" s="3024"/>
      <c r="M223" s="3025"/>
      <c r="N223" s="3023"/>
      <c r="O223" s="146"/>
      <c r="P223" s="146"/>
      <c r="Q223" s="147"/>
      <c r="R223" s="147"/>
      <c r="S223" s="142"/>
      <c r="T223" s="142"/>
      <c r="U223" s="146"/>
      <c r="V223" s="146"/>
      <c r="W223" s="146"/>
      <c r="X223" s="146"/>
      <c r="Y223" s="146"/>
      <c r="Z223" s="146"/>
      <c r="AA223" s="146"/>
      <c r="AC223" s="2826"/>
      <c r="AD223" s="2826"/>
      <c r="AE223" s="2826"/>
      <c r="AF223" s="2826"/>
      <c r="AG223" s="2826"/>
      <c r="AH223" s="2826"/>
      <c r="AI223" s="2826"/>
      <c r="AJ223" s="2826"/>
      <c r="AK223" s="2826"/>
      <c r="AL223" s="2826"/>
      <c r="AM223" s="2826"/>
    </row>
    <row r="224" spans="2:39" s="3021" customFormat="1" ht="11">
      <c r="B224" s="3159"/>
      <c r="D224" s="3160"/>
      <c r="F224" s="3023"/>
      <c r="G224" s="3024"/>
      <c r="H224" s="3024"/>
      <c r="I224" s="3024"/>
      <c r="J224" s="3024"/>
      <c r="K224" s="3024"/>
      <c r="L224" s="3024"/>
      <c r="M224" s="3025"/>
      <c r="N224" s="3023"/>
      <c r="O224" s="146"/>
      <c r="P224" s="146"/>
      <c r="Q224" s="147"/>
      <c r="R224" s="147"/>
      <c r="S224" s="142"/>
      <c r="T224" s="142"/>
      <c r="U224" s="146"/>
      <c r="V224" s="146"/>
      <c r="W224" s="146"/>
      <c r="X224" s="146"/>
      <c r="Y224" s="146"/>
      <c r="Z224" s="146"/>
      <c r="AA224" s="146"/>
      <c r="AC224" s="2826"/>
      <c r="AD224" s="2826"/>
      <c r="AE224" s="2826"/>
      <c r="AF224" s="2826"/>
      <c r="AG224" s="2826"/>
      <c r="AH224" s="2826"/>
      <c r="AI224" s="2826"/>
      <c r="AJ224" s="2826"/>
      <c r="AK224" s="2826"/>
      <c r="AL224" s="2826"/>
      <c r="AM224" s="2826"/>
    </row>
    <row r="225" spans="2:41" s="3021" customFormat="1" ht="11">
      <c r="B225" s="3159"/>
      <c r="D225" s="3160"/>
      <c r="F225" s="3023"/>
      <c r="G225" s="3024"/>
      <c r="H225" s="3024"/>
      <c r="I225" s="3024"/>
      <c r="J225" s="3024"/>
      <c r="K225" s="3024"/>
      <c r="L225" s="3024"/>
      <c r="M225" s="3025"/>
      <c r="N225" s="3023"/>
      <c r="O225" s="146"/>
      <c r="P225" s="146"/>
      <c r="Q225" s="147"/>
      <c r="R225" s="147"/>
      <c r="S225" s="142"/>
      <c r="T225" s="142"/>
      <c r="U225" s="146">
        <f>SUBTOTAL(9,U183:U224)</f>
        <v>0</v>
      </c>
      <c r="V225" s="146">
        <f t="shared" ref="V225:AA225" si="76">SUBTOTAL(9,V183:V224)</f>
        <v>0</v>
      </c>
      <c r="W225" s="146">
        <f t="shared" si="76"/>
        <v>0</v>
      </c>
      <c r="X225" s="146">
        <f t="shared" si="76"/>
        <v>0</v>
      </c>
      <c r="Y225" s="146">
        <f t="shared" si="76"/>
        <v>0</v>
      </c>
      <c r="Z225" s="146">
        <f t="shared" si="76"/>
        <v>0</v>
      </c>
      <c r="AA225" s="146">
        <f t="shared" si="76"/>
        <v>0</v>
      </c>
      <c r="AC225" s="2826"/>
      <c r="AD225" s="2826"/>
      <c r="AE225" s="2826"/>
      <c r="AF225" s="2826"/>
      <c r="AG225" s="2826"/>
      <c r="AH225" s="2826"/>
      <c r="AI225" s="2826"/>
      <c r="AJ225" s="2826"/>
      <c r="AK225" s="2826"/>
      <c r="AL225" s="2826"/>
      <c r="AM225" s="2826"/>
    </row>
    <row r="226" spans="2:41" s="2825" customFormat="1" ht="14" thickBot="1">
      <c r="B226" s="2935"/>
      <c r="D226" s="3161"/>
      <c r="F226" s="3026"/>
      <c r="G226" s="3027"/>
      <c r="H226" s="3027"/>
      <c r="I226" s="3027"/>
      <c r="J226" s="3027"/>
      <c r="K226" s="3027"/>
      <c r="L226" s="3027"/>
      <c r="M226" s="3025"/>
      <c r="N226" s="3026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826"/>
      <c r="AD226" s="2826"/>
      <c r="AE226" s="2826"/>
      <c r="AF226" s="2826"/>
      <c r="AG226" s="2826"/>
      <c r="AH226" s="2826"/>
      <c r="AI226" s="2826"/>
      <c r="AJ226" s="2826"/>
      <c r="AK226" s="2826"/>
      <c r="AL226" s="2826"/>
      <c r="AM226" s="2826"/>
    </row>
    <row r="227" spans="2:41" s="2825" customFormat="1" ht="15" thickTop="1" thickBot="1">
      <c r="B227" s="2935"/>
      <c r="D227" s="3161"/>
      <c r="F227" s="3026"/>
      <c r="G227" s="3027"/>
      <c r="H227" s="3027"/>
      <c r="I227" s="3027"/>
      <c r="J227" s="3027"/>
      <c r="K227" s="3027"/>
      <c r="L227" s="3027"/>
      <c r="M227" s="3025"/>
      <c r="N227" s="3026"/>
      <c r="O227" s="141"/>
      <c r="P227" s="141"/>
      <c r="Q227" s="148"/>
      <c r="R227" s="148"/>
      <c r="S227" s="148"/>
      <c r="T227" s="148"/>
      <c r="U227" s="151">
        <f>SUBTOTAL(9,U185:U226)</f>
        <v>0</v>
      </c>
      <c r="V227" s="152">
        <f t="shared" ref="V227:AA227" si="77">SUBTOTAL(9,V185:V226)</f>
        <v>0</v>
      </c>
      <c r="W227" s="153">
        <f t="shared" si="77"/>
        <v>0</v>
      </c>
      <c r="X227" s="153">
        <f t="shared" si="77"/>
        <v>0</v>
      </c>
      <c r="Y227" s="153">
        <f t="shared" si="77"/>
        <v>0</v>
      </c>
      <c r="Z227" s="153">
        <f t="shared" si="77"/>
        <v>0</v>
      </c>
      <c r="AA227" s="154">
        <f t="shared" si="77"/>
        <v>0</v>
      </c>
      <c r="AB227" s="3022"/>
      <c r="AC227" s="3022"/>
      <c r="AE227" s="2826"/>
      <c r="AF227" s="2826"/>
      <c r="AG227" s="2826"/>
      <c r="AH227" s="2826"/>
      <c r="AI227" s="2826"/>
      <c r="AJ227" s="2826"/>
      <c r="AK227" s="2826"/>
      <c r="AL227" s="2826"/>
      <c r="AM227" s="2826"/>
      <c r="AN227" s="2826"/>
      <c r="AO227" s="2826"/>
    </row>
    <row r="228" spans="2:41" s="2825" customFormat="1" ht="14" thickTop="1">
      <c r="B228" s="2935"/>
      <c r="D228" s="3161"/>
      <c r="F228" s="3026"/>
      <c r="G228" s="3027"/>
      <c r="H228" s="3027"/>
      <c r="I228" s="3027"/>
      <c r="J228" s="3027"/>
      <c r="K228" s="3027"/>
      <c r="L228" s="3027"/>
      <c r="M228" s="3025"/>
      <c r="N228" s="3026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826"/>
      <c r="AD228" s="2826"/>
      <c r="AE228" s="2826"/>
      <c r="AF228" s="2826"/>
      <c r="AG228" s="2826"/>
      <c r="AH228" s="2826"/>
      <c r="AI228" s="2826"/>
      <c r="AJ228" s="2826"/>
      <c r="AK228" s="2826"/>
      <c r="AL228" s="2826"/>
      <c r="AM228" s="2826"/>
    </row>
    <row r="229" spans="2:41" s="2825" customFormat="1">
      <c r="B229" s="2935"/>
      <c r="D229" s="3161"/>
      <c r="F229" s="3026"/>
      <c r="G229" s="3027"/>
      <c r="H229" s="3027"/>
      <c r="I229" s="3027"/>
      <c r="J229" s="3027"/>
      <c r="K229" s="3027"/>
      <c r="L229" s="3027"/>
      <c r="M229" s="3025"/>
      <c r="N229" s="3026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826"/>
      <c r="AD229" s="2826"/>
      <c r="AE229" s="2826"/>
      <c r="AF229" s="2826"/>
      <c r="AG229" s="2826"/>
      <c r="AH229" s="2826"/>
      <c r="AI229" s="2826"/>
      <c r="AJ229" s="2826"/>
      <c r="AK229" s="2826"/>
      <c r="AL229" s="2826"/>
      <c r="AM229" s="2826"/>
    </row>
    <row r="230" spans="2:41" s="2825" customFormat="1">
      <c r="B230" s="2935"/>
      <c r="D230" s="3161"/>
      <c r="F230" s="3026"/>
      <c r="G230" s="3027"/>
      <c r="H230" s="3027"/>
      <c r="I230" s="3027"/>
      <c r="J230" s="3027"/>
      <c r="K230" s="3027"/>
      <c r="L230" s="3027"/>
      <c r="M230" s="3025"/>
      <c r="N230" s="3026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826"/>
      <c r="AD230" s="2826"/>
      <c r="AE230" s="2826"/>
      <c r="AF230" s="2826"/>
      <c r="AG230" s="2826"/>
      <c r="AH230" s="2826"/>
      <c r="AI230" s="2826"/>
      <c r="AJ230" s="2826"/>
      <c r="AK230" s="2826"/>
      <c r="AL230" s="2826"/>
      <c r="AM230" s="2826"/>
    </row>
    <row r="231" spans="2:41" s="2825" customFormat="1">
      <c r="B231" s="2935"/>
      <c r="D231" s="3161"/>
      <c r="F231" s="3026"/>
      <c r="G231" s="3027"/>
      <c r="H231" s="3027"/>
      <c r="I231" s="3027"/>
      <c r="J231" s="3027"/>
      <c r="K231" s="3027"/>
      <c r="L231" s="3027"/>
      <c r="M231" s="3025"/>
      <c r="N231" s="3026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826"/>
      <c r="AD231" s="2826"/>
      <c r="AE231" s="2826"/>
      <c r="AF231" s="2826"/>
      <c r="AG231" s="2826"/>
      <c r="AH231" s="2826"/>
      <c r="AI231" s="2826"/>
      <c r="AJ231" s="2826"/>
      <c r="AK231" s="2826"/>
      <c r="AL231" s="2826"/>
      <c r="AM231" s="2826"/>
    </row>
    <row r="232" spans="2:41" s="2825" customFormat="1">
      <c r="B232" s="2935"/>
      <c r="D232" s="3161"/>
      <c r="F232" s="3026"/>
      <c r="G232" s="3027"/>
      <c r="H232" s="3027"/>
      <c r="I232" s="3027"/>
      <c r="J232" s="3027"/>
      <c r="K232" s="3027"/>
      <c r="L232" s="3027"/>
      <c r="M232" s="3025"/>
      <c r="N232" s="3026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826"/>
      <c r="AD232" s="2826"/>
      <c r="AE232" s="2826"/>
      <c r="AF232" s="2826"/>
      <c r="AG232" s="2826"/>
      <c r="AH232" s="2826"/>
      <c r="AI232" s="2826"/>
      <c r="AJ232" s="2826"/>
      <c r="AK232" s="2826"/>
      <c r="AL232" s="2826"/>
      <c r="AM232" s="2826"/>
    </row>
    <row r="233" spans="2:41" s="2825" customFormat="1">
      <c r="B233" s="2935"/>
      <c r="D233" s="3161"/>
      <c r="F233" s="3026"/>
      <c r="G233" s="3027"/>
      <c r="H233" s="3027"/>
      <c r="I233" s="3027"/>
      <c r="J233" s="3027"/>
      <c r="K233" s="3027"/>
      <c r="L233" s="3027"/>
      <c r="M233" s="3025"/>
      <c r="N233" s="3026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826"/>
      <c r="AD233" s="2826"/>
      <c r="AE233" s="2826"/>
      <c r="AF233" s="2826"/>
      <c r="AG233" s="2826"/>
      <c r="AH233" s="2826"/>
      <c r="AI233" s="2826"/>
      <c r="AJ233" s="2826"/>
      <c r="AK233" s="2826"/>
      <c r="AL233" s="2826"/>
      <c r="AM233" s="2826"/>
    </row>
    <row r="234" spans="2:41" s="2825" customFormat="1">
      <c r="B234" s="2935"/>
      <c r="D234" s="3161"/>
      <c r="F234" s="3026"/>
      <c r="G234" s="3027"/>
      <c r="H234" s="3027"/>
      <c r="I234" s="3027"/>
      <c r="J234" s="3027"/>
      <c r="K234" s="3027"/>
      <c r="L234" s="3027"/>
      <c r="M234" s="3025"/>
      <c r="N234" s="3026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826"/>
      <c r="AD234" s="2826"/>
      <c r="AE234" s="2826"/>
      <c r="AF234" s="2826"/>
      <c r="AG234" s="2826"/>
      <c r="AH234" s="2826"/>
      <c r="AI234" s="2826"/>
      <c r="AJ234" s="2826"/>
      <c r="AK234" s="2826"/>
      <c r="AL234" s="2826"/>
      <c r="AM234" s="2826"/>
    </row>
    <row r="235" spans="2:41" s="2825" customFormat="1">
      <c r="B235" s="2935"/>
      <c r="D235" s="3161"/>
      <c r="F235" s="3026"/>
      <c r="G235" s="3027"/>
      <c r="H235" s="3027"/>
      <c r="I235" s="3027"/>
      <c r="J235" s="3027"/>
      <c r="K235" s="3027"/>
      <c r="L235" s="3027"/>
      <c r="M235" s="3025"/>
      <c r="N235" s="3026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826"/>
      <c r="AD235" s="2826"/>
      <c r="AE235" s="2826"/>
      <c r="AF235" s="2826"/>
      <c r="AG235" s="2826"/>
      <c r="AH235" s="2826"/>
      <c r="AI235" s="2826"/>
      <c r="AJ235" s="2826"/>
      <c r="AK235" s="2826"/>
      <c r="AL235" s="2826"/>
      <c r="AM235" s="2826"/>
    </row>
    <row r="236" spans="2:41" s="2825" customFormat="1">
      <c r="B236" s="2935"/>
      <c r="D236" s="3161"/>
      <c r="F236" s="3026"/>
      <c r="G236" s="3027"/>
      <c r="H236" s="3027"/>
      <c r="I236" s="3027"/>
      <c r="J236" s="3027"/>
      <c r="K236" s="3027"/>
      <c r="L236" s="3027"/>
      <c r="M236" s="3025"/>
      <c r="N236" s="3026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826"/>
      <c r="AD236" s="2826"/>
      <c r="AE236" s="2826"/>
      <c r="AF236" s="2826"/>
      <c r="AG236" s="2826"/>
      <c r="AH236" s="2826"/>
      <c r="AI236" s="2826"/>
      <c r="AJ236" s="2826"/>
      <c r="AK236" s="2826"/>
      <c r="AL236" s="2826"/>
      <c r="AM236" s="2826"/>
    </row>
    <row r="237" spans="2:41" s="2825" customFormat="1">
      <c r="B237" s="2935"/>
      <c r="D237" s="3161"/>
      <c r="F237" s="3026"/>
      <c r="G237" s="3027"/>
      <c r="H237" s="3027"/>
      <c r="I237" s="3027"/>
      <c r="J237" s="3027"/>
      <c r="K237" s="3027"/>
      <c r="L237" s="3027"/>
      <c r="M237" s="3025"/>
      <c r="N237" s="3026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826"/>
      <c r="AD237" s="2826"/>
      <c r="AE237" s="2826"/>
      <c r="AF237" s="2826"/>
      <c r="AG237" s="2826"/>
      <c r="AH237" s="2826"/>
      <c r="AI237" s="2826"/>
      <c r="AJ237" s="2826"/>
      <c r="AK237" s="2826"/>
      <c r="AL237" s="2826"/>
      <c r="AM237" s="2826"/>
    </row>
    <row r="238" spans="2:41" s="2825" customFormat="1">
      <c r="B238" s="2935"/>
      <c r="D238" s="3161"/>
      <c r="F238" s="3026"/>
      <c r="G238" s="3027"/>
      <c r="H238" s="3027"/>
      <c r="I238" s="3027"/>
      <c r="J238" s="3027"/>
      <c r="K238" s="3027"/>
      <c r="L238" s="3027"/>
      <c r="M238" s="3025"/>
      <c r="N238" s="3026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826"/>
      <c r="AD238" s="2826"/>
      <c r="AE238" s="2826"/>
      <c r="AF238" s="2826"/>
      <c r="AG238" s="2826"/>
      <c r="AH238" s="2826"/>
      <c r="AI238" s="2826"/>
      <c r="AJ238" s="2826"/>
      <c r="AK238" s="2826"/>
      <c r="AL238" s="2826"/>
      <c r="AM238" s="2826"/>
    </row>
    <row r="239" spans="2:41" s="2825" customFormat="1">
      <c r="B239" s="2935"/>
      <c r="D239" s="3161"/>
      <c r="F239" s="3026"/>
      <c r="G239" s="3027"/>
      <c r="H239" s="3027"/>
      <c r="I239" s="3027"/>
      <c r="J239" s="3027"/>
      <c r="K239" s="3027"/>
      <c r="L239" s="3027"/>
      <c r="M239" s="3025"/>
      <c r="N239" s="3026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826"/>
      <c r="AD239" s="2826"/>
      <c r="AE239" s="2826"/>
      <c r="AF239" s="2826"/>
      <c r="AG239" s="2826"/>
      <c r="AH239" s="2826"/>
      <c r="AI239" s="2826"/>
      <c r="AJ239" s="2826"/>
      <c r="AK239" s="2826"/>
      <c r="AL239" s="2826"/>
      <c r="AM239" s="2826"/>
    </row>
    <row r="240" spans="2:41" s="2825" customFormat="1">
      <c r="B240" s="2935"/>
      <c r="D240" s="3161"/>
      <c r="F240" s="3026"/>
      <c r="G240" s="3027"/>
      <c r="H240" s="3027"/>
      <c r="I240" s="3027"/>
      <c r="J240" s="3027"/>
      <c r="K240" s="3027"/>
      <c r="L240" s="3027"/>
      <c r="M240" s="3025"/>
      <c r="N240" s="3026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826"/>
      <c r="AD240" s="2826"/>
      <c r="AE240" s="2826"/>
      <c r="AF240" s="2826"/>
      <c r="AG240" s="2826"/>
      <c r="AH240" s="2826"/>
      <c r="AI240" s="2826"/>
      <c r="AJ240" s="2826"/>
      <c r="AK240" s="2826"/>
      <c r="AL240" s="2826"/>
      <c r="AM240" s="2826"/>
    </row>
    <row r="241" spans="2:39" s="2825" customFormat="1">
      <c r="B241" s="2935"/>
      <c r="D241" s="3161"/>
      <c r="F241" s="3026"/>
      <c r="G241" s="3027"/>
      <c r="H241" s="3027"/>
      <c r="I241" s="3027"/>
      <c r="J241" s="3027"/>
      <c r="K241" s="3027"/>
      <c r="L241" s="3027"/>
      <c r="M241" s="3025"/>
      <c r="N241" s="3026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826"/>
      <c r="AD241" s="2826"/>
      <c r="AE241" s="2826"/>
      <c r="AF241" s="2826"/>
      <c r="AG241" s="2826"/>
      <c r="AH241" s="2826"/>
      <c r="AI241" s="2826"/>
      <c r="AJ241" s="2826"/>
      <c r="AK241" s="2826"/>
      <c r="AL241" s="2826"/>
      <c r="AM241" s="2826"/>
    </row>
    <row r="242" spans="2:39" s="2825" customFormat="1">
      <c r="B242" s="2935"/>
      <c r="D242" s="3161"/>
      <c r="F242" s="3026"/>
      <c r="G242" s="3027"/>
      <c r="H242" s="3027"/>
      <c r="I242" s="3027"/>
      <c r="J242" s="3027"/>
      <c r="K242" s="3027"/>
      <c r="L242" s="3027"/>
      <c r="M242" s="3025"/>
      <c r="N242" s="3026"/>
      <c r="O242" s="141"/>
      <c r="P242" s="141"/>
      <c r="Q242" s="148"/>
      <c r="R242" s="148"/>
      <c r="S242" s="149"/>
      <c r="T242" s="149"/>
      <c r="U242" s="150"/>
      <c r="V242" s="150"/>
      <c r="W242" s="150"/>
      <c r="X242" s="150"/>
      <c r="Y242" s="150"/>
      <c r="Z242" s="150"/>
      <c r="AA242" s="150"/>
      <c r="AC242" s="2826"/>
      <c r="AD242" s="2826"/>
      <c r="AE242" s="2826"/>
      <c r="AF242" s="2826"/>
      <c r="AG242" s="2826"/>
      <c r="AH242" s="2826"/>
      <c r="AI242" s="2826"/>
      <c r="AJ242" s="2826"/>
      <c r="AK242" s="2826"/>
      <c r="AL242" s="2826"/>
      <c r="AM242" s="2826"/>
    </row>
    <row r="243" spans="2:39" s="2825" customFormat="1">
      <c r="B243" s="2935"/>
      <c r="D243" s="3161"/>
      <c r="F243" s="3026"/>
      <c r="G243" s="3027"/>
      <c r="H243" s="3027"/>
      <c r="I243" s="3027"/>
      <c r="J243" s="3027"/>
      <c r="K243" s="3027"/>
      <c r="L243" s="3027"/>
      <c r="M243" s="3025"/>
      <c r="N243" s="3026"/>
      <c r="O243" s="141"/>
      <c r="P243" s="141"/>
      <c r="Q243" s="148"/>
      <c r="R243" s="148"/>
      <c r="S243" s="149"/>
      <c r="T243" s="149"/>
      <c r="U243" s="150"/>
      <c r="V243" s="150"/>
      <c r="W243" s="150"/>
      <c r="X243" s="150"/>
      <c r="Y243" s="150"/>
      <c r="Z243" s="150"/>
      <c r="AA243" s="150"/>
      <c r="AC243" s="2826"/>
      <c r="AD243" s="2826"/>
      <c r="AE243" s="2826"/>
      <c r="AF243" s="2826"/>
      <c r="AG243" s="2826"/>
      <c r="AH243" s="2826"/>
      <c r="AI243" s="2826"/>
      <c r="AJ243" s="2826"/>
      <c r="AK243" s="2826"/>
      <c r="AL243" s="2826"/>
      <c r="AM243" s="2826"/>
    </row>
    <row r="244" spans="2:39" s="2825" customFormat="1">
      <c r="B244" s="2935"/>
      <c r="D244" s="3161"/>
      <c r="F244" s="3026"/>
      <c r="G244" s="3027"/>
      <c r="H244" s="3027"/>
      <c r="I244" s="3027"/>
      <c r="J244" s="3027"/>
      <c r="K244" s="3027"/>
      <c r="L244" s="3027"/>
      <c r="M244" s="3025"/>
      <c r="N244" s="3026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826"/>
      <c r="AD244" s="2826"/>
      <c r="AE244" s="2826"/>
      <c r="AF244" s="2826"/>
      <c r="AG244" s="2826"/>
      <c r="AH244" s="2826"/>
      <c r="AI244" s="2826"/>
      <c r="AJ244" s="2826"/>
      <c r="AK244" s="2826"/>
      <c r="AL244" s="2826"/>
      <c r="AM244" s="2826"/>
    </row>
    <row r="245" spans="2:39" s="2825" customFormat="1">
      <c r="B245" s="2935"/>
      <c r="D245" s="3161"/>
      <c r="F245" s="3026"/>
      <c r="G245" s="3027"/>
      <c r="H245" s="3027"/>
      <c r="I245" s="3027"/>
      <c r="J245" s="3027"/>
      <c r="K245" s="3027"/>
      <c r="L245" s="3027"/>
      <c r="M245" s="3025"/>
      <c r="N245" s="3026"/>
      <c r="O245" s="141"/>
      <c r="P245" s="141"/>
      <c r="Q245" s="148"/>
      <c r="R245" s="148"/>
      <c r="S245" s="149"/>
      <c r="T245" s="149"/>
      <c r="U245" s="150"/>
      <c r="V245" s="150"/>
      <c r="W245" s="150"/>
      <c r="X245" s="150"/>
      <c r="Y245" s="150"/>
      <c r="Z245" s="150"/>
      <c r="AA245" s="150"/>
      <c r="AC245" s="2826"/>
      <c r="AD245" s="2826"/>
      <c r="AE245" s="2826"/>
      <c r="AF245" s="2826"/>
      <c r="AG245" s="2826"/>
      <c r="AH245" s="2826"/>
      <c r="AI245" s="2826"/>
      <c r="AJ245" s="2826"/>
      <c r="AK245" s="2826"/>
      <c r="AL245" s="2826"/>
      <c r="AM245" s="2826"/>
    </row>
    <row r="246" spans="2:39" s="2825" customFormat="1">
      <c r="B246" s="2935"/>
      <c r="D246" s="3161"/>
      <c r="F246" s="3026"/>
      <c r="G246" s="3027"/>
      <c r="H246" s="3027"/>
      <c r="I246" s="3027"/>
      <c r="J246" s="3027"/>
      <c r="K246" s="3027"/>
      <c r="L246" s="3027"/>
      <c r="M246" s="3025"/>
      <c r="N246" s="3026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826"/>
      <c r="AD246" s="2826"/>
      <c r="AE246" s="2826"/>
      <c r="AF246" s="2826"/>
      <c r="AG246" s="2826"/>
      <c r="AH246" s="2826"/>
      <c r="AI246" s="2826"/>
      <c r="AJ246" s="2826"/>
      <c r="AK246" s="2826"/>
      <c r="AL246" s="2826"/>
      <c r="AM246" s="2826"/>
    </row>
    <row r="247" spans="2:39" s="2825" customFormat="1">
      <c r="B247" s="2935"/>
      <c r="D247" s="3161"/>
      <c r="F247" s="3026"/>
      <c r="G247" s="3027"/>
      <c r="H247" s="3027"/>
      <c r="I247" s="3027"/>
      <c r="J247" s="3027"/>
      <c r="K247" s="3027"/>
      <c r="L247" s="3027"/>
      <c r="M247" s="3025"/>
      <c r="N247" s="3026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826"/>
      <c r="AD247" s="2826"/>
      <c r="AE247" s="2826"/>
      <c r="AF247" s="2826"/>
      <c r="AG247" s="2826"/>
      <c r="AH247" s="2826"/>
      <c r="AI247" s="2826"/>
      <c r="AJ247" s="2826"/>
      <c r="AK247" s="2826"/>
      <c r="AL247" s="2826"/>
      <c r="AM247" s="2826"/>
    </row>
    <row r="248" spans="2:39" s="2825" customFormat="1">
      <c r="B248" s="2935"/>
      <c r="D248" s="3161"/>
      <c r="F248" s="3026"/>
      <c r="G248" s="3027"/>
      <c r="H248" s="3027"/>
      <c r="I248" s="3027"/>
      <c r="J248" s="3027"/>
      <c r="K248" s="3027"/>
      <c r="L248" s="3027"/>
      <c r="M248" s="3025"/>
      <c r="N248" s="3026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826"/>
      <c r="AD248" s="2826"/>
      <c r="AE248" s="2826"/>
      <c r="AF248" s="2826"/>
      <c r="AG248" s="2826"/>
      <c r="AH248" s="2826"/>
      <c r="AI248" s="2826"/>
      <c r="AJ248" s="2826"/>
      <c r="AK248" s="2826"/>
      <c r="AL248" s="2826"/>
      <c r="AM248" s="2826"/>
    </row>
    <row r="249" spans="2:39" s="2825" customFormat="1">
      <c r="B249" s="2935"/>
      <c r="D249" s="3161"/>
      <c r="F249" s="3026"/>
      <c r="G249" s="3027"/>
      <c r="H249" s="3027"/>
      <c r="I249" s="3027"/>
      <c r="J249" s="3027"/>
      <c r="K249" s="3027"/>
      <c r="L249" s="3027"/>
      <c r="M249" s="3025"/>
      <c r="N249" s="3026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826"/>
      <c r="AD249" s="2826"/>
      <c r="AE249" s="2826"/>
      <c r="AF249" s="2826"/>
      <c r="AG249" s="2826"/>
      <c r="AH249" s="2826"/>
      <c r="AI249" s="2826"/>
      <c r="AJ249" s="2826"/>
      <c r="AK249" s="2826"/>
      <c r="AL249" s="2826"/>
      <c r="AM249" s="2826"/>
    </row>
    <row r="250" spans="2:39" s="2825" customFormat="1">
      <c r="B250" s="2935"/>
      <c r="D250" s="3161"/>
      <c r="F250" s="3026"/>
      <c r="G250" s="3027"/>
      <c r="H250" s="3027"/>
      <c r="I250" s="3027"/>
      <c r="J250" s="3027"/>
      <c r="K250" s="3027"/>
      <c r="L250" s="3027"/>
      <c r="M250" s="3025"/>
      <c r="N250" s="3026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826"/>
      <c r="AD250" s="2826"/>
      <c r="AE250" s="2826"/>
      <c r="AF250" s="2826"/>
      <c r="AG250" s="2826"/>
      <c r="AH250" s="2826"/>
      <c r="AI250" s="2826"/>
      <c r="AJ250" s="2826"/>
      <c r="AK250" s="2826"/>
      <c r="AL250" s="2826"/>
      <c r="AM250" s="2826"/>
    </row>
    <row r="251" spans="2:39" s="2825" customFormat="1">
      <c r="B251" s="2935"/>
      <c r="D251" s="3161"/>
      <c r="F251" s="3026"/>
      <c r="G251" s="3027"/>
      <c r="H251" s="3027"/>
      <c r="I251" s="3027"/>
      <c r="J251" s="3027"/>
      <c r="K251" s="3027"/>
      <c r="L251" s="3027"/>
      <c r="M251" s="3025"/>
      <c r="N251" s="3026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826"/>
      <c r="AD251" s="2826"/>
      <c r="AE251" s="2826"/>
      <c r="AF251" s="2826"/>
      <c r="AG251" s="2826"/>
      <c r="AH251" s="2826"/>
      <c r="AI251" s="2826"/>
      <c r="AJ251" s="2826"/>
      <c r="AK251" s="2826"/>
      <c r="AL251" s="2826"/>
      <c r="AM251" s="2826"/>
    </row>
    <row r="252" spans="2:39" s="2825" customFormat="1">
      <c r="B252" s="2935"/>
      <c r="D252" s="3161"/>
      <c r="F252" s="3026"/>
      <c r="G252" s="3027"/>
      <c r="H252" s="3027"/>
      <c r="I252" s="3027"/>
      <c r="J252" s="3027"/>
      <c r="K252" s="3027"/>
      <c r="L252" s="3027"/>
      <c r="M252" s="3025"/>
      <c r="N252" s="3026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826"/>
      <c r="AD252" s="2826"/>
      <c r="AE252" s="2826"/>
      <c r="AF252" s="2826"/>
      <c r="AG252" s="2826"/>
      <c r="AH252" s="2826"/>
      <c r="AI252" s="2826"/>
      <c r="AJ252" s="2826"/>
      <c r="AK252" s="2826"/>
      <c r="AL252" s="2826"/>
      <c r="AM252" s="2826"/>
    </row>
    <row r="253" spans="2:39" s="2825" customFormat="1">
      <c r="B253" s="2935"/>
      <c r="D253" s="3161"/>
      <c r="F253" s="3026"/>
      <c r="G253" s="3027"/>
      <c r="H253" s="3027"/>
      <c r="I253" s="3027"/>
      <c r="J253" s="3027"/>
      <c r="K253" s="3027"/>
      <c r="L253" s="3027"/>
      <c r="M253" s="3025"/>
      <c r="N253" s="3026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826"/>
      <c r="AD253" s="2826"/>
      <c r="AE253" s="2826"/>
      <c r="AF253" s="2826"/>
      <c r="AG253" s="2826"/>
      <c r="AH253" s="2826"/>
      <c r="AI253" s="2826"/>
      <c r="AJ253" s="2826"/>
      <c r="AK253" s="2826"/>
      <c r="AL253" s="2826"/>
      <c r="AM253" s="2826"/>
    </row>
    <row r="254" spans="2:39" s="2825" customFormat="1">
      <c r="B254" s="2935"/>
      <c r="D254" s="3161"/>
      <c r="F254" s="3026"/>
      <c r="G254" s="3027"/>
      <c r="H254" s="3027"/>
      <c r="I254" s="3027"/>
      <c r="J254" s="3027"/>
      <c r="K254" s="3027"/>
      <c r="L254" s="3027"/>
      <c r="M254" s="3025"/>
      <c r="N254" s="3026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826"/>
      <c r="AD254" s="2826"/>
      <c r="AE254" s="2826"/>
      <c r="AF254" s="2826"/>
      <c r="AG254" s="2826"/>
      <c r="AH254" s="2826"/>
      <c r="AI254" s="2826"/>
      <c r="AJ254" s="2826"/>
      <c r="AK254" s="2826"/>
      <c r="AL254" s="2826"/>
      <c r="AM254" s="2826"/>
    </row>
    <row r="255" spans="2:39" s="2825" customFormat="1">
      <c r="B255" s="2935"/>
      <c r="D255" s="3161"/>
      <c r="F255" s="3026"/>
      <c r="G255" s="3027"/>
      <c r="H255" s="3027"/>
      <c r="I255" s="3027"/>
      <c r="J255" s="3027"/>
      <c r="K255" s="3027"/>
      <c r="L255" s="3027"/>
      <c r="M255" s="3025"/>
      <c r="N255" s="3026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826"/>
      <c r="AD255" s="2826"/>
      <c r="AE255" s="2826"/>
      <c r="AF255" s="2826"/>
      <c r="AG255" s="2826"/>
      <c r="AH255" s="2826"/>
      <c r="AI255" s="2826"/>
      <c r="AJ255" s="2826"/>
      <c r="AK255" s="2826"/>
      <c r="AL255" s="2826"/>
      <c r="AM255" s="2826"/>
    </row>
    <row r="256" spans="2:39" s="2825" customFormat="1">
      <c r="B256" s="2935"/>
      <c r="D256" s="3161"/>
      <c r="F256" s="3026"/>
      <c r="G256" s="3027"/>
      <c r="H256" s="3027"/>
      <c r="I256" s="3027"/>
      <c r="J256" s="3027"/>
      <c r="K256" s="3027"/>
      <c r="L256" s="3027"/>
      <c r="M256" s="3025"/>
      <c r="N256" s="3026"/>
      <c r="O256" s="141"/>
      <c r="P256" s="141"/>
      <c r="Q256" s="148"/>
      <c r="R256" s="148"/>
      <c r="S256" s="149"/>
      <c r="T256" s="149"/>
      <c r="U256" s="150"/>
      <c r="V256" s="150"/>
      <c r="W256" s="150"/>
      <c r="X256" s="150"/>
      <c r="Y256" s="150"/>
      <c r="Z256" s="150"/>
      <c r="AA256" s="150"/>
      <c r="AC256" s="2826"/>
      <c r="AD256" s="2826"/>
      <c r="AE256" s="2826"/>
      <c r="AF256" s="2826"/>
      <c r="AG256" s="2826"/>
      <c r="AH256" s="2826"/>
      <c r="AI256" s="2826"/>
      <c r="AJ256" s="2826"/>
      <c r="AK256" s="2826"/>
      <c r="AL256" s="2826"/>
      <c r="AM256" s="2826"/>
    </row>
    <row r="257" spans="1:40" s="2825" customFormat="1">
      <c r="B257" s="2935"/>
      <c r="D257" s="3161"/>
      <c r="F257" s="3026"/>
      <c r="G257" s="3027"/>
      <c r="H257" s="3027"/>
      <c r="I257" s="3027"/>
      <c r="J257" s="3027"/>
      <c r="K257" s="3027"/>
      <c r="L257" s="3027"/>
      <c r="M257" s="3025"/>
      <c r="N257" s="3026"/>
      <c r="O257" s="141"/>
      <c r="P257" s="141"/>
      <c r="Q257" s="148"/>
      <c r="R257" s="148"/>
      <c r="S257" s="149"/>
      <c r="T257" s="149"/>
      <c r="U257" s="150"/>
      <c r="V257" s="150"/>
      <c r="W257" s="150"/>
      <c r="X257" s="150"/>
      <c r="Y257" s="150"/>
      <c r="Z257" s="150"/>
      <c r="AA257" s="150"/>
      <c r="AC257" s="2826"/>
      <c r="AD257" s="2826"/>
      <c r="AE257" s="2826"/>
      <c r="AF257" s="2826"/>
      <c r="AG257" s="2826"/>
      <c r="AH257" s="2826"/>
      <c r="AI257" s="2826"/>
      <c r="AJ257" s="2826"/>
      <c r="AK257" s="2826"/>
      <c r="AL257" s="2826"/>
      <c r="AM257" s="2826"/>
    </row>
    <row r="258" spans="1:40" s="2825" customFormat="1">
      <c r="B258" s="2935"/>
      <c r="D258" s="3161"/>
      <c r="F258" s="3026"/>
      <c r="G258" s="3027"/>
      <c r="H258" s="3027"/>
      <c r="I258" s="3027"/>
      <c r="J258" s="3027"/>
      <c r="K258" s="3027"/>
      <c r="L258" s="3027"/>
      <c r="M258" s="3025"/>
      <c r="N258" s="3026"/>
      <c r="O258" s="141"/>
      <c r="P258" s="141"/>
      <c r="Q258" s="148"/>
      <c r="R258" s="148"/>
      <c r="S258" s="149"/>
      <c r="T258" s="149"/>
      <c r="U258" s="150"/>
      <c r="V258" s="150"/>
      <c r="W258" s="150"/>
      <c r="X258" s="150"/>
      <c r="Y258" s="150"/>
      <c r="Z258" s="150"/>
      <c r="AA258" s="150"/>
      <c r="AC258" s="2826"/>
      <c r="AD258" s="2826"/>
      <c r="AE258" s="2826"/>
      <c r="AF258" s="2826"/>
      <c r="AG258" s="2826"/>
      <c r="AH258" s="2826"/>
      <c r="AI258" s="2826"/>
      <c r="AJ258" s="2826"/>
      <c r="AK258" s="2826"/>
      <c r="AL258" s="2826"/>
      <c r="AM258" s="2826"/>
    </row>
    <row r="259" spans="1:40">
      <c r="A259" s="1"/>
      <c r="O259" s="155"/>
      <c r="P259" s="155"/>
      <c r="Q259" s="1131"/>
      <c r="R259" s="1131"/>
      <c r="S259" s="251"/>
      <c r="T259" s="251"/>
      <c r="U259" s="1132"/>
      <c r="V259" s="1132"/>
      <c r="W259" s="1132"/>
      <c r="X259" s="1132"/>
      <c r="Y259" s="1132"/>
      <c r="Z259" s="1132"/>
      <c r="AA259" s="1132"/>
      <c r="AN259" s="1"/>
    </row>
    <row r="260" spans="1:40">
      <c r="A260" s="1"/>
      <c r="O260" s="155"/>
      <c r="P260" s="155"/>
      <c r="Q260" s="1131"/>
      <c r="R260" s="1131"/>
      <c r="S260" s="251"/>
      <c r="T260" s="251"/>
      <c r="U260" s="1132"/>
      <c r="V260" s="1132"/>
      <c r="W260" s="1132"/>
      <c r="X260" s="1132"/>
      <c r="Y260" s="1132"/>
      <c r="Z260" s="1132"/>
      <c r="AA260" s="1132"/>
      <c r="AN260" s="1"/>
    </row>
    <row r="261" spans="1:40">
      <c r="A261" s="1"/>
      <c r="O261" s="155"/>
      <c r="P261" s="155"/>
      <c r="Q261" s="1131"/>
      <c r="R261" s="1131"/>
      <c r="S261" s="251"/>
      <c r="T261" s="251"/>
      <c r="U261" s="1132"/>
      <c r="V261" s="1132"/>
      <c r="W261" s="1132"/>
      <c r="X261" s="1132"/>
      <c r="Y261" s="1132"/>
      <c r="Z261" s="1132"/>
      <c r="AA261" s="1132"/>
      <c r="AN261" s="1"/>
    </row>
    <row r="262" spans="1:40">
      <c r="A262" s="1"/>
      <c r="O262" s="155"/>
      <c r="P262" s="155"/>
      <c r="Q262" s="1131"/>
      <c r="R262" s="1131"/>
      <c r="S262" s="251"/>
      <c r="T262" s="251"/>
      <c r="U262" s="1132"/>
      <c r="V262" s="1132"/>
      <c r="W262" s="1132"/>
      <c r="X262" s="1132"/>
      <c r="Y262" s="1132"/>
      <c r="Z262" s="1132"/>
      <c r="AA262" s="1132"/>
      <c r="AN262" s="1"/>
    </row>
    <row r="263" spans="1:40">
      <c r="A263" s="1"/>
      <c r="O263" s="155"/>
      <c r="P263" s="155"/>
      <c r="Q263" s="1131"/>
      <c r="R263" s="1131"/>
      <c r="S263" s="251"/>
      <c r="T263" s="251"/>
      <c r="U263" s="1132"/>
      <c r="V263" s="1132"/>
      <c r="W263" s="1132"/>
      <c r="X263" s="1132"/>
      <c r="Y263" s="1132"/>
      <c r="Z263" s="1132"/>
      <c r="AA263" s="1132"/>
      <c r="AN263" s="1"/>
    </row>
    <row r="264" spans="1:40">
      <c r="A264" s="1"/>
      <c r="O264" s="155"/>
      <c r="P264" s="155"/>
      <c r="Q264" s="1131"/>
      <c r="R264" s="1131"/>
      <c r="S264" s="251"/>
      <c r="T264" s="251"/>
      <c r="U264" s="1132"/>
      <c r="V264" s="1132"/>
      <c r="W264" s="1132"/>
      <c r="X264" s="1132"/>
      <c r="Y264" s="1132"/>
      <c r="Z264" s="1132"/>
      <c r="AA264" s="1132"/>
      <c r="AN264" s="1"/>
    </row>
    <row r="265" spans="1:40">
      <c r="A265" s="1"/>
      <c r="O265" s="155"/>
      <c r="P265" s="155"/>
      <c r="Q265" s="1131"/>
      <c r="R265" s="1131"/>
      <c r="S265" s="251"/>
      <c r="T265" s="251"/>
      <c r="U265" s="1132"/>
      <c r="V265" s="1132"/>
      <c r="W265" s="1132"/>
      <c r="X265" s="1132"/>
      <c r="Y265" s="1132"/>
      <c r="Z265" s="1132"/>
      <c r="AA265" s="1132"/>
      <c r="AN265" s="1"/>
    </row>
    <row r="266" spans="1:40">
      <c r="A266" s="1"/>
      <c r="O266" s="155"/>
      <c r="P266" s="155"/>
      <c r="Q266" s="1131"/>
      <c r="R266" s="1131"/>
      <c r="S266" s="251"/>
      <c r="T266" s="251"/>
      <c r="U266" s="1132"/>
      <c r="V266" s="1132"/>
      <c r="W266" s="1132"/>
      <c r="X266" s="1132"/>
      <c r="Y266" s="1132"/>
      <c r="Z266" s="1132"/>
      <c r="AA266" s="1132"/>
      <c r="AN266" s="1"/>
    </row>
    <row r="267" spans="1:40">
      <c r="A267" s="1"/>
      <c r="O267" s="155"/>
      <c r="P267" s="155"/>
      <c r="Q267" s="1131"/>
      <c r="R267" s="1131"/>
      <c r="S267" s="251"/>
      <c r="T267" s="251"/>
      <c r="U267" s="1132"/>
      <c r="V267" s="1132"/>
      <c r="W267" s="1132"/>
      <c r="X267" s="1132"/>
      <c r="Y267" s="1132"/>
      <c r="Z267" s="1132"/>
      <c r="AA267" s="1132"/>
      <c r="AN267" s="1"/>
    </row>
    <row r="268" spans="1:40">
      <c r="A268" s="1"/>
      <c r="O268" s="155"/>
      <c r="P268" s="155"/>
      <c r="Q268" s="1131"/>
      <c r="R268" s="1131"/>
      <c r="S268" s="251"/>
      <c r="T268" s="251"/>
      <c r="U268" s="1132"/>
      <c r="V268" s="1132"/>
      <c r="W268" s="1132"/>
      <c r="X268" s="1132"/>
      <c r="Y268" s="1132"/>
      <c r="Z268" s="1132"/>
      <c r="AA268" s="1132"/>
      <c r="AN268" s="1"/>
    </row>
    <row r="269" spans="1:40">
      <c r="A269" s="1"/>
      <c r="O269" s="155"/>
      <c r="P269" s="155"/>
      <c r="Q269" s="1131"/>
      <c r="R269" s="1131"/>
      <c r="S269" s="251"/>
      <c r="T269" s="251"/>
      <c r="U269" s="1132"/>
      <c r="V269" s="1132"/>
      <c r="W269" s="1132"/>
      <c r="X269" s="1132"/>
      <c r="Y269" s="1132"/>
      <c r="Z269" s="1132"/>
      <c r="AA269" s="1132"/>
      <c r="AN269" s="1"/>
    </row>
    <row r="270" spans="1:40">
      <c r="A270" s="1"/>
      <c r="O270" s="155"/>
      <c r="P270" s="155"/>
      <c r="Q270" s="1131"/>
      <c r="R270" s="1131"/>
      <c r="S270" s="251"/>
      <c r="T270" s="251"/>
      <c r="U270" s="1132"/>
      <c r="V270" s="1132"/>
      <c r="W270" s="1132"/>
      <c r="X270" s="1132"/>
      <c r="Y270" s="1132"/>
      <c r="Z270" s="1132"/>
      <c r="AA270" s="1132"/>
      <c r="AN270" s="1"/>
    </row>
    <row r="271" spans="1:40">
      <c r="A271" s="1"/>
      <c r="O271" s="155"/>
      <c r="P271" s="155"/>
      <c r="Q271" s="1131"/>
      <c r="R271" s="1131"/>
      <c r="S271" s="251"/>
      <c r="T271" s="251"/>
      <c r="U271" s="1132"/>
      <c r="V271" s="1132"/>
      <c r="W271" s="1132"/>
      <c r="X271" s="1132"/>
      <c r="Y271" s="1132"/>
      <c r="Z271" s="1132"/>
      <c r="AA271" s="1132"/>
      <c r="AN271" s="1"/>
    </row>
    <row r="272" spans="1:40">
      <c r="A272" s="1"/>
      <c r="B272" s="1"/>
      <c r="D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>
      <c r="A273" s="1"/>
      <c r="B273" s="1"/>
      <c r="D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>
      <c r="A274" s="1"/>
      <c r="B274" s="1"/>
      <c r="D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>
      <c r="A275" s="1"/>
      <c r="B275" s="1"/>
      <c r="D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>
      <c r="A276" s="1"/>
      <c r="B276" s="1"/>
      <c r="D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>
      <c r="A277" s="1"/>
      <c r="B277" s="1"/>
      <c r="D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>
      <c r="A278" s="1"/>
      <c r="B278" s="1"/>
      <c r="D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>
      <c r="A279" s="1"/>
      <c r="B279" s="1"/>
      <c r="D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>
      <c r="A280" s="1"/>
      <c r="B280" s="1"/>
      <c r="D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>
      <c r="A281" s="1"/>
      <c r="B281" s="1"/>
      <c r="D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>
      <c r="A282" s="1"/>
      <c r="B282" s="1"/>
      <c r="D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>
      <c r="A283" s="1"/>
      <c r="B283" s="1"/>
      <c r="D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>
      <c r="A284" s="1"/>
      <c r="B284" s="1"/>
      <c r="D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>
      <c r="A285" s="1"/>
      <c r="B285" s="1"/>
      <c r="D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>
      <c r="A286" s="1"/>
      <c r="B286" s="1"/>
      <c r="D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>
      <c r="A287" s="1"/>
      <c r="B287" s="1"/>
      <c r="D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>
      <c r="A288" s="1"/>
      <c r="B288" s="1"/>
      <c r="D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>
      <c r="A289" s="1"/>
      <c r="B289" s="1"/>
      <c r="D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>
      <c r="A290" s="1"/>
      <c r="B290" s="1"/>
      <c r="D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>
      <c r="A291" s="1"/>
      <c r="B291" s="1"/>
      <c r="D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>
      <c r="A292" s="1"/>
      <c r="B292" s="1"/>
      <c r="D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>
      <c r="A293" s="1"/>
      <c r="B293" s="1"/>
      <c r="D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>
      <c r="A294" s="1"/>
      <c r="B294" s="1"/>
      <c r="D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>
      <c r="A295" s="1"/>
      <c r="B295" s="1"/>
      <c r="D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>
      <c r="A296" s="1"/>
      <c r="B296" s="1"/>
      <c r="D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>
      <c r="A297" s="1"/>
      <c r="B297" s="1"/>
      <c r="D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>
      <c r="A298" s="1"/>
      <c r="B298" s="1"/>
      <c r="D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>
      <c r="A299" s="1"/>
      <c r="B299" s="1"/>
      <c r="D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>
      <c r="A300" s="1"/>
      <c r="B300" s="1"/>
      <c r="D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>
      <c r="A301" s="1"/>
      <c r="B301" s="1"/>
      <c r="D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>
      <c r="A302" s="1"/>
      <c r="B302" s="1"/>
      <c r="D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</sheetData>
  <conditionalFormatting sqref="F49:K49 D49">
    <cfRule type="cellIs" dxfId="48" priority="2" stopIfTrue="1" operator="equal">
      <formula>1</formula>
    </cfRule>
  </conditionalFormatting>
  <conditionalFormatting sqref="E49">
    <cfRule type="cellIs" dxfId="47" priority="1" stopIfTrue="1" operator="equal">
      <formula>1</formula>
    </cfRule>
  </conditionalFormatting>
  <printOptions horizontalCentered="1" verticalCentered="1"/>
  <pageMargins left="0" right="0" top="0.55118110236220474" bottom="0.39370078740157483" header="0.31496062992125984" footer="0"/>
  <pageSetup paperSize="9" scale="110" orientation="landscape" horizontalDpi="0" verticalDpi="0"/>
  <headerFooter>
    <oddHeader>&amp;L&amp;K000000                          PEPE ALONSO&amp;C&amp;K000000Página &amp;P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EF6DC-B418-8F4D-BB04-20278F60883E}">
  <sheetPr codeName="Hoja67"/>
  <dimension ref="A1:AO254"/>
  <sheetViews>
    <sheetView topLeftCell="A36" zoomScale="200" zoomScaleNormal="200" workbookViewId="0">
      <selection activeCell="K39" sqref="K39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33203125" style="204" customWidth="1"/>
    <col min="4" max="4" width="0.83203125" style="902" customWidth="1"/>
    <col min="5" max="5" width="2.6640625" style="204" customWidth="1"/>
    <col min="6" max="6" width="3.33203125" style="207" customWidth="1"/>
    <col min="7" max="7" width="4.6640625" style="208" customWidth="1"/>
    <col min="8" max="8" width="10.1640625" style="208" customWidth="1"/>
    <col min="9" max="10" width="7.33203125" style="208" customWidth="1"/>
    <col min="11" max="11" width="32.6640625" style="208" customWidth="1"/>
    <col min="12" max="12" width="9.1640625" style="208" customWidth="1"/>
    <col min="13" max="13" width="1" style="449" customWidth="1"/>
    <col min="14" max="14" width="7.83203125" style="207" customWidth="1"/>
    <col min="15" max="15" width="0.83203125" style="208" customWidth="1"/>
    <col min="16" max="16" width="8.33203125" style="208" customWidth="1"/>
    <col min="17" max="17" width="5.6640625" style="209" customWidth="1"/>
    <col min="18" max="18" width="6.83203125" style="209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2" customHeight="1"/>
    <row r="2" spans="1:40" ht="20" customHeight="1" thickBot="1">
      <c r="A2" s="2746" t="s">
        <v>344</v>
      </c>
      <c r="B2" s="2746"/>
      <c r="C2" s="2746"/>
      <c r="D2" s="2746"/>
      <c r="E2" s="2746"/>
      <c r="F2" s="1873"/>
      <c r="G2" s="1874"/>
      <c r="H2" s="1874"/>
      <c r="I2" s="1874"/>
      <c r="J2" s="4177" t="s">
        <v>2211</v>
      </c>
      <c r="K2" s="4178">
        <v>44746</v>
      </c>
      <c r="L2" s="4177" t="s">
        <v>2212</v>
      </c>
      <c r="M2" s="4179"/>
      <c r="N2" s="4180"/>
      <c r="O2" s="4181"/>
      <c r="P2" s="4181"/>
      <c r="Q2" s="4182"/>
      <c r="R2" s="4182"/>
      <c r="U2" s="218" t="s">
        <v>345</v>
      </c>
      <c r="AI2" s="213"/>
      <c r="AJ2" s="213"/>
      <c r="AK2" s="213"/>
      <c r="AL2" s="213"/>
      <c r="AM2" s="213"/>
    </row>
    <row r="3" spans="1:40" s="223" customFormat="1" ht="72.75" customHeight="1" thickTop="1" thickBot="1">
      <c r="A3" s="2747" t="s">
        <v>346</v>
      </c>
      <c r="B3" s="2748" t="s">
        <v>347</v>
      </c>
      <c r="C3" s="2749" t="s">
        <v>348</v>
      </c>
      <c r="D3" s="2750"/>
      <c r="E3" s="4183" t="s">
        <v>1892</v>
      </c>
      <c r="F3" s="2752" t="s">
        <v>350</v>
      </c>
      <c r="G3" s="2753" t="s">
        <v>351</v>
      </c>
      <c r="H3" s="2753" t="s">
        <v>624</v>
      </c>
      <c r="I3" s="2753" t="s">
        <v>352</v>
      </c>
      <c r="J3" s="2752" t="s">
        <v>353</v>
      </c>
      <c r="K3" s="2753" t="s">
        <v>354</v>
      </c>
      <c r="L3" s="2753"/>
      <c r="M3" s="2754" t="s">
        <v>355</v>
      </c>
      <c r="N3" s="2753" t="s">
        <v>445</v>
      </c>
      <c r="O3" s="2751" t="s">
        <v>446</v>
      </c>
      <c r="P3" s="2751" t="s">
        <v>447</v>
      </c>
      <c r="Q3" s="2755" t="s">
        <v>448</v>
      </c>
      <c r="R3" s="27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3" customFormat="1" ht="12.75" customHeight="1" thickBot="1">
      <c r="A4" s="2757"/>
      <c r="B4" s="2758"/>
      <c r="C4" s="2759"/>
      <c r="D4" s="2760"/>
      <c r="E4" s="2760"/>
      <c r="F4" s="2760"/>
      <c r="G4" s="2760"/>
      <c r="H4" s="2760"/>
      <c r="I4" s="2760"/>
      <c r="J4" s="2760"/>
      <c r="K4" s="2760"/>
      <c r="L4" s="2760"/>
      <c r="M4" s="4184"/>
      <c r="N4" s="2760"/>
      <c r="O4" s="2760"/>
      <c r="P4" s="2760"/>
      <c r="Q4" s="2761"/>
      <c r="R4" s="4185"/>
      <c r="S4" s="919"/>
      <c r="T4" s="919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0"/>
      <c r="AC4" s="221"/>
      <c r="AD4" s="222"/>
      <c r="AE4" s="222"/>
      <c r="AF4" s="222"/>
      <c r="AG4" s="222"/>
      <c r="AH4" s="222"/>
      <c r="AI4" s="220"/>
      <c r="AJ4" s="220"/>
      <c r="AK4" s="220"/>
      <c r="AL4" s="220"/>
      <c r="AM4" s="220"/>
      <c r="AN4" s="220"/>
    </row>
    <row r="5" spans="1:40" s="228" customFormat="1" ht="3.75" customHeight="1" thickBot="1">
      <c r="A5" s="2762"/>
      <c r="B5" s="2763"/>
      <c r="C5" s="2764"/>
      <c r="D5" s="2765"/>
      <c r="E5" s="2766"/>
      <c r="F5" s="2767"/>
      <c r="G5" s="2768"/>
      <c r="H5" s="2768"/>
      <c r="I5" s="2768"/>
      <c r="J5" s="2767"/>
      <c r="K5" s="2768"/>
      <c r="L5" s="2768"/>
      <c r="M5" s="2769"/>
      <c r="N5" s="4186"/>
      <c r="O5" s="2766"/>
      <c r="P5" s="2766"/>
      <c r="Q5" s="2766"/>
      <c r="R5" s="2770"/>
      <c r="S5" s="224"/>
      <c r="T5" s="224"/>
      <c r="U5" s="111">
        <f>U4/4</f>
        <v>2.2880964381720439E-4</v>
      </c>
      <c r="V5" s="111">
        <f t="shared" ref="V5:AA5" si="0">V4/4</f>
        <v>2.1908757716049393E-4</v>
      </c>
      <c r="W5" s="111">
        <f t="shared" si="0"/>
        <v>2.1222190799396687E-4</v>
      </c>
      <c r="X5" s="111">
        <f t="shared" si="0"/>
        <v>2.0247664488766629E-4</v>
      </c>
      <c r="Y5" s="111">
        <f t="shared" si="0"/>
        <v>1.8933937422552669E-4</v>
      </c>
      <c r="Z5" s="111">
        <f t="shared" si="0"/>
        <v>1.8229166666666673E-4</v>
      </c>
      <c r="AA5" s="111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ht="15" thickTop="1" thickBot="1">
      <c r="A6" s="4187" t="s">
        <v>214</v>
      </c>
      <c r="B6" s="4214" t="s">
        <v>461</v>
      </c>
      <c r="C6" s="2256">
        <f t="shared" ref="C6:C62" si="1">IF(D6=1,U$5,IF(D6=2,V$5,IF(D6=3,W$5,IF(D6=4,X$5,IF(D6=5,Y$5,IF(D6=6,Z$5,IF(D6=7,AA$5,0)))))))</f>
        <v>2.2880964381720439E-4</v>
      </c>
      <c r="D6" s="1883">
        <v>1</v>
      </c>
      <c r="E6" s="2772">
        <v>1</v>
      </c>
      <c r="F6" s="2772">
        <v>1</v>
      </c>
      <c r="G6" s="2772">
        <v>200</v>
      </c>
      <c r="H6" s="4189"/>
      <c r="I6" s="4189">
        <v>0</v>
      </c>
      <c r="J6" s="4189">
        <v>1.1574074074074073E-4</v>
      </c>
      <c r="K6" s="4190" t="s">
        <v>1531</v>
      </c>
      <c r="L6" s="4191">
        <v>0.63194444444444442</v>
      </c>
      <c r="M6" s="4192" t="s">
        <v>1122</v>
      </c>
      <c r="N6" s="4189">
        <v>2.2453703703703702E-3</v>
      </c>
      <c r="O6" s="4193"/>
      <c r="P6" s="4193">
        <v>2.1296296296296298E-3</v>
      </c>
      <c r="Q6" s="4194">
        <v>129</v>
      </c>
      <c r="R6" s="4195">
        <v>200</v>
      </c>
      <c r="S6" s="229">
        <f>E6*F6*G6/1000</f>
        <v>0.2</v>
      </c>
      <c r="T6" s="230">
        <f>E6*F6*O6*4</f>
        <v>0</v>
      </c>
      <c r="U6" s="374">
        <f t="shared" ref="U6" si="2">IF(C6*4&gt;=$U$4,S6,0)</f>
        <v>0.2</v>
      </c>
      <c r="V6" s="375">
        <f t="shared" ref="V6" si="3">IF(AND(C6*4&gt;=$V$4,C6*4&lt;$U$4),S6,0)</f>
        <v>0</v>
      </c>
      <c r="W6" s="376">
        <f t="shared" ref="W6" si="4">IF(AND(C6*4&gt;=$W$4,C6*4&lt;$V$4),S6,0)</f>
        <v>0</v>
      </c>
      <c r="X6" s="377">
        <f t="shared" ref="X6" si="5">IF(AND(C6*4&gt;=$X$4,C6*4&lt;$W$4),S6,0)</f>
        <v>0</v>
      </c>
      <c r="Y6" s="378">
        <f t="shared" ref="Y6" si="6">IF(AND(C6*4&gt;=$Y$4,C6*4&lt;$X$4),S6,0)</f>
        <v>0</v>
      </c>
      <c r="Z6" s="379">
        <f t="shared" ref="Z6" si="7">IF(AND(C6*4&gt;=$Z$4,C6*4&lt;$Y$4),S6,0)</f>
        <v>0</v>
      </c>
      <c r="AA6" s="380">
        <f t="shared" ref="AA6" si="8">IF(AND(C6*4&gt;=$AA$4,C6*4&lt;$Z$4),S6,0)</f>
        <v>0</v>
      </c>
      <c r="AC6" s="231"/>
      <c r="AD6" s="231"/>
      <c r="AE6" s="231"/>
      <c r="AF6" s="231"/>
      <c r="AG6" s="231"/>
      <c r="AH6" s="231"/>
      <c r="AI6" s="213"/>
      <c r="AJ6" s="213"/>
      <c r="AK6" s="213"/>
      <c r="AL6" s="213"/>
      <c r="AM6" s="213"/>
    </row>
    <row r="7" spans="1:40">
      <c r="A7" s="2805" t="s">
        <v>459</v>
      </c>
      <c r="B7" s="4214" t="s">
        <v>461</v>
      </c>
      <c r="C7" s="2256">
        <f t="shared" si="1"/>
        <v>1.8229166666666673E-4</v>
      </c>
      <c r="D7" s="1883">
        <v>6</v>
      </c>
      <c r="E7" s="2786">
        <v>1</v>
      </c>
      <c r="F7" s="2774">
        <v>8</v>
      </c>
      <c r="G7" s="2774">
        <v>25</v>
      </c>
      <c r="H7" s="2776"/>
      <c r="I7" s="2775">
        <v>2.3148148148148146E-4</v>
      </c>
      <c r="J7" s="2775">
        <v>6.9444444444444447E-4</v>
      </c>
      <c r="K7" s="1905" t="s">
        <v>1061</v>
      </c>
      <c r="L7" s="4196">
        <f>L6+N6</f>
        <v>0.63418981481481485</v>
      </c>
      <c r="M7" s="2786"/>
      <c r="N7" s="2776">
        <v>4.0277777777777777E-3</v>
      </c>
      <c r="O7" s="2777"/>
      <c r="P7" s="2778">
        <v>1.8518518518518518E-4</v>
      </c>
      <c r="Q7" s="4197">
        <v>0.87</v>
      </c>
      <c r="R7" s="4198">
        <v>200</v>
      </c>
      <c r="S7" s="229">
        <f t="shared" ref="S7:S62" si="9">E7*F7*G7/1000</f>
        <v>0.2</v>
      </c>
      <c r="T7" s="230">
        <f t="shared" ref="T7:T62" si="10">E7*F7*O7*4</f>
        <v>0</v>
      </c>
      <c r="U7" s="374">
        <f t="shared" ref="U7:U62" si="11">IF(C7*4&gt;=$U$4,S7,0)</f>
        <v>0</v>
      </c>
      <c r="V7" s="375">
        <f t="shared" ref="V7:V62" si="12">IF(AND(C7*4&gt;=$V$4,C7*4&lt;$U$4),S7,0)</f>
        <v>0</v>
      </c>
      <c r="W7" s="376">
        <f t="shared" ref="W7:W62" si="13">IF(AND(C7*4&gt;=$W$4,C7*4&lt;$V$4),S7,0)</f>
        <v>0</v>
      </c>
      <c r="X7" s="377">
        <f t="shared" ref="X7:X62" si="14">IF(AND(C7*4&gt;=$X$4,C7*4&lt;$W$4),S7,0)</f>
        <v>0</v>
      </c>
      <c r="Y7" s="378">
        <f t="shared" ref="Y7:Y62" si="15">IF(AND(C7*4&gt;=$Y$4,C7*4&lt;$X$4),S7,0)</f>
        <v>0</v>
      </c>
      <c r="Z7" s="379">
        <f t="shared" ref="Z7:Z62" si="16">IF(AND(C7*4&gt;=$Z$4,C7*4&lt;$Y$4),S7,0)</f>
        <v>0.2</v>
      </c>
      <c r="AA7" s="380">
        <f t="shared" ref="AA7:AA62" si="17">IF(AND(C7*4&gt;=$AA$4,C7*4&lt;$Z$4),S7,0)</f>
        <v>0</v>
      </c>
      <c r="AC7" s="231"/>
      <c r="AD7" s="231"/>
      <c r="AE7" s="231"/>
      <c r="AF7" s="231"/>
      <c r="AG7" s="231"/>
      <c r="AH7" s="231"/>
      <c r="AI7" s="213"/>
      <c r="AJ7" s="213"/>
      <c r="AK7" s="213"/>
      <c r="AL7" s="213"/>
      <c r="AM7" s="213"/>
    </row>
    <row r="8" spans="1:40" ht="12.75" customHeight="1" thickBot="1">
      <c r="A8" s="2805" t="s">
        <v>460</v>
      </c>
      <c r="B8" s="4214" t="s">
        <v>461</v>
      </c>
      <c r="C8" s="2256">
        <f t="shared" si="1"/>
        <v>2.0247664488766629E-4</v>
      </c>
      <c r="D8" s="4199">
        <v>4</v>
      </c>
      <c r="E8" s="4200">
        <v>1</v>
      </c>
      <c r="F8" s="4200">
        <v>4</v>
      </c>
      <c r="G8" s="4200">
        <v>25</v>
      </c>
      <c r="H8" s="2803"/>
      <c r="I8" s="2803">
        <v>4.6296296296296293E-4</v>
      </c>
      <c r="J8" s="2803">
        <v>1.3888888888888889E-3</v>
      </c>
      <c r="K8" s="4201" t="s">
        <v>1060</v>
      </c>
      <c r="L8" s="4202">
        <f t="shared" ref="L8:L40" si="18">L7+N7</f>
        <v>0.63821759259259259</v>
      </c>
      <c r="M8" s="4203"/>
      <c r="N8" s="2803">
        <v>4.0277777777777777E-3</v>
      </c>
      <c r="O8" s="2804"/>
      <c r="P8" s="4204">
        <v>1.9675925925925926E-4</v>
      </c>
      <c r="Q8" s="4205" t="s">
        <v>316</v>
      </c>
      <c r="R8" s="4200">
        <v>100</v>
      </c>
      <c r="S8" s="229">
        <f t="shared" si="9"/>
        <v>0.1</v>
      </c>
      <c r="T8" s="230">
        <f t="shared" si="10"/>
        <v>0</v>
      </c>
      <c r="U8" s="374">
        <f t="shared" si="11"/>
        <v>0</v>
      </c>
      <c r="V8" s="375">
        <f t="shared" si="12"/>
        <v>0</v>
      </c>
      <c r="W8" s="376">
        <f t="shared" si="13"/>
        <v>0</v>
      </c>
      <c r="X8" s="377">
        <f t="shared" si="14"/>
        <v>0.1</v>
      </c>
      <c r="Y8" s="378">
        <f t="shared" si="15"/>
        <v>0</v>
      </c>
      <c r="Z8" s="379">
        <f t="shared" si="16"/>
        <v>0</v>
      </c>
      <c r="AA8" s="380">
        <f t="shared" si="17"/>
        <v>0</v>
      </c>
      <c r="AC8" s="231"/>
      <c r="AD8" s="231"/>
      <c r="AE8" s="231"/>
      <c r="AF8" s="231"/>
      <c r="AG8" s="231"/>
      <c r="AH8" s="231"/>
      <c r="AI8" s="213"/>
      <c r="AJ8" s="213"/>
      <c r="AK8" s="213"/>
      <c r="AL8" s="213"/>
      <c r="AM8" s="213"/>
    </row>
    <row r="9" spans="1:40" ht="12.75" customHeight="1" thickBot="1">
      <c r="A9" s="2805" t="s">
        <v>458</v>
      </c>
      <c r="B9" s="4214" t="s">
        <v>461</v>
      </c>
      <c r="C9" s="2256">
        <f t="shared" si="1"/>
        <v>1.7682291666666674E-4</v>
      </c>
      <c r="D9" s="1883">
        <v>7</v>
      </c>
      <c r="E9" s="4206">
        <v>3</v>
      </c>
      <c r="F9" s="4206">
        <v>4</v>
      </c>
      <c r="G9" s="4206">
        <v>38</v>
      </c>
      <c r="H9" s="4207"/>
      <c r="I9" s="4208">
        <v>4.6296296296296293E-4</v>
      </c>
      <c r="J9" s="4208">
        <v>1.3888888888888889E-3</v>
      </c>
      <c r="K9" s="4298" t="s">
        <v>1060</v>
      </c>
      <c r="L9" s="2789">
        <f t="shared" si="18"/>
        <v>0.64224537037037033</v>
      </c>
      <c r="M9" s="4210" t="s">
        <v>1122</v>
      </c>
      <c r="N9" s="4208">
        <v>1.2847222222222223E-2</v>
      </c>
      <c r="O9" s="2780"/>
      <c r="P9" s="2790">
        <v>2.5462962962962961E-4</v>
      </c>
      <c r="Q9" s="4211" t="s">
        <v>316</v>
      </c>
      <c r="R9" s="4212">
        <v>456</v>
      </c>
      <c r="S9" s="229">
        <f t="shared" si="9"/>
        <v>0.45600000000000002</v>
      </c>
      <c r="T9" s="230">
        <f t="shared" si="10"/>
        <v>0</v>
      </c>
      <c r="U9" s="374">
        <f t="shared" si="11"/>
        <v>0</v>
      </c>
      <c r="V9" s="375">
        <f t="shared" si="12"/>
        <v>0</v>
      </c>
      <c r="W9" s="376">
        <f t="shared" si="13"/>
        <v>0</v>
      </c>
      <c r="X9" s="377">
        <f t="shared" si="14"/>
        <v>0</v>
      </c>
      <c r="Y9" s="378">
        <f t="shared" si="15"/>
        <v>0</v>
      </c>
      <c r="Z9" s="379">
        <f t="shared" si="16"/>
        <v>0</v>
      </c>
      <c r="AA9" s="380">
        <f t="shared" si="17"/>
        <v>0.45600000000000002</v>
      </c>
      <c r="AC9" s="231"/>
      <c r="AD9" s="231"/>
      <c r="AE9" s="231"/>
      <c r="AF9" s="231"/>
      <c r="AG9" s="231"/>
      <c r="AH9" s="231"/>
      <c r="AI9" s="213"/>
      <c r="AJ9" s="213"/>
      <c r="AK9" s="213"/>
      <c r="AL9" s="213"/>
      <c r="AM9" s="213"/>
    </row>
    <row r="10" spans="1:40" ht="12.75" customHeight="1" thickBot="1">
      <c r="A10" s="2805" t="s">
        <v>219</v>
      </c>
      <c r="B10" s="4214" t="s">
        <v>461</v>
      </c>
      <c r="C10" s="2256">
        <f t="shared" si="1"/>
        <v>1.7682291666666674E-4</v>
      </c>
      <c r="D10" s="1883">
        <v>7</v>
      </c>
      <c r="E10" s="4206">
        <v>1</v>
      </c>
      <c r="F10" s="4206">
        <v>24</v>
      </c>
      <c r="G10" s="4206">
        <v>20</v>
      </c>
      <c r="H10" s="4213"/>
      <c r="I10" s="4208">
        <v>4.6296296296296293E-4</v>
      </c>
      <c r="J10" s="4208">
        <v>1.3888888888888889E-3</v>
      </c>
      <c r="K10" s="4298" t="s">
        <v>1375</v>
      </c>
      <c r="L10" s="2789">
        <f t="shared" si="18"/>
        <v>0.65509259259259256</v>
      </c>
      <c r="M10" s="4210" t="s">
        <v>1122</v>
      </c>
      <c r="N10" s="4208">
        <v>1.5787037037037037E-2</v>
      </c>
      <c r="O10" s="2780"/>
      <c r="P10" s="2790">
        <v>1.3888888888888889E-4</v>
      </c>
      <c r="Q10" s="4211" t="s">
        <v>316</v>
      </c>
      <c r="R10" s="4212">
        <v>480</v>
      </c>
      <c r="S10" s="229">
        <f t="shared" si="9"/>
        <v>0.48</v>
      </c>
      <c r="T10" s="230">
        <f t="shared" si="10"/>
        <v>0</v>
      </c>
      <c r="U10" s="374">
        <f t="shared" si="11"/>
        <v>0</v>
      </c>
      <c r="V10" s="375">
        <f t="shared" si="12"/>
        <v>0</v>
      </c>
      <c r="W10" s="376">
        <f t="shared" si="13"/>
        <v>0</v>
      </c>
      <c r="X10" s="377">
        <f t="shared" si="14"/>
        <v>0</v>
      </c>
      <c r="Y10" s="378">
        <f t="shared" si="15"/>
        <v>0</v>
      </c>
      <c r="Z10" s="379">
        <f t="shared" si="16"/>
        <v>0</v>
      </c>
      <c r="AA10" s="380">
        <f t="shared" si="17"/>
        <v>0.48</v>
      </c>
      <c r="AC10" s="231"/>
      <c r="AD10" s="231"/>
      <c r="AE10" s="231"/>
      <c r="AF10" s="231"/>
      <c r="AG10" s="231"/>
      <c r="AH10" s="231"/>
      <c r="AI10" s="213"/>
      <c r="AJ10" s="213"/>
      <c r="AK10" s="213"/>
      <c r="AL10" s="213"/>
      <c r="AM10" s="213"/>
    </row>
    <row r="11" spans="1:40" ht="12.75" customHeight="1" thickBot="1">
      <c r="A11" s="2805"/>
      <c r="B11" s="4214" t="s">
        <v>461</v>
      </c>
      <c r="C11" s="2256">
        <f t="shared" si="1"/>
        <v>1.7682291666666674E-4</v>
      </c>
      <c r="D11" s="1883">
        <v>7</v>
      </c>
      <c r="E11" s="4206">
        <v>1</v>
      </c>
      <c r="F11" s="4206">
        <v>6</v>
      </c>
      <c r="G11" s="4206">
        <v>15</v>
      </c>
      <c r="H11" s="4213"/>
      <c r="I11" s="4208">
        <v>5.7870370370370378E-4</v>
      </c>
      <c r="J11" s="4208">
        <v>1.3888888888888889E-3</v>
      </c>
      <c r="K11" s="4298" t="s">
        <v>1374</v>
      </c>
      <c r="L11" s="2789">
        <f t="shared" si="18"/>
        <v>0.67087962962962955</v>
      </c>
      <c r="M11" s="4210" t="s">
        <v>1122</v>
      </c>
      <c r="N11" s="4208">
        <v>5.4745370370370373E-3</v>
      </c>
      <c r="O11" s="2780"/>
      <c r="P11" s="2790">
        <v>1.0416666666666667E-4</v>
      </c>
      <c r="Q11" s="4211" t="s">
        <v>316</v>
      </c>
      <c r="R11" s="4212">
        <v>90</v>
      </c>
      <c r="S11" s="229">
        <f t="shared" si="9"/>
        <v>0.09</v>
      </c>
      <c r="T11" s="230">
        <f t="shared" si="10"/>
        <v>0</v>
      </c>
      <c r="U11" s="374">
        <f t="shared" si="11"/>
        <v>0</v>
      </c>
      <c r="V11" s="375">
        <f t="shared" si="12"/>
        <v>0</v>
      </c>
      <c r="W11" s="376">
        <f t="shared" si="13"/>
        <v>0</v>
      </c>
      <c r="X11" s="377">
        <f t="shared" si="14"/>
        <v>0</v>
      </c>
      <c r="Y11" s="378">
        <f t="shared" si="15"/>
        <v>0</v>
      </c>
      <c r="Z11" s="379">
        <f t="shared" si="16"/>
        <v>0</v>
      </c>
      <c r="AA11" s="380">
        <f t="shared" si="17"/>
        <v>0.09</v>
      </c>
      <c r="AC11" s="231"/>
      <c r="AD11" s="231"/>
      <c r="AE11" s="231"/>
      <c r="AF11" s="231"/>
      <c r="AG11" s="231"/>
      <c r="AH11" s="231"/>
      <c r="AI11" s="213"/>
      <c r="AJ11" s="213"/>
      <c r="AK11" s="213"/>
      <c r="AL11" s="213"/>
      <c r="AM11" s="213"/>
    </row>
    <row r="12" spans="1:40" ht="12.75" customHeight="1" thickBot="1">
      <c r="A12" s="2805"/>
      <c r="B12" s="4214" t="s">
        <v>461</v>
      </c>
      <c r="C12" s="2256">
        <f t="shared" si="1"/>
        <v>1.7682291666666674E-4</v>
      </c>
      <c r="D12" s="1883">
        <v>7</v>
      </c>
      <c r="E12" s="2787"/>
      <c r="F12" s="2787"/>
      <c r="G12" s="2787"/>
      <c r="H12" s="2027"/>
      <c r="I12" s="2788"/>
      <c r="J12" s="2788"/>
      <c r="K12" s="6198" t="s">
        <v>2213</v>
      </c>
      <c r="L12" s="4216">
        <f t="shared" si="18"/>
        <v>0.67635416666666659</v>
      </c>
      <c r="M12" s="4217" t="s">
        <v>1122</v>
      </c>
      <c r="N12" s="2788"/>
      <c r="O12" s="2788"/>
      <c r="P12" s="4218"/>
      <c r="Q12" s="4219"/>
      <c r="R12" s="1887">
        <v>1526</v>
      </c>
      <c r="S12" s="229">
        <f t="shared" si="9"/>
        <v>0</v>
      </c>
      <c r="T12" s="230">
        <f t="shared" si="10"/>
        <v>0</v>
      </c>
      <c r="U12" s="374">
        <f t="shared" si="11"/>
        <v>0</v>
      </c>
      <c r="V12" s="375">
        <f t="shared" si="12"/>
        <v>0</v>
      </c>
      <c r="W12" s="376">
        <f t="shared" si="13"/>
        <v>0</v>
      </c>
      <c r="X12" s="377">
        <f t="shared" si="14"/>
        <v>0</v>
      </c>
      <c r="Y12" s="378">
        <f t="shared" si="15"/>
        <v>0</v>
      </c>
      <c r="Z12" s="379">
        <f t="shared" si="16"/>
        <v>0</v>
      </c>
      <c r="AA12" s="380">
        <f t="shared" si="17"/>
        <v>0</v>
      </c>
      <c r="AC12" s="231"/>
      <c r="AD12" s="231"/>
      <c r="AE12" s="231"/>
      <c r="AF12" s="231"/>
      <c r="AG12" s="231"/>
      <c r="AH12" s="231"/>
      <c r="AI12" s="213"/>
      <c r="AJ12" s="213"/>
      <c r="AK12" s="213"/>
      <c r="AL12" s="213"/>
      <c r="AM12" s="213"/>
    </row>
    <row r="13" spans="1:40" ht="13.25" customHeight="1" thickBot="1">
      <c r="A13" s="4187" t="s">
        <v>460</v>
      </c>
      <c r="B13" s="4214" t="s">
        <v>461</v>
      </c>
      <c r="C13" s="2256">
        <f t="shared" si="1"/>
        <v>1.7682291666666674E-4</v>
      </c>
      <c r="D13" s="1883">
        <v>7</v>
      </c>
      <c r="E13" s="4220">
        <v>3</v>
      </c>
      <c r="F13" s="4304">
        <v>1</v>
      </c>
      <c r="G13" s="4308">
        <v>60</v>
      </c>
      <c r="H13" s="4309" t="s">
        <v>1368</v>
      </c>
      <c r="I13" s="4208">
        <v>4.6296296296296293E-4</v>
      </c>
      <c r="J13" s="4208">
        <v>1.3888888888888889E-3</v>
      </c>
      <c r="K13" s="4299" t="s">
        <v>1369</v>
      </c>
      <c r="L13" s="2789">
        <f t="shared" si="18"/>
        <v>0.67635416666666659</v>
      </c>
      <c r="M13" s="4221" t="s">
        <v>1122</v>
      </c>
      <c r="N13" s="4208">
        <v>1.0960648148148148E-2</v>
      </c>
      <c r="O13" s="2780"/>
      <c r="P13" s="2790">
        <v>4.1666666666666669E-4</v>
      </c>
      <c r="Q13" s="4222" t="s">
        <v>316</v>
      </c>
      <c r="R13" s="4212">
        <v>180</v>
      </c>
      <c r="S13" s="229">
        <f t="shared" si="9"/>
        <v>0.18</v>
      </c>
      <c r="T13" s="230">
        <f t="shared" si="10"/>
        <v>0</v>
      </c>
      <c r="U13" s="374">
        <f t="shared" si="11"/>
        <v>0</v>
      </c>
      <c r="V13" s="375">
        <f t="shared" si="12"/>
        <v>0</v>
      </c>
      <c r="W13" s="376">
        <f t="shared" si="13"/>
        <v>0</v>
      </c>
      <c r="X13" s="377">
        <f t="shared" si="14"/>
        <v>0</v>
      </c>
      <c r="Y13" s="378">
        <f t="shared" si="15"/>
        <v>0</v>
      </c>
      <c r="Z13" s="379">
        <f t="shared" si="16"/>
        <v>0</v>
      </c>
      <c r="AA13" s="380">
        <f t="shared" si="17"/>
        <v>0.18</v>
      </c>
      <c r="AC13" s="231"/>
      <c r="AD13" s="231"/>
      <c r="AE13" s="231"/>
      <c r="AF13" s="231"/>
      <c r="AG13" s="231"/>
      <c r="AH13" s="231"/>
      <c r="AI13" s="213"/>
      <c r="AJ13" s="213"/>
      <c r="AK13" s="213"/>
      <c r="AL13" s="213"/>
      <c r="AM13" s="213"/>
    </row>
    <row r="14" spans="1:40" ht="16.25" customHeight="1" thickBot="1">
      <c r="A14" s="2805" t="s">
        <v>458</v>
      </c>
      <c r="B14" s="4214" t="s">
        <v>461</v>
      </c>
      <c r="C14" s="2256">
        <f t="shared" si="1"/>
        <v>1.7682291666666674E-4</v>
      </c>
      <c r="D14" s="1883">
        <v>7</v>
      </c>
      <c r="E14" s="4206">
        <v>1</v>
      </c>
      <c r="F14" s="4307">
        <v>5</v>
      </c>
      <c r="G14" s="4305">
        <v>60</v>
      </c>
      <c r="H14" s="4306" t="s">
        <v>1370</v>
      </c>
      <c r="I14" s="4208">
        <v>1.8518518518518517E-3</v>
      </c>
      <c r="J14" s="4208">
        <v>1.3888888888888889E-3</v>
      </c>
      <c r="K14" s="4298" t="s">
        <v>1371</v>
      </c>
      <c r="L14" s="2789">
        <f t="shared" si="18"/>
        <v>0.68731481481481471</v>
      </c>
      <c r="M14" s="4210" t="s">
        <v>1122</v>
      </c>
      <c r="N14" s="4208">
        <v>1.2708333333333334E-2</v>
      </c>
      <c r="O14" s="2780"/>
      <c r="P14" s="2790">
        <v>4.1666666666666669E-4</v>
      </c>
      <c r="Q14" s="4211" t="s">
        <v>316</v>
      </c>
      <c r="R14" s="4212">
        <v>300</v>
      </c>
      <c r="S14" s="229">
        <f t="shared" si="9"/>
        <v>0.3</v>
      </c>
      <c r="T14" s="230">
        <f t="shared" si="10"/>
        <v>0</v>
      </c>
      <c r="U14" s="374">
        <f t="shared" si="11"/>
        <v>0</v>
      </c>
      <c r="V14" s="375">
        <f t="shared" si="12"/>
        <v>0</v>
      </c>
      <c r="W14" s="376">
        <f t="shared" si="13"/>
        <v>0</v>
      </c>
      <c r="X14" s="377">
        <f t="shared" si="14"/>
        <v>0</v>
      </c>
      <c r="Y14" s="378">
        <f t="shared" si="15"/>
        <v>0</v>
      </c>
      <c r="Z14" s="379">
        <f t="shared" si="16"/>
        <v>0</v>
      </c>
      <c r="AA14" s="380">
        <f t="shared" si="17"/>
        <v>0.3</v>
      </c>
      <c r="AC14" s="231"/>
      <c r="AD14" s="231"/>
      <c r="AE14" s="231"/>
      <c r="AF14" s="231"/>
      <c r="AG14" s="231"/>
      <c r="AH14" s="231"/>
      <c r="AI14" s="213"/>
      <c r="AJ14" s="213"/>
      <c r="AK14" s="213"/>
      <c r="AL14" s="213"/>
      <c r="AM14" s="213"/>
      <c r="AN14" s="204"/>
    </row>
    <row r="15" spans="1:40" ht="14" customHeight="1" thickBot="1">
      <c r="A15" s="4226"/>
      <c r="B15" s="4227"/>
      <c r="C15" s="2256">
        <f t="shared" si="1"/>
        <v>0</v>
      </c>
      <c r="D15" s="1883"/>
      <c r="E15" s="2791"/>
      <c r="F15" s="2791"/>
      <c r="G15" s="2791"/>
      <c r="H15" s="4228"/>
      <c r="I15" s="2792"/>
      <c r="J15" s="2792"/>
      <c r="K15" s="2793"/>
      <c r="L15" s="4229">
        <f t="shared" si="18"/>
        <v>0.70002314814814803</v>
      </c>
      <c r="M15" s="4230"/>
      <c r="N15" s="2794"/>
      <c r="O15" s="2792"/>
      <c r="P15" s="4231"/>
      <c r="Q15" s="2795"/>
      <c r="R15" s="2796">
        <f>SUM(R6:R14)</f>
        <v>3532</v>
      </c>
      <c r="S15" s="229">
        <f t="shared" si="9"/>
        <v>0</v>
      </c>
      <c r="T15" s="230">
        <f t="shared" si="10"/>
        <v>0</v>
      </c>
      <c r="U15" s="374">
        <f t="shared" si="11"/>
        <v>0</v>
      </c>
      <c r="V15" s="375">
        <f t="shared" si="12"/>
        <v>0</v>
      </c>
      <c r="W15" s="376">
        <f t="shared" si="13"/>
        <v>0</v>
      </c>
      <c r="X15" s="377">
        <f t="shared" si="14"/>
        <v>0</v>
      </c>
      <c r="Y15" s="378">
        <f t="shared" si="15"/>
        <v>0</v>
      </c>
      <c r="Z15" s="379">
        <f t="shared" si="16"/>
        <v>0</v>
      </c>
      <c r="AA15" s="380">
        <f t="shared" si="17"/>
        <v>0</v>
      </c>
      <c r="AC15" s="231"/>
      <c r="AD15" s="231"/>
      <c r="AE15" s="231"/>
      <c r="AF15" s="231"/>
      <c r="AG15" s="231"/>
      <c r="AH15" s="231"/>
      <c r="AI15" s="213"/>
      <c r="AJ15" s="213"/>
      <c r="AK15" s="213"/>
      <c r="AL15" s="213"/>
      <c r="AM15" s="213"/>
      <c r="AN15" s="204"/>
    </row>
    <row r="16" spans="1:40" ht="14" customHeight="1" thickBot="1">
      <c r="A16" s="2773"/>
      <c r="B16" s="2771"/>
      <c r="C16" s="2256">
        <f t="shared" si="1"/>
        <v>2.2880964381720439E-4</v>
      </c>
      <c r="D16" s="1883">
        <v>1</v>
      </c>
      <c r="E16" s="2772">
        <v>1</v>
      </c>
      <c r="F16" s="2772">
        <v>1</v>
      </c>
      <c r="G16" s="2772">
        <v>300</v>
      </c>
      <c r="H16" s="4189"/>
      <c r="I16" s="4189">
        <v>0</v>
      </c>
      <c r="J16" s="4189">
        <v>1.1574074074074073E-4</v>
      </c>
      <c r="K16" s="4190" t="s">
        <v>1063</v>
      </c>
      <c r="L16" s="4191">
        <v>0.34748842592592594</v>
      </c>
      <c r="M16" s="4192" t="s">
        <v>1122</v>
      </c>
      <c r="N16" s="4189">
        <v>2.2453703703703702E-3</v>
      </c>
      <c r="O16" s="4193"/>
      <c r="P16" s="4193">
        <v>2.1296296296296298E-3</v>
      </c>
      <c r="Q16" s="4194">
        <v>129</v>
      </c>
      <c r="R16" s="4195">
        <v>200</v>
      </c>
      <c r="S16" s="229">
        <f t="shared" si="9"/>
        <v>0.3</v>
      </c>
      <c r="T16" s="230">
        <f t="shared" si="10"/>
        <v>0</v>
      </c>
      <c r="U16" s="374">
        <f t="shared" si="11"/>
        <v>0.3</v>
      </c>
      <c r="V16" s="375">
        <f t="shared" si="12"/>
        <v>0</v>
      </c>
      <c r="W16" s="376">
        <f t="shared" si="13"/>
        <v>0</v>
      </c>
      <c r="X16" s="377">
        <f t="shared" si="14"/>
        <v>0</v>
      </c>
      <c r="Y16" s="378">
        <f t="shared" si="15"/>
        <v>0</v>
      </c>
      <c r="Z16" s="379">
        <f t="shared" si="16"/>
        <v>0</v>
      </c>
      <c r="AA16" s="380">
        <f t="shared" si="17"/>
        <v>0</v>
      </c>
      <c r="AC16" s="231"/>
      <c r="AD16" s="231"/>
      <c r="AE16" s="231"/>
      <c r="AF16" s="231"/>
      <c r="AG16" s="231"/>
      <c r="AH16" s="231"/>
      <c r="AI16" s="213"/>
      <c r="AJ16" s="213"/>
      <c r="AK16" s="213"/>
      <c r="AL16" s="213"/>
      <c r="AM16" s="213"/>
      <c r="AN16" s="204"/>
    </row>
    <row r="17" spans="1:40" ht="14" customHeight="1" thickBot="1">
      <c r="A17" s="2773"/>
      <c r="B17" s="2771"/>
      <c r="C17" s="2256">
        <f t="shared" ref="C17" si="19">IF(D17=1,U$5,IF(D17=2,V$5,IF(D17=3,W$5,IF(D17=4,X$5,IF(D17=5,Y$5,IF(D17=6,Z$5,IF(D17=7,AA$5,0)))))))</f>
        <v>1.8229166666666673E-4</v>
      </c>
      <c r="D17" s="1883">
        <v>6</v>
      </c>
      <c r="E17" s="2786">
        <v>1</v>
      </c>
      <c r="F17" s="2774">
        <v>8</v>
      </c>
      <c r="G17" s="2774">
        <v>50</v>
      </c>
      <c r="H17" s="2776"/>
      <c r="I17" s="2775">
        <v>3.4722222222222224E-4</v>
      </c>
      <c r="J17" s="2775">
        <v>6.9444444444444447E-4</v>
      </c>
      <c r="K17" s="1905" t="s">
        <v>2219</v>
      </c>
      <c r="L17" s="4196">
        <f t="shared" si="18"/>
        <v>0.34973379629629631</v>
      </c>
      <c r="M17" s="2786"/>
      <c r="N17" s="2776">
        <v>6.4351851851851861E-3</v>
      </c>
      <c r="O17" s="2777"/>
      <c r="P17" s="2778">
        <v>3.7037037037037035E-4</v>
      </c>
      <c r="Q17" s="4197">
        <v>0.87</v>
      </c>
      <c r="R17" s="4198">
        <v>400</v>
      </c>
      <c r="S17" s="229">
        <f t="shared" ref="S17:S19" si="20">E17*F17*G17/1000</f>
        <v>0.4</v>
      </c>
      <c r="T17" s="230">
        <f t="shared" ref="T17:T19" si="21">E17*F17*O17*4</f>
        <v>0</v>
      </c>
      <c r="U17" s="374">
        <f t="shared" ref="U17:U19" si="22">IF(C17*4&gt;=$U$4,S17,0)</f>
        <v>0</v>
      </c>
      <c r="V17" s="375">
        <f t="shared" ref="V17:V19" si="23">IF(AND(C17*4&gt;=$V$4,C17*4&lt;$U$4),S17,0)</f>
        <v>0</v>
      </c>
      <c r="W17" s="376">
        <f t="shared" ref="W17:W19" si="24">IF(AND(C17*4&gt;=$W$4,C17*4&lt;$V$4),S17,0)</f>
        <v>0</v>
      </c>
      <c r="X17" s="377">
        <f t="shared" ref="X17:X19" si="25">IF(AND(C17*4&gt;=$X$4,C17*4&lt;$W$4),S17,0)</f>
        <v>0</v>
      </c>
      <c r="Y17" s="378">
        <f t="shared" ref="Y17:Y19" si="26">IF(AND(C17*4&gt;=$Y$4,C17*4&lt;$X$4),S17,0)</f>
        <v>0</v>
      </c>
      <c r="Z17" s="379">
        <f t="shared" ref="Z17:Z19" si="27">IF(AND(C17*4&gt;=$Z$4,C17*4&lt;$Y$4),S17,0)</f>
        <v>0.4</v>
      </c>
      <c r="AA17" s="380">
        <f t="shared" ref="AA17:AA19" si="28">IF(AND(C17*4&gt;=$AA$4,C17*4&lt;$Z$4),S17,0)</f>
        <v>0</v>
      </c>
      <c r="AC17" s="231"/>
      <c r="AD17" s="231"/>
      <c r="AE17" s="231"/>
      <c r="AF17" s="231"/>
      <c r="AG17" s="231"/>
      <c r="AH17" s="231"/>
      <c r="AI17" s="213"/>
      <c r="AJ17" s="213"/>
      <c r="AK17" s="213"/>
      <c r="AL17" s="213"/>
      <c r="AM17" s="213"/>
      <c r="AN17" s="204"/>
    </row>
    <row r="18" spans="1:40" ht="12.75" customHeight="1" thickBot="1">
      <c r="A18" s="2773" t="s">
        <v>215</v>
      </c>
      <c r="B18" s="2771" t="s">
        <v>215</v>
      </c>
      <c r="C18" s="2256">
        <f t="shared" si="1"/>
        <v>2.1908757716049393E-4</v>
      </c>
      <c r="D18" s="1883">
        <v>2</v>
      </c>
      <c r="E18" s="4232">
        <v>1</v>
      </c>
      <c r="F18" s="4232">
        <v>20</v>
      </c>
      <c r="G18" s="4232">
        <v>25</v>
      </c>
      <c r="H18" s="2783"/>
      <c r="I18" s="2783">
        <v>5.7870370370370366E-5</v>
      </c>
      <c r="J18" s="2783">
        <v>6.9444444444444447E-4</v>
      </c>
      <c r="K18" s="4233" t="s">
        <v>1531</v>
      </c>
      <c r="L18" s="4234">
        <f t="shared" si="18"/>
        <v>0.35616898148148152</v>
      </c>
      <c r="M18" s="4235" t="s">
        <v>1122</v>
      </c>
      <c r="N18" s="2783">
        <v>7.1527777777777787E-3</v>
      </c>
      <c r="O18" s="4236"/>
      <c r="P18" s="4236">
        <v>2.6620370370370372E-4</v>
      </c>
      <c r="Q18" s="2785">
        <v>146</v>
      </c>
      <c r="R18" s="4237">
        <v>500</v>
      </c>
      <c r="S18" s="229">
        <f t="shared" si="20"/>
        <v>0.5</v>
      </c>
      <c r="T18" s="230">
        <f t="shared" si="21"/>
        <v>0</v>
      </c>
      <c r="U18" s="374">
        <f t="shared" si="22"/>
        <v>0</v>
      </c>
      <c r="V18" s="375">
        <f t="shared" si="23"/>
        <v>0.5</v>
      </c>
      <c r="W18" s="376">
        <f t="shared" si="24"/>
        <v>0</v>
      </c>
      <c r="X18" s="377">
        <f t="shared" si="25"/>
        <v>0</v>
      </c>
      <c r="Y18" s="378">
        <f t="shared" si="26"/>
        <v>0</v>
      </c>
      <c r="Z18" s="379">
        <f t="shared" si="27"/>
        <v>0</v>
      </c>
      <c r="AA18" s="380">
        <f t="shared" si="28"/>
        <v>0</v>
      </c>
      <c r="AC18" s="231"/>
      <c r="AD18" s="231"/>
      <c r="AE18" s="231"/>
      <c r="AF18" s="231"/>
      <c r="AG18" s="231"/>
      <c r="AH18" s="231"/>
      <c r="AI18" s="213"/>
      <c r="AJ18" s="213"/>
      <c r="AK18" s="213"/>
      <c r="AL18" s="213"/>
      <c r="AM18" s="213"/>
      <c r="AN18" s="204"/>
    </row>
    <row r="19" spans="1:40" ht="14" customHeight="1" thickBot="1">
      <c r="A19" s="2773" t="s">
        <v>462</v>
      </c>
      <c r="B19" s="2771" t="s">
        <v>215</v>
      </c>
      <c r="C19" s="2256">
        <f t="shared" si="1"/>
        <v>1.7682291666666674E-4</v>
      </c>
      <c r="D19" s="1883">
        <v>7</v>
      </c>
      <c r="E19" s="4206">
        <v>2</v>
      </c>
      <c r="F19" s="4206">
        <v>10</v>
      </c>
      <c r="G19" s="4206">
        <v>25</v>
      </c>
      <c r="H19" s="4208"/>
      <c r="I19" s="4208">
        <v>4.6296296296296293E-4</v>
      </c>
      <c r="J19" s="4208">
        <v>6.9444444444444447E-4</v>
      </c>
      <c r="K19" s="4209" t="s">
        <v>1062</v>
      </c>
      <c r="L19" s="2789">
        <f t="shared" si="18"/>
        <v>0.3633217592592593</v>
      </c>
      <c r="M19" s="4210" t="s">
        <v>1122</v>
      </c>
      <c r="N19" s="4208">
        <v>7.3842592592592597E-3</v>
      </c>
      <c r="O19" s="2780"/>
      <c r="P19" s="2790">
        <v>2.0833333333333335E-4</v>
      </c>
      <c r="Q19" s="4211" t="s">
        <v>316</v>
      </c>
      <c r="R19" s="2781">
        <v>250</v>
      </c>
      <c r="S19" s="229">
        <f t="shared" si="20"/>
        <v>0.5</v>
      </c>
      <c r="T19" s="230">
        <f t="shared" si="21"/>
        <v>0</v>
      </c>
      <c r="U19" s="374">
        <f t="shared" si="22"/>
        <v>0</v>
      </c>
      <c r="V19" s="375">
        <f t="shared" si="23"/>
        <v>0</v>
      </c>
      <c r="W19" s="376">
        <f t="shared" si="24"/>
        <v>0</v>
      </c>
      <c r="X19" s="377">
        <f t="shared" si="25"/>
        <v>0</v>
      </c>
      <c r="Y19" s="378">
        <f t="shared" si="26"/>
        <v>0</v>
      </c>
      <c r="Z19" s="379">
        <f t="shared" si="27"/>
        <v>0</v>
      </c>
      <c r="AA19" s="380">
        <f t="shared" si="28"/>
        <v>0.5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  <c r="AN19" s="204"/>
    </row>
    <row r="20" spans="1:40" ht="12.75" customHeight="1" thickBot="1">
      <c r="A20" s="2773" t="s">
        <v>138</v>
      </c>
      <c r="B20" s="2771" t="s">
        <v>215</v>
      </c>
      <c r="C20" s="2256">
        <f t="shared" si="1"/>
        <v>2.1222190799396687E-4</v>
      </c>
      <c r="D20" s="1883">
        <v>3</v>
      </c>
      <c r="E20" s="4238">
        <v>1</v>
      </c>
      <c r="F20" s="4238">
        <v>8</v>
      </c>
      <c r="G20" s="4238">
        <v>13</v>
      </c>
      <c r="H20" s="4239"/>
      <c r="I20" s="4239">
        <v>1.7361111111111112E-4</v>
      </c>
      <c r="J20" s="4239">
        <v>6.9444444444444447E-4</v>
      </c>
      <c r="K20" s="4240" t="s">
        <v>1378</v>
      </c>
      <c r="L20" s="4223">
        <f t="shared" si="18"/>
        <v>0.37070601851851859</v>
      </c>
      <c r="M20" s="4241" t="s">
        <v>1122</v>
      </c>
      <c r="N20" s="4239">
        <v>3.0671296296296297E-3</v>
      </c>
      <c r="O20" s="4242"/>
      <c r="P20" s="4243">
        <v>1.273148148148148E-4</v>
      </c>
      <c r="Q20" s="4244"/>
      <c r="R20" s="4245">
        <v>100</v>
      </c>
      <c r="S20" s="229">
        <f t="shared" si="9"/>
        <v>0.104</v>
      </c>
      <c r="T20" s="230">
        <f t="shared" si="10"/>
        <v>0</v>
      </c>
      <c r="U20" s="374">
        <f t="shared" si="11"/>
        <v>0</v>
      </c>
      <c r="V20" s="375">
        <f t="shared" si="12"/>
        <v>0</v>
      </c>
      <c r="W20" s="376">
        <f t="shared" si="13"/>
        <v>0.104</v>
      </c>
      <c r="X20" s="377">
        <f t="shared" si="14"/>
        <v>0</v>
      </c>
      <c r="Y20" s="378">
        <f t="shared" si="15"/>
        <v>0</v>
      </c>
      <c r="Z20" s="379">
        <f t="shared" si="16"/>
        <v>0</v>
      </c>
      <c r="AA20" s="380">
        <f t="shared" si="17"/>
        <v>0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  <c r="AN20" s="204"/>
    </row>
    <row r="21" spans="1:40" ht="12.75" customHeight="1" thickBot="1">
      <c r="A21" s="2773" t="s">
        <v>462</v>
      </c>
      <c r="B21" s="2771" t="s">
        <v>215</v>
      </c>
      <c r="C21" s="2256">
        <f t="shared" si="1"/>
        <v>1.7682291666666674E-4</v>
      </c>
      <c r="D21" s="1883">
        <v>7</v>
      </c>
      <c r="E21" s="4206">
        <v>2</v>
      </c>
      <c r="F21" s="4206">
        <v>3</v>
      </c>
      <c r="G21" s="4206">
        <v>100</v>
      </c>
      <c r="H21" s="4208"/>
      <c r="I21" s="4208">
        <v>2.3148148148148146E-4</v>
      </c>
      <c r="J21" s="4208">
        <v>6.9444444444444447E-4</v>
      </c>
      <c r="K21" s="4209" t="s">
        <v>1380</v>
      </c>
      <c r="L21" s="2789">
        <f t="shared" si="18"/>
        <v>0.37377314814814822</v>
      </c>
      <c r="M21" s="4210" t="s">
        <v>1122</v>
      </c>
      <c r="N21" s="4208">
        <v>3.8541666666666668E-3</v>
      </c>
      <c r="O21" s="2780"/>
      <c r="P21" s="2790">
        <v>8.2175925925925917E-4</v>
      </c>
      <c r="Q21" s="4211">
        <v>145</v>
      </c>
      <c r="R21" s="2781">
        <v>300</v>
      </c>
      <c r="S21" s="229">
        <f t="shared" si="9"/>
        <v>0.6</v>
      </c>
      <c r="T21" s="230">
        <f t="shared" si="10"/>
        <v>0</v>
      </c>
      <c r="U21" s="374">
        <f t="shared" si="11"/>
        <v>0</v>
      </c>
      <c r="V21" s="375">
        <f t="shared" si="12"/>
        <v>0</v>
      </c>
      <c r="W21" s="376">
        <f t="shared" si="13"/>
        <v>0</v>
      </c>
      <c r="X21" s="377">
        <f t="shared" si="14"/>
        <v>0</v>
      </c>
      <c r="Y21" s="378">
        <f t="shared" si="15"/>
        <v>0</v>
      </c>
      <c r="Z21" s="379">
        <f t="shared" si="16"/>
        <v>0</v>
      </c>
      <c r="AA21" s="380">
        <f t="shared" si="17"/>
        <v>0.6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  <c r="AN21" s="204"/>
    </row>
    <row r="22" spans="1:40" ht="12.75" customHeight="1" thickBot="1">
      <c r="A22" s="2773" t="s">
        <v>215</v>
      </c>
      <c r="B22" s="2771" t="s">
        <v>215</v>
      </c>
      <c r="C22" s="2256">
        <f t="shared" si="1"/>
        <v>2.1222190799396687E-4</v>
      </c>
      <c r="D22" s="1883">
        <v>3</v>
      </c>
      <c r="E22" s="4238">
        <v>1</v>
      </c>
      <c r="F22" s="4238">
        <v>8</v>
      </c>
      <c r="G22" s="4238">
        <v>25</v>
      </c>
      <c r="H22" s="4239"/>
      <c r="I22" s="4239">
        <v>1.7361111111111112E-4</v>
      </c>
      <c r="J22" s="4239">
        <v>6.9444444444444447E-4</v>
      </c>
      <c r="K22" s="4240" t="s">
        <v>1379</v>
      </c>
      <c r="L22" s="4223">
        <f t="shared" si="18"/>
        <v>0.37762731481481487</v>
      </c>
      <c r="M22" s="4241" t="s">
        <v>1122</v>
      </c>
      <c r="N22" s="4239">
        <v>4.0509259259259257E-3</v>
      </c>
      <c r="O22" s="4242"/>
      <c r="P22" s="4243">
        <v>2.4305555555555552E-4</v>
      </c>
      <c r="Q22" s="4244"/>
      <c r="R22" s="4245">
        <v>200</v>
      </c>
      <c r="S22" s="229">
        <f t="shared" si="9"/>
        <v>0.2</v>
      </c>
      <c r="T22" s="230">
        <f t="shared" si="10"/>
        <v>0</v>
      </c>
      <c r="U22" s="374">
        <f t="shared" si="11"/>
        <v>0</v>
      </c>
      <c r="V22" s="375">
        <f t="shared" si="12"/>
        <v>0</v>
      </c>
      <c r="W22" s="376">
        <f t="shared" si="13"/>
        <v>0.2</v>
      </c>
      <c r="X22" s="377">
        <f t="shared" si="14"/>
        <v>0</v>
      </c>
      <c r="Y22" s="378">
        <f t="shared" si="15"/>
        <v>0</v>
      </c>
      <c r="Z22" s="379">
        <f t="shared" si="16"/>
        <v>0</v>
      </c>
      <c r="AA22" s="380">
        <f t="shared" si="17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  <c r="AN22" s="204"/>
    </row>
    <row r="23" spans="1:40" ht="12.75" customHeight="1" thickBot="1">
      <c r="A23" s="2773"/>
      <c r="B23" s="2771"/>
      <c r="C23" s="2256">
        <f t="shared" si="1"/>
        <v>1.7682291666666674E-4</v>
      </c>
      <c r="D23" s="1883">
        <v>7</v>
      </c>
      <c r="E23" s="4206">
        <v>1</v>
      </c>
      <c r="F23" s="4206">
        <v>6</v>
      </c>
      <c r="G23" s="4206">
        <v>15</v>
      </c>
      <c r="H23" s="4207"/>
      <c r="I23" s="4208">
        <v>5.7870370370370378E-4</v>
      </c>
      <c r="J23" s="4208">
        <v>1.3888888888888889E-3</v>
      </c>
      <c r="K23" s="4209" t="s">
        <v>1374</v>
      </c>
      <c r="L23" s="2789">
        <f t="shared" si="18"/>
        <v>0.3816782407407408</v>
      </c>
      <c r="M23" s="4210" t="s">
        <v>1122</v>
      </c>
      <c r="N23" s="4208">
        <v>5.4745370370370373E-3</v>
      </c>
      <c r="O23" s="2780"/>
      <c r="P23" s="2790">
        <v>1.0416666666666667E-4</v>
      </c>
      <c r="Q23" s="4211" t="s">
        <v>316</v>
      </c>
      <c r="R23" s="4212">
        <v>90</v>
      </c>
      <c r="S23" s="229">
        <f t="shared" si="9"/>
        <v>0.09</v>
      </c>
      <c r="T23" s="230">
        <f t="shared" si="10"/>
        <v>0</v>
      </c>
      <c r="U23" s="374">
        <f t="shared" si="11"/>
        <v>0</v>
      </c>
      <c r="V23" s="375">
        <f t="shared" si="12"/>
        <v>0</v>
      </c>
      <c r="W23" s="376">
        <f t="shared" si="13"/>
        <v>0</v>
      </c>
      <c r="X23" s="377">
        <f t="shared" si="14"/>
        <v>0</v>
      </c>
      <c r="Y23" s="378">
        <f t="shared" si="15"/>
        <v>0</v>
      </c>
      <c r="Z23" s="379">
        <f t="shared" si="16"/>
        <v>0</v>
      </c>
      <c r="AA23" s="380">
        <f t="shared" si="17"/>
        <v>0.09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  <c r="AN23" s="204"/>
    </row>
    <row r="24" spans="1:40" ht="12.75" customHeight="1" thickBot="1">
      <c r="A24" s="2773" t="s">
        <v>138</v>
      </c>
      <c r="B24" s="2771"/>
      <c r="C24" s="2256">
        <f t="shared" si="1"/>
        <v>0</v>
      </c>
      <c r="D24" s="1883"/>
      <c r="E24" s="2787"/>
      <c r="F24" s="2787"/>
      <c r="G24" s="2787"/>
      <c r="H24" s="2027"/>
      <c r="I24" s="2788"/>
      <c r="J24" s="2788"/>
      <c r="K24" s="4215"/>
      <c r="L24" s="4246">
        <f t="shared" si="18"/>
        <v>0.38715277777777785</v>
      </c>
      <c r="M24" s="4217" t="s">
        <v>1122</v>
      </c>
      <c r="N24" s="4247">
        <v>0</v>
      </c>
      <c r="O24" s="2788"/>
      <c r="P24" s="4218"/>
      <c r="Q24" s="4219"/>
      <c r="R24" s="4248">
        <f>SUM(R16:R23)</f>
        <v>2040</v>
      </c>
      <c r="S24" s="229">
        <f t="shared" si="9"/>
        <v>0</v>
      </c>
      <c r="T24" s="230">
        <f t="shared" si="10"/>
        <v>0</v>
      </c>
      <c r="U24" s="374">
        <f t="shared" si="11"/>
        <v>0</v>
      </c>
      <c r="V24" s="375">
        <f t="shared" si="12"/>
        <v>0</v>
      </c>
      <c r="W24" s="376">
        <f t="shared" si="13"/>
        <v>0</v>
      </c>
      <c r="X24" s="377">
        <f t="shared" si="14"/>
        <v>0</v>
      </c>
      <c r="Y24" s="378">
        <f t="shared" si="15"/>
        <v>0</v>
      </c>
      <c r="Z24" s="379">
        <f t="shared" si="16"/>
        <v>0</v>
      </c>
      <c r="AA24" s="380">
        <f t="shared" si="17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  <c r="AN24" s="204"/>
    </row>
    <row r="25" spans="1:40" ht="12.75" customHeight="1" thickBot="1">
      <c r="A25" s="2773" t="s">
        <v>462</v>
      </c>
      <c r="B25" s="2771" t="s">
        <v>461</v>
      </c>
      <c r="C25" s="2256">
        <f t="shared" si="1"/>
        <v>2.1908757716049393E-4</v>
      </c>
      <c r="D25" s="1883">
        <v>2</v>
      </c>
      <c r="E25" s="4232">
        <v>1</v>
      </c>
      <c r="F25" s="4232">
        <v>1</v>
      </c>
      <c r="G25" s="4232">
        <v>400</v>
      </c>
      <c r="H25" s="4249"/>
      <c r="I25" s="2783">
        <v>2.8935185185185189E-4</v>
      </c>
      <c r="J25" s="2783">
        <v>2.8935185185185189E-4</v>
      </c>
      <c r="K25" s="2784" t="s">
        <v>2217</v>
      </c>
      <c r="L25" s="4191">
        <v>0.63194444444444442</v>
      </c>
      <c r="M25" s="4235" t="s">
        <v>1122</v>
      </c>
      <c r="N25" s="2783">
        <v>4.6527777777777774E-3</v>
      </c>
      <c r="O25" s="2783"/>
      <c r="P25" s="4236">
        <v>4.0740740740740746E-3</v>
      </c>
      <c r="Q25" s="2785">
        <v>144</v>
      </c>
      <c r="R25" s="4251">
        <v>400</v>
      </c>
      <c r="S25" s="229">
        <f t="shared" si="9"/>
        <v>0.4</v>
      </c>
      <c r="T25" s="230">
        <f t="shared" si="10"/>
        <v>0</v>
      </c>
      <c r="U25" s="374">
        <f t="shared" si="11"/>
        <v>0</v>
      </c>
      <c r="V25" s="375">
        <f t="shared" si="12"/>
        <v>0.4</v>
      </c>
      <c r="W25" s="376">
        <f t="shared" si="13"/>
        <v>0</v>
      </c>
      <c r="X25" s="377">
        <f t="shared" si="14"/>
        <v>0</v>
      </c>
      <c r="Y25" s="378">
        <f t="shared" si="15"/>
        <v>0</v>
      </c>
      <c r="Z25" s="379">
        <f t="shared" si="16"/>
        <v>0</v>
      </c>
      <c r="AA25" s="380">
        <f t="shared" si="17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  <c r="AN25" s="204"/>
    </row>
    <row r="26" spans="1:40" ht="12.75" customHeight="1" thickBot="1">
      <c r="A26" s="2773" t="s">
        <v>215</v>
      </c>
      <c r="B26" s="2771" t="s">
        <v>461</v>
      </c>
      <c r="C26" s="2256">
        <f t="shared" si="1"/>
        <v>1.8229166666666673E-4</v>
      </c>
      <c r="D26" s="1883">
        <v>6</v>
      </c>
      <c r="E26" s="2786">
        <v>2</v>
      </c>
      <c r="F26" s="2774">
        <v>8</v>
      </c>
      <c r="G26" s="2774">
        <v>50</v>
      </c>
      <c r="H26" s="2776"/>
      <c r="I26" s="2775">
        <v>3.4722222222222224E-4</v>
      </c>
      <c r="J26" s="2775">
        <v>6.9444444444444447E-4</v>
      </c>
      <c r="K26" s="1905" t="s">
        <v>2214</v>
      </c>
      <c r="L26" s="4196">
        <f t="shared" si="18"/>
        <v>0.63659722222222215</v>
      </c>
      <c r="M26" s="2786"/>
      <c r="N26" s="2776">
        <v>1.2870370370370372E-2</v>
      </c>
      <c r="O26" s="2777"/>
      <c r="P26" s="2778">
        <v>3.7037037037037035E-4</v>
      </c>
      <c r="Q26" s="4197">
        <v>0.87</v>
      </c>
      <c r="R26" s="4198">
        <v>800</v>
      </c>
      <c r="S26" s="229">
        <f t="shared" si="9"/>
        <v>0.8</v>
      </c>
      <c r="T26" s="230">
        <f t="shared" si="10"/>
        <v>0</v>
      </c>
      <c r="U26" s="374">
        <f t="shared" si="11"/>
        <v>0</v>
      </c>
      <c r="V26" s="375">
        <f t="shared" si="12"/>
        <v>0</v>
      </c>
      <c r="W26" s="376">
        <f t="shared" si="13"/>
        <v>0</v>
      </c>
      <c r="X26" s="377">
        <f t="shared" si="14"/>
        <v>0</v>
      </c>
      <c r="Y26" s="378">
        <f t="shared" si="15"/>
        <v>0</v>
      </c>
      <c r="Z26" s="379">
        <f t="shared" si="16"/>
        <v>0.8</v>
      </c>
      <c r="AA26" s="380">
        <f t="shared" si="17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  <c r="AN26" s="204"/>
    </row>
    <row r="27" spans="1:40" ht="12.75" customHeight="1" thickBot="1">
      <c r="A27" s="2773" t="s">
        <v>138</v>
      </c>
      <c r="B27" s="2771" t="s">
        <v>461</v>
      </c>
      <c r="C27" s="2256">
        <f t="shared" si="1"/>
        <v>2.1908757716049393E-4</v>
      </c>
      <c r="D27" s="1883">
        <v>2</v>
      </c>
      <c r="E27" s="4252">
        <v>1</v>
      </c>
      <c r="F27" s="4252">
        <v>4</v>
      </c>
      <c r="G27" s="4252">
        <v>75</v>
      </c>
      <c r="H27" s="2783"/>
      <c r="I27" s="2783">
        <v>1.7361111111111112E-4</v>
      </c>
      <c r="J27" s="2783">
        <v>1.7361111111111112E-4</v>
      </c>
      <c r="K27" s="4253" t="s">
        <v>2215</v>
      </c>
      <c r="L27" s="4250">
        <f t="shared" si="18"/>
        <v>0.64946759259259257</v>
      </c>
      <c r="M27" s="4254" t="s">
        <v>1122</v>
      </c>
      <c r="N27" s="2783">
        <v>3.414351851851852E-3</v>
      </c>
      <c r="O27" s="2783"/>
      <c r="P27" s="4255">
        <v>6.3657407407407402E-4</v>
      </c>
      <c r="Q27" s="4256">
        <v>144</v>
      </c>
      <c r="R27" s="4251">
        <v>300</v>
      </c>
      <c r="S27" s="229">
        <f t="shared" si="9"/>
        <v>0.3</v>
      </c>
      <c r="T27" s="230">
        <f t="shared" si="10"/>
        <v>0</v>
      </c>
      <c r="U27" s="374">
        <f t="shared" si="11"/>
        <v>0</v>
      </c>
      <c r="V27" s="375">
        <f t="shared" si="12"/>
        <v>0.3</v>
      </c>
      <c r="W27" s="376">
        <f t="shared" si="13"/>
        <v>0</v>
      </c>
      <c r="X27" s="377">
        <f t="shared" si="14"/>
        <v>0</v>
      </c>
      <c r="Y27" s="378">
        <f t="shared" si="15"/>
        <v>0</v>
      </c>
      <c r="Z27" s="379">
        <f t="shared" si="16"/>
        <v>0</v>
      </c>
      <c r="AA27" s="380">
        <f t="shared" si="17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  <c r="AN27" s="204"/>
    </row>
    <row r="28" spans="1:40" ht="16.25" customHeight="1" thickBot="1">
      <c r="A28" s="2773" t="s">
        <v>462</v>
      </c>
      <c r="B28" s="2771" t="s">
        <v>461</v>
      </c>
      <c r="C28" s="2256">
        <f t="shared" si="1"/>
        <v>1.7682291666666674E-4</v>
      </c>
      <c r="D28" s="1883">
        <v>7</v>
      </c>
      <c r="E28" s="4206">
        <v>3</v>
      </c>
      <c r="F28" s="4206">
        <v>1</v>
      </c>
      <c r="G28" s="4206">
        <v>80</v>
      </c>
      <c r="H28" s="4208" t="s">
        <v>1376</v>
      </c>
      <c r="I28" s="4208">
        <v>2.5462962962962961E-3</v>
      </c>
      <c r="J28" s="4208">
        <v>1.3888888888888889E-3</v>
      </c>
      <c r="K28" s="4209" t="s">
        <v>1369</v>
      </c>
      <c r="L28" s="2789">
        <f t="shared" si="18"/>
        <v>0.65288194444444447</v>
      </c>
      <c r="M28" s="4210" t="s">
        <v>1122</v>
      </c>
      <c r="N28" s="4208">
        <v>1.3449074074074073E-2</v>
      </c>
      <c r="O28" s="2780"/>
      <c r="P28" s="2790">
        <v>5.4398148148148144E-4</v>
      </c>
      <c r="Q28" s="4211" t="s">
        <v>316</v>
      </c>
      <c r="R28" s="4212">
        <v>240</v>
      </c>
      <c r="S28" s="229">
        <f t="shared" si="9"/>
        <v>0.24</v>
      </c>
      <c r="T28" s="230">
        <f t="shared" si="10"/>
        <v>0</v>
      </c>
      <c r="U28" s="374">
        <f t="shared" si="11"/>
        <v>0</v>
      </c>
      <c r="V28" s="375">
        <f t="shared" si="12"/>
        <v>0</v>
      </c>
      <c r="W28" s="376">
        <f t="shared" si="13"/>
        <v>0</v>
      </c>
      <c r="X28" s="377">
        <f t="shared" si="14"/>
        <v>0</v>
      </c>
      <c r="Y28" s="378">
        <f t="shared" si="15"/>
        <v>0</v>
      </c>
      <c r="Z28" s="379">
        <f t="shared" si="16"/>
        <v>0</v>
      </c>
      <c r="AA28" s="380">
        <f t="shared" si="17"/>
        <v>0.24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  <c r="AN28" s="204"/>
    </row>
    <row r="29" spans="1:40" ht="13.25" customHeight="1" thickBot="1">
      <c r="A29" s="2773" t="s">
        <v>215</v>
      </c>
      <c r="B29" s="2771" t="s">
        <v>461</v>
      </c>
      <c r="C29" s="2256">
        <f t="shared" si="1"/>
        <v>1.7682291666666674E-4</v>
      </c>
      <c r="D29" s="1883">
        <v>7</v>
      </c>
      <c r="E29" s="4206">
        <v>1</v>
      </c>
      <c r="F29" s="4206">
        <v>6</v>
      </c>
      <c r="G29" s="4206">
        <v>80</v>
      </c>
      <c r="H29" s="4208" t="s">
        <v>1377</v>
      </c>
      <c r="I29" s="4208">
        <v>4.6296296296296293E-4</v>
      </c>
      <c r="J29" s="4208">
        <v>1.3888888888888889E-3</v>
      </c>
      <c r="K29" s="4209" t="s">
        <v>1371</v>
      </c>
      <c r="L29" s="2789">
        <f t="shared" si="18"/>
        <v>0.6663310185185185</v>
      </c>
      <c r="M29" s="4210" t="s">
        <v>1122</v>
      </c>
      <c r="N29" s="4208">
        <v>7.4537037037037028E-3</v>
      </c>
      <c r="O29" s="2780"/>
      <c r="P29" s="2790">
        <v>5.4398148148148144E-4</v>
      </c>
      <c r="Q29" s="4211" t="s">
        <v>316</v>
      </c>
      <c r="R29" s="4212">
        <v>480</v>
      </c>
      <c r="S29" s="229">
        <f t="shared" si="9"/>
        <v>0.48</v>
      </c>
      <c r="T29" s="230">
        <f t="shared" si="10"/>
        <v>0</v>
      </c>
      <c r="U29" s="374">
        <f t="shared" si="11"/>
        <v>0</v>
      </c>
      <c r="V29" s="375">
        <f t="shared" si="12"/>
        <v>0</v>
      </c>
      <c r="W29" s="376">
        <f t="shared" si="13"/>
        <v>0</v>
      </c>
      <c r="X29" s="377">
        <f t="shared" si="14"/>
        <v>0</v>
      </c>
      <c r="Y29" s="378">
        <f t="shared" si="15"/>
        <v>0</v>
      </c>
      <c r="Z29" s="379">
        <f t="shared" si="16"/>
        <v>0</v>
      </c>
      <c r="AA29" s="380">
        <f t="shared" si="17"/>
        <v>0.48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  <c r="AN29" s="204"/>
    </row>
    <row r="30" spans="1:40" ht="13.25" customHeight="1" thickBot="1">
      <c r="A30" s="2773" t="s">
        <v>138</v>
      </c>
      <c r="B30" s="2771" t="s">
        <v>461</v>
      </c>
      <c r="C30" s="2256">
        <f t="shared" si="1"/>
        <v>2.1222190799396687E-4</v>
      </c>
      <c r="D30" s="2807">
        <v>3</v>
      </c>
      <c r="E30" s="2808">
        <v>1</v>
      </c>
      <c r="F30" s="2808">
        <v>1</v>
      </c>
      <c r="G30" s="2808">
        <v>500</v>
      </c>
      <c r="H30" s="2809"/>
      <c r="I30" s="2809">
        <v>1.7361111111111112E-4</v>
      </c>
      <c r="J30" s="2809">
        <v>1.3888888888888889E-3</v>
      </c>
      <c r="K30" s="2810" t="s">
        <v>2216</v>
      </c>
      <c r="L30" s="4223">
        <f t="shared" si="18"/>
        <v>0.67378472222222219</v>
      </c>
      <c r="M30" s="2811"/>
      <c r="N30" s="2809">
        <v>6.0879629629629643E-3</v>
      </c>
      <c r="O30" s="2812"/>
      <c r="P30" s="4224">
        <v>4.5254629629629629E-3</v>
      </c>
      <c r="Q30" s="2813">
        <v>160</v>
      </c>
      <c r="R30" s="4225">
        <v>500</v>
      </c>
      <c r="S30" s="229">
        <f t="shared" si="9"/>
        <v>0.5</v>
      </c>
      <c r="T30" s="230">
        <f t="shared" si="10"/>
        <v>0</v>
      </c>
      <c r="U30" s="374">
        <f t="shared" si="11"/>
        <v>0</v>
      </c>
      <c r="V30" s="375">
        <f t="shared" si="12"/>
        <v>0</v>
      </c>
      <c r="W30" s="376">
        <f t="shared" si="13"/>
        <v>0.5</v>
      </c>
      <c r="X30" s="377">
        <f t="shared" si="14"/>
        <v>0</v>
      </c>
      <c r="Y30" s="378">
        <f t="shared" si="15"/>
        <v>0</v>
      </c>
      <c r="Z30" s="379">
        <f t="shared" si="16"/>
        <v>0</v>
      </c>
      <c r="AA30" s="380">
        <f t="shared" si="17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  <c r="AN30" s="204"/>
    </row>
    <row r="31" spans="1:40" ht="18" customHeight="1" thickBot="1">
      <c r="A31" s="2773" t="s">
        <v>462</v>
      </c>
      <c r="B31" s="2771" t="s">
        <v>461</v>
      </c>
      <c r="C31" s="2256">
        <f t="shared" si="1"/>
        <v>1.7682291666666674E-4</v>
      </c>
      <c r="D31" s="1883">
        <v>7</v>
      </c>
      <c r="E31" s="4206">
        <v>1</v>
      </c>
      <c r="F31" s="4206">
        <v>8</v>
      </c>
      <c r="G31" s="4206">
        <v>15</v>
      </c>
      <c r="H31" s="4208"/>
      <c r="I31" s="4208">
        <v>2.4305555555555556E-3</v>
      </c>
      <c r="J31" s="4208">
        <v>6.9444444444444447E-4</v>
      </c>
      <c r="K31" s="4209" t="s">
        <v>2218</v>
      </c>
      <c r="L31" s="2789">
        <f t="shared" si="18"/>
        <v>0.67987268518518518</v>
      </c>
      <c r="M31" s="4210" t="s">
        <v>1122</v>
      </c>
      <c r="N31" s="4208">
        <v>1.5891203703703703E-2</v>
      </c>
      <c r="O31" s="2780"/>
      <c r="P31" s="2790">
        <v>1.0416666666666667E-4</v>
      </c>
      <c r="Q31" s="4211"/>
      <c r="R31" s="4212">
        <v>90</v>
      </c>
      <c r="S31" s="229">
        <f t="shared" si="9"/>
        <v>0.12</v>
      </c>
      <c r="T31" s="230">
        <f t="shared" si="10"/>
        <v>0</v>
      </c>
      <c r="U31" s="374">
        <f t="shared" si="11"/>
        <v>0</v>
      </c>
      <c r="V31" s="375">
        <f t="shared" si="12"/>
        <v>0</v>
      </c>
      <c r="W31" s="376">
        <f t="shared" si="13"/>
        <v>0</v>
      </c>
      <c r="X31" s="377">
        <f t="shared" si="14"/>
        <v>0</v>
      </c>
      <c r="Y31" s="378">
        <f t="shared" si="15"/>
        <v>0</v>
      </c>
      <c r="Z31" s="379">
        <f t="shared" si="16"/>
        <v>0</v>
      </c>
      <c r="AA31" s="380">
        <f t="shared" si="17"/>
        <v>0.12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  <c r="AN31" s="204"/>
    </row>
    <row r="32" spans="1:40" ht="14" thickBot="1">
      <c r="A32" s="2773"/>
      <c r="B32" s="4257"/>
      <c r="C32" s="2256">
        <f t="shared" si="1"/>
        <v>1.7682291666666674E-4</v>
      </c>
      <c r="D32" s="1883">
        <v>7</v>
      </c>
      <c r="E32" s="2791"/>
      <c r="F32" s="2791"/>
      <c r="G32" s="2791"/>
      <c r="H32" s="2792"/>
      <c r="I32" s="2792"/>
      <c r="J32" s="2792"/>
      <c r="K32" s="2793"/>
      <c r="L32" s="4229">
        <f t="shared" si="18"/>
        <v>0.69576388888888885</v>
      </c>
      <c r="M32" s="4230" t="s">
        <v>1122</v>
      </c>
      <c r="N32" s="2794"/>
      <c r="O32" s="2792"/>
      <c r="P32" s="4231"/>
      <c r="Q32" s="2795"/>
      <c r="R32" s="2796">
        <f>SUM(R25:R31)</f>
        <v>2810</v>
      </c>
      <c r="S32" s="229">
        <f t="shared" si="9"/>
        <v>0</v>
      </c>
      <c r="T32" s="230">
        <f t="shared" si="10"/>
        <v>0</v>
      </c>
      <c r="U32" s="374">
        <f t="shared" si="11"/>
        <v>0</v>
      </c>
      <c r="V32" s="375">
        <f t="shared" si="12"/>
        <v>0</v>
      </c>
      <c r="W32" s="376">
        <f t="shared" si="13"/>
        <v>0</v>
      </c>
      <c r="X32" s="377">
        <f t="shared" si="14"/>
        <v>0</v>
      </c>
      <c r="Y32" s="378">
        <f t="shared" si="15"/>
        <v>0</v>
      </c>
      <c r="Z32" s="379">
        <f t="shared" si="16"/>
        <v>0</v>
      </c>
      <c r="AA32" s="380">
        <f t="shared" si="17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  <c r="AN32" s="204"/>
    </row>
    <row r="33" spans="1:40" ht="17" customHeight="1" thickBot="1">
      <c r="A33" s="2805" t="s">
        <v>215</v>
      </c>
      <c r="B33" s="4214" t="s">
        <v>461</v>
      </c>
      <c r="C33" s="2256">
        <f t="shared" si="1"/>
        <v>2.2880964381720439E-4</v>
      </c>
      <c r="D33" s="1883">
        <v>1</v>
      </c>
      <c r="E33" s="2798">
        <v>1</v>
      </c>
      <c r="F33" s="2798">
        <v>1</v>
      </c>
      <c r="G33" s="2798">
        <v>400</v>
      </c>
      <c r="H33" s="2782"/>
      <c r="I33" s="2782">
        <v>1.1574074074074073E-4</v>
      </c>
      <c r="J33" s="2782">
        <v>6.9444444444444447E-4</v>
      </c>
      <c r="K33" s="2814" t="s">
        <v>1381</v>
      </c>
      <c r="L33" s="4258">
        <v>0.63541666666666663</v>
      </c>
      <c r="M33" s="4259" t="s">
        <v>1122</v>
      </c>
      <c r="N33" s="2782">
        <v>4.7106481481481478E-3</v>
      </c>
      <c r="O33" s="2799"/>
      <c r="P33" s="2799">
        <v>3.9004629629629632E-3</v>
      </c>
      <c r="Q33" s="2800">
        <v>129</v>
      </c>
      <c r="R33" s="2798">
        <v>400</v>
      </c>
      <c r="S33" s="229">
        <f t="shared" si="9"/>
        <v>0.4</v>
      </c>
      <c r="T33" s="230">
        <f t="shared" si="10"/>
        <v>0</v>
      </c>
      <c r="U33" s="374">
        <f t="shared" si="11"/>
        <v>0.4</v>
      </c>
      <c r="V33" s="375">
        <f t="shared" si="12"/>
        <v>0</v>
      </c>
      <c r="W33" s="376">
        <f t="shared" si="13"/>
        <v>0</v>
      </c>
      <c r="X33" s="377">
        <f t="shared" si="14"/>
        <v>0</v>
      </c>
      <c r="Y33" s="378">
        <f t="shared" si="15"/>
        <v>0</v>
      </c>
      <c r="Z33" s="379">
        <f t="shared" si="16"/>
        <v>0</v>
      </c>
      <c r="AA33" s="380">
        <f t="shared" si="17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  <c r="AN33" s="204"/>
    </row>
    <row r="34" spans="1:40" ht="15" customHeight="1" thickBot="1">
      <c r="A34" s="2805" t="s">
        <v>139</v>
      </c>
      <c r="B34" s="4214" t="s">
        <v>461</v>
      </c>
      <c r="C34" s="2256">
        <f t="shared" si="1"/>
        <v>1.8229166666666673E-4</v>
      </c>
      <c r="D34" s="1883">
        <v>6</v>
      </c>
      <c r="E34" s="2786">
        <v>1</v>
      </c>
      <c r="F34" s="2774">
        <v>8</v>
      </c>
      <c r="G34" s="2774">
        <v>50</v>
      </c>
      <c r="H34" s="2776"/>
      <c r="I34" s="2775">
        <v>3.4722222222222224E-4</v>
      </c>
      <c r="J34" s="2775">
        <v>6.9444444444444447E-4</v>
      </c>
      <c r="K34" s="1905" t="s">
        <v>2219</v>
      </c>
      <c r="L34" s="4196">
        <f t="shared" si="18"/>
        <v>0.64012731481481477</v>
      </c>
      <c r="M34" s="2786"/>
      <c r="N34" s="2776">
        <v>6.4351851851851861E-3</v>
      </c>
      <c r="O34" s="2777"/>
      <c r="P34" s="2778">
        <v>3.7037037037037035E-4</v>
      </c>
      <c r="Q34" s="4197">
        <v>0.87</v>
      </c>
      <c r="R34" s="4198">
        <v>400</v>
      </c>
      <c r="S34" s="229">
        <f t="shared" si="9"/>
        <v>0.4</v>
      </c>
      <c r="T34" s="230">
        <f t="shared" si="10"/>
        <v>0</v>
      </c>
      <c r="U34" s="374">
        <f t="shared" si="11"/>
        <v>0</v>
      </c>
      <c r="V34" s="375">
        <f t="shared" si="12"/>
        <v>0</v>
      </c>
      <c r="W34" s="376">
        <f t="shared" si="13"/>
        <v>0</v>
      </c>
      <c r="X34" s="377">
        <f t="shared" si="14"/>
        <v>0</v>
      </c>
      <c r="Y34" s="378">
        <f t="shared" si="15"/>
        <v>0</v>
      </c>
      <c r="Z34" s="379">
        <f t="shared" si="16"/>
        <v>0.4</v>
      </c>
      <c r="AA34" s="380">
        <f t="shared" si="17"/>
        <v>0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  <c r="AN34" s="204"/>
    </row>
    <row r="35" spans="1:40" ht="17" customHeight="1" thickBot="1">
      <c r="A35" s="2805" t="s">
        <v>458</v>
      </c>
      <c r="B35" s="4214" t="s">
        <v>461</v>
      </c>
      <c r="C35" s="2256">
        <f t="shared" si="1"/>
        <v>2.1908757716049393E-4</v>
      </c>
      <c r="D35" s="1883">
        <v>2</v>
      </c>
      <c r="E35" s="4252">
        <v>1</v>
      </c>
      <c r="F35" s="4252">
        <v>4</v>
      </c>
      <c r="G35" s="4252">
        <v>50</v>
      </c>
      <c r="H35" s="2783"/>
      <c r="I35" s="2783">
        <v>2.3148148148148146E-4</v>
      </c>
      <c r="J35" s="2783">
        <v>6.9444444444444447E-4</v>
      </c>
      <c r="K35" s="4253" t="s">
        <v>1382</v>
      </c>
      <c r="L35" s="4250">
        <f t="shared" si="18"/>
        <v>0.64656249999999993</v>
      </c>
      <c r="M35" s="4254" t="s">
        <v>1122</v>
      </c>
      <c r="N35" s="2783">
        <v>5.0115740740740737E-3</v>
      </c>
      <c r="O35" s="2783"/>
      <c r="P35" s="4255">
        <v>8.449074074074075E-4</v>
      </c>
      <c r="Q35" s="4256">
        <v>145</v>
      </c>
      <c r="R35" s="4251">
        <v>200</v>
      </c>
      <c r="S35" s="229">
        <f t="shared" si="9"/>
        <v>0.2</v>
      </c>
      <c r="T35" s="230">
        <f t="shared" si="10"/>
        <v>0</v>
      </c>
      <c r="U35" s="374">
        <f t="shared" si="11"/>
        <v>0</v>
      </c>
      <c r="V35" s="375">
        <f t="shared" si="12"/>
        <v>0.2</v>
      </c>
      <c r="W35" s="376">
        <f t="shared" si="13"/>
        <v>0</v>
      </c>
      <c r="X35" s="377">
        <f t="shared" si="14"/>
        <v>0</v>
      </c>
      <c r="Y35" s="378">
        <f t="shared" si="15"/>
        <v>0</v>
      </c>
      <c r="Z35" s="379">
        <f t="shared" si="16"/>
        <v>0</v>
      </c>
      <c r="AA35" s="380">
        <f t="shared" si="17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  <c r="AN35" s="204"/>
    </row>
    <row r="36" spans="1:40" ht="14" customHeight="1" thickBot="1">
      <c r="A36" s="2805" t="s">
        <v>462</v>
      </c>
      <c r="B36" s="4214" t="s">
        <v>461</v>
      </c>
      <c r="C36" s="2256">
        <f t="shared" si="1"/>
        <v>1.7682291666666674E-4</v>
      </c>
      <c r="D36" s="1883">
        <v>7</v>
      </c>
      <c r="E36" s="4206">
        <v>3</v>
      </c>
      <c r="F36" s="4206">
        <v>1</v>
      </c>
      <c r="G36" s="4206">
        <v>50</v>
      </c>
      <c r="H36" s="4208" t="s">
        <v>1383</v>
      </c>
      <c r="I36" s="4208">
        <v>2.5462962962962961E-3</v>
      </c>
      <c r="J36" s="4208">
        <v>0</v>
      </c>
      <c r="K36" s="4209" t="s">
        <v>1369</v>
      </c>
      <c r="L36" s="2789">
        <f t="shared" si="18"/>
        <v>0.65157407407407397</v>
      </c>
      <c r="M36" s="4210" t="s">
        <v>1122</v>
      </c>
      <c r="N36" s="4208">
        <v>8.6689814814814806E-3</v>
      </c>
      <c r="O36" s="2780"/>
      <c r="P36" s="2790">
        <v>3.4722222222222224E-4</v>
      </c>
      <c r="Q36" s="4211" t="s">
        <v>316</v>
      </c>
      <c r="R36" s="4212">
        <v>150</v>
      </c>
      <c r="S36" s="229">
        <f t="shared" si="9"/>
        <v>0.15</v>
      </c>
      <c r="T36" s="230">
        <f t="shared" si="10"/>
        <v>0</v>
      </c>
      <c r="U36" s="374">
        <f t="shared" si="11"/>
        <v>0</v>
      </c>
      <c r="V36" s="375">
        <f t="shared" si="12"/>
        <v>0</v>
      </c>
      <c r="W36" s="376">
        <f t="shared" si="13"/>
        <v>0</v>
      </c>
      <c r="X36" s="377">
        <f t="shared" si="14"/>
        <v>0</v>
      </c>
      <c r="Y36" s="378">
        <f t="shared" si="15"/>
        <v>0</v>
      </c>
      <c r="Z36" s="379">
        <f t="shared" si="16"/>
        <v>0</v>
      </c>
      <c r="AA36" s="380">
        <f t="shared" si="17"/>
        <v>0.15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  <c r="AN36" s="204"/>
    </row>
    <row r="37" spans="1:40" ht="14" thickBot="1">
      <c r="A37" s="2805" t="s">
        <v>140</v>
      </c>
      <c r="B37" s="4214" t="s">
        <v>461</v>
      </c>
      <c r="C37" s="2256">
        <f t="shared" si="1"/>
        <v>1.7682291666666674E-4</v>
      </c>
      <c r="D37" s="1883">
        <v>7</v>
      </c>
      <c r="E37" s="4206">
        <v>1</v>
      </c>
      <c r="F37" s="4260">
        <v>4</v>
      </c>
      <c r="G37" s="4206">
        <v>50</v>
      </c>
      <c r="H37" s="4208" t="s">
        <v>1384</v>
      </c>
      <c r="I37" s="4208">
        <v>3.9351851851851857E-3</v>
      </c>
      <c r="J37" s="4208">
        <v>0</v>
      </c>
      <c r="K37" s="4209" t="s">
        <v>1371</v>
      </c>
      <c r="L37" s="2789">
        <f t="shared" si="18"/>
        <v>0.6602430555555554</v>
      </c>
      <c r="M37" s="4210" t="s">
        <v>1122</v>
      </c>
      <c r="N37" s="4208">
        <v>1.7106481481481483E-2</v>
      </c>
      <c r="O37" s="2780"/>
      <c r="P37" s="2790">
        <v>3.4722222222222224E-4</v>
      </c>
      <c r="Q37" s="4211" t="s">
        <v>316</v>
      </c>
      <c r="R37" s="4212">
        <v>200</v>
      </c>
      <c r="S37" s="229">
        <f t="shared" si="9"/>
        <v>0.2</v>
      </c>
      <c r="T37" s="230">
        <f t="shared" si="10"/>
        <v>0</v>
      </c>
      <c r="U37" s="374">
        <f t="shared" si="11"/>
        <v>0</v>
      </c>
      <c r="V37" s="375">
        <f t="shared" si="12"/>
        <v>0</v>
      </c>
      <c r="W37" s="376">
        <f t="shared" si="13"/>
        <v>0</v>
      </c>
      <c r="X37" s="377">
        <f t="shared" si="14"/>
        <v>0</v>
      </c>
      <c r="Y37" s="378">
        <f t="shared" si="15"/>
        <v>0</v>
      </c>
      <c r="Z37" s="379">
        <f t="shared" si="16"/>
        <v>0</v>
      </c>
      <c r="AA37" s="380">
        <f t="shared" si="17"/>
        <v>0.2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  <c r="AN37" s="204"/>
    </row>
    <row r="38" spans="1:40" ht="14" customHeight="1" thickBot="1">
      <c r="A38" s="2805" t="s">
        <v>674</v>
      </c>
      <c r="B38" s="4214" t="s">
        <v>461</v>
      </c>
      <c r="C38" s="2256">
        <f t="shared" si="1"/>
        <v>2.1908757716049393E-4</v>
      </c>
      <c r="D38" s="1883">
        <v>2</v>
      </c>
      <c r="E38" s="4232">
        <v>1</v>
      </c>
      <c r="F38" s="4232">
        <v>2</v>
      </c>
      <c r="G38" s="4232">
        <v>200</v>
      </c>
      <c r="H38" s="2783"/>
      <c r="I38" s="2783">
        <v>1.1574074074074073E-4</v>
      </c>
      <c r="J38" s="2783">
        <v>2.8935185185185189E-4</v>
      </c>
      <c r="K38" s="4261" t="s">
        <v>933</v>
      </c>
      <c r="L38" s="4223">
        <f t="shared" si="18"/>
        <v>0.67734953703703693</v>
      </c>
      <c r="M38" s="4262" t="s">
        <v>1122</v>
      </c>
      <c r="N38" s="4263">
        <v>4.5949074074074078E-3</v>
      </c>
      <c r="O38" s="4263"/>
      <c r="P38" s="4264">
        <v>2.0370370370370373E-3</v>
      </c>
      <c r="Q38" s="4265">
        <v>144</v>
      </c>
      <c r="R38" s="4266">
        <v>400</v>
      </c>
      <c r="S38" s="229">
        <f t="shared" si="9"/>
        <v>0.4</v>
      </c>
      <c r="T38" s="230">
        <f t="shared" si="10"/>
        <v>0</v>
      </c>
      <c r="U38" s="374">
        <f t="shared" si="11"/>
        <v>0</v>
      </c>
      <c r="V38" s="375">
        <f t="shared" si="12"/>
        <v>0.4</v>
      </c>
      <c r="W38" s="376">
        <f t="shared" si="13"/>
        <v>0</v>
      </c>
      <c r="X38" s="377">
        <f t="shared" si="14"/>
        <v>0</v>
      </c>
      <c r="Y38" s="378">
        <f t="shared" si="15"/>
        <v>0</v>
      </c>
      <c r="Z38" s="379">
        <f t="shared" si="16"/>
        <v>0</v>
      </c>
      <c r="AA38" s="380">
        <f t="shared" si="17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  <c r="AN38" s="204"/>
    </row>
    <row r="39" spans="1:40" ht="17" customHeight="1" thickBot="1">
      <c r="A39" s="2805" t="s">
        <v>214</v>
      </c>
      <c r="B39" s="4214" t="s">
        <v>461</v>
      </c>
      <c r="C39" s="2256">
        <f t="shared" si="1"/>
        <v>1.7682291666666674E-4</v>
      </c>
      <c r="D39" s="1883">
        <v>7</v>
      </c>
      <c r="E39" s="4267">
        <v>1</v>
      </c>
      <c r="F39" s="4268">
        <v>6</v>
      </c>
      <c r="G39" s="4268">
        <v>15</v>
      </c>
      <c r="H39" s="4269"/>
      <c r="I39" s="2779">
        <v>2.4305555555555556E-3</v>
      </c>
      <c r="J39" s="4270">
        <v>6.9444444444444447E-4</v>
      </c>
      <c r="K39" s="4271" t="s">
        <v>1373</v>
      </c>
      <c r="L39" s="4272">
        <f t="shared" si="18"/>
        <v>0.68194444444444435</v>
      </c>
      <c r="M39" s="4273" t="s">
        <v>1122</v>
      </c>
      <c r="N39" s="2779">
        <v>1.5891203703703703E-2</v>
      </c>
      <c r="O39" s="2779"/>
      <c r="P39" s="2780">
        <v>1.0416666666666667E-4</v>
      </c>
      <c r="Q39" s="2797"/>
      <c r="R39" s="4267">
        <v>90</v>
      </c>
      <c r="S39" s="229">
        <f t="shared" si="9"/>
        <v>0.09</v>
      </c>
      <c r="T39" s="230">
        <f t="shared" si="10"/>
        <v>0</v>
      </c>
      <c r="U39" s="374">
        <f t="shared" si="11"/>
        <v>0</v>
      </c>
      <c r="V39" s="375">
        <f t="shared" si="12"/>
        <v>0</v>
      </c>
      <c r="W39" s="376">
        <f t="shared" si="13"/>
        <v>0</v>
      </c>
      <c r="X39" s="377">
        <f t="shared" si="14"/>
        <v>0</v>
      </c>
      <c r="Y39" s="378">
        <f t="shared" si="15"/>
        <v>0</v>
      </c>
      <c r="Z39" s="379">
        <f t="shared" si="16"/>
        <v>0</v>
      </c>
      <c r="AA39" s="380">
        <f t="shared" si="17"/>
        <v>0.09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  <c r="AN39" s="204"/>
    </row>
    <row r="40" spans="1:40" ht="14" thickBot="1">
      <c r="A40" s="4274"/>
      <c r="B40" s="4275"/>
      <c r="C40" s="2256">
        <f t="shared" si="1"/>
        <v>2.2880964381720439E-4</v>
      </c>
      <c r="D40" s="1883">
        <v>1</v>
      </c>
      <c r="E40" s="4276"/>
      <c r="F40" s="4277"/>
      <c r="G40" s="4277"/>
      <c r="H40" s="4277"/>
      <c r="I40" s="4277"/>
      <c r="J40" s="4277"/>
      <c r="K40" s="4277"/>
      <c r="L40" s="4278">
        <f t="shared" si="18"/>
        <v>0.69783564814814802</v>
      </c>
      <c r="M40" s="4277"/>
      <c r="N40" s="4279">
        <v>0</v>
      </c>
      <c r="O40" s="4277"/>
      <c r="P40" s="4277"/>
      <c r="Q40" s="4277"/>
      <c r="R40" s="4280">
        <f>SUM(R33:R39)</f>
        <v>1840</v>
      </c>
      <c r="S40" s="229">
        <f t="shared" si="9"/>
        <v>0</v>
      </c>
      <c r="T40" s="230">
        <f t="shared" si="10"/>
        <v>0</v>
      </c>
      <c r="U40" s="374">
        <f t="shared" si="11"/>
        <v>0</v>
      </c>
      <c r="V40" s="375">
        <f t="shared" si="12"/>
        <v>0</v>
      </c>
      <c r="W40" s="376">
        <f t="shared" si="13"/>
        <v>0</v>
      </c>
      <c r="X40" s="377">
        <f t="shared" si="14"/>
        <v>0</v>
      </c>
      <c r="Y40" s="378">
        <f t="shared" si="15"/>
        <v>0</v>
      </c>
      <c r="Z40" s="379">
        <f t="shared" si="16"/>
        <v>0</v>
      </c>
      <c r="AA40" s="380">
        <f t="shared" si="17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  <c r="AN40" s="204"/>
    </row>
    <row r="41" spans="1:40" ht="14" thickBot="1">
      <c r="A41" s="2773"/>
      <c r="B41" s="2802" t="s">
        <v>215</v>
      </c>
      <c r="C41" s="2256">
        <f t="shared" si="1"/>
        <v>2.2880964381720439E-4</v>
      </c>
      <c r="D41" s="1527">
        <v>1</v>
      </c>
      <c r="E41" s="1387">
        <v>1</v>
      </c>
      <c r="F41" s="1387">
        <v>1</v>
      </c>
      <c r="G41" s="1387">
        <v>600</v>
      </c>
      <c r="H41" s="1528"/>
      <c r="I41" s="276">
        <v>0</v>
      </c>
      <c r="J41" s="276">
        <v>1.1574074074074073E-4</v>
      </c>
      <c r="K41" s="312" t="s">
        <v>372</v>
      </c>
      <c r="L41" s="276">
        <v>0.34027777777777773</v>
      </c>
      <c r="M41" s="1530">
        <v>1.2</v>
      </c>
      <c r="N41" s="276">
        <f t="shared" ref="N41" si="29">P41*E41*F41+I41*F41*E41+J41*E41</f>
        <v>6.7054584826762272E-3</v>
      </c>
      <c r="O41" s="1528">
        <f t="shared" ref="O41:O47" si="30">C41*(G41/25)</f>
        <v>5.4914314516129057E-3</v>
      </c>
      <c r="P41" s="296">
        <f t="shared" ref="P41:P47" si="31">O41*M41</f>
        <v>6.5897177419354863E-3</v>
      </c>
      <c r="Q41" s="548">
        <v>145</v>
      </c>
      <c r="R41" s="1395">
        <f t="shared" ref="R41:R47" si="32">E41*F41*G41</f>
        <v>600</v>
      </c>
      <c r="S41" s="229">
        <f t="shared" ref="S41:S49" si="33">E41*F41*G41/1000</f>
        <v>0.6</v>
      </c>
      <c r="T41" s="230">
        <f t="shared" ref="T41:T49" si="34">E41*F41*O41*4</f>
        <v>2.1965725806451623E-2</v>
      </c>
      <c r="U41" s="374">
        <f t="shared" ref="U41:U49" si="35">IF(C41*4&gt;=$U$4,S41,0)</f>
        <v>0.6</v>
      </c>
      <c r="V41" s="375">
        <f t="shared" ref="V41:V49" si="36">IF(AND(C41*4&gt;=$V$4,C41*4&lt;$U$4),S41,0)</f>
        <v>0</v>
      </c>
      <c r="W41" s="376">
        <f t="shared" ref="W41:W49" si="37">IF(AND(C41*4&gt;=$W$4,C41*4&lt;$V$4),S41,0)</f>
        <v>0</v>
      </c>
      <c r="X41" s="377">
        <f t="shared" ref="X41:X49" si="38">IF(AND(C41*4&gt;=$X$4,C41*4&lt;$W$4),S41,0)</f>
        <v>0</v>
      </c>
      <c r="Y41" s="378">
        <f t="shared" ref="Y41:Y49" si="39">IF(AND(C41*4&gt;=$Y$4,C41*4&lt;$X$4),S41,0)</f>
        <v>0</v>
      </c>
      <c r="Z41" s="379">
        <f t="shared" ref="Z41:Z49" si="40">IF(AND(C41*4&gt;=$Z$4,C41*4&lt;$Y$4),S41,0)</f>
        <v>0</v>
      </c>
      <c r="AA41" s="380">
        <f t="shared" ref="AA41:AA49" si="41">IF(AND(C41*4&gt;=$AA$4,C41*4&lt;$Z$4),S41,0)</f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  <c r="AN41" s="204"/>
    </row>
    <row r="42" spans="1:40" ht="14" thickBot="1">
      <c r="A42" s="2773" t="s">
        <v>217</v>
      </c>
      <c r="B42" s="2771" t="s">
        <v>215</v>
      </c>
      <c r="C42" s="2256">
        <f t="shared" si="1"/>
        <v>1.7682291666666674E-4</v>
      </c>
      <c r="D42" s="1539">
        <v>7</v>
      </c>
      <c r="E42" s="441">
        <v>1</v>
      </c>
      <c r="F42" s="441">
        <v>4</v>
      </c>
      <c r="G42" s="441">
        <v>25</v>
      </c>
      <c r="H42" s="1541"/>
      <c r="I42" s="436">
        <v>4.6296296296296293E-4</v>
      </c>
      <c r="J42" s="436">
        <v>6.9444444444444447E-4</v>
      </c>
      <c r="K42" s="443" t="s">
        <v>1430</v>
      </c>
      <c r="L42" s="436">
        <f>L41+N41</f>
        <v>0.34698323626045396</v>
      </c>
      <c r="M42" s="1542">
        <v>1.1000000000000001</v>
      </c>
      <c r="N42" s="436">
        <f t="shared" ref="N42:N47" si="42">P42*E42*F42+I42*F42+J42*E42</f>
        <v>3.3243171296296302E-3</v>
      </c>
      <c r="O42" s="1528">
        <f t="shared" si="30"/>
        <v>1.7682291666666674E-4</v>
      </c>
      <c r="P42" s="439">
        <f t="shared" si="31"/>
        <v>1.9450520833333342E-4</v>
      </c>
      <c r="Q42" s="1320" t="s">
        <v>274</v>
      </c>
      <c r="R42" s="638">
        <f t="shared" si="32"/>
        <v>100</v>
      </c>
      <c r="S42" s="229">
        <f t="shared" si="33"/>
        <v>0.1</v>
      </c>
      <c r="T42" s="230">
        <f t="shared" si="34"/>
        <v>2.8291666666666678E-3</v>
      </c>
      <c r="U42" s="374">
        <f t="shared" si="35"/>
        <v>0</v>
      </c>
      <c r="V42" s="375">
        <f t="shared" si="36"/>
        <v>0</v>
      </c>
      <c r="W42" s="376">
        <f t="shared" si="37"/>
        <v>0</v>
      </c>
      <c r="X42" s="377">
        <f t="shared" si="38"/>
        <v>0</v>
      </c>
      <c r="Y42" s="378">
        <f t="shared" si="39"/>
        <v>0</v>
      </c>
      <c r="Z42" s="379">
        <f t="shared" si="40"/>
        <v>0</v>
      </c>
      <c r="AA42" s="380">
        <f t="shared" si="41"/>
        <v>0.1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  <c r="AN42" s="204"/>
    </row>
    <row r="43" spans="1:40" ht="14" thickBot="1">
      <c r="A43" s="2773" t="s">
        <v>459</v>
      </c>
      <c r="B43" s="2771" t="s">
        <v>215</v>
      </c>
      <c r="C43" s="2256">
        <f t="shared" si="1"/>
        <v>1.8933937422552669E-4</v>
      </c>
      <c r="D43" s="1556">
        <v>5</v>
      </c>
      <c r="E43" s="307">
        <v>4</v>
      </c>
      <c r="F43" s="307">
        <v>1</v>
      </c>
      <c r="G43" s="307">
        <v>50</v>
      </c>
      <c r="H43" s="306"/>
      <c r="I43" s="306">
        <v>0</v>
      </c>
      <c r="J43" s="306">
        <v>1.3888888888888889E-3</v>
      </c>
      <c r="K43" s="534" t="s">
        <v>1431</v>
      </c>
      <c r="L43" s="306">
        <f t="shared" ref="L43:L62" si="43">L42+N42</f>
        <v>0.35030755339008357</v>
      </c>
      <c r="M43" s="452">
        <v>1.1000000000000001</v>
      </c>
      <c r="N43" s="306">
        <f>P43*E43*F43+I43*E43*F43+J43*E43</f>
        <v>7.2217420487401904E-3</v>
      </c>
      <c r="O43" s="1528">
        <f t="shared" si="30"/>
        <v>3.7867874845105338E-4</v>
      </c>
      <c r="P43" s="305">
        <f t="shared" si="31"/>
        <v>4.1654662329615878E-4</v>
      </c>
      <c r="Q43" s="290">
        <v>168</v>
      </c>
      <c r="R43" s="290">
        <f>E43*F43*G43</f>
        <v>200</v>
      </c>
      <c r="S43" s="229">
        <f t="shared" si="33"/>
        <v>0.2</v>
      </c>
      <c r="T43" s="230">
        <f t="shared" si="34"/>
        <v>6.0588599752168541E-3</v>
      </c>
      <c r="U43" s="374">
        <f t="shared" si="35"/>
        <v>0</v>
      </c>
      <c r="V43" s="375">
        <f t="shared" si="36"/>
        <v>0</v>
      </c>
      <c r="W43" s="376">
        <f t="shared" si="37"/>
        <v>0</v>
      </c>
      <c r="X43" s="377">
        <f t="shared" si="38"/>
        <v>0</v>
      </c>
      <c r="Y43" s="378">
        <f t="shared" si="39"/>
        <v>0.2</v>
      </c>
      <c r="Z43" s="379">
        <f t="shared" si="40"/>
        <v>0</v>
      </c>
      <c r="AA43" s="380">
        <f t="shared" si="41"/>
        <v>0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  <c r="AN43" s="204"/>
    </row>
    <row r="44" spans="1:40" ht="14" thickBot="1">
      <c r="A44" s="2773" t="s">
        <v>458</v>
      </c>
      <c r="B44" s="2771" t="s">
        <v>215</v>
      </c>
      <c r="C44" s="2256">
        <f t="shared" si="1"/>
        <v>2.1908757716049393E-4</v>
      </c>
      <c r="D44" s="1534">
        <v>2</v>
      </c>
      <c r="E44" s="1393">
        <v>1</v>
      </c>
      <c r="F44" s="1393">
        <v>1</v>
      </c>
      <c r="G44" s="1393">
        <v>200</v>
      </c>
      <c r="H44" s="1535"/>
      <c r="I44" s="301">
        <v>2.3148148148148146E-4</v>
      </c>
      <c r="J44" s="301">
        <v>1.3888888888888889E-3</v>
      </c>
      <c r="K44" s="1123" t="s">
        <v>1176</v>
      </c>
      <c r="L44" s="301">
        <f t="shared" si="43"/>
        <v>0.35752929543882378</v>
      </c>
      <c r="M44" s="1537">
        <v>1.3</v>
      </c>
      <c r="N44" s="301">
        <f t="shared" si="42"/>
        <v>3.8988811728395073E-3</v>
      </c>
      <c r="O44" s="1528">
        <f t="shared" si="30"/>
        <v>1.7527006172839514E-3</v>
      </c>
      <c r="P44" s="302">
        <f t="shared" si="31"/>
        <v>2.2785108024691368E-3</v>
      </c>
      <c r="Q44" s="550">
        <v>141</v>
      </c>
      <c r="R44" s="1388">
        <f t="shared" si="32"/>
        <v>200</v>
      </c>
      <c r="S44" s="229">
        <f t="shared" si="33"/>
        <v>0.2</v>
      </c>
      <c r="T44" s="230">
        <f t="shared" si="34"/>
        <v>7.0108024691358057E-3</v>
      </c>
      <c r="U44" s="374">
        <f t="shared" si="35"/>
        <v>0</v>
      </c>
      <c r="V44" s="375">
        <f t="shared" si="36"/>
        <v>0.2</v>
      </c>
      <c r="W44" s="376">
        <f t="shared" si="37"/>
        <v>0</v>
      </c>
      <c r="X44" s="377">
        <f t="shared" si="38"/>
        <v>0</v>
      </c>
      <c r="Y44" s="378">
        <f t="shared" si="39"/>
        <v>0</v>
      </c>
      <c r="Z44" s="379">
        <f t="shared" si="40"/>
        <v>0</v>
      </c>
      <c r="AA44" s="380">
        <f t="shared" si="41"/>
        <v>0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  <c r="AN44" s="204"/>
    </row>
    <row r="45" spans="1:40" ht="14" thickBot="1">
      <c r="A45" s="2773" t="s">
        <v>218</v>
      </c>
      <c r="B45" s="2771" t="s">
        <v>215</v>
      </c>
      <c r="C45" s="2256">
        <f t="shared" si="1"/>
        <v>1.8933937422552669E-4</v>
      </c>
      <c r="D45" s="1556">
        <v>5</v>
      </c>
      <c r="E45" s="307">
        <v>4</v>
      </c>
      <c r="F45" s="307">
        <v>1</v>
      </c>
      <c r="G45" s="307">
        <v>50</v>
      </c>
      <c r="H45" s="306"/>
      <c r="I45" s="306">
        <v>0</v>
      </c>
      <c r="J45" s="306">
        <v>1.3888888888888889E-3</v>
      </c>
      <c r="K45" s="534" t="s">
        <v>1432</v>
      </c>
      <c r="L45" s="306">
        <f t="shared" si="43"/>
        <v>0.36142817661166327</v>
      </c>
      <c r="M45" s="452">
        <v>1.1000000000000001</v>
      </c>
      <c r="N45" s="306">
        <f>P45*E45*F45+I45*E45*F45+J45*E45</f>
        <v>7.2217420487401904E-3</v>
      </c>
      <c r="O45" s="1528">
        <f t="shared" si="30"/>
        <v>3.7867874845105338E-4</v>
      </c>
      <c r="P45" s="305">
        <f>O45*M45</f>
        <v>4.1654662329615878E-4</v>
      </c>
      <c r="Q45" s="290">
        <v>168</v>
      </c>
      <c r="R45" s="290">
        <f>E45*F45*G45</f>
        <v>200</v>
      </c>
      <c r="S45" s="229">
        <f t="shared" si="33"/>
        <v>0.2</v>
      </c>
      <c r="T45" s="230">
        <f t="shared" si="34"/>
        <v>6.0588599752168541E-3</v>
      </c>
      <c r="U45" s="374">
        <f t="shared" si="35"/>
        <v>0</v>
      </c>
      <c r="V45" s="375">
        <f t="shared" si="36"/>
        <v>0</v>
      </c>
      <c r="W45" s="376">
        <f t="shared" si="37"/>
        <v>0</v>
      </c>
      <c r="X45" s="377">
        <f t="shared" si="38"/>
        <v>0</v>
      </c>
      <c r="Y45" s="378">
        <f t="shared" si="39"/>
        <v>0.2</v>
      </c>
      <c r="Z45" s="379">
        <f t="shared" si="40"/>
        <v>0</v>
      </c>
      <c r="AA45" s="380">
        <f t="shared" si="41"/>
        <v>0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  <c r="AN45" s="204"/>
    </row>
    <row r="46" spans="1:40" ht="14" thickBot="1">
      <c r="A46" s="2773" t="s">
        <v>458</v>
      </c>
      <c r="B46" s="2771" t="s">
        <v>215</v>
      </c>
      <c r="C46" s="2256">
        <f t="shared" si="1"/>
        <v>2.1908757716049393E-4</v>
      </c>
      <c r="D46" s="1534">
        <v>2</v>
      </c>
      <c r="E46" s="1393">
        <v>1</v>
      </c>
      <c r="F46" s="1393">
        <v>1</v>
      </c>
      <c r="G46" s="1393">
        <v>200</v>
      </c>
      <c r="H46" s="1535"/>
      <c r="I46" s="301">
        <v>2.3148148148148146E-4</v>
      </c>
      <c r="J46" s="301">
        <v>1.3888888888888889E-3</v>
      </c>
      <c r="K46" s="1123" t="s">
        <v>1177</v>
      </c>
      <c r="L46" s="301">
        <f t="shared" si="43"/>
        <v>0.36864991866040348</v>
      </c>
      <c r="M46" s="1537">
        <v>1.25</v>
      </c>
      <c r="N46" s="301">
        <f t="shared" si="42"/>
        <v>3.8112461419753099E-3</v>
      </c>
      <c r="O46" s="1528">
        <f t="shared" si="30"/>
        <v>1.7527006172839514E-3</v>
      </c>
      <c r="P46" s="302">
        <f t="shared" si="31"/>
        <v>2.1908757716049393E-3</v>
      </c>
      <c r="Q46" s="550">
        <v>141</v>
      </c>
      <c r="R46" s="1388">
        <f t="shared" si="32"/>
        <v>200</v>
      </c>
      <c r="S46" s="229">
        <f t="shared" si="33"/>
        <v>0.2</v>
      </c>
      <c r="T46" s="230">
        <f t="shared" si="34"/>
        <v>7.0108024691358057E-3</v>
      </c>
      <c r="U46" s="374">
        <f t="shared" si="35"/>
        <v>0</v>
      </c>
      <c r="V46" s="375">
        <f t="shared" si="36"/>
        <v>0.2</v>
      </c>
      <c r="W46" s="376">
        <f t="shared" si="37"/>
        <v>0</v>
      </c>
      <c r="X46" s="377">
        <f t="shared" si="38"/>
        <v>0</v>
      </c>
      <c r="Y46" s="378">
        <f t="shared" si="39"/>
        <v>0</v>
      </c>
      <c r="Z46" s="379">
        <f t="shared" si="40"/>
        <v>0</v>
      </c>
      <c r="AA46" s="380">
        <f t="shared" si="41"/>
        <v>0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  <c r="AN46" s="204"/>
    </row>
    <row r="47" spans="1:40" ht="14" thickBot="1">
      <c r="A47" s="2773"/>
      <c r="B47" s="2771" t="s">
        <v>215</v>
      </c>
      <c r="C47" s="2256">
        <f t="shared" si="1"/>
        <v>2.2880964381720439E-4</v>
      </c>
      <c r="D47" s="1543">
        <v>1</v>
      </c>
      <c r="E47" s="1576">
        <v>1</v>
      </c>
      <c r="F47" s="1576">
        <v>1</v>
      </c>
      <c r="G47" s="1576">
        <v>400</v>
      </c>
      <c r="H47" s="1544"/>
      <c r="I47" s="1015">
        <v>0</v>
      </c>
      <c r="J47" s="1015">
        <v>1.1574074074074073E-4</v>
      </c>
      <c r="K47" s="1016" t="s">
        <v>763</v>
      </c>
      <c r="L47" s="1015">
        <f t="shared" si="43"/>
        <v>0.37246116480237879</v>
      </c>
      <c r="M47" s="1545">
        <v>1</v>
      </c>
      <c r="N47" s="1015">
        <f t="shared" si="42"/>
        <v>3.7766950418160112E-3</v>
      </c>
      <c r="O47" s="1528">
        <f t="shared" si="30"/>
        <v>3.6609543010752703E-3</v>
      </c>
      <c r="P47" s="1017">
        <f t="shared" si="31"/>
        <v>3.6609543010752703E-3</v>
      </c>
      <c r="Q47" s="1018">
        <v>121</v>
      </c>
      <c r="R47" s="1573">
        <f t="shared" si="32"/>
        <v>400</v>
      </c>
      <c r="S47" s="229">
        <f t="shared" si="33"/>
        <v>0.4</v>
      </c>
      <c r="T47" s="230">
        <f t="shared" si="34"/>
        <v>1.4643817204301081E-2</v>
      </c>
      <c r="U47" s="374">
        <f t="shared" si="35"/>
        <v>0.4</v>
      </c>
      <c r="V47" s="375">
        <f t="shared" si="36"/>
        <v>0</v>
      </c>
      <c r="W47" s="376">
        <f t="shared" si="37"/>
        <v>0</v>
      </c>
      <c r="X47" s="377">
        <f t="shared" si="38"/>
        <v>0</v>
      </c>
      <c r="Y47" s="378">
        <f t="shared" si="39"/>
        <v>0</v>
      </c>
      <c r="Z47" s="379">
        <f t="shared" si="40"/>
        <v>0</v>
      </c>
      <c r="AA47" s="380">
        <f t="shared" si="41"/>
        <v>0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  <c r="AN47" s="204"/>
    </row>
    <row r="48" spans="1:40" ht="14" thickBot="1">
      <c r="A48" s="2773"/>
      <c r="B48" s="2771"/>
      <c r="C48" s="2256">
        <f t="shared" si="1"/>
        <v>0</v>
      </c>
      <c r="D48" s="1546"/>
      <c r="E48" s="849"/>
      <c r="F48" s="849"/>
      <c r="G48" s="849"/>
      <c r="H48" s="1538"/>
      <c r="I48" s="1425"/>
      <c r="J48" s="849"/>
      <c r="K48" s="849"/>
      <c r="L48" s="2111">
        <f t="shared" si="43"/>
        <v>0.37623785984419478</v>
      </c>
      <c r="M48" s="1547"/>
      <c r="N48" s="1019"/>
      <c r="O48" s="1538"/>
      <c r="P48" s="849"/>
      <c r="Q48" s="849"/>
      <c r="R48" s="684">
        <f>SUM(R41:R47)</f>
        <v>1900</v>
      </c>
      <c r="S48" s="229">
        <f t="shared" si="33"/>
        <v>0</v>
      </c>
      <c r="T48" s="230">
        <f t="shared" si="34"/>
        <v>0</v>
      </c>
      <c r="U48" s="374">
        <f t="shared" si="35"/>
        <v>0</v>
      </c>
      <c r="V48" s="375">
        <f t="shared" si="36"/>
        <v>0</v>
      </c>
      <c r="W48" s="376">
        <f t="shared" si="37"/>
        <v>0</v>
      </c>
      <c r="X48" s="377">
        <f t="shared" si="38"/>
        <v>0</v>
      </c>
      <c r="Y48" s="378">
        <f t="shared" si="39"/>
        <v>0</v>
      </c>
      <c r="Z48" s="379">
        <f t="shared" si="40"/>
        <v>0</v>
      </c>
      <c r="AA48" s="380">
        <f t="shared" si="41"/>
        <v>0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  <c r="AN48" s="204"/>
    </row>
    <row r="49" spans="1:40" ht="14" thickBot="1">
      <c r="A49" s="2773"/>
      <c r="B49" s="2802" t="s">
        <v>461</v>
      </c>
      <c r="C49" s="2256">
        <f t="shared" si="1"/>
        <v>2.1908757716049393E-4</v>
      </c>
      <c r="D49" s="1883">
        <v>2</v>
      </c>
      <c r="E49" s="4252">
        <v>1</v>
      </c>
      <c r="F49" s="4252">
        <v>8</v>
      </c>
      <c r="G49" s="4252">
        <v>25</v>
      </c>
      <c r="H49" s="4249"/>
      <c r="I49" s="4249">
        <v>5.7870370370370366E-5</v>
      </c>
      <c r="J49" s="4249">
        <v>6.9444444444444447E-4</v>
      </c>
      <c r="K49" s="4253" t="s">
        <v>284</v>
      </c>
      <c r="L49" s="4281">
        <v>0.63194444444444442</v>
      </c>
      <c r="M49" s="4254" t="s">
        <v>1122</v>
      </c>
      <c r="N49" s="4249">
        <v>3.2754629629629631E-3</v>
      </c>
      <c r="O49" s="4255"/>
      <c r="P49" s="4255">
        <v>2.6620370370370372E-4</v>
      </c>
      <c r="Q49" s="4256">
        <v>146</v>
      </c>
      <c r="R49" s="4251">
        <v>200</v>
      </c>
      <c r="S49" s="229">
        <f t="shared" si="33"/>
        <v>0.2</v>
      </c>
      <c r="T49" s="230">
        <f t="shared" si="34"/>
        <v>0</v>
      </c>
      <c r="U49" s="374">
        <f t="shared" si="35"/>
        <v>0</v>
      </c>
      <c r="V49" s="375">
        <f t="shared" si="36"/>
        <v>0.2</v>
      </c>
      <c r="W49" s="376">
        <f t="shared" si="37"/>
        <v>0</v>
      </c>
      <c r="X49" s="377">
        <f t="shared" si="38"/>
        <v>0</v>
      </c>
      <c r="Y49" s="378">
        <f t="shared" si="39"/>
        <v>0</v>
      </c>
      <c r="Z49" s="379">
        <f t="shared" si="40"/>
        <v>0</v>
      </c>
      <c r="AA49" s="380">
        <f t="shared" si="41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</row>
    <row r="50" spans="1:40" ht="14" thickBot="1">
      <c r="A50" s="2773" t="s">
        <v>217</v>
      </c>
      <c r="B50" s="2771" t="s">
        <v>461</v>
      </c>
      <c r="C50" s="2256">
        <f t="shared" si="1"/>
        <v>1.7682291666666674E-4</v>
      </c>
      <c r="D50" s="1883">
        <v>7</v>
      </c>
      <c r="E50" s="4206">
        <v>1</v>
      </c>
      <c r="F50" s="4206">
        <v>4</v>
      </c>
      <c r="G50" s="4206">
        <v>25</v>
      </c>
      <c r="H50" s="4208"/>
      <c r="I50" s="4208">
        <v>4.6296296296296293E-4</v>
      </c>
      <c r="J50" s="4208">
        <v>6.9444444444444447E-4</v>
      </c>
      <c r="K50" s="4209" t="s">
        <v>930</v>
      </c>
      <c r="L50" s="2789">
        <f t="shared" si="43"/>
        <v>0.63521990740740741</v>
      </c>
      <c r="M50" s="4210" t="s">
        <v>1122</v>
      </c>
      <c r="N50" s="4208">
        <v>3.3680555555555551E-3</v>
      </c>
      <c r="O50" s="2780"/>
      <c r="P50" s="2790">
        <v>2.0833333333333335E-4</v>
      </c>
      <c r="Q50" s="4211" t="s">
        <v>316</v>
      </c>
      <c r="R50" s="2781">
        <v>100</v>
      </c>
      <c r="S50" s="229">
        <f t="shared" si="9"/>
        <v>0.1</v>
      </c>
      <c r="T50" s="230">
        <f t="shared" si="10"/>
        <v>0</v>
      </c>
      <c r="U50" s="374">
        <f t="shared" si="11"/>
        <v>0</v>
      </c>
      <c r="V50" s="375">
        <f t="shared" si="12"/>
        <v>0</v>
      </c>
      <c r="W50" s="376">
        <f t="shared" si="13"/>
        <v>0</v>
      </c>
      <c r="X50" s="377">
        <f t="shared" si="14"/>
        <v>0</v>
      </c>
      <c r="Y50" s="378">
        <f t="shared" si="15"/>
        <v>0</v>
      </c>
      <c r="Z50" s="379">
        <f t="shared" si="16"/>
        <v>0</v>
      </c>
      <c r="AA50" s="380">
        <f t="shared" si="17"/>
        <v>0.1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</row>
    <row r="51" spans="1:40" ht="14" thickBot="1">
      <c r="A51" s="2773" t="s">
        <v>459</v>
      </c>
      <c r="B51" s="2771" t="s">
        <v>461</v>
      </c>
      <c r="C51" s="2256">
        <f t="shared" si="1"/>
        <v>2.1908757716049393E-4</v>
      </c>
      <c r="D51" s="1883">
        <v>2</v>
      </c>
      <c r="E51" s="4232">
        <v>1</v>
      </c>
      <c r="F51" s="4232">
        <v>8</v>
      </c>
      <c r="G51" s="4232">
        <v>100</v>
      </c>
      <c r="H51" s="2783"/>
      <c r="I51" s="2783">
        <v>6.9444444444444447E-4</v>
      </c>
      <c r="J51" s="2783">
        <v>6.9444444444444447E-4</v>
      </c>
      <c r="K51" s="1905" t="s">
        <v>1533</v>
      </c>
      <c r="L51" s="4196">
        <f t="shared" si="43"/>
        <v>0.63858796296296294</v>
      </c>
      <c r="M51" s="2786"/>
      <c r="N51" s="2776">
        <v>1.2175925925925929E-2</v>
      </c>
      <c r="O51" s="2777"/>
      <c r="P51" s="2778">
        <v>7.407407407407407E-4</v>
      </c>
      <c r="Q51" s="4282">
        <v>0.87</v>
      </c>
      <c r="R51" s="4283">
        <v>800</v>
      </c>
      <c r="S51" s="229">
        <f t="shared" si="9"/>
        <v>0.8</v>
      </c>
      <c r="T51" s="230">
        <f t="shared" si="10"/>
        <v>0</v>
      </c>
      <c r="U51" s="374">
        <f t="shared" si="11"/>
        <v>0</v>
      </c>
      <c r="V51" s="375">
        <f t="shared" si="12"/>
        <v>0.8</v>
      </c>
      <c r="W51" s="376">
        <f t="shared" si="13"/>
        <v>0</v>
      </c>
      <c r="X51" s="377">
        <f t="shared" si="14"/>
        <v>0</v>
      </c>
      <c r="Y51" s="378">
        <f t="shared" si="15"/>
        <v>0</v>
      </c>
      <c r="Z51" s="379">
        <f t="shared" si="16"/>
        <v>0</v>
      </c>
      <c r="AA51" s="380">
        <f t="shared" si="17"/>
        <v>0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</row>
    <row r="52" spans="1:40" ht="14" thickBot="1">
      <c r="A52" s="2773" t="s">
        <v>458</v>
      </c>
      <c r="B52" s="2771" t="s">
        <v>461</v>
      </c>
      <c r="C52" s="2256">
        <f t="shared" si="1"/>
        <v>2.1222190799396687E-4</v>
      </c>
      <c r="D52" s="1883">
        <v>3</v>
      </c>
      <c r="E52" s="4238">
        <v>1</v>
      </c>
      <c r="F52" s="4238">
        <v>8</v>
      </c>
      <c r="G52" s="4238">
        <v>25</v>
      </c>
      <c r="H52" s="4239"/>
      <c r="I52" s="4239">
        <v>2.8935185185185189E-4</v>
      </c>
      <c r="J52" s="4239">
        <v>6.9444444444444447E-4</v>
      </c>
      <c r="K52" s="4284" t="s">
        <v>1532</v>
      </c>
      <c r="L52" s="4223">
        <f t="shared" si="43"/>
        <v>0.65076388888888892</v>
      </c>
      <c r="M52" s="4285" t="s">
        <v>1122</v>
      </c>
      <c r="N52" s="4239">
        <v>4.7685185185185183E-3</v>
      </c>
      <c r="O52" s="4242"/>
      <c r="P52" s="4243">
        <v>2.199074074074074E-4</v>
      </c>
      <c r="Q52" s="4286"/>
      <c r="R52" s="4245">
        <v>200</v>
      </c>
      <c r="S52" s="229">
        <f t="shared" si="9"/>
        <v>0.2</v>
      </c>
      <c r="T52" s="230">
        <f t="shared" si="10"/>
        <v>0</v>
      </c>
      <c r="U52" s="374">
        <f t="shared" si="11"/>
        <v>0</v>
      </c>
      <c r="V52" s="375">
        <f t="shared" si="12"/>
        <v>0</v>
      </c>
      <c r="W52" s="376">
        <f t="shared" si="13"/>
        <v>0.2</v>
      </c>
      <c r="X52" s="377">
        <f t="shared" si="14"/>
        <v>0</v>
      </c>
      <c r="Y52" s="378">
        <f t="shared" si="15"/>
        <v>0</v>
      </c>
      <c r="Z52" s="379">
        <f t="shared" si="16"/>
        <v>0</v>
      </c>
      <c r="AA52" s="380">
        <f t="shared" si="17"/>
        <v>0</v>
      </c>
      <c r="AC52" s="231"/>
      <c r="AD52" s="231"/>
      <c r="AE52" s="231"/>
      <c r="AF52" s="231"/>
      <c r="AG52" s="231"/>
      <c r="AH52" s="231"/>
      <c r="AI52" s="213"/>
      <c r="AJ52" s="213"/>
      <c r="AK52" s="213"/>
      <c r="AL52" s="213"/>
      <c r="AM52" s="213"/>
    </row>
    <row r="53" spans="1:40" ht="14" thickBot="1">
      <c r="A53" s="2773" t="s">
        <v>218</v>
      </c>
      <c r="B53" s="2771" t="s">
        <v>461</v>
      </c>
      <c r="C53" s="2256">
        <f t="shared" si="1"/>
        <v>1.7682291666666674E-4</v>
      </c>
      <c r="D53" s="1883">
        <v>7</v>
      </c>
      <c r="E53" s="4206">
        <v>1</v>
      </c>
      <c r="F53" s="4206">
        <v>3</v>
      </c>
      <c r="G53" s="4206">
        <v>100</v>
      </c>
      <c r="H53" s="4208"/>
      <c r="I53" s="4208">
        <v>2.3148148148148146E-4</v>
      </c>
      <c r="J53" s="4208">
        <v>6.9444444444444447E-4</v>
      </c>
      <c r="K53" s="4209" t="s">
        <v>929</v>
      </c>
      <c r="L53" s="2789">
        <f t="shared" si="43"/>
        <v>0.65553240740740748</v>
      </c>
      <c r="M53" s="4210" t="s">
        <v>1122</v>
      </c>
      <c r="N53" s="4208">
        <v>3.8541666666666668E-3</v>
      </c>
      <c r="O53" s="2780"/>
      <c r="P53" s="2790">
        <v>8.2175925925925917E-4</v>
      </c>
      <c r="Q53" s="4211">
        <v>145</v>
      </c>
      <c r="R53" s="2781">
        <v>300</v>
      </c>
      <c r="S53" s="229">
        <f t="shared" si="9"/>
        <v>0.3</v>
      </c>
      <c r="T53" s="230">
        <f t="shared" si="10"/>
        <v>0</v>
      </c>
      <c r="U53" s="374">
        <f t="shared" si="11"/>
        <v>0</v>
      </c>
      <c r="V53" s="375">
        <f t="shared" si="12"/>
        <v>0</v>
      </c>
      <c r="W53" s="376">
        <f t="shared" si="13"/>
        <v>0</v>
      </c>
      <c r="X53" s="377">
        <f t="shared" si="14"/>
        <v>0</v>
      </c>
      <c r="Y53" s="378">
        <f t="shared" si="15"/>
        <v>0</v>
      </c>
      <c r="Z53" s="379">
        <f t="shared" si="16"/>
        <v>0</v>
      </c>
      <c r="AA53" s="380">
        <f t="shared" si="17"/>
        <v>0.3</v>
      </c>
      <c r="AC53" s="231"/>
      <c r="AD53" s="231"/>
      <c r="AE53" s="231"/>
      <c r="AF53" s="231"/>
      <c r="AG53" s="231"/>
      <c r="AH53" s="231"/>
      <c r="AI53" s="213"/>
      <c r="AJ53" s="213"/>
      <c r="AK53" s="213"/>
      <c r="AL53" s="213"/>
      <c r="AM53" s="213"/>
    </row>
    <row r="54" spans="1:40" ht="14" thickBot="1">
      <c r="A54" s="2773" t="s">
        <v>458</v>
      </c>
      <c r="B54" s="2771" t="s">
        <v>461</v>
      </c>
      <c r="C54" s="2256">
        <f t="shared" si="1"/>
        <v>2.1222190799396687E-4</v>
      </c>
      <c r="D54" s="1883">
        <v>3</v>
      </c>
      <c r="E54" s="4238">
        <v>1</v>
      </c>
      <c r="F54" s="4238">
        <v>8</v>
      </c>
      <c r="G54" s="4238">
        <v>25</v>
      </c>
      <c r="H54" s="4239"/>
      <c r="I54" s="4239">
        <v>2.8935185185185189E-4</v>
      </c>
      <c r="J54" s="4239">
        <v>6.9444444444444447E-4</v>
      </c>
      <c r="K54" s="4240" t="s">
        <v>1532</v>
      </c>
      <c r="L54" s="4223">
        <f t="shared" si="43"/>
        <v>0.65938657407407419</v>
      </c>
      <c r="M54" s="4241" t="s">
        <v>1122</v>
      </c>
      <c r="N54" s="4239">
        <v>4.6527777777777774E-3</v>
      </c>
      <c r="O54" s="4242"/>
      <c r="P54" s="4243">
        <v>2.0833333333333335E-4</v>
      </c>
      <c r="Q54" s="4244"/>
      <c r="R54" s="4245">
        <v>200</v>
      </c>
      <c r="S54" s="229">
        <f t="shared" si="9"/>
        <v>0.2</v>
      </c>
      <c r="T54" s="230">
        <f t="shared" si="10"/>
        <v>0</v>
      </c>
      <c r="U54" s="374">
        <f t="shared" si="11"/>
        <v>0</v>
      </c>
      <c r="V54" s="375">
        <f t="shared" si="12"/>
        <v>0</v>
      </c>
      <c r="W54" s="376">
        <f t="shared" si="13"/>
        <v>0.2</v>
      </c>
      <c r="X54" s="377">
        <f t="shared" si="14"/>
        <v>0</v>
      </c>
      <c r="Y54" s="378">
        <f t="shared" si="15"/>
        <v>0</v>
      </c>
      <c r="Z54" s="379">
        <f t="shared" si="16"/>
        <v>0</v>
      </c>
      <c r="AA54" s="380">
        <f t="shared" si="17"/>
        <v>0</v>
      </c>
      <c r="AC54" s="231"/>
      <c r="AD54" s="231"/>
      <c r="AE54" s="231"/>
      <c r="AF54" s="231"/>
      <c r="AG54" s="231"/>
      <c r="AH54" s="231"/>
      <c r="AI54" s="213"/>
      <c r="AJ54" s="213"/>
      <c r="AK54" s="213"/>
      <c r="AL54" s="213"/>
      <c r="AM54" s="213"/>
    </row>
    <row r="55" spans="1:40" ht="14" thickBot="1">
      <c r="A55" s="4274"/>
      <c r="B55" s="4275" t="s">
        <v>461</v>
      </c>
      <c r="C55" s="2256">
        <f t="shared" si="1"/>
        <v>2.2880964381720439E-4</v>
      </c>
      <c r="D55" s="1883">
        <v>1</v>
      </c>
      <c r="E55" s="4276"/>
      <c r="F55" s="4277"/>
      <c r="G55" s="4277"/>
      <c r="H55" s="4277"/>
      <c r="I55" s="4277"/>
      <c r="J55" s="4277"/>
      <c r="K55" s="4277"/>
      <c r="L55" s="4278">
        <f t="shared" si="43"/>
        <v>0.66403935185185192</v>
      </c>
      <c r="M55" s="4277"/>
      <c r="N55" s="4279">
        <v>0</v>
      </c>
      <c r="O55" s="4277"/>
      <c r="P55" s="4277"/>
      <c r="Q55" s="4277"/>
      <c r="R55" s="4287">
        <v>1800</v>
      </c>
      <c r="S55" s="229">
        <f t="shared" si="9"/>
        <v>0</v>
      </c>
      <c r="T55" s="230">
        <f t="shared" si="10"/>
        <v>0</v>
      </c>
      <c r="U55" s="374">
        <f t="shared" si="11"/>
        <v>0</v>
      </c>
      <c r="V55" s="375">
        <f t="shared" si="12"/>
        <v>0</v>
      </c>
      <c r="W55" s="376">
        <f t="shared" si="13"/>
        <v>0</v>
      </c>
      <c r="X55" s="377">
        <f t="shared" si="14"/>
        <v>0</v>
      </c>
      <c r="Y55" s="378">
        <f t="shared" si="15"/>
        <v>0</v>
      </c>
      <c r="Z55" s="379">
        <f t="shared" si="16"/>
        <v>0</v>
      </c>
      <c r="AA55" s="380">
        <f t="shared" si="17"/>
        <v>0</v>
      </c>
      <c r="AC55" s="231"/>
      <c r="AD55" s="231"/>
      <c r="AE55" s="231"/>
      <c r="AF55" s="231"/>
      <c r="AG55" s="231"/>
      <c r="AH55" s="231"/>
      <c r="AI55" s="213"/>
      <c r="AJ55" s="213"/>
      <c r="AK55" s="213"/>
      <c r="AL55" s="213"/>
      <c r="AM55" s="213"/>
    </row>
    <row r="56" spans="1:40" ht="14" customHeight="1" thickBot="1">
      <c r="A56" s="2805"/>
      <c r="B56" s="2806" t="s">
        <v>215</v>
      </c>
      <c r="C56" s="2256">
        <f t="shared" si="1"/>
        <v>2.1908757716049393E-4</v>
      </c>
      <c r="D56" s="1883">
        <v>2</v>
      </c>
      <c r="E56" s="4252">
        <v>1</v>
      </c>
      <c r="F56" s="4252">
        <v>1</v>
      </c>
      <c r="G56" s="4252">
        <v>400</v>
      </c>
      <c r="H56" s="4249"/>
      <c r="I56" s="4249">
        <v>2.8935185185185189E-4</v>
      </c>
      <c r="J56" s="4249">
        <v>2.8935185185185189E-4</v>
      </c>
      <c r="K56" s="4253" t="s">
        <v>965</v>
      </c>
      <c r="L56" s="4281">
        <v>0.3527777777777778</v>
      </c>
      <c r="M56" s="4254" t="s">
        <v>1122</v>
      </c>
      <c r="N56" s="4249">
        <v>4.6527777777777774E-3</v>
      </c>
      <c r="O56" s="4249"/>
      <c r="P56" s="4255">
        <v>4.0740740740740746E-3</v>
      </c>
      <c r="Q56" s="4256">
        <v>144</v>
      </c>
      <c r="R56" s="4251">
        <v>400</v>
      </c>
      <c r="S56" s="229">
        <f t="shared" si="9"/>
        <v>0.4</v>
      </c>
      <c r="T56" s="230">
        <f t="shared" si="10"/>
        <v>0</v>
      </c>
      <c r="U56" s="374">
        <f t="shared" si="11"/>
        <v>0</v>
      </c>
      <c r="V56" s="375">
        <f t="shared" si="12"/>
        <v>0.4</v>
      </c>
      <c r="W56" s="376">
        <f t="shared" si="13"/>
        <v>0</v>
      </c>
      <c r="X56" s="377">
        <f t="shared" si="14"/>
        <v>0</v>
      </c>
      <c r="Y56" s="378">
        <f t="shared" si="15"/>
        <v>0</v>
      </c>
      <c r="Z56" s="379">
        <f t="shared" si="16"/>
        <v>0</v>
      </c>
      <c r="AA56" s="380">
        <f t="shared" si="17"/>
        <v>0</v>
      </c>
      <c r="AC56" s="231"/>
      <c r="AD56" s="231"/>
      <c r="AE56" s="231"/>
      <c r="AF56" s="231"/>
      <c r="AG56" s="231"/>
      <c r="AH56" s="231"/>
      <c r="AI56" s="213"/>
      <c r="AJ56" s="213"/>
      <c r="AK56" s="213"/>
      <c r="AL56" s="213"/>
      <c r="AM56" s="213"/>
    </row>
    <row r="57" spans="1:40" ht="14" customHeight="1" thickBot="1">
      <c r="A57" s="2805" t="s">
        <v>218</v>
      </c>
      <c r="B57" s="4188" t="s">
        <v>215</v>
      </c>
      <c r="C57" s="2256">
        <f t="shared" si="1"/>
        <v>2.1908757716049393E-4</v>
      </c>
      <c r="D57" s="1883">
        <v>2</v>
      </c>
      <c r="E57" s="4232">
        <v>1</v>
      </c>
      <c r="F57" s="4232">
        <v>1</v>
      </c>
      <c r="G57" s="4232">
        <v>500</v>
      </c>
      <c r="H57" s="2783"/>
      <c r="I57" s="2783">
        <v>2.3148148148148146E-4</v>
      </c>
      <c r="J57" s="2783">
        <v>2.3148148148148146E-4</v>
      </c>
      <c r="K57" s="2784" t="s">
        <v>966</v>
      </c>
      <c r="L57" s="4234">
        <f t="shared" si="43"/>
        <v>0.35743055555555558</v>
      </c>
      <c r="M57" s="4235" t="s">
        <v>1122</v>
      </c>
      <c r="N57" s="2783">
        <v>4.7106481481481478E-3</v>
      </c>
      <c r="O57" s="2783"/>
      <c r="P57" s="4236">
        <v>4.2476851851851851E-3</v>
      </c>
      <c r="Q57" s="2785">
        <v>144</v>
      </c>
      <c r="R57" s="4237">
        <v>500</v>
      </c>
      <c r="S57" s="229">
        <f t="shared" si="9"/>
        <v>0.5</v>
      </c>
      <c r="T57" s="230">
        <f t="shared" si="10"/>
        <v>0</v>
      </c>
      <c r="U57" s="374">
        <f t="shared" si="11"/>
        <v>0</v>
      </c>
      <c r="V57" s="375">
        <f t="shared" si="12"/>
        <v>0.5</v>
      </c>
      <c r="W57" s="376">
        <f t="shared" si="13"/>
        <v>0</v>
      </c>
      <c r="X57" s="377">
        <f t="shared" si="14"/>
        <v>0</v>
      </c>
      <c r="Y57" s="378">
        <f t="shared" si="15"/>
        <v>0</v>
      </c>
      <c r="Z57" s="379">
        <f t="shared" si="16"/>
        <v>0</v>
      </c>
      <c r="AA57" s="380">
        <f t="shared" si="17"/>
        <v>0</v>
      </c>
      <c r="AC57" s="231"/>
      <c r="AD57" s="231"/>
      <c r="AE57" s="231"/>
      <c r="AF57" s="231"/>
      <c r="AG57" s="231"/>
      <c r="AH57" s="231"/>
      <c r="AI57" s="213"/>
      <c r="AJ57" s="213"/>
      <c r="AK57" s="213"/>
      <c r="AL57" s="213"/>
      <c r="AM57" s="213"/>
    </row>
    <row r="58" spans="1:40" ht="14" customHeight="1" thickBot="1">
      <c r="A58" s="2805" t="s">
        <v>139</v>
      </c>
      <c r="B58" s="4188" t="s">
        <v>215</v>
      </c>
      <c r="C58" s="2256">
        <f t="shared" si="1"/>
        <v>2.1908757716049393E-4</v>
      </c>
      <c r="D58" s="1883">
        <v>2</v>
      </c>
      <c r="E58" s="4232">
        <v>1</v>
      </c>
      <c r="F58" s="4232">
        <v>4</v>
      </c>
      <c r="G58" s="4232">
        <v>100</v>
      </c>
      <c r="H58" s="2783"/>
      <c r="I58" s="2783">
        <v>2.3148148148148146E-4</v>
      </c>
      <c r="J58" s="2783">
        <v>2.3148148148148146E-4</v>
      </c>
      <c r="K58" s="2784" t="s">
        <v>934</v>
      </c>
      <c r="L58" s="4234">
        <f t="shared" si="43"/>
        <v>0.36214120370370373</v>
      </c>
      <c r="M58" s="4235" t="s">
        <v>1122</v>
      </c>
      <c r="N58" s="2783">
        <v>4.5486111111111109E-3</v>
      </c>
      <c r="O58" s="2783"/>
      <c r="P58" s="4236">
        <v>8.449074074074075E-4</v>
      </c>
      <c r="Q58" s="2785">
        <v>144</v>
      </c>
      <c r="R58" s="4237">
        <v>400</v>
      </c>
      <c r="S58" s="229">
        <f t="shared" si="9"/>
        <v>0.4</v>
      </c>
      <c r="T58" s="230">
        <f t="shared" si="10"/>
        <v>0</v>
      </c>
      <c r="U58" s="374">
        <f t="shared" si="11"/>
        <v>0</v>
      </c>
      <c r="V58" s="375">
        <f t="shared" si="12"/>
        <v>0.4</v>
      </c>
      <c r="W58" s="376">
        <f t="shared" si="13"/>
        <v>0</v>
      </c>
      <c r="X58" s="377">
        <f t="shared" si="14"/>
        <v>0</v>
      </c>
      <c r="Y58" s="378">
        <f t="shared" si="15"/>
        <v>0</v>
      </c>
      <c r="Z58" s="379">
        <f t="shared" si="16"/>
        <v>0</v>
      </c>
      <c r="AA58" s="380">
        <f t="shared" si="17"/>
        <v>0</v>
      </c>
      <c r="AC58" s="231"/>
      <c r="AD58" s="231"/>
      <c r="AE58" s="231"/>
      <c r="AF58" s="231"/>
      <c r="AG58" s="231"/>
      <c r="AH58" s="231"/>
      <c r="AI58" s="213"/>
      <c r="AJ58" s="213"/>
      <c r="AK58" s="213"/>
      <c r="AL58" s="213"/>
      <c r="AM58" s="213"/>
    </row>
    <row r="59" spans="1:40" ht="14" customHeight="1" thickBot="1">
      <c r="A59" s="2805" t="s">
        <v>458</v>
      </c>
      <c r="B59" s="4188" t="s">
        <v>215</v>
      </c>
      <c r="C59" s="2256">
        <f t="shared" si="1"/>
        <v>2.1222190799396687E-4</v>
      </c>
      <c r="D59" s="1883">
        <v>3</v>
      </c>
      <c r="E59" s="4288">
        <v>1</v>
      </c>
      <c r="F59" s="4288">
        <v>4</v>
      </c>
      <c r="G59" s="4288">
        <v>100</v>
      </c>
      <c r="H59" s="4289"/>
      <c r="I59" s="4289">
        <v>1.7361111111111112E-4</v>
      </c>
      <c r="J59" s="4289">
        <v>1.3888888888888889E-3</v>
      </c>
      <c r="K59" s="4290" t="s">
        <v>935</v>
      </c>
      <c r="L59" s="4223">
        <f t="shared" si="43"/>
        <v>0.36668981481481483</v>
      </c>
      <c r="M59" s="4291" t="s">
        <v>1122</v>
      </c>
      <c r="N59" s="4292">
        <v>6.030092592592593E-3</v>
      </c>
      <c r="O59" s="4292"/>
      <c r="P59" s="4293">
        <v>9.8379629629629642E-4</v>
      </c>
      <c r="Q59" s="2813">
        <v>160</v>
      </c>
      <c r="R59" s="4288">
        <v>400</v>
      </c>
      <c r="S59" s="229">
        <f t="shared" si="9"/>
        <v>0.4</v>
      </c>
      <c r="T59" s="230">
        <f t="shared" si="10"/>
        <v>0</v>
      </c>
      <c r="U59" s="374">
        <f t="shared" si="11"/>
        <v>0</v>
      </c>
      <c r="V59" s="375">
        <f t="shared" si="12"/>
        <v>0</v>
      </c>
      <c r="W59" s="376">
        <f t="shared" si="13"/>
        <v>0.4</v>
      </c>
      <c r="X59" s="377">
        <f t="shared" si="14"/>
        <v>0</v>
      </c>
      <c r="Y59" s="378">
        <f t="shared" si="15"/>
        <v>0</v>
      </c>
      <c r="Z59" s="379">
        <f t="shared" si="16"/>
        <v>0</v>
      </c>
      <c r="AA59" s="380">
        <f t="shared" si="17"/>
        <v>0</v>
      </c>
      <c r="AC59" s="231"/>
      <c r="AD59" s="231"/>
      <c r="AE59" s="231"/>
      <c r="AF59" s="231"/>
      <c r="AG59" s="231"/>
      <c r="AH59" s="231"/>
      <c r="AI59" s="213"/>
      <c r="AJ59" s="213"/>
      <c r="AK59" s="213"/>
      <c r="AL59" s="213"/>
      <c r="AM59" s="213"/>
    </row>
    <row r="60" spans="1:40" ht="16.25" customHeight="1" thickBot="1">
      <c r="A60" s="2805" t="s">
        <v>460</v>
      </c>
      <c r="B60" s="4188" t="s">
        <v>215</v>
      </c>
      <c r="C60" s="2256">
        <f t="shared" si="1"/>
        <v>1.7682291666666674E-4</v>
      </c>
      <c r="D60" s="1883">
        <v>7</v>
      </c>
      <c r="E60" s="4267">
        <v>1</v>
      </c>
      <c r="F60" s="4268">
        <v>8</v>
      </c>
      <c r="G60" s="4268">
        <v>25</v>
      </c>
      <c r="H60" s="4269"/>
      <c r="I60" s="2779">
        <v>3.4722222222222224E-4</v>
      </c>
      <c r="J60" s="4270">
        <v>1.3888888888888889E-3</v>
      </c>
      <c r="K60" s="4271" t="s">
        <v>931</v>
      </c>
      <c r="L60" s="4272">
        <f t="shared" si="43"/>
        <v>0.3727199074074074</v>
      </c>
      <c r="M60" s="4273" t="s">
        <v>1122</v>
      </c>
      <c r="N60" s="2779">
        <v>5.8101851851851856E-3</v>
      </c>
      <c r="O60" s="2779"/>
      <c r="P60" s="2780">
        <v>2.0833333333333335E-4</v>
      </c>
      <c r="Q60" s="2797"/>
      <c r="R60" s="4267">
        <v>200</v>
      </c>
      <c r="S60" s="229">
        <f t="shared" si="9"/>
        <v>0.2</v>
      </c>
      <c r="T60" s="230">
        <f t="shared" si="10"/>
        <v>0</v>
      </c>
      <c r="U60" s="374">
        <f t="shared" si="11"/>
        <v>0</v>
      </c>
      <c r="V60" s="375">
        <f t="shared" si="12"/>
        <v>0</v>
      </c>
      <c r="W60" s="376">
        <f t="shared" si="13"/>
        <v>0</v>
      </c>
      <c r="X60" s="377">
        <f t="shared" si="14"/>
        <v>0</v>
      </c>
      <c r="Y60" s="378">
        <f t="shared" si="15"/>
        <v>0</v>
      </c>
      <c r="Z60" s="379">
        <f t="shared" si="16"/>
        <v>0</v>
      </c>
      <c r="AA60" s="380">
        <f t="shared" si="17"/>
        <v>0.2</v>
      </c>
      <c r="AC60" s="231"/>
      <c r="AD60" s="231"/>
      <c r="AE60" s="231"/>
      <c r="AF60" s="231"/>
      <c r="AG60" s="231"/>
      <c r="AH60" s="231"/>
      <c r="AI60" s="213"/>
      <c r="AJ60" s="213"/>
      <c r="AK60" s="213"/>
      <c r="AL60" s="213"/>
      <c r="AM60" s="213"/>
    </row>
    <row r="61" spans="1:40" ht="15" customHeight="1" thickBot="1">
      <c r="A61" s="2805" t="s">
        <v>458</v>
      </c>
      <c r="B61" s="4188" t="s">
        <v>215</v>
      </c>
      <c r="C61" s="2256">
        <f t="shared" si="1"/>
        <v>1.7682291666666674E-4</v>
      </c>
      <c r="D61" s="1883">
        <v>7</v>
      </c>
      <c r="E61" s="4294">
        <v>1</v>
      </c>
      <c r="F61" s="4295">
        <v>6</v>
      </c>
      <c r="G61" s="4295">
        <v>15</v>
      </c>
      <c r="H61" s="4269"/>
      <c r="I61" s="2779">
        <v>3.4722222222222224E-4</v>
      </c>
      <c r="J61" s="4270">
        <v>1.3888888888888889E-3</v>
      </c>
      <c r="K61" s="4300" t="s">
        <v>932</v>
      </c>
      <c r="L61" s="4272">
        <f t="shared" si="43"/>
        <v>0.37853009259259257</v>
      </c>
      <c r="M61" s="4273" t="s">
        <v>1122</v>
      </c>
      <c r="N61" s="2779">
        <v>4.2129629629629626E-3</v>
      </c>
      <c r="O61" s="2779"/>
      <c r="P61" s="2780">
        <v>1.273148148148148E-4</v>
      </c>
      <c r="Q61" s="2797"/>
      <c r="R61" s="4294">
        <v>90</v>
      </c>
      <c r="S61" s="229">
        <f t="shared" si="9"/>
        <v>0.09</v>
      </c>
      <c r="T61" s="230">
        <f t="shared" si="10"/>
        <v>0</v>
      </c>
      <c r="U61" s="374">
        <f t="shared" si="11"/>
        <v>0</v>
      </c>
      <c r="V61" s="375">
        <f t="shared" si="12"/>
        <v>0</v>
      </c>
      <c r="W61" s="376">
        <f t="shared" si="13"/>
        <v>0</v>
      </c>
      <c r="X61" s="377">
        <f t="shared" si="14"/>
        <v>0</v>
      </c>
      <c r="Y61" s="378">
        <f t="shared" si="15"/>
        <v>0</v>
      </c>
      <c r="Z61" s="379">
        <f t="shared" si="16"/>
        <v>0</v>
      </c>
      <c r="AA61" s="380">
        <f t="shared" si="17"/>
        <v>0.09</v>
      </c>
      <c r="AC61" s="231"/>
      <c r="AD61" s="231"/>
      <c r="AE61" s="231"/>
      <c r="AF61" s="231"/>
      <c r="AG61" s="231"/>
      <c r="AH61" s="231"/>
      <c r="AI61" s="213"/>
      <c r="AJ61" s="213"/>
      <c r="AK61" s="213"/>
      <c r="AL61" s="213"/>
      <c r="AM61" s="213"/>
      <c r="AN61" s="204"/>
    </row>
    <row r="62" spans="1:40" ht="14" thickBot="1">
      <c r="A62" s="2805" t="s">
        <v>219</v>
      </c>
      <c r="B62" s="4214"/>
      <c r="C62" s="2256">
        <f t="shared" si="1"/>
        <v>2.2880964381720439E-4</v>
      </c>
      <c r="D62" s="1883">
        <v>1</v>
      </c>
      <c r="E62" s="4296"/>
      <c r="F62" s="4296"/>
      <c r="G62" s="4296"/>
      <c r="H62" s="2792"/>
      <c r="I62" s="2792"/>
      <c r="J62" s="4228"/>
      <c r="K62" s="4297"/>
      <c r="L62" s="4229">
        <f t="shared" si="43"/>
        <v>0.38274305555555554</v>
      </c>
      <c r="M62" s="4230" t="s">
        <v>1122</v>
      </c>
      <c r="N62" s="2794">
        <v>0</v>
      </c>
      <c r="O62" s="2792"/>
      <c r="P62" s="2794"/>
      <c r="Q62" s="2795"/>
      <c r="R62" s="2796">
        <v>1990</v>
      </c>
      <c r="S62" s="229">
        <f t="shared" si="9"/>
        <v>0</v>
      </c>
      <c r="T62" s="230">
        <f t="shared" si="10"/>
        <v>0</v>
      </c>
      <c r="U62" s="374">
        <f t="shared" si="11"/>
        <v>0</v>
      </c>
      <c r="V62" s="375">
        <f t="shared" si="12"/>
        <v>0</v>
      </c>
      <c r="W62" s="376">
        <f t="shared" si="13"/>
        <v>0</v>
      </c>
      <c r="X62" s="377">
        <f t="shared" si="14"/>
        <v>0</v>
      </c>
      <c r="Y62" s="378">
        <f t="shared" si="15"/>
        <v>0</v>
      </c>
      <c r="Z62" s="379">
        <f t="shared" si="16"/>
        <v>0</v>
      </c>
      <c r="AA62" s="380">
        <f t="shared" si="17"/>
        <v>0</v>
      </c>
      <c r="AC62" s="231"/>
      <c r="AD62" s="231"/>
      <c r="AE62" s="231"/>
      <c r="AF62" s="231"/>
      <c r="AG62" s="231"/>
      <c r="AH62" s="231"/>
      <c r="AI62" s="213"/>
      <c r="AJ62" s="213"/>
      <c r="AK62" s="213"/>
      <c r="AL62" s="213"/>
      <c r="AM62" s="213"/>
      <c r="AN62" s="204"/>
    </row>
    <row r="63" spans="1:40" ht="14" thickBot="1">
      <c r="A63" s="2773"/>
      <c r="B63" s="2802" t="s">
        <v>215</v>
      </c>
      <c r="C63" s="274">
        <f>IF(D63=1,U$5,IF(D63=2,V$5,IF(D63=3,W$5,IF(D63=4,X$5,IF(D63=5,Y$5,IF(D63=6,Z$5,IF(D63=7,AA$5,0)))))))</f>
        <v>2.2880964381720439E-4</v>
      </c>
      <c r="D63" s="920">
        <v>1</v>
      </c>
      <c r="E63" s="1979">
        <v>1</v>
      </c>
      <c r="F63" s="1979">
        <v>1</v>
      </c>
      <c r="G63" s="1979">
        <v>800</v>
      </c>
      <c r="H63" s="1979"/>
      <c r="I63" s="2056">
        <v>0</v>
      </c>
      <c r="J63" s="2056">
        <v>8.1018518518518516E-4</v>
      </c>
      <c r="K63" s="2099" t="s">
        <v>1163</v>
      </c>
      <c r="L63" s="1332">
        <v>0.34027777777777773</v>
      </c>
      <c r="M63" s="1123">
        <v>1.2</v>
      </c>
      <c r="N63" s="301">
        <f t="shared" ref="N63" si="44">P63*E63*F63+I63*F63*E63+J63*E63</f>
        <v>9.596475507765833E-3</v>
      </c>
      <c r="O63" s="302">
        <f t="shared" ref="O63:O66" si="45">C63*(G63/25)</f>
        <v>7.3219086021505406E-3</v>
      </c>
      <c r="P63" s="301">
        <f t="shared" ref="P63:P66" si="46">O63*M63</f>
        <v>8.7862903225806484E-3</v>
      </c>
      <c r="Q63" s="798">
        <v>145</v>
      </c>
      <c r="R63" s="369">
        <f t="shared" ref="R63:R66" si="47">E63*F63*G63</f>
        <v>800</v>
      </c>
      <c r="S63" s="229">
        <f t="shared" ref="S63:S72" si="48">E63*F63*G63/1000</f>
        <v>0.8</v>
      </c>
      <c r="T63" s="230">
        <f t="shared" ref="T63:T72" si="49">E63*F63*O63*4</f>
        <v>2.9287634408602162E-2</v>
      </c>
      <c r="U63" s="374">
        <f t="shared" ref="U63:U72" si="50">IF(C63*4&gt;=$U$4,S63,0)</f>
        <v>0.8</v>
      </c>
      <c r="V63" s="375">
        <f t="shared" ref="V63:V72" si="51">IF(AND(C63*4&gt;=$V$4,C63*4&lt;$U$4),S63,0)</f>
        <v>0</v>
      </c>
      <c r="W63" s="376">
        <f t="shared" ref="W63:W72" si="52">IF(AND(C63*4&gt;=$W$4,C63*4&lt;$V$4),S63,0)</f>
        <v>0</v>
      </c>
      <c r="X63" s="377">
        <f t="shared" ref="X63:X72" si="53">IF(AND(C63*4&gt;=$X$4,C63*4&lt;$W$4),S63,0)</f>
        <v>0</v>
      </c>
      <c r="Y63" s="378">
        <f t="shared" ref="Y63:Y72" si="54">IF(AND(C63*4&gt;=$Y$4,C63*4&lt;$X$4),S63,0)</f>
        <v>0</v>
      </c>
      <c r="Z63" s="379">
        <f t="shared" ref="Z63:Z72" si="55">IF(AND(C63*4&gt;=$Z$4,C63*4&lt;$Y$4),S63,0)</f>
        <v>0</v>
      </c>
      <c r="AA63" s="380">
        <f t="shared" ref="AA63:AA72" si="56">IF(AND(C63*4&gt;=$AA$4,C63*4&lt;$Z$4),S63,0)</f>
        <v>0</v>
      </c>
      <c r="AB63" s="144"/>
      <c r="AC63" s="231">
        <v>0</v>
      </c>
      <c r="AD63" s="231">
        <v>0</v>
      </c>
      <c r="AE63" s="231">
        <v>0</v>
      </c>
      <c r="AF63" s="231">
        <v>0</v>
      </c>
      <c r="AG63" s="231">
        <v>0</v>
      </c>
      <c r="AH63" s="231">
        <v>0</v>
      </c>
      <c r="AI63" s="225"/>
      <c r="AJ63" s="204"/>
      <c r="AK63" s="204"/>
      <c r="AL63" s="204"/>
      <c r="AM63" s="204"/>
      <c r="AN63" s="204"/>
    </row>
    <row r="64" spans="1:40" ht="14" thickBot="1">
      <c r="A64" s="2773" t="s">
        <v>219</v>
      </c>
      <c r="B64" s="2771" t="s">
        <v>215</v>
      </c>
      <c r="C64" s="274">
        <f t="shared" ref="C64:C67" si="57">IF(D64=1,U$5,IF(D64=2,V$5,IF(D64=3,W$5,IF(D64=4,X$5,IF(D64=5,Y$5,IF(D64=6,Z$5,IF(D64=7,AA$5,0)))))))</f>
        <v>1.8229166666666673E-4</v>
      </c>
      <c r="D64" s="2100">
        <v>6</v>
      </c>
      <c r="E64" s="2116">
        <v>1</v>
      </c>
      <c r="F64" s="2116">
        <v>1</v>
      </c>
      <c r="G64" s="2116">
        <v>290</v>
      </c>
      <c r="H64" s="2117"/>
      <c r="I64" s="1053">
        <v>2.3148148148148151E-3</v>
      </c>
      <c r="J64" s="1053">
        <v>1.3888888888888889E-3</v>
      </c>
      <c r="K64" s="1065" t="s">
        <v>1426</v>
      </c>
      <c r="L64" s="2118">
        <f>L63+N63</f>
        <v>0.34987425328554356</v>
      </c>
      <c r="M64" s="2119">
        <v>1</v>
      </c>
      <c r="N64" s="1053">
        <f t="shared" ref="N64:N66" si="58">P64*E64*F64+I64*E64*F64+J64*E64</f>
        <v>5.8182870370370385E-3</v>
      </c>
      <c r="O64" s="368">
        <f t="shared" si="45"/>
        <v>2.1145833333333342E-3</v>
      </c>
      <c r="P64" s="586">
        <f t="shared" si="46"/>
        <v>2.1145833333333342E-3</v>
      </c>
      <c r="Q64" s="2120" t="s">
        <v>316</v>
      </c>
      <c r="R64" s="2116">
        <f t="shared" si="47"/>
        <v>290</v>
      </c>
      <c r="S64" s="229">
        <f t="shared" si="48"/>
        <v>0.28999999999999998</v>
      </c>
      <c r="T64" s="230">
        <f t="shared" si="49"/>
        <v>8.4583333333333368E-3</v>
      </c>
      <c r="U64" s="374">
        <f t="shared" si="50"/>
        <v>0</v>
      </c>
      <c r="V64" s="375">
        <f t="shared" si="51"/>
        <v>0</v>
      </c>
      <c r="W64" s="376">
        <f t="shared" si="52"/>
        <v>0</v>
      </c>
      <c r="X64" s="377">
        <f t="shared" si="53"/>
        <v>0</v>
      </c>
      <c r="Y64" s="378">
        <f t="shared" si="54"/>
        <v>0</v>
      </c>
      <c r="Z64" s="379">
        <f t="shared" si="55"/>
        <v>0.28999999999999998</v>
      </c>
      <c r="AA64" s="380">
        <f t="shared" si="56"/>
        <v>0</v>
      </c>
      <c r="AB64" s="144"/>
      <c r="AC64" s="231"/>
      <c r="AD64" s="231"/>
      <c r="AE64" s="231"/>
      <c r="AF64" s="231"/>
      <c r="AG64" s="231"/>
      <c r="AH64" s="231"/>
      <c r="AI64" s="225"/>
      <c r="AJ64" s="204"/>
      <c r="AK64" s="204"/>
      <c r="AL64" s="204"/>
      <c r="AM64" s="204"/>
      <c r="AN64" s="204"/>
    </row>
    <row r="65" spans="1:40" ht="14" thickBot="1">
      <c r="A65" s="2773" t="s">
        <v>138</v>
      </c>
      <c r="B65" s="2771" t="s">
        <v>215</v>
      </c>
      <c r="C65" s="274">
        <f t="shared" si="57"/>
        <v>2.1908757716049393E-4</v>
      </c>
      <c r="D65" s="889">
        <v>2</v>
      </c>
      <c r="E65" s="2107">
        <v>1</v>
      </c>
      <c r="F65" s="1173">
        <v>1</v>
      </c>
      <c r="G65" s="1173">
        <v>200</v>
      </c>
      <c r="H65" s="1453" t="s">
        <v>218</v>
      </c>
      <c r="I65" s="299">
        <v>1.1574074074074073E-4</v>
      </c>
      <c r="J65" s="299">
        <v>6.9444444444444447E-4</v>
      </c>
      <c r="K65" s="1123" t="s">
        <v>942</v>
      </c>
      <c r="L65" s="299">
        <f t="shared" ref="L65:L73" si="59">L64+N64</f>
        <v>0.35569254032258057</v>
      </c>
      <c r="M65" s="1174">
        <v>1</v>
      </c>
      <c r="N65" s="299">
        <f t="shared" si="58"/>
        <v>2.5628858024691367E-3</v>
      </c>
      <c r="O65" s="1196">
        <f t="shared" si="45"/>
        <v>1.7527006172839514E-3</v>
      </c>
      <c r="P65" s="1175">
        <f t="shared" si="46"/>
        <v>1.7527006172839514E-3</v>
      </c>
      <c r="Q65" s="550">
        <v>146</v>
      </c>
      <c r="R65" s="1176">
        <f t="shared" si="47"/>
        <v>200</v>
      </c>
      <c r="S65" s="229">
        <f t="shared" si="48"/>
        <v>0.2</v>
      </c>
      <c r="T65" s="230">
        <f t="shared" si="49"/>
        <v>7.0108024691358057E-3</v>
      </c>
      <c r="U65" s="374">
        <f t="shared" si="50"/>
        <v>0</v>
      </c>
      <c r="V65" s="375">
        <f t="shared" si="51"/>
        <v>0.2</v>
      </c>
      <c r="W65" s="376">
        <f t="shared" si="52"/>
        <v>0</v>
      </c>
      <c r="X65" s="377">
        <f t="shared" si="53"/>
        <v>0</v>
      </c>
      <c r="Y65" s="378">
        <f t="shared" si="54"/>
        <v>0</v>
      </c>
      <c r="Z65" s="379">
        <f t="shared" si="55"/>
        <v>0</v>
      </c>
      <c r="AA65" s="380">
        <f t="shared" si="56"/>
        <v>0</v>
      </c>
      <c r="AB65" s="144"/>
      <c r="AC65" s="231"/>
      <c r="AD65" s="231"/>
      <c r="AE65" s="231"/>
      <c r="AF65" s="231"/>
      <c r="AG65" s="231"/>
      <c r="AH65" s="231"/>
      <c r="AI65" s="225"/>
      <c r="AJ65" s="204"/>
      <c r="AK65" s="204"/>
      <c r="AL65" s="204"/>
      <c r="AM65" s="204"/>
      <c r="AN65" s="204"/>
    </row>
    <row r="66" spans="1:40" ht="14" thickBot="1">
      <c r="A66" s="2773" t="s">
        <v>779</v>
      </c>
      <c r="B66" s="2771" t="s">
        <v>215</v>
      </c>
      <c r="C66" s="274">
        <f t="shared" si="57"/>
        <v>1.8933937422552669E-4</v>
      </c>
      <c r="D66" s="1248">
        <v>5</v>
      </c>
      <c r="E66" s="2108">
        <v>1</v>
      </c>
      <c r="F66" s="2106">
        <v>4</v>
      </c>
      <c r="G66" s="1249">
        <v>50</v>
      </c>
      <c r="H66" s="1456" t="s">
        <v>944</v>
      </c>
      <c r="I66" s="1250">
        <v>5.7870370370370366E-5</v>
      </c>
      <c r="J66" s="1250">
        <v>1.3888888888888889E-3</v>
      </c>
      <c r="K66" s="534" t="s">
        <v>1175</v>
      </c>
      <c r="L66" s="1150">
        <f t="shared" si="59"/>
        <v>0.35825542612504974</v>
      </c>
      <c r="M66" s="1256">
        <v>1.1000000000000001</v>
      </c>
      <c r="N66" s="1250">
        <f t="shared" si="58"/>
        <v>3.2865568635550057E-3</v>
      </c>
      <c r="O66" s="1253">
        <f t="shared" si="45"/>
        <v>3.7867874845105338E-4</v>
      </c>
      <c r="P66" s="1254">
        <f t="shared" si="46"/>
        <v>4.1654662329615878E-4</v>
      </c>
      <c r="Q66" s="1255" t="s">
        <v>278</v>
      </c>
      <c r="R66" s="1249">
        <f t="shared" si="47"/>
        <v>200</v>
      </c>
      <c r="S66" s="229">
        <f t="shared" si="48"/>
        <v>0.2</v>
      </c>
      <c r="T66" s="230">
        <f t="shared" si="49"/>
        <v>6.0588599752168541E-3</v>
      </c>
      <c r="U66" s="374">
        <f t="shared" si="50"/>
        <v>0</v>
      </c>
      <c r="V66" s="375">
        <f t="shared" si="51"/>
        <v>0</v>
      </c>
      <c r="W66" s="376">
        <f t="shared" si="52"/>
        <v>0</v>
      </c>
      <c r="X66" s="377">
        <f t="shared" si="53"/>
        <v>0</v>
      </c>
      <c r="Y66" s="378">
        <f t="shared" si="54"/>
        <v>0.2</v>
      </c>
      <c r="Z66" s="379">
        <f t="shared" si="55"/>
        <v>0</v>
      </c>
      <c r="AA66" s="380">
        <f t="shared" si="56"/>
        <v>0</v>
      </c>
      <c r="AB66" s="144"/>
      <c r="AC66" s="231">
        <v>0</v>
      </c>
      <c r="AD66" s="231">
        <v>0</v>
      </c>
      <c r="AE66" s="231">
        <v>0</v>
      </c>
      <c r="AF66" s="231">
        <v>0</v>
      </c>
      <c r="AG66" s="231">
        <v>0</v>
      </c>
      <c r="AH66" s="231">
        <v>0</v>
      </c>
      <c r="AI66" s="225"/>
      <c r="AJ66" s="204"/>
      <c r="AK66" s="204"/>
      <c r="AL66" s="204"/>
      <c r="AM66" s="204"/>
      <c r="AN66" s="204"/>
    </row>
    <row r="67" spans="1:40" ht="14" thickBot="1">
      <c r="A67" s="2773" t="s">
        <v>138</v>
      </c>
      <c r="B67" s="2771" t="s">
        <v>215</v>
      </c>
      <c r="C67" s="274">
        <f t="shared" si="57"/>
        <v>1.7682291666666674E-4</v>
      </c>
      <c r="D67" s="1539">
        <v>7</v>
      </c>
      <c r="E67" s="1040">
        <v>1</v>
      </c>
      <c r="F67" s="1040">
        <v>8</v>
      </c>
      <c r="G67" s="1040">
        <v>15</v>
      </c>
      <c r="H67" s="1720"/>
      <c r="I67" s="1041">
        <v>4.6296296296296293E-4</v>
      </c>
      <c r="J67" s="1041">
        <v>4.1666666666666666E-3</v>
      </c>
      <c r="K67" s="443" t="s">
        <v>1178</v>
      </c>
      <c r="L67" s="1041">
        <f t="shared" si="59"/>
        <v>0.36154198298860474</v>
      </c>
      <c r="M67" s="2115">
        <v>0.9</v>
      </c>
      <c r="N67" s="1041">
        <f>P67*E67*F67+I67*F67+J67*E67</f>
        <v>8.6342453703703703E-3</v>
      </c>
      <c r="O67" s="1731">
        <f>C67*(G67/25)</f>
        <v>1.0609375000000004E-4</v>
      </c>
      <c r="P67" s="439">
        <f>O67*M67</f>
        <v>9.5484375000000042E-5</v>
      </c>
      <c r="Q67" s="443" t="s">
        <v>274</v>
      </c>
      <c r="R67" s="2044">
        <f>E67*F67*G67</f>
        <v>120</v>
      </c>
      <c r="S67" s="229">
        <f t="shared" si="48"/>
        <v>0.12</v>
      </c>
      <c r="T67" s="230">
        <f t="shared" si="49"/>
        <v>3.3950000000000013E-3</v>
      </c>
      <c r="U67" s="374">
        <f t="shared" si="50"/>
        <v>0</v>
      </c>
      <c r="V67" s="375">
        <f t="shared" si="51"/>
        <v>0</v>
      </c>
      <c r="W67" s="376">
        <f t="shared" si="52"/>
        <v>0</v>
      </c>
      <c r="X67" s="377">
        <f t="shared" si="53"/>
        <v>0</v>
      </c>
      <c r="Y67" s="378">
        <f t="shared" si="54"/>
        <v>0</v>
      </c>
      <c r="Z67" s="379">
        <f t="shared" si="55"/>
        <v>0</v>
      </c>
      <c r="AA67" s="380">
        <f t="shared" si="56"/>
        <v>0.12</v>
      </c>
      <c r="AB67" s="144"/>
      <c r="AC67" s="231">
        <v>0</v>
      </c>
      <c r="AD67" s="231">
        <v>0</v>
      </c>
      <c r="AE67" s="231">
        <v>0</v>
      </c>
      <c r="AF67" s="231">
        <v>0</v>
      </c>
      <c r="AG67" s="231">
        <v>0</v>
      </c>
      <c r="AH67" s="231">
        <v>0</v>
      </c>
      <c r="AI67" s="213"/>
      <c r="AJ67" s="204"/>
      <c r="AK67" s="204"/>
      <c r="AL67" s="204"/>
      <c r="AM67" s="204"/>
      <c r="AN67" s="204"/>
    </row>
    <row r="68" spans="1:40" ht="14" thickBot="1">
      <c r="A68" s="2773" t="s">
        <v>220</v>
      </c>
      <c r="B68" s="2771" t="s">
        <v>215</v>
      </c>
      <c r="C68" s="274">
        <f t="shared" ref="C68:C72" si="60">IF(D68=1,U$5,IF(D68=2,V$5,IF(D68=3,W$5,IF(D68=4,X$5,IF(D68=5,Y$5,IF(D68=6,Z$5,IF(D68=7,AA$5,0)))))))</f>
        <v>1.8229166666666673E-4</v>
      </c>
      <c r="D68" s="2100">
        <v>6</v>
      </c>
      <c r="E68" s="2103">
        <v>2</v>
      </c>
      <c r="F68" s="2116">
        <v>2</v>
      </c>
      <c r="G68" s="2116">
        <v>50</v>
      </c>
      <c r="H68" s="2117"/>
      <c r="I68" s="1053">
        <v>6.9444444444444447E-4</v>
      </c>
      <c r="J68" s="1053">
        <v>1.3888888888888889E-3</v>
      </c>
      <c r="K68" s="1065" t="s">
        <v>1164</v>
      </c>
      <c r="L68" s="2118">
        <f t="shared" si="59"/>
        <v>0.37017622835897512</v>
      </c>
      <c r="M68" s="2119">
        <v>1</v>
      </c>
      <c r="N68" s="1053">
        <f t="shared" ref="N68:N72" si="61">P68*E68*F68+I68*E68*F68+J68*E68</f>
        <v>7.013888888888889E-3</v>
      </c>
      <c r="O68" s="368">
        <f t="shared" ref="O68:O72" si="62">C68*(G68/25)</f>
        <v>3.6458333333333346E-4</v>
      </c>
      <c r="P68" s="586">
        <f t="shared" ref="P68:P72" si="63">O68*M68</f>
        <v>3.6458333333333346E-4</v>
      </c>
      <c r="Q68" s="2120" t="s">
        <v>316</v>
      </c>
      <c r="R68" s="2116">
        <f t="shared" ref="R68:R72" si="64">E68*F68*G68</f>
        <v>200</v>
      </c>
      <c r="S68" s="229">
        <f t="shared" si="48"/>
        <v>0.2</v>
      </c>
      <c r="T68" s="230">
        <f t="shared" si="49"/>
        <v>5.8333333333333353E-3</v>
      </c>
      <c r="U68" s="374">
        <f t="shared" si="50"/>
        <v>0</v>
      </c>
      <c r="V68" s="375">
        <f t="shared" si="51"/>
        <v>0</v>
      </c>
      <c r="W68" s="376">
        <f t="shared" si="52"/>
        <v>0</v>
      </c>
      <c r="X68" s="377">
        <f t="shared" si="53"/>
        <v>0</v>
      </c>
      <c r="Y68" s="378">
        <f t="shared" si="54"/>
        <v>0</v>
      </c>
      <c r="Z68" s="379">
        <f t="shared" si="55"/>
        <v>0.2</v>
      </c>
      <c r="AA68" s="380">
        <f t="shared" si="56"/>
        <v>0</v>
      </c>
      <c r="AB68" s="144"/>
      <c r="AC68" s="231"/>
      <c r="AD68" s="231"/>
      <c r="AE68" s="231"/>
      <c r="AF68" s="231"/>
      <c r="AG68" s="231"/>
      <c r="AH68" s="231"/>
      <c r="AI68" s="213"/>
      <c r="AJ68" s="204"/>
      <c r="AK68" s="204"/>
      <c r="AL68" s="204"/>
      <c r="AM68" s="204"/>
      <c r="AN68" s="204"/>
    </row>
    <row r="69" spans="1:40" ht="14" thickBot="1">
      <c r="A69" s="2773" t="s">
        <v>674</v>
      </c>
      <c r="B69" s="2771" t="s">
        <v>215</v>
      </c>
      <c r="C69" s="274">
        <f t="shared" si="60"/>
        <v>1.8229166666666673E-4</v>
      </c>
      <c r="D69" s="2101">
        <v>6</v>
      </c>
      <c r="E69" s="2104">
        <v>2</v>
      </c>
      <c r="F69" s="2116">
        <v>2</v>
      </c>
      <c r="G69" s="2116">
        <v>50</v>
      </c>
      <c r="H69" s="2117"/>
      <c r="I69" s="1053">
        <v>2.3148148148148146E-4</v>
      </c>
      <c r="J69" s="1053">
        <v>1.3888888888888889E-3</v>
      </c>
      <c r="K69" s="1065" t="s">
        <v>1427</v>
      </c>
      <c r="L69" s="2118">
        <f t="shared" si="59"/>
        <v>0.377190117247864</v>
      </c>
      <c r="M69" s="2119">
        <v>1</v>
      </c>
      <c r="N69" s="1053">
        <f t="shared" si="61"/>
        <v>5.1620370370370379E-3</v>
      </c>
      <c r="O69" s="368">
        <f t="shared" si="62"/>
        <v>3.6458333333333346E-4</v>
      </c>
      <c r="P69" s="586">
        <f t="shared" si="63"/>
        <v>3.6458333333333346E-4</v>
      </c>
      <c r="Q69" s="2120">
        <v>146</v>
      </c>
      <c r="R69" s="2116">
        <f t="shared" si="64"/>
        <v>200</v>
      </c>
      <c r="S69" s="229">
        <f t="shared" si="48"/>
        <v>0.2</v>
      </c>
      <c r="T69" s="230">
        <f t="shared" si="49"/>
        <v>5.8333333333333353E-3</v>
      </c>
      <c r="U69" s="374">
        <f t="shared" si="50"/>
        <v>0</v>
      </c>
      <c r="V69" s="375">
        <f t="shared" si="51"/>
        <v>0</v>
      </c>
      <c r="W69" s="376">
        <f t="shared" si="52"/>
        <v>0</v>
      </c>
      <c r="X69" s="377">
        <f t="shared" si="53"/>
        <v>0</v>
      </c>
      <c r="Y69" s="378">
        <f t="shared" si="54"/>
        <v>0</v>
      </c>
      <c r="Z69" s="379">
        <f t="shared" si="55"/>
        <v>0.2</v>
      </c>
      <c r="AA69" s="380">
        <f t="shared" si="56"/>
        <v>0</v>
      </c>
      <c r="AB69" s="144"/>
      <c r="AC69" s="231"/>
      <c r="AD69" s="231"/>
      <c r="AE69" s="231"/>
      <c r="AF69" s="231"/>
      <c r="AG69" s="231"/>
      <c r="AH69" s="231"/>
      <c r="AI69" s="213"/>
      <c r="AJ69" s="204"/>
      <c r="AK69" s="204"/>
      <c r="AL69" s="204"/>
      <c r="AM69" s="204"/>
      <c r="AN69" s="204"/>
    </row>
    <row r="70" spans="1:40">
      <c r="A70" s="2773"/>
      <c r="B70" s="2771"/>
      <c r="C70" s="274">
        <f t="shared" si="60"/>
        <v>1.8229166666666673E-4</v>
      </c>
      <c r="D70" s="2102">
        <v>6</v>
      </c>
      <c r="E70" s="2105">
        <v>1</v>
      </c>
      <c r="F70" s="2116">
        <v>2</v>
      </c>
      <c r="G70" s="2116">
        <v>50</v>
      </c>
      <c r="H70" s="2117"/>
      <c r="I70" s="1053">
        <v>9.2592592592592585E-4</v>
      </c>
      <c r="J70" s="1053">
        <v>1.3888888888888889E-3</v>
      </c>
      <c r="K70" s="1065" t="s">
        <v>1165</v>
      </c>
      <c r="L70" s="2118">
        <f t="shared" si="59"/>
        <v>0.38235215428490105</v>
      </c>
      <c r="M70" s="2119">
        <v>1</v>
      </c>
      <c r="N70" s="1053">
        <f t="shared" si="61"/>
        <v>3.9699074074074072E-3</v>
      </c>
      <c r="O70" s="368">
        <f t="shared" si="62"/>
        <v>3.6458333333333346E-4</v>
      </c>
      <c r="P70" s="586">
        <f t="shared" si="63"/>
        <v>3.6458333333333346E-4</v>
      </c>
      <c r="Q70" s="2120">
        <v>164</v>
      </c>
      <c r="R70" s="2116">
        <f t="shared" si="64"/>
        <v>100</v>
      </c>
      <c r="S70" s="229">
        <f t="shared" si="48"/>
        <v>0.1</v>
      </c>
      <c r="T70" s="230">
        <f t="shared" si="49"/>
        <v>2.9166666666666677E-3</v>
      </c>
      <c r="U70" s="374">
        <f t="shared" si="50"/>
        <v>0</v>
      </c>
      <c r="V70" s="375">
        <f t="shared" si="51"/>
        <v>0</v>
      </c>
      <c r="W70" s="376">
        <f t="shared" si="52"/>
        <v>0</v>
      </c>
      <c r="X70" s="377">
        <f t="shared" si="53"/>
        <v>0</v>
      </c>
      <c r="Y70" s="378">
        <f t="shared" si="54"/>
        <v>0</v>
      </c>
      <c r="Z70" s="379">
        <f t="shared" si="55"/>
        <v>0.1</v>
      </c>
      <c r="AA70" s="380">
        <f t="shared" si="56"/>
        <v>0</v>
      </c>
      <c r="AB70" s="144"/>
      <c r="AC70" s="231">
        <v>0</v>
      </c>
      <c r="AD70" s="231">
        <v>0</v>
      </c>
      <c r="AE70" s="231">
        <v>0</v>
      </c>
      <c r="AF70" s="231">
        <v>0</v>
      </c>
      <c r="AG70" s="231">
        <v>0</v>
      </c>
      <c r="AH70" s="231">
        <v>0</v>
      </c>
      <c r="AI70" s="213"/>
      <c r="AJ70" s="204"/>
      <c r="AK70" s="204"/>
      <c r="AL70" s="204"/>
      <c r="AM70" s="204"/>
      <c r="AN70" s="204"/>
    </row>
    <row r="71" spans="1:40" ht="14" thickBot="1">
      <c r="A71" s="2773"/>
      <c r="B71" s="2802" t="s">
        <v>461</v>
      </c>
      <c r="C71" s="274">
        <f t="shared" si="60"/>
        <v>2.1908757716049393E-4</v>
      </c>
      <c r="D71" s="889">
        <v>2</v>
      </c>
      <c r="E71" s="2107">
        <v>1</v>
      </c>
      <c r="F71" s="1173">
        <v>1</v>
      </c>
      <c r="G71" s="1173">
        <v>200</v>
      </c>
      <c r="H71" s="1453" t="s">
        <v>218</v>
      </c>
      <c r="I71" s="299">
        <v>1.1574074074074073E-4</v>
      </c>
      <c r="J71" s="299">
        <v>6.9444444444444447E-4</v>
      </c>
      <c r="K71" s="1123" t="s">
        <v>942</v>
      </c>
      <c r="L71" s="299">
        <f t="shared" si="59"/>
        <v>0.38632206169230843</v>
      </c>
      <c r="M71" s="1174">
        <v>1</v>
      </c>
      <c r="N71" s="299">
        <f t="shared" si="61"/>
        <v>2.5628858024691367E-3</v>
      </c>
      <c r="O71" s="1196">
        <f t="shared" si="62"/>
        <v>1.7527006172839514E-3</v>
      </c>
      <c r="P71" s="1175">
        <f t="shared" si="63"/>
        <v>1.7527006172839514E-3</v>
      </c>
      <c r="Q71" s="550">
        <v>146</v>
      </c>
      <c r="R71" s="1176">
        <f t="shared" si="64"/>
        <v>200</v>
      </c>
      <c r="S71" s="229">
        <f t="shared" si="48"/>
        <v>0.2</v>
      </c>
      <c r="T71" s="230">
        <f t="shared" si="49"/>
        <v>7.0108024691358057E-3</v>
      </c>
      <c r="U71" s="374">
        <f t="shared" si="50"/>
        <v>0</v>
      </c>
      <c r="V71" s="375">
        <f t="shared" si="51"/>
        <v>0.2</v>
      </c>
      <c r="W71" s="376">
        <f t="shared" si="52"/>
        <v>0</v>
      </c>
      <c r="X71" s="377">
        <f t="shared" si="53"/>
        <v>0</v>
      </c>
      <c r="Y71" s="378">
        <f t="shared" si="54"/>
        <v>0</v>
      </c>
      <c r="Z71" s="379">
        <f t="shared" si="55"/>
        <v>0</v>
      </c>
      <c r="AA71" s="380">
        <f t="shared" si="56"/>
        <v>0</v>
      </c>
      <c r="AB71" s="144"/>
      <c r="AC71" s="231">
        <v>0</v>
      </c>
      <c r="AD71" s="231">
        <v>0</v>
      </c>
      <c r="AE71" s="231">
        <v>0</v>
      </c>
      <c r="AF71" s="231">
        <v>0</v>
      </c>
      <c r="AG71" s="231">
        <v>0</v>
      </c>
      <c r="AH71" s="231">
        <v>0</v>
      </c>
      <c r="AI71" s="213"/>
      <c r="AJ71" s="204"/>
      <c r="AK71" s="204"/>
      <c r="AL71" s="204"/>
      <c r="AM71" s="204"/>
      <c r="AN71" s="204"/>
    </row>
    <row r="72" spans="1:40" ht="14" thickBot="1">
      <c r="A72" s="2773"/>
      <c r="B72" s="2771" t="s">
        <v>461</v>
      </c>
      <c r="C72" s="274">
        <f t="shared" si="60"/>
        <v>1.8933937422552669E-4</v>
      </c>
      <c r="D72" s="1248">
        <v>5</v>
      </c>
      <c r="E72" s="2108">
        <v>1</v>
      </c>
      <c r="F72" s="2106">
        <v>2</v>
      </c>
      <c r="G72" s="1249">
        <v>75</v>
      </c>
      <c r="H72" s="1456" t="s">
        <v>944</v>
      </c>
      <c r="I72" s="1250">
        <v>5.7870370370370366E-5</v>
      </c>
      <c r="J72" s="1250">
        <v>1.3888888888888889E-3</v>
      </c>
      <c r="K72" s="534" t="s">
        <v>1428</v>
      </c>
      <c r="L72" s="1150">
        <f t="shared" si="59"/>
        <v>0.38888494749477759</v>
      </c>
      <c r="M72" s="1256">
        <v>1.1000000000000001</v>
      </c>
      <c r="N72" s="1250">
        <f t="shared" si="61"/>
        <v>2.7542694995181059E-3</v>
      </c>
      <c r="O72" s="1253">
        <f t="shared" si="62"/>
        <v>5.6801812267658004E-4</v>
      </c>
      <c r="P72" s="1254">
        <f t="shared" si="63"/>
        <v>6.2481993494423811E-4</v>
      </c>
      <c r="Q72" s="1255" t="s">
        <v>278</v>
      </c>
      <c r="R72" s="1249">
        <f t="shared" si="64"/>
        <v>150</v>
      </c>
      <c r="S72" s="229">
        <f t="shared" si="48"/>
        <v>0.15</v>
      </c>
      <c r="T72" s="230">
        <f t="shared" si="49"/>
        <v>4.5441449814126404E-3</v>
      </c>
      <c r="U72" s="374">
        <f t="shared" si="50"/>
        <v>0</v>
      </c>
      <c r="V72" s="375">
        <f t="shared" si="51"/>
        <v>0</v>
      </c>
      <c r="W72" s="376">
        <f t="shared" si="52"/>
        <v>0</v>
      </c>
      <c r="X72" s="377">
        <f t="shared" si="53"/>
        <v>0</v>
      </c>
      <c r="Y72" s="378">
        <f t="shared" si="54"/>
        <v>0.15</v>
      </c>
      <c r="Z72" s="379">
        <f t="shared" si="55"/>
        <v>0</v>
      </c>
      <c r="AA72" s="380">
        <f t="shared" si="56"/>
        <v>0</v>
      </c>
      <c r="AB72" s="144"/>
      <c r="AC72" s="231">
        <v>0</v>
      </c>
      <c r="AD72" s="231">
        <v>0</v>
      </c>
      <c r="AE72" s="231">
        <v>0</v>
      </c>
      <c r="AF72" s="231">
        <v>0</v>
      </c>
      <c r="AG72" s="231">
        <v>0</v>
      </c>
      <c r="AH72" s="231">
        <v>0</v>
      </c>
      <c r="AI72" s="213"/>
      <c r="AJ72" s="204"/>
      <c r="AK72" s="204"/>
      <c r="AL72" s="204"/>
      <c r="AM72" s="204"/>
      <c r="AN72" s="204"/>
    </row>
    <row r="73" spans="1:40">
      <c r="A73" s="144"/>
      <c r="B73" s="144"/>
      <c r="C73" s="144"/>
      <c r="D73" s="1883">
        <v>1</v>
      </c>
      <c r="E73" s="4296"/>
      <c r="F73" s="4296"/>
      <c r="G73" s="4296"/>
      <c r="H73" s="2792"/>
      <c r="I73" s="2792"/>
      <c r="J73" s="4228"/>
      <c r="K73" s="4297"/>
      <c r="L73" s="4229">
        <f t="shared" si="59"/>
        <v>0.39163921699429571</v>
      </c>
      <c r="M73" s="4230" t="s">
        <v>1122</v>
      </c>
      <c r="N73" s="2794">
        <v>0</v>
      </c>
      <c r="O73" s="2792"/>
      <c r="P73" s="2794"/>
      <c r="Q73" s="2795"/>
      <c r="R73" s="2796">
        <f>SUM(R63:R72)</f>
        <v>2460</v>
      </c>
      <c r="S73" s="4374"/>
      <c r="T73" s="4374"/>
      <c r="U73" s="6199">
        <f>SUM(U6:U72)</f>
        <v>2.7</v>
      </c>
      <c r="V73" s="6199">
        <f t="shared" ref="V73:AA73" si="65">SUM(V6:V72)</f>
        <v>4.9000000000000004</v>
      </c>
      <c r="W73" s="6199">
        <f t="shared" si="65"/>
        <v>1.6040000000000001</v>
      </c>
      <c r="X73" s="6199">
        <f t="shared" si="65"/>
        <v>0.1</v>
      </c>
      <c r="Y73" s="6199">
        <f t="shared" si="65"/>
        <v>0.75000000000000011</v>
      </c>
      <c r="Z73" s="6199">
        <f t="shared" si="65"/>
        <v>2.5900000000000007</v>
      </c>
      <c r="AA73" s="6199">
        <f t="shared" si="65"/>
        <v>4.8859999999999992</v>
      </c>
      <c r="AB73" s="144"/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13"/>
      <c r="AJ73" s="204"/>
      <c r="AK73" s="204"/>
      <c r="AL73" s="204"/>
      <c r="AM73" s="204"/>
      <c r="AN73" s="204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566">
        <f>IF(U73&gt;0,U73,#REF!)</f>
        <v>2.7</v>
      </c>
      <c r="V74" s="566">
        <f>IF(V73&gt;0,V73,#REF!)</f>
        <v>4.9000000000000004</v>
      </c>
      <c r="W74" s="566">
        <f>IF(W73&gt;0,W73,#REF!)</f>
        <v>1.6040000000000001</v>
      </c>
      <c r="X74" s="566">
        <f>IF(X73&gt;0,X73,#REF!)</f>
        <v>0.1</v>
      </c>
      <c r="Y74" s="566">
        <f>IF(Y73&gt;0,Y73,#REF!)</f>
        <v>0.75000000000000011</v>
      </c>
      <c r="Z74" s="566">
        <f>IF(Z73&gt;0,Z73,#REF!)</f>
        <v>2.5900000000000007</v>
      </c>
      <c r="AA74" s="566">
        <f>IF(AA73&gt;0,AA73,#REF!)</f>
        <v>4.8859999999999992</v>
      </c>
      <c r="AB74" s="144"/>
      <c r="AC74" s="231">
        <v>0</v>
      </c>
      <c r="AD74" s="231">
        <v>0</v>
      </c>
      <c r="AE74" s="231">
        <v>0</v>
      </c>
      <c r="AF74" s="231">
        <v>0</v>
      </c>
      <c r="AG74" s="231">
        <v>0</v>
      </c>
      <c r="AH74" s="231">
        <v>0</v>
      </c>
      <c r="AI74" s="213"/>
      <c r="AJ74" s="204"/>
      <c r="AK74" s="204"/>
      <c r="AL74" s="204"/>
      <c r="AM74" s="204"/>
      <c r="AN74" s="204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566">
        <f t="shared" ref="U75:AA89" si="66">IF(U74&gt;0,U74,U73)</f>
        <v>2.7</v>
      </c>
      <c r="V75" s="566">
        <f t="shared" si="66"/>
        <v>4.9000000000000004</v>
      </c>
      <c r="W75" s="566">
        <f t="shared" si="66"/>
        <v>1.6040000000000001</v>
      </c>
      <c r="X75" s="566">
        <f t="shared" si="66"/>
        <v>0.1</v>
      </c>
      <c r="Y75" s="566">
        <f t="shared" si="66"/>
        <v>0.75000000000000011</v>
      </c>
      <c r="Z75" s="566">
        <f t="shared" si="66"/>
        <v>2.5900000000000007</v>
      </c>
      <c r="AA75" s="566">
        <f t="shared" si="66"/>
        <v>4.8859999999999992</v>
      </c>
      <c r="AB75" s="144"/>
      <c r="AC75" s="231">
        <v>0</v>
      </c>
      <c r="AD75" s="231">
        <v>0</v>
      </c>
      <c r="AE75" s="231">
        <v>0</v>
      </c>
      <c r="AF75" s="231">
        <v>0</v>
      </c>
      <c r="AG75" s="231">
        <v>0</v>
      </c>
      <c r="AH75" s="231">
        <v>0</v>
      </c>
      <c r="AI75" s="213"/>
      <c r="AJ75" s="204"/>
      <c r="AK75" s="204"/>
      <c r="AL75" s="204"/>
      <c r="AM75" s="204"/>
      <c r="AN75" s="204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566">
        <f t="shared" si="66"/>
        <v>2.7</v>
      </c>
      <c r="V76" s="566">
        <f t="shared" si="66"/>
        <v>4.9000000000000004</v>
      </c>
      <c r="W76" s="566">
        <f t="shared" si="66"/>
        <v>1.6040000000000001</v>
      </c>
      <c r="X76" s="566">
        <f t="shared" si="66"/>
        <v>0.1</v>
      </c>
      <c r="Y76" s="566">
        <f t="shared" si="66"/>
        <v>0.75000000000000011</v>
      </c>
      <c r="Z76" s="566">
        <f t="shared" si="66"/>
        <v>2.5900000000000007</v>
      </c>
      <c r="AA76" s="566">
        <f t="shared" si="66"/>
        <v>4.8859999999999992</v>
      </c>
      <c r="AB76" s="144"/>
      <c r="AC76" s="231"/>
      <c r="AD76" s="231"/>
      <c r="AE76" s="231"/>
      <c r="AF76" s="231"/>
      <c r="AG76" s="231"/>
      <c r="AH76" s="231"/>
      <c r="AI76" s="213"/>
      <c r="AJ76" s="204"/>
      <c r="AK76" s="204"/>
      <c r="AL76" s="204"/>
      <c r="AM76" s="204"/>
      <c r="AN76" s="204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566">
        <f t="shared" si="66"/>
        <v>2.7</v>
      </c>
      <c r="V77" s="566">
        <f t="shared" si="66"/>
        <v>4.9000000000000004</v>
      </c>
      <c r="W77" s="566">
        <f t="shared" si="66"/>
        <v>1.6040000000000001</v>
      </c>
      <c r="X77" s="566">
        <f t="shared" si="66"/>
        <v>0.1</v>
      </c>
      <c r="Y77" s="566">
        <f t="shared" si="66"/>
        <v>0.75000000000000011</v>
      </c>
      <c r="Z77" s="566">
        <f t="shared" si="66"/>
        <v>2.5900000000000007</v>
      </c>
      <c r="AA77" s="566">
        <f t="shared" si="66"/>
        <v>4.8859999999999992</v>
      </c>
      <c r="AB77" s="144"/>
      <c r="AC77" s="231"/>
      <c r="AD77" s="231"/>
      <c r="AE77" s="231"/>
      <c r="AF77" s="231"/>
      <c r="AG77" s="231"/>
      <c r="AH77" s="231"/>
      <c r="AI77" s="213"/>
      <c r="AJ77" s="204"/>
      <c r="AK77" s="204"/>
      <c r="AL77" s="204"/>
      <c r="AM77" s="204"/>
      <c r="AN77" s="204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566">
        <f t="shared" si="66"/>
        <v>2.7</v>
      </c>
      <c r="V78" s="566">
        <f t="shared" si="66"/>
        <v>4.9000000000000004</v>
      </c>
      <c r="W78" s="566">
        <f t="shared" si="66"/>
        <v>1.6040000000000001</v>
      </c>
      <c r="X78" s="566">
        <f t="shared" si="66"/>
        <v>0.1</v>
      </c>
      <c r="Y78" s="566">
        <f t="shared" si="66"/>
        <v>0.75000000000000011</v>
      </c>
      <c r="Z78" s="566">
        <f t="shared" si="66"/>
        <v>2.5900000000000007</v>
      </c>
      <c r="AA78" s="566">
        <f t="shared" si="66"/>
        <v>4.8859999999999992</v>
      </c>
      <c r="AB78" s="144"/>
      <c r="AC78" s="231">
        <v>0</v>
      </c>
      <c r="AD78" s="231">
        <v>0</v>
      </c>
      <c r="AE78" s="231">
        <v>0</v>
      </c>
      <c r="AF78" s="231">
        <v>0</v>
      </c>
      <c r="AG78" s="231">
        <v>0</v>
      </c>
      <c r="AH78" s="231">
        <v>0</v>
      </c>
      <c r="AI78" s="213"/>
      <c r="AJ78" s="204"/>
      <c r="AK78" s="204"/>
      <c r="AL78" s="204"/>
      <c r="AM78" s="204"/>
      <c r="AN78" s="204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566">
        <f t="shared" si="66"/>
        <v>2.7</v>
      </c>
      <c r="V79" s="566">
        <f t="shared" si="66"/>
        <v>4.9000000000000004</v>
      </c>
      <c r="W79" s="566">
        <f t="shared" si="66"/>
        <v>1.6040000000000001</v>
      </c>
      <c r="X79" s="566">
        <f t="shared" si="66"/>
        <v>0.1</v>
      </c>
      <c r="Y79" s="566">
        <f t="shared" si="66"/>
        <v>0.75000000000000011</v>
      </c>
      <c r="Z79" s="566">
        <f t="shared" si="66"/>
        <v>2.5900000000000007</v>
      </c>
      <c r="AA79" s="566">
        <f t="shared" si="66"/>
        <v>4.8859999999999992</v>
      </c>
      <c r="AB79" s="144"/>
      <c r="AC79" s="231">
        <v>0</v>
      </c>
      <c r="AD79" s="231">
        <v>0</v>
      </c>
      <c r="AE79" s="231">
        <v>0</v>
      </c>
      <c r="AF79" s="231">
        <v>0</v>
      </c>
      <c r="AG79" s="231">
        <v>0</v>
      </c>
      <c r="AH79" s="231">
        <v>0</v>
      </c>
      <c r="AI79" s="213"/>
      <c r="AJ79" s="204"/>
      <c r="AK79" s="204"/>
      <c r="AL79" s="204"/>
      <c r="AM79" s="204"/>
      <c r="AN79" s="204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566">
        <f t="shared" si="66"/>
        <v>2.7</v>
      </c>
      <c r="V80" s="566">
        <f t="shared" si="66"/>
        <v>4.9000000000000004</v>
      </c>
      <c r="W80" s="566">
        <f t="shared" si="66"/>
        <v>1.6040000000000001</v>
      </c>
      <c r="X80" s="566">
        <f t="shared" si="66"/>
        <v>0.1</v>
      </c>
      <c r="Y80" s="566">
        <f t="shared" si="66"/>
        <v>0.75000000000000011</v>
      </c>
      <c r="Z80" s="566">
        <f t="shared" si="66"/>
        <v>2.5900000000000007</v>
      </c>
      <c r="AA80" s="566">
        <f t="shared" si="66"/>
        <v>4.8859999999999992</v>
      </c>
      <c r="AB80" s="144"/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13"/>
      <c r="AJ80" s="204"/>
      <c r="AK80" s="204"/>
      <c r="AL80" s="204"/>
      <c r="AM80" s="204"/>
      <c r="AN80" s="204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566">
        <f t="shared" si="66"/>
        <v>2.7</v>
      </c>
      <c r="V81" s="566">
        <f t="shared" si="66"/>
        <v>4.9000000000000004</v>
      </c>
      <c r="W81" s="566">
        <f t="shared" si="66"/>
        <v>1.6040000000000001</v>
      </c>
      <c r="X81" s="566">
        <f t="shared" si="66"/>
        <v>0.1</v>
      </c>
      <c r="Y81" s="566">
        <f t="shared" si="66"/>
        <v>0.75000000000000011</v>
      </c>
      <c r="Z81" s="566">
        <f t="shared" si="66"/>
        <v>2.5900000000000007</v>
      </c>
      <c r="AA81" s="566">
        <f t="shared" si="66"/>
        <v>4.8859999999999992</v>
      </c>
      <c r="AB81" s="144"/>
      <c r="AC81" s="231"/>
      <c r="AD81" s="231"/>
      <c r="AE81" s="231"/>
      <c r="AF81" s="231"/>
      <c r="AG81" s="231"/>
      <c r="AH81" s="231"/>
      <c r="AI81" s="213"/>
      <c r="AJ81" s="204"/>
      <c r="AK81" s="204"/>
      <c r="AL81" s="204"/>
      <c r="AM81" s="204"/>
      <c r="AN81" s="204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566">
        <f t="shared" si="66"/>
        <v>2.7</v>
      </c>
      <c r="V82" s="566">
        <f t="shared" si="66"/>
        <v>4.9000000000000004</v>
      </c>
      <c r="W82" s="566">
        <f t="shared" si="66"/>
        <v>1.6040000000000001</v>
      </c>
      <c r="X82" s="566">
        <f t="shared" si="66"/>
        <v>0.1</v>
      </c>
      <c r="Y82" s="566">
        <f t="shared" si="66"/>
        <v>0.75000000000000011</v>
      </c>
      <c r="Z82" s="566">
        <f t="shared" si="66"/>
        <v>2.5900000000000007</v>
      </c>
      <c r="AA82" s="566">
        <f t="shared" si="66"/>
        <v>4.8859999999999992</v>
      </c>
      <c r="AB82" s="144"/>
      <c r="AC82" s="231"/>
      <c r="AD82" s="231"/>
      <c r="AE82" s="231"/>
      <c r="AF82" s="231"/>
      <c r="AG82" s="231"/>
      <c r="AH82" s="231"/>
      <c r="AI82" s="213"/>
      <c r="AJ82" s="204"/>
      <c r="AK82" s="204"/>
      <c r="AL82" s="204"/>
      <c r="AM82" s="204"/>
      <c r="AN82" s="204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566">
        <f t="shared" si="66"/>
        <v>2.7</v>
      </c>
      <c r="V83" s="566">
        <f t="shared" si="66"/>
        <v>4.9000000000000004</v>
      </c>
      <c r="W83" s="566">
        <f t="shared" si="66"/>
        <v>1.6040000000000001</v>
      </c>
      <c r="X83" s="566">
        <f t="shared" si="66"/>
        <v>0.1</v>
      </c>
      <c r="Y83" s="566">
        <f t="shared" si="66"/>
        <v>0.75000000000000011</v>
      </c>
      <c r="Z83" s="566">
        <f t="shared" si="66"/>
        <v>2.5900000000000007</v>
      </c>
      <c r="AA83" s="566">
        <f t="shared" si="66"/>
        <v>4.8859999999999992</v>
      </c>
      <c r="AB83" s="144"/>
      <c r="AC83" s="231">
        <v>0</v>
      </c>
      <c r="AD83" s="231">
        <v>0</v>
      </c>
      <c r="AE83" s="231">
        <v>0</v>
      </c>
      <c r="AF83" s="231">
        <v>0</v>
      </c>
      <c r="AG83" s="231">
        <v>0</v>
      </c>
      <c r="AH83" s="231">
        <v>0</v>
      </c>
      <c r="AI83" s="213"/>
      <c r="AJ83" s="204"/>
      <c r="AK83" s="204"/>
      <c r="AL83" s="204"/>
      <c r="AM83" s="204"/>
      <c r="AN83" s="204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566">
        <f t="shared" si="66"/>
        <v>2.7</v>
      </c>
      <c r="V84" s="566">
        <f t="shared" si="66"/>
        <v>4.9000000000000004</v>
      </c>
      <c r="W84" s="566">
        <f t="shared" si="66"/>
        <v>1.6040000000000001</v>
      </c>
      <c r="X84" s="566">
        <f t="shared" si="66"/>
        <v>0.1</v>
      </c>
      <c r="Y84" s="566">
        <f t="shared" si="66"/>
        <v>0.75000000000000011</v>
      </c>
      <c r="Z84" s="566">
        <f t="shared" si="66"/>
        <v>2.5900000000000007</v>
      </c>
      <c r="AA84" s="566">
        <f t="shared" si="66"/>
        <v>4.8859999999999992</v>
      </c>
      <c r="AB84" s="144"/>
      <c r="AC84" s="231">
        <v>0</v>
      </c>
      <c r="AD84" s="231">
        <v>0</v>
      </c>
      <c r="AE84" s="231">
        <v>0</v>
      </c>
      <c r="AF84" s="231">
        <v>0</v>
      </c>
      <c r="AG84" s="231">
        <v>0</v>
      </c>
      <c r="AH84" s="231">
        <v>0</v>
      </c>
      <c r="AI84" s="213"/>
      <c r="AJ84" s="204"/>
      <c r="AK84" s="204"/>
      <c r="AL84" s="204"/>
      <c r="AM84" s="204"/>
      <c r="AN84" s="204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566">
        <f t="shared" si="66"/>
        <v>2.7</v>
      </c>
      <c r="V85" s="566">
        <f t="shared" si="66"/>
        <v>4.9000000000000004</v>
      </c>
      <c r="W85" s="566">
        <f t="shared" si="66"/>
        <v>1.6040000000000001</v>
      </c>
      <c r="X85" s="566">
        <f t="shared" si="66"/>
        <v>0.1</v>
      </c>
      <c r="Y85" s="566">
        <f t="shared" si="66"/>
        <v>0.75000000000000011</v>
      </c>
      <c r="Z85" s="566">
        <f t="shared" si="66"/>
        <v>2.5900000000000007</v>
      </c>
      <c r="AA85" s="566">
        <f t="shared" si="66"/>
        <v>4.8859999999999992</v>
      </c>
      <c r="AB85" s="144"/>
      <c r="AC85" s="231"/>
      <c r="AD85" s="231"/>
      <c r="AE85" s="231"/>
      <c r="AF85" s="231"/>
      <c r="AG85" s="231"/>
      <c r="AH85" s="231"/>
      <c r="AI85" s="213"/>
      <c r="AJ85" s="204"/>
      <c r="AK85" s="204"/>
      <c r="AL85" s="204"/>
      <c r="AM85" s="204"/>
      <c r="AN85" s="204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566">
        <f t="shared" si="66"/>
        <v>2.7</v>
      </c>
      <c r="V86" s="566">
        <f t="shared" si="66"/>
        <v>4.9000000000000004</v>
      </c>
      <c r="W86" s="566">
        <f t="shared" si="66"/>
        <v>1.6040000000000001</v>
      </c>
      <c r="X86" s="566">
        <f t="shared" si="66"/>
        <v>0.1</v>
      </c>
      <c r="Y86" s="566">
        <f t="shared" si="66"/>
        <v>0.75000000000000011</v>
      </c>
      <c r="Z86" s="566">
        <f t="shared" si="66"/>
        <v>2.5900000000000007</v>
      </c>
      <c r="AA86" s="566">
        <f t="shared" si="66"/>
        <v>4.8859999999999992</v>
      </c>
      <c r="AB86" s="144"/>
      <c r="AC86" s="231"/>
      <c r="AD86" s="231"/>
      <c r="AE86" s="231"/>
      <c r="AF86" s="231"/>
      <c r="AG86" s="231"/>
      <c r="AH86" s="231"/>
      <c r="AI86" s="213"/>
      <c r="AJ86" s="204"/>
      <c r="AK86" s="204"/>
      <c r="AL86" s="204"/>
      <c r="AM86" s="204"/>
      <c r="AN86" s="204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566">
        <f t="shared" si="66"/>
        <v>2.7</v>
      </c>
      <c r="V87" s="566">
        <f t="shared" si="66"/>
        <v>4.9000000000000004</v>
      </c>
      <c r="W87" s="566">
        <f t="shared" si="66"/>
        <v>1.6040000000000001</v>
      </c>
      <c r="X87" s="566">
        <f t="shared" si="66"/>
        <v>0.1</v>
      </c>
      <c r="Y87" s="566">
        <f t="shared" si="66"/>
        <v>0.75000000000000011</v>
      </c>
      <c r="Z87" s="566">
        <f t="shared" si="66"/>
        <v>2.5900000000000007</v>
      </c>
      <c r="AA87" s="566">
        <f t="shared" si="66"/>
        <v>4.8859999999999992</v>
      </c>
      <c r="AB87" s="144"/>
      <c r="AC87" s="231">
        <v>0</v>
      </c>
      <c r="AD87" s="231">
        <v>0</v>
      </c>
      <c r="AE87" s="231">
        <v>0</v>
      </c>
      <c r="AF87" s="231">
        <v>0</v>
      </c>
      <c r="AG87" s="231">
        <v>0</v>
      </c>
      <c r="AH87" s="231">
        <v>0</v>
      </c>
      <c r="AI87" s="213"/>
      <c r="AJ87" s="204"/>
      <c r="AK87" s="204"/>
      <c r="AL87" s="204"/>
      <c r="AM87" s="204"/>
      <c r="AN87" s="204"/>
    </row>
    <row r="88" spans="1:40" ht="15" customHeight="1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566">
        <f t="shared" si="66"/>
        <v>2.7</v>
      </c>
      <c r="V88" s="566">
        <f t="shared" si="66"/>
        <v>4.9000000000000004</v>
      </c>
      <c r="W88" s="566">
        <f t="shared" si="66"/>
        <v>1.6040000000000001</v>
      </c>
      <c r="X88" s="566">
        <f t="shared" si="66"/>
        <v>0.1</v>
      </c>
      <c r="Y88" s="566">
        <f t="shared" si="66"/>
        <v>0.75000000000000011</v>
      </c>
      <c r="Z88" s="566">
        <f t="shared" si="66"/>
        <v>2.5900000000000007</v>
      </c>
      <c r="AA88" s="566">
        <f t="shared" si="66"/>
        <v>4.8859999999999992</v>
      </c>
      <c r="AB88" s="144"/>
      <c r="AC88" s="231">
        <v>0</v>
      </c>
      <c r="AD88" s="231">
        <v>0</v>
      </c>
      <c r="AE88" s="231">
        <v>0</v>
      </c>
      <c r="AF88" s="231">
        <v>0</v>
      </c>
      <c r="AG88" s="231">
        <v>0</v>
      </c>
      <c r="AH88" s="231">
        <v>0</v>
      </c>
      <c r="AI88" s="213"/>
      <c r="AJ88" s="204"/>
      <c r="AK88" s="204"/>
      <c r="AL88" s="204"/>
      <c r="AM88" s="204"/>
      <c r="AN88" s="204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566">
        <f t="shared" si="66"/>
        <v>2.7</v>
      </c>
      <c r="V89" s="566">
        <f t="shared" si="66"/>
        <v>4.9000000000000004</v>
      </c>
      <c r="W89" s="566">
        <f t="shared" si="66"/>
        <v>1.6040000000000001</v>
      </c>
      <c r="X89" s="566">
        <f t="shared" si="66"/>
        <v>0.1</v>
      </c>
      <c r="Y89" s="566">
        <f t="shared" si="66"/>
        <v>0.75000000000000011</v>
      </c>
      <c r="Z89" s="566">
        <f t="shared" si="66"/>
        <v>2.5900000000000007</v>
      </c>
      <c r="AA89" s="566">
        <f t="shared" si="66"/>
        <v>4.8859999999999992</v>
      </c>
      <c r="AB89" s="144"/>
      <c r="AC89" s="231">
        <v>0</v>
      </c>
      <c r="AD89" s="231">
        <v>0</v>
      </c>
      <c r="AE89" s="231">
        <v>0</v>
      </c>
      <c r="AF89" s="231">
        <v>0</v>
      </c>
      <c r="AG89" s="231">
        <v>0</v>
      </c>
      <c r="AH89" s="231">
        <v>0</v>
      </c>
      <c r="AI89" s="213"/>
      <c r="AJ89" s="204"/>
      <c r="AK89" s="204"/>
      <c r="AL89" s="204"/>
      <c r="AM89" s="204"/>
      <c r="AN89" s="204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566">
        <f t="shared" ref="U90:AA105" si="67">IF(U89&gt;0,U89,U88)</f>
        <v>2.7</v>
      </c>
      <c r="V90" s="566">
        <f t="shared" si="67"/>
        <v>4.9000000000000004</v>
      </c>
      <c r="W90" s="566">
        <f t="shared" si="67"/>
        <v>1.6040000000000001</v>
      </c>
      <c r="X90" s="566">
        <f t="shared" si="67"/>
        <v>0.1</v>
      </c>
      <c r="Y90" s="566">
        <f t="shared" si="67"/>
        <v>0.75000000000000011</v>
      </c>
      <c r="Z90" s="566">
        <f t="shared" si="67"/>
        <v>2.5900000000000007</v>
      </c>
      <c r="AA90" s="566">
        <f t="shared" si="67"/>
        <v>4.8859999999999992</v>
      </c>
      <c r="AB90" s="144"/>
      <c r="AC90" s="231">
        <v>0</v>
      </c>
      <c r="AD90" s="231">
        <v>0</v>
      </c>
      <c r="AE90" s="231">
        <v>0</v>
      </c>
      <c r="AF90" s="231">
        <v>0</v>
      </c>
      <c r="AG90" s="231">
        <v>0</v>
      </c>
      <c r="AH90" s="231">
        <v>0</v>
      </c>
      <c r="AI90" s="213"/>
      <c r="AJ90" s="204"/>
      <c r="AK90" s="204"/>
      <c r="AL90" s="204"/>
      <c r="AM90" s="204"/>
      <c r="AN90" s="204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566">
        <f t="shared" si="67"/>
        <v>2.7</v>
      </c>
      <c r="V91" s="566">
        <f t="shared" si="67"/>
        <v>4.9000000000000004</v>
      </c>
      <c r="W91" s="566">
        <f t="shared" si="67"/>
        <v>1.6040000000000001</v>
      </c>
      <c r="X91" s="566">
        <f t="shared" si="67"/>
        <v>0.1</v>
      </c>
      <c r="Y91" s="566">
        <f t="shared" si="67"/>
        <v>0.75000000000000011</v>
      </c>
      <c r="Z91" s="566">
        <f t="shared" si="67"/>
        <v>2.5900000000000007</v>
      </c>
      <c r="AA91" s="566">
        <f t="shared" si="67"/>
        <v>4.8859999999999992</v>
      </c>
      <c r="AB91" s="144"/>
      <c r="AC91" s="231"/>
      <c r="AD91" s="231"/>
      <c r="AE91" s="231"/>
      <c r="AF91" s="231"/>
      <c r="AG91" s="231"/>
      <c r="AH91" s="231"/>
      <c r="AI91" s="213"/>
      <c r="AJ91" s="204"/>
      <c r="AK91" s="204"/>
      <c r="AL91" s="204"/>
      <c r="AM91" s="204"/>
      <c r="AN91" s="204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566">
        <f t="shared" si="67"/>
        <v>2.7</v>
      </c>
      <c r="V92" s="566">
        <f t="shared" si="67"/>
        <v>4.9000000000000004</v>
      </c>
      <c r="W92" s="566">
        <f t="shared" si="67"/>
        <v>1.6040000000000001</v>
      </c>
      <c r="X92" s="566">
        <f t="shared" si="67"/>
        <v>0.1</v>
      </c>
      <c r="Y92" s="566">
        <f t="shared" si="67"/>
        <v>0.75000000000000011</v>
      </c>
      <c r="Z92" s="566">
        <f t="shared" si="67"/>
        <v>2.5900000000000007</v>
      </c>
      <c r="AA92" s="566">
        <f t="shared" si="67"/>
        <v>4.8859999999999992</v>
      </c>
      <c r="AB92" s="144"/>
      <c r="AC92" s="231">
        <v>0</v>
      </c>
      <c r="AD92" s="231">
        <v>0</v>
      </c>
      <c r="AE92" s="231">
        <v>0</v>
      </c>
      <c r="AF92" s="231">
        <v>0</v>
      </c>
      <c r="AG92" s="231">
        <v>0</v>
      </c>
      <c r="AH92" s="231">
        <v>0</v>
      </c>
      <c r="AI92" s="213"/>
      <c r="AJ92" s="204"/>
      <c r="AK92" s="204"/>
      <c r="AL92" s="204"/>
      <c r="AM92" s="204"/>
      <c r="AN92" s="204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566">
        <f t="shared" si="67"/>
        <v>2.7</v>
      </c>
      <c r="V93" s="566">
        <f t="shared" si="67"/>
        <v>4.9000000000000004</v>
      </c>
      <c r="W93" s="566">
        <f t="shared" si="67"/>
        <v>1.6040000000000001</v>
      </c>
      <c r="X93" s="566">
        <f t="shared" si="67"/>
        <v>0.1</v>
      </c>
      <c r="Y93" s="566">
        <f t="shared" si="67"/>
        <v>0.75000000000000011</v>
      </c>
      <c r="Z93" s="566">
        <f t="shared" si="67"/>
        <v>2.5900000000000007</v>
      </c>
      <c r="AA93" s="566">
        <f t="shared" si="67"/>
        <v>4.8859999999999992</v>
      </c>
      <c r="AB93" s="144"/>
      <c r="AC93" s="231">
        <v>0</v>
      </c>
      <c r="AD93" s="231">
        <v>0</v>
      </c>
      <c r="AE93" s="231">
        <v>0</v>
      </c>
      <c r="AF93" s="231">
        <v>0</v>
      </c>
      <c r="AG93" s="231">
        <v>0</v>
      </c>
      <c r="AH93" s="231">
        <v>0</v>
      </c>
      <c r="AI93" s="213"/>
      <c r="AJ93" s="204"/>
      <c r="AK93" s="204"/>
      <c r="AL93" s="204"/>
      <c r="AM93" s="204"/>
      <c r="AN93" s="204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566">
        <f t="shared" si="67"/>
        <v>2.7</v>
      </c>
      <c r="V94" s="566">
        <f t="shared" si="67"/>
        <v>4.9000000000000004</v>
      </c>
      <c r="W94" s="566">
        <f t="shared" si="67"/>
        <v>1.6040000000000001</v>
      </c>
      <c r="X94" s="566">
        <f t="shared" si="67"/>
        <v>0.1</v>
      </c>
      <c r="Y94" s="566">
        <f t="shared" si="67"/>
        <v>0.75000000000000011</v>
      </c>
      <c r="Z94" s="566">
        <f t="shared" si="67"/>
        <v>2.5900000000000007</v>
      </c>
      <c r="AA94" s="566">
        <f t="shared" si="67"/>
        <v>4.8859999999999992</v>
      </c>
      <c r="AB94" s="144"/>
      <c r="AC94" s="231"/>
      <c r="AD94" s="231"/>
      <c r="AE94" s="231"/>
      <c r="AF94" s="231"/>
      <c r="AG94" s="231"/>
      <c r="AH94" s="231"/>
      <c r="AI94" s="213"/>
      <c r="AJ94" s="204"/>
      <c r="AK94" s="204"/>
      <c r="AL94" s="204"/>
      <c r="AM94" s="204"/>
      <c r="AN94" s="204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566">
        <f t="shared" si="67"/>
        <v>2.7</v>
      </c>
      <c r="V95" s="566">
        <f t="shared" si="67"/>
        <v>4.9000000000000004</v>
      </c>
      <c r="W95" s="566">
        <f t="shared" si="67"/>
        <v>1.6040000000000001</v>
      </c>
      <c r="X95" s="566">
        <f t="shared" si="67"/>
        <v>0.1</v>
      </c>
      <c r="Y95" s="566">
        <f t="shared" si="67"/>
        <v>0.75000000000000011</v>
      </c>
      <c r="Z95" s="566">
        <f t="shared" si="67"/>
        <v>2.5900000000000007</v>
      </c>
      <c r="AA95" s="566">
        <f t="shared" si="67"/>
        <v>4.8859999999999992</v>
      </c>
      <c r="AB95" s="144"/>
      <c r="AC95" s="231"/>
      <c r="AD95" s="231"/>
      <c r="AE95" s="231"/>
      <c r="AF95" s="231"/>
      <c r="AG95" s="231"/>
      <c r="AH95" s="231"/>
      <c r="AI95" s="213"/>
      <c r="AJ95" s="204"/>
      <c r="AK95" s="204"/>
      <c r="AL95" s="204"/>
      <c r="AM95" s="204"/>
      <c r="AN95" s="204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566">
        <f t="shared" si="67"/>
        <v>2.7</v>
      </c>
      <c r="V96" s="566">
        <f t="shared" si="67"/>
        <v>4.9000000000000004</v>
      </c>
      <c r="W96" s="566">
        <f t="shared" si="67"/>
        <v>1.6040000000000001</v>
      </c>
      <c r="X96" s="566">
        <f t="shared" si="67"/>
        <v>0.1</v>
      </c>
      <c r="Y96" s="566">
        <f t="shared" si="67"/>
        <v>0.75000000000000011</v>
      </c>
      <c r="Z96" s="566">
        <f t="shared" si="67"/>
        <v>2.5900000000000007</v>
      </c>
      <c r="AA96" s="566">
        <f t="shared" si="67"/>
        <v>4.8859999999999992</v>
      </c>
      <c r="AB96" s="144"/>
      <c r="AC96" s="231">
        <v>0</v>
      </c>
      <c r="AD96" s="231">
        <v>0</v>
      </c>
      <c r="AE96" s="231">
        <v>0</v>
      </c>
      <c r="AF96" s="231">
        <v>0</v>
      </c>
      <c r="AG96" s="231">
        <v>0</v>
      </c>
      <c r="AH96" s="231">
        <v>0</v>
      </c>
      <c r="AI96" s="213"/>
      <c r="AJ96" s="204"/>
      <c r="AK96" s="204"/>
      <c r="AL96" s="204"/>
      <c r="AM96" s="204"/>
      <c r="AN96" s="204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566">
        <f t="shared" si="67"/>
        <v>2.7</v>
      </c>
      <c r="V97" s="566">
        <f t="shared" si="67"/>
        <v>4.9000000000000004</v>
      </c>
      <c r="W97" s="566">
        <f t="shared" si="67"/>
        <v>1.6040000000000001</v>
      </c>
      <c r="X97" s="566">
        <f t="shared" si="67"/>
        <v>0.1</v>
      </c>
      <c r="Y97" s="566">
        <f t="shared" si="67"/>
        <v>0.75000000000000011</v>
      </c>
      <c r="Z97" s="566">
        <f t="shared" si="67"/>
        <v>2.5900000000000007</v>
      </c>
      <c r="AA97" s="566">
        <f t="shared" si="67"/>
        <v>4.8859999999999992</v>
      </c>
      <c r="AB97" s="144"/>
      <c r="AC97" s="231">
        <v>0</v>
      </c>
      <c r="AD97" s="231">
        <v>0</v>
      </c>
      <c r="AE97" s="231">
        <v>0</v>
      </c>
      <c r="AF97" s="231">
        <v>0</v>
      </c>
      <c r="AG97" s="231">
        <v>0</v>
      </c>
      <c r="AH97" s="231">
        <v>0</v>
      </c>
      <c r="AI97" s="213"/>
      <c r="AJ97" s="204"/>
      <c r="AK97" s="204"/>
      <c r="AL97" s="204"/>
      <c r="AM97" s="204"/>
      <c r="AN97" s="204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566">
        <f t="shared" si="67"/>
        <v>2.7</v>
      </c>
      <c r="V98" s="566">
        <f t="shared" si="67"/>
        <v>4.9000000000000004</v>
      </c>
      <c r="W98" s="566">
        <f t="shared" si="67"/>
        <v>1.6040000000000001</v>
      </c>
      <c r="X98" s="566">
        <f t="shared" si="67"/>
        <v>0.1</v>
      </c>
      <c r="Y98" s="566">
        <f t="shared" si="67"/>
        <v>0.75000000000000011</v>
      </c>
      <c r="Z98" s="566">
        <f t="shared" si="67"/>
        <v>2.5900000000000007</v>
      </c>
      <c r="AA98" s="566">
        <f t="shared" si="67"/>
        <v>4.8859999999999992</v>
      </c>
      <c r="AB98" s="144"/>
      <c r="AC98" s="231">
        <v>0</v>
      </c>
      <c r="AD98" s="231">
        <v>0</v>
      </c>
      <c r="AE98" s="231">
        <v>0</v>
      </c>
      <c r="AF98" s="231">
        <v>0</v>
      </c>
      <c r="AG98" s="231">
        <v>0</v>
      </c>
      <c r="AH98" s="231">
        <v>0</v>
      </c>
      <c r="AI98" s="213"/>
      <c r="AJ98" s="204"/>
      <c r="AK98" s="204"/>
      <c r="AL98" s="204"/>
      <c r="AM98" s="204"/>
      <c r="AN98" s="204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566">
        <f t="shared" si="67"/>
        <v>2.7</v>
      </c>
      <c r="V99" s="566">
        <f t="shared" si="67"/>
        <v>4.9000000000000004</v>
      </c>
      <c r="W99" s="566">
        <f t="shared" si="67"/>
        <v>1.6040000000000001</v>
      </c>
      <c r="X99" s="566">
        <f t="shared" si="67"/>
        <v>0.1</v>
      </c>
      <c r="Y99" s="566">
        <f t="shared" si="67"/>
        <v>0.75000000000000011</v>
      </c>
      <c r="Z99" s="566">
        <f t="shared" si="67"/>
        <v>2.5900000000000007</v>
      </c>
      <c r="AA99" s="566">
        <f t="shared" si="67"/>
        <v>4.8859999999999992</v>
      </c>
      <c r="AB99" s="144"/>
      <c r="AC99" s="231"/>
      <c r="AD99" s="231"/>
      <c r="AE99" s="231"/>
      <c r="AF99" s="231"/>
      <c r="AG99" s="231"/>
      <c r="AH99" s="231"/>
      <c r="AI99" s="213"/>
      <c r="AJ99" s="204"/>
      <c r="AK99" s="204"/>
      <c r="AL99" s="204"/>
      <c r="AM99" s="204"/>
      <c r="AN99" s="204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566">
        <f t="shared" si="67"/>
        <v>2.7</v>
      </c>
      <c r="V100" s="566">
        <f t="shared" si="67"/>
        <v>4.9000000000000004</v>
      </c>
      <c r="W100" s="566">
        <f t="shared" si="67"/>
        <v>1.6040000000000001</v>
      </c>
      <c r="X100" s="566">
        <f t="shared" si="67"/>
        <v>0.1</v>
      </c>
      <c r="Y100" s="566">
        <f t="shared" si="67"/>
        <v>0.75000000000000011</v>
      </c>
      <c r="Z100" s="566">
        <f t="shared" si="67"/>
        <v>2.5900000000000007</v>
      </c>
      <c r="AA100" s="566">
        <f t="shared" si="67"/>
        <v>4.8859999999999992</v>
      </c>
      <c r="AB100" s="144"/>
      <c r="AC100" s="231"/>
      <c r="AD100" s="231"/>
      <c r="AE100" s="231"/>
      <c r="AF100" s="231"/>
      <c r="AG100" s="231"/>
      <c r="AH100" s="231"/>
      <c r="AI100" s="213"/>
      <c r="AJ100" s="204"/>
      <c r="AK100" s="204"/>
      <c r="AL100" s="204"/>
      <c r="AM100" s="204"/>
      <c r="AN100" s="204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566">
        <f t="shared" si="67"/>
        <v>2.7</v>
      </c>
      <c r="V101" s="566">
        <f t="shared" si="67"/>
        <v>4.9000000000000004</v>
      </c>
      <c r="W101" s="566">
        <f t="shared" si="67"/>
        <v>1.6040000000000001</v>
      </c>
      <c r="X101" s="566">
        <f t="shared" si="67"/>
        <v>0.1</v>
      </c>
      <c r="Y101" s="566">
        <f t="shared" si="67"/>
        <v>0.75000000000000011</v>
      </c>
      <c r="Z101" s="566">
        <f t="shared" si="67"/>
        <v>2.5900000000000007</v>
      </c>
      <c r="AA101" s="566">
        <f t="shared" si="67"/>
        <v>4.8859999999999992</v>
      </c>
      <c r="AB101" s="144"/>
      <c r="AC101" s="231">
        <v>0</v>
      </c>
      <c r="AD101" s="231">
        <v>0</v>
      </c>
      <c r="AE101" s="231">
        <v>0</v>
      </c>
      <c r="AF101" s="231">
        <v>0</v>
      </c>
      <c r="AG101" s="231">
        <v>0</v>
      </c>
      <c r="AH101" s="231">
        <v>0</v>
      </c>
      <c r="AI101" s="213"/>
      <c r="AJ101" s="204"/>
      <c r="AK101" s="204"/>
      <c r="AL101" s="204"/>
      <c r="AM101" s="204"/>
      <c r="AN101" s="204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566">
        <f t="shared" si="67"/>
        <v>2.7</v>
      </c>
      <c r="V102" s="566">
        <f t="shared" si="67"/>
        <v>4.9000000000000004</v>
      </c>
      <c r="W102" s="566">
        <f t="shared" si="67"/>
        <v>1.6040000000000001</v>
      </c>
      <c r="X102" s="566">
        <f t="shared" si="67"/>
        <v>0.1</v>
      </c>
      <c r="Y102" s="566">
        <f t="shared" si="67"/>
        <v>0.75000000000000011</v>
      </c>
      <c r="Z102" s="566">
        <f t="shared" si="67"/>
        <v>2.5900000000000007</v>
      </c>
      <c r="AA102" s="566">
        <f t="shared" si="67"/>
        <v>4.8859999999999992</v>
      </c>
      <c r="AB102" s="144"/>
      <c r="AC102" s="231">
        <v>0</v>
      </c>
      <c r="AD102" s="231">
        <v>0</v>
      </c>
      <c r="AE102" s="231">
        <v>0</v>
      </c>
      <c r="AF102" s="231">
        <v>0</v>
      </c>
      <c r="AG102" s="231">
        <v>0</v>
      </c>
      <c r="AH102" s="231">
        <v>0</v>
      </c>
      <c r="AI102" s="213"/>
      <c r="AJ102" s="204"/>
      <c r="AK102" s="204"/>
      <c r="AL102" s="204"/>
      <c r="AM102" s="204"/>
      <c r="AN102" s="204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566">
        <f t="shared" si="67"/>
        <v>2.7</v>
      </c>
      <c r="V103" s="566">
        <f t="shared" si="67"/>
        <v>4.9000000000000004</v>
      </c>
      <c r="W103" s="566">
        <f t="shared" si="67"/>
        <v>1.6040000000000001</v>
      </c>
      <c r="X103" s="566">
        <f t="shared" si="67"/>
        <v>0.1</v>
      </c>
      <c r="Y103" s="566">
        <f t="shared" si="67"/>
        <v>0.75000000000000011</v>
      </c>
      <c r="Z103" s="566">
        <f t="shared" si="67"/>
        <v>2.5900000000000007</v>
      </c>
      <c r="AA103" s="566">
        <f t="shared" si="67"/>
        <v>4.8859999999999992</v>
      </c>
      <c r="AB103" s="144"/>
      <c r="AC103" s="231">
        <v>0</v>
      </c>
      <c r="AD103" s="231">
        <v>0</v>
      </c>
      <c r="AE103" s="231">
        <v>0</v>
      </c>
      <c r="AF103" s="231">
        <v>0</v>
      </c>
      <c r="AG103" s="231">
        <v>0</v>
      </c>
      <c r="AH103" s="231">
        <v>0</v>
      </c>
      <c r="AI103" s="213"/>
      <c r="AJ103" s="204"/>
      <c r="AK103" s="204"/>
      <c r="AL103" s="204"/>
      <c r="AM103" s="204"/>
      <c r="AN103" s="204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566">
        <f t="shared" si="67"/>
        <v>2.7</v>
      </c>
      <c r="V104" s="566">
        <f t="shared" si="67"/>
        <v>4.9000000000000004</v>
      </c>
      <c r="W104" s="566">
        <f t="shared" si="67"/>
        <v>1.6040000000000001</v>
      </c>
      <c r="X104" s="566">
        <f t="shared" si="67"/>
        <v>0.1</v>
      </c>
      <c r="Y104" s="566">
        <f t="shared" si="67"/>
        <v>0.75000000000000011</v>
      </c>
      <c r="Z104" s="566">
        <f t="shared" si="67"/>
        <v>2.5900000000000007</v>
      </c>
      <c r="AA104" s="566">
        <f t="shared" si="67"/>
        <v>4.8859999999999992</v>
      </c>
      <c r="AB104" s="144"/>
      <c r="AC104" s="231"/>
      <c r="AD104" s="231"/>
      <c r="AE104" s="231"/>
      <c r="AF104" s="231"/>
      <c r="AG104" s="231"/>
      <c r="AH104" s="231"/>
      <c r="AI104" s="213"/>
      <c r="AJ104" s="204"/>
      <c r="AK104" s="204"/>
      <c r="AL104" s="204"/>
      <c r="AM104" s="204"/>
      <c r="AN104" s="204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566">
        <f t="shared" si="67"/>
        <v>2.7</v>
      </c>
      <c r="V105" s="566">
        <f t="shared" si="67"/>
        <v>4.9000000000000004</v>
      </c>
      <c r="W105" s="566">
        <f t="shared" si="67"/>
        <v>1.6040000000000001</v>
      </c>
      <c r="X105" s="566">
        <f t="shared" si="67"/>
        <v>0.1</v>
      </c>
      <c r="Y105" s="566">
        <f t="shared" si="67"/>
        <v>0.75000000000000011</v>
      </c>
      <c r="Z105" s="566">
        <f t="shared" si="67"/>
        <v>2.5900000000000007</v>
      </c>
      <c r="AA105" s="566">
        <f t="shared" si="67"/>
        <v>4.8859999999999992</v>
      </c>
      <c r="AB105" s="144"/>
      <c r="AC105" s="231"/>
      <c r="AD105" s="231"/>
      <c r="AE105" s="231"/>
      <c r="AF105" s="231"/>
      <c r="AG105" s="231"/>
      <c r="AH105" s="231"/>
      <c r="AI105" s="213"/>
      <c r="AJ105" s="204"/>
      <c r="AK105" s="204"/>
      <c r="AL105" s="204"/>
      <c r="AM105" s="204"/>
      <c r="AN105" s="204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566">
        <f t="shared" ref="U106:AA109" si="68">IF(U105&gt;0,U105,U104)</f>
        <v>2.7</v>
      </c>
      <c r="V106" s="566">
        <f t="shared" si="68"/>
        <v>4.9000000000000004</v>
      </c>
      <c r="W106" s="566">
        <f t="shared" si="68"/>
        <v>1.6040000000000001</v>
      </c>
      <c r="X106" s="566">
        <f t="shared" si="68"/>
        <v>0.1</v>
      </c>
      <c r="Y106" s="566">
        <f t="shared" si="68"/>
        <v>0.75000000000000011</v>
      </c>
      <c r="Z106" s="566">
        <f t="shared" si="68"/>
        <v>2.5900000000000007</v>
      </c>
      <c r="AA106" s="566">
        <f t="shared" si="68"/>
        <v>4.8859999999999992</v>
      </c>
      <c r="AB106" s="144"/>
      <c r="AC106" s="231">
        <v>0</v>
      </c>
      <c r="AD106" s="231">
        <v>0</v>
      </c>
      <c r="AE106" s="231">
        <v>0</v>
      </c>
      <c r="AF106" s="231">
        <v>0</v>
      </c>
      <c r="AG106" s="231">
        <v>0</v>
      </c>
      <c r="AH106" s="231">
        <v>0</v>
      </c>
      <c r="AI106" s="213"/>
      <c r="AJ106" s="204"/>
      <c r="AK106" s="204"/>
      <c r="AL106" s="204"/>
      <c r="AM106" s="204"/>
      <c r="AN106" s="204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566">
        <f t="shared" si="68"/>
        <v>2.7</v>
      </c>
      <c r="V107" s="566">
        <f t="shared" si="68"/>
        <v>4.9000000000000004</v>
      </c>
      <c r="W107" s="566">
        <f t="shared" si="68"/>
        <v>1.6040000000000001</v>
      </c>
      <c r="X107" s="566">
        <f t="shared" si="68"/>
        <v>0.1</v>
      </c>
      <c r="Y107" s="566">
        <f t="shared" si="68"/>
        <v>0.75000000000000011</v>
      </c>
      <c r="Z107" s="566">
        <f t="shared" si="68"/>
        <v>2.5900000000000007</v>
      </c>
      <c r="AA107" s="566">
        <f t="shared" si="68"/>
        <v>4.8859999999999992</v>
      </c>
      <c r="AB107" s="144"/>
      <c r="AC107" s="231">
        <v>0</v>
      </c>
      <c r="AD107" s="231">
        <v>0</v>
      </c>
      <c r="AE107" s="231">
        <v>0</v>
      </c>
      <c r="AF107" s="231">
        <v>0</v>
      </c>
      <c r="AG107" s="231">
        <v>0</v>
      </c>
      <c r="AH107" s="231">
        <v>0</v>
      </c>
      <c r="AI107" s="213"/>
      <c r="AJ107" s="204"/>
      <c r="AK107" s="204"/>
      <c r="AL107" s="204"/>
      <c r="AM107" s="204"/>
      <c r="AN107" s="204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566">
        <f t="shared" si="68"/>
        <v>2.7</v>
      </c>
      <c r="V108" s="566">
        <f t="shared" si="68"/>
        <v>4.9000000000000004</v>
      </c>
      <c r="W108" s="566">
        <f t="shared" si="68"/>
        <v>1.6040000000000001</v>
      </c>
      <c r="X108" s="566">
        <f t="shared" si="68"/>
        <v>0.1</v>
      </c>
      <c r="Y108" s="566">
        <f t="shared" si="68"/>
        <v>0.75000000000000011</v>
      </c>
      <c r="Z108" s="566">
        <f t="shared" si="68"/>
        <v>2.5900000000000007</v>
      </c>
      <c r="AA108" s="566">
        <f t="shared" si="68"/>
        <v>4.8859999999999992</v>
      </c>
      <c r="AB108" s="144"/>
      <c r="AC108" s="231">
        <v>0</v>
      </c>
      <c r="AD108" s="231">
        <v>0</v>
      </c>
      <c r="AE108" s="231">
        <v>0</v>
      </c>
      <c r="AF108" s="231">
        <v>0</v>
      </c>
      <c r="AG108" s="231">
        <v>0</v>
      </c>
      <c r="AH108" s="231">
        <v>0</v>
      </c>
      <c r="AI108" s="213"/>
      <c r="AJ108" s="204"/>
      <c r="AK108" s="204"/>
      <c r="AL108" s="204"/>
      <c r="AM108" s="204"/>
      <c r="AN108" s="204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567">
        <f>IF(U108&gt;0,U108,U107)</f>
        <v>2.7</v>
      </c>
      <c r="V109" s="567">
        <f t="shared" si="68"/>
        <v>4.9000000000000004</v>
      </c>
      <c r="W109" s="567">
        <f t="shared" si="68"/>
        <v>1.6040000000000001</v>
      </c>
      <c r="X109" s="567">
        <f t="shared" si="68"/>
        <v>0.1</v>
      </c>
      <c r="Y109" s="567">
        <f t="shared" si="68"/>
        <v>0.75000000000000011</v>
      </c>
      <c r="Z109" s="567">
        <f t="shared" si="68"/>
        <v>2.5900000000000007</v>
      </c>
      <c r="AA109" s="567">
        <f t="shared" si="68"/>
        <v>4.8859999999999992</v>
      </c>
      <c r="AB109" s="144"/>
      <c r="AC109" s="231"/>
      <c r="AD109" s="231"/>
      <c r="AE109" s="231"/>
      <c r="AF109" s="231"/>
      <c r="AG109" s="231"/>
      <c r="AH109" s="231"/>
      <c r="AI109" s="213"/>
      <c r="AJ109" s="204"/>
      <c r="AK109" s="204"/>
      <c r="AL109" s="204"/>
      <c r="AM109" s="204"/>
      <c r="AN109" s="204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222"/>
      <c r="V110" s="222"/>
      <c r="W110" s="222"/>
      <c r="X110" s="222"/>
      <c r="Y110" s="222"/>
      <c r="Z110" s="222"/>
      <c r="AA110" s="222"/>
      <c r="AB110" s="144"/>
      <c r="AC110" s="231"/>
      <c r="AD110" s="231"/>
      <c r="AE110" s="231"/>
      <c r="AF110" s="231"/>
      <c r="AG110" s="231"/>
      <c r="AH110" s="231"/>
      <c r="AI110" s="213"/>
      <c r="AJ110" s="204"/>
      <c r="AK110" s="204"/>
      <c r="AL110" s="204"/>
      <c r="AM110" s="204"/>
      <c r="AN110" s="204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222"/>
      <c r="V111" s="222"/>
      <c r="W111" s="222"/>
      <c r="X111" s="222"/>
      <c r="Y111" s="222"/>
      <c r="Z111" s="222"/>
      <c r="AA111" s="222"/>
      <c r="AB111" s="144"/>
      <c r="AC111" s="231">
        <v>0</v>
      </c>
      <c r="AD111" s="231">
        <v>0</v>
      </c>
      <c r="AE111" s="231">
        <v>0</v>
      </c>
      <c r="AF111" s="231">
        <v>0</v>
      </c>
      <c r="AG111" s="231">
        <v>0</v>
      </c>
      <c r="AH111" s="231">
        <v>0</v>
      </c>
      <c r="AI111" s="213"/>
      <c r="AJ111" s="204"/>
      <c r="AK111" s="204"/>
      <c r="AL111" s="204"/>
      <c r="AM111" s="204"/>
      <c r="AN111" s="204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222"/>
      <c r="V112" s="222"/>
      <c r="W112" s="222"/>
      <c r="X112" s="222"/>
      <c r="Y112" s="222"/>
      <c r="Z112" s="222"/>
      <c r="AA112" s="222"/>
      <c r="AB112" s="144"/>
      <c r="AC112" s="231"/>
      <c r="AD112" s="231"/>
      <c r="AE112" s="231"/>
      <c r="AF112" s="231"/>
      <c r="AG112" s="231"/>
      <c r="AH112" s="231"/>
      <c r="AJ112" s="204"/>
      <c r="AK112" s="204"/>
      <c r="AL112" s="204"/>
      <c r="AM112" s="204"/>
      <c r="AN112" s="204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222"/>
      <c r="V113" s="222"/>
      <c r="W113" s="222"/>
      <c r="X113" s="222"/>
      <c r="Y113" s="222"/>
      <c r="Z113" s="222"/>
      <c r="AA113" s="222"/>
      <c r="AB113" s="144"/>
      <c r="AJ113" s="204"/>
      <c r="AK113" s="204"/>
      <c r="AL113" s="204"/>
      <c r="AM113" s="204"/>
      <c r="AN113" s="204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222"/>
      <c r="V114" s="222"/>
      <c r="W114" s="222"/>
      <c r="X114" s="222"/>
      <c r="Y114" s="222"/>
      <c r="Z114" s="222"/>
      <c r="AA114" s="222"/>
      <c r="AB114" s="144"/>
      <c r="AJ114" s="204"/>
      <c r="AK114" s="204"/>
      <c r="AL114" s="204"/>
      <c r="AM114" s="204"/>
      <c r="AN114" s="204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222"/>
      <c r="V115" s="222"/>
      <c r="W115" s="222"/>
      <c r="X115" s="222"/>
      <c r="Y115" s="222"/>
      <c r="Z115" s="222"/>
      <c r="AA115" s="222"/>
      <c r="AB115" s="144"/>
      <c r="AJ115" s="204"/>
      <c r="AK115" s="204"/>
      <c r="AL115" s="204"/>
      <c r="AM115" s="204"/>
      <c r="AN115" s="204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222"/>
      <c r="V116" s="222"/>
      <c r="W116" s="222"/>
      <c r="X116" s="222"/>
      <c r="Y116" s="222"/>
      <c r="Z116" s="222"/>
      <c r="AA116" s="222"/>
      <c r="AB116" s="144"/>
      <c r="AJ116" s="204"/>
      <c r="AK116" s="204"/>
      <c r="AL116" s="204"/>
      <c r="AM116" s="204"/>
      <c r="AN116" s="204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222"/>
      <c r="V117" s="222"/>
      <c r="W117" s="222"/>
      <c r="X117" s="222"/>
      <c r="Y117" s="222"/>
      <c r="Z117" s="222"/>
      <c r="AA117" s="222"/>
      <c r="AB117" s="144"/>
      <c r="AJ117" s="204"/>
      <c r="AK117" s="204"/>
      <c r="AL117" s="204"/>
      <c r="AM117" s="204"/>
      <c r="AN117" s="204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222"/>
      <c r="V118" s="222"/>
      <c r="W118" s="222"/>
      <c r="X118" s="222"/>
      <c r="Y118" s="222"/>
      <c r="Z118" s="222"/>
      <c r="AA118" s="222"/>
      <c r="AB118" s="144"/>
      <c r="AJ118" s="204"/>
      <c r="AK118" s="204"/>
      <c r="AL118" s="204"/>
      <c r="AM118" s="204"/>
      <c r="AN118" s="204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222"/>
      <c r="V119" s="222"/>
      <c r="W119" s="222"/>
      <c r="X119" s="222"/>
      <c r="Y119" s="222"/>
      <c r="Z119" s="222"/>
      <c r="AA119" s="222"/>
      <c r="AB119" s="144"/>
      <c r="AJ119" s="204"/>
      <c r="AK119" s="204"/>
      <c r="AL119" s="204"/>
      <c r="AM119" s="204"/>
      <c r="AN119" s="204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222"/>
      <c r="V120" s="222"/>
      <c r="W120" s="222"/>
      <c r="X120" s="222"/>
      <c r="Y120" s="222"/>
      <c r="Z120" s="222"/>
      <c r="AA120" s="222"/>
      <c r="AB120" s="144"/>
      <c r="AJ120" s="204"/>
      <c r="AK120" s="204"/>
      <c r="AL120" s="204"/>
      <c r="AM120" s="204"/>
      <c r="AN120" s="204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222"/>
      <c r="V121" s="222"/>
      <c r="W121" s="222"/>
      <c r="X121" s="222"/>
      <c r="Y121" s="222"/>
      <c r="Z121" s="222"/>
      <c r="AA121" s="222"/>
      <c r="AB121" s="144"/>
      <c r="AJ121" s="204"/>
      <c r="AK121" s="204"/>
      <c r="AL121" s="204"/>
      <c r="AM121" s="204"/>
      <c r="AN121" s="204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222"/>
      <c r="V122" s="222"/>
      <c r="W122" s="222"/>
      <c r="X122" s="222"/>
      <c r="Y122" s="222"/>
      <c r="Z122" s="222"/>
      <c r="AA122" s="222"/>
      <c r="AB122" s="144"/>
      <c r="AJ122" s="204"/>
      <c r="AK122" s="204"/>
      <c r="AL122" s="204"/>
      <c r="AM122" s="204"/>
      <c r="AN122" s="204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222"/>
      <c r="V123" s="222"/>
      <c r="W123" s="222"/>
      <c r="X123" s="222"/>
      <c r="Y123" s="222"/>
      <c r="Z123" s="222"/>
      <c r="AA123" s="222"/>
      <c r="AB123" s="144"/>
      <c r="AN123" s="204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222"/>
      <c r="V124" s="222"/>
      <c r="W124" s="222"/>
      <c r="X124" s="222"/>
      <c r="Y124" s="222"/>
      <c r="Z124" s="222"/>
      <c r="AA124" s="222"/>
      <c r="AB124" s="144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04"/>
    </row>
    <row r="125" spans="1:40" s="247" customFormat="1" ht="11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222"/>
      <c r="V125" s="222"/>
      <c r="W125" s="222"/>
      <c r="X125" s="222"/>
      <c r="Y125" s="222"/>
      <c r="Z125" s="222"/>
      <c r="AA125" s="222"/>
      <c r="AB125" s="14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1:40" s="247" customFormat="1" ht="11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222"/>
      <c r="V126" s="222"/>
      <c r="W126" s="222"/>
      <c r="X126" s="222"/>
      <c r="Y126" s="222"/>
      <c r="Z126" s="222"/>
      <c r="AA126" s="222"/>
      <c r="AB126" s="14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1:40" s="247" customFormat="1" ht="11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222"/>
      <c r="V127" s="222"/>
      <c r="W127" s="222"/>
      <c r="X127" s="222"/>
      <c r="Y127" s="222"/>
      <c r="Z127" s="222"/>
      <c r="AA127" s="222"/>
      <c r="AB127" s="14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1:40" s="247" customFormat="1" ht="11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222"/>
      <c r="V128" s="222"/>
      <c r="W128" s="222"/>
      <c r="X128" s="222"/>
      <c r="Y128" s="222"/>
      <c r="Z128" s="222"/>
      <c r="AA128" s="222"/>
      <c r="AB128" s="14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39" s="247" customFormat="1" ht="11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146"/>
      <c r="M129" s="458"/>
      <c r="N129" s="145"/>
      <c r="O129" s="146"/>
      <c r="P129" s="146"/>
      <c r="Q129" s="147"/>
      <c r="R129" s="147"/>
      <c r="S129" s="142"/>
      <c r="T129" s="142"/>
      <c r="U129" s="222"/>
      <c r="V129" s="222"/>
      <c r="W129" s="222"/>
      <c r="X129" s="222"/>
      <c r="Y129" s="222"/>
      <c r="Z129" s="222"/>
      <c r="AA129" s="222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</row>
    <row r="130" spans="2:39" s="247" customFormat="1" ht="11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146"/>
      <c r="M130" s="458"/>
      <c r="N130" s="145"/>
      <c r="O130" s="146"/>
      <c r="P130" s="146"/>
      <c r="Q130" s="147"/>
      <c r="R130" s="147"/>
      <c r="S130" s="142"/>
      <c r="T130" s="142"/>
      <c r="U130" s="222"/>
      <c r="V130" s="222"/>
      <c r="W130" s="222"/>
      <c r="X130" s="222"/>
      <c r="Y130" s="222"/>
      <c r="Z130" s="222"/>
      <c r="AA130" s="222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39" s="247" customFormat="1" ht="11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146"/>
      <c r="M131" s="458"/>
      <c r="N131" s="145"/>
      <c r="O131" s="146"/>
      <c r="P131" s="146"/>
      <c r="Q131" s="147"/>
      <c r="R131" s="147"/>
      <c r="S131" s="142"/>
      <c r="T131" s="142"/>
      <c r="U131" s="222"/>
      <c r="V131" s="222"/>
      <c r="W131" s="222"/>
      <c r="X131" s="222"/>
      <c r="Y131" s="222"/>
      <c r="Z131" s="222"/>
      <c r="AA131" s="222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39" s="247" customFormat="1" ht="11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146"/>
      <c r="M132" s="458"/>
      <c r="N132" s="145"/>
      <c r="O132" s="146"/>
      <c r="P132" s="146"/>
      <c r="Q132" s="147"/>
      <c r="R132" s="147"/>
      <c r="S132" s="142"/>
      <c r="T132" s="142"/>
      <c r="U132" s="222"/>
      <c r="V132" s="222"/>
      <c r="W132" s="222"/>
      <c r="X132" s="222"/>
      <c r="Y132" s="222"/>
      <c r="Z132" s="222"/>
      <c r="AA132" s="222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</row>
    <row r="133" spans="2:39" s="247" customFormat="1" ht="11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146"/>
      <c r="M133" s="458"/>
      <c r="N133" s="145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</row>
    <row r="134" spans="2:39" s="247" customFormat="1" ht="1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146"/>
      <c r="M134" s="458"/>
      <c r="N134" s="145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</row>
    <row r="135" spans="2:39" s="247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146"/>
      <c r="M135" s="458"/>
      <c r="N135" s="145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</row>
    <row r="136" spans="2:39" s="247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146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2:39" s="247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146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2:39" s="247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146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2:39" s="247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146"/>
      <c r="M139" s="458"/>
      <c r="N139" s="145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2:39" s="247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2:39" s="247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2:39" s="247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2:39" s="247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2:39" s="247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39" s="247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39" s="247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39" s="247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39" s="247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39" s="247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39" s="247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39" s="247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39" s="247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39" s="247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39" s="247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B154" s="247">
        <f>SUBTOTAL(9,AB112:AB153)</f>
        <v>0</v>
      </c>
      <c r="AC154" s="214">
        <f>SUBTOTAL(9,AC112:AC153)</f>
        <v>0</v>
      </c>
      <c r="AD154" s="214">
        <f>SUBTOTAL(9,AD112:AD153)</f>
        <v>0</v>
      </c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39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B155" s="247">
        <v>0</v>
      </c>
      <c r="AC155" s="214">
        <v>0</v>
      </c>
      <c r="AD155" s="214">
        <v>0</v>
      </c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39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B156" s="247">
        <v>0</v>
      </c>
      <c r="AC156" s="214">
        <v>0</v>
      </c>
      <c r="AD156" s="214">
        <v>0</v>
      </c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39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B157" s="247">
        <v>0</v>
      </c>
      <c r="AC157" s="214">
        <v>0</v>
      </c>
      <c r="AD157" s="214">
        <v>0</v>
      </c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39" s="247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B158" s="247">
        <v>0</v>
      </c>
      <c r="AC158" s="214">
        <v>0</v>
      </c>
      <c r="AD158" s="214">
        <v>0</v>
      </c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39" s="247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B159" s="247">
        <v>0</v>
      </c>
      <c r="AC159" s="214">
        <v>0</v>
      </c>
      <c r="AD159" s="214">
        <v>0</v>
      </c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39" s="247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B160" s="247">
        <v>0</v>
      </c>
      <c r="AC160" s="214">
        <v>0</v>
      </c>
      <c r="AD160" s="214">
        <v>0</v>
      </c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41" s="247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B161" s="247">
        <v>0</v>
      </c>
      <c r="AC161" s="214">
        <v>0</v>
      </c>
      <c r="AD161" s="214">
        <v>0</v>
      </c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41" s="247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B162" s="247">
        <v>0</v>
      </c>
      <c r="AC162" s="214">
        <v>0</v>
      </c>
      <c r="AD162" s="214">
        <v>0</v>
      </c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41" s="247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B163" s="247">
        <v>0</v>
      </c>
      <c r="AC163" s="214">
        <v>0</v>
      </c>
      <c r="AD163" s="214">
        <v>0</v>
      </c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41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B164" s="247">
        <v>0</v>
      </c>
      <c r="AC164" s="214">
        <v>0</v>
      </c>
      <c r="AD164" s="214">
        <v>0</v>
      </c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41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>
        <f>SUBTOTAL(9,U123:U164)</f>
        <v>0</v>
      </c>
      <c r="V165" s="146">
        <f t="shared" ref="V165:AA165" si="69">SUBTOTAL(9,V123:V164)</f>
        <v>0</v>
      </c>
      <c r="W165" s="146">
        <f t="shared" si="69"/>
        <v>0</v>
      </c>
      <c r="X165" s="146">
        <f t="shared" si="69"/>
        <v>0</v>
      </c>
      <c r="Y165" s="146">
        <f t="shared" si="69"/>
        <v>0</v>
      </c>
      <c r="Z165" s="146">
        <f t="shared" si="69"/>
        <v>0</v>
      </c>
      <c r="AA165" s="146">
        <f t="shared" si="69"/>
        <v>0</v>
      </c>
      <c r="AB165" s="247">
        <v>0</v>
      </c>
      <c r="AC165" s="214">
        <v>0</v>
      </c>
      <c r="AD165" s="214">
        <v>0</v>
      </c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41" s="213" customFormat="1" ht="14" thickBot="1">
      <c r="B166" s="139"/>
      <c r="C166" s="138"/>
      <c r="D166" s="908"/>
      <c r="E166" s="138"/>
      <c r="F166" s="140"/>
      <c r="G166" s="141"/>
      <c r="H166" s="141"/>
      <c r="I166" s="141"/>
      <c r="J166" s="141"/>
      <c r="K166" s="141"/>
      <c r="L166" s="141"/>
      <c r="M166" s="458"/>
      <c r="N166" s="140"/>
      <c r="O166" s="141"/>
      <c r="P166" s="141"/>
      <c r="Q166" s="148"/>
      <c r="R166" s="148"/>
      <c r="S166" s="149"/>
      <c r="T166" s="149"/>
      <c r="U166" s="150"/>
      <c r="V166" s="150"/>
      <c r="W166" s="150"/>
      <c r="X166" s="150"/>
      <c r="Y166" s="150"/>
      <c r="Z166" s="150"/>
      <c r="AA166" s="150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41" s="213" customFormat="1" ht="15" thickTop="1" thickBot="1">
      <c r="B167" s="139"/>
      <c r="C167" s="138"/>
      <c r="D167" s="908"/>
      <c r="E167" s="138"/>
      <c r="F167" s="140"/>
      <c r="G167" s="141"/>
      <c r="H167" s="141"/>
      <c r="I167" s="141"/>
      <c r="J167" s="141"/>
      <c r="K167" s="141"/>
      <c r="L167" s="141"/>
      <c r="M167" s="458"/>
      <c r="N167" s="140"/>
      <c r="O167" s="141"/>
      <c r="P167" s="141"/>
      <c r="Q167" s="148"/>
      <c r="R167" s="148"/>
      <c r="S167" s="148"/>
      <c r="T167" s="149"/>
      <c r="U167" s="151"/>
      <c r="V167" s="152"/>
      <c r="W167" s="153"/>
      <c r="X167" s="153"/>
      <c r="Y167" s="153"/>
      <c r="Z167" s="153"/>
      <c r="AA167" s="154"/>
      <c r="AB167" s="246"/>
      <c r="AC167" s="246"/>
      <c r="AE167" s="214"/>
      <c r="AF167" s="214"/>
      <c r="AG167" s="214"/>
      <c r="AH167" s="214"/>
      <c r="AI167" s="214"/>
      <c r="AJ167" s="214"/>
      <c r="AK167" s="214"/>
      <c r="AL167" s="214"/>
      <c r="AM167" s="214"/>
      <c r="AN167" s="214"/>
      <c r="AO167" s="214"/>
    </row>
    <row r="168" spans="2:41" s="247" customFormat="1" ht="12" thickTop="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41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41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41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41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41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41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41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41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39" s="247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39" s="247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39" s="247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39" s="247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39" s="247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39" s="247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39" s="247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39" s="247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39" s="247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39" s="247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39" s="247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39" s="247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39" s="247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39" s="247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39" s="247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39" s="247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39" s="247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39" s="247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39" s="247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39" s="247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39" s="247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39" s="247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39" s="247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39" s="247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39" s="247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39" s="247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39" s="247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39" s="247" customFormat="1" ht="11">
      <c r="B204" s="248"/>
      <c r="D204" s="909"/>
      <c r="F204" s="249"/>
      <c r="G204" s="250"/>
      <c r="H204" s="250"/>
      <c r="I204" s="250"/>
      <c r="J204" s="250"/>
      <c r="K204" s="250"/>
      <c r="L204" s="250"/>
      <c r="M204" s="459"/>
      <c r="N204" s="249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39" s="247" customFormat="1" ht="11">
      <c r="B205" s="248"/>
      <c r="D205" s="909"/>
      <c r="F205" s="249"/>
      <c r="G205" s="250"/>
      <c r="H205" s="250"/>
      <c r="I205" s="250"/>
      <c r="J205" s="250"/>
      <c r="K205" s="250"/>
      <c r="L205" s="250"/>
      <c r="M205" s="459"/>
      <c r="N205" s="249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39" s="247" customFormat="1" ht="11">
      <c r="B206" s="248"/>
      <c r="D206" s="909"/>
      <c r="F206" s="249"/>
      <c r="G206" s="250"/>
      <c r="H206" s="250"/>
      <c r="I206" s="250"/>
      <c r="J206" s="250"/>
      <c r="K206" s="250"/>
      <c r="L206" s="250"/>
      <c r="M206" s="459"/>
      <c r="N206" s="249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39" s="247" customFormat="1" ht="11">
      <c r="B207" s="248"/>
      <c r="D207" s="909"/>
      <c r="F207" s="249"/>
      <c r="G207" s="250"/>
      <c r="H207" s="250"/>
      <c r="I207" s="250"/>
      <c r="J207" s="250"/>
      <c r="K207" s="250"/>
      <c r="L207" s="250"/>
      <c r="M207" s="459"/>
      <c r="N207" s="249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39" s="247" customFormat="1" ht="11">
      <c r="B208" s="248"/>
      <c r="D208" s="909"/>
      <c r="F208" s="249"/>
      <c r="G208" s="250"/>
      <c r="H208" s="250"/>
      <c r="I208" s="250"/>
      <c r="J208" s="250"/>
      <c r="K208" s="250"/>
      <c r="L208" s="250"/>
      <c r="M208" s="459"/>
      <c r="N208" s="249"/>
      <c r="O208" s="146"/>
      <c r="P208" s="146"/>
      <c r="Q208" s="147"/>
      <c r="R208" s="147"/>
      <c r="S208" s="142"/>
      <c r="T208" s="142"/>
      <c r="U208" s="146">
        <f>SUBTOTAL(9,U166:U207)</f>
        <v>0</v>
      </c>
      <c r="V208" s="146">
        <f t="shared" ref="V208:AA208" si="70">SUBTOTAL(9,V166:V207)</f>
        <v>0</v>
      </c>
      <c r="W208" s="146">
        <f t="shared" si="70"/>
        <v>0</v>
      </c>
      <c r="X208" s="146">
        <f t="shared" si="70"/>
        <v>0</v>
      </c>
      <c r="Y208" s="146">
        <f t="shared" si="70"/>
        <v>0</v>
      </c>
      <c r="Z208" s="146">
        <f t="shared" si="70"/>
        <v>0</v>
      </c>
      <c r="AA208" s="146">
        <f t="shared" si="70"/>
        <v>0</v>
      </c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41" s="213" customFormat="1" ht="14" thickBot="1">
      <c r="B209" s="225"/>
      <c r="D209" s="910"/>
      <c r="F209" s="242"/>
      <c r="G209" s="243"/>
      <c r="H209" s="243"/>
      <c r="I209" s="243"/>
      <c r="J209" s="243"/>
      <c r="K209" s="243"/>
      <c r="L209" s="243"/>
      <c r="M209" s="459"/>
      <c r="N209" s="242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41" s="213" customFormat="1" ht="15" thickTop="1" thickBot="1">
      <c r="B210" s="225"/>
      <c r="D210" s="910"/>
      <c r="F210" s="242"/>
      <c r="G210" s="243"/>
      <c r="H210" s="243"/>
      <c r="I210" s="243"/>
      <c r="J210" s="243"/>
      <c r="K210" s="243"/>
      <c r="L210" s="243"/>
      <c r="M210" s="459"/>
      <c r="N210" s="242"/>
      <c r="O210" s="141"/>
      <c r="P210" s="141"/>
      <c r="Q210" s="148"/>
      <c r="R210" s="148"/>
      <c r="S210" s="148"/>
      <c r="T210" s="148"/>
      <c r="U210" s="151">
        <f>SUBTOTAL(9,U168:U209)</f>
        <v>0</v>
      </c>
      <c r="V210" s="152">
        <f t="shared" ref="V210:AA210" si="71">SUBTOTAL(9,V168:V209)</f>
        <v>0</v>
      </c>
      <c r="W210" s="153">
        <f t="shared" si="71"/>
        <v>0</v>
      </c>
      <c r="X210" s="153">
        <f t="shared" si="71"/>
        <v>0</v>
      </c>
      <c r="Y210" s="153">
        <f t="shared" si="71"/>
        <v>0</v>
      </c>
      <c r="Z210" s="153">
        <f t="shared" si="71"/>
        <v>0</v>
      </c>
      <c r="AA210" s="154">
        <f t="shared" si="71"/>
        <v>0</v>
      </c>
      <c r="AB210" s="246"/>
      <c r="AC210" s="246"/>
      <c r="AE210" s="214"/>
      <c r="AF210" s="214"/>
      <c r="AG210" s="214"/>
      <c r="AH210" s="214"/>
      <c r="AI210" s="214"/>
      <c r="AJ210" s="214"/>
      <c r="AK210" s="214"/>
      <c r="AL210" s="214"/>
      <c r="AM210" s="214"/>
      <c r="AN210" s="214"/>
      <c r="AO210" s="214"/>
    </row>
    <row r="211" spans="2:41" s="213" customFormat="1" ht="14" thickTop="1">
      <c r="B211" s="225"/>
      <c r="D211" s="910"/>
      <c r="F211" s="242"/>
      <c r="G211" s="243"/>
      <c r="H211" s="243"/>
      <c r="I211" s="243"/>
      <c r="J211" s="243"/>
      <c r="K211" s="243"/>
      <c r="L211" s="243"/>
      <c r="M211" s="459"/>
      <c r="N211" s="242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41" s="213" customFormat="1">
      <c r="B212" s="225"/>
      <c r="D212" s="910"/>
      <c r="F212" s="242"/>
      <c r="G212" s="243"/>
      <c r="H212" s="243"/>
      <c r="I212" s="243"/>
      <c r="J212" s="243"/>
      <c r="K212" s="243"/>
      <c r="L212" s="243"/>
      <c r="M212" s="459"/>
      <c r="N212" s="242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41" s="213" customFormat="1">
      <c r="B213" s="225"/>
      <c r="D213" s="910"/>
      <c r="F213" s="242"/>
      <c r="G213" s="243"/>
      <c r="H213" s="243"/>
      <c r="I213" s="243"/>
      <c r="J213" s="243"/>
      <c r="K213" s="243"/>
      <c r="L213" s="243"/>
      <c r="M213" s="459"/>
      <c r="N213" s="242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41" s="213" customFormat="1">
      <c r="B214" s="225"/>
      <c r="D214" s="910"/>
      <c r="F214" s="242"/>
      <c r="G214" s="243"/>
      <c r="H214" s="243"/>
      <c r="I214" s="243"/>
      <c r="J214" s="243"/>
      <c r="K214" s="243"/>
      <c r="L214" s="243"/>
      <c r="M214" s="459"/>
      <c r="N214" s="242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41" s="213" customFormat="1">
      <c r="B215" s="225"/>
      <c r="D215" s="910"/>
      <c r="F215" s="242"/>
      <c r="G215" s="243"/>
      <c r="H215" s="243"/>
      <c r="I215" s="243"/>
      <c r="J215" s="243"/>
      <c r="K215" s="243"/>
      <c r="L215" s="243"/>
      <c r="M215" s="459"/>
      <c r="N215" s="242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41" s="213" customFormat="1">
      <c r="B216" s="225"/>
      <c r="D216" s="910"/>
      <c r="F216" s="242"/>
      <c r="G216" s="243"/>
      <c r="H216" s="243"/>
      <c r="I216" s="243"/>
      <c r="J216" s="243"/>
      <c r="K216" s="243"/>
      <c r="L216" s="243"/>
      <c r="M216" s="459"/>
      <c r="N216" s="242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41" s="213" customFormat="1">
      <c r="B217" s="225"/>
      <c r="D217" s="910"/>
      <c r="F217" s="242"/>
      <c r="G217" s="243"/>
      <c r="H217" s="243"/>
      <c r="I217" s="243"/>
      <c r="J217" s="243"/>
      <c r="K217" s="243"/>
      <c r="L217" s="243"/>
      <c r="M217" s="459"/>
      <c r="N217" s="242"/>
      <c r="O217" s="141"/>
      <c r="P217" s="141"/>
      <c r="Q217" s="148"/>
      <c r="R217" s="148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41" s="213" customFormat="1">
      <c r="B218" s="225"/>
      <c r="D218" s="910"/>
      <c r="F218" s="242"/>
      <c r="G218" s="243"/>
      <c r="H218" s="243"/>
      <c r="I218" s="243"/>
      <c r="J218" s="243"/>
      <c r="K218" s="243"/>
      <c r="L218" s="243"/>
      <c r="M218" s="459"/>
      <c r="N218" s="242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41" s="213" customFormat="1">
      <c r="B219" s="225"/>
      <c r="D219" s="910"/>
      <c r="F219" s="242"/>
      <c r="G219" s="243"/>
      <c r="H219" s="243"/>
      <c r="I219" s="243"/>
      <c r="J219" s="243"/>
      <c r="K219" s="243"/>
      <c r="L219" s="243"/>
      <c r="M219" s="459"/>
      <c r="N219" s="242"/>
      <c r="O219" s="141"/>
      <c r="P219" s="141"/>
      <c r="Q219" s="148"/>
      <c r="R219" s="148"/>
      <c r="S219" s="149"/>
      <c r="T219" s="149"/>
      <c r="U219" s="150"/>
      <c r="V219" s="150"/>
      <c r="W219" s="150"/>
      <c r="X219" s="150"/>
      <c r="Y219" s="150"/>
      <c r="Z219" s="150"/>
      <c r="AA219" s="150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41" s="213" customFormat="1">
      <c r="B220" s="225"/>
      <c r="D220" s="910"/>
      <c r="F220" s="242"/>
      <c r="G220" s="243"/>
      <c r="H220" s="243"/>
      <c r="I220" s="243"/>
      <c r="J220" s="243"/>
      <c r="K220" s="243"/>
      <c r="L220" s="243"/>
      <c r="M220" s="459"/>
      <c r="N220" s="242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41" s="213" customFormat="1">
      <c r="B221" s="225"/>
      <c r="D221" s="910"/>
      <c r="F221" s="242"/>
      <c r="G221" s="243"/>
      <c r="H221" s="243"/>
      <c r="I221" s="243"/>
      <c r="J221" s="243"/>
      <c r="K221" s="243"/>
      <c r="L221" s="243"/>
      <c r="M221" s="459"/>
      <c r="N221" s="242"/>
      <c r="O221" s="141"/>
      <c r="P221" s="141"/>
      <c r="Q221" s="148"/>
      <c r="R221" s="148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</row>
    <row r="222" spans="2:41" s="213" customFormat="1">
      <c r="B222" s="225"/>
      <c r="D222" s="910"/>
      <c r="F222" s="242"/>
      <c r="G222" s="243"/>
      <c r="H222" s="243"/>
      <c r="I222" s="243"/>
      <c r="J222" s="243"/>
      <c r="K222" s="243"/>
      <c r="L222" s="243"/>
      <c r="M222" s="459"/>
      <c r="N222" s="242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41" s="213" customFormat="1">
      <c r="B223" s="225"/>
      <c r="D223" s="910"/>
      <c r="F223" s="242"/>
      <c r="G223" s="243"/>
      <c r="H223" s="243"/>
      <c r="I223" s="243"/>
      <c r="J223" s="243"/>
      <c r="K223" s="243"/>
      <c r="L223" s="243"/>
      <c r="M223" s="459"/>
      <c r="N223" s="242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</row>
    <row r="224" spans="2:41" s="213" customFormat="1">
      <c r="B224" s="225"/>
      <c r="D224" s="910"/>
      <c r="F224" s="242"/>
      <c r="G224" s="243"/>
      <c r="H224" s="243"/>
      <c r="I224" s="243"/>
      <c r="J224" s="243"/>
      <c r="K224" s="243"/>
      <c r="L224" s="243"/>
      <c r="M224" s="459"/>
      <c r="N224" s="242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2:39" s="213" customFormat="1">
      <c r="B225" s="225"/>
      <c r="D225" s="910"/>
      <c r="F225" s="242"/>
      <c r="G225" s="243"/>
      <c r="H225" s="243"/>
      <c r="I225" s="243"/>
      <c r="J225" s="243"/>
      <c r="K225" s="243"/>
      <c r="L225" s="243"/>
      <c r="M225" s="459"/>
      <c r="N225" s="242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</row>
    <row r="226" spans="2:39" s="213" customFormat="1">
      <c r="B226" s="225"/>
      <c r="D226" s="910"/>
      <c r="F226" s="242"/>
      <c r="G226" s="243"/>
      <c r="H226" s="243"/>
      <c r="I226" s="243"/>
      <c r="J226" s="243"/>
      <c r="K226" s="243"/>
      <c r="L226" s="243"/>
      <c r="M226" s="459"/>
      <c r="N226" s="242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2:39" s="213" customFormat="1">
      <c r="B227" s="225"/>
      <c r="D227" s="910"/>
      <c r="F227" s="242"/>
      <c r="G227" s="243"/>
      <c r="H227" s="243"/>
      <c r="I227" s="243"/>
      <c r="J227" s="243"/>
      <c r="K227" s="243"/>
      <c r="L227" s="243"/>
      <c r="M227" s="459"/>
      <c r="N227" s="242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2:39" s="213" customFormat="1">
      <c r="B228" s="225"/>
      <c r="D228" s="910"/>
      <c r="F228" s="242"/>
      <c r="G228" s="243"/>
      <c r="H228" s="243"/>
      <c r="I228" s="243"/>
      <c r="J228" s="243"/>
      <c r="K228" s="243"/>
      <c r="L228" s="243"/>
      <c r="M228" s="459"/>
      <c r="N228" s="242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2:39" s="213" customFormat="1">
      <c r="B229" s="225"/>
      <c r="D229" s="910"/>
      <c r="F229" s="242"/>
      <c r="G229" s="243"/>
      <c r="H229" s="243"/>
      <c r="I229" s="243"/>
      <c r="J229" s="243"/>
      <c r="K229" s="243"/>
      <c r="L229" s="243"/>
      <c r="M229" s="459"/>
      <c r="N229" s="242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2:39" s="213" customFormat="1">
      <c r="B230" s="225"/>
      <c r="D230" s="910"/>
      <c r="F230" s="242"/>
      <c r="G230" s="243"/>
      <c r="H230" s="243"/>
      <c r="I230" s="243"/>
      <c r="J230" s="243"/>
      <c r="K230" s="243"/>
      <c r="L230" s="243"/>
      <c r="M230" s="459"/>
      <c r="N230" s="242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</row>
    <row r="231" spans="2:39" s="213" customFormat="1">
      <c r="B231" s="225"/>
      <c r="D231" s="910"/>
      <c r="F231" s="242"/>
      <c r="G231" s="243"/>
      <c r="H231" s="243"/>
      <c r="I231" s="243"/>
      <c r="J231" s="243"/>
      <c r="K231" s="243"/>
      <c r="L231" s="243"/>
      <c r="M231" s="459"/>
      <c r="N231" s="242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2:39" s="213" customFormat="1">
      <c r="B232" s="225"/>
      <c r="D232" s="910"/>
      <c r="F232" s="242"/>
      <c r="G232" s="243"/>
      <c r="H232" s="243"/>
      <c r="I232" s="243"/>
      <c r="J232" s="243"/>
      <c r="K232" s="243"/>
      <c r="L232" s="243"/>
      <c r="M232" s="459"/>
      <c r="N232" s="242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2:39" s="213" customFormat="1">
      <c r="B233" s="225"/>
      <c r="D233" s="910"/>
      <c r="F233" s="242"/>
      <c r="G233" s="243"/>
      <c r="H233" s="243"/>
      <c r="I233" s="243"/>
      <c r="J233" s="243"/>
      <c r="K233" s="243"/>
      <c r="L233" s="243"/>
      <c r="M233" s="459"/>
      <c r="N233" s="242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2:39" s="213" customFormat="1">
      <c r="B234" s="225"/>
      <c r="D234" s="910"/>
      <c r="F234" s="242"/>
      <c r="G234" s="243"/>
      <c r="H234" s="243"/>
      <c r="I234" s="243"/>
      <c r="J234" s="243"/>
      <c r="K234" s="243"/>
      <c r="L234" s="243"/>
      <c r="M234" s="459"/>
      <c r="N234" s="242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14"/>
      <c r="AD234" s="214"/>
      <c r="AE234" s="214"/>
      <c r="AF234" s="214"/>
      <c r="AG234" s="214"/>
      <c r="AH234" s="214"/>
      <c r="AI234" s="214"/>
      <c r="AJ234" s="214"/>
      <c r="AK234" s="214"/>
      <c r="AL234" s="214"/>
      <c r="AM234" s="214"/>
    </row>
    <row r="235" spans="2:39" s="213" customFormat="1">
      <c r="B235" s="225"/>
      <c r="D235" s="910"/>
      <c r="F235" s="242"/>
      <c r="G235" s="243"/>
      <c r="H235" s="243"/>
      <c r="I235" s="243"/>
      <c r="J235" s="243"/>
      <c r="K235" s="243"/>
      <c r="L235" s="243"/>
      <c r="M235" s="459"/>
      <c r="N235" s="242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</row>
    <row r="236" spans="2:39" s="213" customFormat="1">
      <c r="B236" s="225"/>
      <c r="D236" s="910"/>
      <c r="F236" s="242"/>
      <c r="G236" s="243"/>
      <c r="H236" s="243"/>
      <c r="I236" s="243"/>
      <c r="J236" s="243"/>
      <c r="K236" s="243"/>
      <c r="L236" s="243"/>
      <c r="M236" s="459"/>
      <c r="N236" s="242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14"/>
      <c r="AD236" s="214"/>
      <c r="AE236" s="214"/>
      <c r="AF236" s="214"/>
      <c r="AG236" s="214"/>
      <c r="AH236" s="214"/>
      <c r="AI236" s="214"/>
      <c r="AJ236" s="214"/>
      <c r="AK236" s="214"/>
      <c r="AL236" s="214"/>
      <c r="AM236" s="214"/>
    </row>
    <row r="237" spans="2:39" s="213" customFormat="1">
      <c r="B237" s="225"/>
      <c r="D237" s="910"/>
      <c r="F237" s="242"/>
      <c r="G237" s="243"/>
      <c r="H237" s="243"/>
      <c r="I237" s="243"/>
      <c r="J237" s="243"/>
      <c r="K237" s="243"/>
      <c r="L237" s="243"/>
      <c r="M237" s="459"/>
      <c r="N237" s="242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14"/>
      <c r="AD237" s="214"/>
      <c r="AE237" s="214"/>
      <c r="AF237" s="214"/>
      <c r="AG237" s="214"/>
      <c r="AH237" s="214"/>
      <c r="AI237" s="214"/>
      <c r="AJ237" s="214"/>
      <c r="AK237" s="214"/>
      <c r="AL237" s="214"/>
      <c r="AM237" s="214"/>
    </row>
    <row r="238" spans="2:39" s="213" customFormat="1">
      <c r="B238" s="225"/>
      <c r="D238" s="910"/>
      <c r="F238" s="242"/>
      <c r="G238" s="243"/>
      <c r="H238" s="243"/>
      <c r="I238" s="243"/>
      <c r="J238" s="243"/>
      <c r="K238" s="243"/>
      <c r="L238" s="243"/>
      <c r="M238" s="459"/>
      <c r="N238" s="242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14"/>
      <c r="AD238" s="214"/>
      <c r="AE238" s="214"/>
      <c r="AF238" s="214"/>
      <c r="AG238" s="214"/>
      <c r="AH238" s="214"/>
      <c r="AI238" s="214"/>
      <c r="AJ238" s="214"/>
      <c r="AK238" s="214"/>
      <c r="AL238" s="214"/>
      <c r="AM238" s="214"/>
    </row>
    <row r="239" spans="2:39" s="213" customFormat="1">
      <c r="B239" s="225"/>
      <c r="D239" s="910"/>
      <c r="F239" s="242"/>
      <c r="G239" s="243"/>
      <c r="H239" s="243"/>
      <c r="I239" s="243"/>
      <c r="J239" s="243"/>
      <c r="K239" s="243"/>
      <c r="L239" s="243"/>
      <c r="M239" s="459"/>
      <c r="N239" s="242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14"/>
      <c r="AD239" s="214"/>
      <c r="AE239" s="214"/>
      <c r="AF239" s="214"/>
      <c r="AG239" s="214"/>
      <c r="AH239" s="214"/>
      <c r="AI239" s="214"/>
      <c r="AJ239" s="214"/>
      <c r="AK239" s="214"/>
      <c r="AL239" s="214"/>
      <c r="AM239" s="214"/>
    </row>
    <row r="240" spans="2:39" s="213" customFormat="1">
      <c r="B240" s="225"/>
      <c r="D240" s="910"/>
      <c r="F240" s="242"/>
      <c r="G240" s="243"/>
      <c r="H240" s="243"/>
      <c r="I240" s="243"/>
      <c r="J240" s="243"/>
      <c r="K240" s="243"/>
      <c r="L240" s="243"/>
      <c r="M240" s="459"/>
      <c r="N240" s="242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14"/>
      <c r="AD240" s="214"/>
      <c r="AE240" s="214"/>
      <c r="AF240" s="214"/>
      <c r="AG240" s="214"/>
      <c r="AH240" s="214"/>
      <c r="AI240" s="214"/>
      <c r="AJ240" s="214"/>
      <c r="AK240" s="214"/>
      <c r="AL240" s="214"/>
      <c r="AM240" s="214"/>
    </row>
    <row r="241" spans="1:40" s="213" customFormat="1">
      <c r="B241" s="225"/>
      <c r="D241" s="910"/>
      <c r="F241" s="242"/>
      <c r="G241" s="243"/>
      <c r="H241" s="243"/>
      <c r="I241" s="243"/>
      <c r="J241" s="243"/>
      <c r="K241" s="243"/>
      <c r="L241" s="243"/>
      <c r="M241" s="459"/>
      <c r="N241" s="242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14"/>
      <c r="AD241" s="214"/>
      <c r="AE241" s="214"/>
      <c r="AF241" s="214"/>
      <c r="AG241" s="214"/>
      <c r="AH241" s="214"/>
      <c r="AI241" s="214"/>
      <c r="AJ241" s="214"/>
      <c r="AK241" s="214"/>
      <c r="AL241" s="214"/>
      <c r="AM241" s="214"/>
    </row>
    <row r="242" spans="1:40">
      <c r="A242" s="204"/>
      <c r="O242" s="155"/>
      <c r="P242" s="155"/>
      <c r="Q242" s="156"/>
      <c r="R242" s="156"/>
      <c r="S242" s="251"/>
      <c r="T242" s="251"/>
      <c r="U242" s="252"/>
      <c r="V242" s="252"/>
      <c r="W242" s="252"/>
      <c r="X242" s="252"/>
      <c r="Y242" s="252"/>
      <c r="Z242" s="252"/>
      <c r="AA242" s="252"/>
      <c r="AN242" s="204"/>
    </row>
    <row r="243" spans="1:40">
      <c r="A243" s="204"/>
      <c r="O243" s="155"/>
      <c r="P243" s="155"/>
      <c r="Q243" s="156"/>
      <c r="R243" s="156"/>
      <c r="S243" s="251"/>
      <c r="T243" s="251"/>
      <c r="U243" s="252"/>
      <c r="V243" s="252"/>
      <c r="W243" s="252"/>
      <c r="X243" s="252"/>
      <c r="Y243" s="252"/>
      <c r="Z243" s="252"/>
      <c r="AA243" s="252"/>
      <c r="AN243" s="204"/>
    </row>
    <row r="244" spans="1:40">
      <c r="A244" s="204"/>
      <c r="O244" s="155"/>
      <c r="P244" s="155"/>
      <c r="Q244" s="156"/>
      <c r="R244" s="156"/>
      <c r="S244" s="251"/>
      <c r="T244" s="251"/>
      <c r="U244" s="252"/>
      <c r="V244" s="252"/>
      <c r="W244" s="252"/>
      <c r="X244" s="252"/>
      <c r="Y244" s="252"/>
      <c r="Z244" s="252"/>
      <c r="AA244" s="252"/>
      <c r="AN244" s="204"/>
    </row>
    <row r="245" spans="1:40">
      <c r="A245" s="204"/>
      <c r="O245" s="155"/>
      <c r="P245" s="155"/>
      <c r="Q245" s="156"/>
      <c r="R245" s="156"/>
      <c r="S245" s="251"/>
      <c r="T245" s="251"/>
      <c r="U245" s="252"/>
      <c r="V245" s="252"/>
      <c r="W245" s="252"/>
      <c r="X245" s="252"/>
      <c r="Y245" s="252"/>
      <c r="Z245" s="252"/>
      <c r="AA245" s="252"/>
      <c r="AN245" s="204"/>
    </row>
    <row r="246" spans="1:40">
      <c r="A246" s="204"/>
      <c r="O246" s="155"/>
      <c r="P246" s="155"/>
      <c r="Q246" s="156"/>
      <c r="R246" s="156"/>
      <c r="S246" s="251"/>
      <c r="T246" s="251"/>
      <c r="U246" s="252"/>
      <c r="V246" s="252"/>
      <c r="W246" s="252"/>
      <c r="X246" s="252"/>
      <c r="Y246" s="252"/>
      <c r="Z246" s="252"/>
      <c r="AA246" s="252"/>
      <c r="AN246" s="204"/>
    </row>
    <row r="247" spans="1:40">
      <c r="A247" s="204"/>
      <c r="O247" s="155"/>
      <c r="P247" s="155"/>
      <c r="Q247" s="156"/>
      <c r="R247" s="156"/>
      <c r="S247" s="251"/>
      <c r="T247" s="251"/>
      <c r="U247" s="252"/>
      <c r="V247" s="252"/>
      <c r="W247" s="252"/>
      <c r="X247" s="252"/>
      <c r="Y247" s="252"/>
      <c r="Z247" s="252"/>
      <c r="AA247" s="252"/>
      <c r="AN247" s="204"/>
    </row>
    <row r="248" spans="1:40">
      <c r="A248" s="204"/>
      <c r="O248" s="155"/>
      <c r="P248" s="155"/>
      <c r="Q248" s="156"/>
      <c r="R248" s="156"/>
      <c r="S248" s="251"/>
      <c r="T248" s="251"/>
      <c r="U248" s="252"/>
      <c r="V248" s="252"/>
      <c r="W248" s="252"/>
      <c r="X248" s="252"/>
      <c r="Y248" s="252"/>
      <c r="Z248" s="252"/>
      <c r="AA248" s="252"/>
      <c r="AN248" s="204"/>
    </row>
    <row r="249" spans="1:40">
      <c r="A249" s="204"/>
      <c r="O249" s="155"/>
      <c r="P249" s="155"/>
      <c r="Q249" s="156"/>
      <c r="R249" s="156"/>
      <c r="S249" s="251"/>
      <c r="T249" s="251"/>
      <c r="U249" s="252"/>
      <c r="V249" s="252"/>
      <c r="W249" s="252"/>
      <c r="X249" s="252"/>
      <c r="Y249" s="252"/>
      <c r="Z249" s="252"/>
      <c r="AA249" s="252"/>
      <c r="AN249" s="204"/>
    </row>
    <row r="250" spans="1:40">
      <c r="A250" s="204"/>
      <c r="O250" s="155"/>
      <c r="P250" s="155"/>
      <c r="Q250" s="156"/>
      <c r="R250" s="156"/>
      <c r="S250" s="251"/>
      <c r="T250" s="251"/>
      <c r="U250" s="252"/>
      <c r="V250" s="252"/>
      <c r="W250" s="252"/>
      <c r="X250" s="252"/>
      <c r="Y250" s="252"/>
      <c r="Z250" s="252"/>
      <c r="AA250" s="252"/>
      <c r="AN250" s="204"/>
    </row>
    <row r="251" spans="1:40">
      <c r="A251" s="204"/>
      <c r="B251" s="204"/>
      <c r="D251" s="204"/>
      <c r="F251" s="204"/>
      <c r="G251" s="204"/>
      <c r="H251" s="204"/>
      <c r="I251" s="204"/>
      <c r="J251" s="204"/>
      <c r="K251" s="204"/>
      <c r="L251" s="204"/>
      <c r="M251" s="204"/>
      <c r="N251" s="204"/>
      <c r="O251" s="155"/>
      <c r="P251" s="155"/>
      <c r="Q251" s="156"/>
      <c r="R251" s="156"/>
      <c r="S251" s="251"/>
      <c r="T251" s="251"/>
      <c r="U251" s="252"/>
      <c r="V251" s="252"/>
      <c r="W251" s="252"/>
      <c r="X251" s="252"/>
      <c r="Y251" s="252"/>
      <c r="Z251" s="252"/>
      <c r="AA251" s="252"/>
      <c r="AB251" s="204"/>
      <c r="AC251" s="204"/>
      <c r="AD251" s="204"/>
      <c r="AE251" s="204"/>
      <c r="AF251" s="204"/>
      <c r="AG251" s="204"/>
      <c r="AH251" s="204"/>
      <c r="AI251" s="204"/>
      <c r="AJ251" s="204"/>
      <c r="AK251" s="204"/>
      <c r="AL251" s="204"/>
      <c r="AM251" s="204"/>
      <c r="AN251" s="204"/>
    </row>
    <row r="252" spans="1:40">
      <c r="A252" s="204"/>
      <c r="B252" s="204"/>
      <c r="D252" s="204"/>
      <c r="F252" s="204"/>
      <c r="G252" s="204"/>
      <c r="H252" s="204"/>
      <c r="I252" s="204"/>
      <c r="J252" s="204"/>
      <c r="K252" s="204"/>
      <c r="L252" s="204"/>
      <c r="M252" s="204"/>
      <c r="N252" s="204"/>
      <c r="O252" s="155"/>
      <c r="P252" s="155"/>
      <c r="Q252" s="156"/>
      <c r="R252" s="156"/>
      <c r="S252" s="251"/>
      <c r="T252" s="251"/>
      <c r="U252" s="252"/>
      <c r="V252" s="252"/>
      <c r="W252" s="252"/>
      <c r="X252" s="252"/>
      <c r="Y252" s="252"/>
      <c r="Z252" s="252"/>
      <c r="AA252" s="252"/>
      <c r="AB252" s="204"/>
      <c r="AC252" s="204"/>
      <c r="AD252" s="204"/>
      <c r="AE252" s="204"/>
      <c r="AF252" s="204"/>
      <c r="AG252" s="204"/>
      <c r="AH252" s="204"/>
      <c r="AI252" s="204"/>
      <c r="AJ252" s="204"/>
      <c r="AK252" s="204"/>
      <c r="AL252" s="204"/>
      <c r="AM252" s="204"/>
      <c r="AN252" s="204"/>
    </row>
    <row r="253" spans="1:40">
      <c r="A253" s="204"/>
      <c r="B253" s="204"/>
      <c r="D253" s="204"/>
      <c r="F253" s="204"/>
      <c r="G253" s="204"/>
      <c r="H253" s="204"/>
      <c r="I253" s="204"/>
      <c r="J253" s="204"/>
      <c r="K253" s="204"/>
      <c r="L253" s="204"/>
      <c r="M253" s="204"/>
      <c r="N253" s="204"/>
      <c r="O253" s="155"/>
      <c r="P253" s="155"/>
      <c r="Q253" s="156"/>
      <c r="R253" s="156"/>
      <c r="S253" s="251"/>
      <c r="T253" s="251"/>
      <c r="U253" s="252"/>
      <c r="V253" s="252"/>
      <c r="W253" s="252"/>
      <c r="X253" s="252"/>
      <c r="Y253" s="252"/>
      <c r="Z253" s="252"/>
      <c r="AA253" s="252"/>
      <c r="AB253" s="204"/>
      <c r="AC253" s="204"/>
      <c r="AD253" s="204"/>
      <c r="AE253" s="204"/>
      <c r="AF253" s="204"/>
      <c r="AG253" s="204"/>
      <c r="AH253" s="204"/>
      <c r="AI253" s="204"/>
      <c r="AJ253" s="204"/>
      <c r="AK253" s="204"/>
      <c r="AL253" s="204"/>
      <c r="AM253" s="204"/>
      <c r="AN253" s="204"/>
    </row>
    <row r="254" spans="1:40">
      <c r="A254" s="204"/>
      <c r="B254" s="204"/>
      <c r="D254" s="204"/>
      <c r="F254" s="204"/>
      <c r="G254" s="204"/>
      <c r="H254" s="204"/>
      <c r="I254" s="204"/>
      <c r="J254" s="204"/>
      <c r="K254" s="204"/>
      <c r="L254" s="204"/>
      <c r="M254" s="204"/>
      <c r="N254" s="204"/>
      <c r="O254" s="155"/>
      <c r="P254" s="155"/>
      <c r="Q254" s="156"/>
      <c r="R254" s="156"/>
      <c r="S254" s="251"/>
      <c r="T254" s="251"/>
      <c r="U254" s="252"/>
      <c r="V254" s="252"/>
      <c r="W254" s="252"/>
      <c r="X254" s="252"/>
      <c r="Y254" s="252"/>
      <c r="Z254" s="252"/>
      <c r="AA254" s="252"/>
      <c r="AB254" s="204"/>
      <c r="AC254" s="204"/>
      <c r="AD254" s="204"/>
      <c r="AE254" s="204"/>
      <c r="AF254" s="204"/>
      <c r="AG254" s="204"/>
      <c r="AH254" s="204"/>
      <c r="AI254" s="204"/>
      <c r="AJ254" s="204"/>
      <c r="AK254" s="204"/>
      <c r="AL254" s="204"/>
      <c r="AM254" s="204"/>
      <c r="AN254" s="204"/>
    </row>
  </sheetData>
  <printOptions horizontalCentered="1" verticalCentered="1"/>
  <pageMargins left="0" right="0" top="0.55118110236220474" bottom="0" header="0.31496062992125984" footer="0"/>
  <pageSetup paperSize="9" orientation="landscape" horizontalDpi="0" verticalDpi="0"/>
  <headerFooter>
    <oddHeader>Preparado por PEPE ALONSO &amp;D&amp;RPágina &amp;P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342AD-DA26-AF48-A5DE-BD16B505A4CC}">
  <sheetPr codeName="Hoja68"/>
  <dimension ref="A1:AO254"/>
  <sheetViews>
    <sheetView topLeftCell="A35" zoomScale="175" zoomScaleNormal="175" workbookViewId="0">
      <selection activeCell="K1" sqref="K1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33203125" style="204" customWidth="1"/>
    <col min="4" max="4" width="0.83203125" style="902" customWidth="1"/>
    <col min="5" max="5" width="2.6640625" style="204" customWidth="1"/>
    <col min="6" max="6" width="3.33203125" style="207" customWidth="1"/>
    <col min="7" max="7" width="4.6640625" style="208" customWidth="1"/>
    <col min="8" max="8" width="4.5" style="208" customWidth="1"/>
    <col min="9" max="10" width="7.33203125" style="208" customWidth="1"/>
    <col min="11" max="11" width="35.5" style="208" customWidth="1"/>
    <col min="12" max="12" width="9.1640625" style="208" customWidth="1"/>
    <col min="13" max="13" width="1" style="449" customWidth="1"/>
    <col min="14" max="14" width="7.83203125" style="207" customWidth="1"/>
    <col min="15" max="15" width="0.83203125" style="208" customWidth="1"/>
    <col min="16" max="16" width="8.33203125" style="208" customWidth="1"/>
    <col min="17" max="17" width="5.6640625" style="209" customWidth="1"/>
    <col min="18" max="18" width="6" style="209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20" customHeight="1" thickBot="1">
      <c r="A1" s="203" t="s">
        <v>344</v>
      </c>
      <c r="F1" s="527"/>
      <c r="G1" s="155"/>
      <c r="H1" s="155"/>
      <c r="I1" s="155"/>
      <c r="J1" s="2561"/>
      <c r="K1" s="1047" t="s">
        <v>1582</v>
      </c>
      <c r="L1" s="2561" t="s">
        <v>1896</v>
      </c>
      <c r="M1" s="2558"/>
      <c r="N1" s="2559"/>
      <c r="O1" s="2560"/>
      <c r="P1" s="2560"/>
      <c r="Q1" s="2562"/>
      <c r="R1" s="2562"/>
      <c r="U1" s="218" t="s">
        <v>345</v>
      </c>
      <c r="AI1" s="213"/>
      <c r="AJ1" s="213"/>
      <c r="AK1" s="213"/>
      <c r="AL1" s="213"/>
      <c r="AM1" s="213"/>
    </row>
    <row r="2" spans="1:40" s="223" customFormat="1" ht="72.75" customHeight="1" thickTop="1" thickBot="1">
      <c r="A2" s="351" t="s">
        <v>346</v>
      </c>
      <c r="B2" s="352" t="s">
        <v>347</v>
      </c>
      <c r="C2" s="353" t="s">
        <v>348</v>
      </c>
      <c r="D2" s="903"/>
      <c r="E2" s="674" t="s">
        <v>349</v>
      </c>
      <c r="F2" s="354" t="s">
        <v>350</v>
      </c>
      <c r="G2" s="350" t="s">
        <v>351</v>
      </c>
      <c r="H2" s="350" t="s">
        <v>624</v>
      </c>
      <c r="I2" s="350" t="s">
        <v>352</v>
      </c>
      <c r="J2" s="354" t="s">
        <v>353</v>
      </c>
      <c r="K2" s="350" t="s">
        <v>354</v>
      </c>
      <c r="L2" s="350"/>
      <c r="M2" s="450" t="s">
        <v>355</v>
      </c>
      <c r="N2" s="350" t="s">
        <v>445</v>
      </c>
      <c r="O2" s="353" t="s">
        <v>446</v>
      </c>
      <c r="P2" s="353" t="s">
        <v>447</v>
      </c>
      <c r="Q2" s="355" t="s">
        <v>448</v>
      </c>
      <c r="R2" s="356" t="s">
        <v>371</v>
      </c>
      <c r="S2" s="219" t="s">
        <v>449</v>
      </c>
      <c r="T2" s="219" t="s">
        <v>450</v>
      </c>
      <c r="U2" s="326" t="s">
        <v>451</v>
      </c>
      <c r="V2" s="329" t="s">
        <v>452</v>
      </c>
      <c r="W2" s="327" t="s">
        <v>453</v>
      </c>
      <c r="X2" s="330" t="s">
        <v>454</v>
      </c>
      <c r="Y2" s="328" t="s">
        <v>455</v>
      </c>
      <c r="Z2" s="332" t="s">
        <v>456</v>
      </c>
      <c r="AA2" s="331" t="s">
        <v>457</v>
      </c>
      <c r="AB2" s="220"/>
      <c r="AC2" s="221"/>
      <c r="AD2" s="222"/>
      <c r="AE2" s="222"/>
      <c r="AF2" s="222"/>
      <c r="AG2" s="222"/>
      <c r="AH2" s="222"/>
      <c r="AI2" s="220"/>
      <c r="AJ2" s="220"/>
      <c r="AK2" s="220"/>
      <c r="AL2" s="220"/>
      <c r="AM2" s="220"/>
      <c r="AN2" s="220"/>
    </row>
    <row r="3" spans="1:40" s="223" customFormat="1" ht="12.75" customHeight="1" thickBot="1">
      <c r="A3" s="1423"/>
      <c r="B3" s="1424"/>
      <c r="C3" s="1425"/>
      <c r="D3" s="1425"/>
      <c r="E3" s="1426"/>
      <c r="F3" s="1425"/>
      <c r="G3" s="1425"/>
      <c r="H3" s="1425"/>
      <c r="I3" s="1425"/>
      <c r="J3" s="1425"/>
      <c r="K3" s="1425"/>
      <c r="L3" s="1425"/>
      <c r="M3" s="1427"/>
      <c r="N3" s="1425"/>
      <c r="O3" s="1425"/>
      <c r="P3" s="1425"/>
      <c r="Q3" s="1428"/>
      <c r="R3" s="1429"/>
      <c r="S3" s="919"/>
      <c r="T3" s="919"/>
      <c r="U3" s="111">
        <f>Test!$D$29</f>
        <v>9.1523857526881758E-4</v>
      </c>
      <c r="V3" s="111">
        <f>Test!$D$31</f>
        <v>8.7635030864197572E-4</v>
      </c>
      <c r="W3" s="111">
        <f>Test!$D$33</f>
        <v>8.4888763197586746E-4</v>
      </c>
      <c r="X3" s="111">
        <f>Test!$D$35</f>
        <v>8.0990657955066516E-4</v>
      </c>
      <c r="Y3" s="111">
        <f>Test!$D$37</f>
        <v>7.5735749690210676E-4</v>
      </c>
      <c r="Z3" s="111">
        <f>Test!$D$39</f>
        <v>7.2916666666666692E-4</v>
      </c>
      <c r="AA3" s="112">
        <f>Test!$D$41</f>
        <v>7.0729166666666694E-4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8" customFormat="1" ht="3.75" customHeight="1" thickBot="1">
      <c r="A4" s="621"/>
      <c r="B4" s="622"/>
      <c r="C4" s="623"/>
      <c r="D4" s="938"/>
      <c r="E4" s="623"/>
      <c r="F4" s="624"/>
      <c r="G4" s="625"/>
      <c r="H4" s="625"/>
      <c r="I4" s="625"/>
      <c r="J4" s="624"/>
      <c r="K4" s="625"/>
      <c r="L4" s="625"/>
      <c r="M4" s="626"/>
      <c r="N4" s="834"/>
      <c r="O4" s="623"/>
      <c r="P4" s="623"/>
      <c r="Q4" s="623"/>
      <c r="R4" s="627"/>
      <c r="S4" s="224"/>
      <c r="T4" s="224"/>
      <c r="U4" s="111">
        <f>U3/4</f>
        <v>2.2880964381720439E-4</v>
      </c>
      <c r="V4" s="111">
        <f t="shared" ref="V4:AA4" si="0">V3/4</f>
        <v>2.1908757716049393E-4</v>
      </c>
      <c r="W4" s="111">
        <f t="shared" si="0"/>
        <v>2.1222190799396687E-4</v>
      </c>
      <c r="X4" s="111">
        <f t="shared" si="0"/>
        <v>2.0247664488766629E-4</v>
      </c>
      <c r="Y4" s="111">
        <f t="shared" si="0"/>
        <v>1.8933937422552669E-4</v>
      </c>
      <c r="Z4" s="111">
        <f t="shared" si="0"/>
        <v>1.8229166666666673E-4</v>
      </c>
      <c r="AA4" s="111">
        <f t="shared" si="0"/>
        <v>1.7682291666666674E-4</v>
      </c>
      <c r="AB4" s="225"/>
      <c r="AC4" s="226"/>
      <c r="AD4" s="227"/>
      <c r="AE4" s="227"/>
      <c r="AF4" s="227"/>
      <c r="AG4" s="227"/>
      <c r="AH4" s="227"/>
      <c r="AI4" s="225"/>
      <c r="AJ4" s="225"/>
      <c r="AK4" s="225"/>
      <c r="AL4" s="225"/>
      <c r="AM4" s="225"/>
      <c r="AN4" s="225"/>
    </row>
    <row r="5" spans="1:40" ht="12.75" customHeight="1" thickTop="1" thickBot="1">
      <c r="A5" s="851" t="s">
        <v>214</v>
      </c>
      <c r="B5" s="1026" t="s">
        <v>461</v>
      </c>
      <c r="C5" s="629">
        <f t="shared" ref="C5:C55" si="1">IF(D5=1,U$4,IF(D5=2,V$4,IF(D5=3,W$4,IF(D5=4,X$4,IF(D5=5,Y$4,IF(D5=6,Z$4,IF(D5=7,AA$4,0)))))))</f>
        <v>2.2880964381720439E-4</v>
      </c>
      <c r="D5" s="920">
        <v>1</v>
      </c>
      <c r="E5" s="1011">
        <v>1</v>
      </c>
      <c r="F5" s="1011">
        <v>1</v>
      </c>
      <c r="G5" s="1011">
        <v>400</v>
      </c>
      <c r="H5" s="631"/>
      <c r="I5" s="631">
        <v>0</v>
      </c>
      <c r="J5" s="631">
        <v>1.1574074074074073E-4</v>
      </c>
      <c r="K5" s="632" t="s">
        <v>1531</v>
      </c>
      <c r="L5" s="1012">
        <v>0.80555555555555547</v>
      </c>
      <c r="M5" s="633">
        <v>1.2</v>
      </c>
      <c r="N5" s="631">
        <f>P5*E5*F5+I5*E5*F5+J5*E5</f>
        <v>4.5088859020310651E-3</v>
      </c>
      <c r="O5" s="634">
        <f t="shared" ref="O5:O10" si="2">C5*(G5/25)</f>
        <v>3.6609543010752703E-3</v>
      </c>
      <c r="P5" s="634">
        <f t="shared" ref="P5:P8" si="3">O5*M5</f>
        <v>4.3931451612903242E-3</v>
      </c>
      <c r="Q5" s="635">
        <v>129</v>
      </c>
      <c r="R5" s="1013">
        <f t="shared" ref="R5:R8" si="4">E5*F5*G5</f>
        <v>400</v>
      </c>
      <c r="S5" s="229">
        <f t="shared" ref="S5:S55" si="5">E5*F5*G5/1000</f>
        <v>0.4</v>
      </c>
      <c r="T5" s="230">
        <f t="shared" ref="T5:T55" si="6">E5*F5*O5*4</f>
        <v>1.4643817204301081E-2</v>
      </c>
      <c r="U5" s="374">
        <f t="shared" ref="U5:U12" si="7">IF(C5*4&gt;=$U$3,S5,0)</f>
        <v>0.4</v>
      </c>
      <c r="V5" s="375">
        <f t="shared" ref="V5:V12" si="8">IF(AND(C5*4&gt;=$V$3,C5*4&lt;$U$3),S5,0)</f>
        <v>0</v>
      </c>
      <c r="W5" s="376">
        <f t="shared" ref="W5:W12" si="9">IF(AND(C5*4&gt;=$W$3,C5*4&lt;$V$3),S5,0)</f>
        <v>0</v>
      </c>
      <c r="X5" s="377">
        <f t="shared" ref="X5:X12" si="10">IF(AND(C5*4&gt;=$X$3,C5*4&lt;$W$3),S5,0)</f>
        <v>0</v>
      </c>
      <c r="Y5" s="378">
        <f t="shared" ref="Y5:Y12" si="11">IF(AND(C5*4&gt;=$Y$3,C5*4&lt;$X$3),S5,0)</f>
        <v>0</v>
      </c>
      <c r="Z5" s="379">
        <f t="shared" ref="Z5:Z12" si="12">IF(AND(C5*4&gt;=$Z$3,C5*4&lt;$Y$3),S5,0)</f>
        <v>0</v>
      </c>
      <c r="AA5" s="380">
        <f t="shared" ref="AA5:AA12" si="13">IF(AND(C5*4&gt;=$AA$3,C5*4&lt;$Z$3),S5,0)</f>
        <v>0</v>
      </c>
      <c r="AC5" s="231"/>
      <c r="AD5" s="231"/>
      <c r="AE5" s="231"/>
      <c r="AF5" s="231"/>
      <c r="AG5" s="231"/>
      <c r="AH5" s="231"/>
      <c r="AI5" s="213"/>
      <c r="AJ5" s="213"/>
      <c r="AK5" s="213"/>
      <c r="AL5" s="213"/>
      <c r="AM5" s="213"/>
    </row>
    <row r="6" spans="1:40" ht="13.25" customHeight="1" thickBot="1">
      <c r="A6" s="851" t="s">
        <v>459</v>
      </c>
      <c r="B6" s="1026" t="s">
        <v>461</v>
      </c>
      <c r="C6" s="629">
        <f t="shared" si="1"/>
        <v>1.8229166666666673E-4</v>
      </c>
      <c r="D6" s="920">
        <v>6</v>
      </c>
      <c r="E6" s="365">
        <v>1</v>
      </c>
      <c r="F6" s="365">
        <v>8</v>
      </c>
      <c r="G6" s="4310">
        <v>50</v>
      </c>
      <c r="H6" s="4311"/>
      <c r="I6" s="366">
        <v>3.4722222222222224E-4</v>
      </c>
      <c r="J6" s="366">
        <v>6.9444444444444447E-4</v>
      </c>
      <c r="K6" s="1065" t="s">
        <v>1895</v>
      </c>
      <c r="L6" s="1006">
        <f t="shared" ref="L6:L8" si="14">L5+N5</f>
        <v>0.81006444145758649</v>
      </c>
      <c r="M6" s="365">
        <v>1.1000000000000001</v>
      </c>
      <c r="N6" s="366">
        <f t="shared" ref="N6:N8" si="15">P6*E6*F6+I6*E6*F6+J6*E6</f>
        <v>6.6805555555555568E-3</v>
      </c>
      <c r="O6" s="634">
        <f t="shared" si="2"/>
        <v>3.6458333333333346E-4</v>
      </c>
      <c r="P6" s="586">
        <f t="shared" si="3"/>
        <v>4.0104166666666684E-4</v>
      </c>
      <c r="Q6" s="787" t="s">
        <v>267</v>
      </c>
      <c r="R6" s="637">
        <f t="shared" si="4"/>
        <v>400</v>
      </c>
      <c r="S6" s="229">
        <f t="shared" si="5"/>
        <v>0.4</v>
      </c>
      <c r="T6" s="230">
        <f t="shared" si="6"/>
        <v>1.1666666666666671E-2</v>
      </c>
      <c r="U6" s="374">
        <f t="shared" si="7"/>
        <v>0</v>
      </c>
      <c r="V6" s="375">
        <f t="shared" si="8"/>
        <v>0</v>
      </c>
      <c r="W6" s="376">
        <f t="shared" si="9"/>
        <v>0</v>
      </c>
      <c r="X6" s="377">
        <f t="shared" si="10"/>
        <v>0</v>
      </c>
      <c r="Y6" s="378">
        <f t="shared" si="11"/>
        <v>0</v>
      </c>
      <c r="Z6" s="379">
        <f t="shared" si="12"/>
        <v>0.4</v>
      </c>
      <c r="AA6" s="380">
        <f t="shared" si="13"/>
        <v>0</v>
      </c>
      <c r="AC6" s="231"/>
      <c r="AD6" s="231"/>
      <c r="AE6" s="231"/>
      <c r="AF6" s="231"/>
      <c r="AG6" s="231"/>
      <c r="AH6" s="231"/>
      <c r="AI6" s="213"/>
      <c r="AJ6" s="213"/>
      <c r="AK6" s="213"/>
      <c r="AL6" s="213"/>
      <c r="AM6" s="213"/>
    </row>
    <row r="7" spans="1:40" ht="13.25" customHeight="1" thickBot="1">
      <c r="A7" s="1025" t="s">
        <v>460</v>
      </c>
      <c r="B7" s="1026" t="s">
        <v>461</v>
      </c>
      <c r="C7" s="629">
        <f t="shared" si="1"/>
        <v>1.7682291666666674E-4</v>
      </c>
      <c r="D7" s="920">
        <v>7</v>
      </c>
      <c r="E7" s="1655">
        <v>3</v>
      </c>
      <c r="F7" s="4312">
        <v>1</v>
      </c>
      <c r="G7" s="4313">
        <v>40</v>
      </c>
      <c r="H7" s="4314" t="s">
        <v>1368</v>
      </c>
      <c r="I7" s="4315">
        <v>6.9444444444444447E-4</v>
      </c>
      <c r="J7" s="2042">
        <v>1.3888888888888889E-3</v>
      </c>
      <c r="K7" s="1038" t="s">
        <v>1894</v>
      </c>
      <c r="L7" s="1189">
        <f t="shared" si="14"/>
        <v>0.81674499701314207</v>
      </c>
      <c r="M7" s="2043">
        <v>1.1000000000000001</v>
      </c>
      <c r="N7" s="2042">
        <f t="shared" si="15"/>
        <v>7.1836250000000008E-3</v>
      </c>
      <c r="O7" s="634">
        <f t="shared" si="2"/>
        <v>2.8291666666666678E-4</v>
      </c>
      <c r="P7" s="587">
        <f t="shared" si="3"/>
        <v>3.1120833333333348E-4</v>
      </c>
      <c r="Q7" s="790" t="s">
        <v>316</v>
      </c>
      <c r="R7" s="4316">
        <f t="shared" si="4"/>
        <v>120</v>
      </c>
      <c r="S7" s="229">
        <f t="shared" si="5"/>
        <v>0.12</v>
      </c>
      <c r="T7" s="230">
        <f t="shared" si="6"/>
        <v>3.3950000000000013E-3</v>
      </c>
      <c r="U7" s="374">
        <f t="shared" si="7"/>
        <v>0</v>
      </c>
      <c r="V7" s="375">
        <f t="shared" si="8"/>
        <v>0</v>
      </c>
      <c r="W7" s="376">
        <f t="shared" si="9"/>
        <v>0</v>
      </c>
      <c r="X7" s="377">
        <f t="shared" si="10"/>
        <v>0</v>
      </c>
      <c r="Y7" s="378">
        <f t="shared" si="11"/>
        <v>0</v>
      </c>
      <c r="Z7" s="379">
        <f t="shared" si="12"/>
        <v>0</v>
      </c>
      <c r="AA7" s="380">
        <f t="shared" si="13"/>
        <v>0.12</v>
      </c>
      <c r="AC7" s="231"/>
      <c r="AD7" s="231"/>
      <c r="AE7" s="231"/>
      <c r="AF7" s="231"/>
      <c r="AG7" s="231"/>
      <c r="AH7" s="231"/>
      <c r="AI7" s="213"/>
      <c r="AJ7" s="213"/>
      <c r="AK7" s="213"/>
      <c r="AL7" s="213"/>
      <c r="AM7" s="213"/>
    </row>
    <row r="8" spans="1:40" ht="16.25" customHeight="1" thickBot="1">
      <c r="A8" s="851" t="s">
        <v>458</v>
      </c>
      <c r="B8" s="1026" t="s">
        <v>461</v>
      </c>
      <c r="C8" s="629">
        <f t="shared" si="1"/>
        <v>1.7682291666666674E-4</v>
      </c>
      <c r="D8" s="920">
        <v>7</v>
      </c>
      <c r="E8" s="1655">
        <v>1</v>
      </c>
      <c r="F8" s="4312">
        <v>5</v>
      </c>
      <c r="G8" s="4313">
        <v>60</v>
      </c>
      <c r="H8" s="4314" t="s">
        <v>1370</v>
      </c>
      <c r="I8" s="4315">
        <v>1.8518518518518517E-3</v>
      </c>
      <c r="J8" s="2042">
        <v>1.3888888888888889E-3</v>
      </c>
      <c r="K8" s="1038" t="s">
        <v>1893</v>
      </c>
      <c r="L8" s="1189">
        <f t="shared" si="14"/>
        <v>0.8239286220131421</v>
      </c>
      <c r="M8" s="2043">
        <v>1.05</v>
      </c>
      <c r="N8" s="2042">
        <f t="shared" si="15"/>
        <v>1.2876116898148148E-2</v>
      </c>
      <c r="O8" s="634">
        <f t="shared" si="2"/>
        <v>4.2437500000000016E-4</v>
      </c>
      <c r="P8" s="587">
        <f t="shared" si="3"/>
        <v>4.4559375000000019E-4</v>
      </c>
      <c r="Q8" s="790" t="s">
        <v>316</v>
      </c>
      <c r="R8" s="4316">
        <f t="shared" si="4"/>
        <v>300</v>
      </c>
      <c r="S8" s="229">
        <f t="shared" si="5"/>
        <v>0.3</v>
      </c>
      <c r="T8" s="230">
        <f t="shared" si="6"/>
        <v>8.4875000000000037E-3</v>
      </c>
      <c r="U8" s="374">
        <f t="shared" si="7"/>
        <v>0</v>
      </c>
      <c r="V8" s="375">
        <f t="shared" si="8"/>
        <v>0</v>
      </c>
      <c r="W8" s="376">
        <f t="shared" si="9"/>
        <v>0</v>
      </c>
      <c r="X8" s="377">
        <f t="shared" si="10"/>
        <v>0</v>
      </c>
      <c r="Y8" s="378">
        <f t="shared" si="11"/>
        <v>0</v>
      </c>
      <c r="Z8" s="379">
        <f t="shared" si="12"/>
        <v>0</v>
      </c>
      <c r="AA8" s="380">
        <f t="shared" si="13"/>
        <v>0.3</v>
      </c>
      <c r="AC8" s="231"/>
      <c r="AD8" s="231"/>
      <c r="AE8" s="231"/>
      <c r="AF8" s="231"/>
      <c r="AG8" s="231"/>
      <c r="AH8" s="231"/>
      <c r="AI8" s="213"/>
      <c r="AJ8" s="213"/>
      <c r="AK8" s="213"/>
      <c r="AL8" s="213"/>
      <c r="AM8" s="213"/>
      <c r="AN8" s="204"/>
    </row>
    <row r="9" spans="1:40" ht="14" customHeight="1" thickBot="1">
      <c r="A9" s="851" t="s">
        <v>219</v>
      </c>
      <c r="B9" s="1026" t="s">
        <v>461</v>
      </c>
      <c r="C9" s="629">
        <f t="shared" si="1"/>
        <v>2.1222190799396687E-4</v>
      </c>
      <c r="D9" s="1236">
        <v>3</v>
      </c>
      <c r="E9" s="1074">
        <v>1</v>
      </c>
      <c r="F9" s="1074">
        <v>1</v>
      </c>
      <c r="G9" s="3888">
        <v>400</v>
      </c>
      <c r="H9" s="4317"/>
      <c r="I9" s="3356">
        <v>1.7361111111111112E-4</v>
      </c>
      <c r="J9" s="3356">
        <v>1.3888888888888889E-3</v>
      </c>
      <c r="K9" s="1074" t="s">
        <v>1372</v>
      </c>
      <c r="L9" s="1148">
        <f t="shared" ref="L9" si="16">L8+N8</f>
        <v>0.83680473891129026</v>
      </c>
      <c r="M9" s="4318">
        <v>1.1000000000000001</v>
      </c>
      <c r="N9" s="3356">
        <f t="shared" ref="N9:N10" si="17">P9*E9*F9+I9*F9*E9+J9*E9</f>
        <v>5.2976055806938172E-3</v>
      </c>
      <c r="O9" s="634">
        <f t="shared" si="2"/>
        <v>3.3955505279034699E-3</v>
      </c>
      <c r="P9" s="1165">
        <f t="shared" ref="P9" si="18">O9*M9</f>
        <v>3.7351055806938171E-3</v>
      </c>
      <c r="Q9" s="333">
        <v>160</v>
      </c>
      <c r="R9" s="1074">
        <f t="shared" ref="R9" si="19">E9*F9*G9</f>
        <v>400</v>
      </c>
      <c r="S9" s="229">
        <f t="shared" si="5"/>
        <v>0.4</v>
      </c>
      <c r="T9" s="230">
        <f t="shared" si="6"/>
        <v>1.3582202111613879E-2</v>
      </c>
      <c r="U9" s="374">
        <f t="shared" si="7"/>
        <v>0</v>
      </c>
      <c r="V9" s="375">
        <f t="shared" si="8"/>
        <v>0</v>
      </c>
      <c r="W9" s="376">
        <f t="shared" si="9"/>
        <v>0.4</v>
      </c>
      <c r="X9" s="377">
        <f t="shared" si="10"/>
        <v>0</v>
      </c>
      <c r="Y9" s="378">
        <f t="shared" si="11"/>
        <v>0</v>
      </c>
      <c r="Z9" s="379">
        <f t="shared" si="12"/>
        <v>0</v>
      </c>
      <c r="AA9" s="380">
        <f t="shared" si="13"/>
        <v>0</v>
      </c>
      <c r="AC9" s="231"/>
      <c r="AD9" s="231"/>
      <c r="AE9" s="231"/>
      <c r="AF9" s="231"/>
      <c r="AG9" s="231"/>
      <c r="AH9" s="231"/>
      <c r="AI9" s="213"/>
      <c r="AJ9" s="213"/>
      <c r="AK9" s="213"/>
      <c r="AL9" s="213"/>
      <c r="AM9" s="213"/>
      <c r="AN9" s="204"/>
    </row>
    <row r="10" spans="1:40" ht="14" customHeight="1" thickBot="1">
      <c r="A10" s="397"/>
      <c r="B10" s="1026" t="s">
        <v>461</v>
      </c>
      <c r="C10" s="629">
        <f t="shared" si="1"/>
        <v>1.7682291666666674E-4</v>
      </c>
      <c r="D10" s="920">
        <v>7</v>
      </c>
      <c r="E10" s="1655">
        <v>1</v>
      </c>
      <c r="F10" s="1655">
        <v>6</v>
      </c>
      <c r="G10" s="1655">
        <v>15</v>
      </c>
      <c r="H10" s="4319"/>
      <c r="I10" s="2042">
        <v>2.4305555555555556E-3</v>
      </c>
      <c r="J10" s="2042">
        <v>6.9444444444444447E-4</v>
      </c>
      <c r="K10" s="1038" t="s">
        <v>1373</v>
      </c>
      <c r="L10" s="1189">
        <f>L9+N9</f>
        <v>0.84210234449198407</v>
      </c>
      <c r="M10" s="2043">
        <v>1</v>
      </c>
      <c r="N10" s="2042">
        <f t="shared" si="17"/>
        <v>1.5914340277777779E-2</v>
      </c>
      <c r="O10" s="634">
        <f t="shared" si="2"/>
        <v>1.0609375000000004E-4</v>
      </c>
      <c r="P10" s="587">
        <f>O10*M10</f>
        <v>1.0609375000000004E-4</v>
      </c>
      <c r="Q10" s="790"/>
      <c r="R10" s="4316">
        <f>E10*F10*G10</f>
        <v>90</v>
      </c>
      <c r="S10" s="229">
        <f t="shared" si="5"/>
        <v>0.09</v>
      </c>
      <c r="T10" s="230">
        <f t="shared" si="6"/>
        <v>2.5462500000000008E-3</v>
      </c>
      <c r="U10" s="374">
        <f t="shared" si="7"/>
        <v>0</v>
      </c>
      <c r="V10" s="375">
        <f t="shared" si="8"/>
        <v>0</v>
      </c>
      <c r="W10" s="376">
        <f t="shared" si="9"/>
        <v>0</v>
      </c>
      <c r="X10" s="377">
        <f t="shared" si="10"/>
        <v>0</v>
      </c>
      <c r="Y10" s="378">
        <f t="shared" si="11"/>
        <v>0</v>
      </c>
      <c r="Z10" s="379">
        <f t="shared" si="12"/>
        <v>0</v>
      </c>
      <c r="AA10" s="380">
        <f t="shared" si="13"/>
        <v>0.09</v>
      </c>
      <c r="AC10" s="231"/>
      <c r="AD10" s="231"/>
      <c r="AE10" s="231"/>
      <c r="AF10" s="231"/>
      <c r="AG10" s="231"/>
      <c r="AH10" s="231"/>
      <c r="AI10" s="213"/>
      <c r="AJ10" s="213"/>
      <c r="AK10" s="213"/>
      <c r="AL10" s="213"/>
      <c r="AM10" s="213"/>
      <c r="AN10" s="204"/>
    </row>
    <row r="11" spans="1:40" ht="14" customHeight="1" thickBot="1">
      <c r="A11" s="1414"/>
      <c r="B11" s="1415"/>
      <c r="C11" s="629">
        <f t="shared" si="1"/>
        <v>0</v>
      </c>
      <c r="D11" s="920"/>
      <c r="E11" s="1416"/>
      <c r="F11" s="1416"/>
      <c r="G11" s="1416"/>
      <c r="H11" s="1417"/>
      <c r="I11" s="1417"/>
      <c r="J11" s="1417"/>
      <c r="K11" s="1418"/>
      <c r="L11" s="1597">
        <f>L10+N10</f>
        <v>0.85801668476976189</v>
      </c>
      <c r="M11" s="1419"/>
      <c r="N11" s="1420"/>
      <c r="O11" s="1417"/>
      <c r="P11" s="1420"/>
      <c r="Q11" s="1421"/>
      <c r="R11" s="1422">
        <f>SUM(R5:R10)</f>
        <v>1710</v>
      </c>
      <c r="S11" s="229">
        <f t="shared" si="5"/>
        <v>0</v>
      </c>
      <c r="T11" s="230">
        <f t="shared" si="6"/>
        <v>0</v>
      </c>
      <c r="U11" s="374">
        <f t="shared" si="7"/>
        <v>0</v>
      </c>
      <c r="V11" s="375">
        <f t="shared" si="8"/>
        <v>0</v>
      </c>
      <c r="W11" s="376">
        <f t="shared" si="9"/>
        <v>0</v>
      </c>
      <c r="X11" s="377">
        <f t="shared" si="10"/>
        <v>0</v>
      </c>
      <c r="Y11" s="378">
        <f t="shared" si="11"/>
        <v>0</v>
      </c>
      <c r="Z11" s="379">
        <f t="shared" si="12"/>
        <v>0</v>
      </c>
      <c r="AA11" s="380">
        <f t="shared" si="13"/>
        <v>0</v>
      </c>
      <c r="AC11" s="231"/>
      <c r="AD11" s="231"/>
      <c r="AE11" s="231"/>
      <c r="AF11" s="231"/>
      <c r="AG11" s="231"/>
      <c r="AH11" s="231"/>
      <c r="AI11" s="213"/>
      <c r="AJ11" s="213"/>
      <c r="AK11" s="213"/>
      <c r="AL11" s="213"/>
      <c r="AM11" s="213"/>
      <c r="AN11" s="204"/>
    </row>
    <row r="12" spans="1:40" ht="12.75" customHeight="1" thickBot="1">
      <c r="A12" s="1261" t="s">
        <v>215</v>
      </c>
      <c r="B12" s="1269" t="s">
        <v>215</v>
      </c>
      <c r="C12" s="629">
        <f t="shared" si="1"/>
        <v>2.2880964381720439E-4</v>
      </c>
      <c r="D12" s="547">
        <v>1</v>
      </c>
      <c r="E12" s="1194">
        <v>1</v>
      </c>
      <c r="F12" s="1194">
        <v>1</v>
      </c>
      <c r="G12" s="1194">
        <v>300</v>
      </c>
      <c r="H12" s="274"/>
      <c r="I12" s="274">
        <v>1.1574074074074073E-4</v>
      </c>
      <c r="J12" s="274">
        <v>6.9444444444444447E-4</v>
      </c>
      <c r="K12" s="312" t="s">
        <v>925</v>
      </c>
      <c r="L12" s="3173">
        <v>0.34027777777777773</v>
      </c>
      <c r="M12" s="2395">
        <v>1</v>
      </c>
      <c r="N12" s="1667">
        <f t="shared" ref="N12" si="20">P12*E12*F12+I12*E12*F12+J12*E12</f>
        <v>3.5559009109916383E-3</v>
      </c>
      <c r="O12" s="1196">
        <f t="shared" ref="O12:O19" si="21">C12*(G12/25)</f>
        <v>2.7457157258064528E-3</v>
      </c>
      <c r="P12" s="1196">
        <f t="shared" ref="P12:P19" si="22">O12*M12</f>
        <v>2.7457157258064528E-3</v>
      </c>
      <c r="Q12" s="548">
        <v>129</v>
      </c>
      <c r="R12" s="2384">
        <f t="shared" ref="R12:R19" si="23">E12*F12*G12</f>
        <v>300</v>
      </c>
      <c r="S12" s="229">
        <f t="shared" si="5"/>
        <v>0.3</v>
      </c>
      <c r="T12" s="230">
        <f t="shared" si="6"/>
        <v>1.0982862903225811E-2</v>
      </c>
      <c r="U12" s="374">
        <f t="shared" si="7"/>
        <v>0.3</v>
      </c>
      <c r="V12" s="375">
        <f t="shared" si="8"/>
        <v>0</v>
      </c>
      <c r="W12" s="376">
        <f t="shared" si="9"/>
        <v>0</v>
      </c>
      <c r="X12" s="377">
        <f t="shared" si="10"/>
        <v>0</v>
      </c>
      <c r="Y12" s="378">
        <f t="shared" si="11"/>
        <v>0</v>
      </c>
      <c r="Z12" s="379">
        <f t="shared" si="12"/>
        <v>0</v>
      </c>
      <c r="AA12" s="380">
        <f t="shared" si="13"/>
        <v>0</v>
      </c>
      <c r="AC12" s="231"/>
      <c r="AD12" s="231"/>
      <c r="AE12" s="231"/>
      <c r="AF12" s="231"/>
      <c r="AG12" s="231"/>
      <c r="AH12" s="231"/>
      <c r="AI12" s="213"/>
      <c r="AJ12" s="213"/>
      <c r="AK12" s="213"/>
      <c r="AL12" s="213"/>
      <c r="AM12" s="213"/>
      <c r="AN12" s="204"/>
    </row>
    <row r="13" spans="1:40" ht="12.75" customHeight="1" thickBot="1">
      <c r="A13" s="1261" t="s">
        <v>138</v>
      </c>
      <c r="B13" s="1269" t="s">
        <v>215</v>
      </c>
      <c r="C13" s="629">
        <f t="shared" si="1"/>
        <v>2.1908757716049393E-4</v>
      </c>
      <c r="D13" s="675">
        <v>2</v>
      </c>
      <c r="E13" s="1173">
        <v>1</v>
      </c>
      <c r="F13" s="1173">
        <v>1</v>
      </c>
      <c r="G13" s="1173">
        <v>200</v>
      </c>
      <c r="H13" s="299"/>
      <c r="I13" s="299">
        <v>1.3888888888888889E-4</v>
      </c>
      <c r="J13" s="299">
        <v>6.9444444444444447E-4</v>
      </c>
      <c r="K13" s="1123" t="s">
        <v>926</v>
      </c>
      <c r="L13" s="1453">
        <f t="shared" ref="L13:L19" si="24">L12+N12</f>
        <v>0.34383367868876935</v>
      </c>
      <c r="M13" s="2397">
        <v>1</v>
      </c>
      <c r="N13" s="1453">
        <f t="shared" ref="N13:N19" si="25">P13*E13*F13+I13*F13*E13+J13*E13</f>
        <v>2.5860339506172847E-3</v>
      </c>
      <c r="O13" s="1453">
        <f t="shared" si="21"/>
        <v>1.7527006172839514E-3</v>
      </c>
      <c r="P13" s="1175">
        <f t="shared" si="22"/>
        <v>1.7527006172839514E-3</v>
      </c>
      <c r="Q13" s="550"/>
      <c r="R13" s="2398">
        <f t="shared" si="23"/>
        <v>200</v>
      </c>
      <c r="S13" s="229">
        <f t="shared" ref="S13:S25" si="26">E13*F13*G13/1000</f>
        <v>0.2</v>
      </c>
      <c r="T13" s="230">
        <f t="shared" ref="T13:T25" si="27">E13*F13*O13*4</f>
        <v>7.0108024691358057E-3</v>
      </c>
      <c r="U13" s="374">
        <f t="shared" ref="U13:U25" si="28">IF(C13*4&gt;=$U$3,S13,0)</f>
        <v>0</v>
      </c>
      <c r="V13" s="375">
        <f t="shared" ref="V13:V25" si="29">IF(AND(C13*4&gt;=$V$3,C13*4&lt;$U$3),S13,0)</f>
        <v>0.2</v>
      </c>
      <c r="W13" s="376">
        <f t="shared" ref="W13:W25" si="30">IF(AND(C13*4&gt;=$W$3,C13*4&lt;$V$3),S13,0)</f>
        <v>0</v>
      </c>
      <c r="X13" s="377">
        <f t="shared" ref="X13:X25" si="31">IF(AND(C13*4&gt;=$X$3,C13*4&lt;$W$3),S13,0)</f>
        <v>0</v>
      </c>
      <c r="Y13" s="378">
        <f t="shared" ref="Y13:Y25" si="32">IF(AND(C13*4&gt;=$Y$3,C13*4&lt;$X$3),S13,0)</f>
        <v>0</v>
      </c>
      <c r="Z13" s="379">
        <f t="shared" ref="Z13:Z25" si="33">IF(AND(C13*4&gt;=$Z$3,C13*4&lt;$Y$3),S13,0)</f>
        <v>0</v>
      </c>
      <c r="AA13" s="380">
        <f t="shared" ref="AA13:AA25" si="34">IF(AND(C13*4&gt;=$AA$3,C13*4&lt;$Z$3),S13,0)</f>
        <v>0</v>
      </c>
      <c r="AC13" s="231"/>
      <c r="AD13" s="231"/>
      <c r="AE13" s="231"/>
      <c r="AF13" s="231"/>
      <c r="AG13" s="231"/>
      <c r="AH13" s="231"/>
      <c r="AI13" s="213"/>
      <c r="AJ13" s="213"/>
      <c r="AK13" s="213"/>
      <c r="AL13" s="213"/>
      <c r="AM13" s="213"/>
      <c r="AN13" s="204"/>
    </row>
    <row r="14" spans="1:40" ht="12.75" customHeight="1" thickBot="1">
      <c r="A14" s="1261" t="s">
        <v>462</v>
      </c>
      <c r="B14" s="1269" t="s">
        <v>215</v>
      </c>
      <c r="C14" s="629">
        <f t="shared" si="1"/>
        <v>0</v>
      </c>
      <c r="D14" s="675">
        <v>2.0416666666666701</v>
      </c>
      <c r="E14" s="1173">
        <v>1</v>
      </c>
      <c r="F14" s="1173">
        <v>1</v>
      </c>
      <c r="G14" s="1173">
        <v>300</v>
      </c>
      <c r="H14" s="299"/>
      <c r="I14" s="299">
        <v>2.3148148148148146E-4</v>
      </c>
      <c r="J14" s="299">
        <v>6.9444444444444447E-4</v>
      </c>
      <c r="K14" s="1123" t="s">
        <v>558</v>
      </c>
      <c r="L14" s="1453">
        <f t="shared" si="24"/>
        <v>0.34641971263938665</v>
      </c>
      <c r="M14" s="2397">
        <v>1</v>
      </c>
      <c r="N14" s="1453">
        <f t="shared" si="25"/>
        <v>9.2592592592592596E-4</v>
      </c>
      <c r="O14" s="1453">
        <f t="shared" si="21"/>
        <v>0</v>
      </c>
      <c r="P14" s="1175">
        <f t="shared" si="22"/>
        <v>0</v>
      </c>
      <c r="Q14" s="550"/>
      <c r="R14" s="2398">
        <f t="shared" si="23"/>
        <v>300</v>
      </c>
      <c r="S14" s="229">
        <f t="shared" si="26"/>
        <v>0.3</v>
      </c>
      <c r="T14" s="230">
        <f t="shared" si="27"/>
        <v>0</v>
      </c>
      <c r="U14" s="374">
        <f t="shared" si="28"/>
        <v>0</v>
      </c>
      <c r="V14" s="375">
        <f t="shared" si="29"/>
        <v>0</v>
      </c>
      <c r="W14" s="376">
        <f t="shared" si="30"/>
        <v>0</v>
      </c>
      <c r="X14" s="377">
        <f t="shared" si="31"/>
        <v>0</v>
      </c>
      <c r="Y14" s="378">
        <f t="shared" si="32"/>
        <v>0</v>
      </c>
      <c r="Z14" s="379">
        <f t="shared" si="33"/>
        <v>0</v>
      </c>
      <c r="AA14" s="380">
        <f t="shared" si="34"/>
        <v>0</v>
      </c>
      <c r="AC14" s="231"/>
      <c r="AD14" s="231"/>
      <c r="AE14" s="231"/>
      <c r="AF14" s="231"/>
      <c r="AG14" s="231"/>
      <c r="AH14" s="231"/>
      <c r="AI14" s="213"/>
      <c r="AJ14" s="213"/>
      <c r="AK14" s="213"/>
      <c r="AL14" s="213"/>
      <c r="AM14" s="213"/>
      <c r="AN14" s="204"/>
    </row>
    <row r="15" spans="1:40" ht="12.75" customHeight="1" thickBot="1">
      <c r="A15" s="1261" t="s">
        <v>461</v>
      </c>
      <c r="B15" s="1269" t="s">
        <v>215</v>
      </c>
      <c r="C15" s="629">
        <f t="shared" si="1"/>
        <v>1.7682291666666674E-4</v>
      </c>
      <c r="D15" s="3216">
        <v>7</v>
      </c>
      <c r="E15" s="1201">
        <v>1</v>
      </c>
      <c r="F15" s="1201">
        <v>10</v>
      </c>
      <c r="G15" s="1201">
        <v>20</v>
      </c>
      <c r="H15" s="1051"/>
      <c r="I15" s="1051">
        <v>2.8935185185185189E-4</v>
      </c>
      <c r="J15" s="1051">
        <v>1.3888888888888889E-3</v>
      </c>
      <c r="K15" s="1201" t="s">
        <v>927</v>
      </c>
      <c r="L15" s="1954">
        <f t="shared" si="24"/>
        <v>0.34734563856531259</v>
      </c>
      <c r="M15" s="3206">
        <v>1</v>
      </c>
      <c r="N15" s="1954">
        <f t="shared" si="25"/>
        <v>5.696990740740742E-3</v>
      </c>
      <c r="O15" s="1954">
        <f t="shared" si="21"/>
        <v>1.4145833333333339E-4</v>
      </c>
      <c r="P15" s="1191">
        <f t="shared" si="22"/>
        <v>1.4145833333333339E-4</v>
      </c>
      <c r="Q15" s="789"/>
      <c r="R15" s="2419">
        <f t="shared" si="23"/>
        <v>200</v>
      </c>
      <c r="S15" s="229">
        <f t="shared" si="26"/>
        <v>0.2</v>
      </c>
      <c r="T15" s="230">
        <f t="shared" si="27"/>
        <v>5.6583333333333355E-3</v>
      </c>
      <c r="U15" s="374">
        <f t="shared" si="28"/>
        <v>0</v>
      </c>
      <c r="V15" s="375">
        <f t="shared" si="29"/>
        <v>0</v>
      </c>
      <c r="W15" s="376">
        <f t="shared" si="30"/>
        <v>0</v>
      </c>
      <c r="X15" s="377">
        <f t="shared" si="31"/>
        <v>0</v>
      </c>
      <c r="Y15" s="378">
        <f t="shared" si="32"/>
        <v>0</v>
      </c>
      <c r="Z15" s="379">
        <f t="shared" si="33"/>
        <v>0</v>
      </c>
      <c r="AA15" s="380">
        <f t="shared" si="34"/>
        <v>0.2</v>
      </c>
      <c r="AC15" s="231"/>
      <c r="AD15" s="231"/>
      <c r="AE15" s="231"/>
      <c r="AF15" s="231"/>
      <c r="AG15" s="231"/>
      <c r="AH15" s="231"/>
      <c r="AI15" s="213"/>
      <c r="AJ15" s="213"/>
      <c r="AK15" s="213"/>
      <c r="AL15" s="213"/>
      <c r="AM15" s="213"/>
      <c r="AN15" s="204"/>
    </row>
    <row r="16" spans="1:40" ht="12.75" customHeight="1" thickBot="1">
      <c r="A16" s="1261" t="s">
        <v>458</v>
      </c>
      <c r="B16" s="1269" t="s">
        <v>215</v>
      </c>
      <c r="C16" s="629">
        <f t="shared" si="1"/>
        <v>2.1908757716049393E-4</v>
      </c>
      <c r="D16" s="1173">
        <v>2</v>
      </c>
      <c r="E16" s="1173">
        <v>1</v>
      </c>
      <c r="F16" s="1173">
        <v>10</v>
      </c>
      <c r="G16" s="1173">
        <v>150</v>
      </c>
      <c r="H16" s="299"/>
      <c r="I16" s="299">
        <v>2.8935185185185189E-4</v>
      </c>
      <c r="J16" s="299">
        <v>2.8935185185185189E-4</v>
      </c>
      <c r="K16" s="1123" t="s">
        <v>1897</v>
      </c>
      <c r="L16" s="1453">
        <f t="shared" si="24"/>
        <v>0.35304262930605335</v>
      </c>
      <c r="M16" s="2397">
        <v>1</v>
      </c>
      <c r="N16" s="1453">
        <f t="shared" si="25"/>
        <v>1.6328125000000006E-2</v>
      </c>
      <c r="O16" s="1453">
        <f t="shared" si="21"/>
        <v>1.3145254629629635E-3</v>
      </c>
      <c r="P16" s="1175">
        <f t="shared" si="22"/>
        <v>1.3145254629629635E-3</v>
      </c>
      <c r="Q16" s="550"/>
      <c r="R16" s="2398">
        <f t="shared" si="23"/>
        <v>1500</v>
      </c>
      <c r="S16" s="229">
        <f t="shared" si="26"/>
        <v>1.5</v>
      </c>
      <c r="T16" s="230">
        <f t="shared" si="27"/>
        <v>5.2581018518518541E-2</v>
      </c>
      <c r="U16" s="374">
        <f t="shared" si="28"/>
        <v>0</v>
      </c>
      <c r="V16" s="375">
        <f t="shared" si="29"/>
        <v>1.5</v>
      </c>
      <c r="W16" s="376">
        <f t="shared" si="30"/>
        <v>0</v>
      </c>
      <c r="X16" s="377">
        <f t="shared" si="31"/>
        <v>0</v>
      </c>
      <c r="Y16" s="378">
        <f t="shared" si="32"/>
        <v>0</v>
      </c>
      <c r="Z16" s="379">
        <f t="shared" si="33"/>
        <v>0</v>
      </c>
      <c r="AA16" s="380">
        <f t="shared" si="34"/>
        <v>0</v>
      </c>
      <c r="AC16" s="231"/>
      <c r="AD16" s="231"/>
      <c r="AE16" s="231"/>
      <c r="AF16" s="231"/>
      <c r="AG16" s="231"/>
      <c r="AH16" s="231"/>
      <c r="AI16" s="213"/>
      <c r="AJ16" s="213"/>
      <c r="AK16" s="213"/>
      <c r="AL16" s="213"/>
      <c r="AM16" s="213"/>
      <c r="AN16" s="204"/>
    </row>
    <row r="17" spans="1:40" ht="12.75" customHeight="1" thickBot="1">
      <c r="A17" s="1261" t="s">
        <v>219</v>
      </c>
      <c r="B17" s="1269" t="s">
        <v>215</v>
      </c>
      <c r="C17" s="629">
        <f t="shared" si="1"/>
        <v>2.1222190799396687E-4</v>
      </c>
      <c r="D17" s="1161">
        <v>3</v>
      </c>
      <c r="E17" s="1161">
        <v>1</v>
      </c>
      <c r="F17" s="1161">
        <v>10</v>
      </c>
      <c r="G17" s="1161">
        <v>25</v>
      </c>
      <c r="H17" s="3204"/>
      <c r="I17" s="3204">
        <v>1.7361111111111112E-4</v>
      </c>
      <c r="J17" s="3204">
        <v>1.3888888888888889E-3</v>
      </c>
      <c r="K17" s="1075" t="s">
        <v>1538</v>
      </c>
      <c r="L17" s="1454">
        <f t="shared" si="24"/>
        <v>0.36937075430605337</v>
      </c>
      <c r="M17" s="2396">
        <v>1</v>
      </c>
      <c r="N17" s="1454">
        <f t="shared" si="25"/>
        <v>5.2472190799396686E-3</v>
      </c>
      <c r="O17" s="1454">
        <f t="shared" si="21"/>
        <v>2.1222190799396687E-4</v>
      </c>
      <c r="P17" s="1165">
        <f t="shared" si="22"/>
        <v>2.1222190799396687E-4</v>
      </c>
      <c r="Q17" s="333"/>
      <c r="R17" s="2385">
        <f t="shared" si="23"/>
        <v>250</v>
      </c>
      <c r="S17" s="229">
        <f t="shared" si="26"/>
        <v>0.25</v>
      </c>
      <c r="T17" s="230">
        <f t="shared" si="27"/>
        <v>8.4888763197586738E-3</v>
      </c>
      <c r="U17" s="374">
        <f t="shared" si="28"/>
        <v>0</v>
      </c>
      <c r="V17" s="375">
        <f t="shared" si="29"/>
        <v>0</v>
      </c>
      <c r="W17" s="376">
        <f t="shared" si="30"/>
        <v>0.25</v>
      </c>
      <c r="X17" s="377">
        <f t="shared" si="31"/>
        <v>0</v>
      </c>
      <c r="Y17" s="378">
        <f t="shared" si="32"/>
        <v>0</v>
      </c>
      <c r="Z17" s="379">
        <f t="shared" si="33"/>
        <v>0</v>
      </c>
      <c r="AA17" s="380">
        <f t="shared" si="34"/>
        <v>0</v>
      </c>
      <c r="AC17" s="231"/>
      <c r="AD17" s="231"/>
      <c r="AE17" s="231"/>
      <c r="AF17" s="231"/>
      <c r="AG17" s="231"/>
      <c r="AH17" s="231"/>
      <c r="AI17" s="213"/>
      <c r="AJ17" s="213"/>
      <c r="AK17" s="213"/>
      <c r="AL17" s="213"/>
      <c r="AM17" s="213"/>
      <c r="AN17" s="204"/>
    </row>
    <row r="18" spans="1:40" ht="12.75" customHeight="1" thickBot="1">
      <c r="A18" s="1261"/>
      <c r="B18" s="1269" t="s">
        <v>215</v>
      </c>
      <c r="C18" s="629">
        <f t="shared" si="1"/>
        <v>1.7682291666666674E-4</v>
      </c>
      <c r="D18" s="3205">
        <v>7</v>
      </c>
      <c r="E18" s="1187">
        <v>1</v>
      </c>
      <c r="F18" s="1187">
        <v>3</v>
      </c>
      <c r="G18" s="1187">
        <v>15</v>
      </c>
      <c r="H18" s="4320" t="s">
        <v>713</v>
      </c>
      <c r="I18" s="1051">
        <v>3.4722222222222224E-4</v>
      </c>
      <c r="J18" s="1188">
        <v>1.3888888888888889E-3</v>
      </c>
      <c r="K18" s="1187" t="s">
        <v>526</v>
      </c>
      <c r="L18" s="1954">
        <f t="shared" si="24"/>
        <v>0.37461797338599306</v>
      </c>
      <c r="M18" s="3206">
        <v>1</v>
      </c>
      <c r="N18" s="1954">
        <f t="shared" si="25"/>
        <v>2.7488368055555556E-3</v>
      </c>
      <c r="O18" s="1954">
        <f t="shared" si="21"/>
        <v>1.0609375000000004E-4</v>
      </c>
      <c r="P18" s="1191">
        <f t="shared" si="22"/>
        <v>1.0609375000000004E-4</v>
      </c>
      <c r="Q18" s="789"/>
      <c r="R18" s="2419">
        <f t="shared" si="23"/>
        <v>45</v>
      </c>
      <c r="S18" s="229">
        <f t="shared" si="26"/>
        <v>4.4999999999999998E-2</v>
      </c>
      <c r="T18" s="230">
        <f t="shared" si="27"/>
        <v>1.2731250000000004E-3</v>
      </c>
      <c r="U18" s="374">
        <f t="shared" si="28"/>
        <v>0</v>
      </c>
      <c r="V18" s="375">
        <f t="shared" si="29"/>
        <v>0</v>
      </c>
      <c r="W18" s="376">
        <f t="shared" si="30"/>
        <v>0</v>
      </c>
      <c r="X18" s="377">
        <f t="shared" si="31"/>
        <v>0</v>
      </c>
      <c r="Y18" s="378">
        <f t="shared" si="32"/>
        <v>0</v>
      </c>
      <c r="Z18" s="379">
        <f t="shared" si="33"/>
        <v>0</v>
      </c>
      <c r="AA18" s="380">
        <f t="shared" si="34"/>
        <v>4.4999999999999998E-2</v>
      </c>
      <c r="AC18" s="231"/>
      <c r="AD18" s="231"/>
      <c r="AE18" s="231"/>
      <c r="AF18" s="231"/>
      <c r="AG18" s="231"/>
      <c r="AH18" s="231"/>
      <c r="AI18" s="213"/>
      <c r="AJ18" s="213"/>
      <c r="AK18" s="213"/>
      <c r="AL18" s="213"/>
      <c r="AM18" s="213"/>
      <c r="AN18" s="204"/>
    </row>
    <row r="19" spans="1:40" ht="12.75" customHeight="1" thickBot="1">
      <c r="A19" s="1261" t="s">
        <v>215</v>
      </c>
      <c r="B19" s="1269" t="s">
        <v>215</v>
      </c>
      <c r="C19" s="629">
        <f t="shared" si="1"/>
        <v>1.7682291666666674E-4</v>
      </c>
      <c r="D19" s="3205">
        <v>7</v>
      </c>
      <c r="E19" s="1187">
        <v>1</v>
      </c>
      <c r="F19" s="1187">
        <v>6</v>
      </c>
      <c r="G19" s="1187">
        <v>15</v>
      </c>
      <c r="H19" s="4321"/>
      <c r="I19" s="1051">
        <v>3.4722222222222224E-4</v>
      </c>
      <c r="J19" s="1188">
        <v>1.3888888888888889E-3</v>
      </c>
      <c r="K19" s="1187" t="s">
        <v>527</v>
      </c>
      <c r="L19" s="1954">
        <f t="shared" si="24"/>
        <v>0.37736681019154861</v>
      </c>
      <c r="M19" s="3206">
        <v>1</v>
      </c>
      <c r="N19" s="1954">
        <f t="shared" si="25"/>
        <v>4.1087847222222229E-3</v>
      </c>
      <c r="O19" s="1954">
        <f t="shared" si="21"/>
        <v>1.0609375000000004E-4</v>
      </c>
      <c r="P19" s="1191">
        <f t="shared" si="22"/>
        <v>1.0609375000000004E-4</v>
      </c>
      <c r="Q19" s="789"/>
      <c r="R19" s="2419">
        <f t="shared" si="23"/>
        <v>90</v>
      </c>
      <c r="S19" s="229">
        <f t="shared" si="26"/>
        <v>0.09</v>
      </c>
      <c r="T19" s="230">
        <f t="shared" si="27"/>
        <v>2.5462500000000008E-3</v>
      </c>
      <c r="U19" s="374">
        <f t="shared" si="28"/>
        <v>0</v>
      </c>
      <c r="V19" s="375">
        <f t="shared" si="29"/>
        <v>0</v>
      </c>
      <c r="W19" s="376">
        <f t="shared" si="30"/>
        <v>0</v>
      </c>
      <c r="X19" s="377">
        <f t="shared" si="31"/>
        <v>0</v>
      </c>
      <c r="Y19" s="378">
        <f t="shared" si="32"/>
        <v>0</v>
      </c>
      <c r="Z19" s="379">
        <f t="shared" si="33"/>
        <v>0</v>
      </c>
      <c r="AA19" s="380">
        <f t="shared" si="34"/>
        <v>0.09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  <c r="AN19" s="204"/>
    </row>
    <row r="20" spans="1:40" ht="12.75" customHeight="1" thickBot="1">
      <c r="A20" s="1261" t="s">
        <v>138</v>
      </c>
      <c r="B20" s="1269"/>
      <c r="C20" s="629">
        <f t="shared" si="1"/>
        <v>0</v>
      </c>
      <c r="D20" s="4324"/>
      <c r="E20" s="4325"/>
      <c r="F20" s="4325"/>
      <c r="G20" s="4325"/>
      <c r="H20" s="4324"/>
      <c r="I20" s="4324"/>
      <c r="J20" s="4324"/>
      <c r="K20" s="4326"/>
      <c r="L20" s="4327">
        <f t="shared" ref="L20" si="35">L19+N19</f>
        <v>0.38147559491377081</v>
      </c>
      <c r="M20" s="4328"/>
      <c r="N20" s="4329">
        <f>SUM(N12:N19)</f>
        <v>4.1197817135993048E-2</v>
      </c>
      <c r="O20" s="4330"/>
      <c r="P20" s="4329"/>
      <c r="Q20" s="4331"/>
      <c r="R20" s="4332">
        <f>SUM(R12:R19)</f>
        <v>2885</v>
      </c>
      <c r="S20" s="229">
        <f t="shared" si="26"/>
        <v>0</v>
      </c>
      <c r="T20" s="230">
        <f t="shared" si="27"/>
        <v>0</v>
      </c>
      <c r="U20" s="374">
        <f t="shared" si="28"/>
        <v>0</v>
      </c>
      <c r="V20" s="375">
        <f t="shared" si="29"/>
        <v>0</v>
      </c>
      <c r="W20" s="376">
        <f t="shared" si="30"/>
        <v>0</v>
      </c>
      <c r="X20" s="377">
        <f t="shared" si="31"/>
        <v>0</v>
      </c>
      <c r="Y20" s="378">
        <f t="shared" si="32"/>
        <v>0</v>
      </c>
      <c r="Z20" s="379">
        <f t="shared" si="33"/>
        <v>0</v>
      </c>
      <c r="AA20" s="380">
        <f t="shared" si="34"/>
        <v>0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  <c r="AN20" s="204"/>
    </row>
    <row r="21" spans="1:40" ht="12.75" customHeight="1" thickBot="1">
      <c r="A21" s="1261" t="s">
        <v>462</v>
      </c>
      <c r="B21" s="1269" t="s">
        <v>461</v>
      </c>
      <c r="C21" s="629">
        <f t="shared" si="1"/>
        <v>2.1908757716049393E-4</v>
      </c>
      <c r="D21" s="920">
        <v>2</v>
      </c>
      <c r="E21" s="1173">
        <v>1</v>
      </c>
      <c r="F21" s="1173">
        <v>4</v>
      </c>
      <c r="G21" s="1173">
        <v>100</v>
      </c>
      <c r="H21" s="1173"/>
      <c r="I21" s="299">
        <v>1.7361111111111112E-4</v>
      </c>
      <c r="J21" s="299">
        <v>1.3888888888888889E-3</v>
      </c>
      <c r="K21" s="1123" t="s">
        <v>970</v>
      </c>
      <c r="L21" s="1143">
        <v>0.63194444444444442</v>
      </c>
      <c r="M21" s="2397">
        <v>1.1000000000000001</v>
      </c>
      <c r="N21" s="1453">
        <f t="shared" ref="N21:N26" si="36">P21*E21*F21+I21*E21*F21+J21*E21</f>
        <v>5.9392746913580268E-3</v>
      </c>
      <c r="O21" s="1175">
        <f t="shared" ref="O21:O26" si="37">C21*(G21/25)</f>
        <v>8.7635030864197572E-4</v>
      </c>
      <c r="P21" s="1175">
        <f>O21*M21</f>
        <v>9.6398533950617339E-4</v>
      </c>
      <c r="Q21" s="550">
        <v>129</v>
      </c>
      <c r="R21" s="2398">
        <f>E21*F21*G21</f>
        <v>400</v>
      </c>
      <c r="S21" s="229">
        <f t="shared" si="26"/>
        <v>0.4</v>
      </c>
      <c r="T21" s="230">
        <f t="shared" si="27"/>
        <v>1.4021604938271611E-2</v>
      </c>
      <c r="U21" s="374">
        <f t="shared" si="28"/>
        <v>0</v>
      </c>
      <c r="V21" s="375">
        <f t="shared" si="29"/>
        <v>0.4</v>
      </c>
      <c r="W21" s="376">
        <f t="shared" si="30"/>
        <v>0</v>
      </c>
      <c r="X21" s="377">
        <f t="shared" si="31"/>
        <v>0</v>
      </c>
      <c r="Y21" s="378">
        <f t="shared" si="32"/>
        <v>0</v>
      </c>
      <c r="Z21" s="379">
        <f t="shared" si="33"/>
        <v>0</v>
      </c>
      <c r="AA21" s="380">
        <f t="shared" si="34"/>
        <v>0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  <c r="AN21" s="204"/>
    </row>
    <row r="22" spans="1:40" ht="12.75" customHeight="1" thickBot="1">
      <c r="A22" s="1261" t="s">
        <v>461</v>
      </c>
      <c r="B22" s="1269" t="s">
        <v>461</v>
      </c>
      <c r="C22" s="629">
        <f t="shared" si="1"/>
        <v>2.1222190799396687E-4</v>
      </c>
      <c r="D22" s="3211">
        <v>3</v>
      </c>
      <c r="E22" s="1161">
        <v>3</v>
      </c>
      <c r="F22" s="1161">
        <v>2</v>
      </c>
      <c r="G22" s="1161">
        <v>50</v>
      </c>
      <c r="H22" s="1161"/>
      <c r="I22" s="1163">
        <v>8.1018518518518516E-5</v>
      </c>
      <c r="J22" s="1163">
        <v>1.3888888888888889E-3</v>
      </c>
      <c r="K22" s="1074" t="s">
        <v>969</v>
      </c>
      <c r="L22" s="1147">
        <f t="shared" ref="L22:L23" si="38">L21+N21</f>
        <v>0.63788371913580244</v>
      </c>
      <c r="M22" s="3212">
        <v>1.1000000000000001</v>
      </c>
      <c r="N22" s="2710">
        <f t="shared" si="36"/>
        <v>7.4541069632981412E-3</v>
      </c>
      <c r="O22" s="1600">
        <f t="shared" si="37"/>
        <v>4.2444381598793373E-4</v>
      </c>
      <c r="P22" s="1600">
        <f>O22*M22</f>
        <v>4.6688819758672714E-4</v>
      </c>
      <c r="Q22" s="843">
        <v>165</v>
      </c>
      <c r="R22" s="3213">
        <f>E22*F22*G22</f>
        <v>300</v>
      </c>
      <c r="S22" s="229">
        <f t="shared" si="26"/>
        <v>0.3</v>
      </c>
      <c r="T22" s="230">
        <f t="shared" si="27"/>
        <v>1.018665158371041E-2</v>
      </c>
      <c r="U22" s="374">
        <f t="shared" si="28"/>
        <v>0</v>
      </c>
      <c r="V22" s="375">
        <f t="shared" si="29"/>
        <v>0</v>
      </c>
      <c r="W22" s="376">
        <f t="shared" si="30"/>
        <v>0.3</v>
      </c>
      <c r="X22" s="377">
        <f t="shared" si="31"/>
        <v>0</v>
      </c>
      <c r="Y22" s="378">
        <f t="shared" si="32"/>
        <v>0</v>
      </c>
      <c r="Z22" s="379">
        <f t="shared" si="33"/>
        <v>0</v>
      </c>
      <c r="AA22" s="380">
        <f t="shared" si="34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  <c r="AN22" s="204"/>
    </row>
    <row r="23" spans="1:40" ht="12.75" customHeight="1" thickBot="1">
      <c r="A23" s="1281" t="s">
        <v>458</v>
      </c>
      <c r="B23" s="1269" t="s">
        <v>461</v>
      </c>
      <c r="C23" s="629">
        <f t="shared" si="1"/>
        <v>2.2880964381720439E-4</v>
      </c>
      <c r="D23" s="890">
        <v>1</v>
      </c>
      <c r="E23" s="1194">
        <v>1</v>
      </c>
      <c r="F23" s="1194">
        <v>1</v>
      </c>
      <c r="G23" s="1194">
        <v>500</v>
      </c>
      <c r="H23" s="1194"/>
      <c r="I23" s="274">
        <v>1.1574074074074073E-4</v>
      </c>
      <c r="J23" s="274">
        <v>0</v>
      </c>
      <c r="K23" s="312" t="s">
        <v>971</v>
      </c>
      <c r="L23" s="1143">
        <f t="shared" si="38"/>
        <v>0.64533782609910062</v>
      </c>
      <c r="M23" s="2397">
        <v>1.25</v>
      </c>
      <c r="N23" s="1453">
        <f t="shared" si="36"/>
        <v>5.8359818361708509E-3</v>
      </c>
      <c r="O23" s="1175">
        <f t="shared" si="37"/>
        <v>4.5761928763440882E-3</v>
      </c>
      <c r="P23" s="1175">
        <f>O23*M23</f>
        <v>5.72024109543011E-3</v>
      </c>
      <c r="Q23" s="550">
        <v>147</v>
      </c>
      <c r="R23" s="2398">
        <f>E23*F23*G23</f>
        <v>500</v>
      </c>
      <c r="S23" s="229">
        <f t="shared" si="26"/>
        <v>0.5</v>
      </c>
      <c r="T23" s="230">
        <f t="shared" si="27"/>
        <v>1.8304771505376353E-2</v>
      </c>
      <c r="U23" s="374">
        <f t="shared" si="28"/>
        <v>0.5</v>
      </c>
      <c r="V23" s="375">
        <f t="shared" si="29"/>
        <v>0</v>
      </c>
      <c r="W23" s="376">
        <f t="shared" si="30"/>
        <v>0</v>
      </c>
      <c r="X23" s="377">
        <f t="shared" si="31"/>
        <v>0</v>
      </c>
      <c r="Y23" s="378">
        <f t="shared" si="32"/>
        <v>0</v>
      </c>
      <c r="Z23" s="379">
        <f t="shared" si="33"/>
        <v>0</v>
      </c>
      <c r="AA23" s="380">
        <f t="shared" si="34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  <c r="AN23" s="204"/>
    </row>
    <row r="24" spans="1:40" ht="12.75" customHeight="1" thickBot="1">
      <c r="A24" s="1261" t="s">
        <v>219</v>
      </c>
      <c r="B24" s="1269" t="s">
        <v>461</v>
      </c>
      <c r="C24" s="629">
        <f t="shared" si="1"/>
        <v>1.8933937422552669E-4</v>
      </c>
      <c r="D24" s="1203">
        <v>5</v>
      </c>
      <c r="E24" s="1248">
        <v>3</v>
      </c>
      <c r="F24" s="3190">
        <v>1</v>
      </c>
      <c r="G24" s="1249">
        <v>100</v>
      </c>
      <c r="H24" s="3191" t="s">
        <v>1456</v>
      </c>
      <c r="I24" s="1250">
        <v>3.4722222222222224E-4</v>
      </c>
      <c r="J24" s="1250">
        <v>1.3888888888888889E-3</v>
      </c>
      <c r="K24" s="1035" t="s">
        <v>1540</v>
      </c>
      <c r="L24" s="1456">
        <f>L23+N23</f>
        <v>0.65117380793527146</v>
      </c>
      <c r="M24" s="2399">
        <v>1.05</v>
      </c>
      <c r="N24" s="1456">
        <f t="shared" si="36"/>
        <v>7.5940094485749694E-3</v>
      </c>
      <c r="O24" s="1253">
        <f t="shared" si="37"/>
        <v>7.5735749690210676E-4</v>
      </c>
      <c r="P24" s="1254">
        <f t="shared" ref="P24" si="39">O24*M24</f>
        <v>7.9522537174721211E-4</v>
      </c>
      <c r="Q24" s="1255" t="s">
        <v>267</v>
      </c>
      <c r="R24" s="1255">
        <f t="shared" ref="R24" si="40">E24*F24*G24</f>
        <v>300</v>
      </c>
      <c r="S24" s="229">
        <f t="shared" si="26"/>
        <v>0.3</v>
      </c>
      <c r="T24" s="230">
        <f t="shared" si="27"/>
        <v>9.0882899628252807E-3</v>
      </c>
      <c r="U24" s="374">
        <f t="shared" si="28"/>
        <v>0</v>
      </c>
      <c r="V24" s="375">
        <f t="shared" si="29"/>
        <v>0</v>
      </c>
      <c r="W24" s="376">
        <f t="shared" si="30"/>
        <v>0</v>
      </c>
      <c r="X24" s="377">
        <f t="shared" si="31"/>
        <v>0</v>
      </c>
      <c r="Y24" s="378">
        <f t="shared" si="32"/>
        <v>0.3</v>
      </c>
      <c r="Z24" s="379">
        <f t="shared" si="33"/>
        <v>0</v>
      </c>
      <c r="AA24" s="380">
        <f t="shared" si="34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  <c r="AN24" s="204"/>
    </row>
    <row r="25" spans="1:40" ht="12.75" customHeight="1" thickBot="1">
      <c r="A25" s="1261"/>
      <c r="B25" s="1269" t="s">
        <v>461</v>
      </c>
      <c r="C25" s="629">
        <f t="shared" si="1"/>
        <v>1.7682291666666674E-4</v>
      </c>
      <c r="D25" s="3214">
        <v>7</v>
      </c>
      <c r="E25" s="1201">
        <v>3</v>
      </c>
      <c r="F25" s="1201">
        <v>5</v>
      </c>
      <c r="G25" s="1201">
        <v>10</v>
      </c>
      <c r="H25" s="1201"/>
      <c r="I25" s="1051">
        <v>2.3148148148148146E-4</v>
      </c>
      <c r="J25" s="1051">
        <v>1.3888888888888889E-3</v>
      </c>
      <c r="K25" s="442" t="s">
        <v>314</v>
      </c>
      <c r="L25" s="1954">
        <f>L24+N24</f>
        <v>0.65876781738384649</v>
      </c>
      <c r="M25" s="3206">
        <v>1.05</v>
      </c>
      <c r="N25" s="1954">
        <f t="shared" si="36"/>
        <v>8.7528732638888877E-3</v>
      </c>
      <c r="O25" s="1954">
        <f t="shared" ref="O25" si="41">C25*(G25/25)</f>
        <v>7.0729166666666694E-5</v>
      </c>
      <c r="P25" s="1191">
        <f t="shared" ref="P25" si="42">O25*M25</f>
        <v>7.4265625000000031E-5</v>
      </c>
      <c r="Q25" s="789" t="s">
        <v>267</v>
      </c>
      <c r="R25" s="2419">
        <f t="shared" ref="R25" si="43">E25*F25*G25</f>
        <v>150</v>
      </c>
      <c r="S25" s="229">
        <f t="shared" si="26"/>
        <v>0.15</v>
      </c>
      <c r="T25" s="230">
        <f t="shared" si="27"/>
        <v>4.2437500000000019E-3</v>
      </c>
      <c r="U25" s="374">
        <f t="shared" si="28"/>
        <v>0</v>
      </c>
      <c r="V25" s="375">
        <f t="shared" si="29"/>
        <v>0</v>
      </c>
      <c r="W25" s="376">
        <f t="shared" si="30"/>
        <v>0</v>
      </c>
      <c r="X25" s="377">
        <f t="shared" si="31"/>
        <v>0</v>
      </c>
      <c r="Y25" s="378">
        <f t="shared" si="32"/>
        <v>0</v>
      </c>
      <c r="Z25" s="379">
        <f t="shared" si="33"/>
        <v>0</v>
      </c>
      <c r="AA25" s="380">
        <f t="shared" si="34"/>
        <v>0.15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  <c r="AN25" s="204"/>
    </row>
    <row r="26" spans="1:40" ht="12.75" customHeight="1" thickBot="1">
      <c r="A26" s="1261"/>
      <c r="B26" s="1269" t="s">
        <v>461</v>
      </c>
      <c r="C26" s="629">
        <f t="shared" si="1"/>
        <v>2.2880964381720439E-4</v>
      </c>
      <c r="D26" s="547">
        <v>1</v>
      </c>
      <c r="E26" s="1194">
        <v>1</v>
      </c>
      <c r="F26" s="1194">
        <v>1</v>
      </c>
      <c r="G26" s="1194">
        <v>300</v>
      </c>
      <c r="H26" s="274"/>
      <c r="I26" s="274">
        <v>1.1574074074074073E-4</v>
      </c>
      <c r="J26" s="274">
        <v>6.9444444444444447E-4</v>
      </c>
      <c r="K26" s="312" t="s">
        <v>925</v>
      </c>
      <c r="L26" s="3173">
        <f t="shared" ref="L26" si="44">L25+N25</f>
        <v>0.66752069064773534</v>
      </c>
      <c r="M26" s="2395">
        <v>1</v>
      </c>
      <c r="N26" s="1667">
        <f t="shared" si="36"/>
        <v>3.5559009109916383E-3</v>
      </c>
      <c r="O26" s="1196">
        <f t="shared" si="37"/>
        <v>2.7457157258064528E-3</v>
      </c>
      <c r="P26" s="1196">
        <f t="shared" ref="P26" si="45">O26*M26</f>
        <v>2.7457157258064528E-3</v>
      </c>
      <c r="Q26" s="548">
        <v>129</v>
      </c>
      <c r="R26" s="2384">
        <f t="shared" ref="R26" si="46">E26*F26*G26</f>
        <v>300</v>
      </c>
      <c r="S26" s="229">
        <f t="shared" si="5"/>
        <v>0.3</v>
      </c>
      <c r="T26" s="230">
        <f t="shared" si="6"/>
        <v>1.0982862903225811E-2</v>
      </c>
      <c r="U26" s="374">
        <f t="shared" ref="U26:U55" si="47">IF(C26*4&gt;=$U$3,S26,0)</f>
        <v>0.3</v>
      </c>
      <c r="V26" s="375">
        <f t="shared" ref="V26:V55" si="48">IF(AND(C26*4&gt;=$V$3,C26*4&lt;$U$3),S26,0)</f>
        <v>0</v>
      </c>
      <c r="W26" s="376">
        <f t="shared" ref="W26:W55" si="49">IF(AND(C26*4&gt;=$W$3,C26*4&lt;$V$3),S26,0)</f>
        <v>0</v>
      </c>
      <c r="X26" s="377">
        <f t="shared" ref="X26:X55" si="50">IF(AND(C26*4&gt;=$X$3,C26*4&lt;$W$3),S26,0)</f>
        <v>0</v>
      </c>
      <c r="Y26" s="378">
        <f t="shared" ref="Y26:Y55" si="51">IF(AND(C26*4&gt;=$Y$3,C26*4&lt;$X$3),S26,0)</f>
        <v>0</v>
      </c>
      <c r="Z26" s="379">
        <f t="shared" ref="Z26:Z55" si="52">IF(AND(C26*4&gt;=$Z$3,C26*4&lt;$Y$3),S26,0)</f>
        <v>0</v>
      </c>
      <c r="AA26" s="380">
        <f t="shared" ref="AA26:AA55" si="53">IF(AND(C26*4&gt;=$AA$3,C26*4&lt;$Z$3),S26,0)</f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  <c r="AN26" s="204"/>
    </row>
    <row r="27" spans="1:40" ht="13" customHeight="1" thickBot="1">
      <c r="A27" s="3217"/>
      <c r="B27" s="3218"/>
      <c r="C27" s="629">
        <f t="shared" si="1"/>
        <v>0</v>
      </c>
      <c r="D27" s="3208"/>
      <c r="E27" s="3209"/>
      <c r="F27" s="3209"/>
      <c r="G27" s="3209"/>
      <c r="H27" s="3208"/>
      <c r="I27" s="3208"/>
      <c r="J27" s="3208"/>
      <c r="K27" s="3210"/>
      <c r="L27" s="3169"/>
      <c r="M27" s="3201"/>
      <c r="N27" s="2711"/>
      <c r="O27" s="2714"/>
      <c r="P27" s="2711"/>
      <c r="Q27" s="3202"/>
      <c r="R27" s="3203">
        <f>SUM(R22:R26)</f>
        <v>1550</v>
      </c>
      <c r="S27" s="229">
        <f t="shared" si="5"/>
        <v>0</v>
      </c>
      <c r="T27" s="230">
        <f t="shared" si="6"/>
        <v>0</v>
      </c>
      <c r="U27" s="374">
        <f t="shared" si="47"/>
        <v>0</v>
      </c>
      <c r="V27" s="375">
        <f t="shared" si="48"/>
        <v>0</v>
      </c>
      <c r="W27" s="376">
        <f t="shared" si="49"/>
        <v>0</v>
      </c>
      <c r="X27" s="377">
        <f t="shared" si="50"/>
        <v>0</v>
      </c>
      <c r="Y27" s="378">
        <f t="shared" si="51"/>
        <v>0</v>
      </c>
      <c r="Z27" s="379">
        <f t="shared" si="52"/>
        <v>0</v>
      </c>
      <c r="AA27" s="380">
        <f t="shared" si="53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  <c r="AN27" s="204"/>
    </row>
    <row r="28" spans="1:40" ht="14" thickBot="1">
      <c r="A28" s="3219"/>
      <c r="B28" s="3220" t="s">
        <v>215</v>
      </c>
      <c r="C28" s="629">
        <f t="shared" si="1"/>
        <v>0</v>
      </c>
      <c r="D28" s="3221"/>
      <c r="E28" s="3222"/>
      <c r="F28" s="3222"/>
      <c r="G28" s="3222"/>
      <c r="H28" s="3223"/>
      <c r="I28" s="3221"/>
      <c r="J28" s="3221"/>
      <c r="K28" s="1919" t="s">
        <v>151</v>
      </c>
      <c r="L28" s="3224"/>
      <c r="M28" s="3225"/>
      <c r="N28" s="3226"/>
      <c r="O28" s="3227"/>
      <c r="P28" s="3228"/>
      <c r="Q28" s="3229"/>
      <c r="R28" s="3230"/>
      <c r="S28" s="229">
        <f t="shared" si="5"/>
        <v>0</v>
      </c>
      <c r="T28" s="230">
        <f t="shared" si="6"/>
        <v>0</v>
      </c>
      <c r="U28" s="374">
        <f t="shared" si="47"/>
        <v>0</v>
      </c>
      <c r="V28" s="375">
        <f t="shared" si="48"/>
        <v>0</v>
      </c>
      <c r="W28" s="376">
        <f t="shared" si="49"/>
        <v>0</v>
      </c>
      <c r="X28" s="377">
        <f t="shared" si="50"/>
        <v>0</v>
      </c>
      <c r="Y28" s="378">
        <f t="shared" si="51"/>
        <v>0</v>
      </c>
      <c r="Z28" s="379">
        <f t="shared" si="52"/>
        <v>0</v>
      </c>
      <c r="AA28" s="380">
        <f t="shared" si="53"/>
        <v>0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  <c r="AN28" s="204"/>
    </row>
    <row r="29" spans="1:40" ht="17" customHeight="1" thickBot="1">
      <c r="A29" s="3187" t="s">
        <v>215</v>
      </c>
      <c r="B29" s="3187" t="s">
        <v>461</v>
      </c>
      <c r="C29" s="629">
        <f t="shared" si="1"/>
        <v>2.2880964381720439E-4</v>
      </c>
      <c r="D29" s="547">
        <v>1</v>
      </c>
      <c r="E29" s="1194">
        <v>1</v>
      </c>
      <c r="F29" s="1194">
        <v>1</v>
      </c>
      <c r="G29" s="1194">
        <v>700</v>
      </c>
      <c r="H29" s="4322" t="s">
        <v>139</v>
      </c>
      <c r="I29" s="274">
        <v>0</v>
      </c>
      <c r="J29" s="274">
        <v>1.1574074074074073E-4</v>
      </c>
      <c r="K29" s="312" t="s">
        <v>171</v>
      </c>
      <c r="L29" s="3173">
        <v>0.34027777777777773</v>
      </c>
      <c r="M29" s="2395">
        <v>1.2</v>
      </c>
      <c r="N29" s="1667">
        <f>P29*E29*F29+I29*E29*F29+J29*E29</f>
        <v>7.8037447729988087E-3</v>
      </c>
      <c r="O29" s="1196">
        <f>C29*(G29/25)</f>
        <v>6.4066700268817231E-3</v>
      </c>
      <c r="P29" s="1196">
        <f t="shared" ref="P29:P35" si="54">O29*M29</f>
        <v>7.6880040322580678E-3</v>
      </c>
      <c r="Q29" s="548">
        <v>129</v>
      </c>
      <c r="R29" s="2384">
        <f t="shared" ref="R29:R35" si="55">E29*F29*G29</f>
        <v>700</v>
      </c>
      <c r="S29" s="229">
        <f t="shared" si="5"/>
        <v>0.7</v>
      </c>
      <c r="T29" s="230">
        <f t="shared" si="6"/>
        <v>2.5626680107526893E-2</v>
      </c>
      <c r="U29" s="374">
        <f t="shared" si="47"/>
        <v>0.7</v>
      </c>
      <c r="V29" s="375">
        <f t="shared" si="48"/>
        <v>0</v>
      </c>
      <c r="W29" s="376">
        <f t="shared" si="49"/>
        <v>0</v>
      </c>
      <c r="X29" s="377">
        <f t="shared" si="50"/>
        <v>0</v>
      </c>
      <c r="Y29" s="378">
        <f t="shared" si="51"/>
        <v>0</v>
      </c>
      <c r="Z29" s="379">
        <f t="shared" si="52"/>
        <v>0</v>
      </c>
      <c r="AA29" s="380">
        <f t="shared" si="53"/>
        <v>0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  <c r="AN29" s="204"/>
    </row>
    <row r="30" spans="1:40" ht="15" customHeight="1" thickBot="1">
      <c r="A30" s="3187" t="s">
        <v>139</v>
      </c>
      <c r="B30" s="3187" t="s">
        <v>461</v>
      </c>
      <c r="C30" s="629">
        <f t="shared" si="1"/>
        <v>2.1222190799396687E-4</v>
      </c>
      <c r="D30" s="1236">
        <v>3</v>
      </c>
      <c r="E30" s="1161">
        <v>1</v>
      </c>
      <c r="F30" s="1161">
        <v>20</v>
      </c>
      <c r="G30" s="1161">
        <v>25</v>
      </c>
      <c r="H30" s="4323"/>
      <c r="I30" s="1163">
        <v>5.7870370370370366E-5</v>
      </c>
      <c r="J30" s="1163">
        <v>1.3888888888888889E-3</v>
      </c>
      <c r="K30" s="1074" t="s">
        <v>1064</v>
      </c>
      <c r="L30" s="1147">
        <f>L29+N29</f>
        <v>0.34808152255077657</v>
      </c>
      <c r="M30" s="2396">
        <v>1</v>
      </c>
      <c r="N30" s="1454">
        <f>P30*E30*F30+I30*E30*F30+J30*E30</f>
        <v>6.7907344561756334E-3</v>
      </c>
      <c r="O30" s="1165">
        <f>C30*(G30/25)</f>
        <v>2.1222190799396687E-4</v>
      </c>
      <c r="P30" s="1165">
        <f t="shared" si="54"/>
        <v>2.1222190799396687E-4</v>
      </c>
      <c r="Q30" s="333">
        <v>160</v>
      </c>
      <c r="R30" s="2385">
        <f t="shared" si="55"/>
        <v>500</v>
      </c>
      <c r="S30" s="229">
        <f t="shared" si="5"/>
        <v>0.5</v>
      </c>
      <c r="T30" s="230">
        <f t="shared" si="6"/>
        <v>1.6977752639517348E-2</v>
      </c>
      <c r="U30" s="374">
        <f t="shared" si="47"/>
        <v>0</v>
      </c>
      <c r="V30" s="375">
        <f t="shared" si="48"/>
        <v>0</v>
      </c>
      <c r="W30" s="376">
        <f t="shared" si="49"/>
        <v>0.5</v>
      </c>
      <c r="X30" s="377">
        <f t="shared" si="50"/>
        <v>0</v>
      </c>
      <c r="Y30" s="378">
        <f t="shared" si="51"/>
        <v>0</v>
      </c>
      <c r="Z30" s="379">
        <f t="shared" si="52"/>
        <v>0</v>
      </c>
      <c r="AA30" s="380">
        <f t="shared" si="53"/>
        <v>0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  <c r="AN30" s="204"/>
    </row>
    <row r="31" spans="1:40" ht="17" customHeight="1" thickBot="1">
      <c r="A31" s="3187" t="s">
        <v>458</v>
      </c>
      <c r="B31" s="3187" t="s">
        <v>461</v>
      </c>
      <c r="C31" s="629">
        <f t="shared" si="1"/>
        <v>1.8933937422552669E-4</v>
      </c>
      <c r="D31" s="1248">
        <v>5</v>
      </c>
      <c r="E31" s="3190">
        <v>2</v>
      </c>
      <c r="F31" s="1249">
        <v>1</v>
      </c>
      <c r="G31" s="3190">
        <f>100+2*50</f>
        <v>200</v>
      </c>
      <c r="H31" s="4323"/>
      <c r="I31" s="1250">
        <v>5.7870370370370366E-5</v>
      </c>
      <c r="J31" s="1250">
        <v>2.0833333333333333E-3</v>
      </c>
      <c r="K31" s="4333" t="s">
        <v>1541</v>
      </c>
      <c r="L31" s="3174">
        <f t="shared" ref="L31:L36" si="56">L30+N30</f>
        <v>0.35487225700695219</v>
      </c>
      <c r="M31" s="2399">
        <v>1</v>
      </c>
      <c r="N31" s="1456">
        <f>P31*E31*F31+I31*E31*F31+J31*E31</f>
        <v>7.493603194272341E-3</v>
      </c>
      <c r="O31" s="1253">
        <f>C31*(G31/25)*1.06</f>
        <v>1.6055978934324665E-3</v>
      </c>
      <c r="P31" s="1254">
        <f t="shared" si="54"/>
        <v>1.6055978934324665E-3</v>
      </c>
      <c r="Q31" s="1255">
        <v>173</v>
      </c>
      <c r="R31" s="1255">
        <f t="shared" si="55"/>
        <v>400</v>
      </c>
      <c r="S31" s="229">
        <f t="shared" si="5"/>
        <v>0.4</v>
      </c>
      <c r="T31" s="230">
        <f t="shared" si="6"/>
        <v>1.2844783147459732E-2</v>
      </c>
      <c r="U31" s="374">
        <f t="shared" si="47"/>
        <v>0</v>
      </c>
      <c r="V31" s="375">
        <f t="shared" si="48"/>
        <v>0</v>
      </c>
      <c r="W31" s="376">
        <f t="shared" si="49"/>
        <v>0</v>
      </c>
      <c r="X31" s="377">
        <f t="shared" si="50"/>
        <v>0</v>
      </c>
      <c r="Y31" s="378">
        <f t="shared" si="51"/>
        <v>0.4</v>
      </c>
      <c r="Z31" s="379">
        <f t="shared" si="52"/>
        <v>0</v>
      </c>
      <c r="AA31" s="380">
        <f t="shared" si="53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  <c r="AN31" s="204"/>
    </row>
    <row r="32" spans="1:40" ht="14" customHeight="1" thickBot="1">
      <c r="A32" s="3187" t="s">
        <v>462</v>
      </c>
      <c r="B32" s="3194" t="s">
        <v>461</v>
      </c>
      <c r="C32" s="629">
        <f t="shared" si="1"/>
        <v>2.0247664488766629E-4</v>
      </c>
      <c r="D32" s="1197">
        <v>4</v>
      </c>
      <c r="E32" s="1177">
        <v>1</v>
      </c>
      <c r="F32" s="1177">
        <v>4</v>
      </c>
      <c r="G32" s="1177">
        <v>50</v>
      </c>
      <c r="H32" s="4323"/>
      <c r="I32" s="1178">
        <v>5.7870370370370366E-5</v>
      </c>
      <c r="J32" s="1178">
        <v>1.3888888888888889E-3</v>
      </c>
      <c r="K32" s="316" t="s">
        <v>1898</v>
      </c>
      <c r="L32" s="3175">
        <f t="shared" si="56"/>
        <v>0.36236586020122452</v>
      </c>
      <c r="M32" s="3231">
        <v>1</v>
      </c>
      <c r="N32" s="1455">
        <f>P32*E32*F32+I32*E32*F32+J32*E32</f>
        <v>3.2401835294717006E-3</v>
      </c>
      <c r="O32" s="1181">
        <f>C32*(G32/25)</f>
        <v>4.0495328977533258E-4</v>
      </c>
      <c r="P32" s="1181">
        <f t="shared" si="54"/>
        <v>4.0495328977533258E-4</v>
      </c>
      <c r="Q32" s="334">
        <v>166</v>
      </c>
      <c r="R32" s="3232">
        <f t="shared" si="55"/>
        <v>200</v>
      </c>
      <c r="S32" s="229">
        <f t="shared" si="5"/>
        <v>0.2</v>
      </c>
      <c r="T32" s="230">
        <f t="shared" si="6"/>
        <v>6.4792526364053213E-3</v>
      </c>
      <c r="U32" s="374">
        <f t="shared" si="47"/>
        <v>0</v>
      </c>
      <c r="V32" s="375">
        <f t="shared" si="48"/>
        <v>0</v>
      </c>
      <c r="W32" s="376">
        <f t="shared" si="49"/>
        <v>0</v>
      </c>
      <c r="X32" s="377">
        <f t="shared" si="50"/>
        <v>0.2</v>
      </c>
      <c r="Y32" s="378">
        <f t="shared" si="51"/>
        <v>0</v>
      </c>
      <c r="Z32" s="379">
        <f t="shared" si="52"/>
        <v>0</v>
      </c>
      <c r="AA32" s="380">
        <f t="shared" si="53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  <c r="AN32" s="204"/>
    </row>
    <row r="33" spans="1:40" ht="14" thickBot="1">
      <c r="A33" s="3187" t="s">
        <v>140</v>
      </c>
      <c r="B33" s="3194" t="s">
        <v>461</v>
      </c>
      <c r="C33" s="629">
        <f t="shared" si="1"/>
        <v>2.1222190799396687E-4</v>
      </c>
      <c r="D33" s="1161">
        <v>3</v>
      </c>
      <c r="E33" s="1161">
        <v>1</v>
      </c>
      <c r="F33" s="1161">
        <v>15</v>
      </c>
      <c r="G33" s="1161">
        <v>100</v>
      </c>
      <c r="H33" s="4302"/>
      <c r="I33" s="3204">
        <v>2.3148148148148146E-4</v>
      </c>
      <c r="J33" s="3204">
        <v>2.3148148148148146E-4</v>
      </c>
      <c r="K33" s="1075" t="s">
        <v>928</v>
      </c>
      <c r="L33" s="1454">
        <f t="shared" si="56"/>
        <v>0.36560604373069622</v>
      </c>
      <c r="M33" s="2396">
        <v>1.4</v>
      </c>
      <c r="N33" s="1454">
        <f>P33*E33*F33+I33*F33*E33+J33*E33</f>
        <v>2.153034397519692E-2</v>
      </c>
      <c r="O33" s="1454">
        <f>C33*(G33/25)</f>
        <v>8.4888763197586746E-4</v>
      </c>
      <c r="P33" s="1165">
        <f t="shared" si="54"/>
        <v>1.1884426847662143E-3</v>
      </c>
      <c r="Q33" s="333">
        <v>144</v>
      </c>
      <c r="R33" s="2385">
        <f t="shared" si="55"/>
        <v>1500</v>
      </c>
      <c r="S33" s="229">
        <f t="shared" si="5"/>
        <v>1.5</v>
      </c>
      <c r="T33" s="230">
        <f t="shared" si="6"/>
        <v>5.093325791855205E-2</v>
      </c>
      <c r="U33" s="374">
        <f t="shared" si="47"/>
        <v>0</v>
      </c>
      <c r="V33" s="375">
        <f t="shared" si="48"/>
        <v>0</v>
      </c>
      <c r="W33" s="376">
        <f t="shared" si="49"/>
        <v>1.5</v>
      </c>
      <c r="X33" s="377">
        <f t="shared" si="50"/>
        <v>0</v>
      </c>
      <c r="Y33" s="378">
        <f t="shared" si="51"/>
        <v>0</v>
      </c>
      <c r="Z33" s="379">
        <f t="shared" si="52"/>
        <v>0</v>
      </c>
      <c r="AA33" s="380">
        <f t="shared" si="53"/>
        <v>0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  <c r="AN33" s="204"/>
    </row>
    <row r="34" spans="1:40" ht="14" customHeight="1" thickBot="1">
      <c r="A34" s="3187" t="s">
        <v>674</v>
      </c>
      <c r="B34" s="3187" t="s">
        <v>461</v>
      </c>
      <c r="C34" s="629">
        <f t="shared" si="1"/>
        <v>1.7682291666666674E-4</v>
      </c>
      <c r="D34" s="3205">
        <v>7</v>
      </c>
      <c r="E34" s="1187">
        <v>1</v>
      </c>
      <c r="F34" s="1187">
        <v>3</v>
      </c>
      <c r="G34" s="1187">
        <v>15</v>
      </c>
      <c r="H34" s="4320" t="s">
        <v>713</v>
      </c>
      <c r="I34" s="1051">
        <v>3.4722222222222224E-4</v>
      </c>
      <c r="J34" s="1188">
        <v>1.3888888888888889E-3</v>
      </c>
      <c r="K34" s="1187" t="s">
        <v>526</v>
      </c>
      <c r="L34" s="1954">
        <f t="shared" si="56"/>
        <v>0.38713638770589315</v>
      </c>
      <c r="M34" s="3206">
        <v>1</v>
      </c>
      <c r="N34" s="1954">
        <f>P34*E34*F34+I34*F34*E34+J34*E34</f>
        <v>2.7488368055555556E-3</v>
      </c>
      <c r="O34" s="1954">
        <f>C34*(G34/25)</f>
        <v>1.0609375000000004E-4</v>
      </c>
      <c r="P34" s="1191">
        <f t="shared" si="54"/>
        <v>1.0609375000000004E-4</v>
      </c>
      <c r="Q34" s="789"/>
      <c r="R34" s="2419">
        <f t="shared" si="55"/>
        <v>45</v>
      </c>
      <c r="S34" s="229">
        <f t="shared" si="5"/>
        <v>4.4999999999999998E-2</v>
      </c>
      <c r="T34" s="230">
        <f t="shared" si="6"/>
        <v>1.2731250000000004E-3</v>
      </c>
      <c r="U34" s="374">
        <f t="shared" si="47"/>
        <v>0</v>
      </c>
      <c r="V34" s="375">
        <f t="shared" si="48"/>
        <v>0</v>
      </c>
      <c r="W34" s="376">
        <f t="shared" si="49"/>
        <v>0</v>
      </c>
      <c r="X34" s="377">
        <f t="shared" si="50"/>
        <v>0</v>
      </c>
      <c r="Y34" s="378">
        <f t="shared" si="51"/>
        <v>0</v>
      </c>
      <c r="Z34" s="379">
        <f t="shared" si="52"/>
        <v>0</v>
      </c>
      <c r="AA34" s="380">
        <f t="shared" si="53"/>
        <v>4.4999999999999998E-2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  <c r="AN34" s="204"/>
    </row>
    <row r="35" spans="1:40" ht="15" customHeight="1" thickBot="1">
      <c r="A35" s="3187" t="s">
        <v>219</v>
      </c>
      <c r="B35" s="3194" t="s">
        <v>461</v>
      </c>
      <c r="C35" s="629">
        <f t="shared" si="1"/>
        <v>1.7682291666666674E-4</v>
      </c>
      <c r="D35" s="3205">
        <v>7</v>
      </c>
      <c r="E35" s="1187">
        <v>1</v>
      </c>
      <c r="F35" s="1187">
        <v>4</v>
      </c>
      <c r="G35" s="1187">
        <v>15</v>
      </c>
      <c r="H35" s="4321"/>
      <c r="I35" s="1051">
        <v>3.4722222222222224E-4</v>
      </c>
      <c r="J35" s="1188">
        <v>1.3888888888888889E-3</v>
      </c>
      <c r="K35" s="1187" t="s">
        <v>527</v>
      </c>
      <c r="L35" s="1954">
        <f t="shared" si="56"/>
        <v>0.38988522451144869</v>
      </c>
      <c r="M35" s="3206">
        <v>1</v>
      </c>
      <c r="N35" s="1954">
        <f>P35*E35*F35+I35*F35*E35+J35*E35</f>
        <v>3.2021527777777777E-3</v>
      </c>
      <c r="O35" s="1954">
        <f>C35*(G35/25)</f>
        <v>1.0609375000000004E-4</v>
      </c>
      <c r="P35" s="1191">
        <f t="shared" si="54"/>
        <v>1.0609375000000004E-4</v>
      </c>
      <c r="Q35" s="789"/>
      <c r="R35" s="2419">
        <f t="shared" si="55"/>
        <v>60</v>
      </c>
      <c r="S35" s="229">
        <f t="shared" si="5"/>
        <v>0.06</v>
      </c>
      <c r="T35" s="230">
        <f t="shared" si="6"/>
        <v>1.6975000000000007E-3</v>
      </c>
      <c r="U35" s="374">
        <f t="shared" si="47"/>
        <v>0</v>
      </c>
      <c r="V35" s="375">
        <f t="shared" si="48"/>
        <v>0</v>
      </c>
      <c r="W35" s="376">
        <f t="shared" si="49"/>
        <v>0</v>
      </c>
      <c r="X35" s="377">
        <f t="shared" si="50"/>
        <v>0</v>
      </c>
      <c r="Y35" s="378">
        <f t="shared" si="51"/>
        <v>0</v>
      </c>
      <c r="Z35" s="379">
        <f t="shared" si="52"/>
        <v>0</v>
      </c>
      <c r="AA35" s="380">
        <f t="shared" si="53"/>
        <v>0.06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  <c r="AN35" s="204"/>
    </row>
    <row r="36" spans="1:40" ht="14" thickBot="1">
      <c r="A36" s="3207" t="s">
        <v>215</v>
      </c>
      <c r="B36" s="3207" t="s">
        <v>215</v>
      </c>
      <c r="C36" s="629">
        <f t="shared" si="1"/>
        <v>0</v>
      </c>
      <c r="D36" s="3208"/>
      <c r="E36" s="3209"/>
      <c r="F36" s="3209"/>
      <c r="G36" s="3209"/>
      <c r="H36" s="3208"/>
      <c r="I36" s="3208"/>
      <c r="J36" s="3208"/>
      <c r="K36" s="3248"/>
      <c r="L36" s="3169">
        <f t="shared" si="56"/>
        <v>0.39308737728922649</v>
      </c>
      <c r="M36" s="3201"/>
      <c r="N36" s="3235"/>
      <c r="O36" s="3237"/>
      <c r="P36" s="3238"/>
      <c r="Q36" s="1413"/>
      <c r="R36" s="3236">
        <f>SUM(R29:R35)</f>
        <v>3405</v>
      </c>
      <c r="S36" s="229">
        <f t="shared" si="5"/>
        <v>0</v>
      </c>
      <c r="T36" s="230">
        <f t="shared" si="6"/>
        <v>0</v>
      </c>
      <c r="U36" s="374">
        <f t="shared" si="47"/>
        <v>0</v>
      </c>
      <c r="V36" s="375">
        <f t="shared" si="48"/>
        <v>0</v>
      </c>
      <c r="W36" s="376">
        <f t="shared" si="49"/>
        <v>0</v>
      </c>
      <c r="X36" s="377">
        <f t="shared" si="50"/>
        <v>0</v>
      </c>
      <c r="Y36" s="378">
        <f t="shared" si="51"/>
        <v>0</v>
      </c>
      <c r="Z36" s="379">
        <f t="shared" si="52"/>
        <v>0</v>
      </c>
      <c r="AA36" s="380">
        <f t="shared" si="53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  <c r="AN36" s="204"/>
    </row>
    <row r="37" spans="1:40" ht="14" thickBot="1">
      <c r="A37" s="1261" t="s">
        <v>217</v>
      </c>
      <c r="B37" s="1269" t="s">
        <v>461</v>
      </c>
      <c r="C37" s="629">
        <f t="shared" si="1"/>
        <v>2.1908757716049393E-4</v>
      </c>
      <c r="D37" s="1441">
        <v>2</v>
      </c>
      <c r="E37" s="1324">
        <v>1</v>
      </c>
      <c r="F37" s="1324">
        <v>6</v>
      </c>
      <c r="G37" s="1324">
        <v>25</v>
      </c>
      <c r="H37" s="3249"/>
      <c r="I37" s="3249">
        <v>5.7870370370370366E-5</v>
      </c>
      <c r="J37" s="3249">
        <v>6.9444444444444447E-4</v>
      </c>
      <c r="K37" s="1324" t="s">
        <v>284</v>
      </c>
      <c r="L37" s="1355">
        <v>0.34027777777777773</v>
      </c>
      <c r="M37" s="3250">
        <v>1.17</v>
      </c>
      <c r="N37" s="3249">
        <f t="shared" ref="N37:N43" si="57">P37*E37*F37+I37*F37*E37+J37*E37</f>
        <v>2.5796614583333344E-3</v>
      </c>
      <c r="O37" s="1431">
        <f t="shared" ref="O37:O43" si="58">C37*(G37/25)</f>
        <v>2.1908757716049393E-4</v>
      </c>
      <c r="P37" s="1431">
        <f t="shared" ref="P37:P43" si="59">O37*M37</f>
        <v>2.5633246527777791E-4</v>
      </c>
      <c r="Q37" s="1432">
        <v>160</v>
      </c>
      <c r="R37" s="3251">
        <f t="shared" ref="R37:R43" si="60">E37*F37*G37</f>
        <v>150</v>
      </c>
      <c r="S37" s="229">
        <f t="shared" si="5"/>
        <v>0.15</v>
      </c>
      <c r="T37" s="230">
        <f t="shared" si="6"/>
        <v>5.2581018518518541E-3</v>
      </c>
      <c r="U37" s="374">
        <f t="shared" si="47"/>
        <v>0</v>
      </c>
      <c r="V37" s="375">
        <f t="shared" si="48"/>
        <v>0.15</v>
      </c>
      <c r="W37" s="376">
        <f t="shared" si="49"/>
        <v>0</v>
      </c>
      <c r="X37" s="377">
        <f t="shared" si="50"/>
        <v>0</v>
      </c>
      <c r="Y37" s="378">
        <f t="shared" si="51"/>
        <v>0</v>
      </c>
      <c r="Z37" s="379">
        <f t="shared" si="52"/>
        <v>0</v>
      </c>
      <c r="AA37" s="380">
        <f t="shared" si="53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</row>
    <row r="38" spans="1:40" ht="14" thickBot="1">
      <c r="A38" s="1261" t="s">
        <v>459</v>
      </c>
      <c r="B38" s="1269" t="s">
        <v>461</v>
      </c>
      <c r="C38" s="629">
        <f t="shared" si="1"/>
        <v>1.7682291666666674E-4</v>
      </c>
      <c r="D38" s="1441">
        <v>7</v>
      </c>
      <c r="E38" s="2114">
        <v>1</v>
      </c>
      <c r="F38" s="2114">
        <v>4</v>
      </c>
      <c r="G38" s="2114">
        <v>25</v>
      </c>
      <c r="H38" s="2121"/>
      <c r="I38" s="2121">
        <v>4.6296296296296293E-4</v>
      </c>
      <c r="J38" s="2121">
        <v>1.3888888888888889E-3</v>
      </c>
      <c r="K38" s="2046" t="s">
        <v>284</v>
      </c>
      <c r="L38" s="2047">
        <f t="shared" ref="L38:L44" si="61">L37+N37</f>
        <v>0.34285743923611106</v>
      </c>
      <c r="M38" s="3252">
        <v>1.17</v>
      </c>
      <c r="N38" s="2121">
        <f t="shared" si="57"/>
        <v>4.0682719907407412E-3</v>
      </c>
      <c r="O38" s="2123">
        <f t="shared" si="58"/>
        <v>1.7682291666666674E-4</v>
      </c>
      <c r="P38" s="2124">
        <f t="shared" si="59"/>
        <v>2.0688281250000006E-4</v>
      </c>
      <c r="Q38" s="2049">
        <v>160</v>
      </c>
      <c r="R38" s="3253">
        <f t="shared" si="60"/>
        <v>100</v>
      </c>
      <c r="S38" s="229">
        <f t="shared" si="5"/>
        <v>0.1</v>
      </c>
      <c r="T38" s="230">
        <f t="shared" si="6"/>
        <v>2.8291666666666678E-3</v>
      </c>
      <c r="U38" s="374">
        <f t="shared" si="47"/>
        <v>0</v>
      </c>
      <c r="V38" s="375">
        <f t="shared" si="48"/>
        <v>0</v>
      </c>
      <c r="W38" s="376">
        <f t="shared" si="49"/>
        <v>0</v>
      </c>
      <c r="X38" s="377">
        <f t="shared" si="50"/>
        <v>0</v>
      </c>
      <c r="Y38" s="378">
        <f t="shared" si="51"/>
        <v>0</v>
      </c>
      <c r="Z38" s="379">
        <f t="shared" si="52"/>
        <v>0</v>
      </c>
      <c r="AA38" s="380">
        <f t="shared" si="53"/>
        <v>0.1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</row>
    <row r="39" spans="1:40" ht="14" thickBot="1">
      <c r="A39" s="1261" t="s">
        <v>458</v>
      </c>
      <c r="B39" s="1269" t="s">
        <v>461</v>
      </c>
      <c r="C39" s="629">
        <f t="shared" si="1"/>
        <v>2.1222190799396687E-4</v>
      </c>
      <c r="D39" s="1441">
        <v>3</v>
      </c>
      <c r="E39" s="1634">
        <v>1</v>
      </c>
      <c r="F39" s="1634">
        <v>6</v>
      </c>
      <c r="G39" s="1634">
        <v>25</v>
      </c>
      <c r="H39" s="3254"/>
      <c r="I39" s="3254">
        <v>2.8935185185185189E-4</v>
      </c>
      <c r="J39" s="3254">
        <v>1.3888888888888889E-3</v>
      </c>
      <c r="K39" s="1634" t="s">
        <v>974</v>
      </c>
      <c r="L39" s="1458">
        <f t="shared" si="61"/>
        <v>0.34692571122685179</v>
      </c>
      <c r="M39" s="3255">
        <v>1.17</v>
      </c>
      <c r="N39" s="3254">
        <f t="shared" si="57"/>
        <v>4.6147977941176479E-3</v>
      </c>
      <c r="O39" s="3256">
        <f t="shared" si="58"/>
        <v>2.1222190799396687E-4</v>
      </c>
      <c r="P39" s="2712">
        <f t="shared" si="59"/>
        <v>2.4829963235294123E-4</v>
      </c>
      <c r="Q39" s="1635">
        <v>160</v>
      </c>
      <c r="R39" s="3257">
        <f t="shared" si="60"/>
        <v>150</v>
      </c>
      <c r="S39" s="229"/>
      <c r="T39" s="230"/>
      <c r="U39" s="374"/>
      <c r="V39" s="375"/>
      <c r="W39" s="376"/>
      <c r="X39" s="377"/>
      <c r="Y39" s="378"/>
      <c r="Z39" s="379"/>
      <c r="AA39" s="380"/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</row>
    <row r="40" spans="1:40" ht="14" thickBot="1">
      <c r="A40" s="1261" t="s">
        <v>218</v>
      </c>
      <c r="B40" s="1269" t="s">
        <v>461</v>
      </c>
      <c r="C40" s="629">
        <f t="shared" si="1"/>
        <v>1.7682291666666674E-4</v>
      </c>
      <c r="D40" s="1441">
        <v>7</v>
      </c>
      <c r="E40" s="2114">
        <v>1</v>
      </c>
      <c r="F40" s="2114">
        <v>1</v>
      </c>
      <c r="G40" s="2114">
        <v>100</v>
      </c>
      <c r="H40" s="2121"/>
      <c r="I40" s="2121">
        <v>2.3148148148148146E-4</v>
      </c>
      <c r="J40" s="2121">
        <v>1.3888888888888889E-3</v>
      </c>
      <c r="K40" s="2046" t="s">
        <v>284</v>
      </c>
      <c r="L40" s="2047">
        <f t="shared" si="61"/>
        <v>0.35154050902096945</v>
      </c>
      <c r="M40" s="3252">
        <v>1.17</v>
      </c>
      <c r="N40" s="2121">
        <f t="shared" si="57"/>
        <v>2.4479016203703707E-3</v>
      </c>
      <c r="O40" s="2123">
        <f t="shared" si="58"/>
        <v>7.0729166666666694E-4</v>
      </c>
      <c r="P40" s="2124">
        <f t="shared" si="59"/>
        <v>8.2753125000000025E-4</v>
      </c>
      <c r="Q40" s="2049">
        <v>160</v>
      </c>
      <c r="R40" s="3253">
        <f t="shared" si="60"/>
        <v>100</v>
      </c>
      <c r="S40" s="229">
        <f t="shared" si="5"/>
        <v>0.1</v>
      </c>
      <c r="T40" s="230">
        <f t="shared" si="6"/>
        <v>2.8291666666666678E-3</v>
      </c>
      <c r="U40" s="374">
        <f t="shared" si="47"/>
        <v>0</v>
      </c>
      <c r="V40" s="375">
        <f t="shared" si="48"/>
        <v>0</v>
      </c>
      <c r="W40" s="376">
        <f t="shared" si="49"/>
        <v>0</v>
      </c>
      <c r="X40" s="377">
        <f t="shared" si="50"/>
        <v>0</v>
      </c>
      <c r="Y40" s="378">
        <f t="shared" si="51"/>
        <v>0</v>
      </c>
      <c r="Z40" s="379">
        <f t="shared" si="52"/>
        <v>0</v>
      </c>
      <c r="AA40" s="380">
        <f t="shared" si="53"/>
        <v>0.1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</row>
    <row r="41" spans="1:40" ht="14" thickBot="1">
      <c r="A41" s="1261" t="s">
        <v>458</v>
      </c>
      <c r="B41" s="1269" t="s">
        <v>461</v>
      </c>
      <c r="C41" s="629">
        <f t="shared" si="1"/>
        <v>2.1222190799396687E-4</v>
      </c>
      <c r="D41" s="1441">
        <v>3</v>
      </c>
      <c r="E41" s="1634">
        <v>1</v>
      </c>
      <c r="F41" s="1634">
        <v>6</v>
      </c>
      <c r="G41" s="1634">
        <v>25</v>
      </c>
      <c r="H41" s="3254"/>
      <c r="I41" s="3254">
        <v>2.8935185185185189E-4</v>
      </c>
      <c r="J41" s="3254">
        <v>1.3888888888888889E-3</v>
      </c>
      <c r="K41" s="1634" t="s">
        <v>974</v>
      </c>
      <c r="L41" s="1458">
        <f t="shared" si="61"/>
        <v>0.35398841064133985</v>
      </c>
      <c r="M41" s="3255">
        <v>1.17</v>
      </c>
      <c r="N41" s="3254">
        <f t="shared" si="57"/>
        <v>4.6147977941176479E-3</v>
      </c>
      <c r="O41" s="3256">
        <f t="shared" si="58"/>
        <v>2.1222190799396687E-4</v>
      </c>
      <c r="P41" s="2712">
        <f t="shared" si="59"/>
        <v>2.4829963235294123E-4</v>
      </c>
      <c r="Q41" s="1635">
        <v>160</v>
      </c>
      <c r="R41" s="3257">
        <f t="shared" si="60"/>
        <v>150</v>
      </c>
      <c r="S41" s="229">
        <f t="shared" si="5"/>
        <v>0.15</v>
      </c>
      <c r="T41" s="230">
        <f t="shared" si="6"/>
        <v>5.0933257918552048E-3</v>
      </c>
      <c r="U41" s="374">
        <f t="shared" si="47"/>
        <v>0</v>
      </c>
      <c r="V41" s="375">
        <f t="shared" si="48"/>
        <v>0</v>
      </c>
      <c r="W41" s="376">
        <f t="shared" si="49"/>
        <v>0.15</v>
      </c>
      <c r="X41" s="377">
        <f t="shared" si="50"/>
        <v>0</v>
      </c>
      <c r="Y41" s="378">
        <f t="shared" si="51"/>
        <v>0</v>
      </c>
      <c r="Z41" s="379">
        <f t="shared" si="52"/>
        <v>0</v>
      </c>
      <c r="AA41" s="380">
        <f t="shared" si="53"/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</row>
    <row r="42" spans="1:40" ht="14" thickBot="1">
      <c r="A42" s="1261"/>
      <c r="B42" s="1269" t="s">
        <v>461</v>
      </c>
      <c r="C42" s="629">
        <f t="shared" si="1"/>
        <v>1.8229166666666673E-4</v>
      </c>
      <c r="D42" s="1441">
        <v>6</v>
      </c>
      <c r="E42" s="3258">
        <v>2</v>
      </c>
      <c r="F42" s="3258">
        <v>4</v>
      </c>
      <c r="G42" s="3258">
        <v>50</v>
      </c>
      <c r="H42" s="4301" t="s">
        <v>710</v>
      </c>
      <c r="I42" s="3259">
        <v>6.9444444444444447E-4</v>
      </c>
      <c r="J42" s="3259">
        <v>1.1574074074074073E-3</v>
      </c>
      <c r="K42" s="2014" t="s">
        <v>1542</v>
      </c>
      <c r="L42" s="3259">
        <f t="shared" si="61"/>
        <v>0.35860320843545751</v>
      </c>
      <c r="M42" s="3260">
        <v>1.17</v>
      </c>
      <c r="N42" s="3259">
        <f t="shared" si="57"/>
        <v>1.1282870370370372E-2</v>
      </c>
      <c r="O42" s="3259">
        <f t="shared" si="58"/>
        <v>3.6458333333333346E-4</v>
      </c>
      <c r="P42" s="2713">
        <f t="shared" si="59"/>
        <v>4.2656250000000013E-4</v>
      </c>
      <c r="Q42" s="3261">
        <v>160</v>
      </c>
      <c r="R42" s="3262">
        <f t="shared" si="60"/>
        <v>400</v>
      </c>
      <c r="S42" s="229">
        <f t="shared" si="5"/>
        <v>0.4</v>
      </c>
      <c r="T42" s="230">
        <f t="shared" si="6"/>
        <v>1.1666666666666671E-2</v>
      </c>
      <c r="U42" s="374">
        <f t="shared" si="47"/>
        <v>0</v>
      </c>
      <c r="V42" s="375">
        <f t="shared" si="48"/>
        <v>0</v>
      </c>
      <c r="W42" s="376">
        <f t="shared" si="49"/>
        <v>0</v>
      </c>
      <c r="X42" s="377">
        <f t="shared" si="50"/>
        <v>0</v>
      </c>
      <c r="Y42" s="378">
        <f t="shared" si="51"/>
        <v>0</v>
      </c>
      <c r="Z42" s="379">
        <f t="shared" si="52"/>
        <v>0.4</v>
      </c>
      <c r="AA42" s="380">
        <f t="shared" si="53"/>
        <v>0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</row>
    <row r="43" spans="1:40" ht="14" thickBot="1">
      <c r="A43" s="1261"/>
      <c r="B43" s="1269" t="s">
        <v>461</v>
      </c>
      <c r="C43" s="629">
        <f t="shared" si="1"/>
        <v>1.8229166666666673E-4</v>
      </c>
      <c r="D43" s="1441">
        <v>6</v>
      </c>
      <c r="E43" s="3258">
        <v>2</v>
      </c>
      <c r="F43" s="3258">
        <v>4</v>
      </c>
      <c r="G43" s="3258">
        <v>50</v>
      </c>
      <c r="H43" s="4302" t="s">
        <v>713</v>
      </c>
      <c r="I43" s="3259">
        <v>8.6805555555555551E-4</v>
      </c>
      <c r="J43" s="3259">
        <v>2.8935185185185189E-4</v>
      </c>
      <c r="K43" s="2014" t="s">
        <v>882</v>
      </c>
      <c r="L43" s="3259">
        <f t="shared" si="61"/>
        <v>0.36988607880582786</v>
      </c>
      <c r="M43" s="3260">
        <v>1.17</v>
      </c>
      <c r="N43" s="3259">
        <f t="shared" si="57"/>
        <v>1.0935648148148149E-2</v>
      </c>
      <c r="O43" s="3259">
        <f t="shared" si="58"/>
        <v>3.6458333333333346E-4</v>
      </c>
      <c r="P43" s="2713">
        <f t="shared" si="59"/>
        <v>4.2656250000000013E-4</v>
      </c>
      <c r="Q43" s="3261">
        <v>160</v>
      </c>
      <c r="R43" s="3263">
        <f t="shared" si="60"/>
        <v>400</v>
      </c>
      <c r="S43" s="229">
        <f t="shared" si="5"/>
        <v>0.4</v>
      </c>
      <c r="T43" s="230">
        <f t="shared" si="6"/>
        <v>1.1666666666666671E-2</v>
      </c>
      <c r="U43" s="374">
        <f t="shared" si="47"/>
        <v>0</v>
      </c>
      <c r="V43" s="375">
        <f t="shared" si="48"/>
        <v>0</v>
      </c>
      <c r="W43" s="376">
        <f t="shared" si="49"/>
        <v>0</v>
      </c>
      <c r="X43" s="377">
        <f t="shared" si="50"/>
        <v>0</v>
      </c>
      <c r="Y43" s="378">
        <f t="shared" si="51"/>
        <v>0</v>
      </c>
      <c r="Z43" s="379">
        <f t="shared" si="52"/>
        <v>0.4</v>
      </c>
      <c r="AA43" s="380">
        <f t="shared" si="53"/>
        <v>0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</row>
    <row r="44" spans="1:40" ht="14" customHeight="1" thickBot="1">
      <c r="A44" s="3207" t="s">
        <v>215</v>
      </c>
      <c r="B44" s="3207" t="s">
        <v>215</v>
      </c>
      <c r="C44" s="629">
        <f t="shared" si="1"/>
        <v>0</v>
      </c>
      <c r="D44" s="3208"/>
      <c r="E44" s="3209"/>
      <c r="F44" s="3209"/>
      <c r="G44" s="3209"/>
      <c r="H44" s="3208"/>
      <c r="I44" s="3208"/>
      <c r="J44" s="3208"/>
      <c r="K44" s="3248"/>
      <c r="L44" s="3169">
        <f t="shared" si="61"/>
        <v>0.38082172695397598</v>
      </c>
      <c r="M44" s="3201"/>
      <c r="N44" s="3235"/>
      <c r="O44" s="3237"/>
      <c r="P44" s="3238"/>
      <c r="Q44" s="1413"/>
      <c r="R44" s="3236">
        <f>SUM(R37:R43)</f>
        <v>1450</v>
      </c>
      <c r="S44" s="229">
        <f t="shared" si="5"/>
        <v>0</v>
      </c>
      <c r="T44" s="230">
        <f t="shared" si="6"/>
        <v>0</v>
      </c>
      <c r="U44" s="374">
        <f t="shared" si="47"/>
        <v>0</v>
      </c>
      <c r="V44" s="375">
        <f t="shared" si="48"/>
        <v>0</v>
      </c>
      <c r="W44" s="376">
        <f t="shared" si="49"/>
        <v>0</v>
      </c>
      <c r="X44" s="377">
        <f t="shared" si="50"/>
        <v>0</v>
      </c>
      <c r="Y44" s="378">
        <f t="shared" si="51"/>
        <v>0</v>
      </c>
      <c r="Z44" s="379">
        <f t="shared" si="52"/>
        <v>0</v>
      </c>
      <c r="AA44" s="380">
        <f t="shared" si="53"/>
        <v>0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</row>
    <row r="45" spans="1:40" ht="14" customHeight="1" thickBot="1">
      <c r="A45" s="3239" t="s">
        <v>218</v>
      </c>
      <c r="B45" s="1364" t="s">
        <v>461</v>
      </c>
      <c r="C45" s="629">
        <f t="shared" si="1"/>
        <v>2.2880964381720439E-4</v>
      </c>
      <c r="D45" s="3264">
        <v>1</v>
      </c>
      <c r="E45" s="2066">
        <v>1</v>
      </c>
      <c r="F45" s="2066">
        <v>3</v>
      </c>
      <c r="G45" s="2066">
        <v>500</v>
      </c>
      <c r="H45" s="2066"/>
      <c r="I45" s="3265">
        <v>1.9675925925925926E-4</v>
      </c>
      <c r="J45" s="3265">
        <v>2.3148148148148146E-4</v>
      </c>
      <c r="K45" s="2061" t="s">
        <v>1125</v>
      </c>
      <c r="L45" s="3265">
        <v>0.34027777777777773</v>
      </c>
      <c r="M45" s="1968">
        <v>1.2</v>
      </c>
      <c r="N45" s="1950">
        <f t="shared" ref="N45:N51" si="62">P45*E45*F45+I45*F45*E45+J45*E45</f>
        <v>1.7296053614097976E-2</v>
      </c>
      <c r="O45" s="3266">
        <f t="shared" ref="O45:O51" si="63">C45*(G45/25)</f>
        <v>4.5761928763440882E-3</v>
      </c>
      <c r="P45" s="1950">
        <f t="shared" ref="P45:P51" si="64">O45*M45</f>
        <v>5.4914314516129057E-3</v>
      </c>
      <c r="Q45" s="2062">
        <v>144</v>
      </c>
      <c r="R45" s="3267">
        <f t="shared" ref="R45:R51" si="65">E45*F45*G45</f>
        <v>1500</v>
      </c>
      <c r="S45" s="229">
        <f t="shared" si="5"/>
        <v>1.5</v>
      </c>
      <c r="T45" s="230">
        <f t="shared" si="6"/>
        <v>5.4914314516129062E-2</v>
      </c>
      <c r="U45" s="374">
        <f t="shared" si="47"/>
        <v>1.5</v>
      </c>
      <c r="V45" s="375">
        <f t="shared" si="48"/>
        <v>0</v>
      </c>
      <c r="W45" s="376">
        <f t="shared" si="49"/>
        <v>0</v>
      </c>
      <c r="X45" s="377">
        <f t="shared" si="50"/>
        <v>0</v>
      </c>
      <c r="Y45" s="378">
        <f t="shared" si="51"/>
        <v>0</v>
      </c>
      <c r="Z45" s="379">
        <f t="shared" si="52"/>
        <v>0</v>
      </c>
      <c r="AA45" s="380">
        <f t="shared" si="53"/>
        <v>0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</row>
    <row r="46" spans="1:40" ht="14" customHeight="1" thickBot="1">
      <c r="A46" s="3239" t="s">
        <v>139</v>
      </c>
      <c r="B46" s="1364" t="s">
        <v>461</v>
      </c>
      <c r="C46" s="629">
        <f t="shared" si="1"/>
        <v>2.1908757716049393E-4</v>
      </c>
      <c r="D46" s="920">
        <v>2</v>
      </c>
      <c r="E46" s="3267">
        <v>1</v>
      </c>
      <c r="F46" s="3267">
        <v>1</v>
      </c>
      <c r="G46" s="3267">
        <v>200</v>
      </c>
      <c r="H46" s="3267"/>
      <c r="I46" s="1950">
        <v>0</v>
      </c>
      <c r="J46" s="1950">
        <v>3.4722222222222224E-4</v>
      </c>
      <c r="K46" s="1968" t="s">
        <v>1422</v>
      </c>
      <c r="L46" s="1950">
        <f t="shared" ref="L46:L52" si="66">L45+N45</f>
        <v>0.35757383139187571</v>
      </c>
      <c r="M46" s="1968">
        <v>1.1499999999999999</v>
      </c>
      <c r="N46" s="1950">
        <f t="shared" si="62"/>
        <v>2.3628279320987663E-3</v>
      </c>
      <c r="O46" s="3266">
        <f t="shared" si="63"/>
        <v>1.7527006172839514E-3</v>
      </c>
      <c r="P46" s="1950">
        <f t="shared" si="64"/>
        <v>2.015605709876544E-3</v>
      </c>
      <c r="Q46" s="2062">
        <v>160</v>
      </c>
      <c r="R46" s="3267">
        <f t="shared" si="65"/>
        <v>200</v>
      </c>
      <c r="S46" s="229">
        <f t="shared" si="5"/>
        <v>0.2</v>
      </c>
      <c r="T46" s="230">
        <f t="shared" si="6"/>
        <v>7.0108024691358057E-3</v>
      </c>
      <c r="U46" s="374">
        <f t="shared" si="47"/>
        <v>0</v>
      </c>
      <c r="V46" s="375">
        <f t="shared" si="48"/>
        <v>0.2</v>
      </c>
      <c r="W46" s="376">
        <f t="shared" si="49"/>
        <v>0</v>
      </c>
      <c r="X46" s="377">
        <f t="shared" si="50"/>
        <v>0</v>
      </c>
      <c r="Y46" s="378">
        <f t="shared" si="51"/>
        <v>0</v>
      </c>
      <c r="Z46" s="379">
        <f t="shared" si="52"/>
        <v>0</v>
      </c>
      <c r="AA46" s="380">
        <f t="shared" si="53"/>
        <v>0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</row>
    <row r="47" spans="1:40" ht="14" customHeight="1" thickBot="1">
      <c r="A47" s="3239" t="s">
        <v>458</v>
      </c>
      <c r="B47" s="1364" t="s">
        <v>461</v>
      </c>
      <c r="C47" s="629">
        <f t="shared" si="1"/>
        <v>2.1222190799396687E-4</v>
      </c>
      <c r="D47" s="1357">
        <v>3</v>
      </c>
      <c r="E47" s="1161">
        <v>1</v>
      </c>
      <c r="F47" s="1161">
        <v>4</v>
      </c>
      <c r="G47" s="1161">
        <v>50</v>
      </c>
      <c r="H47" s="1161"/>
      <c r="I47" s="1163">
        <v>1.7361111111111112E-4</v>
      </c>
      <c r="J47" s="1163">
        <v>1.3888888888888889E-3</v>
      </c>
      <c r="K47" s="1074" t="s">
        <v>1423</v>
      </c>
      <c r="L47" s="1163">
        <f t="shared" si="66"/>
        <v>0.35993665932397445</v>
      </c>
      <c r="M47" s="1074">
        <v>1.1499999999999999</v>
      </c>
      <c r="N47" s="1163">
        <f t="shared" si="62"/>
        <v>4.0357748868778288E-3</v>
      </c>
      <c r="O47" s="1491">
        <f t="shared" si="63"/>
        <v>4.2444381598793373E-4</v>
      </c>
      <c r="P47" s="1163">
        <f t="shared" si="64"/>
        <v>4.8811038838612376E-4</v>
      </c>
      <c r="Q47" s="1492">
        <v>160</v>
      </c>
      <c r="R47" s="1161">
        <f t="shared" si="65"/>
        <v>200</v>
      </c>
      <c r="S47" s="229">
        <f t="shared" si="5"/>
        <v>0.2</v>
      </c>
      <c r="T47" s="230">
        <f t="shared" si="6"/>
        <v>6.7911010558069397E-3</v>
      </c>
      <c r="U47" s="374">
        <f t="shared" si="47"/>
        <v>0</v>
      </c>
      <c r="V47" s="375">
        <f t="shared" si="48"/>
        <v>0</v>
      </c>
      <c r="W47" s="376">
        <f t="shared" si="49"/>
        <v>0.2</v>
      </c>
      <c r="X47" s="377">
        <f t="shared" si="50"/>
        <v>0</v>
      </c>
      <c r="Y47" s="378">
        <f t="shared" si="51"/>
        <v>0</v>
      </c>
      <c r="Z47" s="379">
        <f t="shared" si="52"/>
        <v>0</v>
      </c>
      <c r="AA47" s="380">
        <f t="shared" si="53"/>
        <v>0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</row>
    <row r="48" spans="1:40" ht="16.25" customHeight="1" thickBot="1">
      <c r="A48" s="3239" t="s">
        <v>462</v>
      </c>
      <c r="B48" s="1364" t="s">
        <v>461</v>
      </c>
      <c r="C48" s="629">
        <f t="shared" si="1"/>
        <v>2.1908757716049393E-4</v>
      </c>
      <c r="D48" s="1357">
        <v>2</v>
      </c>
      <c r="E48" s="3268">
        <v>1</v>
      </c>
      <c r="F48" s="3267">
        <v>1</v>
      </c>
      <c r="G48" s="3267">
        <v>250</v>
      </c>
      <c r="H48" s="3267"/>
      <c r="I48" s="1950">
        <v>2.8935185185185189E-4</v>
      </c>
      <c r="J48" s="1950">
        <v>1.3888888888888889E-3</v>
      </c>
      <c r="K48" s="1968" t="s">
        <v>1424</v>
      </c>
      <c r="L48" s="1950">
        <f t="shared" si="66"/>
        <v>0.36397243421085229</v>
      </c>
      <c r="M48" s="1968">
        <v>1.1499999999999999</v>
      </c>
      <c r="N48" s="1950">
        <f t="shared" si="62"/>
        <v>4.1977478780864212E-3</v>
      </c>
      <c r="O48" s="3266">
        <f t="shared" si="63"/>
        <v>2.1908757716049393E-3</v>
      </c>
      <c r="P48" s="1950">
        <f t="shared" si="64"/>
        <v>2.5195071373456802E-3</v>
      </c>
      <c r="Q48" s="2062">
        <v>160</v>
      </c>
      <c r="R48" s="3267">
        <f t="shared" si="65"/>
        <v>250</v>
      </c>
      <c r="S48" s="229">
        <f t="shared" si="5"/>
        <v>0.25</v>
      </c>
      <c r="T48" s="230">
        <f t="shared" si="6"/>
        <v>8.7635030864197574E-3</v>
      </c>
      <c r="U48" s="374">
        <f t="shared" si="47"/>
        <v>0</v>
      </c>
      <c r="V48" s="375">
        <f t="shared" si="48"/>
        <v>0.25</v>
      </c>
      <c r="W48" s="376">
        <f t="shared" si="49"/>
        <v>0</v>
      </c>
      <c r="X48" s="377">
        <f t="shared" si="50"/>
        <v>0</v>
      </c>
      <c r="Y48" s="378">
        <f t="shared" si="51"/>
        <v>0</v>
      </c>
      <c r="Z48" s="379">
        <f t="shared" si="52"/>
        <v>0</v>
      </c>
      <c r="AA48" s="380">
        <f t="shared" si="53"/>
        <v>0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</row>
    <row r="49" spans="1:40" ht="15" customHeight="1" thickBot="1">
      <c r="A49" s="3239" t="s">
        <v>460</v>
      </c>
      <c r="B49" s="1364" t="s">
        <v>461</v>
      </c>
      <c r="C49" s="629">
        <f t="shared" si="1"/>
        <v>2.1222190799396687E-4</v>
      </c>
      <c r="D49" s="1357">
        <v>3</v>
      </c>
      <c r="E49" s="3269">
        <v>1</v>
      </c>
      <c r="F49" s="3269">
        <v>4</v>
      </c>
      <c r="G49" s="1161">
        <v>50</v>
      </c>
      <c r="H49" s="1161"/>
      <c r="I49" s="1163">
        <v>1.7361111111111112E-4</v>
      </c>
      <c r="J49" s="1163">
        <v>2.8935185185185189E-4</v>
      </c>
      <c r="K49" s="1074" t="s">
        <v>1423</v>
      </c>
      <c r="L49" s="1163">
        <f t="shared" si="66"/>
        <v>0.3681701820889387</v>
      </c>
      <c r="M49" s="1074">
        <v>1.1499999999999999</v>
      </c>
      <c r="N49" s="1163">
        <f t="shared" si="62"/>
        <v>2.9362378498407915E-3</v>
      </c>
      <c r="O49" s="1491">
        <f t="shared" si="63"/>
        <v>4.2444381598793373E-4</v>
      </c>
      <c r="P49" s="1163">
        <f t="shared" si="64"/>
        <v>4.8811038838612376E-4</v>
      </c>
      <c r="Q49" s="1492">
        <v>160</v>
      </c>
      <c r="R49" s="1161">
        <f t="shared" si="65"/>
        <v>200</v>
      </c>
      <c r="S49" s="229">
        <f t="shared" si="5"/>
        <v>0.2</v>
      </c>
      <c r="T49" s="230">
        <f t="shared" si="6"/>
        <v>6.7911010558069397E-3</v>
      </c>
      <c r="U49" s="374">
        <f t="shared" si="47"/>
        <v>0</v>
      </c>
      <c r="V49" s="375">
        <f t="shared" si="48"/>
        <v>0</v>
      </c>
      <c r="W49" s="376">
        <f t="shared" si="49"/>
        <v>0.2</v>
      </c>
      <c r="X49" s="377">
        <f t="shared" si="50"/>
        <v>0</v>
      </c>
      <c r="Y49" s="378">
        <f t="shared" si="51"/>
        <v>0</v>
      </c>
      <c r="Z49" s="379">
        <f t="shared" si="52"/>
        <v>0</v>
      </c>
      <c r="AA49" s="380">
        <f t="shared" si="53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  <c r="AN49" s="204"/>
    </row>
    <row r="50" spans="1:40" ht="14" thickBot="1">
      <c r="A50" s="3239" t="s">
        <v>458</v>
      </c>
      <c r="B50" s="1364" t="s">
        <v>461</v>
      </c>
      <c r="C50" s="629">
        <f t="shared" si="1"/>
        <v>2.1222190799396687E-4</v>
      </c>
      <c r="D50" s="1357">
        <v>3</v>
      </c>
      <c r="E50" s="3268">
        <v>1</v>
      </c>
      <c r="F50" s="3267">
        <v>1</v>
      </c>
      <c r="G50" s="3267">
        <v>1000</v>
      </c>
      <c r="H50" s="3267"/>
      <c r="I50" s="1950">
        <v>2.8935185185185189E-4</v>
      </c>
      <c r="J50" s="1950">
        <v>1.3888888888888889E-3</v>
      </c>
      <c r="K50" s="1968" t="s">
        <v>1162</v>
      </c>
      <c r="L50" s="1950">
        <f t="shared" si="66"/>
        <v>0.37110641993877952</v>
      </c>
      <c r="M50" s="1968">
        <v>1.1499999999999999</v>
      </c>
      <c r="N50" s="1950">
        <f t="shared" si="62"/>
        <v>1.1440448508463215E-2</v>
      </c>
      <c r="O50" s="3266">
        <f t="shared" si="63"/>
        <v>8.4888763197586738E-3</v>
      </c>
      <c r="P50" s="1950">
        <f t="shared" si="64"/>
        <v>9.7622077677224743E-3</v>
      </c>
      <c r="Q50" s="2062">
        <v>160</v>
      </c>
      <c r="R50" s="3267">
        <f t="shared" si="65"/>
        <v>1000</v>
      </c>
      <c r="S50" s="229">
        <f t="shared" si="5"/>
        <v>1</v>
      </c>
      <c r="T50" s="230">
        <f t="shared" si="6"/>
        <v>3.3955505279034695E-2</v>
      </c>
      <c r="U50" s="374">
        <f t="shared" si="47"/>
        <v>0</v>
      </c>
      <c r="V50" s="375">
        <f t="shared" si="48"/>
        <v>0</v>
      </c>
      <c r="W50" s="376">
        <f t="shared" si="49"/>
        <v>1</v>
      </c>
      <c r="X50" s="377">
        <f t="shared" si="50"/>
        <v>0</v>
      </c>
      <c r="Y50" s="378">
        <f t="shared" si="51"/>
        <v>0</v>
      </c>
      <c r="Z50" s="379">
        <f t="shared" si="52"/>
        <v>0</v>
      </c>
      <c r="AA50" s="380">
        <f t="shared" si="53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  <c r="AN50" s="204"/>
    </row>
    <row r="51" spans="1:40" ht="14" customHeight="1" thickBot="1">
      <c r="A51" s="3239" t="s">
        <v>219</v>
      </c>
      <c r="B51" s="1364" t="s">
        <v>461</v>
      </c>
      <c r="C51" s="629">
        <f t="shared" si="1"/>
        <v>2.0247664488766629E-4</v>
      </c>
      <c r="D51" s="1357">
        <v>4</v>
      </c>
      <c r="E51" s="3270">
        <v>1</v>
      </c>
      <c r="F51" s="3270">
        <v>1</v>
      </c>
      <c r="G51" s="3271">
        <v>300</v>
      </c>
      <c r="H51" s="3272"/>
      <c r="I51" s="3273">
        <v>0</v>
      </c>
      <c r="J51" s="3273">
        <v>2.0833333333333333E-3</v>
      </c>
      <c r="K51" s="2063" t="s">
        <v>1425</v>
      </c>
      <c r="L51" s="1921">
        <f t="shared" si="66"/>
        <v>0.38254686844724273</v>
      </c>
      <c r="M51" s="1994">
        <v>1.1000000000000001</v>
      </c>
      <c r="N51" s="1921">
        <f t="shared" si="62"/>
        <v>4.7560250458505288E-3</v>
      </c>
      <c r="O51" s="2170">
        <f t="shared" si="63"/>
        <v>2.4297197386519954E-3</v>
      </c>
      <c r="P51" s="1921">
        <f t="shared" si="64"/>
        <v>2.672691712517195E-3</v>
      </c>
      <c r="Q51" s="2064">
        <v>175</v>
      </c>
      <c r="R51" s="1934">
        <f t="shared" si="65"/>
        <v>300</v>
      </c>
      <c r="S51" s="229">
        <f t="shared" si="5"/>
        <v>0.3</v>
      </c>
      <c r="T51" s="230">
        <f t="shared" si="6"/>
        <v>9.7188789546079814E-3</v>
      </c>
      <c r="U51" s="374">
        <f t="shared" si="47"/>
        <v>0</v>
      </c>
      <c r="V51" s="375">
        <f t="shared" si="48"/>
        <v>0</v>
      </c>
      <c r="W51" s="376">
        <f t="shared" si="49"/>
        <v>0</v>
      </c>
      <c r="X51" s="377">
        <f t="shared" si="50"/>
        <v>0.3</v>
      </c>
      <c r="Y51" s="378">
        <f t="shared" si="51"/>
        <v>0</v>
      </c>
      <c r="Z51" s="379">
        <f t="shared" si="52"/>
        <v>0</v>
      </c>
      <c r="AA51" s="380">
        <f t="shared" si="53"/>
        <v>0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  <c r="AN51" s="204"/>
    </row>
    <row r="52" spans="1:40" ht="14" customHeight="1" thickBot="1">
      <c r="A52" s="1261"/>
      <c r="B52" s="3274" t="s">
        <v>461</v>
      </c>
      <c r="C52" s="629">
        <f t="shared" si="1"/>
        <v>0</v>
      </c>
      <c r="D52" s="920"/>
      <c r="E52" s="3275"/>
      <c r="F52" s="1408"/>
      <c r="G52" s="1408"/>
      <c r="H52" s="3233"/>
      <c r="I52" s="3234"/>
      <c r="J52" s="3234"/>
      <c r="K52" s="1408"/>
      <c r="L52" s="3276">
        <f t="shared" si="66"/>
        <v>0.38730289349309327</v>
      </c>
      <c r="M52" s="3277">
        <v>0.78</v>
      </c>
      <c r="N52" s="1596">
        <f>SUM(N45:N51)</f>
        <v>4.7025115715315528E-2</v>
      </c>
      <c r="O52" s="1596"/>
      <c r="P52" s="3278"/>
      <c r="Q52" s="1662"/>
      <c r="R52" s="3279">
        <f>SUM(R45:R51)</f>
        <v>3650</v>
      </c>
      <c r="S52" s="229">
        <f t="shared" si="5"/>
        <v>0</v>
      </c>
      <c r="T52" s="230">
        <f t="shared" si="6"/>
        <v>0</v>
      </c>
      <c r="U52" s="374">
        <f t="shared" si="47"/>
        <v>0</v>
      </c>
      <c r="V52" s="375">
        <f t="shared" si="48"/>
        <v>0</v>
      </c>
      <c r="W52" s="376">
        <f t="shared" si="49"/>
        <v>0</v>
      </c>
      <c r="X52" s="377">
        <f t="shared" si="50"/>
        <v>0</v>
      </c>
      <c r="Y52" s="378">
        <f t="shared" si="51"/>
        <v>0</v>
      </c>
      <c r="Z52" s="379">
        <f t="shared" si="52"/>
        <v>0</v>
      </c>
      <c r="AA52" s="380">
        <f t="shared" si="53"/>
        <v>0</v>
      </c>
      <c r="AC52" s="231"/>
      <c r="AD52" s="231"/>
      <c r="AE52" s="231"/>
      <c r="AF52" s="231"/>
      <c r="AG52" s="231"/>
      <c r="AH52" s="231"/>
      <c r="AI52" s="213"/>
      <c r="AJ52" s="213"/>
      <c r="AK52" s="213"/>
      <c r="AL52" s="213"/>
      <c r="AM52" s="213"/>
      <c r="AN52" s="204"/>
    </row>
    <row r="53" spans="1:40" ht="14" customHeight="1" thickBot="1">
      <c r="A53" s="245" t="s">
        <v>219</v>
      </c>
      <c r="B53" s="3194" t="s">
        <v>139</v>
      </c>
      <c r="C53" s="629">
        <f t="shared" si="1"/>
        <v>0</v>
      </c>
      <c r="D53" s="3240"/>
      <c r="E53" s="3241"/>
      <c r="F53" s="3242"/>
      <c r="G53" s="672"/>
      <c r="H53" s="671"/>
      <c r="I53" s="671"/>
      <c r="J53" s="672"/>
      <c r="K53" s="2853"/>
      <c r="L53" s="3243"/>
      <c r="M53" s="3244"/>
      <c r="N53" s="3245"/>
      <c r="O53" s="672"/>
      <c r="P53" s="672"/>
      <c r="Q53" s="673"/>
      <c r="R53" s="3246"/>
      <c r="S53" s="229">
        <f t="shared" si="5"/>
        <v>0</v>
      </c>
      <c r="T53" s="230">
        <f t="shared" si="6"/>
        <v>0</v>
      </c>
      <c r="U53" s="374">
        <f t="shared" si="47"/>
        <v>0</v>
      </c>
      <c r="V53" s="375">
        <f t="shared" si="48"/>
        <v>0</v>
      </c>
      <c r="W53" s="376">
        <f t="shared" si="49"/>
        <v>0</v>
      </c>
      <c r="X53" s="377">
        <f t="shared" si="50"/>
        <v>0</v>
      </c>
      <c r="Y53" s="378">
        <f t="shared" si="51"/>
        <v>0</v>
      </c>
      <c r="Z53" s="379">
        <f t="shared" si="52"/>
        <v>0</v>
      </c>
      <c r="AA53" s="380">
        <f t="shared" si="53"/>
        <v>0</v>
      </c>
      <c r="AC53" s="231"/>
      <c r="AD53" s="231"/>
      <c r="AE53" s="231"/>
      <c r="AF53" s="231"/>
      <c r="AG53" s="231"/>
      <c r="AH53" s="231"/>
      <c r="AI53" s="213"/>
      <c r="AJ53" s="213"/>
      <c r="AK53" s="213"/>
      <c r="AL53" s="213"/>
      <c r="AM53" s="213"/>
      <c r="AN53" s="204"/>
    </row>
    <row r="54" spans="1:40" ht="13" customHeight="1" thickBot="1">
      <c r="A54" s="3167" t="s">
        <v>138</v>
      </c>
      <c r="B54" s="3168" t="s">
        <v>215</v>
      </c>
      <c r="C54" s="629">
        <f t="shared" si="1"/>
        <v>1.7682291666666674E-4</v>
      </c>
      <c r="D54" s="920">
        <v>7</v>
      </c>
      <c r="E54" s="441">
        <v>4</v>
      </c>
      <c r="F54" s="441">
        <v>8</v>
      </c>
      <c r="G54" s="441">
        <v>25</v>
      </c>
      <c r="H54" s="4334"/>
      <c r="I54" s="436">
        <v>2.8935185185185189E-4</v>
      </c>
      <c r="J54" s="436">
        <v>1.3888888888888889E-3</v>
      </c>
      <c r="K54" s="1201" t="s">
        <v>1899</v>
      </c>
      <c r="L54" s="1007">
        <f t="shared" ref="L54:L55" si="67">L53+N53</f>
        <v>0</v>
      </c>
      <c r="M54" s="517">
        <v>1.4</v>
      </c>
      <c r="N54" s="436">
        <f t="shared" ref="N54:N55" si="68">P54*E54*F54+I54*F54*E54+J54*E54</f>
        <v>2.2736481481481486E-2</v>
      </c>
      <c r="O54" s="436">
        <f t="shared" ref="O54" si="69">C54*(G54/25)</f>
        <v>1.7682291666666674E-4</v>
      </c>
      <c r="P54" s="439">
        <f>O54*M54</f>
        <v>2.475520833333334E-4</v>
      </c>
      <c r="Q54" s="443"/>
      <c r="R54" s="435">
        <f>E54*F54*G54</f>
        <v>800</v>
      </c>
      <c r="S54" s="229">
        <f t="shared" si="5"/>
        <v>0.8</v>
      </c>
      <c r="T54" s="230">
        <f t="shared" si="6"/>
        <v>2.2633333333333342E-2</v>
      </c>
      <c r="U54" s="374">
        <f t="shared" si="47"/>
        <v>0</v>
      </c>
      <c r="V54" s="375">
        <f t="shared" si="48"/>
        <v>0</v>
      </c>
      <c r="W54" s="376">
        <f t="shared" si="49"/>
        <v>0</v>
      </c>
      <c r="X54" s="377">
        <f t="shared" si="50"/>
        <v>0</v>
      </c>
      <c r="Y54" s="378">
        <f t="shared" si="51"/>
        <v>0</v>
      </c>
      <c r="Z54" s="379">
        <f t="shared" si="52"/>
        <v>0</v>
      </c>
      <c r="AA54" s="380">
        <f t="shared" si="53"/>
        <v>0.8</v>
      </c>
      <c r="AC54" s="231"/>
      <c r="AD54" s="231"/>
      <c r="AE54" s="231"/>
      <c r="AF54" s="231"/>
      <c r="AG54" s="231"/>
      <c r="AH54" s="231"/>
      <c r="AI54" s="213"/>
      <c r="AJ54" s="213"/>
      <c r="AK54" s="213"/>
      <c r="AL54" s="213"/>
      <c r="AM54" s="213"/>
      <c r="AN54" s="204"/>
    </row>
    <row r="55" spans="1:40" ht="14" thickBot="1">
      <c r="A55" s="3167" t="s">
        <v>779</v>
      </c>
      <c r="B55" s="3168" t="s">
        <v>215</v>
      </c>
      <c r="C55" s="629">
        <f t="shared" si="1"/>
        <v>0</v>
      </c>
      <c r="D55" s="920"/>
      <c r="E55" s="1405"/>
      <c r="F55" s="1405"/>
      <c r="G55" s="1405"/>
      <c r="H55" s="1406"/>
      <c r="I55" s="1407"/>
      <c r="J55" s="1407"/>
      <c r="K55" s="1408"/>
      <c r="L55" s="1596">
        <f t="shared" si="67"/>
        <v>2.2736481481481486E-2</v>
      </c>
      <c r="M55" s="1409">
        <v>2</v>
      </c>
      <c r="N55" s="1407">
        <f t="shared" si="68"/>
        <v>0</v>
      </c>
      <c r="O55" s="1407"/>
      <c r="P55" s="1410"/>
      <c r="Q55" s="1411"/>
      <c r="R55" s="1412">
        <f>SUM(R51:R54)</f>
        <v>4750</v>
      </c>
      <c r="S55" s="229">
        <f t="shared" si="5"/>
        <v>0</v>
      </c>
      <c r="T55" s="230">
        <f t="shared" si="6"/>
        <v>0</v>
      </c>
      <c r="U55" s="374">
        <f t="shared" si="47"/>
        <v>0</v>
      </c>
      <c r="V55" s="375">
        <f t="shared" si="48"/>
        <v>0</v>
      </c>
      <c r="W55" s="376">
        <f t="shared" si="49"/>
        <v>0</v>
      </c>
      <c r="X55" s="377">
        <f t="shared" si="50"/>
        <v>0</v>
      </c>
      <c r="Y55" s="378">
        <f t="shared" si="51"/>
        <v>0</v>
      </c>
      <c r="Z55" s="379">
        <f t="shared" si="52"/>
        <v>0</v>
      </c>
      <c r="AA55" s="380">
        <f t="shared" si="53"/>
        <v>0</v>
      </c>
      <c r="AC55" s="231"/>
      <c r="AD55" s="231"/>
      <c r="AE55" s="231"/>
      <c r="AF55" s="231"/>
      <c r="AG55" s="231"/>
      <c r="AH55" s="231"/>
      <c r="AI55" s="213"/>
      <c r="AJ55" s="213"/>
      <c r="AK55" s="213"/>
      <c r="AL55" s="213"/>
      <c r="AM55" s="213"/>
      <c r="AN55" s="204"/>
    </row>
    <row r="56" spans="1:40" ht="22" thickTop="1" thickBot="1">
      <c r="A56" s="144"/>
      <c r="B56" s="144"/>
      <c r="C56" s="979"/>
      <c r="D56" s="1034"/>
      <c r="E56" s="979"/>
      <c r="F56" s="979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238"/>
      <c r="T56" s="239"/>
      <c r="U56" s="240">
        <f t="shared" ref="U56:AA56" si="70">SUM(U5:U55)</f>
        <v>3.7</v>
      </c>
      <c r="V56" s="240">
        <f t="shared" si="70"/>
        <v>2.7</v>
      </c>
      <c r="W56" s="240">
        <f t="shared" si="70"/>
        <v>4.5</v>
      </c>
      <c r="X56" s="240">
        <f t="shared" si="70"/>
        <v>0.5</v>
      </c>
      <c r="Y56" s="240">
        <f t="shared" si="70"/>
        <v>0.7</v>
      </c>
      <c r="Z56" s="240">
        <f t="shared" si="70"/>
        <v>1.2000000000000002</v>
      </c>
      <c r="AA56" s="240">
        <f t="shared" si="70"/>
        <v>2.1000000000000005</v>
      </c>
      <c r="AB56" s="565">
        <f>SUM(U56:AA56)</f>
        <v>15.400000000000002</v>
      </c>
      <c r="AE56" s="222"/>
      <c r="AF56" s="222"/>
      <c r="AG56" s="222"/>
      <c r="AH56" s="222"/>
      <c r="AI56" s="222"/>
    </row>
    <row r="57" spans="1:40" ht="21" thickTop="1">
      <c r="A57" s="144"/>
      <c r="B57" s="144"/>
      <c r="C57" s="144"/>
      <c r="D57" s="906"/>
      <c r="E57" s="979"/>
      <c r="F57" s="979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566">
        <f>IF(U56&gt;0,U56,#REF!)</f>
        <v>3.7</v>
      </c>
      <c r="V57" s="566">
        <f>IF(V56&gt;0,V56,#REF!)</f>
        <v>2.7</v>
      </c>
      <c r="W57" s="566">
        <f>IF(W56&gt;0,W56,#REF!)</f>
        <v>4.5</v>
      </c>
      <c r="X57" s="566">
        <f>IF(X56&gt;0,X56,#REF!)</f>
        <v>0.5</v>
      </c>
      <c r="Y57" s="566">
        <f>IF(Y56&gt;0,Y56,#REF!)</f>
        <v>0.7</v>
      </c>
      <c r="Z57" s="566">
        <f>IF(Z56&gt;0,Z56,#REF!)</f>
        <v>1.2000000000000002</v>
      </c>
      <c r="AA57" s="566">
        <f>IF(AA56&gt;0,AA56,#REF!)</f>
        <v>2.1000000000000005</v>
      </c>
      <c r="AB57" s="144"/>
    </row>
    <row r="58" spans="1:40" ht="20">
      <c r="A58" s="144"/>
      <c r="B58" s="144"/>
      <c r="C58" s="144"/>
      <c r="D58" s="906"/>
      <c r="E58" s="979"/>
      <c r="F58" s="979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566">
        <f t="shared" ref="U58:AA73" si="71">IF(U57&gt;0,U57,U56)</f>
        <v>3.7</v>
      </c>
      <c r="V58" s="566">
        <f t="shared" si="71"/>
        <v>2.7</v>
      </c>
      <c r="W58" s="566">
        <f t="shared" si="71"/>
        <v>4.5</v>
      </c>
      <c r="X58" s="566">
        <f t="shared" si="71"/>
        <v>0.5</v>
      </c>
      <c r="Y58" s="566">
        <f t="shared" si="71"/>
        <v>0.7</v>
      </c>
      <c r="Z58" s="566">
        <f t="shared" si="71"/>
        <v>1.2000000000000002</v>
      </c>
      <c r="AA58" s="566">
        <f t="shared" si="71"/>
        <v>2.1000000000000005</v>
      </c>
      <c r="AB58" s="144"/>
      <c r="AC58" s="221"/>
      <c r="AD58" s="222"/>
      <c r="AE58" s="222"/>
      <c r="AF58" s="222"/>
      <c r="AG58" s="222"/>
      <c r="AH58" s="222"/>
      <c r="AI58" s="220"/>
    </row>
    <row r="59" spans="1:40">
      <c r="A59" s="144"/>
      <c r="B59" s="144"/>
      <c r="C59" s="144"/>
      <c r="D59" s="906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566">
        <f t="shared" si="71"/>
        <v>3.7</v>
      </c>
      <c r="V59" s="566">
        <f t="shared" si="71"/>
        <v>2.7</v>
      </c>
      <c r="W59" s="566">
        <f t="shared" si="71"/>
        <v>4.5</v>
      </c>
      <c r="X59" s="566">
        <f t="shared" si="71"/>
        <v>0.5</v>
      </c>
      <c r="Y59" s="566">
        <f t="shared" si="71"/>
        <v>0.7</v>
      </c>
      <c r="Z59" s="566">
        <f t="shared" si="71"/>
        <v>1.2000000000000002</v>
      </c>
      <c r="AA59" s="566">
        <f t="shared" si="71"/>
        <v>2.1000000000000005</v>
      </c>
      <c r="AB59" s="144"/>
      <c r="AC59" s="231" t="s">
        <v>193</v>
      </c>
      <c r="AD59" s="227"/>
      <c r="AE59" s="227"/>
      <c r="AF59" s="227"/>
      <c r="AG59" s="227"/>
      <c r="AH59" s="227"/>
      <c r="AI59" s="225"/>
      <c r="AJ59" s="204"/>
      <c r="AK59" s="204"/>
      <c r="AL59" s="204"/>
      <c r="AM59" s="204"/>
      <c r="AN59" s="204"/>
    </row>
    <row r="60" spans="1:40">
      <c r="A60" s="144"/>
      <c r="B60" s="144"/>
      <c r="C60" s="144"/>
      <c r="D60" s="906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566">
        <f t="shared" si="71"/>
        <v>3.7</v>
      </c>
      <c r="V60" s="566">
        <f t="shared" si="71"/>
        <v>2.7</v>
      </c>
      <c r="W60" s="566">
        <f t="shared" si="71"/>
        <v>4.5</v>
      </c>
      <c r="X60" s="566">
        <f t="shared" si="71"/>
        <v>0.5</v>
      </c>
      <c r="Y60" s="566">
        <f t="shared" si="71"/>
        <v>0.7</v>
      </c>
      <c r="Z60" s="566">
        <f t="shared" si="71"/>
        <v>1.2000000000000002</v>
      </c>
      <c r="AA60" s="566">
        <f t="shared" si="71"/>
        <v>2.1000000000000005</v>
      </c>
      <c r="AB60" s="144"/>
      <c r="AC60" s="231">
        <v>0</v>
      </c>
      <c r="AD60" s="231">
        <v>0</v>
      </c>
      <c r="AE60" s="231">
        <v>0</v>
      </c>
      <c r="AF60" s="231">
        <v>0</v>
      </c>
      <c r="AG60" s="231">
        <v>0</v>
      </c>
      <c r="AH60" s="231">
        <v>0</v>
      </c>
      <c r="AI60" s="225"/>
      <c r="AJ60" s="204"/>
      <c r="AK60" s="204"/>
      <c r="AL60" s="204"/>
      <c r="AM60" s="204"/>
      <c r="AN60" s="204"/>
    </row>
    <row r="61" spans="1:40">
      <c r="A61" s="144"/>
      <c r="B61" s="144"/>
      <c r="C61" s="144"/>
      <c r="D61" s="906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566">
        <f t="shared" si="71"/>
        <v>3.7</v>
      </c>
      <c r="V61" s="566">
        <f t="shared" si="71"/>
        <v>2.7</v>
      </c>
      <c r="W61" s="566">
        <f t="shared" si="71"/>
        <v>4.5</v>
      </c>
      <c r="X61" s="566">
        <f t="shared" si="71"/>
        <v>0.5</v>
      </c>
      <c r="Y61" s="566">
        <f t="shared" si="71"/>
        <v>0.7</v>
      </c>
      <c r="Z61" s="566">
        <f t="shared" si="71"/>
        <v>1.2000000000000002</v>
      </c>
      <c r="AA61" s="566">
        <f t="shared" si="71"/>
        <v>2.1000000000000005</v>
      </c>
      <c r="AB61" s="144"/>
      <c r="AC61" s="231"/>
      <c r="AD61" s="231"/>
      <c r="AE61" s="231"/>
      <c r="AF61" s="231"/>
      <c r="AG61" s="231"/>
      <c r="AH61" s="231"/>
      <c r="AI61" s="225"/>
      <c r="AJ61" s="204"/>
      <c r="AK61" s="204"/>
      <c r="AL61" s="204"/>
      <c r="AM61" s="204"/>
      <c r="AN61" s="204"/>
    </row>
    <row r="62" spans="1:40">
      <c r="A62" s="144"/>
      <c r="B62" s="144"/>
      <c r="C62" s="144"/>
      <c r="D62" s="906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566">
        <f t="shared" si="71"/>
        <v>3.7</v>
      </c>
      <c r="V62" s="566">
        <f t="shared" si="71"/>
        <v>2.7</v>
      </c>
      <c r="W62" s="566">
        <f t="shared" si="71"/>
        <v>4.5</v>
      </c>
      <c r="X62" s="566">
        <f t="shared" si="71"/>
        <v>0.5</v>
      </c>
      <c r="Y62" s="566">
        <f t="shared" si="71"/>
        <v>0.7</v>
      </c>
      <c r="Z62" s="566">
        <f t="shared" si="71"/>
        <v>1.2000000000000002</v>
      </c>
      <c r="AA62" s="566">
        <f t="shared" si="71"/>
        <v>2.1000000000000005</v>
      </c>
      <c r="AB62" s="144"/>
      <c r="AC62" s="231"/>
      <c r="AD62" s="231"/>
      <c r="AE62" s="231"/>
      <c r="AF62" s="231"/>
      <c r="AG62" s="231"/>
      <c r="AH62" s="231"/>
      <c r="AI62" s="225"/>
      <c r="AJ62" s="204"/>
      <c r="AK62" s="204"/>
      <c r="AL62" s="204"/>
      <c r="AM62" s="204"/>
      <c r="AN62" s="204"/>
    </row>
    <row r="63" spans="1:40">
      <c r="A63" s="144"/>
      <c r="B63" s="144"/>
      <c r="C63" s="144"/>
      <c r="D63" s="906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566">
        <f t="shared" si="71"/>
        <v>3.7</v>
      </c>
      <c r="V63" s="566">
        <f t="shared" si="71"/>
        <v>2.7</v>
      </c>
      <c r="W63" s="566">
        <f t="shared" si="71"/>
        <v>4.5</v>
      </c>
      <c r="X63" s="566">
        <f t="shared" si="71"/>
        <v>0.5</v>
      </c>
      <c r="Y63" s="566">
        <f t="shared" si="71"/>
        <v>0.7</v>
      </c>
      <c r="Z63" s="566">
        <f t="shared" si="71"/>
        <v>1.2000000000000002</v>
      </c>
      <c r="AA63" s="566">
        <f t="shared" si="71"/>
        <v>2.1000000000000005</v>
      </c>
      <c r="AB63" s="144"/>
      <c r="AC63" s="231">
        <v>0</v>
      </c>
      <c r="AD63" s="231">
        <v>0</v>
      </c>
      <c r="AE63" s="231">
        <v>0</v>
      </c>
      <c r="AF63" s="231">
        <v>0</v>
      </c>
      <c r="AG63" s="231">
        <v>0</v>
      </c>
      <c r="AH63" s="231">
        <v>0</v>
      </c>
      <c r="AI63" s="225"/>
      <c r="AJ63" s="204"/>
      <c r="AK63" s="204"/>
      <c r="AL63" s="204"/>
      <c r="AM63" s="204"/>
      <c r="AN63" s="204"/>
    </row>
    <row r="64" spans="1:40">
      <c r="A64" s="144"/>
      <c r="B64" s="144"/>
      <c r="C64" s="144"/>
      <c r="D64" s="906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566">
        <f t="shared" si="71"/>
        <v>3.7</v>
      </c>
      <c r="V64" s="566">
        <f t="shared" si="71"/>
        <v>2.7</v>
      </c>
      <c r="W64" s="566">
        <f t="shared" si="71"/>
        <v>4.5</v>
      </c>
      <c r="X64" s="566">
        <f t="shared" si="71"/>
        <v>0.5</v>
      </c>
      <c r="Y64" s="566">
        <f t="shared" si="71"/>
        <v>0.7</v>
      </c>
      <c r="Z64" s="566">
        <f t="shared" si="71"/>
        <v>1.2000000000000002</v>
      </c>
      <c r="AA64" s="566">
        <f t="shared" si="71"/>
        <v>2.1000000000000005</v>
      </c>
      <c r="AB64" s="144"/>
      <c r="AC64" s="231">
        <v>0</v>
      </c>
      <c r="AD64" s="231">
        <v>0</v>
      </c>
      <c r="AE64" s="231">
        <v>0</v>
      </c>
      <c r="AF64" s="231">
        <v>0</v>
      </c>
      <c r="AG64" s="231">
        <v>0</v>
      </c>
      <c r="AH64" s="231">
        <v>0</v>
      </c>
      <c r="AI64" s="213"/>
      <c r="AJ64" s="204"/>
      <c r="AK64" s="204"/>
      <c r="AL64" s="204"/>
      <c r="AM64" s="204"/>
      <c r="AN64" s="204"/>
    </row>
    <row r="65" spans="1:40">
      <c r="A65" s="144"/>
      <c r="B65" s="144"/>
      <c r="C65" s="144"/>
      <c r="D65" s="906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566">
        <f t="shared" si="71"/>
        <v>3.7</v>
      </c>
      <c r="V65" s="566">
        <f t="shared" si="71"/>
        <v>2.7</v>
      </c>
      <c r="W65" s="566">
        <f t="shared" si="71"/>
        <v>4.5</v>
      </c>
      <c r="X65" s="566">
        <f t="shared" si="71"/>
        <v>0.5</v>
      </c>
      <c r="Y65" s="566">
        <f t="shared" si="71"/>
        <v>0.7</v>
      </c>
      <c r="Z65" s="566">
        <f t="shared" si="71"/>
        <v>1.2000000000000002</v>
      </c>
      <c r="AA65" s="566">
        <f t="shared" si="71"/>
        <v>2.1000000000000005</v>
      </c>
      <c r="AB65" s="144"/>
      <c r="AC65" s="231"/>
      <c r="AD65" s="231"/>
      <c r="AE65" s="231"/>
      <c r="AF65" s="231"/>
      <c r="AG65" s="231"/>
      <c r="AH65" s="231"/>
      <c r="AI65" s="213"/>
      <c r="AJ65" s="204"/>
      <c r="AK65" s="204"/>
      <c r="AL65" s="204"/>
      <c r="AM65" s="204"/>
      <c r="AN65" s="204"/>
    </row>
    <row r="66" spans="1:40">
      <c r="A66" s="144"/>
      <c r="B66" s="144"/>
      <c r="C66" s="144"/>
      <c r="D66" s="906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566">
        <f t="shared" si="71"/>
        <v>3.7</v>
      </c>
      <c r="V66" s="566">
        <f t="shared" si="71"/>
        <v>2.7</v>
      </c>
      <c r="W66" s="566">
        <f t="shared" si="71"/>
        <v>4.5</v>
      </c>
      <c r="X66" s="566">
        <f t="shared" si="71"/>
        <v>0.5</v>
      </c>
      <c r="Y66" s="566">
        <f t="shared" si="71"/>
        <v>0.7</v>
      </c>
      <c r="Z66" s="566">
        <f t="shared" si="71"/>
        <v>1.2000000000000002</v>
      </c>
      <c r="AA66" s="566">
        <f t="shared" si="71"/>
        <v>2.1000000000000005</v>
      </c>
      <c r="AB66" s="144"/>
      <c r="AC66" s="231"/>
      <c r="AD66" s="231"/>
      <c r="AE66" s="231"/>
      <c r="AF66" s="231"/>
      <c r="AG66" s="231"/>
      <c r="AH66" s="231"/>
      <c r="AI66" s="213"/>
      <c r="AJ66" s="204"/>
      <c r="AK66" s="204"/>
      <c r="AL66" s="204"/>
      <c r="AM66" s="204"/>
      <c r="AN66" s="204"/>
    </row>
    <row r="67" spans="1:40">
      <c r="A67" s="144"/>
      <c r="B67" s="144"/>
      <c r="C67" s="144"/>
      <c r="D67" s="906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566">
        <f t="shared" si="71"/>
        <v>3.7</v>
      </c>
      <c r="V67" s="566">
        <f t="shared" si="71"/>
        <v>2.7</v>
      </c>
      <c r="W67" s="566">
        <f t="shared" si="71"/>
        <v>4.5</v>
      </c>
      <c r="X67" s="566">
        <f t="shared" si="71"/>
        <v>0.5</v>
      </c>
      <c r="Y67" s="566">
        <f t="shared" si="71"/>
        <v>0.7</v>
      </c>
      <c r="Z67" s="566">
        <f t="shared" si="71"/>
        <v>1.2000000000000002</v>
      </c>
      <c r="AA67" s="566">
        <f t="shared" si="71"/>
        <v>2.1000000000000005</v>
      </c>
      <c r="AB67" s="144"/>
      <c r="AC67" s="231">
        <v>0</v>
      </c>
      <c r="AD67" s="231">
        <v>0</v>
      </c>
      <c r="AE67" s="231">
        <v>0</v>
      </c>
      <c r="AF67" s="231">
        <v>0</v>
      </c>
      <c r="AG67" s="231">
        <v>0</v>
      </c>
      <c r="AH67" s="231">
        <v>0</v>
      </c>
      <c r="AI67" s="213"/>
      <c r="AJ67" s="204"/>
      <c r="AK67" s="204"/>
      <c r="AL67" s="204"/>
      <c r="AM67" s="204"/>
      <c r="AN67" s="204"/>
    </row>
    <row r="68" spans="1:40">
      <c r="A68" s="144"/>
      <c r="B68" s="144"/>
      <c r="C68" s="144"/>
      <c r="D68" s="906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566">
        <f t="shared" si="71"/>
        <v>3.7</v>
      </c>
      <c r="V68" s="566">
        <f t="shared" si="71"/>
        <v>2.7</v>
      </c>
      <c r="W68" s="566">
        <f t="shared" si="71"/>
        <v>4.5</v>
      </c>
      <c r="X68" s="566">
        <f t="shared" si="71"/>
        <v>0.5</v>
      </c>
      <c r="Y68" s="566">
        <f t="shared" si="71"/>
        <v>0.7</v>
      </c>
      <c r="Z68" s="566">
        <f t="shared" si="71"/>
        <v>1.2000000000000002</v>
      </c>
      <c r="AA68" s="566">
        <f t="shared" si="71"/>
        <v>2.1000000000000005</v>
      </c>
      <c r="AB68" s="144"/>
      <c r="AC68" s="231">
        <v>0</v>
      </c>
      <c r="AD68" s="231">
        <v>0</v>
      </c>
      <c r="AE68" s="231">
        <v>0</v>
      </c>
      <c r="AF68" s="231">
        <v>0</v>
      </c>
      <c r="AG68" s="231">
        <v>0</v>
      </c>
      <c r="AH68" s="231">
        <v>0</v>
      </c>
      <c r="AI68" s="213"/>
      <c r="AJ68" s="204"/>
      <c r="AK68" s="204"/>
      <c r="AL68" s="204"/>
      <c r="AM68" s="204"/>
      <c r="AN68" s="204"/>
    </row>
    <row r="69" spans="1:40">
      <c r="A69" s="144"/>
      <c r="B69" s="144"/>
      <c r="C69" s="144"/>
      <c r="D69" s="906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566">
        <f t="shared" si="71"/>
        <v>3.7</v>
      </c>
      <c r="V69" s="566">
        <f t="shared" si="71"/>
        <v>2.7</v>
      </c>
      <c r="W69" s="566">
        <f t="shared" si="71"/>
        <v>4.5</v>
      </c>
      <c r="X69" s="566">
        <f t="shared" si="71"/>
        <v>0.5</v>
      </c>
      <c r="Y69" s="566">
        <f t="shared" si="71"/>
        <v>0.7</v>
      </c>
      <c r="Z69" s="566">
        <f t="shared" si="71"/>
        <v>1.2000000000000002</v>
      </c>
      <c r="AA69" s="566">
        <f t="shared" si="71"/>
        <v>2.1000000000000005</v>
      </c>
      <c r="AB69" s="144"/>
      <c r="AC69" s="231">
        <v>0</v>
      </c>
      <c r="AD69" s="231">
        <v>0</v>
      </c>
      <c r="AE69" s="231">
        <v>0</v>
      </c>
      <c r="AF69" s="231">
        <v>0</v>
      </c>
      <c r="AG69" s="231">
        <v>0</v>
      </c>
      <c r="AH69" s="231">
        <v>0</v>
      </c>
      <c r="AI69" s="213"/>
      <c r="AJ69" s="204"/>
      <c r="AK69" s="204"/>
      <c r="AL69" s="204"/>
      <c r="AM69" s="204"/>
      <c r="AN69" s="204"/>
    </row>
    <row r="70" spans="1:40">
      <c r="A70" s="144"/>
      <c r="B70" s="144"/>
      <c r="C70" s="144"/>
      <c r="D70" s="906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566">
        <f t="shared" si="71"/>
        <v>3.7</v>
      </c>
      <c r="V70" s="566">
        <f t="shared" si="71"/>
        <v>2.7</v>
      </c>
      <c r="W70" s="566">
        <f t="shared" si="71"/>
        <v>4.5</v>
      </c>
      <c r="X70" s="566">
        <f t="shared" si="71"/>
        <v>0.5</v>
      </c>
      <c r="Y70" s="566">
        <f t="shared" si="71"/>
        <v>0.7</v>
      </c>
      <c r="Z70" s="566">
        <f t="shared" si="71"/>
        <v>1.2000000000000002</v>
      </c>
      <c r="AA70" s="566">
        <f t="shared" si="71"/>
        <v>2.1000000000000005</v>
      </c>
      <c r="AB70" s="144"/>
      <c r="AC70" s="231">
        <v>0</v>
      </c>
      <c r="AD70" s="231">
        <v>0</v>
      </c>
      <c r="AE70" s="231">
        <v>0</v>
      </c>
      <c r="AF70" s="231">
        <v>0</v>
      </c>
      <c r="AG70" s="231">
        <v>0</v>
      </c>
      <c r="AH70" s="231">
        <v>0</v>
      </c>
      <c r="AI70" s="213"/>
      <c r="AJ70" s="204"/>
      <c r="AK70" s="204"/>
      <c r="AL70" s="204"/>
      <c r="AM70" s="204"/>
      <c r="AN70" s="204"/>
    </row>
    <row r="71" spans="1:40">
      <c r="A71" s="144"/>
      <c r="B71" s="144"/>
      <c r="C71" s="144"/>
      <c r="D71" s="906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566">
        <f t="shared" si="71"/>
        <v>3.7</v>
      </c>
      <c r="V71" s="566">
        <f t="shared" si="71"/>
        <v>2.7</v>
      </c>
      <c r="W71" s="566">
        <f t="shared" si="71"/>
        <v>4.5</v>
      </c>
      <c r="X71" s="566">
        <f t="shared" si="71"/>
        <v>0.5</v>
      </c>
      <c r="Y71" s="566">
        <f t="shared" si="71"/>
        <v>0.7</v>
      </c>
      <c r="Z71" s="566">
        <f t="shared" si="71"/>
        <v>1.2000000000000002</v>
      </c>
      <c r="AA71" s="566">
        <f t="shared" si="71"/>
        <v>2.1000000000000005</v>
      </c>
      <c r="AB71" s="144"/>
      <c r="AC71" s="231"/>
      <c r="AD71" s="231"/>
      <c r="AE71" s="231"/>
      <c r="AF71" s="231"/>
      <c r="AG71" s="231"/>
      <c r="AH71" s="231"/>
      <c r="AI71" s="213"/>
      <c r="AJ71" s="204"/>
      <c r="AK71" s="204"/>
      <c r="AL71" s="204"/>
      <c r="AM71" s="204"/>
      <c r="AN71" s="204"/>
    </row>
    <row r="72" spans="1:40">
      <c r="A72" s="144"/>
      <c r="B72" s="144"/>
      <c r="C72" s="144"/>
      <c r="D72" s="906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566">
        <f t="shared" si="71"/>
        <v>3.7</v>
      </c>
      <c r="V72" s="566">
        <f t="shared" si="71"/>
        <v>2.7</v>
      </c>
      <c r="W72" s="566">
        <f t="shared" si="71"/>
        <v>4.5</v>
      </c>
      <c r="X72" s="566">
        <f t="shared" si="71"/>
        <v>0.5</v>
      </c>
      <c r="Y72" s="566">
        <f t="shared" si="71"/>
        <v>0.7</v>
      </c>
      <c r="Z72" s="566">
        <f t="shared" si="71"/>
        <v>1.2000000000000002</v>
      </c>
      <c r="AA72" s="566">
        <f t="shared" si="71"/>
        <v>2.1000000000000005</v>
      </c>
      <c r="AB72" s="144"/>
      <c r="AC72" s="231"/>
      <c r="AD72" s="231"/>
      <c r="AE72" s="231"/>
      <c r="AF72" s="231"/>
      <c r="AG72" s="231"/>
      <c r="AH72" s="231"/>
      <c r="AI72" s="213"/>
      <c r="AJ72" s="204"/>
      <c r="AK72" s="204"/>
      <c r="AL72" s="204"/>
      <c r="AM72" s="204"/>
      <c r="AN72" s="204"/>
    </row>
    <row r="73" spans="1:40">
      <c r="A73" s="144"/>
      <c r="B73" s="144"/>
      <c r="C73" s="144"/>
      <c r="D73" s="906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566">
        <f t="shared" si="71"/>
        <v>3.7</v>
      </c>
      <c r="V73" s="566">
        <f t="shared" si="71"/>
        <v>2.7</v>
      </c>
      <c r="W73" s="566">
        <f t="shared" si="71"/>
        <v>4.5</v>
      </c>
      <c r="X73" s="566">
        <f t="shared" si="71"/>
        <v>0.5</v>
      </c>
      <c r="Y73" s="566">
        <f t="shared" si="71"/>
        <v>0.7</v>
      </c>
      <c r="Z73" s="566">
        <f t="shared" si="71"/>
        <v>1.2000000000000002</v>
      </c>
      <c r="AA73" s="566">
        <f t="shared" si="71"/>
        <v>2.1000000000000005</v>
      </c>
      <c r="AB73" s="144"/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13"/>
      <c r="AJ73" s="204"/>
      <c r="AK73" s="204"/>
      <c r="AL73" s="204"/>
      <c r="AM73" s="204"/>
      <c r="AN73" s="204"/>
    </row>
    <row r="74" spans="1:40">
      <c r="A74" s="144"/>
      <c r="B74" s="144"/>
      <c r="C74" s="144"/>
      <c r="D74" s="906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566">
        <f t="shared" ref="U74:AA89" si="72">IF(U73&gt;0,U73,U72)</f>
        <v>3.7</v>
      </c>
      <c r="V74" s="566">
        <f t="shared" si="72"/>
        <v>2.7</v>
      </c>
      <c r="W74" s="566">
        <f t="shared" si="72"/>
        <v>4.5</v>
      </c>
      <c r="X74" s="566">
        <f t="shared" si="72"/>
        <v>0.5</v>
      </c>
      <c r="Y74" s="566">
        <f t="shared" si="72"/>
        <v>0.7</v>
      </c>
      <c r="Z74" s="566">
        <f t="shared" si="72"/>
        <v>1.2000000000000002</v>
      </c>
      <c r="AA74" s="566">
        <f t="shared" si="72"/>
        <v>2.1000000000000005</v>
      </c>
      <c r="AB74" s="144"/>
      <c r="AC74" s="231">
        <v>0</v>
      </c>
      <c r="AD74" s="231">
        <v>0</v>
      </c>
      <c r="AE74" s="231">
        <v>0</v>
      </c>
      <c r="AF74" s="231">
        <v>0</v>
      </c>
      <c r="AG74" s="231">
        <v>0</v>
      </c>
      <c r="AH74" s="231">
        <v>0</v>
      </c>
      <c r="AI74" s="213"/>
      <c r="AJ74" s="204"/>
      <c r="AK74" s="204"/>
      <c r="AL74" s="204"/>
      <c r="AM74" s="204"/>
      <c r="AN74" s="204"/>
    </row>
    <row r="75" spans="1:40">
      <c r="A75" s="144"/>
      <c r="B75" s="144"/>
      <c r="C75" s="144"/>
      <c r="D75" s="906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566">
        <f t="shared" si="72"/>
        <v>3.7</v>
      </c>
      <c r="V75" s="566">
        <f t="shared" si="72"/>
        <v>2.7</v>
      </c>
      <c r="W75" s="566">
        <f t="shared" si="72"/>
        <v>4.5</v>
      </c>
      <c r="X75" s="566">
        <f t="shared" si="72"/>
        <v>0.5</v>
      </c>
      <c r="Y75" s="566">
        <f t="shared" si="72"/>
        <v>0.7</v>
      </c>
      <c r="Z75" s="566">
        <f t="shared" si="72"/>
        <v>1.2000000000000002</v>
      </c>
      <c r="AA75" s="566">
        <f t="shared" si="72"/>
        <v>2.1000000000000005</v>
      </c>
      <c r="AB75" s="144"/>
      <c r="AC75" s="231">
        <v>0</v>
      </c>
      <c r="AD75" s="231">
        <v>0</v>
      </c>
      <c r="AE75" s="231">
        <v>0</v>
      </c>
      <c r="AF75" s="231">
        <v>0</v>
      </c>
      <c r="AG75" s="231">
        <v>0</v>
      </c>
      <c r="AH75" s="231">
        <v>0</v>
      </c>
      <c r="AI75" s="213"/>
      <c r="AJ75" s="204"/>
      <c r="AK75" s="204"/>
      <c r="AL75" s="204"/>
      <c r="AM75" s="204"/>
      <c r="AN75" s="204"/>
    </row>
    <row r="76" spans="1:40">
      <c r="A76" s="144"/>
      <c r="B76" s="144"/>
      <c r="C76" s="144"/>
      <c r="D76" s="906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566">
        <f t="shared" si="72"/>
        <v>3.7</v>
      </c>
      <c r="V76" s="566">
        <f t="shared" si="72"/>
        <v>2.7</v>
      </c>
      <c r="W76" s="566">
        <f t="shared" si="72"/>
        <v>4.5</v>
      </c>
      <c r="X76" s="566">
        <f t="shared" si="72"/>
        <v>0.5</v>
      </c>
      <c r="Y76" s="566">
        <f t="shared" si="72"/>
        <v>0.7</v>
      </c>
      <c r="Z76" s="566">
        <f t="shared" si="72"/>
        <v>1.2000000000000002</v>
      </c>
      <c r="AA76" s="566">
        <f t="shared" si="72"/>
        <v>2.1000000000000005</v>
      </c>
      <c r="AB76" s="144"/>
      <c r="AC76" s="231"/>
      <c r="AD76" s="231"/>
      <c r="AE76" s="231"/>
      <c r="AF76" s="231"/>
      <c r="AG76" s="231"/>
      <c r="AH76" s="231"/>
      <c r="AI76" s="213"/>
      <c r="AJ76" s="204"/>
      <c r="AK76" s="204"/>
      <c r="AL76" s="204"/>
      <c r="AM76" s="204"/>
      <c r="AN76" s="204"/>
    </row>
    <row r="77" spans="1:40">
      <c r="A77" s="144"/>
      <c r="B77" s="144"/>
      <c r="C77" s="144"/>
      <c r="D77" s="906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566">
        <f t="shared" si="72"/>
        <v>3.7</v>
      </c>
      <c r="V77" s="566">
        <f t="shared" si="72"/>
        <v>2.7</v>
      </c>
      <c r="W77" s="566">
        <f t="shared" si="72"/>
        <v>4.5</v>
      </c>
      <c r="X77" s="566">
        <f t="shared" si="72"/>
        <v>0.5</v>
      </c>
      <c r="Y77" s="566">
        <f t="shared" si="72"/>
        <v>0.7</v>
      </c>
      <c r="Z77" s="566">
        <f t="shared" si="72"/>
        <v>1.2000000000000002</v>
      </c>
      <c r="AA77" s="566">
        <f t="shared" si="72"/>
        <v>2.1000000000000005</v>
      </c>
      <c r="AB77" s="144"/>
      <c r="AC77" s="231"/>
      <c r="AD77" s="231"/>
      <c r="AE77" s="231"/>
      <c r="AF77" s="231"/>
      <c r="AG77" s="231"/>
      <c r="AH77" s="231"/>
      <c r="AI77" s="213"/>
      <c r="AJ77" s="204"/>
      <c r="AK77" s="204"/>
      <c r="AL77" s="204"/>
      <c r="AM77" s="204"/>
      <c r="AN77" s="204"/>
    </row>
    <row r="78" spans="1:40">
      <c r="A78" s="144"/>
      <c r="B78" s="144"/>
      <c r="C78" s="144"/>
      <c r="D78" s="906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566">
        <f t="shared" si="72"/>
        <v>3.7</v>
      </c>
      <c r="V78" s="566">
        <f t="shared" si="72"/>
        <v>2.7</v>
      </c>
      <c r="W78" s="566">
        <f t="shared" si="72"/>
        <v>4.5</v>
      </c>
      <c r="X78" s="566">
        <f t="shared" si="72"/>
        <v>0.5</v>
      </c>
      <c r="Y78" s="566">
        <f t="shared" si="72"/>
        <v>0.7</v>
      </c>
      <c r="Z78" s="566">
        <f t="shared" si="72"/>
        <v>1.2000000000000002</v>
      </c>
      <c r="AA78" s="566">
        <f t="shared" si="72"/>
        <v>2.1000000000000005</v>
      </c>
      <c r="AB78" s="144"/>
      <c r="AC78" s="231">
        <v>0</v>
      </c>
      <c r="AD78" s="231">
        <v>0</v>
      </c>
      <c r="AE78" s="231">
        <v>0</v>
      </c>
      <c r="AF78" s="231">
        <v>0</v>
      </c>
      <c r="AG78" s="231">
        <v>0</v>
      </c>
      <c r="AH78" s="231">
        <v>0</v>
      </c>
      <c r="AI78" s="213"/>
      <c r="AJ78" s="204"/>
      <c r="AK78" s="204"/>
      <c r="AL78" s="204"/>
      <c r="AM78" s="204"/>
      <c r="AN78" s="204"/>
    </row>
    <row r="79" spans="1:40">
      <c r="A79" s="144"/>
      <c r="B79" s="144"/>
      <c r="C79" s="144"/>
      <c r="D79" s="906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566">
        <f t="shared" si="72"/>
        <v>3.7</v>
      </c>
      <c r="V79" s="566">
        <f t="shared" si="72"/>
        <v>2.7</v>
      </c>
      <c r="W79" s="566">
        <f t="shared" si="72"/>
        <v>4.5</v>
      </c>
      <c r="X79" s="566">
        <f t="shared" si="72"/>
        <v>0.5</v>
      </c>
      <c r="Y79" s="566">
        <f t="shared" si="72"/>
        <v>0.7</v>
      </c>
      <c r="Z79" s="566">
        <f t="shared" si="72"/>
        <v>1.2000000000000002</v>
      </c>
      <c r="AA79" s="566">
        <f t="shared" si="72"/>
        <v>2.1000000000000005</v>
      </c>
      <c r="AB79" s="144"/>
      <c r="AC79" s="231">
        <v>0</v>
      </c>
      <c r="AD79" s="231">
        <v>0</v>
      </c>
      <c r="AE79" s="231">
        <v>0</v>
      </c>
      <c r="AF79" s="231">
        <v>0</v>
      </c>
      <c r="AG79" s="231">
        <v>0</v>
      </c>
      <c r="AH79" s="231">
        <v>0</v>
      </c>
      <c r="AI79" s="213"/>
      <c r="AJ79" s="204"/>
      <c r="AK79" s="204"/>
      <c r="AL79" s="204"/>
      <c r="AM79" s="204"/>
      <c r="AN79" s="204"/>
    </row>
    <row r="80" spans="1:40">
      <c r="A80" s="144"/>
      <c r="B80" s="144"/>
      <c r="C80" s="144"/>
      <c r="D80" s="906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566">
        <f t="shared" si="72"/>
        <v>3.7</v>
      </c>
      <c r="V80" s="566">
        <f t="shared" si="72"/>
        <v>2.7</v>
      </c>
      <c r="W80" s="566">
        <f t="shared" si="72"/>
        <v>4.5</v>
      </c>
      <c r="X80" s="566">
        <f t="shared" si="72"/>
        <v>0.5</v>
      </c>
      <c r="Y80" s="566">
        <f t="shared" si="72"/>
        <v>0.7</v>
      </c>
      <c r="Z80" s="566">
        <f t="shared" si="72"/>
        <v>1.2000000000000002</v>
      </c>
      <c r="AA80" s="566">
        <f t="shared" si="72"/>
        <v>2.1000000000000005</v>
      </c>
      <c r="AB80" s="144"/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13"/>
      <c r="AJ80" s="204"/>
      <c r="AK80" s="204"/>
      <c r="AL80" s="204"/>
      <c r="AM80" s="204"/>
      <c r="AN80" s="204"/>
    </row>
    <row r="81" spans="1:40">
      <c r="A81" s="144"/>
      <c r="B81" s="144"/>
      <c r="C81" s="144"/>
      <c r="D81" s="906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566">
        <f t="shared" si="72"/>
        <v>3.7</v>
      </c>
      <c r="V81" s="566">
        <f t="shared" si="72"/>
        <v>2.7</v>
      </c>
      <c r="W81" s="566">
        <f t="shared" si="72"/>
        <v>4.5</v>
      </c>
      <c r="X81" s="566">
        <f t="shared" si="72"/>
        <v>0.5</v>
      </c>
      <c r="Y81" s="566">
        <f t="shared" si="72"/>
        <v>0.7</v>
      </c>
      <c r="Z81" s="566">
        <f t="shared" si="72"/>
        <v>1.2000000000000002</v>
      </c>
      <c r="AA81" s="566">
        <f t="shared" si="72"/>
        <v>2.1000000000000005</v>
      </c>
      <c r="AB81" s="144"/>
      <c r="AC81" s="231"/>
      <c r="AD81" s="231"/>
      <c r="AE81" s="231"/>
      <c r="AF81" s="231"/>
      <c r="AG81" s="231"/>
      <c r="AH81" s="231"/>
      <c r="AI81" s="213"/>
      <c r="AJ81" s="204"/>
      <c r="AK81" s="204"/>
      <c r="AL81" s="204"/>
      <c r="AM81" s="204"/>
      <c r="AN81" s="204"/>
    </row>
    <row r="82" spans="1:40">
      <c r="A82" s="144"/>
      <c r="B82" s="144"/>
      <c r="C82" s="144"/>
      <c r="D82" s="906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566">
        <f t="shared" si="72"/>
        <v>3.7</v>
      </c>
      <c r="V82" s="566">
        <f t="shared" si="72"/>
        <v>2.7</v>
      </c>
      <c r="W82" s="566">
        <f t="shared" si="72"/>
        <v>4.5</v>
      </c>
      <c r="X82" s="566">
        <f t="shared" si="72"/>
        <v>0.5</v>
      </c>
      <c r="Y82" s="566">
        <f t="shared" si="72"/>
        <v>0.7</v>
      </c>
      <c r="Z82" s="566">
        <f t="shared" si="72"/>
        <v>1.2000000000000002</v>
      </c>
      <c r="AA82" s="566">
        <f t="shared" si="72"/>
        <v>2.1000000000000005</v>
      </c>
      <c r="AB82" s="144"/>
      <c r="AC82" s="231"/>
      <c r="AD82" s="231"/>
      <c r="AE82" s="231"/>
      <c r="AF82" s="231"/>
      <c r="AG82" s="231"/>
      <c r="AH82" s="231"/>
      <c r="AI82" s="213"/>
      <c r="AJ82" s="204"/>
      <c r="AK82" s="204"/>
      <c r="AL82" s="204"/>
      <c r="AM82" s="204"/>
      <c r="AN82" s="204"/>
    </row>
    <row r="83" spans="1:40">
      <c r="A83" s="144"/>
      <c r="B83" s="144"/>
      <c r="C83" s="144"/>
      <c r="D83" s="906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566">
        <f t="shared" si="72"/>
        <v>3.7</v>
      </c>
      <c r="V83" s="566">
        <f t="shared" si="72"/>
        <v>2.7</v>
      </c>
      <c r="W83" s="566">
        <f t="shared" si="72"/>
        <v>4.5</v>
      </c>
      <c r="X83" s="566">
        <f t="shared" si="72"/>
        <v>0.5</v>
      </c>
      <c r="Y83" s="566">
        <f t="shared" si="72"/>
        <v>0.7</v>
      </c>
      <c r="Z83" s="566">
        <f t="shared" si="72"/>
        <v>1.2000000000000002</v>
      </c>
      <c r="AA83" s="566">
        <f t="shared" si="72"/>
        <v>2.1000000000000005</v>
      </c>
      <c r="AB83" s="144"/>
      <c r="AC83" s="231">
        <v>0</v>
      </c>
      <c r="AD83" s="231">
        <v>0</v>
      </c>
      <c r="AE83" s="231">
        <v>0</v>
      </c>
      <c r="AF83" s="231">
        <v>0</v>
      </c>
      <c r="AG83" s="231">
        <v>0</v>
      </c>
      <c r="AH83" s="231">
        <v>0</v>
      </c>
      <c r="AI83" s="213"/>
      <c r="AJ83" s="204"/>
      <c r="AK83" s="204"/>
      <c r="AL83" s="204"/>
      <c r="AM83" s="204"/>
      <c r="AN83" s="204"/>
    </row>
    <row r="84" spans="1:40">
      <c r="A84" s="144"/>
      <c r="B84" s="144"/>
      <c r="C84" s="144"/>
      <c r="D84" s="906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566">
        <f t="shared" si="72"/>
        <v>3.7</v>
      </c>
      <c r="V84" s="566">
        <f t="shared" si="72"/>
        <v>2.7</v>
      </c>
      <c r="W84" s="566">
        <f t="shared" si="72"/>
        <v>4.5</v>
      </c>
      <c r="X84" s="566">
        <f t="shared" si="72"/>
        <v>0.5</v>
      </c>
      <c r="Y84" s="566">
        <f t="shared" si="72"/>
        <v>0.7</v>
      </c>
      <c r="Z84" s="566">
        <f t="shared" si="72"/>
        <v>1.2000000000000002</v>
      </c>
      <c r="AA84" s="566">
        <f t="shared" si="72"/>
        <v>2.1000000000000005</v>
      </c>
      <c r="AB84" s="144"/>
      <c r="AC84" s="231">
        <v>0</v>
      </c>
      <c r="AD84" s="231">
        <v>0</v>
      </c>
      <c r="AE84" s="231">
        <v>0</v>
      </c>
      <c r="AF84" s="231">
        <v>0</v>
      </c>
      <c r="AG84" s="231">
        <v>0</v>
      </c>
      <c r="AH84" s="231">
        <v>0</v>
      </c>
      <c r="AI84" s="213"/>
      <c r="AJ84" s="204"/>
      <c r="AK84" s="204"/>
      <c r="AL84" s="204"/>
      <c r="AM84" s="204"/>
      <c r="AN84" s="204"/>
    </row>
    <row r="85" spans="1:40">
      <c r="A85" s="144"/>
      <c r="B85" s="144"/>
      <c r="C85" s="144"/>
      <c r="D85" s="906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566">
        <f t="shared" si="72"/>
        <v>3.7</v>
      </c>
      <c r="V85" s="566">
        <f t="shared" si="72"/>
        <v>2.7</v>
      </c>
      <c r="W85" s="566">
        <f t="shared" si="72"/>
        <v>4.5</v>
      </c>
      <c r="X85" s="566">
        <f t="shared" si="72"/>
        <v>0.5</v>
      </c>
      <c r="Y85" s="566">
        <f t="shared" si="72"/>
        <v>0.7</v>
      </c>
      <c r="Z85" s="566">
        <f t="shared" si="72"/>
        <v>1.2000000000000002</v>
      </c>
      <c r="AA85" s="566">
        <f t="shared" si="72"/>
        <v>2.1000000000000005</v>
      </c>
      <c r="AB85" s="144"/>
      <c r="AC85" s="231"/>
      <c r="AD85" s="231"/>
      <c r="AE85" s="231"/>
      <c r="AF85" s="231"/>
      <c r="AG85" s="231"/>
      <c r="AH85" s="231"/>
      <c r="AI85" s="213"/>
      <c r="AJ85" s="204"/>
      <c r="AK85" s="204"/>
      <c r="AL85" s="204"/>
      <c r="AM85" s="204"/>
      <c r="AN85" s="204"/>
    </row>
    <row r="86" spans="1:40">
      <c r="A86" s="144"/>
      <c r="B86" s="144"/>
      <c r="C86" s="144"/>
      <c r="D86" s="906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566">
        <f t="shared" si="72"/>
        <v>3.7</v>
      </c>
      <c r="V86" s="566">
        <f t="shared" si="72"/>
        <v>2.7</v>
      </c>
      <c r="W86" s="566">
        <f t="shared" si="72"/>
        <v>4.5</v>
      </c>
      <c r="X86" s="566">
        <f t="shared" si="72"/>
        <v>0.5</v>
      </c>
      <c r="Y86" s="566">
        <f t="shared" si="72"/>
        <v>0.7</v>
      </c>
      <c r="Z86" s="566">
        <f t="shared" si="72"/>
        <v>1.2000000000000002</v>
      </c>
      <c r="AA86" s="566">
        <f t="shared" si="72"/>
        <v>2.1000000000000005</v>
      </c>
      <c r="AB86" s="144"/>
      <c r="AC86" s="231"/>
      <c r="AD86" s="231"/>
      <c r="AE86" s="231"/>
      <c r="AF86" s="231"/>
      <c r="AG86" s="231"/>
      <c r="AH86" s="231"/>
      <c r="AI86" s="213"/>
      <c r="AJ86" s="204"/>
      <c r="AK86" s="204"/>
      <c r="AL86" s="204"/>
      <c r="AM86" s="204"/>
      <c r="AN86" s="204"/>
    </row>
    <row r="87" spans="1:40">
      <c r="A87" s="144"/>
      <c r="B87" s="144"/>
      <c r="C87" s="144"/>
      <c r="D87" s="906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566">
        <f t="shared" si="72"/>
        <v>3.7</v>
      </c>
      <c r="V87" s="566">
        <f t="shared" si="72"/>
        <v>2.7</v>
      </c>
      <c r="W87" s="566">
        <f t="shared" si="72"/>
        <v>4.5</v>
      </c>
      <c r="X87" s="566">
        <f t="shared" si="72"/>
        <v>0.5</v>
      </c>
      <c r="Y87" s="566">
        <f t="shared" si="72"/>
        <v>0.7</v>
      </c>
      <c r="Z87" s="566">
        <f t="shared" si="72"/>
        <v>1.2000000000000002</v>
      </c>
      <c r="AA87" s="566">
        <f t="shared" si="72"/>
        <v>2.1000000000000005</v>
      </c>
      <c r="AB87" s="144"/>
      <c r="AC87" s="231">
        <v>0</v>
      </c>
      <c r="AD87" s="231">
        <v>0</v>
      </c>
      <c r="AE87" s="231">
        <v>0</v>
      </c>
      <c r="AF87" s="231">
        <v>0</v>
      </c>
      <c r="AG87" s="231">
        <v>0</v>
      </c>
      <c r="AH87" s="231">
        <v>0</v>
      </c>
      <c r="AI87" s="213"/>
      <c r="AJ87" s="204"/>
      <c r="AK87" s="204"/>
      <c r="AL87" s="204"/>
      <c r="AM87" s="204"/>
      <c r="AN87" s="204"/>
    </row>
    <row r="88" spans="1:40" ht="15" customHeight="1">
      <c r="A88" s="144"/>
      <c r="B88" s="144"/>
      <c r="C88" s="144"/>
      <c r="D88" s="906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566">
        <f t="shared" si="72"/>
        <v>3.7</v>
      </c>
      <c r="V88" s="566">
        <f t="shared" si="72"/>
        <v>2.7</v>
      </c>
      <c r="W88" s="566">
        <f t="shared" si="72"/>
        <v>4.5</v>
      </c>
      <c r="X88" s="566">
        <f t="shared" si="72"/>
        <v>0.5</v>
      </c>
      <c r="Y88" s="566">
        <f t="shared" si="72"/>
        <v>0.7</v>
      </c>
      <c r="Z88" s="566">
        <f t="shared" si="72"/>
        <v>1.2000000000000002</v>
      </c>
      <c r="AA88" s="566">
        <f t="shared" si="72"/>
        <v>2.1000000000000005</v>
      </c>
      <c r="AB88" s="144"/>
      <c r="AC88" s="231">
        <v>0</v>
      </c>
      <c r="AD88" s="231">
        <v>0</v>
      </c>
      <c r="AE88" s="231">
        <v>0</v>
      </c>
      <c r="AF88" s="231">
        <v>0</v>
      </c>
      <c r="AG88" s="231">
        <v>0</v>
      </c>
      <c r="AH88" s="231">
        <v>0</v>
      </c>
      <c r="AI88" s="213"/>
      <c r="AJ88" s="204"/>
      <c r="AK88" s="204"/>
      <c r="AL88" s="204"/>
      <c r="AM88" s="204"/>
      <c r="AN88" s="204"/>
    </row>
    <row r="89" spans="1:40">
      <c r="A89" s="144"/>
      <c r="B89" s="144"/>
      <c r="C89" s="144"/>
      <c r="D89" s="906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566">
        <f t="shared" si="72"/>
        <v>3.7</v>
      </c>
      <c r="V89" s="566">
        <f t="shared" si="72"/>
        <v>2.7</v>
      </c>
      <c r="W89" s="566">
        <f t="shared" si="72"/>
        <v>4.5</v>
      </c>
      <c r="X89" s="566">
        <f t="shared" si="72"/>
        <v>0.5</v>
      </c>
      <c r="Y89" s="566">
        <f t="shared" si="72"/>
        <v>0.7</v>
      </c>
      <c r="Z89" s="566">
        <f t="shared" si="72"/>
        <v>1.2000000000000002</v>
      </c>
      <c r="AA89" s="566">
        <f t="shared" si="72"/>
        <v>2.1000000000000005</v>
      </c>
      <c r="AB89" s="144"/>
      <c r="AC89" s="231">
        <v>0</v>
      </c>
      <c r="AD89" s="231">
        <v>0</v>
      </c>
      <c r="AE89" s="231">
        <v>0</v>
      </c>
      <c r="AF89" s="231">
        <v>0</v>
      </c>
      <c r="AG89" s="231">
        <v>0</v>
      </c>
      <c r="AH89" s="231">
        <v>0</v>
      </c>
      <c r="AI89" s="213"/>
      <c r="AJ89" s="204"/>
      <c r="AK89" s="204"/>
      <c r="AL89" s="204"/>
      <c r="AM89" s="204"/>
      <c r="AN89" s="204"/>
    </row>
    <row r="90" spans="1:40">
      <c r="A90" s="144"/>
      <c r="B90" s="144"/>
      <c r="C90" s="144"/>
      <c r="D90" s="906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566">
        <f t="shared" ref="U90:AA105" si="73">IF(U89&gt;0,U89,U88)</f>
        <v>3.7</v>
      </c>
      <c r="V90" s="566">
        <f t="shared" si="73"/>
        <v>2.7</v>
      </c>
      <c r="W90" s="566">
        <f t="shared" si="73"/>
        <v>4.5</v>
      </c>
      <c r="X90" s="566">
        <f t="shared" si="73"/>
        <v>0.5</v>
      </c>
      <c r="Y90" s="566">
        <f t="shared" si="73"/>
        <v>0.7</v>
      </c>
      <c r="Z90" s="566">
        <f t="shared" si="73"/>
        <v>1.2000000000000002</v>
      </c>
      <c r="AA90" s="566">
        <f t="shared" si="73"/>
        <v>2.1000000000000005</v>
      </c>
      <c r="AB90" s="144"/>
      <c r="AC90" s="231">
        <v>0</v>
      </c>
      <c r="AD90" s="231">
        <v>0</v>
      </c>
      <c r="AE90" s="231">
        <v>0</v>
      </c>
      <c r="AF90" s="231">
        <v>0</v>
      </c>
      <c r="AG90" s="231">
        <v>0</v>
      </c>
      <c r="AH90" s="231">
        <v>0</v>
      </c>
      <c r="AI90" s="213"/>
      <c r="AJ90" s="204"/>
      <c r="AK90" s="204"/>
      <c r="AL90" s="204"/>
      <c r="AM90" s="204"/>
      <c r="AN90" s="204"/>
    </row>
    <row r="91" spans="1:40">
      <c r="A91" s="144"/>
      <c r="B91" s="144"/>
      <c r="C91" s="144"/>
      <c r="D91" s="906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566">
        <f t="shared" si="73"/>
        <v>3.7</v>
      </c>
      <c r="V91" s="566">
        <f t="shared" si="73"/>
        <v>2.7</v>
      </c>
      <c r="W91" s="566">
        <f t="shared" si="73"/>
        <v>4.5</v>
      </c>
      <c r="X91" s="566">
        <f t="shared" si="73"/>
        <v>0.5</v>
      </c>
      <c r="Y91" s="566">
        <f t="shared" si="73"/>
        <v>0.7</v>
      </c>
      <c r="Z91" s="566">
        <f t="shared" si="73"/>
        <v>1.2000000000000002</v>
      </c>
      <c r="AA91" s="566">
        <f t="shared" si="73"/>
        <v>2.1000000000000005</v>
      </c>
      <c r="AB91" s="144"/>
      <c r="AC91" s="231"/>
      <c r="AD91" s="231"/>
      <c r="AE91" s="231"/>
      <c r="AF91" s="231"/>
      <c r="AG91" s="231"/>
      <c r="AH91" s="231"/>
      <c r="AI91" s="213"/>
      <c r="AJ91" s="204"/>
      <c r="AK91" s="204"/>
      <c r="AL91" s="204"/>
      <c r="AM91" s="204"/>
      <c r="AN91" s="204"/>
    </row>
    <row r="92" spans="1:40">
      <c r="A92" s="144"/>
      <c r="B92" s="144"/>
      <c r="C92" s="144"/>
      <c r="D92" s="906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566">
        <f t="shared" si="73"/>
        <v>3.7</v>
      </c>
      <c r="V92" s="566">
        <f t="shared" si="73"/>
        <v>2.7</v>
      </c>
      <c r="W92" s="566">
        <f t="shared" si="73"/>
        <v>4.5</v>
      </c>
      <c r="X92" s="566">
        <f t="shared" si="73"/>
        <v>0.5</v>
      </c>
      <c r="Y92" s="566">
        <f t="shared" si="73"/>
        <v>0.7</v>
      </c>
      <c r="Z92" s="566">
        <f t="shared" si="73"/>
        <v>1.2000000000000002</v>
      </c>
      <c r="AA92" s="566">
        <f t="shared" si="73"/>
        <v>2.1000000000000005</v>
      </c>
      <c r="AB92" s="144"/>
      <c r="AC92" s="231">
        <v>0</v>
      </c>
      <c r="AD92" s="231">
        <v>0</v>
      </c>
      <c r="AE92" s="231">
        <v>0</v>
      </c>
      <c r="AF92" s="231">
        <v>0</v>
      </c>
      <c r="AG92" s="231">
        <v>0</v>
      </c>
      <c r="AH92" s="231">
        <v>0</v>
      </c>
      <c r="AI92" s="213"/>
      <c r="AJ92" s="204"/>
      <c r="AK92" s="204"/>
      <c r="AL92" s="204"/>
      <c r="AM92" s="204"/>
      <c r="AN92" s="204"/>
    </row>
    <row r="93" spans="1:40">
      <c r="A93" s="144"/>
      <c r="B93" s="144"/>
      <c r="C93" s="144"/>
      <c r="D93" s="906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566">
        <f t="shared" si="73"/>
        <v>3.7</v>
      </c>
      <c r="V93" s="566">
        <f t="shared" si="73"/>
        <v>2.7</v>
      </c>
      <c r="W93" s="566">
        <f t="shared" si="73"/>
        <v>4.5</v>
      </c>
      <c r="X93" s="566">
        <f t="shared" si="73"/>
        <v>0.5</v>
      </c>
      <c r="Y93" s="566">
        <f t="shared" si="73"/>
        <v>0.7</v>
      </c>
      <c r="Z93" s="566">
        <f t="shared" si="73"/>
        <v>1.2000000000000002</v>
      </c>
      <c r="AA93" s="566">
        <f t="shared" si="73"/>
        <v>2.1000000000000005</v>
      </c>
      <c r="AB93" s="144"/>
      <c r="AC93" s="231">
        <v>0</v>
      </c>
      <c r="AD93" s="231">
        <v>0</v>
      </c>
      <c r="AE93" s="231">
        <v>0</v>
      </c>
      <c r="AF93" s="231">
        <v>0</v>
      </c>
      <c r="AG93" s="231">
        <v>0</v>
      </c>
      <c r="AH93" s="231">
        <v>0</v>
      </c>
      <c r="AI93" s="213"/>
      <c r="AJ93" s="204"/>
      <c r="AK93" s="204"/>
      <c r="AL93" s="204"/>
      <c r="AM93" s="204"/>
      <c r="AN93" s="204"/>
    </row>
    <row r="94" spans="1:40">
      <c r="A94" s="144"/>
      <c r="B94" s="144"/>
      <c r="C94" s="144"/>
      <c r="D94" s="906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566">
        <f t="shared" si="73"/>
        <v>3.7</v>
      </c>
      <c r="V94" s="566">
        <f t="shared" si="73"/>
        <v>2.7</v>
      </c>
      <c r="W94" s="566">
        <f t="shared" si="73"/>
        <v>4.5</v>
      </c>
      <c r="X94" s="566">
        <f t="shared" si="73"/>
        <v>0.5</v>
      </c>
      <c r="Y94" s="566">
        <f t="shared" si="73"/>
        <v>0.7</v>
      </c>
      <c r="Z94" s="566">
        <f t="shared" si="73"/>
        <v>1.2000000000000002</v>
      </c>
      <c r="AA94" s="566">
        <f t="shared" si="73"/>
        <v>2.1000000000000005</v>
      </c>
      <c r="AB94" s="144"/>
      <c r="AC94" s="231"/>
      <c r="AD94" s="231"/>
      <c r="AE94" s="231"/>
      <c r="AF94" s="231"/>
      <c r="AG94" s="231"/>
      <c r="AH94" s="231"/>
      <c r="AI94" s="213"/>
      <c r="AJ94" s="204"/>
      <c r="AK94" s="204"/>
      <c r="AL94" s="204"/>
      <c r="AM94" s="204"/>
      <c r="AN94" s="204"/>
    </row>
    <row r="95" spans="1:40">
      <c r="A95" s="144"/>
      <c r="B95" s="144"/>
      <c r="C95" s="144"/>
      <c r="D95" s="906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566">
        <f t="shared" si="73"/>
        <v>3.7</v>
      </c>
      <c r="V95" s="566">
        <f t="shared" si="73"/>
        <v>2.7</v>
      </c>
      <c r="W95" s="566">
        <f t="shared" si="73"/>
        <v>4.5</v>
      </c>
      <c r="X95" s="566">
        <f t="shared" si="73"/>
        <v>0.5</v>
      </c>
      <c r="Y95" s="566">
        <f t="shared" si="73"/>
        <v>0.7</v>
      </c>
      <c r="Z95" s="566">
        <f t="shared" si="73"/>
        <v>1.2000000000000002</v>
      </c>
      <c r="AA95" s="566">
        <f t="shared" si="73"/>
        <v>2.1000000000000005</v>
      </c>
      <c r="AB95" s="144"/>
      <c r="AC95" s="231"/>
      <c r="AD95" s="231"/>
      <c r="AE95" s="231"/>
      <c r="AF95" s="231"/>
      <c r="AG95" s="231"/>
      <c r="AH95" s="231"/>
      <c r="AI95" s="213"/>
      <c r="AJ95" s="204"/>
      <c r="AK95" s="204"/>
      <c r="AL95" s="204"/>
      <c r="AM95" s="204"/>
      <c r="AN95" s="204"/>
    </row>
    <row r="96" spans="1:40">
      <c r="A96" s="144"/>
      <c r="B96" s="144"/>
      <c r="C96" s="144"/>
      <c r="D96" s="906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566">
        <f t="shared" si="73"/>
        <v>3.7</v>
      </c>
      <c r="V96" s="566">
        <f t="shared" si="73"/>
        <v>2.7</v>
      </c>
      <c r="W96" s="566">
        <f t="shared" si="73"/>
        <v>4.5</v>
      </c>
      <c r="X96" s="566">
        <f t="shared" si="73"/>
        <v>0.5</v>
      </c>
      <c r="Y96" s="566">
        <f t="shared" si="73"/>
        <v>0.7</v>
      </c>
      <c r="Z96" s="566">
        <f t="shared" si="73"/>
        <v>1.2000000000000002</v>
      </c>
      <c r="AA96" s="566">
        <f t="shared" si="73"/>
        <v>2.1000000000000005</v>
      </c>
      <c r="AB96" s="144"/>
      <c r="AC96" s="231">
        <v>0</v>
      </c>
      <c r="AD96" s="231">
        <v>0</v>
      </c>
      <c r="AE96" s="231">
        <v>0</v>
      </c>
      <c r="AF96" s="231">
        <v>0</v>
      </c>
      <c r="AG96" s="231">
        <v>0</v>
      </c>
      <c r="AH96" s="231">
        <v>0</v>
      </c>
      <c r="AI96" s="213"/>
      <c r="AJ96" s="204"/>
      <c r="AK96" s="204"/>
      <c r="AL96" s="204"/>
      <c r="AM96" s="204"/>
      <c r="AN96" s="204"/>
    </row>
    <row r="97" spans="1:40">
      <c r="A97" s="144"/>
      <c r="B97" s="144"/>
      <c r="C97" s="144"/>
      <c r="D97" s="906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566">
        <f t="shared" si="73"/>
        <v>3.7</v>
      </c>
      <c r="V97" s="566">
        <f t="shared" si="73"/>
        <v>2.7</v>
      </c>
      <c r="W97" s="566">
        <f t="shared" si="73"/>
        <v>4.5</v>
      </c>
      <c r="X97" s="566">
        <f t="shared" si="73"/>
        <v>0.5</v>
      </c>
      <c r="Y97" s="566">
        <f t="shared" si="73"/>
        <v>0.7</v>
      </c>
      <c r="Z97" s="566">
        <f t="shared" si="73"/>
        <v>1.2000000000000002</v>
      </c>
      <c r="AA97" s="566">
        <f t="shared" si="73"/>
        <v>2.1000000000000005</v>
      </c>
      <c r="AB97" s="144"/>
      <c r="AC97" s="231">
        <v>0</v>
      </c>
      <c r="AD97" s="231">
        <v>0</v>
      </c>
      <c r="AE97" s="231">
        <v>0</v>
      </c>
      <c r="AF97" s="231">
        <v>0</v>
      </c>
      <c r="AG97" s="231">
        <v>0</v>
      </c>
      <c r="AH97" s="231">
        <v>0</v>
      </c>
      <c r="AI97" s="213"/>
      <c r="AJ97" s="204"/>
      <c r="AK97" s="204"/>
      <c r="AL97" s="204"/>
      <c r="AM97" s="204"/>
      <c r="AN97" s="204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566">
        <f t="shared" si="73"/>
        <v>3.7</v>
      </c>
      <c r="V98" s="566">
        <f t="shared" si="73"/>
        <v>2.7</v>
      </c>
      <c r="W98" s="566">
        <f t="shared" si="73"/>
        <v>4.5</v>
      </c>
      <c r="X98" s="566">
        <f t="shared" si="73"/>
        <v>0.5</v>
      </c>
      <c r="Y98" s="566">
        <f t="shared" si="73"/>
        <v>0.7</v>
      </c>
      <c r="Z98" s="566">
        <f t="shared" si="73"/>
        <v>1.2000000000000002</v>
      </c>
      <c r="AA98" s="566">
        <f t="shared" si="73"/>
        <v>2.1000000000000005</v>
      </c>
      <c r="AB98" s="144"/>
      <c r="AC98" s="231">
        <v>0</v>
      </c>
      <c r="AD98" s="231">
        <v>0</v>
      </c>
      <c r="AE98" s="231">
        <v>0</v>
      </c>
      <c r="AF98" s="231">
        <v>0</v>
      </c>
      <c r="AG98" s="231">
        <v>0</v>
      </c>
      <c r="AH98" s="231">
        <v>0</v>
      </c>
      <c r="AI98" s="213"/>
      <c r="AJ98" s="204"/>
      <c r="AK98" s="204"/>
      <c r="AL98" s="204"/>
      <c r="AM98" s="204"/>
      <c r="AN98" s="204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566">
        <f t="shared" si="73"/>
        <v>3.7</v>
      </c>
      <c r="V99" s="566">
        <f t="shared" si="73"/>
        <v>2.7</v>
      </c>
      <c r="W99" s="566">
        <f t="shared" si="73"/>
        <v>4.5</v>
      </c>
      <c r="X99" s="566">
        <f t="shared" si="73"/>
        <v>0.5</v>
      </c>
      <c r="Y99" s="566">
        <f t="shared" si="73"/>
        <v>0.7</v>
      </c>
      <c r="Z99" s="566">
        <f t="shared" si="73"/>
        <v>1.2000000000000002</v>
      </c>
      <c r="AA99" s="566">
        <f t="shared" si="73"/>
        <v>2.1000000000000005</v>
      </c>
      <c r="AB99" s="144"/>
      <c r="AC99" s="231"/>
      <c r="AD99" s="231"/>
      <c r="AE99" s="231"/>
      <c r="AF99" s="231"/>
      <c r="AG99" s="231"/>
      <c r="AH99" s="231"/>
      <c r="AI99" s="213"/>
      <c r="AJ99" s="204"/>
      <c r="AK99" s="204"/>
      <c r="AL99" s="204"/>
      <c r="AM99" s="204"/>
      <c r="AN99" s="204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566">
        <f t="shared" si="73"/>
        <v>3.7</v>
      </c>
      <c r="V100" s="566">
        <f t="shared" si="73"/>
        <v>2.7</v>
      </c>
      <c r="W100" s="566">
        <f t="shared" si="73"/>
        <v>4.5</v>
      </c>
      <c r="X100" s="566">
        <f t="shared" si="73"/>
        <v>0.5</v>
      </c>
      <c r="Y100" s="566">
        <f t="shared" si="73"/>
        <v>0.7</v>
      </c>
      <c r="Z100" s="566">
        <f t="shared" si="73"/>
        <v>1.2000000000000002</v>
      </c>
      <c r="AA100" s="566">
        <f t="shared" si="73"/>
        <v>2.1000000000000005</v>
      </c>
      <c r="AB100" s="144"/>
      <c r="AC100" s="231"/>
      <c r="AD100" s="231"/>
      <c r="AE100" s="231"/>
      <c r="AF100" s="231"/>
      <c r="AG100" s="231"/>
      <c r="AH100" s="231"/>
      <c r="AI100" s="213"/>
      <c r="AJ100" s="204"/>
      <c r="AK100" s="204"/>
      <c r="AL100" s="204"/>
      <c r="AM100" s="204"/>
      <c r="AN100" s="204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566">
        <f t="shared" si="73"/>
        <v>3.7</v>
      </c>
      <c r="V101" s="566">
        <f t="shared" si="73"/>
        <v>2.7</v>
      </c>
      <c r="W101" s="566">
        <f t="shared" si="73"/>
        <v>4.5</v>
      </c>
      <c r="X101" s="566">
        <f t="shared" si="73"/>
        <v>0.5</v>
      </c>
      <c r="Y101" s="566">
        <f t="shared" si="73"/>
        <v>0.7</v>
      </c>
      <c r="Z101" s="566">
        <f t="shared" si="73"/>
        <v>1.2000000000000002</v>
      </c>
      <c r="AA101" s="566">
        <f t="shared" si="73"/>
        <v>2.1000000000000005</v>
      </c>
      <c r="AB101" s="144"/>
      <c r="AC101" s="231">
        <v>0</v>
      </c>
      <c r="AD101" s="231">
        <v>0</v>
      </c>
      <c r="AE101" s="231">
        <v>0</v>
      </c>
      <c r="AF101" s="231">
        <v>0</v>
      </c>
      <c r="AG101" s="231">
        <v>0</v>
      </c>
      <c r="AH101" s="231">
        <v>0</v>
      </c>
      <c r="AI101" s="213"/>
      <c r="AJ101" s="204"/>
      <c r="AK101" s="204"/>
      <c r="AL101" s="204"/>
      <c r="AM101" s="204"/>
      <c r="AN101" s="204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566">
        <f t="shared" si="73"/>
        <v>3.7</v>
      </c>
      <c r="V102" s="566">
        <f t="shared" si="73"/>
        <v>2.7</v>
      </c>
      <c r="W102" s="566">
        <f t="shared" si="73"/>
        <v>4.5</v>
      </c>
      <c r="X102" s="566">
        <f t="shared" si="73"/>
        <v>0.5</v>
      </c>
      <c r="Y102" s="566">
        <f t="shared" si="73"/>
        <v>0.7</v>
      </c>
      <c r="Z102" s="566">
        <f t="shared" si="73"/>
        <v>1.2000000000000002</v>
      </c>
      <c r="AA102" s="566">
        <f t="shared" si="73"/>
        <v>2.1000000000000005</v>
      </c>
      <c r="AB102" s="144"/>
      <c r="AC102" s="231">
        <v>0</v>
      </c>
      <c r="AD102" s="231">
        <v>0</v>
      </c>
      <c r="AE102" s="231">
        <v>0</v>
      </c>
      <c r="AF102" s="231">
        <v>0</v>
      </c>
      <c r="AG102" s="231">
        <v>0</v>
      </c>
      <c r="AH102" s="231">
        <v>0</v>
      </c>
      <c r="AI102" s="213"/>
      <c r="AJ102" s="204"/>
      <c r="AK102" s="204"/>
      <c r="AL102" s="204"/>
      <c r="AM102" s="204"/>
      <c r="AN102" s="204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566">
        <f t="shared" si="73"/>
        <v>3.7</v>
      </c>
      <c r="V103" s="566">
        <f t="shared" si="73"/>
        <v>2.7</v>
      </c>
      <c r="W103" s="566">
        <f t="shared" si="73"/>
        <v>4.5</v>
      </c>
      <c r="X103" s="566">
        <f t="shared" si="73"/>
        <v>0.5</v>
      </c>
      <c r="Y103" s="566">
        <f t="shared" si="73"/>
        <v>0.7</v>
      </c>
      <c r="Z103" s="566">
        <f t="shared" si="73"/>
        <v>1.2000000000000002</v>
      </c>
      <c r="AA103" s="566">
        <f t="shared" si="73"/>
        <v>2.1000000000000005</v>
      </c>
      <c r="AB103" s="144"/>
      <c r="AC103" s="231">
        <v>0</v>
      </c>
      <c r="AD103" s="231">
        <v>0</v>
      </c>
      <c r="AE103" s="231">
        <v>0</v>
      </c>
      <c r="AF103" s="231">
        <v>0</v>
      </c>
      <c r="AG103" s="231">
        <v>0</v>
      </c>
      <c r="AH103" s="231">
        <v>0</v>
      </c>
      <c r="AI103" s="213"/>
      <c r="AJ103" s="204"/>
      <c r="AK103" s="204"/>
      <c r="AL103" s="204"/>
      <c r="AM103" s="204"/>
      <c r="AN103" s="204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566">
        <f t="shared" si="73"/>
        <v>3.7</v>
      </c>
      <c r="V104" s="566">
        <f t="shared" si="73"/>
        <v>2.7</v>
      </c>
      <c r="W104" s="566">
        <f t="shared" si="73"/>
        <v>4.5</v>
      </c>
      <c r="X104" s="566">
        <f t="shared" si="73"/>
        <v>0.5</v>
      </c>
      <c r="Y104" s="566">
        <f t="shared" si="73"/>
        <v>0.7</v>
      </c>
      <c r="Z104" s="566">
        <f t="shared" si="73"/>
        <v>1.2000000000000002</v>
      </c>
      <c r="AA104" s="566">
        <f t="shared" si="73"/>
        <v>2.1000000000000005</v>
      </c>
      <c r="AB104" s="144"/>
      <c r="AC104" s="231"/>
      <c r="AD104" s="231"/>
      <c r="AE104" s="231"/>
      <c r="AF104" s="231"/>
      <c r="AG104" s="231"/>
      <c r="AH104" s="231"/>
      <c r="AI104" s="213"/>
      <c r="AJ104" s="204"/>
      <c r="AK104" s="204"/>
      <c r="AL104" s="204"/>
      <c r="AM104" s="204"/>
      <c r="AN104" s="204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566">
        <f t="shared" si="73"/>
        <v>3.7</v>
      </c>
      <c r="V105" s="566">
        <f t="shared" si="73"/>
        <v>2.7</v>
      </c>
      <c r="W105" s="566">
        <f t="shared" si="73"/>
        <v>4.5</v>
      </c>
      <c r="X105" s="566">
        <f t="shared" si="73"/>
        <v>0.5</v>
      </c>
      <c r="Y105" s="566">
        <f t="shared" si="73"/>
        <v>0.7</v>
      </c>
      <c r="Z105" s="566">
        <f t="shared" si="73"/>
        <v>1.2000000000000002</v>
      </c>
      <c r="AA105" s="566">
        <f t="shared" si="73"/>
        <v>2.1000000000000005</v>
      </c>
      <c r="AB105" s="144"/>
      <c r="AC105" s="231"/>
      <c r="AD105" s="231"/>
      <c r="AE105" s="231"/>
      <c r="AF105" s="231"/>
      <c r="AG105" s="231"/>
      <c r="AH105" s="231"/>
      <c r="AI105" s="213"/>
      <c r="AJ105" s="204"/>
      <c r="AK105" s="204"/>
      <c r="AL105" s="204"/>
      <c r="AM105" s="204"/>
      <c r="AN105" s="204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566">
        <f t="shared" ref="U106:AA109" si="74">IF(U105&gt;0,U105,U104)</f>
        <v>3.7</v>
      </c>
      <c r="V106" s="566">
        <f t="shared" si="74"/>
        <v>2.7</v>
      </c>
      <c r="W106" s="566">
        <f t="shared" si="74"/>
        <v>4.5</v>
      </c>
      <c r="X106" s="566">
        <f t="shared" si="74"/>
        <v>0.5</v>
      </c>
      <c r="Y106" s="566">
        <f t="shared" si="74"/>
        <v>0.7</v>
      </c>
      <c r="Z106" s="566">
        <f t="shared" si="74"/>
        <v>1.2000000000000002</v>
      </c>
      <c r="AA106" s="566">
        <f t="shared" si="74"/>
        <v>2.1000000000000005</v>
      </c>
      <c r="AB106" s="144"/>
      <c r="AC106" s="231">
        <v>0</v>
      </c>
      <c r="AD106" s="231">
        <v>0</v>
      </c>
      <c r="AE106" s="231">
        <v>0</v>
      </c>
      <c r="AF106" s="231">
        <v>0</v>
      </c>
      <c r="AG106" s="231">
        <v>0</v>
      </c>
      <c r="AH106" s="231">
        <v>0</v>
      </c>
      <c r="AI106" s="213"/>
      <c r="AJ106" s="204"/>
      <c r="AK106" s="204"/>
      <c r="AL106" s="204"/>
      <c r="AM106" s="204"/>
      <c r="AN106" s="204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566">
        <f t="shared" si="74"/>
        <v>3.7</v>
      </c>
      <c r="V107" s="566">
        <f t="shared" si="74"/>
        <v>2.7</v>
      </c>
      <c r="W107" s="566">
        <f t="shared" si="74"/>
        <v>4.5</v>
      </c>
      <c r="X107" s="566">
        <f t="shared" si="74"/>
        <v>0.5</v>
      </c>
      <c r="Y107" s="566">
        <f t="shared" si="74"/>
        <v>0.7</v>
      </c>
      <c r="Z107" s="566">
        <f t="shared" si="74"/>
        <v>1.2000000000000002</v>
      </c>
      <c r="AA107" s="566">
        <f t="shared" si="74"/>
        <v>2.1000000000000005</v>
      </c>
      <c r="AB107" s="144"/>
      <c r="AC107" s="231">
        <v>0</v>
      </c>
      <c r="AD107" s="231">
        <v>0</v>
      </c>
      <c r="AE107" s="231">
        <v>0</v>
      </c>
      <c r="AF107" s="231">
        <v>0</v>
      </c>
      <c r="AG107" s="231">
        <v>0</v>
      </c>
      <c r="AH107" s="231">
        <v>0</v>
      </c>
      <c r="AI107" s="213"/>
      <c r="AJ107" s="204"/>
      <c r="AK107" s="204"/>
      <c r="AL107" s="204"/>
      <c r="AM107" s="204"/>
      <c r="AN107" s="204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566">
        <f t="shared" si="74"/>
        <v>3.7</v>
      </c>
      <c r="V108" s="566">
        <f t="shared" si="74"/>
        <v>2.7</v>
      </c>
      <c r="W108" s="566">
        <f t="shared" si="74"/>
        <v>4.5</v>
      </c>
      <c r="X108" s="566">
        <f t="shared" si="74"/>
        <v>0.5</v>
      </c>
      <c r="Y108" s="566">
        <f t="shared" si="74"/>
        <v>0.7</v>
      </c>
      <c r="Z108" s="566">
        <f t="shared" si="74"/>
        <v>1.2000000000000002</v>
      </c>
      <c r="AA108" s="566">
        <f t="shared" si="74"/>
        <v>2.1000000000000005</v>
      </c>
      <c r="AB108" s="144"/>
      <c r="AC108" s="231">
        <v>0</v>
      </c>
      <c r="AD108" s="231">
        <v>0</v>
      </c>
      <c r="AE108" s="231">
        <v>0</v>
      </c>
      <c r="AF108" s="231">
        <v>0</v>
      </c>
      <c r="AG108" s="231">
        <v>0</v>
      </c>
      <c r="AH108" s="231">
        <v>0</v>
      </c>
      <c r="AI108" s="213"/>
      <c r="AJ108" s="204"/>
      <c r="AK108" s="204"/>
      <c r="AL108" s="204"/>
      <c r="AM108" s="204"/>
      <c r="AN108" s="204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567">
        <f>IF(U108&gt;0,U108,U107)</f>
        <v>3.7</v>
      </c>
      <c r="V109" s="567">
        <f t="shared" si="74"/>
        <v>2.7</v>
      </c>
      <c r="W109" s="567">
        <f t="shared" si="74"/>
        <v>4.5</v>
      </c>
      <c r="X109" s="567">
        <f t="shared" si="74"/>
        <v>0.5</v>
      </c>
      <c r="Y109" s="567">
        <f t="shared" si="74"/>
        <v>0.7</v>
      </c>
      <c r="Z109" s="567">
        <f t="shared" si="74"/>
        <v>1.2000000000000002</v>
      </c>
      <c r="AA109" s="567">
        <f t="shared" si="74"/>
        <v>2.1000000000000005</v>
      </c>
      <c r="AB109" s="144"/>
      <c r="AC109" s="231"/>
      <c r="AD109" s="231"/>
      <c r="AE109" s="231"/>
      <c r="AF109" s="231"/>
      <c r="AG109" s="231"/>
      <c r="AH109" s="231"/>
      <c r="AI109" s="213"/>
      <c r="AJ109" s="204"/>
      <c r="AK109" s="204"/>
      <c r="AL109" s="204"/>
      <c r="AM109" s="204"/>
      <c r="AN109" s="204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222"/>
      <c r="V110" s="222"/>
      <c r="W110" s="222"/>
      <c r="X110" s="222"/>
      <c r="Y110" s="222"/>
      <c r="Z110" s="222"/>
      <c r="AA110" s="222"/>
      <c r="AB110" s="144"/>
      <c r="AC110" s="231"/>
      <c r="AD110" s="231"/>
      <c r="AE110" s="231"/>
      <c r="AF110" s="231"/>
      <c r="AG110" s="231"/>
      <c r="AH110" s="231"/>
      <c r="AI110" s="213"/>
      <c r="AJ110" s="204"/>
      <c r="AK110" s="204"/>
      <c r="AL110" s="204"/>
      <c r="AM110" s="204"/>
      <c r="AN110" s="204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222"/>
      <c r="V111" s="222"/>
      <c r="W111" s="222"/>
      <c r="X111" s="222"/>
      <c r="Y111" s="222"/>
      <c r="Z111" s="222"/>
      <c r="AA111" s="222"/>
      <c r="AB111" s="144"/>
      <c r="AC111" s="231">
        <v>0</v>
      </c>
      <c r="AD111" s="231">
        <v>0</v>
      </c>
      <c r="AE111" s="231">
        <v>0</v>
      </c>
      <c r="AF111" s="231">
        <v>0</v>
      </c>
      <c r="AG111" s="231">
        <v>0</v>
      </c>
      <c r="AH111" s="231">
        <v>0</v>
      </c>
      <c r="AI111" s="213"/>
      <c r="AJ111" s="204"/>
      <c r="AK111" s="204"/>
      <c r="AL111" s="204"/>
      <c r="AM111" s="204"/>
      <c r="AN111" s="204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222"/>
      <c r="V112" s="222"/>
      <c r="W112" s="222"/>
      <c r="X112" s="222"/>
      <c r="Y112" s="222"/>
      <c r="Z112" s="222"/>
      <c r="AA112" s="222"/>
      <c r="AB112" s="144"/>
      <c r="AC112" s="231"/>
      <c r="AD112" s="231"/>
      <c r="AE112" s="231"/>
      <c r="AF112" s="231"/>
      <c r="AG112" s="231"/>
      <c r="AH112" s="231"/>
      <c r="AJ112" s="204"/>
      <c r="AK112" s="204"/>
      <c r="AL112" s="204"/>
      <c r="AM112" s="204"/>
      <c r="AN112" s="204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222"/>
      <c r="V113" s="222"/>
      <c r="W113" s="222"/>
      <c r="X113" s="222"/>
      <c r="Y113" s="222"/>
      <c r="Z113" s="222"/>
      <c r="AA113" s="222"/>
      <c r="AB113" s="144"/>
      <c r="AJ113" s="204"/>
      <c r="AK113" s="204"/>
      <c r="AL113" s="204"/>
      <c r="AM113" s="204"/>
      <c r="AN113" s="204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222"/>
      <c r="V114" s="222"/>
      <c r="W114" s="222"/>
      <c r="X114" s="222"/>
      <c r="Y114" s="222"/>
      <c r="Z114" s="222"/>
      <c r="AA114" s="222"/>
      <c r="AB114" s="144"/>
      <c r="AJ114" s="204"/>
      <c r="AK114" s="204"/>
      <c r="AL114" s="204"/>
      <c r="AM114" s="204"/>
      <c r="AN114" s="204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222"/>
      <c r="V115" s="222"/>
      <c r="W115" s="222"/>
      <c r="X115" s="222"/>
      <c r="Y115" s="222"/>
      <c r="Z115" s="222"/>
      <c r="AA115" s="222"/>
      <c r="AB115" s="144"/>
      <c r="AJ115" s="204"/>
      <c r="AK115" s="204"/>
      <c r="AL115" s="204"/>
      <c r="AM115" s="204"/>
      <c r="AN115" s="204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222"/>
      <c r="V116" s="222"/>
      <c r="W116" s="222"/>
      <c r="X116" s="222"/>
      <c r="Y116" s="222"/>
      <c r="Z116" s="222"/>
      <c r="AA116" s="222"/>
      <c r="AB116" s="144"/>
      <c r="AJ116" s="204"/>
      <c r="AK116" s="204"/>
      <c r="AL116" s="204"/>
      <c r="AM116" s="204"/>
      <c r="AN116" s="204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222"/>
      <c r="V117" s="222"/>
      <c r="W117" s="222"/>
      <c r="X117" s="222"/>
      <c r="Y117" s="222"/>
      <c r="Z117" s="222"/>
      <c r="AA117" s="222"/>
      <c r="AB117" s="144"/>
      <c r="AJ117" s="204"/>
      <c r="AK117" s="204"/>
      <c r="AL117" s="204"/>
      <c r="AM117" s="204"/>
      <c r="AN117" s="204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222"/>
      <c r="V118" s="222"/>
      <c r="W118" s="222"/>
      <c r="X118" s="222"/>
      <c r="Y118" s="222"/>
      <c r="Z118" s="222"/>
      <c r="AA118" s="222"/>
      <c r="AB118" s="144"/>
      <c r="AJ118" s="204"/>
      <c r="AK118" s="204"/>
      <c r="AL118" s="204"/>
      <c r="AM118" s="204"/>
      <c r="AN118" s="204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222"/>
      <c r="V119" s="222"/>
      <c r="W119" s="222"/>
      <c r="X119" s="222"/>
      <c r="Y119" s="222"/>
      <c r="Z119" s="222"/>
      <c r="AA119" s="222"/>
      <c r="AB119" s="144"/>
      <c r="AJ119" s="204"/>
      <c r="AK119" s="204"/>
      <c r="AL119" s="204"/>
      <c r="AM119" s="204"/>
      <c r="AN119" s="204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222"/>
      <c r="V120" s="222"/>
      <c r="W120" s="222"/>
      <c r="X120" s="222"/>
      <c r="Y120" s="222"/>
      <c r="Z120" s="222"/>
      <c r="AA120" s="222"/>
      <c r="AB120" s="144"/>
      <c r="AJ120" s="204"/>
      <c r="AK120" s="204"/>
      <c r="AL120" s="204"/>
      <c r="AM120" s="204"/>
      <c r="AN120" s="204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222"/>
      <c r="V121" s="222"/>
      <c r="W121" s="222"/>
      <c r="X121" s="222"/>
      <c r="Y121" s="222"/>
      <c r="Z121" s="222"/>
      <c r="AA121" s="222"/>
      <c r="AB121" s="144"/>
      <c r="AJ121" s="204"/>
      <c r="AK121" s="204"/>
      <c r="AL121" s="204"/>
      <c r="AM121" s="204"/>
      <c r="AN121" s="204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222"/>
      <c r="V122" s="222"/>
      <c r="W122" s="222"/>
      <c r="X122" s="222"/>
      <c r="Y122" s="222"/>
      <c r="Z122" s="222"/>
      <c r="AA122" s="222"/>
      <c r="AB122" s="144"/>
      <c r="AJ122" s="204"/>
      <c r="AK122" s="204"/>
      <c r="AL122" s="204"/>
      <c r="AM122" s="204"/>
      <c r="AN122" s="204"/>
    </row>
    <row r="123" spans="1:40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222"/>
      <c r="V123" s="222"/>
      <c r="W123" s="222"/>
      <c r="X123" s="222"/>
      <c r="Y123" s="222"/>
      <c r="Z123" s="222"/>
      <c r="AA123" s="222"/>
      <c r="AB123" s="144"/>
      <c r="AN123" s="204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222"/>
      <c r="V124" s="222"/>
      <c r="W124" s="222"/>
      <c r="X124" s="222"/>
      <c r="Y124" s="222"/>
      <c r="Z124" s="222"/>
      <c r="AA124" s="222"/>
      <c r="AB124" s="144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04"/>
    </row>
    <row r="125" spans="1:40" s="247" customFormat="1" ht="11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222"/>
      <c r="V125" s="222"/>
      <c r="W125" s="222"/>
      <c r="X125" s="222"/>
      <c r="Y125" s="222"/>
      <c r="Z125" s="222"/>
      <c r="AA125" s="222"/>
      <c r="AB125" s="14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1:40" s="247" customFormat="1" ht="11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222"/>
      <c r="V126" s="222"/>
      <c r="W126" s="222"/>
      <c r="X126" s="222"/>
      <c r="Y126" s="222"/>
      <c r="Z126" s="222"/>
      <c r="AA126" s="222"/>
      <c r="AB126" s="14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1:40" s="247" customFormat="1" ht="11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222"/>
      <c r="V127" s="222"/>
      <c r="W127" s="222"/>
      <c r="X127" s="222"/>
      <c r="Y127" s="222"/>
      <c r="Z127" s="222"/>
      <c r="AA127" s="222"/>
      <c r="AB127" s="14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1:40" s="247" customFormat="1" ht="11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222"/>
      <c r="V128" s="222"/>
      <c r="W128" s="222"/>
      <c r="X128" s="222"/>
      <c r="Y128" s="222"/>
      <c r="Z128" s="222"/>
      <c r="AA128" s="222"/>
      <c r="AB128" s="14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39" s="247" customFormat="1" ht="11">
      <c r="B129" s="144"/>
      <c r="C129" s="143"/>
      <c r="D129" s="907"/>
      <c r="E129" s="143"/>
      <c r="F129" s="145"/>
      <c r="G129" s="146"/>
      <c r="H129" s="146"/>
      <c r="I129" s="146"/>
      <c r="J129" s="146"/>
      <c r="K129" s="146"/>
      <c r="L129" s="146"/>
      <c r="M129" s="458"/>
      <c r="N129" s="145"/>
      <c r="O129" s="146"/>
      <c r="P129" s="146"/>
      <c r="Q129" s="147"/>
      <c r="R129" s="147"/>
      <c r="S129" s="142"/>
      <c r="T129" s="142"/>
      <c r="U129" s="222"/>
      <c r="V129" s="222"/>
      <c r="W129" s="222"/>
      <c r="X129" s="222"/>
      <c r="Y129" s="222"/>
      <c r="Z129" s="222"/>
      <c r="AA129" s="222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</row>
    <row r="130" spans="2:39" s="247" customFormat="1" ht="11">
      <c r="B130" s="144"/>
      <c r="C130" s="143"/>
      <c r="D130" s="907"/>
      <c r="E130" s="143"/>
      <c r="F130" s="145"/>
      <c r="G130" s="146"/>
      <c r="H130" s="146"/>
      <c r="I130" s="146"/>
      <c r="J130" s="146"/>
      <c r="K130" s="146"/>
      <c r="L130" s="146"/>
      <c r="M130" s="458"/>
      <c r="N130" s="145"/>
      <c r="O130" s="146"/>
      <c r="P130" s="146"/>
      <c r="Q130" s="147"/>
      <c r="R130" s="147"/>
      <c r="S130" s="142"/>
      <c r="T130" s="142"/>
      <c r="U130" s="222"/>
      <c r="V130" s="222"/>
      <c r="W130" s="222"/>
      <c r="X130" s="222"/>
      <c r="Y130" s="222"/>
      <c r="Z130" s="222"/>
      <c r="AA130" s="222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39" s="247" customFormat="1" ht="11">
      <c r="B131" s="144"/>
      <c r="C131" s="143"/>
      <c r="D131" s="907"/>
      <c r="E131" s="143"/>
      <c r="F131" s="145"/>
      <c r="G131" s="146"/>
      <c r="H131" s="146"/>
      <c r="I131" s="146"/>
      <c r="J131" s="146"/>
      <c r="K131" s="146"/>
      <c r="L131" s="146"/>
      <c r="M131" s="458"/>
      <c r="N131" s="145"/>
      <c r="O131" s="146"/>
      <c r="P131" s="146"/>
      <c r="Q131" s="147"/>
      <c r="R131" s="147"/>
      <c r="S131" s="142"/>
      <c r="T131" s="142"/>
      <c r="U131" s="222"/>
      <c r="V131" s="222"/>
      <c r="W131" s="222"/>
      <c r="X131" s="222"/>
      <c r="Y131" s="222"/>
      <c r="Z131" s="222"/>
      <c r="AA131" s="222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39" s="247" customFormat="1" ht="11">
      <c r="B132" s="144"/>
      <c r="C132" s="143"/>
      <c r="D132" s="907"/>
      <c r="E132" s="143"/>
      <c r="F132" s="145"/>
      <c r="G132" s="146"/>
      <c r="H132" s="146"/>
      <c r="I132" s="146"/>
      <c r="J132" s="146"/>
      <c r="K132" s="146"/>
      <c r="L132" s="146"/>
      <c r="M132" s="458"/>
      <c r="N132" s="145"/>
      <c r="O132" s="146"/>
      <c r="P132" s="146"/>
      <c r="Q132" s="147"/>
      <c r="R132" s="147"/>
      <c r="S132" s="142"/>
      <c r="T132" s="142"/>
      <c r="U132" s="222"/>
      <c r="V132" s="222"/>
      <c r="W132" s="222"/>
      <c r="X132" s="222"/>
      <c r="Y132" s="222"/>
      <c r="Z132" s="222"/>
      <c r="AA132" s="222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</row>
    <row r="133" spans="2:39" s="247" customFormat="1" ht="11">
      <c r="B133" s="144"/>
      <c r="C133" s="143"/>
      <c r="D133" s="907"/>
      <c r="E133" s="143"/>
      <c r="F133" s="145"/>
      <c r="G133" s="146"/>
      <c r="H133" s="146"/>
      <c r="I133" s="146"/>
      <c r="J133" s="146"/>
      <c r="K133" s="146"/>
      <c r="L133" s="146"/>
      <c r="M133" s="458"/>
      <c r="N133" s="145"/>
      <c r="O133" s="146"/>
      <c r="P133" s="146"/>
      <c r="Q133" s="147"/>
      <c r="R133" s="147"/>
      <c r="S133" s="142"/>
      <c r="T133" s="142"/>
      <c r="U133" s="146"/>
      <c r="V133" s="146"/>
      <c r="W133" s="146"/>
      <c r="X133" s="146"/>
      <c r="Y133" s="146"/>
      <c r="Z133" s="146"/>
      <c r="AA133" s="146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</row>
    <row r="134" spans="2:39" s="247" customFormat="1" ht="11">
      <c r="B134" s="144"/>
      <c r="C134" s="143"/>
      <c r="D134" s="907"/>
      <c r="E134" s="143"/>
      <c r="F134" s="145"/>
      <c r="G134" s="146"/>
      <c r="H134" s="146"/>
      <c r="I134" s="146"/>
      <c r="J134" s="146"/>
      <c r="K134" s="146"/>
      <c r="L134" s="146"/>
      <c r="M134" s="458"/>
      <c r="N134" s="145"/>
      <c r="O134" s="146"/>
      <c r="P134" s="146"/>
      <c r="Q134" s="147"/>
      <c r="R134" s="147"/>
      <c r="S134" s="142"/>
      <c r="T134" s="142"/>
      <c r="U134" s="146"/>
      <c r="V134" s="146"/>
      <c r="W134" s="146"/>
      <c r="X134" s="146"/>
      <c r="Y134" s="146"/>
      <c r="Z134" s="146"/>
      <c r="AA134" s="146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</row>
    <row r="135" spans="2:39" s="247" customFormat="1" ht="11">
      <c r="B135" s="144"/>
      <c r="C135" s="143"/>
      <c r="D135" s="907"/>
      <c r="E135" s="143"/>
      <c r="F135" s="145"/>
      <c r="G135" s="146"/>
      <c r="H135" s="146"/>
      <c r="I135" s="146"/>
      <c r="J135" s="146"/>
      <c r="K135" s="146"/>
      <c r="L135" s="146"/>
      <c r="M135" s="458"/>
      <c r="N135" s="145"/>
      <c r="O135" s="146"/>
      <c r="P135" s="146"/>
      <c r="Q135" s="147"/>
      <c r="R135" s="147"/>
      <c r="S135" s="142"/>
      <c r="T135" s="142"/>
      <c r="U135" s="146"/>
      <c r="V135" s="146"/>
      <c r="W135" s="146"/>
      <c r="X135" s="146"/>
      <c r="Y135" s="146"/>
      <c r="Z135" s="146"/>
      <c r="AA135" s="146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</row>
    <row r="136" spans="2:39" s="247" customFormat="1" ht="11">
      <c r="B136" s="144"/>
      <c r="C136" s="143"/>
      <c r="D136" s="907"/>
      <c r="E136" s="143"/>
      <c r="F136" s="145"/>
      <c r="G136" s="146"/>
      <c r="H136" s="146"/>
      <c r="I136" s="146"/>
      <c r="J136" s="146"/>
      <c r="K136" s="146"/>
      <c r="L136" s="146"/>
      <c r="M136" s="458"/>
      <c r="N136" s="145"/>
      <c r="O136" s="146"/>
      <c r="P136" s="146"/>
      <c r="Q136" s="147"/>
      <c r="R136" s="147"/>
      <c r="S136" s="142"/>
      <c r="T136" s="142"/>
      <c r="U136" s="146"/>
      <c r="V136" s="146"/>
      <c r="W136" s="146"/>
      <c r="X136" s="146"/>
      <c r="Y136" s="146"/>
      <c r="Z136" s="146"/>
      <c r="AA136" s="146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2:39" s="247" customFormat="1" ht="11">
      <c r="B137" s="144"/>
      <c r="C137" s="143"/>
      <c r="D137" s="907"/>
      <c r="E137" s="143"/>
      <c r="F137" s="145"/>
      <c r="G137" s="146"/>
      <c r="H137" s="146"/>
      <c r="I137" s="146"/>
      <c r="J137" s="146"/>
      <c r="K137" s="146"/>
      <c r="L137" s="146"/>
      <c r="M137" s="458"/>
      <c r="N137" s="145"/>
      <c r="O137" s="146"/>
      <c r="P137" s="146"/>
      <c r="Q137" s="147"/>
      <c r="R137" s="147"/>
      <c r="S137" s="142"/>
      <c r="T137" s="142"/>
      <c r="U137" s="146"/>
      <c r="V137" s="146"/>
      <c r="W137" s="146"/>
      <c r="X137" s="146"/>
      <c r="Y137" s="146"/>
      <c r="Z137" s="146"/>
      <c r="AA137" s="146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2:39" s="247" customFormat="1" ht="11">
      <c r="B138" s="144"/>
      <c r="C138" s="143"/>
      <c r="D138" s="907"/>
      <c r="E138" s="143"/>
      <c r="F138" s="145"/>
      <c r="G138" s="146"/>
      <c r="H138" s="146"/>
      <c r="I138" s="146"/>
      <c r="J138" s="146"/>
      <c r="K138" s="146"/>
      <c r="L138" s="146"/>
      <c r="M138" s="458"/>
      <c r="N138" s="145"/>
      <c r="O138" s="146"/>
      <c r="P138" s="146"/>
      <c r="Q138" s="147"/>
      <c r="R138" s="147"/>
      <c r="S138" s="142"/>
      <c r="T138" s="142"/>
      <c r="U138" s="146"/>
      <c r="V138" s="146"/>
      <c r="W138" s="146"/>
      <c r="X138" s="146"/>
      <c r="Y138" s="146"/>
      <c r="Z138" s="146"/>
      <c r="AA138" s="146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2:39" s="247" customFormat="1" ht="11">
      <c r="B139" s="144"/>
      <c r="C139" s="143"/>
      <c r="D139" s="907"/>
      <c r="E139" s="143"/>
      <c r="F139" s="145"/>
      <c r="G139" s="146"/>
      <c r="H139" s="146"/>
      <c r="I139" s="146"/>
      <c r="J139" s="146"/>
      <c r="K139" s="146"/>
      <c r="L139" s="146"/>
      <c r="M139" s="458"/>
      <c r="N139" s="145"/>
      <c r="O139" s="146"/>
      <c r="P139" s="146"/>
      <c r="Q139" s="147"/>
      <c r="R139" s="147"/>
      <c r="S139" s="142"/>
      <c r="T139" s="142"/>
      <c r="U139" s="146"/>
      <c r="V139" s="146"/>
      <c r="W139" s="146"/>
      <c r="X139" s="146"/>
      <c r="Y139" s="146"/>
      <c r="Z139" s="146"/>
      <c r="AA139" s="146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2:39" s="247" customFormat="1" ht="11">
      <c r="B140" s="144"/>
      <c r="C140" s="143"/>
      <c r="D140" s="907"/>
      <c r="E140" s="143"/>
      <c r="F140" s="145"/>
      <c r="G140" s="146"/>
      <c r="H140" s="146"/>
      <c r="I140" s="146"/>
      <c r="J140" s="146"/>
      <c r="K140" s="146"/>
      <c r="L140" s="146"/>
      <c r="M140" s="458"/>
      <c r="N140" s="145"/>
      <c r="O140" s="146"/>
      <c r="P140" s="146"/>
      <c r="Q140" s="147"/>
      <c r="R140" s="147"/>
      <c r="S140" s="142"/>
      <c r="T140" s="142"/>
      <c r="U140" s="146"/>
      <c r="V140" s="146"/>
      <c r="W140" s="146"/>
      <c r="X140" s="146"/>
      <c r="Y140" s="146"/>
      <c r="Z140" s="146"/>
      <c r="AA140" s="146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2:39" s="247" customFormat="1" ht="11">
      <c r="B141" s="144"/>
      <c r="C141" s="143"/>
      <c r="D141" s="907"/>
      <c r="E141" s="143"/>
      <c r="F141" s="145"/>
      <c r="G141" s="146"/>
      <c r="H141" s="146"/>
      <c r="I141" s="146"/>
      <c r="J141" s="146"/>
      <c r="K141" s="146"/>
      <c r="L141" s="146"/>
      <c r="M141" s="458"/>
      <c r="N141" s="145"/>
      <c r="O141" s="146"/>
      <c r="P141" s="146"/>
      <c r="Q141" s="147"/>
      <c r="R141" s="147"/>
      <c r="S141" s="142"/>
      <c r="T141" s="142"/>
      <c r="U141" s="146"/>
      <c r="V141" s="146"/>
      <c r="W141" s="146"/>
      <c r="X141" s="146"/>
      <c r="Y141" s="146"/>
      <c r="Z141" s="146"/>
      <c r="AA141" s="146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2:39" s="247" customFormat="1" ht="11">
      <c r="B142" s="144"/>
      <c r="C142" s="143"/>
      <c r="D142" s="907"/>
      <c r="E142" s="143"/>
      <c r="F142" s="145"/>
      <c r="G142" s="146"/>
      <c r="H142" s="146"/>
      <c r="I142" s="146"/>
      <c r="J142" s="146"/>
      <c r="K142" s="146"/>
      <c r="L142" s="146"/>
      <c r="M142" s="458"/>
      <c r="N142" s="145"/>
      <c r="O142" s="146"/>
      <c r="P142" s="146"/>
      <c r="Q142" s="147"/>
      <c r="R142" s="147"/>
      <c r="S142" s="142"/>
      <c r="T142" s="142"/>
      <c r="U142" s="146"/>
      <c r="V142" s="146"/>
      <c r="W142" s="146"/>
      <c r="X142" s="146"/>
      <c r="Y142" s="146"/>
      <c r="Z142" s="146"/>
      <c r="AA142" s="146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2:39" s="247" customFormat="1" ht="11">
      <c r="B143" s="144"/>
      <c r="C143" s="143"/>
      <c r="D143" s="907"/>
      <c r="E143" s="143"/>
      <c r="F143" s="145"/>
      <c r="G143" s="146"/>
      <c r="H143" s="146"/>
      <c r="I143" s="146"/>
      <c r="J143" s="146"/>
      <c r="K143" s="146"/>
      <c r="L143" s="146"/>
      <c r="M143" s="458"/>
      <c r="N143" s="145"/>
      <c r="O143" s="146"/>
      <c r="P143" s="146"/>
      <c r="Q143" s="147"/>
      <c r="R143" s="147"/>
      <c r="S143" s="142"/>
      <c r="T143" s="142"/>
      <c r="U143" s="146"/>
      <c r="V143" s="146"/>
      <c r="W143" s="146"/>
      <c r="X143" s="146"/>
      <c r="Y143" s="146"/>
      <c r="Z143" s="146"/>
      <c r="AA143" s="146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2:39" s="247" customFormat="1" ht="11">
      <c r="B144" s="144"/>
      <c r="C144" s="143"/>
      <c r="D144" s="907"/>
      <c r="E144" s="143"/>
      <c r="F144" s="145"/>
      <c r="G144" s="146"/>
      <c r="H144" s="146"/>
      <c r="I144" s="146"/>
      <c r="J144" s="146"/>
      <c r="K144" s="146"/>
      <c r="L144" s="146"/>
      <c r="M144" s="458"/>
      <c r="N144" s="145"/>
      <c r="O144" s="146"/>
      <c r="P144" s="146"/>
      <c r="Q144" s="147"/>
      <c r="R144" s="147"/>
      <c r="S144" s="142"/>
      <c r="T144" s="142"/>
      <c r="U144" s="146"/>
      <c r="V144" s="146"/>
      <c r="W144" s="146"/>
      <c r="X144" s="146"/>
      <c r="Y144" s="146"/>
      <c r="Z144" s="146"/>
      <c r="AA144" s="146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2:39" s="247" customFormat="1" ht="11">
      <c r="B145" s="144"/>
      <c r="C145" s="143"/>
      <c r="D145" s="907"/>
      <c r="E145" s="143"/>
      <c r="F145" s="145"/>
      <c r="G145" s="146"/>
      <c r="H145" s="146"/>
      <c r="I145" s="146"/>
      <c r="J145" s="146"/>
      <c r="K145" s="146"/>
      <c r="L145" s="146"/>
      <c r="M145" s="458"/>
      <c r="N145" s="145"/>
      <c r="O145" s="146"/>
      <c r="P145" s="146"/>
      <c r="Q145" s="147"/>
      <c r="R145" s="147"/>
      <c r="S145" s="142"/>
      <c r="T145" s="142"/>
      <c r="U145" s="146"/>
      <c r="V145" s="146"/>
      <c r="W145" s="146"/>
      <c r="X145" s="146"/>
      <c r="Y145" s="146"/>
      <c r="Z145" s="146"/>
      <c r="AA145" s="146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2:39" s="247" customFormat="1" ht="11">
      <c r="B146" s="144"/>
      <c r="C146" s="143"/>
      <c r="D146" s="907"/>
      <c r="E146" s="143"/>
      <c r="F146" s="145"/>
      <c r="G146" s="146"/>
      <c r="H146" s="146"/>
      <c r="I146" s="146"/>
      <c r="J146" s="146"/>
      <c r="K146" s="146"/>
      <c r="L146" s="146"/>
      <c r="M146" s="458"/>
      <c r="N146" s="145"/>
      <c r="O146" s="146"/>
      <c r="P146" s="146"/>
      <c r="Q146" s="147"/>
      <c r="R146" s="147"/>
      <c r="S146" s="142"/>
      <c r="T146" s="142"/>
      <c r="U146" s="146"/>
      <c r="V146" s="146"/>
      <c r="W146" s="146"/>
      <c r="X146" s="146"/>
      <c r="Y146" s="146"/>
      <c r="Z146" s="146"/>
      <c r="AA146" s="146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2:39" s="247" customFormat="1" ht="11">
      <c r="B147" s="144"/>
      <c r="C147" s="143"/>
      <c r="D147" s="907"/>
      <c r="E147" s="143"/>
      <c r="F147" s="145"/>
      <c r="G147" s="146"/>
      <c r="H147" s="146"/>
      <c r="I147" s="146"/>
      <c r="J147" s="146"/>
      <c r="K147" s="146"/>
      <c r="L147" s="146"/>
      <c r="M147" s="458"/>
      <c r="N147" s="145"/>
      <c r="O147" s="146"/>
      <c r="P147" s="146"/>
      <c r="Q147" s="147"/>
      <c r="R147" s="147"/>
      <c r="S147" s="142"/>
      <c r="T147" s="142"/>
      <c r="U147" s="146"/>
      <c r="V147" s="146"/>
      <c r="W147" s="146"/>
      <c r="X147" s="146"/>
      <c r="Y147" s="146"/>
      <c r="Z147" s="146"/>
      <c r="AA147" s="146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2:39" s="247" customFormat="1" ht="11">
      <c r="B148" s="144"/>
      <c r="C148" s="143"/>
      <c r="D148" s="907"/>
      <c r="E148" s="143"/>
      <c r="F148" s="145"/>
      <c r="G148" s="146"/>
      <c r="H148" s="146"/>
      <c r="I148" s="146"/>
      <c r="J148" s="146"/>
      <c r="K148" s="146"/>
      <c r="L148" s="146"/>
      <c r="M148" s="458"/>
      <c r="N148" s="145"/>
      <c r="O148" s="146"/>
      <c r="P148" s="146"/>
      <c r="Q148" s="147"/>
      <c r="R148" s="147"/>
      <c r="S148" s="142"/>
      <c r="T148" s="142"/>
      <c r="U148" s="146"/>
      <c r="V148" s="146"/>
      <c r="W148" s="146"/>
      <c r="X148" s="146"/>
      <c r="Y148" s="146"/>
      <c r="Z148" s="146"/>
      <c r="AA148" s="146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2:39" s="247" customFormat="1" ht="11">
      <c r="B149" s="144"/>
      <c r="C149" s="143"/>
      <c r="D149" s="907"/>
      <c r="E149" s="143"/>
      <c r="F149" s="145"/>
      <c r="G149" s="146"/>
      <c r="H149" s="146"/>
      <c r="I149" s="146"/>
      <c r="J149" s="146"/>
      <c r="K149" s="146"/>
      <c r="L149" s="146"/>
      <c r="M149" s="458"/>
      <c r="N149" s="145"/>
      <c r="O149" s="146"/>
      <c r="P149" s="146"/>
      <c r="Q149" s="147"/>
      <c r="R149" s="147"/>
      <c r="S149" s="142"/>
      <c r="T149" s="142"/>
      <c r="U149" s="146"/>
      <c r="V149" s="146"/>
      <c r="W149" s="146"/>
      <c r="X149" s="146"/>
      <c r="Y149" s="146"/>
      <c r="Z149" s="146"/>
      <c r="AA149" s="146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2:39" s="247" customFormat="1" ht="11">
      <c r="B150" s="144"/>
      <c r="C150" s="143"/>
      <c r="D150" s="907"/>
      <c r="E150" s="143"/>
      <c r="F150" s="145"/>
      <c r="G150" s="146"/>
      <c r="H150" s="146"/>
      <c r="I150" s="146"/>
      <c r="J150" s="146"/>
      <c r="K150" s="146"/>
      <c r="L150" s="146"/>
      <c r="M150" s="458"/>
      <c r="N150" s="145"/>
      <c r="O150" s="146"/>
      <c r="P150" s="146"/>
      <c r="Q150" s="147"/>
      <c r="R150" s="147"/>
      <c r="S150" s="142"/>
      <c r="T150" s="142"/>
      <c r="U150" s="146"/>
      <c r="V150" s="146"/>
      <c r="W150" s="146"/>
      <c r="X150" s="146"/>
      <c r="Y150" s="146"/>
      <c r="Z150" s="146"/>
      <c r="AA150" s="146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2:39" s="247" customFormat="1" ht="11">
      <c r="B151" s="144"/>
      <c r="C151" s="143"/>
      <c r="D151" s="907"/>
      <c r="E151" s="143"/>
      <c r="F151" s="145"/>
      <c r="G151" s="146"/>
      <c r="H151" s="146"/>
      <c r="I151" s="146"/>
      <c r="J151" s="146"/>
      <c r="K151" s="146"/>
      <c r="L151" s="146"/>
      <c r="M151" s="458"/>
      <c r="N151" s="145"/>
      <c r="O151" s="146"/>
      <c r="P151" s="146"/>
      <c r="Q151" s="147"/>
      <c r="R151" s="147"/>
      <c r="S151" s="142"/>
      <c r="T151" s="142"/>
      <c r="U151" s="146"/>
      <c r="V151" s="146"/>
      <c r="W151" s="146"/>
      <c r="X151" s="146"/>
      <c r="Y151" s="146"/>
      <c r="Z151" s="146"/>
      <c r="AA151" s="146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2:39" s="247" customFormat="1" ht="11">
      <c r="B152" s="144"/>
      <c r="C152" s="143"/>
      <c r="D152" s="907"/>
      <c r="E152" s="143"/>
      <c r="F152" s="145"/>
      <c r="G152" s="146"/>
      <c r="H152" s="146"/>
      <c r="I152" s="146"/>
      <c r="J152" s="146"/>
      <c r="K152" s="146"/>
      <c r="L152" s="146"/>
      <c r="M152" s="458"/>
      <c r="N152" s="145"/>
      <c r="O152" s="146"/>
      <c r="P152" s="146"/>
      <c r="Q152" s="147"/>
      <c r="R152" s="147"/>
      <c r="S152" s="142"/>
      <c r="T152" s="142"/>
      <c r="U152" s="146"/>
      <c r="V152" s="146"/>
      <c r="W152" s="146"/>
      <c r="X152" s="146"/>
      <c r="Y152" s="146"/>
      <c r="Z152" s="146"/>
      <c r="AA152" s="146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2:39" s="247" customFormat="1" ht="11">
      <c r="B153" s="144"/>
      <c r="C153" s="143"/>
      <c r="D153" s="907"/>
      <c r="E153" s="143"/>
      <c r="F153" s="145"/>
      <c r="G153" s="146"/>
      <c r="H153" s="146"/>
      <c r="I153" s="146"/>
      <c r="J153" s="146"/>
      <c r="K153" s="146"/>
      <c r="L153" s="146"/>
      <c r="M153" s="458"/>
      <c r="N153" s="145"/>
      <c r="O153" s="146"/>
      <c r="P153" s="146"/>
      <c r="Q153" s="147"/>
      <c r="R153" s="147"/>
      <c r="S153" s="142"/>
      <c r="T153" s="142"/>
      <c r="U153" s="146"/>
      <c r="V153" s="146"/>
      <c r="W153" s="146"/>
      <c r="X153" s="146"/>
      <c r="Y153" s="146"/>
      <c r="Z153" s="146"/>
      <c r="AA153" s="146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2:39" s="247" customFormat="1" ht="11">
      <c r="B154" s="144"/>
      <c r="C154" s="143"/>
      <c r="D154" s="907"/>
      <c r="E154" s="143"/>
      <c r="F154" s="145"/>
      <c r="G154" s="146"/>
      <c r="H154" s="146"/>
      <c r="I154" s="146"/>
      <c r="J154" s="146"/>
      <c r="K154" s="146"/>
      <c r="L154" s="146"/>
      <c r="M154" s="458"/>
      <c r="N154" s="145"/>
      <c r="O154" s="146"/>
      <c r="P154" s="146"/>
      <c r="Q154" s="147"/>
      <c r="R154" s="147"/>
      <c r="S154" s="142"/>
      <c r="T154" s="142"/>
      <c r="U154" s="146"/>
      <c r="V154" s="146"/>
      <c r="W154" s="146"/>
      <c r="X154" s="146"/>
      <c r="Y154" s="146"/>
      <c r="Z154" s="146"/>
      <c r="AA154" s="146"/>
      <c r="AB154" s="247">
        <f>SUBTOTAL(9,AB112:AB153)</f>
        <v>0</v>
      </c>
      <c r="AC154" s="214">
        <f>SUBTOTAL(9,AC112:AC153)</f>
        <v>0</v>
      </c>
      <c r="AD154" s="214">
        <f>SUBTOTAL(9,AD112:AD153)</f>
        <v>0</v>
      </c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2:39" s="247" customFormat="1" ht="11">
      <c r="B155" s="144"/>
      <c r="C155" s="143"/>
      <c r="D155" s="907"/>
      <c r="E155" s="143"/>
      <c r="F155" s="145"/>
      <c r="G155" s="146"/>
      <c r="H155" s="146"/>
      <c r="I155" s="146"/>
      <c r="J155" s="146"/>
      <c r="K155" s="146"/>
      <c r="L155" s="146"/>
      <c r="M155" s="458"/>
      <c r="N155" s="145"/>
      <c r="O155" s="146"/>
      <c r="P155" s="146"/>
      <c r="Q155" s="147"/>
      <c r="R155" s="147"/>
      <c r="S155" s="142"/>
      <c r="T155" s="142"/>
      <c r="U155" s="146"/>
      <c r="V155" s="146"/>
      <c r="W155" s="146"/>
      <c r="X155" s="146"/>
      <c r="Y155" s="146"/>
      <c r="Z155" s="146"/>
      <c r="AA155" s="146"/>
      <c r="AB155" s="247">
        <v>0</v>
      </c>
      <c r="AC155" s="214">
        <v>0</v>
      </c>
      <c r="AD155" s="214">
        <v>0</v>
      </c>
      <c r="AE155" s="214"/>
      <c r="AF155" s="214"/>
      <c r="AG155" s="214"/>
      <c r="AH155" s="214"/>
      <c r="AI155" s="214"/>
      <c r="AJ155" s="214"/>
      <c r="AK155" s="214"/>
      <c r="AL155" s="214"/>
      <c r="AM155" s="214"/>
    </row>
    <row r="156" spans="2:39" s="247" customFormat="1" ht="11">
      <c r="B156" s="144"/>
      <c r="C156" s="143"/>
      <c r="D156" s="907"/>
      <c r="E156" s="143"/>
      <c r="F156" s="145"/>
      <c r="G156" s="146"/>
      <c r="H156" s="146"/>
      <c r="I156" s="146"/>
      <c r="J156" s="146"/>
      <c r="K156" s="146"/>
      <c r="L156" s="146"/>
      <c r="M156" s="458"/>
      <c r="N156" s="145"/>
      <c r="O156" s="146"/>
      <c r="P156" s="146"/>
      <c r="Q156" s="147"/>
      <c r="R156" s="147"/>
      <c r="S156" s="142"/>
      <c r="T156" s="142"/>
      <c r="U156" s="146"/>
      <c r="V156" s="146"/>
      <c r="W156" s="146"/>
      <c r="X156" s="146"/>
      <c r="Y156" s="146"/>
      <c r="Z156" s="146"/>
      <c r="AA156" s="146"/>
      <c r="AB156" s="247">
        <v>0</v>
      </c>
      <c r="AC156" s="214">
        <v>0</v>
      </c>
      <c r="AD156" s="214">
        <v>0</v>
      </c>
      <c r="AE156" s="214"/>
      <c r="AF156" s="214"/>
      <c r="AG156" s="214"/>
      <c r="AH156" s="214"/>
      <c r="AI156" s="214"/>
      <c r="AJ156" s="214"/>
      <c r="AK156" s="214"/>
      <c r="AL156" s="214"/>
      <c r="AM156" s="214"/>
    </row>
    <row r="157" spans="2:39" s="247" customFormat="1" ht="11">
      <c r="B157" s="144"/>
      <c r="C157" s="143"/>
      <c r="D157" s="907"/>
      <c r="E157" s="143"/>
      <c r="F157" s="145"/>
      <c r="G157" s="146"/>
      <c r="H157" s="146"/>
      <c r="I157" s="146"/>
      <c r="J157" s="146"/>
      <c r="K157" s="146"/>
      <c r="L157" s="146"/>
      <c r="M157" s="458"/>
      <c r="N157" s="145"/>
      <c r="O157" s="146"/>
      <c r="P157" s="146"/>
      <c r="Q157" s="147"/>
      <c r="R157" s="147"/>
      <c r="S157" s="142"/>
      <c r="T157" s="142"/>
      <c r="U157" s="146"/>
      <c r="V157" s="146"/>
      <c r="W157" s="146"/>
      <c r="X157" s="146"/>
      <c r="Y157" s="146"/>
      <c r="Z157" s="146"/>
      <c r="AA157" s="146"/>
      <c r="AB157" s="247">
        <v>0</v>
      </c>
      <c r="AC157" s="214">
        <v>0</v>
      </c>
      <c r="AD157" s="214">
        <v>0</v>
      </c>
      <c r="AE157" s="214"/>
      <c r="AF157" s="214"/>
      <c r="AG157" s="214"/>
      <c r="AH157" s="214"/>
      <c r="AI157" s="214"/>
      <c r="AJ157" s="214"/>
      <c r="AK157" s="214"/>
      <c r="AL157" s="214"/>
      <c r="AM157" s="214"/>
    </row>
    <row r="158" spans="2:39" s="247" customFormat="1" ht="11">
      <c r="B158" s="144"/>
      <c r="C158" s="143"/>
      <c r="D158" s="907"/>
      <c r="E158" s="143"/>
      <c r="F158" s="145"/>
      <c r="G158" s="146"/>
      <c r="H158" s="146"/>
      <c r="I158" s="146"/>
      <c r="J158" s="146"/>
      <c r="K158" s="146"/>
      <c r="L158" s="146"/>
      <c r="M158" s="458"/>
      <c r="N158" s="145"/>
      <c r="O158" s="146"/>
      <c r="P158" s="146"/>
      <c r="Q158" s="147"/>
      <c r="R158" s="147"/>
      <c r="S158" s="142"/>
      <c r="T158" s="142"/>
      <c r="U158" s="146"/>
      <c r="V158" s="146"/>
      <c r="W158" s="146"/>
      <c r="X158" s="146"/>
      <c r="Y158" s="146"/>
      <c r="Z158" s="146"/>
      <c r="AA158" s="146"/>
      <c r="AB158" s="247">
        <v>0</v>
      </c>
      <c r="AC158" s="214">
        <v>0</v>
      </c>
      <c r="AD158" s="214">
        <v>0</v>
      </c>
      <c r="AE158" s="214"/>
      <c r="AF158" s="214"/>
      <c r="AG158" s="214"/>
      <c r="AH158" s="214"/>
      <c r="AI158" s="214"/>
      <c r="AJ158" s="214"/>
      <c r="AK158" s="214"/>
      <c r="AL158" s="214"/>
      <c r="AM158" s="214"/>
    </row>
    <row r="159" spans="2:39" s="247" customFormat="1" ht="11">
      <c r="B159" s="144"/>
      <c r="C159" s="143"/>
      <c r="D159" s="907"/>
      <c r="E159" s="143"/>
      <c r="F159" s="145"/>
      <c r="G159" s="146"/>
      <c r="H159" s="146"/>
      <c r="I159" s="146"/>
      <c r="J159" s="146"/>
      <c r="K159" s="146"/>
      <c r="L159" s="146"/>
      <c r="M159" s="458"/>
      <c r="N159" s="145"/>
      <c r="O159" s="146"/>
      <c r="P159" s="146"/>
      <c r="Q159" s="147"/>
      <c r="R159" s="147"/>
      <c r="S159" s="142"/>
      <c r="T159" s="142"/>
      <c r="U159" s="146"/>
      <c r="V159" s="146"/>
      <c r="W159" s="146"/>
      <c r="X159" s="146"/>
      <c r="Y159" s="146"/>
      <c r="Z159" s="146"/>
      <c r="AA159" s="146"/>
      <c r="AB159" s="247">
        <v>0</v>
      </c>
      <c r="AC159" s="214">
        <v>0</v>
      </c>
      <c r="AD159" s="214">
        <v>0</v>
      </c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2:39" s="247" customFormat="1" ht="11">
      <c r="B160" s="144"/>
      <c r="C160" s="143"/>
      <c r="D160" s="907"/>
      <c r="E160" s="143"/>
      <c r="F160" s="145"/>
      <c r="G160" s="146"/>
      <c r="H160" s="146"/>
      <c r="I160" s="146"/>
      <c r="J160" s="146"/>
      <c r="K160" s="146"/>
      <c r="L160" s="146"/>
      <c r="M160" s="458"/>
      <c r="N160" s="145"/>
      <c r="O160" s="146"/>
      <c r="P160" s="146"/>
      <c r="Q160" s="147"/>
      <c r="R160" s="147"/>
      <c r="S160" s="142"/>
      <c r="T160" s="142"/>
      <c r="U160" s="146"/>
      <c r="V160" s="146"/>
      <c r="W160" s="146"/>
      <c r="X160" s="146"/>
      <c r="Y160" s="146"/>
      <c r="Z160" s="146"/>
      <c r="AA160" s="146"/>
      <c r="AB160" s="247">
        <v>0</v>
      </c>
      <c r="AC160" s="214">
        <v>0</v>
      </c>
      <c r="AD160" s="214">
        <v>0</v>
      </c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2:41" s="247" customFormat="1" ht="11">
      <c r="B161" s="144"/>
      <c r="C161" s="143"/>
      <c r="D161" s="907"/>
      <c r="E161" s="143"/>
      <c r="F161" s="145"/>
      <c r="G161" s="146"/>
      <c r="H161" s="146"/>
      <c r="I161" s="146"/>
      <c r="J161" s="146"/>
      <c r="K161" s="146"/>
      <c r="L161" s="146"/>
      <c r="M161" s="458"/>
      <c r="N161" s="145"/>
      <c r="O161" s="146"/>
      <c r="P161" s="146"/>
      <c r="Q161" s="147"/>
      <c r="R161" s="147"/>
      <c r="S161" s="142"/>
      <c r="T161" s="142"/>
      <c r="U161" s="146"/>
      <c r="V161" s="146"/>
      <c r="W161" s="146"/>
      <c r="X161" s="146"/>
      <c r="Y161" s="146"/>
      <c r="Z161" s="146"/>
      <c r="AA161" s="146"/>
      <c r="AB161" s="247">
        <v>0</v>
      </c>
      <c r="AC161" s="214">
        <v>0</v>
      </c>
      <c r="AD161" s="214">
        <v>0</v>
      </c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2:41" s="247" customFormat="1" ht="11">
      <c r="B162" s="144"/>
      <c r="C162" s="143"/>
      <c r="D162" s="907"/>
      <c r="E162" s="143"/>
      <c r="F162" s="145"/>
      <c r="G162" s="146"/>
      <c r="H162" s="146"/>
      <c r="I162" s="146"/>
      <c r="J162" s="146"/>
      <c r="K162" s="146"/>
      <c r="L162" s="146"/>
      <c r="M162" s="458"/>
      <c r="N162" s="145"/>
      <c r="O162" s="146"/>
      <c r="P162" s="146"/>
      <c r="Q162" s="147"/>
      <c r="R162" s="147"/>
      <c r="S162" s="142"/>
      <c r="T162" s="142"/>
      <c r="U162" s="146"/>
      <c r="V162" s="146"/>
      <c r="W162" s="146"/>
      <c r="X162" s="146"/>
      <c r="Y162" s="146"/>
      <c r="Z162" s="146"/>
      <c r="AA162" s="146"/>
      <c r="AB162" s="247">
        <v>0</v>
      </c>
      <c r="AC162" s="214">
        <v>0</v>
      </c>
      <c r="AD162" s="214">
        <v>0</v>
      </c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2:41" s="247" customFormat="1" ht="11">
      <c r="B163" s="144"/>
      <c r="C163" s="143"/>
      <c r="D163" s="907"/>
      <c r="E163" s="143"/>
      <c r="F163" s="145"/>
      <c r="G163" s="146"/>
      <c r="H163" s="146"/>
      <c r="I163" s="146"/>
      <c r="J163" s="146"/>
      <c r="K163" s="146"/>
      <c r="L163" s="146"/>
      <c r="M163" s="458"/>
      <c r="N163" s="145"/>
      <c r="O163" s="146"/>
      <c r="P163" s="146"/>
      <c r="Q163" s="147"/>
      <c r="R163" s="147"/>
      <c r="S163" s="142"/>
      <c r="T163" s="142"/>
      <c r="U163" s="146"/>
      <c r="V163" s="146"/>
      <c r="W163" s="146"/>
      <c r="X163" s="146"/>
      <c r="Y163" s="146"/>
      <c r="Z163" s="146"/>
      <c r="AA163" s="146"/>
      <c r="AB163" s="247">
        <v>0</v>
      </c>
      <c r="AC163" s="214">
        <v>0</v>
      </c>
      <c r="AD163" s="214">
        <v>0</v>
      </c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2:41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146"/>
      <c r="V164" s="146"/>
      <c r="W164" s="146"/>
      <c r="X164" s="146"/>
      <c r="Y164" s="146"/>
      <c r="Z164" s="146"/>
      <c r="AA164" s="146"/>
      <c r="AB164" s="247">
        <v>0</v>
      </c>
      <c r="AC164" s="214">
        <v>0</v>
      </c>
      <c r="AD164" s="214">
        <v>0</v>
      </c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2:41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146">
        <f>SUBTOTAL(9,U123:U164)</f>
        <v>0</v>
      </c>
      <c r="V165" s="146">
        <f t="shared" ref="V165:AA165" si="75">SUBTOTAL(9,V123:V164)</f>
        <v>0</v>
      </c>
      <c r="W165" s="146">
        <f t="shared" si="75"/>
        <v>0</v>
      </c>
      <c r="X165" s="146">
        <f t="shared" si="75"/>
        <v>0</v>
      </c>
      <c r="Y165" s="146">
        <f t="shared" si="75"/>
        <v>0</v>
      </c>
      <c r="Z165" s="146">
        <f t="shared" si="75"/>
        <v>0</v>
      </c>
      <c r="AA165" s="146">
        <f t="shared" si="75"/>
        <v>0</v>
      </c>
      <c r="AB165" s="247">
        <v>0</v>
      </c>
      <c r="AC165" s="214">
        <v>0</v>
      </c>
      <c r="AD165" s="214">
        <v>0</v>
      </c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2:41" s="213" customFormat="1" ht="14" thickBot="1">
      <c r="B166" s="139"/>
      <c r="C166" s="138"/>
      <c r="D166" s="908"/>
      <c r="E166" s="138"/>
      <c r="F166" s="140"/>
      <c r="G166" s="141"/>
      <c r="H166" s="141"/>
      <c r="I166" s="141"/>
      <c r="J166" s="141"/>
      <c r="K166" s="141"/>
      <c r="L166" s="141"/>
      <c r="M166" s="458"/>
      <c r="N166" s="140"/>
      <c r="O166" s="141"/>
      <c r="P166" s="141"/>
      <c r="Q166" s="148"/>
      <c r="R166" s="148"/>
      <c r="S166" s="149"/>
      <c r="T166" s="149"/>
      <c r="U166" s="150"/>
      <c r="V166" s="150"/>
      <c r="W166" s="150"/>
      <c r="X166" s="150"/>
      <c r="Y166" s="150"/>
      <c r="Z166" s="150"/>
      <c r="AA166" s="150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2:41" s="213" customFormat="1" ht="15" thickTop="1" thickBot="1">
      <c r="B167" s="139"/>
      <c r="C167" s="138"/>
      <c r="D167" s="908"/>
      <c r="E167" s="138"/>
      <c r="F167" s="140"/>
      <c r="G167" s="141"/>
      <c r="H167" s="141"/>
      <c r="I167" s="141"/>
      <c r="J167" s="141"/>
      <c r="K167" s="141"/>
      <c r="L167" s="141"/>
      <c r="M167" s="458"/>
      <c r="N167" s="140"/>
      <c r="O167" s="141"/>
      <c r="P167" s="141"/>
      <c r="Q167" s="148"/>
      <c r="R167" s="148"/>
      <c r="S167" s="148"/>
      <c r="T167" s="149"/>
      <c r="U167" s="151"/>
      <c r="V167" s="152"/>
      <c r="W167" s="153"/>
      <c r="X167" s="153"/>
      <c r="Y167" s="153"/>
      <c r="Z167" s="153"/>
      <c r="AA167" s="154"/>
      <c r="AB167" s="246"/>
      <c r="AC167" s="246"/>
      <c r="AE167" s="214"/>
      <c r="AF167" s="214"/>
      <c r="AG167" s="214"/>
      <c r="AH167" s="214"/>
      <c r="AI167" s="214"/>
      <c r="AJ167" s="214"/>
      <c r="AK167" s="214"/>
      <c r="AL167" s="214"/>
      <c r="AM167" s="214"/>
      <c r="AN167" s="214"/>
      <c r="AO167" s="214"/>
    </row>
    <row r="168" spans="2:41" s="247" customFormat="1" ht="12" thickTop="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2:41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2:41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2:41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2:41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2:41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2:41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2:41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2:41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39" s="247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39" s="247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39" s="247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39" s="247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39" s="247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39" s="247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39" s="247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39" s="247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39" s="247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39" s="247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39" s="247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39" s="247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39" s="247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39" s="247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39" s="247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39" s="247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39" s="247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39" s="247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39" s="247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39" s="247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39" s="247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39" s="247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39" s="247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39" s="247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/>
      <c r="V200" s="146"/>
      <c r="W200" s="146"/>
      <c r="X200" s="146"/>
      <c r="Y200" s="146"/>
      <c r="Z200" s="146"/>
      <c r="AA200" s="146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39" s="247" customFormat="1" ht="11">
      <c r="B201" s="144"/>
      <c r="C201" s="143"/>
      <c r="D201" s="907"/>
      <c r="E201" s="143"/>
      <c r="F201" s="145"/>
      <c r="G201" s="146"/>
      <c r="H201" s="146"/>
      <c r="I201" s="146"/>
      <c r="J201" s="146"/>
      <c r="K201" s="146"/>
      <c r="L201" s="146"/>
      <c r="M201" s="458"/>
      <c r="N201" s="145"/>
      <c r="O201" s="146"/>
      <c r="P201" s="146"/>
      <c r="Q201" s="147"/>
      <c r="R201" s="147"/>
      <c r="S201" s="142"/>
      <c r="T201" s="142"/>
      <c r="U201" s="146"/>
      <c r="V201" s="146"/>
      <c r="W201" s="146"/>
      <c r="X201" s="146"/>
      <c r="Y201" s="146"/>
      <c r="Z201" s="146"/>
      <c r="AA201" s="146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39" s="247" customFormat="1" ht="11">
      <c r="B202" s="144"/>
      <c r="C202" s="143"/>
      <c r="D202" s="907"/>
      <c r="E202" s="143"/>
      <c r="F202" s="145"/>
      <c r="G202" s="146"/>
      <c r="H202" s="146"/>
      <c r="I202" s="146"/>
      <c r="J202" s="146"/>
      <c r="K202" s="146"/>
      <c r="L202" s="146"/>
      <c r="M202" s="458"/>
      <c r="N202" s="145"/>
      <c r="O202" s="146"/>
      <c r="P202" s="146"/>
      <c r="Q202" s="147"/>
      <c r="R202" s="147"/>
      <c r="S202" s="142"/>
      <c r="T202" s="142"/>
      <c r="U202" s="146"/>
      <c r="V202" s="146"/>
      <c r="W202" s="146"/>
      <c r="X202" s="146"/>
      <c r="Y202" s="146"/>
      <c r="Z202" s="146"/>
      <c r="AA202" s="146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</row>
    <row r="203" spans="2:39" s="247" customFormat="1" ht="1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39" s="247" customFormat="1" ht="11">
      <c r="B204" s="248"/>
      <c r="D204" s="909"/>
      <c r="F204" s="249"/>
      <c r="G204" s="250"/>
      <c r="H204" s="250"/>
      <c r="I204" s="250"/>
      <c r="J204" s="250"/>
      <c r="K204" s="250"/>
      <c r="L204" s="250"/>
      <c r="M204" s="459"/>
      <c r="N204" s="249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39" s="247" customFormat="1" ht="11">
      <c r="B205" s="248"/>
      <c r="D205" s="909"/>
      <c r="F205" s="249"/>
      <c r="G205" s="250"/>
      <c r="H205" s="250"/>
      <c r="I205" s="250"/>
      <c r="J205" s="250"/>
      <c r="K205" s="250"/>
      <c r="L205" s="250"/>
      <c r="M205" s="459"/>
      <c r="N205" s="249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39" s="247" customFormat="1" ht="11">
      <c r="B206" s="248"/>
      <c r="D206" s="909"/>
      <c r="F206" s="249"/>
      <c r="G206" s="250"/>
      <c r="H206" s="250"/>
      <c r="I206" s="250"/>
      <c r="J206" s="250"/>
      <c r="K206" s="250"/>
      <c r="L206" s="250"/>
      <c r="M206" s="459"/>
      <c r="N206" s="249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39" s="247" customFormat="1" ht="11">
      <c r="B207" s="248"/>
      <c r="D207" s="909"/>
      <c r="F207" s="249"/>
      <c r="G207" s="250"/>
      <c r="H207" s="250"/>
      <c r="I207" s="250"/>
      <c r="J207" s="250"/>
      <c r="K207" s="250"/>
      <c r="L207" s="250"/>
      <c r="M207" s="459"/>
      <c r="N207" s="249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39" s="247" customFormat="1" ht="11">
      <c r="B208" s="248"/>
      <c r="D208" s="909"/>
      <c r="F208" s="249"/>
      <c r="G208" s="250"/>
      <c r="H208" s="250"/>
      <c r="I208" s="250"/>
      <c r="J208" s="250"/>
      <c r="K208" s="250"/>
      <c r="L208" s="250"/>
      <c r="M208" s="459"/>
      <c r="N208" s="249"/>
      <c r="O208" s="146"/>
      <c r="P208" s="146"/>
      <c r="Q208" s="147"/>
      <c r="R208" s="147"/>
      <c r="S208" s="142"/>
      <c r="T208" s="142"/>
      <c r="U208" s="146">
        <f>SUBTOTAL(9,U166:U207)</f>
        <v>0</v>
      </c>
      <c r="V208" s="146">
        <f t="shared" ref="V208:AA208" si="76">SUBTOTAL(9,V166:V207)</f>
        <v>0</v>
      </c>
      <c r="W208" s="146">
        <f t="shared" si="76"/>
        <v>0</v>
      </c>
      <c r="X208" s="146">
        <f t="shared" si="76"/>
        <v>0</v>
      </c>
      <c r="Y208" s="146">
        <f t="shared" si="76"/>
        <v>0</v>
      </c>
      <c r="Z208" s="146">
        <f t="shared" si="76"/>
        <v>0</v>
      </c>
      <c r="AA208" s="146">
        <f t="shared" si="76"/>
        <v>0</v>
      </c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41" s="213" customFormat="1" ht="14" thickBot="1">
      <c r="B209" s="225"/>
      <c r="D209" s="910"/>
      <c r="F209" s="242"/>
      <c r="G209" s="243"/>
      <c r="H209" s="243"/>
      <c r="I209" s="243"/>
      <c r="J209" s="243"/>
      <c r="K209" s="243"/>
      <c r="L209" s="243"/>
      <c r="M209" s="459"/>
      <c r="N209" s="242"/>
      <c r="O209" s="141"/>
      <c r="P209" s="141"/>
      <c r="Q209" s="148"/>
      <c r="R209" s="148"/>
      <c r="S209" s="149"/>
      <c r="T209" s="149"/>
      <c r="U209" s="150"/>
      <c r="V209" s="150"/>
      <c r="W209" s="150"/>
      <c r="X209" s="150"/>
      <c r="Y209" s="150"/>
      <c r="Z209" s="150"/>
      <c r="AA209" s="150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41" s="213" customFormat="1" ht="15" thickTop="1" thickBot="1">
      <c r="B210" s="225"/>
      <c r="D210" s="910"/>
      <c r="F210" s="242"/>
      <c r="G210" s="243"/>
      <c r="H210" s="243"/>
      <c r="I210" s="243"/>
      <c r="J210" s="243"/>
      <c r="K210" s="243"/>
      <c r="L210" s="243"/>
      <c r="M210" s="459"/>
      <c r="N210" s="242"/>
      <c r="O210" s="141"/>
      <c r="P210" s="141"/>
      <c r="Q210" s="148"/>
      <c r="R210" s="148"/>
      <c r="S210" s="148"/>
      <c r="T210" s="148"/>
      <c r="U210" s="151">
        <f>SUBTOTAL(9,U168:U209)</f>
        <v>0</v>
      </c>
      <c r="V210" s="152">
        <f t="shared" ref="V210:AA210" si="77">SUBTOTAL(9,V168:V209)</f>
        <v>0</v>
      </c>
      <c r="W210" s="153">
        <f t="shared" si="77"/>
        <v>0</v>
      </c>
      <c r="X210" s="153">
        <f t="shared" si="77"/>
        <v>0</v>
      </c>
      <c r="Y210" s="153">
        <f t="shared" si="77"/>
        <v>0</v>
      </c>
      <c r="Z210" s="153">
        <f t="shared" si="77"/>
        <v>0</v>
      </c>
      <c r="AA210" s="154">
        <f t="shared" si="77"/>
        <v>0</v>
      </c>
      <c r="AB210" s="246"/>
      <c r="AC210" s="246"/>
      <c r="AE210" s="214"/>
      <c r="AF210" s="214"/>
      <c r="AG210" s="214"/>
      <c r="AH210" s="214"/>
      <c r="AI210" s="214"/>
      <c r="AJ210" s="214"/>
      <c r="AK210" s="214"/>
      <c r="AL210" s="214"/>
      <c r="AM210" s="214"/>
      <c r="AN210" s="214"/>
      <c r="AO210" s="214"/>
    </row>
    <row r="211" spans="2:41" s="213" customFormat="1" ht="14" thickTop="1">
      <c r="B211" s="225"/>
      <c r="D211" s="910"/>
      <c r="F211" s="242"/>
      <c r="G211" s="243"/>
      <c r="H211" s="243"/>
      <c r="I211" s="243"/>
      <c r="J211" s="243"/>
      <c r="K211" s="243"/>
      <c r="L211" s="243"/>
      <c r="M211" s="459"/>
      <c r="N211" s="242"/>
      <c r="O211" s="141"/>
      <c r="P211" s="141"/>
      <c r="Q211" s="148"/>
      <c r="R211" s="148"/>
      <c r="S211" s="149"/>
      <c r="T211" s="149"/>
      <c r="U211" s="150"/>
      <c r="V211" s="150"/>
      <c r="W211" s="150"/>
      <c r="X211" s="150"/>
      <c r="Y211" s="150"/>
      <c r="Z211" s="150"/>
      <c r="AA211" s="150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41" s="213" customFormat="1">
      <c r="B212" s="225"/>
      <c r="D212" s="910"/>
      <c r="F212" s="242"/>
      <c r="G212" s="243"/>
      <c r="H212" s="243"/>
      <c r="I212" s="243"/>
      <c r="J212" s="243"/>
      <c r="K212" s="243"/>
      <c r="L212" s="243"/>
      <c r="M212" s="459"/>
      <c r="N212" s="242"/>
      <c r="O212" s="141"/>
      <c r="P212" s="141"/>
      <c r="Q212" s="148"/>
      <c r="R212" s="148"/>
      <c r="S212" s="149"/>
      <c r="T212" s="149"/>
      <c r="U212" s="150"/>
      <c r="V212" s="150"/>
      <c r="W212" s="150"/>
      <c r="X212" s="150"/>
      <c r="Y212" s="150"/>
      <c r="Z212" s="150"/>
      <c r="AA212" s="150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41" s="213" customFormat="1">
      <c r="B213" s="225"/>
      <c r="D213" s="910"/>
      <c r="F213" s="242"/>
      <c r="G213" s="243"/>
      <c r="H213" s="243"/>
      <c r="I213" s="243"/>
      <c r="J213" s="243"/>
      <c r="K213" s="243"/>
      <c r="L213" s="243"/>
      <c r="M213" s="459"/>
      <c r="N213" s="242"/>
      <c r="O213" s="141"/>
      <c r="P213" s="141"/>
      <c r="Q213" s="148"/>
      <c r="R213" s="148"/>
      <c r="S213" s="149"/>
      <c r="T213" s="149"/>
      <c r="U213" s="150"/>
      <c r="V213" s="150"/>
      <c r="W213" s="150"/>
      <c r="X213" s="150"/>
      <c r="Y213" s="150"/>
      <c r="Z213" s="150"/>
      <c r="AA213" s="150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41" s="213" customFormat="1">
      <c r="B214" s="225"/>
      <c r="D214" s="910"/>
      <c r="F214" s="242"/>
      <c r="G214" s="243"/>
      <c r="H214" s="243"/>
      <c r="I214" s="243"/>
      <c r="J214" s="243"/>
      <c r="K214" s="243"/>
      <c r="L214" s="243"/>
      <c r="M214" s="459"/>
      <c r="N214" s="242"/>
      <c r="O214" s="141"/>
      <c r="P214" s="141"/>
      <c r="Q214" s="148"/>
      <c r="R214" s="148"/>
      <c r="S214" s="149"/>
      <c r="T214" s="149"/>
      <c r="U214" s="150"/>
      <c r="V214" s="150"/>
      <c r="W214" s="150"/>
      <c r="X214" s="150"/>
      <c r="Y214" s="150"/>
      <c r="Z214" s="150"/>
      <c r="AA214" s="150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41" s="213" customFormat="1">
      <c r="B215" s="225"/>
      <c r="D215" s="910"/>
      <c r="F215" s="242"/>
      <c r="G215" s="243"/>
      <c r="H215" s="243"/>
      <c r="I215" s="243"/>
      <c r="J215" s="243"/>
      <c r="K215" s="243"/>
      <c r="L215" s="243"/>
      <c r="M215" s="459"/>
      <c r="N215" s="242"/>
      <c r="O215" s="141"/>
      <c r="P215" s="141"/>
      <c r="Q215" s="148"/>
      <c r="R215" s="148"/>
      <c r="S215" s="149"/>
      <c r="T215" s="149"/>
      <c r="U215" s="150"/>
      <c r="V215" s="150"/>
      <c r="W215" s="150"/>
      <c r="X215" s="150"/>
      <c r="Y215" s="150"/>
      <c r="Z215" s="150"/>
      <c r="AA215" s="150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41" s="213" customFormat="1">
      <c r="B216" s="225"/>
      <c r="D216" s="910"/>
      <c r="F216" s="242"/>
      <c r="G216" s="243"/>
      <c r="H216" s="243"/>
      <c r="I216" s="243"/>
      <c r="J216" s="243"/>
      <c r="K216" s="243"/>
      <c r="L216" s="243"/>
      <c r="M216" s="459"/>
      <c r="N216" s="242"/>
      <c r="O216" s="141"/>
      <c r="P216" s="141"/>
      <c r="Q216" s="148"/>
      <c r="R216" s="148"/>
      <c r="S216" s="149"/>
      <c r="T216" s="149"/>
      <c r="U216" s="150"/>
      <c r="V216" s="150"/>
      <c r="W216" s="150"/>
      <c r="X216" s="150"/>
      <c r="Y216" s="150"/>
      <c r="Z216" s="150"/>
      <c r="AA216" s="150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41" s="213" customFormat="1">
      <c r="B217" s="225"/>
      <c r="D217" s="910"/>
      <c r="F217" s="242"/>
      <c r="G217" s="243"/>
      <c r="H217" s="243"/>
      <c r="I217" s="243"/>
      <c r="J217" s="243"/>
      <c r="K217" s="243"/>
      <c r="L217" s="243"/>
      <c r="M217" s="459"/>
      <c r="N217" s="242"/>
      <c r="O217" s="141"/>
      <c r="P217" s="141"/>
      <c r="Q217" s="148"/>
      <c r="R217" s="148"/>
      <c r="S217" s="149"/>
      <c r="T217" s="149"/>
      <c r="U217" s="150"/>
      <c r="V217" s="150"/>
      <c r="W217" s="150"/>
      <c r="X217" s="150"/>
      <c r="Y217" s="150"/>
      <c r="Z217" s="150"/>
      <c r="AA217" s="150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41" s="213" customFormat="1">
      <c r="B218" s="225"/>
      <c r="D218" s="910"/>
      <c r="F218" s="242"/>
      <c r="G218" s="243"/>
      <c r="H218" s="243"/>
      <c r="I218" s="243"/>
      <c r="J218" s="243"/>
      <c r="K218" s="243"/>
      <c r="L218" s="243"/>
      <c r="M218" s="459"/>
      <c r="N218" s="242"/>
      <c r="O218" s="141"/>
      <c r="P218" s="141"/>
      <c r="Q218" s="148"/>
      <c r="R218" s="148"/>
      <c r="S218" s="149"/>
      <c r="T218" s="149"/>
      <c r="U218" s="150"/>
      <c r="V218" s="150"/>
      <c r="W218" s="150"/>
      <c r="X218" s="150"/>
      <c r="Y218" s="150"/>
      <c r="Z218" s="150"/>
      <c r="AA218" s="150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41" s="213" customFormat="1">
      <c r="B219" s="225"/>
      <c r="D219" s="910"/>
      <c r="F219" s="242"/>
      <c r="G219" s="243"/>
      <c r="H219" s="243"/>
      <c r="I219" s="243"/>
      <c r="J219" s="243"/>
      <c r="K219" s="243"/>
      <c r="L219" s="243"/>
      <c r="M219" s="459"/>
      <c r="N219" s="242"/>
      <c r="O219" s="141"/>
      <c r="P219" s="141"/>
      <c r="Q219" s="148"/>
      <c r="R219" s="148"/>
      <c r="S219" s="149"/>
      <c r="T219" s="149"/>
      <c r="U219" s="150"/>
      <c r="V219" s="150"/>
      <c r="W219" s="150"/>
      <c r="X219" s="150"/>
      <c r="Y219" s="150"/>
      <c r="Z219" s="150"/>
      <c r="AA219" s="150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41" s="213" customFormat="1">
      <c r="B220" s="225"/>
      <c r="D220" s="910"/>
      <c r="F220" s="242"/>
      <c r="G220" s="243"/>
      <c r="H220" s="243"/>
      <c r="I220" s="243"/>
      <c r="J220" s="243"/>
      <c r="K220" s="243"/>
      <c r="L220" s="243"/>
      <c r="M220" s="459"/>
      <c r="N220" s="242"/>
      <c r="O220" s="141"/>
      <c r="P220" s="141"/>
      <c r="Q220" s="148"/>
      <c r="R220" s="148"/>
      <c r="S220" s="149"/>
      <c r="T220" s="149"/>
      <c r="U220" s="150"/>
      <c r="V220" s="150"/>
      <c r="W220" s="150"/>
      <c r="X220" s="150"/>
      <c r="Y220" s="150"/>
      <c r="Z220" s="150"/>
      <c r="AA220" s="150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41" s="213" customFormat="1">
      <c r="B221" s="225"/>
      <c r="D221" s="910"/>
      <c r="F221" s="242"/>
      <c r="G221" s="243"/>
      <c r="H221" s="243"/>
      <c r="I221" s="243"/>
      <c r="J221" s="243"/>
      <c r="K221" s="243"/>
      <c r="L221" s="243"/>
      <c r="M221" s="459"/>
      <c r="N221" s="242"/>
      <c r="O221" s="141"/>
      <c r="P221" s="141"/>
      <c r="Q221" s="148"/>
      <c r="R221" s="148"/>
      <c r="S221" s="149"/>
      <c r="T221" s="149"/>
      <c r="U221" s="150"/>
      <c r="V221" s="150"/>
      <c r="W221" s="150"/>
      <c r="X221" s="150"/>
      <c r="Y221" s="150"/>
      <c r="Z221" s="150"/>
      <c r="AA221" s="150"/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</row>
    <row r="222" spans="2:41" s="213" customFormat="1">
      <c r="B222" s="225"/>
      <c r="D222" s="910"/>
      <c r="F222" s="242"/>
      <c r="G222" s="243"/>
      <c r="H222" s="243"/>
      <c r="I222" s="243"/>
      <c r="J222" s="243"/>
      <c r="K222" s="243"/>
      <c r="L222" s="243"/>
      <c r="M222" s="459"/>
      <c r="N222" s="242"/>
      <c r="O222" s="141"/>
      <c r="P222" s="141"/>
      <c r="Q222" s="148"/>
      <c r="R222" s="148"/>
      <c r="S222" s="149"/>
      <c r="T222" s="149"/>
      <c r="U222" s="150"/>
      <c r="V222" s="150"/>
      <c r="W222" s="150"/>
      <c r="X222" s="150"/>
      <c r="Y222" s="150"/>
      <c r="Z222" s="150"/>
      <c r="AA222" s="150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41" s="213" customFormat="1">
      <c r="B223" s="225"/>
      <c r="D223" s="910"/>
      <c r="F223" s="242"/>
      <c r="G223" s="243"/>
      <c r="H223" s="243"/>
      <c r="I223" s="243"/>
      <c r="J223" s="243"/>
      <c r="K223" s="243"/>
      <c r="L223" s="243"/>
      <c r="M223" s="459"/>
      <c r="N223" s="242"/>
      <c r="O223" s="141"/>
      <c r="P223" s="141"/>
      <c r="Q223" s="148"/>
      <c r="R223" s="148"/>
      <c r="S223" s="149"/>
      <c r="T223" s="149"/>
      <c r="U223" s="150"/>
      <c r="V223" s="150"/>
      <c r="W223" s="150"/>
      <c r="X223" s="150"/>
      <c r="Y223" s="150"/>
      <c r="Z223" s="150"/>
      <c r="AA223" s="150"/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</row>
    <row r="224" spans="2:41" s="213" customFormat="1">
      <c r="B224" s="225"/>
      <c r="D224" s="910"/>
      <c r="F224" s="242"/>
      <c r="G224" s="243"/>
      <c r="H224" s="243"/>
      <c r="I224" s="243"/>
      <c r="J224" s="243"/>
      <c r="K224" s="243"/>
      <c r="L224" s="243"/>
      <c r="M224" s="459"/>
      <c r="N224" s="242"/>
      <c r="O224" s="141"/>
      <c r="P224" s="141"/>
      <c r="Q224" s="148"/>
      <c r="R224" s="148"/>
      <c r="S224" s="149"/>
      <c r="T224" s="149"/>
      <c r="U224" s="150"/>
      <c r="V224" s="150"/>
      <c r="W224" s="150"/>
      <c r="X224" s="150"/>
      <c r="Y224" s="150"/>
      <c r="Z224" s="150"/>
      <c r="AA224" s="150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2:39" s="213" customFormat="1">
      <c r="B225" s="225"/>
      <c r="D225" s="910"/>
      <c r="F225" s="242"/>
      <c r="G225" s="243"/>
      <c r="H225" s="243"/>
      <c r="I225" s="243"/>
      <c r="J225" s="243"/>
      <c r="K225" s="243"/>
      <c r="L225" s="243"/>
      <c r="M225" s="459"/>
      <c r="N225" s="242"/>
      <c r="O225" s="141"/>
      <c r="P225" s="141"/>
      <c r="Q225" s="148"/>
      <c r="R225" s="148"/>
      <c r="S225" s="149"/>
      <c r="T225" s="149"/>
      <c r="U225" s="150"/>
      <c r="V225" s="150"/>
      <c r="W225" s="150"/>
      <c r="X225" s="150"/>
      <c r="Y225" s="150"/>
      <c r="Z225" s="150"/>
      <c r="AA225" s="150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</row>
    <row r="226" spans="2:39" s="213" customFormat="1">
      <c r="B226" s="225"/>
      <c r="D226" s="910"/>
      <c r="F226" s="242"/>
      <c r="G226" s="243"/>
      <c r="H226" s="243"/>
      <c r="I226" s="243"/>
      <c r="J226" s="243"/>
      <c r="K226" s="243"/>
      <c r="L226" s="243"/>
      <c r="M226" s="459"/>
      <c r="N226" s="242"/>
      <c r="O226" s="141"/>
      <c r="P226" s="141"/>
      <c r="Q226" s="148"/>
      <c r="R226" s="148"/>
      <c r="S226" s="149"/>
      <c r="T226" s="149"/>
      <c r="U226" s="150"/>
      <c r="V226" s="150"/>
      <c r="W226" s="150"/>
      <c r="X226" s="150"/>
      <c r="Y226" s="150"/>
      <c r="Z226" s="150"/>
      <c r="AA226" s="150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2:39" s="213" customFormat="1">
      <c r="B227" s="225"/>
      <c r="D227" s="910"/>
      <c r="F227" s="242"/>
      <c r="G227" s="243"/>
      <c r="H227" s="243"/>
      <c r="I227" s="243"/>
      <c r="J227" s="243"/>
      <c r="K227" s="243"/>
      <c r="L227" s="243"/>
      <c r="M227" s="459"/>
      <c r="N227" s="242"/>
      <c r="O227" s="141"/>
      <c r="P227" s="141"/>
      <c r="Q227" s="148"/>
      <c r="R227" s="148"/>
      <c r="S227" s="149"/>
      <c r="T227" s="149"/>
      <c r="U227" s="150"/>
      <c r="V227" s="150"/>
      <c r="W227" s="150"/>
      <c r="X227" s="150"/>
      <c r="Y227" s="150"/>
      <c r="Z227" s="150"/>
      <c r="AA227" s="150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2:39" s="213" customFormat="1">
      <c r="B228" s="225"/>
      <c r="D228" s="910"/>
      <c r="F228" s="242"/>
      <c r="G228" s="243"/>
      <c r="H228" s="243"/>
      <c r="I228" s="243"/>
      <c r="J228" s="243"/>
      <c r="K228" s="243"/>
      <c r="L228" s="243"/>
      <c r="M228" s="459"/>
      <c r="N228" s="242"/>
      <c r="O228" s="141"/>
      <c r="P228" s="141"/>
      <c r="Q228" s="148"/>
      <c r="R228" s="148"/>
      <c r="S228" s="149"/>
      <c r="T228" s="149"/>
      <c r="U228" s="150"/>
      <c r="V228" s="150"/>
      <c r="W228" s="150"/>
      <c r="X228" s="150"/>
      <c r="Y228" s="150"/>
      <c r="Z228" s="150"/>
      <c r="AA228" s="150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2:39" s="213" customFormat="1">
      <c r="B229" s="225"/>
      <c r="D229" s="910"/>
      <c r="F229" s="242"/>
      <c r="G229" s="243"/>
      <c r="H229" s="243"/>
      <c r="I229" s="243"/>
      <c r="J229" s="243"/>
      <c r="K229" s="243"/>
      <c r="L229" s="243"/>
      <c r="M229" s="459"/>
      <c r="N229" s="242"/>
      <c r="O229" s="141"/>
      <c r="P229" s="141"/>
      <c r="Q229" s="148"/>
      <c r="R229" s="148"/>
      <c r="S229" s="149"/>
      <c r="T229" s="149"/>
      <c r="U229" s="150"/>
      <c r="V229" s="150"/>
      <c r="W229" s="150"/>
      <c r="X229" s="150"/>
      <c r="Y229" s="150"/>
      <c r="Z229" s="150"/>
      <c r="AA229" s="150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2:39" s="213" customFormat="1">
      <c r="B230" s="225"/>
      <c r="D230" s="910"/>
      <c r="F230" s="242"/>
      <c r="G230" s="243"/>
      <c r="H230" s="243"/>
      <c r="I230" s="243"/>
      <c r="J230" s="243"/>
      <c r="K230" s="243"/>
      <c r="L230" s="243"/>
      <c r="M230" s="459"/>
      <c r="N230" s="242"/>
      <c r="O230" s="141"/>
      <c r="P230" s="141"/>
      <c r="Q230" s="148"/>
      <c r="R230" s="148"/>
      <c r="S230" s="149"/>
      <c r="T230" s="149"/>
      <c r="U230" s="150"/>
      <c r="V230" s="150"/>
      <c r="W230" s="150"/>
      <c r="X230" s="150"/>
      <c r="Y230" s="150"/>
      <c r="Z230" s="150"/>
      <c r="AA230" s="150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</row>
    <row r="231" spans="2:39" s="213" customFormat="1">
      <c r="B231" s="225"/>
      <c r="D231" s="910"/>
      <c r="F231" s="242"/>
      <c r="G231" s="243"/>
      <c r="H231" s="243"/>
      <c r="I231" s="243"/>
      <c r="J231" s="243"/>
      <c r="K231" s="243"/>
      <c r="L231" s="243"/>
      <c r="M231" s="459"/>
      <c r="N231" s="242"/>
      <c r="O231" s="141"/>
      <c r="P231" s="141"/>
      <c r="Q231" s="148"/>
      <c r="R231" s="148"/>
      <c r="S231" s="149"/>
      <c r="T231" s="149"/>
      <c r="U231" s="150"/>
      <c r="V231" s="150"/>
      <c r="W231" s="150"/>
      <c r="X231" s="150"/>
      <c r="Y231" s="150"/>
      <c r="Z231" s="150"/>
      <c r="AA231" s="150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2:39" s="213" customFormat="1">
      <c r="B232" s="225"/>
      <c r="D232" s="910"/>
      <c r="F232" s="242"/>
      <c r="G232" s="243"/>
      <c r="H232" s="243"/>
      <c r="I232" s="243"/>
      <c r="J232" s="243"/>
      <c r="K232" s="243"/>
      <c r="L232" s="243"/>
      <c r="M232" s="459"/>
      <c r="N232" s="242"/>
      <c r="O232" s="141"/>
      <c r="P232" s="141"/>
      <c r="Q232" s="148"/>
      <c r="R232" s="148"/>
      <c r="S232" s="149"/>
      <c r="T232" s="149"/>
      <c r="U232" s="150"/>
      <c r="V232" s="150"/>
      <c r="W232" s="150"/>
      <c r="X232" s="150"/>
      <c r="Y232" s="150"/>
      <c r="Z232" s="150"/>
      <c r="AA232" s="150"/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2:39" s="213" customFormat="1">
      <c r="B233" s="225"/>
      <c r="D233" s="910"/>
      <c r="F233" s="242"/>
      <c r="G233" s="243"/>
      <c r="H233" s="243"/>
      <c r="I233" s="243"/>
      <c r="J233" s="243"/>
      <c r="K233" s="243"/>
      <c r="L233" s="243"/>
      <c r="M233" s="459"/>
      <c r="N233" s="242"/>
      <c r="O233" s="141"/>
      <c r="P233" s="141"/>
      <c r="Q233" s="148"/>
      <c r="R233" s="148"/>
      <c r="S233" s="149"/>
      <c r="T233" s="149"/>
      <c r="U233" s="150"/>
      <c r="V233" s="150"/>
      <c r="W233" s="150"/>
      <c r="X233" s="150"/>
      <c r="Y233" s="150"/>
      <c r="Z233" s="150"/>
      <c r="AA233" s="150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2:39" s="213" customFormat="1">
      <c r="B234" s="225"/>
      <c r="D234" s="910"/>
      <c r="F234" s="242"/>
      <c r="G234" s="243"/>
      <c r="H234" s="243"/>
      <c r="I234" s="243"/>
      <c r="J234" s="243"/>
      <c r="K234" s="243"/>
      <c r="L234" s="243"/>
      <c r="M234" s="459"/>
      <c r="N234" s="242"/>
      <c r="O234" s="141"/>
      <c r="P234" s="141"/>
      <c r="Q234" s="148"/>
      <c r="R234" s="148"/>
      <c r="S234" s="149"/>
      <c r="T234" s="149"/>
      <c r="U234" s="150"/>
      <c r="V234" s="150"/>
      <c r="W234" s="150"/>
      <c r="X234" s="150"/>
      <c r="Y234" s="150"/>
      <c r="Z234" s="150"/>
      <c r="AA234" s="150"/>
      <c r="AC234" s="214"/>
      <c r="AD234" s="214"/>
      <c r="AE234" s="214"/>
      <c r="AF234" s="214"/>
      <c r="AG234" s="214"/>
      <c r="AH234" s="214"/>
      <c r="AI234" s="214"/>
      <c r="AJ234" s="214"/>
      <c r="AK234" s="214"/>
      <c r="AL234" s="214"/>
      <c r="AM234" s="214"/>
    </row>
    <row r="235" spans="2:39" s="213" customFormat="1">
      <c r="B235" s="225"/>
      <c r="D235" s="910"/>
      <c r="F235" s="242"/>
      <c r="G235" s="243"/>
      <c r="H235" s="243"/>
      <c r="I235" s="243"/>
      <c r="J235" s="243"/>
      <c r="K235" s="243"/>
      <c r="L235" s="243"/>
      <c r="M235" s="459"/>
      <c r="N235" s="242"/>
      <c r="O235" s="141"/>
      <c r="P235" s="141"/>
      <c r="Q235" s="148"/>
      <c r="R235" s="148"/>
      <c r="S235" s="149"/>
      <c r="T235" s="149"/>
      <c r="U235" s="150"/>
      <c r="V235" s="150"/>
      <c r="W235" s="150"/>
      <c r="X235" s="150"/>
      <c r="Y235" s="150"/>
      <c r="Z235" s="150"/>
      <c r="AA235" s="150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</row>
    <row r="236" spans="2:39" s="213" customFormat="1">
      <c r="B236" s="225"/>
      <c r="D236" s="910"/>
      <c r="F236" s="242"/>
      <c r="G236" s="243"/>
      <c r="H236" s="243"/>
      <c r="I236" s="243"/>
      <c r="J236" s="243"/>
      <c r="K236" s="243"/>
      <c r="L236" s="243"/>
      <c r="M236" s="459"/>
      <c r="N236" s="242"/>
      <c r="O236" s="141"/>
      <c r="P236" s="141"/>
      <c r="Q236" s="148"/>
      <c r="R236" s="148"/>
      <c r="S236" s="149"/>
      <c r="T236" s="149"/>
      <c r="U236" s="150"/>
      <c r="V236" s="150"/>
      <c r="W236" s="150"/>
      <c r="X236" s="150"/>
      <c r="Y236" s="150"/>
      <c r="Z236" s="150"/>
      <c r="AA236" s="150"/>
      <c r="AC236" s="214"/>
      <c r="AD236" s="214"/>
      <c r="AE236" s="214"/>
      <c r="AF236" s="214"/>
      <c r="AG236" s="214"/>
      <c r="AH236" s="214"/>
      <c r="AI236" s="214"/>
      <c r="AJ236" s="214"/>
      <c r="AK236" s="214"/>
      <c r="AL236" s="214"/>
      <c r="AM236" s="214"/>
    </row>
    <row r="237" spans="2:39" s="213" customFormat="1">
      <c r="B237" s="225"/>
      <c r="D237" s="910"/>
      <c r="F237" s="242"/>
      <c r="G237" s="243"/>
      <c r="H237" s="243"/>
      <c r="I237" s="243"/>
      <c r="J237" s="243"/>
      <c r="K237" s="243"/>
      <c r="L237" s="243"/>
      <c r="M237" s="459"/>
      <c r="N237" s="242"/>
      <c r="O237" s="141"/>
      <c r="P237" s="141"/>
      <c r="Q237" s="148"/>
      <c r="R237" s="148"/>
      <c r="S237" s="149"/>
      <c r="T237" s="149"/>
      <c r="U237" s="150"/>
      <c r="V237" s="150"/>
      <c r="W237" s="150"/>
      <c r="X237" s="150"/>
      <c r="Y237" s="150"/>
      <c r="Z237" s="150"/>
      <c r="AA237" s="150"/>
      <c r="AC237" s="214"/>
      <c r="AD237" s="214"/>
      <c r="AE237" s="214"/>
      <c r="AF237" s="214"/>
      <c r="AG237" s="214"/>
      <c r="AH237" s="214"/>
      <c r="AI237" s="214"/>
      <c r="AJ237" s="214"/>
      <c r="AK237" s="214"/>
      <c r="AL237" s="214"/>
      <c r="AM237" s="214"/>
    </row>
    <row r="238" spans="2:39" s="213" customFormat="1">
      <c r="B238" s="225"/>
      <c r="D238" s="910"/>
      <c r="F238" s="242"/>
      <c r="G238" s="243"/>
      <c r="H238" s="243"/>
      <c r="I238" s="243"/>
      <c r="J238" s="243"/>
      <c r="K238" s="243"/>
      <c r="L238" s="243"/>
      <c r="M238" s="459"/>
      <c r="N238" s="242"/>
      <c r="O238" s="141"/>
      <c r="P238" s="141"/>
      <c r="Q238" s="148"/>
      <c r="R238" s="148"/>
      <c r="S238" s="149"/>
      <c r="T238" s="149"/>
      <c r="U238" s="150"/>
      <c r="V238" s="150"/>
      <c r="W238" s="150"/>
      <c r="X238" s="150"/>
      <c r="Y238" s="150"/>
      <c r="Z238" s="150"/>
      <c r="AA238" s="150"/>
      <c r="AC238" s="214"/>
      <c r="AD238" s="214"/>
      <c r="AE238" s="214"/>
      <c r="AF238" s="214"/>
      <c r="AG238" s="214"/>
      <c r="AH238" s="214"/>
      <c r="AI238" s="214"/>
      <c r="AJ238" s="214"/>
      <c r="AK238" s="214"/>
      <c r="AL238" s="214"/>
      <c r="AM238" s="214"/>
    </row>
    <row r="239" spans="2:39" s="213" customFormat="1">
      <c r="B239" s="225"/>
      <c r="D239" s="910"/>
      <c r="F239" s="242"/>
      <c r="G239" s="243"/>
      <c r="H239" s="243"/>
      <c r="I239" s="243"/>
      <c r="J239" s="243"/>
      <c r="K239" s="243"/>
      <c r="L239" s="243"/>
      <c r="M239" s="459"/>
      <c r="N239" s="242"/>
      <c r="O239" s="141"/>
      <c r="P239" s="141"/>
      <c r="Q239" s="148"/>
      <c r="R239" s="148"/>
      <c r="S239" s="149"/>
      <c r="T239" s="149"/>
      <c r="U239" s="150"/>
      <c r="V239" s="150"/>
      <c r="W239" s="150"/>
      <c r="X239" s="150"/>
      <c r="Y239" s="150"/>
      <c r="Z239" s="150"/>
      <c r="AA239" s="150"/>
      <c r="AC239" s="214"/>
      <c r="AD239" s="214"/>
      <c r="AE239" s="214"/>
      <c r="AF239" s="214"/>
      <c r="AG239" s="214"/>
      <c r="AH239" s="214"/>
      <c r="AI239" s="214"/>
      <c r="AJ239" s="214"/>
      <c r="AK239" s="214"/>
      <c r="AL239" s="214"/>
      <c r="AM239" s="214"/>
    </row>
    <row r="240" spans="2:39" s="213" customFormat="1">
      <c r="B240" s="225"/>
      <c r="D240" s="910"/>
      <c r="F240" s="242"/>
      <c r="G240" s="243"/>
      <c r="H240" s="243"/>
      <c r="I240" s="243"/>
      <c r="J240" s="243"/>
      <c r="K240" s="243"/>
      <c r="L240" s="243"/>
      <c r="M240" s="459"/>
      <c r="N240" s="242"/>
      <c r="O240" s="141"/>
      <c r="P240" s="141"/>
      <c r="Q240" s="148"/>
      <c r="R240" s="148"/>
      <c r="S240" s="149"/>
      <c r="T240" s="149"/>
      <c r="U240" s="150"/>
      <c r="V240" s="150"/>
      <c r="W240" s="150"/>
      <c r="X240" s="150"/>
      <c r="Y240" s="150"/>
      <c r="Z240" s="150"/>
      <c r="AA240" s="150"/>
      <c r="AC240" s="214"/>
      <c r="AD240" s="214"/>
      <c r="AE240" s="214"/>
      <c r="AF240" s="214"/>
      <c r="AG240" s="214"/>
      <c r="AH240" s="214"/>
      <c r="AI240" s="214"/>
      <c r="AJ240" s="214"/>
      <c r="AK240" s="214"/>
      <c r="AL240" s="214"/>
      <c r="AM240" s="214"/>
    </row>
    <row r="241" spans="1:40" s="213" customFormat="1">
      <c r="B241" s="225"/>
      <c r="D241" s="910"/>
      <c r="F241" s="242"/>
      <c r="G241" s="243"/>
      <c r="H241" s="243"/>
      <c r="I241" s="243"/>
      <c r="J241" s="243"/>
      <c r="K241" s="243"/>
      <c r="L241" s="243"/>
      <c r="M241" s="459"/>
      <c r="N241" s="242"/>
      <c r="O241" s="141"/>
      <c r="P241" s="141"/>
      <c r="Q241" s="148"/>
      <c r="R241" s="148"/>
      <c r="S241" s="149"/>
      <c r="T241" s="149"/>
      <c r="U241" s="150"/>
      <c r="V241" s="150"/>
      <c r="W241" s="150"/>
      <c r="X241" s="150"/>
      <c r="Y241" s="150"/>
      <c r="Z241" s="150"/>
      <c r="AA241" s="150"/>
      <c r="AC241" s="214"/>
      <c r="AD241" s="214"/>
      <c r="AE241" s="214"/>
      <c r="AF241" s="214"/>
      <c r="AG241" s="214"/>
      <c r="AH241" s="214"/>
      <c r="AI241" s="214"/>
      <c r="AJ241" s="214"/>
      <c r="AK241" s="214"/>
      <c r="AL241" s="214"/>
      <c r="AM241" s="214"/>
    </row>
    <row r="242" spans="1:40">
      <c r="A242" s="204"/>
      <c r="O242" s="155"/>
      <c r="P242" s="155"/>
      <c r="Q242" s="156"/>
      <c r="R242" s="156"/>
      <c r="S242" s="251"/>
      <c r="T242" s="251"/>
      <c r="U242" s="252"/>
      <c r="V242" s="252"/>
      <c r="W242" s="252"/>
      <c r="X242" s="252"/>
      <c r="Y242" s="252"/>
      <c r="Z242" s="252"/>
      <c r="AA242" s="252"/>
      <c r="AN242" s="204"/>
    </row>
    <row r="243" spans="1:40">
      <c r="A243" s="204"/>
      <c r="O243" s="155"/>
      <c r="P243" s="155"/>
      <c r="Q243" s="156"/>
      <c r="R243" s="156"/>
      <c r="S243" s="251"/>
      <c r="T243" s="251"/>
      <c r="U243" s="252"/>
      <c r="V243" s="252"/>
      <c r="W243" s="252"/>
      <c r="X243" s="252"/>
      <c r="Y243" s="252"/>
      <c r="Z243" s="252"/>
      <c r="AA243" s="252"/>
      <c r="AN243" s="204"/>
    </row>
    <row r="244" spans="1:40">
      <c r="A244" s="204"/>
      <c r="O244" s="155"/>
      <c r="P244" s="155"/>
      <c r="Q244" s="156"/>
      <c r="R244" s="156"/>
      <c r="S244" s="251"/>
      <c r="T244" s="251"/>
      <c r="U244" s="252"/>
      <c r="V244" s="252"/>
      <c r="W244" s="252"/>
      <c r="X244" s="252"/>
      <c r="Y244" s="252"/>
      <c r="Z244" s="252"/>
      <c r="AA244" s="252"/>
      <c r="AN244" s="204"/>
    </row>
    <row r="245" spans="1:40">
      <c r="A245" s="204"/>
      <c r="O245" s="155"/>
      <c r="P245" s="155"/>
      <c r="Q245" s="156"/>
      <c r="R245" s="156"/>
      <c r="S245" s="251"/>
      <c r="T245" s="251"/>
      <c r="U245" s="252"/>
      <c r="V245" s="252"/>
      <c r="W245" s="252"/>
      <c r="X245" s="252"/>
      <c r="Y245" s="252"/>
      <c r="Z245" s="252"/>
      <c r="AA245" s="252"/>
      <c r="AN245" s="204"/>
    </row>
    <row r="246" spans="1:40">
      <c r="A246" s="204"/>
      <c r="O246" s="155"/>
      <c r="P246" s="155"/>
      <c r="Q246" s="156"/>
      <c r="R246" s="156"/>
      <c r="S246" s="251"/>
      <c r="T246" s="251"/>
      <c r="U246" s="252"/>
      <c r="V246" s="252"/>
      <c r="W246" s="252"/>
      <c r="X246" s="252"/>
      <c r="Y246" s="252"/>
      <c r="Z246" s="252"/>
      <c r="AA246" s="252"/>
      <c r="AN246" s="204"/>
    </row>
    <row r="247" spans="1:40">
      <c r="A247" s="204"/>
      <c r="O247" s="155"/>
      <c r="P247" s="155"/>
      <c r="Q247" s="156"/>
      <c r="R247" s="156"/>
      <c r="S247" s="251"/>
      <c r="T247" s="251"/>
      <c r="U247" s="252"/>
      <c r="V247" s="252"/>
      <c r="W247" s="252"/>
      <c r="X247" s="252"/>
      <c r="Y247" s="252"/>
      <c r="Z247" s="252"/>
      <c r="AA247" s="252"/>
      <c r="AN247" s="204"/>
    </row>
    <row r="248" spans="1:40">
      <c r="A248" s="204"/>
      <c r="O248" s="155"/>
      <c r="P248" s="155"/>
      <c r="Q248" s="156"/>
      <c r="R248" s="156"/>
      <c r="S248" s="251"/>
      <c r="T248" s="251"/>
      <c r="U248" s="252"/>
      <c r="V248" s="252"/>
      <c r="W248" s="252"/>
      <c r="X248" s="252"/>
      <c r="Y248" s="252"/>
      <c r="Z248" s="252"/>
      <c r="AA248" s="252"/>
      <c r="AN248" s="204"/>
    </row>
    <row r="249" spans="1:40">
      <c r="A249" s="204"/>
      <c r="O249" s="155"/>
      <c r="P249" s="155"/>
      <c r="Q249" s="156"/>
      <c r="R249" s="156"/>
      <c r="S249" s="251"/>
      <c r="T249" s="251"/>
      <c r="U249" s="252"/>
      <c r="V249" s="252"/>
      <c r="W249" s="252"/>
      <c r="X249" s="252"/>
      <c r="Y249" s="252"/>
      <c r="Z249" s="252"/>
      <c r="AA249" s="252"/>
      <c r="AN249" s="204"/>
    </row>
    <row r="250" spans="1:40">
      <c r="A250" s="204"/>
      <c r="O250" s="155"/>
      <c r="P250" s="155"/>
      <c r="Q250" s="156"/>
      <c r="R250" s="156"/>
      <c r="S250" s="251"/>
      <c r="T250" s="251"/>
      <c r="U250" s="252"/>
      <c r="V250" s="252"/>
      <c r="W250" s="252"/>
      <c r="X250" s="252"/>
      <c r="Y250" s="252"/>
      <c r="Z250" s="252"/>
      <c r="AA250" s="252"/>
      <c r="AN250" s="204"/>
    </row>
    <row r="251" spans="1:40">
      <c r="A251" s="204"/>
      <c r="B251" s="204"/>
      <c r="D251" s="204"/>
      <c r="F251" s="204"/>
      <c r="G251" s="204"/>
      <c r="H251" s="204"/>
      <c r="I251" s="204"/>
      <c r="J251" s="204"/>
      <c r="K251" s="204"/>
      <c r="L251" s="204"/>
      <c r="M251" s="204"/>
      <c r="N251" s="204"/>
      <c r="O251" s="155"/>
      <c r="P251" s="155"/>
      <c r="Q251" s="156"/>
      <c r="R251" s="156"/>
      <c r="S251" s="251"/>
      <c r="T251" s="251"/>
      <c r="U251" s="252"/>
      <c r="V251" s="252"/>
      <c r="W251" s="252"/>
      <c r="X251" s="252"/>
      <c r="Y251" s="252"/>
      <c r="Z251" s="252"/>
      <c r="AA251" s="252"/>
      <c r="AB251" s="204"/>
      <c r="AC251" s="204"/>
      <c r="AD251" s="204"/>
      <c r="AE251" s="204"/>
      <c r="AF251" s="204"/>
      <c r="AG251" s="204"/>
      <c r="AH251" s="204"/>
      <c r="AI251" s="204"/>
      <c r="AJ251" s="204"/>
      <c r="AK251" s="204"/>
      <c r="AL251" s="204"/>
      <c r="AM251" s="204"/>
      <c r="AN251" s="204"/>
    </row>
    <row r="252" spans="1:40">
      <c r="A252" s="204"/>
      <c r="B252" s="204"/>
      <c r="D252" s="204"/>
      <c r="F252" s="204"/>
      <c r="G252" s="204"/>
      <c r="H252" s="204"/>
      <c r="I252" s="204"/>
      <c r="J252" s="204"/>
      <c r="K252" s="204"/>
      <c r="L252" s="204"/>
      <c r="M252" s="204"/>
      <c r="N252" s="204"/>
      <c r="O252" s="155"/>
      <c r="P252" s="155"/>
      <c r="Q252" s="156"/>
      <c r="R252" s="156"/>
      <c r="S252" s="251"/>
      <c r="T252" s="251"/>
      <c r="U252" s="252"/>
      <c r="V252" s="252"/>
      <c r="W252" s="252"/>
      <c r="X252" s="252"/>
      <c r="Y252" s="252"/>
      <c r="Z252" s="252"/>
      <c r="AA252" s="252"/>
      <c r="AB252" s="204"/>
      <c r="AC252" s="204"/>
      <c r="AD252" s="204"/>
      <c r="AE252" s="204"/>
      <c r="AF252" s="204"/>
      <c r="AG252" s="204"/>
      <c r="AH252" s="204"/>
      <c r="AI252" s="204"/>
      <c r="AJ252" s="204"/>
      <c r="AK252" s="204"/>
      <c r="AL252" s="204"/>
      <c r="AM252" s="204"/>
      <c r="AN252" s="204"/>
    </row>
    <row r="253" spans="1:40">
      <c r="A253" s="204"/>
      <c r="B253" s="204"/>
      <c r="D253" s="204"/>
      <c r="F253" s="204"/>
      <c r="G253" s="204"/>
      <c r="H253" s="204"/>
      <c r="I253" s="204"/>
      <c r="J253" s="204"/>
      <c r="K253" s="204"/>
      <c r="L253" s="204"/>
      <c r="M253" s="204"/>
      <c r="N253" s="204"/>
      <c r="O253" s="155"/>
      <c r="P253" s="155"/>
      <c r="Q253" s="156"/>
      <c r="R253" s="156"/>
      <c r="S253" s="251"/>
      <c r="T253" s="251"/>
      <c r="U253" s="252"/>
      <c r="V253" s="252"/>
      <c r="W253" s="252"/>
      <c r="X253" s="252"/>
      <c r="Y253" s="252"/>
      <c r="Z253" s="252"/>
      <c r="AA253" s="252"/>
      <c r="AB253" s="204"/>
      <c r="AC253" s="204"/>
      <c r="AD253" s="204"/>
      <c r="AE253" s="204"/>
      <c r="AF253" s="204"/>
      <c r="AG253" s="204"/>
      <c r="AH253" s="204"/>
      <c r="AI253" s="204"/>
      <c r="AJ253" s="204"/>
      <c r="AK253" s="204"/>
      <c r="AL253" s="204"/>
      <c r="AM253" s="204"/>
      <c r="AN253" s="204"/>
    </row>
    <row r="254" spans="1:40">
      <c r="A254" s="204"/>
      <c r="B254" s="204"/>
      <c r="D254" s="204"/>
      <c r="F254" s="204"/>
      <c r="G254" s="204"/>
      <c r="H254" s="204"/>
      <c r="I254" s="204"/>
      <c r="J254" s="204"/>
      <c r="K254" s="204"/>
      <c r="L254" s="204"/>
      <c r="M254" s="204"/>
      <c r="N254" s="204"/>
      <c r="O254" s="155"/>
      <c r="P254" s="155"/>
      <c r="Q254" s="156"/>
      <c r="R254" s="156"/>
      <c r="S254" s="251"/>
      <c r="T254" s="251"/>
      <c r="U254" s="252"/>
      <c r="V254" s="252"/>
      <c r="W254" s="252"/>
      <c r="X254" s="252"/>
      <c r="Y254" s="252"/>
      <c r="Z254" s="252"/>
      <c r="AA254" s="252"/>
      <c r="AB254" s="204"/>
      <c r="AC254" s="204"/>
      <c r="AD254" s="204"/>
      <c r="AE254" s="204"/>
      <c r="AF254" s="204"/>
      <c r="AG254" s="204"/>
      <c r="AH254" s="204"/>
      <c r="AI254" s="204"/>
      <c r="AJ254" s="204"/>
      <c r="AK254" s="204"/>
      <c r="AL254" s="204"/>
      <c r="AM254" s="204"/>
      <c r="AN254" s="204"/>
    </row>
  </sheetData>
  <printOptions horizontalCentered="1" verticalCentered="1"/>
  <pageMargins left="0" right="0" top="1.5748031496062993" bottom="0.39370078740157483" header="0.78740157480314965" footer="0"/>
  <pageSetup paperSize="9" scale="115" fitToHeight="2" orientation="landscape" horizontalDpi="0" verticalDpi="0"/>
  <headerFooter>
    <oddHeader>&amp;L&amp;K000000&amp;D&amp;Z&amp;F&amp;C&amp;K000000]&amp;R&amp;K000000&amp;P                          &amp;N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E2729-70F9-7F4F-BE21-82A34BA22013}">
  <sheetPr codeName="Hoja69">
    <pageSetUpPr fitToPage="1"/>
  </sheetPr>
  <dimension ref="A1:AO289"/>
  <sheetViews>
    <sheetView topLeftCell="A71" zoomScale="200" zoomScaleNormal="136" workbookViewId="0">
      <selection activeCell="C6" sqref="C6:R18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33203125" style="204" customWidth="1"/>
    <col min="4" max="4" width="0.83203125" style="902" customWidth="1"/>
    <col min="5" max="5" width="3.83203125" style="204" customWidth="1"/>
    <col min="6" max="6" width="3.33203125" style="207" customWidth="1"/>
    <col min="7" max="7" width="5.6640625" style="208" customWidth="1"/>
    <col min="8" max="8" width="5.33203125" style="208" customWidth="1"/>
    <col min="9" max="10" width="7.33203125" style="208" customWidth="1"/>
    <col min="11" max="11" width="32.6640625" style="208" customWidth="1"/>
    <col min="12" max="12" width="9" style="208" customWidth="1"/>
    <col min="13" max="13" width="1.33203125" style="449" customWidth="1"/>
    <col min="14" max="14" width="9.5" style="207" customWidth="1"/>
    <col min="15" max="15" width="1" style="208" customWidth="1"/>
    <col min="16" max="16" width="9" style="208" customWidth="1"/>
    <col min="17" max="17" width="5.33203125" style="209" customWidth="1"/>
    <col min="18" max="18" width="5.83203125" style="209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23" customHeight="1">
      <c r="B1" s="204"/>
      <c r="C1" s="205"/>
      <c r="D1" s="901"/>
      <c r="E1" s="206"/>
      <c r="F1" s="208"/>
      <c r="V1" s="212"/>
      <c r="AI1" s="213"/>
      <c r="AJ1" s="213"/>
      <c r="AK1" s="213"/>
      <c r="AL1" s="213"/>
      <c r="AM1" s="213"/>
    </row>
    <row r="2" spans="1:40" ht="17.25" customHeight="1" thickBot="1">
      <c r="A2" s="203" t="s">
        <v>344</v>
      </c>
      <c r="F2" s="527"/>
      <c r="G2" s="155"/>
      <c r="H2" s="155"/>
      <c r="I2" s="155"/>
      <c r="J2" s="217"/>
      <c r="K2" s="1047">
        <v>44760</v>
      </c>
      <c r="L2" s="1009"/>
      <c r="U2" s="218" t="s">
        <v>345</v>
      </c>
      <c r="AI2" s="213"/>
      <c r="AJ2" s="213"/>
      <c r="AK2" s="213"/>
      <c r="AL2" s="213"/>
      <c r="AM2" s="213"/>
    </row>
    <row r="3" spans="1:40" s="223" customFormat="1" ht="72.75" customHeight="1" thickTop="1" thickBot="1">
      <c r="A3" s="351" t="s">
        <v>346</v>
      </c>
      <c r="B3" s="352" t="s">
        <v>347</v>
      </c>
      <c r="C3" s="353" t="s">
        <v>348</v>
      </c>
      <c r="D3" s="903"/>
      <c r="E3" s="674" t="s">
        <v>349</v>
      </c>
      <c r="F3" s="35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350" t="s">
        <v>1065</v>
      </c>
      <c r="M3" s="450" t="s">
        <v>355</v>
      </c>
      <c r="N3" s="350" t="s">
        <v>445</v>
      </c>
      <c r="O3" s="353" t="s">
        <v>446</v>
      </c>
      <c r="P3" s="353" t="s">
        <v>447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20"/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3" customFormat="1" ht="12.75" customHeight="1" thickBot="1">
      <c r="A4" s="1423"/>
      <c r="B4" s="1424"/>
      <c r="C4" s="1425"/>
      <c r="D4" s="1425"/>
      <c r="E4" s="1426"/>
      <c r="F4" s="1425"/>
      <c r="G4" s="1425"/>
      <c r="H4" s="1425"/>
      <c r="I4" s="1425"/>
      <c r="J4" s="1425"/>
      <c r="K4" s="1425"/>
      <c r="L4" s="1425"/>
      <c r="M4" s="1427"/>
      <c r="N4" s="1425"/>
      <c r="O4" s="1425"/>
      <c r="P4" s="1425"/>
      <c r="Q4" s="1428"/>
      <c r="R4" s="1429"/>
      <c r="S4" s="919"/>
      <c r="T4" s="919"/>
      <c r="U4" s="111">
        <f>Test!$D$29</f>
        <v>9.1523857526881758E-4</v>
      </c>
      <c r="V4" s="111">
        <f>Test!$D$31</f>
        <v>8.7635030864197572E-4</v>
      </c>
      <c r="W4" s="111">
        <f>Test!$D$33</f>
        <v>8.4888763197586746E-4</v>
      </c>
      <c r="X4" s="111">
        <f>Test!$D$35</f>
        <v>8.0990657955066516E-4</v>
      </c>
      <c r="Y4" s="111">
        <f>Test!$D$37</f>
        <v>7.5735749690210676E-4</v>
      </c>
      <c r="Z4" s="111">
        <f>Test!$D$39</f>
        <v>7.2916666666666692E-4</v>
      </c>
      <c r="AA4" s="112">
        <f>Test!$D$41</f>
        <v>7.0729166666666694E-4</v>
      </c>
      <c r="AB4" s="220"/>
      <c r="AC4" s="221"/>
      <c r="AD4" s="222"/>
      <c r="AE4" s="222"/>
      <c r="AF4" s="222"/>
      <c r="AG4" s="222"/>
      <c r="AH4" s="222"/>
      <c r="AI4" s="220"/>
      <c r="AJ4" s="220"/>
      <c r="AK4" s="220"/>
      <c r="AL4" s="220"/>
      <c r="AM4" s="220"/>
      <c r="AN4" s="220"/>
    </row>
    <row r="5" spans="1:40" s="228" customFormat="1" ht="3.75" customHeight="1" thickBot="1">
      <c r="A5" s="621"/>
      <c r="B5" s="622"/>
      <c r="C5" s="623"/>
      <c r="D5" s="938"/>
      <c r="E5" s="623"/>
      <c r="F5" s="624"/>
      <c r="G5" s="625"/>
      <c r="H5" s="625"/>
      <c r="I5" s="625"/>
      <c r="J5" s="624"/>
      <c r="K5" s="625"/>
      <c r="L5" s="625"/>
      <c r="M5" s="626"/>
      <c r="N5" s="834"/>
      <c r="O5" s="623"/>
      <c r="P5" s="623"/>
      <c r="Q5" s="623"/>
      <c r="R5" s="627"/>
      <c r="S5" s="224"/>
      <c r="T5" s="224"/>
      <c r="U5" s="111">
        <f>U4/4</f>
        <v>2.2880964381720439E-4</v>
      </c>
      <c r="V5" s="111">
        <f t="shared" ref="V5:AA5" si="0">V4/4</f>
        <v>2.1908757716049393E-4</v>
      </c>
      <c r="W5" s="111">
        <f t="shared" si="0"/>
        <v>2.1222190799396687E-4</v>
      </c>
      <c r="X5" s="111">
        <f t="shared" si="0"/>
        <v>2.0247664488766629E-4</v>
      </c>
      <c r="Y5" s="111">
        <f t="shared" si="0"/>
        <v>1.8933937422552669E-4</v>
      </c>
      <c r="Z5" s="111">
        <f t="shared" si="0"/>
        <v>1.8229166666666673E-4</v>
      </c>
      <c r="AA5" s="111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ht="13.25" customHeight="1" thickTop="1" thickBot="1">
      <c r="A6" s="628" t="s">
        <v>214</v>
      </c>
      <c r="B6" s="1117" t="s">
        <v>215</v>
      </c>
      <c r="C6" s="274">
        <f>IF(D6=1,U$5,IF(D6=2,V$5,IF(D6=3,W$5,IF(D6=4,X$5,IF(D6=5,Y$5,IF(D6=6,Z$5,IF(D6=7,AA$5,0)))))))</f>
        <v>2.2880964381720439E-4</v>
      </c>
      <c r="D6" s="920">
        <v>1</v>
      </c>
      <c r="E6" s="1979">
        <v>1</v>
      </c>
      <c r="F6" s="1979">
        <v>1</v>
      </c>
      <c r="G6" s="1979">
        <v>800</v>
      </c>
      <c r="H6" s="1979"/>
      <c r="I6" s="2056">
        <v>0</v>
      </c>
      <c r="J6" s="2056">
        <v>8.1018518518518516E-4</v>
      </c>
      <c r="K6" s="2099" t="s">
        <v>1163</v>
      </c>
      <c r="L6" s="1332">
        <v>0.34027777777777773</v>
      </c>
      <c r="M6" s="1123">
        <v>1.2</v>
      </c>
      <c r="N6" s="301">
        <f t="shared" ref="N6" si="1">P6*E6*F6+I6*F6*E6+J6*E6</f>
        <v>9.596475507765833E-3</v>
      </c>
      <c r="O6" s="302">
        <f t="shared" ref="O6:O9" si="2">C6*(G6/25)</f>
        <v>7.3219086021505406E-3</v>
      </c>
      <c r="P6" s="301">
        <f t="shared" ref="P6:P9" si="3">O6*M6</f>
        <v>8.7862903225806484E-3</v>
      </c>
      <c r="Q6" s="798">
        <v>145</v>
      </c>
      <c r="R6" s="369">
        <f t="shared" ref="R6:R9" si="4">E6*F6*G6</f>
        <v>800</v>
      </c>
      <c r="S6" s="229">
        <f t="shared" ref="S6" si="5">E6*F6*G6/1000</f>
        <v>0.8</v>
      </c>
      <c r="T6" s="230">
        <f t="shared" ref="T6" si="6">E6*F6*O6*4</f>
        <v>2.9287634408602162E-2</v>
      </c>
      <c r="U6" s="374">
        <f t="shared" ref="U6" si="7">IF(C6*4&gt;=$U$4,S6,0)</f>
        <v>0.8</v>
      </c>
      <c r="V6" s="375">
        <f t="shared" ref="V6" si="8">IF(AND(C6*4&gt;=$V$4,C6*4&lt;$U$4),S6,0)</f>
        <v>0</v>
      </c>
      <c r="W6" s="376">
        <f t="shared" ref="W6" si="9">IF(AND(C6*4&gt;=$W$4,C6*4&lt;$V$4),S6,0)</f>
        <v>0</v>
      </c>
      <c r="X6" s="377">
        <f t="shared" ref="X6" si="10">IF(AND(C6*4&gt;=$X$4,C6*4&lt;$W$4),S6,0)</f>
        <v>0</v>
      </c>
      <c r="Y6" s="378">
        <f t="shared" ref="Y6" si="11">IF(AND(C6*4&gt;=$Y$4,C6*4&lt;$X$4),S6,0)</f>
        <v>0</v>
      </c>
      <c r="Z6" s="379">
        <f t="shared" ref="Z6" si="12">IF(AND(C6*4&gt;=$Z$4,C6*4&lt;$Y$4),S6,0)</f>
        <v>0</v>
      </c>
      <c r="AA6" s="380">
        <f t="shared" ref="AA6" si="13">IF(AND(C6*4&gt;=$AA$4,C6*4&lt;$Z$4),S6,0)</f>
        <v>0</v>
      </c>
      <c r="AC6" s="231"/>
      <c r="AD6" s="231"/>
      <c r="AE6" s="231"/>
      <c r="AF6" s="231"/>
      <c r="AG6" s="231"/>
      <c r="AH6" s="231"/>
      <c r="AI6" s="213"/>
      <c r="AJ6" s="213"/>
      <c r="AK6" s="213"/>
      <c r="AL6" s="213"/>
      <c r="AM6" s="213"/>
      <c r="AN6" s="204"/>
    </row>
    <row r="7" spans="1:40" ht="12.75" customHeight="1" thickBot="1">
      <c r="A7" s="398" t="s">
        <v>459</v>
      </c>
      <c r="B7" s="1117" t="s">
        <v>215</v>
      </c>
      <c r="C7" s="274">
        <f t="shared" ref="C7:C70" si="14">IF(D7=1,U$5,IF(D7=2,V$5,IF(D7=3,W$5,IF(D7=4,X$5,IF(D7=5,Y$5,IF(D7=6,Z$5,IF(D7=7,AA$5,0)))))))</f>
        <v>1.8229166666666673E-4</v>
      </c>
      <c r="D7" s="2100">
        <v>6</v>
      </c>
      <c r="E7" s="2116">
        <v>1</v>
      </c>
      <c r="F7" s="2116">
        <v>1</v>
      </c>
      <c r="G7" s="2116">
        <v>290</v>
      </c>
      <c r="H7" s="2117"/>
      <c r="I7" s="1053">
        <v>2.3148148148148151E-3</v>
      </c>
      <c r="J7" s="1053">
        <v>1.3888888888888889E-3</v>
      </c>
      <c r="K7" s="1065" t="s">
        <v>1426</v>
      </c>
      <c r="L7" s="2118">
        <f>L6+N6</f>
        <v>0.34987425328554356</v>
      </c>
      <c r="M7" s="2119">
        <v>1</v>
      </c>
      <c r="N7" s="1053">
        <f t="shared" ref="N7:N9" si="15">P7*E7*F7+I7*E7*F7+J7*E7</f>
        <v>5.8182870370370385E-3</v>
      </c>
      <c r="O7" s="368">
        <f t="shared" si="2"/>
        <v>2.1145833333333342E-3</v>
      </c>
      <c r="P7" s="586">
        <f t="shared" si="3"/>
        <v>2.1145833333333342E-3</v>
      </c>
      <c r="Q7" s="2120" t="s">
        <v>316</v>
      </c>
      <c r="R7" s="2116">
        <f t="shared" si="4"/>
        <v>290</v>
      </c>
      <c r="S7" s="229">
        <f t="shared" ref="S7:S70" si="16">E7*F7*G7/1000</f>
        <v>0.28999999999999998</v>
      </c>
      <c r="T7" s="230">
        <f t="shared" ref="T7:T70" si="17">E7*F7*O7*4</f>
        <v>8.4583333333333368E-3</v>
      </c>
      <c r="U7" s="374">
        <f t="shared" ref="U7:U70" si="18">IF(C7*4&gt;=$U$4,S7,0)</f>
        <v>0</v>
      </c>
      <c r="V7" s="375">
        <f t="shared" ref="V7:V70" si="19">IF(AND(C7*4&gt;=$V$4,C7*4&lt;$U$4),S7,0)</f>
        <v>0</v>
      </c>
      <c r="W7" s="376">
        <f t="shared" ref="W7:W70" si="20">IF(AND(C7*4&gt;=$W$4,C7*4&lt;$V$4),S7,0)</f>
        <v>0</v>
      </c>
      <c r="X7" s="377">
        <f t="shared" ref="X7:X70" si="21">IF(AND(C7*4&gt;=$X$4,C7*4&lt;$W$4),S7,0)</f>
        <v>0</v>
      </c>
      <c r="Y7" s="378">
        <f t="shared" ref="Y7:Y70" si="22">IF(AND(C7*4&gt;=$Y$4,C7*4&lt;$X$4),S7,0)</f>
        <v>0</v>
      </c>
      <c r="Z7" s="379">
        <f t="shared" ref="Z7:Z70" si="23">IF(AND(C7*4&gt;=$Z$4,C7*4&lt;$Y$4),S7,0)</f>
        <v>0.28999999999999998</v>
      </c>
      <c r="AA7" s="380">
        <f t="shared" ref="AA7:AA70" si="24">IF(AND(C7*4&gt;=$AA$4,C7*4&lt;$Z$4),S7,0)</f>
        <v>0</v>
      </c>
      <c r="AC7" s="231"/>
      <c r="AD7" s="231"/>
      <c r="AE7" s="231"/>
      <c r="AF7" s="231"/>
      <c r="AG7" s="231"/>
      <c r="AH7" s="231"/>
      <c r="AI7" s="213"/>
      <c r="AJ7" s="213"/>
      <c r="AK7" s="213"/>
      <c r="AL7" s="213"/>
      <c r="AM7" s="213"/>
      <c r="AN7" s="204"/>
    </row>
    <row r="8" spans="1:40" ht="14" customHeight="1" thickBot="1">
      <c r="A8" s="398" t="s">
        <v>460</v>
      </c>
      <c r="B8" s="4337">
        <v>2</v>
      </c>
      <c r="C8" s="274">
        <f t="shared" si="14"/>
        <v>2.1908757716049393E-4</v>
      </c>
      <c r="D8" s="889">
        <v>2</v>
      </c>
      <c r="E8" s="2107">
        <v>1</v>
      </c>
      <c r="F8" s="1173">
        <v>1</v>
      </c>
      <c r="G8" s="1173">
        <v>200</v>
      </c>
      <c r="H8" s="1453" t="s">
        <v>218</v>
      </c>
      <c r="I8" s="299">
        <v>1.1574074074074073E-4</v>
      </c>
      <c r="J8" s="299">
        <v>6.9444444444444447E-4</v>
      </c>
      <c r="K8" s="1123" t="s">
        <v>942</v>
      </c>
      <c r="L8" s="299">
        <f t="shared" ref="L8:L11" si="25">L7+N7</f>
        <v>0.35569254032258057</v>
      </c>
      <c r="M8" s="1174">
        <v>1</v>
      </c>
      <c r="N8" s="299">
        <f t="shared" si="15"/>
        <v>2.5628858024691367E-3</v>
      </c>
      <c r="O8" s="1196">
        <f t="shared" si="2"/>
        <v>1.7527006172839514E-3</v>
      </c>
      <c r="P8" s="1175">
        <f t="shared" si="3"/>
        <v>1.7527006172839514E-3</v>
      </c>
      <c r="Q8" s="550">
        <v>146</v>
      </c>
      <c r="R8" s="1176">
        <f t="shared" si="4"/>
        <v>200</v>
      </c>
      <c r="S8" s="229">
        <f t="shared" si="16"/>
        <v>0.2</v>
      </c>
      <c r="T8" s="230">
        <f t="shared" si="17"/>
        <v>7.0108024691358057E-3</v>
      </c>
      <c r="U8" s="374">
        <f t="shared" si="18"/>
        <v>0</v>
      </c>
      <c r="V8" s="375">
        <f t="shared" si="19"/>
        <v>0.2</v>
      </c>
      <c r="W8" s="376">
        <f t="shared" si="20"/>
        <v>0</v>
      </c>
      <c r="X8" s="377">
        <f t="shared" si="21"/>
        <v>0</v>
      </c>
      <c r="Y8" s="378">
        <f t="shared" si="22"/>
        <v>0</v>
      </c>
      <c r="Z8" s="379">
        <f t="shared" si="23"/>
        <v>0</v>
      </c>
      <c r="AA8" s="380">
        <f t="shared" si="24"/>
        <v>0</v>
      </c>
      <c r="AC8" s="231"/>
      <c r="AD8" s="231"/>
      <c r="AE8" s="231"/>
      <c r="AF8" s="231"/>
      <c r="AG8" s="231"/>
      <c r="AH8" s="231"/>
      <c r="AI8" s="213"/>
      <c r="AJ8" s="213"/>
      <c r="AK8" s="213"/>
      <c r="AL8" s="213"/>
      <c r="AM8" s="213"/>
      <c r="AN8" s="204"/>
    </row>
    <row r="9" spans="1:40" ht="12.75" customHeight="1" thickBot="1">
      <c r="A9" s="398" t="s">
        <v>458</v>
      </c>
      <c r="B9" s="4337">
        <v>6</v>
      </c>
      <c r="C9" s="274">
        <f t="shared" si="14"/>
        <v>1.8933937422552669E-4</v>
      </c>
      <c r="D9" s="1248">
        <v>5</v>
      </c>
      <c r="E9" s="2108">
        <v>1</v>
      </c>
      <c r="F9" s="2106">
        <v>4</v>
      </c>
      <c r="G9" s="1249">
        <v>50</v>
      </c>
      <c r="H9" s="1456" t="s">
        <v>944</v>
      </c>
      <c r="I9" s="1250">
        <v>5.7870370370370366E-5</v>
      </c>
      <c r="J9" s="1250">
        <v>1.3888888888888889E-3</v>
      </c>
      <c r="K9" s="534" t="s">
        <v>1175</v>
      </c>
      <c r="L9" s="1150">
        <f t="shared" si="25"/>
        <v>0.35825542612504974</v>
      </c>
      <c r="M9" s="1256">
        <v>1.1000000000000001</v>
      </c>
      <c r="N9" s="1250">
        <f t="shared" si="15"/>
        <v>3.2865568635550057E-3</v>
      </c>
      <c r="O9" s="1253">
        <f t="shared" si="2"/>
        <v>3.7867874845105338E-4</v>
      </c>
      <c r="P9" s="1254">
        <f t="shared" si="3"/>
        <v>4.1654662329615878E-4</v>
      </c>
      <c r="Q9" s="1255" t="s">
        <v>278</v>
      </c>
      <c r="R9" s="1249">
        <f t="shared" si="4"/>
        <v>200</v>
      </c>
      <c r="S9" s="229">
        <f t="shared" si="16"/>
        <v>0.2</v>
      </c>
      <c r="T9" s="230">
        <f t="shared" si="17"/>
        <v>6.0588599752168541E-3</v>
      </c>
      <c r="U9" s="374">
        <f t="shared" si="18"/>
        <v>0</v>
      </c>
      <c r="V9" s="375">
        <f t="shared" si="19"/>
        <v>0</v>
      </c>
      <c r="W9" s="376">
        <f t="shared" si="20"/>
        <v>0</v>
      </c>
      <c r="X9" s="377">
        <f t="shared" si="21"/>
        <v>0</v>
      </c>
      <c r="Y9" s="378">
        <f t="shared" si="22"/>
        <v>0.2</v>
      </c>
      <c r="Z9" s="379">
        <f t="shared" si="23"/>
        <v>0</v>
      </c>
      <c r="AA9" s="380">
        <f t="shared" si="24"/>
        <v>0</v>
      </c>
      <c r="AC9" s="231"/>
      <c r="AD9" s="231"/>
      <c r="AE9" s="231"/>
      <c r="AF9" s="231"/>
      <c r="AG9" s="231"/>
      <c r="AH9" s="231"/>
      <c r="AI9" s="213"/>
      <c r="AJ9" s="213"/>
      <c r="AK9" s="213"/>
      <c r="AL9" s="213"/>
      <c r="AM9" s="213"/>
      <c r="AN9" s="204"/>
    </row>
    <row r="10" spans="1:40" ht="12.75" customHeight="1" thickBot="1">
      <c r="A10" s="398" t="s">
        <v>219</v>
      </c>
      <c r="B10" s="1117" t="s">
        <v>215</v>
      </c>
      <c r="C10" s="274">
        <f t="shared" si="14"/>
        <v>1.7682291666666674E-4</v>
      </c>
      <c r="D10" s="1539">
        <v>7</v>
      </c>
      <c r="E10" s="1040">
        <v>1</v>
      </c>
      <c r="F10" s="1040">
        <v>8</v>
      </c>
      <c r="G10" s="1040">
        <v>15</v>
      </c>
      <c r="H10" s="1720"/>
      <c r="I10" s="1041">
        <v>4.6296296296296293E-4</v>
      </c>
      <c r="J10" s="1041">
        <v>4.1666666666666666E-3</v>
      </c>
      <c r="K10" s="443" t="s">
        <v>1178</v>
      </c>
      <c r="L10" s="1041">
        <f t="shared" si="25"/>
        <v>0.36154198298860474</v>
      </c>
      <c r="M10" s="2115">
        <v>0.9</v>
      </c>
      <c r="N10" s="1041">
        <f>P10*E10*F10+I10*F10+J10*E10</f>
        <v>8.6342453703703703E-3</v>
      </c>
      <c r="O10" s="1731">
        <f>C10*(G10/25)</f>
        <v>1.0609375000000004E-4</v>
      </c>
      <c r="P10" s="439">
        <f>O10*M10</f>
        <v>9.5484375000000042E-5</v>
      </c>
      <c r="Q10" s="443" t="s">
        <v>274</v>
      </c>
      <c r="R10" s="2044">
        <f>E10*F10*G10</f>
        <v>120</v>
      </c>
      <c r="S10" s="229">
        <f t="shared" si="16"/>
        <v>0.12</v>
      </c>
      <c r="T10" s="230">
        <f t="shared" si="17"/>
        <v>3.3950000000000013E-3</v>
      </c>
      <c r="U10" s="374">
        <f t="shared" si="18"/>
        <v>0</v>
      </c>
      <c r="V10" s="375">
        <f t="shared" si="19"/>
        <v>0</v>
      </c>
      <c r="W10" s="376">
        <f t="shared" si="20"/>
        <v>0</v>
      </c>
      <c r="X10" s="377">
        <f t="shared" si="21"/>
        <v>0</v>
      </c>
      <c r="Y10" s="378">
        <f t="shared" si="22"/>
        <v>0</v>
      </c>
      <c r="Z10" s="379">
        <f t="shared" si="23"/>
        <v>0</v>
      </c>
      <c r="AA10" s="380">
        <f t="shared" si="24"/>
        <v>0.12</v>
      </c>
      <c r="AC10" s="231"/>
      <c r="AD10" s="231"/>
      <c r="AE10" s="231"/>
      <c r="AF10" s="231"/>
      <c r="AG10" s="231"/>
      <c r="AH10" s="231"/>
      <c r="AI10" s="213"/>
      <c r="AJ10" s="213"/>
      <c r="AK10" s="213"/>
      <c r="AL10" s="213"/>
      <c r="AM10" s="213"/>
      <c r="AN10" s="204"/>
    </row>
    <row r="11" spans="1:40" ht="12.75" customHeight="1" thickBot="1">
      <c r="A11" s="396"/>
      <c r="B11" s="1117"/>
      <c r="C11" s="274">
        <f t="shared" si="14"/>
        <v>0</v>
      </c>
      <c r="D11" s="1259"/>
      <c r="E11" s="336"/>
      <c r="F11" s="336"/>
      <c r="G11" s="336"/>
      <c r="H11" s="336"/>
      <c r="I11" s="1425"/>
      <c r="J11" s="336"/>
      <c r="K11" s="336"/>
      <c r="L11" s="1008">
        <f t="shared" si="25"/>
        <v>0.37017622835897512</v>
      </c>
      <c r="M11" s="1198"/>
      <c r="N11" s="1008"/>
      <c r="O11" s="336">
        <f>C11*20/25</f>
        <v>0</v>
      </c>
      <c r="P11" s="336"/>
      <c r="Q11" s="336"/>
      <c r="R11" s="1238">
        <f>SUM(R6:R9)</f>
        <v>1490</v>
      </c>
      <c r="S11" s="229">
        <f t="shared" si="16"/>
        <v>0</v>
      </c>
      <c r="T11" s="230">
        <f t="shared" si="17"/>
        <v>0</v>
      </c>
      <c r="U11" s="374">
        <f t="shared" si="18"/>
        <v>0</v>
      </c>
      <c r="V11" s="375">
        <f t="shared" si="19"/>
        <v>0</v>
      </c>
      <c r="W11" s="376">
        <f t="shared" si="20"/>
        <v>0</v>
      </c>
      <c r="X11" s="377">
        <f t="shared" si="21"/>
        <v>0</v>
      </c>
      <c r="Y11" s="378">
        <f t="shared" si="22"/>
        <v>0</v>
      </c>
      <c r="Z11" s="379">
        <f t="shared" si="23"/>
        <v>0</v>
      </c>
      <c r="AA11" s="380">
        <f t="shared" si="24"/>
        <v>0</v>
      </c>
      <c r="AC11" s="231"/>
      <c r="AD11" s="231"/>
      <c r="AE11" s="231"/>
      <c r="AF11" s="231"/>
      <c r="AG11" s="231"/>
      <c r="AH11" s="231"/>
      <c r="AI11" s="213"/>
      <c r="AJ11" s="213"/>
      <c r="AK11" s="213"/>
      <c r="AL11" s="213"/>
      <c r="AM11" s="213"/>
      <c r="AN11" s="204"/>
    </row>
    <row r="12" spans="1:40" ht="12.75" customHeight="1" thickBot="1">
      <c r="A12" s="396"/>
      <c r="B12" s="402"/>
      <c r="C12" s="274">
        <f t="shared" si="14"/>
        <v>2.2880964381720439E-4</v>
      </c>
      <c r="D12" s="920">
        <v>1</v>
      </c>
      <c r="E12" s="1979">
        <v>1</v>
      </c>
      <c r="F12" s="1979">
        <v>1</v>
      </c>
      <c r="G12" s="1979">
        <v>400</v>
      </c>
      <c r="H12" s="1979"/>
      <c r="I12" s="2056">
        <v>0</v>
      </c>
      <c r="J12" s="2056">
        <v>8.1018518518518516E-4</v>
      </c>
      <c r="K12" s="2099">
        <v>400</v>
      </c>
      <c r="L12" s="1332">
        <v>0.63194444444444442</v>
      </c>
      <c r="M12" s="1123">
        <v>1.2</v>
      </c>
      <c r="N12" s="301">
        <f t="shared" ref="N12" si="26">P12*E12*F12+I12*F12*E12+J12*E12</f>
        <v>5.2033303464755097E-3</v>
      </c>
      <c r="O12" s="302">
        <f t="shared" ref="O12:O17" si="27">C12*(G12/25)</f>
        <v>3.6609543010752703E-3</v>
      </c>
      <c r="P12" s="2679">
        <f t="shared" ref="P12:P17" si="28">O12*M12</f>
        <v>4.3931451612903242E-3</v>
      </c>
      <c r="Q12" s="2680">
        <v>145</v>
      </c>
      <c r="R12" s="2681">
        <f t="shared" ref="R12:R17" si="29">E12*F12*G12</f>
        <v>400</v>
      </c>
      <c r="S12" s="229">
        <f t="shared" si="16"/>
        <v>0.4</v>
      </c>
      <c r="T12" s="230">
        <f t="shared" si="17"/>
        <v>1.4643817204301081E-2</v>
      </c>
      <c r="U12" s="374">
        <f t="shared" si="18"/>
        <v>0.4</v>
      </c>
      <c r="V12" s="375">
        <f t="shared" si="19"/>
        <v>0</v>
      </c>
      <c r="W12" s="376">
        <f t="shared" si="20"/>
        <v>0</v>
      </c>
      <c r="X12" s="377">
        <f t="shared" si="21"/>
        <v>0</v>
      </c>
      <c r="Y12" s="378">
        <f t="shared" si="22"/>
        <v>0</v>
      </c>
      <c r="Z12" s="379">
        <f t="shared" si="23"/>
        <v>0</v>
      </c>
      <c r="AA12" s="380">
        <f t="shared" si="24"/>
        <v>0</v>
      </c>
      <c r="AC12" s="231"/>
      <c r="AD12" s="231"/>
      <c r="AE12" s="231"/>
      <c r="AF12" s="231"/>
      <c r="AG12" s="231"/>
      <c r="AH12" s="231"/>
      <c r="AI12" s="213"/>
      <c r="AJ12" s="213"/>
      <c r="AK12" s="213"/>
      <c r="AL12" s="213"/>
      <c r="AM12" s="213"/>
      <c r="AN12" s="204"/>
    </row>
    <row r="13" spans="1:40" ht="15" customHeight="1" thickBot="1">
      <c r="A13" s="398" t="s">
        <v>214</v>
      </c>
      <c r="B13" s="402" t="s">
        <v>461</v>
      </c>
      <c r="C13" s="274">
        <f t="shared" si="14"/>
        <v>1.8229166666666673E-4</v>
      </c>
      <c r="D13" s="2100">
        <v>6</v>
      </c>
      <c r="E13" s="2103">
        <v>2</v>
      </c>
      <c r="F13" s="2116">
        <v>2</v>
      </c>
      <c r="G13" s="2116">
        <v>50</v>
      </c>
      <c r="H13" s="2117"/>
      <c r="I13" s="1053">
        <v>6.9444444444444447E-4</v>
      </c>
      <c r="J13" s="1053">
        <v>1.3888888888888889E-3</v>
      </c>
      <c r="K13" s="1065" t="s">
        <v>1164</v>
      </c>
      <c r="L13" s="2118">
        <f>L12+N12</f>
        <v>0.63714777479091989</v>
      </c>
      <c r="M13" s="2119">
        <v>1</v>
      </c>
      <c r="N13" s="1053">
        <f t="shared" ref="N13:N17" si="30">P13*E13*F13+I13*E13*F13+J13*E13</f>
        <v>7.013888888888889E-3</v>
      </c>
      <c r="O13" s="368">
        <f t="shared" si="27"/>
        <v>3.6458333333333346E-4</v>
      </c>
      <c r="P13" s="586">
        <f t="shared" si="28"/>
        <v>3.6458333333333346E-4</v>
      </c>
      <c r="Q13" s="2120" t="s">
        <v>316</v>
      </c>
      <c r="R13" s="2116">
        <f t="shared" si="29"/>
        <v>200</v>
      </c>
      <c r="S13" s="229">
        <f t="shared" si="16"/>
        <v>0.2</v>
      </c>
      <c r="T13" s="230">
        <f t="shared" si="17"/>
        <v>5.8333333333333353E-3</v>
      </c>
      <c r="U13" s="374">
        <f t="shared" si="18"/>
        <v>0</v>
      </c>
      <c r="V13" s="375">
        <f t="shared" si="19"/>
        <v>0</v>
      </c>
      <c r="W13" s="376">
        <f t="shared" si="20"/>
        <v>0</v>
      </c>
      <c r="X13" s="377">
        <f t="shared" si="21"/>
        <v>0</v>
      </c>
      <c r="Y13" s="378">
        <f t="shared" si="22"/>
        <v>0</v>
      </c>
      <c r="Z13" s="379">
        <f t="shared" si="23"/>
        <v>0.2</v>
      </c>
      <c r="AA13" s="380">
        <f t="shared" si="24"/>
        <v>0</v>
      </c>
      <c r="AC13" s="231"/>
      <c r="AD13" s="231"/>
      <c r="AE13" s="231"/>
      <c r="AF13" s="231"/>
      <c r="AG13" s="231"/>
      <c r="AH13" s="231"/>
      <c r="AI13" s="213"/>
      <c r="AJ13" s="213"/>
      <c r="AK13" s="213"/>
      <c r="AL13" s="213"/>
      <c r="AM13" s="213"/>
      <c r="AN13" s="204"/>
    </row>
    <row r="14" spans="1:40" ht="15" customHeight="1" thickBot="1">
      <c r="A14" s="398" t="s">
        <v>459</v>
      </c>
      <c r="B14" s="4337">
        <v>2</v>
      </c>
      <c r="C14" s="274">
        <f t="shared" si="14"/>
        <v>1.8229166666666673E-4</v>
      </c>
      <c r="D14" s="2101">
        <v>6</v>
      </c>
      <c r="E14" s="2104">
        <v>2</v>
      </c>
      <c r="F14" s="2116">
        <v>2</v>
      </c>
      <c r="G14" s="2116">
        <v>50</v>
      </c>
      <c r="H14" s="2117"/>
      <c r="I14" s="1053">
        <v>2.3148148148148146E-4</v>
      </c>
      <c r="J14" s="1053">
        <v>1.3888888888888889E-3</v>
      </c>
      <c r="K14" s="1065" t="s">
        <v>1427</v>
      </c>
      <c r="L14" s="2118">
        <f t="shared" ref="L14:L16" si="31">L13+N13</f>
        <v>0.64416166367980876</v>
      </c>
      <c r="M14" s="2119">
        <v>1</v>
      </c>
      <c r="N14" s="1053">
        <f t="shared" si="30"/>
        <v>5.1620370370370379E-3</v>
      </c>
      <c r="O14" s="368">
        <f t="shared" si="27"/>
        <v>3.6458333333333346E-4</v>
      </c>
      <c r="P14" s="586">
        <f t="shared" si="28"/>
        <v>3.6458333333333346E-4</v>
      </c>
      <c r="Q14" s="2120">
        <v>146</v>
      </c>
      <c r="R14" s="2116">
        <f t="shared" si="29"/>
        <v>200</v>
      </c>
      <c r="S14" s="229">
        <f t="shared" si="16"/>
        <v>0.2</v>
      </c>
      <c r="T14" s="230">
        <f t="shared" si="17"/>
        <v>5.8333333333333353E-3</v>
      </c>
      <c r="U14" s="374">
        <f t="shared" si="18"/>
        <v>0</v>
      </c>
      <c r="V14" s="375">
        <f t="shared" si="19"/>
        <v>0</v>
      </c>
      <c r="W14" s="376">
        <f t="shared" si="20"/>
        <v>0</v>
      </c>
      <c r="X14" s="377">
        <f t="shared" si="21"/>
        <v>0</v>
      </c>
      <c r="Y14" s="378">
        <f t="shared" si="22"/>
        <v>0</v>
      </c>
      <c r="Z14" s="379">
        <f t="shared" si="23"/>
        <v>0.2</v>
      </c>
      <c r="AA14" s="380">
        <f t="shared" si="24"/>
        <v>0</v>
      </c>
      <c r="AC14" s="231"/>
      <c r="AD14" s="231"/>
      <c r="AE14" s="231"/>
      <c r="AF14" s="231"/>
      <c r="AG14" s="231"/>
      <c r="AH14" s="231"/>
      <c r="AI14" s="213"/>
      <c r="AJ14" s="213"/>
      <c r="AK14" s="213"/>
      <c r="AL14" s="213"/>
      <c r="AM14" s="213"/>
      <c r="AN14" s="204"/>
    </row>
    <row r="15" spans="1:40" ht="17" customHeight="1" thickBot="1">
      <c r="A15" s="398" t="s">
        <v>460</v>
      </c>
      <c r="B15" s="4337">
        <v>6</v>
      </c>
      <c r="C15" s="274">
        <f t="shared" si="14"/>
        <v>1.8229166666666673E-4</v>
      </c>
      <c r="D15" s="2102">
        <v>6</v>
      </c>
      <c r="E15" s="2105">
        <v>1</v>
      </c>
      <c r="F15" s="2116">
        <v>2</v>
      </c>
      <c r="G15" s="2116">
        <v>50</v>
      </c>
      <c r="H15" s="2117"/>
      <c r="I15" s="1053">
        <v>9.2592592592592585E-4</v>
      </c>
      <c r="J15" s="1053">
        <v>1.3888888888888889E-3</v>
      </c>
      <c r="K15" s="1065" t="s">
        <v>1165</v>
      </c>
      <c r="L15" s="2118">
        <f t="shared" si="31"/>
        <v>0.64932370071684575</v>
      </c>
      <c r="M15" s="2119">
        <v>1</v>
      </c>
      <c r="N15" s="1053">
        <f t="shared" si="30"/>
        <v>3.9699074074074072E-3</v>
      </c>
      <c r="O15" s="368">
        <f t="shared" si="27"/>
        <v>3.6458333333333346E-4</v>
      </c>
      <c r="P15" s="586">
        <f t="shared" si="28"/>
        <v>3.6458333333333346E-4</v>
      </c>
      <c r="Q15" s="2120">
        <v>164</v>
      </c>
      <c r="R15" s="2116">
        <f t="shared" si="29"/>
        <v>100</v>
      </c>
      <c r="S15" s="229">
        <f t="shared" si="16"/>
        <v>0.1</v>
      </c>
      <c r="T15" s="230">
        <f t="shared" si="17"/>
        <v>2.9166666666666677E-3</v>
      </c>
      <c r="U15" s="374">
        <f t="shared" si="18"/>
        <v>0</v>
      </c>
      <c r="V15" s="375">
        <f t="shared" si="19"/>
        <v>0</v>
      </c>
      <c r="W15" s="376">
        <f t="shared" si="20"/>
        <v>0</v>
      </c>
      <c r="X15" s="377">
        <f t="shared" si="21"/>
        <v>0</v>
      </c>
      <c r="Y15" s="378">
        <f t="shared" si="22"/>
        <v>0</v>
      </c>
      <c r="Z15" s="379">
        <f t="shared" si="23"/>
        <v>0.1</v>
      </c>
      <c r="AA15" s="380">
        <f t="shared" si="24"/>
        <v>0</v>
      </c>
      <c r="AC15" s="231"/>
      <c r="AD15" s="231"/>
      <c r="AE15" s="231"/>
      <c r="AF15" s="231"/>
      <c r="AG15" s="231"/>
      <c r="AH15" s="231"/>
      <c r="AI15" s="213"/>
      <c r="AJ15" s="213"/>
      <c r="AK15" s="213"/>
      <c r="AL15" s="213"/>
      <c r="AM15" s="213"/>
      <c r="AN15" s="204"/>
    </row>
    <row r="16" spans="1:40" ht="17" customHeight="1" thickBot="1">
      <c r="A16" s="398" t="s">
        <v>458</v>
      </c>
      <c r="B16" s="1117" t="s">
        <v>461</v>
      </c>
      <c r="C16" s="274">
        <f t="shared" si="14"/>
        <v>2.1908757716049393E-4</v>
      </c>
      <c r="D16" s="889">
        <v>2</v>
      </c>
      <c r="E16" s="2107">
        <v>1</v>
      </c>
      <c r="F16" s="1173">
        <v>1</v>
      </c>
      <c r="G16" s="1173">
        <v>200</v>
      </c>
      <c r="H16" s="1453" t="s">
        <v>218</v>
      </c>
      <c r="I16" s="299">
        <v>1.1574074074074073E-4</v>
      </c>
      <c r="J16" s="299">
        <v>6.9444444444444447E-4</v>
      </c>
      <c r="K16" s="1123" t="s">
        <v>942</v>
      </c>
      <c r="L16" s="299">
        <f t="shared" si="31"/>
        <v>0.65329360812425319</v>
      </c>
      <c r="M16" s="1174">
        <v>1</v>
      </c>
      <c r="N16" s="299">
        <f t="shared" si="30"/>
        <v>2.5628858024691367E-3</v>
      </c>
      <c r="O16" s="1196">
        <f t="shared" si="27"/>
        <v>1.7527006172839514E-3</v>
      </c>
      <c r="P16" s="1175">
        <f t="shared" si="28"/>
        <v>1.7527006172839514E-3</v>
      </c>
      <c r="Q16" s="550">
        <v>146</v>
      </c>
      <c r="R16" s="1176">
        <f t="shared" si="29"/>
        <v>200</v>
      </c>
      <c r="S16" s="229">
        <f t="shared" si="16"/>
        <v>0.2</v>
      </c>
      <c r="T16" s="230">
        <f t="shared" si="17"/>
        <v>7.0108024691358057E-3</v>
      </c>
      <c r="U16" s="374">
        <f t="shared" si="18"/>
        <v>0</v>
      </c>
      <c r="V16" s="375">
        <f t="shared" si="19"/>
        <v>0.2</v>
      </c>
      <c r="W16" s="376">
        <f t="shared" si="20"/>
        <v>0</v>
      </c>
      <c r="X16" s="377">
        <f t="shared" si="21"/>
        <v>0</v>
      </c>
      <c r="Y16" s="378">
        <f t="shared" si="22"/>
        <v>0</v>
      </c>
      <c r="Z16" s="379">
        <f t="shared" si="23"/>
        <v>0</v>
      </c>
      <c r="AA16" s="380">
        <f t="shared" si="24"/>
        <v>0</v>
      </c>
      <c r="AC16" s="231"/>
      <c r="AD16" s="231"/>
      <c r="AE16" s="231"/>
      <c r="AF16" s="231"/>
      <c r="AG16" s="231"/>
      <c r="AH16" s="231"/>
      <c r="AI16" s="213"/>
      <c r="AJ16" s="213"/>
      <c r="AK16" s="213"/>
      <c r="AL16" s="213"/>
      <c r="AM16" s="213"/>
      <c r="AN16" s="204"/>
    </row>
    <row r="17" spans="1:40" ht="18" customHeight="1" thickBot="1">
      <c r="A17" s="398" t="s">
        <v>219</v>
      </c>
      <c r="B17" s="1117" t="s">
        <v>461</v>
      </c>
      <c r="C17" s="274">
        <f t="shared" si="14"/>
        <v>1.8933937422552669E-4</v>
      </c>
      <c r="D17" s="1248">
        <v>5</v>
      </c>
      <c r="E17" s="2108">
        <v>1</v>
      </c>
      <c r="F17" s="2106">
        <v>2</v>
      </c>
      <c r="G17" s="1249">
        <v>75</v>
      </c>
      <c r="H17" s="1456" t="s">
        <v>944</v>
      </c>
      <c r="I17" s="1250">
        <v>5.7870370370370366E-5</v>
      </c>
      <c r="J17" s="1250">
        <v>1.3888888888888889E-3</v>
      </c>
      <c r="K17" s="534" t="s">
        <v>1428</v>
      </c>
      <c r="L17" s="1150">
        <f>L15+N15</f>
        <v>0.65329360812425319</v>
      </c>
      <c r="M17" s="1256">
        <v>1.1000000000000001</v>
      </c>
      <c r="N17" s="1250">
        <f t="shared" si="30"/>
        <v>2.7542694995181059E-3</v>
      </c>
      <c r="O17" s="1253">
        <f t="shared" si="27"/>
        <v>5.6801812267658004E-4</v>
      </c>
      <c r="P17" s="1254">
        <f t="shared" si="28"/>
        <v>6.2481993494423811E-4</v>
      </c>
      <c r="Q17" s="1255" t="s">
        <v>278</v>
      </c>
      <c r="R17" s="1249">
        <f t="shared" si="29"/>
        <v>150</v>
      </c>
      <c r="S17" s="229">
        <f t="shared" si="16"/>
        <v>0.15</v>
      </c>
      <c r="T17" s="230">
        <f t="shared" si="17"/>
        <v>4.5441449814126404E-3</v>
      </c>
      <c r="U17" s="374">
        <f t="shared" si="18"/>
        <v>0</v>
      </c>
      <c r="V17" s="375">
        <f t="shared" si="19"/>
        <v>0</v>
      </c>
      <c r="W17" s="376">
        <f t="shared" si="20"/>
        <v>0</v>
      </c>
      <c r="X17" s="377">
        <f t="shared" si="21"/>
        <v>0</v>
      </c>
      <c r="Y17" s="378">
        <f t="shared" si="22"/>
        <v>0.15</v>
      </c>
      <c r="Z17" s="379">
        <f t="shared" si="23"/>
        <v>0</v>
      </c>
      <c r="AA17" s="380">
        <f t="shared" si="24"/>
        <v>0</v>
      </c>
      <c r="AC17" s="231"/>
      <c r="AD17" s="231"/>
      <c r="AE17" s="231"/>
      <c r="AF17" s="231"/>
      <c r="AG17" s="231"/>
      <c r="AH17" s="231"/>
      <c r="AI17" s="213"/>
      <c r="AJ17" s="213"/>
      <c r="AK17" s="213"/>
      <c r="AL17" s="213"/>
      <c r="AM17" s="213"/>
      <c r="AN17" s="204"/>
    </row>
    <row r="18" spans="1:40" ht="16" customHeight="1" thickBot="1">
      <c r="A18" s="1037"/>
      <c r="B18" s="1183"/>
      <c r="C18" s="274">
        <f t="shared" si="14"/>
        <v>0</v>
      </c>
      <c r="D18" s="1259"/>
      <c r="E18" s="336"/>
      <c r="F18" s="336"/>
      <c r="G18" s="336"/>
      <c r="H18" s="336"/>
      <c r="I18" s="1425"/>
      <c r="J18" s="336"/>
      <c r="K18" s="336"/>
      <c r="L18" s="1008">
        <f>L17+N17</f>
        <v>0.65604787762377126</v>
      </c>
      <c r="M18" s="1198"/>
      <c r="N18" s="1008"/>
      <c r="O18" s="336">
        <f>C18*20/25</f>
        <v>0</v>
      </c>
      <c r="P18" s="336"/>
      <c r="Q18" s="336"/>
      <c r="R18" s="1238">
        <f>SUM(R12:R17)</f>
        <v>1250</v>
      </c>
      <c r="S18" s="229">
        <f t="shared" si="16"/>
        <v>0</v>
      </c>
      <c r="T18" s="230">
        <f t="shared" si="17"/>
        <v>0</v>
      </c>
      <c r="U18" s="374">
        <f t="shared" si="18"/>
        <v>0</v>
      </c>
      <c r="V18" s="375">
        <f t="shared" si="19"/>
        <v>0</v>
      </c>
      <c r="W18" s="376">
        <f t="shared" si="20"/>
        <v>0</v>
      </c>
      <c r="X18" s="377">
        <f t="shared" si="21"/>
        <v>0</v>
      </c>
      <c r="Y18" s="378">
        <f t="shared" si="22"/>
        <v>0</v>
      </c>
      <c r="Z18" s="379">
        <f t="shared" si="23"/>
        <v>0</v>
      </c>
      <c r="AA18" s="380">
        <f t="shared" si="24"/>
        <v>0</v>
      </c>
      <c r="AC18" s="231"/>
      <c r="AD18" s="231"/>
      <c r="AE18" s="231"/>
      <c r="AF18" s="231"/>
      <c r="AG18" s="231"/>
      <c r="AH18" s="231"/>
      <c r="AI18" s="213"/>
      <c r="AJ18" s="213"/>
      <c r="AK18" s="213"/>
      <c r="AL18" s="213"/>
      <c r="AM18" s="213"/>
      <c r="AN18" s="204"/>
    </row>
    <row r="19" spans="1:40" ht="15.75" customHeight="1" thickBot="1">
      <c r="A19" s="1582" t="s">
        <v>215</v>
      </c>
      <c r="B19" s="1502" t="s">
        <v>215</v>
      </c>
      <c r="C19" s="274">
        <f t="shared" si="14"/>
        <v>2.2880964381720439E-4</v>
      </c>
      <c r="D19" s="1527">
        <v>1</v>
      </c>
      <c r="E19" s="1387">
        <v>1</v>
      </c>
      <c r="F19" s="1387">
        <v>1</v>
      </c>
      <c r="G19" s="1387">
        <v>600</v>
      </c>
      <c r="H19" s="1528"/>
      <c r="I19" s="276">
        <v>0</v>
      </c>
      <c r="J19" s="276">
        <v>1.1574074074074073E-4</v>
      </c>
      <c r="K19" s="312" t="s">
        <v>372</v>
      </c>
      <c r="L19" s="276">
        <v>0.34027777777777773</v>
      </c>
      <c r="M19" s="1530">
        <v>1.2</v>
      </c>
      <c r="N19" s="276">
        <f t="shared" ref="N19" si="32">P19*E19*F19+I19*F19*E19+J19*E19</f>
        <v>6.7054584826762272E-3</v>
      </c>
      <c r="O19" s="1528">
        <f t="shared" ref="O19:O25" si="33">C19*(G19/25)</f>
        <v>5.4914314516129057E-3</v>
      </c>
      <c r="P19" s="296">
        <f t="shared" ref="P19:P25" si="34">O19*M19</f>
        <v>6.5897177419354863E-3</v>
      </c>
      <c r="Q19" s="548">
        <v>145</v>
      </c>
      <c r="R19" s="1395">
        <f t="shared" ref="R19:R25" si="35">E19*F19*G19</f>
        <v>600</v>
      </c>
      <c r="S19" s="229">
        <f t="shared" si="16"/>
        <v>0.6</v>
      </c>
      <c r="T19" s="230">
        <f t="shared" si="17"/>
        <v>2.1965725806451623E-2</v>
      </c>
      <c r="U19" s="374">
        <f t="shared" si="18"/>
        <v>0.6</v>
      </c>
      <c r="V19" s="375">
        <f t="shared" si="19"/>
        <v>0</v>
      </c>
      <c r="W19" s="376">
        <f t="shared" si="20"/>
        <v>0</v>
      </c>
      <c r="X19" s="377">
        <f t="shared" si="21"/>
        <v>0</v>
      </c>
      <c r="Y19" s="378">
        <f t="shared" si="22"/>
        <v>0</v>
      </c>
      <c r="Z19" s="379">
        <f t="shared" si="23"/>
        <v>0</v>
      </c>
      <c r="AA19" s="380">
        <f t="shared" si="24"/>
        <v>0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  <c r="AN19" s="204"/>
    </row>
    <row r="20" spans="1:40" ht="15.75" customHeight="1" thickBot="1">
      <c r="A20" s="1582" t="s">
        <v>138</v>
      </c>
      <c r="B20" s="1502" t="s">
        <v>215</v>
      </c>
      <c r="C20" s="274">
        <f t="shared" si="14"/>
        <v>1.7682291666666674E-4</v>
      </c>
      <c r="D20" s="1539">
        <v>7</v>
      </c>
      <c r="E20" s="441">
        <v>1</v>
      </c>
      <c r="F20" s="441">
        <v>4</v>
      </c>
      <c r="G20" s="441">
        <v>25</v>
      </c>
      <c r="H20" s="1541"/>
      <c r="I20" s="436">
        <v>4.6296296296296293E-4</v>
      </c>
      <c r="J20" s="436">
        <v>6.9444444444444447E-4</v>
      </c>
      <c r="K20" s="443" t="s">
        <v>1430</v>
      </c>
      <c r="L20" s="436">
        <f>L19+N19</f>
        <v>0.34698323626045396</v>
      </c>
      <c r="M20" s="1542">
        <v>1.1000000000000001</v>
      </c>
      <c r="N20" s="436">
        <f t="shared" ref="N20:N25" si="36">P20*E20*F20+I20*F20+J20*E20</f>
        <v>3.3243171296296302E-3</v>
      </c>
      <c r="O20" s="1528">
        <f t="shared" si="33"/>
        <v>1.7682291666666674E-4</v>
      </c>
      <c r="P20" s="439">
        <f t="shared" si="34"/>
        <v>1.9450520833333342E-4</v>
      </c>
      <c r="Q20" s="1320" t="s">
        <v>274</v>
      </c>
      <c r="R20" s="638">
        <f t="shared" si="35"/>
        <v>100</v>
      </c>
      <c r="S20" s="229">
        <f t="shared" si="16"/>
        <v>0.1</v>
      </c>
      <c r="T20" s="230">
        <f t="shared" si="17"/>
        <v>2.8291666666666678E-3</v>
      </c>
      <c r="U20" s="374">
        <f t="shared" si="18"/>
        <v>0</v>
      </c>
      <c r="V20" s="375">
        <f t="shared" si="19"/>
        <v>0</v>
      </c>
      <c r="W20" s="376">
        <f t="shared" si="20"/>
        <v>0</v>
      </c>
      <c r="X20" s="377">
        <f t="shared" si="21"/>
        <v>0</v>
      </c>
      <c r="Y20" s="378">
        <f t="shared" si="22"/>
        <v>0</v>
      </c>
      <c r="Z20" s="379">
        <f t="shared" si="23"/>
        <v>0</v>
      </c>
      <c r="AA20" s="380">
        <f t="shared" si="24"/>
        <v>0.1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  <c r="AN20" s="204"/>
    </row>
    <row r="21" spans="1:40" ht="15.75" customHeight="1" thickBot="1">
      <c r="A21" s="1582" t="s">
        <v>461</v>
      </c>
      <c r="B21" s="4337">
        <v>2</v>
      </c>
      <c r="C21" s="274">
        <f t="shared" si="14"/>
        <v>1.8933937422552669E-4</v>
      </c>
      <c r="D21" s="1556">
        <v>5</v>
      </c>
      <c r="E21" s="307">
        <v>4</v>
      </c>
      <c r="F21" s="307">
        <v>1</v>
      </c>
      <c r="G21" s="307">
        <v>50</v>
      </c>
      <c r="H21" s="306"/>
      <c r="I21" s="306">
        <v>0</v>
      </c>
      <c r="J21" s="306">
        <v>1.3888888888888889E-3</v>
      </c>
      <c r="K21" s="534" t="s">
        <v>1431</v>
      </c>
      <c r="L21" s="306">
        <f t="shared" ref="L21:L26" si="37">L20+N20</f>
        <v>0.35030755339008357</v>
      </c>
      <c r="M21" s="452">
        <v>1.1000000000000001</v>
      </c>
      <c r="N21" s="306">
        <f>P21*E21*F21+I21*E21*F21+J21*E21</f>
        <v>7.2217420487401904E-3</v>
      </c>
      <c r="O21" s="1528">
        <f t="shared" si="33"/>
        <v>3.7867874845105338E-4</v>
      </c>
      <c r="P21" s="305">
        <f t="shared" si="34"/>
        <v>4.1654662329615878E-4</v>
      </c>
      <c r="Q21" s="290">
        <v>168</v>
      </c>
      <c r="R21" s="290">
        <f>E21*F21*G21</f>
        <v>200</v>
      </c>
      <c r="S21" s="229">
        <f t="shared" si="16"/>
        <v>0.2</v>
      </c>
      <c r="T21" s="230">
        <f t="shared" si="17"/>
        <v>6.0588599752168541E-3</v>
      </c>
      <c r="U21" s="374">
        <f t="shared" si="18"/>
        <v>0</v>
      </c>
      <c r="V21" s="375">
        <f t="shared" si="19"/>
        <v>0</v>
      </c>
      <c r="W21" s="376">
        <f t="shared" si="20"/>
        <v>0</v>
      </c>
      <c r="X21" s="377">
        <f t="shared" si="21"/>
        <v>0</v>
      </c>
      <c r="Y21" s="378">
        <f t="shared" si="22"/>
        <v>0.2</v>
      </c>
      <c r="Z21" s="379">
        <f t="shared" si="23"/>
        <v>0</v>
      </c>
      <c r="AA21" s="380">
        <f t="shared" si="24"/>
        <v>0</v>
      </c>
      <c r="AC21" s="231"/>
      <c r="AD21" s="231"/>
      <c r="AE21" s="231"/>
      <c r="AF21" s="231"/>
      <c r="AG21" s="231"/>
      <c r="AH21" s="231"/>
      <c r="AI21" s="213"/>
      <c r="AJ21" s="213"/>
      <c r="AK21" s="213"/>
      <c r="AL21" s="213"/>
      <c r="AM21" s="213"/>
      <c r="AN21" s="204"/>
    </row>
    <row r="22" spans="1:40" ht="15.75" customHeight="1" thickBot="1">
      <c r="A22" s="1582" t="s">
        <v>458</v>
      </c>
      <c r="B22" s="4337">
        <v>7</v>
      </c>
      <c r="C22" s="274">
        <f t="shared" si="14"/>
        <v>2.1908757716049393E-4</v>
      </c>
      <c r="D22" s="1534">
        <v>2</v>
      </c>
      <c r="E22" s="1393">
        <v>1</v>
      </c>
      <c r="F22" s="1393">
        <v>1</v>
      </c>
      <c r="G22" s="1393">
        <v>200</v>
      </c>
      <c r="H22" s="1535"/>
      <c r="I22" s="301">
        <v>2.3148148148148146E-4</v>
      </c>
      <c r="J22" s="301">
        <v>1.3888888888888889E-3</v>
      </c>
      <c r="K22" s="1123" t="s">
        <v>1176</v>
      </c>
      <c r="L22" s="301">
        <f t="shared" si="37"/>
        <v>0.35752929543882378</v>
      </c>
      <c r="M22" s="1537">
        <v>1.3</v>
      </c>
      <c r="N22" s="301">
        <f t="shared" si="36"/>
        <v>3.8988811728395073E-3</v>
      </c>
      <c r="O22" s="1528">
        <f t="shared" si="33"/>
        <v>1.7527006172839514E-3</v>
      </c>
      <c r="P22" s="302">
        <f t="shared" si="34"/>
        <v>2.2785108024691368E-3</v>
      </c>
      <c r="Q22" s="550">
        <v>141</v>
      </c>
      <c r="R22" s="1388">
        <f t="shared" si="35"/>
        <v>200</v>
      </c>
      <c r="S22" s="229">
        <f t="shared" si="16"/>
        <v>0.2</v>
      </c>
      <c r="T22" s="230">
        <f t="shared" si="17"/>
        <v>7.0108024691358057E-3</v>
      </c>
      <c r="U22" s="374">
        <f t="shared" si="18"/>
        <v>0</v>
      </c>
      <c r="V22" s="375">
        <f t="shared" si="19"/>
        <v>0.2</v>
      </c>
      <c r="W22" s="376">
        <f t="shared" si="20"/>
        <v>0</v>
      </c>
      <c r="X22" s="377">
        <f t="shared" si="21"/>
        <v>0</v>
      </c>
      <c r="Y22" s="378">
        <f t="shared" si="22"/>
        <v>0</v>
      </c>
      <c r="Z22" s="379">
        <f t="shared" si="23"/>
        <v>0</v>
      </c>
      <c r="AA22" s="380">
        <f t="shared" si="24"/>
        <v>0</v>
      </c>
      <c r="AC22" s="231"/>
      <c r="AD22" s="231"/>
      <c r="AE22" s="231"/>
      <c r="AF22" s="231"/>
      <c r="AG22" s="231"/>
      <c r="AH22" s="231"/>
      <c r="AI22" s="213"/>
      <c r="AJ22" s="213"/>
      <c r="AK22" s="213"/>
      <c r="AL22" s="213"/>
      <c r="AM22" s="213"/>
      <c r="AN22" s="204"/>
    </row>
    <row r="23" spans="1:40" ht="15.75" customHeight="1" thickBot="1">
      <c r="A23" s="1582" t="s">
        <v>219</v>
      </c>
      <c r="B23" s="1502" t="s">
        <v>215</v>
      </c>
      <c r="C23" s="274">
        <f t="shared" si="14"/>
        <v>1.8933937422552669E-4</v>
      </c>
      <c r="D23" s="1556">
        <v>5</v>
      </c>
      <c r="E23" s="307">
        <v>4</v>
      </c>
      <c r="F23" s="307">
        <v>1</v>
      </c>
      <c r="G23" s="307">
        <v>50</v>
      </c>
      <c r="H23" s="306"/>
      <c r="I23" s="306">
        <v>0</v>
      </c>
      <c r="J23" s="306">
        <v>1.3888888888888889E-3</v>
      </c>
      <c r="K23" s="534" t="s">
        <v>1432</v>
      </c>
      <c r="L23" s="306">
        <f t="shared" si="37"/>
        <v>0.36142817661166327</v>
      </c>
      <c r="M23" s="452">
        <v>1.1000000000000001</v>
      </c>
      <c r="N23" s="306">
        <f>P23*E23*F23+I23*E23*F23+J23*E23</f>
        <v>7.2217420487401904E-3</v>
      </c>
      <c r="O23" s="1528">
        <f t="shared" si="33"/>
        <v>3.7867874845105338E-4</v>
      </c>
      <c r="P23" s="305">
        <f>O23*M23</f>
        <v>4.1654662329615878E-4</v>
      </c>
      <c r="Q23" s="290">
        <v>168</v>
      </c>
      <c r="R23" s="290">
        <f>E23*F23*G23</f>
        <v>200</v>
      </c>
      <c r="S23" s="229">
        <f t="shared" si="16"/>
        <v>0.2</v>
      </c>
      <c r="T23" s="230">
        <f t="shared" si="17"/>
        <v>6.0588599752168541E-3</v>
      </c>
      <c r="U23" s="374">
        <f t="shared" si="18"/>
        <v>0</v>
      </c>
      <c r="V23" s="375">
        <f t="shared" si="19"/>
        <v>0</v>
      </c>
      <c r="W23" s="376">
        <f t="shared" si="20"/>
        <v>0</v>
      </c>
      <c r="X23" s="377">
        <f t="shared" si="21"/>
        <v>0</v>
      </c>
      <c r="Y23" s="378">
        <f t="shared" si="22"/>
        <v>0.2</v>
      </c>
      <c r="Z23" s="379">
        <f t="shared" si="23"/>
        <v>0</v>
      </c>
      <c r="AA23" s="380">
        <f t="shared" si="24"/>
        <v>0</v>
      </c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  <c r="AN23" s="204"/>
    </row>
    <row r="24" spans="1:40" ht="15" customHeight="1" thickBot="1">
      <c r="A24" s="1582"/>
      <c r="B24" s="1502" t="s">
        <v>215</v>
      </c>
      <c r="C24" s="274">
        <f t="shared" si="14"/>
        <v>2.1908757716049393E-4</v>
      </c>
      <c r="D24" s="1534">
        <v>2</v>
      </c>
      <c r="E24" s="1393">
        <v>1</v>
      </c>
      <c r="F24" s="1393">
        <v>1</v>
      </c>
      <c r="G24" s="1393">
        <v>200</v>
      </c>
      <c r="H24" s="1535"/>
      <c r="I24" s="301">
        <v>2.3148148148148146E-4</v>
      </c>
      <c r="J24" s="301">
        <v>1.3888888888888889E-3</v>
      </c>
      <c r="K24" s="1123" t="s">
        <v>1177</v>
      </c>
      <c r="L24" s="301">
        <f t="shared" si="37"/>
        <v>0.36864991866040348</v>
      </c>
      <c r="M24" s="1537">
        <v>1.25</v>
      </c>
      <c r="N24" s="301">
        <f t="shared" si="36"/>
        <v>3.8112461419753099E-3</v>
      </c>
      <c r="O24" s="1528">
        <f t="shared" si="33"/>
        <v>1.7527006172839514E-3</v>
      </c>
      <c r="P24" s="302">
        <f t="shared" si="34"/>
        <v>2.1908757716049393E-3</v>
      </c>
      <c r="Q24" s="550">
        <v>141</v>
      </c>
      <c r="R24" s="1388">
        <f t="shared" si="35"/>
        <v>200</v>
      </c>
      <c r="S24" s="229">
        <f t="shared" si="16"/>
        <v>0.2</v>
      </c>
      <c r="T24" s="230">
        <f t="shared" si="17"/>
        <v>7.0108024691358057E-3</v>
      </c>
      <c r="U24" s="374">
        <f t="shared" si="18"/>
        <v>0</v>
      </c>
      <c r="V24" s="375">
        <f t="shared" si="19"/>
        <v>0.2</v>
      </c>
      <c r="W24" s="376">
        <f t="shared" si="20"/>
        <v>0</v>
      </c>
      <c r="X24" s="377">
        <f t="shared" si="21"/>
        <v>0</v>
      </c>
      <c r="Y24" s="378">
        <f t="shared" si="22"/>
        <v>0</v>
      </c>
      <c r="Z24" s="379">
        <f t="shared" si="23"/>
        <v>0</v>
      </c>
      <c r="AA24" s="380">
        <f t="shared" si="24"/>
        <v>0</v>
      </c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  <c r="AN24" s="204"/>
    </row>
    <row r="25" spans="1:40" ht="14" customHeight="1" thickBot="1">
      <c r="A25" s="1582" t="s">
        <v>215</v>
      </c>
      <c r="B25" s="1502" t="s">
        <v>215</v>
      </c>
      <c r="C25" s="274">
        <f t="shared" si="14"/>
        <v>2.2880964381720439E-4</v>
      </c>
      <c r="D25" s="1543">
        <v>1</v>
      </c>
      <c r="E25" s="1576">
        <v>1</v>
      </c>
      <c r="F25" s="1576">
        <v>1</v>
      </c>
      <c r="G25" s="1576">
        <v>400</v>
      </c>
      <c r="H25" s="1544"/>
      <c r="I25" s="1015">
        <v>0</v>
      </c>
      <c r="J25" s="1015">
        <v>1.1574074074074073E-4</v>
      </c>
      <c r="K25" s="1016" t="s">
        <v>763</v>
      </c>
      <c r="L25" s="1015">
        <f t="shared" si="37"/>
        <v>0.37246116480237879</v>
      </c>
      <c r="M25" s="1545">
        <v>1</v>
      </c>
      <c r="N25" s="1015">
        <f t="shared" si="36"/>
        <v>3.7766950418160112E-3</v>
      </c>
      <c r="O25" s="1528">
        <f t="shared" si="33"/>
        <v>3.6609543010752703E-3</v>
      </c>
      <c r="P25" s="1017">
        <f t="shared" si="34"/>
        <v>3.6609543010752703E-3</v>
      </c>
      <c r="Q25" s="1018">
        <v>121</v>
      </c>
      <c r="R25" s="1573">
        <f t="shared" si="35"/>
        <v>400</v>
      </c>
      <c r="S25" s="229">
        <f t="shared" si="16"/>
        <v>0.4</v>
      </c>
      <c r="T25" s="230">
        <f t="shared" si="17"/>
        <v>1.4643817204301081E-2</v>
      </c>
      <c r="U25" s="374">
        <f t="shared" si="18"/>
        <v>0.4</v>
      </c>
      <c r="V25" s="375">
        <f t="shared" si="19"/>
        <v>0</v>
      </c>
      <c r="W25" s="376">
        <f t="shared" si="20"/>
        <v>0</v>
      </c>
      <c r="X25" s="377">
        <f t="shared" si="21"/>
        <v>0</v>
      </c>
      <c r="Y25" s="378">
        <f t="shared" si="22"/>
        <v>0</v>
      </c>
      <c r="Z25" s="379">
        <f t="shared" si="23"/>
        <v>0</v>
      </c>
      <c r="AA25" s="380">
        <f t="shared" si="24"/>
        <v>0</v>
      </c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  <c r="AN25" s="204"/>
    </row>
    <row r="26" spans="1:40" ht="14" customHeight="1" thickBot="1">
      <c r="A26" s="1582" t="s">
        <v>138</v>
      </c>
      <c r="B26" s="1502"/>
      <c r="C26" s="274">
        <f t="shared" si="14"/>
        <v>0</v>
      </c>
      <c r="D26" s="1546"/>
      <c r="E26" s="849"/>
      <c r="F26" s="849"/>
      <c r="G26" s="849"/>
      <c r="H26" s="1538"/>
      <c r="I26" s="1425"/>
      <c r="J26" s="849"/>
      <c r="K26" s="849"/>
      <c r="L26" s="2111">
        <f t="shared" si="37"/>
        <v>0.37623785984419478</v>
      </c>
      <c r="M26" s="1547"/>
      <c r="N26" s="1019"/>
      <c r="O26" s="1538"/>
      <c r="P26" s="849"/>
      <c r="Q26" s="849"/>
      <c r="R26" s="684">
        <f>SUM(R19:R25)</f>
        <v>1900</v>
      </c>
      <c r="S26" s="229">
        <f t="shared" si="16"/>
        <v>0</v>
      </c>
      <c r="T26" s="230">
        <f t="shared" si="17"/>
        <v>0</v>
      </c>
      <c r="U26" s="374">
        <f t="shared" si="18"/>
        <v>0</v>
      </c>
      <c r="V26" s="375">
        <f t="shared" si="19"/>
        <v>0</v>
      </c>
      <c r="W26" s="376">
        <f t="shared" si="20"/>
        <v>0</v>
      </c>
      <c r="X26" s="377">
        <f t="shared" si="21"/>
        <v>0</v>
      </c>
      <c r="Y26" s="378">
        <f t="shared" si="22"/>
        <v>0</v>
      </c>
      <c r="Z26" s="379">
        <f t="shared" si="23"/>
        <v>0</v>
      </c>
      <c r="AA26" s="380">
        <f t="shared" si="24"/>
        <v>0</v>
      </c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  <c r="AN26" s="204"/>
    </row>
    <row r="27" spans="1:40" ht="14" thickBot="1">
      <c r="A27" s="1582" t="s">
        <v>462</v>
      </c>
      <c r="B27" s="4337" t="s">
        <v>461</v>
      </c>
      <c r="C27" s="274">
        <f t="shared" si="14"/>
        <v>2.2880964381720439E-4</v>
      </c>
      <c r="D27" s="920">
        <v>1</v>
      </c>
      <c r="E27" s="1979">
        <v>1</v>
      </c>
      <c r="F27" s="1979">
        <v>1</v>
      </c>
      <c r="G27" s="1979">
        <v>200</v>
      </c>
      <c r="H27" s="1979"/>
      <c r="I27" s="2056">
        <v>0</v>
      </c>
      <c r="J27" s="2056">
        <v>8.1018518518518516E-4</v>
      </c>
      <c r="K27" s="2099" t="s">
        <v>1543</v>
      </c>
      <c r="L27" s="1332">
        <v>0.63194444444444442</v>
      </c>
      <c r="M27" s="1123">
        <v>1.2</v>
      </c>
      <c r="N27" s="301">
        <f t="shared" ref="N27" si="38">P27*E27*F27+I27*F27*E27+J27*E27</f>
        <v>3.0067577658303471E-3</v>
      </c>
      <c r="O27" s="302">
        <f t="shared" ref="O27" si="39">C27*(G27/25)</f>
        <v>1.8304771505376352E-3</v>
      </c>
      <c r="P27" s="301">
        <f t="shared" ref="P27" si="40">O27*M27</f>
        <v>2.1965725806451621E-3</v>
      </c>
      <c r="Q27" s="798">
        <v>145</v>
      </c>
      <c r="R27" s="369">
        <f t="shared" ref="R27" si="41">E27*F27*G27</f>
        <v>200</v>
      </c>
      <c r="S27" s="229">
        <f t="shared" si="16"/>
        <v>0.2</v>
      </c>
      <c r="T27" s="230">
        <f t="shared" si="17"/>
        <v>7.3219086021505406E-3</v>
      </c>
      <c r="U27" s="374">
        <f t="shared" si="18"/>
        <v>0.2</v>
      </c>
      <c r="V27" s="375">
        <f t="shared" si="19"/>
        <v>0</v>
      </c>
      <c r="W27" s="376">
        <f t="shared" si="20"/>
        <v>0</v>
      </c>
      <c r="X27" s="377">
        <f t="shared" si="21"/>
        <v>0</v>
      </c>
      <c r="Y27" s="378">
        <f t="shared" si="22"/>
        <v>0</v>
      </c>
      <c r="Z27" s="379">
        <f t="shared" si="23"/>
        <v>0</v>
      </c>
      <c r="AA27" s="380">
        <f t="shared" si="24"/>
        <v>0</v>
      </c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  <c r="AN27" s="204"/>
    </row>
    <row r="28" spans="1:40" ht="14" customHeight="1" thickBot="1">
      <c r="A28" s="1582" t="s">
        <v>461</v>
      </c>
      <c r="B28" s="4337">
        <v>2</v>
      </c>
      <c r="C28" s="274">
        <f t="shared" si="14"/>
        <v>1.7682291666666674E-4</v>
      </c>
      <c r="D28" s="1539">
        <v>7</v>
      </c>
      <c r="E28" s="1040">
        <v>1</v>
      </c>
      <c r="F28" s="1040">
        <v>2</v>
      </c>
      <c r="G28" s="1040">
        <v>15</v>
      </c>
      <c r="H28" s="1720"/>
      <c r="I28" s="1041">
        <v>2.3148148148148146E-4</v>
      </c>
      <c r="J28" s="1041">
        <v>6.9444444444444447E-4</v>
      </c>
      <c r="K28" s="443" t="s">
        <v>1433</v>
      </c>
      <c r="L28" s="1041">
        <f t="shared" ref="L28:L36" si="42">L27+N27</f>
        <v>0.63495120221027479</v>
      </c>
      <c r="M28" s="2115">
        <v>0.9</v>
      </c>
      <c r="N28" s="1041">
        <f>P28*E28*F28+I28*F28+J28*E28</f>
        <v>1.3483761574074075E-3</v>
      </c>
      <c r="O28" s="1731">
        <f>C28*(G28/25)</f>
        <v>1.0609375000000004E-4</v>
      </c>
      <c r="P28" s="439">
        <f>O28*M28</f>
        <v>9.5484375000000042E-5</v>
      </c>
      <c r="Q28" s="443" t="s">
        <v>274</v>
      </c>
      <c r="R28" s="2044">
        <f>E28*F28*G28</f>
        <v>30</v>
      </c>
      <c r="S28" s="229">
        <f t="shared" si="16"/>
        <v>0.03</v>
      </c>
      <c r="T28" s="230">
        <f t="shared" si="17"/>
        <v>8.4875000000000033E-4</v>
      </c>
      <c r="U28" s="374">
        <f t="shared" si="18"/>
        <v>0</v>
      </c>
      <c r="V28" s="375">
        <f t="shared" si="19"/>
        <v>0</v>
      </c>
      <c r="W28" s="376">
        <f t="shared" si="20"/>
        <v>0</v>
      </c>
      <c r="X28" s="377">
        <f t="shared" si="21"/>
        <v>0</v>
      </c>
      <c r="Y28" s="378">
        <f t="shared" si="22"/>
        <v>0</v>
      </c>
      <c r="Z28" s="379">
        <f t="shared" si="23"/>
        <v>0</v>
      </c>
      <c r="AA28" s="380">
        <f t="shared" si="24"/>
        <v>0.03</v>
      </c>
      <c r="AC28" s="231"/>
      <c r="AD28" s="231"/>
      <c r="AE28" s="231"/>
      <c r="AF28" s="231"/>
      <c r="AG28" s="231"/>
      <c r="AH28" s="231"/>
      <c r="AI28" s="213"/>
      <c r="AJ28" s="213"/>
      <c r="AK28" s="213"/>
      <c r="AL28" s="213"/>
      <c r="AM28" s="213"/>
      <c r="AN28" s="204"/>
    </row>
    <row r="29" spans="1:40" ht="14" customHeight="1" thickBot="1">
      <c r="A29" s="1582" t="s">
        <v>458</v>
      </c>
      <c r="B29" s="1502">
        <v>7</v>
      </c>
      <c r="C29" s="274">
        <f t="shared" si="14"/>
        <v>1.7682291666666674E-4</v>
      </c>
      <c r="D29" s="1539">
        <v>7</v>
      </c>
      <c r="E29" s="1040">
        <v>1</v>
      </c>
      <c r="F29" s="1040">
        <v>2</v>
      </c>
      <c r="G29" s="1040">
        <v>15</v>
      </c>
      <c r="H29" s="1720"/>
      <c r="I29" s="1041">
        <v>2.3148148148148146E-4</v>
      </c>
      <c r="J29" s="1041">
        <v>6.9444444444444447E-4</v>
      </c>
      <c r="K29" s="443" t="s">
        <v>1434</v>
      </c>
      <c r="L29" s="1041">
        <f t="shared" si="42"/>
        <v>0.63629957836768225</v>
      </c>
      <c r="M29" s="2115">
        <v>0.9</v>
      </c>
      <c r="N29" s="1041">
        <f>P29*E29*F29+I29*F29+J29*E29</f>
        <v>1.3483761574074075E-3</v>
      </c>
      <c r="O29" s="1731">
        <f>C29*(G29/25)</f>
        <v>1.0609375000000004E-4</v>
      </c>
      <c r="P29" s="439">
        <f>O29*M29</f>
        <v>9.5484375000000042E-5</v>
      </c>
      <c r="Q29" s="443" t="s">
        <v>274</v>
      </c>
      <c r="R29" s="2044">
        <f>E29*F29*G29</f>
        <v>30</v>
      </c>
      <c r="S29" s="229">
        <f t="shared" si="16"/>
        <v>0.03</v>
      </c>
      <c r="T29" s="230">
        <f t="shared" si="17"/>
        <v>8.4875000000000033E-4</v>
      </c>
      <c r="U29" s="374">
        <f t="shared" si="18"/>
        <v>0</v>
      </c>
      <c r="V29" s="375">
        <f t="shared" si="19"/>
        <v>0</v>
      </c>
      <c r="W29" s="376">
        <f t="shared" si="20"/>
        <v>0</v>
      </c>
      <c r="X29" s="377">
        <f t="shared" si="21"/>
        <v>0</v>
      </c>
      <c r="Y29" s="378">
        <f t="shared" si="22"/>
        <v>0</v>
      </c>
      <c r="Z29" s="379">
        <f t="shared" si="23"/>
        <v>0</v>
      </c>
      <c r="AA29" s="380">
        <f t="shared" si="24"/>
        <v>0.03</v>
      </c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  <c r="AN29" s="204"/>
    </row>
    <row r="30" spans="1:40" ht="14" customHeight="1" thickBot="1">
      <c r="A30" s="1582" t="s">
        <v>219</v>
      </c>
      <c r="B30" s="1502" t="s">
        <v>461</v>
      </c>
      <c r="C30" s="274">
        <f t="shared" si="14"/>
        <v>1.7682291666666674E-4</v>
      </c>
      <c r="D30" s="1539">
        <v>7</v>
      </c>
      <c r="E30" s="1040">
        <v>1</v>
      </c>
      <c r="F30" s="1040">
        <v>4</v>
      </c>
      <c r="G30" s="1040">
        <v>15</v>
      </c>
      <c r="H30" s="1720"/>
      <c r="I30" s="1041">
        <v>2.3148148148148146E-4</v>
      </c>
      <c r="J30" s="1041">
        <v>6.9444444444444447E-4</v>
      </c>
      <c r="K30" s="443" t="s">
        <v>1178</v>
      </c>
      <c r="L30" s="1041">
        <f t="shared" si="42"/>
        <v>0.63764795452508971</v>
      </c>
      <c r="M30" s="2115">
        <v>0.9</v>
      </c>
      <c r="N30" s="1041">
        <f>P30*E30*F30+I30*F30+J30*E30</f>
        <v>2.0023078703703704E-3</v>
      </c>
      <c r="O30" s="1731">
        <f>C30*(G30/25)</f>
        <v>1.0609375000000004E-4</v>
      </c>
      <c r="P30" s="439">
        <f>O30*M30</f>
        <v>9.5484375000000042E-5</v>
      </c>
      <c r="Q30" s="443" t="s">
        <v>274</v>
      </c>
      <c r="R30" s="2044">
        <f>E30*F30*G30</f>
        <v>60</v>
      </c>
      <c r="S30" s="229">
        <f t="shared" si="16"/>
        <v>0.06</v>
      </c>
      <c r="T30" s="230">
        <f t="shared" si="17"/>
        <v>1.6975000000000007E-3</v>
      </c>
      <c r="U30" s="374">
        <f t="shared" si="18"/>
        <v>0</v>
      </c>
      <c r="V30" s="375">
        <f t="shared" si="19"/>
        <v>0</v>
      </c>
      <c r="W30" s="376">
        <f t="shared" si="20"/>
        <v>0</v>
      </c>
      <c r="X30" s="377">
        <f t="shared" si="21"/>
        <v>0</v>
      </c>
      <c r="Y30" s="378">
        <f t="shared" si="22"/>
        <v>0</v>
      </c>
      <c r="Z30" s="379">
        <f t="shared" si="23"/>
        <v>0</v>
      </c>
      <c r="AA30" s="380">
        <f t="shared" si="24"/>
        <v>0.06</v>
      </c>
      <c r="AC30" s="231"/>
      <c r="AD30" s="231"/>
      <c r="AE30" s="231"/>
      <c r="AF30" s="231"/>
      <c r="AG30" s="231"/>
      <c r="AH30" s="231"/>
      <c r="AI30" s="213"/>
      <c r="AJ30" s="213"/>
      <c r="AK30" s="213"/>
      <c r="AL30" s="213"/>
      <c r="AM30" s="213"/>
      <c r="AN30" s="204"/>
    </row>
    <row r="31" spans="1:40" ht="14" customHeight="1" thickBot="1">
      <c r="A31" s="1583"/>
      <c r="B31" s="1584"/>
      <c r="C31" s="274">
        <f t="shared" si="14"/>
        <v>0</v>
      </c>
      <c r="D31" s="1548"/>
      <c r="E31" s="1571"/>
      <c r="F31" s="1571"/>
      <c r="G31" s="1571"/>
      <c r="H31" s="1549"/>
      <c r="I31" s="1571"/>
      <c r="J31" s="1571"/>
      <c r="K31" s="1588" t="s">
        <v>157</v>
      </c>
      <c r="L31" s="2111">
        <f t="shared" si="42"/>
        <v>0.63965026239546008</v>
      </c>
      <c r="M31" s="1549"/>
      <c r="N31" s="1589"/>
      <c r="O31" s="1549"/>
      <c r="P31" s="1571"/>
      <c r="Q31" s="1571"/>
      <c r="R31" s="1574">
        <f>SUM(R27:R30)</f>
        <v>320</v>
      </c>
      <c r="S31" s="229">
        <f t="shared" si="16"/>
        <v>0</v>
      </c>
      <c r="T31" s="230">
        <f t="shared" si="17"/>
        <v>0</v>
      </c>
      <c r="U31" s="374">
        <f t="shared" si="18"/>
        <v>0</v>
      </c>
      <c r="V31" s="375">
        <f t="shared" si="19"/>
        <v>0</v>
      </c>
      <c r="W31" s="376">
        <f t="shared" si="20"/>
        <v>0</v>
      </c>
      <c r="X31" s="377">
        <f t="shared" si="21"/>
        <v>0</v>
      </c>
      <c r="Y31" s="378">
        <f t="shared" si="22"/>
        <v>0</v>
      </c>
      <c r="Z31" s="379">
        <f t="shared" si="23"/>
        <v>0</v>
      </c>
      <c r="AA31" s="380">
        <f t="shared" si="24"/>
        <v>0</v>
      </c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  <c r="AN31" s="204"/>
    </row>
    <row r="32" spans="1:40" ht="15" thickTop="1" thickBot="1">
      <c r="A32" s="1582" t="s">
        <v>215</v>
      </c>
      <c r="B32" s="1502" t="s">
        <v>461</v>
      </c>
      <c r="C32" s="274">
        <f t="shared" si="14"/>
        <v>2.1908757716049393E-4</v>
      </c>
      <c r="D32" s="1550">
        <v>2</v>
      </c>
      <c r="E32" s="1577">
        <v>1</v>
      </c>
      <c r="F32" s="1577">
        <v>1</v>
      </c>
      <c r="G32" s="1577">
        <v>400</v>
      </c>
      <c r="H32" s="1551"/>
      <c r="I32" s="648">
        <v>2.8935185185185189E-4</v>
      </c>
      <c r="J32" s="648">
        <v>1.3888888888888889E-3</v>
      </c>
      <c r="K32" s="1340" t="s">
        <v>952</v>
      </c>
      <c r="L32" s="648">
        <f t="shared" si="42"/>
        <v>0.63965026239546008</v>
      </c>
      <c r="M32" s="1552">
        <v>1</v>
      </c>
      <c r="N32" s="648">
        <f>P32*E32*F32+I32*F32+J32*E32</f>
        <v>5.1836419753086439E-3</v>
      </c>
      <c r="O32" s="1528">
        <f>C32*(G32/25)</f>
        <v>3.5054012345679029E-3</v>
      </c>
      <c r="P32" s="835">
        <f>O32*M32</f>
        <v>3.5054012345679029E-3</v>
      </c>
      <c r="Q32" s="836">
        <v>141</v>
      </c>
      <c r="R32" s="1575">
        <f>E32*F32*G32</f>
        <v>400</v>
      </c>
      <c r="S32" s="229">
        <f t="shared" si="16"/>
        <v>0.4</v>
      </c>
      <c r="T32" s="230">
        <f t="shared" si="17"/>
        <v>1.4021604938271611E-2</v>
      </c>
      <c r="U32" s="374">
        <f t="shared" si="18"/>
        <v>0</v>
      </c>
      <c r="V32" s="375">
        <f t="shared" si="19"/>
        <v>0.4</v>
      </c>
      <c r="W32" s="376">
        <f t="shared" si="20"/>
        <v>0</v>
      </c>
      <c r="X32" s="377">
        <f t="shared" si="21"/>
        <v>0</v>
      </c>
      <c r="Y32" s="378">
        <f t="shared" si="22"/>
        <v>0</v>
      </c>
      <c r="Z32" s="379">
        <f t="shared" si="23"/>
        <v>0</v>
      </c>
      <c r="AA32" s="380">
        <f t="shared" si="24"/>
        <v>0</v>
      </c>
      <c r="AC32" s="231"/>
      <c r="AD32" s="231"/>
      <c r="AE32" s="231"/>
      <c r="AF32" s="231"/>
      <c r="AG32" s="231"/>
      <c r="AH32" s="231"/>
      <c r="AI32" s="213"/>
      <c r="AJ32" s="213"/>
      <c r="AK32" s="213"/>
      <c r="AL32" s="213"/>
      <c r="AM32" s="213"/>
      <c r="AN32" s="204"/>
    </row>
    <row r="33" spans="1:40" ht="14" thickBot="1">
      <c r="A33" s="1585" t="s">
        <v>138</v>
      </c>
      <c r="B33" s="4337">
        <v>2</v>
      </c>
      <c r="C33" s="274">
        <f t="shared" si="14"/>
        <v>1.7682291666666674E-4</v>
      </c>
      <c r="D33" s="1539">
        <v>7</v>
      </c>
      <c r="E33" s="1040">
        <v>1</v>
      </c>
      <c r="F33" s="1040">
        <v>4</v>
      </c>
      <c r="G33" s="1040">
        <v>25</v>
      </c>
      <c r="H33" s="1720"/>
      <c r="I33" s="1041">
        <v>4.6296296296296293E-4</v>
      </c>
      <c r="J33" s="1041">
        <v>2.0833333333333333E-3</v>
      </c>
      <c r="K33" s="443" t="s">
        <v>1435</v>
      </c>
      <c r="L33" s="1041">
        <f t="shared" si="42"/>
        <v>0.64483390437076871</v>
      </c>
      <c r="M33" s="2115">
        <v>0.85</v>
      </c>
      <c r="N33" s="1041">
        <f>P33*E33*F33+I33*F33+J33*E33</f>
        <v>4.5363831018518513E-3</v>
      </c>
      <c r="O33" s="1731">
        <f>C33*(G33/25)</f>
        <v>1.7682291666666674E-4</v>
      </c>
      <c r="P33" s="439">
        <f>O33*M33</f>
        <v>1.5029947916666672E-4</v>
      </c>
      <c r="Q33" s="443" t="s">
        <v>274</v>
      </c>
      <c r="R33" s="2044">
        <f>E33*F33*G33</f>
        <v>100</v>
      </c>
      <c r="S33" s="229">
        <f t="shared" si="16"/>
        <v>0.1</v>
      </c>
      <c r="T33" s="230">
        <f t="shared" si="17"/>
        <v>2.8291666666666678E-3</v>
      </c>
      <c r="U33" s="374">
        <f t="shared" si="18"/>
        <v>0</v>
      </c>
      <c r="V33" s="375">
        <f t="shared" si="19"/>
        <v>0</v>
      </c>
      <c r="W33" s="376">
        <f t="shared" si="20"/>
        <v>0</v>
      </c>
      <c r="X33" s="377">
        <f t="shared" si="21"/>
        <v>0</v>
      </c>
      <c r="Y33" s="378">
        <f t="shared" si="22"/>
        <v>0</v>
      </c>
      <c r="Z33" s="379">
        <f t="shared" si="23"/>
        <v>0</v>
      </c>
      <c r="AA33" s="380">
        <f t="shared" si="24"/>
        <v>0.1</v>
      </c>
      <c r="AC33" s="231"/>
      <c r="AD33" s="231"/>
      <c r="AE33" s="231"/>
      <c r="AF33" s="231"/>
      <c r="AG33" s="231"/>
      <c r="AH33" s="231"/>
      <c r="AI33" s="213"/>
      <c r="AJ33" s="213"/>
      <c r="AK33" s="213"/>
      <c r="AL33" s="213"/>
      <c r="AM33" s="213"/>
      <c r="AN33" s="204"/>
    </row>
    <row r="34" spans="1:40" ht="14" thickBot="1">
      <c r="A34" s="1585" t="s">
        <v>462</v>
      </c>
      <c r="B34" s="4337">
        <v>7</v>
      </c>
      <c r="C34" s="274">
        <f t="shared" si="14"/>
        <v>1.7682291666666674E-4</v>
      </c>
      <c r="D34" s="1539">
        <v>7</v>
      </c>
      <c r="E34" s="1040">
        <v>1</v>
      </c>
      <c r="F34" s="1040">
        <v>2</v>
      </c>
      <c r="G34" s="1040">
        <v>50</v>
      </c>
      <c r="H34" s="1720"/>
      <c r="I34" s="1041">
        <v>4.6296296296296293E-4</v>
      </c>
      <c r="J34" s="1041">
        <v>2.0833333333333333E-3</v>
      </c>
      <c r="K34" s="443" t="s">
        <v>1436</v>
      </c>
      <c r="L34" s="1041">
        <f t="shared" si="42"/>
        <v>0.6493702874726206</v>
      </c>
      <c r="M34" s="2115">
        <v>1.05</v>
      </c>
      <c r="N34" s="1041">
        <f>P34*E34*F34+I34*F34+J34*E34</f>
        <v>3.7519155092592595E-3</v>
      </c>
      <c r="O34" s="1731">
        <f>C34*(G34/25)</f>
        <v>3.5364583333333347E-4</v>
      </c>
      <c r="P34" s="439">
        <f>O34*M34</f>
        <v>3.7132812500000018E-4</v>
      </c>
      <c r="Q34" s="443" t="s">
        <v>274</v>
      </c>
      <c r="R34" s="2044">
        <f>E34*F34*G34</f>
        <v>100</v>
      </c>
      <c r="S34" s="229">
        <f t="shared" si="16"/>
        <v>0.1</v>
      </c>
      <c r="T34" s="230">
        <f t="shared" si="17"/>
        <v>2.8291666666666678E-3</v>
      </c>
      <c r="U34" s="374">
        <f t="shared" si="18"/>
        <v>0</v>
      </c>
      <c r="V34" s="375">
        <f t="shared" si="19"/>
        <v>0</v>
      </c>
      <c r="W34" s="376">
        <f t="shared" si="20"/>
        <v>0</v>
      </c>
      <c r="X34" s="377">
        <f t="shared" si="21"/>
        <v>0</v>
      </c>
      <c r="Y34" s="378">
        <f t="shared" si="22"/>
        <v>0</v>
      </c>
      <c r="Z34" s="379">
        <f t="shared" si="23"/>
        <v>0</v>
      </c>
      <c r="AA34" s="380">
        <f t="shared" si="24"/>
        <v>0.1</v>
      </c>
      <c r="AC34" s="231"/>
      <c r="AD34" s="231"/>
      <c r="AE34" s="231"/>
      <c r="AF34" s="231"/>
      <c r="AG34" s="231"/>
      <c r="AH34" s="231"/>
      <c r="AI34" s="213"/>
      <c r="AJ34" s="213"/>
      <c r="AK34" s="213"/>
      <c r="AL34" s="213"/>
      <c r="AM34" s="213"/>
      <c r="AN34" s="204"/>
    </row>
    <row r="35" spans="1:40">
      <c r="A35" s="1585" t="s">
        <v>461</v>
      </c>
      <c r="B35" s="1503" t="s">
        <v>461</v>
      </c>
      <c r="C35" s="274">
        <f t="shared" si="14"/>
        <v>2.2880964381720439E-4</v>
      </c>
      <c r="D35" s="1527">
        <v>1</v>
      </c>
      <c r="E35" s="1387">
        <v>1</v>
      </c>
      <c r="F35" s="1387">
        <v>1</v>
      </c>
      <c r="G35" s="1387">
        <v>100</v>
      </c>
      <c r="H35" s="1528"/>
      <c r="I35" s="276">
        <v>0</v>
      </c>
      <c r="J35" s="276">
        <v>1.1574074074074073E-4</v>
      </c>
      <c r="K35" s="1340" t="s">
        <v>901</v>
      </c>
      <c r="L35" s="276">
        <f t="shared" si="42"/>
        <v>0.65312220298187984</v>
      </c>
      <c r="M35" s="1530">
        <v>1</v>
      </c>
      <c r="N35" s="276">
        <f>P35*E35*F35+I35*F35+J35*E35</f>
        <v>1.0309793160095584E-3</v>
      </c>
      <c r="O35" s="1528">
        <f>C35*(G35/25)</f>
        <v>9.1523857526881758E-4</v>
      </c>
      <c r="P35" s="296">
        <f>O35*M35</f>
        <v>9.1523857526881758E-4</v>
      </c>
      <c r="Q35" s="548">
        <v>121</v>
      </c>
      <c r="R35" s="1395">
        <f>E35*F35*G35</f>
        <v>100</v>
      </c>
      <c r="S35" s="229">
        <f t="shared" si="16"/>
        <v>0.1</v>
      </c>
      <c r="T35" s="230">
        <f t="shared" si="17"/>
        <v>3.6609543010752703E-3</v>
      </c>
      <c r="U35" s="374">
        <f t="shared" si="18"/>
        <v>0.1</v>
      </c>
      <c r="V35" s="375">
        <f t="shared" si="19"/>
        <v>0</v>
      </c>
      <c r="W35" s="376">
        <f t="shared" si="20"/>
        <v>0</v>
      </c>
      <c r="X35" s="377">
        <f t="shared" si="21"/>
        <v>0</v>
      </c>
      <c r="Y35" s="378">
        <f t="shared" si="22"/>
        <v>0</v>
      </c>
      <c r="Z35" s="379">
        <f t="shared" si="23"/>
        <v>0</v>
      </c>
      <c r="AA35" s="380">
        <f t="shared" si="24"/>
        <v>0</v>
      </c>
      <c r="AC35" s="231"/>
      <c r="AD35" s="231"/>
      <c r="AE35" s="231"/>
      <c r="AF35" s="231"/>
      <c r="AG35" s="231"/>
      <c r="AH35" s="231"/>
      <c r="AI35" s="213"/>
      <c r="AJ35" s="213"/>
      <c r="AK35" s="213"/>
      <c r="AL35" s="213"/>
      <c r="AM35" s="213"/>
    </row>
    <row r="36" spans="1:40" ht="14" thickBot="1">
      <c r="A36" s="1586"/>
      <c r="B36" s="1587"/>
      <c r="C36" s="274">
        <f t="shared" si="14"/>
        <v>0</v>
      </c>
      <c r="D36" s="1553"/>
      <c r="E36" s="642"/>
      <c r="F36" s="642"/>
      <c r="G36" s="642"/>
      <c r="H36" s="1554"/>
      <c r="I36" s="642"/>
      <c r="J36" s="642"/>
      <c r="K36" s="642"/>
      <c r="L36" s="2111">
        <f t="shared" si="42"/>
        <v>0.65415318229788944</v>
      </c>
      <c r="M36" s="1555"/>
      <c r="N36" s="850"/>
      <c r="O36" s="1538"/>
      <c r="P36" s="683"/>
      <c r="Q36" s="849"/>
      <c r="R36" s="684">
        <f>R26+R31+R32+R33+R34+R35</f>
        <v>2920</v>
      </c>
      <c r="S36" s="229">
        <f t="shared" si="16"/>
        <v>0</v>
      </c>
      <c r="T36" s="230">
        <f t="shared" si="17"/>
        <v>0</v>
      </c>
      <c r="U36" s="374">
        <f t="shared" si="18"/>
        <v>0</v>
      </c>
      <c r="V36" s="375">
        <f t="shared" si="19"/>
        <v>0</v>
      </c>
      <c r="W36" s="376">
        <f t="shared" si="20"/>
        <v>0</v>
      </c>
      <c r="X36" s="377">
        <f t="shared" si="21"/>
        <v>0</v>
      </c>
      <c r="Y36" s="378">
        <f t="shared" si="22"/>
        <v>0</v>
      </c>
      <c r="Z36" s="379">
        <f t="shared" si="23"/>
        <v>0</v>
      </c>
      <c r="AA36" s="380">
        <f t="shared" si="24"/>
        <v>0</v>
      </c>
      <c r="AC36" s="231"/>
      <c r="AD36" s="231"/>
      <c r="AE36" s="231"/>
      <c r="AF36" s="231"/>
      <c r="AG36" s="231"/>
      <c r="AH36" s="231"/>
      <c r="AI36" s="213"/>
      <c r="AJ36" s="213"/>
      <c r="AK36" s="213"/>
      <c r="AL36" s="213"/>
      <c r="AM36" s="213"/>
    </row>
    <row r="37" spans="1:40" ht="14" thickBot="1">
      <c r="A37" s="647" t="s">
        <v>215</v>
      </c>
      <c r="B37" s="1117" t="s">
        <v>215</v>
      </c>
      <c r="C37" s="274">
        <f t="shared" si="14"/>
        <v>0</v>
      </c>
      <c r="D37" s="1803"/>
      <c r="E37" s="336"/>
      <c r="F37" s="336"/>
      <c r="G37" s="336"/>
      <c r="H37" s="1804"/>
      <c r="I37" s="1804"/>
      <c r="J37" s="1804"/>
      <c r="K37" s="1891" t="s">
        <v>151</v>
      </c>
      <c r="L37" s="2682"/>
      <c r="M37" s="1805"/>
      <c r="N37" s="2683"/>
      <c r="O37" s="2684"/>
      <c r="P37" s="680"/>
      <c r="Q37" s="677"/>
      <c r="R37" s="681"/>
      <c r="S37" s="229">
        <f t="shared" si="16"/>
        <v>0</v>
      </c>
      <c r="T37" s="230">
        <f t="shared" si="17"/>
        <v>0</v>
      </c>
      <c r="U37" s="374">
        <f t="shared" si="18"/>
        <v>0</v>
      </c>
      <c r="V37" s="375">
        <f t="shared" si="19"/>
        <v>0</v>
      </c>
      <c r="W37" s="376">
        <f t="shared" si="20"/>
        <v>0</v>
      </c>
      <c r="X37" s="377">
        <f t="shared" si="21"/>
        <v>0</v>
      </c>
      <c r="Y37" s="378">
        <f t="shared" si="22"/>
        <v>0</v>
      </c>
      <c r="Z37" s="379">
        <f t="shared" si="23"/>
        <v>0</v>
      </c>
      <c r="AA37" s="380">
        <f t="shared" si="24"/>
        <v>0</v>
      </c>
      <c r="AC37" s="231"/>
      <c r="AD37" s="231"/>
      <c r="AE37" s="231"/>
      <c r="AF37" s="231"/>
      <c r="AG37" s="231"/>
      <c r="AH37" s="231"/>
      <c r="AI37" s="213"/>
      <c r="AJ37" s="213"/>
      <c r="AK37" s="213"/>
      <c r="AL37" s="213"/>
      <c r="AM37" s="213"/>
    </row>
    <row r="38" spans="1:40" ht="14" thickBot="1">
      <c r="A38" s="398"/>
      <c r="B38" s="1117" t="s">
        <v>461</v>
      </c>
      <c r="C38" s="274">
        <f t="shared" si="14"/>
        <v>2.1908757716049393E-4</v>
      </c>
      <c r="D38" s="890">
        <v>2</v>
      </c>
      <c r="E38" s="1296">
        <v>1</v>
      </c>
      <c r="F38" s="1296">
        <v>1</v>
      </c>
      <c r="G38" s="1296">
        <v>400</v>
      </c>
      <c r="H38" s="675"/>
      <c r="I38" s="675"/>
      <c r="J38" s="675">
        <v>1.3888888888888889E-3</v>
      </c>
      <c r="K38" s="1324" t="s">
        <v>703</v>
      </c>
      <c r="L38" s="1437">
        <v>0.63194444444444442</v>
      </c>
      <c r="M38" s="1430">
        <v>1.1000000000000001</v>
      </c>
      <c r="N38" s="1437">
        <v>9.5138888888888894E-3</v>
      </c>
      <c r="O38" s="1470">
        <v>4.0624999999999993E-3</v>
      </c>
      <c r="P38" s="1431">
        <v>4.0624999999999993E-3</v>
      </c>
      <c r="Q38" s="1432">
        <v>146</v>
      </c>
      <c r="R38" s="1176">
        <f t="shared" ref="R38:R48" si="43">E38*F38*G38</f>
        <v>400</v>
      </c>
      <c r="S38" s="229">
        <f t="shared" si="16"/>
        <v>0.4</v>
      </c>
      <c r="T38" s="230">
        <f t="shared" si="17"/>
        <v>1.6249999999999997E-2</v>
      </c>
      <c r="U38" s="374">
        <f t="shared" si="18"/>
        <v>0</v>
      </c>
      <c r="V38" s="375">
        <f t="shared" si="19"/>
        <v>0.4</v>
      </c>
      <c r="W38" s="376">
        <f t="shared" si="20"/>
        <v>0</v>
      </c>
      <c r="X38" s="377">
        <f t="shared" si="21"/>
        <v>0</v>
      </c>
      <c r="Y38" s="378">
        <f t="shared" si="22"/>
        <v>0</v>
      </c>
      <c r="Z38" s="379">
        <f t="shared" si="23"/>
        <v>0</v>
      </c>
      <c r="AA38" s="380">
        <f t="shared" si="24"/>
        <v>0</v>
      </c>
      <c r="AC38" s="231"/>
      <c r="AD38" s="231"/>
      <c r="AE38" s="231"/>
      <c r="AF38" s="231"/>
      <c r="AG38" s="231"/>
      <c r="AH38" s="231"/>
      <c r="AI38" s="213"/>
      <c r="AJ38" s="213"/>
      <c r="AK38" s="213"/>
      <c r="AL38" s="213"/>
      <c r="AM38" s="213"/>
    </row>
    <row r="39" spans="1:40" ht="16.25" customHeight="1" thickBot="1">
      <c r="A39" s="647"/>
      <c r="B39" s="1117" t="s">
        <v>461</v>
      </c>
      <c r="C39" s="274">
        <f t="shared" si="14"/>
        <v>2.0247664488766629E-4</v>
      </c>
      <c r="D39" s="1466">
        <v>4</v>
      </c>
      <c r="E39" s="1467">
        <v>1</v>
      </c>
      <c r="F39" s="1467">
        <v>5</v>
      </c>
      <c r="G39" s="1467">
        <v>50</v>
      </c>
      <c r="H39" s="1468" t="s">
        <v>710</v>
      </c>
      <c r="I39" s="1469">
        <v>5.2083333333333333E-4</v>
      </c>
      <c r="J39" s="1469">
        <v>1.3888888888888889E-3</v>
      </c>
      <c r="K39" s="2112" t="s">
        <v>1180</v>
      </c>
      <c r="L39" s="1469">
        <f t="shared" ref="L39:L48" si="44">L38+N38</f>
        <v>0.64145833333333335</v>
      </c>
      <c r="M39" s="1180">
        <v>1.28</v>
      </c>
      <c r="N39" s="1178">
        <f>P39*E39*F39+I39*E39*F39+J39*E39</f>
        <v>6.5847566101176844E-3</v>
      </c>
      <c r="O39" s="1196">
        <f t="shared" ref="O39:O48" si="45">C39*(G39/25)</f>
        <v>4.0495328977533258E-4</v>
      </c>
      <c r="P39" s="1181">
        <f t="shared" ref="P39:P48" si="46">O39*M39</f>
        <v>5.1834021091242571E-4</v>
      </c>
      <c r="Q39" s="334" t="s">
        <v>316</v>
      </c>
      <c r="R39" s="1177">
        <f t="shared" si="43"/>
        <v>250</v>
      </c>
      <c r="S39" s="229">
        <f t="shared" si="16"/>
        <v>0.25</v>
      </c>
      <c r="T39" s="230">
        <f t="shared" si="17"/>
        <v>8.0990657955066509E-3</v>
      </c>
      <c r="U39" s="374">
        <f t="shared" si="18"/>
        <v>0</v>
      </c>
      <c r="V39" s="375">
        <f t="shared" si="19"/>
        <v>0</v>
      </c>
      <c r="W39" s="376">
        <f t="shared" si="20"/>
        <v>0</v>
      </c>
      <c r="X39" s="377">
        <f t="shared" si="21"/>
        <v>0.25</v>
      </c>
      <c r="Y39" s="378">
        <f t="shared" si="22"/>
        <v>0</v>
      </c>
      <c r="Z39" s="379">
        <f t="shared" si="23"/>
        <v>0</v>
      </c>
      <c r="AA39" s="380">
        <f t="shared" si="24"/>
        <v>0</v>
      </c>
      <c r="AC39" s="231"/>
      <c r="AD39" s="231"/>
      <c r="AE39" s="231"/>
      <c r="AF39" s="231"/>
      <c r="AG39" s="231"/>
      <c r="AH39" s="231"/>
      <c r="AI39" s="213"/>
      <c r="AJ39" s="213"/>
      <c r="AK39" s="213"/>
      <c r="AL39" s="213"/>
      <c r="AM39" s="213"/>
    </row>
    <row r="40" spans="1:40" ht="15" customHeight="1" thickBot="1">
      <c r="A40" s="398" t="s">
        <v>215</v>
      </c>
      <c r="B40" s="1117" t="s">
        <v>461</v>
      </c>
      <c r="C40" s="274">
        <f t="shared" si="14"/>
        <v>2.1908757716049393E-4</v>
      </c>
      <c r="D40" s="1471">
        <v>2</v>
      </c>
      <c r="E40" s="1472">
        <v>1</v>
      </c>
      <c r="F40" s="1472">
        <v>1</v>
      </c>
      <c r="G40" s="1472">
        <v>200</v>
      </c>
      <c r="H40" s="1473" t="s">
        <v>713</v>
      </c>
      <c r="I40" s="1437">
        <v>1.1574074074074073E-4</v>
      </c>
      <c r="J40" s="1437">
        <v>6.9444444444444447E-4</v>
      </c>
      <c r="K40" s="1474" t="s">
        <v>1181</v>
      </c>
      <c r="L40" s="1437">
        <f t="shared" si="44"/>
        <v>0.64804308994345106</v>
      </c>
      <c r="M40" s="1174">
        <v>1.28</v>
      </c>
      <c r="N40" s="299">
        <f t="shared" ref="N40:N48" si="47">P40*E40*F40+I40*E40*F40+J40*E40</f>
        <v>3.0536419753086435E-3</v>
      </c>
      <c r="O40" s="1196">
        <f t="shared" si="45"/>
        <v>1.7527006172839514E-3</v>
      </c>
      <c r="P40" s="1175">
        <f t="shared" si="46"/>
        <v>2.243456790123458E-3</v>
      </c>
      <c r="Q40" s="550">
        <v>146</v>
      </c>
      <c r="R40" s="1176">
        <f t="shared" si="43"/>
        <v>200</v>
      </c>
      <c r="S40" s="229">
        <f t="shared" si="16"/>
        <v>0.2</v>
      </c>
      <c r="T40" s="230">
        <f t="shared" si="17"/>
        <v>7.0108024691358057E-3</v>
      </c>
      <c r="U40" s="374">
        <f t="shared" si="18"/>
        <v>0</v>
      </c>
      <c r="V40" s="375">
        <f t="shared" si="19"/>
        <v>0.2</v>
      </c>
      <c r="W40" s="376">
        <f t="shared" si="20"/>
        <v>0</v>
      </c>
      <c r="X40" s="377">
        <f t="shared" si="21"/>
        <v>0</v>
      </c>
      <c r="Y40" s="378">
        <f t="shared" si="22"/>
        <v>0</v>
      </c>
      <c r="Z40" s="379">
        <f t="shared" si="23"/>
        <v>0</v>
      </c>
      <c r="AA40" s="380">
        <f t="shared" si="24"/>
        <v>0</v>
      </c>
      <c r="AC40" s="231"/>
      <c r="AD40" s="231"/>
      <c r="AE40" s="231"/>
      <c r="AF40" s="231"/>
      <c r="AG40" s="231"/>
      <c r="AH40" s="231"/>
      <c r="AI40" s="213"/>
      <c r="AJ40" s="213"/>
      <c r="AK40" s="213"/>
      <c r="AL40" s="213"/>
      <c r="AM40" s="213"/>
      <c r="AN40" s="204"/>
    </row>
    <row r="41" spans="1:40" ht="14" thickBot="1">
      <c r="A41" s="398" t="s">
        <v>139</v>
      </c>
      <c r="B41" s="1117" t="s">
        <v>461</v>
      </c>
      <c r="C41" s="274">
        <f t="shared" si="14"/>
        <v>1.8229166666666673E-4</v>
      </c>
      <c r="D41" s="895">
        <v>6</v>
      </c>
      <c r="E41" s="2116">
        <v>1</v>
      </c>
      <c r="F41" s="2116">
        <v>4</v>
      </c>
      <c r="G41" s="2116">
        <v>50</v>
      </c>
      <c r="H41" s="2117" t="s">
        <v>20</v>
      </c>
      <c r="I41" s="1053">
        <v>9.2592592592592585E-4</v>
      </c>
      <c r="J41" s="1053">
        <v>1.736111111111111E-3</v>
      </c>
      <c r="K41" s="1065" t="s">
        <v>1172</v>
      </c>
      <c r="L41" s="2118">
        <f t="shared" si="44"/>
        <v>0.65109673191875972</v>
      </c>
      <c r="M41" s="2119">
        <v>1.28</v>
      </c>
      <c r="N41" s="1053">
        <f t="shared" si="47"/>
        <v>7.3064814814814815E-3</v>
      </c>
      <c r="O41" s="368">
        <f t="shared" si="45"/>
        <v>3.6458333333333346E-4</v>
      </c>
      <c r="P41" s="586">
        <f t="shared" si="46"/>
        <v>4.6666666666666682E-4</v>
      </c>
      <c r="Q41" s="2120">
        <v>164</v>
      </c>
      <c r="R41" s="2116">
        <f t="shared" si="43"/>
        <v>200</v>
      </c>
      <c r="S41" s="229">
        <f t="shared" si="16"/>
        <v>0.2</v>
      </c>
      <c r="T41" s="230">
        <f t="shared" si="17"/>
        <v>5.8333333333333353E-3</v>
      </c>
      <c r="U41" s="374">
        <f t="shared" si="18"/>
        <v>0</v>
      </c>
      <c r="V41" s="375">
        <f t="shared" si="19"/>
        <v>0</v>
      </c>
      <c r="W41" s="376">
        <f t="shared" si="20"/>
        <v>0</v>
      </c>
      <c r="X41" s="377">
        <f t="shared" si="21"/>
        <v>0</v>
      </c>
      <c r="Y41" s="378">
        <f t="shared" si="22"/>
        <v>0</v>
      </c>
      <c r="Z41" s="379">
        <f t="shared" si="23"/>
        <v>0.2</v>
      </c>
      <c r="AA41" s="380">
        <f t="shared" si="24"/>
        <v>0</v>
      </c>
      <c r="AC41" s="231"/>
      <c r="AD41" s="231"/>
      <c r="AE41" s="231"/>
      <c r="AF41" s="231"/>
      <c r="AG41" s="231"/>
      <c r="AH41" s="231"/>
      <c r="AI41" s="213"/>
      <c r="AJ41" s="213"/>
      <c r="AK41" s="213"/>
      <c r="AL41" s="213"/>
      <c r="AM41" s="213"/>
      <c r="AN41" s="204"/>
    </row>
    <row r="42" spans="1:40" ht="14" thickBot="1">
      <c r="A42" s="398" t="s">
        <v>458</v>
      </c>
      <c r="B42" s="1117" t="s">
        <v>461</v>
      </c>
      <c r="C42" s="274">
        <f t="shared" si="14"/>
        <v>2.1908757716049393E-4</v>
      </c>
      <c r="D42" s="1471">
        <v>2</v>
      </c>
      <c r="E42" s="1474">
        <v>1</v>
      </c>
      <c r="F42" s="1474">
        <v>1</v>
      </c>
      <c r="G42" s="1474">
        <v>200</v>
      </c>
      <c r="H42" s="1438" t="s">
        <v>218</v>
      </c>
      <c r="I42" s="2126">
        <v>1.1574074074074073E-4</v>
      </c>
      <c r="J42" s="2126">
        <v>6.9444444444444447E-4</v>
      </c>
      <c r="K42" s="1474" t="s">
        <v>1170</v>
      </c>
      <c r="L42" s="2126">
        <f t="shared" si="44"/>
        <v>0.65840321340024122</v>
      </c>
      <c r="M42" s="2127">
        <v>1.28</v>
      </c>
      <c r="N42" s="2128">
        <f t="shared" si="47"/>
        <v>3.0536419753086435E-3</v>
      </c>
      <c r="O42" s="1196">
        <f t="shared" si="45"/>
        <v>1.7527006172839514E-3</v>
      </c>
      <c r="P42" s="1175">
        <f t="shared" si="46"/>
        <v>2.243456790123458E-3</v>
      </c>
      <c r="Q42" s="550">
        <v>146</v>
      </c>
      <c r="R42" s="2129">
        <f t="shared" si="43"/>
        <v>200</v>
      </c>
      <c r="S42" s="229">
        <f t="shared" si="16"/>
        <v>0.2</v>
      </c>
      <c r="T42" s="230">
        <f t="shared" si="17"/>
        <v>7.0108024691358057E-3</v>
      </c>
      <c r="U42" s="374">
        <f t="shared" si="18"/>
        <v>0</v>
      </c>
      <c r="V42" s="375">
        <f t="shared" si="19"/>
        <v>0.2</v>
      </c>
      <c r="W42" s="376">
        <f t="shared" si="20"/>
        <v>0</v>
      </c>
      <c r="X42" s="377">
        <f t="shared" si="21"/>
        <v>0</v>
      </c>
      <c r="Y42" s="378">
        <f t="shared" si="22"/>
        <v>0</v>
      </c>
      <c r="Z42" s="379">
        <f t="shared" si="23"/>
        <v>0</v>
      </c>
      <c r="AA42" s="380">
        <f t="shared" si="24"/>
        <v>0</v>
      </c>
      <c r="AC42" s="231"/>
      <c r="AD42" s="231"/>
      <c r="AE42" s="231"/>
      <c r="AF42" s="231"/>
      <c r="AG42" s="231"/>
      <c r="AH42" s="231"/>
      <c r="AI42" s="213"/>
      <c r="AJ42" s="213"/>
      <c r="AK42" s="213"/>
      <c r="AL42" s="213"/>
      <c r="AM42" s="213"/>
      <c r="AN42" s="204"/>
    </row>
    <row r="43" spans="1:40" ht="14" thickBot="1">
      <c r="A43" s="398" t="s">
        <v>462</v>
      </c>
      <c r="B43" s="4337">
        <v>2</v>
      </c>
      <c r="C43" s="274">
        <f t="shared" si="14"/>
        <v>1.8229166666666673E-4</v>
      </c>
      <c r="D43" s="895">
        <v>6</v>
      </c>
      <c r="E43" s="2116">
        <v>1</v>
      </c>
      <c r="F43" s="2116">
        <v>4</v>
      </c>
      <c r="G43" s="2116">
        <v>50</v>
      </c>
      <c r="H43" s="2117" t="s">
        <v>20</v>
      </c>
      <c r="I43" s="1053">
        <v>9.2592592592592585E-4</v>
      </c>
      <c r="J43" s="1053">
        <v>1.736111111111111E-3</v>
      </c>
      <c r="K43" s="1065" t="s">
        <v>1182</v>
      </c>
      <c r="L43" s="2118">
        <f t="shared" si="44"/>
        <v>0.66145685537554988</v>
      </c>
      <c r="M43" s="2119">
        <v>1.28</v>
      </c>
      <c r="N43" s="1053">
        <f t="shared" si="47"/>
        <v>7.3064814814814815E-3</v>
      </c>
      <c r="O43" s="368">
        <f t="shared" si="45"/>
        <v>3.6458333333333346E-4</v>
      </c>
      <c r="P43" s="586">
        <f t="shared" si="46"/>
        <v>4.6666666666666682E-4</v>
      </c>
      <c r="Q43" s="2120">
        <v>165</v>
      </c>
      <c r="R43" s="2116">
        <f t="shared" si="43"/>
        <v>200</v>
      </c>
      <c r="S43" s="229">
        <f t="shared" si="16"/>
        <v>0.2</v>
      </c>
      <c r="T43" s="230">
        <f t="shared" si="17"/>
        <v>5.8333333333333353E-3</v>
      </c>
      <c r="U43" s="374">
        <f t="shared" si="18"/>
        <v>0</v>
      </c>
      <c r="V43" s="375">
        <f t="shared" si="19"/>
        <v>0</v>
      </c>
      <c r="W43" s="376">
        <f t="shared" si="20"/>
        <v>0</v>
      </c>
      <c r="X43" s="377">
        <f t="shared" si="21"/>
        <v>0</v>
      </c>
      <c r="Y43" s="378">
        <f t="shared" si="22"/>
        <v>0</v>
      </c>
      <c r="Z43" s="379">
        <f t="shared" si="23"/>
        <v>0.2</v>
      </c>
      <c r="AA43" s="380">
        <f t="shared" si="24"/>
        <v>0</v>
      </c>
      <c r="AC43" s="231"/>
      <c r="AD43" s="231"/>
      <c r="AE43" s="231"/>
      <c r="AF43" s="231"/>
      <c r="AG43" s="231"/>
      <c r="AH43" s="231"/>
      <c r="AI43" s="213"/>
      <c r="AJ43" s="213"/>
      <c r="AK43" s="213"/>
      <c r="AL43" s="213"/>
      <c r="AM43" s="213"/>
      <c r="AN43" s="204"/>
    </row>
    <row r="44" spans="1:40" ht="14" thickBot="1">
      <c r="A44" s="398" t="s">
        <v>140</v>
      </c>
      <c r="B44" s="4337">
        <v>8</v>
      </c>
      <c r="C44" s="274">
        <f t="shared" si="14"/>
        <v>2.1908757716049393E-4</v>
      </c>
      <c r="D44" s="1471">
        <v>2</v>
      </c>
      <c r="E44" s="1472">
        <v>1</v>
      </c>
      <c r="F44" s="1472">
        <v>1</v>
      </c>
      <c r="G44" s="1472">
        <v>400</v>
      </c>
      <c r="H44" s="1473" t="s">
        <v>218</v>
      </c>
      <c r="I44" s="1437">
        <v>1.1574074074074073E-4</v>
      </c>
      <c r="J44" s="1437">
        <v>6.9444444444444447E-4</v>
      </c>
      <c r="K44" s="1474" t="s">
        <v>1173</v>
      </c>
      <c r="L44" s="1437">
        <f t="shared" si="44"/>
        <v>0.66876333685703138</v>
      </c>
      <c r="M44" s="1174">
        <v>1.28</v>
      </c>
      <c r="N44" s="299">
        <f t="shared" si="47"/>
        <v>5.2970987654321015E-3</v>
      </c>
      <c r="O44" s="1196">
        <f t="shared" si="45"/>
        <v>3.5054012345679029E-3</v>
      </c>
      <c r="P44" s="1175">
        <f t="shared" si="46"/>
        <v>4.486913580246916E-3</v>
      </c>
      <c r="Q44" s="550">
        <v>146</v>
      </c>
      <c r="R44" s="1176">
        <f t="shared" si="43"/>
        <v>400</v>
      </c>
      <c r="S44" s="229">
        <f t="shared" si="16"/>
        <v>0.4</v>
      </c>
      <c r="T44" s="230">
        <f t="shared" si="17"/>
        <v>1.4021604938271611E-2</v>
      </c>
      <c r="U44" s="374">
        <f t="shared" si="18"/>
        <v>0</v>
      </c>
      <c r="V44" s="375">
        <f t="shared" si="19"/>
        <v>0.4</v>
      </c>
      <c r="W44" s="376">
        <f t="shared" si="20"/>
        <v>0</v>
      </c>
      <c r="X44" s="377">
        <f t="shared" si="21"/>
        <v>0</v>
      </c>
      <c r="Y44" s="378">
        <f t="shared" si="22"/>
        <v>0</v>
      </c>
      <c r="Z44" s="379">
        <f t="shared" si="23"/>
        <v>0</v>
      </c>
      <c r="AA44" s="380">
        <f t="shared" si="24"/>
        <v>0</v>
      </c>
      <c r="AC44" s="231"/>
      <c r="AD44" s="231"/>
      <c r="AE44" s="231"/>
      <c r="AF44" s="231"/>
      <c r="AG44" s="231"/>
      <c r="AH44" s="231"/>
      <c r="AI44" s="213"/>
      <c r="AJ44" s="213"/>
      <c r="AK44" s="213"/>
      <c r="AL44" s="213"/>
      <c r="AM44" s="213"/>
      <c r="AN44" s="204"/>
    </row>
    <row r="45" spans="1:40" ht="14" thickBot="1">
      <c r="A45" s="398" t="s">
        <v>37</v>
      </c>
      <c r="B45" s="1117" t="s">
        <v>461</v>
      </c>
      <c r="C45" s="274">
        <f t="shared" si="14"/>
        <v>1.8933937422552669E-4</v>
      </c>
      <c r="D45" s="1433">
        <v>5</v>
      </c>
      <c r="E45" s="1434">
        <v>2</v>
      </c>
      <c r="F45" s="1435">
        <v>1</v>
      </c>
      <c r="G45" s="1435">
        <v>75</v>
      </c>
      <c r="H45" s="1475" t="s">
        <v>944</v>
      </c>
      <c r="I45" s="1436">
        <v>5.7870370370370366E-5</v>
      </c>
      <c r="J45" s="1436">
        <v>1.3888888888888889E-3</v>
      </c>
      <c r="K45" s="1330" t="s">
        <v>1183</v>
      </c>
      <c r="L45" s="1476">
        <f t="shared" si="44"/>
        <v>0.67406043562246343</v>
      </c>
      <c r="M45" s="1256">
        <v>1.28</v>
      </c>
      <c r="N45" s="1250">
        <f t="shared" si="47"/>
        <v>4.3476449125705637E-3</v>
      </c>
      <c r="O45" s="1253">
        <f t="shared" si="45"/>
        <v>5.6801812267658004E-4</v>
      </c>
      <c r="P45" s="1254">
        <f t="shared" si="46"/>
        <v>7.2706319702602247E-4</v>
      </c>
      <c r="Q45" s="1255" t="s">
        <v>278</v>
      </c>
      <c r="R45" s="1249">
        <f t="shared" si="43"/>
        <v>150</v>
      </c>
      <c r="S45" s="229">
        <f t="shared" si="16"/>
        <v>0.15</v>
      </c>
      <c r="T45" s="230">
        <f t="shared" si="17"/>
        <v>4.5441449814126404E-3</v>
      </c>
      <c r="U45" s="374">
        <f t="shared" si="18"/>
        <v>0</v>
      </c>
      <c r="V45" s="375">
        <f t="shared" si="19"/>
        <v>0</v>
      </c>
      <c r="W45" s="376">
        <f t="shared" si="20"/>
        <v>0</v>
      </c>
      <c r="X45" s="377">
        <f t="shared" si="21"/>
        <v>0</v>
      </c>
      <c r="Y45" s="378">
        <f t="shared" si="22"/>
        <v>0.15</v>
      </c>
      <c r="Z45" s="379">
        <f t="shared" si="23"/>
        <v>0</v>
      </c>
      <c r="AA45" s="380">
        <f t="shared" si="24"/>
        <v>0</v>
      </c>
      <c r="AC45" s="231"/>
      <c r="AD45" s="231"/>
      <c r="AE45" s="231"/>
      <c r="AF45" s="231"/>
      <c r="AG45" s="231"/>
      <c r="AH45" s="231"/>
      <c r="AI45" s="213"/>
      <c r="AJ45" s="213"/>
      <c r="AK45" s="213"/>
      <c r="AL45" s="213"/>
      <c r="AM45" s="213"/>
      <c r="AN45" s="204"/>
    </row>
    <row r="46" spans="1:40" ht="14" thickBot="1">
      <c r="A46" s="398" t="s">
        <v>214</v>
      </c>
      <c r="B46" s="1117" t="s">
        <v>461</v>
      </c>
      <c r="C46" s="274">
        <f t="shared" si="14"/>
        <v>2.1908757716049393E-4</v>
      </c>
      <c r="D46" s="1471">
        <v>2</v>
      </c>
      <c r="E46" s="1472">
        <v>1</v>
      </c>
      <c r="F46" s="1472">
        <v>1</v>
      </c>
      <c r="G46" s="1472">
        <v>200</v>
      </c>
      <c r="H46" s="1473" t="s">
        <v>218</v>
      </c>
      <c r="I46" s="1437">
        <v>1.1574074074074073E-4</v>
      </c>
      <c r="J46" s="1437">
        <v>6.9444444444444447E-4</v>
      </c>
      <c r="K46" s="1474" t="s">
        <v>1169</v>
      </c>
      <c r="L46" s="1437">
        <f t="shared" si="44"/>
        <v>0.67840808053503399</v>
      </c>
      <c r="M46" s="1174">
        <v>1.28</v>
      </c>
      <c r="N46" s="299">
        <f t="shared" si="47"/>
        <v>3.0536419753086435E-3</v>
      </c>
      <c r="O46" s="1196">
        <f t="shared" si="45"/>
        <v>1.7527006172839514E-3</v>
      </c>
      <c r="P46" s="1175">
        <f t="shared" si="46"/>
        <v>2.243456790123458E-3</v>
      </c>
      <c r="Q46" s="550">
        <v>146</v>
      </c>
      <c r="R46" s="1176">
        <f t="shared" si="43"/>
        <v>200</v>
      </c>
      <c r="S46" s="229">
        <f t="shared" si="16"/>
        <v>0.2</v>
      </c>
      <c r="T46" s="230">
        <f t="shared" si="17"/>
        <v>7.0108024691358057E-3</v>
      </c>
      <c r="U46" s="374">
        <f t="shared" si="18"/>
        <v>0</v>
      </c>
      <c r="V46" s="375">
        <f t="shared" si="19"/>
        <v>0.2</v>
      </c>
      <c r="W46" s="376">
        <f t="shared" si="20"/>
        <v>0</v>
      </c>
      <c r="X46" s="377">
        <f t="shared" si="21"/>
        <v>0</v>
      </c>
      <c r="Y46" s="378">
        <f t="shared" si="22"/>
        <v>0</v>
      </c>
      <c r="Z46" s="379">
        <f t="shared" si="23"/>
        <v>0</v>
      </c>
      <c r="AA46" s="380">
        <f t="shared" si="24"/>
        <v>0</v>
      </c>
      <c r="AC46" s="231"/>
      <c r="AD46" s="231"/>
      <c r="AE46" s="231"/>
      <c r="AF46" s="231"/>
      <c r="AG46" s="231"/>
      <c r="AH46" s="231"/>
      <c r="AI46" s="213"/>
      <c r="AJ46" s="213"/>
      <c r="AK46" s="213"/>
      <c r="AL46" s="213"/>
      <c r="AM46" s="213"/>
      <c r="AN46" s="204"/>
    </row>
    <row r="47" spans="1:40" ht="14" customHeight="1" thickBot="1">
      <c r="A47" s="398" t="s">
        <v>458</v>
      </c>
      <c r="B47" s="1117" t="s">
        <v>461</v>
      </c>
      <c r="C47" s="274">
        <f t="shared" si="14"/>
        <v>1.8933937422552669E-4</v>
      </c>
      <c r="D47" s="1433">
        <v>5</v>
      </c>
      <c r="E47" s="1434">
        <v>2</v>
      </c>
      <c r="F47" s="1435">
        <v>1</v>
      </c>
      <c r="G47" s="1435">
        <v>75</v>
      </c>
      <c r="H47" s="1475" t="s">
        <v>944</v>
      </c>
      <c r="I47" s="1436">
        <v>5.7870370370370366E-5</v>
      </c>
      <c r="J47" s="1436">
        <v>1.3888888888888889E-3</v>
      </c>
      <c r="K47" s="1330" t="s">
        <v>1184</v>
      </c>
      <c r="L47" s="1476">
        <f t="shared" si="44"/>
        <v>0.68146172251034265</v>
      </c>
      <c r="M47" s="1256">
        <v>1.28</v>
      </c>
      <c r="N47" s="1250">
        <f t="shared" si="47"/>
        <v>4.3476449125705637E-3</v>
      </c>
      <c r="O47" s="1253">
        <f t="shared" si="45"/>
        <v>5.6801812267658004E-4</v>
      </c>
      <c r="P47" s="1254">
        <f t="shared" si="46"/>
        <v>7.2706319702602247E-4</v>
      </c>
      <c r="Q47" s="1255" t="s">
        <v>278</v>
      </c>
      <c r="R47" s="1249">
        <f t="shared" si="43"/>
        <v>150</v>
      </c>
      <c r="S47" s="229">
        <f t="shared" si="16"/>
        <v>0.15</v>
      </c>
      <c r="T47" s="230">
        <f t="shared" si="17"/>
        <v>4.5441449814126404E-3</v>
      </c>
      <c r="U47" s="374">
        <f t="shared" si="18"/>
        <v>0</v>
      </c>
      <c r="V47" s="375">
        <f t="shared" si="19"/>
        <v>0</v>
      </c>
      <c r="W47" s="376">
        <f t="shared" si="20"/>
        <v>0</v>
      </c>
      <c r="X47" s="377">
        <f t="shared" si="21"/>
        <v>0</v>
      </c>
      <c r="Y47" s="378">
        <f t="shared" si="22"/>
        <v>0.15</v>
      </c>
      <c r="Z47" s="379">
        <f t="shared" si="23"/>
        <v>0</v>
      </c>
      <c r="AA47" s="380">
        <f t="shared" si="24"/>
        <v>0</v>
      </c>
      <c r="AC47" s="231"/>
      <c r="AD47" s="231"/>
      <c r="AE47" s="231"/>
      <c r="AF47" s="231"/>
      <c r="AG47" s="231"/>
      <c r="AH47" s="231"/>
      <c r="AI47" s="213"/>
      <c r="AJ47" s="213"/>
      <c r="AK47" s="213"/>
      <c r="AL47" s="213"/>
      <c r="AM47" s="213"/>
      <c r="AN47" s="204"/>
    </row>
    <row r="48" spans="1:40" ht="14" customHeight="1" thickBot="1">
      <c r="A48" s="398" t="s">
        <v>219</v>
      </c>
      <c r="B48" s="402" t="s">
        <v>461</v>
      </c>
      <c r="C48" s="274">
        <f t="shared" si="14"/>
        <v>2.1908757716049393E-4</v>
      </c>
      <c r="D48" s="890">
        <v>2</v>
      </c>
      <c r="E48" s="1296">
        <v>1</v>
      </c>
      <c r="F48" s="1296">
        <v>1</v>
      </c>
      <c r="G48" s="1296">
        <v>400</v>
      </c>
      <c r="H48" s="675"/>
      <c r="I48" s="675"/>
      <c r="J48" s="675">
        <v>1.3888888888888889E-3</v>
      </c>
      <c r="K48" s="1324" t="s">
        <v>703</v>
      </c>
      <c r="L48" s="1437">
        <f t="shared" si="44"/>
        <v>0.68580936742291321</v>
      </c>
      <c r="M48" s="1174">
        <v>1.28</v>
      </c>
      <c r="N48" s="299">
        <f t="shared" si="47"/>
        <v>5.8758024691358051E-3</v>
      </c>
      <c r="O48" s="1196">
        <f t="shared" si="45"/>
        <v>3.5054012345679029E-3</v>
      </c>
      <c r="P48" s="1175">
        <f t="shared" si="46"/>
        <v>4.486913580246916E-3</v>
      </c>
      <c r="Q48" s="550">
        <v>146</v>
      </c>
      <c r="R48" s="1176">
        <f t="shared" si="43"/>
        <v>400</v>
      </c>
      <c r="S48" s="229">
        <f t="shared" si="16"/>
        <v>0.4</v>
      </c>
      <c r="T48" s="230">
        <f t="shared" si="17"/>
        <v>1.4021604938271611E-2</v>
      </c>
      <c r="U48" s="374">
        <f t="shared" si="18"/>
        <v>0</v>
      </c>
      <c r="V48" s="375">
        <f t="shared" si="19"/>
        <v>0.4</v>
      </c>
      <c r="W48" s="376">
        <f t="shared" si="20"/>
        <v>0</v>
      </c>
      <c r="X48" s="377">
        <f t="shared" si="21"/>
        <v>0</v>
      </c>
      <c r="Y48" s="378">
        <f t="shared" si="22"/>
        <v>0</v>
      </c>
      <c r="Z48" s="379">
        <f t="shared" si="23"/>
        <v>0</v>
      </c>
      <c r="AA48" s="380">
        <f t="shared" si="24"/>
        <v>0</v>
      </c>
      <c r="AC48" s="231"/>
      <c r="AD48" s="231"/>
      <c r="AE48" s="231"/>
      <c r="AF48" s="231"/>
      <c r="AG48" s="231"/>
      <c r="AH48" s="231"/>
      <c r="AI48" s="213"/>
      <c r="AJ48" s="213"/>
      <c r="AK48" s="213"/>
      <c r="AL48" s="213"/>
      <c r="AM48" s="213"/>
      <c r="AN48" s="204"/>
    </row>
    <row r="49" spans="1:40" ht="14" customHeight="1">
      <c r="A49" s="398"/>
      <c r="B49" s="402"/>
      <c r="C49" s="274">
        <f t="shared" si="14"/>
        <v>0</v>
      </c>
      <c r="D49" s="1481"/>
      <c r="E49" s="1482"/>
      <c r="F49" s="1482"/>
      <c r="G49" s="1482"/>
      <c r="H49" s="1483"/>
      <c r="I49" s="1483"/>
      <c r="J49" s="1483"/>
      <c r="K49" s="1484"/>
      <c r="L49" s="1485"/>
      <c r="M49" s="1478">
        <v>1.28</v>
      </c>
      <c r="N49" s="1477"/>
      <c r="O49" s="1325">
        <v>0</v>
      </c>
      <c r="P49" s="1325"/>
      <c r="Q49" s="1325"/>
      <c r="R49" s="1479">
        <f>SUM(R38:R48)</f>
        <v>2750</v>
      </c>
      <c r="S49" s="229">
        <f t="shared" si="16"/>
        <v>0</v>
      </c>
      <c r="T49" s="230">
        <f t="shared" si="17"/>
        <v>0</v>
      </c>
      <c r="U49" s="374">
        <f t="shared" si="18"/>
        <v>0</v>
      </c>
      <c r="V49" s="375">
        <f t="shared" si="19"/>
        <v>0</v>
      </c>
      <c r="W49" s="376">
        <f t="shared" si="20"/>
        <v>0</v>
      </c>
      <c r="X49" s="377">
        <f t="shared" si="21"/>
        <v>0</v>
      </c>
      <c r="Y49" s="378">
        <f t="shared" si="22"/>
        <v>0</v>
      </c>
      <c r="Z49" s="379">
        <f t="shared" si="23"/>
        <v>0</v>
      </c>
      <c r="AA49" s="380">
        <f t="shared" si="24"/>
        <v>0</v>
      </c>
      <c r="AC49" s="231"/>
      <c r="AD49" s="231"/>
      <c r="AE49" s="231"/>
      <c r="AF49" s="231"/>
      <c r="AG49" s="231"/>
      <c r="AH49" s="231"/>
      <c r="AI49" s="213"/>
      <c r="AJ49" s="213"/>
      <c r="AK49" s="213"/>
      <c r="AL49" s="213"/>
      <c r="AM49" s="213"/>
      <c r="AN49" s="204"/>
    </row>
    <row r="50" spans="1:40" ht="14" customHeight="1">
      <c r="A50" s="2889"/>
      <c r="B50" s="2896"/>
      <c r="C50" s="274">
        <f t="shared" si="14"/>
        <v>0</v>
      </c>
      <c r="D50" s="2181"/>
      <c r="E50" s="2902" t="s">
        <v>362</v>
      </c>
      <c r="F50" s="343" t="s">
        <v>363</v>
      </c>
      <c r="G50" s="343" t="s">
        <v>364</v>
      </c>
      <c r="H50" s="343"/>
      <c r="I50" s="343" t="s">
        <v>365</v>
      </c>
      <c r="J50" s="343" t="s">
        <v>366</v>
      </c>
      <c r="K50" s="343" t="s">
        <v>367</v>
      </c>
      <c r="L50" s="343"/>
      <c r="M50" s="2903"/>
      <c r="N50" s="2903" t="s">
        <v>368</v>
      </c>
      <c r="O50" s="2903" t="e">
        <f t="shared" ref="O50:O75" si="48">C50*(G50/25)</f>
        <v>#VALUE!</v>
      </c>
      <c r="P50" s="2904" t="s">
        <v>262</v>
      </c>
      <c r="Q50" s="2905" t="s">
        <v>370</v>
      </c>
      <c r="R50" s="2906" t="s">
        <v>476</v>
      </c>
      <c r="S50" s="229" t="e">
        <f t="shared" si="16"/>
        <v>#VALUE!</v>
      </c>
      <c r="T50" s="230" t="e">
        <f t="shared" si="17"/>
        <v>#VALUE!</v>
      </c>
      <c r="U50" s="374">
        <f t="shared" si="18"/>
        <v>0</v>
      </c>
      <c r="V50" s="375">
        <f t="shared" si="19"/>
        <v>0</v>
      </c>
      <c r="W50" s="376">
        <f t="shared" si="20"/>
        <v>0</v>
      </c>
      <c r="X50" s="377">
        <f t="shared" si="21"/>
        <v>0</v>
      </c>
      <c r="Y50" s="378">
        <f t="shared" si="22"/>
        <v>0</v>
      </c>
      <c r="Z50" s="379">
        <f t="shared" si="23"/>
        <v>0</v>
      </c>
      <c r="AA50" s="380">
        <f t="shared" si="24"/>
        <v>0</v>
      </c>
      <c r="AC50" s="231"/>
      <c r="AD50" s="231"/>
      <c r="AE50" s="231"/>
      <c r="AF50" s="231"/>
      <c r="AG50" s="231"/>
      <c r="AH50" s="231"/>
      <c r="AI50" s="213"/>
      <c r="AJ50" s="213"/>
      <c r="AK50" s="213"/>
      <c r="AL50" s="213"/>
      <c r="AM50" s="213"/>
      <c r="AN50" s="204"/>
    </row>
    <row r="51" spans="1:40" ht="11" customHeight="1">
      <c r="A51" s="2889" t="s">
        <v>217</v>
      </c>
      <c r="B51" s="2896" t="s">
        <v>461</v>
      </c>
      <c r="C51" s="274">
        <f t="shared" si="14"/>
        <v>2.1908757716049393E-4</v>
      </c>
      <c r="D51" s="2907">
        <v>2</v>
      </c>
      <c r="E51" s="2908">
        <v>1</v>
      </c>
      <c r="F51" s="2908">
        <v>40</v>
      </c>
      <c r="G51" s="2908">
        <v>25</v>
      </c>
      <c r="H51" s="2908"/>
      <c r="I51" s="2909">
        <v>5.7870370370370366E-5</v>
      </c>
      <c r="J51" s="2909">
        <v>1.3888888888888889E-3</v>
      </c>
      <c r="K51" s="2908" t="s">
        <v>263</v>
      </c>
      <c r="L51" s="2910"/>
      <c r="M51" s="2908">
        <v>1</v>
      </c>
      <c r="N51" s="2909">
        <f>P51*E51*F51+I51*E51*F51+J51*E51</f>
        <v>1.2467206790123461E-2</v>
      </c>
      <c r="O51" s="2909">
        <f t="shared" si="48"/>
        <v>2.1908757716049393E-4</v>
      </c>
      <c r="P51" s="2909">
        <f>O51*M51</f>
        <v>2.1908757716049393E-4</v>
      </c>
      <c r="Q51" s="2911">
        <v>129</v>
      </c>
      <c r="R51" s="2912">
        <f>E51*F51*G51</f>
        <v>1000</v>
      </c>
      <c r="S51" s="229">
        <f t="shared" si="16"/>
        <v>1</v>
      </c>
      <c r="T51" s="230">
        <f t="shared" si="17"/>
        <v>3.505401234567903E-2</v>
      </c>
      <c r="U51" s="374">
        <f t="shared" si="18"/>
        <v>0</v>
      </c>
      <c r="V51" s="375">
        <f t="shared" si="19"/>
        <v>1</v>
      </c>
      <c r="W51" s="376">
        <f t="shared" si="20"/>
        <v>0</v>
      </c>
      <c r="X51" s="377">
        <f t="shared" si="21"/>
        <v>0</v>
      </c>
      <c r="Y51" s="378">
        <f t="shared" si="22"/>
        <v>0</v>
      </c>
      <c r="Z51" s="379">
        <f t="shared" si="23"/>
        <v>0</v>
      </c>
      <c r="AA51" s="380">
        <f t="shared" si="24"/>
        <v>0</v>
      </c>
      <c r="AC51" s="231"/>
      <c r="AD51" s="231"/>
      <c r="AE51" s="231"/>
      <c r="AF51" s="231"/>
      <c r="AG51" s="231"/>
      <c r="AH51" s="231"/>
      <c r="AI51" s="213"/>
      <c r="AJ51" s="213"/>
      <c r="AK51" s="213"/>
      <c r="AL51" s="213"/>
      <c r="AM51" s="213"/>
      <c r="AN51" s="204"/>
    </row>
    <row r="52" spans="1:40" ht="14" customHeight="1">
      <c r="A52" s="2889" t="s">
        <v>459</v>
      </c>
      <c r="B52" s="2896" t="s">
        <v>461</v>
      </c>
      <c r="C52" s="274">
        <f t="shared" si="14"/>
        <v>1.7682291666666674E-4</v>
      </c>
      <c r="D52" s="2915">
        <v>7</v>
      </c>
      <c r="E52" s="2916">
        <v>2</v>
      </c>
      <c r="F52" s="2916">
        <v>4</v>
      </c>
      <c r="G52" s="2916">
        <v>7.5</v>
      </c>
      <c r="H52" s="2916"/>
      <c r="I52" s="2917">
        <v>3.4722222222222224E-4</v>
      </c>
      <c r="J52" s="2917">
        <v>2.0833333333333333E-3</v>
      </c>
      <c r="K52" s="2918" t="s">
        <v>264</v>
      </c>
      <c r="L52" s="2919"/>
      <c r="M52" s="2920">
        <v>1</v>
      </c>
      <c r="N52" s="2917">
        <f>P52*E52*F52+I52*E52*F52+J52*E52</f>
        <v>7.3688194444444452E-3</v>
      </c>
      <c r="O52" s="2917">
        <f t="shared" si="48"/>
        <v>5.3046875000000021E-5</v>
      </c>
      <c r="P52" s="2917">
        <f>O52*M52</f>
        <v>5.3046875000000021E-5</v>
      </c>
      <c r="Q52" s="2921">
        <v>129</v>
      </c>
      <c r="R52" s="2922">
        <f>E52*F52*G52</f>
        <v>60</v>
      </c>
      <c r="S52" s="229">
        <f t="shared" si="16"/>
        <v>0.06</v>
      </c>
      <c r="T52" s="230">
        <f t="shared" si="17"/>
        <v>1.6975000000000007E-3</v>
      </c>
      <c r="U52" s="374">
        <f t="shared" si="18"/>
        <v>0</v>
      </c>
      <c r="V52" s="375">
        <f t="shared" si="19"/>
        <v>0</v>
      </c>
      <c r="W52" s="376">
        <f t="shared" si="20"/>
        <v>0</v>
      </c>
      <c r="X52" s="377">
        <f t="shared" si="21"/>
        <v>0</v>
      </c>
      <c r="Y52" s="378">
        <f t="shared" si="22"/>
        <v>0</v>
      </c>
      <c r="Z52" s="379">
        <f t="shared" si="23"/>
        <v>0</v>
      </c>
      <c r="AA52" s="380">
        <f t="shared" si="24"/>
        <v>0.06</v>
      </c>
      <c r="AC52" s="231"/>
      <c r="AD52" s="231"/>
      <c r="AE52" s="231"/>
      <c r="AF52" s="231"/>
      <c r="AG52" s="231"/>
      <c r="AH52" s="231"/>
      <c r="AI52" s="213"/>
      <c r="AJ52" s="213"/>
      <c r="AK52" s="213"/>
      <c r="AL52" s="213"/>
      <c r="AM52" s="213"/>
      <c r="AN52" s="204"/>
    </row>
    <row r="53" spans="1:40" ht="14" customHeight="1">
      <c r="A53" s="2889" t="s">
        <v>458</v>
      </c>
      <c r="B53" s="4338">
        <v>2</v>
      </c>
      <c r="C53" s="274">
        <f t="shared" si="14"/>
        <v>2.1908757716049393E-4</v>
      </c>
      <c r="D53" s="2907">
        <v>2</v>
      </c>
      <c r="E53" s="2881">
        <v>1</v>
      </c>
      <c r="F53" s="2881">
        <v>2</v>
      </c>
      <c r="G53" s="2881">
        <v>300</v>
      </c>
      <c r="H53" s="2881"/>
      <c r="I53" s="2277">
        <v>2.0833333333333333E-3</v>
      </c>
      <c r="J53" s="2277">
        <v>0</v>
      </c>
      <c r="K53" s="2881" t="s">
        <v>1476</v>
      </c>
      <c r="L53" s="2923"/>
      <c r="M53" s="2881">
        <v>1</v>
      </c>
      <c r="N53" s="2277">
        <f>P53*E53*F53+I53*E53*F53+J53*E53</f>
        <v>9.4247685185185198E-3</v>
      </c>
      <c r="O53" s="2277">
        <f t="shared" si="48"/>
        <v>2.629050925925927E-3</v>
      </c>
      <c r="P53" s="2277">
        <f>O53*M53</f>
        <v>2.629050925925927E-3</v>
      </c>
      <c r="Q53" s="2924">
        <v>129</v>
      </c>
      <c r="R53" s="2882">
        <f>E53*F53*G53</f>
        <v>600</v>
      </c>
      <c r="S53" s="229">
        <f t="shared" si="16"/>
        <v>0.6</v>
      </c>
      <c r="T53" s="230">
        <f t="shared" si="17"/>
        <v>2.1032407407407416E-2</v>
      </c>
      <c r="U53" s="374">
        <f t="shared" si="18"/>
        <v>0</v>
      </c>
      <c r="V53" s="375">
        <f t="shared" si="19"/>
        <v>0.6</v>
      </c>
      <c r="W53" s="376">
        <f t="shared" si="20"/>
        <v>0</v>
      </c>
      <c r="X53" s="377">
        <f t="shared" si="21"/>
        <v>0</v>
      </c>
      <c r="Y53" s="378">
        <f t="shared" si="22"/>
        <v>0</v>
      </c>
      <c r="Z53" s="379">
        <f t="shared" si="23"/>
        <v>0</v>
      </c>
      <c r="AA53" s="380">
        <f t="shared" si="24"/>
        <v>0</v>
      </c>
      <c r="AC53" s="231"/>
      <c r="AD53" s="231"/>
      <c r="AE53" s="231"/>
      <c r="AF53" s="231"/>
      <c r="AG53" s="231"/>
      <c r="AH53" s="231"/>
      <c r="AI53" s="213"/>
      <c r="AJ53" s="213"/>
      <c r="AK53" s="213"/>
      <c r="AL53" s="213"/>
      <c r="AM53" s="213"/>
      <c r="AN53" s="204"/>
    </row>
    <row r="54" spans="1:40" ht="14" customHeight="1">
      <c r="A54" s="2889" t="s">
        <v>218</v>
      </c>
      <c r="B54" s="4338">
        <v>9</v>
      </c>
      <c r="C54" s="274">
        <f t="shared" si="14"/>
        <v>1.7682291666666674E-4</v>
      </c>
      <c r="D54" s="2915">
        <v>7</v>
      </c>
      <c r="E54" s="2916">
        <v>2</v>
      </c>
      <c r="F54" s="2916">
        <v>4</v>
      </c>
      <c r="G54" s="2916">
        <v>15</v>
      </c>
      <c r="H54" s="2916"/>
      <c r="I54" s="2917">
        <v>4.6296296296296293E-4</v>
      </c>
      <c r="J54" s="2917">
        <v>5.5555555555555558E-3</v>
      </c>
      <c r="K54" s="2918" t="s">
        <v>312</v>
      </c>
      <c r="L54" s="2919"/>
      <c r="M54" s="2920">
        <v>1</v>
      </c>
      <c r="N54" s="2917">
        <f>P54*E54*F54+I54*E54*F54+J54*E54</f>
        <v>1.5663564814814814E-2</v>
      </c>
      <c r="O54" s="2917">
        <f t="shared" si="48"/>
        <v>1.0609375000000004E-4</v>
      </c>
      <c r="P54" s="2917">
        <f>O54*M54</f>
        <v>1.0609375000000004E-4</v>
      </c>
      <c r="Q54" s="2921">
        <v>129</v>
      </c>
      <c r="R54" s="2922">
        <f>E54*F54*G54</f>
        <v>120</v>
      </c>
      <c r="S54" s="229">
        <f t="shared" si="16"/>
        <v>0.12</v>
      </c>
      <c r="T54" s="230">
        <f t="shared" si="17"/>
        <v>3.3950000000000013E-3</v>
      </c>
      <c r="U54" s="374">
        <f t="shared" si="18"/>
        <v>0</v>
      </c>
      <c r="V54" s="375">
        <f t="shared" si="19"/>
        <v>0</v>
      </c>
      <c r="W54" s="376">
        <f t="shared" si="20"/>
        <v>0</v>
      </c>
      <c r="X54" s="377">
        <f t="shared" si="21"/>
        <v>0</v>
      </c>
      <c r="Y54" s="378">
        <f t="shared" si="22"/>
        <v>0</v>
      </c>
      <c r="Z54" s="379">
        <f t="shared" si="23"/>
        <v>0</v>
      </c>
      <c r="AA54" s="380">
        <f t="shared" si="24"/>
        <v>0.12</v>
      </c>
      <c r="AB54" s="565"/>
      <c r="AC54" s="231">
        <v>0</v>
      </c>
      <c r="AD54" s="231">
        <v>0</v>
      </c>
      <c r="AE54" s="222"/>
      <c r="AF54" s="222"/>
      <c r="AG54" s="222"/>
      <c r="AH54" s="222"/>
      <c r="AI54" s="222"/>
      <c r="AN54" s="204"/>
    </row>
    <row r="55" spans="1:40" s="245" customFormat="1" ht="16">
      <c r="A55" s="2889" t="s">
        <v>458</v>
      </c>
      <c r="B55" s="2896" t="s">
        <v>461</v>
      </c>
      <c r="C55" s="274">
        <f t="shared" si="14"/>
        <v>0</v>
      </c>
      <c r="D55" s="2925"/>
      <c r="E55" s="2926"/>
      <c r="F55" s="2926"/>
      <c r="G55" s="2926"/>
      <c r="H55" s="2926"/>
      <c r="I55" s="2917"/>
      <c r="J55" s="2927"/>
      <c r="K55" s="2928" t="s">
        <v>265</v>
      </c>
      <c r="L55" s="2929"/>
      <c r="M55" s="2930"/>
      <c r="N55" s="2931">
        <f>SUM(N51:N54)</f>
        <v>4.4924359567901237E-2</v>
      </c>
      <c r="O55" s="2932">
        <f t="shared" si="48"/>
        <v>0</v>
      </c>
      <c r="P55" s="2933"/>
      <c r="Q55" s="2930"/>
      <c r="R55" s="2934">
        <f>SUM(R51:R54)</f>
        <v>1780</v>
      </c>
      <c r="S55" s="229">
        <f t="shared" si="16"/>
        <v>0</v>
      </c>
      <c r="T55" s="230">
        <f t="shared" si="17"/>
        <v>0</v>
      </c>
      <c r="U55" s="374">
        <f t="shared" si="18"/>
        <v>0</v>
      </c>
      <c r="V55" s="375">
        <f t="shared" si="19"/>
        <v>0</v>
      </c>
      <c r="W55" s="376">
        <f t="shared" si="20"/>
        <v>0</v>
      </c>
      <c r="X55" s="377">
        <f t="shared" si="21"/>
        <v>0</v>
      </c>
      <c r="Y55" s="378">
        <f t="shared" si="22"/>
        <v>0</v>
      </c>
      <c r="Z55" s="379">
        <f t="shared" si="23"/>
        <v>0</v>
      </c>
      <c r="AA55" s="380">
        <f t="shared" si="24"/>
        <v>0</v>
      </c>
      <c r="AB55" s="565"/>
      <c r="AC55" s="214"/>
      <c r="AD55" s="214"/>
      <c r="AE55" s="222"/>
      <c r="AF55" s="222"/>
      <c r="AG55" s="222"/>
      <c r="AH55" s="222"/>
      <c r="AI55" s="222"/>
      <c r="AJ55" s="214"/>
      <c r="AK55" s="214"/>
      <c r="AL55" s="214"/>
      <c r="AM55" s="214"/>
      <c r="AN55" s="244"/>
    </row>
    <row r="56" spans="1:40" s="245" customFormat="1">
      <c r="A56" s="2889" t="s">
        <v>219</v>
      </c>
      <c r="B56" s="2896" t="s">
        <v>461</v>
      </c>
      <c r="C56" s="274">
        <f t="shared" si="14"/>
        <v>1.7682291666666674E-4</v>
      </c>
      <c r="D56" s="2938">
        <v>7</v>
      </c>
      <c r="E56" s="2939">
        <v>1</v>
      </c>
      <c r="F56" s="2939">
        <v>15</v>
      </c>
      <c r="G56" s="2939">
        <v>20</v>
      </c>
      <c r="H56" s="2939"/>
      <c r="I56" s="2940">
        <v>1.1574074074074073E-4</v>
      </c>
      <c r="J56" s="2940">
        <v>1.3888888888888889E-3</v>
      </c>
      <c r="K56" s="2941" t="s">
        <v>413</v>
      </c>
      <c r="L56" s="2942"/>
      <c r="M56" s="2941">
        <v>1</v>
      </c>
      <c r="N56" s="2940">
        <f>P56*E56*F56+I56*E56*F56+J56*E56</f>
        <v>5.2468750000000007E-3</v>
      </c>
      <c r="O56" s="2940">
        <f t="shared" si="48"/>
        <v>1.4145833333333339E-4</v>
      </c>
      <c r="P56" s="2943">
        <f>O56*M56</f>
        <v>1.4145833333333339E-4</v>
      </c>
      <c r="Q56" s="2944">
        <v>129</v>
      </c>
      <c r="R56" s="2945">
        <f>E56*F56*G56</f>
        <v>300</v>
      </c>
      <c r="S56" s="229">
        <f t="shared" si="16"/>
        <v>0.3</v>
      </c>
      <c r="T56" s="230">
        <f t="shared" si="17"/>
        <v>8.4875000000000037E-3</v>
      </c>
      <c r="U56" s="374">
        <f t="shared" si="18"/>
        <v>0</v>
      </c>
      <c r="V56" s="375">
        <f t="shared" si="19"/>
        <v>0</v>
      </c>
      <c r="W56" s="376">
        <f t="shared" si="20"/>
        <v>0</v>
      </c>
      <c r="X56" s="377">
        <f t="shared" si="21"/>
        <v>0</v>
      </c>
      <c r="Y56" s="378">
        <f t="shared" si="22"/>
        <v>0</v>
      </c>
      <c r="Z56" s="379">
        <f t="shared" si="23"/>
        <v>0</v>
      </c>
      <c r="AA56" s="380">
        <f t="shared" si="24"/>
        <v>0.3</v>
      </c>
      <c r="AB56" s="565"/>
      <c r="AC56" s="214"/>
      <c r="AD56" s="214"/>
      <c r="AE56" s="222"/>
      <c r="AF56" s="222"/>
      <c r="AG56" s="222"/>
      <c r="AH56" s="222"/>
      <c r="AI56" s="222"/>
      <c r="AJ56" s="214"/>
      <c r="AK56" s="214"/>
      <c r="AL56" s="214"/>
      <c r="AM56" s="214"/>
      <c r="AN56" s="244"/>
    </row>
    <row r="57" spans="1:40" s="245" customFormat="1">
      <c r="A57" s="2889"/>
      <c r="B57" s="2896" t="s">
        <v>461</v>
      </c>
      <c r="C57" s="274">
        <f t="shared" si="14"/>
        <v>1.7682291666666674E-4</v>
      </c>
      <c r="D57" s="2946">
        <v>7</v>
      </c>
      <c r="E57" s="2947">
        <v>1</v>
      </c>
      <c r="F57" s="2947">
        <v>2</v>
      </c>
      <c r="G57" s="2947">
        <v>50</v>
      </c>
      <c r="H57" s="2947"/>
      <c r="I57" s="2948">
        <v>3.4722222222222224E-4</v>
      </c>
      <c r="J57" s="2949">
        <v>1.3888888888888889E-3</v>
      </c>
      <c r="K57" s="2947" t="s">
        <v>688</v>
      </c>
      <c r="L57" s="2950"/>
      <c r="M57" s="2879">
        <v>0.85</v>
      </c>
      <c r="N57" s="2949">
        <f>P57*E57*F57+I57*E57*F57+J57*E57</f>
        <v>2.6845312500000003E-3</v>
      </c>
      <c r="O57" s="2949">
        <f t="shared" si="48"/>
        <v>3.5364583333333347E-4</v>
      </c>
      <c r="P57" s="2949">
        <f>O57*M57</f>
        <v>3.0059895833333344E-4</v>
      </c>
      <c r="Q57" s="2951">
        <v>129</v>
      </c>
      <c r="R57" s="2952">
        <f>E57*F57*G57</f>
        <v>100</v>
      </c>
      <c r="S57" s="229">
        <f t="shared" si="16"/>
        <v>0.1</v>
      </c>
      <c r="T57" s="230">
        <f t="shared" si="17"/>
        <v>2.8291666666666678E-3</v>
      </c>
      <c r="U57" s="374">
        <f t="shared" si="18"/>
        <v>0</v>
      </c>
      <c r="V57" s="375">
        <f t="shared" si="19"/>
        <v>0</v>
      </c>
      <c r="W57" s="376">
        <f t="shared" si="20"/>
        <v>0</v>
      </c>
      <c r="X57" s="377">
        <f t="shared" si="21"/>
        <v>0</v>
      </c>
      <c r="Y57" s="378">
        <f t="shared" si="22"/>
        <v>0</v>
      </c>
      <c r="Z57" s="379">
        <f t="shared" si="23"/>
        <v>0</v>
      </c>
      <c r="AA57" s="380">
        <f t="shared" si="24"/>
        <v>0.1</v>
      </c>
      <c r="AB57" s="565"/>
      <c r="AC57" s="214"/>
      <c r="AD57" s="214"/>
      <c r="AE57" s="222"/>
      <c r="AF57" s="222"/>
      <c r="AG57" s="222"/>
      <c r="AH57" s="222"/>
      <c r="AI57" s="222"/>
      <c r="AJ57" s="214"/>
      <c r="AK57" s="214"/>
      <c r="AL57" s="214"/>
      <c r="AM57" s="214"/>
      <c r="AN57" s="244"/>
    </row>
    <row r="58" spans="1:40" s="245" customFormat="1">
      <c r="A58" s="2889"/>
      <c r="B58" s="2896" t="s">
        <v>461</v>
      </c>
      <c r="C58" s="274">
        <f t="shared" si="14"/>
        <v>2.2880964381720439E-4</v>
      </c>
      <c r="D58" s="2907">
        <v>1</v>
      </c>
      <c r="E58" s="2878">
        <v>1</v>
      </c>
      <c r="F58" s="2878">
        <v>1</v>
      </c>
      <c r="G58" s="2878">
        <v>200</v>
      </c>
      <c r="H58" s="2878"/>
      <c r="I58" s="2337">
        <v>3.4722222222222224E-4</v>
      </c>
      <c r="J58" s="2953">
        <v>1.3888888888888889E-3</v>
      </c>
      <c r="K58" s="2878" t="s">
        <v>560</v>
      </c>
      <c r="L58" s="2427"/>
      <c r="M58" s="2878">
        <v>1</v>
      </c>
      <c r="N58" s="2953">
        <f>P58*E58*F58+I58*E58*F58+J58*E58</f>
        <v>3.5665882616487459E-3</v>
      </c>
      <c r="O58" s="2953">
        <f t="shared" si="48"/>
        <v>1.8304771505376352E-3</v>
      </c>
      <c r="P58" s="2954">
        <f>O58*M58</f>
        <v>1.8304771505376352E-3</v>
      </c>
      <c r="Q58" s="2954">
        <v>129</v>
      </c>
      <c r="R58" s="2955">
        <f>E58*F58*G58</f>
        <v>200</v>
      </c>
      <c r="S58" s="229">
        <f t="shared" si="16"/>
        <v>0.2</v>
      </c>
      <c r="T58" s="230">
        <f t="shared" si="17"/>
        <v>7.3219086021505406E-3</v>
      </c>
      <c r="U58" s="374">
        <f t="shared" si="18"/>
        <v>0.2</v>
      </c>
      <c r="V58" s="375">
        <f t="shared" si="19"/>
        <v>0</v>
      </c>
      <c r="W58" s="376">
        <f t="shared" si="20"/>
        <v>0</v>
      </c>
      <c r="X58" s="377">
        <f t="shared" si="21"/>
        <v>0</v>
      </c>
      <c r="Y58" s="378">
        <f t="shared" si="22"/>
        <v>0</v>
      </c>
      <c r="Z58" s="379">
        <f t="shared" si="23"/>
        <v>0</v>
      </c>
      <c r="AA58" s="380">
        <f t="shared" si="24"/>
        <v>0</v>
      </c>
      <c r="AB58" s="565"/>
      <c r="AC58" s="214"/>
      <c r="AD58" s="214"/>
      <c r="AE58" s="222"/>
      <c r="AF58" s="222"/>
      <c r="AG58" s="222"/>
      <c r="AH58" s="222"/>
      <c r="AI58" s="222"/>
      <c r="AJ58" s="214"/>
      <c r="AK58" s="214"/>
      <c r="AL58" s="214"/>
      <c r="AM58" s="214"/>
      <c r="AN58" s="244"/>
    </row>
    <row r="59" spans="1:40" s="245" customFormat="1" ht="14" thickBot="1">
      <c r="A59" s="2956"/>
      <c r="B59" s="2957"/>
      <c r="C59" s="274">
        <f t="shared" si="14"/>
        <v>0</v>
      </c>
      <c r="D59" s="2891"/>
      <c r="E59" s="2958"/>
      <c r="F59" s="2891"/>
      <c r="G59" s="2891"/>
      <c r="H59" s="2891"/>
      <c r="I59" s="2891"/>
      <c r="J59" s="2891"/>
      <c r="K59" s="2891"/>
      <c r="L59" s="2959"/>
      <c r="M59" s="2891">
        <v>1</v>
      </c>
      <c r="N59" s="2960">
        <f>SUM(N56:N58)</f>
        <v>1.1497994511648749E-2</v>
      </c>
      <c r="O59" s="821">
        <f t="shared" si="48"/>
        <v>0</v>
      </c>
      <c r="P59" s="2891">
        <f>O59*M59</f>
        <v>0</v>
      </c>
      <c r="Q59" s="822">
        <v>129</v>
      </c>
      <c r="R59" s="823">
        <f>SUM(R56:R58)</f>
        <v>600</v>
      </c>
      <c r="S59" s="229">
        <f t="shared" si="16"/>
        <v>0</v>
      </c>
      <c r="T59" s="230">
        <f t="shared" si="17"/>
        <v>0</v>
      </c>
      <c r="U59" s="374">
        <f t="shared" si="18"/>
        <v>0</v>
      </c>
      <c r="V59" s="375">
        <f t="shared" si="19"/>
        <v>0</v>
      </c>
      <c r="W59" s="376">
        <f t="shared" si="20"/>
        <v>0</v>
      </c>
      <c r="X59" s="377">
        <f t="shared" si="21"/>
        <v>0</v>
      </c>
      <c r="Y59" s="378">
        <f t="shared" si="22"/>
        <v>0</v>
      </c>
      <c r="Z59" s="379">
        <f t="shared" si="23"/>
        <v>0</v>
      </c>
      <c r="AA59" s="380">
        <f t="shared" si="24"/>
        <v>0</v>
      </c>
      <c r="AB59" s="565"/>
      <c r="AC59" s="214"/>
      <c r="AD59" s="214"/>
      <c r="AE59" s="222"/>
      <c r="AF59" s="222"/>
      <c r="AG59" s="222"/>
      <c r="AH59" s="222"/>
      <c r="AI59" s="222"/>
      <c r="AJ59" s="214"/>
      <c r="AK59" s="214"/>
      <c r="AL59" s="214"/>
      <c r="AM59" s="214"/>
      <c r="AN59" s="244"/>
    </row>
    <row r="60" spans="1:40" s="245" customFormat="1" ht="19" thickBot="1">
      <c r="A60" s="2961"/>
      <c r="B60" s="2962" t="s">
        <v>215</v>
      </c>
      <c r="C60" s="274">
        <f t="shared" si="14"/>
        <v>0</v>
      </c>
      <c r="D60" s="2179"/>
      <c r="E60" s="2963"/>
      <c r="F60" s="2963"/>
      <c r="G60" s="2964"/>
      <c r="H60" s="2964"/>
      <c r="I60" s="2965"/>
      <c r="J60" s="2966"/>
      <c r="K60" s="2967" t="s">
        <v>1477</v>
      </c>
      <c r="L60" s="2968" t="s">
        <v>1475</v>
      </c>
      <c r="M60" s="2967"/>
      <c r="N60" s="2969"/>
      <c r="O60" s="2969">
        <f t="shared" si="48"/>
        <v>0</v>
      </c>
      <c r="P60" s="2964"/>
      <c r="Q60" s="2970"/>
      <c r="R60" s="2971"/>
      <c r="S60" s="229">
        <f t="shared" si="16"/>
        <v>0</v>
      </c>
      <c r="T60" s="230">
        <f t="shared" si="17"/>
        <v>0</v>
      </c>
      <c r="U60" s="374">
        <f t="shared" si="18"/>
        <v>0</v>
      </c>
      <c r="V60" s="375">
        <f t="shared" si="19"/>
        <v>0</v>
      </c>
      <c r="W60" s="376">
        <f t="shared" si="20"/>
        <v>0</v>
      </c>
      <c r="X60" s="377">
        <f t="shared" si="21"/>
        <v>0</v>
      </c>
      <c r="Y60" s="378">
        <f t="shared" si="22"/>
        <v>0</v>
      </c>
      <c r="Z60" s="379">
        <f t="shared" si="23"/>
        <v>0</v>
      </c>
      <c r="AA60" s="380">
        <f t="shared" si="24"/>
        <v>0</v>
      </c>
      <c r="AB60" s="565"/>
      <c r="AC60" s="214"/>
      <c r="AD60" s="214"/>
      <c r="AE60" s="222"/>
      <c r="AF60" s="222"/>
      <c r="AG60" s="222"/>
      <c r="AH60" s="222"/>
      <c r="AI60" s="222"/>
      <c r="AJ60" s="214"/>
      <c r="AK60" s="214"/>
      <c r="AL60" s="214"/>
      <c r="AM60" s="214"/>
      <c r="AN60" s="244"/>
    </row>
    <row r="61" spans="1:40" s="245" customFormat="1" ht="14" thickBot="1">
      <c r="A61" s="2972" t="s">
        <v>218</v>
      </c>
      <c r="B61" s="2962"/>
      <c r="C61" s="274">
        <f t="shared" si="14"/>
        <v>0</v>
      </c>
      <c r="D61" s="2181"/>
      <c r="E61" s="2902" t="s">
        <v>362</v>
      </c>
      <c r="F61" s="343" t="s">
        <v>363</v>
      </c>
      <c r="G61" s="343" t="s">
        <v>364</v>
      </c>
      <c r="H61" s="343"/>
      <c r="I61" s="2903" t="s">
        <v>365</v>
      </c>
      <c r="J61" s="343" t="s">
        <v>366</v>
      </c>
      <c r="K61" s="343" t="s">
        <v>367</v>
      </c>
      <c r="L61" s="343"/>
      <c r="M61" s="2903"/>
      <c r="N61" s="2903" t="s">
        <v>368</v>
      </c>
      <c r="O61" s="2903" t="e">
        <f t="shared" si="48"/>
        <v>#VALUE!</v>
      </c>
      <c r="P61" s="2904" t="s">
        <v>262</v>
      </c>
      <c r="Q61" s="2905" t="s">
        <v>370</v>
      </c>
      <c r="R61" s="2906" t="s">
        <v>476</v>
      </c>
      <c r="S61" s="229" t="e">
        <f t="shared" si="16"/>
        <v>#VALUE!</v>
      </c>
      <c r="T61" s="230" t="e">
        <f t="shared" si="17"/>
        <v>#VALUE!</v>
      </c>
      <c r="U61" s="374">
        <f t="shared" si="18"/>
        <v>0</v>
      </c>
      <c r="V61" s="375">
        <f t="shared" si="19"/>
        <v>0</v>
      </c>
      <c r="W61" s="376">
        <f t="shared" si="20"/>
        <v>0</v>
      </c>
      <c r="X61" s="377">
        <f t="shared" si="21"/>
        <v>0</v>
      </c>
      <c r="Y61" s="378">
        <f t="shared" si="22"/>
        <v>0</v>
      </c>
      <c r="Z61" s="379">
        <f t="shared" si="23"/>
        <v>0</v>
      </c>
      <c r="AA61" s="380">
        <f t="shared" si="24"/>
        <v>0</v>
      </c>
      <c r="AB61" s="565"/>
      <c r="AC61" s="214"/>
      <c r="AD61" s="214"/>
      <c r="AE61" s="222"/>
      <c r="AF61" s="222"/>
      <c r="AG61" s="222"/>
      <c r="AH61" s="222"/>
      <c r="AI61" s="222"/>
      <c r="AJ61" s="214"/>
      <c r="AK61" s="214"/>
      <c r="AL61" s="214"/>
      <c r="AM61" s="214"/>
      <c r="AN61" s="244"/>
    </row>
    <row r="62" spans="1:40" s="245" customFormat="1">
      <c r="A62" s="2972" t="s">
        <v>139</v>
      </c>
      <c r="B62" s="2962" t="s">
        <v>461</v>
      </c>
      <c r="C62" s="274">
        <f t="shared" si="14"/>
        <v>2.2880964381720439E-4</v>
      </c>
      <c r="D62" s="2897">
        <v>1</v>
      </c>
      <c r="E62" s="2878">
        <v>1</v>
      </c>
      <c r="F62" s="2878">
        <v>1</v>
      </c>
      <c r="G62" s="2878">
        <v>400</v>
      </c>
      <c r="H62" s="2878"/>
      <c r="I62" s="2953">
        <v>0</v>
      </c>
      <c r="J62" s="2953">
        <v>1.3888888888888889E-3</v>
      </c>
      <c r="K62" s="2878" t="s">
        <v>149</v>
      </c>
      <c r="L62" s="2427"/>
      <c r="M62" s="2878">
        <v>1</v>
      </c>
      <c r="N62" s="2899">
        <f t="shared" ref="N62:N68" si="49">P62*E62*F62+I62*E62*F62+J62*E62</f>
        <v>5.049843189964159E-3</v>
      </c>
      <c r="O62" s="2899">
        <f t="shared" si="48"/>
        <v>3.6609543010752703E-3</v>
      </c>
      <c r="P62" s="2899">
        <f t="shared" ref="P62:P68" si="50">O62*M62</f>
        <v>3.6609543010752703E-3</v>
      </c>
      <c r="Q62" s="2954">
        <v>129</v>
      </c>
      <c r="R62" s="2901">
        <f t="shared" ref="R62:R68" si="51">E62*F62*G62</f>
        <v>400</v>
      </c>
      <c r="S62" s="229">
        <f t="shared" si="16"/>
        <v>0.4</v>
      </c>
      <c r="T62" s="230">
        <f t="shared" si="17"/>
        <v>1.4643817204301081E-2</v>
      </c>
      <c r="U62" s="374">
        <f t="shared" si="18"/>
        <v>0.4</v>
      </c>
      <c r="V62" s="375">
        <f t="shared" si="19"/>
        <v>0</v>
      </c>
      <c r="W62" s="376">
        <f t="shared" si="20"/>
        <v>0</v>
      </c>
      <c r="X62" s="377">
        <f t="shared" si="21"/>
        <v>0</v>
      </c>
      <c r="Y62" s="378">
        <f t="shared" si="22"/>
        <v>0</v>
      </c>
      <c r="Z62" s="379">
        <f t="shared" si="23"/>
        <v>0</v>
      </c>
      <c r="AA62" s="380">
        <f t="shared" si="24"/>
        <v>0</v>
      </c>
      <c r="AB62" s="565"/>
      <c r="AC62" s="214"/>
      <c r="AD62" s="214"/>
      <c r="AE62" s="222"/>
      <c r="AF62" s="222"/>
      <c r="AG62" s="222"/>
      <c r="AH62" s="222"/>
      <c r="AI62" s="222"/>
      <c r="AJ62" s="214"/>
      <c r="AK62" s="214"/>
      <c r="AL62" s="214"/>
      <c r="AM62" s="214"/>
      <c r="AN62" s="244"/>
    </row>
    <row r="63" spans="1:40" s="245" customFormat="1">
      <c r="A63" s="2973" t="s">
        <v>458</v>
      </c>
      <c r="B63" s="4338">
        <v>3</v>
      </c>
      <c r="C63" s="274">
        <f t="shared" si="14"/>
        <v>2.1222190799396687E-4</v>
      </c>
      <c r="D63" s="2974">
        <v>3</v>
      </c>
      <c r="E63" s="2975">
        <v>1</v>
      </c>
      <c r="F63" s="2975">
        <v>6</v>
      </c>
      <c r="G63" s="2975">
        <v>50</v>
      </c>
      <c r="H63" s="2975"/>
      <c r="I63" s="2976">
        <v>3.4722222222222224E-4</v>
      </c>
      <c r="J63" s="2976">
        <v>1.3888888888888889E-3</v>
      </c>
      <c r="K63" s="2977" t="s">
        <v>150</v>
      </c>
      <c r="L63" s="2978"/>
      <c r="M63" s="2979">
        <v>1</v>
      </c>
      <c r="N63" s="2976">
        <f t="shared" si="49"/>
        <v>6.0188851181498249E-3</v>
      </c>
      <c r="O63" s="2976">
        <f t="shared" si="48"/>
        <v>4.2444381598793373E-4</v>
      </c>
      <c r="P63" s="2976">
        <f t="shared" si="50"/>
        <v>4.2444381598793373E-4</v>
      </c>
      <c r="Q63" s="2900">
        <v>129</v>
      </c>
      <c r="R63" s="2980">
        <f t="shared" si="51"/>
        <v>300</v>
      </c>
      <c r="S63" s="229">
        <f t="shared" si="16"/>
        <v>0.3</v>
      </c>
      <c r="T63" s="230">
        <f t="shared" si="17"/>
        <v>1.018665158371041E-2</v>
      </c>
      <c r="U63" s="374">
        <f t="shared" si="18"/>
        <v>0</v>
      </c>
      <c r="V63" s="375">
        <f t="shared" si="19"/>
        <v>0</v>
      </c>
      <c r="W63" s="376">
        <f t="shared" si="20"/>
        <v>0.3</v>
      </c>
      <c r="X63" s="377">
        <f t="shared" si="21"/>
        <v>0</v>
      </c>
      <c r="Y63" s="378">
        <f t="shared" si="22"/>
        <v>0</v>
      </c>
      <c r="Z63" s="379">
        <f t="shared" si="23"/>
        <v>0</v>
      </c>
      <c r="AA63" s="380">
        <f t="shared" si="24"/>
        <v>0</v>
      </c>
      <c r="AB63" s="565"/>
      <c r="AC63" s="214"/>
      <c r="AD63" s="214"/>
      <c r="AE63" s="222"/>
      <c r="AF63" s="222"/>
      <c r="AG63" s="222"/>
      <c r="AH63" s="222"/>
      <c r="AI63" s="222"/>
      <c r="AJ63" s="214"/>
      <c r="AK63" s="214"/>
      <c r="AL63" s="214"/>
      <c r="AM63" s="214"/>
      <c r="AN63" s="244"/>
    </row>
    <row r="64" spans="1:40" s="245" customFormat="1" ht="14" thickBot="1">
      <c r="A64" s="2973" t="s">
        <v>462</v>
      </c>
      <c r="B64" s="4338">
        <v>0</v>
      </c>
      <c r="C64" s="274">
        <f t="shared" si="14"/>
        <v>2.1222190799396687E-4</v>
      </c>
      <c r="D64" s="2897">
        <v>3</v>
      </c>
      <c r="E64" s="2898">
        <v>1</v>
      </c>
      <c r="F64" s="2898">
        <v>6</v>
      </c>
      <c r="G64" s="2898">
        <v>150</v>
      </c>
      <c r="H64" s="2898"/>
      <c r="I64" s="2899">
        <v>1.3888888888888889E-3</v>
      </c>
      <c r="J64" s="2899">
        <v>1.3888888888888889E-3</v>
      </c>
      <c r="K64" s="2981" t="s">
        <v>689</v>
      </c>
      <c r="L64" s="2981"/>
      <c r="M64" s="2982">
        <v>1</v>
      </c>
      <c r="N64" s="2899">
        <f t="shared" si="49"/>
        <v>1.7362210910005029E-2</v>
      </c>
      <c r="O64" s="2899">
        <f t="shared" si="48"/>
        <v>1.2733314479638012E-3</v>
      </c>
      <c r="P64" s="2899">
        <f t="shared" si="50"/>
        <v>1.2733314479638012E-3</v>
      </c>
      <c r="Q64" s="2900">
        <v>129</v>
      </c>
      <c r="R64" s="2901">
        <f t="shared" si="51"/>
        <v>900</v>
      </c>
      <c r="S64" s="229">
        <f t="shared" si="16"/>
        <v>0.9</v>
      </c>
      <c r="T64" s="230">
        <f t="shared" si="17"/>
        <v>3.0559954751131227E-2</v>
      </c>
      <c r="U64" s="374">
        <f t="shared" si="18"/>
        <v>0</v>
      </c>
      <c r="V64" s="375">
        <f t="shared" si="19"/>
        <v>0</v>
      </c>
      <c r="W64" s="376">
        <f t="shared" si="20"/>
        <v>0.9</v>
      </c>
      <c r="X64" s="377">
        <f t="shared" si="21"/>
        <v>0</v>
      </c>
      <c r="Y64" s="378">
        <f t="shared" si="22"/>
        <v>0</v>
      </c>
      <c r="Z64" s="379">
        <f t="shared" si="23"/>
        <v>0</v>
      </c>
      <c r="AA64" s="380">
        <f t="shared" si="24"/>
        <v>0</v>
      </c>
      <c r="AB64" s="565"/>
      <c r="AC64" s="214"/>
      <c r="AD64" s="214"/>
      <c r="AE64" s="222"/>
      <c r="AF64" s="222"/>
      <c r="AG64" s="222"/>
      <c r="AH64" s="222"/>
      <c r="AI64" s="222"/>
      <c r="AJ64" s="214"/>
      <c r="AK64" s="214"/>
      <c r="AL64" s="214"/>
      <c r="AM64" s="214"/>
      <c r="AN64" s="244"/>
    </row>
    <row r="65" spans="1:40" s="245" customFormat="1" ht="30" thickBot="1">
      <c r="A65" s="2973" t="s">
        <v>460</v>
      </c>
      <c r="B65" s="2962" t="s">
        <v>461</v>
      </c>
      <c r="C65" s="274">
        <f t="shared" si="14"/>
        <v>1.8229166666666673E-4</v>
      </c>
      <c r="D65" s="2983">
        <v>6</v>
      </c>
      <c r="E65" s="2984">
        <v>1</v>
      </c>
      <c r="F65" s="2984">
        <v>6</v>
      </c>
      <c r="G65" s="2985">
        <v>100</v>
      </c>
      <c r="H65" s="2984"/>
      <c r="I65" s="2986">
        <v>2.3148148148148146E-4</v>
      </c>
      <c r="J65" s="2986">
        <v>2.7777777777777779E-3</v>
      </c>
      <c r="K65" s="2987" t="s">
        <v>1478</v>
      </c>
      <c r="L65" s="2988"/>
      <c r="M65" s="2989">
        <v>1</v>
      </c>
      <c r="N65" s="2986">
        <f t="shared" si="49"/>
        <v>8.5416666666666679E-3</v>
      </c>
      <c r="O65" s="2986">
        <f t="shared" si="48"/>
        <v>7.2916666666666692E-4</v>
      </c>
      <c r="P65" s="2986">
        <f t="shared" si="50"/>
        <v>7.2916666666666692E-4</v>
      </c>
      <c r="Q65" s="2990">
        <v>175</v>
      </c>
      <c r="R65" s="2991">
        <f t="shared" si="51"/>
        <v>600</v>
      </c>
      <c r="S65" s="229">
        <f t="shared" si="16"/>
        <v>0.6</v>
      </c>
      <c r="T65" s="230">
        <f t="shared" si="17"/>
        <v>1.7500000000000005E-2</v>
      </c>
      <c r="U65" s="374">
        <f t="shared" si="18"/>
        <v>0</v>
      </c>
      <c r="V65" s="375">
        <f t="shared" si="19"/>
        <v>0</v>
      </c>
      <c r="W65" s="376">
        <f t="shared" si="20"/>
        <v>0</v>
      </c>
      <c r="X65" s="377">
        <f t="shared" si="21"/>
        <v>0</v>
      </c>
      <c r="Y65" s="378">
        <f t="shared" si="22"/>
        <v>0</v>
      </c>
      <c r="Z65" s="379">
        <f t="shared" si="23"/>
        <v>0.6</v>
      </c>
      <c r="AA65" s="380">
        <f t="shared" si="24"/>
        <v>0</v>
      </c>
      <c r="AB65" s="565"/>
      <c r="AC65" s="214"/>
      <c r="AD65" s="214"/>
      <c r="AE65" s="222"/>
      <c r="AF65" s="222"/>
      <c r="AG65" s="222"/>
      <c r="AH65" s="222"/>
      <c r="AI65" s="222"/>
      <c r="AJ65" s="214"/>
      <c r="AK65" s="214"/>
      <c r="AL65" s="214"/>
      <c r="AM65" s="214"/>
      <c r="AN65" s="244"/>
    </row>
    <row r="66" spans="1:40" s="245" customFormat="1" ht="14" thickBot="1">
      <c r="A66" s="2973" t="s">
        <v>458</v>
      </c>
      <c r="B66" s="2962" t="s">
        <v>461</v>
      </c>
      <c r="C66" s="274">
        <f t="shared" si="14"/>
        <v>1.7682291666666674E-4</v>
      </c>
      <c r="D66" s="2938">
        <v>7</v>
      </c>
      <c r="E66" s="2939">
        <v>1</v>
      </c>
      <c r="F66" s="2939">
        <v>15</v>
      </c>
      <c r="G66" s="2939">
        <v>35</v>
      </c>
      <c r="H66" s="2939"/>
      <c r="I66" s="2940">
        <v>1.1574074074074073E-4</v>
      </c>
      <c r="J66" s="2940">
        <v>1.3888888888888889E-3</v>
      </c>
      <c r="K66" s="2941" t="s">
        <v>413</v>
      </c>
      <c r="L66" s="2942"/>
      <c r="M66" s="2941">
        <v>1</v>
      </c>
      <c r="N66" s="2940">
        <f t="shared" si="49"/>
        <v>6.8382812500000015E-3</v>
      </c>
      <c r="O66" s="2940">
        <f t="shared" si="48"/>
        <v>2.475520833333334E-4</v>
      </c>
      <c r="P66" s="2940">
        <f t="shared" si="50"/>
        <v>2.475520833333334E-4</v>
      </c>
      <c r="Q66" s="2944">
        <v>140</v>
      </c>
      <c r="R66" s="2945">
        <f t="shared" si="51"/>
        <v>525</v>
      </c>
      <c r="S66" s="229">
        <f t="shared" si="16"/>
        <v>0.52500000000000002</v>
      </c>
      <c r="T66" s="230">
        <f t="shared" si="17"/>
        <v>1.4853125000000003E-2</v>
      </c>
      <c r="U66" s="374">
        <f t="shared" si="18"/>
        <v>0</v>
      </c>
      <c r="V66" s="375">
        <f t="shared" si="19"/>
        <v>0</v>
      </c>
      <c r="W66" s="376">
        <f t="shared" si="20"/>
        <v>0</v>
      </c>
      <c r="X66" s="377">
        <f t="shared" si="21"/>
        <v>0</v>
      </c>
      <c r="Y66" s="378">
        <f t="shared" si="22"/>
        <v>0</v>
      </c>
      <c r="Z66" s="379">
        <f t="shared" si="23"/>
        <v>0</v>
      </c>
      <c r="AA66" s="380">
        <f t="shared" si="24"/>
        <v>0.52500000000000002</v>
      </c>
      <c r="AB66" s="565"/>
      <c r="AC66" s="214"/>
      <c r="AD66" s="214"/>
      <c r="AE66" s="222"/>
      <c r="AF66" s="222"/>
      <c r="AG66" s="222"/>
      <c r="AH66" s="222"/>
      <c r="AI66" s="222"/>
      <c r="AJ66" s="214"/>
      <c r="AK66" s="214"/>
      <c r="AL66" s="214"/>
      <c r="AM66" s="214"/>
      <c r="AN66" s="244"/>
    </row>
    <row r="67" spans="1:40" s="245" customFormat="1" ht="26" thickBot="1">
      <c r="A67" s="2973" t="s">
        <v>219</v>
      </c>
      <c r="B67" s="2962" t="s">
        <v>461</v>
      </c>
      <c r="C67" s="274">
        <f t="shared" si="14"/>
        <v>2.0247664488766629E-4</v>
      </c>
      <c r="D67" s="2992">
        <v>4</v>
      </c>
      <c r="E67" s="2993">
        <v>4</v>
      </c>
      <c r="F67" s="2993">
        <v>6</v>
      </c>
      <c r="G67" s="2993">
        <v>25</v>
      </c>
      <c r="H67" s="2993"/>
      <c r="I67" s="2994">
        <v>2.3148148148148146E-4</v>
      </c>
      <c r="J67" s="2994">
        <v>1.3888888888888889E-3</v>
      </c>
      <c r="K67" s="2995" t="s">
        <v>1479</v>
      </c>
      <c r="L67" s="2996"/>
      <c r="M67" s="2997">
        <v>1</v>
      </c>
      <c r="N67" s="2994">
        <f t="shared" si="49"/>
        <v>1.5970550588415101E-2</v>
      </c>
      <c r="O67" s="2994">
        <f t="shared" si="48"/>
        <v>2.0247664488766629E-4</v>
      </c>
      <c r="P67" s="2994">
        <f t="shared" si="50"/>
        <v>2.0247664488766629E-4</v>
      </c>
      <c r="Q67" s="2998">
        <v>165</v>
      </c>
      <c r="R67" s="2999">
        <f t="shared" si="51"/>
        <v>600</v>
      </c>
      <c r="S67" s="229">
        <f t="shared" si="16"/>
        <v>0.6</v>
      </c>
      <c r="T67" s="230">
        <f t="shared" si="17"/>
        <v>1.9437757909215963E-2</v>
      </c>
      <c r="U67" s="374">
        <f t="shared" si="18"/>
        <v>0</v>
      </c>
      <c r="V67" s="375">
        <f t="shared" si="19"/>
        <v>0</v>
      </c>
      <c r="W67" s="376">
        <f t="shared" si="20"/>
        <v>0</v>
      </c>
      <c r="X67" s="377">
        <f t="shared" si="21"/>
        <v>0.6</v>
      </c>
      <c r="Y67" s="378">
        <f t="shared" si="22"/>
        <v>0</v>
      </c>
      <c r="Z67" s="379">
        <f t="shared" si="23"/>
        <v>0</v>
      </c>
      <c r="AA67" s="380">
        <f t="shared" si="24"/>
        <v>0</v>
      </c>
      <c r="AB67" s="565"/>
      <c r="AC67" s="214"/>
      <c r="AD67" s="214"/>
      <c r="AE67" s="222"/>
      <c r="AF67" s="222"/>
      <c r="AG67" s="222"/>
      <c r="AH67" s="222"/>
      <c r="AI67" s="222"/>
      <c r="AJ67" s="214"/>
      <c r="AK67" s="214"/>
      <c r="AL67" s="214"/>
      <c r="AM67" s="214"/>
      <c r="AN67" s="244"/>
    </row>
    <row r="68" spans="1:40" s="245" customFormat="1" ht="14" thickBot="1">
      <c r="A68" s="2973"/>
      <c r="B68" s="2962" t="s">
        <v>461</v>
      </c>
      <c r="C68" s="274">
        <f t="shared" si="14"/>
        <v>2.2880964381720439E-4</v>
      </c>
      <c r="D68" s="3000">
        <v>1</v>
      </c>
      <c r="E68" s="2878">
        <v>1</v>
      </c>
      <c r="F68" s="2878">
        <v>1</v>
      </c>
      <c r="G68" s="2878">
        <v>200</v>
      </c>
      <c r="H68" s="2878"/>
      <c r="I68" s="2337">
        <v>0</v>
      </c>
      <c r="J68" s="2953">
        <v>1.3888888888888889E-3</v>
      </c>
      <c r="K68" s="3001" t="s">
        <v>1480</v>
      </c>
      <c r="L68" s="3001"/>
      <c r="M68" s="3002">
        <v>1</v>
      </c>
      <c r="N68" s="2953">
        <f t="shared" si="49"/>
        <v>3.2193660394265241E-3</v>
      </c>
      <c r="O68" s="2953">
        <f t="shared" si="48"/>
        <v>1.8304771505376352E-3</v>
      </c>
      <c r="P68" s="2953">
        <f t="shared" si="50"/>
        <v>1.8304771505376352E-3</v>
      </c>
      <c r="Q68" s="2954">
        <v>129</v>
      </c>
      <c r="R68" s="2955">
        <f t="shared" si="51"/>
        <v>200</v>
      </c>
      <c r="S68" s="229">
        <f t="shared" si="16"/>
        <v>0.2</v>
      </c>
      <c r="T68" s="230">
        <f t="shared" si="17"/>
        <v>7.3219086021505406E-3</v>
      </c>
      <c r="U68" s="374">
        <f t="shared" si="18"/>
        <v>0.2</v>
      </c>
      <c r="V68" s="375">
        <f t="shared" si="19"/>
        <v>0</v>
      </c>
      <c r="W68" s="376">
        <f t="shared" si="20"/>
        <v>0</v>
      </c>
      <c r="X68" s="377">
        <f t="shared" si="21"/>
        <v>0</v>
      </c>
      <c r="Y68" s="378">
        <f t="shared" si="22"/>
        <v>0</v>
      </c>
      <c r="Z68" s="379">
        <f t="shared" si="23"/>
        <v>0</v>
      </c>
      <c r="AA68" s="380">
        <f t="shared" si="24"/>
        <v>0</v>
      </c>
      <c r="AB68" s="565"/>
      <c r="AC68" s="214"/>
      <c r="AD68" s="214"/>
      <c r="AE68" s="222"/>
      <c r="AF68" s="222"/>
      <c r="AG68" s="222"/>
      <c r="AH68" s="222"/>
      <c r="AI68" s="222"/>
      <c r="AJ68" s="214"/>
      <c r="AK68" s="214"/>
      <c r="AL68" s="214"/>
      <c r="AM68" s="214"/>
      <c r="AN68" s="244"/>
    </row>
    <row r="69" spans="1:40" s="245" customFormat="1" ht="14" thickBot="1">
      <c r="A69" s="2890"/>
      <c r="B69" s="2962"/>
      <c r="C69" s="274">
        <f t="shared" si="14"/>
        <v>0</v>
      </c>
      <c r="D69" s="2891"/>
      <c r="E69" s="2891"/>
      <c r="F69" s="2891"/>
      <c r="G69" s="2891"/>
      <c r="H69" s="2891"/>
      <c r="I69" s="2891"/>
      <c r="J69" s="2891"/>
      <c r="K69" s="2891"/>
      <c r="L69" s="2959"/>
      <c r="M69" s="2891"/>
      <c r="N69" s="3003">
        <f>SUM(N62:N68)</f>
        <v>6.3000803762627303E-2</v>
      </c>
      <c r="O69" s="3004">
        <f t="shared" si="48"/>
        <v>0</v>
      </c>
      <c r="P69" s="2891"/>
      <c r="Q69" s="822"/>
      <c r="R69" s="823">
        <f>SUM(R62:R68)</f>
        <v>3525</v>
      </c>
      <c r="S69" s="229">
        <f t="shared" si="16"/>
        <v>0</v>
      </c>
      <c r="T69" s="230">
        <f t="shared" si="17"/>
        <v>0</v>
      </c>
      <c r="U69" s="374">
        <f t="shared" si="18"/>
        <v>0</v>
      </c>
      <c r="V69" s="375">
        <f t="shared" si="19"/>
        <v>0</v>
      </c>
      <c r="W69" s="376">
        <f t="shared" si="20"/>
        <v>0</v>
      </c>
      <c r="X69" s="377">
        <f t="shared" si="21"/>
        <v>0</v>
      </c>
      <c r="Y69" s="378">
        <f t="shared" si="22"/>
        <v>0</v>
      </c>
      <c r="Z69" s="379">
        <f t="shared" si="23"/>
        <v>0</v>
      </c>
      <c r="AA69" s="380">
        <f t="shared" si="24"/>
        <v>0</v>
      </c>
      <c r="AB69" s="565"/>
      <c r="AC69" s="214"/>
      <c r="AD69" s="214"/>
      <c r="AE69" s="222"/>
      <c r="AF69" s="222"/>
      <c r="AG69" s="222"/>
      <c r="AH69" s="222"/>
      <c r="AI69" s="222"/>
      <c r="AJ69" s="214"/>
      <c r="AK69" s="214"/>
      <c r="AL69" s="214"/>
      <c r="AM69" s="214"/>
      <c r="AN69" s="244"/>
    </row>
    <row r="70" spans="1:40" s="245" customFormat="1" ht="16" customHeight="1">
      <c r="A70" s="2892" t="s">
        <v>219</v>
      </c>
      <c r="B70" s="2893"/>
      <c r="C70" s="274">
        <f t="shared" si="14"/>
        <v>0</v>
      </c>
      <c r="D70" s="2179"/>
      <c r="E70" s="3005"/>
      <c r="F70" s="2179"/>
      <c r="G70" s="2179"/>
      <c r="H70" s="2179"/>
      <c r="I70" s="3005"/>
      <c r="J70" s="2966"/>
      <c r="K70" s="2864" t="s">
        <v>151</v>
      </c>
      <c r="L70" s="3007"/>
      <c r="M70" s="3006"/>
      <c r="N70" s="2179"/>
      <c r="O70" s="2179">
        <f t="shared" si="48"/>
        <v>0</v>
      </c>
      <c r="P70" s="2179"/>
      <c r="Q70" s="2894"/>
      <c r="R70" s="2895"/>
      <c r="S70" s="229">
        <f t="shared" si="16"/>
        <v>0</v>
      </c>
      <c r="T70" s="230">
        <f t="shared" si="17"/>
        <v>0</v>
      </c>
      <c r="U70" s="374">
        <f t="shared" si="18"/>
        <v>0</v>
      </c>
      <c r="V70" s="375">
        <f t="shared" si="19"/>
        <v>0</v>
      </c>
      <c r="W70" s="376">
        <f t="shared" si="20"/>
        <v>0</v>
      </c>
      <c r="X70" s="377">
        <f t="shared" si="21"/>
        <v>0</v>
      </c>
      <c r="Y70" s="378">
        <f t="shared" si="22"/>
        <v>0</v>
      </c>
      <c r="Z70" s="379">
        <f t="shared" si="23"/>
        <v>0</v>
      </c>
      <c r="AA70" s="380">
        <f t="shared" si="24"/>
        <v>0</v>
      </c>
      <c r="AB70" s="565"/>
      <c r="AC70" s="214"/>
      <c r="AD70" s="214"/>
      <c r="AE70" s="222"/>
      <c r="AF70" s="222"/>
      <c r="AG70" s="222"/>
      <c r="AH70" s="222"/>
      <c r="AI70" s="222"/>
      <c r="AJ70" s="214"/>
      <c r="AK70" s="214"/>
      <c r="AL70" s="214"/>
      <c r="AM70" s="214"/>
      <c r="AN70" s="244"/>
    </row>
    <row r="71" spans="1:40" s="245" customFormat="1">
      <c r="A71" s="2889" t="s">
        <v>138</v>
      </c>
      <c r="B71" s="2896"/>
      <c r="C71" s="274">
        <f t="shared" ref="C71:C85" si="52">IF(D71=1,U$5,IF(D71=2,V$5,IF(D71=3,W$5,IF(D71=4,X$5,IF(D71=5,Y$5,IF(D71=6,Z$5,IF(D71=7,AA$5,0)))))))</f>
        <v>0</v>
      </c>
      <c r="D71" s="2181"/>
      <c r="E71" s="2902" t="s">
        <v>362</v>
      </c>
      <c r="F71" s="343" t="s">
        <v>363</v>
      </c>
      <c r="G71" s="343" t="s">
        <v>364</v>
      </c>
      <c r="H71" s="343"/>
      <c r="I71" s="343" t="s">
        <v>365</v>
      </c>
      <c r="J71" s="343" t="s">
        <v>366</v>
      </c>
      <c r="K71" s="343" t="s">
        <v>367</v>
      </c>
      <c r="L71" s="343"/>
      <c r="M71" s="2903"/>
      <c r="N71" s="2903" t="s">
        <v>368</v>
      </c>
      <c r="O71" s="2903" t="e">
        <f t="shared" si="48"/>
        <v>#VALUE!</v>
      </c>
      <c r="P71" s="2904" t="s">
        <v>262</v>
      </c>
      <c r="Q71" s="2905" t="s">
        <v>370</v>
      </c>
      <c r="R71" s="2906" t="s">
        <v>476</v>
      </c>
      <c r="S71" s="229" t="e">
        <f t="shared" ref="S71:S84" si="53">E71*F71*G71/1000</f>
        <v>#VALUE!</v>
      </c>
      <c r="T71" s="230" t="e">
        <f t="shared" ref="T71:T84" si="54">E71*F71*O71*4</f>
        <v>#VALUE!</v>
      </c>
      <c r="U71" s="374">
        <f t="shared" ref="U71:U84" si="55">IF(C71*4&gt;=$U$4,S71,0)</f>
        <v>0</v>
      </c>
      <c r="V71" s="375">
        <f t="shared" ref="V71:V84" si="56">IF(AND(C71*4&gt;=$V$4,C71*4&lt;$U$4),S71,0)</f>
        <v>0</v>
      </c>
      <c r="W71" s="376">
        <f t="shared" ref="W71:W84" si="57">IF(AND(C71*4&gt;=$W$4,C71*4&lt;$V$4),S71,0)</f>
        <v>0</v>
      </c>
      <c r="X71" s="377">
        <f t="shared" ref="X71:X84" si="58">IF(AND(C71*4&gt;=$X$4,C71*4&lt;$W$4),S71,0)</f>
        <v>0</v>
      </c>
      <c r="Y71" s="378">
        <f t="shared" ref="Y71:Y84" si="59">IF(AND(C71*4&gt;=$Y$4,C71*4&lt;$X$4),S71,0)</f>
        <v>0</v>
      </c>
      <c r="Z71" s="379">
        <f t="shared" ref="Z71:Z84" si="60">IF(AND(C71*4&gt;=$Z$4,C71*4&lt;$Y$4),S71,0)</f>
        <v>0</v>
      </c>
      <c r="AA71" s="380">
        <f t="shared" ref="AA71:AA84" si="61">IF(AND(C71*4&gt;=$AA$4,C71*4&lt;$Z$4),S71,0)</f>
        <v>0</v>
      </c>
      <c r="AB71" s="565"/>
      <c r="AC71" s="214"/>
      <c r="AD71" s="214"/>
      <c r="AE71" s="222"/>
      <c r="AF71" s="222"/>
      <c r="AG71" s="222"/>
      <c r="AH71" s="222"/>
      <c r="AI71" s="222"/>
      <c r="AJ71" s="214"/>
      <c r="AK71" s="214"/>
      <c r="AL71" s="214"/>
      <c r="AM71" s="214"/>
      <c r="AN71" s="244"/>
    </row>
    <row r="72" spans="1:40" s="245" customFormat="1" ht="16">
      <c r="A72" s="2889" t="s">
        <v>779</v>
      </c>
      <c r="B72" s="2896" t="s">
        <v>215</v>
      </c>
      <c r="C72" s="274">
        <f t="shared" si="52"/>
        <v>2.1222190799396687E-4</v>
      </c>
      <c r="D72" s="2897">
        <v>3</v>
      </c>
      <c r="E72" s="2898">
        <v>1</v>
      </c>
      <c r="F72" s="2898">
        <v>1</v>
      </c>
      <c r="G72" s="2898">
        <v>400</v>
      </c>
      <c r="H72" s="2898"/>
      <c r="I72" s="2899">
        <v>0</v>
      </c>
      <c r="J72" s="2899">
        <v>1.3888888888888889E-3</v>
      </c>
      <c r="K72" s="3008" t="s">
        <v>881</v>
      </c>
      <c r="L72" s="3009"/>
      <c r="M72" s="2975">
        <v>1</v>
      </c>
      <c r="N72" s="2899">
        <f>P72*E72*F72+I72*E72*F72+J72*E72</f>
        <v>4.784439416792359E-3</v>
      </c>
      <c r="O72" s="2899">
        <f t="shared" si="48"/>
        <v>3.3955505279034699E-3</v>
      </c>
      <c r="P72" s="2899">
        <f>O72*M72</f>
        <v>3.3955505279034699E-3</v>
      </c>
      <c r="Q72" s="2900">
        <v>129</v>
      </c>
      <c r="R72" s="2901">
        <f>E72*F72*G72</f>
        <v>400</v>
      </c>
      <c r="S72" s="229">
        <f t="shared" si="53"/>
        <v>0.4</v>
      </c>
      <c r="T72" s="230">
        <f t="shared" si="54"/>
        <v>1.3582202111613879E-2</v>
      </c>
      <c r="U72" s="374">
        <f t="shared" si="55"/>
        <v>0</v>
      </c>
      <c r="V72" s="375">
        <f t="shared" si="56"/>
        <v>0</v>
      </c>
      <c r="W72" s="376">
        <f t="shared" si="57"/>
        <v>0.4</v>
      </c>
      <c r="X72" s="377">
        <f t="shared" si="58"/>
        <v>0</v>
      </c>
      <c r="Y72" s="378">
        <f t="shared" si="59"/>
        <v>0</v>
      </c>
      <c r="Z72" s="379">
        <f t="shared" si="60"/>
        <v>0</v>
      </c>
      <c r="AA72" s="380">
        <f t="shared" si="61"/>
        <v>0</v>
      </c>
      <c r="AB72" s="565"/>
      <c r="AC72" s="214"/>
      <c r="AD72" s="214"/>
      <c r="AE72" s="222"/>
      <c r="AF72" s="222"/>
      <c r="AG72" s="222"/>
      <c r="AH72" s="222"/>
      <c r="AI72" s="222"/>
      <c r="AJ72" s="214"/>
      <c r="AK72" s="214"/>
      <c r="AL72" s="214"/>
      <c r="AM72" s="214"/>
      <c r="AN72" s="244"/>
    </row>
    <row r="73" spans="1:40" s="245" customFormat="1">
      <c r="A73" s="2889" t="s">
        <v>138</v>
      </c>
      <c r="B73" s="4338">
        <v>3</v>
      </c>
      <c r="C73" s="274">
        <f t="shared" si="52"/>
        <v>1.7682291666666674E-4</v>
      </c>
      <c r="D73" s="3010">
        <v>7</v>
      </c>
      <c r="E73" s="2947">
        <v>2</v>
      </c>
      <c r="F73" s="2947">
        <v>4</v>
      </c>
      <c r="G73" s="2947">
        <v>25</v>
      </c>
      <c r="H73" s="2947"/>
      <c r="I73" s="2948">
        <v>2.0833333333333333E-3</v>
      </c>
      <c r="J73" s="2949">
        <v>1.3888888888888889E-3</v>
      </c>
      <c r="K73" s="2947" t="s">
        <v>875</v>
      </c>
      <c r="L73" s="2950"/>
      <c r="M73" s="3011">
        <v>0.9</v>
      </c>
      <c r="N73" s="2949">
        <f>P73*E73*F73+I73*E73*F73+J73*E73</f>
        <v>2.0717569444444445E-2</v>
      </c>
      <c r="O73" s="2949">
        <f t="shared" si="48"/>
        <v>1.7682291666666674E-4</v>
      </c>
      <c r="P73" s="2949">
        <f>O73*M73</f>
        <v>1.5914062500000008E-4</v>
      </c>
      <c r="Q73" s="2951">
        <v>170</v>
      </c>
      <c r="R73" s="2952">
        <f>E73*F73*G73</f>
        <v>200</v>
      </c>
      <c r="S73" s="229">
        <f t="shared" si="53"/>
        <v>0.2</v>
      </c>
      <c r="T73" s="230">
        <f t="shared" si="54"/>
        <v>5.6583333333333355E-3</v>
      </c>
      <c r="U73" s="374">
        <f t="shared" si="55"/>
        <v>0</v>
      </c>
      <c r="V73" s="375">
        <f t="shared" si="56"/>
        <v>0</v>
      </c>
      <c r="W73" s="376">
        <f t="shared" si="57"/>
        <v>0</v>
      </c>
      <c r="X73" s="377">
        <f t="shared" si="58"/>
        <v>0</v>
      </c>
      <c r="Y73" s="378">
        <f t="shared" si="59"/>
        <v>0</v>
      </c>
      <c r="Z73" s="379">
        <f t="shared" si="60"/>
        <v>0</v>
      </c>
      <c r="AA73" s="380">
        <f t="shared" si="61"/>
        <v>0.2</v>
      </c>
      <c r="AB73" s="565"/>
      <c r="AC73" s="214"/>
      <c r="AD73" s="214"/>
      <c r="AE73" s="222"/>
      <c r="AF73" s="222"/>
      <c r="AG73" s="222"/>
      <c r="AH73" s="222"/>
      <c r="AI73" s="222"/>
      <c r="AJ73" s="214"/>
      <c r="AK73" s="214"/>
      <c r="AL73" s="214"/>
      <c r="AM73" s="214"/>
      <c r="AN73" s="244"/>
    </row>
    <row r="74" spans="1:40" s="245" customFormat="1" ht="16">
      <c r="A74" s="2889" t="s">
        <v>220</v>
      </c>
      <c r="B74" s="4338">
        <v>1</v>
      </c>
      <c r="C74" s="274">
        <f t="shared" si="52"/>
        <v>1.7682291666666674E-4</v>
      </c>
      <c r="D74" s="2915">
        <v>7</v>
      </c>
      <c r="E74" s="2916">
        <v>1</v>
      </c>
      <c r="F74" s="2916">
        <v>4</v>
      </c>
      <c r="G74" s="2916">
        <v>15</v>
      </c>
      <c r="H74" s="2916"/>
      <c r="I74" s="2917">
        <v>4.6296296296296293E-4</v>
      </c>
      <c r="J74" s="2917">
        <v>2.0833333333333333E-3</v>
      </c>
      <c r="K74" s="2916" t="s">
        <v>312</v>
      </c>
      <c r="L74" s="3013"/>
      <c r="M74" s="3014">
        <v>1</v>
      </c>
      <c r="N74" s="2917">
        <f>P74*E74*F74+I74*E74*F74+J74*E74</f>
        <v>4.3595601851851851E-3</v>
      </c>
      <c r="O74" s="2917">
        <f t="shared" si="48"/>
        <v>1.0609375000000004E-4</v>
      </c>
      <c r="P74" s="2917">
        <f>O74*M74</f>
        <v>1.0609375000000004E-4</v>
      </c>
      <c r="Q74" s="2921">
        <v>129</v>
      </c>
      <c r="R74" s="2922">
        <f>E74*F74*G74</f>
        <v>60</v>
      </c>
      <c r="S74" s="229">
        <f t="shared" si="53"/>
        <v>0.06</v>
      </c>
      <c r="T74" s="230">
        <f t="shared" si="54"/>
        <v>1.6975000000000007E-3</v>
      </c>
      <c r="U74" s="374">
        <f t="shared" si="55"/>
        <v>0</v>
      </c>
      <c r="V74" s="375">
        <f t="shared" si="56"/>
        <v>0</v>
      </c>
      <c r="W74" s="376">
        <f t="shared" si="57"/>
        <v>0</v>
      </c>
      <c r="X74" s="377">
        <f t="shared" si="58"/>
        <v>0</v>
      </c>
      <c r="Y74" s="378">
        <f t="shared" si="59"/>
        <v>0</v>
      </c>
      <c r="Z74" s="379">
        <f t="shared" si="60"/>
        <v>0</v>
      </c>
      <c r="AA74" s="380">
        <f t="shared" si="61"/>
        <v>0.06</v>
      </c>
      <c r="AB74" s="565"/>
      <c r="AC74" s="214"/>
      <c r="AD74" s="214"/>
      <c r="AE74" s="222"/>
      <c r="AF74" s="222"/>
      <c r="AG74" s="222"/>
      <c r="AH74" s="222"/>
      <c r="AI74" s="222"/>
      <c r="AJ74" s="214"/>
      <c r="AK74" s="214"/>
      <c r="AL74" s="214"/>
      <c r="AM74" s="214"/>
      <c r="AN74" s="244"/>
    </row>
    <row r="75" spans="1:40" s="245" customFormat="1">
      <c r="A75" s="2889" t="s">
        <v>674</v>
      </c>
      <c r="B75" s="2896" t="s">
        <v>215</v>
      </c>
      <c r="C75" s="274">
        <f t="shared" si="52"/>
        <v>0</v>
      </c>
      <c r="D75" s="3015"/>
      <c r="E75" s="3016"/>
      <c r="F75" s="2878"/>
      <c r="G75" s="2878"/>
      <c r="H75" s="2878"/>
      <c r="I75" s="2953"/>
      <c r="J75" s="2953"/>
      <c r="K75" s="3017"/>
      <c r="L75" s="3018"/>
      <c r="M75" s="3017"/>
      <c r="N75" s="3019">
        <f>SUM(N72:N74)</f>
        <v>2.9861569046421989E-2</v>
      </c>
      <c r="O75" s="3019">
        <f t="shared" si="48"/>
        <v>0</v>
      </c>
      <c r="P75" s="2954"/>
      <c r="Q75" s="2954"/>
      <c r="R75" s="3020">
        <f>SUM(R72:R74)</f>
        <v>660</v>
      </c>
      <c r="S75" s="229">
        <f t="shared" si="53"/>
        <v>0</v>
      </c>
      <c r="T75" s="230">
        <f t="shared" si="54"/>
        <v>0</v>
      </c>
      <c r="U75" s="374">
        <f t="shared" si="55"/>
        <v>0</v>
      </c>
      <c r="V75" s="375">
        <f t="shared" si="56"/>
        <v>0</v>
      </c>
      <c r="W75" s="376">
        <f t="shared" si="57"/>
        <v>0</v>
      </c>
      <c r="X75" s="377">
        <f t="shared" si="58"/>
        <v>0</v>
      </c>
      <c r="Y75" s="378">
        <f t="shared" si="59"/>
        <v>0</v>
      </c>
      <c r="Z75" s="379">
        <f t="shared" si="60"/>
        <v>0</v>
      </c>
      <c r="AA75" s="380">
        <f t="shared" si="61"/>
        <v>0</v>
      </c>
      <c r="AB75" s="565"/>
      <c r="AC75" s="214"/>
      <c r="AD75" s="214"/>
      <c r="AE75" s="222"/>
      <c r="AF75" s="222"/>
      <c r="AG75" s="222"/>
      <c r="AH75" s="222"/>
      <c r="AI75" s="222"/>
      <c r="AJ75" s="214"/>
      <c r="AK75" s="214"/>
      <c r="AL75" s="214"/>
      <c r="AM75" s="214"/>
      <c r="AN75" s="244"/>
    </row>
    <row r="76" spans="1:40" s="245" customFormat="1" ht="19" thickBot="1">
      <c r="A76" s="2889"/>
      <c r="B76" s="2896"/>
      <c r="C76" s="274">
        <f t="shared" si="52"/>
        <v>0</v>
      </c>
      <c r="D76" s="2857"/>
      <c r="E76" s="3016"/>
      <c r="F76" s="2878"/>
      <c r="G76" s="2878"/>
      <c r="H76" s="2858"/>
      <c r="I76" s="2859"/>
      <c r="J76" s="2860"/>
      <c r="K76" s="2861" t="s">
        <v>1474</v>
      </c>
      <c r="L76" s="3031"/>
      <c r="M76" s="2862"/>
      <c r="N76" s="2860"/>
      <c r="O76" s="2860">
        <f>C76*(G76/25)</f>
        <v>0</v>
      </c>
      <c r="P76" s="2858"/>
      <c r="Q76" s="2863"/>
      <c r="R76" s="2858"/>
      <c r="S76" s="229">
        <f t="shared" si="53"/>
        <v>0</v>
      </c>
      <c r="T76" s="230">
        <f t="shared" si="54"/>
        <v>0</v>
      </c>
      <c r="U76" s="374">
        <f t="shared" si="55"/>
        <v>0</v>
      </c>
      <c r="V76" s="375">
        <f t="shared" si="56"/>
        <v>0</v>
      </c>
      <c r="W76" s="376">
        <f t="shared" si="57"/>
        <v>0</v>
      </c>
      <c r="X76" s="377">
        <f t="shared" si="58"/>
        <v>0</v>
      </c>
      <c r="Y76" s="378">
        <f t="shared" si="59"/>
        <v>0</v>
      </c>
      <c r="Z76" s="379">
        <f t="shared" si="60"/>
        <v>0</v>
      </c>
      <c r="AA76" s="380">
        <f t="shared" si="61"/>
        <v>0</v>
      </c>
      <c r="AB76" s="565"/>
      <c r="AC76" s="214"/>
      <c r="AD76" s="214"/>
      <c r="AE76" s="222"/>
      <c r="AF76" s="222"/>
      <c r="AG76" s="222"/>
      <c r="AH76" s="222"/>
      <c r="AI76" s="222"/>
      <c r="AJ76" s="214"/>
      <c r="AK76" s="214"/>
      <c r="AL76" s="214"/>
      <c r="AM76" s="214"/>
      <c r="AN76" s="244"/>
    </row>
    <row r="77" spans="1:40" s="245" customFormat="1" ht="24">
      <c r="A77" s="4339" t="s">
        <v>220</v>
      </c>
      <c r="B77" s="2841">
        <v>1</v>
      </c>
      <c r="C77" s="274">
        <f t="shared" si="52"/>
        <v>2.1908757716049393E-4</v>
      </c>
      <c r="D77" s="2907">
        <v>2</v>
      </c>
      <c r="E77" s="2908">
        <v>1</v>
      </c>
      <c r="F77" s="2908">
        <v>40</v>
      </c>
      <c r="G77" s="2908">
        <v>25</v>
      </c>
      <c r="H77" s="2908"/>
      <c r="I77" s="3032">
        <v>2.8935185185185189E-4</v>
      </c>
      <c r="J77" s="3032">
        <v>1.3888888888888889E-3</v>
      </c>
      <c r="K77" s="3033" t="s">
        <v>1481</v>
      </c>
      <c r="L77" s="3034"/>
      <c r="M77" s="3035">
        <v>1</v>
      </c>
      <c r="N77" s="3036">
        <f>P77*E77*F77+I77*E77*F77+J77*E77</f>
        <v>2.172646604938272E-2</v>
      </c>
      <c r="O77" s="3036">
        <f t="shared" ref="O77:O84" si="62">C77*(G77/25)</f>
        <v>2.1908757716049393E-4</v>
      </c>
      <c r="P77" s="3036">
        <f>O77*M77</f>
        <v>2.1908757716049393E-4</v>
      </c>
      <c r="Q77" s="3037">
        <v>129</v>
      </c>
      <c r="R77" s="3038">
        <f>E77*F77*G77</f>
        <v>1000</v>
      </c>
      <c r="S77" s="229">
        <f t="shared" si="53"/>
        <v>1</v>
      </c>
      <c r="T77" s="230">
        <f t="shared" si="54"/>
        <v>3.505401234567903E-2</v>
      </c>
      <c r="U77" s="374">
        <f t="shared" si="55"/>
        <v>0</v>
      </c>
      <c r="V77" s="375">
        <f t="shared" si="56"/>
        <v>1</v>
      </c>
      <c r="W77" s="376">
        <f t="shared" si="57"/>
        <v>0</v>
      </c>
      <c r="X77" s="377">
        <f t="shared" si="58"/>
        <v>0</v>
      </c>
      <c r="Y77" s="378">
        <f t="shared" si="59"/>
        <v>0</v>
      </c>
      <c r="Z77" s="379">
        <f t="shared" si="60"/>
        <v>0</v>
      </c>
      <c r="AA77" s="380">
        <f t="shared" si="61"/>
        <v>0</v>
      </c>
      <c r="AB77" s="565"/>
      <c r="AC77" s="214"/>
      <c r="AD77" s="214"/>
      <c r="AE77" s="222"/>
      <c r="AF77" s="222"/>
      <c r="AG77" s="222"/>
      <c r="AH77" s="222"/>
      <c r="AI77" s="222"/>
      <c r="AJ77" s="214"/>
      <c r="AK77" s="214"/>
      <c r="AL77" s="214"/>
      <c r="AM77" s="214"/>
      <c r="AN77" s="244"/>
    </row>
    <row r="78" spans="1:40" s="245" customFormat="1" ht="17" thickBot="1">
      <c r="A78" s="4339" t="s">
        <v>674</v>
      </c>
      <c r="B78" s="2852">
        <v>8</v>
      </c>
      <c r="C78" s="274">
        <f t="shared" si="52"/>
        <v>1.7682291666666674E-4</v>
      </c>
      <c r="D78" s="2915">
        <v>7</v>
      </c>
      <c r="E78" s="2916">
        <v>2</v>
      </c>
      <c r="F78" s="2916">
        <v>4</v>
      </c>
      <c r="G78" s="2916">
        <v>7.5</v>
      </c>
      <c r="H78" s="2916"/>
      <c r="I78" s="2917">
        <v>3.4722222222222224E-4</v>
      </c>
      <c r="J78" s="2917">
        <v>2.0833333333333333E-3</v>
      </c>
      <c r="K78" s="2918" t="s">
        <v>1482</v>
      </c>
      <c r="L78" s="2919"/>
      <c r="M78" s="2920">
        <v>1</v>
      </c>
      <c r="N78" s="2917">
        <f>P78*E78*F78+I78*E78*F78+J78*E78</f>
        <v>7.3688194444444452E-3</v>
      </c>
      <c r="O78" s="2917">
        <f t="shared" si="62"/>
        <v>5.3046875000000021E-5</v>
      </c>
      <c r="P78" s="2917">
        <f>O78*M78</f>
        <v>5.3046875000000021E-5</v>
      </c>
      <c r="Q78" s="2921">
        <v>129</v>
      </c>
      <c r="R78" s="2922">
        <f>E78*F78*G78</f>
        <v>60</v>
      </c>
      <c r="S78" s="229">
        <f t="shared" si="53"/>
        <v>0.06</v>
      </c>
      <c r="T78" s="230">
        <f t="shared" si="54"/>
        <v>1.6975000000000007E-3</v>
      </c>
      <c r="U78" s="374">
        <f t="shared" si="55"/>
        <v>0</v>
      </c>
      <c r="V78" s="375">
        <f t="shared" si="56"/>
        <v>0</v>
      </c>
      <c r="W78" s="376">
        <f t="shared" si="57"/>
        <v>0</v>
      </c>
      <c r="X78" s="377">
        <f t="shared" si="58"/>
        <v>0</v>
      </c>
      <c r="Y78" s="378">
        <f t="shared" si="59"/>
        <v>0</v>
      </c>
      <c r="Z78" s="379">
        <f t="shared" si="60"/>
        <v>0</v>
      </c>
      <c r="AA78" s="380">
        <f t="shared" si="61"/>
        <v>0.06</v>
      </c>
      <c r="AB78" s="565"/>
      <c r="AC78" s="214"/>
      <c r="AD78" s="214"/>
      <c r="AE78" s="222"/>
      <c r="AF78" s="222"/>
      <c r="AG78" s="222"/>
      <c r="AH78" s="222"/>
      <c r="AI78" s="222"/>
      <c r="AJ78" s="214"/>
      <c r="AK78" s="214"/>
      <c r="AL78" s="214"/>
      <c r="AM78" s="214"/>
      <c r="AN78" s="244"/>
    </row>
    <row r="79" spans="1:40" s="245" customFormat="1">
      <c r="A79" s="4339" t="s">
        <v>215</v>
      </c>
      <c r="B79" s="4341" t="s">
        <v>461</v>
      </c>
      <c r="C79" s="274">
        <f t="shared" si="52"/>
        <v>2.1908757716049393E-4</v>
      </c>
      <c r="D79" s="2907">
        <v>2</v>
      </c>
      <c r="E79" s="2881">
        <v>1</v>
      </c>
      <c r="F79" s="2881">
        <v>2</v>
      </c>
      <c r="G79" s="2881">
        <v>300</v>
      </c>
      <c r="H79" s="2881"/>
      <c r="I79" s="2277">
        <v>2.0833333333333333E-3</v>
      </c>
      <c r="J79" s="2277">
        <v>0</v>
      </c>
      <c r="K79" s="2881" t="s">
        <v>1476</v>
      </c>
      <c r="L79" s="2923"/>
      <c r="M79" s="2881">
        <v>1</v>
      </c>
      <c r="N79" s="2277">
        <f>P79*E79*F79+I79*E79*F79+J79*E79</f>
        <v>9.4247685185185198E-3</v>
      </c>
      <c r="O79" s="2277">
        <f t="shared" si="62"/>
        <v>2.629050925925927E-3</v>
      </c>
      <c r="P79" s="2277">
        <f>O79*M79</f>
        <v>2.629050925925927E-3</v>
      </c>
      <c r="Q79" s="2924">
        <v>129</v>
      </c>
      <c r="R79" s="2882">
        <f>E79*F79*G79</f>
        <v>600</v>
      </c>
      <c r="S79" s="229">
        <f t="shared" si="53"/>
        <v>0.6</v>
      </c>
      <c r="T79" s="230">
        <f t="shared" si="54"/>
        <v>2.1032407407407416E-2</v>
      </c>
      <c r="U79" s="374">
        <f t="shared" si="55"/>
        <v>0</v>
      </c>
      <c r="V79" s="375">
        <f t="shared" si="56"/>
        <v>0.6</v>
      </c>
      <c r="W79" s="376">
        <f t="shared" si="57"/>
        <v>0</v>
      </c>
      <c r="X79" s="377">
        <f t="shared" si="58"/>
        <v>0</v>
      </c>
      <c r="Y79" s="378">
        <f t="shared" si="59"/>
        <v>0</v>
      </c>
      <c r="Z79" s="379">
        <f t="shared" si="60"/>
        <v>0</v>
      </c>
      <c r="AA79" s="380">
        <f t="shared" si="61"/>
        <v>0</v>
      </c>
      <c r="AB79" s="565"/>
      <c r="AC79" s="214"/>
      <c r="AD79" s="214"/>
      <c r="AE79" s="222"/>
      <c r="AF79" s="222"/>
      <c r="AG79" s="222"/>
      <c r="AH79" s="222"/>
      <c r="AI79" s="222"/>
      <c r="AJ79" s="214"/>
      <c r="AK79" s="214"/>
      <c r="AL79" s="214"/>
      <c r="AM79" s="214"/>
      <c r="AN79" s="244"/>
    </row>
    <row r="80" spans="1:40" s="245" customFormat="1" ht="16">
      <c r="A80" s="4339" t="s">
        <v>139</v>
      </c>
      <c r="B80" s="4341" t="s">
        <v>461</v>
      </c>
      <c r="C80" s="274">
        <f t="shared" si="52"/>
        <v>1.7682291666666674E-4</v>
      </c>
      <c r="D80" s="2915">
        <v>7</v>
      </c>
      <c r="E80" s="2916">
        <v>2</v>
      </c>
      <c r="F80" s="2916">
        <v>4</v>
      </c>
      <c r="G80" s="2916">
        <v>15</v>
      </c>
      <c r="H80" s="2916"/>
      <c r="I80" s="2917">
        <v>4.6296296296296293E-4</v>
      </c>
      <c r="J80" s="2917">
        <v>5.5555555555555558E-3</v>
      </c>
      <c r="K80" s="2918" t="s">
        <v>312</v>
      </c>
      <c r="L80" s="2919"/>
      <c r="M80" s="2920">
        <v>1</v>
      </c>
      <c r="N80" s="2917">
        <f>P80*E80*F80+I80*E80*F80+J80*E80</f>
        <v>1.5663564814814814E-2</v>
      </c>
      <c r="O80" s="2917">
        <f t="shared" si="62"/>
        <v>1.0609375000000004E-4</v>
      </c>
      <c r="P80" s="2917">
        <f>O80*M80</f>
        <v>1.0609375000000004E-4</v>
      </c>
      <c r="Q80" s="2921">
        <v>129</v>
      </c>
      <c r="R80" s="2922">
        <f>E80*F80*G80</f>
        <v>120</v>
      </c>
      <c r="S80" s="229">
        <f t="shared" si="53"/>
        <v>0.12</v>
      </c>
      <c r="T80" s="230">
        <f t="shared" si="54"/>
        <v>3.3950000000000013E-3</v>
      </c>
      <c r="U80" s="374">
        <f t="shared" si="55"/>
        <v>0</v>
      </c>
      <c r="V80" s="375">
        <f t="shared" si="56"/>
        <v>0</v>
      </c>
      <c r="W80" s="376">
        <f t="shared" si="57"/>
        <v>0</v>
      </c>
      <c r="X80" s="377">
        <f t="shared" si="58"/>
        <v>0</v>
      </c>
      <c r="Y80" s="378">
        <f t="shared" si="59"/>
        <v>0</v>
      </c>
      <c r="Z80" s="379">
        <f t="shared" si="60"/>
        <v>0</v>
      </c>
      <c r="AA80" s="380">
        <f t="shared" si="61"/>
        <v>0.12</v>
      </c>
      <c r="AB80" s="565"/>
      <c r="AC80" s="214"/>
      <c r="AD80" s="214"/>
      <c r="AE80" s="222"/>
      <c r="AF80" s="222"/>
      <c r="AG80" s="222"/>
      <c r="AH80" s="222"/>
      <c r="AI80" s="222"/>
      <c r="AJ80" s="214"/>
      <c r="AK80" s="214"/>
      <c r="AL80" s="214"/>
      <c r="AM80" s="214"/>
      <c r="AN80" s="244"/>
    </row>
    <row r="81" spans="1:40" s="245" customFormat="1" ht="16">
      <c r="A81" s="4339" t="s">
        <v>460</v>
      </c>
      <c r="B81" s="4341" t="s">
        <v>461</v>
      </c>
      <c r="C81" s="274">
        <f t="shared" si="52"/>
        <v>0</v>
      </c>
      <c r="D81" s="2925"/>
      <c r="E81" s="2926"/>
      <c r="F81" s="2926"/>
      <c r="G81" s="2926"/>
      <c r="H81" s="2926"/>
      <c r="I81" s="3012"/>
      <c r="J81" s="2927"/>
      <c r="K81" s="2928" t="s">
        <v>265</v>
      </c>
      <c r="L81" s="2929"/>
      <c r="M81" s="2930"/>
      <c r="N81" s="2931">
        <f>SUM(N77:N80)</f>
        <v>5.4183618827160496E-2</v>
      </c>
      <c r="O81" s="2932">
        <f t="shared" si="62"/>
        <v>0</v>
      </c>
      <c r="P81" s="2933"/>
      <c r="Q81" s="2930"/>
      <c r="R81" s="2934">
        <f>SUM(R77:R80)</f>
        <v>1780</v>
      </c>
      <c r="S81" s="229">
        <f t="shared" si="53"/>
        <v>0</v>
      </c>
      <c r="T81" s="230">
        <f t="shared" si="54"/>
        <v>0</v>
      </c>
      <c r="U81" s="374">
        <f t="shared" si="55"/>
        <v>0</v>
      </c>
      <c r="V81" s="375">
        <f t="shared" si="56"/>
        <v>0</v>
      </c>
      <c r="W81" s="376">
        <f t="shared" si="57"/>
        <v>0</v>
      </c>
      <c r="X81" s="377">
        <f t="shared" si="58"/>
        <v>0</v>
      </c>
      <c r="Y81" s="378">
        <f t="shared" si="59"/>
        <v>0</v>
      </c>
      <c r="Z81" s="379">
        <f t="shared" si="60"/>
        <v>0</v>
      </c>
      <c r="AA81" s="380">
        <f t="shared" si="61"/>
        <v>0</v>
      </c>
      <c r="AB81" s="565"/>
      <c r="AC81" s="214"/>
      <c r="AD81" s="214"/>
      <c r="AE81" s="222"/>
      <c r="AF81" s="222"/>
      <c r="AG81" s="222"/>
      <c r="AH81" s="222"/>
      <c r="AI81" s="222"/>
      <c r="AJ81" s="214"/>
      <c r="AK81" s="214"/>
      <c r="AL81" s="214"/>
      <c r="AM81" s="214"/>
      <c r="AN81" s="244"/>
    </row>
    <row r="82" spans="1:40" s="245" customFormat="1">
      <c r="A82" s="4339" t="s">
        <v>1763</v>
      </c>
      <c r="B82" s="4341" t="s">
        <v>461</v>
      </c>
      <c r="C82" s="274">
        <f t="shared" si="52"/>
        <v>1.7682291666666674E-4</v>
      </c>
      <c r="D82" s="2938">
        <v>7</v>
      </c>
      <c r="E82" s="2939">
        <v>1</v>
      </c>
      <c r="F82" s="2939">
        <v>15</v>
      </c>
      <c r="G82" s="2939">
        <v>20</v>
      </c>
      <c r="H82" s="2939"/>
      <c r="I82" s="2940">
        <v>1.1574074074074073E-4</v>
      </c>
      <c r="J82" s="2940">
        <v>1.3888888888888889E-3</v>
      </c>
      <c r="K82" s="2941" t="s">
        <v>413</v>
      </c>
      <c r="L82" s="2942"/>
      <c r="M82" s="2941">
        <v>1</v>
      </c>
      <c r="N82" s="2940">
        <f>P82*E82*F82+I82*E82*F82+J82*E82</f>
        <v>3.1250000000000002E-3</v>
      </c>
      <c r="O82" s="2940">
        <f t="shared" si="62"/>
        <v>1.4145833333333339E-4</v>
      </c>
      <c r="P82" s="2943"/>
      <c r="Q82" s="2944">
        <v>129</v>
      </c>
      <c r="R82" s="2945">
        <f>E82*F82*G82</f>
        <v>300</v>
      </c>
      <c r="S82" s="229">
        <f t="shared" si="53"/>
        <v>0.3</v>
      </c>
      <c r="T82" s="230">
        <f t="shared" si="54"/>
        <v>8.4875000000000037E-3</v>
      </c>
      <c r="U82" s="374">
        <f t="shared" si="55"/>
        <v>0</v>
      </c>
      <c r="V82" s="375">
        <f t="shared" si="56"/>
        <v>0</v>
      </c>
      <c r="W82" s="376">
        <f t="shared" si="57"/>
        <v>0</v>
      </c>
      <c r="X82" s="377">
        <f t="shared" si="58"/>
        <v>0</v>
      </c>
      <c r="Y82" s="378">
        <f t="shared" si="59"/>
        <v>0</v>
      </c>
      <c r="Z82" s="379">
        <f t="shared" si="60"/>
        <v>0</v>
      </c>
      <c r="AA82" s="380">
        <f t="shared" si="61"/>
        <v>0.3</v>
      </c>
      <c r="AB82" s="565"/>
      <c r="AC82" s="214"/>
      <c r="AD82" s="214"/>
      <c r="AE82" s="222"/>
      <c r="AF82" s="222"/>
      <c r="AG82" s="222"/>
      <c r="AH82" s="222"/>
      <c r="AI82" s="222"/>
      <c r="AJ82" s="214"/>
      <c r="AK82" s="214"/>
      <c r="AL82" s="214"/>
      <c r="AM82" s="214"/>
      <c r="AN82" s="244"/>
    </row>
    <row r="83" spans="1:40" s="245" customFormat="1">
      <c r="A83" s="4339" t="s">
        <v>674</v>
      </c>
      <c r="B83" s="4341" t="s">
        <v>461</v>
      </c>
      <c r="C83" s="274">
        <f t="shared" si="52"/>
        <v>1.7682291666666674E-4</v>
      </c>
      <c r="D83" s="2946">
        <v>7</v>
      </c>
      <c r="E83" s="2947">
        <v>1</v>
      </c>
      <c r="F83" s="2947">
        <v>2</v>
      </c>
      <c r="G83" s="2947">
        <v>50</v>
      </c>
      <c r="H83" s="2947"/>
      <c r="I83" s="2948">
        <v>3.4722222222222224E-4</v>
      </c>
      <c r="J83" s="2949">
        <v>1.3888888888888889E-3</v>
      </c>
      <c r="K83" s="2947" t="s">
        <v>688</v>
      </c>
      <c r="L83" s="2950"/>
      <c r="M83" s="2879">
        <v>0.85</v>
      </c>
      <c r="N83" s="2949">
        <f>P83*E83*F83+I83*E83*F83+J83*E83</f>
        <v>2.6845312500000003E-3</v>
      </c>
      <c r="O83" s="2949">
        <f t="shared" si="62"/>
        <v>3.5364583333333347E-4</v>
      </c>
      <c r="P83" s="2949">
        <f>O83*M83</f>
        <v>3.0059895833333344E-4</v>
      </c>
      <c r="Q83" s="2951">
        <v>129</v>
      </c>
      <c r="R83" s="2952">
        <f>E83*F83*G83</f>
        <v>100</v>
      </c>
      <c r="S83" s="229">
        <f t="shared" si="53"/>
        <v>0.1</v>
      </c>
      <c r="T83" s="230">
        <f t="shared" si="54"/>
        <v>2.8291666666666678E-3</v>
      </c>
      <c r="U83" s="374">
        <f t="shared" si="55"/>
        <v>0</v>
      </c>
      <c r="V83" s="375">
        <f t="shared" si="56"/>
        <v>0</v>
      </c>
      <c r="W83" s="376">
        <f t="shared" si="57"/>
        <v>0</v>
      </c>
      <c r="X83" s="377">
        <f t="shared" si="58"/>
        <v>0</v>
      </c>
      <c r="Y83" s="378">
        <f t="shared" si="59"/>
        <v>0</v>
      </c>
      <c r="Z83" s="379">
        <f t="shared" si="60"/>
        <v>0</v>
      </c>
      <c r="AA83" s="380">
        <f t="shared" si="61"/>
        <v>0.1</v>
      </c>
      <c r="AB83" s="565"/>
      <c r="AC83" s="214"/>
      <c r="AD83" s="214"/>
      <c r="AE83" s="222"/>
      <c r="AF83" s="222"/>
      <c r="AG83" s="222"/>
      <c r="AH83" s="222"/>
      <c r="AI83" s="222"/>
      <c r="AJ83" s="214"/>
      <c r="AK83" s="214"/>
      <c r="AL83" s="214"/>
      <c r="AM83" s="214"/>
      <c r="AN83" s="244"/>
    </row>
    <row r="84" spans="1:40" s="245" customFormat="1">
      <c r="A84" s="4339"/>
      <c r="B84" s="4341" t="s">
        <v>461</v>
      </c>
      <c r="C84" s="274">
        <f t="shared" si="52"/>
        <v>2.2880964381720439E-4</v>
      </c>
      <c r="D84" s="2907">
        <v>1</v>
      </c>
      <c r="E84" s="2878">
        <v>1</v>
      </c>
      <c r="F84" s="2878">
        <v>1</v>
      </c>
      <c r="G84" s="2878">
        <v>200</v>
      </c>
      <c r="H84" s="2878"/>
      <c r="I84" s="2337">
        <v>3.4722222222222224E-4</v>
      </c>
      <c r="J84" s="2953">
        <v>1.3888888888888889E-3</v>
      </c>
      <c r="K84" s="2878" t="s">
        <v>560</v>
      </c>
      <c r="L84" s="2427"/>
      <c r="M84" s="2878">
        <v>1</v>
      </c>
      <c r="N84" s="2953">
        <f>P84*E84*F84+I84*E84*F84+J84*E84</f>
        <v>3.5665882616487459E-3</v>
      </c>
      <c r="O84" s="2953">
        <f t="shared" si="62"/>
        <v>1.8304771505376352E-3</v>
      </c>
      <c r="P84" s="2954">
        <f>O84*M84</f>
        <v>1.8304771505376352E-3</v>
      </c>
      <c r="Q84" s="2954">
        <v>129</v>
      </c>
      <c r="R84" s="2955">
        <f>E84*F84*G84</f>
        <v>200</v>
      </c>
      <c r="S84" s="229">
        <f t="shared" si="53"/>
        <v>0.2</v>
      </c>
      <c r="T84" s="230">
        <f t="shared" si="54"/>
        <v>7.3219086021505406E-3</v>
      </c>
      <c r="U84" s="374">
        <f t="shared" si="55"/>
        <v>0.2</v>
      </c>
      <c r="V84" s="375">
        <f t="shared" si="56"/>
        <v>0</v>
      </c>
      <c r="W84" s="376">
        <f t="shared" si="57"/>
        <v>0</v>
      </c>
      <c r="X84" s="377">
        <f t="shared" si="58"/>
        <v>0</v>
      </c>
      <c r="Y84" s="378">
        <f t="shared" si="59"/>
        <v>0</v>
      </c>
      <c r="Z84" s="379">
        <f t="shared" si="60"/>
        <v>0</v>
      </c>
      <c r="AA84" s="380">
        <f t="shared" si="61"/>
        <v>0</v>
      </c>
      <c r="AB84" s="565"/>
      <c r="AC84" s="214"/>
      <c r="AD84" s="214"/>
      <c r="AE84" s="222"/>
      <c r="AF84" s="222"/>
      <c r="AG84" s="222"/>
      <c r="AH84" s="222"/>
      <c r="AI84" s="222"/>
      <c r="AJ84" s="214"/>
      <c r="AK84" s="214"/>
      <c r="AL84" s="214"/>
      <c r="AM84" s="214"/>
      <c r="AN84" s="244"/>
    </row>
    <row r="85" spans="1:40" s="245" customFormat="1" ht="14" thickBot="1">
      <c r="A85" s="4340"/>
      <c r="B85" s="4340"/>
      <c r="C85" s="274">
        <f t="shared" si="52"/>
        <v>0</v>
      </c>
      <c r="D85" s="2716"/>
      <c r="E85" s="1452"/>
      <c r="F85" s="1452"/>
      <c r="G85" s="1452"/>
      <c r="H85" s="1452"/>
      <c r="I85" s="1452"/>
      <c r="J85" s="1452"/>
      <c r="K85" s="1452"/>
      <c r="L85" s="1003"/>
      <c r="M85" s="3274"/>
      <c r="N85" s="2717"/>
      <c r="O85" s="3274"/>
      <c r="P85" s="3274"/>
      <c r="Q85" s="3274"/>
      <c r="R85" s="4335"/>
      <c r="S85" s="4336"/>
      <c r="T85" s="230"/>
      <c r="U85" s="374"/>
      <c r="V85" s="375"/>
      <c r="W85" s="376"/>
      <c r="X85" s="377"/>
      <c r="Y85" s="378"/>
      <c r="Z85" s="379"/>
      <c r="AA85" s="380"/>
      <c r="AB85" s="565"/>
      <c r="AC85" s="214"/>
      <c r="AD85" s="214"/>
      <c r="AE85" s="222"/>
      <c r="AF85" s="222"/>
      <c r="AG85" s="222"/>
      <c r="AH85" s="222"/>
      <c r="AI85" s="222"/>
      <c r="AJ85" s="214"/>
      <c r="AK85" s="214"/>
      <c r="AL85" s="214"/>
      <c r="AM85" s="214"/>
      <c r="AN85" s="244"/>
    </row>
    <row r="86" spans="1:40" ht="27" thickTop="1" thickBot="1">
      <c r="A86" s="4342" t="s">
        <v>214</v>
      </c>
      <c r="B86" s="4342">
        <v>2</v>
      </c>
      <c r="C86" s="979"/>
      <c r="D86" s="1034"/>
      <c r="E86" s="979"/>
      <c r="F86" s="979"/>
      <c r="G86" s="144"/>
      <c r="H86" s="144"/>
      <c r="I86" s="144"/>
      <c r="J86" s="144"/>
      <c r="K86" s="4343" t="s">
        <v>1900</v>
      </c>
      <c r="L86" s="144"/>
      <c r="M86" s="144"/>
      <c r="N86" s="4364">
        <v>50</v>
      </c>
      <c r="O86" s="4365"/>
      <c r="P86" s="4366">
        <v>100</v>
      </c>
      <c r="Q86" s="144"/>
      <c r="R86" s="144">
        <f>SUM(R55)</f>
        <v>1780</v>
      </c>
      <c r="S86" s="238"/>
      <c r="T86" s="239"/>
      <c r="U86" s="240">
        <f>SUM(U6:U85)</f>
        <v>3.5000000000000009</v>
      </c>
      <c r="V86" s="240">
        <f t="shared" ref="V86:AA86" si="63">SUM(V6:V85)</f>
        <v>6.1999999999999993</v>
      </c>
      <c r="W86" s="240">
        <f t="shared" si="63"/>
        <v>1.6</v>
      </c>
      <c r="X86" s="240">
        <f t="shared" si="63"/>
        <v>0.85</v>
      </c>
      <c r="Y86" s="240">
        <f t="shared" si="63"/>
        <v>1.05</v>
      </c>
      <c r="Z86" s="240">
        <f t="shared" si="63"/>
        <v>1.79</v>
      </c>
      <c r="AA86" s="240">
        <f t="shared" si="63"/>
        <v>2.4849999999999999</v>
      </c>
      <c r="AB86" s="565">
        <f>SUM(U86:AA86)</f>
        <v>17.474999999999998</v>
      </c>
      <c r="AE86" s="222"/>
      <c r="AF86" s="222"/>
      <c r="AG86" s="222"/>
      <c r="AH86" s="222"/>
      <c r="AI86" s="222"/>
    </row>
    <row r="87" spans="1:40" ht="21" thickTop="1" thickBot="1">
      <c r="A87" s="961"/>
      <c r="B87" s="1262"/>
      <c r="C87" s="629"/>
      <c r="D87" s="962"/>
      <c r="E87" s="630"/>
      <c r="F87" s="630"/>
      <c r="G87" s="630"/>
      <c r="H87" s="631"/>
      <c r="I87" s="631"/>
      <c r="J87" s="631"/>
      <c r="K87" s="4303" t="s">
        <v>1901</v>
      </c>
      <c r="L87" s="632"/>
      <c r="M87" s="633">
        <v>1</v>
      </c>
      <c r="N87" s="631">
        <f>P87*E87*F87+I87*E87*F87+J87*E87</f>
        <v>0</v>
      </c>
      <c r="O87" s="631">
        <f t="shared" ref="O87" si="64">D87*(G87/25)</f>
        <v>0</v>
      </c>
      <c r="P87" s="634">
        <f>O87*M87</f>
        <v>0</v>
      </c>
      <c r="Q87" s="635">
        <v>129</v>
      </c>
      <c r="R87" s="636"/>
      <c r="S87" s="4347"/>
      <c r="T87" s="4347"/>
      <c r="U87" s="566">
        <f t="shared" ref="U87:AA87" si="65">IF(U86&gt;0,U86,U55)</f>
        <v>3.5000000000000009</v>
      </c>
      <c r="V87" s="566">
        <f t="shared" si="65"/>
        <v>6.1999999999999993</v>
      </c>
      <c r="W87" s="566">
        <f t="shared" si="65"/>
        <v>1.6</v>
      </c>
      <c r="X87" s="566">
        <f t="shared" si="65"/>
        <v>0.85</v>
      </c>
      <c r="Y87" s="566">
        <f t="shared" si="65"/>
        <v>1.05</v>
      </c>
      <c r="Z87" s="566">
        <f t="shared" si="65"/>
        <v>1.79</v>
      </c>
      <c r="AA87" s="566">
        <f t="shared" si="65"/>
        <v>2.4849999999999999</v>
      </c>
      <c r="AB87" s="144"/>
    </row>
    <row r="88" spans="1:40" ht="17" thickBot="1">
      <c r="A88" s="4348" t="s">
        <v>215</v>
      </c>
      <c r="B88" s="1262" t="s">
        <v>215</v>
      </c>
      <c r="C88" s="3713">
        <v>3</v>
      </c>
      <c r="D88" s="4350">
        <v>7</v>
      </c>
      <c r="E88" s="4355" t="s">
        <v>1902</v>
      </c>
      <c r="F88" s="4355"/>
      <c r="G88" s="4355">
        <v>50</v>
      </c>
      <c r="H88" s="4354" t="s">
        <v>878</v>
      </c>
      <c r="I88" s="4354"/>
      <c r="J88" s="4354"/>
      <c r="K88" s="4356"/>
      <c r="L88" s="4353"/>
      <c r="M88" s="4357"/>
      <c r="N88" s="4358" t="s">
        <v>1555</v>
      </c>
      <c r="O88" s="4359"/>
      <c r="P88" s="4358">
        <v>3.2268518518518518E-4</v>
      </c>
      <c r="Q88" s="4360"/>
      <c r="R88" s="4361"/>
      <c r="S88" s="4347"/>
      <c r="T88" s="4347"/>
      <c r="U88" s="566">
        <f t="shared" ref="U88:AA107" si="66">IF(U87&gt;0,U87,U86)</f>
        <v>3.5000000000000009</v>
      </c>
      <c r="V88" s="566">
        <f t="shared" si="66"/>
        <v>6.1999999999999993</v>
      </c>
      <c r="W88" s="566">
        <f t="shared" si="66"/>
        <v>1.6</v>
      </c>
      <c r="X88" s="566">
        <f t="shared" si="66"/>
        <v>0.85</v>
      </c>
      <c r="Y88" s="566">
        <f t="shared" si="66"/>
        <v>1.05</v>
      </c>
      <c r="Z88" s="566">
        <f t="shared" si="66"/>
        <v>1.79</v>
      </c>
      <c r="AA88" s="566">
        <f t="shared" si="66"/>
        <v>2.4849999999999999</v>
      </c>
      <c r="AB88" s="144"/>
      <c r="AC88" s="221"/>
      <c r="AD88" s="222"/>
      <c r="AE88" s="222"/>
      <c r="AF88" s="222"/>
      <c r="AG88" s="222"/>
      <c r="AH88" s="222"/>
      <c r="AI88" s="220"/>
    </row>
    <row r="89" spans="1:40" ht="18" thickBot="1">
      <c r="A89" s="4351"/>
      <c r="B89" s="1262" t="s">
        <v>461</v>
      </c>
      <c r="C89" s="3713">
        <v>3</v>
      </c>
      <c r="D89" s="1237"/>
      <c r="E89" s="4355" t="s">
        <v>1903</v>
      </c>
      <c r="F89" s="4355"/>
      <c r="G89" s="4355">
        <v>50</v>
      </c>
      <c r="H89" s="4354" t="s">
        <v>878</v>
      </c>
      <c r="I89" s="4354"/>
      <c r="J89" s="4354"/>
      <c r="K89" s="4356" t="s">
        <v>1906</v>
      </c>
      <c r="L89" s="4367" t="s">
        <v>1912</v>
      </c>
      <c r="M89" s="4357"/>
      <c r="N89" s="4358" t="s">
        <v>1911</v>
      </c>
      <c r="O89" s="4359"/>
      <c r="P89" s="4358">
        <v>3.1388888888888889E-4</v>
      </c>
      <c r="Q89" s="7995" t="s">
        <v>1913</v>
      </c>
      <c r="R89" s="8036"/>
      <c r="S89" s="8036"/>
      <c r="T89" s="4347"/>
      <c r="U89" s="566"/>
      <c r="V89" s="566"/>
      <c r="W89" s="566"/>
      <c r="X89" s="566"/>
      <c r="Y89" s="566"/>
      <c r="Z89" s="566"/>
      <c r="AA89" s="566"/>
      <c r="AB89" s="144"/>
      <c r="AC89" s="221"/>
      <c r="AD89" s="222"/>
      <c r="AE89" s="222"/>
      <c r="AF89" s="222"/>
      <c r="AG89" s="222"/>
      <c r="AH89" s="222"/>
      <c r="AI89" s="220"/>
    </row>
    <row r="90" spans="1:40" ht="17">
      <c r="A90" s="4349" t="s">
        <v>215</v>
      </c>
      <c r="B90" s="1262" t="s">
        <v>215</v>
      </c>
      <c r="C90" s="3713">
        <v>4</v>
      </c>
      <c r="D90" s="1237"/>
      <c r="E90" s="4355" t="s">
        <v>1902</v>
      </c>
      <c r="F90" s="4355">
        <v>1</v>
      </c>
      <c r="G90" s="4355">
        <v>50</v>
      </c>
      <c r="H90" s="4354" t="s">
        <v>1169</v>
      </c>
      <c r="I90" s="4354"/>
      <c r="J90" s="4354"/>
      <c r="K90" s="4356" t="s">
        <v>1907</v>
      </c>
      <c r="L90" s="4353"/>
      <c r="M90" s="4357"/>
      <c r="N90" s="4358"/>
      <c r="O90" s="4359"/>
      <c r="P90" s="4358"/>
      <c r="Q90" s="4360"/>
      <c r="R90" s="4361"/>
      <c r="S90" s="4347"/>
      <c r="T90" s="4347"/>
      <c r="U90" s="566">
        <f t="shared" ref="U90:AA90" si="67">IF(U88&gt;0,U88,U87)</f>
        <v>3.5000000000000009</v>
      </c>
      <c r="V90" s="566">
        <f t="shared" si="67"/>
        <v>6.1999999999999993</v>
      </c>
      <c r="W90" s="566">
        <f t="shared" si="67"/>
        <v>1.6</v>
      </c>
      <c r="X90" s="566">
        <f t="shared" si="67"/>
        <v>0.85</v>
      </c>
      <c r="Y90" s="566">
        <f t="shared" si="67"/>
        <v>1.05</v>
      </c>
      <c r="Z90" s="566">
        <f t="shared" si="67"/>
        <v>1.79</v>
      </c>
      <c r="AA90" s="566">
        <f t="shared" si="67"/>
        <v>2.4849999999999999</v>
      </c>
      <c r="AB90" s="144"/>
      <c r="AC90" s="231" t="s">
        <v>193</v>
      </c>
      <c r="AD90" s="227"/>
      <c r="AE90" s="227"/>
      <c r="AF90" s="227"/>
      <c r="AG90" s="227"/>
      <c r="AH90" s="227"/>
      <c r="AI90" s="225"/>
      <c r="AJ90" s="204"/>
      <c r="AK90" s="204"/>
      <c r="AL90" s="204"/>
      <c r="AM90" s="204"/>
      <c r="AN90" s="204"/>
    </row>
    <row r="91" spans="1:40" ht="16">
      <c r="A91" s="4352"/>
      <c r="B91" s="1262" t="s">
        <v>461</v>
      </c>
      <c r="C91" s="3713">
        <v>4</v>
      </c>
      <c r="D91" s="1237"/>
      <c r="E91" s="4355" t="s">
        <v>1903</v>
      </c>
      <c r="F91" s="4355"/>
      <c r="G91" s="4355">
        <v>50</v>
      </c>
      <c r="H91" s="4354" t="s">
        <v>1169</v>
      </c>
      <c r="I91" s="4354"/>
      <c r="J91" s="4354"/>
      <c r="K91" s="4356"/>
      <c r="L91" s="4353"/>
      <c r="M91" s="4357"/>
      <c r="N91" s="4358"/>
      <c r="O91" s="4359"/>
      <c r="P91" s="4358"/>
      <c r="Q91" s="4360"/>
      <c r="R91" s="4361"/>
      <c r="S91" s="4347"/>
      <c r="T91" s="4347"/>
      <c r="U91" s="566"/>
      <c r="V91" s="566"/>
      <c r="W91" s="566"/>
      <c r="X91" s="566"/>
      <c r="Y91" s="566"/>
      <c r="Z91" s="566"/>
      <c r="AA91" s="566"/>
      <c r="AB91" s="144"/>
      <c r="AC91" s="231"/>
      <c r="AD91" s="227"/>
      <c r="AE91" s="227"/>
      <c r="AF91" s="227"/>
      <c r="AG91" s="227"/>
      <c r="AH91" s="227"/>
      <c r="AI91" s="225"/>
      <c r="AJ91" s="204"/>
      <c r="AK91" s="204"/>
      <c r="AL91" s="204"/>
      <c r="AM91" s="204"/>
      <c r="AN91" s="204"/>
    </row>
    <row r="92" spans="1:40" ht="18" thickBot="1">
      <c r="A92" s="4346" t="s">
        <v>217</v>
      </c>
      <c r="B92" s="4344" t="s">
        <v>215</v>
      </c>
      <c r="C92" s="3713">
        <v>5</v>
      </c>
      <c r="D92" s="1237">
        <v>7</v>
      </c>
      <c r="E92" s="4355" t="s">
        <v>1902</v>
      </c>
      <c r="F92" s="4355">
        <v>1</v>
      </c>
      <c r="G92" s="4355"/>
      <c r="H92" s="4354"/>
      <c r="I92" s="4354"/>
      <c r="J92" s="4354"/>
      <c r="K92" s="4363" t="s">
        <v>1905</v>
      </c>
      <c r="L92" s="4353"/>
      <c r="M92" s="4357"/>
      <c r="N92" s="4358"/>
      <c r="O92" s="4359"/>
      <c r="P92" s="4358"/>
      <c r="Q92" s="4360"/>
      <c r="R92" s="4361"/>
      <c r="S92" s="4347"/>
      <c r="T92" s="4347"/>
      <c r="U92" s="566">
        <f t="shared" ref="U92:AA92" si="68">IF(U90&gt;0,U90,U88)</f>
        <v>3.5000000000000009</v>
      </c>
      <c r="V92" s="566">
        <f t="shared" si="68"/>
        <v>6.1999999999999993</v>
      </c>
      <c r="W92" s="566">
        <f t="shared" si="68"/>
        <v>1.6</v>
      </c>
      <c r="X92" s="566">
        <f t="shared" si="68"/>
        <v>0.85</v>
      </c>
      <c r="Y92" s="566">
        <f t="shared" si="68"/>
        <v>1.05</v>
      </c>
      <c r="Z92" s="566">
        <f t="shared" si="68"/>
        <v>1.79</v>
      </c>
      <c r="AA92" s="566">
        <f t="shared" si="68"/>
        <v>2.4849999999999999</v>
      </c>
      <c r="AB92" s="144"/>
      <c r="AC92" s="231">
        <v>0</v>
      </c>
      <c r="AD92" s="231">
        <v>0</v>
      </c>
      <c r="AE92" s="231">
        <v>0</v>
      </c>
      <c r="AF92" s="231">
        <v>0</v>
      </c>
      <c r="AG92" s="231">
        <v>0</v>
      </c>
      <c r="AH92" s="231">
        <v>0</v>
      </c>
      <c r="AI92" s="225"/>
      <c r="AJ92" s="204"/>
      <c r="AK92" s="204"/>
      <c r="AL92" s="204"/>
      <c r="AM92" s="204"/>
      <c r="AN92" s="204"/>
    </row>
    <row r="93" spans="1:40" ht="17" thickBot="1">
      <c r="A93" s="4352"/>
      <c r="B93" s="4344" t="s">
        <v>461</v>
      </c>
      <c r="C93" s="3713">
        <v>5</v>
      </c>
      <c r="D93" s="1237"/>
      <c r="E93" s="4355" t="s">
        <v>1903</v>
      </c>
      <c r="F93" s="4355"/>
      <c r="G93" s="4355"/>
      <c r="H93" s="4354"/>
      <c r="I93" s="4354"/>
      <c r="J93" s="4354"/>
      <c r="K93" s="4363"/>
      <c r="L93" s="4353"/>
      <c r="M93" s="4357"/>
      <c r="N93" s="4358"/>
      <c r="O93" s="4359"/>
      <c r="P93" s="4358"/>
      <c r="Q93" s="4360"/>
      <c r="R93" s="4361"/>
      <c r="S93" s="4347"/>
      <c r="T93" s="4347"/>
      <c r="U93" s="566"/>
      <c r="V93" s="566"/>
      <c r="W93" s="566"/>
      <c r="X93" s="566"/>
      <c r="Y93" s="566"/>
      <c r="Z93" s="566"/>
      <c r="AA93" s="566"/>
      <c r="AB93" s="144"/>
      <c r="AC93" s="231"/>
      <c r="AD93" s="231"/>
      <c r="AE93" s="231"/>
      <c r="AF93" s="231"/>
      <c r="AG93" s="231"/>
      <c r="AH93" s="231"/>
      <c r="AI93" s="225"/>
      <c r="AJ93" s="204"/>
      <c r="AK93" s="204"/>
      <c r="AL93" s="204"/>
      <c r="AM93" s="204"/>
      <c r="AN93" s="204"/>
    </row>
    <row r="94" spans="1:40" ht="17" thickBot="1">
      <c r="A94" s="4346" t="s">
        <v>218</v>
      </c>
      <c r="B94" s="4344" t="s">
        <v>215</v>
      </c>
      <c r="C94" s="3713">
        <v>6</v>
      </c>
      <c r="D94" s="4345">
        <v>7</v>
      </c>
      <c r="E94" s="4355" t="s">
        <v>1902</v>
      </c>
      <c r="F94" s="4355">
        <v>1</v>
      </c>
      <c r="G94" s="4355">
        <v>100</v>
      </c>
      <c r="H94" s="4354" t="s">
        <v>1904</v>
      </c>
      <c r="I94" s="4354"/>
      <c r="J94" s="4354"/>
      <c r="K94" s="4362"/>
      <c r="L94" s="4353"/>
      <c r="M94" s="4357"/>
      <c r="N94" s="4358">
        <v>3.2997685185185186E-4</v>
      </c>
      <c r="O94" s="4359"/>
      <c r="P94" s="4358">
        <v>6.9120370370370375E-4</v>
      </c>
      <c r="Q94" s="4360"/>
      <c r="R94" s="4361"/>
      <c r="S94" s="4347"/>
      <c r="T94" s="4347"/>
      <c r="U94" s="566">
        <f t="shared" ref="U94:AA94" si="69">IF(U92&gt;0,U92,U90)</f>
        <v>3.5000000000000009</v>
      </c>
      <c r="V94" s="566">
        <f t="shared" si="69"/>
        <v>6.1999999999999993</v>
      </c>
      <c r="W94" s="566">
        <f t="shared" si="69"/>
        <v>1.6</v>
      </c>
      <c r="X94" s="566">
        <f t="shared" si="69"/>
        <v>0.85</v>
      </c>
      <c r="Y94" s="566">
        <f t="shared" si="69"/>
        <v>1.05</v>
      </c>
      <c r="Z94" s="566">
        <f t="shared" si="69"/>
        <v>1.79</v>
      </c>
      <c r="AA94" s="566">
        <f t="shared" si="69"/>
        <v>2.4849999999999999</v>
      </c>
      <c r="AB94" s="144"/>
      <c r="AC94" s="231"/>
      <c r="AD94" s="231"/>
      <c r="AE94" s="231"/>
      <c r="AF94" s="231"/>
      <c r="AG94" s="231"/>
      <c r="AH94" s="231"/>
      <c r="AI94" s="225"/>
      <c r="AJ94" s="204"/>
      <c r="AK94" s="204"/>
      <c r="AL94" s="204"/>
      <c r="AM94" s="204"/>
      <c r="AN94" s="204"/>
    </row>
    <row r="95" spans="1:40" ht="18" thickBot="1">
      <c r="A95" s="4346"/>
      <c r="B95" s="4344"/>
      <c r="C95" s="3713">
        <v>6</v>
      </c>
      <c r="D95" s="4345"/>
      <c r="E95" s="4355" t="s">
        <v>1903</v>
      </c>
      <c r="F95" s="4355"/>
      <c r="G95" s="4355">
        <v>100</v>
      </c>
      <c r="H95" s="4354" t="s">
        <v>1904</v>
      </c>
      <c r="I95" s="4354"/>
      <c r="J95" s="4354"/>
      <c r="K95" s="4362" t="s">
        <v>1908</v>
      </c>
      <c r="L95" s="4353"/>
      <c r="M95" s="4357"/>
      <c r="N95" s="4358" t="s">
        <v>1910</v>
      </c>
      <c r="O95" s="4359"/>
      <c r="P95" s="4358" t="s">
        <v>1910</v>
      </c>
      <c r="Q95" s="4360"/>
      <c r="R95" s="4361"/>
      <c r="S95" s="4347"/>
      <c r="T95" s="4347"/>
      <c r="U95" s="566"/>
      <c r="V95" s="566"/>
      <c r="W95" s="566"/>
      <c r="X95" s="566"/>
      <c r="Y95" s="566"/>
      <c r="Z95" s="566"/>
      <c r="AA95" s="566"/>
      <c r="AB95" s="144"/>
      <c r="AC95" s="231"/>
      <c r="AD95" s="231"/>
      <c r="AE95" s="231"/>
      <c r="AF95" s="231"/>
      <c r="AG95" s="231"/>
      <c r="AH95" s="231"/>
      <c r="AI95" s="225"/>
      <c r="AJ95" s="204"/>
      <c r="AK95" s="204"/>
      <c r="AL95" s="204"/>
      <c r="AM95" s="204"/>
      <c r="AN95" s="204"/>
    </row>
    <row r="96" spans="1:40" ht="18" thickBot="1">
      <c r="A96" s="4346" t="s">
        <v>219</v>
      </c>
      <c r="B96" s="4344" t="s">
        <v>461</v>
      </c>
      <c r="C96" s="3713">
        <v>7</v>
      </c>
      <c r="D96" s="4345"/>
      <c r="E96" s="4355" t="s">
        <v>1902</v>
      </c>
      <c r="F96" s="4355"/>
      <c r="G96" s="4355">
        <v>100</v>
      </c>
      <c r="H96" s="4354" t="s">
        <v>878</v>
      </c>
      <c r="I96" s="4354"/>
      <c r="J96" s="4354"/>
      <c r="K96" s="4362" t="s">
        <v>1909</v>
      </c>
      <c r="L96" s="4368" t="s">
        <v>1914</v>
      </c>
      <c r="M96" s="4357"/>
      <c r="N96" s="4358">
        <v>3.306712962962963E-4</v>
      </c>
      <c r="O96" s="4359"/>
      <c r="P96" s="4358">
        <v>1.4122685185185184E-3</v>
      </c>
      <c r="Q96" s="4360"/>
      <c r="R96" s="4361"/>
      <c r="S96" s="4347"/>
      <c r="T96" s="4347"/>
      <c r="U96" s="566"/>
      <c r="V96" s="566"/>
      <c r="W96" s="566"/>
      <c r="X96" s="566"/>
      <c r="Y96" s="566"/>
      <c r="Z96" s="566"/>
      <c r="AA96" s="566"/>
      <c r="AB96" s="144"/>
      <c r="AC96" s="231"/>
      <c r="AD96" s="231"/>
      <c r="AE96" s="231"/>
      <c r="AF96" s="231"/>
      <c r="AG96" s="231"/>
      <c r="AH96" s="231"/>
      <c r="AI96" s="225"/>
      <c r="AJ96" s="204"/>
      <c r="AK96" s="204"/>
      <c r="AL96" s="204"/>
      <c r="AM96" s="204"/>
      <c r="AN96" s="204"/>
    </row>
    <row r="97" spans="1:40" ht="17" thickBot="1">
      <c r="A97" s="4346"/>
      <c r="B97" s="4344" t="s">
        <v>461</v>
      </c>
      <c r="C97" s="3713">
        <v>7</v>
      </c>
      <c r="D97" s="4345"/>
      <c r="E97" s="4355" t="s">
        <v>1903</v>
      </c>
      <c r="F97" s="4355"/>
      <c r="G97" s="4355">
        <v>100</v>
      </c>
      <c r="H97" s="4354" t="s">
        <v>878</v>
      </c>
      <c r="I97" s="4354"/>
      <c r="J97" s="4354"/>
      <c r="K97" s="4362"/>
      <c r="L97" s="4368" t="s">
        <v>1915</v>
      </c>
      <c r="M97" s="4357"/>
      <c r="N97" s="4358">
        <v>3.2222222222222222E-4</v>
      </c>
      <c r="O97" s="4359"/>
      <c r="P97" s="4358">
        <v>7.081018518518518E-4</v>
      </c>
      <c r="Q97" s="7995" t="s">
        <v>1916</v>
      </c>
      <c r="R97" s="8036"/>
      <c r="S97" s="8036"/>
      <c r="T97" s="4347"/>
      <c r="U97" s="566">
        <f t="shared" ref="U97:AA97" si="70">IF(U94&gt;0,U94,U92)</f>
        <v>3.5000000000000009</v>
      </c>
      <c r="V97" s="566">
        <f t="shared" si="70"/>
        <v>6.1999999999999993</v>
      </c>
      <c r="W97" s="566">
        <f t="shared" si="70"/>
        <v>1.6</v>
      </c>
      <c r="X97" s="566">
        <f t="shared" si="70"/>
        <v>0.85</v>
      </c>
      <c r="Y97" s="566">
        <f t="shared" si="70"/>
        <v>1.05</v>
      </c>
      <c r="Z97" s="566">
        <f t="shared" si="70"/>
        <v>1.79</v>
      </c>
      <c r="AA97" s="566">
        <f t="shared" si="70"/>
        <v>2.4849999999999999</v>
      </c>
      <c r="AB97" s="144"/>
      <c r="AC97" s="231"/>
      <c r="AD97" s="231"/>
      <c r="AE97" s="231"/>
      <c r="AF97" s="231"/>
      <c r="AG97" s="231"/>
      <c r="AH97" s="231"/>
      <c r="AI97" s="225"/>
      <c r="AJ97" s="204"/>
      <c r="AK97" s="204"/>
      <c r="AL97" s="204"/>
      <c r="AM97" s="204"/>
      <c r="AN97" s="204"/>
    </row>
    <row r="98" spans="1:40">
      <c r="A98" s="144"/>
      <c r="B98" s="144"/>
      <c r="C98" s="144"/>
      <c r="D98" s="906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566">
        <f t="shared" ref="U98:AA98" si="71">IF(U97&gt;0,U97,U94)</f>
        <v>3.5000000000000009</v>
      </c>
      <c r="V98" s="566">
        <f t="shared" si="71"/>
        <v>6.1999999999999993</v>
      </c>
      <c r="W98" s="566">
        <f t="shared" si="71"/>
        <v>1.6</v>
      </c>
      <c r="X98" s="566">
        <f t="shared" si="71"/>
        <v>0.85</v>
      </c>
      <c r="Y98" s="566">
        <f t="shared" si="71"/>
        <v>1.05</v>
      </c>
      <c r="Z98" s="566">
        <f t="shared" si="71"/>
        <v>1.79</v>
      </c>
      <c r="AA98" s="566">
        <f t="shared" si="71"/>
        <v>2.4849999999999999</v>
      </c>
      <c r="AB98" s="144"/>
      <c r="AC98" s="231">
        <v>0</v>
      </c>
      <c r="AD98" s="231">
        <v>0</v>
      </c>
      <c r="AE98" s="231">
        <v>0</v>
      </c>
      <c r="AF98" s="231">
        <v>0</v>
      </c>
      <c r="AG98" s="231">
        <v>0</v>
      </c>
      <c r="AH98" s="231">
        <v>0</v>
      </c>
      <c r="AI98" s="225"/>
      <c r="AJ98" s="204"/>
      <c r="AK98" s="204"/>
      <c r="AL98" s="204"/>
      <c r="AM98" s="204"/>
      <c r="AN98" s="204"/>
    </row>
    <row r="99" spans="1:40">
      <c r="A99" s="144"/>
      <c r="B99" s="144"/>
      <c r="C99" s="144"/>
      <c r="D99" s="906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566">
        <f t="shared" si="66"/>
        <v>3.5000000000000009</v>
      </c>
      <c r="V99" s="566">
        <f t="shared" si="66"/>
        <v>6.1999999999999993</v>
      </c>
      <c r="W99" s="566">
        <f t="shared" si="66"/>
        <v>1.6</v>
      </c>
      <c r="X99" s="566">
        <f t="shared" si="66"/>
        <v>0.85</v>
      </c>
      <c r="Y99" s="566">
        <f t="shared" si="66"/>
        <v>1.05</v>
      </c>
      <c r="Z99" s="566">
        <f t="shared" si="66"/>
        <v>1.79</v>
      </c>
      <c r="AA99" s="566">
        <f t="shared" si="66"/>
        <v>2.4849999999999999</v>
      </c>
      <c r="AB99" s="144"/>
      <c r="AC99" s="231">
        <v>0</v>
      </c>
      <c r="AD99" s="231">
        <v>0</v>
      </c>
      <c r="AE99" s="231">
        <v>0</v>
      </c>
      <c r="AF99" s="231">
        <v>0</v>
      </c>
      <c r="AG99" s="231">
        <v>0</v>
      </c>
      <c r="AH99" s="231">
        <v>0</v>
      </c>
      <c r="AI99" s="213"/>
      <c r="AJ99" s="204"/>
      <c r="AK99" s="204"/>
      <c r="AL99" s="204"/>
      <c r="AM99" s="204"/>
      <c r="AN99" s="204"/>
    </row>
    <row r="100" spans="1:40">
      <c r="A100" s="144"/>
      <c r="B100" s="144"/>
      <c r="C100" s="144"/>
      <c r="D100" s="906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566">
        <f t="shared" si="66"/>
        <v>3.5000000000000009</v>
      </c>
      <c r="V100" s="566">
        <f t="shared" si="66"/>
        <v>6.1999999999999993</v>
      </c>
      <c r="W100" s="566">
        <f t="shared" si="66"/>
        <v>1.6</v>
      </c>
      <c r="X100" s="566">
        <f t="shared" si="66"/>
        <v>0.85</v>
      </c>
      <c r="Y100" s="566">
        <f t="shared" si="66"/>
        <v>1.05</v>
      </c>
      <c r="Z100" s="566">
        <f t="shared" si="66"/>
        <v>1.79</v>
      </c>
      <c r="AA100" s="566">
        <f t="shared" si="66"/>
        <v>2.4849999999999999</v>
      </c>
      <c r="AB100" s="144"/>
      <c r="AC100" s="231"/>
      <c r="AD100" s="231"/>
      <c r="AE100" s="231"/>
      <c r="AF100" s="231"/>
      <c r="AG100" s="231"/>
      <c r="AH100" s="231"/>
      <c r="AI100" s="213"/>
      <c r="AJ100" s="204"/>
      <c r="AK100" s="204"/>
      <c r="AL100" s="204"/>
      <c r="AM100" s="204"/>
      <c r="AN100" s="204"/>
    </row>
    <row r="101" spans="1:40">
      <c r="A101" s="144"/>
      <c r="B101" s="144"/>
      <c r="C101" s="144"/>
      <c r="D101" s="906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566">
        <f t="shared" si="66"/>
        <v>3.5000000000000009</v>
      </c>
      <c r="V101" s="566">
        <f t="shared" si="66"/>
        <v>6.1999999999999993</v>
      </c>
      <c r="W101" s="566">
        <f t="shared" si="66"/>
        <v>1.6</v>
      </c>
      <c r="X101" s="566">
        <f t="shared" si="66"/>
        <v>0.85</v>
      </c>
      <c r="Y101" s="566">
        <f t="shared" si="66"/>
        <v>1.05</v>
      </c>
      <c r="Z101" s="566">
        <f t="shared" si="66"/>
        <v>1.79</v>
      </c>
      <c r="AA101" s="566">
        <f t="shared" si="66"/>
        <v>2.4849999999999999</v>
      </c>
      <c r="AB101" s="144"/>
      <c r="AC101" s="231"/>
      <c r="AD101" s="231"/>
      <c r="AE101" s="231"/>
      <c r="AF101" s="231"/>
      <c r="AG101" s="231"/>
      <c r="AH101" s="231"/>
      <c r="AI101" s="213"/>
      <c r="AJ101" s="204"/>
      <c r="AK101" s="204"/>
      <c r="AL101" s="204"/>
      <c r="AM101" s="204"/>
      <c r="AN101" s="204"/>
    </row>
    <row r="102" spans="1:40">
      <c r="A102" s="144"/>
      <c r="B102" s="144"/>
      <c r="C102" s="144"/>
      <c r="D102" s="906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566">
        <f t="shared" si="66"/>
        <v>3.5000000000000009</v>
      </c>
      <c r="V102" s="566">
        <f t="shared" si="66"/>
        <v>6.1999999999999993</v>
      </c>
      <c r="W102" s="566">
        <f t="shared" si="66"/>
        <v>1.6</v>
      </c>
      <c r="X102" s="566">
        <f t="shared" si="66"/>
        <v>0.85</v>
      </c>
      <c r="Y102" s="566">
        <f t="shared" si="66"/>
        <v>1.05</v>
      </c>
      <c r="Z102" s="566">
        <f t="shared" si="66"/>
        <v>1.79</v>
      </c>
      <c r="AA102" s="566">
        <f t="shared" si="66"/>
        <v>2.4849999999999999</v>
      </c>
      <c r="AB102" s="144"/>
      <c r="AC102" s="231">
        <v>0</v>
      </c>
      <c r="AD102" s="231">
        <v>0</v>
      </c>
      <c r="AE102" s="231">
        <v>0</v>
      </c>
      <c r="AF102" s="231">
        <v>0</v>
      </c>
      <c r="AG102" s="231">
        <v>0</v>
      </c>
      <c r="AH102" s="231">
        <v>0</v>
      </c>
      <c r="AI102" s="213"/>
      <c r="AJ102" s="204"/>
      <c r="AK102" s="204"/>
      <c r="AL102" s="204"/>
      <c r="AM102" s="204"/>
      <c r="AN102" s="204"/>
    </row>
    <row r="103" spans="1:40">
      <c r="A103" s="144"/>
      <c r="B103" s="144"/>
      <c r="C103" s="144"/>
      <c r="D103" s="906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566">
        <f t="shared" si="66"/>
        <v>3.5000000000000009</v>
      </c>
      <c r="V103" s="566">
        <f t="shared" si="66"/>
        <v>6.1999999999999993</v>
      </c>
      <c r="W103" s="566">
        <f t="shared" si="66"/>
        <v>1.6</v>
      </c>
      <c r="X103" s="566">
        <f t="shared" si="66"/>
        <v>0.85</v>
      </c>
      <c r="Y103" s="566">
        <f t="shared" si="66"/>
        <v>1.05</v>
      </c>
      <c r="Z103" s="566">
        <f t="shared" si="66"/>
        <v>1.79</v>
      </c>
      <c r="AA103" s="566">
        <f t="shared" si="66"/>
        <v>2.4849999999999999</v>
      </c>
      <c r="AB103" s="144"/>
      <c r="AC103" s="231">
        <v>0</v>
      </c>
      <c r="AD103" s="231">
        <v>0</v>
      </c>
      <c r="AE103" s="231">
        <v>0</v>
      </c>
      <c r="AF103" s="231">
        <v>0</v>
      </c>
      <c r="AG103" s="231">
        <v>0</v>
      </c>
      <c r="AH103" s="231">
        <v>0</v>
      </c>
      <c r="AI103" s="213"/>
      <c r="AJ103" s="204"/>
      <c r="AK103" s="204"/>
      <c r="AL103" s="204"/>
      <c r="AM103" s="204"/>
      <c r="AN103" s="204"/>
    </row>
    <row r="104" spans="1:40">
      <c r="A104" s="144"/>
      <c r="B104" s="144"/>
      <c r="C104" s="144"/>
      <c r="D104" s="906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566">
        <f t="shared" si="66"/>
        <v>3.5000000000000009</v>
      </c>
      <c r="V104" s="566">
        <f t="shared" si="66"/>
        <v>6.1999999999999993</v>
      </c>
      <c r="W104" s="566">
        <f t="shared" si="66"/>
        <v>1.6</v>
      </c>
      <c r="X104" s="566">
        <f t="shared" si="66"/>
        <v>0.85</v>
      </c>
      <c r="Y104" s="566">
        <f t="shared" si="66"/>
        <v>1.05</v>
      </c>
      <c r="Z104" s="566">
        <f t="shared" si="66"/>
        <v>1.79</v>
      </c>
      <c r="AA104" s="566">
        <f t="shared" si="66"/>
        <v>2.4849999999999999</v>
      </c>
      <c r="AB104" s="144"/>
      <c r="AC104" s="231">
        <v>0</v>
      </c>
      <c r="AD104" s="231">
        <v>0</v>
      </c>
      <c r="AE104" s="231">
        <v>0</v>
      </c>
      <c r="AF104" s="231">
        <v>0</v>
      </c>
      <c r="AG104" s="231">
        <v>0</v>
      </c>
      <c r="AH104" s="231">
        <v>0</v>
      </c>
      <c r="AI104" s="213"/>
      <c r="AJ104" s="204"/>
      <c r="AK104" s="204"/>
      <c r="AL104" s="204"/>
      <c r="AM104" s="204"/>
      <c r="AN104" s="204"/>
    </row>
    <row r="105" spans="1:40">
      <c r="A105" s="144"/>
      <c r="B105" s="144"/>
      <c r="C105" s="144"/>
      <c r="D105" s="906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566">
        <f t="shared" si="66"/>
        <v>3.5000000000000009</v>
      </c>
      <c r="V105" s="566">
        <f t="shared" si="66"/>
        <v>6.1999999999999993</v>
      </c>
      <c r="W105" s="566">
        <f t="shared" si="66"/>
        <v>1.6</v>
      </c>
      <c r="X105" s="566">
        <f t="shared" si="66"/>
        <v>0.85</v>
      </c>
      <c r="Y105" s="566">
        <f t="shared" si="66"/>
        <v>1.05</v>
      </c>
      <c r="Z105" s="566">
        <f t="shared" si="66"/>
        <v>1.79</v>
      </c>
      <c r="AA105" s="566">
        <f t="shared" si="66"/>
        <v>2.4849999999999999</v>
      </c>
      <c r="AB105" s="144"/>
      <c r="AC105" s="231">
        <v>0</v>
      </c>
      <c r="AD105" s="231">
        <v>0</v>
      </c>
      <c r="AE105" s="231">
        <v>0</v>
      </c>
      <c r="AF105" s="231">
        <v>0</v>
      </c>
      <c r="AG105" s="231">
        <v>0</v>
      </c>
      <c r="AH105" s="231">
        <v>0</v>
      </c>
      <c r="AI105" s="213"/>
      <c r="AJ105" s="204"/>
      <c r="AK105" s="204"/>
      <c r="AL105" s="204"/>
      <c r="AM105" s="204"/>
      <c r="AN105" s="204"/>
    </row>
    <row r="106" spans="1:40">
      <c r="A106" s="144"/>
      <c r="B106" s="144"/>
      <c r="C106" s="144"/>
      <c r="D106" s="906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566">
        <f t="shared" si="66"/>
        <v>3.5000000000000009</v>
      </c>
      <c r="V106" s="566">
        <f t="shared" si="66"/>
        <v>6.1999999999999993</v>
      </c>
      <c r="W106" s="566">
        <f t="shared" si="66"/>
        <v>1.6</v>
      </c>
      <c r="X106" s="566">
        <f t="shared" si="66"/>
        <v>0.85</v>
      </c>
      <c r="Y106" s="566">
        <f t="shared" si="66"/>
        <v>1.05</v>
      </c>
      <c r="Z106" s="566">
        <f t="shared" si="66"/>
        <v>1.79</v>
      </c>
      <c r="AA106" s="566">
        <f t="shared" si="66"/>
        <v>2.4849999999999999</v>
      </c>
      <c r="AB106" s="144"/>
      <c r="AC106" s="231"/>
      <c r="AD106" s="231"/>
      <c r="AE106" s="231"/>
      <c r="AF106" s="231"/>
      <c r="AG106" s="231"/>
      <c r="AH106" s="231"/>
      <c r="AI106" s="213"/>
      <c r="AJ106" s="204"/>
      <c r="AK106" s="204"/>
      <c r="AL106" s="204"/>
      <c r="AM106" s="204"/>
      <c r="AN106" s="204"/>
    </row>
    <row r="107" spans="1:40">
      <c r="A107" s="144"/>
      <c r="B107" s="144"/>
      <c r="C107" s="144"/>
      <c r="D107" s="906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566">
        <f t="shared" si="66"/>
        <v>3.5000000000000009</v>
      </c>
      <c r="V107" s="566">
        <f t="shared" si="66"/>
        <v>6.1999999999999993</v>
      </c>
      <c r="W107" s="566">
        <f t="shared" si="66"/>
        <v>1.6</v>
      </c>
      <c r="X107" s="566">
        <f t="shared" si="66"/>
        <v>0.85</v>
      </c>
      <c r="Y107" s="566">
        <f t="shared" si="66"/>
        <v>1.05</v>
      </c>
      <c r="Z107" s="566">
        <f t="shared" si="66"/>
        <v>1.79</v>
      </c>
      <c r="AA107" s="566">
        <f t="shared" si="66"/>
        <v>2.4849999999999999</v>
      </c>
      <c r="AB107" s="144"/>
      <c r="AC107" s="231"/>
      <c r="AD107" s="231"/>
      <c r="AE107" s="231"/>
      <c r="AF107" s="231"/>
      <c r="AG107" s="231"/>
      <c r="AH107" s="231"/>
      <c r="AI107" s="213"/>
      <c r="AJ107" s="204"/>
      <c r="AK107" s="204"/>
      <c r="AL107" s="204"/>
      <c r="AM107" s="204"/>
      <c r="AN107" s="204"/>
    </row>
    <row r="108" spans="1:40">
      <c r="A108" s="144"/>
      <c r="B108" s="144"/>
      <c r="C108" s="144"/>
      <c r="D108" s="906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566">
        <f t="shared" ref="U108:AA123" si="72">IF(U107&gt;0,U107,U106)</f>
        <v>3.5000000000000009</v>
      </c>
      <c r="V108" s="566">
        <f t="shared" si="72"/>
        <v>6.1999999999999993</v>
      </c>
      <c r="W108" s="566">
        <f t="shared" si="72"/>
        <v>1.6</v>
      </c>
      <c r="X108" s="566">
        <f t="shared" si="72"/>
        <v>0.85</v>
      </c>
      <c r="Y108" s="566">
        <f t="shared" si="72"/>
        <v>1.05</v>
      </c>
      <c r="Z108" s="566">
        <f t="shared" si="72"/>
        <v>1.79</v>
      </c>
      <c r="AA108" s="566">
        <f t="shared" si="72"/>
        <v>2.4849999999999999</v>
      </c>
      <c r="AB108" s="144"/>
      <c r="AC108" s="231">
        <v>0</v>
      </c>
      <c r="AD108" s="231">
        <v>0</v>
      </c>
      <c r="AE108" s="231">
        <v>0</v>
      </c>
      <c r="AF108" s="231">
        <v>0</v>
      </c>
      <c r="AG108" s="231">
        <v>0</v>
      </c>
      <c r="AH108" s="231">
        <v>0</v>
      </c>
      <c r="AI108" s="213"/>
      <c r="AJ108" s="204"/>
      <c r="AK108" s="204"/>
      <c r="AL108" s="204"/>
      <c r="AM108" s="204"/>
      <c r="AN108" s="204"/>
    </row>
    <row r="109" spans="1:40">
      <c r="A109" s="144"/>
      <c r="B109" s="144"/>
      <c r="C109" s="144"/>
      <c r="D109" s="906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566">
        <f t="shared" si="72"/>
        <v>3.5000000000000009</v>
      </c>
      <c r="V109" s="566">
        <f t="shared" si="72"/>
        <v>6.1999999999999993</v>
      </c>
      <c r="W109" s="566">
        <f t="shared" si="72"/>
        <v>1.6</v>
      </c>
      <c r="X109" s="566">
        <f t="shared" si="72"/>
        <v>0.85</v>
      </c>
      <c r="Y109" s="566">
        <f t="shared" si="72"/>
        <v>1.05</v>
      </c>
      <c r="Z109" s="566">
        <f t="shared" si="72"/>
        <v>1.79</v>
      </c>
      <c r="AA109" s="566">
        <f t="shared" si="72"/>
        <v>2.4849999999999999</v>
      </c>
      <c r="AB109" s="144"/>
      <c r="AC109" s="231">
        <v>0</v>
      </c>
      <c r="AD109" s="231">
        <v>0</v>
      </c>
      <c r="AE109" s="231">
        <v>0</v>
      </c>
      <c r="AF109" s="231">
        <v>0</v>
      </c>
      <c r="AG109" s="231">
        <v>0</v>
      </c>
      <c r="AH109" s="231">
        <v>0</v>
      </c>
      <c r="AI109" s="213"/>
      <c r="AJ109" s="204"/>
      <c r="AK109" s="204"/>
      <c r="AL109" s="204"/>
      <c r="AM109" s="204"/>
      <c r="AN109" s="204"/>
    </row>
    <row r="110" spans="1:40">
      <c r="A110" s="144"/>
      <c r="B110" s="144"/>
      <c r="C110" s="144"/>
      <c r="D110" s="906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566">
        <f t="shared" si="72"/>
        <v>3.5000000000000009</v>
      </c>
      <c r="V110" s="566">
        <f t="shared" si="72"/>
        <v>6.1999999999999993</v>
      </c>
      <c r="W110" s="566">
        <f t="shared" si="72"/>
        <v>1.6</v>
      </c>
      <c r="X110" s="566">
        <f t="shared" si="72"/>
        <v>0.85</v>
      </c>
      <c r="Y110" s="566">
        <f t="shared" si="72"/>
        <v>1.05</v>
      </c>
      <c r="Z110" s="566">
        <f t="shared" si="72"/>
        <v>1.79</v>
      </c>
      <c r="AA110" s="566">
        <f t="shared" si="72"/>
        <v>2.4849999999999999</v>
      </c>
      <c r="AB110" s="144"/>
      <c r="AC110" s="231">
        <v>0</v>
      </c>
      <c r="AD110" s="231">
        <v>0</v>
      </c>
      <c r="AE110" s="231">
        <v>0</v>
      </c>
      <c r="AF110" s="231">
        <v>0</v>
      </c>
      <c r="AG110" s="231">
        <v>0</v>
      </c>
      <c r="AH110" s="231">
        <v>0</v>
      </c>
      <c r="AI110" s="213"/>
      <c r="AJ110" s="204"/>
      <c r="AK110" s="204"/>
      <c r="AL110" s="204"/>
      <c r="AM110" s="204"/>
      <c r="AN110" s="204"/>
    </row>
    <row r="111" spans="1:40">
      <c r="A111" s="144"/>
      <c r="B111" s="144"/>
      <c r="C111" s="144"/>
      <c r="D111" s="906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566">
        <f t="shared" si="72"/>
        <v>3.5000000000000009</v>
      </c>
      <c r="V111" s="566">
        <f t="shared" si="72"/>
        <v>6.1999999999999993</v>
      </c>
      <c r="W111" s="566">
        <f t="shared" si="72"/>
        <v>1.6</v>
      </c>
      <c r="X111" s="566">
        <f t="shared" si="72"/>
        <v>0.85</v>
      </c>
      <c r="Y111" s="566">
        <f t="shared" si="72"/>
        <v>1.05</v>
      </c>
      <c r="Z111" s="566">
        <f t="shared" si="72"/>
        <v>1.79</v>
      </c>
      <c r="AA111" s="566">
        <f t="shared" si="72"/>
        <v>2.4849999999999999</v>
      </c>
      <c r="AB111" s="144"/>
      <c r="AC111" s="231"/>
      <c r="AD111" s="231"/>
      <c r="AE111" s="231"/>
      <c r="AF111" s="231"/>
      <c r="AG111" s="231"/>
      <c r="AH111" s="231"/>
      <c r="AI111" s="213"/>
      <c r="AJ111" s="204"/>
      <c r="AK111" s="204"/>
      <c r="AL111" s="204"/>
      <c r="AM111" s="204"/>
      <c r="AN111" s="204"/>
    </row>
    <row r="112" spans="1:40">
      <c r="A112" s="144"/>
      <c r="B112" s="144"/>
      <c r="C112" s="144"/>
      <c r="D112" s="906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566">
        <f t="shared" si="72"/>
        <v>3.5000000000000009</v>
      </c>
      <c r="V112" s="566">
        <f t="shared" si="72"/>
        <v>6.1999999999999993</v>
      </c>
      <c r="W112" s="566">
        <f t="shared" si="72"/>
        <v>1.6</v>
      </c>
      <c r="X112" s="566">
        <f t="shared" si="72"/>
        <v>0.85</v>
      </c>
      <c r="Y112" s="566">
        <f t="shared" si="72"/>
        <v>1.05</v>
      </c>
      <c r="Z112" s="566">
        <f t="shared" si="72"/>
        <v>1.79</v>
      </c>
      <c r="AA112" s="566">
        <f t="shared" si="72"/>
        <v>2.4849999999999999</v>
      </c>
      <c r="AB112" s="144"/>
      <c r="AC112" s="231"/>
      <c r="AD112" s="231"/>
      <c r="AE112" s="231"/>
      <c r="AF112" s="231"/>
      <c r="AG112" s="231"/>
      <c r="AH112" s="231"/>
      <c r="AI112" s="213"/>
      <c r="AJ112" s="204"/>
      <c r="AK112" s="204"/>
      <c r="AL112" s="204"/>
      <c r="AM112" s="204"/>
      <c r="AN112" s="204"/>
    </row>
    <row r="113" spans="1:40">
      <c r="A113" s="144"/>
      <c r="B113" s="144"/>
      <c r="C113" s="144"/>
      <c r="D113" s="906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566">
        <f t="shared" si="72"/>
        <v>3.5000000000000009</v>
      </c>
      <c r="V113" s="566">
        <f t="shared" si="72"/>
        <v>6.1999999999999993</v>
      </c>
      <c r="W113" s="566">
        <f t="shared" si="72"/>
        <v>1.6</v>
      </c>
      <c r="X113" s="566">
        <f t="shared" si="72"/>
        <v>0.85</v>
      </c>
      <c r="Y113" s="566">
        <f t="shared" si="72"/>
        <v>1.05</v>
      </c>
      <c r="Z113" s="566">
        <f t="shared" si="72"/>
        <v>1.79</v>
      </c>
      <c r="AA113" s="566">
        <f t="shared" si="72"/>
        <v>2.4849999999999999</v>
      </c>
      <c r="AB113" s="144"/>
      <c r="AC113" s="231">
        <v>0</v>
      </c>
      <c r="AD113" s="231">
        <v>0</v>
      </c>
      <c r="AE113" s="231">
        <v>0</v>
      </c>
      <c r="AF113" s="231">
        <v>0</v>
      </c>
      <c r="AG113" s="231">
        <v>0</v>
      </c>
      <c r="AH113" s="231">
        <v>0</v>
      </c>
      <c r="AI113" s="213"/>
      <c r="AJ113" s="204"/>
      <c r="AK113" s="204"/>
      <c r="AL113" s="204"/>
      <c r="AM113" s="204"/>
      <c r="AN113" s="204"/>
    </row>
    <row r="114" spans="1:40">
      <c r="A114" s="144"/>
      <c r="B114" s="144"/>
      <c r="C114" s="144"/>
      <c r="D114" s="906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566">
        <f t="shared" si="72"/>
        <v>3.5000000000000009</v>
      </c>
      <c r="V114" s="566">
        <f t="shared" si="72"/>
        <v>6.1999999999999993</v>
      </c>
      <c r="W114" s="566">
        <f t="shared" si="72"/>
        <v>1.6</v>
      </c>
      <c r="X114" s="566">
        <f t="shared" si="72"/>
        <v>0.85</v>
      </c>
      <c r="Y114" s="566">
        <f t="shared" si="72"/>
        <v>1.05</v>
      </c>
      <c r="Z114" s="566">
        <f t="shared" si="72"/>
        <v>1.79</v>
      </c>
      <c r="AA114" s="566">
        <f t="shared" si="72"/>
        <v>2.4849999999999999</v>
      </c>
      <c r="AB114" s="144"/>
      <c r="AC114" s="231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13"/>
      <c r="AJ114" s="204"/>
      <c r="AK114" s="204"/>
      <c r="AL114" s="204"/>
      <c r="AM114" s="204"/>
      <c r="AN114" s="204"/>
    </row>
    <row r="115" spans="1:40">
      <c r="A115" s="144"/>
      <c r="B115" s="144"/>
      <c r="C115" s="144"/>
      <c r="D115" s="906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566">
        <f t="shared" si="72"/>
        <v>3.5000000000000009</v>
      </c>
      <c r="V115" s="566">
        <f t="shared" si="72"/>
        <v>6.1999999999999993</v>
      </c>
      <c r="W115" s="566">
        <f t="shared" si="72"/>
        <v>1.6</v>
      </c>
      <c r="X115" s="566">
        <f t="shared" si="72"/>
        <v>0.85</v>
      </c>
      <c r="Y115" s="566">
        <f t="shared" si="72"/>
        <v>1.05</v>
      </c>
      <c r="Z115" s="566">
        <f t="shared" si="72"/>
        <v>1.79</v>
      </c>
      <c r="AA115" s="566">
        <f t="shared" si="72"/>
        <v>2.4849999999999999</v>
      </c>
      <c r="AB115" s="144"/>
      <c r="AC115" s="231">
        <v>0</v>
      </c>
      <c r="AD115" s="231">
        <v>0</v>
      </c>
      <c r="AE115" s="231">
        <v>0</v>
      </c>
      <c r="AF115" s="231">
        <v>0</v>
      </c>
      <c r="AG115" s="231">
        <v>0</v>
      </c>
      <c r="AH115" s="231">
        <v>0</v>
      </c>
      <c r="AI115" s="213"/>
      <c r="AJ115" s="204"/>
      <c r="AK115" s="204"/>
      <c r="AL115" s="204"/>
      <c r="AM115" s="204"/>
      <c r="AN115" s="204"/>
    </row>
    <row r="116" spans="1:40">
      <c r="A116" s="144"/>
      <c r="B116" s="144"/>
      <c r="C116" s="144"/>
      <c r="D116" s="906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566">
        <f t="shared" si="72"/>
        <v>3.5000000000000009</v>
      </c>
      <c r="V116" s="566">
        <f t="shared" si="72"/>
        <v>6.1999999999999993</v>
      </c>
      <c r="W116" s="566">
        <f t="shared" si="72"/>
        <v>1.6</v>
      </c>
      <c r="X116" s="566">
        <f t="shared" si="72"/>
        <v>0.85</v>
      </c>
      <c r="Y116" s="566">
        <f t="shared" si="72"/>
        <v>1.05</v>
      </c>
      <c r="Z116" s="566">
        <f t="shared" si="72"/>
        <v>1.79</v>
      </c>
      <c r="AA116" s="566">
        <f t="shared" si="72"/>
        <v>2.4849999999999999</v>
      </c>
      <c r="AB116" s="144"/>
      <c r="AC116" s="231"/>
      <c r="AD116" s="231"/>
      <c r="AE116" s="231"/>
      <c r="AF116" s="231"/>
      <c r="AG116" s="231"/>
      <c r="AH116" s="231"/>
      <c r="AI116" s="213"/>
      <c r="AJ116" s="204"/>
      <c r="AK116" s="204"/>
      <c r="AL116" s="204"/>
      <c r="AM116" s="204"/>
      <c r="AN116" s="204"/>
    </row>
    <row r="117" spans="1:40">
      <c r="A117" s="144"/>
      <c r="B117" s="144"/>
      <c r="C117" s="144"/>
      <c r="D117" s="906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566">
        <f t="shared" si="72"/>
        <v>3.5000000000000009</v>
      </c>
      <c r="V117" s="566">
        <f t="shared" si="72"/>
        <v>6.1999999999999993</v>
      </c>
      <c r="W117" s="566">
        <f t="shared" si="72"/>
        <v>1.6</v>
      </c>
      <c r="X117" s="566">
        <f t="shared" si="72"/>
        <v>0.85</v>
      </c>
      <c r="Y117" s="566">
        <f t="shared" si="72"/>
        <v>1.05</v>
      </c>
      <c r="Z117" s="566">
        <f t="shared" si="72"/>
        <v>1.79</v>
      </c>
      <c r="AA117" s="566">
        <f t="shared" si="72"/>
        <v>2.4849999999999999</v>
      </c>
      <c r="AB117" s="144"/>
      <c r="AC117" s="231"/>
      <c r="AD117" s="231"/>
      <c r="AE117" s="231"/>
      <c r="AF117" s="231"/>
      <c r="AG117" s="231"/>
      <c r="AH117" s="231"/>
      <c r="AI117" s="213"/>
      <c r="AJ117" s="204"/>
      <c r="AK117" s="204"/>
      <c r="AL117" s="204"/>
      <c r="AM117" s="204"/>
      <c r="AN117" s="204"/>
    </row>
    <row r="118" spans="1:40">
      <c r="A118" s="144"/>
      <c r="B118" s="144"/>
      <c r="C118" s="144"/>
      <c r="D118" s="906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566">
        <f t="shared" si="72"/>
        <v>3.5000000000000009</v>
      </c>
      <c r="V118" s="566">
        <f t="shared" si="72"/>
        <v>6.1999999999999993</v>
      </c>
      <c r="W118" s="566">
        <f t="shared" si="72"/>
        <v>1.6</v>
      </c>
      <c r="X118" s="566">
        <f t="shared" si="72"/>
        <v>0.85</v>
      </c>
      <c r="Y118" s="566">
        <f t="shared" si="72"/>
        <v>1.05</v>
      </c>
      <c r="Z118" s="566">
        <f t="shared" si="72"/>
        <v>1.79</v>
      </c>
      <c r="AA118" s="566">
        <f t="shared" si="72"/>
        <v>2.4849999999999999</v>
      </c>
      <c r="AB118" s="144"/>
      <c r="AC118" s="231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13"/>
      <c r="AJ118" s="204"/>
      <c r="AK118" s="204"/>
      <c r="AL118" s="204"/>
      <c r="AM118" s="204"/>
      <c r="AN118" s="204"/>
    </row>
    <row r="119" spans="1:40">
      <c r="A119" s="144"/>
      <c r="B119" s="144"/>
      <c r="C119" s="144"/>
      <c r="D119" s="906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566">
        <f t="shared" si="72"/>
        <v>3.5000000000000009</v>
      </c>
      <c r="V119" s="566">
        <f t="shared" si="72"/>
        <v>6.1999999999999993</v>
      </c>
      <c r="W119" s="566">
        <f t="shared" si="72"/>
        <v>1.6</v>
      </c>
      <c r="X119" s="566">
        <f t="shared" si="72"/>
        <v>0.85</v>
      </c>
      <c r="Y119" s="566">
        <f t="shared" si="72"/>
        <v>1.05</v>
      </c>
      <c r="Z119" s="566">
        <f t="shared" si="72"/>
        <v>1.79</v>
      </c>
      <c r="AA119" s="566">
        <f t="shared" si="72"/>
        <v>2.4849999999999999</v>
      </c>
      <c r="AB119" s="144"/>
      <c r="AC119" s="231">
        <v>0</v>
      </c>
      <c r="AD119" s="231">
        <v>0</v>
      </c>
      <c r="AE119" s="231">
        <v>0</v>
      </c>
      <c r="AF119" s="231">
        <v>0</v>
      </c>
      <c r="AG119" s="231">
        <v>0</v>
      </c>
      <c r="AH119" s="231">
        <v>0</v>
      </c>
      <c r="AI119" s="213"/>
      <c r="AJ119" s="204"/>
      <c r="AK119" s="204"/>
      <c r="AL119" s="204"/>
      <c r="AM119" s="204"/>
      <c r="AN119" s="204"/>
    </row>
    <row r="120" spans="1:40">
      <c r="A120" s="144"/>
      <c r="B120" s="144"/>
      <c r="C120" s="144"/>
      <c r="D120" s="906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566">
        <f t="shared" si="72"/>
        <v>3.5000000000000009</v>
      </c>
      <c r="V120" s="566">
        <f t="shared" si="72"/>
        <v>6.1999999999999993</v>
      </c>
      <c r="W120" s="566">
        <f t="shared" si="72"/>
        <v>1.6</v>
      </c>
      <c r="X120" s="566">
        <f t="shared" si="72"/>
        <v>0.85</v>
      </c>
      <c r="Y120" s="566">
        <f t="shared" si="72"/>
        <v>1.05</v>
      </c>
      <c r="Z120" s="566">
        <f t="shared" si="72"/>
        <v>1.79</v>
      </c>
      <c r="AA120" s="566">
        <f t="shared" si="72"/>
        <v>2.4849999999999999</v>
      </c>
      <c r="AB120" s="144"/>
      <c r="AC120" s="231"/>
      <c r="AD120" s="231"/>
      <c r="AE120" s="231"/>
      <c r="AF120" s="231"/>
      <c r="AG120" s="231"/>
      <c r="AH120" s="231"/>
      <c r="AI120" s="213"/>
      <c r="AJ120" s="204"/>
      <c r="AK120" s="204"/>
      <c r="AL120" s="204"/>
      <c r="AM120" s="204"/>
      <c r="AN120" s="204"/>
    </row>
    <row r="121" spans="1:40">
      <c r="A121" s="144"/>
      <c r="B121" s="144"/>
      <c r="C121" s="144"/>
      <c r="D121" s="906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566">
        <f t="shared" si="72"/>
        <v>3.5000000000000009</v>
      </c>
      <c r="V121" s="566">
        <f t="shared" si="72"/>
        <v>6.1999999999999993</v>
      </c>
      <c r="W121" s="566">
        <f t="shared" si="72"/>
        <v>1.6</v>
      </c>
      <c r="X121" s="566">
        <f t="shared" si="72"/>
        <v>0.85</v>
      </c>
      <c r="Y121" s="566">
        <f t="shared" si="72"/>
        <v>1.05</v>
      </c>
      <c r="Z121" s="566">
        <f t="shared" si="72"/>
        <v>1.79</v>
      </c>
      <c r="AA121" s="566">
        <f t="shared" si="72"/>
        <v>2.4849999999999999</v>
      </c>
      <c r="AB121" s="144"/>
      <c r="AC121" s="231"/>
      <c r="AD121" s="231"/>
      <c r="AE121" s="231"/>
      <c r="AF121" s="231"/>
      <c r="AG121" s="231"/>
      <c r="AH121" s="231"/>
      <c r="AI121" s="213"/>
      <c r="AJ121" s="204"/>
      <c r="AK121" s="204"/>
      <c r="AL121" s="204"/>
      <c r="AM121" s="204"/>
      <c r="AN121" s="204"/>
    </row>
    <row r="122" spans="1:40">
      <c r="A122" s="144"/>
      <c r="B122" s="144"/>
      <c r="C122" s="144"/>
      <c r="D122" s="906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566">
        <f t="shared" si="72"/>
        <v>3.5000000000000009</v>
      </c>
      <c r="V122" s="566">
        <f t="shared" si="72"/>
        <v>6.1999999999999993</v>
      </c>
      <c r="W122" s="566">
        <f t="shared" si="72"/>
        <v>1.6</v>
      </c>
      <c r="X122" s="566">
        <f t="shared" si="72"/>
        <v>0.85</v>
      </c>
      <c r="Y122" s="566">
        <f t="shared" si="72"/>
        <v>1.05</v>
      </c>
      <c r="Z122" s="566">
        <f t="shared" si="72"/>
        <v>1.79</v>
      </c>
      <c r="AA122" s="566">
        <f t="shared" si="72"/>
        <v>2.4849999999999999</v>
      </c>
      <c r="AB122" s="144"/>
      <c r="AC122" s="231">
        <v>0</v>
      </c>
      <c r="AD122" s="231">
        <v>0</v>
      </c>
      <c r="AE122" s="231">
        <v>0</v>
      </c>
      <c r="AF122" s="231">
        <v>0</v>
      </c>
      <c r="AG122" s="231">
        <v>0</v>
      </c>
      <c r="AH122" s="231">
        <v>0</v>
      </c>
      <c r="AI122" s="213"/>
      <c r="AJ122" s="204"/>
      <c r="AK122" s="204"/>
      <c r="AL122" s="204"/>
      <c r="AM122" s="204"/>
      <c r="AN122" s="204"/>
    </row>
    <row r="123" spans="1:40" ht="15" customHeight="1">
      <c r="A123" s="144"/>
      <c r="B123" s="144"/>
      <c r="C123" s="144"/>
      <c r="D123" s="906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566">
        <f t="shared" si="72"/>
        <v>3.5000000000000009</v>
      </c>
      <c r="V123" s="566">
        <f t="shared" si="72"/>
        <v>6.1999999999999993</v>
      </c>
      <c r="W123" s="566">
        <f t="shared" si="72"/>
        <v>1.6</v>
      </c>
      <c r="X123" s="566">
        <f t="shared" si="72"/>
        <v>0.85</v>
      </c>
      <c r="Y123" s="566">
        <f t="shared" si="72"/>
        <v>1.05</v>
      </c>
      <c r="Z123" s="566">
        <f t="shared" si="72"/>
        <v>1.79</v>
      </c>
      <c r="AA123" s="566">
        <f t="shared" si="72"/>
        <v>2.4849999999999999</v>
      </c>
      <c r="AB123" s="144"/>
      <c r="AC123" s="231">
        <v>0</v>
      </c>
      <c r="AD123" s="231">
        <v>0</v>
      </c>
      <c r="AE123" s="231">
        <v>0</v>
      </c>
      <c r="AF123" s="231">
        <v>0</v>
      </c>
      <c r="AG123" s="231">
        <v>0</v>
      </c>
      <c r="AH123" s="231">
        <v>0</v>
      </c>
      <c r="AI123" s="213"/>
      <c r="AJ123" s="204"/>
      <c r="AK123" s="204"/>
      <c r="AL123" s="204"/>
      <c r="AM123" s="204"/>
      <c r="AN123" s="204"/>
    </row>
    <row r="124" spans="1:40">
      <c r="A124" s="144"/>
      <c r="B124" s="144"/>
      <c r="C124" s="144"/>
      <c r="D124" s="906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566">
        <f t="shared" ref="U124:AA139" si="73">IF(U123&gt;0,U123,U122)</f>
        <v>3.5000000000000009</v>
      </c>
      <c r="V124" s="566">
        <f t="shared" si="73"/>
        <v>6.1999999999999993</v>
      </c>
      <c r="W124" s="566">
        <f t="shared" si="73"/>
        <v>1.6</v>
      </c>
      <c r="X124" s="566">
        <f t="shared" si="73"/>
        <v>0.85</v>
      </c>
      <c r="Y124" s="566">
        <f t="shared" si="73"/>
        <v>1.05</v>
      </c>
      <c r="Z124" s="566">
        <f t="shared" si="73"/>
        <v>1.79</v>
      </c>
      <c r="AA124" s="566">
        <f t="shared" si="73"/>
        <v>2.4849999999999999</v>
      </c>
      <c r="AB124" s="144"/>
      <c r="AC124" s="231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13"/>
      <c r="AJ124" s="204"/>
      <c r="AK124" s="204"/>
      <c r="AL124" s="204"/>
      <c r="AM124" s="204"/>
      <c r="AN124" s="204"/>
    </row>
    <row r="125" spans="1:40">
      <c r="A125" s="144"/>
      <c r="B125" s="144"/>
      <c r="C125" s="144"/>
      <c r="D125" s="906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566">
        <f t="shared" si="73"/>
        <v>3.5000000000000009</v>
      </c>
      <c r="V125" s="566">
        <f t="shared" si="73"/>
        <v>6.1999999999999993</v>
      </c>
      <c r="W125" s="566">
        <f t="shared" si="73"/>
        <v>1.6</v>
      </c>
      <c r="X125" s="566">
        <f t="shared" si="73"/>
        <v>0.85</v>
      </c>
      <c r="Y125" s="566">
        <f t="shared" si="73"/>
        <v>1.05</v>
      </c>
      <c r="Z125" s="566">
        <f t="shared" si="73"/>
        <v>1.79</v>
      </c>
      <c r="AA125" s="566">
        <f t="shared" si="73"/>
        <v>2.4849999999999999</v>
      </c>
      <c r="AB125" s="144"/>
      <c r="AC125" s="231">
        <v>0</v>
      </c>
      <c r="AD125" s="231">
        <v>0</v>
      </c>
      <c r="AE125" s="231">
        <v>0</v>
      </c>
      <c r="AF125" s="231">
        <v>0</v>
      </c>
      <c r="AG125" s="231">
        <v>0</v>
      </c>
      <c r="AH125" s="231">
        <v>0</v>
      </c>
      <c r="AI125" s="213"/>
      <c r="AJ125" s="204"/>
      <c r="AK125" s="204"/>
      <c r="AL125" s="204"/>
      <c r="AM125" s="204"/>
      <c r="AN125" s="204"/>
    </row>
    <row r="126" spans="1:40">
      <c r="A126" s="144"/>
      <c r="B126" s="144"/>
      <c r="C126" s="144"/>
      <c r="D126" s="906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566">
        <f t="shared" si="73"/>
        <v>3.5000000000000009</v>
      </c>
      <c r="V126" s="566">
        <f t="shared" si="73"/>
        <v>6.1999999999999993</v>
      </c>
      <c r="W126" s="566">
        <f t="shared" si="73"/>
        <v>1.6</v>
      </c>
      <c r="X126" s="566">
        <f t="shared" si="73"/>
        <v>0.85</v>
      </c>
      <c r="Y126" s="566">
        <f t="shared" si="73"/>
        <v>1.05</v>
      </c>
      <c r="Z126" s="566">
        <f t="shared" si="73"/>
        <v>1.79</v>
      </c>
      <c r="AA126" s="566">
        <f t="shared" si="73"/>
        <v>2.4849999999999999</v>
      </c>
      <c r="AB126" s="144"/>
      <c r="AC126" s="231"/>
      <c r="AD126" s="231"/>
      <c r="AE126" s="231"/>
      <c r="AF126" s="231"/>
      <c r="AG126" s="231"/>
      <c r="AH126" s="231"/>
      <c r="AI126" s="213"/>
      <c r="AJ126" s="204"/>
      <c r="AK126" s="204"/>
      <c r="AL126" s="204"/>
      <c r="AM126" s="204"/>
      <c r="AN126" s="204"/>
    </row>
    <row r="127" spans="1:40">
      <c r="A127" s="144"/>
      <c r="B127" s="144"/>
      <c r="C127" s="144"/>
      <c r="D127" s="906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566">
        <f t="shared" si="73"/>
        <v>3.5000000000000009</v>
      </c>
      <c r="V127" s="566">
        <f t="shared" si="73"/>
        <v>6.1999999999999993</v>
      </c>
      <c r="W127" s="566">
        <f t="shared" si="73"/>
        <v>1.6</v>
      </c>
      <c r="X127" s="566">
        <f t="shared" si="73"/>
        <v>0.85</v>
      </c>
      <c r="Y127" s="566">
        <f t="shared" si="73"/>
        <v>1.05</v>
      </c>
      <c r="Z127" s="566">
        <f t="shared" si="73"/>
        <v>1.79</v>
      </c>
      <c r="AA127" s="566">
        <f t="shared" si="73"/>
        <v>2.4849999999999999</v>
      </c>
      <c r="AB127" s="144"/>
      <c r="AC127" s="231">
        <v>0</v>
      </c>
      <c r="AD127" s="231">
        <v>0</v>
      </c>
      <c r="AE127" s="231">
        <v>0</v>
      </c>
      <c r="AF127" s="231">
        <v>0</v>
      </c>
      <c r="AG127" s="231">
        <v>0</v>
      </c>
      <c r="AH127" s="231">
        <v>0</v>
      </c>
      <c r="AI127" s="213"/>
      <c r="AJ127" s="204"/>
      <c r="AK127" s="204"/>
      <c r="AL127" s="204"/>
      <c r="AM127" s="204"/>
      <c r="AN127" s="204"/>
    </row>
    <row r="128" spans="1:40">
      <c r="A128" s="144"/>
      <c r="B128" s="144"/>
      <c r="C128" s="144"/>
      <c r="D128" s="906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566">
        <f t="shared" si="73"/>
        <v>3.5000000000000009</v>
      </c>
      <c r="V128" s="566">
        <f t="shared" si="73"/>
        <v>6.1999999999999993</v>
      </c>
      <c r="W128" s="566">
        <f t="shared" si="73"/>
        <v>1.6</v>
      </c>
      <c r="X128" s="566">
        <f t="shared" si="73"/>
        <v>0.85</v>
      </c>
      <c r="Y128" s="566">
        <f t="shared" si="73"/>
        <v>1.05</v>
      </c>
      <c r="Z128" s="566">
        <f t="shared" si="73"/>
        <v>1.79</v>
      </c>
      <c r="AA128" s="566">
        <f t="shared" si="73"/>
        <v>2.4849999999999999</v>
      </c>
      <c r="AB128" s="144"/>
      <c r="AC128" s="231">
        <v>0</v>
      </c>
      <c r="AD128" s="231">
        <v>0</v>
      </c>
      <c r="AE128" s="231">
        <v>0</v>
      </c>
      <c r="AF128" s="231">
        <v>0</v>
      </c>
      <c r="AG128" s="231">
        <v>0</v>
      </c>
      <c r="AH128" s="231">
        <v>0</v>
      </c>
      <c r="AI128" s="213"/>
      <c r="AJ128" s="204"/>
      <c r="AK128" s="204"/>
      <c r="AL128" s="204"/>
      <c r="AM128" s="204"/>
      <c r="AN128" s="204"/>
    </row>
    <row r="129" spans="1:40">
      <c r="A129" s="144"/>
      <c r="B129" s="144"/>
      <c r="C129" s="144"/>
      <c r="D129" s="906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566">
        <f t="shared" si="73"/>
        <v>3.5000000000000009</v>
      </c>
      <c r="V129" s="566">
        <f t="shared" si="73"/>
        <v>6.1999999999999993</v>
      </c>
      <c r="W129" s="566">
        <f t="shared" si="73"/>
        <v>1.6</v>
      </c>
      <c r="X129" s="566">
        <f t="shared" si="73"/>
        <v>0.85</v>
      </c>
      <c r="Y129" s="566">
        <f t="shared" si="73"/>
        <v>1.05</v>
      </c>
      <c r="Z129" s="566">
        <f t="shared" si="73"/>
        <v>1.79</v>
      </c>
      <c r="AA129" s="566">
        <f t="shared" si="73"/>
        <v>2.4849999999999999</v>
      </c>
      <c r="AB129" s="144"/>
      <c r="AC129" s="231"/>
      <c r="AD129" s="231"/>
      <c r="AE129" s="231"/>
      <c r="AF129" s="231"/>
      <c r="AG129" s="231"/>
      <c r="AH129" s="231"/>
      <c r="AI129" s="213"/>
      <c r="AJ129" s="204"/>
      <c r="AK129" s="204"/>
      <c r="AL129" s="204"/>
      <c r="AM129" s="204"/>
      <c r="AN129" s="204"/>
    </row>
    <row r="130" spans="1:40">
      <c r="A130" s="144"/>
      <c r="B130" s="144"/>
      <c r="C130" s="144"/>
      <c r="D130" s="906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566">
        <f t="shared" si="73"/>
        <v>3.5000000000000009</v>
      </c>
      <c r="V130" s="566">
        <f t="shared" si="73"/>
        <v>6.1999999999999993</v>
      </c>
      <c r="W130" s="566">
        <f t="shared" si="73"/>
        <v>1.6</v>
      </c>
      <c r="X130" s="566">
        <f t="shared" si="73"/>
        <v>0.85</v>
      </c>
      <c r="Y130" s="566">
        <f t="shared" si="73"/>
        <v>1.05</v>
      </c>
      <c r="Z130" s="566">
        <f t="shared" si="73"/>
        <v>1.79</v>
      </c>
      <c r="AA130" s="566">
        <f t="shared" si="73"/>
        <v>2.4849999999999999</v>
      </c>
      <c r="AB130" s="144"/>
      <c r="AC130" s="231"/>
      <c r="AD130" s="231"/>
      <c r="AE130" s="231"/>
      <c r="AF130" s="231"/>
      <c r="AG130" s="231"/>
      <c r="AH130" s="231"/>
      <c r="AI130" s="213"/>
      <c r="AJ130" s="204"/>
      <c r="AK130" s="204"/>
      <c r="AL130" s="204"/>
      <c r="AM130" s="204"/>
      <c r="AN130" s="204"/>
    </row>
    <row r="131" spans="1:40">
      <c r="A131" s="144"/>
      <c r="B131" s="144"/>
      <c r="C131" s="144"/>
      <c r="D131" s="906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566">
        <f t="shared" si="73"/>
        <v>3.5000000000000009</v>
      </c>
      <c r="V131" s="566">
        <f t="shared" si="73"/>
        <v>6.1999999999999993</v>
      </c>
      <c r="W131" s="566">
        <f t="shared" si="73"/>
        <v>1.6</v>
      </c>
      <c r="X131" s="566">
        <f t="shared" si="73"/>
        <v>0.85</v>
      </c>
      <c r="Y131" s="566">
        <f t="shared" si="73"/>
        <v>1.05</v>
      </c>
      <c r="Z131" s="566">
        <f t="shared" si="73"/>
        <v>1.79</v>
      </c>
      <c r="AA131" s="566">
        <f t="shared" si="73"/>
        <v>2.4849999999999999</v>
      </c>
      <c r="AB131" s="144"/>
      <c r="AC131" s="231">
        <v>0</v>
      </c>
      <c r="AD131" s="231">
        <v>0</v>
      </c>
      <c r="AE131" s="231">
        <v>0</v>
      </c>
      <c r="AF131" s="231">
        <v>0</v>
      </c>
      <c r="AG131" s="231">
        <v>0</v>
      </c>
      <c r="AH131" s="231">
        <v>0</v>
      </c>
      <c r="AI131" s="213"/>
      <c r="AJ131" s="204"/>
      <c r="AK131" s="204"/>
      <c r="AL131" s="204"/>
      <c r="AM131" s="204"/>
      <c r="AN131" s="204"/>
    </row>
    <row r="132" spans="1:40">
      <c r="A132" s="144"/>
      <c r="B132" s="144"/>
      <c r="C132" s="144"/>
      <c r="D132" s="906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566">
        <f t="shared" si="73"/>
        <v>3.5000000000000009</v>
      </c>
      <c r="V132" s="566">
        <f t="shared" si="73"/>
        <v>6.1999999999999993</v>
      </c>
      <c r="W132" s="566">
        <f t="shared" si="73"/>
        <v>1.6</v>
      </c>
      <c r="X132" s="566">
        <f t="shared" si="73"/>
        <v>0.85</v>
      </c>
      <c r="Y132" s="566">
        <f t="shared" si="73"/>
        <v>1.05</v>
      </c>
      <c r="Z132" s="566">
        <f t="shared" si="73"/>
        <v>1.79</v>
      </c>
      <c r="AA132" s="566">
        <f t="shared" si="73"/>
        <v>2.4849999999999999</v>
      </c>
      <c r="AB132" s="144"/>
      <c r="AC132" s="231">
        <v>0</v>
      </c>
      <c r="AD132" s="231">
        <v>0</v>
      </c>
      <c r="AE132" s="231">
        <v>0</v>
      </c>
      <c r="AF132" s="231">
        <v>0</v>
      </c>
      <c r="AG132" s="231">
        <v>0</v>
      </c>
      <c r="AH132" s="231">
        <v>0</v>
      </c>
      <c r="AI132" s="213"/>
      <c r="AJ132" s="204"/>
      <c r="AK132" s="204"/>
      <c r="AL132" s="204"/>
      <c r="AM132" s="204"/>
      <c r="AN132" s="204"/>
    </row>
    <row r="133" spans="1:40">
      <c r="A133" s="144"/>
      <c r="B133" s="144"/>
      <c r="C133" s="144"/>
      <c r="D133" s="906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566">
        <f t="shared" si="73"/>
        <v>3.5000000000000009</v>
      </c>
      <c r="V133" s="566">
        <f t="shared" si="73"/>
        <v>6.1999999999999993</v>
      </c>
      <c r="W133" s="566">
        <f t="shared" si="73"/>
        <v>1.6</v>
      </c>
      <c r="X133" s="566">
        <f t="shared" si="73"/>
        <v>0.85</v>
      </c>
      <c r="Y133" s="566">
        <f t="shared" si="73"/>
        <v>1.05</v>
      </c>
      <c r="Z133" s="566">
        <f t="shared" si="73"/>
        <v>1.79</v>
      </c>
      <c r="AA133" s="566">
        <f t="shared" si="73"/>
        <v>2.4849999999999999</v>
      </c>
      <c r="AB133" s="144"/>
      <c r="AC133" s="231">
        <v>0</v>
      </c>
      <c r="AD133" s="231">
        <v>0</v>
      </c>
      <c r="AE133" s="231">
        <v>0</v>
      </c>
      <c r="AF133" s="231">
        <v>0</v>
      </c>
      <c r="AG133" s="231">
        <v>0</v>
      </c>
      <c r="AH133" s="231">
        <v>0</v>
      </c>
      <c r="AI133" s="213"/>
      <c r="AJ133" s="204"/>
      <c r="AK133" s="204"/>
      <c r="AL133" s="204"/>
      <c r="AM133" s="204"/>
      <c r="AN133" s="204"/>
    </row>
    <row r="134" spans="1:40">
      <c r="A134" s="144"/>
      <c r="B134" s="144"/>
      <c r="C134" s="144"/>
      <c r="D134" s="906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566">
        <f t="shared" si="73"/>
        <v>3.5000000000000009</v>
      </c>
      <c r="V134" s="566">
        <f t="shared" si="73"/>
        <v>6.1999999999999993</v>
      </c>
      <c r="W134" s="566">
        <f t="shared" si="73"/>
        <v>1.6</v>
      </c>
      <c r="X134" s="566">
        <f t="shared" si="73"/>
        <v>0.85</v>
      </c>
      <c r="Y134" s="566">
        <f t="shared" si="73"/>
        <v>1.05</v>
      </c>
      <c r="Z134" s="566">
        <f t="shared" si="73"/>
        <v>1.79</v>
      </c>
      <c r="AA134" s="566">
        <f t="shared" si="73"/>
        <v>2.4849999999999999</v>
      </c>
      <c r="AB134" s="144"/>
      <c r="AC134" s="231"/>
      <c r="AD134" s="231"/>
      <c r="AE134" s="231"/>
      <c r="AF134" s="231"/>
      <c r="AG134" s="231"/>
      <c r="AH134" s="231"/>
      <c r="AI134" s="213"/>
      <c r="AJ134" s="204"/>
      <c r="AK134" s="204"/>
      <c r="AL134" s="204"/>
      <c r="AM134" s="204"/>
      <c r="AN134" s="204"/>
    </row>
    <row r="135" spans="1:40">
      <c r="A135" s="144"/>
      <c r="B135" s="144"/>
      <c r="C135" s="144"/>
      <c r="D135" s="906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566">
        <f t="shared" si="73"/>
        <v>3.5000000000000009</v>
      </c>
      <c r="V135" s="566">
        <f t="shared" si="73"/>
        <v>6.1999999999999993</v>
      </c>
      <c r="W135" s="566">
        <f t="shared" si="73"/>
        <v>1.6</v>
      </c>
      <c r="X135" s="566">
        <f t="shared" si="73"/>
        <v>0.85</v>
      </c>
      <c r="Y135" s="566">
        <f t="shared" si="73"/>
        <v>1.05</v>
      </c>
      <c r="Z135" s="566">
        <f t="shared" si="73"/>
        <v>1.79</v>
      </c>
      <c r="AA135" s="566">
        <f t="shared" si="73"/>
        <v>2.4849999999999999</v>
      </c>
      <c r="AB135" s="144"/>
      <c r="AC135" s="231"/>
      <c r="AD135" s="231"/>
      <c r="AE135" s="231"/>
      <c r="AF135" s="231"/>
      <c r="AG135" s="231"/>
      <c r="AH135" s="231"/>
      <c r="AI135" s="213"/>
      <c r="AJ135" s="204"/>
      <c r="AK135" s="204"/>
      <c r="AL135" s="204"/>
      <c r="AM135" s="204"/>
      <c r="AN135" s="204"/>
    </row>
    <row r="136" spans="1:40">
      <c r="A136" s="144"/>
      <c r="B136" s="144"/>
      <c r="C136" s="144"/>
      <c r="D136" s="906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566">
        <f t="shared" si="73"/>
        <v>3.5000000000000009</v>
      </c>
      <c r="V136" s="566">
        <f t="shared" si="73"/>
        <v>6.1999999999999993</v>
      </c>
      <c r="W136" s="566">
        <f t="shared" si="73"/>
        <v>1.6</v>
      </c>
      <c r="X136" s="566">
        <f t="shared" si="73"/>
        <v>0.85</v>
      </c>
      <c r="Y136" s="566">
        <f t="shared" si="73"/>
        <v>1.05</v>
      </c>
      <c r="Z136" s="566">
        <f t="shared" si="73"/>
        <v>1.79</v>
      </c>
      <c r="AA136" s="566">
        <f t="shared" si="73"/>
        <v>2.4849999999999999</v>
      </c>
      <c r="AB136" s="144"/>
      <c r="AC136" s="231">
        <v>0</v>
      </c>
      <c r="AD136" s="231">
        <v>0</v>
      </c>
      <c r="AE136" s="231">
        <v>0</v>
      </c>
      <c r="AF136" s="231">
        <v>0</v>
      </c>
      <c r="AG136" s="231">
        <v>0</v>
      </c>
      <c r="AH136" s="231">
        <v>0</v>
      </c>
      <c r="AI136" s="213"/>
      <c r="AJ136" s="204"/>
      <c r="AK136" s="204"/>
      <c r="AL136" s="204"/>
      <c r="AM136" s="204"/>
      <c r="AN136" s="204"/>
    </row>
    <row r="137" spans="1:40">
      <c r="A137" s="144"/>
      <c r="B137" s="144"/>
      <c r="C137" s="144"/>
      <c r="D137" s="906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566">
        <f t="shared" si="73"/>
        <v>3.5000000000000009</v>
      </c>
      <c r="V137" s="566">
        <f t="shared" si="73"/>
        <v>6.1999999999999993</v>
      </c>
      <c r="W137" s="566">
        <f t="shared" si="73"/>
        <v>1.6</v>
      </c>
      <c r="X137" s="566">
        <f t="shared" si="73"/>
        <v>0.85</v>
      </c>
      <c r="Y137" s="566">
        <f t="shared" si="73"/>
        <v>1.05</v>
      </c>
      <c r="Z137" s="566">
        <f t="shared" si="73"/>
        <v>1.79</v>
      </c>
      <c r="AA137" s="566">
        <f t="shared" si="73"/>
        <v>2.4849999999999999</v>
      </c>
      <c r="AB137" s="144"/>
      <c r="AC137" s="231">
        <v>0</v>
      </c>
      <c r="AD137" s="231">
        <v>0</v>
      </c>
      <c r="AE137" s="231">
        <v>0</v>
      </c>
      <c r="AF137" s="231">
        <v>0</v>
      </c>
      <c r="AG137" s="231">
        <v>0</v>
      </c>
      <c r="AH137" s="231">
        <v>0</v>
      </c>
      <c r="AI137" s="213"/>
      <c r="AJ137" s="204"/>
      <c r="AK137" s="204"/>
      <c r="AL137" s="204"/>
      <c r="AM137" s="204"/>
      <c r="AN137" s="204"/>
    </row>
    <row r="138" spans="1:40">
      <c r="A138" s="144"/>
      <c r="B138" s="144"/>
      <c r="C138" s="144"/>
      <c r="D138" s="906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566">
        <f t="shared" si="73"/>
        <v>3.5000000000000009</v>
      </c>
      <c r="V138" s="566">
        <f t="shared" si="73"/>
        <v>6.1999999999999993</v>
      </c>
      <c r="W138" s="566">
        <f t="shared" si="73"/>
        <v>1.6</v>
      </c>
      <c r="X138" s="566">
        <f t="shared" si="73"/>
        <v>0.85</v>
      </c>
      <c r="Y138" s="566">
        <f t="shared" si="73"/>
        <v>1.05</v>
      </c>
      <c r="Z138" s="566">
        <f t="shared" si="73"/>
        <v>1.79</v>
      </c>
      <c r="AA138" s="566">
        <f t="shared" si="73"/>
        <v>2.4849999999999999</v>
      </c>
      <c r="AB138" s="144"/>
      <c r="AC138" s="231">
        <v>0</v>
      </c>
      <c r="AD138" s="231">
        <v>0</v>
      </c>
      <c r="AE138" s="231">
        <v>0</v>
      </c>
      <c r="AF138" s="231">
        <v>0</v>
      </c>
      <c r="AG138" s="231">
        <v>0</v>
      </c>
      <c r="AH138" s="231">
        <v>0</v>
      </c>
      <c r="AI138" s="213"/>
      <c r="AJ138" s="204"/>
      <c r="AK138" s="204"/>
      <c r="AL138" s="204"/>
      <c r="AM138" s="204"/>
      <c r="AN138" s="204"/>
    </row>
    <row r="139" spans="1:40">
      <c r="A139" s="144"/>
      <c r="B139" s="144"/>
      <c r="C139" s="144"/>
      <c r="D139" s="906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566">
        <f t="shared" si="73"/>
        <v>3.5000000000000009</v>
      </c>
      <c r="V139" s="566">
        <f t="shared" si="73"/>
        <v>6.1999999999999993</v>
      </c>
      <c r="W139" s="566">
        <f t="shared" si="73"/>
        <v>1.6</v>
      </c>
      <c r="X139" s="566">
        <f t="shared" si="73"/>
        <v>0.85</v>
      </c>
      <c r="Y139" s="566">
        <f t="shared" si="73"/>
        <v>1.05</v>
      </c>
      <c r="Z139" s="566">
        <f t="shared" si="73"/>
        <v>1.79</v>
      </c>
      <c r="AA139" s="566">
        <f t="shared" si="73"/>
        <v>2.4849999999999999</v>
      </c>
      <c r="AB139" s="144"/>
      <c r="AC139" s="231"/>
      <c r="AD139" s="231"/>
      <c r="AE139" s="231"/>
      <c r="AF139" s="231"/>
      <c r="AG139" s="231"/>
      <c r="AH139" s="231"/>
      <c r="AI139" s="213"/>
      <c r="AJ139" s="204"/>
      <c r="AK139" s="204"/>
      <c r="AL139" s="204"/>
      <c r="AM139" s="204"/>
      <c r="AN139" s="204"/>
    </row>
    <row r="140" spans="1:40">
      <c r="A140" s="144"/>
      <c r="B140" s="144"/>
      <c r="C140" s="144"/>
      <c r="D140" s="906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566">
        <f t="shared" ref="U140:AA144" si="74">IF(U139&gt;0,U139,U138)</f>
        <v>3.5000000000000009</v>
      </c>
      <c r="V140" s="566">
        <f t="shared" si="74"/>
        <v>6.1999999999999993</v>
      </c>
      <c r="W140" s="566">
        <f t="shared" si="74"/>
        <v>1.6</v>
      </c>
      <c r="X140" s="566">
        <f t="shared" si="74"/>
        <v>0.85</v>
      </c>
      <c r="Y140" s="566">
        <f t="shared" si="74"/>
        <v>1.05</v>
      </c>
      <c r="Z140" s="566">
        <f t="shared" si="74"/>
        <v>1.79</v>
      </c>
      <c r="AA140" s="566">
        <f t="shared" si="74"/>
        <v>2.4849999999999999</v>
      </c>
      <c r="AB140" s="144"/>
      <c r="AC140" s="231"/>
      <c r="AD140" s="231"/>
      <c r="AE140" s="231"/>
      <c r="AF140" s="231"/>
      <c r="AG140" s="231"/>
      <c r="AH140" s="231"/>
      <c r="AI140" s="213"/>
      <c r="AJ140" s="204"/>
      <c r="AK140" s="204"/>
      <c r="AL140" s="204"/>
      <c r="AM140" s="204"/>
      <c r="AN140" s="204"/>
    </row>
    <row r="141" spans="1:40">
      <c r="A141" s="144"/>
      <c r="B141" s="144"/>
      <c r="C141" s="144"/>
      <c r="D141" s="906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566">
        <f t="shared" si="74"/>
        <v>3.5000000000000009</v>
      </c>
      <c r="V141" s="566">
        <f t="shared" si="74"/>
        <v>6.1999999999999993</v>
      </c>
      <c r="W141" s="566">
        <f t="shared" si="74"/>
        <v>1.6</v>
      </c>
      <c r="X141" s="566">
        <f t="shared" si="74"/>
        <v>0.85</v>
      </c>
      <c r="Y141" s="566">
        <f t="shared" si="74"/>
        <v>1.05</v>
      </c>
      <c r="Z141" s="566">
        <f t="shared" si="74"/>
        <v>1.79</v>
      </c>
      <c r="AA141" s="566">
        <f t="shared" si="74"/>
        <v>2.4849999999999999</v>
      </c>
      <c r="AB141" s="144"/>
      <c r="AC141" s="231">
        <v>0</v>
      </c>
      <c r="AD141" s="231">
        <v>0</v>
      </c>
      <c r="AE141" s="231">
        <v>0</v>
      </c>
      <c r="AF141" s="231">
        <v>0</v>
      </c>
      <c r="AG141" s="231">
        <v>0</v>
      </c>
      <c r="AH141" s="231">
        <v>0</v>
      </c>
      <c r="AI141" s="213"/>
      <c r="AJ141" s="204"/>
      <c r="AK141" s="204"/>
      <c r="AL141" s="204"/>
      <c r="AM141" s="204"/>
      <c r="AN141" s="204"/>
    </row>
    <row r="142" spans="1:40">
      <c r="A142" s="144"/>
      <c r="B142" s="144"/>
      <c r="C142" s="144"/>
      <c r="D142" s="906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566">
        <f t="shared" si="74"/>
        <v>3.5000000000000009</v>
      </c>
      <c r="V142" s="566">
        <f t="shared" si="74"/>
        <v>6.1999999999999993</v>
      </c>
      <c r="W142" s="566">
        <f t="shared" si="74"/>
        <v>1.6</v>
      </c>
      <c r="X142" s="566">
        <f t="shared" si="74"/>
        <v>0.85</v>
      </c>
      <c r="Y142" s="566">
        <f t="shared" si="74"/>
        <v>1.05</v>
      </c>
      <c r="Z142" s="566">
        <f t="shared" si="74"/>
        <v>1.79</v>
      </c>
      <c r="AA142" s="566">
        <f t="shared" si="74"/>
        <v>2.4849999999999999</v>
      </c>
      <c r="AB142" s="144"/>
      <c r="AC142" s="231">
        <v>0</v>
      </c>
      <c r="AD142" s="231">
        <v>0</v>
      </c>
      <c r="AE142" s="231">
        <v>0</v>
      </c>
      <c r="AF142" s="231">
        <v>0</v>
      </c>
      <c r="AG142" s="231">
        <v>0</v>
      </c>
      <c r="AH142" s="231">
        <v>0</v>
      </c>
      <c r="AI142" s="213"/>
      <c r="AJ142" s="204"/>
      <c r="AK142" s="204"/>
      <c r="AL142" s="204"/>
      <c r="AM142" s="204"/>
      <c r="AN142" s="204"/>
    </row>
    <row r="143" spans="1:40">
      <c r="A143" s="144"/>
      <c r="B143" s="144"/>
      <c r="C143" s="144"/>
      <c r="D143" s="906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566">
        <f t="shared" si="74"/>
        <v>3.5000000000000009</v>
      </c>
      <c r="V143" s="566">
        <f t="shared" si="74"/>
        <v>6.1999999999999993</v>
      </c>
      <c r="W143" s="566">
        <f t="shared" si="74"/>
        <v>1.6</v>
      </c>
      <c r="X143" s="566">
        <f t="shared" si="74"/>
        <v>0.85</v>
      </c>
      <c r="Y143" s="566">
        <f t="shared" si="74"/>
        <v>1.05</v>
      </c>
      <c r="Z143" s="566">
        <f t="shared" si="74"/>
        <v>1.79</v>
      </c>
      <c r="AA143" s="566">
        <f t="shared" si="74"/>
        <v>2.4849999999999999</v>
      </c>
      <c r="AB143" s="144"/>
      <c r="AC143" s="231">
        <v>0</v>
      </c>
      <c r="AD143" s="231">
        <v>0</v>
      </c>
      <c r="AE143" s="231">
        <v>0</v>
      </c>
      <c r="AF143" s="231">
        <v>0</v>
      </c>
      <c r="AG143" s="231">
        <v>0</v>
      </c>
      <c r="AH143" s="231">
        <v>0</v>
      </c>
      <c r="AI143" s="213"/>
      <c r="AJ143" s="204"/>
      <c r="AK143" s="204"/>
      <c r="AL143" s="204"/>
      <c r="AM143" s="204"/>
      <c r="AN143" s="204"/>
    </row>
    <row r="144" spans="1:40">
      <c r="A144" s="144"/>
      <c r="B144" s="144"/>
      <c r="C144" s="144"/>
      <c r="D144" s="906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567">
        <f>IF(U143&gt;0,U143,U142)</f>
        <v>3.5000000000000009</v>
      </c>
      <c r="V144" s="567">
        <f t="shared" si="74"/>
        <v>6.1999999999999993</v>
      </c>
      <c r="W144" s="567">
        <f t="shared" si="74"/>
        <v>1.6</v>
      </c>
      <c r="X144" s="567">
        <f t="shared" si="74"/>
        <v>0.85</v>
      </c>
      <c r="Y144" s="567">
        <f t="shared" si="74"/>
        <v>1.05</v>
      </c>
      <c r="Z144" s="567">
        <f t="shared" si="74"/>
        <v>1.79</v>
      </c>
      <c r="AA144" s="567">
        <f t="shared" si="74"/>
        <v>2.4849999999999999</v>
      </c>
      <c r="AB144" s="144"/>
      <c r="AC144" s="231"/>
      <c r="AD144" s="231"/>
      <c r="AE144" s="231"/>
      <c r="AF144" s="231"/>
      <c r="AG144" s="231"/>
      <c r="AH144" s="231"/>
      <c r="AI144" s="213"/>
      <c r="AJ144" s="204"/>
      <c r="AK144" s="204"/>
      <c r="AL144" s="204"/>
      <c r="AM144" s="204"/>
      <c r="AN144" s="204"/>
    </row>
    <row r="145" spans="1:40">
      <c r="A145" s="144"/>
      <c r="B145" s="144"/>
      <c r="C145" s="144"/>
      <c r="D145" s="906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222"/>
      <c r="V145" s="222"/>
      <c r="W145" s="222"/>
      <c r="X145" s="222"/>
      <c r="Y145" s="222"/>
      <c r="Z145" s="222"/>
      <c r="AA145" s="222"/>
      <c r="AB145" s="144"/>
      <c r="AC145" s="231"/>
      <c r="AD145" s="231"/>
      <c r="AE145" s="231"/>
      <c r="AF145" s="231"/>
      <c r="AG145" s="231"/>
      <c r="AH145" s="231"/>
      <c r="AI145" s="213"/>
      <c r="AJ145" s="204"/>
      <c r="AK145" s="204"/>
      <c r="AL145" s="204"/>
      <c r="AM145" s="204"/>
      <c r="AN145" s="204"/>
    </row>
    <row r="146" spans="1:40">
      <c r="A146" s="144"/>
      <c r="B146" s="144"/>
      <c r="C146" s="144"/>
      <c r="D146" s="906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222"/>
      <c r="V146" s="222"/>
      <c r="W146" s="222"/>
      <c r="X146" s="222"/>
      <c r="Y146" s="222"/>
      <c r="Z146" s="222"/>
      <c r="AA146" s="222"/>
      <c r="AB146" s="144"/>
      <c r="AC146" s="231">
        <v>0</v>
      </c>
      <c r="AD146" s="231">
        <v>0</v>
      </c>
      <c r="AE146" s="231">
        <v>0</v>
      </c>
      <c r="AF146" s="231">
        <v>0</v>
      </c>
      <c r="AG146" s="231">
        <v>0</v>
      </c>
      <c r="AH146" s="231">
        <v>0</v>
      </c>
      <c r="AI146" s="213"/>
      <c r="AJ146" s="204"/>
      <c r="AK146" s="204"/>
      <c r="AL146" s="204"/>
      <c r="AM146" s="204"/>
      <c r="AN146" s="204"/>
    </row>
    <row r="147" spans="1:40">
      <c r="A147" s="144"/>
      <c r="B147" s="144"/>
      <c r="C147" s="144"/>
      <c r="D147" s="906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222"/>
      <c r="V147" s="222"/>
      <c r="W147" s="222"/>
      <c r="X147" s="222"/>
      <c r="Y147" s="222"/>
      <c r="Z147" s="222"/>
      <c r="AA147" s="222"/>
      <c r="AB147" s="144"/>
      <c r="AC147" s="231"/>
      <c r="AD147" s="231"/>
      <c r="AE147" s="231"/>
      <c r="AF147" s="231"/>
      <c r="AG147" s="231"/>
      <c r="AH147" s="231"/>
      <c r="AJ147" s="204"/>
      <c r="AK147" s="204"/>
      <c r="AL147" s="204"/>
      <c r="AM147" s="204"/>
      <c r="AN147" s="204"/>
    </row>
    <row r="148" spans="1:40">
      <c r="A148" s="144"/>
      <c r="B148" s="144"/>
      <c r="C148" s="144"/>
      <c r="D148" s="906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222"/>
      <c r="V148" s="222"/>
      <c r="W148" s="222"/>
      <c r="X148" s="222"/>
      <c r="Y148" s="222"/>
      <c r="Z148" s="222"/>
      <c r="AA148" s="222"/>
      <c r="AB148" s="144"/>
      <c r="AJ148" s="204"/>
      <c r="AK148" s="204"/>
      <c r="AL148" s="204"/>
      <c r="AM148" s="204"/>
      <c r="AN148" s="204"/>
    </row>
    <row r="149" spans="1:40">
      <c r="A149" s="144"/>
      <c r="B149" s="144"/>
      <c r="C149" s="144"/>
      <c r="D149" s="906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222"/>
      <c r="V149" s="222"/>
      <c r="W149" s="222"/>
      <c r="X149" s="222"/>
      <c r="Y149" s="222"/>
      <c r="Z149" s="222"/>
      <c r="AA149" s="222"/>
      <c r="AB149" s="144"/>
      <c r="AJ149" s="204"/>
      <c r="AK149" s="204"/>
      <c r="AL149" s="204"/>
      <c r="AM149" s="204"/>
      <c r="AN149" s="204"/>
    </row>
    <row r="150" spans="1:40">
      <c r="A150" s="144"/>
      <c r="B150" s="144"/>
      <c r="C150" s="144"/>
      <c r="D150" s="906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222"/>
      <c r="V150" s="222"/>
      <c r="W150" s="222"/>
      <c r="X150" s="222"/>
      <c r="Y150" s="222"/>
      <c r="Z150" s="222"/>
      <c r="AA150" s="222"/>
      <c r="AB150" s="144"/>
      <c r="AJ150" s="204"/>
      <c r="AK150" s="204"/>
      <c r="AL150" s="204"/>
      <c r="AM150" s="204"/>
      <c r="AN150" s="204"/>
    </row>
    <row r="151" spans="1:40">
      <c r="A151" s="144"/>
      <c r="B151" s="144"/>
      <c r="C151" s="144"/>
      <c r="D151" s="906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222"/>
      <c r="V151" s="222"/>
      <c r="W151" s="222"/>
      <c r="X151" s="222"/>
      <c r="Y151" s="222"/>
      <c r="Z151" s="222"/>
      <c r="AA151" s="222"/>
      <c r="AB151" s="144"/>
      <c r="AJ151" s="204"/>
      <c r="AK151" s="204"/>
      <c r="AL151" s="204"/>
      <c r="AM151" s="204"/>
      <c r="AN151" s="204"/>
    </row>
    <row r="152" spans="1:40">
      <c r="A152" s="144"/>
      <c r="B152" s="144"/>
      <c r="C152" s="144"/>
      <c r="D152" s="906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222"/>
      <c r="V152" s="222"/>
      <c r="W152" s="222"/>
      <c r="X152" s="222"/>
      <c r="Y152" s="222"/>
      <c r="Z152" s="222"/>
      <c r="AA152" s="222"/>
      <c r="AB152" s="144"/>
      <c r="AJ152" s="204"/>
      <c r="AK152" s="204"/>
      <c r="AL152" s="204"/>
      <c r="AM152" s="204"/>
      <c r="AN152" s="204"/>
    </row>
    <row r="153" spans="1:40">
      <c r="A153" s="144"/>
      <c r="B153" s="144"/>
      <c r="C153" s="144"/>
      <c r="D153" s="906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222"/>
      <c r="V153" s="222"/>
      <c r="W153" s="222"/>
      <c r="X153" s="222"/>
      <c r="Y153" s="222"/>
      <c r="Z153" s="222"/>
      <c r="AA153" s="222"/>
      <c r="AB153" s="144"/>
      <c r="AJ153" s="204"/>
      <c r="AK153" s="204"/>
      <c r="AL153" s="204"/>
      <c r="AM153" s="204"/>
      <c r="AN153" s="204"/>
    </row>
    <row r="154" spans="1:40">
      <c r="A154" s="144"/>
      <c r="B154" s="144"/>
      <c r="C154" s="144"/>
      <c r="D154" s="906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222"/>
      <c r="V154" s="222"/>
      <c r="W154" s="222"/>
      <c r="X154" s="222"/>
      <c r="Y154" s="222"/>
      <c r="Z154" s="222"/>
      <c r="AA154" s="222"/>
      <c r="AB154" s="144"/>
      <c r="AJ154" s="204"/>
      <c r="AK154" s="204"/>
      <c r="AL154" s="204"/>
      <c r="AM154" s="204"/>
      <c r="AN154" s="204"/>
    </row>
    <row r="155" spans="1:40">
      <c r="A155" s="144"/>
      <c r="B155" s="144"/>
      <c r="C155" s="144"/>
      <c r="D155" s="906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222"/>
      <c r="V155" s="222"/>
      <c r="W155" s="222"/>
      <c r="X155" s="222"/>
      <c r="Y155" s="222"/>
      <c r="Z155" s="222"/>
      <c r="AA155" s="222"/>
      <c r="AB155" s="144"/>
      <c r="AJ155" s="204"/>
      <c r="AK155" s="204"/>
      <c r="AL155" s="204"/>
      <c r="AM155" s="204"/>
      <c r="AN155" s="204"/>
    </row>
    <row r="156" spans="1:40">
      <c r="A156" s="144"/>
      <c r="B156" s="144"/>
      <c r="C156" s="144"/>
      <c r="D156" s="906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222"/>
      <c r="V156" s="222"/>
      <c r="W156" s="222"/>
      <c r="X156" s="222"/>
      <c r="Y156" s="222"/>
      <c r="Z156" s="222"/>
      <c r="AA156" s="222"/>
      <c r="AB156" s="144"/>
      <c r="AJ156" s="204"/>
      <c r="AK156" s="204"/>
      <c r="AL156" s="204"/>
      <c r="AM156" s="204"/>
      <c r="AN156" s="204"/>
    </row>
    <row r="157" spans="1:40">
      <c r="A157" s="144"/>
      <c r="B157" s="144"/>
      <c r="C157" s="144"/>
      <c r="D157" s="906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222"/>
      <c r="V157" s="222"/>
      <c r="W157" s="222"/>
      <c r="X157" s="222"/>
      <c r="Y157" s="222"/>
      <c r="Z157" s="222"/>
      <c r="AA157" s="222"/>
      <c r="AB157" s="144"/>
      <c r="AJ157" s="204"/>
      <c r="AK157" s="204"/>
      <c r="AL157" s="204"/>
      <c r="AM157" s="204"/>
      <c r="AN157" s="204"/>
    </row>
    <row r="158" spans="1:40">
      <c r="A158" s="144"/>
      <c r="B158" s="144"/>
      <c r="C158" s="144"/>
      <c r="D158" s="906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222"/>
      <c r="V158" s="222"/>
      <c r="W158" s="222"/>
      <c r="X158" s="222"/>
      <c r="Y158" s="222"/>
      <c r="Z158" s="222"/>
      <c r="AA158" s="222"/>
      <c r="AB158" s="144"/>
      <c r="AN158" s="204"/>
    </row>
    <row r="159" spans="1:40">
      <c r="A159" s="144"/>
      <c r="B159" s="144"/>
      <c r="C159" s="144"/>
      <c r="D159" s="906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222"/>
      <c r="V159" s="222"/>
      <c r="W159" s="222"/>
      <c r="X159" s="222"/>
      <c r="Y159" s="222"/>
      <c r="Z159" s="222"/>
      <c r="AA159" s="222"/>
      <c r="AB159" s="144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3"/>
      <c r="AM159" s="213"/>
      <c r="AN159" s="204"/>
    </row>
    <row r="160" spans="1:40" s="247" customFormat="1" ht="11">
      <c r="A160" s="144"/>
      <c r="B160" s="144"/>
      <c r="C160" s="144"/>
      <c r="D160" s="906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222"/>
      <c r="V160" s="222"/>
      <c r="W160" s="222"/>
      <c r="X160" s="222"/>
      <c r="Y160" s="222"/>
      <c r="Z160" s="222"/>
      <c r="AA160" s="222"/>
      <c r="AB160" s="144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1:39" s="247" customFormat="1" ht="11">
      <c r="A161" s="144"/>
      <c r="B161" s="144"/>
      <c r="C161" s="144"/>
      <c r="D161" s="906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222"/>
      <c r="V161" s="222"/>
      <c r="W161" s="222"/>
      <c r="X161" s="222"/>
      <c r="Y161" s="222"/>
      <c r="Z161" s="222"/>
      <c r="AA161" s="222"/>
      <c r="AB161" s="144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1:39" s="247" customFormat="1" ht="11">
      <c r="A162" s="144"/>
      <c r="B162" s="144"/>
      <c r="C162" s="144"/>
      <c r="D162" s="906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222"/>
      <c r="V162" s="222"/>
      <c r="W162" s="222"/>
      <c r="X162" s="222"/>
      <c r="Y162" s="222"/>
      <c r="Z162" s="222"/>
      <c r="AA162" s="222"/>
      <c r="AB162" s="144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1:39" s="247" customFormat="1" ht="11">
      <c r="A163" s="144"/>
      <c r="B163" s="144"/>
      <c r="C163" s="144"/>
      <c r="D163" s="906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222"/>
      <c r="V163" s="222"/>
      <c r="W163" s="222"/>
      <c r="X163" s="222"/>
      <c r="Y163" s="222"/>
      <c r="Z163" s="222"/>
      <c r="AA163" s="222"/>
      <c r="AB163" s="144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1:39" s="247" customFormat="1" ht="11">
      <c r="B164" s="144"/>
      <c r="C164" s="143"/>
      <c r="D164" s="907"/>
      <c r="E164" s="143"/>
      <c r="F164" s="145"/>
      <c r="G164" s="146"/>
      <c r="H164" s="146"/>
      <c r="I164" s="146"/>
      <c r="J164" s="146"/>
      <c r="K164" s="146"/>
      <c r="L164" s="146"/>
      <c r="M164" s="458"/>
      <c r="N164" s="145"/>
      <c r="O164" s="146"/>
      <c r="P164" s="146"/>
      <c r="Q164" s="147"/>
      <c r="R164" s="147"/>
      <c r="S164" s="142"/>
      <c r="T164" s="142"/>
      <c r="U164" s="222"/>
      <c r="V164" s="222"/>
      <c r="W164" s="222"/>
      <c r="X164" s="222"/>
      <c r="Y164" s="222"/>
      <c r="Z164" s="222"/>
      <c r="AA164" s="222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1:39" s="247" customFormat="1" ht="11">
      <c r="B165" s="144"/>
      <c r="C165" s="143"/>
      <c r="D165" s="907"/>
      <c r="E165" s="143"/>
      <c r="F165" s="145"/>
      <c r="G165" s="146"/>
      <c r="H165" s="146"/>
      <c r="I165" s="146"/>
      <c r="J165" s="146"/>
      <c r="K165" s="146"/>
      <c r="L165" s="146"/>
      <c r="M165" s="458"/>
      <c r="N165" s="145"/>
      <c r="O165" s="146"/>
      <c r="P165" s="146"/>
      <c r="Q165" s="147"/>
      <c r="R165" s="147"/>
      <c r="S165" s="142"/>
      <c r="T165" s="142"/>
      <c r="U165" s="222"/>
      <c r="V165" s="222"/>
      <c r="W165" s="222"/>
      <c r="X165" s="222"/>
      <c r="Y165" s="222"/>
      <c r="Z165" s="222"/>
      <c r="AA165" s="222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1:39" s="247" customFormat="1" ht="11">
      <c r="B166" s="144"/>
      <c r="C166" s="143"/>
      <c r="D166" s="907"/>
      <c r="E166" s="143"/>
      <c r="F166" s="145"/>
      <c r="G166" s="146"/>
      <c r="H166" s="146"/>
      <c r="I166" s="146"/>
      <c r="J166" s="146"/>
      <c r="K166" s="146"/>
      <c r="L166" s="146"/>
      <c r="M166" s="458"/>
      <c r="N166" s="145"/>
      <c r="O166" s="146"/>
      <c r="P166" s="146"/>
      <c r="Q166" s="147"/>
      <c r="R166" s="147"/>
      <c r="S166" s="142"/>
      <c r="T166" s="142"/>
      <c r="U166" s="222"/>
      <c r="V166" s="222"/>
      <c r="W166" s="222"/>
      <c r="X166" s="222"/>
      <c r="Y166" s="222"/>
      <c r="Z166" s="222"/>
      <c r="AA166" s="222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1:39" s="247" customFormat="1" ht="11">
      <c r="B167" s="144"/>
      <c r="C167" s="143"/>
      <c r="D167" s="907"/>
      <c r="E167" s="143"/>
      <c r="F167" s="145"/>
      <c r="G167" s="146"/>
      <c r="H167" s="146"/>
      <c r="I167" s="146"/>
      <c r="J167" s="146"/>
      <c r="K167" s="146"/>
      <c r="L167" s="146"/>
      <c r="M167" s="458"/>
      <c r="N167" s="145"/>
      <c r="O167" s="146"/>
      <c r="P167" s="146"/>
      <c r="Q167" s="147"/>
      <c r="R167" s="147"/>
      <c r="S167" s="142"/>
      <c r="T167" s="142"/>
      <c r="U167" s="222"/>
      <c r="V167" s="222"/>
      <c r="W167" s="222"/>
      <c r="X167" s="222"/>
      <c r="Y167" s="222"/>
      <c r="Z167" s="222"/>
      <c r="AA167" s="222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1:39" s="247" customFormat="1" ht="11">
      <c r="B168" s="144"/>
      <c r="C168" s="143"/>
      <c r="D168" s="907"/>
      <c r="E168" s="143"/>
      <c r="F168" s="145"/>
      <c r="G168" s="146"/>
      <c r="H168" s="146"/>
      <c r="I168" s="146"/>
      <c r="J168" s="146"/>
      <c r="K168" s="146"/>
      <c r="L168" s="146"/>
      <c r="M168" s="458"/>
      <c r="N168" s="145"/>
      <c r="O168" s="146"/>
      <c r="P168" s="146"/>
      <c r="Q168" s="147"/>
      <c r="R168" s="147"/>
      <c r="S168" s="142"/>
      <c r="T168" s="142"/>
      <c r="U168" s="146"/>
      <c r="V168" s="146"/>
      <c r="W168" s="146"/>
      <c r="X168" s="146"/>
      <c r="Y168" s="146"/>
      <c r="Z168" s="146"/>
      <c r="AA168" s="146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1:39" s="247" customFormat="1" ht="11">
      <c r="B169" s="144"/>
      <c r="C169" s="143"/>
      <c r="D169" s="907"/>
      <c r="E169" s="143"/>
      <c r="F169" s="145"/>
      <c r="G169" s="146"/>
      <c r="H169" s="146"/>
      <c r="I169" s="146"/>
      <c r="J169" s="146"/>
      <c r="K169" s="146"/>
      <c r="L169" s="146"/>
      <c r="M169" s="458"/>
      <c r="N169" s="145"/>
      <c r="O169" s="146"/>
      <c r="P169" s="146"/>
      <c r="Q169" s="147"/>
      <c r="R169" s="147"/>
      <c r="S169" s="142"/>
      <c r="T169" s="142"/>
      <c r="U169" s="146"/>
      <c r="V169" s="146"/>
      <c r="W169" s="146"/>
      <c r="X169" s="146"/>
      <c r="Y169" s="146"/>
      <c r="Z169" s="146"/>
      <c r="AA169" s="146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1:39" s="247" customFormat="1" ht="11">
      <c r="B170" s="144"/>
      <c r="C170" s="143"/>
      <c r="D170" s="907"/>
      <c r="E170" s="143"/>
      <c r="F170" s="145"/>
      <c r="G170" s="146"/>
      <c r="H170" s="146"/>
      <c r="I170" s="146"/>
      <c r="J170" s="146"/>
      <c r="K170" s="146"/>
      <c r="L170" s="146"/>
      <c r="M170" s="458"/>
      <c r="N170" s="145"/>
      <c r="O170" s="146"/>
      <c r="P170" s="146"/>
      <c r="Q170" s="147"/>
      <c r="R170" s="147"/>
      <c r="S170" s="142"/>
      <c r="T170" s="142"/>
      <c r="U170" s="146"/>
      <c r="V170" s="146"/>
      <c r="W170" s="146"/>
      <c r="X170" s="146"/>
      <c r="Y170" s="146"/>
      <c r="Z170" s="146"/>
      <c r="AA170" s="146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1:39" s="247" customFormat="1" ht="11">
      <c r="B171" s="144"/>
      <c r="C171" s="143"/>
      <c r="D171" s="907"/>
      <c r="E171" s="143"/>
      <c r="F171" s="145"/>
      <c r="G171" s="146"/>
      <c r="H171" s="146"/>
      <c r="I171" s="146"/>
      <c r="J171" s="146"/>
      <c r="K171" s="146"/>
      <c r="L171" s="146"/>
      <c r="M171" s="458"/>
      <c r="N171" s="145"/>
      <c r="O171" s="146"/>
      <c r="P171" s="146"/>
      <c r="Q171" s="147"/>
      <c r="R171" s="147"/>
      <c r="S171" s="142"/>
      <c r="T171" s="142"/>
      <c r="U171" s="146"/>
      <c r="V171" s="146"/>
      <c r="W171" s="146"/>
      <c r="X171" s="146"/>
      <c r="Y171" s="146"/>
      <c r="Z171" s="146"/>
      <c r="AA171" s="146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1:39" s="247" customFormat="1" ht="11">
      <c r="B172" s="144"/>
      <c r="C172" s="143"/>
      <c r="D172" s="907"/>
      <c r="E172" s="143"/>
      <c r="F172" s="145"/>
      <c r="G172" s="146"/>
      <c r="H172" s="146"/>
      <c r="I172" s="146"/>
      <c r="J172" s="146"/>
      <c r="K172" s="146"/>
      <c r="L172" s="146"/>
      <c r="M172" s="458"/>
      <c r="N172" s="145"/>
      <c r="O172" s="146"/>
      <c r="P172" s="146"/>
      <c r="Q172" s="147"/>
      <c r="R172" s="147"/>
      <c r="S172" s="142"/>
      <c r="T172" s="142"/>
      <c r="U172" s="146"/>
      <c r="V172" s="146"/>
      <c r="W172" s="146"/>
      <c r="X172" s="146"/>
      <c r="Y172" s="146"/>
      <c r="Z172" s="146"/>
      <c r="AA172" s="146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1:39" s="247" customFormat="1" ht="11">
      <c r="B173" s="144"/>
      <c r="C173" s="143"/>
      <c r="D173" s="907"/>
      <c r="E173" s="143"/>
      <c r="F173" s="145"/>
      <c r="G173" s="146"/>
      <c r="H173" s="146"/>
      <c r="I173" s="146"/>
      <c r="J173" s="146"/>
      <c r="K173" s="146"/>
      <c r="L173" s="146"/>
      <c r="M173" s="458"/>
      <c r="N173" s="145"/>
      <c r="O173" s="146"/>
      <c r="P173" s="146"/>
      <c r="Q173" s="147"/>
      <c r="R173" s="147"/>
      <c r="S173" s="142"/>
      <c r="T173" s="142"/>
      <c r="U173" s="146"/>
      <c r="V173" s="146"/>
      <c r="W173" s="146"/>
      <c r="X173" s="146"/>
      <c r="Y173" s="146"/>
      <c r="Z173" s="146"/>
      <c r="AA173" s="146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1:39" s="247" customFormat="1" ht="11">
      <c r="B174" s="144"/>
      <c r="C174" s="143"/>
      <c r="D174" s="907"/>
      <c r="E174" s="143"/>
      <c r="F174" s="145"/>
      <c r="G174" s="146"/>
      <c r="H174" s="146"/>
      <c r="I174" s="146"/>
      <c r="J174" s="146"/>
      <c r="K174" s="146"/>
      <c r="L174" s="146"/>
      <c r="M174" s="458"/>
      <c r="N174" s="145"/>
      <c r="O174" s="146"/>
      <c r="P174" s="146"/>
      <c r="Q174" s="147"/>
      <c r="R174" s="147"/>
      <c r="S174" s="142"/>
      <c r="T174" s="142"/>
      <c r="U174" s="146"/>
      <c r="V174" s="146"/>
      <c r="W174" s="146"/>
      <c r="X174" s="146"/>
      <c r="Y174" s="146"/>
      <c r="Z174" s="146"/>
      <c r="AA174" s="146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1:39" s="247" customFormat="1" ht="11">
      <c r="B175" s="144"/>
      <c r="C175" s="143"/>
      <c r="D175" s="907"/>
      <c r="E175" s="143"/>
      <c r="F175" s="145"/>
      <c r="G175" s="146"/>
      <c r="H175" s="146"/>
      <c r="I175" s="146"/>
      <c r="J175" s="146"/>
      <c r="K175" s="146"/>
      <c r="L175" s="146"/>
      <c r="M175" s="458"/>
      <c r="N175" s="145"/>
      <c r="O175" s="146"/>
      <c r="P175" s="146"/>
      <c r="Q175" s="147"/>
      <c r="R175" s="147"/>
      <c r="S175" s="142"/>
      <c r="T175" s="142"/>
      <c r="U175" s="146"/>
      <c r="V175" s="146"/>
      <c r="W175" s="146"/>
      <c r="X175" s="146"/>
      <c r="Y175" s="146"/>
      <c r="Z175" s="146"/>
      <c r="AA175" s="146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1:39" s="247" customFormat="1" ht="11">
      <c r="B176" s="144"/>
      <c r="C176" s="143"/>
      <c r="D176" s="907"/>
      <c r="E176" s="143"/>
      <c r="F176" s="145"/>
      <c r="G176" s="146"/>
      <c r="H176" s="146"/>
      <c r="I176" s="146"/>
      <c r="J176" s="146"/>
      <c r="K176" s="146"/>
      <c r="L176" s="146"/>
      <c r="M176" s="458"/>
      <c r="N176" s="145"/>
      <c r="O176" s="146"/>
      <c r="P176" s="146"/>
      <c r="Q176" s="147"/>
      <c r="R176" s="147"/>
      <c r="S176" s="142"/>
      <c r="T176" s="142"/>
      <c r="U176" s="146"/>
      <c r="V176" s="146"/>
      <c r="W176" s="146"/>
      <c r="X176" s="146"/>
      <c r="Y176" s="146"/>
      <c r="Z176" s="146"/>
      <c r="AA176" s="146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spans="2:39" s="247" customFormat="1" ht="11">
      <c r="B177" s="144"/>
      <c r="C177" s="143"/>
      <c r="D177" s="907"/>
      <c r="E177" s="143"/>
      <c r="F177" s="145"/>
      <c r="G177" s="146"/>
      <c r="H177" s="146"/>
      <c r="I177" s="146"/>
      <c r="J177" s="146"/>
      <c r="K177" s="146"/>
      <c r="L177" s="146"/>
      <c r="M177" s="458"/>
      <c r="N177" s="145"/>
      <c r="O177" s="146"/>
      <c r="P177" s="146"/>
      <c r="Q177" s="147"/>
      <c r="R177" s="147"/>
      <c r="S177" s="142"/>
      <c r="T177" s="142"/>
      <c r="U177" s="146"/>
      <c r="V177" s="146"/>
      <c r="W177" s="146"/>
      <c r="X177" s="146"/>
      <c r="Y177" s="146"/>
      <c r="Z177" s="146"/>
      <c r="AA177" s="146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</row>
    <row r="178" spans="2:39" s="247" customFormat="1" ht="11">
      <c r="B178" s="144"/>
      <c r="C178" s="143"/>
      <c r="D178" s="907"/>
      <c r="E178" s="143"/>
      <c r="F178" s="145"/>
      <c r="G178" s="146"/>
      <c r="H178" s="146"/>
      <c r="I178" s="146"/>
      <c r="J178" s="146"/>
      <c r="K178" s="146"/>
      <c r="L178" s="146"/>
      <c r="M178" s="458"/>
      <c r="N178" s="145"/>
      <c r="O178" s="146"/>
      <c r="P178" s="146"/>
      <c r="Q178" s="147"/>
      <c r="R178" s="147"/>
      <c r="S178" s="142"/>
      <c r="T178" s="142"/>
      <c r="U178" s="146"/>
      <c r="V178" s="146"/>
      <c r="W178" s="146"/>
      <c r="X178" s="146"/>
      <c r="Y178" s="146"/>
      <c r="Z178" s="146"/>
      <c r="AA178" s="146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</row>
    <row r="179" spans="2:39" s="247" customFormat="1" ht="11">
      <c r="B179" s="144"/>
      <c r="C179" s="143"/>
      <c r="D179" s="907"/>
      <c r="E179" s="143"/>
      <c r="F179" s="145"/>
      <c r="G179" s="146"/>
      <c r="H179" s="146"/>
      <c r="I179" s="146"/>
      <c r="J179" s="146"/>
      <c r="K179" s="146"/>
      <c r="L179" s="146"/>
      <c r="M179" s="458"/>
      <c r="N179" s="145"/>
      <c r="O179" s="146"/>
      <c r="P179" s="146"/>
      <c r="Q179" s="147"/>
      <c r="R179" s="147"/>
      <c r="S179" s="142"/>
      <c r="T179" s="142"/>
      <c r="U179" s="146"/>
      <c r="V179" s="146"/>
      <c r="W179" s="146"/>
      <c r="X179" s="146"/>
      <c r="Y179" s="146"/>
      <c r="Z179" s="146"/>
      <c r="AA179" s="146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</row>
    <row r="180" spans="2:39" s="247" customFormat="1" ht="11">
      <c r="B180" s="144"/>
      <c r="C180" s="143"/>
      <c r="D180" s="907"/>
      <c r="E180" s="143"/>
      <c r="F180" s="145"/>
      <c r="G180" s="146"/>
      <c r="H180" s="146"/>
      <c r="I180" s="146"/>
      <c r="J180" s="146"/>
      <c r="K180" s="146"/>
      <c r="L180" s="146"/>
      <c r="M180" s="458"/>
      <c r="N180" s="145"/>
      <c r="O180" s="146"/>
      <c r="P180" s="146"/>
      <c r="Q180" s="147"/>
      <c r="R180" s="147"/>
      <c r="S180" s="142"/>
      <c r="T180" s="142"/>
      <c r="U180" s="146"/>
      <c r="V180" s="146"/>
      <c r="W180" s="146"/>
      <c r="X180" s="146"/>
      <c r="Y180" s="146"/>
      <c r="Z180" s="146"/>
      <c r="AA180" s="146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</row>
    <row r="181" spans="2:39" s="247" customFormat="1" ht="11">
      <c r="B181" s="144"/>
      <c r="C181" s="143"/>
      <c r="D181" s="907"/>
      <c r="E181" s="143"/>
      <c r="F181" s="145"/>
      <c r="G181" s="146"/>
      <c r="H181" s="146"/>
      <c r="I181" s="146"/>
      <c r="J181" s="146"/>
      <c r="K181" s="146"/>
      <c r="L181" s="146"/>
      <c r="M181" s="458"/>
      <c r="N181" s="145"/>
      <c r="O181" s="146"/>
      <c r="P181" s="146"/>
      <c r="Q181" s="147"/>
      <c r="R181" s="147"/>
      <c r="S181" s="142"/>
      <c r="T181" s="142"/>
      <c r="U181" s="146"/>
      <c r="V181" s="146"/>
      <c r="W181" s="146"/>
      <c r="X181" s="146"/>
      <c r="Y181" s="146"/>
      <c r="Z181" s="146"/>
      <c r="AA181" s="146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</row>
    <row r="182" spans="2:39" s="247" customFormat="1" ht="11">
      <c r="B182" s="144"/>
      <c r="C182" s="143"/>
      <c r="D182" s="907"/>
      <c r="E182" s="143"/>
      <c r="F182" s="145"/>
      <c r="G182" s="146"/>
      <c r="H182" s="146"/>
      <c r="I182" s="146"/>
      <c r="J182" s="146"/>
      <c r="K182" s="146"/>
      <c r="L182" s="146"/>
      <c r="M182" s="458"/>
      <c r="N182" s="145"/>
      <c r="O182" s="146"/>
      <c r="P182" s="146"/>
      <c r="Q182" s="147"/>
      <c r="R182" s="147"/>
      <c r="S182" s="142"/>
      <c r="T182" s="142"/>
      <c r="U182" s="146"/>
      <c r="V182" s="146"/>
      <c r="W182" s="146"/>
      <c r="X182" s="146"/>
      <c r="Y182" s="146"/>
      <c r="Z182" s="146"/>
      <c r="AA182" s="146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</row>
    <row r="183" spans="2:39" s="247" customFormat="1" ht="11">
      <c r="B183" s="144"/>
      <c r="C183" s="143"/>
      <c r="D183" s="907"/>
      <c r="E183" s="143"/>
      <c r="F183" s="145"/>
      <c r="G183" s="146"/>
      <c r="H183" s="146"/>
      <c r="I183" s="146"/>
      <c r="J183" s="146"/>
      <c r="K183" s="146"/>
      <c r="L183" s="146"/>
      <c r="M183" s="458"/>
      <c r="N183" s="145"/>
      <c r="O183" s="146"/>
      <c r="P183" s="146"/>
      <c r="Q183" s="147"/>
      <c r="R183" s="147"/>
      <c r="S183" s="142"/>
      <c r="T183" s="142"/>
      <c r="U183" s="146"/>
      <c r="V183" s="146"/>
      <c r="W183" s="146"/>
      <c r="X183" s="146"/>
      <c r="Y183" s="146"/>
      <c r="Z183" s="146"/>
      <c r="AA183" s="146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</row>
    <row r="184" spans="2:39" s="247" customFormat="1" ht="11">
      <c r="B184" s="144"/>
      <c r="C184" s="143"/>
      <c r="D184" s="907"/>
      <c r="E184" s="143"/>
      <c r="F184" s="145"/>
      <c r="G184" s="146"/>
      <c r="H184" s="146"/>
      <c r="I184" s="146"/>
      <c r="J184" s="146"/>
      <c r="K184" s="146"/>
      <c r="L184" s="146"/>
      <c r="M184" s="458"/>
      <c r="N184" s="145"/>
      <c r="O184" s="146"/>
      <c r="P184" s="146"/>
      <c r="Q184" s="147"/>
      <c r="R184" s="147"/>
      <c r="S184" s="142"/>
      <c r="T184" s="142"/>
      <c r="U184" s="146"/>
      <c r="V184" s="146"/>
      <c r="W184" s="146"/>
      <c r="X184" s="146"/>
      <c r="Y184" s="146"/>
      <c r="Z184" s="146"/>
      <c r="AA184" s="146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</row>
    <row r="185" spans="2:39" s="247" customFormat="1" ht="11">
      <c r="B185" s="144"/>
      <c r="C185" s="143"/>
      <c r="D185" s="907"/>
      <c r="E185" s="143"/>
      <c r="F185" s="145"/>
      <c r="G185" s="146"/>
      <c r="H185" s="146"/>
      <c r="I185" s="146"/>
      <c r="J185" s="146"/>
      <c r="K185" s="146"/>
      <c r="L185" s="146"/>
      <c r="M185" s="458"/>
      <c r="N185" s="145"/>
      <c r="O185" s="146"/>
      <c r="P185" s="146"/>
      <c r="Q185" s="147"/>
      <c r="R185" s="147"/>
      <c r="S185" s="142"/>
      <c r="T185" s="142"/>
      <c r="U185" s="146"/>
      <c r="V185" s="146"/>
      <c r="W185" s="146"/>
      <c r="X185" s="146"/>
      <c r="Y185" s="146"/>
      <c r="Z185" s="146"/>
      <c r="AA185" s="146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</row>
    <row r="186" spans="2:39" s="247" customFormat="1" ht="11">
      <c r="B186" s="144"/>
      <c r="C186" s="143"/>
      <c r="D186" s="907"/>
      <c r="E186" s="143"/>
      <c r="F186" s="145"/>
      <c r="G186" s="146"/>
      <c r="H186" s="146"/>
      <c r="I186" s="146"/>
      <c r="J186" s="146"/>
      <c r="K186" s="146"/>
      <c r="L186" s="146"/>
      <c r="M186" s="458"/>
      <c r="N186" s="145"/>
      <c r="O186" s="146"/>
      <c r="P186" s="146"/>
      <c r="Q186" s="147"/>
      <c r="R186" s="147"/>
      <c r="S186" s="142"/>
      <c r="T186" s="142"/>
      <c r="U186" s="146"/>
      <c r="V186" s="146"/>
      <c r="W186" s="146"/>
      <c r="X186" s="146"/>
      <c r="Y186" s="146"/>
      <c r="Z186" s="146"/>
      <c r="AA186" s="146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</row>
    <row r="187" spans="2:39" s="247" customFormat="1" ht="11">
      <c r="B187" s="144"/>
      <c r="C187" s="143"/>
      <c r="D187" s="907"/>
      <c r="E187" s="143"/>
      <c r="F187" s="145"/>
      <c r="G187" s="146"/>
      <c r="H187" s="146"/>
      <c r="I187" s="146"/>
      <c r="J187" s="146"/>
      <c r="K187" s="146"/>
      <c r="L187" s="146"/>
      <c r="M187" s="458"/>
      <c r="N187" s="145"/>
      <c r="O187" s="146"/>
      <c r="P187" s="146"/>
      <c r="Q187" s="147"/>
      <c r="R187" s="147"/>
      <c r="S187" s="142"/>
      <c r="T187" s="142"/>
      <c r="U187" s="146"/>
      <c r="V187" s="146"/>
      <c r="W187" s="146"/>
      <c r="X187" s="146"/>
      <c r="Y187" s="146"/>
      <c r="Z187" s="146"/>
      <c r="AA187" s="146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</row>
    <row r="188" spans="2:39" s="247" customFormat="1" ht="11">
      <c r="B188" s="144"/>
      <c r="C188" s="143"/>
      <c r="D188" s="907"/>
      <c r="E188" s="143"/>
      <c r="F188" s="145"/>
      <c r="G188" s="146"/>
      <c r="H188" s="146"/>
      <c r="I188" s="146"/>
      <c r="J188" s="146"/>
      <c r="K188" s="146"/>
      <c r="L188" s="146"/>
      <c r="M188" s="458"/>
      <c r="N188" s="145"/>
      <c r="O188" s="146"/>
      <c r="P188" s="146"/>
      <c r="Q188" s="147"/>
      <c r="R188" s="147"/>
      <c r="S188" s="142"/>
      <c r="T188" s="142"/>
      <c r="U188" s="146"/>
      <c r="V188" s="146"/>
      <c r="W188" s="146"/>
      <c r="X188" s="146"/>
      <c r="Y188" s="146"/>
      <c r="Z188" s="146"/>
      <c r="AA188" s="146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</row>
    <row r="189" spans="2:39" s="247" customFormat="1" ht="11">
      <c r="B189" s="144"/>
      <c r="C189" s="143"/>
      <c r="D189" s="907"/>
      <c r="E189" s="143"/>
      <c r="F189" s="145"/>
      <c r="G189" s="146"/>
      <c r="H189" s="146"/>
      <c r="I189" s="146"/>
      <c r="J189" s="146"/>
      <c r="K189" s="146"/>
      <c r="L189" s="146"/>
      <c r="M189" s="458"/>
      <c r="N189" s="145"/>
      <c r="O189" s="146"/>
      <c r="P189" s="146"/>
      <c r="Q189" s="147"/>
      <c r="R189" s="147"/>
      <c r="S189" s="142"/>
      <c r="T189" s="142"/>
      <c r="U189" s="146"/>
      <c r="V189" s="146"/>
      <c r="W189" s="146"/>
      <c r="X189" s="146"/>
      <c r="Y189" s="146"/>
      <c r="Z189" s="146"/>
      <c r="AA189" s="146"/>
      <c r="AB189" s="247">
        <f>SUBTOTAL(9,AB147:AB188)</f>
        <v>0</v>
      </c>
      <c r="AC189" s="214">
        <f>SUBTOTAL(9,AC147:AC188)</f>
        <v>0</v>
      </c>
      <c r="AD189" s="214">
        <f>SUBTOTAL(9,AD147:AD188)</f>
        <v>0</v>
      </c>
      <c r="AE189" s="214"/>
      <c r="AF189" s="214"/>
      <c r="AG189" s="214"/>
      <c r="AH189" s="214"/>
      <c r="AI189" s="214"/>
      <c r="AJ189" s="214"/>
      <c r="AK189" s="214"/>
      <c r="AL189" s="214"/>
      <c r="AM189" s="214"/>
    </row>
    <row r="190" spans="2:39" s="247" customFormat="1" ht="11">
      <c r="B190" s="144"/>
      <c r="C190" s="143"/>
      <c r="D190" s="907"/>
      <c r="E190" s="143"/>
      <c r="F190" s="145"/>
      <c r="G190" s="146"/>
      <c r="H190" s="146"/>
      <c r="I190" s="146"/>
      <c r="J190" s="146"/>
      <c r="K190" s="146"/>
      <c r="L190" s="146"/>
      <c r="M190" s="458"/>
      <c r="N190" s="145"/>
      <c r="O190" s="146"/>
      <c r="P190" s="146"/>
      <c r="Q190" s="147"/>
      <c r="R190" s="147"/>
      <c r="S190" s="142"/>
      <c r="T190" s="142"/>
      <c r="U190" s="146"/>
      <c r="V190" s="146"/>
      <c r="W190" s="146"/>
      <c r="X190" s="146"/>
      <c r="Y190" s="146"/>
      <c r="Z190" s="146"/>
      <c r="AA190" s="146"/>
      <c r="AB190" s="247">
        <v>0</v>
      </c>
      <c r="AC190" s="214">
        <v>0</v>
      </c>
      <c r="AD190" s="214">
        <v>0</v>
      </c>
      <c r="AE190" s="214"/>
      <c r="AF190" s="214"/>
      <c r="AG190" s="214"/>
      <c r="AH190" s="214"/>
      <c r="AI190" s="214"/>
      <c r="AJ190" s="214"/>
      <c r="AK190" s="214"/>
      <c r="AL190" s="214"/>
      <c r="AM190" s="214"/>
    </row>
    <row r="191" spans="2:39" s="247" customFormat="1" ht="11">
      <c r="B191" s="144"/>
      <c r="C191" s="143"/>
      <c r="D191" s="907"/>
      <c r="E191" s="143"/>
      <c r="F191" s="145"/>
      <c r="G191" s="146"/>
      <c r="H191" s="146"/>
      <c r="I191" s="146"/>
      <c r="J191" s="146"/>
      <c r="K191" s="146"/>
      <c r="L191" s="146"/>
      <c r="M191" s="458"/>
      <c r="N191" s="145"/>
      <c r="O191" s="146"/>
      <c r="P191" s="146"/>
      <c r="Q191" s="147"/>
      <c r="R191" s="147"/>
      <c r="S191" s="142"/>
      <c r="T191" s="142"/>
      <c r="U191" s="146"/>
      <c r="V191" s="146"/>
      <c r="W191" s="146"/>
      <c r="X191" s="146"/>
      <c r="Y191" s="146"/>
      <c r="Z191" s="146"/>
      <c r="AA191" s="146"/>
      <c r="AB191" s="247">
        <v>0</v>
      </c>
      <c r="AC191" s="214">
        <v>0</v>
      </c>
      <c r="AD191" s="214">
        <v>0</v>
      </c>
      <c r="AE191" s="214"/>
      <c r="AF191" s="214"/>
      <c r="AG191" s="214"/>
      <c r="AH191" s="214"/>
      <c r="AI191" s="214"/>
      <c r="AJ191" s="214"/>
      <c r="AK191" s="214"/>
      <c r="AL191" s="214"/>
      <c r="AM191" s="214"/>
    </row>
    <row r="192" spans="2:39" s="247" customFormat="1" ht="11">
      <c r="B192" s="144"/>
      <c r="C192" s="143"/>
      <c r="D192" s="907"/>
      <c r="E192" s="143"/>
      <c r="F192" s="145"/>
      <c r="G192" s="146"/>
      <c r="H192" s="146"/>
      <c r="I192" s="146"/>
      <c r="J192" s="146"/>
      <c r="K192" s="146"/>
      <c r="L192" s="146"/>
      <c r="M192" s="458"/>
      <c r="N192" s="145"/>
      <c r="O192" s="146"/>
      <c r="P192" s="146"/>
      <c r="Q192" s="147"/>
      <c r="R192" s="147"/>
      <c r="S192" s="142"/>
      <c r="T192" s="142"/>
      <c r="U192" s="146"/>
      <c r="V192" s="146"/>
      <c r="W192" s="146"/>
      <c r="X192" s="146"/>
      <c r="Y192" s="146"/>
      <c r="Z192" s="146"/>
      <c r="AA192" s="146"/>
      <c r="AB192" s="247">
        <v>0</v>
      </c>
      <c r="AC192" s="214">
        <v>0</v>
      </c>
      <c r="AD192" s="214">
        <v>0</v>
      </c>
      <c r="AE192" s="214"/>
      <c r="AF192" s="214"/>
      <c r="AG192" s="214"/>
      <c r="AH192" s="214"/>
      <c r="AI192" s="214"/>
      <c r="AJ192" s="214"/>
      <c r="AK192" s="214"/>
      <c r="AL192" s="214"/>
      <c r="AM192" s="214"/>
    </row>
    <row r="193" spans="2:41" s="247" customFormat="1" ht="11">
      <c r="B193" s="144"/>
      <c r="C193" s="143"/>
      <c r="D193" s="907"/>
      <c r="E193" s="143"/>
      <c r="F193" s="145"/>
      <c r="G193" s="146"/>
      <c r="H193" s="146"/>
      <c r="I193" s="146"/>
      <c r="J193" s="146"/>
      <c r="K193" s="146"/>
      <c r="L193" s="146"/>
      <c r="M193" s="458"/>
      <c r="N193" s="145"/>
      <c r="O193" s="146"/>
      <c r="P193" s="146"/>
      <c r="Q193" s="147"/>
      <c r="R193" s="147"/>
      <c r="S193" s="142"/>
      <c r="T193" s="142"/>
      <c r="U193" s="146"/>
      <c r="V193" s="146"/>
      <c r="W193" s="146"/>
      <c r="X193" s="146"/>
      <c r="Y193" s="146"/>
      <c r="Z193" s="146"/>
      <c r="AA193" s="146"/>
      <c r="AB193" s="247">
        <v>0</v>
      </c>
      <c r="AC193" s="214">
        <v>0</v>
      </c>
      <c r="AD193" s="214">
        <v>0</v>
      </c>
      <c r="AE193" s="214"/>
      <c r="AF193" s="214"/>
      <c r="AG193" s="214"/>
      <c r="AH193" s="214"/>
      <c r="AI193" s="214"/>
      <c r="AJ193" s="214"/>
      <c r="AK193" s="214"/>
      <c r="AL193" s="214"/>
      <c r="AM193" s="214"/>
    </row>
    <row r="194" spans="2:41" s="247" customFormat="1" ht="11">
      <c r="B194" s="144"/>
      <c r="C194" s="143"/>
      <c r="D194" s="907"/>
      <c r="E194" s="143"/>
      <c r="F194" s="145"/>
      <c r="G194" s="146"/>
      <c r="H194" s="146"/>
      <c r="I194" s="146"/>
      <c r="J194" s="146"/>
      <c r="K194" s="146"/>
      <c r="L194" s="146"/>
      <c r="M194" s="458"/>
      <c r="N194" s="145"/>
      <c r="O194" s="146"/>
      <c r="P194" s="146"/>
      <c r="Q194" s="147"/>
      <c r="R194" s="147"/>
      <c r="S194" s="142"/>
      <c r="T194" s="142"/>
      <c r="U194" s="146"/>
      <c r="V194" s="146"/>
      <c r="W194" s="146"/>
      <c r="X194" s="146"/>
      <c r="Y194" s="146"/>
      <c r="Z194" s="146"/>
      <c r="AA194" s="146"/>
      <c r="AB194" s="247">
        <v>0</v>
      </c>
      <c r="AC194" s="214">
        <v>0</v>
      </c>
      <c r="AD194" s="214">
        <v>0</v>
      </c>
      <c r="AE194" s="214"/>
      <c r="AF194" s="214"/>
      <c r="AG194" s="214"/>
      <c r="AH194" s="214"/>
      <c r="AI194" s="214"/>
      <c r="AJ194" s="214"/>
      <c r="AK194" s="214"/>
      <c r="AL194" s="214"/>
      <c r="AM194" s="214"/>
    </row>
    <row r="195" spans="2:41" s="247" customFormat="1" ht="11">
      <c r="B195" s="144"/>
      <c r="C195" s="143"/>
      <c r="D195" s="907"/>
      <c r="E195" s="143"/>
      <c r="F195" s="145"/>
      <c r="G195" s="146"/>
      <c r="H195" s="146"/>
      <c r="I195" s="146"/>
      <c r="J195" s="146"/>
      <c r="K195" s="146"/>
      <c r="L195" s="146"/>
      <c r="M195" s="458"/>
      <c r="N195" s="145"/>
      <c r="O195" s="146"/>
      <c r="P195" s="146"/>
      <c r="Q195" s="147"/>
      <c r="R195" s="147"/>
      <c r="S195" s="142"/>
      <c r="T195" s="142"/>
      <c r="U195" s="146"/>
      <c r="V195" s="146"/>
      <c r="W195" s="146"/>
      <c r="X195" s="146"/>
      <c r="Y195" s="146"/>
      <c r="Z195" s="146"/>
      <c r="AA195" s="146"/>
      <c r="AB195" s="247">
        <v>0</v>
      </c>
      <c r="AC195" s="214">
        <v>0</v>
      </c>
      <c r="AD195" s="214">
        <v>0</v>
      </c>
      <c r="AE195" s="214"/>
      <c r="AF195" s="214"/>
      <c r="AG195" s="214"/>
      <c r="AH195" s="214"/>
      <c r="AI195" s="214"/>
      <c r="AJ195" s="214"/>
      <c r="AK195" s="214"/>
      <c r="AL195" s="214"/>
      <c r="AM195" s="214"/>
    </row>
    <row r="196" spans="2:41" s="247" customFormat="1" ht="11">
      <c r="B196" s="144"/>
      <c r="C196" s="143"/>
      <c r="D196" s="907"/>
      <c r="E196" s="143"/>
      <c r="F196" s="145"/>
      <c r="G196" s="146"/>
      <c r="H196" s="146"/>
      <c r="I196" s="146"/>
      <c r="J196" s="146"/>
      <c r="K196" s="146"/>
      <c r="L196" s="146"/>
      <c r="M196" s="458"/>
      <c r="N196" s="145"/>
      <c r="O196" s="146"/>
      <c r="P196" s="146"/>
      <c r="Q196" s="147"/>
      <c r="R196" s="147"/>
      <c r="S196" s="142"/>
      <c r="T196" s="142"/>
      <c r="U196" s="146"/>
      <c r="V196" s="146"/>
      <c r="W196" s="146"/>
      <c r="X196" s="146"/>
      <c r="Y196" s="146"/>
      <c r="Z196" s="146"/>
      <c r="AA196" s="146"/>
      <c r="AB196" s="247">
        <v>0</v>
      </c>
      <c r="AC196" s="214">
        <v>0</v>
      </c>
      <c r="AD196" s="214">
        <v>0</v>
      </c>
      <c r="AE196" s="214"/>
      <c r="AF196" s="214"/>
      <c r="AG196" s="214"/>
      <c r="AH196" s="214"/>
      <c r="AI196" s="214"/>
      <c r="AJ196" s="214"/>
      <c r="AK196" s="214"/>
      <c r="AL196" s="214"/>
      <c r="AM196" s="214"/>
    </row>
    <row r="197" spans="2:41" s="247" customFormat="1" ht="11">
      <c r="B197" s="144"/>
      <c r="C197" s="143"/>
      <c r="D197" s="907"/>
      <c r="E197" s="143"/>
      <c r="F197" s="145"/>
      <c r="G197" s="146"/>
      <c r="H197" s="146"/>
      <c r="I197" s="146"/>
      <c r="J197" s="146"/>
      <c r="K197" s="146"/>
      <c r="L197" s="146"/>
      <c r="M197" s="458"/>
      <c r="N197" s="145"/>
      <c r="O197" s="146"/>
      <c r="P197" s="146"/>
      <c r="Q197" s="147"/>
      <c r="R197" s="147"/>
      <c r="S197" s="142"/>
      <c r="T197" s="142"/>
      <c r="U197" s="146"/>
      <c r="V197" s="146"/>
      <c r="W197" s="146"/>
      <c r="X197" s="146"/>
      <c r="Y197" s="146"/>
      <c r="Z197" s="146"/>
      <c r="AA197" s="146"/>
      <c r="AB197" s="247">
        <v>0</v>
      </c>
      <c r="AC197" s="214">
        <v>0</v>
      </c>
      <c r="AD197" s="214">
        <v>0</v>
      </c>
      <c r="AE197" s="214"/>
      <c r="AF197" s="214"/>
      <c r="AG197" s="214"/>
      <c r="AH197" s="214"/>
      <c r="AI197" s="214"/>
      <c r="AJ197" s="214"/>
      <c r="AK197" s="214"/>
      <c r="AL197" s="214"/>
      <c r="AM197" s="214"/>
    </row>
    <row r="198" spans="2:41" s="247" customFormat="1" ht="11">
      <c r="B198" s="144"/>
      <c r="C198" s="143"/>
      <c r="D198" s="907"/>
      <c r="E198" s="143"/>
      <c r="F198" s="145"/>
      <c r="G198" s="146"/>
      <c r="H198" s="146"/>
      <c r="I198" s="146"/>
      <c r="J198" s="146"/>
      <c r="K198" s="146"/>
      <c r="L198" s="146"/>
      <c r="M198" s="458"/>
      <c r="N198" s="145"/>
      <c r="O198" s="146"/>
      <c r="P198" s="146"/>
      <c r="Q198" s="147"/>
      <c r="R198" s="147"/>
      <c r="S198" s="142"/>
      <c r="T198" s="142"/>
      <c r="U198" s="146"/>
      <c r="V198" s="146"/>
      <c r="W198" s="146"/>
      <c r="X198" s="146"/>
      <c r="Y198" s="146"/>
      <c r="Z198" s="146"/>
      <c r="AA198" s="146"/>
      <c r="AB198" s="247">
        <v>0</v>
      </c>
      <c r="AC198" s="214">
        <v>0</v>
      </c>
      <c r="AD198" s="214">
        <v>0</v>
      </c>
      <c r="AE198" s="214"/>
      <c r="AF198" s="214"/>
      <c r="AG198" s="214"/>
      <c r="AH198" s="214"/>
      <c r="AI198" s="214"/>
      <c r="AJ198" s="214"/>
      <c r="AK198" s="214"/>
      <c r="AL198" s="214"/>
      <c r="AM198" s="214"/>
    </row>
    <row r="199" spans="2:41" s="247" customFormat="1" ht="11">
      <c r="B199" s="144"/>
      <c r="C199" s="143"/>
      <c r="D199" s="907"/>
      <c r="E199" s="143"/>
      <c r="F199" s="145"/>
      <c r="G199" s="146"/>
      <c r="H199" s="146"/>
      <c r="I199" s="146"/>
      <c r="J199" s="146"/>
      <c r="K199" s="146"/>
      <c r="L199" s="146"/>
      <c r="M199" s="458"/>
      <c r="N199" s="145"/>
      <c r="O199" s="146"/>
      <c r="P199" s="146"/>
      <c r="Q199" s="147"/>
      <c r="R199" s="147"/>
      <c r="S199" s="142"/>
      <c r="T199" s="142"/>
      <c r="U199" s="146"/>
      <c r="V199" s="146"/>
      <c r="W199" s="146"/>
      <c r="X199" s="146"/>
      <c r="Y199" s="146"/>
      <c r="Z199" s="146"/>
      <c r="AA199" s="146"/>
      <c r="AB199" s="247">
        <v>0</v>
      </c>
      <c r="AC199" s="214">
        <v>0</v>
      </c>
      <c r="AD199" s="214">
        <v>0</v>
      </c>
      <c r="AE199" s="214"/>
      <c r="AF199" s="214"/>
      <c r="AG199" s="214"/>
      <c r="AH199" s="214"/>
      <c r="AI199" s="214"/>
      <c r="AJ199" s="214"/>
      <c r="AK199" s="214"/>
      <c r="AL199" s="214"/>
      <c r="AM199" s="214"/>
    </row>
    <row r="200" spans="2:41" s="247" customFormat="1" ht="11">
      <c r="B200" s="144"/>
      <c r="C200" s="143"/>
      <c r="D200" s="907"/>
      <c r="E200" s="143"/>
      <c r="F200" s="145"/>
      <c r="G200" s="146"/>
      <c r="H200" s="146"/>
      <c r="I200" s="146"/>
      <c r="J200" s="146"/>
      <c r="K200" s="146"/>
      <c r="L200" s="146"/>
      <c r="M200" s="458"/>
      <c r="N200" s="145"/>
      <c r="O200" s="146"/>
      <c r="P200" s="146"/>
      <c r="Q200" s="147"/>
      <c r="R200" s="147"/>
      <c r="S200" s="142"/>
      <c r="T200" s="142"/>
      <c r="U200" s="146">
        <f>SUBTOTAL(9,U158:U199)</f>
        <v>0</v>
      </c>
      <c r="V200" s="146">
        <f t="shared" ref="V200:AA200" si="75">SUBTOTAL(9,V158:V199)</f>
        <v>0</v>
      </c>
      <c r="W200" s="146">
        <f t="shared" si="75"/>
        <v>0</v>
      </c>
      <c r="X200" s="146">
        <f t="shared" si="75"/>
        <v>0</v>
      </c>
      <c r="Y200" s="146">
        <f t="shared" si="75"/>
        <v>0</v>
      </c>
      <c r="Z200" s="146">
        <f t="shared" si="75"/>
        <v>0</v>
      </c>
      <c r="AA200" s="146">
        <f t="shared" si="75"/>
        <v>0</v>
      </c>
      <c r="AB200" s="247">
        <v>0</v>
      </c>
      <c r="AC200" s="214">
        <v>0</v>
      </c>
      <c r="AD200" s="214">
        <v>0</v>
      </c>
      <c r="AE200" s="214"/>
      <c r="AF200" s="214"/>
      <c r="AG200" s="214"/>
      <c r="AH200" s="214"/>
      <c r="AI200" s="214"/>
      <c r="AJ200" s="214"/>
      <c r="AK200" s="214"/>
      <c r="AL200" s="214"/>
      <c r="AM200" s="214"/>
    </row>
    <row r="201" spans="2:41" s="213" customFormat="1" ht="14" thickBot="1">
      <c r="B201" s="139"/>
      <c r="C201" s="138"/>
      <c r="D201" s="908"/>
      <c r="E201" s="138"/>
      <c r="F201" s="140"/>
      <c r="G201" s="141"/>
      <c r="H201" s="141"/>
      <c r="I201" s="141"/>
      <c r="J201" s="141"/>
      <c r="K201" s="141"/>
      <c r="L201" s="141"/>
      <c r="M201" s="458"/>
      <c r="N201" s="140"/>
      <c r="O201" s="141"/>
      <c r="P201" s="141"/>
      <c r="Q201" s="148"/>
      <c r="R201" s="148"/>
      <c r="S201" s="149"/>
      <c r="T201" s="149"/>
      <c r="U201" s="150"/>
      <c r="V201" s="150"/>
      <c r="W201" s="150"/>
      <c r="X201" s="150"/>
      <c r="Y201" s="150"/>
      <c r="Z201" s="150"/>
      <c r="AA201" s="150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</row>
    <row r="202" spans="2:41" s="213" customFormat="1" ht="15" thickTop="1" thickBot="1">
      <c r="B202" s="139"/>
      <c r="C202" s="138"/>
      <c r="D202" s="908"/>
      <c r="E202" s="138"/>
      <c r="F202" s="140"/>
      <c r="G202" s="141"/>
      <c r="H202" s="141"/>
      <c r="I202" s="141"/>
      <c r="J202" s="141"/>
      <c r="K202" s="141"/>
      <c r="L202" s="141"/>
      <c r="M202" s="458"/>
      <c r="N202" s="140"/>
      <c r="O202" s="141"/>
      <c r="P202" s="141"/>
      <c r="Q202" s="148"/>
      <c r="R202" s="148"/>
      <c r="S202" s="148"/>
      <c r="T202" s="149"/>
      <c r="U202" s="151"/>
      <c r="V202" s="152"/>
      <c r="W202" s="153"/>
      <c r="X202" s="153"/>
      <c r="Y202" s="153"/>
      <c r="Z202" s="153"/>
      <c r="AA202" s="154"/>
      <c r="AB202" s="246"/>
      <c r="AC202" s="246"/>
      <c r="AE202" s="214"/>
      <c r="AF202" s="214"/>
      <c r="AG202" s="214"/>
      <c r="AH202" s="214"/>
      <c r="AI202" s="214"/>
      <c r="AJ202" s="214"/>
      <c r="AK202" s="214"/>
      <c r="AL202" s="214"/>
      <c r="AM202" s="214"/>
      <c r="AN202" s="214"/>
      <c r="AO202" s="214"/>
    </row>
    <row r="203" spans="2:41" s="247" customFormat="1" ht="12" thickTop="1">
      <c r="B203" s="144"/>
      <c r="C203" s="143"/>
      <c r="D203" s="907"/>
      <c r="E203" s="143"/>
      <c r="F203" s="145"/>
      <c r="G203" s="146"/>
      <c r="H203" s="146"/>
      <c r="I203" s="146"/>
      <c r="J203" s="146"/>
      <c r="K203" s="146"/>
      <c r="L203" s="146"/>
      <c r="M203" s="458"/>
      <c r="N203" s="145"/>
      <c r="O203" s="146"/>
      <c r="P203" s="146"/>
      <c r="Q203" s="147"/>
      <c r="R203" s="147"/>
      <c r="S203" s="142"/>
      <c r="T203" s="142"/>
      <c r="U203" s="146"/>
      <c r="V203" s="146"/>
      <c r="W203" s="146"/>
      <c r="X203" s="146"/>
      <c r="Y203" s="146"/>
      <c r="Z203" s="146"/>
      <c r="AA203" s="146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</row>
    <row r="204" spans="2:41" s="247" customFormat="1" ht="11">
      <c r="B204" s="144"/>
      <c r="C204" s="143"/>
      <c r="D204" s="907"/>
      <c r="E204" s="143"/>
      <c r="F204" s="145"/>
      <c r="G204" s="146"/>
      <c r="H204" s="146"/>
      <c r="I204" s="146"/>
      <c r="J204" s="146"/>
      <c r="K204" s="146"/>
      <c r="L204" s="146"/>
      <c r="M204" s="458"/>
      <c r="N204" s="145"/>
      <c r="O204" s="146"/>
      <c r="P204" s="146"/>
      <c r="Q204" s="147"/>
      <c r="R204" s="147"/>
      <c r="S204" s="142"/>
      <c r="T204" s="142"/>
      <c r="U204" s="146"/>
      <c r="V204" s="146"/>
      <c r="W204" s="146"/>
      <c r="X204" s="146"/>
      <c r="Y204" s="146"/>
      <c r="Z204" s="146"/>
      <c r="AA204" s="146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</row>
    <row r="205" spans="2:41" s="247" customFormat="1" ht="11">
      <c r="B205" s="144"/>
      <c r="C205" s="143"/>
      <c r="D205" s="907"/>
      <c r="E205" s="143"/>
      <c r="F205" s="145"/>
      <c r="G205" s="146"/>
      <c r="H205" s="146"/>
      <c r="I205" s="146"/>
      <c r="J205" s="146"/>
      <c r="K205" s="146"/>
      <c r="L205" s="146"/>
      <c r="M205" s="458"/>
      <c r="N205" s="145"/>
      <c r="O205" s="146"/>
      <c r="P205" s="146"/>
      <c r="Q205" s="147"/>
      <c r="R205" s="147"/>
      <c r="S205" s="142"/>
      <c r="T205" s="142"/>
      <c r="U205" s="146"/>
      <c r="V205" s="146"/>
      <c r="W205" s="146"/>
      <c r="X205" s="146"/>
      <c r="Y205" s="146"/>
      <c r="Z205" s="146"/>
      <c r="AA205" s="146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</row>
    <row r="206" spans="2:41" s="247" customFormat="1" ht="11">
      <c r="B206" s="144"/>
      <c r="C206" s="143"/>
      <c r="D206" s="907"/>
      <c r="E206" s="143"/>
      <c r="F206" s="145"/>
      <c r="G206" s="146"/>
      <c r="H206" s="146"/>
      <c r="I206" s="146"/>
      <c r="J206" s="146"/>
      <c r="K206" s="146"/>
      <c r="L206" s="146"/>
      <c r="M206" s="458"/>
      <c r="N206" s="145"/>
      <c r="O206" s="146"/>
      <c r="P206" s="146"/>
      <c r="Q206" s="147"/>
      <c r="R206" s="147"/>
      <c r="S206" s="142"/>
      <c r="T206" s="142"/>
      <c r="U206" s="146"/>
      <c r="V206" s="146"/>
      <c r="W206" s="146"/>
      <c r="X206" s="146"/>
      <c r="Y206" s="146"/>
      <c r="Z206" s="146"/>
      <c r="AA206" s="146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</row>
    <row r="207" spans="2:41" s="247" customFormat="1" ht="11">
      <c r="B207" s="144"/>
      <c r="C207" s="143"/>
      <c r="D207" s="907"/>
      <c r="E207" s="143"/>
      <c r="F207" s="145"/>
      <c r="G207" s="146"/>
      <c r="H207" s="146"/>
      <c r="I207" s="146"/>
      <c r="J207" s="146"/>
      <c r="K207" s="146"/>
      <c r="L207" s="146"/>
      <c r="M207" s="458"/>
      <c r="N207" s="145"/>
      <c r="O207" s="146"/>
      <c r="P207" s="146"/>
      <c r="Q207" s="147"/>
      <c r="R207" s="147"/>
      <c r="S207" s="142"/>
      <c r="T207" s="142"/>
      <c r="U207" s="146"/>
      <c r="V207" s="146"/>
      <c r="W207" s="146"/>
      <c r="X207" s="146"/>
      <c r="Y207" s="146"/>
      <c r="Z207" s="146"/>
      <c r="AA207" s="146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</row>
    <row r="208" spans="2:41" s="247" customFormat="1" ht="11">
      <c r="B208" s="144"/>
      <c r="C208" s="143"/>
      <c r="D208" s="907"/>
      <c r="E208" s="143"/>
      <c r="F208" s="145"/>
      <c r="G208" s="146"/>
      <c r="H208" s="146"/>
      <c r="I208" s="146"/>
      <c r="J208" s="146"/>
      <c r="K208" s="146"/>
      <c r="L208" s="146"/>
      <c r="M208" s="458"/>
      <c r="N208" s="145"/>
      <c r="O208" s="146"/>
      <c r="P208" s="146"/>
      <c r="Q208" s="147"/>
      <c r="R208" s="147"/>
      <c r="S208" s="142"/>
      <c r="T208" s="142"/>
      <c r="U208" s="146"/>
      <c r="V208" s="146"/>
      <c r="W208" s="146"/>
      <c r="X208" s="146"/>
      <c r="Y208" s="146"/>
      <c r="Z208" s="146"/>
      <c r="AA208" s="146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</row>
    <row r="209" spans="2:39" s="247" customFormat="1" ht="11">
      <c r="B209" s="144"/>
      <c r="C209" s="143"/>
      <c r="D209" s="907"/>
      <c r="E209" s="143"/>
      <c r="F209" s="145"/>
      <c r="G209" s="146"/>
      <c r="H209" s="146"/>
      <c r="I209" s="146"/>
      <c r="J209" s="146"/>
      <c r="K209" s="146"/>
      <c r="L209" s="146"/>
      <c r="M209" s="458"/>
      <c r="N209" s="145"/>
      <c r="O209" s="146"/>
      <c r="P209" s="146"/>
      <c r="Q209" s="147"/>
      <c r="R209" s="147"/>
      <c r="S209" s="142"/>
      <c r="T209" s="142"/>
      <c r="U209" s="146"/>
      <c r="V209" s="146"/>
      <c r="W209" s="146"/>
      <c r="X209" s="146"/>
      <c r="Y209" s="146"/>
      <c r="Z209" s="146"/>
      <c r="AA209" s="146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</row>
    <row r="210" spans="2:39" s="247" customFormat="1" ht="11">
      <c r="B210" s="144"/>
      <c r="C210" s="143"/>
      <c r="D210" s="907"/>
      <c r="E210" s="143"/>
      <c r="F210" s="145"/>
      <c r="G210" s="146"/>
      <c r="H210" s="146"/>
      <c r="I210" s="146"/>
      <c r="J210" s="146"/>
      <c r="K210" s="146"/>
      <c r="L210" s="146"/>
      <c r="M210" s="458"/>
      <c r="N210" s="145"/>
      <c r="O210" s="146"/>
      <c r="P210" s="146"/>
      <c r="Q210" s="147"/>
      <c r="R210" s="147"/>
      <c r="S210" s="142"/>
      <c r="T210" s="142"/>
      <c r="U210" s="146"/>
      <c r="V210" s="146"/>
      <c r="W210" s="146"/>
      <c r="X210" s="146"/>
      <c r="Y210" s="146"/>
      <c r="Z210" s="146"/>
      <c r="AA210" s="146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</row>
    <row r="211" spans="2:39" s="247" customFormat="1" ht="11">
      <c r="B211" s="144"/>
      <c r="C211" s="143"/>
      <c r="D211" s="907"/>
      <c r="E211" s="143"/>
      <c r="F211" s="145"/>
      <c r="G211" s="146"/>
      <c r="H211" s="146"/>
      <c r="I211" s="146"/>
      <c r="J211" s="146"/>
      <c r="K211" s="146"/>
      <c r="L211" s="146"/>
      <c r="M211" s="458"/>
      <c r="N211" s="145"/>
      <c r="O211" s="146"/>
      <c r="P211" s="146"/>
      <c r="Q211" s="147"/>
      <c r="R211" s="147"/>
      <c r="S211" s="142"/>
      <c r="T211" s="142"/>
      <c r="U211" s="146"/>
      <c r="V211" s="146"/>
      <c r="W211" s="146"/>
      <c r="X211" s="146"/>
      <c r="Y211" s="146"/>
      <c r="Z211" s="146"/>
      <c r="AA211" s="146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</row>
    <row r="212" spans="2:39" s="247" customFormat="1" ht="11">
      <c r="B212" s="144"/>
      <c r="C212" s="143"/>
      <c r="D212" s="907"/>
      <c r="E212" s="143"/>
      <c r="F212" s="145"/>
      <c r="G212" s="146"/>
      <c r="H212" s="146"/>
      <c r="I212" s="146"/>
      <c r="J212" s="146"/>
      <c r="K212" s="146"/>
      <c r="L212" s="146"/>
      <c r="M212" s="458"/>
      <c r="N212" s="145"/>
      <c r="O212" s="146"/>
      <c r="P212" s="146"/>
      <c r="Q212" s="147"/>
      <c r="R212" s="147"/>
      <c r="S212" s="142"/>
      <c r="T212" s="142"/>
      <c r="U212" s="146"/>
      <c r="V212" s="146"/>
      <c r="W212" s="146"/>
      <c r="X212" s="146"/>
      <c r="Y212" s="146"/>
      <c r="Z212" s="146"/>
      <c r="AA212" s="146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</row>
    <row r="213" spans="2:39" s="247" customFormat="1" ht="11">
      <c r="B213" s="144"/>
      <c r="C213" s="143"/>
      <c r="D213" s="907"/>
      <c r="E213" s="143"/>
      <c r="F213" s="145"/>
      <c r="G213" s="146"/>
      <c r="H213" s="146"/>
      <c r="I213" s="146"/>
      <c r="J213" s="146"/>
      <c r="K213" s="146"/>
      <c r="L213" s="146"/>
      <c r="M213" s="458"/>
      <c r="N213" s="145"/>
      <c r="O213" s="146"/>
      <c r="P213" s="146"/>
      <c r="Q213" s="147"/>
      <c r="R213" s="147"/>
      <c r="S213" s="142"/>
      <c r="T213" s="142"/>
      <c r="U213" s="146"/>
      <c r="V213" s="146"/>
      <c r="W213" s="146"/>
      <c r="X213" s="146"/>
      <c r="Y213" s="146"/>
      <c r="Z213" s="146"/>
      <c r="AA213" s="146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</row>
    <row r="214" spans="2:39" s="247" customFormat="1" ht="11">
      <c r="B214" s="144"/>
      <c r="C214" s="143"/>
      <c r="D214" s="907"/>
      <c r="E214" s="143"/>
      <c r="F214" s="145"/>
      <c r="G214" s="146"/>
      <c r="H214" s="146"/>
      <c r="I214" s="146"/>
      <c r="J214" s="146"/>
      <c r="K214" s="146"/>
      <c r="L214" s="146"/>
      <c r="M214" s="458"/>
      <c r="N214" s="145"/>
      <c r="O214" s="146"/>
      <c r="P214" s="146"/>
      <c r="Q214" s="147"/>
      <c r="R214" s="147"/>
      <c r="S214" s="142"/>
      <c r="T214" s="142"/>
      <c r="U214" s="146"/>
      <c r="V214" s="146"/>
      <c r="W214" s="146"/>
      <c r="X214" s="146"/>
      <c r="Y214" s="146"/>
      <c r="Z214" s="146"/>
      <c r="AA214" s="146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</row>
    <row r="215" spans="2:39" s="247" customFormat="1" ht="11">
      <c r="B215" s="144"/>
      <c r="C215" s="143"/>
      <c r="D215" s="907"/>
      <c r="E215" s="143"/>
      <c r="F215" s="145"/>
      <c r="G215" s="146"/>
      <c r="H215" s="146"/>
      <c r="I215" s="146"/>
      <c r="J215" s="146"/>
      <c r="K215" s="146"/>
      <c r="L215" s="146"/>
      <c r="M215" s="458"/>
      <c r="N215" s="145"/>
      <c r="O215" s="146"/>
      <c r="P215" s="146"/>
      <c r="Q215" s="147"/>
      <c r="R215" s="147"/>
      <c r="S215" s="142"/>
      <c r="T215" s="142"/>
      <c r="U215" s="146"/>
      <c r="V215" s="146"/>
      <c r="W215" s="146"/>
      <c r="X215" s="146"/>
      <c r="Y215" s="146"/>
      <c r="Z215" s="146"/>
      <c r="AA215" s="146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</row>
    <row r="216" spans="2:39" s="247" customFormat="1" ht="11">
      <c r="B216" s="144"/>
      <c r="C216" s="143"/>
      <c r="D216" s="907"/>
      <c r="E216" s="143"/>
      <c r="F216" s="145"/>
      <c r="G216" s="146"/>
      <c r="H216" s="146"/>
      <c r="I216" s="146"/>
      <c r="J216" s="146"/>
      <c r="K216" s="146"/>
      <c r="L216" s="146"/>
      <c r="M216" s="458"/>
      <c r="N216" s="145"/>
      <c r="O216" s="146"/>
      <c r="P216" s="146"/>
      <c r="Q216" s="147"/>
      <c r="R216" s="147"/>
      <c r="S216" s="142"/>
      <c r="T216" s="142"/>
      <c r="U216" s="146"/>
      <c r="V216" s="146"/>
      <c r="W216" s="146"/>
      <c r="X216" s="146"/>
      <c r="Y216" s="146"/>
      <c r="Z216" s="146"/>
      <c r="AA216" s="146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</row>
    <row r="217" spans="2:39" s="247" customFormat="1" ht="11">
      <c r="B217" s="144"/>
      <c r="C217" s="143"/>
      <c r="D217" s="907"/>
      <c r="E217" s="143"/>
      <c r="F217" s="145"/>
      <c r="G217" s="146"/>
      <c r="H217" s="146"/>
      <c r="I217" s="146"/>
      <c r="J217" s="146"/>
      <c r="K217" s="146"/>
      <c r="L217" s="146"/>
      <c r="M217" s="458"/>
      <c r="N217" s="145"/>
      <c r="O217" s="146"/>
      <c r="P217" s="146"/>
      <c r="Q217" s="147"/>
      <c r="R217" s="147"/>
      <c r="S217" s="142"/>
      <c r="T217" s="142"/>
      <c r="U217" s="146"/>
      <c r="V217" s="146"/>
      <c r="W217" s="146"/>
      <c r="X217" s="146"/>
      <c r="Y217" s="146"/>
      <c r="Z217" s="146"/>
      <c r="AA217" s="146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</row>
    <row r="218" spans="2:39" s="247" customFormat="1" ht="11">
      <c r="B218" s="144"/>
      <c r="C218" s="143"/>
      <c r="D218" s="907"/>
      <c r="E218" s="143"/>
      <c r="F218" s="145"/>
      <c r="G218" s="146"/>
      <c r="H218" s="146"/>
      <c r="I218" s="146"/>
      <c r="J218" s="146"/>
      <c r="K218" s="146"/>
      <c r="L218" s="146"/>
      <c r="M218" s="458"/>
      <c r="N218" s="145"/>
      <c r="O218" s="146"/>
      <c r="P218" s="146"/>
      <c r="Q218" s="147"/>
      <c r="R218" s="147"/>
      <c r="S218" s="142"/>
      <c r="T218" s="142"/>
      <c r="U218" s="146"/>
      <c r="V218" s="146"/>
      <c r="W218" s="146"/>
      <c r="X218" s="146"/>
      <c r="Y218" s="146"/>
      <c r="Z218" s="146"/>
      <c r="AA218" s="146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</row>
    <row r="219" spans="2:39" s="247" customFormat="1" ht="11">
      <c r="B219" s="144"/>
      <c r="C219" s="143"/>
      <c r="D219" s="907"/>
      <c r="E219" s="143"/>
      <c r="F219" s="145"/>
      <c r="G219" s="146"/>
      <c r="H219" s="146"/>
      <c r="I219" s="146"/>
      <c r="J219" s="146"/>
      <c r="K219" s="146"/>
      <c r="L219" s="146"/>
      <c r="M219" s="458"/>
      <c r="N219" s="145"/>
      <c r="O219" s="146"/>
      <c r="P219" s="146"/>
      <c r="Q219" s="147"/>
      <c r="R219" s="147"/>
      <c r="S219" s="142"/>
      <c r="T219" s="142"/>
      <c r="U219" s="146"/>
      <c r="V219" s="146"/>
      <c r="W219" s="146"/>
      <c r="X219" s="146"/>
      <c r="Y219" s="146"/>
      <c r="Z219" s="146"/>
      <c r="AA219" s="146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</row>
    <row r="220" spans="2:39" s="247" customFormat="1" ht="11">
      <c r="B220" s="144"/>
      <c r="C220" s="143"/>
      <c r="D220" s="907"/>
      <c r="E220" s="143"/>
      <c r="F220" s="145"/>
      <c r="G220" s="146"/>
      <c r="H220" s="146"/>
      <c r="I220" s="146"/>
      <c r="J220" s="146"/>
      <c r="K220" s="146"/>
      <c r="L220" s="146"/>
      <c r="M220" s="458"/>
      <c r="N220" s="145"/>
      <c r="O220" s="146"/>
      <c r="P220" s="146"/>
      <c r="Q220" s="147"/>
      <c r="R220" s="147"/>
      <c r="S220" s="142"/>
      <c r="T220" s="142"/>
      <c r="U220" s="146"/>
      <c r="V220" s="146"/>
      <c r="W220" s="146"/>
      <c r="X220" s="146"/>
      <c r="Y220" s="146"/>
      <c r="Z220" s="146"/>
      <c r="AA220" s="146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</row>
    <row r="221" spans="2:39" s="247" customFormat="1" ht="11">
      <c r="B221" s="144"/>
      <c r="C221" s="143"/>
      <c r="D221" s="907"/>
      <c r="E221" s="143"/>
      <c r="F221" s="145"/>
      <c r="G221" s="146"/>
      <c r="H221" s="146"/>
      <c r="I221" s="146"/>
      <c r="J221" s="146"/>
      <c r="K221" s="146"/>
      <c r="L221" s="146"/>
      <c r="M221" s="458"/>
      <c r="N221" s="145"/>
      <c r="O221" s="146"/>
      <c r="P221" s="146"/>
      <c r="Q221" s="147"/>
      <c r="R221" s="147"/>
      <c r="S221" s="142"/>
      <c r="T221" s="142"/>
      <c r="U221" s="146"/>
      <c r="V221" s="146"/>
      <c r="W221" s="146"/>
      <c r="X221" s="146"/>
      <c r="Y221" s="146"/>
      <c r="Z221" s="146"/>
      <c r="AA221" s="146"/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</row>
    <row r="222" spans="2:39" s="247" customFormat="1" ht="11">
      <c r="B222" s="144"/>
      <c r="C222" s="143"/>
      <c r="D222" s="907"/>
      <c r="E222" s="143"/>
      <c r="F222" s="145"/>
      <c r="G222" s="146"/>
      <c r="H222" s="146"/>
      <c r="I222" s="146"/>
      <c r="J222" s="146"/>
      <c r="K222" s="146"/>
      <c r="L222" s="146"/>
      <c r="M222" s="458"/>
      <c r="N222" s="145"/>
      <c r="O222" s="146"/>
      <c r="P222" s="146"/>
      <c r="Q222" s="147"/>
      <c r="R222" s="147"/>
      <c r="S222" s="142"/>
      <c r="T222" s="142"/>
      <c r="U222" s="146"/>
      <c r="V222" s="146"/>
      <c r="W222" s="146"/>
      <c r="X222" s="146"/>
      <c r="Y222" s="146"/>
      <c r="Z222" s="146"/>
      <c r="AA222" s="146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</row>
    <row r="223" spans="2:39" s="247" customFormat="1" ht="11">
      <c r="B223" s="144"/>
      <c r="C223" s="143"/>
      <c r="D223" s="907"/>
      <c r="E223" s="143"/>
      <c r="F223" s="145"/>
      <c r="G223" s="146"/>
      <c r="H223" s="146"/>
      <c r="I223" s="146"/>
      <c r="J223" s="146"/>
      <c r="K223" s="146"/>
      <c r="L223" s="146"/>
      <c r="M223" s="458"/>
      <c r="N223" s="145"/>
      <c r="O223" s="146"/>
      <c r="P223" s="146"/>
      <c r="Q223" s="147"/>
      <c r="R223" s="147"/>
      <c r="S223" s="142"/>
      <c r="T223" s="142"/>
      <c r="U223" s="146"/>
      <c r="V223" s="146"/>
      <c r="W223" s="146"/>
      <c r="X223" s="146"/>
      <c r="Y223" s="146"/>
      <c r="Z223" s="146"/>
      <c r="AA223" s="146"/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</row>
    <row r="224" spans="2:39" s="247" customFormat="1" ht="11">
      <c r="B224" s="144"/>
      <c r="C224" s="143"/>
      <c r="D224" s="907"/>
      <c r="E224" s="143"/>
      <c r="F224" s="145"/>
      <c r="G224" s="146"/>
      <c r="H224" s="146"/>
      <c r="I224" s="146"/>
      <c r="J224" s="146"/>
      <c r="K224" s="146"/>
      <c r="L224" s="146"/>
      <c r="M224" s="458"/>
      <c r="N224" s="145"/>
      <c r="O224" s="146"/>
      <c r="P224" s="146"/>
      <c r="Q224" s="147"/>
      <c r="R224" s="147"/>
      <c r="S224" s="142"/>
      <c r="T224" s="142"/>
      <c r="U224" s="146"/>
      <c r="V224" s="146"/>
      <c r="W224" s="146"/>
      <c r="X224" s="146"/>
      <c r="Y224" s="146"/>
      <c r="Z224" s="146"/>
      <c r="AA224" s="146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</row>
    <row r="225" spans="2:39" s="247" customFormat="1" ht="11">
      <c r="B225" s="144"/>
      <c r="C225" s="143"/>
      <c r="D225" s="907"/>
      <c r="E225" s="143"/>
      <c r="F225" s="145"/>
      <c r="G225" s="146"/>
      <c r="H225" s="146"/>
      <c r="I225" s="146"/>
      <c r="J225" s="146"/>
      <c r="K225" s="146"/>
      <c r="L225" s="146"/>
      <c r="M225" s="458"/>
      <c r="N225" s="145"/>
      <c r="O225" s="146"/>
      <c r="P225" s="146"/>
      <c r="Q225" s="147"/>
      <c r="R225" s="147"/>
      <c r="S225" s="142"/>
      <c r="T225" s="142"/>
      <c r="U225" s="146"/>
      <c r="V225" s="146"/>
      <c r="W225" s="146"/>
      <c r="X225" s="146"/>
      <c r="Y225" s="146"/>
      <c r="Z225" s="146"/>
      <c r="AA225" s="146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</row>
    <row r="226" spans="2:39" s="247" customFormat="1" ht="11">
      <c r="B226" s="144"/>
      <c r="C226" s="143"/>
      <c r="D226" s="907"/>
      <c r="E226" s="143"/>
      <c r="F226" s="145"/>
      <c r="G226" s="146"/>
      <c r="H226" s="146"/>
      <c r="I226" s="146"/>
      <c r="J226" s="146"/>
      <c r="K226" s="146"/>
      <c r="L226" s="146"/>
      <c r="M226" s="458"/>
      <c r="N226" s="145"/>
      <c r="O226" s="146"/>
      <c r="P226" s="146"/>
      <c r="Q226" s="147"/>
      <c r="R226" s="147"/>
      <c r="S226" s="142"/>
      <c r="T226" s="142"/>
      <c r="U226" s="146"/>
      <c r="V226" s="146"/>
      <c r="W226" s="146"/>
      <c r="X226" s="146"/>
      <c r="Y226" s="146"/>
      <c r="Z226" s="146"/>
      <c r="AA226" s="146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</row>
    <row r="227" spans="2:39" s="247" customFormat="1" ht="11">
      <c r="B227" s="144"/>
      <c r="C227" s="143"/>
      <c r="D227" s="907"/>
      <c r="E227" s="143"/>
      <c r="F227" s="145"/>
      <c r="G227" s="146"/>
      <c r="H227" s="146"/>
      <c r="I227" s="146"/>
      <c r="J227" s="146"/>
      <c r="K227" s="146"/>
      <c r="L227" s="146"/>
      <c r="M227" s="458"/>
      <c r="N227" s="145"/>
      <c r="O227" s="146"/>
      <c r="P227" s="146"/>
      <c r="Q227" s="147"/>
      <c r="R227" s="147"/>
      <c r="S227" s="142"/>
      <c r="T227" s="142"/>
      <c r="U227" s="146"/>
      <c r="V227" s="146"/>
      <c r="W227" s="146"/>
      <c r="X227" s="146"/>
      <c r="Y227" s="146"/>
      <c r="Z227" s="146"/>
      <c r="AA227" s="146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</row>
    <row r="228" spans="2:39" s="247" customFormat="1" ht="11">
      <c r="B228" s="144"/>
      <c r="C228" s="143"/>
      <c r="D228" s="907"/>
      <c r="E228" s="143"/>
      <c r="F228" s="145"/>
      <c r="G228" s="146"/>
      <c r="H228" s="146"/>
      <c r="I228" s="146"/>
      <c r="J228" s="146"/>
      <c r="K228" s="146"/>
      <c r="L228" s="146"/>
      <c r="M228" s="458"/>
      <c r="N228" s="145"/>
      <c r="O228" s="146"/>
      <c r="P228" s="146"/>
      <c r="Q228" s="147"/>
      <c r="R228" s="147"/>
      <c r="S228" s="142"/>
      <c r="T228" s="142"/>
      <c r="U228" s="146"/>
      <c r="V228" s="146"/>
      <c r="W228" s="146"/>
      <c r="X228" s="146"/>
      <c r="Y228" s="146"/>
      <c r="Z228" s="146"/>
      <c r="AA228" s="146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</row>
    <row r="229" spans="2:39" s="247" customFormat="1" ht="11">
      <c r="B229" s="144"/>
      <c r="C229" s="143"/>
      <c r="D229" s="907"/>
      <c r="E229" s="143"/>
      <c r="F229" s="145"/>
      <c r="G229" s="146"/>
      <c r="H229" s="146"/>
      <c r="I229" s="146"/>
      <c r="J229" s="146"/>
      <c r="K229" s="146"/>
      <c r="L229" s="146"/>
      <c r="M229" s="458"/>
      <c r="N229" s="145"/>
      <c r="O229" s="146"/>
      <c r="P229" s="146"/>
      <c r="Q229" s="147"/>
      <c r="R229" s="147"/>
      <c r="S229" s="142"/>
      <c r="T229" s="142"/>
      <c r="U229" s="146"/>
      <c r="V229" s="146"/>
      <c r="W229" s="146"/>
      <c r="X229" s="146"/>
      <c r="Y229" s="146"/>
      <c r="Z229" s="146"/>
      <c r="AA229" s="146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</row>
    <row r="230" spans="2:39" s="247" customFormat="1" ht="11">
      <c r="B230" s="144"/>
      <c r="C230" s="143"/>
      <c r="D230" s="907"/>
      <c r="E230" s="143"/>
      <c r="F230" s="145"/>
      <c r="G230" s="146"/>
      <c r="H230" s="146"/>
      <c r="I230" s="146"/>
      <c r="J230" s="146"/>
      <c r="K230" s="146"/>
      <c r="L230" s="146"/>
      <c r="M230" s="458"/>
      <c r="N230" s="145"/>
      <c r="O230" s="146"/>
      <c r="P230" s="146"/>
      <c r="Q230" s="147"/>
      <c r="R230" s="147"/>
      <c r="S230" s="142"/>
      <c r="T230" s="142"/>
      <c r="U230" s="146"/>
      <c r="V230" s="146"/>
      <c r="W230" s="146"/>
      <c r="X230" s="146"/>
      <c r="Y230" s="146"/>
      <c r="Z230" s="146"/>
      <c r="AA230" s="146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</row>
    <row r="231" spans="2:39" s="247" customFormat="1" ht="11">
      <c r="B231" s="144"/>
      <c r="C231" s="143"/>
      <c r="D231" s="907"/>
      <c r="E231" s="143"/>
      <c r="F231" s="145"/>
      <c r="G231" s="146"/>
      <c r="H231" s="146"/>
      <c r="I231" s="146"/>
      <c r="J231" s="146"/>
      <c r="K231" s="146"/>
      <c r="L231" s="146"/>
      <c r="M231" s="458"/>
      <c r="N231" s="145"/>
      <c r="O231" s="146"/>
      <c r="P231" s="146"/>
      <c r="Q231" s="147"/>
      <c r="R231" s="147"/>
      <c r="S231" s="142"/>
      <c r="T231" s="142"/>
      <c r="U231" s="146"/>
      <c r="V231" s="146"/>
      <c r="W231" s="146"/>
      <c r="X231" s="146"/>
      <c r="Y231" s="146"/>
      <c r="Z231" s="146"/>
      <c r="AA231" s="146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</row>
    <row r="232" spans="2:39" s="247" customFormat="1" ht="11">
      <c r="B232" s="144"/>
      <c r="C232" s="143"/>
      <c r="D232" s="907"/>
      <c r="E232" s="143"/>
      <c r="F232" s="145"/>
      <c r="G232" s="146"/>
      <c r="H232" s="146"/>
      <c r="I232" s="146"/>
      <c r="J232" s="146"/>
      <c r="K232" s="146"/>
      <c r="L232" s="146"/>
      <c r="M232" s="458"/>
      <c r="N232" s="145"/>
      <c r="O232" s="146"/>
      <c r="P232" s="146"/>
      <c r="Q232" s="147"/>
      <c r="R232" s="147"/>
      <c r="S232" s="142"/>
      <c r="T232" s="142"/>
      <c r="U232" s="146"/>
      <c r="V232" s="146"/>
      <c r="W232" s="146"/>
      <c r="X232" s="146"/>
      <c r="Y232" s="146"/>
      <c r="Z232" s="146"/>
      <c r="AA232" s="146"/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</row>
    <row r="233" spans="2:39" s="247" customFormat="1" ht="11">
      <c r="B233" s="144"/>
      <c r="C233" s="143"/>
      <c r="D233" s="907"/>
      <c r="E233" s="143"/>
      <c r="F233" s="145"/>
      <c r="G233" s="146"/>
      <c r="H233" s="146"/>
      <c r="I233" s="146"/>
      <c r="J233" s="146"/>
      <c r="K233" s="146"/>
      <c r="L233" s="146"/>
      <c r="M233" s="458"/>
      <c r="N233" s="145"/>
      <c r="O233" s="146"/>
      <c r="P233" s="146"/>
      <c r="Q233" s="147"/>
      <c r="R233" s="147"/>
      <c r="S233" s="142"/>
      <c r="T233" s="142"/>
      <c r="U233" s="146"/>
      <c r="V233" s="146"/>
      <c r="W233" s="146"/>
      <c r="X233" s="146"/>
      <c r="Y233" s="146"/>
      <c r="Z233" s="146"/>
      <c r="AA233" s="146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</row>
    <row r="234" spans="2:39" s="247" customFormat="1" ht="11">
      <c r="B234" s="144"/>
      <c r="C234" s="143"/>
      <c r="D234" s="907"/>
      <c r="E234" s="143"/>
      <c r="F234" s="145"/>
      <c r="G234" s="146"/>
      <c r="H234" s="146"/>
      <c r="I234" s="146"/>
      <c r="J234" s="146"/>
      <c r="K234" s="146"/>
      <c r="L234" s="146"/>
      <c r="M234" s="458"/>
      <c r="N234" s="145"/>
      <c r="O234" s="146"/>
      <c r="P234" s="146"/>
      <c r="Q234" s="147"/>
      <c r="R234" s="147"/>
      <c r="S234" s="142"/>
      <c r="T234" s="142"/>
      <c r="U234" s="146"/>
      <c r="V234" s="146"/>
      <c r="W234" s="146"/>
      <c r="X234" s="146"/>
      <c r="Y234" s="146"/>
      <c r="Z234" s="146"/>
      <c r="AA234" s="146"/>
      <c r="AC234" s="214"/>
      <c r="AD234" s="214"/>
      <c r="AE234" s="214"/>
      <c r="AF234" s="214"/>
      <c r="AG234" s="214"/>
      <c r="AH234" s="214"/>
      <c r="AI234" s="214"/>
      <c r="AJ234" s="214"/>
      <c r="AK234" s="214"/>
      <c r="AL234" s="214"/>
      <c r="AM234" s="214"/>
    </row>
    <row r="235" spans="2:39" s="247" customFormat="1" ht="11">
      <c r="B235" s="144"/>
      <c r="C235" s="143"/>
      <c r="D235" s="907"/>
      <c r="E235" s="143"/>
      <c r="F235" s="145"/>
      <c r="G235" s="146"/>
      <c r="H235" s="146"/>
      <c r="I235" s="146"/>
      <c r="J235" s="146"/>
      <c r="K235" s="146"/>
      <c r="L235" s="146"/>
      <c r="M235" s="458"/>
      <c r="N235" s="145"/>
      <c r="O235" s="146"/>
      <c r="P235" s="146"/>
      <c r="Q235" s="147"/>
      <c r="R235" s="147"/>
      <c r="S235" s="142"/>
      <c r="T235" s="142"/>
      <c r="U235" s="146"/>
      <c r="V235" s="146"/>
      <c r="W235" s="146"/>
      <c r="X235" s="146"/>
      <c r="Y235" s="146"/>
      <c r="Z235" s="146"/>
      <c r="AA235" s="146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</row>
    <row r="236" spans="2:39" s="247" customFormat="1" ht="11">
      <c r="B236" s="144"/>
      <c r="C236" s="143"/>
      <c r="D236" s="907"/>
      <c r="E236" s="143"/>
      <c r="F236" s="145"/>
      <c r="G236" s="146"/>
      <c r="H236" s="146"/>
      <c r="I236" s="146"/>
      <c r="J236" s="146"/>
      <c r="K236" s="146"/>
      <c r="L236" s="146"/>
      <c r="M236" s="458"/>
      <c r="N236" s="145"/>
      <c r="O236" s="146"/>
      <c r="P236" s="146"/>
      <c r="Q236" s="147"/>
      <c r="R236" s="147"/>
      <c r="S236" s="142"/>
      <c r="T236" s="142"/>
      <c r="U236" s="146"/>
      <c r="V236" s="146"/>
      <c r="W236" s="146"/>
      <c r="X236" s="146"/>
      <c r="Y236" s="146"/>
      <c r="Z236" s="146"/>
      <c r="AA236" s="146"/>
      <c r="AC236" s="214"/>
      <c r="AD236" s="214"/>
      <c r="AE236" s="214"/>
      <c r="AF236" s="214"/>
      <c r="AG236" s="214"/>
      <c r="AH236" s="214"/>
      <c r="AI236" s="214"/>
      <c r="AJ236" s="214"/>
      <c r="AK236" s="214"/>
      <c r="AL236" s="214"/>
      <c r="AM236" s="214"/>
    </row>
    <row r="237" spans="2:39" s="247" customFormat="1" ht="11">
      <c r="B237" s="144"/>
      <c r="C237" s="143"/>
      <c r="D237" s="907"/>
      <c r="E237" s="143"/>
      <c r="F237" s="145"/>
      <c r="G237" s="146"/>
      <c r="H237" s="146"/>
      <c r="I237" s="146"/>
      <c r="J237" s="146"/>
      <c r="K237" s="146"/>
      <c r="L237" s="146"/>
      <c r="M237" s="458"/>
      <c r="N237" s="145"/>
      <c r="O237" s="146"/>
      <c r="P237" s="146"/>
      <c r="Q237" s="147"/>
      <c r="R237" s="147"/>
      <c r="S237" s="142"/>
      <c r="T237" s="142"/>
      <c r="U237" s="146"/>
      <c r="V237" s="146"/>
      <c r="W237" s="146"/>
      <c r="X237" s="146"/>
      <c r="Y237" s="146"/>
      <c r="Z237" s="146"/>
      <c r="AA237" s="146"/>
      <c r="AC237" s="214"/>
      <c r="AD237" s="214"/>
      <c r="AE237" s="214"/>
      <c r="AF237" s="214"/>
      <c r="AG237" s="214"/>
      <c r="AH237" s="214"/>
      <c r="AI237" s="214"/>
      <c r="AJ237" s="214"/>
      <c r="AK237" s="214"/>
      <c r="AL237" s="214"/>
      <c r="AM237" s="214"/>
    </row>
    <row r="238" spans="2:39" s="247" customFormat="1" ht="11">
      <c r="B238" s="144"/>
      <c r="C238" s="143"/>
      <c r="D238" s="907"/>
      <c r="E238" s="143"/>
      <c r="F238" s="145"/>
      <c r="G238" s="146"/>
      <c r="H238" s="146"/>
      <c r="I238" s="146"/>
      <c r="J238" s="146"/>
      <c r="K238" s="146"/>
      <c r="L238" s="146"/>
      <c r="M238" s="458"/>
      <c r="N238" s="145"/>
      <c r="O238" s="146"/>
      <c r="P238" s="146"/>
      <c r="Q238" s="147"/>
      <c r="R238" s="147"/>
      <c r="S238" s="142"/>
      <c r="T238" s="142"/>
      <c r="U238" s="146"/>
      <c r="V238" s="146"/>
      <c r="W238" s="146"/>
      <c r="X238" s="146"/>
      <c r="Y238" s="146"/>
      <c r="Z238" s="146"/>
      <c r="AA238" s="146"/>
      <c r="AC238" s="214"/>
      <c r="AD238" s="214"/>
      <c r="AE238" s="214"/>
      <c r="AF238" s="214"/>
      <c r="AG238" s="214"/>
      <c r="AH238" s="214"/>
      <c r="AI238" s="214"/>
      <c r="AJ238" s="214"/>
      <c r="AK238" s="214"/>
      <c r="AL238" s="214"/>
      <c r="AM238" s="214"/>
    </row>
    <row r="239" spans="2:39" s="247" customFormat="1" ht="11">
      <c r="B239" s="248"/>
      <c r="D239" s="909"/>
      <c r="F239" s="249"/>
      <c r="G239" s="250"/>
      <c r="H239" s="250"/>
      <c r="I239" s="250"/>
      <c r="J239" s="250"/>
      <c r="K239" s="250"/>
      <c r="L239" s="250"/>
      <c r="M239" s="459"/>
      <c r="N239" s="249"/>
      <c r="O239" s="146"/>
      <c r="P239" s="146"/>
      <c r="Q239" s="147"/>
      <c r="R239" s="147"/>
      <c r="S239" s="142"/>
      <c r="T239" s="142"/>
      <c r="U239" s="146"/>
      <c r="V239" s="146"/>
      <c r="W239" s="146"/>
      <c r="X239" s="146"/>
      <c r="Y239" s="146"/>
      <c r="Z239" s="146"/>
      <c r="AA239" s="146"/>
      <c r="AC239" s="214"/>
      <c r="AD239" s="214"/>
      <c r="AE239" s="214"/>
      <c r="AF239" s="214"/>
      <c r="AG239" s="214"/>
      <c r="AH239" s="214"/>
      <c r="AI239" s="214"/>
      <c r="AJ239" s="214"/>
      <c r="AK239" s="214"/>
      <c r="AL239" s="214"/>
      <c r="AM239" s="214"/>
    </row>
    <row r="240" spans="2:39" s="247" customFormat="1" ht="11">
      <c r="B240" s="248"/>
      <c r="D240" s="909"/>
      <c r="F240" s="249"/>
      <c r="G240" s="250"/>
      <c r="H240" s="250"/>
      <c r="I240" s="250"/>
      <c r="J240" s="250"/>
      <c r="K240" s="250"/>
      <c r="L240" s="250"/>
      <c r="M240" s="459"/>
      <c r="N240" s="249"/>
      <c r="O240" s="146"/>
      <c r="P240" s="146"/>
      <c r="Q240" s="147"/>
      <c r="R240" s="147"/>
      <c r="S240" s="142"/>
      <c r="T240" s="142"/>
      <c r="U240" s="146"/>
      <c r="V240" s="146"/>
      <c r="W240" s="146"/>
      <c r="X240" s="146"/>
      <c r="Y240" s="146"/>
      <c r="Z240" s="146"/>
      <c r="AA240" s="146"/>
      <c r="AC240" s="214"/>
      <c r="AD240" s="214"/>
      <c r="AE240" s="214"/>
      <c r="AF240" s="214"/>
      <c r="AG240" s="214"/>
      <c r="AH240" s="214"/>
      <c r="AI240" s="214"/>
      <c r="AJ240" s="214"/>
      <c r="AK240" s="214"/>
      <c r="AL240" s="214"/>
      <c r="AM240" s="214"/>
    </row>
    <row r="241" spans="2:41" s="247" customFormat="1" ht="11">
      <c r="B241" s="248"/>
      <c r="D241" s="909"/>
      <c r="F241" s="249"/>
      <c r="G241" s="250"/>
      <c r="H241" s="250"/>
      <c r="I241" s="250"/>
      <c r="J241" s="250"/>
      <c r="K241" s="250"/>
      <c r="L241" s="250"/>
      <c r="M241" s="459"/>
      <c r="N241" s="249"/>
      <c r="O241" s="146"/>
      <c r="P241" s="146"/>
      <c r="Q241" s="147"/>
      <c r="R241" s="147"/>
      <c r="S241" s="142"/>
      <c r="T241" s="142"/>
      <c r="U241" s="146"/>
      <c r="V241" s="146"/>
      <c r="W241" s="146"/>
      <c r="X241" s="146"/>
      <c r="Y241" s="146"/>
      <c r="Z241" s="146"/>
      <c r="AA241" s="146"/>
      <c r="AC241" s="214"/>
      <c r="AD241" s="214"/>
      <c r="AE241" s="214"/>
      <c r="AF241" s="214"/>
      <c r="AG241" s="214"/>
      <c r="AH241" s="214"/>
      <c r="AI241" s="214"/>
      <c r="AJ241" s="214"/>
      <c r="AK241" s="214"/>
      <c r="AL241" s="214"/>
      <c r="AM241" s="214"/>
    </row>
    <row r="242" spans="2:41" s="247" customFormat="1" ht="11">
      <c r="B242" s="248"/>
      <c r="D242" s="909"/>
      <c r="F242" s="249"/>
      <c r="G242" s="250"/>
      <c r="H242" s="250"/>
      <c r="I242" s="250"/>
      <c r="J242" s="250"/>
      <c r="K242" s="250"/>
      <c r="L242" s="250"/>
      <c r="M242" s="459"/>
      <c r="N242" s="249"/>
      <c r="O242" s="146"/>
      <c r="P242" s="146"/>
      <c r="Q242" s="147"/>
      <c r="R242" s="147"/>
      <c r="S242" s="142"/>
      <c r="T242" s="142"/>
      <c r="U242" s="146"/>
      <c r="V242" s="146"/>
      <c r="W242" s="146"/>
      <c r="X242" s="146"/>
      <c r="Y242" s="146"/>
      <c r="Z242" s="146"/>
      <c r="AA242" s="146"/>
      <c r="AC242" s="214"/>
      <c r="AD242" s="214"/>
      <c r="AE242" s="214"/>
      <c r="AF242" s="214"/>
      <c r="AG242" s="214"/>
      <c r="AH242" s="214"/>
      <c r="AI242" s="214"/>
      <c r="AJ242" s="214"/>
      <c r="AK242" s="214"/>
      <c r="AL242" s="214"/>
      <c r="AM242" s="214"/>
    </row>
    <row r="243" spans="2:41" s="247" customFormat="1" ht="11">
      <c r="B243" s="248"/>
      <c r="D243" s="909"/>
      <c r="F243" s="249"/>
      <c r="G243" s="250"/>
      <c r="H243" s="250"/>
      <c r="I243" s="250"/>
      <c r="J243" s="250"/>
      <c r="K243" s="250"/>
      <c r="L243" s="250"/>
      <c r="M243" s="459"/>
      <c r="N243" s="249"/>
      <c r="O243" s="146"/>
      <c r="P243" s="146"/>
      <c r="Q243" s="147"/>
      <c r="R243" s="147"/>
      <c r="S243" s="142"/>
      <c r="T243" s="142"/>
      <c r="U243" s="146">
        <f>SUBTOTAL(9,U201:U242)</f>
        <v>0</v>
      </c>
      <c r="V243" s="146">
        <f t="shared" ref="V243:AA243" si="76">SUBTOTAL(9,V201:V242)</f>
        <v>0</v>
      </c>
      <c r="W243" s="146">
        <f t="shared" si="76"/>
        <v>0</v>
      </c>
      <c r="X243" s="146">
        <f t="shared" si="76"/>
        <v>0</v>
      </c>
      <c r="Y243" s="146">
        <f t="shared" si="76"/>
        <v>0</v>
      </c>
      <c r="Z243" s="146">
        <f t="shared" si="76"/>
        <v>0</v>
      </c>
      <c r="AA243" s="146">
        <f t="shared" si="76"/>
        <v>0</v>
      </c>
      <c r="AC243" s="214"/>
      <c r="AD243" s="214"/>
      <c r="AE243" s="214"/>
      <c r="AF243" s="214"/>
      <c r="AG243" s="214"/>
      <c r="AH243" s="214"/>
      <c r="AI243" s="214"/>
      <c r="AJ243" s="214"/>
      <c r="AK243" s="214"/>
      <c r="AL243" s="214"/>
      <c r="AM243" s="214"/>
    </row>
    <row r="244" spans="2:41" s="213" customFormat="1" ht="14" thickBot="1">
      <c r="B244" s="225"/>
      <c r="D244" s="910"/>
      <c r="F244" s="242"/>
      <c r="G244" s="243"/>
      <c r="H244" s="243"/>
      <c r="I244" s="243"/>
      <c r="J244" s="243"/>
      <c r="K244" s="243"/>
      <c r="L244" s="243"/>
      <c r="M244" s="459"/>
      <c r="N244" s="242"/>
      <c r="O244" s="141"/>
      <c r="P244" s="141"/>
      <c r="Q244" s="148"/>
      <c r="R244" s="148"/>
      <c r="S244" s="149"/>
      <c r="T244" s="149"/>
      <c r="U244" s="150"/>
      <c r="V244" s="150"/>
      <c r="W244" s="150"/>
      <c r="X244" s="150"/>
      <c r="Y244" s="150"/>
      <c r="Z244" s="150"/>
      <c r="AA244" s="150"/>
      <c r="AC244" s="214"/>
      <c r="AD244" s="214"/>
      <c r="AE244" s="214"/>
      <c r="AF244" s="214"/>
      <c r="AG244" s="214"/>
      <c r="AH244" s="214"/>
      <c r="AI244" s="214"/>
      <c r="AJ244" s="214"/>
      <c r="AK244" s="214"/>
      <c r="AL244" s="214"/>
      <c r="AM244" s="214"/>
    </row>
    <row r="245" spans="2:41" s="213" customFormat="1" ht="15" thickTop="1" thickBot="1">
      <c r="B245" s="225"/>
      <c r="D245" s="910"/>
      <c r="F245" s="242"/>
      <c r="G245" s="243"/>
      <c r="H245" s="243"/>
      <c r="I245" s="243"/>
      <c r="J245" s="243"/>
      <c r="K245" s="243"/>
      <c r="L245" s="243"/>
      <c r="M245" s="459"/>
      <c r="N245" s="242"/>
      <c r="O245" s="141"/>
      <c r="P245" s="141"/>
      <c r="Q245" s="148"/>
      <c r="R245" s="148"/>
      <c r="S245" s="148"/>
      <c r="T245" s="148"/>
      <c r="U245" s="151">
        <f>SUBTOTAL(9,U203:U244)</f>
        <v>0</v>
      </c>
      <c r="V245" s="152">
        <f t="shared" ref="V245:AA245" si="77">SUBTOTAL(9,V203:V244)</f>
        <v>0</v>
      </c>
      <c r="W245" s="153">
        <f t="shared" si="77"/>
        <v>0</v>
      </c>
      <c r="X245" s="153">
        <f t="shared" si="77"/>
        <v>0</v>
      </c>
      <c r="Y245" s="153">
        <f t="shared" si="77"/>
        <v>0</v>
      </c>
      <c r="Z245" s="153">
        <f t="shared" si="77"/>
        <v>0</v>
      </c>
      <c r="AA245" s="154">
        <f t="shared" si="77"/>
        <v>0</v>
      </c>
      <c r="AB245" s="246"/>
      <c r="AC245" s="246"/>
      <c r="AE245" s="214"/>
      <c r="AF245" s="214"/>
      <c r="AG245" s="214"/>
      <c r="AH245" s="214"/>
      <c r="AI245" s="214"/>
      <c r="AJ245" s="214"/>
      <c r="AK245" s="214"/>
      <c r="AL245" s="214"/>
      <c r="AM245" s="214"/>
      <c r="AN245" s="214"/>
      <c r="AO245" s="214"/>
    </row>
    <row r="246" spans="2:41" s="213" customFormat="1" ht="14" thickTop="1">
      <c r="B246" s="225"/>
      <c r="D246" s="910"/>
      <c r="F246" s="242"/>
      <c r="G246" s="243"/>
      <c r="H246" s="243"/>
      <c r="I246" s="243"/>
      <c r="J246" s="243"/>
      <c r="K246" s="243"/>
      <c r="L246" s="243"/>
      <c r="M246" s="459"/>
      <c r="N246" s="242"/>
      <c r="O246" s="141"/>
      <c r="P246" s="141"/>
      <c r="Q246" s="148"/>
      <c r="R246" s="148"/>
      <c r="S246" s="149"/>
      <c r="T246" s="149"/>
      <c r="U246" s="150"/>
      <c r="V246" s="150"/>
      <c r="W246" s="150"/>
      <c r="X246" s="150"/>
      <c r="Y246" s="150"/>
      <c r="Z246" s="150"/>
      <c r="AA246" s="150"/>
      <c r="AC246" s="214"/>
      <c r="AD246" s="214"/>
      <c r="AE246" s="214"/>
      <c r="AF246" s="214"/>
      <c r="AG246" s="214"/>
      <c r="AH246" s="214"/>
      <c r="AI246" s="214"/>
      <c r="AJ246" s="214"/>
      <c r="AK246" s="214"/>
      <c r="AL246" s="214"/>
      <c r="AM246" s="214"/>
    </row>
    <row r="247" spans="2:41" s="213" customFormat="1">
      <c r="B247" s="225"/>
      <c r="D247" s="910"/>
      <c r="F247" s="242"/>
      <c r="G247" s="243"/>
      <c r="H247" s="243"/>
      <c r="I247" s="243"/>
      <c r="J247" s="243"/>
      <c r="K247" s="243"/>
      <c r="L247" s="243"/>
      <c r="M247" s="459"/>
      <c r="N247" s="242"/>
      <c r="O247" s="141"/>
      <c r="P247" s="141"/>
      <c r="Q247" s="148"/>
      <c r="R247" s="148"/>
      <c r="S247" s="149"/>
      <c r="T247" s="149"/>
      <c r="U247" s="150"/>
      <c r="V247" s="150"/>
      <c r="W247" s="150"/>
      <c r="X247" s="150"/>
      <c r="Y247" s="150"/>
      <c r="Z247" s="150"/>
      <c r="AA247" s="150"/>
      <c r="AC247" s="214"/>
      <c r="AD247" s="214"/>
      <c r="AE247" s="214"/>
      <c r="AF247" s="214"/>
      <c r="AG247" s="214"/>
      <c r="AH247" s="214"/>
      <c r="AI247" s="214"/>
      <c r="AJ247" s="214"/>
      <c r="AK247" s="214"/>
      <c r="AL247" s="214"/>
      <c r="AM247" s="214"/>
    </row>
    <row r="248" spans="2:41" s="213" customFormat="1">
      <c r="B248" s="225"/>
      <c r="D248" s="910"/>
      <c r="F248" s="242"/>
      <c r="G248" s="243"/>
      <c r="H248" s="243"/>
      <c r="I248" s="243"/>
      <c r="J248" s="243"/>
      <c r="K248" s="243"/>
      <c r="L248" s="243"/>
      <c r="M248" s="459"/>
      <c r="N248" s="242"/>
      <c r="O248" s="141"/>
      <c r="P248" s="141"/>
      <c r="Q248" s="148"/>
      <c r="R248" s="148"/>
      <c r="S248" s="149"/>
      <c r="T248" s="149"/>
      <c r="U248" s="150"/>
      <c r="V248" s="150"/>
      <c r="W248" s="150"/>
      <c r="X248" s="150"/>
      <c r="Y248" s="150"/>
      <c r="Z248" s="150"/>
      <c r="AA248" s="150"/>
      <c r="AC248" s="214"/>
      <c r="AD248" s="214"/>
      <c r="AE248" s="214"/>
      <c r="AF248" s="214"/>
      <c r="AG248" s="214"/>
      <c r="AH248" s="214"/>
      <c r="AI248" s="214"/>
      <c r="AJ248" s="214"/>
      <c r="AK248" s="214"/>
      <c r="AL248" s="214"/>
      <c r="AM248" s="214"/>
    </row>
    <row r="249" spans="2:41" s="213" customFormat="1">
      <c r="B249" s="225"/>
      <c r="D249" s="910"/>
      <c r="F249" s="242"/>
      <c r="G249" s="243"/>
      <c r="H249" s="243"/>
      <c r="I249" s="243"/>
      <c r="J249" s="243"/>
      <c r="K249" s="243"/>
      <c r="L249" s="243"/>
      <c r="M249" s="459"/>
      <c r="N249" s="242"/>
      <c r="O249" s="141"/>
      <c r="P249" s="141"/>
      <c r="Q249" s="148"/>
      <c r="R249" s="148"/>
      <c r="S249" s="149"/>
      <c r="T249" s="149"/>
      <c r="U249" s="150"/>
      <c r="V249" s="150"/>
      <c r="W249" s="150"/>
      <c r="X249" s="150"/>
      <c r="Y249" s="150"/>
      <c r="Z249" s="150"/>
      <c r="AA249" s="150"/>
      <c r="AC249" s="214"/>
      <c r="AD249" s="214"/>
      <c r="AE249" s="214"/>
      <c r="AF249" s="214"/>
      <c r="AG249" s="214"/>
      <c r="AH249" s="214"/>
      <c r="AI249" s="214"/>
      <c r="AJ249" s="214"/>
      <c r="AK249" s="214"/>
      <c r="AL249" s="214"/>
      <c r="AM249" s="214"/>
    </row>
    <row r="250" spans="2:41" s="213" customFormat="1">
      <c r="B250" s="225"/>
      <c r="D250" s="910"/>
      <c r="F250" s="242"/>
      <c r="G250" s="243"/>
      <c r="H250" s="243"/>
      <c r="I250" s="243"/>
      <c r="J250" s="243"/>
      <c r="K250" s="243"/>
      <c r="L250" s="243"/>
      <c r="M250" s="459"/>
      <c r="N250" s="242"/>
      <c r="O250" s="141"/>
      <c r="P250" s="141"/>
      <c r="Q250" s="148"/>
      <c r="R250" s="148"/>
      <c r="S250" s="149"/>
      <c r="T250" s="149"/>
      <c r="U250" s="150"/>
      <c r="V250" s="150"/>
      <c r="W250" s="150"/>
      <c r="X250" s="150"/>
      <c r="Y250" s="150"/>
      <c r="Z250" s="150"/>
      <c r="AA250" s="150"/>
      <c r="AC250" s="214"/>
      <c r="AD250" s="214"/>
      <c r="AE250" s="214"/>
      <c r="AF250" s="214"/>
      <c r="AG250" s="214"/>
      <c r="AH250" s="214"/>
      <c r="AI250" s="214"/>
      <c r="AJ250" s="214"/>
      <c r="AK250" s="214"/>
      <c r="AL250" s="214"/>
      <c r="AM250" s="214"/>
    </row>
    <row r="251" spans="2:41" s="213" customFormat="1">
      <c r="B251" s="225"/>
      <c r="D251" s="910"/>
      <c r="F251" s="242"/>
      <c r="G251" s="243"/>
      <c r="H251" s="243"/>
      <c r="I251" s="243"/>
      <c r="J251" s="243"/>
      <c r="K251" s="243"/>
      <c r="L251" s="243"/>
      <c r="M251" s="459"/>
      <c r="N251" s="242"/>
      <c r="O251" s="141"/>
      <c r="P251" s="141"/>
      <c r="Q251" s="148"/>
      <c r="R251" s="148"/>
      <c r="S251" s="149"/>
      <c r="T251" s="149"/>
      <c r="U251" s="150"/>
      <c r="V251" s="150"/>
      <c r="W251" s="150"/>
      <c r="X251" s="150"/>
      <c r="Y251" s="150"/>
      <c r="Z251" s="150"/>
      <c r="AA251" s="150"/>
      <c r="AC251" s="214"/>
      <c r="AD251" s="214"/>
      <c r="AE251" s="214"/>
      <c r="AF251" s="214"/>
      <c r="AG251" s="214"/>
      <c r="AH251" s="214"/>
      <c r="AI251" s="214"/>
      <c r="AJ251" s="214"/>
      <c r="AK251" s="214"/>
      <c r="AL251" s="214"/>
      <c r="AM251" s="214"/>
    </row>
    <row r="252" spans="2:41" s="213" customFormat="1">
      <c r="B252" s="225"/>
      <c r="D252" s="910"/>
      <c r="F252" s="242"/>
      <c r="G252" s="243"/>
      <c r="H252" s="243"/>
      <c r="I252" s="243"/>
      <c r="J252" s="243"/>
      <c r="K252" s="243"/>
      <c r="L252" s="243"/>
      <c r="M252" s="459"/>
      <c r="N252" s="242"/>
      <c r="O252" s="141"/>
      <c r="P252" s="141"/>
      <c r="Q252" s="148"/>
      <c r="R252" s="148"/>
      <c r="S252" s="149"/>
      <c r="T252" s="149"/>
      <c r="U252" s="150"/>
      <c r="V252" s="150"/>
      <c r="W252" s="150"/>
      <c r="X252" s="150"/>
      <c r="Y252" s="150"/>
      <c r="Z252" s="150"/>
      <c r="AA252" s="150"/>
      <c r="AC252" s="214"/>
      <c r="AD252" s="214"/>
      <c r="AE252" s="214"/>
      <c r="AF252" s="214"/>
      <c r="AG252" s="214"/>
      <c r="AH252" s="214"/>
      <c r="AI252" s="214"/>
      <c r="AJ252" s="214"/>
      <c r="AK252" s="214"/>
      <c r="AL252" s="214"/>
      <c r="AM252" s="214"/>
    </row>
    <row r="253" spans="2:41" s="213" customFormat="1">
      <c r="B253" s="225"/>
      <c r="D253" s="910"/>
      <c r="F253" s="242"/>
      <c r="G253" s="243"/>
      <c r="H253" s="243"/>
      <c r="I253" s="243"/>
      <c r="J253" s="243"/>
      <c r="K253" s="243"/>
      <c r="L253" s="243"/>
      <c r="M253" s="459"/>
      <c r="N253" s="242"/>
      <c r="O253" s="141"/>
      <c r="P253" s="141"/>
      <c r="Q253" s="148"/>
      <c r="R253" s="148"/>
      <c r="S253" s="149"/>
      <c r="T253" s="149"/>
      <c r="U253" s="150"/>
      <c r="V253" s="150"/>
      <c r="W253" s="150"/>
      <c r="X253" s="150"/>
      <c r="Y253" s="150"/>
      <c r="Z253" s="150"/>
      <c r="AA253" s="150"/>
      <c r="AC253" s="214"/>
      <c r="AD253" s="214"/>
      <c r="AE253" s="214"/>
      <c r="AF253" s="214"/>
      <c r="AG253" s="214"/>
      <c r="AH253" s="214"/>
      <c r="AI253" s="214"/>
      <c r="AJ253" s="214"/>
      <c r="AK253" s="214"/>
      <c r="AL253" s="214"/>
      <c r="AM253" s="214"/>
    </row>
    <row r="254" spans="2:41" s="213" customFormat="1">
      <c r="B254" s="225"/>
      <c r="D254" s="910"/>
      <c r="F254" s="242"/>
      <c r="G254" s="243"/>
      <c r="H254" s="243"/>
      <c r="I254" s="243"/>
      <c r="J254" s="243"/>
      <c r="K254" s="243"/>
      <c r="L254" s="243"/>
      <c r="M254" s="459"/>
      <c r="N254" s="242"/>
      <c r="O254" s="141"/>
      <c r="P254" s="141"/>
      <c r="Q254" s="148"/>
      <c r="R254" s="148"/>
      <c r="S254" s="149"/>
      <c r="T254" s="149"/>
      <c r="U254" s="150"/>
      <c r="V254" s="150"/>
      <c r="W254" s="150"/>
      <c r="X254" s="150"/>
      <c r="Y254" s="150"/>
      <c r="Z254" s="150"/>
      <c r="AA254" s="150"/>
      <c r="AC254" s="214"/>
      <c r="AD254" s="214"/>
      <c r="AE254" s="214"/>
      <c r="AF254" s="214"/>
      <c r="AG254" s="214"/>
      <c r="AH254" s="214"/>
      <c r="AI254" s="214"/>
      <c r="AJ254" s="214"/>
      <c r="AK254" s="214"/>
      <c r="AL254" s="214"/>
      <c r="AM254" s="214"/>
    </row>
    <row r="255" spans="2:41" s="213" customFormat="1">
      <c r="B255" s="225"/>
      <c r="D255" s="910"/>
      <c r="F255" s="242"/>
      <c r="G255" s="243"/>
      <c r="H255" s="243"/>
      <c r="I255" s="243"/>
      <c r="J255" s="243"/>
      <c r="K255" s="243"/>
      <c r="L255" s="243"/>
      <c r="M255" s="459"/>
      <c r="N255" s="242"/>
      <c r="O255" s="141"/>
      <c r="P255" s="141"/>
      <c r="Q255" s="148"/>
      <c r="R255" s="148"/>
      <c r="S255" s="149"/>
      <c r="T255" s="149"/>
      <c r="U255" s="150"/>
      <c r="V255" s="150"/>
      <c r="W255" s="150"/>
      <c r="X255" s="150"/>
      <c r="Y255" s="150"/>
      <c r="Z255" s="150"/>
      <c r="AA255" s="150"/>
      <c r="AC255" s="214"/>
      <c r="AD255" s="214"/>
      <c r="AE255" s="214"/>
      <c r="AF255" s="214"/>
      <c r="AG255" s="214"/>
      <c r="AH255" s="214"/>
      <c r="AI255" s="214"/>
      <c r="AJ255" s="214"/>
      <c r="AK255" s="214"/>
      <c r="AL255" s="214"/>
      <c r="AM255" s="214"/>
    </row>
    <row r="256" spans="2:41" s="213" customFormat="1">
      <c r="B256" s="225"/>
      <c r="D256" s="910"/>
      <c r="F256" s="242"/>
      <c r="G256" s="243"/>
      <c r="H256" s="243"/>
      <c r="I256" s="243"/>
      <c r="J256" s="243"/>
      <c r="K256" s="243"/>
      <c r="L256" s="243"/>
      <c r="M256" s="459"/>
      <c r="N256" s="242"/>
      <c r="O256" s="141"/>
      <c r="P256" s="141"/>
      <c r="Q256" s="148"/>
      <c r="R256" s="148"/>
      <c r="S256" s="149"/>
      <c r="T256" s="149"/>
      <c r="U256" s="150"/>
      <c r="V256" s="150"/>
      <c r="W256" s="150"/>
      <c r="X256" s="150"/>
      <c r="Y256" s="150"/>
      <c r="Z256" s="150"/>
      <c r="AA256" s="150"/>
      <c r="AC256" s="214"/>
      <c r="AD256" s="214"/>
      <c r="AE256" s="214"/>
      <c r="AF256" s="214"/>
      <c r="AG256" s="214"/>
      <c r="AH256" s="214"/>
      <c r="AI256" s="214"/>
      <c r="AJ256" s="214"/>
      <c r="AK256" s="214"/>
      <c r="AL256" s="214"/>
      <c r="AM256" s="214"/>
    </row>
    <row r="257" spans="2:39" s="213" customFormat="1">
      <c r="B257" s="225"/>
      <c r="D257" s="910"/>
      <c r="F257" s="242"/>
      <c r="G257" s="243"/>
      <c r="H257" s="243"/>
      <c r="I257" s="243"/>
      <c r="J257" s="243"/>
      <c r="K257" s="243"/>
      <c r="L257" s="243"/>
      <c r="M257" s="459"/>
      <c r="N257" s="242"/>
      <c r="O257" s="141"/>
      <c r="P257" s="141"/>
      <c r="Q257" s="148"/>
      <c r="R257" s="148"/>
      <c r="S257" s="149"/>
      <c r="T257" s="149"/>
      <c r="U257" s="150"/>
      <c r="V257" s="150"/>
      <c r="W257" s="150"/>
      <c r="X257" s="150"/>
      <c r="Y257" s="150"/>
      <c r="Z257" s="150"/>
      <c r="AA257" s="150"/>
      <c r="AC257" s="214"/>
      <c r="AD257" s="214"/>
      <c r="AE257" s="214"/>
      <c r="AF257" s="214"/>
      <c r="AG257" s="214"/>
      <c r="AH257" s="214"/>
      <c r="AI257" s="214"/>
      <c r="AJ257" s="214"/>
      <c r="AK257" s="214"/>
      <c r="AL257" s="214"/>
      <c r="AM257" s="214"/>
    </row>
    <row r="258" spans="2:39" s="213" customFormat="1">
      <c r="B258" s="225"/>
      <c r="D258" s="910"/>
      <c r="F258" s="242"/>
      <c r="G258" s="243"/>
      <c r="H258" s="243"/>
      <c r="I258" s="243"/>
      <c r="J258" s="243"/>
      <c r="K258" s="243"/>
      <c r="L258" s="243"/>
      <c r="M258" s="459"/>
      <c r="N258" s="242"/>
      <c r="O258" s="141"/>
      <c r="P258" s="141"/>
      <c r="Q258" s="148"/>
      <c r="R258" s="148"/>
      <c r="S258" s="149"/>
      <c r="T258" s="149"/>
      <c r="U258" s="150"/>
      <c r="V258" s="150"/>
      <c r="W258" s="150"/>
      <c r="X258" s="150"/>
      <c r="Y258" s="150"/>
      <c r="Z258" s="150"/>
      <c r="AA258" s="150"/>
      <c r="AC258" s="214"/>
      <c r="AD258" s="214"/>
      <c r="AE258" s="214"/>
      <c r="AF258" s="214"/>
      <c r="AG258" s="214"/>
      <c r="AH258" s="214"/>
      <c r="AI258" s="214"/>
      <c r="AJ258" s="214"/>
      <c r="AK258" s="214"/>
      <c r="AL258" s="214"/>
      <c r="AM258" s="214"/>
    </row>
    <row r="259" spans="2:39" s="213" customFormat="1">
      <c r="B259" s="225"/>
      <c r="D259" s="910"/>
      <c r="F259" s="242"/>
      <c r="G259" s="243"/>
      <c r="H259" s="243"/>
      <c r="I259" s="243"/>
      <c r="J259" s="243"/>
      <c r="K259" s="243"/>
      <c r="L259" s="243"/>
      <c r="M259" s="459"/>
      <c r="N259" s="242"/>
      <c r="O259" s="141"/>
      <c r="P259" s="141"/>
      <c r="Q259" s="148"/>
      <c r="R259" s="148"/>
      <c r="S259" s="149"/>
      <c r="T259" s="149"/>
      <c r="U259" s="150"/>
      <c r="V259" s="150"/>
      <c r="W259" s="150"/>
      <c r="X259" s="150"/>
      <c r="Y259" s="150"/>
      <c r="Z259" s="150"/>
      <c r="AA259" s="150"/>
      <c r="AC259" s="214"/>
      <c r="AD259" s="214"/>
      <c r="AE259" s="214"/>
      <c r="AF259" s="214"/>
      <c r="AG259" s="214"/>
      <c r="AH259" s="214"/>
      <c r="AI259" s="214"/>
      <c r="AJ259" s="214"/>
      <c r="AK259" s="214"/>
      <c r="AL259" s="214"/>
      <c r="AM259" s="214"/>
    </row>
    <row r="260" spans="2:39" s="213" customFormat="1">
      <c r="B260" s="225"/>
      <c r="D260" s="910"/>
      <c r="F260" s="242"/>
      <c r="G260" s="243"/>
      <c r="H260" s="243"/>
      <c r="I260" s="243"/>
      <c r="J260" s="243"/>
      <c r="K260" s="243"/>
      <c r="L260" s="243"/>
      <c r="M260" s="459"/>
      <c r="N260" s="242"/>
      <c r="O260" s="141"/>
      <c r="P260" s="141"/>
      <c r="Q260" s="148"/>
      <c r="R260" s="148"/>
      <c r="S260" s="149"/>
      <c r="T260" s="149"/>
      <c r="U260" s="150"/>
      <c r="V260" s="150"/>
      <c r="W260" s="150"/>
      <c r="X260" s="150"/>
      <c r="Y260" s="150"/>
      <c r="Z260" s="150"/>
      <c r="AA260" s="150"/>
      <c r="AC260" s="214"/>
      <c r="AD260" s="214"/>
      <c r="AE260" s="214"/>
      <c r="AF260" s="214"/>
      <c r="AG260" s="214"/>
      <c r="AH260" s="214"/>
      <c r="AI260" s="214"/>
      <c r="AJ260" s="214"/>
      <c r="AK260" s="214"/>
      <c r="AL260" s="214"/>
      <c r="AM260" s="214"/>
    </row>
    <row r="261" spans="2:39" s="213" customFormat="1">
      <c r="B261" s="225"/>
      <c r="D261" s="910"/>
      <c r="F261" s="242"/>
      <c r="G261" s="243"/>
      <c r="H261" s="243"/>
      <c r="I261" s="243"/>
      <c r="J261" s="243"/>
      <c r="K261" s="243"/>
      <c r="L261" s="243"/>
      <c r="M261" s="459"/>
      <c r="N261" s="242"/>
      <c r="O261" s="141"/>
      <c r="P261" s="141"/>
      <c r="Q261" s="148"/>
      <c r="R261" s="148"/>
      <c r="S261" s="149"/>
      <c r="T261" s="149"/>
      <c r="U261" s="150"/>
      <c r="V261" s="150"/>
      <c r="W261" s="150"/>
      <c r="X261" s="150"/>
      <c r="Y261" s="150"/>
      <c r="Z261" s="150"/>
      <c r="AA261" s="150"/>
      <c r="AC261" s="214"/>
      <c r="AD261" s="214"/>
      <c r="AE261" s="214"/>
      <c r="AF261" s="214"/>
      <c r="AG261" s="214"/>
      <c r="AH261" s="214"/>
      <c r="AI261" s="214"/>
      <c r="AJ261" s="214"/>
      <c r="AK261" s="214"/>
      <c r="AL261" s="214"/>
      <c r="AM261" s="214"/>
    </row>
    <row r="262" spans="2:39" s="213" customFormat="1">
      <c r="B262" s="225"/>
      <c r="D262" s="910"/>
      <c r="F262" s="242"/>
      <c r="G262" s="243"/>
      <c r="H262" s="243"/>
      <c r="I262" s="243"/>
      <c r="J262" s="243"/>
      <c r="K262" s="243"/>
      <c r="L262" s="243"/>
      <c r="M262" s="459"/>
      <c r="N262" s="242"/>
      <c r="O262" s="141"/>
      <c r="P262" s="141"/>
      <c r="Q262" s="148"/>
      <c r="R262" s="148"/>
      <c r="S262" s="149"/>
      <c r="T262" s="149"/>
      <c r="U262" s="150"/>
      <c r="V262" s="150"/>
      <c r="W262" s="150"/>
      <c r="X262" s="150"/>
      <c r="Y262" s="150"/>
      <c r="Z262" s="150"/>
      <c r="AA262" s="150"/>
      <c r="AC262" s="214"/>
      <c r="AD262" s="214"/>
      <c r="AE262" s="214"/>
      <c r="AF262" s="214"/>
      <c r="AG262" s="214"/>
      <c r="AH262" s="214"/>
      <c r="AI262" s="214"/>
      <c r="AJ262" s="214"/>
      <c r="AK262" s="214"/>
      <c r="AL262" s="214"/>
      <c r="AM262" s="214"/>
    </row>
    <row r="263" spans="2:39" s="213" customFormat="1">
      <c r="B263" s="225"/>
      <c r="D263" s="910"/>
      <c r="F263" s="242"/>
      <c r="G263" s="243"/>
      <c r="H263" s="243"/>
      <c r="I263" s="243"/>
      <c r="J263" s="243"/>
      <c r="K263" s="243"/>
      <c r="L263" s="243"/>
      <c r="M263" s="459"/>
      <c r="N263" s="242"/>
      <c r="O263" s="141"/>
      <c r="P263" s="141"/>
      <c r="Q263" s="148"/>
      <c r="R263" s="148"/>
      <c r="S263" s="149"/>
      <c r="T263" s="149"/>
      <c r="U263" s="150"/>
      <c r="V263" s="150"/>
      <c r="W263" s="150"/>
      <c r="X263" s="150"/>
      <c r="Y263" s="150"/>
      <c r="Z263" s="150"/>
      <c r="AA263" s="150"/>
      <c r="AC263" s="214"/>
      <c r="AD263" s="214"/>
      <c r="AE263" s="214"/>
      <c r="AF263" s="214"/>
      <c r="AG263" s="214"/>
      <c r="AH263" s="214"/>
      <c r="AI263" s="214"/>
      <c r="AJ263" s="214"/>
      <c r="AK263" s="214"/>
      <c r="AL263" s="214"/>
      <c r="AM263" s="214"/>
    </row>
    <row r="264" spans="2:39" s="213" customFormat="1">
      <c r="B264" s="225"/>
      <c r="D264" s="910"/>
      <c r="F264" s="242"/>
      <c r="G264" s="243"/>
      <c r="H264" s="243"/>
      <c r="I264" s="243"/>
      <c r="J264" s="243"/>
      <c r="K264" s="243"/>
      <c r="L264" s="243"/>
      <c r="M264" s="459"/>
      <c r="N264" s="242"/>
      <c r="O264" s="141"/>
      <c r="P264" s="141"/>
      <c r="Q264" s="148"/>
      <c r="R264" s="148"/>
      <c r="S264" s="149"/>
      <c r="T264" s="149"/>
      <c r="U264" s="150"/>
      <c r="V264" s="150"/>
      <c r="W264" s="150"/>
      <c r="X264" s="150"/>
      <c r="Y264" s="150"/>
      <c r="Z264" s="150"/>
      <c r="AA264" s="150"/>
      <c r="AC264" s="214"/>
      <c r="AD264" s="214"/>
      <c r="AE264" s="214"/>
      <c r="AF264" s="214"/>
      <c r="AG264" s="214"/>
      <c r="AH264" s="214"/>
      <c r="AI264" s="214"/>
      <c r="AJ264" s="214"/>
      <c r="AK264" s="214"/>
      <c r="AL264" s="214"/>
      <c r="AM264" s="214"/>
    </row>
    <row r="265" spans="2:39" s="213" customFormat="1">
      <c r="B265" s="225"/>
      <c r="D265" s="910"/>
      <c r="F265" s="242"/>
      <c r="G265" s="243"/>
      <c r="H265" s="243"/>
      <c r="I265" s="243"/>
      <c r="J265" s="243"/>
      <c r="K265" s="243"/>
      <c r="L265" s="243"/>
      <c r="M265" s="459"/>
      <c r="N265" s="242"/>
      <c r="O265" s="141"/>
      <c r="P265" s="141"/>
      <c r="Q265" s="148"/>
      <c r="R265" s="148"/>
      <c r="S265" s="149"/>
      <c r="T265" s="149"/>
      <c r="U265" s="150"/>
      <c r="V265" s="150"/>
      <c r="W265" s="150"/>
      <c r="X265" s="150"/>
      <c r="Y265" s="150"/>
      <c r="Z265" s="150"/>
      <c r="AA265" s="150"/>
      <c r="AC265" s="214"/>
      <c r="AD265" s="214"/>
      <c r="AE265" s="214"/>
      <c r="AF265" s="214"/>
      <c r="AG265" s="214"/>
      <c r="AH265" s="214"/>
      <c r="AI265" s="214"/>
      <c r="AJ265" s="214"/>
      <c r="AK265" s="214"/>
      <c r="AL265" s="214"/>
      <c r="AM265" s="214"/>
    </row>
    <row r="266" spans="2:39" s="213" customFormat="1">
      <c r="B266" s="225"/>
      <c r="D266" s="910"/>
      <c r="F266" s="242"/>
      <c r="G266" s="243"/>
      <c r="H266" s="243"/>
      <c r="I266" s="243"/>
      <c r="J266" s="243"/>
      <c r="K266" s="243"/>
      <c r="L266" s="243"/>
      <c r="M266" s="459"/>
      <c r="N266" s="242"/>
      <c r="O266" s="141"/>
      <c r="P266" s="141"/>
      <c r="Q266" s="148"/>
      <c r="R266" s="148"/>
      <c r="S266" s="149"/>
      <c r="T266" s="149"/>
      <c r="U266" s="150"/>
      <c r="V266" s="150"/>
      <c r="W266" s="150"/>
      <c r="X266" s="150"/>
      <c r="Y266" s="150"/>
      <c r="Z266" s="150"/>
      <c r="AA266" s="150"/>
      <c r="AC266" s="214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</row>
    <row r="267" spans="2:39" s="213" customFormat="1">
      <c r="B267" s="225"/>
      <c r="D267" s="910"/>
      <c r="F267" s="242"/>
      <c r="G267" s="243"/>
      <c r="H267" s="243"/>
      <c r="I267" s="243"/>
      <c r="J267" s="243"/>
      <c r="K267" s="243"/>
      <c r="L267" s="243"/>
      <c r="M267" s="459"/>
      <c r="N267" s="242"/>
      <c r="O267" s="141"/>
      <c r="P267" s="141"/>
      <c r="Q267" s="148"/>
      <c r="R267" s="148"/>
      <c r="S267" s="149"/>
      <c r="T267" s="149"/>
      <c r="U267" s="150"/>
      <c r="V267" s="150"/>
      <c r="W267" s="150"/>
      <c r="X267" s="150"/>
      <c r="Y267" s="150"/>
      <c r="Z267" s="150"/>
      <c r="AA267" s="150"/>
      <c r="AC267" s="214"/>
      <c r="AD267" s="214"/>
      <c r="AE267" s="214"/>
      <c r="AF267" s="214"/>
      <c r="AG267" s="214"/>
      <c r="AH267" s="214"/>
      <c r="AI267" s="214"/>
      <c r="AJ267" s="214"/>
      <c r="AK267" s="214"/>
      <c r="AL267" s="214"/>
      <c r="AM267" s="214"/>
    </row>
    <row r="268" spans="2:39" s="213" customFormat="1">
      <c r="B268" s="225"/>
      <c r="D268" s="910"/>
      <c r="F268" s="242"/>
      <c r="G268" s="243"/>
      <c r="H268" s="243"/>
      <c r="I268" s="243"/>
      <c r="J268" s="243"/>
      <c r="K268" s="243"/>
      <c r="L268" s="243"/>
      <c r="M268" s="459"/>
      <c r="N268" s="242"/>
      <c r="O268" s="141"/>
      <c r="P268" s="141"/>
      <c r="Q268" s="148"/>
      <c r="R268" s="148"/>
      <c r="S268" s="149"/>
      <c r="T268" s="149"/>
      <c r="U268" s="150"/>
      <c r="V268" s="150"/>
      <c r="W268" s="150"/>
      <c r="X268" s="150"/>
      <c r="Y268" s="150"/>
      <c r="Z268" s="150"/>
      <c r="AA268" s="150"/>
      <c r="AC268" s="214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</row>
    <row r="269" spans="2:39" s="213" customFormat="1">
      <c r="B269" s="225"/>
      <c r="D269" s="910"/>
      <c r="F269" s="242"/>
      <c r="G269" s="243"/>
      <c r="H269" s="243"/>
      <c r="I269" s="243"/>
      <c r="J269" s="243"/>
      <c r="K269" s="243"/>
      <c r="L269" s="243"/>
      <c r="M269" s="459"/>
      <c r="N269" s="242"/>
      <c r="O269" s="141"/>
      <c r="P269" s="141"/>
      <c r="Q269" s="148"/>
      <c r="R269" s="148"/>
      <c r="S269" s="149"/>
      <c r="T269" s="149"/>
      <c r="U269" s="150"/>
      <c r="V269" s="150"/>
      <c r="W269" s="150"/>
      <c r="X269" s="150"/>
      <c r="Y269" s="150"/>
      <c r="Z269" s="150"/>
      <c r="AA269" s="150"/>
      <c r="AC269" s="214"/>
      <c r="AD269" s="214"/>
      <c r="AE269" s="214"/>
      <c r="AF269" s="214"/>
      <c r="AG269" s="214"/>
      <c r="AH269" s="214"/>
      <c r="AI269" s="214"/>
      <c r="AJ269" s="214"/>
      <c r="AK269" s="214"/>
      <c r="AL269" s="214"/>
      <c r="AM269" s="214"/>
    </row>
    <row r="270" spans="2:39" s="213" customFormat="1">
      <c r="B270" s="225"/>
      <c r="D270" s="910"/>
      <c r="F270" s="242"/>
      <c r="G270" s="243"/>
      <c r="H270" s="243"/>
      <c r="I270" s="243"/>
      <c r="J270" s="243"/>
      <c r="K270" s="243"/>
      <c r="L270" s="243"/>
      <c r="M270" s="459"/>
      <c r="N270" s="242"/>
      <c r="O270" s="141"/>
      <c r="P270" s="141"/>
      <c r="Q270" s="148"/>
      <c r="R270" s="148"/>
      <c r="S270" s="149"/>
      <c r="T270" s="149"/>
      <c r="U270" s="150"/>
      <c r="V270" s="150"/>
      <c r="W270" s="150"/>
      <c r="X270" s="150"/>
      <c r="Y270" s="150"/>
      <c r="Z270" s="150"/>
      <c r="AA270" s="150"/>
      <c r="AC270" s="214"/>
      <c r="AD270" s="214"/>
      <c r="AE270" s="214"/>
      <c r="AF270" s="214"/>
      <c r="AG270" s="214"/>
      <c r="AH270" s="214"/>
      <c r="AI270" s="214"/>
      <c r="AJ270" s="214"/>
      <c r="AK270" s="214"/>
      <c r="AL270" s="214"/>
      <c r="AM270" s="214"/>
    </row>
    <row r="271" spans="2:39" s="213" customFormat="1">
      <c r="B271" s="225"/>
      <c r="D271" s="910"/>
      <c r="F271" s="242"/>
      <c r="G271" s="243"/>
      <c r="H271" s="243"/>
      <c r="I271" s="243"/>
      <c r="J271" s="243"/>
      <c r="K271" s="243"/>
      <c r="L271" s="243"/>
      <c r="M271" s="459"/>
      <c r="N271" s="242"/>
      <c r="O271" s="141"/>
      <c r="P271" s="141"/>
      <c r="Q271" s="148"/>
      <c r="R271" s="148"/>
      <c r="S271" s="149"/>
      <c r="T271" s="149"/>
      <c r="U271" s="150"/>
      <c r="V271" s="150"/>
      <c r="W271" s="150"/>
      <c r="X271" s="150"/>
      <c r="Y271" s="150"/>
      <c r="Z271" s="150"/>
      <c r="AA271" s="150"/>
      <c r="AC271" s="214"/>
      <c r="AD271" s="214"/>
      <c r="AE271" s="214"/>
      <c r="AF271" s="214"/>
      <c r="AG271" s="214"/>
      <c r="AH271" s="214"/>
      <c r="AI271" s="214"/>
      <c r="AJ271" s="214"/>
      <c r="AK271" s="214"/>
      <c r="AL271" s="214"/>
      <c r="AM271" s="214"/>
    </row>
    <row r="272" spans="2:39" s="213" customFormat="1">
      <c r="B272" s="225"/>
      <c r="D272" s="910"/>
      <c r="F272" s="242"/>
      <c r="G272" s="243"/>
      <c r="H272" s="243"/>
      <c r="I272" s="243"/>
      <c r="J272" s="243"/>
      <c r="K272" s="243"/>
      <c r="L272" s="243"/>
      <c r="M272" s="459"/>
      <c r="N272" s="242"/>
      <c r="O272" s="141"/>
      <c r="P272" s="141"/>
      <c r="Q272" s="148"/>
      <c r="R272" s="148"/>
      <c r="S272" s="149"/>
      <c r="T272" s="149"/>
      <c r="U272" s="150"/>
      <c r="V272" s="150"/>
      <c r="W272" s="150"/>
      <c r="X272" s="150"/>
      <c r="Y272" s="150"/>
      <c r="Z272" s="150"/>
      <c r="AA272" s="150"/>
      <c r="AC272" s="214"/>
      <c r="AD272" s="214"/>
      <c r="AE272" s="214"/>
      <c r="AF272" s="214"/>
      <c r="AG272" s="214"/>
      <c r="AH272" s="214"/>
      <c r="AI272" s="214"/>
      <c r="AJ272" s="214"/>
      <c r="AK272" s="214"/>
      <c r="AL272" s="214"/>
      <c r="AM272" s="214"/>
    </row>
    <row r="273" spans="1:40" s="213" customFormat="1">
      <c r="B273" s="225"/>
      <c r="D273" s="910"/>
      <c r="F273" s="242"/>
      <c r="G273" s="243"/>
      <c r="H273" s="243"/>
      <c r="I273" s="243"/>
      <c r="J273" s="243"/>
      <c r="K273" s="243"/>
      <c r="L273" s="243"/>
      <c r="M273" s="459"/>
      <c r="N273" s="242"/>
      <c r="O273" s="141"/>
      <c r="P273" s="141"/>
      <c r="Q273" s="148"/>
      <c r="R273" s="148"/>
      <c r="S273" s="149"/>
      <c r="T273" s="149"/>
      <c r="U273" s="150"/>
      <c r="V273" s="150"/>
      <c r="W273" s="150"/>
      <c r="X273" s="150"/>
      <c r="Y273" s="150"/>
      <c r="Z273" s="150"/>
      <c r="AA273" s="150"/>
      <c r="AC273" s="214"/>
      <c r="AD273" s="214"/>
      <c r="AE273" s="214"/>
      <c r="AF273" s="214"/>
      <c r="AG273" s="214"/>
      <c r="AH273" s="214"/>
      <c r="AI273" s="214"/>
      <c r="AJ273" s="214"/>
      <c r="AK273" s="214"/>
      <c r="AL273" s="214"/>
      <c r="AM273" s="214"/>
    </row>
    <row r="274" spans="1:40" s="213" customFormat="1">
      <c r="B274" s="225"/>
      <c r="D274" s="910"/>
      <c r="F274" s="242"/>
      <c r="G274" s="243"/>
      <c r="H274" s="243"/>
      <c r="I274" s="243"/>
      <c r="J274" s="243"/>
      <c r="K274" s="243"/>
      <c r="L274" s="243"/>
      <c r="M274" s="459"/>
      <c r="N274" s="242"/>
      <c r="O274" s="141"/>
      <c r="P274" s="141"/>
      <c r="Q274" s="148"/>
      <c r="R274" s="148"/>
      <c r="S274" s="149"/>
      <c r="T274" s="149"/>
      <c r="U274" s="150"/>
      <c r="V274" s="150"/>
      <c r="W274" s="150"/>
      <c r="X274" s="150"/>
      <c r="Y274" s="150"/>
      <c r="Z274" s="150"/>
      <c r="AA274" s="150"/>
      <c r="AC274" s="214"/>
      <c r="AD274" s="214"/>
      <c r="AE274" s="214"/>
      <c r="AF274" s="214"/>
      <c r="AG274" s="214"/>
      <c r="AH274" s="214"/>
      <c r="AI274" s="214"/>
      <c r="AJ274" s="214"/>
      <c r="AK274" s="214"/>
      <c r="AL274" s="214"/>
      <c r="AM274" s="214"/>
    </row>
    <row r="275" spans="1:40" s="213" customFormat="1">
      <c r="B275" s="225"/>
      <c r="D275" s="910"/>
      <c r="F275" s="242"/>
      <c r="G275" s="243"/>
      <c r="H275" s="243"/>
      <c r="I275" s="243"/>
      <c r="J275" s="243"/>
      <c r="K275" s="243"/>
      <c r="L275" s="243"/>
      <c r="M275" s="459"/>
      <c r="N275" s="242"/>
      <c r="O275" s="141"/>
      <c r="P275" s="141"/>
      <c r="Q275" s="148"/>
      <c r="R275" s="148"/>
      <c r="S275" s="149"/>
      <c r="T275" s="149"/>
      <c r="U275" s="150"/>
      <c r="V275" s="150"/>
      <c r="W275" s="150"/>
      <c r="X275" s="150"/>
      <c r="Y275" s="150"/>
      <c r="Z275" s="150"/>
      <c r="AA275" s="150"/>
      <c r="AC275" s="214"/>
      <c r="AD275" s="214"/>
      <c r="AE275" s="214"/>
      <c r="AF275" s="214"/>
      <c r="AG275" s="214"/>
      <c r="AH275" s="214"/>
      <c r="AI275" s="214"/>
      <c r="AJ275" s="214"/>
      <c r="AK275" s="214"/>
      <c r="AL275" s="214"/>
      <c r="AM275" s="214"/>
    </row>
    <row r="276" spans="1:40" s="213" customFormat="1">
      <c r="B276" s="225"/>
      <c r="D276" s="910"/>
      <c r="F276" s="242"/>
      <c r="G276" s="243"/>
      <c r="H276" s="243"/>
      <c r="I276" s="243"/>
      <c r="J276" s="243"/>
      <c r="K276" s="243"/>
      <c r="L276" s="243"/>
      <c r="M276" s="459"/>
      <c r="N276" s="242"/>
      <c r="O276" s="141"/>
      <c r="P276" s="141"/>
      <c r="Q276" s="148"/>
      <c r="R276" s="148"/>
      <c r="S276" s="149"/>
      <c r="T276" s="149"/>
      <c r="U276" s="150"/>
      <c r="V276" s="150"/>
      <c r="W276" s="150"/>
      <c r="X276" s="150"/>
      <c r="Y276" s="150"/>
      <c r="Z276" s="150"/>
      <c r="AA276" s="150"/>
      <c r="AC276" s="214"/>
      <c r="AD276" s="214"/>
      <c r="AE276" s="214"/>
      <c r="AF276" s="214"/>
      <c r="AG276" s="214"/>
      <c r="AH276" s="214"/>
      <c r="AI276" s="214"/>
      <c r="AJ276" s="214"/>
      <c r="AK276" s="214"/>
      <c r="AL276" s="214"/>
      <c r="AM276" s="214"/>
    </row>
    <row r="277" spans="1:40">
      <c r="A277" s="204"/>
      <c r="O277" s="155"/>
      <c r="P277" s="155"/>
      <c r="Q277" s="156"/>
      <c r="R277" s="156"/>
      <c r="S277" s="251"/>
      <c r="T277" s="251"/>
      <c r="U277" s="252"/>
      <c r="V277" s="252"/>
      <c r="W277" s="252"/>
      <c r="X277" s="252"/>
      <c r="Y277" s="252"/>
      <c r="Z277" s="252"/>
      <c r="AA277" s="252"/>
      <c r="AN277" s="204"/>
    </row>
    <row r="278" spans="1:40">
      <c r="A278" s="204"/>
      <c r="O278" s="155"/>
      <c r="P278" s="155"/>
      <c r="Q278" s="156"/>
      <c r="R278" s="156"/>
      <c r="S278" s="251"/>
      <c r="T278" s="251"/>
      <c r="U278" s="252"/>
      <c r="V278" s="252"/>
      <c r="W278" s="252"/>
      <c r="X278" s="252"/>
      <c r="Y278" s="252"/>
      <c r="Z278" s="252"/>
      <c r="AA278" s="252"/>
      <c r="AN278" s="204"/>
    </row>
    <row r="279" spans="1:40">
      <c r="A279" s="204"/>
      <c r="O279" s="155"/>
      <c r="P279" s="155"/>
      <c r="Q279" s="156"/>
      <c r="R279" s="156"/>
      <c r="S279" s="251"/>
      <c r="T279" s="251"/>
      <c r="U279" s="252"/>
      <c r="V279" s="252"/>
      <c r="W279" s="252"/>
      <c r="X279" s="252"/>
      <c r="Y279" s="252"/>
      <c r="Z279" s="252"/>
      <c r="AA279" s="252"/>
      <c r="AN279" s="204"/>
    </row>
    <row r="280" spans="1:40">
      <c r="A280" s="204"/>
      <c r="O280" s="155"/>
      <c r="P280" s="155"/>
      <c r="Q280" s="156"/>
      <c r="R280" s="156"/>
      <c r="S280" s="251"/>
      <c r="T280" s="251"/>
      <c r="U280" s="252"/>
      <c r="V280" s="252"/>
      <c r="W280" s="252"/>
      <c r="X280" s="252"/>
      <c r="Y280" s="252"/>
      <c r="Z280" s="252"/>
      <c r="AA280" s="252"/>
      <c r="AN280" s="204"/>
    </row>
    <row r="281" spans="1:40">
      <c r="A281" s="204"/>
      <c r="O281" s="155"/>
      <c r="P281" s="155"/>
      <c r="Q281" s="156"/>
      <c r="R281" s="156"/>
      <c r="S281" s="251"/>
      <c r="T281" s="251"/>
      <c r="U281" s="252"/>
      <c r="V281" s="252"/>
      <c r="W281" s="252"/>
      <c r="X281" s="252"/>
      <c r="Y281" s="252"/>
      <c r="Z281" s="252"/>
      <c r="AA281" s="252"/>
      <c r="AN281" s="204"/>
    </row>
    <row r="282" spans="1:40">
      <c r="A282" s="204"/>
      <c r="O282" s="155"/>
      <c r="P282" s="155"/>
      <c r="Q282" s="156"/>
      <c r="R282" s="156"/>
      <c r="S282" s="251"/>
      <c r="T282" s="251"/>
      <c r="U282" s="252"/>
      <c r="V282" s="252"/>
      <c r="W282" s="252"/>
      <c r="X282" s="252"/>
      <c r="Y282" s="252"/>
      <c r="Z282" s="252"/>
      <c r="AA282" s="252"/>
      <c r="AN282" s="204"/>
    </row>
    <row r="283" spans="1:40">
      <c r="A283" s="204"/>
      <c r="O283" s="155"/>
      <c r="P283" s="155"/>
      <c r="Q283" s="156"/>
      <c r="R283" s="156"/>
      <c r="S283" s="251"/>
      <c r="T283" s="251"/>
      <c r="U283" s="252"/>
      <c r="V283" s="252"/>
      <c r="W283" s="252"/>
      <c r="X283" s="252"/>
      <c r="Y283" s="252"/>
      <c r="Z283" s="252"/>
      <c r="AA283" s="252"/>
      <c r="AN283" s="204"/>
    </row>
    <row r="284" spans="1:40">
      <c r="A284" s="204"/>
      <c r="O284" s="155"/>
      <c r="P284" s="155"/>
      <c r="Q284" s="156"/>
      <c r="R284" s="156"/>
      <c r="S284" s="251"/>
      <c r="T284" s="251"/>
      <c r="U284" s="252"/>
      <c r="V284" s="252"/>
      <c r="W284" s="252"/>
      <c r="X284" s="252"/>
      <c r="Y284" s="252"/>
      <c r="Z284" s="252"/>
      <c r="AA284" s="252"/>
      <c r="AN284" s="204"/>
    </row>
    <row r="285" spans="1:40">
      <c r="A285" s="204"/>
      <c r="O285" s="155"/>
      <c r="P285" s="155"/>
      <c r="Q285" s="156"/>
      <c r="R285" s="156"/>
      <c r="S285" s="251"/>
      <c r="T285" s="251"/>
      <c r="U285" s="252"/>
      <c r="V285" s="252"/>
      <c r="W285" s="252"/>
      <c r="X285" s="252"/>
      <c r="Y285" s="252"/>
      <c r="Z285" s="252"/>
      <c r="AA285" s="252"/>
      <c r="AN285" s="204"/>
    </row>
    <row r="286" spans="1:40">
      <c r="A286" s="204"/>
      <c r="B286" s="204"/>
      <c r="D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155"/>
      <c r="P286" s="155"/>
      <c r="Q286" s="156"/>
      <c r="R286" s="156"/>
      <c r="S286" s="251"/>
      <c r="T286" s="251"/>
      <c r="U286" s="252"/>
      <c r="V286" s="252"/>
      <c r="W286" s="252"/>
      <c r="X286" s="252"/>
      <c r="Y286" s="252"/>
      <c r="Z286" s="252"/>
      <c r="AA286" s="252"/>
      <c r="AB286" s="204"/>
      <c r="AC286" s="204"/>
      <c r="AD286" s="204"/>
      <c r="AE286" s="204"/>
      <c r="AF286" s="204"/>
      <c r="AG286" s="204"/>
      <c r="AH286" s="204"/>
      <c r="AI286" s="204"/>
      <c r="AJ286" s="204"/>
      <c r="AK286" s="204"/>
      <c r="AL286" s="204"/>
      <c r="AM286" s="204"/>
      <c r="AN286" s="204"/>
    </row>
    <row r="287" spans="1:40">
      <c r="A287" s="204"/>
      <c r="B287" s="204"/>
      <c r="D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155"/>
      <c r="P287" s="155"/>
      <c r="Q287" s="156"/>
      <c r="R287" s="156"/>
      <c r="S287" s="251"/>
      <c r="T287" s="251"/>
      <c r="U287" s="252"/>
      <c r="V287" s="252"/>
      <c r="W287" s="252"/>
      <c r="X287" s="252"/>
      <c r="Y287" s="252"/>
      <c r="Z287" s="252"/>
      <c r="AA287" s="252"/>
      <c r="AB287" s="204"/>
      <c r="AC287" s="204"/>
      <c r="AD287" s="204"/>
      <c r="AE287" s="204"/>
      <c r="AF287" s="204"/>
      <c r="AG287" s="204"/>
      <c r="AH287" s="204"/>
      <c r="AI287" s="204"/>
      <c r="AJ287" s="204"/>
      <c r="AK287" s="204"/>
      <c r="AL287" s="204"/>
      <c r="AM287" s="204"/>
      <c r="AN287" s="204"/>
    </row>
    <row r="288" spans="1:40">
      <c r="A288" s="204"/>
      <c r="B288" s="204"/>
      <c r="D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155"/>
      <c r="P288" s="155"/>
      <c r="Q288" s="156"/>
      <c r="R288" s="156"/>
      <c r="S288" s="251"/>
      <c r="T288" s="251"/>
      <c r="U288" s="252"/>
      <c r="V288" s="252"/>
      <c r="W288" s="252"/>
      <c r="X288" s="252"/>
      <c r="Y288" s="252"/>
      <c r="Z288" s="252"/>
      <c r="AA288" s="252"/>
      <c r="AB288" s="204"/>
      <c r="AC288" s="204"/>
      <c r="AD288" s="204"/>
      <c r="AE288" s="204"/>
      <c r="AF288" s="204"/>
      <c r="AG288" s="204"/>
      <c r="AH288" s="204"/>
      <c r="AI288" s="204"/>
      <c r="AJ288" s="204"/>
      <c r="AK288" s="204"/>
      <c r="AL288" s="204"/>
      <c r="AM288" s="204"/>
      <c r="AN288" s="204"/>
    </row>
    <row r="289" spans="1:40">
      <c r="A289" s="204"/>
      <c r="B289" s="204"/>
      <c r="D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155"/>
      <c r="P289" s="155"/>
      <c r="Q289" s="156"/>
      <c r="R289" s="156"/>
      <c r="S289" s="251"/>
      <c r="T289" s="251"/>
      <c r="U289" s="252"/>
      <c r="V289" s="252"/>
      <c r="W289" s="252"/>
      <c r="X289" s="252"/>
      <c r="Y289" s="252"/>
      <c r="Z289" s="252"/>
      <c r="AA289" s="252"/>
      <c r="AB289" s="204"/>
      <c r="AC289" s="204"/>
      <c r="AD289" s="204"/>
      <c r="AE289" s="204"/>
      <c r="AF289" s="204"/>
      <c r="AG289" s="204"/>
      <c r="AH289" s="204"/>
      <c r="AI289" s="204"/>
      <c r="AJ289" s="204"/>
      <c r="AK289" s="204"/>
      <c r="AL289" s="204"/>
      <c r="AM289" s="204"/>
      <c r="AN289" s="204"/>
    </row>
  </sheetData>
  <mergeCells count="2">
    <mergeCell ref="Q89:S89"/>
    <mergeCell ref="Q97:S97"/>
  </mergeCells>
  <conditionalFormatting sqref="K88:K91">
    <cfRule type="cellIs" dxfId="46" priority="6" stopIfTrue="1" operator="equal">
      <formula>1</formula>
    </cfRule>
  </conditionalFormatting>
  <conditionalFormatting sqref="K92:K94">
    <cfRule type="cellIs" dxfId="45" priority="5" stopIfTrue="1" operator="equal">
      <formula>1</formula>
    </cfRule>
  </conditionalFormatting>
  <conditionalFormatting sqref="K95">
    <cfRule type="cellIs" dxfId="44" priority="3" stopIfTrue="1" operator="equal">
      <formula>1</formula>
    </cfRule>
  </conditionalFormatting>
  <conditionalFormatting sqref="K96">
    <cfRule type="cellIs" dxfId="43" priority="2" stopIfTrue="1" operator="equal">
      <formula>1</formula>
    </cfRule>
  </conditionalFormatting>
  <conditionalFormatting sqref="K97">
    <cfRule type="cellIs" dxfId="42" priority="1" stopIfTrue="1" operator="equal">
      <formula>1</formula>
    </cfRule>
  </conditionalFormatting>
  <pageMargins left="0" right="0" top="0" bottom="0" header="0" footer="0"/>
  <pageSetup paperSize="9" scale="90" fitToHeight="2" orientation="landscape" horizontalDpi="0" verticalDpi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9CAD4-8E13-834B-B8C2-3639487A1189}">
  <sheetPr codeName="Hoja70"/>
  <dimension ref="A1:AI47"/>
  <sheetViews>
    <sheetView topLeftCell="H1" zoomScale="96" zoomScaleNormal="96" workbookViewId="0">
      <selection activeCell="U33" sqref="U33:AI34"/>
    </sheetView>
  </sheetViews>
  <sheetFormatPr baseColWidth="10" defaultRowHeight="13"/>
  <cols>
    <col min="1" max="1" width="2.5" customWidth="1"/>
    <col min="2" max="11" width="7.33203125" customWidth="1"/>
    <col min="12" max="12" width="8.5" customWidth="1"/>
    <col min="13" max="18" width="7.33203125" customWidth="1"/>
    <col min="19" max="19" width="12" customWidth="1"/>
    <col min="20" max="20" width="1.83203125" customWidth="1"/>
    <col min="21" max="21" width="0.6640625" customWidth="1"/>
    <col min="22" max="22" width="4.33203125" customWidth="1"/>
    <col min="23" max="24" width="5" customWidth="1"/>
    <col min="25" max="25" width="10.83203125" customWidth="1"/>
    <col min="26" max="26" width="8.33203125" customWidth="1"/>
    <col min="28" max="28" width="27.33203125" customWidth="1"/>
    <col min="29" max="29" width="9" customWidth="1"/>
    <col min="30" max="30" width="1.33203125" customWidth="1"/>
  </cols>
  <sheetData>
    <row r="1" spans="1:20" ht="14" thickBot="1">
      <c r="A1" s="3290"/>
      <c r="B1" s="3290"/>
      <c r="C1" s="3290"/>
      <c r="D1" s="3290"/>
      <c r="E1" s="3290"/>
      <c r="F1" s="3290"/>
      <c r="G1" s="3290"/>
      <c r="H1" s="3290"/>
      <c r="I1" s="3290"/>
      <c r="J1" s="3290"/>
      <c r="K1" s="3290"/>
      <c r="L1" s="3290"/>
      <c r="M1" s="3290"/>
      <c r="N1" s="3290"/>
      <c r="O1" s="3290"/>
      <c r="P1" s="3290"/>
      <c r="Q1" s="3290"/>
      <c r="R1" s="3290"/>
      <c r="S1" s="3290"/>
      <c r="T1" s="3290"/>
    </row>
    <row r="2" spans="1:20">
      <c r="A2" s="3290"/>
      <c r="B2" s="8057" t="s">
        <v>1841</v>
      </c>
      <c r="C2" s="8058"/>
      <c r="D2" s="8058"/>
      <c r="E2" s="8058"/>
      <c r="F2" s="8058"/>
      <c r="G2" s="8058"/>
      <c r="H2" s="8058"/>
      <c r="I2" s="8058"/>
      <c r="J2" s="8058"/>
      <c r="K2" s="8058"/>
      <c r="L2" s="8058"/>
      <c r="M2" s="8058"/>
      <c r="N2" s="8058"/>
      <c r="O2" s="8058"/>
      <c r="P2" s="8058"/>
      <c r="Q2" s="8058"/>
      <c r="R2" s="8058"/>
      <c r="S2" s="8059"/>
      <c r="T2" s="3290"/>
    </row>
    <row r="3" spans="1:20">
      <c r="A3" s="3290"/>
      <c r="B3" s="4065" t="s">
        <v>1629</v>
      </c>
      <c r="C3" s="8063" t="s">
        <v>1835</v>
      </c>
      <c r="D3" s="8064"/>
      <c r="E3" s="8037" t="s">
        <v>1836</v>
      </c>
      <c r="F3" s="8038"/>
      <c r="G3" s="8038"/>
      <c r="H3" s="8039"/>
      <c r="I3" s="8040" t="s">
        <v>1837</v>
      </c>
      <c r="J3" s="8041"/>
      <c r="K3" s="8042"/>
      <c r="L3" s="8043" t="s">
        <v>1838</v>
      </c>
      <c r="M3" s="8044"/>
      <c r="N3" s="8044"/>
      <c r="O3" s="8044"/>
      <c r="P3" s="8044"/>
      <c r="Q3" s="8045"/>
      <c r="R3" s="4066" t="s">
        <v>1839</v>
      </c>
      <c r="S3" s="4067"/>
      <c r="T3" s="3290"/>
    </row>
    <row r="4" spans="1:20">
      <c r="A4" s="3290"/>
      <c r="B4" s="4068">
        <v>15</v>
      </c>
      <c r="C4" s="4069">
        <v>20</v>
      </c>
      <c r="D4" s="4069">
        <v>25</v>
      </c>
      <c r="E4" s="4069">
        <v>30</v>
      </c>
      <c r="F4" s="4069">
        <v>35</v>
      </c>
      <c r="G4" s="4069">
        <v>40</v>
      </c>
      <c r="H4" s="4069">
        <v>45</v>
      </c>
      <c r="I4" s="4069">
        <v>50</v>
      </c>
      <c r="J4" s="4069">
        <v>60</v>
      </c>
      <c r="K4" s="4069">
        <v>65</v>
      </c>
      <c r="L4" s="4069">
        <v>70</v>
      </c>
      <c r="M4" s="4069">
        <v>75</v>
      </c>
      <c r="N4" s="4069">
        <v>80</v>
      </c>
      <c r="O4" s="4069">
        <v>85</v>
      </c>
      <c r="P4" s="4069">
        <v>90</v>
      </c>
      <c r="Q4" s="4069">
        <v>95</v>
      </c>
      <c r="R4" s="4069">
        <v>100</v>
      </c>
      <c r="S4" s="4070" t="s">
        <v>1840</v>
      </c>
      <c r="T4" s="3290"/>
    </row>
    <row r="5" spans="1:20" ht="13" customHeight="1" thickBot="1">
      <c r="A5" s="3290"/>
      <c r="B5" s="4071">
        <v>7</v>
      </c>
      <c r="C5" s="4053">
        <v>3</v>
      </c>
      <c r="D5" s="4053">
        <v>3</v>
      </c>
      <c r="E5" s="4053">
        <v>3</v>
      </c>
      <c r="F5" s="4053">
        <v>3</v>
      </c>
      <c r="G5" s="4053">
        <v>3</v>
      </c>
      <c r="H5" s="4053">
        <v>3</v>
      </c>
      <c r="I5" s="4053">
        <v>3</v>
      </c>
      <c r="J5" s="4053">
        <v>6</v>
      </c>
      <c r="K5" s="4053">
        <v>3</v>
      </c>
      <c r="L5" s="4053">
        <v>3</v>
      </c>
      <c r="M5" s="4053">
        <v>3</v>
      </c>
      <c r="N5" s="4053">
        <v>3</v>
      </c>
      <c r="O5" s="4053">
        <v>3</v>
      </c>
      <c r="P5" s="4053">
        <v>3</v>
      </c>
      <c r="Q5" s="4053">
        <v>3</v>
      </c>
      <c r="R5" s="4053">
        <v>2.7</v>
      </c>
      <c r="S5" s="4072"/>
      <c r="T5" s="3290"/>
    </row>
    <row r="6" spans="1:20" ht="15" customHeight="1" thickBot="1">
      <c r="A6" s="3290"/>
      <c r="B6" s="4058">
        <f>B5</f>
        <v>7</v>
      </c>
      <c r="C6" s="4059"/>
      <c r="D6" s="4060">
        <f>SUM(B5:D5)</f>
        <v>13</v>
      </c>
      <c r="E6" s="4059"/>
      <c r="F6" s="4061"/>
      <c r="G6" s="4061"/>
      <c r="H6" s="4060">
        <f>SUM(B5:H5)</f>
        <v>25</v>
      </c>
      <c r="I6" s="4059"/>
      <c r="J6" s="4061"/>
      <c r="K6" s="4060">
        <f>SUM(B5:K5)</f>
        <v>37</v>
      </c>
      <c r="L6" s="973"/>
      <c r="M6" s="973"/>
      <c r="N6" s="4061"/>
      <c r="O6" s="4061"/>
      <c r="P6" s="4061"/>
      <c r="Q6" s="4060">
        <f>SUM(B5:Q5)</f>
        <v>55</v>
      </c>
      <c r="R6" s="4058">
        <f>R5+Q6</f>
        <v>57.7</v>
      </c>
      <c r="S6" s="4073"/>
      <c r="T6" s="3290"/>
    </row>
    <row r="7" spans="1:20">
      <c r="A7" s="3290"/>
      <c r="B7" s="4074">
        <f>B6</f>
        <v>7</v>
      </c>
      <c r="C7" s="8046">
        <f>D6-B6</f>
        <v>6</v>
      </c>
      <c r="D7" s="8047"/>
      <c r="E7" s="8048">
        <f>H6-D6</f>
        <v>12</v>
      </c>
      <c r="F7" s="8049"/>
      <c r="G7" s="8049"/>
      <c r="H7" s="8050"/>
      <c r="I7" s="8051">
        <f>K6-H6</f>
        <v>12</v>
      </c>
      <c r="J7" s="8052"/>
      <c r="K7" s="8053"/>
      <c r="L7" s="8054">
        <f>Q6-K6</f>
        <v>18</v>
      </c>
      <c r="M7" s="8055"/>
      <c r="N7" s="8055"/>
      <c r="O7" s="8055"/>
      <c r="P7" s="8055"/>
      <c r="Q7" s="8056"/>
      <c r="R7" s="4054">
        <f>R6-Q6</f>
        <v>2.7000000000000028</v>
      </c>
      <c r="S7" s="4072"/>
      <c r="T7" s="3290"/>
    </row>
    <row r="8" spans="1:20" ht="3" customHeight="1" thickBot="1">
      <c r="A8" s="3290"/>
      <c r="B8" s="4071">
        <v>7</v>
      </c>
      <c r="C8" s="4053">
        <v>3</v>
      </c>
      <c r="D8" s="4053">
        <v>3</v>
      </c>
      <c r="E8" s="4053">
        <v>3</v>
      </c>
      <c r="F8" s="4053">
        <v>3</v>
      </c>
      <c r="G8" s="4053">
        <v>3</v>
      </c>
      <c r="H8" s="4053">
        <v>3</v>
      </c>
      <c r="I8" s="4053">
        <v>3</v>
      </c>
      <c r="J8" s="4053">
        <v>6</v>
      </c>
      <c r="K8" s="4053">
        <v>3</v>
      </c>
      <c r="L8" s="4053">
        <v>3</v>
      </c>
      <c r="M8" s="4053">
        <v>3</v>
      </c>
      <c r="N8" s="4053">
        <v>3</v>
      </c>
      <c r="O8" s="4053">
        <v>3</v>
      </c>
      <c r="P8" s="4053">
        <v>3</v>
      </c>
      <c r="Q8" s="4053">
        <v>3</v>
      </c>
      <c r="R8" s="4053">
        <v>2.7</v>
      </c>
      <c r="S8" s="4075">
        <v>100</v>
      </c>
      <c r="T8" s="3290"/>
    </row>
    <row r="9" spans="1:20" ht="14" thickBot="1">
      <c r="A9" s="3290"/>
      <c r="B9" s="4056">
        <f>B8</f>
        <v>7</v>
      </c>
      <c r="C9" s="4057">
        <f>B8+C8</f>
        <v>10</v>
      </c>
      <c r="D9" s="4062">
        <f>C9+D8</f>
        <v>13</v>
      </c>
      <c r="E9" s="4057">
        <f t="shared" ref="E9:R9" si="0">D9+E8</f>
        <v>16</v>
      </c>
      <c r="F9" s="4057">
        <f t="shared" si="0"/>
        <v>19</v>
      </c>
      <c r="G9" s="4057">
        <f t="shared" si="0"/>
        <v>22</v>
      </c>
      <c r="H9" s="4057">
        <f t="shared" si="0"/>
        <v>25</v>
      </c>
      <c r="I9" s="4062">
        <f t="shared" si="0"/>
        <v>28</v>
      </c>
      <c r="J9" s="4057">
        <f t="shared" si="0"/>
        <v>34</v>
      </c>
      <c r="K9" s="4057">
        <f t="shared" si="0"/>
        <v>37</v>
      </c>
      <c r="L9" s="4057">
        <f t="shared" si="0"/>
        <v>40</v>
      </c>
      <c r="M9" s="4062">
        <f t="shared" si="0"/>
        <v>43</v>
      </c>
      <c r="N9" s="4057">
        <f t="shared" si="0"/>
        <v>46</v>
      </c>
      <c r="O9" s="4057">
        <f t="shared" si="0"/>
        <v>49</v>
      </c>
      <c r="P9" s="4057">
        <f t="shared" si="0"/>
        <v>52</v>
      </c>
      <c r="Q9" s="4063">
        <f t="shared" si="0"/>
        <v>55</v>
      </c>
      <c r="R9" s="4055">
        <f t="shared" si="0"/>
        <v>57.7</v>
      </c>
      <c r="S9" s="4076">
        <v>6.6782407407407404E-4</v>
      </c>
      <c r="T9" s="3290"/>
    </row>
    <row r="10" spans="1:20">
      <c r="A10" s="3290"/>
      <c r="B10" s="8060" t="s">
        <v>1844</v>
      </c>
      <c r="C10" s="8061"/>
      <c r="D10" s="8061"/>
      <c r="E10" s="8061"/>
      <c r="F10" s="8061"/>
      <c r="G10" s="8061"/>
      <c r="H10" s="8061"/>
      <c r="I10" s="8061"/>
      <c r="J10" s="8061"/>
      <c r="K10" s="8061" t="s">
        <v>1842</v>
      </c>
      <c r="L10" s="8061"/>
      <c r="M10" s="8061"/>
      <c r="N10" s="8061"/>
      <c r="O10" s="8061"/>
      <c r="P10" s="8061"/>
      <c r="Q10" s="8061"/>
      <c r="R10" s="8061"/>
      <c r="S10" s="8062"/>
      <c r="T10" s="3290"/>
    </row>
    <row r="11" spans="1:20">
      <c r="A11" s="3290"/>
      <c r="B11" s="4065" t="s">
        <v>1629</v>
      </c>
      <c r="C11" s="8063" t="s">
        <v>1835</v>
      </c>
      <c r="D11" s="8064"/>
      <c r="E11" s="8037" t="s">
        <v>1836</v>
      </c>
      <c r="F11" s="8038"/>
      <c r="G11" s="8038"/>
      <c r="H11" s="8039"/>
      <c r="I11" s="8040" t="s">
        <v>1837</v>
      </c>
      <c r="J11" s="8041"/>
      <c r="K11" s="8042"/>
      <c r="L11" s="8043" t="s">
        <v>1838</v>
      </c>
      <c r="M11" s="8044"/>
      <c r="N11" s="8044"/>
      <c r="O11" s="8044"/>
      <c r="P11" s="8044"/>
      <c r="Q11" s="8045"/>
      <c r="R11" s="4066" t="s">
        <v>1839</v>
      </c>
      <c r="S11" s="4067"/>
      <c r="T11" s="3290"/>
    </row>
    <row r="12" spans="1:20">
      <c r="A12" s="3290"/>
      <c r="B12" s="4068">
        <v>15</v>
      </c>
      <c r="C12" s="4069">
        <v>20</v>
      </c>
      <c r="D12" s="4069">
        <v>25</v>
      </c>
      <c r="E12" s="4069">
        <v>30</v>
      </c>
      <c r="F12" s="4069">
        <v>35</v>
      </c>
      <c r="G12" s="4069">
        <v>40</v>
      </c>
      <c r="H12" s="4069">
        <v>45</v>
      </c>
      <c r="I12" s="4069">
        <v>50</v>
      </c>
      <c r="J12" s="4069">
        <v>60</v>
      </c>
      <c r="K12" s="4069">
        <v>65</v>
      </c>
      <c r="L12" s="4069">
        <v>70</v>
      </c>
      <c r="M12" s="4069">
        <v>75</v>
      </c>
      <c r="N12" s="4069">
        <v>80</v>
      </c>
      <c r="O12" s="4069">
        <v>85</v>
      </c>
      <c r="P12" s="4069">
        <v>90</v>
      </c>
      <c r="Q12" s="4069">
        <v>95</v>
      </c>
      <c r="R12" s="4069">
        <v>100</v>
      </c>
      <c r="S12" s="4070" t="s">
        <v>1840</v>
      </c>
      <c r="T12" s="3290"/>
    </row>
    <row r="13" spans="1:20" ht="13" customHeight="1" thickBot="1">
      <c r="A13" s="3290"/>
      <c r="B13" s="4071">
        <v>6.92</v>
      </c>
      <c r="C13" s="4053">
        <v>2.84</v>
      </c>
      <c r="D13" s="4053">
        <v>2.94</v>
      </c>
      <c r="E13" s="4053">
        <v>3</v>
      </c>
      <c r="F13" s="4053">
        <v>3.1</v>
      </c>
      <c r="G13" s="4053">
        <v>3.2</v>
      </c>
      <c r="H13" s="4053">
        <v>3.06</v>
      </c>
      <c r="I13" s="4053">
        <v>3.28</v>
      </c>
      <c r="J13" s="4053">
        <v>5.65</v>
      </c>
      <c r="K13" s="4053">
        <v>3.21</v>
      </c>
      <c r="L13" s="4053">
        <v>3.21</v>
      </c>
      <c r="M13" s="4053">
        <v>3.28</v>
      </c>
      <c r="N13" s="4053">
        <v>3.38</v>
      </c>
      <c r="O13" s="4053">
        <v>3.4</v>
      </c>
      <c r="P13" s="4053">
        <v>3.44</v>
      </c>
      <c r="Q13" s="4053">
        <v>3.45</v>
      </c>
      <c r="R13" s="4053">
        <v>3.74</v>
      </c>
      <c r="S13" s="4072"/>
      <c r="T13" s="3290"/>
    </row>
    <row r="14" spans="1:20" ht="15" customHeight="1" thickBot="1">
      <c r="A14" s="3290"/>
      <c r="B14" s="4058">
        <f>B13</f>
        <v>6.92</v>
      </c>
      <c r="C14" s="4059"/>
      <c r="D14" s="4060">
        <f>SUM(B13:D13)</f>
        <v>12.7</v>
      </c>
      <c r="E14" s="4059"/>
      <c r="F14" s="4061"/>
      <c r="G14" s="4061"/>
      <c r="H14" s="4060">
        <f>SUM(B13:H13)</f>
        <v>25.06</v>
      </c>
      <c r="I14" s="4059"/>
      <c r="J14" s="4061"/>
      <c r="K14" s="4060">
        <f>SUM(B13:K13)</f>
        <v>37.200000000000003</v>
      </c>
      <c r="L14" s="973"/>
      <c r="M14" s="973"/>
      <c r="N14" s="4061"/>
      <c r="O14" s="4061"/>
      <c r="P14" s="4061"/>
      <c r="Q14" s="4060">
        <f>SUM(B13:Q13)</f>
        <v>57.360000000000007</v>
      </c>
      <c r="R14" s="4058">
        <f>Q14+R13</f>
        <v>61.100000000000009</v>
      </c>
      <c r="S14" s="4073"/>
      <c r="T14" s="3290"/>
    </row>
    <row r="15" spans="1:20">
      <c r="A15" s="3290"/>
      <c r="B15" s="4074">
        <f>B14</f>
        <v>6.92</v>
      </c>
      <c r="C15" s="8046">
        <f>D14-B14</f>
        <v>5.7799999999999994</v>
      </c>
      <c r="D15" s="8047"/>
      <c r="E15" s="8048">
        <f>H14-D14</f>
        <v>12.36</v>
      </c>
      <c r="F15" s="8049"/>
      <c r="G15" s="8049"/>
      <c r="H15" s="8050"/>
      <c r="I15" s="8051">
        <f>K14-H14</f>
        <v>12.140000000000004</v>
      </c>
      <c r="J15" s="8052"/>
      <c r="K15" s="8053"/>
      <c r="L15" s="8054">
        <f>Q14-K14</f>
        <v>20.160000000000004</v>
      </c>
      <c r="M15" s="8055"/>
      <c r="N15" s="8055"/>
      <c r="O15" s="8055"/>
      <c r="P15" s="8055"/>
      <c r="Q15" s="8056"/>
      <c r="R15" s="4054">
        <f>R14-Q14</f>
        <v>3.740000000000002</v>
      </c>
      <c r="S15" s="4072"/>
      <c r="T15" s="3290"/>
    </row>
    <row r="16" spans="1:20" ht="3" customHeight="1" thickBot="1">
      <c r="A16" s="3290"/>
      <c r="B16" s="4071">
        <v>6.92</v>
      </c>
      <c r="C16" s="4053">
        <v>2.84</v>
      </c>
      <c r="D16" s="4053">
        <v>2.94</v>
      </c>
      <c r="E16" s="4053">
        <v>3</v>
      </c>
      <c r="F16" s="4053">
        <v>3.1</v>
      </c>
      <c r="G16" s="4053">
        <v>3.2</v>
      </c>
      <c r="H16" s="4053">
        <v>3.06</v>
      </c>
      <c r="I16" s="4053">
        <v>3.28</v>
      </c>
      <c r="J16" s="4053">
        <v>5.65</v>
      </c>
      <c r="K16" s="4053">
        <v>3.21</v>
      </c>
      <c r="L16" s="4053">
        <v>3.21</v>
      </c>
      <c r="M16" s="4053">
        <v>3.28</v>
      </c>
      <c r="N16" s="4053">
        <v>3.38</v>
      </c>
      <c r="O16" s="4053">
        <v>3.4</v>
      </c>
      <c r="P16" s="4053">
        <v>3.44</v>
      </c>
      <c r="Q16" s="4053">
        <v>3.49</v>
      </c>
      <c r="R16" s="4053">
        <v>2.7</v>
      </c>
      <c r="S16" s="4075">
        <v>100</v>
      </c>
      <c r="T16" s="3290"/>
    </row>
    <row r="17" spans="1:35" ht="14" thickBot="1">
      <c r="A17" s="3290"/>
      <c r="B17" s="4056">
        <f>B16</f>
        <v>6.92</v>
      </c>
      <c r="C17" s="4057">
        <f>B16+C16</f>
        <v>9.76</v>
      </c>
      <c r="D17" s="4062">
        <f>C17+D16</f>
        <v>12.7</v>
      </c>
      <c r="E17" s="4057">
        <f t="shared" ref="E17" si="1">D17+E16</f>
        <v>15.7</v>
      </c>
      <c r="F17" s="4057">
        <f t="shared" ref="F17" si="2">E17+F16</f>
        <v>18.8</v>
      </c>
      <c r="G17" s="4057">
        <f t="shared" ref="G17" si="3">F17+G16</f>
        <v>22</v>
      </c>
      <c r="H17" s="4057">
        <f t="shared" ref="H17" si="4">G17+H16</f>
        <v>25.06</v>
      </c>
      <c r="I17" s="4062">
        <f t="shared" ref="I17" si="5">H17+I16</f>
        <v>28.34</v>
      </c>
      <c r="J17" s="4057">
        <f t="shared" ref="J17" si="6">I17+J16</f>
        <v>33.99</v>
      </c>
      <c r="K17" s="4057">
        <f t="shared" ref="K17" si="7">J17+K16</f>
        <v>37.200000000000003</v>
      </c>
      <c r="L17" s="4057">
        <f t="shared" ref="L17" si="8">K17+L16</f>
        <v>40.410000000000004</v>
      </c>
      <c r="M17" s="4062">
        <f t="shared" ref="M17" si="9">L17+M16</f>
        <v>43.690000000000005</v>
      </c>
      <c r="N17" s="4057">
        <f t="shared" ref="N17" si="10">M17+N16</f>
        <v>47.070000000000007</v>
      </c>
      <c r="O17" s="4057">
        <f t="shared" ref="O17" si="11">N17+O16</f>
        <v>50.470000000000006</v>
      </c>
      <c r="P17" s="4057">
        <f t="shared" ref="P17" si="12">O17+P16</f>
        <v>53.910000000000004</v>
      </c>
      <c r="Q17" s="4063">
        <f t="shared" ref="Q17" si="13">P17+Q16</f>
        <v>57.400000000000006</v>
      </c>
      <c r="R17" s="4058">
        <f t="shared" ref="R17" si="14">Q17+R16</f>
        <v>60.100000000000009</v>
      </c>
      <c r="S17" s="4076">
        <v>7.0717592592592588E-4</v>
      </c>
      <c r="T17" s="3290"/>
    </row>
    <row r="18" spans="1:35">
      <c r="A18" s="3290"/>
      <c r="B18" s="8060" t="s">
        <v>1845</v>
      </c>
      <c r="C18" s="8061"/>
      <c r="D18" s="8061"/>
      <c r="E18" s="8061"/>
      <c r="F18" s="8061"/>
      <c r="G18" s="8061"/>
      <c r="H18" s="8061"/>
      <c r="I18" s="8061"/>
      <c r="J18" s="8061"/>
      <c r="K18" s="8061" t="s">
        <v>1843</v>
      </c>
      <c r="L18" s="8061"/>
      <c r="M18" s="8061"/>
      <c r="N18" s="8061"/>
      <c r="O18" s="8061"/>
      <c r="P18" s="8061"/>
      <c r="Q18" s="8061"/>
      <c r="R18" s="8061"/>
      <c r="S18" s="8062"/>
      <c r="T18" s="3290"/>
    </row>
    <row r="19" spans="1:35">
      <c r="A19" s="3290"/>
      <c r="B19" s="4065" t="s">
        <v>1629</v>
      </c>
      <c r="C19" s="8063" t="s">
        <v>1835</v>
      </c>
      <c r="D19" s="8064"/>
      <c r="E19" s="8037" t="s">
        <v>1836</v>
      </c>
      <c r="F19" s="8038"/>
      <c r="G19" s="8038"/>
      <c r="H19" s="8039"/>
      <c r="I19" s="8040" t="s">
        <v>1837</v>
      </c>
      <c r="J19" s="8041"/>
      <c r="K19" s="8042"/>
      <c r="L19" s="8043" t="s">
        <v>1838</v>
      </c>
      <c r="M19" s="8044"/>
      <c r="N19" s="8044"/>
      <c r="O19" s="8044"/>
      <c r="P19" s="8044"/>
      <c r="Q19" s="8045"/>
      <c r="R19" s="4066" t="s">
        <v>1839</v>
      </c>
      <c r="S19" s="4067"/>
      <c r="T19" s="3290"/>
    </row>
    <row r="20" spans="1:35">
      <c r="A20" s="3290"/>
      <c r="B20" s="4068">
        <v>15</v>
      </c>
      <c r="C20" s="4069">
        <v>20</v>
      </c>
      <c r="D20" s="4069">
        <v>25</v>
      </c>
      <c r="E20" s="4069">
        <v>30</v>
      </c>
      <c r="F20" s="4069">
        <v>35</v>
      </c>
      <c r="G20" s="4069">
        <v>40</v>
      </c>
      <c r="H20" s="4069">
        <v>45</v>
      </c>
      <c r="I20" s="4069">
        <v>50</v>
      </c>
      <c r="J20" s="4069">
        <v>60</v>
      </c>
      <c r="K20" s="4069">
        <v>65</v>
      </c>
      <c r="L20" s="4069">
        <v>70</v>
      </c>
      <c r="M20" s="4069">
        <v>75</v>
      </c>
      <c r="N20" s="4069">
        <v>80</v>
      </c>
      <c r="O20" s="4069">
        <v>85</v>
      </c>
      <c r="P20" s="4069">
        <v>90</v>
      </c>
      <c r="Q20" s="4069">
        <v>95</v>
      </c>
      <c r="R20" s="4069">
        <v>100</v>
      </c>
      <c r="S20" s="4070" t="s">
        <v>1840</v>
      </c>
      <c r="T20" s="3290"/>
    </row>
    <row r="21" spans="1:35" ht="13" customHeight="1" thickBot="1">
      <c r="A21" s="3290"/>
      <c r="B21" s="4071">
        <v>6.9</v>
      </c>
      <c r="C21" s="4053">
        <v>3</v>
      </c>
      <c r="D21" s="4053">
        <v>3.03</v>
      </c>
      <c r="E21" s="4053">
        <v>3.03</v>
      </c>
      <c r="F21" s="4053">
        <v>3.04</v>
      </c>
      <c r="G21" s="4053">
        <v>3.05</v>
      </c>
      <c r="H21" s="4053">
        <v>3.06</v>
      </c>
      <c r="I21" s="4053">
        <v>3.55</v>
      </c>
      <c r="J21" s="4053">
        <v>6.36</v>
      </c>
      <c r="K21" s="4053">
        <v>3.34</v>
      </c>
      <c r="L21" s="4053">
        <v>3.32</v>
      </c>
      <c r="M21" s="4053">
        <v>3.42</v>
      </c>
      <c r="N21" s="4053">
        <v>3.31</v>
      </c>
      <c r="O21" s="4053">
        <v>3.31</v>
      </c>
      <c r="P21" s="4053">
        <v>3.32</v>
      </c>
      <c r="Q21" s="4053">
        <v>3.32</v>
      </c>
      <c r="R21" s="4053">
        <v>3.74</v>
      </c>
      <c r="S21" s="4072"/>
      <c r="T21" s="3290"/>
    </row>
    <row r="22" spans="1:35" ht="15" customHeight="1" thickBot="1">
      <c r="A22" s="3290"/>
      <c r="B22" s="4058">
        <f>B21</f>
        <v>6.9</v>
      </c>
      <c r="C22" s="4059"/>
      <c r="D22" s="4060">
        <f>SUM(B21:D21)</f>
        <v>12.93</v>
      </c>
      <c r="E22" s="4059"/>
      <c r="F22" s="4061"/>
      <c r="G22" s="4061"/>
      <c r="H22" s="4060">
        <f>SUM(B21:H21)</f>
        <v>25.11</v>
      </c>
      <c r="I22" s="4059"/>
      <c r="J22" s="4061"/>
      <c r="K22" s="4060">
        <f>SUM(B21:K21)</f>
        <v>38.36</v>
      </c>
      <c r="L22" s="973"/>
      <c r="M22" s="973"/>
      <c r="N22" s="4061"/>
      <c r="O22" s="4061"/>
      <c r="P22" s="4061"/>
      <c r="Q22" s="4060">
        <f>SUM(B21:Q21)</f>
        <v>58.360000000000007</v>
      </c>
      <c r="R22" s="4058">
        <f>R21+Q22</f>
        <v>62.100000000000009</v>
      </c>
      <c r="S22" s="4073"/>
      <c r="T22" s="3290"/>
    </row>
    <row r="23" spans="1:35">
      <c r="A23" s="3290"/>
      <c r="B23" s="4074">
        <f>B22</f>
        <v>6.9</v>
      </c>
      <c r="C23" s="8046">
        <f>D22-B22</f>
        <v>6.0299999999999994</v>
      </c>
      <c r="D23" s="8047"/>
      <c r="E23" s="8048">
        <f>H22-D22</f>
        <v>12.18</v>
      </c>
      <c r="F23" s="8049"/>
      <c r="G23" s="8049"/>
      <c r="H23" s="8050"/>
      <c r="I23" s="8051">
        <f>K22-H22</f>
        <v>13.25</v>
      </c>
      <c r="J23" s="8052"/>
      <c r="K23" s="8053"/>
      <c r="L23" s="8054">
        <f>Q22-K22</f>
        <v>20.000000000000007</v>
      </c>
      <c r="M23" s="8055"/>
      <c r="N23" s="8055"/>
      <c r="O23" s="8055"/>
      <c r="P23" s="8055"/>
      <c r="Q23" s="8056"/>
      <c r="R23" s="4054">
        <f>R22-Q22</f>
        <v>3.740000000000002</v>
      </c>
      <c r="S23" s="4072"/>
      <c r="T23" s="3290"/>
    </row>
    <row r="24" spans="1:35" ht="3" customHeight="1" thickBot="1">
      <c r="A24" s="3290"/>
      <c r="B24" s="4071">
        <v>6.9</v>
      </c>
      <c r="C24" s="4053">
        <v>3</v>
      </c>
      <c r="D24" s="4053">
        <v>3.03</v>
      </c>
      <c r="E24" s="4053">
        <v>3.03</v>
      </c>
      <c r="F24" s="4053">
        <v>3.04</v>
      </c>
      <c r="G24" s="4053">
        <v>3.05</v>
      </c>
      <c r="H24" s="4053">
        <v>3.06</v>
      </c>
      <c r="I24" s="4053">
        <v>3.55</v>
      </c>
      <c r="J24" s="4053">
        <v>6.36</v>
      </c>
      <c r="K24" s="4053">
        <v>3.34</v>
      </c>
      <c r="L24" s="4053">
        <v>3.32</v>
      </c>
      <c r="M24" s="4053">
        <v>3.42</v>
      </c>
      <c r="N24" s="4053">
        <v>3.31</v>
      </c>
      <c r="O24" s="4053">
        <v>3.31</v>
      </c>
      <c r="P24" s="4053">
        <v>3.32</v>
      </c>
      <c r="Q24" s="4053">
        <v>3.32</v>
      </c>
      <c r="R24" s="4053">
        <v>3.74</v>
      </c>
      <c r="S24" s="4075"/>
      <c r="T24" s="3290"/>
    </row>
    <row r="25" spans="1:35" ht="14" thickBot="1">
      <c r="A25" s="3290"/>
      <c r="B25" s="4056">
        <f>B24</f>
        <v>6.9</v>
      </c>
      <c r="C25" s="4057">
        <f>B24+C24</f>
        <v>9.9</v>
      </c>
      <c r="D25" s="4062">
        <f>C25+D24</f>
        <v>12.93</v>
      </c>
      <c r="E25" s="4057">
        <f t="shared" ref="E25" si="15">D25+E24</f>
        <v>15.959999999999999</v>
      </c>
      <c r="F25" s="4057">
        <f t="shared" ref="F25" si="16">E25+F24</f>
        <v>19</v>
      </c>
      <c r="G25" s="4057">
        <f t="shared" ref="G25" si="17">F25+G24</f>
        <v>22.05</v>
      </c>
      <c r="H25" s="4057">
        <f t="shared" ref="H25" si="18">G25+H24</f>
        <v>25.11</v>
      </c>
      <c r="I25" s="4062">
        <f t="shared" ref="I25" si="19">H25+I24</f>
        <v>28.66</v>
      </c>
      <c r="J25" s="4057">
        <f t="shared" ref="J25" si="20">I25+J24</f>
        <v>35.020000000000003</v>
      </c>
      <c r="K25" s="4057">
        <f t="shared" ref="K25" si="21">J25+K24</f>
        <v>38.36</v>
      </c>
      <c r="L25" s="4057">
        <f t="shared" ref="L25" si="22">K25+L24</f>
        <v>41.68</v>
      </c>
      <c r="M25" s="4062">
        <f t="shared" ref="M25" si="23">L25+M24</f>
        <v>45.1</v>
      </c>
      <c r="N25" s="4057">
        <f t="shared" ref="N25" si="24">M25+N24</f>
        <v>48.410000000000004</v>
      </c>
      <c r="O25" s="4057">
        <f t="shared" ref="O25" si="25">N25+O24</f>
        <v>51.720000000000006</v>
      </c>
      <c r="P25" s="4057">
        <f t="shared" ref="P25" si="26">O25+P24</f>
        <v>55.040000000000006</v>
      </c>
      <c r="Q25" s="4063">
        <f t="shared" ref="Q25" si="27">P25+Q24</f>
        <v>58.360000000000007</v>
      </c>
      <c r="R25" s="4058">
        <f t="shared" ref="R25" si="28">Q25+R24</f>
        <v>62.100000000000009</v>
      </c>
      <c r="S25" s="4077">
        <v>7.1874999999999988E-4</v>
      </c>
      <c r="T25" s="3290"/>
    </row>
    <row r="26" spans="1:35">
      <c r="A26" s="4064"/>
      <c r="B26" s="4064"/>
      <c r="C26" s="4064"/>
      <c r="D26" s="4064"/>
      <c r="E26" s="4064"/>
      <c r="F26" s="4064"/>
      <c r="G26" s="4064"/>
      <c r="H26" s="4064"/>
      <c r="I26" s="4064"/>
      <c r="J26" s="4064"/>
      <c r="K26" s="4064"/>
      <c r="L26" s="4064"/>
      <c r="M26" s="4064"/>
      <c r="N26" s="4064"/>
      <c r="O26" s="4064"/>
      <c r="P26" s="4064"/>
      <c r="Q26" s="4064"/>
      <c r="R26" s="4064"/>
      <c r="S26" s="4064"/>
      <c r="T26" s="4064"/>
      <c r="U26" s="324"/>
    </row>
    <row r="27" spans="1:35">
      <c r="A27" s="324"/>
      <c r="B27" s="324"/>
      <c r="C27" s="324"/>
      <c r="D27" s="324"/>
      <c r="E27" s="324"/>
      <c r="F27" s="324"/>
      <c r="G27" s="324"/>
      <c r="H27" s="324"/>
      <c r="I27" s="324"/>
      <c r="J27" s="324"/>
      <c r="K27" s="324"/>
      <c r="L27" s="324"/>
      <c r="M27" s="324"/>
      <c r="N27" s="324"/>
      <c r="O27" s="324"/>
      <c r="P27" s="324"/>
      <c r="Q27" s="324"/>
      <c r="R27" s="324"/>
      <c r="S27" s="324"/>
      <c r="T27" s="324"/>
      <c r="U27" s="324"/>
    </row>
    <row r="28" spans="1:35">
      <c r="A28" s="324"/>
      <c r="B28" s="324"/>
      <c r="C28" s="324"/>
      <c r="D28" s="324"/>
      <c r="E28" s="324"/>
      <c r="F28" s="324"/>
      <c r="G28" s="324"/>
      <c r="H28" s="324"/>
      <c r="I28" s="324"/>
      <c r="J28" s="324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AB28" s="8065" t="s">
        <v>1864</v>
      </c>
    </row>
    <row r="29" spans="1:35" ht="14" thickBot="1">
      <c r="A29" s="324"/>
      <c r="B29" s="324"/>
      <c r="C29" s="4078" t="s">
        <v>1846</v>
      </c>
      <c r="E29" s="4078" t="s">
        <v>1848</v>
      </c>
      <c r="G29" s="4078" t="s">
        <v>1849</v>
      </c>
      <c r="I29" s="4078" t="s">
        <v>1850</v>
      </c>
      <c r="K29" s="4078" t="s">
        <v>1838</v>
      </c>
      <c r="M29" s="4079" t="s">
        <v>1839</v>
      </c>
      <c r="N29" s="324"/>
      <c r="O29" s="324"/>
      <c r="P29" s="324"/>
      <c r="Q29" s="324"/>
      <c r="W29" s="2181"/>
      <c r="AB29" s="8066"/>
    </row>
    <row r="30" spans="1:35" ht="71" thickTop="1" thickBot="1">
      <c r="A30" s="324"/>
      <c r="B30" s="4078" t="s">
        <v>1847</v>
      </c>
      <c r="C30" s="4080">
        <v>8.1018518518518516E-5</v>
      </c>
      <c r="D30" s="4080">
        <v>3.4722222222222224E-4</v>
      </c>
      <c r="E30" s="4080">
        <v>8.1018518518518516E-5</v>
      </c>
      <c r="F30" s="4080">
        <v>3.4722222222222224E-4</v>
      </c>
      <c r="G30" s="4080">
        <v>1.6203703703703703E-4</v>
      </c>
      <c r="H30" s="4080">
        <v>4.6296296296296293E-4</v>
      </c>
      <c r="I30" s="4080">
        <v>1.5046296296296297E-4</v>
      </c>
      <c r="J30" s="4080">
        <v>5.2083333333333333E-4</v>
      </c>
      <c r="K30" s="4080">
        <v>2.4305555555555552E-4</v>
      </c>
      <c r="L30" s="4080">
        <v>6.9444444444444447E-4</v>
      </c>
      <c r="M30" s="4080">
        <v>5.7870370370370366E-5</v>
      </c>
      <c r="N30" s="4080">
        <v>3.4722222222222224E-4</v>
      </c>
      <c r="O30" s="324"/>
      <c r="P30" s="324"/>
      <c r="Q30" s="324"/>
      <c r="R30" s="351" t="s">
        <v>346</v>
      </c>
      <c r="S30" s="352" t="s">
        <v>347</v>
      </c>
      <c r="T30" s="353" t="s">
        <v>348</v>
      </c>
      <c r="U30" s="903"/>
      <c r="V30" s="353" t="s">
        <v>349</v>
      </c>
      <c r="W30" s="354" t="s">
        <v>350</v>
      </c>
      <c r="X30" s="350" t="s">
        <v>351</v>
      </c>
      <c r="Y30" s="350" t="s">
        <v>624</v>
      </c>
      <c r="Z30" s="350" t="s">
        <v>352</v>
      </c>
      <c r="AA30" s="354" t="s">
        <v>353</v>
      </c>
      <c r="AB30" s="350" t="s">
        <v>354</v>
      </c>
      <c r="AC30" s="350"/>
      <c r="AD30" s="450" t="s">
        <v>355</v>
      </c>
      <c r="AE30" s="350" t="s">
        <v>445</v>
      </c>
      <c r="AF30" s="353" t="s">
        <v>446</v>
      </c>
      <c r="AG30" s="353" t="s">
        <v>447</v>
      </c>
      <c r="AH30" s="355" t="s">
        <v>448</v>
      </c>
      <c r="AI30" s="356" t="s">
        <v>371</v>
      </c>
    </row>
    <row r="31" spans="1:35" ht="14" thickBot="1">
      <c r="A31" s="324"/>
      <c r="B31" s="4078" t="s">
        <v>1851</v>
      </c>
      <c r="C31" s="4080">
        <v>8.1018518518518516E-5</v>
      </c>
      <c r="D31" s="4080">
        <v>3.4722222222222224E-4</v>
      </c>
      <c r="E31" s="4080">
        <v>8.1018518518518516E-5</v>
      </c>
      <c r="F31" s="4080">
        <v>4.2013888888888899E-2</v>
      </c>
      <c r="G31" s="4080">
        <v>1.6203703703703703E-4</v>
      </c>
      <c r="H31" s="4080">
        <v>4.6296296296296293E-4</v>
      </c>
      <c r="I31" s="4080">
        <v>1.5046296296296297E-4</v>
      </c>
      <c r="J31" s="4080">
        <v>5.2083333333333333E-4</v>
      </c>
      <c r="K31" s="4080">
        <v>2.4305555555555552E-4</v>
      </c>
      <c r="L31" s="4080">
        <v>6.9444444444444447E-4</v>
      </c>
      <c r="M31" s="4080">
        <v>5.7870370370370366E-5</v>
      </c>
      <c r="N31" s="4080">
        <v>3.4722222222222224E-4</v>
      </c>
      <c r="O31" s="324"/>
      <c r="P31" s="324"/>
      <c r="Q31" s="324"/>
      <c r="R31" s="396" t="s">
        <v>459</v>
      </c>
      <c r="S31" s="1117" t="s">
        <v>461</v>
      </c>
      <c r="T31" s="2256">
        <f t="shared" ref="T31:T34" si="29">IF(U31=1,AL$5,IF(U31=2,AM$5,IF(U31=3,AN$5,IF(U31=4,AO$5,IF(U31=5,AP$5,IF(U31=6,AQ$5,IF(U31=7,AR$5,0)))))))</f>
        <v>0</v>
      </c>
      <c r="U31" s="2335">
        <v>1</v>
      </c>
      <c r="V31" s="4086">
        <v>2</v>
      </c>
      <c r="W31" s="4086">
        <v>10</v>
      </c>
      <c r="X31" s="4086">
        <v>15</v>
      </c>
      <c r="Y31" s="4087"/>
      <c r="Z31" s="4087">
        <v>3.4722222222222224E-4</v>
      </c>
      <c r="AA31" s="4087">
        <v>1.1574074074074073E-4</v>
      </c>
      <c r="AB31" s="4082" t="s">
        <v>1861</v>
      </c>
      <c r="AC31" s="4083"/>
      <c r="AD31" s="4088">
        <v>1</v>
      </c>
      <c r="AE31" s="4087">
        <v>8.7962962962962968E-3</v>
      </c>
      <c r="AF31" s="4084">
        <f t="shared" ref="AF31:AF34" si="30">T31*(X31/25)</f>
        <v>0</v>
      </c>
      <c r="AG31" s="4084">
        <f t="shared" ref="AG31:AG34" si="31">AF31*AD31</f>
        <v>0</v>
      </c>
      <c r="AH31" s="4085"/>
      <c r="AI31" s="4086">
        <f t="shared" ref="AI31:AI34" si="32">V31*W31*X31</f>
        <v>300</v>
      </c>
    </row>
    <row r="32" spans="1:35" ht="14" thickBot="1">
      <c r="A32" s="324"/>
      <c r="B32" s="4078" t="s">
        <v>1852</v>
      </c>
      <c r="C32" s="4080">
        <v>8.1018518518518516E-5</v>
      </c>
      <c r="D32" s="4080">
        <v>3.4722222222222224E-4</v>
      </c>
      <c r="E32" s="4080">
        <v>8.1018518518518516E-5</v>
      </c>
      <c r="F32" s="4080">
        <v>8.3680555555555494E-2</v>
      </c>
      <c r="G32" s="4080">
        <v>1.6203703703703703E-4</v>
      </c>
      <c r="H32" s="4080">
        <v>4.6296296296296293E-4</v>
      </c>
      <c r="I32" s="4080">
        <v>1.5046296296296297E-4</v>
      </c>
      <c r="J32" s="4080">
        <v>5.2083333333333333E-4</v>
      </c>
      <c r="K32" s="4080">
        <v>2.4305555555555552E-4</v>
      </c>
      <c r="L32" s="4080">
        <v>6.9444444444444447E-4</v>
      </c>
      <c r="M32" s="4080">
        <v>5.7870370370370366E-5</v>
      </c>
      <c r="N32" s="4080">
        <v>3.4722222222222224E-4</v>
      </c>
      <c r="O32" s="324"/>
      <c r="P32" s="324"/>
      <c r="Q32" s="324"/>
      <c r="R32" s="396" t="s">
        <v>459</v>
      </c>
      <c r="S32" s="1117" t="s">
        <v>461</v>
      </c>
      <c r="T32" s="2256">
        <f t="shared" si="29"/>
        <v>0</v>
      </c>
      <c r="U32" s="2335">
        <v>1</v>
      </c>
      <c r="V32" s="4089">
        <v>1</v>
      </c>
      <c r="W32" s="4089">
        <v>10</v>
      </c>
      <c r="X32" s="4089">
        <v>20</v>
      </c>
      <c r="Y32" s="4090"/>
      <c r="Z32" s="4090">
        <v>5.2083333333333333E-4</v>
      </c>
      <c r="AA32" s="4090">
        <v>1.1574074074074073E-4</v>
      </c>
      <c r="AB32" s="4091" t="s">
        <v>1837</v>
      </c>
      <c r="AC32" s="4092"/>
      <c r="AD32" s="4093">
        <v>1</v>
      </c>
      <c r="AE32" s="4090">
        <v>6.7129629629629622E-3</v>
      </c>
      <c r="AF32" s="4094">
        <f t="shared" si="30"/>
        <v>0</v>
      </c>
      <c r="AG32" s="4094">
        <f t="shared" si="31"/>
        <v>0</v>
      </c>
      <c r="AH32" s="4095"/>
      <c r="AI32" s="4089">
        <f t="shared" si="32"/>
        <v>200</v>
      </c>
    </row>
    <row r="33" spans="1:35" ht="14" thickBot="1">
      <c r="A33" s="324"/>
      <c r="B33" s="4078" t="s">
        <v>1853</v>
      </c>
      <c r="C33" s="4080">
        <v>8.1018518518518516E-5</v>
      </c>
      <c r="D33" s="4080">
        <v>3.4722222222222224E-4</v>
      </c>
      <c r="E33" s="4080">
        <v>8.1018518518518516E-5</v>
      </c>
      <c r="F33" s="4080">
        <v>0.125347222222222</v>
      </c>
      <c r="G33" s="4080">
        <v>1.6203703703703703E-4</v>
      </c>
      <c r="H33" s="4080">
        <v>4.6296296296296293E-4</v>
      </c>
      <c r="I33" s="4080">
        <v>1.5046296296296297E-4</v>
      </c>
      <c r="J33" s="4080">
        <v>5.2083333333333333E-4</v>
      </c>
      <c r="K33" s="4080">
        <v>2.4305555555555552E-4</v>
      </c>
      <c r="L33" s="4080">
        <v>6.9444444444444447E-4</v>
      </c>
      <c r="M33" s="4080">
        <v>5.7870370370370366E-5</v>
      </c>
      <c r="N33" s="4080">
        <v>3.4722222222222224E-4</v>
      </c>
      <c r="O33" s="324"/>
      <c r="P33" s="324"/>
      <c r="Q33" s="324"/>
      <c r="R33" s="396" t="s">
        <v>459</v>
      </c>
      <c r="S33" s="1117" t="s">
        <v>461</v>
      </c>
      <c r="T33" s="2256">
        <f t="shared" si="29"/>
        <v>0</v>
      </c>
      <c r="U33" s="2335">
        <v>1</v>
      </c>
      <c r="V33" s="3459">
        <v>3</v>
      </c>
      <c r="W33" s="3459">
        <v>6</v>
      </c>
      <c r="X33" s="3459">
        <v>30</v>
      </c>
      <c r="Y33" s="3032"/>
      <c r="Z33" s="3032">
        <v>6.9444444444444447E-4</v>
      </c>
      <c r="AA33" s="3032">
        <v>1.1574074074074073E-4</v>
      </c>
      <c r="AB33" s="3465" t="s">
        <v>1862</v>
      </c>
      <c r="AC33" s="4096"/>
      <c r="AD33" s="4097">
        <v>1</v>
      </c>
      <c r="AE33" s="3032">
        <v>1.7013888888888887E-2</v>
      </c>
      <c r="AF33" s="3464">
        <f t="shared" si="30"/>
        <v>0</v>
      </c>
      <c r="AG33" s="3464">
        <f t="shared" si="31"/>
        <v>0</v>
      </c>
      <c r="AH33" s="4098"/>
      <c r="AI33" s="3459">
        <f t="shared" si="32"/>
        <v>540</v>
      </c>
    </row>
    <row r="34" spans="1:35">
      <c r="A34" s="324"/>
      <c r="B34" s="4078" t="s">
        <v>1854</v>
      </c>
      <c r="C34" s="4080">
        <v>8.1018518518518516E-5</v>
      </c>
      <c r="D34" s="4080">
        <v>3.4722222222222224E-4</v>
      </c>
      <c r="E34" s="4080">
        <v>8.1018518518518516E-5</v>
      </c>
      <c r="F34" s="4080">
        <v>0.16701388888888899</v>
      </c>
      <c r="G34" s="4080">
        <v>1.6203703703703703E-4</v>
      </c>
      <c r="H34" s="4080">
        <v>4.6296296296296293E-4</v>
      </c>
      <c r="I34" s="4080">
        <v>1.5046296296296297E-4</v>
      </c>
      <c r="J34" s="4080">
        <v>5.2083333333333333E-4</v>
      </c>
      <c r="K34" s="4080">
        <v>2.4305555555555552E-4</v>
      </c>
      <c r="L34" s="4080">
        <v>6.9444444444444447E-4</v>
      </c>
      <c r="M34" s="4080">
        <v>5.7870370370370366E-5</v>
      </c>
      <c r="N34" s="4080">
        <v>3.4722222222222224E-4</v>
      </c>
      <c r="O34" s="324"/>
      <c r="P34" s="324"/>
      <c r="Q34" s="324"/>
      <c r="R34" s="396" t="s">
        <v>459</v>
      </c>
      <c r="S34" s="1117" t="s">
        <v>461</v>
      </c>
      <c r="T34" s="2256">
        <f t="shared" si="29"/>
        <v>0</v>
      </c>
      <c r="U34" s="2335">
        <v>1</v>
      </c>
      <c r="V34" s="4086">
        <v>1</v>
      </c>
      <c r="W34" s="4086">
        <v>10</v>
      </c>
      <c r="X34" s="4086">
        <v>5</v>
      </c>
      <c r="Y34" s="4087"/>
      <c r="Z34" s="4087">
        <v>3.4722222222222224E-4</v>
      </c>
      <c r="AA34" s="4087">
        <v>1.1574074074074073E-4</v>
      </c>
      <c r="AB34" s="4082" t="s">
        <v>1863</v>
      </c>
      <c r="AC34" s="4083"/>
      <c r="AD34" s="4088">
        <v>1</v>
      </c>
      <c r="AE34" s="4087">
        <f t="shared" ref="AE34" si="33">AG34*V34*W34+Z34*V34*W34+AA34*V34</f>
        <v>3.5879629629629634E-3</v>
      </c>
      <c r="AF34" s="4084">
        <f t="shared" si="30"/>
        <v>0</v>
      </c>
      <c r="AG34" s="4084">
        <f t="shared" si="31"/>
        <v>0</v>
      </c>
      <c r="AH34" s="4085"/>
      <c r="AI34" s="4086">
        <f t="shared" si="32"/>
        <v>50</v>
      </c>
    </row>
    <row r="35" spans="1:35">
      <c r="A35" s="324"/>
      <c r="B35" s="4078" t="s">
        <v>1855</v>
      </c>
      <c r="C35" s="4080">
        <v>8.1018518518518516E-5</v>
      </c>
      <c r="D35" s="4080">
        <v>3.4722222222222224E-4</v>
      </c>
      <c r="E35" s="4080">
        <v>8.1018518518518516E-5</v>
      </c>
      <c r="F35" s="4080">
        <v>0.20868055555555601</v>
      </c>
      <c r="G35" s="4080">
        <v>1.6203703703703703E-4</v>
      </c>
      <c r="H35" s="4080">
        <v>4.6296296296296293E-4</v>
      </c>
      <c r="I35" s="4080">
        <v>1.5046296296296297E-4</v>
      </c>
      <c r="J35" s="4080">
        <v>5.2083333333333333E-4</v>
      </c>
      <c r="K35" s="4080">
        <v>2.4305555555555552E-4</v>
      </c>
      <c r="L35" s="4080">
        <v>6.9444444444444447E-4</v>
      </c>
      <c r="M35" s="4080">
        <v>5.7870370370370366E-5</v>
      </c>
      <c r="N35" s="4080">
        <v>3.4722222222222224E-4</v>
      </c>
      <c r="O35" s="324"/>
      <c r="P35" s="324"/>
      <c r="Q35" s="324"/>
      <c r="R35" s="324"/>
      <c r="S35" s="324"/>
      <c r="T35" s="324"/>
      <c r="U35" s="324"/>
      <c r="V35" s="4099">
        <v>1</v>
      </c>
      <c r="W35" s="4099">
        <v>8</v>
      </c>
      <c r="X35" s="4099">
        <v>12</v>
      </c>
      <c r="Y35" s="4099"/>
      <c r="Z35" s="4100">
        <v>3.4722222222222224E-4</v>
      </c>
      <c r="AA35" s="4100">
        <v>1.1574074074074073E-4</v>
      </c>
      <c r="AB35" s="4101" t="s">
        <v>1836</v>
      </c>
      <c r="AC35" s="4099"/>
      <c r="AD35" s="4099"/>
      <c r="AE35" s="4100">
        <f t="shared" ref="AE35" si="34">AG35*V35*W35+Z35*V35*W35+AA35*V35</f>
        <v>2.8935185185185188E-3</v>
      </c>
      <c r="AF35" s="4102">
        <f t="shared" ref="AF35" si="35">T35*(X35/25)</f>
        <v>0</v>
      </c>
      <c r="AG35" s="4102">
        <f t="shared" ref="AG35" si="36">AF35*AD35</f>
        <v>0</v>
      </c>
      <c r="AH35" s="4099"/>
      <c r="AI35" s="4099"/>
    </row>
    <row r="36" spans="1:35">
      <c r="A36" s="324"/>
      <c r="B36" s="4078" t="s">
        <v>1856</v>
      </c>
      <c r="C36" s="4080">
        <v>8.1018518518518516E-5</v>
      </c>
      <c r="D36" s="4080">
        <v>3.4722222222222224E-4</v>
      </c>
      <c r="E36" s="4080">
        <v>8.1018518518518516E-5</v>
      </c>
      <c r="F36" s="4080">
        <v>0.250347222222222</v>
      </c>
      <c r="G36" s="4080">
        <v>1.6203703703703703E-4</v>
      </c>
      <c r="H36" s="4080">
        <v>4.6296296296296293E-4</v>
      </c>
      <c r="I36" s="4080">
        <v>1.5046296296296297E-4</v>
      </c>
      <c r="J36" s="4080">
        <v>5.2083333333333333E-4</v>
      </c>
      <c r="K36" s="4080">
        <v>2.4305555555555552E-4</v>
      </c>
      <c r="L36" s="4080">
        <v>6.9444444444444447E-4</v>
      </c>
      <c r="M36" s="4080">
        <v>5.7870370370370366E-5</v>
      </c>
      <c r="N36" s="4080">
        <v>3.4722222222222224E-4</v>
      </c>
      <c r="O36" s="324"/>
      <c r="P36" s="324"/>
      <c r="Q36" s="324"/>
      <c r="R36" s="324"/>
      <c r="S36" s="324"/>
      <c r="T36" s="324"/>
      <c r="U36" s="324"/>
    </row>
    <row r="37" spans="1:35">
      <c r="B37" s="4078" t="s">
        <v>1857</v>
      </c>
      <c r="C37" s="4080">
        <v>8.1018518518518516E-5</v>
      </c>
      <c r="D37" s="4080">
        <v>3.4722222222222224E-4</v>
      </c>
      <c r="E37" s="4080">
        <v>8.1018518518518516E-5</v>
      </c>
      <c r="F37" s="4080">
        <v>0.29201388888888902</v>
      </c>
      <c r="G37" s="4080">
        <v>1.6203703703703703E-4</v>
      </c>
      <c r="H37" s="4080">
        <v>4.6296296296296293E-4</v>
      </c>
      <c r="I37" s="4080">
        <v>1.5046296296296297E-4</v>
      </c>
      <c r="J37" s="4080">
        <v>5.2083333333333333E-4</v>
      </c>
      <c r="K37" s="4080">
        <v>2.4305555555555552E-4</v>
      </c>
      <c r="L37" s="4080">
        <v>6.9444444444444447E-4</v>
      </c>
      <c r="M37" s="4080">
        <v>5.7870370370370366E-5</v>
      </c>
      <c r="N37" s="4080">
        <v>3.4722222222222224E-4</v>
      </c>
    </row>
    <row r="38" spans="1:35">
      <c r="B38" s="4078" t="s">
        <v>1858</v>
      </c>
      <c r="C38" s="4080">
        <v>8.1018518518518516E-5</v>
      </c>
      <c r="D38" s="4080">
        <v>3.4722222222222224E-4</v>
      </c>
      <c r="E38" s="4080">
        <v>8.1018518518518516E-5</v>
      </c>
      <c r="F38" s="4080">
        <v>0.33368055555555598</v>
      </c>
      <c r="G38" s="4080">
        <v>1.6203703703703703E-4</v>
      </c>
      <c r="H38" s="4080">
        <v>4.6296296296296293E-4</v>
      </c>
      <c r="I38" s="4080">
        <v>1.5046296296296297E-4</v>
      </c>
      <c r="J38" s="4080">
        <v>5.2083333333333333E-4</v>
      </c>
      <c r="K38" s="4080">
        <v>2.4305555555555552E-4</v>
      </c>
      <c r="L38" s="4080">
        <v>6.9444444444444447E-4</v>
      </c>
      <c r="M38" s="4080">
        <v>5.7870370370370366E-5</v>
      </c>
      <c r="N38" s="4080">
        <v>3.4722222222222224E-4</v>
      </c>
    </row>
    <row r="39" spans="1:35">
      <c r="B39" s="4078" t="s">
        <v>1859</v>
      </c>
      <c r="C39" s="4080">
        <v>8.1018518518518516E-5</v>
      </c>
      <c r="D39" s="4080">
        <v>3.4722222222222224E-4</v>
      </c>
      <c r="E39" s="4080">
        <v>8.1018518518518516E-5</v>
      </c>
      <c r="F39" s="4080">
        <v>0.375347222222222</v>
      </c>
      <c r="G39" s="4080">
        <v>1.6203703703703703E-4</v>
      </c>
      <c r="H39" s="4080">
        <v>4.6296296296296293E-4</v>
      </c>
      <c r="I39" s="4080">
        <v>1.5046296296296297E-4</v>
      </c>
      <c r="J39" s="4080">
        <v>5.2083333333333333E-4</v>
      </c>
      <c r="K39" s="4080">
        <v>2.4305555555555552E-4</v>
      </c>
      <c r="L39" s="4080">
        <v>6.9444444444444447E-4</v>
      </c>
      <c r="M39" s="4080">
        <v>5.7870370370370366E-5</v>
      </c>
      <c r="N39" s="4080">
        <v>3.4722222222222224E-4</v>
      </c>
    </row>
    <row r="40" spans="1:35">
      <c r="C40" s="4081">
        <f>SUM(C30:C39)</f>
        <v>8.1018518518518505E-4</v>
      </c>
      <c r="D40" s="4081">
        <f t="shared" ref="D40:N40" si="37">SUM(D30:D39)</f>
        <v>3.4722222222222225E-3</v>
      </c>
      <c r="E40" s="4081">
        <f t="shared" si="37"/>
        <v>8.1018518518518505E-4</v>
      </c>
      <c r="F40" s="4081">
        <f t="shared" si="37"/>
        <v>1.8784722222222225</v>
      </c>
      <c r="G40" s="4081">
        <f t="shared" si="37"/>
        <v>1.6203703703703701E-3</v>
      </c>
      <c r="H40" s="4081">
        <f t="shared" si="37"/>
        <v>4.6296296296296285E-3</v>
      </c>
      <c r="I40" s="4081">
        <f t="shared" si="37"/>
        <v>1.5046296296296294E-3</v>
      </c>
      <c r="J40" s="4081">
        <f t="shared" si="37"/>
        <v>5.208333333333333E-3</v>
      </c>
      <c r="K40" s="4081">
        <f t="shared" si="37"/>
        <v>2.4305555555555552E-3</v>
      </c>
      <c r="L40" s="4081">
        <f t="shared" si="37"/>
        <v>6.9444444444444449E-3</v>
      </c>
      <c r="M40" s="4081">
        <f t="shared" si="37"/>
        <v>5.7870370370370356E-4</v>
      </c>
      <c r="N40" s="4081">
        <f t="shared" si="37"/>
        <v>3.4722222222222225E-3</v>
      </c>
    </row>
    <row r="42" spans="1:35" ht="12" customHeight="1" thickBot="1">
      <c r="G42" s="2181" t="s">
        <v>1860</v>
      </c>
    </row>
    <row r="43" spans="1:35" ht="71" thickTop="1" thickBot="1">
      <c r="B43" s="351" t="s">
        <v>346</v>
      </c>
      <c r="C43" s="352" t="s">
        <v>347</v>
      </c>
      <c r="D43" s="353" t="s">
        <v>348</v>
      </c>
      <c r="E43" s="903"/>
      <c r="F43" s="353" t="s">
        <v>349</v>
      </c>
      <c r="G43" s="354" t="s">
        <v>350</v>
      </c>
      <c r="H43" s="350" t="s">
        <v>351</v>
      </c>
      <c r="I43" s="350" t="s">
        <v>624</v>
      </c>
      <c r="J43" s="350" t="s">
        <v>352</v>
      </c>
      <c r="K43" s="354" t="s">
        <v>353</v>
      </c>
      <c r="L43" s="350" t="s">
        <v>354</v>
      </c>
      <c r="M43" s="350"/>
      <c r="N43" s="450" t="s">
        <v>355</v>
      </c>
      <c r="O43" s="350" t="s">
        <v>445</v>
      </c>
      <c r="P43" s="353" t="s">
        <v>446</v>
      </c>
      <c r="Q43" s="353" t="s">
        <v>447</v>
      </c>
      <c r="R43" s="355" t="s">
        <v>448</v>
      </c>
      <c r="S43" s="356" t="s">
        <v>371</v>
      </c>
    </row>
    <row r="44" spans="1:35" ht="14" thickBot="1">
      <c r="B44" s="396" t="s">
        <v>459</v>
      </c>
      <c r="C44" s="1117" t="s">
        <v>461</v>
      </c>
      <c r="D44" s="2256">
        <f t="shared" ref="D44" si="38">IF(E44=1,V$5,IF(E44=2,W$5,IF(E44=3,X$5,IF(E44=4,Y$5,IF(E44=5,Z$5,IF(E44=6,AA$5,IF(E44=7,AB$5,0)))))))</f>
        <v>0</v>
      </c>
      <c r="E44" s="2335">
        <v>1</v>
      </c>
      <c r="F44" s="2336">
        <v>1</v>
      </c>
      <c r="G44" s="2336">
        <v>3</v>
      </c>
      <c r="H44" s="2336">
        <v>200</v>
      </c>
      <c r="I44" s="2337"/>
      <c r="J44" s="2337">
        <v>0</v>
      </c>
      <c r="K44" s="2337">
        <v>1.1574074074074073E-4</v>
      </c>
      <c r="L44" s="2500" t="s">
        <v>1617</v>
      </c>
      <c r="M44" s="2501">
        <v>0.30208333333333331</v>
      </c>
      <c r="N44" s="2502">
        <v>1</v>
      </c>
      <c r="O44" s="2337">
        <f>Q44*F44*G44+J44*F44*G44+K44*F44</f>
        <v>1.1574074074074073E-4</v>
      </c>
      <c r="P44" s="2359">
        <f t="shared" ref="P44" si="39">D44*(H44/25)</f>
        <v>0</v>
      </c>
      <c r="Q44" s="2359">
        <f t="shared" ref="Q44" si="40">P44*N44</f>
        <v>0</v>
      </c>
      <c r="R44" s="2341">
        <v>129</v>
      </c>
      <c r="S44" s="2336">
        <f t="shared" ref="S44" si="41">F44*G44*H44</f>
        <v>600</v>
      </c>
    </row>
    <row r="45" spans="1:35" ht="14" thickBot="1">
      <c r="B45" s="396" t="s">
        <v>459</v>
      </c>
      <c r="C45" s="1117" t="s">
        <v>461</v>
      </c>
      <c r="D45" s="2256">
        <f t="shared" ref="D45:D47" si="42">IF(E45=1,V$5,IF(E45=2,W$5,IF(E45=3,X$5,IF(E45=4,Y$5,IF(E45=5,Z$5,IF(E45=6,AA$5,IF(E45=7,AB$5,0)))))))</f>
        <v>0</v>
      </c>
      <c r="E45" s="2335">
        <v>1</v>
      </c>
      <c r="F45" s="2336">
        <v>1</v>
      </c>
      <c r="G45" s="2336">
        <v>3</v>
      </c>
      <c r="H45" s="2336">
        <v>200</v>
      </c>
      <c r="I45" s="2337"/>
      <c r="J45" s="2337">
        <v>0</v>
      </c>
      <c r="K45" s="2337">
        <v>1.1574074074074073E-4</v>
      </c>
      <c r="L45" s="2500" t="s">
        <v>1617</v>
      </c>
      <c r="M45" s="2501">
        <v>0.34375</v>
      </c>
      <c r="N45" s="2502">
        <v>2</v>
      </c>
      <c r="O45" s="2337">
        <f t="shared" ref="O45:O47" si="43">Q45*F45*G45+J45*F45*G45+K45*F45</f>
        <v>1.1574074074074073E-4</v>
      </c>
      <c r="P45" s="2359">
        <f t="shared" ref="P45:P47" si="44">D45*(H45/25)</f>
        <v>0</v>
      </c>
      <c r="Q45" s="2359">
        <f t="shared" ref="Q45:Q47" si="45">P45*N45</f>
        <v>0</v>
      </c>
      <c r="R45" s="2341">
        <v>130</v>
      </c>
      <c r="S45" s="2336">
        <f t="shared" ref="S45:S47" si="46">F45*G45*H45</f>
        <v>600</v>
      </c>
    </row>
    <row r="46" spans="1:35" ht="14" thickBot="1">
      <c r="B46" s="396" t="s">
        <v>459</v>
      </c>
      <c r="C46" s="1117" t="s">
        <v>461</v>
      </c>
      <c r="D46" s="2256">
        <f t="shared" si="42"/>
        <v>0</v>
      </c>
      <c r="E46" s="2335">
        <v>1</v>
      </c>
      <c r="F46" s="2336">
        <v>1</v>
      </c>
      <c r="G46" s="2336">
        <v>3</v>
      </c>
      <c r="H46" s="2336">
        <v>200</v>
      </c>
      <c r="I46" s="2337"/>
      <c r="J46" s="2337">
        <v>0</v>
      </c>
      <c r="K46" s="2337">
        <v>1.1574074074074073E-4</v>
      </c>
      <c r="L46" s="2500" t="s">
        <v>1617</v>
      </c>
      <c r="M46" s="2501">
        <v>0.38541666666666702</v>
      </c>
      <c r="N46" s="2502">
        <v>3</v>
      </c>
      <c r="O46" s="2337">
        <f t="shared" si="43"/>
        <v>1.1574074074074073E-4</v>
      </c>
      <c r="P46" s="2359">
        <f t="shared" si="44"/>
        <v>0</v>
      </c>
      <c r="Q46" s="2359">
        <f t="shared" si="45"/>
        <v>0</v>
      </c>
      <c r="R46" s="2341">
        <v>131</v>
      </c>
      <c r="S46" s="2336">
        <f t="shared" si="46"/>
        <v>600</v>
      </c>
    </row>
    <row r="47" spans="1:35">
      <c r="B47" s="396" t="s">
        <v>459</v>
      </c>
      <c r="C47" s="1117" t="s">
        <v>461</v>
      </c>
      <c r="D47" s="2256">
        <f t="shared" si="42"/>
        <v>0</v>
      </c>
      <c r="E47" s="2335">
        <v>1</v>
      </c>
      <c r="F47" s="2336">
        <v>1</v>
      </c>
      <c r="G47" s="2336">
        <v>3</v>
      </c>
      <c r="H47" s="2336">
        <v>200</v>
      </c>
      <c r="I47" s="2337"/>
      <c r="J47" s="2337">
        <v>0</v>
      </c>
      <c r="K47" s="2337">
        <v>1.1574074074074073E-4</v>
      </c>
      <c r="L47" s="2500" t="s">
        <v>1617</v>
      </c>
      <c r="M47" s="2501">
        <v>0.42708333333333298</v>
      </c>
      <c r="N47" s="2502">
        <v>4</v>
      </c>
      <c r="O47" s="2337">
        <f t="shared" si="43"/>
        <v>1.1574074074074073E-4</v>
      </c>
      <c r="P47" s="2359">
        <f t="shared" si="44"/>
        <v>0</v>
      </c>
      <c r="Q47" s="2359">
        <f t="shared" si="45"/>
        <v>0</v>
      </c>
      <c r="R47" s="2341">
        <v>132</v>
      </c>
      <c r="S47" s="2336">
        <f t="shared" si="46"/>
        <v>600</v>
      </c>
    </row>
  </sheetData>
  <mergeCells count="28">
    <mergeCell ref="AB28:AB29"/>
    <mergeCell ref="C23:D23"/>
    <mergeCell ref="E23:H23"/>
    <mergeCell ref="I23:K23"/>
    <mergeCell ref="L23:Q23"/>
    <mergeCell ref="B2:S2"/>
    <mergeCell ref="B10:S10"/>
    <mergeCell ref="B18:S18"/>
    <mergeCell ref="C19:D19"/>
    <mergeCell ref="E19:H19"/>
    <mergeCell ref="I19:K19"/>
    <mergeCell ref="L19:Q19"/>
    <mergeCell ref="C15:D15"/>
    <mergeCell ref="E15:H15"/>
    <mergeCell ref="I15:K15"/>
    <mergeCell ref="L15:Q15"/>
    <mergeCell ref="C11:D11"/>
    <mergeCell ref="E11:H11"/>
    <mergeCell ref="I11:K11"/>
    <mergeCell ref="L11:Q11"/>
    <mergeCell ref="C3:D3"/>
    <mergeCell ref="E3:H3"/>
    <mergeCell ref="I3:K3"/>
    <mergeCell ref="L3:Q3"/>
    <mergeCell ref="C7:D7"/>
    <mergeCell ref="E7:H7"/>
    <mergeCell ref="I7:K7"/>
    <mergeCell ref="L7:Q7"/>
  </mergeCells>
  <phoneticPr fontId="19" type="noConversion"/>
  <pageMargins left="0.7" right="0.7" top="0.75" bottom="0.75" header="0.3" footer="0.3"/>
  <pageSetup paperSize="9" orientation="landscape" horizontalDpi="0" verticalDpi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3"/>
  <dimension ref="A1:N20"/>
  <sheetViews>
    <sheetView zoomScale="185" zoomScaleNormal="185" workbookViewId="0">
      <selection activeCell="B3" sqref="B3"/>
    </sheetView>
  </sheetViews>
  <sheetFormatPr baseColWidth="10" defaultColWidth="10.83203125" defaultRowHeight="13"/>
  <cols>
    <col min="2" max="13" width="7.33203125" customWidth="1"/>
  </cols>
  <sheetData>
    <row r="1" spans="1:14" ht="14" thickBot="1">
      <c r="B1" s="390" t="s">
        <v>463</v>
      </c>
      <c r="C1" s="389"/>
      <c r="D1" s="420" t="s">
        <v>464</v>
      </c>
      <c r="E1" s="461"/>
      <c r="F1" s="421"/>
      <c r="G1" s="390" t="s">
        <v>465</v>
      </c>
      <c r="H1" s="389"/>
      <c r="I1" s="8067" t="s">
        <v>229</v>
      </c>
      <c r="J1" s="8068"/>
      <c r="K1" s="390" t="s">
        <v>466</v>
      </c>
      <c r="L1" s="389"/>
      <c r="M1" s="391" t="s">
        <v>230</v>
      </c>
    </row>
    <row r="2" spans="1:14" ht="14" thickBot="1">
      <c r="B2" s="393" t="s">
        <v>467</v>
      </c>
      <c r="C2" s="394" t="s">
        <v>468</v>
      </c>
      <c r="D2" s="422" t="s">
        <v>467</v>
      </c>
      <c r="E2" s="423" t="s">
        <v>468</v>
      </c>
      <c r="F2" s="423" t="s">
        <v>468</v>
      </c>
      <c r="G2" s="393" t="s">
        <v>467</v>
      </c>
      <c r="H2" s="394" t="s">
        <v>468</v>
      </c>
      <c r="I2" s="393" t="s">
        <v>468</v>
      </c>
      <c r="J2" s="394"/>
      <c r="K2" s="393" t="s">
        <v>467</v>
      </c>
      <c r="L2" s="394" t="s">
        <v>468</v>
      </c>
      <c r="M2" s="422" t="s">
        <v>467</v>
      </c>
    </row>
    <row r="3" spans="1:14" ht="3.75" customHeight="1" thickBot="1">
      <c r="A3" s="410" t="s">
        <v>469</v>
      </c>
      <c r="B3" s="411">
        <f>Microc.!P4</f>
        <v>1</v>
      </c>
      <c r="C3" s="412"/>
      <c r="D3" s="424">
        <f>Microc.!Q4</f>
        <v>1</v>
      </c>
      <c r="E3" s="462"/>
      <c r="F3" s="425"/>
      <c r="G3" s="411">
        <f>Microc.!R4</f>
        <v>1</v>
      </c>
      <c r="H3" s="412"/>
      <c r="I3" s="411">
        <f>Microc.!S4</f>
        <v>1</v>
      </c>
      <c r="J3" s="412"/>
      <c r="K3" s="411">
        <f>Microc.!T4</f>
        <v>1</v>
      </c>
      <c r="L3" s="412"/>
      <c r="M3" s="425">
        <f>Microc.!U4</f>
        <v>1</v>
      </c>
    </row>
    <row r="4" spans="1:14" ht="14" thickBot="1">
      <c r="A4" s="410" t="s">
        <v>469</v>
      </c>
      <c r="B4" s="413">
        <f>B3*1/3</f>
        <v>0.33333333333333331</v>
      </c>
      <c r="C4" s="570">
        <f>B3-B4</f>
        <v>0.66666666666666674</v>
      </c>
      <c r="D4" s="426">
        <f>D3*0.2</f>
        <v>0.2</v>
      </c>
      <c r="E4" s="426">
        <f>D3*1/4</f>
        <v>0.25</v>
      </c>
      <c r="F4" s="573">
        <f>D3-D4-E4</f>
        <v>0.55000000000000004</v>
      </c>
      <c r="G4" s="413">
        <f>G3*0.3</f>
        <v>0.3</v>
      </c>
      <c r="H4" s="570">
        <f>G3-G4</f>
        <v>0.7</v>
      </c>
      <c r="I4" s="413">
        <f>I3*0.4</f>
        <v>0.4</v>
      </c>
      <c r="J4" s="570">
        <f>I3-I4</f>
        <v>0.6</v>
      </c>
      <c r="K4" s="413">
        <f>K3*0.4</f>
        <v>0.4</v>
      </c>
      <c r="L4" s="570">
        <f>K3-K4</f>
        <v>0.6</v>
      </c>
      <c r="M4" s="430">
        <f>M3*1</f>
        <v>1</v>
      </c>
    </row>
    <row r="5" spans="1:14" ht="3.75" customHeight="1" thickBot="1">
      <c r="A5" s="414" t="s">
        <v>470</v>
      </c>
      <c r="B5" s="411">
        <f>Microc.!P5</f>
        <v>2830.6109746109751</v>
      </c>
      <c r="C5" s="571"/>
      <c r="D5" s="424">
        <f>Microc.!Q5</f>
        <v>3892.0900900900906</v>
      </c>
      <c r="E5" s="462"/>
      <c r="F5" s="574"/>
      <c r="G5" s="411">
        <f>Microc.!R5</f>
        <v>3892.0900900900906</v>
      </c>
      <c r="H5" s="571"/>
      <c r="I5" s="411">
        <f>Microc.!S5</f>
        <v>4245.916461916463</v>
      </c>
      <c r="J5" s="571"/>
      <c r="K5" s="411">
        <f>Microc.!T5</f>
        <v>2653.6977886977893</v>
      </c>
      <c r="L5" s="571"/>
      <c r="M5" s="425">
        <f>Microc.!U5</f>
        <v>2122.9582309582315</v>
      </c>
    </row>
    <row r="6" spans="1:14" ht="14" thickBot="1">
      <c r="A6" s="414" t="s">
        <v>470</v>
      </c>
      <c r="B6" s="413">
        <f>B5*1/3</f>
        <v>943.53699153699165</v>
      </c>
      <c r="C6" s="570">
        <f>B5-B6</f>
        <v>1887.0739830739835</v>
      </c>
      <c r="D6" s="426">
        <f>D5*0.2</f>
        <v>778.41801801801819</v>
      </c>
      <c r="E6" s="426">
        <f>D5*1/4</f>
        <v>973.02252252252265</v>
      </c>
      <c r="F6" s="573">
        <f>D5-D6-E6</f>
        <v>2140.6495495495496</v>
      </c>
      <c r="G6" s="413">
        <f>G5*0.3</f>
        <v>1167.6270270270272</v>
      </c>
      <c r="H6" s="570">
        <f>G5-G6</f>
        <v>2724.4630630630636</v>
      </c>
      <c r="I6" s="413">
        <v>2630.1627864775473</v>
      </c>
      <c r="J6" s="570">
        <f>I5-I6</f>
        <v>1615.7536754389157</v>
      </c>
      <c r="K6" s="413">
        <f>K5*0.4</f>
        <v>1061.4791154791158</v>
      </c>
      <c r="L6" s="570">
        <f>K5-K6</f>
        <v>1592.2186732186735</v>
      </c>
      <c r="M6" s="430">
        <f>M5*1</f>
        <v>2122.9582309582315</v>
      </c>
    </row>
    <row r="7" spans="1:14" ht="3.75" customHeight="1" thickBot="1">
      <c r="A7" s="415" t="s">
        <v>471</v>
      </c>
      <c r="B7" s="411">
        <f>Microc.!P6</f>
        <v>990.80753480753469</v>
      </c>
      <c r="C7" s="571"/>
      <c r="D7" s="424">
        <f>Microc.!Q6</f>
        <v>1004.2961834561833</v>
      </c>
      <c r="E7" s="462"/>
      <c r="F7" s="574"/>
      <c r="G7" s="411">
        <f>Microc.!R6</f>
        <v>650.72163800163787</v>
      </c>
      <c r="H7" s="571"/>
      <c r="I7" s="411">
        <f>Microc.!S6</f>
        <v>1486.2113022113022</v>
      </c>
      <c r="J7" s="571"/>
      <c r="K7" s="411">
        <f>Microc.!T6</f>
        <v>730.05867321867299</v>
      </c>
      <c r="L7" s="571"/>
      <c r="M7" s="425">
        <f>Microc.!U6</f>
        <v>743.10565110565108</v>
      </c>
    </row>
    <row r="8" spans="1:14" ht="14" thickBot="1">
      <c r="A8" s="415" t="s">
        <v>471</v>
      </c>
      <c r="B8" s="413">
        <f>B7*1/3</f>
        <v>330.26917826917821</v>
      </c>
      <c r="C8" s="570">
        <f>B7-B8</f>
        <v>660.53835653835654</v>
      </c>
      <c r="D8" s="426">
        <f>D7*0.1</f>
        <v>100.42961834561834</v>
      </c>
      <c r="E8" s="426">
        <f>D7*1/4</f>
        <v>251.07404586404581</v>
      </c>
      <c r="F8" s="573">
        <f>D7-D8-E8</f>
        <v>652.79251924651908</v>
      </c>
      <c r="G8" s="413">
        <f>G7*0.3</f>
        <v>195.21649140049135</v>
      </c>
      <c r="H8" s="570">
        <f>G7-G8</f>
        <v>455.50514660114652</v>
      </c>
      <c r="I8" s="413">
        <f>I7*0</f>
        <v>0</v>
      </c>
      <c r="J8" s="570">
        <f>I7-I8</f>
        <v>1486.2113022113022</v>
      </c>
      <c r="K8" s="413">
        <f>K7*0</f>
        <v>0</v>
      </c>
      <c r="L8" s="570">
        <f>K7-K8</f>
        <v>730.05867321867299</v>
      </c>
      <c r="M8" s="430">
        <f>M7*1</f>
        <v>743.10565110565108</v>
      </c>
    </row>
    <row r="9" spans="1:14" ht="3" customHeight="1" thickBot="1">
      <c r="A9" s="416" t="s">
        <v>472</v>
      </c>
      <c r="B9" s="411">
        <f>Microc.!P7</f>
        <v>0</v>
      </c>
      <c r="C9" s="571"/>
      <c r="D9" s="424">
        <f>Microc.!Q7</f>
        <v>1767.8727272727276</v>
      </c>
      <c r="E9" s="462"/>
      <c r="F9" s="574"/>
      <c r="G9" s="411">
        <f>Microc.!R7</f>
        <v>2357.1636363636367</v>
      </c>
      <c r="H9" s="571"/>
      <c r="I9" s="411">
        <f>Microc.!S7</f>
        <v>0</v>
      </c>
      <c r="J9" s="571"/>
      <c r="K9" s="411">
        <f>Microc.!T7</f>
        <v>1130.9095823095827</v>
      </c>
      <c r="L9" s="571"/>
      <c r="M9" s="425">
        <f>Microc.!U7</f>
        <v>636.96314496314506</v>
      </c>
    </row>
    <row r="10" spans="1:14" ht="14" thickBot="1">
      <c r="A10" s="416" t="s">
        <v>472</v>
      </c>
      <c r="B10" s="413">
        <f>B9*1/3</f>
        <v>0</v>
      </c>
      <c r="C10" s="570">
        <f>B9-B10</f>
        <v>0</v>
      </c>
      <c r="D10" s="426">
        <f>D9*0</f>
        <v>0</v>
      </c>
      <c r="E10" s="426">
        <f>D9*1/4</f>
        <v>441.9681818181819</v>
      </c>
      <c r="F10" s="573">
        <f>D9-D10-E10</f>
        <v>1325.9045454545458</v>
      </c>
      <c r="G10" s="413">
        <f>G9*0</f>
        <v>0</v>
      </c>
      <c r="H10" s="570">
        <f>G9-G10</f>
        <v>2357.1636363636367</v>
      </c>
      <c r="I10" s="413">
        <f>I9*1</f>
        <v>0</v>
      </c>
      <c r="J10" s="570">
        <f>I9-I10</f>
        <v>0</v>
      </c>
      <c r="K10" s="413">
        <f>K9*1</f>
        <v>1130.9095823095827</v>
      </c>
      <c r="L10" s="570">
        <f>K9-K10</f>
        <v>0</v>
      </c>
      <c r="M10" s="430">
        <f>M9*1</f>
        <v>636.96314496314506</v>
      </c>
    </row>
    <row r="11" spans="1:14" ht="3" customHeight="1" thickBot="1">
      <c r="A11" s="417" t="s">
        <v>473</v>
      </c>
      <c r="B11" s="411">
        <f>Microc.!P8</f>
        <v>0</v>
      </c>
      <c r="C11" s="571"/>
      <c r="D11" s="424">
        <f>Microc.!Q8</f>
        <v>0</v>
      </c>
      <c r="E11" s="462"/>
      <c r="F11" s="574"/>
      <c r="G11" s="411">
        <f>Microc.!R8</f>
        <v>0</v>
      </c>
      <c r="H11" s="571"/>
      <c r="I11" s="411">
        <f>Microc.!S8</f>
        <v>7</v>
      </c>
      <c r="J11" s="571"/>
      <c r="K11" s="411">
        <f>Microc.!T8</f>
        <v>0</v>
      </c>
      <c r="L11" s="571"/>
      <c r="M11" s="425">
        <f>Microc.!U8</f>
        <v>0</v>
      </c>
    </row>
    <row r="12" spans="1:14" ht="14" thickBot="1">
      <c r="A12" s="417" t="s">
        <v>473</v>
      </c>
      <c r="B12" s="413">
        <f>B11*1/3</f>
        <v>0</v>
      </c>
      <c r="C12" s="570">
        <f>B11-B12</f>
        <v>0</v>
      </c>
      <c r="D12" s="426">
        <f>D11*0.2</f>
        <v>0</v>
      </c>
      <c r="E12" s="426">
        <f>D11*0</f>
        <v>0</v>
      </c>
      <c r="F12" s="573">
        <f>D11-D12-E12</f>
        <v>0</v>
      </c>
      <c r="G12" s="413">
        <f>G11*1</f>
        <v>0</v>
      </c>
      <c r="H12" s="570">
        <f>G11-G12</f>
        <v>0</v>
      </c>
      <c r="I12" s="413">
        <f>I11*0</f>
        <v>0</v>
      </c>
      <c r="J12" s="570">
        <f>I11-I12</f>
        <v>7</v>
      </c>
      <c r="K12" s="413">
        <f>K11*0</f>
        <v>0</v>
      </c>
      <c r="L12" s="570">
        <f>K11-K12</f>
        <v>0</v>
      </c>
      <c r="M12" s="430">
        <f>M11*1</f>
        <v>0</v>
      </c>
    </row>
    <row r="13" spans="1:14" ht="3.75" customHeight="1" thickBot="1">
      <c r="A13" s="418" t="s">
        <v>474</v>
      </c>
      <c r="B13" s="411">
        <f>Microc.!P9</f>
        <v>7</v>
      </c>
      <c r="C13" s="571"/>
      <c r="D13" s="424">
        <f>Microc.!Q9</f>
        <v>0</v>
      </c>
      <c r="E13" s="462"/>
      <c r="F13" s="574"/>
      <c r="G13" s="411">
        <f>Microc.!R9</f>
        <v>0</v>
      </c>
      <c r="H13" s="571"/>
      <c r="I13" s="411">
        <f>Microc.!S9</f>
        <v>7</v>
      </c>
      <c r="J13" s="571"/>
      <c r="K13" s="411">
        <f>Microc.!T9</f>
        <v>0</v>
      </c>
      <c r="L13" s="571"/>
      <c r="M13" s="425">
        <f>Microc.!U9</f>
        <v>7</v>
      </c>
    </row>
    <row r="14" spans="1:14" ht="14" thickBot="1">
      <c r="A14" s="418" t="s">
        <v>474</v>
      </c>
      <c r="B14" s="413">
        <f>B13*1/3</f>
        <v>2.3333333333333335</v>
      </c>
      <c r="C14" s="570">
        <f>B13-B14</f>
        <v>4.6666666666666661</v>
      </c>
      <c r="D14" s="426">
        <f>D13*1/3</f>
        <v>0</v>
      </c>
      <c r="E14" s="426">
        <f>D13-D14</f>
        <v>0</v>
      </c>
      <c r="F14" s="573">
        <f>D13-D14-E14</f>
        <v>0</v>
      </c>
      <c r="G14" s="413">
        <f>G13*1/3</f>
        <v>0</v>
      </c>
      <c r="H14" s="570">
        <f>G13-G14</f>
        <v>0</v>
      </c>
      <c r="I14" s="413">
        <f>I13*1/3</f>
        <v>2.3333333333333335</v>
      </c>
      <c r="J14" s="570">
        <f>I13-I14</f>
        <v>4.6666666666666661</v>
      </c>
      <c r="K14" s="413">
        <f>K13*1/3</f>
        <v>0</v>
      </c>
      <c r="L14" s="570">
        <f>K13-K14</f>
        <v>0</v>
      </c>
      <c r="M14" s="430">
        <f>M13*1</f>
        <v>7</v>
      </c>
      <c r="N14" s="3365">
        <f>SUM(B14:M14)</f>
        <v>21</v>
      </c>
    </row>
    <row r="15" spans="1:14" ht="2.25" customHeight="1" thickBot="1">
      <c r="A15" s="419" t="s">
        <v>475</v>
      </c>
      <c r="B15" s="411">
        <f>Microc.!P10</f>
        <v>424.71416871416869</v>
      </c>
      <c r="C15" s="571"/>
      <c r="D15" s="424">
        <f>Microc.!Q10</f>
        <v>583.98198198198202</v>
      </c>
      <c r="E15" s="462"/>
      <c r="F15" s="574"/>
      <c r="G15" s="411">
        <f>Microc.!R10</f>
        <v>583.98198198198202</v>
      </c>
      <c r="H15" s="571"/>
      <c r="I15" s="411">
        <f>Microc.!S10</f>
        <v>637.07125307125307</v>
      </c>
      <c r="J15" s="571"/>
      <c r="K15" s="411">
        <f>Microc.!T10</f>
        <v>398.16953316953322</v>
      </c>
      <c r="L15" s="571"/>
      <c r="M15" s="425">
        <f>Microc.!U10</f>
        <v>318.53562653562653</v>
      </c>
    </row>
    <row r="16" spans="1:14" ht="14" thickBot="1">
      <c r="A16" s="419" t="s">
        <v>475</v>
      </c>
      <c r="B16" s="413">
        <f>B15*1/3</f>
        <v>141.57138957138957</v>
      </c>
      <c r="C16" s="570">
        <f>B15-B16</f>
        <v>283.14277914277909</v>
      </c>
      <c r="D16" s="426">
        <f>D15*0.5</f>
        <v>291.99099099099101</v>
      </c>
      <c r="E16" s="463">
        <f>D15*0</f>
        <v>0</v>
      </c>
      <c r="F16" s="573">
        <f>D15-D16-E16</f>
        <v>291.99099099099101</v>
      </c>
      <c r="G16" s="413">
        <f>G15*1</f>
        <v>583.98198198198202</v>
      </c>
      <c r="H16" s="570">
        <f>G15-G16</f>
        <v>0</v>
      </c>
      <c r="I16" s="413">
        <f>I15*1</f>
        <v>637.07125307125307</v>
      </c>
      <c r="J16" s="570">
        <f>I15-I16</f>
        <v>0</v>
      </c>
      <c r="K16" s="413">
        <f>K15*1</f>
        <v>398.16953316953322</v>
      </c>
      <c r="L16" s="570">
        <f>K15-K16</f>
        <v>0</v>
      </c>
      <c r="M16" s="430">
        <f>M15*1</f>
        <v>318.53562653562653</v>
      </c>
    </row>
    <row r="17" spans="1:14">
      <c r="A17" s="46" t="s">
        <v>476</v>
      </c>
      <c r="B17" s="392">
        <f>B16+B14+B12+B10+B8+B6+B4</f>
        <v>1418.044226044226</v>
      </c>
      <c r="C17" s="572">
        <f>C16+C14+C12+C10+C8+C6+C4</f>
        <v>2836.0884520884524</v>
      </c>
      <c r="D17" s="427">
        <f t="shared" ref="D17:L17" si="0">D16+D14+D12+D10+D8+D6+D4</f>
        <v>1171.0386273546276</v>
      </c>
      <c r="E17" s="427">
        <f t="shared" si="0"/>
        <v>1666.3147502047505</v>
      </c>
      <c r="F17" s="575">
        <f t="shared" si="0"/>
        <v>4411.8876052416063</v>
      </c>
      <c r="G17" s="392">
        <f t="shared" si="0"/>
        <v>1947.1255004095005</v>
      </c>
      <c r="H17" s="572">
        <f t="shared" si="0"/>
        <v>5537.831846027847</v>
      </c>
      <c r="I17" s="392">
        <f t="shared" si="0"/>
        <v>3269.967372882134</v>
      </c>
      <c r="J17" s="572">
        <f t="shared" si="0"/>
        <v>3114.2316443168843</v>
      </c>
      <c r="K17" s="392">
        <f t="shared" si="0"/>
        <v>2590.9582309582315</v>
      </c>
      <c r="L17" s="572">
        <f t="shared" si="0"/>
        <v>2322.8773464373467</v>
      </c>
      <c r="M17" s="431"/>
    </row>
    <row r="18" spans="1:14" ht="14" thickBot="1">
      <c r="A18" s="46" t="s">
        <v>211</v>
      </c>
      <c r="B18" s="387">
        <f>SUM(B17:C17)</f>
        <v>4254.1326781326788</v>
      </c>
      <c r="C18" s="569"/>
      <c r="D18" s="428">
        <f>SUM(D17:F17)</f>
        <v>7249.2409828009841</v>
      </c>
      <c r="E18" s="464"/>
      <c r="F18" s="429"/>
      <c r="G18" s="387">
        <f>SUM(G17:H17)</f>
        <v>7484.957346437348</v>
      </c>
      <c r="H18" s="388"/>
      <c r="I18" s="387">
        <f>SUM(I17:J17)</f>
        <v>6384.1990171990183</v>
      </c>
      <c r="J18" s="388"/>
      <c r="K18" s="387">
        <f>SUM(K17:L17)</f>
        <v>4913.8355773955782</v>
      </c>
      <c r="L18" s="388"/>
      <c r="M18" s="432">
        <f>M16+M14+M12+M10+M8+M6+M4</f>
        <v>3829.5626535626543</v>
      </c>
      <c r="N18" s="3365">
        <f>SUM(B18:M18)</f>
        <v>34115.928255528255</v>
      </c>
    </row>
    <row r="19" spans="1:14">
      <c r="A19" s="404" t="s">
        <v>477</v>
      </c>
      <c r="B19" s="405"/>
      <c r="C19" s="406"/>
      <c r="D19" s="405"/>
      <c r="E19" s="405"/>
      <c r="F19" s="406"/>
      <c r="G19" s="405"/>
      <c r="H19" s="406"/>
      <c r="I19" s="406"/>
      <c r="J19" s="406"/>
      <c r="K19" s="405"/>
      <c r="L19" s="406"/>
      <c r="M19" s="405"/>
    </row>
    <row r="20" spans="1:14">
      <c r="A20" s="407" t="s">
        <v>478</v>
      </c>
      <c r="B20" s="408">
        <f>Microc.!D17</f>
        <v>5</v>
      </c>
      <c r="C20" s="408"/>
      <c r="D20" s="408">
        <f>Microc.!E17</f>
        <v>5</v>
      </c>
      <c r="E20" s="408"/>
      <c r="F20" s="408"/>
      <c r="G20" s="408">
        <f>Microc.!F17</f>
        <v>55</v>
      </c>
      <c r="H20" s="408"/>
      <c r="I20" s="409"/>
      <c r="J20" s="409"/>
      <c r="K20" s="408">
        <f>Microc.!H17</f>
        <v>5</v>
      </c>
      <c r="L20" s="409"/>
      <c r="M20" s="408"/>
    </row>
  </sheetData>
  <mergeCells count="1">
    <mergeCell ref="I1:J1"/>
  </mergeCells>
  <phoneticPr fontId="21" type="noConversion"/>
  <pageMargins left="0.41" right="0.78740157480314965" top="0.98425196850393704" bottom="0.98425196850393704" header="0.51181102362204722" footer="0.51181102362204722"/>
  <pageSetup paperSize="9" orientation="landscape" horizontalDpi="0" verticalDpi="0"/>
  <headerFooter>
    <oddHeader>&amp;A</oddHeader>
    <oddFooter>Página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B3282-92E6-A940-8FE2-5984352D038E}">
  <sheetPr codeName="Hoja72">
    <pageSetUpPr fitToPage="1"/>
  </sheetPr>
  <dimension ref="A1:O24"/>
  <sheetViews>
    <sheetView topLeftCell="A18" zoomScale="234" zoomScaleNormal="156" workbookViewId="0">
      <selection activeCell="K21" sqref="K21:K22"/>
    </sheetView>
  </sheetViews>
  <sheetFormatPr baseColWidth="10" defaultColWidth="10.83203125" defaultRowHeight="13"/>
  <cols>
    <col min="1" max="1" width="2.83203125" customWidth="1"/>
    <col min="2" max="2" width="6.6640625" customWidth="1"/>
    <col min="3" max="3" width="13.83203125" customWidth="1"/>
    <col min="9" max="9" width="7" customWidth="1"/>
    <col min="11" max="11" width="13.5" customWidth="1"/>
    <col min="12" max="12" width="7.6640625" style="49" customWidth="1"/>
    <col min="13" max="13" width="9.6640625" style="49" customWidth="1"/>
    <col min="14" max="14" width="9.83203125" style="49" customWidth="1"/>
    <col min="15" max="15" width="2.83203125" customWidth="1"/>
  </cols>
  <sheetData>
    <row r="1" spans="1:15" ht="14" thickBot="1">
      <c r="A1" s="2723"/>
      <c r="B1" s="2186"/>
      <c r="C1" s="2186"/>
      <c r="D1" s="2186"/>
      <c r="E1" s="2186"/>
      <c r="F1" s="2186"/>
      <c r="G1" s="2186"/>
      <c r="H1" s="2186"/>
      <c r="I1" s="2186"/>
      <c r="J1" s="2186"/>
      <c r="K1" s="2186"/>
      <c r="L1" s="2724"/>
      <c r="M1" s="2724"/>
      <c r="N1" s="2724"/>
      <c r="O1" s="2186"/>
    </row>
    <row r="2" spans="1:15" ht="21" thickBot="1">
      <c r="A2" s="2186"/>
      <c r="B2" s="2720" t="s">
        <v>1458</v>
      </c>
      <c r="C2" s="2721"/>
      <c r="D2" s="2722"/>
      <c r="E2" s="2477"/>
      <c r="F2" s="2477"/>
      <c r="G2" s="2477"/>
      <c r="H2" s="2477"/>
      <c r="I2" s="2477"/>
      <c r="J2" s="2477"/>
      <c r="K2" s="2477"/>
      <c r="L2" s="2718"/>
      <c r="M2" s="2718"/>
      <c r="N2" s="2719"/>
      <c r="O2" s="2186"/>
    </row>
    <row r="3" spans="1:15">
      <c r="A3" s="2186"/>
      <c r="B3" s="2725"/>
      <c r="C3" s="2726"/>
      <c r="D3" s="2726"/>
      <c r="E3" s="2726"/>
      <c r="F3" s="2726"/>
      <c r="G3" s="2726"/>
      <c r="H3" s="2726"/>
      <c r="I3" s="2726"/>
      <c r="J3" s="2726"/>
      <c r="K3" s="2726"/>
      <c r="L3" s="2727" t="s">
        <v>1465</v>
      </c>
      <c r="M3" s="2727" t="s">
        <v>949</v>
      </c>
      <c r="N3" s="2727" t="s">
        <v>476</v>
      </c>
      <c r="O3" s="2186"/>
    </row>
    <row r="4" spans="1:15">
      <c r="A4" s="2186"/>
      <c r="B4" s="2727" t="s">
        <v>1469</v>
      </c>
      <c r="C4" s="2728" t="s">
        <v>1459</v>
      </c>
      <c r="D4" s="2728"/>
      <c r="E4" s="2728"/>
      <c r="F4" s="2728" t="s">
        <v>1464</v>
      </c>
      <c r="G4" s="2728"/>
      <c r="H4" s="2728"/>
      <c r="I4" s="2728"/>
      <c r="J4" s="2728"/>
      <c r="K4" s="2728"/>
      <c r="L4" s="2727">
        <v>10</v>
      </c>
      <c r="M4" s="2727">
        <v>20</v>
      </c>
      <c r="N4" s="2727">
        <f>L4*M4</f>
        <v>200</v>
      </c>
      <c r="O4" s="2186"/>
    </row>
    <row r="5" spans="1:15">
      <c r="A5" s="2186"/>
      <c r="B5" s="2727" t="s">
        <v>1468</v>
      </c>
      <c r="C5" s="2728" t="s">
        <v>1460</v>
      </c>
      <c r="D5" s="2728"/>
      <c r="E5" s="2728"/>
      <c r="F5" s="2728"/>
      <c r="G5" s="2728"/>
      <c r="H5" s="2728"/>
      <c r="I5" s="2728"/>
      <c r="J5" s="2728"/>
      <c r="K5" s="2728"/>
      <c r="L5" s="2727">
        <v>10</v>
      </c>
      <c r="M5" s="2727">
        <v>15</v>
      </c>
      <c r="N5" s="2727">
        <f t="shared" ref="N5:N9" si="0">L5*M5</f>
        <v>150</v>
      </c>
      <c r="O5" s="2186"/>
    </row>
    <row r="6" spans="1:15">
      <c r="A6" s="2186"/>
      <c r="B6" s="2727" t="s">
        <v>1470</v>
      </c>
      <c r="C6" s="2728" t="s">
        <v>1461</v>
      </c>
      <c r="D6" s="2728"/>
      <c r="E6" s="2728"/>
      <c r="F6" s="2728"/>
      <c r="G6" s="2728"/>
      <c r="H6" s="2728"/>
      <c r="I6" s="2728"/>
      <c r="J6" s="2728"/>
      <c r="K6" s="2728"/>
      <c r="L6" s="2727">
        <v>10</v>
      </c>
      <c r="M6" s="2727">
        <v>7.5</v>
      </c>
      <c r="N6" s="2727">
        <f t="shared" si="0"/>
        <v>75</v>
      </c>
      <c r="O6" s="2186"/>
    </row>
    <row r="7" spans="1:15">
      <c r="A7" s="2186"/>
      <c r="B7" s="2727" t="s">
        <v>1471</v>
      </c>
      <c r="C7" s="2728" t="s">
        <v>1462</v>
      </c>
      <c r="D7" s="2728"/>
      <c r="E7" s="2728"/>
      <c r="F7" s="2728"/>
      <c r="G7" s="2728"/>
      <c r="H7" s="2728"/>
      <c r="I7" s="2728"/>
      <c r="J7" s="2728"/>
      <c r="K7" s="2728"/>
      <c r="L7" s="2727">
        <v>10</v>
      </c>
      <c r="M7" s="2727">
        <v>7.5</v>
      </c>
      <c r="N7" s="2727">
        <f t="shared" si="0"/>
        <v>75</v>
      </c>
      <c r="O7" s="2186"/>
    </row>
    <row r="8" spans="1:15">
      <c r="A8" s="2186"/>
      <c r="B8" s="2727" t="s">
        <v>1472</v>
      </c>
      <c r="C8" s="2728" t="s">
        <v>1463</v>
      </c>
      <c r="D8" s="2728"/>
      <c r="E8" s="2728"/>
      <c r="F8" s="2728"/>
      <c r="G8" s="2728"/>
      <c r="H8" s="2728"/>
      <c r="I8" s="2728"/>
      <c r="J8" s="2728"/>
      <c r="K8" s="2728"/>
      <c r="L8" s="2727">
        <v>10</v>
      </c>
      <c r="M8" s="2727">
        <v>7.5</v>
      </c>
      <c r="N8" s="2727">
        <f t="shared" si="0"/>
        <v>75</v>
      </c>
      <c r="O8" s="2186"/>
    </row>
    <row r="9" spans="1:15">
      <c r="A9" s="2186"/>
      <c r="B9" s="2727" t="s">
        <v>1473</v>
      </c>
      <c r="C9" s="2728" t="s">
        <v>1466</v>
      </c>
      <c r="D9" s="2728"/>
      <c r="E9" s="2728"/>
      <c r="F9" s="2728"/>
      <c r="G9" s="2728"/>
      <c r="H9" s="2728"/>
      <c r="I9" s="2728"/>
      <c r="J9" s="2728"/>
      <c r="K9" s="2728"/>
      <c r="L9" s="2727">
        <v>10</v>
      </c>
      <c r="M9" s="2727">
        <v>6</v>
      </c>
      <c r="N9" s="2727">
        <f t="shared" si="0"/>
        <v>60</v>
      </c>
      <c r="O9" s="2186"/>
    </row>
    <row r="10" spans="1:15">
      <c r="A10" s="2186"/>
      <c r="B10" s="2728"/>
      <c r="C10" s="2728"/>
      <c r="D10" s="2728"/>
      <c r="E10" s="2728"/>
      <c r="F10" s="2728"/>
      <c r="G10" s="2728"/>
      <c r="H10" s="2728"/>
      <c r="I10" s="2728"/>
      <c r="J10" s="2728"/>
      <c r="K10" s="2728"/>
      <c r="L10" s="2727"/>
      <c r="M10" s="2727"/>
      <c r="N10" s="2727">
        <f>SUM(N4:N9)</f>
        <v>635</v>
      </c>
      <c r="O10" s="2186"/>
    </row>
    <row r="11" spans="1:15" ht="14" thickBot="1">
      <c r="A11" s="2186"/>
      <c r="B11" s="2729"/>
      <c r="C11" s="2729"/>
      <c r="D11" s="2729"/>
      <c r="E11" s="2729"/>
      <c r="F11" s="2729"/>
      <c r="G11" s="2729"/>
      <c r="H11" s="2729"/>
      <c r="I11" s="2729"/>
      <c r="J11" s="2729"/>
      <c r="K11" s="2729"/>
      <c r="L11" s="2730"/>
      <c r="M11" s="2730"/>
      <c r="N11" s="2730"/>
      <c r="O11" s="2186"/>
    </row>
    <row r="12" spans="1:15" ht="25" customHeight="1">
      <c r="A12" s="2186"/>
      <c r="B12" s="2729"/>
      <c r="C12" s="2731"/>
      <c r="D12" s="2732" t="s">
        <v>1469</v>
      </c>
      <c r="E12" s="2732" t="s">
        <v>1468</v>
      </c>
      <c r="F12" s="2732" t="s">
        <v>1470</v>
      </c>
      <c r="G12" s="2732" t="s">
        <v>1471</v>
      </c>
      <c r="H12" s="2732" t="s">
        <v>1472</v>
      </c>
      <c r="I12" s="2732"/>
      <c r="J12" s="2732" t="s">
        <v>1473</v>
      </c>
      <c r="K12" s="2729"/>
      <c r="L12" s="2730"/>
      <c r="M12" s="2730"/>
      <c r="N12" s="2730"/>
      <c r="O12" s="2186"/>
    </row>
    <row r="13" spans="1:15" ht="25" customHeight="1">
      <c r="A13" s="2186"/>
      <c r="B13" s="2729"/>
      <c r="C13" s="2733" t="s">
        <v>461</v>
      </c>
      <c r="D13" s="2734">
        <v>9.58</v>
      </c>
      <c r="E13" s="2735">
        <v>5.49</v>
      </c>
      <c r="F13" s="2735">
        <v>45.8</v>
      </c>
      <c r="G13" s="2735">
        <v>51.87</v>
      </c>
      <c r="H13" s="2735">
        <v>3.34</v>
      </c>
      <c r="I13" s="2744">
        <v>3</v>
      </c>
      <c r="J13" s="2736"/>
      <c r="K13" s="2729"/>
      <c r="L13" s="2730"/>
      <c r="M13" s="2730"/>
      <c r="N13" s="2730"/>
      <c r="O13" s="2186"/>
    </row>
    <row r="14" spans="1:15" ht="25" customHeight="1">
      <c r="A14" s="2186"/>
      <c r="B14" s="2729"/>
      <c r="C14" s="2733" t="s">
        <v>37</v>
      </c>
      <c r="D14" s="2734">
        <v>9.41</v>
      </c>
      <c r="E14" s="2735">
        <v>5.33</v>
      </c>
      <c r="F14" s="2735">
        <v>39.21</v>
      </c>
      <c r="G14" s="2735"/>
      <c r="H14" s="2735">
        <v>3.38</v>
      </c>
      <c r="I14" s="2744">
        <v>3</v>
      </c>
      <c r="J14" s="2736"/>
      <c r="K14" s="2729"/>
      <c r="L14" s="2730"/>
      <c r="M14" s="2730"/>
      <c r="N14" s="2730"/>
      <c r="O14" s="2186"/>
    </row>
    <row r="15" spans="1:15" ht="25" customHeight="1">
      <c r="A15" s="2186"/>
      <c r="B15" s="2729"/>
      <c r="C15" s="2733" t="s">
        <v>210</v>
      </c>
      <c r="D15" s="2734">
        <v>9.58</v>
      </c>
      <c r="E15" s="2735">
        <v>5.07</v>
      </c>
      <c r="F15" s="2735">
        <v>44.22</v>
      </c>
      <c r="G15" s="2735"/>
      <c r="H15" s="2735">
        <v>3.27</v>
      </c>
      <c r="I15" s="2744">
        <v>3</v>
      </c>
      <c r="J15" s="2736"/>
      <c r="K15" s="2729"/>
      <c r="L15" s="2730"/>
      <c r="M15" s="2730"/>
      <c r="N15" s="2730"/>
      <c r="O15" s="2186"/>
    </row>
    <row r="16" spans="1:15" ht="25" customHeight="1">
      <c r="A16" s="2186"/>
      <c r="B16" s="2729"/>
      <c r="C16" s="2733" t="s">
        <v>137</v>
      </c>
      <c r="D16" s="2734"/>
      <c r="E16" s="2735">
        <v>5.19</v>
      </c>
      <c r="F16" s="2735">
        <v>41</v>
      </c>
      <c r="G16" s="2735"/>
      <c r="H16" s="2735">
        <v>2.99</v>
      </c>
      <c r="I16" s="2744"/>
      <c r="J16" s="2736"/>
      <c r="K16" s="2729"/>
      <c r="L16" s="2730"/>
      <c r="M16" s="2730"/>
      <c r="N16" s="2730"/>
      <c r="O16" s="2186"/>
    </row>
    <row r="17" spans="1:15" ht="25" customHeight="1">
      <c r="A17" s="2186"/>
      <c r="B17" s="2729"/>
      <c r="C17" s="2737" t="s">
        <v>1467</v>
      </c>
      <c r="D17" s="2734"/>
      <c r="E17" s="2735"/>
      <c r="F17" s="2735"/>
      <c r="G17" s="2735"/>
      <c r="H17" s="2735"/>
      <c r="I17" s="2744"/>
      <c r="J17" s="2736"/>
      <c r="K17" s="2729"/>
      <c r="L17" s="2730"/>
      <c r="M17" s="2730"/>
      <c r="N17" s="2730"/>
      <c r="O17" s="2186"/>
    </row>
    <row r="18" spans="1:15" ht="25" customHeight="1">
      <c r="A18" s="2186"/>
      <c r="B18" s="2729"/>
      <c r="C18" s="2733" t="s">
        <v>220</v>
      </c>
      <c r="D18" s="2734"/>
      <c r="E18" s="2735"/>
      <c r="F18" s="2735"/>
      <c r="G18" s="2735"/>
      <c r="H18" s="2735"/>
      <c r="I18" s="2744"/>
      <c r="J18" s="2736"/>
      <c r="K18" s="2729"/>
      <c r="L18" s="2730"/>
      <c r="M18" s="2730"/>
      <c r="N18" s="2730"/>
      <c r="O18" s="2186"/>
    </row>
    <row r="19" spans="1:15" ht="25" customHeight="1">
      <c r="A19" s="2186"/>
      <c r="B19" s="2729"/>
      <c r="C19" s="2733" t="s">
        <v>138</v>
      </c>
      <c r="D19" s="2734"/>
      <c r="E19" s="2735"/>
      <c r="F19" s="2735"/>
      <c r="G19" s="2735"/>
      <c r="H19" s="2735"/>
      <c r="I19" s="2744"/>
      <c r="J19" s="2736"/>
      <c r="K19" s="2729"/>
      <c r="L19" s="2730"/>
      <c r="M19" s="2730"/>
      <c r="N19" s="2730"/>
      <c r="O19" s="2186"/>
    </row>
    <row r="20" spans="1:15" ht="25" customHeight="1">
      <c r="A20" s="2186"/>
      <c r="B20" s="2729"/>
      <c r="C20" s="2733" t="s">
        <v>461</v>
      </c>
      <c r="D20" s="2734"/>
      <c r="E20" s="2735"/>
      <c r="F20" s="2735"/>
      <c r="G20" s="2735"/>
      <c r="H20" s="2735"/>
      <c r="I20" s="2744"/>
      <c r="J20" s="2736"/>
      <c r="K20" s="2729"/>
      <c r="L20" s="2730"/>
      <c r="M20" s="2730"/>
      <c r="N20" s="2730"/>
      <c r="O20" s="2186"/>
    </row>
    <row r="21" spans="1:15" ht="25" customHeight="1">
      <c r="A21" s="2186"/>
      <c r="B21" s="2729"/>
      <c r="C21" s="2733" t="s">
        <v>674</v>
      </c>
      <c r="D21" s="2734"/>
      <c r="E21" s="2735"/>
      <c r="F21" s="2735"/>
      <c r="G21" s="2735"/>
      <c r="H21" s="2735"/>
      <c r="I21" s="2744"/>
      <c r="J21" s="2736"/>
      <c r="K21" s="2729"/>
      <c r="L21" s="2730"/>
      <c r="M21" s="2730"/>
      <c r="N21" s="2730"/>
      <c r="O21" s="2186"/>
    </row>
    <row r="22" spans="1:15" ht="25" customHeight="1" thickBot="1">
      <c r="A22" s="2186"/>
      <c r="B22" s="2729"/>
      <c r="C22" s="2738" t="s">
        <v>219</v>
      </c>
      <c r="D22" s="2739"/>
      <c r="E22" s="2740"/>
      <c r="F22" s="2740"/>
      <c r="G22" s="2740"/>
      <c r="H22" s="2740"/>
      <c r="I22" s="2745"/>
      <c r="J22" s="2741"/>
      <c r="K22" s="2729"/>
      <c r="L22" s="2730"/>
      <c r="M22" s="2730"/>
      <c r="N22" s="2730"/>
      <c r="O22" s="2186"/>
    </row>
    <row r="23" spans="1:15">
      <c r="A23" s="2186"/>
      <c r="B23" s="2729"/>
      <c r="C23" s="2729"/>
      <c r="D23" s="2729"/>
      <c r="E23" s="2729"/>
      <c r="F23" s="2729"/>
      <c r="G23" s="2729"/>
      <c r="H23" s="2729"/>
      <c r="I23" s="2729"/>
      <c r="J23" s="2729"/>
      <c r="K23" s="2729"/>
      <c r="L23" s="2730"/>
      <c r="M23" s="2730"/>
      <c r="N23" s="2730"/>
      <c r="O23" s="2186"/>
    </row>
    <row r="24" spans="1:15">
      <c r="B24" s="2742"/>
      <c r="C24" s="2742"/>
      <c r="D24" s="2742"/>
      <c r="E24" s="2742"/>
      <c r="F24" s="2742"/>
      <c r="G24" s="2742"/>
      <c r="H24" s="2742"/>
      <c r="I24" s="2742"/>
      <c r="J24" s="2742"/>
      <c r="K24" s="2742"/>
      <c r="L24" s="2743"/>
      <c r="M24" s="2743"/>
      <c r="N24" s="2743"/>
    </row>
  </sheetData>
  <printOptions horizontalCentered="1" verticalCentered="1"/>
  <pageMargins left="0" right="0" top="0" bottom="0" header="0" footer="0"/>
  <pageSetup paperSize="9" orientation="landscape" horizontalDpi="0" verticalDpi="0" copies="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62"/>
  <dimension ref="A1:AO167"/>
  <sheetViews>
    <sheetView topLeftCell="A6" zoomScale="150" workbookViewId="0">
      <selection activeCell="L39" sqref="L39"/>
    </sheetView>
  </sheetViews>
  <sheetFormatPr baseColWidth="10" defaultColWidth="11.5" defaultRowHeight="13"/>
  <cols>
    <col min="1" max="1" width="2.83203125" style="215" customWidth="1"/>
    <col min="2" max="2" width="2.83203125" style="216" customWidth="1"/>
    <col min="3" max="3" width="1.33203125" style="204" customWidth="1"/>
    <col min="4" max="4" width="0.83203125" style="902" customWidth="1"/>
    <col min="5" max="5" width="3.83203125" style="204" customWidth="1"/>
    <col min="6" max="6" width="3.33203125" style="207" customWidth="1"/>
    <col min="7" max="7" width="5.6640625" style="208" customWidth="1"/>
    <col min="8" max="8" width="5.33203125" style="208" customWidth="1"/>
    <col min="9" max="10" width="7.33203125" style="208" customWidth="1"/>
    <col min="11" max="11" width="26.83203125" style="208" customWidth="1"/>
    <col min="12" max="12" width="9.6640625" style="208" customWidth="1"/>
    <col min="13" max="13" width="1.6640625" style="449" customWidth="1"/>
    <col min="14" max="14" width="9.5" style="207" customWidth="1"/>
    <col min="15" max="15" width="1" style="208" customWidth="1"/>
    <col min="16" max="16" width="9" style="208" customWidth="1"/>
    <col min="17" max="17" width="6.6640625" style="209" customWidth="1"/>
    <col min="18" max="18" width="7.6640625" style="209" customWidth="1"/>
    <col min="19" max="19" width="1.33203125" style="210" customWidth="1"/>
    <col min="20" max="20" width="0.33203125" style="210" customWidth="1"/>
    <col min="21" max="21" width="6" style="211" customWidth="1"/>
    <col min="22" max="22" width="5.6640625" style="211" customWidth="1"/>
    <col min="23" max="23" width="6.33203125" style="211" customWidth="1"/>
    <col min="24" max="24" width="5.33203125" style="211" customWidth="1"/>
    <col min="25" max="25" width="6" style="211" customWidth="1"/>
    <col min="26" max="27" width="5.33203125" style="211" customWidth="1"/>
    <col min="28" max="28" width="7.6640625" style="213" customWidth="1"/>
    <col min="29" max="33" width="4.5" style="214" customWidth="1"/>
    <col min="34" max="34" width="6.5" style="214" customWidth="1"/>
    <col min="35" max="39" width="5.33203125" style="214" customWidth="1"/>
    <col min="40" max="40" width="11.5" style="213"/>
    <col min="41" max="16384" width="11.5" style="204"/>
  </cols>
  <sheetData>
    <row r="1" spans="1:40" ht="16.5" customHeight="1">
      <c r="A1" s="215" t="s">
        <v>344</v>
      </c>
      <c r="B1" s="204"/>
      <c r="C1" s="205"/>
      <c r="D1" s="901"/>
      <c r="E1" s="206"/>
      <c r="F1" s="208"/>
      <c r="V1" s="212"/>
      <c r="AI1" s="213"/>
      <c r="AJ1" s="213"/>
      <c r="AK1" s="213"/>
      <c r="AL1" s="213"/>
      <c r="AM1" s="213"/>
    </row>
    <row r="2" spans="1:40" ht="15.75" customHeight="1" thickBot="1">
      <c r="A2" s="203"/>
      <c r="F2" s="527"/>
      <c r="G2" s="155"/>
      <c r="H2" s="155"/>
      <c r="I2" s="155"/>
      <c r="J2" s="217"/>
      <c r="K2" s="1047">
        <v>43507</v>
      </c>
      <c r="L2" s="1009"/>
      <c r="U2" s="218" t="s">
        <v>345</v>
      </c>
      <c r="AI2" s="213"/>
      <c r="AJ2" s="213"/>
      <c r="AK2" s="213"/>
      <c r="AL2" s="213"/>
      <c r="AM2" s="213"/>
    </row>
    <row r="3" spans="1:40" s="223" customFormat="1" ht="71.25" customHeight="1" thickTop="1" thickBot="1">
      <c r="A3" s="351" t="s">
        <v>346</v>
      </c>
      <c r="B3" s="352" t="s">
        <v>347</v>
      </c>
      <c r="C3" s="353" t="s">
        <v>348</v>
      </c>
      <c r="D3" s="903"/>
      <c r="E3" s="674" t="s">
        <v>349</v>
      </c>
      <c r="F3" s="354" t="s">
        <v>350</v>
      </c>
      <c r="G3" s="350" t="s">
        <v>351</v>
      </c>
      <c r="H3" s="350" t="s">
        <v>624</v>
      </c>
      <c r="I3" s="350" t="s">
        <v>352</v>
      </c>
      <c r="J3" s="354" t="s">
        <v>353</v>
      </c>
      <c r="K3" s="350" t="s">
        <v>354</v>
      </c>
      <c r="L3" s="1652"/>
      <c r="M3" s="450" t="s">
        <v>355</v>
      </c>
      <c r="N3" s="350" t="s">
        <v>445</v>
      </c>
      <c r="O3" s="353" t="s">
        <v>446</v>
      </c>
      <c r="P3" s="353" t="s">
        <v>447</v>
      </c>
      <c r="Q3" s="355" t="s">
        <v>448</v>
      </c>
      <c r="R3" s="356" t="s">
        <v>371</v>
      </c>
      <c r="S3" s="219" t="s">
        <v>449</v>
      </c>
      <c r="T3" s="219" t="s">
        <v>450</v>
      </c>
      <c r="U3" s="326" t="s">
        <v>451</v>
      </c>
      <c r="V3" s="329" t="s">
        <v>452</v>
      </c>
      <c r="W3" s="327" t="s">
        <v>453</v>
      </c>
      <c r="X3" s="330" t="s">
        <v>454</v>
      </c>
      <c r="Y3" s="328" t="s">
        <v>455</v>
      </c>
      <c r="Z3" s="332" t="s">
        <v>456</v>
      </c>
      <c r="AA3" s="331" t="s">
        <v>457</v>
      </c>
      <c r="AB3" s="2068" t="s">
        <v>1132</v>
      </c>
      <c r="AC3" s="221"/>
      <c r="AD3" s="222"/>
      <c r="AE3" s="222"/>
      <c r="AF3" s="222"/>
      <c r="AG3" s="222"/>
      <c r="AH3" s="222"/>
      <c r="AI3" s="220"/>
      <c r="AJ3" s="220"/>
      <c r="AK3" s="220"/>
      <c r="AL3" s="220"/>
      <c r="AM3" s="220"/>
      <c r="AN3" s="220"/>
    </row>
    <row r="4" spans="1:40" s="223" customFormat="1" ht="10.5" customHeight="1" thickBot="1">
      <c r="A4" s="911"/>
      <c r="B4" s="912"/>
      <c r="C4" s="913"/>
      <c r="D4" s="914"/>
      <c r="E4" s="977"/>
      <c r="F4" s="915"/>
      <c r="G4" s="913"/>
      <c r="H4" s="913"/>
      <c r="I4" s="913"/>
      <c r="J4" s="915"/>
      <c r="K4" s="913"/>
      <c r="L4" s="1111"/>
      <c r="M4" s="916"/>
      <c r="N4" s="913"/>
      <c r="O4" s="913"/>
      <c r="P4" s="913"/>
      <c r="Q4" s="917"/>
      <c r="R4" s="918"/>
      <c r="S4" s="919"/>
      <c r="T4" s="919"/>
      <c r="U4" s="114">
        <f>Test!$D$29</f>
        <v>9.1523857526881758E-4</v>
      </c>
      <c r="V4" s="114">
        <f>Test!$D$31</f>
        <v>8.7635030864197572E-4</v>
      </c>
      <c r="W4" s="114">
        <f>Test!$D$33</f>
        <v>8.4888763197586746E-4</v>
      </c>
      <c r="X4" s="114">
        <f>Test!$D$35</f>
        <v>8.0990657955066516E-4</v>
      </c>
      <c r="Y4" s="114">
        <f>Test!$D$37</f>
        <v>7.5735749690210676E-4</v>
      </c>
      <c r="Z4" s="114">
        <f>Test!$D$39</f>
        <v>7.2916666666666692E-4</v>
      </c>
      <c r="AA4" s="115">
        <f>Test!$D$41</f>
        <v>7.0729166666666694E-4</v>
      </c>
      <c r="AB4" s="220"/>
      <c r="AC4" s="221"/>
      <c r="AD4" s="222"/>
      <c r="AE4" s="222"/>
      <c r="AF4" s="222"/>
      <c r="AG4" s="222"/>
      <c r="AH4" s="222"/>
      <c r="AI4" s="220"/>
      <c r="AJ4" s="220"/>
      <c r="AK4" s="220"/>
      <c r="AL4" s="220"/>
      <c r="AM4" s="220"/>
      <c r="AN4" s="220"/>
    </row>
    <row r="5" spans="1:40" s="228" customFormat="1" ht="5.25" customHeight="1" thickBot="1">
      <c r="A5" s="621"/>
      <c r="B5" s="622"/>
      <c r="C5" s="623"/>
      <c r="D5" s="938"/>
      <c r="E5" s="623"/>
      <c r="F5" s="624"/>
      <c r="G5" s="625"/>
      <c r="H5" s="625"/>
      <c r="I5" s="625"/>
      <c r="J5" s="624"/>
      <c r="K5" s="625"/>
      <c r="L5" s="1653"/>
      <c r="M5" s="626"/>
      <c r="N5" s="834"/>
      <c r="O5" s="623"/>
      <c r="P5" s="623"/>
      <c r="Q5" s="623"/>
      <c r="R5" s="627"/>
      <c r="S5" s="224"/>
      <c r="T5" s="224"/>
      <c r="U5" s="111">
        <f>U4/4</f>
        <v>2.2880964381720439E-4</v>
      </c>
      <c r="V5" s="111">
        <f t="shared" ref="V5:AA5" si="0">V4/4</f>
        <v>2.1908757716049393E-4</v>
      </c>
      <c r="W5" s="111">
        <f t="shared" si="0"/>
        <v>2.1222190799396687E-4</v>
      </c>
      <c r="X5" s="111">
        <f t="shared" si="0"/>
        <v>2.0247664488766629E-4</v>
      </c>
      <c r="Y5" s="111">
        <f t="shared" si="0"/>
        <v>1.8933937422552669E-4</v>
      </c>
      <c r="Z5" s="111">
        <f t="shared" si="0"/>
        <v>1.8229166666666673E-4</v>
      </c>
      <c r="AA5" s="111">
        <f t="shared" si="0"/>
        <v>1.7682291666666674E-4</v>
      </c>
      <c r="AB5" s="225"/>
      <c r="AC5" s="226"/>
      <c r="AD5" s="227"/>
      <c r="AE5" s="227"/>
      <c r="AF5" s="227"/>
      <c r="AG5" s="227"/>
      <c r="AH5" s="227"/>
      <c r="AI5" s="225"/>
      <c r="AJ5" s="225"/>
      <c r="AK5" s="225"/>
      <c r="AL5" s="225"/>
      <c r="AM5" s="225"/>
      <c r="AN5" s="225"/>
    </row>
    <row r="6" spans="1:40" ht="15" customHeight="1" thickTop="1">
      <c r="A6" s="399" t="s">
        <v>214</v>
      </c>
      <c r="B6" s="1151" t="s">
        <v>215</v>
      </c>
      <c r="C6" s="274">
        <f t="shared" ref="C6:C11" si="1">IF(D6=1,U$5,IF(D6=2,V$5,IF(D6=3,W$5,IF(D6=4,X$5,IF(D6=5,Y$5,IF(D6=6,Z$5,IF(D6=7,AA$5,0)))))))</f>
        <v>2.1908757716049393E-4</v>
      </c>
      <c r="D6" s="2065">
        <v>2</v>
      </c>
      <c r="E6" s="2066">
        <v>1</v>
      </c>
      <c r="F6" s="2066">
        <v>8</v>
      </c>
      <c r="G6" s="2066">
        <v>50</v>
      </c>
      <c r="H6" s="2067" t="s">
        <v>139</v>
      </c>
      <c r="I6" s="1963">
        <v>1.3888888888888889E-4</v>
      </c>
      <c r="J6" s="1963">
        <v>1.3888888888888889E-3</v>
      </c>
      <c r="K6" s="2061" t="s">
        <v>1126</v>
      </c>
      <c r="L6" s="1332">
        <v>0.2986111111111111</v>
      </c>
      <c r="M6" s="1174">
        <v>1.1499999999999999</v>
      </c>
      <c r="N6" s="299">
        <f t="shared" ref="N6:N11" si="2">P6*E6*F6+I6*E6*F6+J6*E6</f>
        <v>6.5312114197530885E-3</v>
      </c>
      <c r="O6" s="1175">
        <f t="shared" ref="O6:O11" si="3">C6*(G6/25)</f>
        <v>4.3817515432098786E-4</v>
      </c>
      <c r="P6" s="1175">
        <f t="shared" ref="P6:P11" si="4">O6*M6</f>
        <v>5.03901427469136E-4</v>
      </c>
      <c r="Q6" s="550">
        <v>146</v>
      </c>
      <c r="R6" s="1176">
        <f t="shared" ref="R6:R11" si="5">E6*F6*G6</f>
        <v>400</v>
      </c>
      <c r="S6" s="229">
        <f>E6*F6*G6/1000</f>
        <v>0.4</v>
      </c>
      <c r="T6" s="230">
        <f>E6*F6*O6*4</f>
        <v>1.4021604938271611E-2</v>
      </c>
      <c r="U6" s="374">
        <f>IF(C6*4&gt;=$U$4,S6,0)</f>
        <v>0</v>
      </c>
      <c r="V6" s="375">
        <f>IF(AND(C6*4&gt;=$V$4,C6*4&lt;$U$4),S6,0)</f>
        <v>0.4</v>
      </c>
      <c r="W6" s="376">
        <f>IF(AND(C6*4&gt;=$W$4,C6*4&lt;$V$4),S6,0)</f>
        <v>0</v>
      </c>
      <c r="X6" s="377">
        <f>IF(AND(C6*4&gt;=$X$4,C6*4&lt;$W$4),S6,0)</f>
        <v>0</v>
      </c>
      <c r="Y6" s="378">
        <f>IF(AND(C6*4&gt;=$Y$4,C6*4&lt;$X$4),S6,0)</f>
        <v>0</v>
      </c>
      <c r="Z6" s="379">
        <f>IF(AND(C6*4&gt;=$Z$4,C6*4&lt;$Y$4),S6,0)</f>
        <v>0</v>
      </c>
      <c r="AA6" s="380">
        <f>IF(AND(C6*4&gt;=$AA$4,C6*4&lt;$Z$4),S6,0)</f>
        <v>0</v>
      </c>
      <c r="AB6" s="2069" t="s">
        <v>1133</v>
      </c>
      <c r="AC6" s="231"/>
      <c r="AD6" s="231"/>
      <c r="AE6" s="231"/>
      <c r="AF6" s="231"/>
      <c r="AG6" s="231"/>
      <c r="AH6" s="231"/>
      <c r="AI6" s="213"/>
      <c r="AJ6" s="213"/>
      <c r="AK6" s="213"/>
      <c r="AL6" s="213"/>
      <c r="AM6" s="213"/>
    </row>
    <row r="7" spans="1:40" ht="15" customHeight="1">
      <c r="A7" s="397" t="s">
        <v>459</v>
      </c>
      <c r="B7" s="1124" t="s">
        <v>215</v>
      </c>
      <c r="C7" s="274">
        <f t="shared" si="1"/>
        <v>2.0247664488766629E-4</v>
      </c>
      <c r="D7" s="1197">
        <v>4</v>
      </c>
      <c r="E7" s="1177">
        <v>1</v>
      </c>
      <c r="F7" s="1177">
        <v>7</v>
      </c>
      <c r="G7" s="1177">
        <v>50</v>
      </c>
      <c r="H7" s="1455" t="s">
        <v>710</v>
      </c>
      <c r="I7" s="1178">
        <v>6.018518518518519E-4</v>
      </c>
      <c r="J7" s="1178">
        <v>1.3888888888888889E-3</v>
      </c>
      <c r="K7" s="676" t="s">
        <v>941</v>
      </c>
      <c r="L7" s="1178">
        <f>L6+N6</f>
        <v>0.30514232253086421</v>
      </c>
      <c r="M7" s="1180">
        <v>1.1000000000000001</v>
      </c>
      <c r="N7" s="1178">
        <f t="shared" si="2"/>
        <v>8.7199921831219128E-3</v>
      </c>
      <c r="O7" s="1196">
        <f t="shared" si="3"/>
        <v>4.0495328977533258E-4</v>
      </c>
      <c r="P7" s="1181">
        <f t="shared" si="4"/>
        <v>4.4544861875286587E-4</v>
      </c>
      <c r="Q7" s="334" t="s">
        <v>316</v>
      </c>
      <c r="R7" s="1177">
        <f t="shared" si="5"/>
        <v>350</v>
      </c>
      <c r="S7" s="229">
        <f t="shared" ref="S7:S20" si="6">E7*F7*G7/1000</f>
        <v>0.35</v>
      </c>
      <c r="T7" s="230">
        <f t="shared" ref="T7:T20" si="7">E7*F7*O7*4</f>
        <v>1.1338692113709312E-2</v>
      </c>
      <c r="U7" s="374">
        <f t="shared" ref="U7:U20" si="8">IF(C7*4&gt;=$U$4,S7,0)</f>
        <v>0</v>
      </c>
      <c r="V7" s="375">
        <f t="shared" ref="V7:V20" si="9">IF(AND(C7*4&gt;=$V$4,C7*4&lt;$U$4),S7,0)</f>
        <v>0</v>
      </c>
      <c r="W7" s="376">
        <f t="shared" ref="W7:W20" si="10">IF(AND(C7*4&gt;=$W$4,C7*4&lt;$V$4),S7,0)</f>
        <v>0</v>
      </c>
      <c r="X7" s="377">
        <f t="shared" ref="X7:X20" si="11">IF(AND(C7*4&gt;=$X$4,C7*4&lt;$W$4),S7,0)</f>
        <v>0.35</v>
      </c>
      <c r="Y7" s="378">
        <f t="shared" ref="Y7:Y20" si="12">IF(AND(C7*4&gt;=$Y$4,C7*4&lt;$X$4),S7,0)</f>
        <v>0</v>
      </c>
      <c r="Z7" s="379">
        <f t="shared" ref="Z7:Z20" si="13">IF(AND(C7*4&gt;=$Z$4,C7*4&lt;$Y$4),S7,0)</f>
        <v>0</v>
      </c>
      <c r="AA7" s="380">
        <f t="shared" ref="AA7:AA20" si="14">IF(AND(C7*4&gt;=$AA$4,C7*4&lt;$Z$4),S7,0)</f>
        <v>0</v>
      </c>
      <c r="AC7" s="231"/>
      <c r="AD7" s="231"/>
      <c r="AE7" s="231"/>
      <c r="AF7" s="231"/>
      <c r="AG7" s="231"/>
      <c r="AH7" s="231"/>
      <c r="AI7" s="213"/>
      <c r="AJ7" s="213"/>
      <c r="AK7" s="213"/>
      <c r="AL7" s="213"/>
      <c r="AM7" s="213"/>
    </row>
    <row r="8" spans="1:40" ht="15" customHeight="1">
      <c r="A8" s="397" t="s">
        <v>460</v>
      </c>
      <c r="B8" s="1124" t="s">
        <v>215</v>
      </c>
      <c r="C8" s="274">
        <f t="shared" si="1"/>
        <v>2.1908757716049393E-4</v>
      </c>
      <c r="D8" s="889">
        <v>2</v>
      </c>
      <c r="E8" s="1173">
        <v>1</v>
      </c>
      <c r="F8" s="1173">
        <v>1</v>
      </c>
      <c r="G8" s="1173">
        <v>500</v>
      </c>
      <c r="H8" s="1453" t="s">
        <v>713</v>
      </c>
      <c r="I8" s="299">
        <v>1.1574074074074073E-4</v>
      </c>
      <c r="J8" s="299">
        <v>6.9444444444444447E-4</v>
      </c>
      <c r="K8" s="1123" t="s">
        <v>942</v>
      </c>
      <c r="L8" s="299">
        <f t="shared" ref="L8:L11" si="15">L7+N7</f>
        <v>0.31386231471398612</v>
      </c>
      <c r="M8" s="1174">
        <v>1.1499999999999999</v>
      </c>
      <c r="N8" s="299">
        <f t="shared" si="2"/>
        <v>5.8491994598765459E-3</v>
      </c>
      <c r="O8" s="1196">
        <f t="shared" si="3"/>
        <v>4.3817515432098787E-3</v>
      </c>
      <c r="P8" s="1175">
        <f t="shared" si="4"/>
        <v>5.0390142746913604E-3</v>
      </c>
      <c r="Q8" s="550">
        <v>146</v>
      </c>
      <c r="R8" s="1176">
        <f t="shared" si="5"/>
        <v>500</v>
      </c>
      <c r="S8" s="229">
        <f t="shared" si="6"/>
        <v>0.5</v>
      </c>
      <c r="T8" s="230">
        <f t="shared" si="7"/>
        <v>1.7527006172839515E-2</v>
      </c>
      <c r="U8" s="374">
        <f t="shared" si="8"/>
        <v>0</v>
      </c>
      <c r="V8" s="375">
        <f t="shared" si="9"/>
        <v>0.5</v>
      </c>
      <c r="W8" s="376">
        <f t="shared" si="10"/>
        <v>0</v>
      </c>
      <c r="X8" s="377">
        <f t="shared" si="11"/>
        <v>0</v>
      </c>
      <c r="Y8" s="378">
        <f t="shared" si="12"/>
        <v>0</v>
      </c>
      <c r="Z8" s="379">
        <f t="shared" si="13"/>
        <v>0</v>
      </c>
      <c r="AA8" s="380">
        <f t="shared" si="14"/>
        <v>0</v>
      </c>
      <c r="AC8" s="231"/>
      <c r="AD8" s="231"/>
      <c r="AE8" s="231"/>
      <c r="AF8" s="231"/>
      <c r="AG8" s="231"/>
      <c r="AH8" s="231"/>
      <c r="AI8" s="213"/>
      <c r="AJ8" s="213"/>
      <c r="AK8" s="213"/>
      <c r="AL8" s="213"/>
      <c r="AM8" s="213"/>
    </row>
    <row r="9" spans="1:40" ht="15" customHeight="1">
      <c r="A9" s="851" t="s">
        <v>458</v>
      </c>
      <c r="B9" s="1124" t="s">
        <v>215</v>
      </c>
      <c r="C9" s="274">
        <f t="shared" si="1"/>
        <v>2.1222190799396687E-4</v>
      </c>
      <c r="D9" s="1236">
        <v>3</v>
      </c>
      <c r="E9" s="1161">
        <v>1</v>
      </c>
      <c r="F9" s="1161">
        <v>5</v>
      </c>
      <c r="G9" s="1161">
        <v>100</v>
      </c>
      <c r="H9" s="1454" t="s">
        <v>20</v>
      </c>
      <c r="I9" s="1163">
        <v>3.4722222222222224E-4</v>
      </c>
      <c r="J9" s="1163">
        <v>1.3888888888888889E-3</v>
      </c>
      <c r="K9" s="1074" t="s">
        <v>943</v>
      </c>
      <c r="L9" s="1163">
        <f t="shared" si="15"/>
        <v>0.31971151417386268</v>
      </c>
      <c r="M9" s="1164">
        <v>1.2</v>
      </c>
      <c r="N9" s="1163">
        <f t="shared" si="2"/>
        <v>8.2183257918552032E-3</v>
      </c>
      <c r="O9" s="1196">
        <f t="shared" si="3"/>
        <v>8.4888763197586746E-4</v>
      </c>
      <c r="P9" s="1165">
        <f t="shared" si="4"/>
        <v>1.0186651583710409E-3</v>
      </c>
      <c r="Q9" s="333">
        <v>164</v>
      </c>
      <c r="R9" s="1161">
        <f t="shared" si="5"/>
        <v>500</v>
      </c>
      <c r="S9" s="229">
        <f t="shared" si="6"/>
        <v>0.5</v>
      </c>
      <c r="T9" s="230">
        <f t="shared" si="7"/>
        <v>1.6977752639517348E-2</v>
      </c>
      <c r="U9" s="374">
        <f t="shared" si="8"/>
        <v>0</v>
      </c>
      <c r="V9" s="375">
        <f t="shared" si="9"/>
        <v>0</v>
      </c>
      <c r="W9" s="376">
        <f t="shared" si="10"/>
        <v>0.5</v>
      </c>
      <c r="X9" s="377">
        <f t="shared" si="11"/>
        <v>0</v>
      </c>
      <c r="Y9" s="378">
        <f t="shared" si="12"/>
        <v>0</v>
      </c>
      <c r="Z9" s="379">
        <f t="shared" si="13"/>
        <v>0</v>
      </c>
      <c r="AA9" s="380">
        <f t="shared" si="14"/>
        <v>0</v>
      </c>
      <c r="AC9" s="231"/>
      <c r="AD9" s="231"/>
      <c r="AE9" s="231"/>
      <c r="AF9" s="231"/>
      <c r="AG9" s="231"/>
      <c r="AH9" s="231"/>
      <c r="AI9" s="213"/>
      <c r="AJ9" s="213"/>
      <c r="AK9" s="213"/>
      <c r="AL9" s="213"/>
      <c r="AM9" s="213"/>
    </row>
    <row r="10" spans="1:40" ht="15" customHeight="1">
      <c r="A10" s="851" t="s">
        <v>219</v>
      </c>
      <c r="B10" s="1124" t="s">
        <v>215</v>
      </c>
      <c r="C10" s="274">
        <f t="shared" si="1"/>
        <v>2.1908757716049393E-4</v>
      </c>
      <c r="D10" s="889">
        <v>2</v>
      </c>
      <c r="E10" s="1173">
        <v>1</v>
      </c>
      <c r="F10" s="1173">
        <v>1</v>
      </c>
      <c r="G10" s="1173">
        <v>500</v>
      </c>
      <c r="H10" s="1453" t="s">
        <v>218</v>
      </c>
      <c r="I10" s="299">
        <v>1.1574074074074073E-4</v>
      </c>
      <c r="J10" s="299">
        <v>6.9444444444444447E-4</v>
      </c>
      <c r="K10" s="1123" t="s">
        <v>942</v>
      </c>
      <c r="L10" s="299">
        <f t="shared" si="15"/>
        <v>0.3279298399657179</v>
      </c>
      <c r="M10" s="1174">
        <v>1.1000000000000001</v>
      </c>
      <c r="N10" s="299">
        <f t="shared" si="2"/>
        <v>5.6301118827160523E-3</v>
      </c>
      <c r="O10" s="1196">
        <f t="shared" si="3"/>
        <v>4.3817515432098787E-3</v>
      </c>
      <c r="P10" s="1175">
        <f t="shared" si="4"/>
        <v>4.8199266975308668E-3</v>
      </c>
      <c r="Q10" s="550">
        <v>146</v>
      </c>
      <c r="R10" s="1176">
        <f t="shared" si="5"/>
        <v>500</v>
      </c>
      <c r="S10" s="229">
        <f t="shared" si="6"/>
        <v>0.5</v>
      </c>
      <c r="T10" s="230">
        <f t="shared" si="7"/>
        <v>1.7527006172839515E-2</v>
      </c>
      <c r="U10" s="374">
        <f t="shared" si="8"/>
        <v>0</v>
      </c>
      <c r="V10" s="375">
        <f t="shared" si="9"/>
        <v>0.5</v>
      </c>
      <c r="W10" s="376">
        <f t="shared" si="10"/>
        <v>0</v>
      </c>
      <c r="X10" s="377">
        <f t="shared" si="11"/>
        <v>0</v>
      </c>
      <c r="Y10" s="378">
        <f t="shared" si="12"/>
        <v>0</v>
      </c>
      <c r="Z10" s="379">
        <f t="shared" si="13"/>
        <v>0</v>
      </c>
      <c r="AA10" s="380">
        <f t="shared" si="14"/>
        <v>0</v>
      </c>
      <c r="AC10" s="231"/>
      <c r="AD10" s="231"/>
      <c r="AE10" s="231"/>
      <c r="AF10" s="231"/>
      <c r="AG10" s="231"/>
      <c r="AH10" s="231"/>
      <c r="AI10" s="213"/>
      <c r="AJ10" s="213"/>
      <c r="AK10" s="213"/>
      <c r="AL10" s="213"/>
      <c r="AM10" s="213"/>
    </row>
    <row r="11" spans="1:40" ht="14" customHeight="1">
      <c r="B11" s="1124" t="s">
        <v>215</v>
      </c>
      <c r="C11" s="274">
        <f t="shared" si="1"/>
        <v>1.8933937422552669E-4</v>
      </c>
      <c r="D11" s="1248">
        <v>5</v>
      </c>
      <c r="E11" s="1249">
        <v>6</v>
      </c>
      <c r="F11" s="1249">
        <v>1</v>
      </c>
      <c r="G11" s="1249">
        <v>50</v>
      </c>
      <c r="H11" s="1456" t="s">
        <v>944</v>
      </c>
      <c r="I11" s="1250">
        <v>5.7870370370370366E-5</v>
      </c>
      <c r="J11" s="1250">
        <v>1.3888888888888889E-3</v>
      </c>
      <c r="K11" s="534" t="s">
        <v>945</v>
      </c>
      <c r="L11" s="1150">
        <f t="shared" si="15"/>
        <v>0.33355995184843396</v>
      </c>
      <c r="M11" s="1256">
        <v>1</v>
      </c>
      <c r="N11" s="1250">
        <f t="shared" si="2"/>
        <v>1.0952628046261875E-2</v>
      </c>
      <c r="O11" s="1253">
        <f t="shared" si="3"/>
        <v>3.7867874845105338E-4</v>
      </c>
      <c r="P11" s="1254">
        <f t="shared" si="4"/>
        <v>3.7867874845105338E-4</v>
      </c>
      <c r="Q11" s="1255" t="s">
        <v>278</v>
      </c>
      <c r="R11" s="1249">
        <f t="shared" si="5"/>
        <v>300</v>
      </c>
      <c r="S11" s="229">
        <f t="shared" si="6"/>
        <v>0.3</v>
      </c>
      <c r="T11" s="230">
        <f t="shared" si="7"/>
        <v>9.0882899628252807E-3</v>
      </c>
      <c r="U11" s="374">
        <f t="shared" si="8"/>
        <v>0</v>
      </c>
      <c r="V11" s="375">
        <f t="shared" si="9"/>
        <v>0</v>
      </c>
      <c r="W11" s="376">
        <f t="shared" si="10"/>
        <v>0</v>
      </c>
      <c r="X11" s="377">
        <f t="shared" si="11"/>
        <v>0</v>
      </c>
      <c r="Y11" s="378">
        <f t="shared" si="12"/>
        <v>0.3</v>
      </c>
      <c r="Z11" s="379">
        <f t="shared" si="13"/>
        <v>0</v>
      </c>
      <c r="AA11" s="380">
        <f t="shared" si="14"/>
        <v>0</v>
      </c>
      <c r="AC11" s="231"/>
      <c r="AD11" s="231"/>
      <c r="AE11" s="231"/>
      <c r="AF11" s="231"/>
      <c r="AG11" s="231"/>
      <c r="AH11" s="231"/>
      <c r="AI11" s="213"/>
      <c r="AJ11" s="213"/>
      <c r="AK11" s="213"/>
      <c r="AL11" s="213"/>
      <c r="AM11" s="213"/>
    </row>
    <row r="12" spans="1:40" ht="15" customHeight="1" thickBot="1">
      <c r="A12" s="851"/>
      <c r="B12" s="1124" t="s">
        <v>215</v>
      </c>
      <c r="C12" s="641"/>
      <c r="D12" s="1259"/>
      <c r="E12" s="336"/>
      <c r="F12" s="336"/>
      <c r="G12" s="336"/>
      <c r="H12" s="336"/>
      <c r="I12" s="336"/>
      <c r="J12" s="336"/>
      <c r="K12" s="336"/>
      <c r="L12" s="1008">
        <f>L11+N11</f>
        <v>0.34451257989469586</v>
      </c>
      <c r="M12" s="1198"/>
      <c r="N12" s="1008"/>
      <c r="O12" s="336">
        <f>C12*20/25</f>
        <v>0</v>
      </c>
      <c r="P12" s="336"/>
      <c r="Q12" s="336"/>
      <c r="R12" s="1238">
        <f>SUM(R6:R11)</f>
        <v>2550</v>
      </c>
      <c r="S12" s="229">
        <f t="shared" si="6"/>
        <v>0</v>
      </c>
      <c r="T12" s="230">
        <f t="shared" si="7"/>
        <v>0</v>
      </c>
      <c r="U12" s="374">
        <f t="shared" si="8"/>
        <v>0</v>
      </c>
      <c r="V12" s="375">
        <f t="shared" si="9"/>
        <v>0</v>
      </c>
      <c r="W12" s="376">
        <f t="shared" si="10"/>
        <v>0</v>
      </c>
      <c r="X12" s="377">
        <f t="shared" si="11"/>
        <v>0</v>
      </c>
      <c r="Y12" s="378">
        <f t="shared" si="12"/>
        <v>0</v>
      </c>
      <c r="Z12" s="379">
        <f t="shared" si="13"/>
        <v>0</v>
      </c>
      <c r="AA12" s="380">
        <f t="shared" si="14"/>
        <v>0</v>
      </c>
      <c r="AC12" s="231"/>
      <c r="AD12" s="231"/>
      <c r="AE12" s="231"/>
      <c r="AF12" s="231"/>
      <c r="AG12" s="231"/>
      <c r="AH12" s="231"/>
      <c r="AI12" s="213"/>
      <c r="AJ12" s="213"/>
      <c r="AK12" s="213"/>
      <c r="AL12" s="213"/>
      <c r="AM12" s="213"/>
    </row>
    <row r="13" spans="1:40" ht="38" customHeight="1" thickBot="1">
      <c r="A13" s="851" t="s">
        <v>214</v>
      </c>
      <c r="B13" s="1026" t="s">
        <v>461</v>
      </c>
      <c r="C13" s="274">
        <f t="shared" ref="C13:C20" si="16">IF(D13=1,U$5,IF(D13=2,V$5,IF(D13=3,W$5,IF(D13=4,X$5,IF(D13=5,Y$5,IF(D13=6,Z$5,IF(D13=7,AA$5,0)))))))</f>
        <v>2.2880964381720439E-4</v>
      </c>
      <c r="D13" s="920">
        <v>1</v>
      </c>
      <c r="E13" s="1979">
        <v>1</v>
      </c>
      <c r="F13" s="1979">
        <v>2</v>
      </c>
      <c r="G13" s="1979">
        <v>600</v>
      </c>
      <c r="H13" s="1979"/>
      <c r="I13" s="2056">
        <v>2.3148148148148146E-4</v>
      </c>
      <c r="J13" s="2056">
        <v>8.1018518518518516E-4</v>
      </c>
      <c r="K13" s="1986" t="s">
        <v>1127</v>
      </c>
      <c r="L13" s="1985">
        <v>0.79166666666666663</v>
      </c>
      <c r="M13" s="1123">
        <v>1.2</v>
      </c>
      <c r="N13" s="301">
        <f t="shared" ref="N13:N19" si="17">P13*E13*F13+I13*F13*E13+J13*E13</f>
        <v>1.4452583632019121E-2</v>
      </c>
      <c r="O13" s="302">
        <f t="shared" ref="O13:O19" si="18">C13*(G13/25)</f>
        <v>5.4914314516129057E-3</v>
      </c>
      <c r="P13" s="301">
        <f t="shared" ref="P13:P19" si="19">O13*M13</f>
        <v>6.5897177419354863E-3</v>
      </c>
      <c r="Q13" s="798">
        <v>160</v>
      </c>
      <c r="R13" s="369">
        <f t="shared" ref="R13:R19" si="20">E13*F13*G13</f>
        <v>1200</v>
      </c>
      <c r="S13" s="229">
        <f t="shared" si="6"/>
        <v>1.2</v>
      </c>
      <c r="T13" s="230">
        <f t="shared" si="7"/>
        <v>4.3931451612903245E-2</v>
      </c>
      <c r="U13" s="374">
        <f t="shared" si="8"/>
        <v>1.2</v>
      </c>
      <c r="V13" s="375">
        <f t="shared" si="9"/>
        <v>0</v>
      </c>
      <c r="W13" s="376">
        <f t="shared" si="10"/>
        <v>0</v>
      </c>
      <c r="X13" s="377">
        <f t="shared" si="11"/>
        <v>0</v>
      </c>
      <c r="Y13" s="378">
        <f t="shared" si="12"/>
        <v>0</v>
      </c>
      <c r="Z13" s="379">
        <f t="shared" si="13"/>
        <v>0</v>
      </c>
      <c r="AA13" s="380">
        <f t="shared" si="14"/>
        <v>0</v>
      </c>
      <c r="AB13" s="2069" t="s">
        <v>1134</v>
      </c>
      <c r="AC13" s="231"/>
      <c r="AD13" s="231"/>
      <c r="AE13" s="231"/>
      <c r="AF13" s="231"/>
      <c r="AG13" s="231"/>
      <c r="AH13" s="231"/>
      <c r="AI13" s="213"/>
      <c r="AJ13" s="213"/>
      <c r="AK13" s="213"/>
      <c r="AL13" s="213"/>
      <c r="AM13" s="213"/>
    </row>
    <row r="14" spans="1:40" ht="27" customHeight="1" thickBot="1">
      <c r="A14" s="851" t="s">
        <v>459</v>
      </c>
      <c r="B14" s="1026" t="s">
        <v>461</v>
      </c>
      <c r="C14" s="274">
        <f t="shared" si="16"/>
        <v>2.1222190799396687E-4</v>
      </c>
      <c r="D14" s="920">
        <v>3</v>
      </c>
      <c r="E14" s="2057">
        <v>1</v>
      </c>
      <c r="F14" s="1311">
        <v>16</v>
      </c>
      <c r="G14" s="280">
        <v>100</v>
      </c>
      <c r="H14" s="1998"/>
      <c r="I14" s="1403">
        <v>2.8935185185185189E-4</v>
      </c>
      <c r="J14" s="1403">
        <v>9.8379629629629642E-4</v>
      </c>
      <c r="K14" s="1976" t="s">
        <v>1128</v>
      </c>
      <c r="L14" s="281">
        <f t="shared" ref="L14:L19" si="21">L13+N13</f>
        <v>0.8061192502986857</v>
      </c>
      <c r="M14" s="453">
        <v>1.1000000000000001</v>
      </c>
      <c r="N14" s="281">
        <f t="shared" si="17"/>
        <v>2.0553848248701195E-2</v>
      </c>
      <c r="O14" s="281">
        <f t="shared" si="18"/>
        <v>8.4888763197586746E-4</v>
      </c>
      <c r="P14" s="281">
        <f t="shared" si="19"/>
        <v>9.3377639517345427E-4</v>
      </c>
      <c r="Q14" s="333">
        <v>160</v>
      </c>
      <c r="R14" s="280">
        <f t="shared" si="20"/>
        <v>1600</v>
      </c>
      <c r="S14" s="229">
        <f t="shared" si="6"/>
        <v>1.6</v>
      </c>
      <c r="T14" s="230">
        <f t="shared" si="7"/>
        <v>5.4328808446455518E-2</v>
      </c>
      <c r="U14" s="374">
        <f t="shared" si="8"/>
        <v>0</v>
      </c>
      <c r="V14" s="375">
        <f t="shared" si="9"/>
        <v>0</v>
      </c>
      <c r="W14" s="376">
        <f t="shared" si="10"/>
        <v>1.6</v>
      </c>
      <c r="X14" s="377">
        <f t="shared" si="11"/>
        <v>0</v>
      </c>
      <c r="Y14" s="378">
        <f t="shared" si="12"/>
        <v>0</v>
      </c>
      <c r="Z14" s="379">
        <f t="shared" si="13"/>
        <v>0</v>
      </c>
      <c r="AA14" s="380">
        <f t="shared" si="14"/>
        <v>0</v>
      </c>
      <c r="AB14" s="2069" t="s">
        <v>1135</v>
      </c>
      <c r="AC14" s="231"/>
      <c r="AD14" s="231"/>
      <c r="AE14" s="231"/>
      <c r="AF14" s="231"/>
      <c r="AG14" s="231"/>
      <c r="AH14" s="231"/>
      <c r="AI14" s="213"/>
      <c r="AJ14" s="213"/>
      <c r="AK14" s="213"/>
      <c r="AL14" s="213"/>
      <c r="AM14" s="213"/>
    </row>
    <row r="15" spans="1:40" ht="15" customHeight="1" thickBot="1">
      <c r="A15" s="851" t="s">
        <v>460</v>
      </c>
      <c r="B15" s="1026" t="s">
        <v>461</v>
      </c>
      <c r="C15" s="274">
        <f t="shared" si="16"/>
        <v>2.1908757716049393E-4</v>
      </c>
      <c r="D15" s="1977">
        <v>2</v>
      </c>
      <c r="E15" s="2058">
        <v>2</v>
      </c>
      <c r="F15" s="1303">
        <v>1</v>
      </c>
      <c r="G15" s="300">
        <v>400</v>
      </c>
      <c r="H15" s="301"/>
      <c r="I15" s="1354">
        <v>0</v>
      </c>
      <c r="J15" s="301">
        <v>2.8935185185185189E-4</v>
      </c>
      <c r="K15" s="1123" t="s">
        <v>1160</v>
      </c>
      <c r="L15" s="301">
        <f t="shared" si="21"/>
        <v>0.82667309854738691</v>
      </c>
      <c r="M15" s="1123">
        <v>1.2</v>
      </c>
      <c r="N15" s="301">
        <f t="shared" si="17"/>
        <v>8.9916666666666704E-3</v>
      </c>
      <c r="O15" s="302">
        <f t="shared" si="18"/>
        <v>3.5054012345679029E-3</v>
      </c>
      <c r="P15" s="301">
        <f t="shared" si="19"/>
        <v>4.2064814814814829E-3</v>
      </c>
      <c r="Q15" s="798">
        <v>144</v>
      </c>
      <c r="R15" s="369">
        <f t="shared" si="20"/>
        <v>800</v>
      </c>
      <c r="S15" s="229">
        <f t="shared" si="6"/>
        <v>0.8</v>
      </c>
      <c r="T15" s="230">
        <f t="shared" si="7"/>
        <v>2.8043209876543223E-2</v>
      </c>
      <c r="U15" s="374">
        <f t="shared" si="8"/>
        <v>0</v>
      </c>
      <c r="V15" s="375">
        <f t="shared" si="9"/>
        <v>0.8</v>
      </c>
      <c r="W15" s="376">
        <f t="shared" si="10"/>
        <v>0</v>
      </c>
      <c r="X15" s="377">
        <f t="shared" si="11"/>
        <v>0</v>
      </c>
      <c r="Y15" s="378">
        <f t="shared" si="12"/>
        <v>0</v>
      </c>
      <c r="Z15" s="379">
        <f t="shared" si="13"/>
        <v>0</v>
      </c>
      <c r="AA15" s="380">
        <f t="shared" si="14"/>
        <v>0</v>
      </c>
      <c r="AB15" s="2069" t="s">
        <v>1136</v>
      </c>
      <c r="AC15" s="231"/>
      <c r="AD15" s="231"/>
      <c r="AE15" s="231"/>
      <c r="AF15" s="231"/>
      <c r="AG15" s="231"/>
      <c r="AH15" s="231"/>
      <c r="AI15" s="213"/>
      <c r="AJ15" s="213"/>
      <c r="AK15" s="213"/>
      <c r="AL15" s="213"/>
      <c r="AM15" s="213"/>
    </row>
    <row r="16" spans="1:40" ht="15" customHeight="1" thickBot="1">
      <c r="A16" s="851" t="s">
        <v>458</v>
      </c>
      <c r="B16" s="1026"/>
      <c r="C16" s="274">
        <f t="shared" si="16"/>
        <v>2.1908757716049393E-4</v>
      </c>
      <c r="D16" s="1977">
        <v>2</v>
      </c>
      <c r="E16" s="2059">
        <v>2</v>
      </c>
      <c r="F16" s="1303">
        <v>1</v>
      </c>
      <c r="G16" s="300">
        <v>400</v>
      </c>
      <c r="H16" s="301"/>
      <c r="I16" s="1354">
        <v>0</v>
      </c>
      <c r="J16" s="301">
        <v>2.8935185185185189E-4</v>
      </c>
      <c r="K16" s="1123" t="s">
        <v>1161</v>
      </c>
      <c r="L16" s="301">
        <f t="shared" si="21"/>
        <v>0.83566476521405353</v>
      </c>
      <c r="M16" s="1123">
        <v>1.2</v>
      </c>
      <c r="N16" s="301">
        <f t="shared" si="17"/>
        <v>8.9916666666666704E-3</v>
      </c>
      <c r="O16" s="302">
        <f t="shared" si="18"/>
        <v>3.5054012345679029E-3</v>
      </c>
      <c r="P16" s="301">
        <f t="shared" si="19"/>
        <v>4.2064814814814829E-3</v>
      </c>
      <c r="Q16" s="798">
        <v>144</v>
      </c>
      <c r="R16" s="369">
        <f t="shared" si="20"/>
        <v>800</v>
      </c>
      <c r="S16" s="229">
        <f t="shared" si="6"/>
        <v>0.8</v>
      </c>
      <c r="T16" s="230">
        <f t="shared" si="7"/>
        <v>2.8043209876543223E-2</v>
      </c>
      <c r="U16" s="374">
        <f t="shared" si="8"/>
        <v>0</v>
      </c>
      <c r="V16" s="375">
        <f t="shared" si="9"/>
        <v>0.8</v>
      </c>
      <c r="W16" s="376">
        <f t="shared" si="10"/>
        <v>0</v>
      </c>
      <c r="X16" s="377">
        <f t="shared" si="11"/>
        <v>0</v>
      </c>
      <c r="Y16" s="378">
        <f t="shared" si="12"/>
        <v>0</v>
      </c>
      <c r="Z16" s="379">
        <f t="shared" si="13"/>
        <v>0</v>
      </c>
      <c r="AA16" s="380">
        <f t="shared" si="14"/>
        <v>0</v>
      </c>
      <c r="AB16" s="2069" t="s">
        <v>1137</v>
      </c>
      <c r="AC16" s="231"/>
      <c r="AD16" s="231"/>
      <c r="AE16" s="231"/>
      <c r="AF16" s="231"/>
      <c r="AG16" s="231"/>
      <c r="AH16" s="231"/>
      <c r="AI16" s="213"/>
      <c r="AJ16" s="213"/>
      <c r="AK16" s="213"/>
      <c r="AL16" s="213"/>
      <c r="AM16" s="213"/>
    </row>
    <row r="17" spans="1:40" ht="15" customHeight="1" thickBot="1">
      <c r="A17" s="397"/>
      <c r="B17" s="1026" t="s">
        <v>461</v>
      </c>
      <c r="C17" s="274">
        <f t="shared" si="16"/>
        <v>2.1222190799396687E-4</v>
      </c>
      <c r="D17" s="1977">
        <v>3</v>
      </c>
      <c r="E17" s="1311">
        <v>1</v>
      </c>
      <c r="F17" s="1311">
        <v>10</v>
      </c>
      <c r="G17" s="280">
        <v>50</v>
      </c>
      <c r="H17" s="1403"/>
      <c r="I17" s="1403">
        <v>3.4722222222222224E-4</v>
      </c>
      <c r="J17" s="1403">
        <v>6.9444444444444447E-4</v>
      </c>
      <c r="K17" s="1976" t="s">
        <v>1129</v>
      </c>
      <c r="L17" s="281">
        <f t="shared" si="21"/>
        <v>0.84465643188072015</v>
      </c>
      <c r="M17" s="453">
        <v>1.1499999999999999</v>
      </c>
      <c r="N17" s="281">
        <f t="shared" si="17"/>
        <v>9.0477705505279029E-3</v>
      </c>
      <c r="O17" s="281">
        <f t="shared" si="18"/>
        <v>4.2444381598793373E-4</v>
      </c>
      <c r="P17" s="281">
        <f t="shared" si="19"/>
        <v>4.8811038838612376E-4</v>
      </c>
      <c r="Q17" s="333">
        <v>160</v>
      </c>
      <c r="R17" s="280">
        <f t="shared" si="20"/>
        <v>500</v>
      </c>
      <c r="S17" s="229">
        <f t="shared" si="6"/>
        <v>0.5</v>
      </c>
      <c r="T17" s="230">
        <f t="shared" si="7"/>
        <v>1.6977752639517348E-2</v>
      </c>
      <c r="U17" s="374">
        <f t="shared" si="8"/>
        <v>0</v>
      </c>
      <c r="V17" s="375">
        <f t="shared" si="9"/>
        <v>0</v>
      </c>
      <c r="W17" s="376">
        <f t="shared" si="10"/>
        <v>0.5</v>
      </c>
      <c r="X17" s="377">
        <f t="shared" si="11"/>
        <v>0</v>
      </c>
      <c r="Y17" s="378">
        <f t="shared" si="12"/>
        <v>0</v>
      </c>
      <c r="Z17" s="379">
        <f t="shared" si="13"/>
        <v>0</v>
      </c>
      <c r="AA17" s="380">
        <f t="shared" si="14"/>
        <v>0</v>
      </c>
      <c r="AB17" s="2069" t="s">
        <v>1138</v>
      </c>
      <c r="AC17" s="231"/>
      <c r="AD17" s="231"/>
      <c r="AE17" s="231"/>
      <c r="AF17" s="231"/>
      <c r="AG17" s="231"/>
      <c r="AH17" s="231"/>
      <c r="AI17" s="213"/>
      <c r="AJ17" s="213"/>
      <c r="AK17" s="213"/>
      <c r="AL17" s="213"/>
      <c r="AM17" s="213"/>
    </row>
    <row r="18" spans="1:40" ht="15" customHeight="1" thickBot="1">
      <c r="A18" s="397"/>
      <c r="B18" s="1026"/>
      <c r="C18" s="274">
        <f t="shared" si="16"/>
        <v>2.1222190799396687E-4</v>
      </c>
      <c r="D18" s="1977">
        <v>3</v>
      </c>
      <c r="E18" s="1311">
        <v>1</v>
      </c>
      <c r="F18" s="1311">
        <v>8</v>
      </c>
      <c r="G18" s="280">
        <v>100</v>
      </c>
      <c r="H18" s="1403"/>
      <c r="I18" s="1403">
        <v>3.4722222222222224E-4</v>
      </c>
      <c r="J18" s="1403">
        <v>6.9444444444444447E-4</v>
      </c>
      <c r="K18" s="1976" t="s">
        <v>1130</v>
      </c>
      <c r="L18" s="281">
        <f t="shared" si="21"/>
        <v>0.853704202431248</v>
      </c>
      <c r="M18" s="453">
        <v>1.1499999999999999</v>
      </c>
      <c r="N18" s="281">
        <f t="shared" si="17"/>
        <v>1.1281988436400202E-2</v>
      </c>
      <c r="O18" s="281">
        <f t="shared" si="18"/>
        <v>8.4888763197586746E-4</v>
      </c>
      <c r="P18" s="281">
        <f t="shared" si="19"/>
        <v>9.7622077677224752E-4</v>
      </c>
      <c r="Q18" s="333">
        <v>160</v>
      </c>
      <c r="R18" s="280">
        <f t="shared" si="20"/>
        <v>800</v>
      </c>
      <c r="S18" s="229">
        <f t="shared" si="6"/>
        <v>0.8</v>
      </c>
      <c r="T18" s="230">
        <f t="shared" si="7"/>
        <v>2.7164404223227759E-2</v>
      </c>
      <c r="U18" s="374">
        <f t="shared" si="8"/>
        <v>0</v>
      </c>
      <c r="V18" s="375">
        <f t="shared" si="9"/>
        <v>0</v>
      </c>
      <c r="W18" s="376">
        <f t="shared" si="10"/>
        <v>0.8</v>
      </c>
      <c r="X18" s="377">
        <f t="shared" si="11"/>
        <v>0</v>
      </c>
      <c r="Y18" s="378">
        <f t="shared" si="12"/>
        <v>0</v>
      </c>
      <c r="Z18" s="379">
        <f t="shared" si="13"/>
        <v>0</v>
      </c>
      <c r="AA18" s="380">
        <f t="shared" si="14"/>
        <v>0</v>
      </c>
      <c r="AB18" s="2069" t="s">
        <v>1139</v>
      </c>
      <c r="AC18" s="231"/>
      <c r="AD18" s="231"/>
      <c r="AE18" s="231"/>
      <c r="AF18" s="231"/>
      <c r="AG18" s="231"/>
      <c r="AH18" s="231"/>
      <c r="AI18" s="213"/>
      <c r="AJ18" s="213"/>
      <c r="AK18" s="213"/>
      <c r="AL18" s="213"/>
      <c r="AM18" s="213"/>
    </row>
    <row r="19" spans="1:40" ht="15" customHeight="1" thickBot="1">
      <c r="A19" s="397"/>
      <c r="B19" s="1026" t="s">
        <v>461</v>
      </c>
      <c r="C19" s="274">
        <f t="shared" si="16"/>
        <v>2.0247664488766629E-4</v>
      </c>
      <c r="D19" s="1977">
        <v>4</v>
      </c>
      <c r="E19" s="1988">
        <v>1</v>
      </c>
      <c r="F19" s="1988">
        <v>3</v>
      </c>
      <c r="G19" s="1881">
        <v>300</v>
      </c>
      <c r="H19" s="1989"/>
      <c r="I19" s="1997">
        <v>3.4722222222222224E-4</v>
      </c>
      <c r="J19" s="1989">
        <v>6.9444444444444447E-4</v>
      </c>
      <c r="K19" s="1990" t="s">
        <v>1131</v>
      </c>
      <c r="L19" s="2095">
        <f t="shared" si="21"/>
        <v>0.86498619086764816</v>
      </c>
      <c r="M19" s="453">
        <v>1.1000000000000001</v>
      </c>
      <c r="N19" s="281">
        <f t="shared" si="17"/>
        <v>9.7541862486626944E-3</v>
      </c>
      <c r="O19" s="281">
        <f t="shared" si="18"/>
        <v>2.4297197386519954E-3</v>
      </c>
      <c r="P19" s="281">
        <f t="shared" si="19"/>
        <v>2.672691712517195E-3</v>
      </c>
      <c r="Q19" s="333">
        <v>160</v>
      </c>
      <c r="R19" s="2097">
        <f t="shared" si="20"/>
        <v>900</v>
      </c>
      <c r="S19" s="229">
        <f t="shared" si="6"/>
        <v>0.9</v>
      </c>
      <c r="T19" s="230">
        <f t="shared" si="7"/>
        <v>2.9156636863823943E-2</v>
      </c>
      <c r="U19" s="374">
        <f t="shared" si="8"/>
        <v>0</v>
      </c>
      <c r="V19" s="375">
        <f t="shared" si="9"/>
        <v>0</v>
      </c>
      <c r="W19" s="376">
        <f t="shared" si="10"/>
        <v>0</v>
      </c>
      <c r="X19" s="377">
        <f t="shared" si="11"/>
        <v>0.9</v>
      </c>
      <c r="Y19" s="378">
        <f t="shared" si="12"/>
        <v>0</v>
      </c>
      <c r="Z19" s="379">
        <f t="shared" si="13"/>
        <v>0</v>
      </c>
      <c r="AA19" s="380">
        <f t="shared" si="14"/>
        <v>0</v>
      </c>
      <c r="AB19" s="2069" t="s">
        <v>1140</v>
      </c>
      <c r="AC19" s="231"/>
      <c r="AD19" s="231"/>
      <c r="AE19" s="231"/>
      <c r="AF19" s="231"/>
      <c r="AG19" s="231"/>
      <c r="AH19" s="231"/>
      <c r="AI19" s="213"/>
      <c r="AJ19" s="213"/>
      <c r="AK19" s="213"/>
      <c r="AL19" s="213"/>
      <c r="AM19" s="213"/>
    </row>
    <row r="20" spans="1:40" ht="18" customHeight="1" thickBot="1">
      <c r="A20" s="397"/>
      <c r="B20" s="1026"/>
      <c r="C20" s="274">
        <f t="shared" si="16"/>
        <v>0</v>
      </c>
      <c r="D20" s="920"/>
      <c r="E20" s="845"/>
      <c r="F20" s="839"/>
      <c r="G20" s="839"/>
      <c r="H20" s="839"/>
      <c r="I20" s="839"/>
      <c r="J20" s="839"/>
      <c r="K20" s="839"/>
      <c r="L20" s="2096">
        <f>L19+N19</f>
        <v>0.87474037711631081</v>
      </c>
      <c r="M20" s="839">
        <v>1.2</v>
      </c>
      <c r="N20" s="2060"/>
      <c r="O20" s="839">
        <f>C20*(G20/25)</f>
        <v>0</v>
      </c>
      <c r="P20" s="839"/>
      <c r="Q20" s="839"/>
      <c r="R20" s="2098">
        <f>SUM(R13:R19)</f>
        <v>6600</v>
      </c>
      <c r="S20" s="229">
        <f t="shared" si="6"/>
        <v>0</v>
      </c>
      <c r="T20" s="230">
        <f t="shared" si="7"/>
        <v>0</v>
      </c>
      <c r="U20" s="374">
        <f t="shared" si="8"/>
        <v>0</v>
      </c>
      <c r="V20" s="375">
        <f t="shared" si="9"/>
        <v>0</v>
      </c>
      <c r="W20" s="376">
        <f t="shared" si="10"/>
        <v>0</v>
      </c>
      <c r="X20" s="377">
        <f t="shared" si="11"/>
        <v>0</v>
      </c>
      <c r="Y20" s="378">
        <f t="shared" si="12"/>
        <v>0</v>
      </c>
      <c r="Z20" s="379">
        <f t="shared" si="13"/>
        <v>0</v>
      </c>
      <c r="AA20" s="380">
        <f t="shared" si="14"/>
        <v>0</v>
      </c>
      <c r="AB20" s="2069" t="s">
        <v>1141</v>
      </c>
      <c r="AC20" s="231"/>
      <c r="AD20" s="231"/>
      <c r="AE20" s="231"/>
      <c r="AF20" s="231"/>
      <c r="AG20" s="231"/>
      <c r="AH20" s="231"/>
      <c r="AI20" s="213"/>
      <c r="AJ20" s="213"/>
      <c r="AK20" s="213"/>
      <c r="AL20" s="213"/>
      <c r="AM20" s="213"/>
    </row>
    <row r="21" spans="1:40" ht="18" customHeight="1" thickTop="1" thickBot="1">
      <c r="A21" s="204"/>
      <c r="B21" s="204"/>
      <c r="C21" s="235">
        <f t="shared" ref="C21" si="22">IF(D21=1,U$5,IF(D21=2,V$5,IF(D21=3,W$5,IF(D21=4,X$5,IF(D21=5,Y$5,IF(D21=6,Z$5,IF(D21=7,AA$5,0)))))))</f>
        <v>0</v>
      </c>
      <c r="D21" s="979"/>
      <c r="E21" s="979"/>
      <c r="F21" s="206"/>
      <c r="G21" s="204"/>
      <c r="H21" s="233"/>
      <c r="I21" s="233">
        <v>2.3148148148148146E-4</v>
      </c>
      <c r="J21" s="234">
        <v>2.3148148148148146E-4</v>
      </c>
      <c r="K21" s="235"/>
      <c r="L21" s="1654"/>
      <c r="M21" s="525"/>
      <c r="N21" s="235">
        <f>P21*E21*F21+I21*F21*E21+J21*E21</f>
        <v>0</v>
      </c>
      <c r="O21" s="235">
        <f>C21*(G21/25)</f>
        <v>0</v>
      </c>
      <c r="P21" s="235">
        <f>O21*M21</f>
        <v>0</v>
      </c>
      <c r="Q21" s="237"/>
      <c r="R21" s="1663">
        <f>SUM(U21:AA21)</f>
        <v>9.1500000000000021</v>
      </c>
      <c r="S21" s="238">
        <f t="shared" ref="S21" si="23">E21*F21*G21/1000</f>
        <v>0</v>
      </c>
      <c r="T21" s="239">
        <f t="shared" ref="T21" si="24">E21*F21*O21*4</f>
        <v>0</v>
      </c>
      <c r="U21" s="240">
        <f t="shared" ref="U21:AA21" si="25">SUM(U6:U20)</f>
        <v>1.2</v>
      </c>
      <c r="V21" s="240">
        <f t="shared" si="25"/>
        <v>3</v>
      </c>
      <c r="W21" s="240">
        <f t="shared" si="25"/>
        <v>3.4000000000000004</v>
      </c>
      <c r="X21" s="240">
        <f t="shared" si="25"/>
        <v>1.25</v>
      </c>
      <c r="Y21" s="240">
        <f t="shared" si="25"/>
        <v>0.3</v>
      </c>
      <c r="Z21" s="240">
        <f t="shared" si="25"/>
        <v>0</v>
      </c>
      <c r="AA21" s="240">
        <f t="shared" si="25"/>
        <v>0</v>
      </c>
      <c r="AB21" s="565"/>
      <c r="AC21" s="231"/>
      <c r="AD21" s="231"/>
      <c r="AE21" s="222"/>
      <c r="AF21" s="222"/>
      <c r="AG21" s="222"/>
      <c r="AH21" s="222"/>
      <c r="AI21" s="222"/>
    </row>
    <row r="22" spans="1:40" ht="19" thickTop="1">
      <c r="A22" s="144"/>
      <c r="B22" s="144"/>
      <c r="C22" s="144"/>
      <c r="D22" s="906"/>
      <c r="E22" s="144"/>
      <c r="F22" s="144" t="s">
        <v>1142</v>
      </c>
      <c r="G22" s="2078" t="s">
        <v>1143</v>
      </c>
      <c r="H22" s="144"/>
      <c r="I22" s="144"/>
      <c r="J22" s="144"/>
      <c r="K22" s="144"/>
      <c r="L22" s="139"/>
      <c r="M22" s="144"/>
      <c r="N22" s="144"/>
      <c r="O22" s="144"/>
      <c r="P22" s="144"/>
      <c r="Q22" s="144"/>
      <c r="R22" s="144"/>
      <c r="S22" s="144"/>
      <c r="T22" s="144"/>
      <c r="U22" s="567"/>
      <c r="V22" s="567"/>
      <c r="W22" s="567"/>
      <c r="X22" s="567"/>
      <c r="Y22" s="567"/>
      <c r="Z22" s="567"/>
      <c r="AA22" s="567"/>
      <c r="AB22" s="144"/>
      <c r="AC22" s="231"/>
      <c r="AD22" s="231"/>
      <c r="AE22" s="231"/>
      <c r="AF22" s="231"/>
      <c r="AG22" s="231"/>
      <c r="AH22" s="231"/>
      <c r="AI22" s="213"/>
      <c r="AJ22" s="204"/>
      <c r="AK22" s="204"/>
      <c r="AL22" s="204"/>
      <c r="AM22" s="204"/>
      <c r="AN22" s="204"/>
    </row>
    <row r="23" spans="1:40" ht="21" customHeight="1" thickBot="1">
      <c r="A23" s="397"/>
      <c r="B23" s="1026"/>
      <c r="C23" s="2072"/>
      <c r="D23" s="8074" t="s">
        <v>1145</v>
      </c>
      <c r="E23" s="8075"/>
      <c r="F23" s="8075"/>
      <c r="G23" s="8075"/>
      <c r="H23" s="8075"/>
      <c r="I23" s="8075"/>
      <c r="J23" s="8075"/>
      <c r="K23" s="8075"/>
      <c r="L23" s="8075"/>
      <c r="M23" s="8075"/>
      <c r="N23" s="8075"/>
      <c r="O23" s="8075"/>
      <c r="P23" s="8075"/>
      <c r="Q23" s="8075"/>
      <c r="R23" s="8076"/>
      <c r="S23" s="222"/>
      <c r="T23" s="222"/>
      <c r="U23" s="222"/>
      <c r="V23" s="222"/>
      <c r="W23" s="222"/>
      <c r="X23" s="222"/>
      <c r="Y23" s="222"/>
      <c r="Z23" s="222"/>
      <c r="AA23" s="222"/>
      <c r="AB23" s="2069"/>
      <c r="AC23" s="231"/>
      <c r="AD23" s="231"/>
      <c r="AE23" s="231"/>
      <c r="AF23" s="231"/>
      <c r="AG23" s="231"/>
      <c r="AH23" s="231"/>
      <c r="AI23" s="213"/>
      <c r="AJ23" s="213"/>
      <c r="AK23" s="213"/>
      <c r="AL23" s="213"/>
      <c r="AM23" s="213"/>
    </row>
    <row r="24" spans="1:40" ht="19.25" customHeight="1">
      <c r="A24" s="144"/>
      <c r="B24" s="144"/>
      <c r="C24" s="144"/>
      <c r="D24" s="2073"/>
      <c r="E24" s="2081" t="s">
        <v>1146</v>
      </c>
      <c r="F24" s="2082"/>
      <c r="G24" s="2070"/>
      <c r="H24" s="2070"/>
      <c r="I24" s="2070"/>
      <c r="J24" s="2070"/>
      <c r="K24" s="2070"/>
      <c r="L24" s="2070"/>
      <c r="M24" s="2070"/>
      <c r="N24" s="2070"/>
      <c r="O24" s="2070"/>
      <c r="P24" s="2070"/>
      <c r="Q24" s="2070"/>
      <c r="R24" s="2071"/>
      <c r="S24" s="2086"/>
      <c r="T24" s="2086"/>
      <c r="U24" s="2086"/>
      <c r="V24" s="2087"/>
      <c r="W24" s="222"/>
      <c r="X24" s="222"/>
      <c r="Y24" s="222"/>
      <c r="Z24" s="222"/>
      <c r="AA24" s="222"/>
      <c r="AB24" s="2069"/>
      <c r="AC24" s="231"/>
      <c r="AD24" s="231"/>
      <c r="AE24" s="231"/>
      <c r="AF24" s="231"/>
      <c r="AG24" s="231"/>
      <c r="AH24" s="231"/>
      <c r="AI24" s="213"/>
      <c r="AJ24" s="213"/>
      <c r="AK24" s="213"/>
      <c r="AL24" s="213"/>
      <c r="AM24" s="213"/>
    </row>
    <row r="25" spans="1:40" ht="19.25" customHeight="1">
      <c r="A25" s="144"/>
      <c r="B25" s="144"/>
      <c r="C25" s="144"/>
      <c r="D25" s="144"/>
      <c r="E25" s="144"/>
      <c r="F25" s="144"/>
      <c r="G25" s="144"/>
      <c r="H25" s="144"/>
      <c r="I25" s="144"/>
      <c r="J25" s="144"/>
      <c r="K25" s="144"/>
      <c r="L25" s="2080"/>
      <c r="M25" s="8077" t="s">
        <v>1152</v>
      </c>
      <c r="N25" s="8078"/>
      <c r="O25" s="8078"/>
      <c r="P25" s="8078"/>
      <c r="Q25" s="8078"/>
      <c r="R25" s="8079"/>
      <c r="S25" s="8069" t="s">
        <v>1153</v>
      </c>
      <c r="T25" s="8070"/>
      <c r="U25" s="8070"/>
      <c r="V25" s="8070"/>
      <c r="W25" s="8071"/>
      <c r="X25" s="222"/>
      <c r="Y25" s="222"/>
      <c r="Z25" s="222"/>
      <c r="AA25" s="222"/>
      <c r="AB25" s="2069"/>
      <c r="AC25" s="231"/>
      <c r="AD25" s="231"/>
      <c r="AE25" s="231"/>
      <c r="AF25" s="231"/>
      <c r="AG25" s="231"/>
      <c r="AH25" s="231"/>
      <c r="AI25" s="213"/>
      <c r="AJ25" s="213"/>
      <c r="AK25" s="213"/>
      <c r="AL25" s="213"/>
      <c r="AM25" s="213"/>
    </row>
    <row r="26" spans="1:40" ht="18" customHeight="1">
      <c r="A26" s="144"/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2075"/>
      <c r="N26" s="8080" t="s">
        <v>1147</v>
      </c>
      <c r="O26" s="8081"/>
      <c r="P26" s="8081"/>
      <c r="Q26" s="8081"/>
      <c r="R26" s="8082"/>
      <c r="S26" s="2093" t="s">
        <v>1154</v>
      </c>
      <c r="T26" s="2086"/>
      <c r="U26" s="2087"/>
      <c r="V26" s="222"/>
      <c r="W26" s="222"/>
      <c r="X26" s="222"/>
      <c r="Y26" s="222"/>
      <c r="Z26" s="222"/>
      <c r="AA26" s="222"/>
      <c r="AB26" s="2069"/>
      <c r="AC26" s="231"/>
      <c r="AD26" s="231"/>
      <c r="AE26" s="231"/>
      <c r="AF26" s="231"/>
      <c r="AG26" s="231"/>
      <c r="AH26" s="231"/>
      <c r="AI26" s="213"/>
      <c r="AJ26" s="213"/>
      <c r="AK26" s="213"/>
      <c r="AL26" s="213"/>
      <c r="AM26" s="213"/>
    </row>
    <row r="27" spans="1:40" ht="18" customHeight="1">
      <c r="A27" s="144"/>
      <c r="B27" s="144"/>
      <c r="C27" s="144"/>
      <c r="D27" s="144"/>
      <c r="E27" s="144"/>
      <c r="F27" s="2079" t="s">
        <v>1144</v>
      </c>
      <c r="G27" s="144"/>
      <c r="H27" s="144"/>
      <c r="I27" s="144"/>
      <c r="J27" s="144"/>
      <c r="K27" s="144"/>
      <c r="L27" s="144"/>
      <c r="M27" s="144"/>
      <c r="N27" s="2074"/>
      <c r="O27" s="8080" t="s">
        <v>1148</v>
      </c>
      <c r="P27" s="8083"/>
      <c r="Q27" s="8083"/>
      <c r="R27" s="8084"/>
      <c r="S27" s="8069" t="s">
        <v>1155</v>
      </c>
      <c r="T27" s="8070"/>
      <c r="U27" s="8070"/>
      <c r="V27" s="8070"/>
      <c r="W27" s="8070"/>
      <c r="X27" s="8070"/>
      <c r="Y27" s="8070"/>
      <c r="Z27" s="8070"/>
      <c r="AA27" s="8071"/>
      <c r="AB27" s="2069"/>
      <c r="AC27" s="231"/>
      <c r="AD27" s="231"/>
      <c r="AE27" s="231"/>
      <c r="AF27" s="231"/>
      <c r="AG27" s="231"/>
      <c r="AH27" s="231"/>
      <c r="AI27" s="213"/>
      <c r="AJ27" s="213"/>
      <c r="AK27" s="213"/>
      <c r="AL27" s="213"/>
      <c r="AM27" s="213"/>
    </row>
    <row r="28" spans="1:40" ht="19.25" customHeight="1">
      <c r="A28" s="144"/>
      <c r="B28" s="144"/>
      <c r="C28" s="144"/>
      <c r="D28" s="144"/>
      <c r="E28" s="2078"/>
      <c r="F28" s="2079"/>
      <c r="G28" s="8085" t="s">
        <v>1157</v>
      </c>
      <c r="H28" s="8085"/>
      <c r="I28" s="8085"/>
      <c r="J28" s="8085"/>
      <c r="K28" s="8085"/>
      <c r="L28" s="144"/>
      <c r="M28" s="144">
        <v>2</v>
      </c>
      <c r="N28" s="139"/>
      <c r="O28" s="2074"/>
      <c r="P28" s="8086" t="s">
        <v>1149</v>
      </c>
      <c r="Q28" s="8087"/>
      <c r="R28" s="8087"/>
      <c r="S28" s="8088"/>
      <c r="T28" s="8088"/>
      <c r="U28" s="8088"/>
      <c r="V28" s="8088"/>
      <c r="W28" s="8088"/>
      <c r="X28" s="8088"/>
      <c r="Y28" s="8089"/>
      <c r="Z28" s="8090"/>
      <c r="AA28" s="8091" t="s">
        <v>1156</v>
      </c>
      <c r="AB28" s="8070"/>
      <c r="AC28" s="8070"/>
      <c r="AD28" s="8071"/>
      <c r="AE28" s="231"/>
      <c r="AF28" s="231"/>
      <c r="AG28" s="231"/>
      <c r="AH28" s="231"/>
      <c r="AI28" s="213"/>
      <c r="AJ28" s="213"/>
      <c r="AK28" s="213"/>
      <c r="AL28" s="213"/>
      <c r="AM28" s="213"/>
    </row>
    <row r="29" spans="1:40" ht="15" customHeight="1">
      <c r="A29" s="144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2076"/>
      <c r="Q29" s="2088" t="s">
        <v>1150</v>
      </c>
      <c r="R29" s="2089"/>
      <c r="S29" s="2083"/>
      <c r="T29" s="2083"/>
      <c r="U29" s="2083"/>
      <c r="V29" s="2083"/>
      <c r="W29" s="2083"/>
      <c r="X29" s="2084"/>
      <c r="Y29" s="8069" t="s">
        <v>1159</v>
      </c>
      <c r="Z29" s="8072"/>
      <c r="AA29" s="8073"/>
      <c r="AB29" s="204"/>
      <c r="AC29" s="231"/>
      <c r="AD29" s="231"/>
      <c r="AE29" s="231"/>
      <c r="AF29" s="231"/>
      <c r="AG29" s="231"/>
      <c r="AH29" s="231"/>
      <c r="AI29" s="213"/>
      <c r="AJ29" s="213"/>
      <c r="AK29" s="213"/>
      <c r="AL29" s="213"/>
      <c r="AM29" s="213"/>
    </row>
    <row r="30" spans="1:40" ht="15" customHeight="1">
      <c r="A30" s="144"/>
      <c r="B30" s="144"/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2077"/>
      <c r="S30" s="2092" t="s">
        <v>1151</v>
      </c>
      <c r="T30" s="2085"/>
      <c r="U30" s="2090"/>
      <c r="V30" s="2090"/>
      <c r="W30" s="2090"/>
      <c r="X30" s="2091"/>
      <c r="Y30" s="2094"/>
      <c r="Z30" s="8069" t="s">
        <v>1158</v>
      </c>
      <c r="AA30" s="8070"/>
      <c r="AB30" s="8070"/>
      <c r="AC30" s="8070"/>
      <c r="AD30" s="8071"/>
      <c r="AE30" s="231"/>
      <c r="AF30" s="231"/>
      <c r="AG30" s="231"/>
      <c r="AH30" s="231"/>
      <c r="AI30" s="213"/>
      <c r="AJ30" s="213"/>
      <c r="AK30" s="213"/>
      <c r="AL30" s="213"/>
      <c r="AM30" s="213"/>
    </row>
    <row r="31" spans="1:40" ht="15" customHeight="1">
      <c r="A31" s="397"/>
      <c r="B31" s="144"/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222"/>
      <c r="W31" s="222"/>
      <c r="X31" s="222"/>
      <c r="Y31" s="222"/>
      <c r="Z31" s="222"/>
      <c r="AA31" s="222"/>
      <c r="AB31" s="2069"/>
      <c r="AC31" s="231"/>
      <c r="AD31" s="231"/>
      <c r="AE31" s="231"/>
      <c r="AF31" s="231"/>
      <c r="AG31" s="231"/>
      <c r="AH31" s="231"/>
      <c r="AI31" s="213"/>
      <c r="AJ31" s="213"/>
      <c r="AK31" s="213"/>
      <c r="AL31" s="213"/>
      <c r="AM31" s="213"/>
    </row>
    <row r="32" spans="1:40">
      <c r="A32" s="144"/>
      <c r="B32" s="144"/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222"/>
      <c r="W32" s="222"/>
      <c r="X32" s="222"/>
      <c r="Y32" s="222"/>
      <c r="Z32" s="222"/>
      <c r="AA32" s="222"/>
      <c r="AB32" s="144"/>
      <c r="AJ32" s="204"/>
      <c r="AK32" s="204"/>
      <c r="AL32" s="204"/>
      <c r="AM32" s="204"/>
      <c r="AN32" s="204"/>
    </row>
    <row r="33" spans="1:40">
      <c r="A33" s="144"/>
      <c r="B33" s="144"/>
      <c r="C33" s="144"/>
      <c r="D33" s="906"/>
      <c r="E33" s="144"/>
      <c r="F33" s="144"/>
      <c r="G33" s="144"/>
      <c r="H33" s="144"/>
      <c r="I33" s="144"/>
      <c r="J33" s="144"/>
      <c r="K33" s="144"/>
      <c r="L33" s="139"/>
      <c r="M33" s="144"/>
      <c r="N33" s="144"/>
      <c r="O33" s="144"/>
      <c r="P33" s="144"/>
      <c r="Q33" s="144"/>
      <c r="R33" s="144"/>
      <c r="S33" s="144"/>
      <c r="T33" s="144"/>
      <c r="U33" s="222"/>
      <c r="V33" s="222"/>
      <c r="W33" s="222"/>
      <c r="X33" s="222"/>
      <c r="Y33" s="222"/>
      <c r="Z33" s="222"/>
      <c r="AA33" s="222"/>
      <c r="AB33" s="144"/>
      <c r="AJ33" s="204"/>
      <c r="AK33" s="204"/>
      <c r="AL33" s="204"/>
      <c r="AM33" s="204"/>
      <c r="AN33" s="204"/>
    </row>
    <row r="34" spans="1:40">
      <c r="A34" s="144"/>
      <c r="B34" s="144"/>
      <c r="C34" s="144"/>
      <c r="D34" s="906"/>
      <c r="E34" s="144"/>
      <c r="F34" s="144"/>
      <c r="G34" s="144"/>
      <c r="H34" s="144"/>
      <c r="I34" s="144"/>
      <c r="J34" s="144"/>
      <c r="K34" s="204"/>
      <c r="L34" s="139"/>
      <c r="M34" s="144"/>
      <c r="N34" s="144"/>
      <c r="O34" s="144"/>
      <c r="P34" s="144"/>
      <c r="Q34" s="144"/>
      <c r="R34" s="144"/>
      <c r="S34" s="144"/>
      <c r="T34" s="144"/>
      <c r="U34" s="222"/>
      <c r="V34" s="222"/>
      <c r="W34" s="222"/>
      <c r="X34" s="222"/>
      <c r="Y34" s="222"/>
      <c r="Z34" s="222"/>
      <c r="AA34" s="222"/>
      <c r="AB34" s="144"/>
      <c r="AJ34" s="204"/>
      <c r="AK34" s="204"/>
      <c r="AL34" s="204"/>
      <c r="AM34" s="204"/>
      <c r="AN34" s="204"/>
    </row>
    <row r="35" spans="1:40">
      <c r="A35" s="144"/>
      <c r="B35" s="144"/>
      <c r="C35" s="144"/>
      <c r="D35" s="906"/>
      <c r="E35" s="144"/>
      <c r="F35" s="144"/>
      <c r="G35" s="144"/>
      <c r="H35" s="144"/>
      <c r="I35" s="144"/>
      <c r="J35" s="144"/>
      <c r="K35" s="144"/>
      <c r="L35" s="139"/>
      <c r="M35" s="144"/>
      <c r="N35" s="144"/>
      <c r="O35" s="144"/>
      <c r="P35" s="144"/>
      <c r="Q35" s="144"/>
      <c r="R35" s="144"/>
      <c r="S35" s="144"/>
      <c r="T35" s="144"/>
      <c r="U35" s="222"/>
      <c r="V35" s="222"/>
      <c r="W35" s="222"/>
      <c r="X35" s="222"/>
      <c r="Y35" s="222"/>
      <c r="Z35" s="222"/>
      <c r="AA35" s="222"/>
      <c r="AB35" s="144"/>
      <c r="AN35" s="204"/>
    </row>
    <row r="36" spans="1:40">
      <c r="A36" s="144"/>
      <c r="B36" s="144"/>
      <c r="C36" s="144"/>
      <c r="D36" s="906"/>
      <c r="E36" s="144"/>
      <c r="F36" s="144"/>
      <c r="G36" s="144"/>
      <c r="H36" s="144"/>
      <c r="I36" s="144"/>
      <c r="J36" s="144"/>
      <c r="K36" s="144"/>
      <c r="L36" s="139"/>
      <c r="M36" s="144"/>
      <c r="N36" s="144"/>
      <c r="O36" s="144"/>
      <c r="P36" s="144"/>
      <c r="Q36" s="144"/>
      <c r="R36" s="144"/>
      <c r="S36" s="144"/>
      <c r="T36" s="144"/>
      <c r="U36" s="222"/>
      <c r="V36" s="222"/>
      <c r="W36" s="222"/>
      <c r="X36" s="222"/>
      <c r="Y36" s="222"/>
      <c r="Z36" s="222"/>
      <c r="AA36" s="222"/>
      <c r="AB36" s="144"/>
      <c r="AN36" s="204"/>
    </row>
    <row r="37" spans="1:40">
      <c r="A37" s="144"/>
      <c r="B37" s="144"/>
      <c r="C37" s="144"/>
      <c r="D37" s="906"/>
      <c r="E37" s="144"/>
      <c r="F37" s="144"/>
      <c r="G37" s="144"/>
      <c r="H37" s="144"/>
      <c r="I37" s="144"/>
      <c r="J37" s="144"/>
      <c r="K37" s="144"/>
      <c r="L37" s="139"/>
      <c r="M37" s="144"/>
      <c r="N37" s="144"/>
      <c r="O37" s="144"/>
      <c r="P37" s="144"/>
      <c r="Q37" s="144"/>
      <c r="R37" s="144"/>
      <c r="S37" s="144"/>
      <c r="T37" s="144"/>
      <c r="U37" s="222"/>
      <c r="V37" s="222"/>
      <c r="W37" s="222"/>
      <c r="X37" s="222"/>
      <c r="Y37" s="222"/>
      <c r="Z37" s="222"/>
      <c r="AA37" s="222"/>
      <c r="AB37" s="144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04"/>
    </row>
    <row r="38" spans="1:40" s="247" customFormat="1">
      <c r="A38" s="144"/>
      <c r="B38" s="144"/>
      <c r="C38" s="144"/>
      <c r="D38" s="906"/>
      <c r="E38" s="144"/>
      <c r="F38" s="144"/>
      <c r="G38" s="144"/>
      <c r="H38" s="144"/>
      <c r="I38" s="144"/>
      <c r="J38" s="144"/>
      <c r="K38" s="144"/>
      <c r="L38" s="139"/>
      <c r="M38" s="144"/>
      <c r="N38" s="144"/>
      <c r="O38" s="144"/>
      <c r="P38" s="144"/>
      <c r="Q38" s="144"/>
      <c r="R38" s="144"/>
      <c r="S38" s="144"/>
      <c r="T38" s="144"/>
      <c r="U38" s="222"/>
      <c r="V38" s="222"/>
      <c r="W38" s="222"/>
      <c r="X38" s="222"/>
      <c r="Y38" s="222"/>
      <c r="Z38" s="222"/>
      <c r="AA38" s="222"/>
      <c r="AB38" s="14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</row>
    <row r="39" spans="1:40" s="247" customFormat="1">
      <c r="A39" s="144"/>
      <c r="B39" s="144"/>
      <c r="C39" s="144"/>
      <c r="D39" s="906"/>
      <c r="E39" s="144"/>
      <c r="F39" s="144"/>
      <c r="G39" s="144"/>
      <c r="H39" s="144"/>
      <c r="I39" s="144"/>
      <c r="J39" s="144"/>
      <c r="K39" s="144"/>
      <c r="L39" s="139"/>
      <c r="M39" s="144"/>
      <c r="N39" s="144"/>
      <c r="O39" s="144"/>
      <c r="P39" s="144"/>
      <c r="Q39" s="144"/>
      <c r="R39" s="144"/>
      <c r="S39" s="144"/>
      <c r="T39" s="144"/>
      <c r="U39" s="222"/>
      <c r="V39" s="222"/>
      <c r="W39" s="222"/>
      <c r="X39" s="222"/>
      <c r="Y39" s="222"/>
      <c r="Z39" s="222"/>
      <c r="AA39" s="222"/>
      <c r="AB39" s="14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</row>
    <row r="40" spans="1:40" s="247" customFormat="1">
      <c r="A40" s="144"/>
      <c r="B40" s="144"/>
      <c r="C40" s="144"/>
      <c r="D40" s="906"/>
      <c r="E40" s="144"/>
      <c r="F40" s="144"/>
      <c r="G40" s="144"/>
      <c r="H40" s="144"/>
      <c r="I40" s="144"/>
      <c r="J40" s="144"/>
      <c r="K40" s="144"/>
      <c r="L40" s="139"/>
      <c r="M40" s="144"/>
      <c r="N40" s="144"/>
      <c r="O40" s="144"/>
      <c r="P40" s="144"/>
      <c r="Q40" s="144"/>
      <c r="R40" s="144"/>
      <c r="S40" s="144"/>
      <c r="T40" s="144"/>
      <c r="U40" s="222"/>
      <c r="V40" s="222"/>
      <c r="W40" s="222"/>
      <c r="X40" s="222"/>
      <c r="Y40" s="222"/>
      <c r="Z40" s="222"/>
      <c r="AA40" s="222"/>
      <c r="AB40" s="14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</row>
    <row r="41" spans="1:40" s="247" customFormat="1">
      <c r="A41" s="144"/>
      <c r="B41" s="144"/>
      <c r="C41" s="144"/>
      <c r="D41" s="906"/>
      <c r="E41" s="144"/>
      <c r="F41" s="144"/>
      <c r="G41" s="144"/>
      <c r="H41" s="144"/>
      <c r="I41" s="144"/>
      <c r="J41" s="144"/>
      <c r="K41" s="144"/>
      <c r="L41" s="139"/>
      <c r="M41" s="144"/>
      <c r="N41" s="144"/>
      <c r="O41" s="144"/>
      <c r="P41" s="144"/>
      <c r="Q41" s="144"/>
      <c r="R41" s="144"/>
      <c r="S41" s="144"/>
      <c r="T41" s="144"/>
      <c r="U41" s="222"/>
      <c r="V41" s="222"/>
      <c r="W41" s="222"/>
      <c r="X41" s="222"/>
      <c r="Y41" s="222"/>
      <c r="Z41" s="222"/>
      <c r="AA41" s="222"/>
      <c r="AB41" s="14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</row>
    <row r="42" spans="1:40" s="247" customFormat="1">
      <c r="B42" s="144"/>
      <c r="C42" s="143"/>
      <c r="D42" s="907"/>
      <c r="E42" s="143"/>
      <c r="F42" s="145"/>
      <c r="G42" s="146"/>
      <c r="H42" s="146"/>
      <c r="I42" s="146"/>
      <c r="J42" s="146"/>
      <c r="K42" s="146"/>
      <c r="L42" s="141"/>
      <c r="M42" s="458"/>
      <c r="N42" s="145"/>
      <c r="O42" s="146"/>
      <c r="P42" s="146"/>
      <c r="Q42" s="147"/>
      <c r="R42" s="147"/>
      <c r="S42" s="142"/>
      <c r="T42" s="142"/>
      <c r="U42" s="222"/>
      <c r="V42" s="222"/>
      <c r="W42" s="222"/>
      <c r="X42" s="222"/>
      <c r="Y42" s="222"/>
      <c r="Z42" s="222"/>
      <c r="AA42" s="222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</row>
    <row r="43" spans="1:40" s="247" customFormat="1">
      <c r="B43" s="144"/>
      <c r="C43" s="143"/>
      <c r="D43" s="907"/>
      <c r="E43" s="143"/>
      <c r="F43" s="145"/>
      <c r="G43" s="146"/>
      <c r="H43" s="146"/>
      <c r="I43" s="146"/>
      <c r="J43" s="146"/>
      <c r="K43" s="146"/>
      <c r="L43" s="141"/>
      <c r="M43" s="458"/>
      <c r="N43" s="145"/>
      <c r="O43" s="146"/>
      <c r="P43" s="146"/>
      <c r="Q43" s="147"/>
      <c r="R43" s="147"/>
      <c r="S43" s="142"/>
      <c r="T43" s="142"/>
      <c r="U43" s="222"/>
      <c r="V43" s="222"/>
      <c r="W43" s="222"/>
      <c r="X43" s="222"/>
      <c r="Y43" s="222"/>
      <c r="Z43" s="222"/>
      <c r="AA43" s="222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</row>
    <row r="44" spans="1:40" s="247" customFormat="1">
      <c r="B44" s="144"/>
      <c r="C44" s="143"/>
      <c r="D44" s="907"/>
      <c r="E44" s="143"/>
      <c r="F44" s="145"/>
      <c r="G44" s="146"/>
      <c r="H44" s="146"/>
      <c r="I44" s="146"/>
      <c r="J44" s="146"/>
      <c r="K44" s="146"/>
      <c r="L44" s="141"/>
      <c r="M44" s="458"/>
      <c r="N44" s="145"/>
      <c r="O44" s="146"/>
      <c r="P44" s="146"/>
      <c r="Q44" s="147"/>
      <c r="R44" s="147"/>
      <c r="S44" s="142"/>
      <c r="T44" s="142"/>
      <c r="U44" s="222"/>
      <c r="V44" s="222"/>
      <c r="W44" s="222"/>
      <c r="X44" s="222"/>
      <c r="Y44" s="222"/>
      <c r="Z44" s="222"/>
      <c r="AA44" s="222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</row>
    <row r="45" spans="1:40" s="247" customFormat="1">
      <c r="B45" s="144"/>
      <c r="C45" s="143"/>
      <c r="D45" s="907"/>
      <c r="E45" s="143"/>
      <c r="F45" s="145"/>
      <c r="G45" s="146"/>
      <c r="H45" s="146"/>
      <c r="I45" s="146"/>
      <c r="J45" s="146"/>
      <c r="K45" s="146"/>
      <c r="L45" s="141"/>
      <c r="M45" s="458"/>
      <c r="N45" s="145"/>
      <c r="O45" s="146"/>
      <c r="P45" s="146"/>
      <c r="Q45" s="147"/>
      <c r="R45" s="147"/>
      <c r="S45" s="142"/>
      <c r="T45" s="142"/>
      <c r="U45" s="222"/>
      <c r="V45" s="222"/>
      <c r="W45" s="222"/>
      <c r="X45" s="222"/>
      <c r="Y45" s="222"/>
      <c r="Z45" s="222"/>
      <c r="AA45" s="222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</row>
    <row r="46" spans="1:40" s="247" customFormat="1">
      <c r="B46" s="144"/>
      <c r="C46" s="143"/>
      <c r="D46" s="907"/>
      <c r="E46" s="143"/>
      <c r="F46" s="145"/>
      <c r="G46" s="146"/>
      <c r="H46" s="146"/>
      <c r="I46" s="146"/>
      <c r="J46" s="146"/>
      <c r="K46" s="146"/>
      <c r="L46" s="141"/>
      <c r="M46" s="458"/>
      <c r="N46" s="145"/>
      <c r="O46" s="146"/>
      <c r="P46" s="146"/>
      <c r="Q46" s="147"/>
      <c r="R46" s="147"/>
      <c r="S46" s="142"/>
      <c r="T46" s="142"/>
      <c r="U46" s="146"/>
      <c r="V46" s="146"/>
      <c r="W46" s="146"/>
      <c r="X46" s="146"/>
      <c r="Y46" s="146"/>
      <c r="Z46" s="146"/>
      <c r="AA46" s="146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</row>
    <row r="47" spans="1:40" s="247" customFormat="1">
      <c r="B47" s="144"/>
      <c r="C47" s="143"/>
      <c r="D47" s="907"/>
      <c r="E47" s="143"/>
      <c r="F47" s="145"/>
      <c r="G47" s="146"/>
      <c r="H47" s="146"/>
      <c r="I47" s="146"/>
      <c r="J47" s="146"/>
      <c r="K47" s="146"/>
      <c r="L47" s="141"/>
      <c r="M47" s="458"/>
      <c r="N47" s="145"/>
      <c r="O47" s="146"/>
      <c r="P47" s="146"/>
      <c r="Q47" s="147"/>
      <c r="R47" s="147"/>
      <c r="S47" s="142"/>
      <c r="T47" s="142"/>
      <c r="U47" s="146"/>
      <c r="V47" s="146"/>
      <c r="W47" s="146"/>
      <c r="X47" s="146"/>
      <c r="Y47" s="146"/>
      <c r="Z47" s="146"/>
      <c r="AA47" s="146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</row>
    <row r="48" spans="1:40" s="247" customFormat="1">
      <c r="B48" s="144"/>
      <c r="C48" s="143"/>
      <c r="D48" s="907"/>
      <c r="E48" s="143"/>
      <c r="F48" s="145"/>
      <c r="G48" s="146"/>
      <c r="H48" s="146"/>
      <c r="I48" s="146"/>
      <c r="J48" s="146"/>
      <c r="K48" s="146"/>
      <c r="L48" s="141"/>
      <c r="M48" s="458"/>
      <c r="N48" s="145"/>
      <c r="O48" s="146"/>
      <c r="P48" s="146"/>
      <c r="Q48" s="147"/>
      <c r="R48" s="147"/>
      <c r="S48" s="142"/>
      <c r="T48" s="142"/>
      <c r="U48" s="146"/>
      <c r="V48" s="146"/>
      <c r="W48" s="146"/>
      <c r="X48" s="146"/>
      <c r="Y48" s="146"/>
      <c r="Z48" s="146"/>
      <c r="AA48" s="146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</row>
    <row r="49" spans="2:39" s="247" customFormat="1">
      <c r="B49" s="144"/>
      <c r="C49" s="143"/>
      <c r="D49" s="907"/>
      <c r="E49" s="143"/>
      <c r="F49" s="145"/>
      <c r="G49" s="146"/>
      <c r="H49" s="146"/>
      <c r="I49" s="146"/>
      <c r="J49" s="146"/>
      <c r="K49" s="146"/>
      <c r="L49" s="141"/>
      <c r="M49" s="458"/>
      <c r="N49" s="145"/>
      <c r="O49" s="146"/>
      <c r="P49" s="146"/>
      <c r="Q49" s="147"/>
      <c r="R49" s="147"/>
      <c r="S49" s="142"/>
      <c r="T49" s="142"/>
      <c r="U49" s="146"/>
      <c r="V49" s="146"/>
      <c r="W49" s="146"/>
      <c r="X49" s="146"/>
      <c r="Y49" s="146"/>
      <c r="Z49" s="146"/>
      <c r="AA49" s="146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2:39" s="247" customFormat="1">
      <c r="B50" s="144"/>
      <c r="C50" s="143"/>
      <c r="D50" s="907"/>
      <c r="E50" s="143"/>
      <c r="F50" s="145"/>
      <c r="G50" s="146"/>
      <c r="H50" s="146"/>
      <c r="I50" s="146"/>
      <c r="J50" s="146"/>
      <c r="K50" s="146"/>
      <c r="L50" s="141"/>
      <c r="M50" s="458"/>
      <c r="N50" s="145"/>
      <c r="O50" s="146"/>
      <c r="P50" s="146"/>
      <c r="Q50" s="147"/>
      <c r="R50" s="147"/>
      <c r="S50" s="142"/>
      <c r="T50" s="142"/>
      <c r="U50" s="146"/>
      <c r="V50" s="146"/>
      <c r="W50" s="146"/>
      <c r="X50" s="146"/>
      <c r="Y50" s="146"/>
      <c r="Z50" s="146"/>
      <c r="AA50" s="146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</row>
    <row r="51" spans="2:39" s="247" customFormat="1">
      <c r="B51" s="144"/>
      <c r="C51" s="143"/>
      <c r="D51" s="907"/>
      <c r="E51" s="143"/>
      <c r="F51" s="145"/>
      <c r="G51" s="146"/>
      <c r="H51" s="146"/>
      <c r="I51" s="146"/>
      <c r="J51" s="146"/>
      <c r="K51" s="146"/>
      <c r="L51" s="141"/>
      <c r="M51" s="458"/>
      <c r="N51" s="145"/>
      <c r="O51" s="146"/>
      <c r="P51" s="146"/>
      <c r="Q51" s="147"/>
      <c r="R51" s="147"/>
      <c r="S51" s="142"/>
      <c r="T51" s="142"/>
      <c r="U51" s="146"/>
      <c r="V51" s="146"/>
      <c r="W51" s="146"/>
      <c r="X51" s="146"/>
      <c r="Y51" s="146"/>
      <c r="Z51" s="146"/>
      <c r="AA51" s="146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2:39" s="247" customFormat="1">
      <c r="B52" s="144"/>
      <c r="C52" s="143"/>
      <c r="D52" s="907"/>
      <c r="E52" s="143"/>
      <c r="F52" s="145"/>
      <c r="G52" s="146"/>
      <c r="H52" s="146"/>
      <c r="I52" s="146"/>
      <c r="J52" s="146"/>
      <c r="K52" s="146"/>
      <c r="L52" s="141"/>
      <c r="M52" s="458"/>
      <c r="N52" s="145"/>
      <c r="O52" s="146"/>
      <c r="P52" s="146"/>
      <c r="Q52" s="147"/>
      <c r="R52" s="147"/>
      <c r="S52" s="142"/>
      <c r="T52" s="142"/>
      <c r="U52" s="146"/>
      <c r="V52" s="146"/>
      <c r="W52" s="146"/>
      <c r="X52" s="146"/>
      <c r="Y52" s="146"/>
      <c r="Z52" s="146"/>
      <c r="AA52" s="146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2:39" s="247" customFormat="1">
      <c r="B53" s="144"/>
      <c r="C53" s="143"/>
      <c r="D53" s="907"/>
      <c r="E53" s="143"/>
      <c r="F53" s="145"/>
      <c r="G53" s="146"/>
      <c r="H53" s="146"/>
      <c r="I53" s="146"/>
      <c r="J53" s="146"/>
      <c r="K53" s="146"/>
      <c r="L53" s="141"/>
      <c r="M53" s="458"/>
      <c r="N53" s="145"/>
      <c r="O53" s="146"/>
      <c r="P53" s="146"/>
      <c r="Q53" s="147"/>
      <c r="R53" s="147"/>
      <c r="S53" s="142"/>
      <c r="T53" s="142"/>
      <c r="U53" s="146"/>
      <c r="V53" s="146"/>
      <c r="W53" s="146"/>
      <c r="X53" s="146"/>
      <c r="Y53" s="146"/>
      <c r="Z53" s="146"/>
      <c r="AA53" s="146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</row>
    <row r="54" spans="2:39" s="247" customFormat="1">
      <c r="B54" s="144"/>
      <c r="C54" s="143"/>
      <c r="D54" s="907"/>
      <c r="E54" s="143"/>
      <c r="F54" s="145"/>
      <c r="G54" s="146"/>
      <c r="H54" s="146"/>
      <c r="I54" s="146"/>
      <c r="J54" s="146"/>
      <c r="K54" s="146"/>
      <c r="L54" s="141"/>
      <c r="M54" s="458"/>
      <c r="N54" s="145"/>
      <c r="O54" s="146"/>
      <c r="P54" s="146"/>
      <c r="Q54" s="147"/>
      <c r="R54" s="147"/>
      <c r="S54" s="142"/>
      <c r="T54" s="142"/>
      <c r="U54" s="146"/>
      <c r="V54" s="146"/>
      <c r="W54" s="146"/>
      <c r="X54" s="146"/>
      <c r="Y54" s="146"/>
      <c r="Z54" s="146"/>
      <c r="AA54" s="146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</row>
    <row r="55" spans="2:39" s="247" customFormat="1">
      <c r="B55" s="144"/>
      <c r="C55" s="143"/>
      <c r="D55" s="907"/>
      <c r="E55" s="143"/>
      <c r="F55" s="145"/>
      <c r="G55" s="146"/>
      <c r="H55" s="146"/>
      <c r="I55" s="146"/>
      <c r="J55" s="146"/>
      <c r="K55" s="146"/>
      <c r="L55" s="141"/>
      <c r="M55" s="458"/>
      <c r="N55" s="145"/>
      <c r="O55" s="146"/>
      <c r="P55" s="146"/>
      <c r="Q55" s="147"/>
      <c r="R55" s="147"/>
      <c r="S55" s="142"/>
      <c r="T55" s="142"/>
      <c r="U55" s="146"/>
      <c r="V55" s="146"/>
      <c r="W55" s="146"/>
      <c r="X55" s="146"/>
      <c r="Y55" s="146"/>
      <c r="Z55" s="146"/>
      <c r="AA55" s="146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</row>
    <row r="56" spans="2:39" s="247" customFormat="1">
      <c r="B56" s="144"/>
      <c r="C56" s="143"/>
      <c r="D56" s="907"/>
      <c r="E56" s="143"/>
      <c r="F56" s="145"/>
      <c r="G56" s="146"/>
      <c r="H56" s="146"/>
      <c r="I56" s="146"/>
      <c r="J56" s="146"/>
      <c r="K56" s="146"/>
      <c r="L56" s="141"/>
      <c r="M56" s="458"/>
      <c r="N56" s="145"/>
      <c r="O56" s="146"/>
      <c r="P56" s="146"/>
      <c r="Q56" s="147"/>
      <c r="R56" s="147"/>
      <c r="S56" s="142"/>
      <c r="T56" s="142"/>
      <c r="U56" s="146"/>
      <c r="V56" s="146"/>
      <c r="W56" s="146"/>
      <c r="X56" s="146"/>
      <c r="Y56" s="146"/>
      <c r="Z56" s="146"/>
      <c r="AA56" s="146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</row>
    <row r="57" spans="2:39" s="247" customFormat="1">
      <c r="B57" s="144"/>
      <c r="C57" s="143"/>
      <c r="D57" s="907"/>
      <c r="E57" s="143"/>
      <c r="F57" s="145"/>
      <c r="G57" s="146"/>
      <c r="H57" s="146"/>
      <c r="I57" s="146"/>
      <c r="J57" s="146"/>
      <c r="K57" s="146"/>
      <c r="L57" s="141"/>
      <c r="M57" s="458"/>
      <c r="N57" s="145"/>
      <c r="O57" s="146"/>
      <c r="P57" s="146"/>
      <c r="Q57" s="147"/>
      <c r="R57" s="147"/>
      <c r="S57" s="142"/>
      <c r="T57" s="142"/>
      <c r="U57" s="146"/>
      <c r="V57" s="146"/>
      <c r="W57" s="146"/>
      <c r="X57" s="146"/>
      <c r="Y57" s="146"/>
      <c r="Z57" s="146"/>
      <c r="AA57" s="146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</row>
    <row r="58" spans="2:39" s="247" customFormat="1">
      <c r="B58" s="144"/>
      <c r="C58" s="143"/>
      <c r="D58" s="907"/>
      <c r="E58" s="143"/>
      <c r="F58" s="145"/>
      <c r="G58" s="146"/>
      <c r="H58" s="146"/>
      <c r="I58" s="146"/>
      <c r="J58" s="146"/>
      <c r="K58" s="146"/>
      <c r="L58" s="141"/>
      <c r="M58" s="458"/>
      <c r="N58" s="145"/>
      <c r="O58" s="146"/>
      <c r="P58" s="146"/>
      <c r="Q58" s="147"/>
      <c r="R58" s="147"/>
      <c r="S58" s="142"/>
      <c r="T58" s="142"/>
      <c r="U58" s="146"/>
      <c r="V58" s="146"/>
      <c r="W58" s="146"/>
      <c r="X58" s="146"/>
      <c r="Y58" s="146"/>
      <c r="Z58" s="146"/>
      <c r="AA58" s="146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</row>
    <row r="59" spans="2:39" s="247" customFormat="1">
      <c r="B59" s="144"/>
      <c r="C59" s="143"/>
      <c r="D59" s="907"/>
      <c r="E59" s="143"/>
      <c r="F59" s="145"/>
      <c r="G59" s="146"/>
      <c r="H59" s="146"/>
      <c r="I59" s="146"/>
      <c r="J59" s="146"/>
      <c r="K59" s="146"/>
      <c r="L59" s="141"/>
      <c r="M59" s="458"/>
      <c r="N59" s="145"/>
      <c r="O59" s="146"/>
      <c r="P59" s="146"/>
      <c r="Q59" s="147"/>
      <c r="R59" s="147"/>
      <c r="S59" s="142"/>
      <c r="T59" s="142"/>
      <c r="U59" s="146"/>
      <c r="V59" s="146"/>
      <c r="W59" s="146"/>
      <c r="X59" s="146"/>
      <c r="Y59" s="146"/>
      <c r="Z59" s="146"/>
      <c r="AA59" s="146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</row>
    <row r="60" spans="2:39" s="247" customFormat="1">
      <c r="B60" s="144"/>
      <c r="C60" s="143"/>
      <c r="D60" s="907"/>
      <c r="E60" s="143"/>
      <c r="F60" s="145"/>
      <c r="G60" s="146"/>
      <c r="H60" s="146"/>
      <c r="I60" s="146"/>
      <c r="J60" s="146"/>
      <c r="K60" s="146"/>
      <c r="L60" s="141"/>
      <c r="M60" s="458"/>
      <c r="N60" s="145"/>
      <c r="O60" s="146"/>
      <c r="P60" s="146"/>
      <c r="Q60" s="147"/>
      <c r="R60" s="147"/>
      <c r="S60" s="142"/>
      <c r="T60" s="142"/>
      <c r="U60" s="146"/>
      <c r="V60" s="146"/>
      <c r="W60" s="146"/>
      <c r="X60" s="146"/>
      <c r="Y60" s="146"/>
      <c r="Z60" s="146"/>
      <c r="AA60" s="146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</row>
    <row r="61" spans="2:39" s="247" customFormat="1">
      <c r="B61" s="144"/>
      <c r="C61" s="143"/>
      <c r="D61" s="907"/>
      <c r="E61" s="143"/>
      <c r="F61" s="145"/>
      <c r="G61" s="146"/>
      <c r="H61" s="146"/>
      <c r="I61" s="146"/>
      <c r="J61" s="146"/>
      <c r="K61" s="146"/>
      <c r="L61" s="141"/>
      <c r="M61" s="458"/>
      <c r="N61" s="145"/>
      <c r="O61" s="146"/>
      <c r="P61" s="146"/>
      <c r="Q61" s="147"/>
      <c r="R61" s="147"/>
      <c r="S61" s="142"/>
      <c r="T61" s="142"/>
      <c r="U61" s="146"/>
      <c r="V61" s="146"/>
      <c r="W61" s="146"/>
      <c r="X61" s="146"/>
      <c r="Y61" s="146"/>
      <c r="Z61" s="146"/>
      <c r="AA61" s="146"/>
      <c r="AB61" s="247">
        <f>SUBTOTAL(9,AB22:AB60)</f>
        <v>0</v>
      </c>
      <c r="AC61" s="214">
        <f>SUBTOTAL(9,AC22:AC60)</f>
        <v>0</v>
      </c>
      <c r="AD61" s="214">
        <f>SUBTOTAL(9,AD22:AD60)</f>
        <v>0</v>
      </c>
      <c r="AE61" s="214"/>
      <c r="AF61" s="214"/>
      <c r="AG61" s="214"/>
      <c r="AH61" s="214"/>
      <c r="AI61" s="214"/>
      <c r="AJ61" s="214"/>
      <c r="AK61" s="214"/>
      <c r="AL61" s="214"/>
      <c r="AM61" s="214"/>
    </row>
    <row r="62" spans="2:39" s="247" customFormat="1">
      <c r="B62" s="144"/>
      <c r="C62" s="143"/>
      <c r="D62" s="907"/>
      <c r="E62" s="143"/>
      <c r="F62" s="145"/>
      <c r="G62" s="146"/>
      <c r="H62" s="146"/>
      <c r="I62" s="146"/>
      <c r="J62" s="146"/>
      <c r="K62" s="146"/>
      <c r="L62" s="141"/>
      <c r="M62" s="458"/>
      <c r="N62" s="145"/>
      <c r="O62" s="146"/>
      <c r="P62" s="146"/>
      <c r="Q62" s="147"/>
      <c r="R62" s="147"/>
      <c r="S62" s="142"/>
      <c r="T62" s="142"/>
      <c r="U62" s="146"/>
      <c r="V62" s="146"/>
      <c r="W62" s="146"/>
      <c r="X62" s="146"/>
      <c r="Y62" s="146"/>
      <c r="Z62" s="146"/>
      <c r="AA62" s="146"/>
      <c r="AB62" s="247">
        <v>0</v>
      </c>
      <c r="AC62" s="214">
        <v>0</v>
      </c>
      <c r="AD62" s="214">
        <v>0</v>
      </c>
      <c r="AE62" s="214"/>
      <c r="AF62" s="214"/>
      <c r="AG62" s="214"/>
      <c r="AH62" s="214"/>
      <c r="AI62" s="214"/>
      <c r="AJ62" s="214"/>
      <c r="AK62" s="214"/>
      <c r="AL62" s="214"/>
      <c r="AM62" s="214"/>
    </row>
    <row r="63" spans="2:39" s="247" customFormat="1">
      <c r="B63" s="144"/>
      <c r="C63" s="143"/>
      <c r="D63" s="907"/>
      <c r="E63" s="143"/>
      <c r="F63" s="145"/>
      <c r="G63" s="146"/>
      <c r="H63" s="146"/>
      <c r="I63" s="146"/>
      <c r="J63" s="146"/>
      <c r="K63" s="146"/>
      <c r="L63" s="141"/>
      <c r="M63" s="458"/>
      <c r="N63" s="145"/>
      <c r="O63" s="146"/>
      <c r="P63" s="146"/>
      <c r="Q63" s="147"/>
      <c r="R63" s="147"/>
      <c r="S63" s="142"/>
      <c r="T63" s="142"/>
      <c r="U63" s="146"/>
      <c r="V63" s="146"/>
      <c r="W63" s="146"/>
      <c r="X63" s="146"/>
      <c r="Y63" s="146"/>
      <c r="Z63" s="146"/>
      <c r="AA63" s="146"/>
      <c r="AB63" s="247">
        <v>0</v>
      </c>
      <c r="AC63" s="214">
        <v>0</v>
      </c>
      <c r="AD63" s="214">
        <v>0</v>
      </c>
      <c r="AE63" s="214"/>
      <c r="AF63" s="214"/>
      <c r="AG63" s="214"/>
      <c r="AH63" s="214"/>
      <c r="AI63" s="214"/>
      <c r="AJ63" s="214"/>
      <c r="AK63" s="214"/>
      <c r="AL63" s="214"/>
      <c r="AM63" s="214"/>
    </row>
    <row r="64" spans="2:39" s="247" customFormat="1">
      <c r="B64" s="144"/>
      <c r="C64" s="143"/>
      <c r="D64" s="907"/>
      <c r="E64" s="143"/>
      <c r="F64" s="145"/>
      <c r="G64" s="146"/>
      <c r="H64" s="146"/>
      <c r="I64" s="146"/>
      <c r="J64" s="146"/>
      <c r="K64" s="146"/>
      <c r="L64" s="141"/>
      <c r="M64" s="458"/>
      <c r="N64" s="145"/>
      <c r="O64" s="146"/>
      <c r="P64" s="146"/>
      <c r="Q64" s="147"/>
      <c r="R64" s="147"/>
      <c r="S64" s="142"/>
      <c r="T64" s="142"/>
      <c r="U64" s="146"/>
      <c r="V64" s="146"/>
      <c r="W64" s="146"/>
      <c r="X64" s="146"/>
      <c r="Y64" s="146"/>
      <c r="Z64" s="146"/>
      <c r="AA64" s="146"/>
      <c r="AB64" s="247">
        <v>0</v>
      </c>
      <c r="AC64" s="214">
        <v>0</v>
      </c>
      <c r="AD64" s="214">
        <v>0</v>
      </c>
      <c r="AE64" s="214"/>
      <c r="AF64" s="214"/>
      <c r="AG64" s="214"/>
      <c r="AH64" s="214"/>
      <c r="AI64" s="214"/>
      <c r="AJ64" s="214"/>
      <c r="AK64" s="214"/>
      <c r="AL64" s="214"/>
      <c r="AM64" s="214"/>
    </row>
    <row r="65" spans="2:41" s="247" customFormat="1">
      <c r="B65" s="144"/>
      <c r="C65" s="143"/>
      <c r="D65" s="907"/>
      <c r="E65" s="143"/>
      <c r="F65" s="145"/>
      <c r="G65" s="146"/>
      <c r="H65" s="146"/>
      <c r="I65" s="146"/>
      <c r="J65" s="146"/>
      <c r="K65" s="146"/>
      <c r="L65" s="141"/>
      <c r="M65" s="458"/>
      <c r="N65" s="145"/>
      <c r="O65" s="146"/>
      <c r="P65" s="146"/>
      <c r="Q65" s="147"/>
      <c r="R65" s="147"/>
      <c r="S65" s="142"/>
      <c r="T65" s="142"/>
      <c r="U65" s="146"/>
      <c r="V65" s="146"/>
      <c r="W65" s="146"/>
      <c r="X65" s="146"/>
      <c r="Y65" s="146"/>
      <c r="Z65" s="146"/>
      <c r="AA65" s="146"/>
      <c r="AB65" s="247">
        <v>0</v>
      </c>
      <c r="AC65" s="214">
        <v>0</v>
      </c>
      <c r="AD65" s="214">
        <v>0</v>
      </c>
      <c r="AE65" s="214"/>
      <c r="AF65" s="214"/>
      <c r="AG65" s="214"/>
      <c r="AH65" s="214"/>
      <c r="AI65" s="214"/>
      <c r="AJ65" s="214"/>
      <c r="AK65" s="214"/>
      <c r="AL65" s="214"/>
      <c r="AM65" s="214"/>
    </row>
    <row r="66" spans="2:41" s="247" customFormat="1">
      <c r="B66" s="144"/>
      <c r="C66" s="143"/>
      <c r="D66" s="907"/>
      <c r="E66" s="143"/>
      <c r="F66" s="145"/>
      <c r="G66" s="146"/>
      <c r="H66" s="146"/>
      <c r="I66" s="146"/>
      <c r="J66" s="146"/>
      <c r="K66" s="146"/>
      <c r="L66" s="141"/>
      <c r="M66" s="458"/>
      <c r="N66" s="145"/>
      <c r="O66" s="146"/>
      <c r="P66" s="146"/>
      <c r="Q66" s="147"/>
      <c r="R66" s="147"/>
      <c r="S66" s="142"/>
      <c r="T66" s="142"/>
      <c r="U66" s="146"/>
      <c r="V66" s="146"/>
      <c r="W66" s="146"/>
      <c r="X66" s="146"/>
      <c r="Y66" s="146"/>
      <c r="Z66" s="146"/>
      <c r="AA66" s="146"/>
      <c r="AB66" s="247">
        <v>0</v>
      </c>
      <c r="AC66" s="214">
        <v>0</v>
      </c>
      <c r="AD66" s="214">
        <v>0</v>
      </c>
      <c r="AE66" s="214"/>
      <c r="AF66" s="214"/>
      <c r="AG66" s="214"/>
      <c r="AH66" s="214"/>
      <c r="AI66" s="214"/>
      <c r="AJ66" s="214"/>
      <c r="AK66" s="214"/>
      <c r="AL66" s="214"/>
      <c r="AM66" s="214"/>
    </row>
    <row r="67" spans="2:41" s="247" customFormat="1">
      <c r="B67" s="144"/>
      <c r="C67" s="143"/>
      <c r="D67" s="907"/>
      <c r="E67" s="143"/>
      <c r="F67" s="145"/>
      <c r="G67" s="146"/>
      <c r="H67" s="146"/>
      <c r="I67" s="146"/>
      <c r="J67" s="146"/>
      <c r="K67" s="146"/>
      <c r="L67" s="141"/>
      <c r="M67" s="458"/>
      <c r="N67" s="145"/>
      <c r="O67" s="146"/>
      <c r="P67" s="146"/>
      <c r="Q67" s="147"/>
      <c r="R67" s="147"/>
      <c r="S67" s="142"/>
      <c r="T67" s="142"/>
      <c r="U67" s="146"/>
      <c r="V67" s="146"/>
      <c r="W67" s="146"/>
      <c r="X67" s="146"/>
      <c r="Y67" s="146"/>
      <c r="Z67" s="146"/>
      <c r="AA67" s="146"/>
      <c r="AB67" s="247">
        <v>0</v>
      </c>
      <c r="AC67" s="214">
        <v>0</v>
      </c>
      <c r="AD67" s="214">
        <v>0</v>
      </c>
      <c r="AE67" s="214"/>
      <c r="AF67" s="214"/>
      <c r="AG67" s="214"/>
      <c r="AH67" s="214"/>
      <c r="AI67" s="214"/>
      <c r="AJ67" s="214"/>
      <c r="AK67" s="214"/>
      <c r="AL67" s="214"/>
      <c r="AM67" s="214"/>
    </row>
    <row r="68" spans="2:41" s="247" customFormat="1">
      <c r="B68" s="144"/>
      <c r="C68" s="143"/>
      <c r="D68" s="907"/>
      <c r="E68" s="143"/>
      <c r="F68" s="145"/>
      <c r="G68" s="146"/>
      <c r="H68" s="146"/>
      <c r="I68" s="146"/>
      <c r="J68" s="146"/>
      <c r="K68" s="146"/>
      <c r="L68" s="141"/>
      <c r="M68" s="458"/>
      <c r="N68" s="145"/>
      <c r="O68" s="146"/>
      <c r="P68" s="146"/>
      <c r="Q68" s="147"/>
      <c r="R68" s="147"/>
      <c r="S68" s="142"/>
      <c r="T68" s="142"/>
      <c r="U68" s="146"/>
      <c r="V68" s="146"/>
      <c r="W68" s="146"/>
      <c r="X68" s="146"/>
      <c r="Y68" s="146"/>
      <c r="Z68" s="146"/>
      <c r="AA68" s="146"/>
      <c r="AB68" s="247">
        <v>0</v>
      </c>
      <c r="AC68" s="214">
        <v>0</v>
      </c>
      <c r="AD68" s="214">
        <v>0</v>
      </c>
      <c r="AE68" s="214"/>
      <c r="AF68" s="214"/>
      <c r="AG68" s="214"/>
      <c r="AH68" s="214"/>
      <c r="AI68" s="214"/>
      <c r="AJ68" s="214"/>
      <c r="AK68" s="214"/>
      <c r="AL68" s="214"/>
      <c r="AM68" s="214"/>
    </row>
    <row r="69" spans="2:41" s="247" customFormat="1">
      <c r="B69" s="144"/>
      <c r="C69" s="143"/>
      <c r="D69" s="907"/>
      <c r="E69" s="143"/>
      <c r="F69" s="145"/>
      <c r="G69" s="146"/>
      <c r="H69" s="146"/>
      <c r="I69" s="146"/>
      <c r="J69" s="146"/>
      <c r="K69" s="146"/>
      <c r="L69" s="141"/>
      <c r="M69" s="458"/>
      <c r="N69" s="145"/>
      <c r="O69" s="146"/>
      <c r="P69" s="146"/>
      <c r="Q69" s="147"/>
      <c r="R69" s="147"/>
      <c r="S69" s="142"/>
      <c r="T69" s="142"/>
      <c r="U69" s="146"/>
      <c r="V69" s="146"/>
      <c r="W69" s="146"/>
      <c r="X69" s="146"/>
      <c r="Y69" s="146"/>
      <c r="Z69" s="146"/>
      <c r="AA69" s="146"/>
      <c r="AB69" s="247">
        <v>0</v>
      </c>
      <c r="AC69" s="214">
        <v>0</v>
      </c>
      <c r="AD69" s="214">
        <v>0</v>
      </c>
      <c r="AE69" s="214"/>
      <c r="AF69" s="214"/>
      <c r="AG69" s="214"/>
      <c r="AH69" s="214"/>
      <c r="AI69" s="214"/>
      <c r="AJ69" s="214"/>
      <c r="AK69" s="214"/>
      <c r="AL69" s="214"/>
      <c r="AM69" s="214"/>
    </row>
    <row r="70" spans="2:41" s="247" customFormat="1">
      <c r="B70" s="144"/>
      <c r="C70" s="143"/>
      <c r="D70" s="907"/>
      <c r="E70" s="143"/>
      <c r="F70" s="145"/>
      <c r="G70" s="146"/>
      <c r="H70" s="146"/>
      <c r="I70" s="146"/>
      <c r="J70" s="146"/>
      <c r="K70" s="146"/>
      <c r="L70" s="141"/>
      <c r="M70" s="458"/>
      <c r="N70" s="145"/>
      <c r="O70" s="146"/>
      <c r="P70" s="146"/>
      <c r="Q70" s="147"/>
      <c r="R70" s="147"/>
      <c r="S70" s="142"/>
      <c r="T70" s="142"/>
      <c r="U70" s="146"/>
      <c r="V70" s="146"/>
      <c r="W70" s="146"/>
      <c r="X70" s="146"/>
      <c r="Y70" s="146"/>
      <c r="Z70" s="146"/>
      <c r="AA70" s="146"/>
      <c r="AB70" s="247">
        <v>0</v>
      </c>
      <c r="AC70" s="214">
        <v>0</v>
      </c>
      <c r="AD70" s="214">
        <v>0</v>
      </c>
      <c r="AE70" s="214"/>
      <c r="AF70" s="214"/>
      <c r="AG70" s="214"/>
      <c r="AH70" s="214"/>
      <c r="AI70" s="214"/>
      <c r="AJ70" s="214"/>
      <c r="AK70" s="214"/>
      <c r="AL70" s="214"/>
      <c r="AM70" s="214"/>
    </row>
    <row r="71" spans="2:41" s="247" customFormat="1">
      <c r="B71" s="144"/>
      <c r="C71" s="143"/>
      <c r="D71" s="907"/>
      <c r="E71" s="143"/>
      <c r="F71" s="145"/>
      <c r="G71" s="146"/>
      <c r="H71" s="146"/>
      <c r="I71" s="146"/>
      <c r="J71" s="146"/>
      <c r="K71" s="146"/>
      <c r="L71" s="141"/>
      <c r="M71" s="458"/>
      <c r="N71" s="145"/>
      <c r="O71" s="146"/>
      <c r="P71" s="146"/>
      <c r="Q71" s="147"/>
      <c r="R71" s="147"/>
      <c r="S71" s="142"/>
      <c r="T71" s="142"/>
      <c r="U71" s="146"/>
      <c r="V71" s="146"/>
      <c r="W71" s="146"/>
      <c r="X71" s="146"/>
      <c r="Y71" s="146"/>
      <c r="Z71" s="146"/>
      <c r="AA71" s="146"/>
      <c r="AB71" s="247">
        <v>0</v>
      </c>
      <c r="AC71" s="214">
        <v>0</v>
      </c>
      <c r="AD71" s="214">
        <v>0</v>
      </c>
      <c r="AE71" s="214"/>
      <c r="AF71" s="214"/>
      <c r="AG71" s="214"/>
      <c r="AH71" s="214"/>
      <c r="AI71" s="214"/>
      <c r="AJ71" s="214"/>
      <c r="AK71" s="214"/>
      <c r="AL71" s="214"/>
      <c r="AM71" s="214"/>
    </row>
    <row r="72" spans="2:41" s="247" customFormat="1">
      <c r="B72" s="144"/>
      <c r="C72" s="143"/>
      <c r="D72" s="907"/>
      <c r="E72" s="143"/>
      <c r="F72" s="145"/>
      <c r="G72" s="146"/>
      <c r="H72" s="146"/>
      <c r="I72" s="146"/>
      <c r="J72" s="146"/>
      <c r="K72" s="146"/>
      <c r="L72" s="141"/>
      <c r="M72" s="458"/>
      <c r="N72" s="145"/>
      <c r="O72" s="146"/>
      <c r="P72" s="146"/>
      <c r="Q72" s="147"/>
      <c r="R72" s="147"/>
      <c r="S72" s="142"/>
      <c r="T72" s="142"/>
      <c r="U72" s="146">
        <f>SUBTOTAL(9,U30:U71)</f>
        <v>0</v>
      </c>
      <c r="V72" s="146">
        <f t="shared" ref="V72:AA72" si="26">SUBTOTAL(9,V30:V71)</f>
        <v>0</v>
      </c>
      <c r="W72" s="146">
        <f t="shared" si="26"/>
        <v>0</v>
      </c>
      <c r="X72" s="146">
        <f t="shared" si="26"/>
        <v>0</v>
      </c>
      <c r="Y72" s="146">
        <f t="shared" si="26"/>
        <v>0</v>
      </c>
      <c r="Z72" s="146">
        <f t="shared" si="26"/>
        <v>0</v>
      </c>
      <c r="AA72" s="146">
        <f t="shared" si="26"/>
        <v>0</v>
      </c>
      <c r="AB72" s="247">
        <v>0</v>
      </c>
      <c r="AC72" s="214">
        <v>0</v>
      </c>
      <c r="AD72" s="214">
        <v>0</v>
      </c>
      <c r="AE72" s="214"/>
      <c r="AF72" s="214"/>
      <c r="AG72" s="214"/>
      <c r="AH72" s="214"/>
      <c r="AI72" s="214"/>
      <c r="AJ72" s="214"/>
      <c r="AK72" s="214"/>
      <c r="AL72" s="214"/>
      <c r="AM72" s="214"/>
    </row>
    <row r="73" spans="2:41" s="247" customFormat="1">
      <c r="B73" s="144"/>
      <c r="C73" s="143"/>
      <c r="D73" s="907"/>
      <c r="E73" s="143"/>
      <c r="F73" s="145"/>
      <c r="G73" s="146"/>
      <c r="H73" s="146"/>
      <c r="I73" s="146"/>
      <c r="J73" s="146"/>
      <c r="K73" s="146"/>
      <c r="L73" s="141"/>
      <c r="M73" s="458"/>
      <c r="N73" s="145"/>
      <c r="O73" s="146"/>
      <c r="P73" s="146"/>
      <c r="Q73" s="147"/>
      <c r="R73" s="147"/>
      <c r="S73" s="142"/>
      <c r="T73" s="142"/>
      <c r="U73" s="146"/>
      <c r="V73" s="146"/>
      <c r="W73" s="146"/>
      <c r="X73" s="146"/>
      <c r="Y73" s="146"/>
      <c r="Z73" s="146"/>
      <c r="AA73" s="146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</row>
    <row r="74" spans="2:41" s="247" customFormat="1">
      <c r="B74" s="144"/>
      <c r="C74" s="143"/>
      <c r="D74" s="907"/>
      <c r="E74" s="143"/>
      <c r="F74" s="145"/>
      <c r="G74" s="146"/>
      <c r="H74" s="146"/>
      <c r="I74" s="146"/>
      <c r="J74" s="146"/>
      <c r="K74" s="146"/>
      <c r="L74" s="141"/>
      <c r="M74" s="458"/>
      <c r="N74" s="145"/>
      <c r="O74" s="146"/>
      <c r="P74" s="146"/>
      <c r="Q74" s="147"/>
      <c r="R74" s="147"/>
      <c r="S74" s="142"/>
      <c r="T74" s="142"/>
      <c r="U74" s="146"/>
      <c r="V74" s="146"/>
      <c r="W74" s="146"/>
      <c r="X74" s="146"/>
      <c r="Y74" s="146"/>
      <c r="Z74" s="146"/>
      <c r="AA74" s="146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</row>
    <row r="75" spans="2:41" s="247" customFormat="1">
      <c r="B75" s="144"/>
      <c r="C75" s="143"/>
      <c r="D75" s="907"/>
      <c r="E75" s="143"/>
      <c r="F75" s="145"/>
      <c r="G75" s="146"/>
      <c r="H75" s="146"/>
      <c r="I75" s="146"/>
      <c r="J75" s="146"/>
      <c r="K75" s="146"/>
      <c r="L75" s="141"/>
      <c r="M75" s="458"/>
      <c r="N75" s="145"/>
      <c r="O75" s="146"/>
      <c r="P75" s="146"/>
      <c r="Q75" s="147"/>
      <c r="R75" s="147"/>
      <c r="S75" s="142"/>
      <c r="T75" s="142"/>
      <c r="U75" s="146"/>
      <c r="V75" s="146"/>
      <c r="W75" s="146"/>
      <c r="X75" s="146"/>
      <c r="Y75" s="146"/>
      <c r="Z75" s="146"/>
      <c r="AA75" s="146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</row>
    <row r="76" spans="2:41" s="247" customFormat="1">
      <c r="B76" s="144"/>
      <c r="C76" s="143"/>
      <c r="D76" s="907"/>
      <c r="E76" s="143"/>
      <c r="F76" s="145"/>
      <c r="G76" s="146"/>
      <c r="H76" s="146"/>
      <c r="I76" s="146"/>
      <c r="J76" s="146"/>
      <c r="K76" s="146"/>
      <c r="L76" s="141"/>
      <c r="M76" s="458"/>
      <c r="N76" s="145"/>
      <c r="O76" s="146"/>
      <c r="P76" s="146"/>
      <c r="Q76" s="147"/>
      <c r="R76" s="147"/>
      <c r="S76" s="142"/>
      <c r="T76" s="142"/>
      <c r="U76" s="146"/>
      <c r="V76" s="146"/>
      <c r="W76" s="146"/>
      <c r="X76" s="146"/>
      <c r="Y76" s="146"/>
      <c r="Z76" s="146"/>
      <c r="AA76" s="146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</row>
    <row r="77" spans="2:41" s="247" customFormat="1">
      <c r="B77" s="144"/>
      <c r="C77" s="143"/>
      <c r="D77" s="907"/>
      <c r="E77" s="143"/>
      <c r="F77" s="145"/>
      <c r="G77" s="146"/>
      <c r="H77" s="146"/>
      <c r="I77" s="146"/>
      <c r="J77" s="146"/>
      <c r="K77" s="146"/>
      <c r="L77" s="141"/>
      <c r="M77" s="458"/>
      <c r="N77" s="145"/>
      <c r="O77" s="146"/>
      <c r="P77" s="146"/>
      <c r="Q77" s="147"/>
      <c r="R77" s="147"/>
      <c r="S77" s="142"/>
      <c r="T77" s="142"/>
      <c r="U77" s="146"/>
      <c r="V77" s="146"/>
      <c r="W77" s="146"/>
      <c r="X77" s="146"/>
      <c r="Y77" s="146"/>
      <c r="Z77" s="146"/>
      <c r="AA77" s="146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</row>
    <row r="78" spans="2:41" s="247" customFormat="1">
      <c r="B78" s="144"/>
      <c r="C78" s="143"/>
      <c r="D78" s="907"/>
      <c r="E78" s="143"/>
      <c r="F78" s="145"/>
      <c r="G78" s="146"/>
      <c r="H78" s="146"/>
      <c r="I78" s="146"/>
      <c r="J78" s="146"/>
      <c r="K78" s="146"/>
      <c r="L78" s="141"/>
      <c r="M78" s="458"/>
      <c r="N78" s="145"/>
      <c r="O78" s="146"/>
      <c r="P78" s="146"/>
      <c r="Q78" s="147"/>
      <c r="R78" s="147"/>
      <c r="S78" s="142"/>
      <c r="T78" s="142"/>
      <c r="U78" s="146"/>
      <c r="V78" s="146"/>
      <c r="W78" s="146"/>
      <c r="X78" s="146"/>
      <c r="Y78" s="146"/>
      <c r="Z78" s="146"/>
      <c r="AA78" s="146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</row>
    <row r="79" spans="2:41" s="213" customFormat="1" ht="14" thickBot="1">
      <c r="B79" s="139"/>
      <c r="C79" s="138"/>
      <c r="D79" s="908"/>
      <c r="E79" s="138"/>
      <c r="F79" s="140"/>
      <c r="G79" s="141"/>
      <c r="H79" s="141"/>
      <c r="I79" s="141"/>
      <c r="J79" s="141"/>
      <c r="K79" s="141"/>
      <c r="L79" s="141"/>
      <c r="M79" s="458"/>
      <c r="N79" s="140"/>
      <c r="O79" s="141"/>
      <c r="P79" s="141"/>
      <c r="Q79" s="148"/>
      <c r="R79" s="148"/>
      <c r="S79" s="149"/>
      <c r="T79" s="149"/>
      <c r="U79" s="150"/>
      <c r="V79" s="150"/>
      <c r="W79" s="150"/>
      <c r="X79" s="150"/>
      <c r="Y79" s="150"/>
      <c r="Z79" s="150"/>
      <c r="AA79" s="150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</row>
    <row r="80" spans="2:41" s="213" customFormat="1" ht="15" thickTop="1" thickBot="1">
      <c r="B80" s="139"/>
      <c r="C80" s="138"/>
      <c r="D80" s="908"/>
      <c r="E80" s="138"/>
      <c r="F80" s="140"/>
      <c r="G80" s="141"/>
      <c r="H80" s="141"/>
      <c r="I80" s="141"/>
      <c r="J80" s="141"/>
      <c r="K80" s="141"/>
      <c r="L80" s="141"/>
      <c r="M80" s="458"/>
      <c r="N80" s="140"/>
      <c r="O80" s="141"/>
      <c r="P80" s="141"/>
      <c r="Q80" s="148"/>
      <c r="R80" s="148"/>
      <c r="S80" s="148"/>
      <c r="T80" s="149"/>
      <c r="U80" s="151"/>
      <c r="V80" s="152"/>
      <c r="W80" s="153"/>
      <c r="X80" s="153"/>
      <c r="Y80" s="153"/>
      <c r="Z80" s="153"/>
      <c r="AA80" s="154"/>
      <c r="AB80" s="246"/>
      <c r="AC80" s="246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</row>
    <row r="81" spans="2:39" s="247" customFormat="1" ht="14" thickTop="1">
      <c r="B81" s="144"/>
      <c r="C81" s="143"/>
      <c r="D81" s="907"/>
      <c r="E81" s="143"/>
      <c r="F81" s="145"/>
      <c r="G81" s="146"/>
      <c r="H81" s="146"/>
      <c r="I81" s="146"/>
      <c r="J81" s="146"/>
      <c r="K81" s="146"/>
      <c r="L81" s="141"/>
      <c r="M81" s="458"/>
      <c r="N81" s="145"/>
      <c r="O81" s="146"/>
      <c r="P81" s="146"/>
      <c r="Q81" s="147"/>
      <c r="R81" s="147"/>
      <c r="S81" s="142"/>
      <c r="T81" s="142"/>
      <c r="U81" s="146"/>
      <c r="V81" s="146"/>
      <c r="W81" s="146"/>
      <c r="X81" s="146"/>
      <c r="Y81" s="146"/>
      <c r="Z81" s="146"/>
      <c r="AA81" s="146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</row>
    <row r="82" spans="2:39" s="247" customFormat="1">
      <c r="B82" s="144"/>
      <c r="C82" s="143"/>
      <c r="D82" s="907"/>
      <c r="E82" s="143"/>
      <c r="F82" s="145"/>
      <c r="G82" s="146"/>
      <c r="H82" s="146"/>
      <c r="I82" s="146"/>
      <c r="J82" s="146"/>
      <c r="K82" s="146"/>
      <c r="L82" s="141"/>
      <c r="M82" s="458"/>
      <c r="N82" s="145"/>
      <c r="O82" s="146"/>
      <c r="P82" s="146"/>
      <c r="Q82" s="147"/>
      <c r="R82" s="147"/>
      <c r="S82" s="142"/>
      <c r="T82" s="142"/>
      <c r="U82" s="146"/>
      <c r="V82" s="146"/>
      <c r="W82" s="146"/>
      <c r="X82" s="146"/>
      <c r="Y82" s="146"/>
      <c r="Z82" s="146"/>
      <c r="AA82" s="146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</row>
    <row r="83" spans="2:39" s="247" customFormat="1">
      <c r="B83" s="144"/>
      <c r="C83" s="143"/>
      <c r="D83" s="907"/>
      <c r="E83" s="143"/>
      <c r="F83" s="145"/>
      <c r="G83" s="146"/>
      <c r="H83" s="146"/>
      <c r="I83" s="146"/>
      <c r="J83" s="146"/>
      <c r="K83" s="146"/>
      <c r="L83" s="141"/>
      <c r="M83" s="458"/>
      <c r="N83" s="145"/>
      <c r="O83" s="146"/>
      <c r="P83" s="146"/>
      <c r="Q83" s="147"/>
      <c r="R83" s="147"/>
      <c r="S83" s="142"/>
      <c r="T83" s="142"/>
      <c r="U83" s="146"/>
      <c r="V83" s="146"/>
      <c r="W83" s="146"/>
      <c r="X83" s="146"/>
      <c r="Y83" s="146"/>
      <c r="Z83" s="146"/>
      <c r="AA83" s="146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</row>
    <row r="84" spans="2:39" s="247" customFormat="1">
      <c r="B84" s="144"/>
      <c r="C84" s="143"/>
      <c r="D84" s="907"/>
      <c r="E84" s="143"/>
      <c r="F84" s="145"/>
      <c r="G84" s="146"/>
      <c r="H84" s="146"/>
      <c r="I84" s="146"/>
      <c r="J84" s="146"/>
      <c r="K84" s="146"/>
      <c r="L84" s="141"/>
      <c r="M84" s="458"/>
      <c r="N84" s="145"/>
      <c r="O84" s="146"/>
      <c r="P84" s="146"/>
      <c r="Q84" s="147"/>
      <c r="R84" s="147"/>
      <c r="S84" s="142"/>
      <c r="T84" s="142"/>
      <c r="U84" s="146"/>
      <c r="V84" s="146"/>
      <c r="W84" s="146"/>
      <c r="X84" s="146"/>
      <c r="Y84" s="146"/>
      <c r="Z84" s="146"/>
      <c r="AA84" s="146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</row>
    <row r="85" spans="2:39" s="247" customFormat="1">
      <c r="B85" s="144"/>
      <c r="C85" s="143"/>
      <c r="D85" s="907"/>
      <c r="E85" s="143"/>
      <c r="F85" s="145"/>
      <c r="G85" s="146"/>
      <c r="H85" s="146"/>
      <c r="I85" s="146"/>
      <c r="J85" s="146"/>
      <c r="K85" s="146"/>
      <c r="L85" s="141"/>
      <c r="M85" s="458"/>
      <c r="N85" s="145"/>
      <c r="O85" s="146"/>
      <c r="P85" s="146"/>
      <c r="Q85" s="147"/>
      <c r="R85" s="147"/>
      <c r="S85" s="142"/>
      <c r="T85" s="142"/>
      <c r="U85" s="146"/>
      <c r="V85" s="146"/>
      <c r="W85" s="146"/>
      <c r="X85" s="146"/>
      <c r="Y85" s="146"/>
      <c r="Z85" s="146"/>
      <c r="AA85" s="146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</row>
    <row r="86" spans="2:39" s="247" customFormat="1">
      <c r="B86" s="144"/>
      <c r="C86" s="143"/>
      <c r="D86" s="907"/>
      <c r="E86" s="143"/>
      <c r="F86" s="145"/>
      <c r="G86" s="146"/>
      <c r="H86" s="146"/>
      <c r="I86" s="146"/>
      <c r="J86" s="146"/>
      <c r="K86" s="146"/>
      <c r="L86" s="141"/>
      <c r="M86" s="458"/>
      <c r="N86" s="145"/>
      <c r="O86" s="146"/>
      <c r="P86" s="146"/>
      <c r="Q86" s="147"/>
      <c r="R86" s="147"/>
      <c r="S86" s="142"/>
      <c r="T86" s="142"/>
      <c r="U86" s="146"/>
      <c r="V86" s="146"/>
      <c r="W86" s="146"/>
      <c r="X86" s="146"/>
      <c r="Y86" s="146"/>
      <c r="Z86" s="146"/>
      <c r="AA86" s="146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</row>
    <row r="87" spans="2:39" s="247" customFormat="1">
      <c r="B87" s="144"/>
      <c r="C87" s="143"/>
      <c r="D87" s="907"/>
      <c r="E87" s="143"/>
      <c r="F87" s="145"/>
      <c r="G87" s="146"/>
      <c r="H87" s="146"/>
      <c r="I87" s="146"/>
      <c r="J87" s="146"/>
      <c r="K87" s="146"/>
      <c r="L87" s="141"/>
      <c r="M87" s="458"/>
      <c r="N87" s="145"/>
      <c r="O87" s="146"/>
      <c r="P87" s="146"/>
      <c r="Q87" s="147"/>
      <c r="R87" s="147"/>
      <c r="S87" s="142"/>
      <c r="T87" s="142"/>
      <c r="U87" s="146"/>
      <c r="V87" s="146"/>
      <c r="W87" s="146"/>
      <c r="X87" s="146"/>
      <c r="Y87" s="146"/>
      <c r="Z87" s="146"/>
      <c r="AA87" s="146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</row>
    <row r="88" spans="2:39" s="247" customFormat="1">
      <c r="B88" s="144"/>
      <c r="C88" s="143"/>
      <c r="D88" s="907"/>
      <c r="E88" s="143"/>
      <c r="F88" s="145"/>
      <c r="G88" s="146"/>
      <c r="H88" s="146"/>
      <c r="I88" s="146"/>
      <c r="J88" s="146"/>
      <c r="K88" s="146"/>
      <c r="L88" s="141"/>
      <c r="M88" s="458"/>
      <c r="N88" s="145"/>
      <c r="O88" s="146"/>
      <c r="P88" s="146"/>
      <c r="Q88" s="147"/>
      <c r="R88" s="147"/>
      <c r="S88" s="142"/>
      <c r="T88" s="142"/>
      <c r="U88" s="146"/>
      <c r="V88" s="146"/>
      <c r="W88" s="146"/>
      <c r="X88" s="146"/>
      <c r="Y88" s="146"/>
      <c r="Z88" s="146"/>
      <c r="AA88" s="146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</row>
    <row r="89" spans="2:39" s="247" customFormat="1">
      <c r="B89" s="144"/>
      <c r="C89" s="143"/>
      <c r="D89" s="907"/>
      <c r="E89" s="143"/>
      <c r="F89" s="145"/>
      <c r="G89" s="146"/>
      <c r="H89" s="146"/>
      <c r="I89" s="146"/>
      <c r="J89" s="146"/>
      <c r="K89" s="146"/>
      <c r="L89" s="141"/>
      <c r="M89" s="458"/>
      <c r="N89" s="145"/>
      <c r="O89" s="146"/>
      <c r="P89" s="146"/>
      <c r="Q89" s="147"/>
      <c r="R89" s="147"/>
      <c r="S89" s="142"/>
      <c r="T89" s="142"/>
      <c r="U89" s="146"/>
      <c r="V89" s="146"/>
      <c r="W89" s="146"/>
      <c r="X89" s="146"/>
      <c r="Y89" s="146"/>
      <c r="Z89" s="146"/>
      <c r="AA89" s="146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</row>
    <row r="90" spans="2:39" s="247" customFormat="1">
      <c r="B90" s="144"/>
      <c r="C90" s="143"/>
      <c r="D90" s="907"/>
      <c r="E90" s="143"/>
      <c r="F90" s="145"/>
      <c r="G90" s="146"/>
      <c r="H90" s="146"/>
      <c r="I90" s="146"/>
      <c r="J90" s="146"/>
      <c r="K90" s="146"/>
      <c r="L90" s="141"/>
      <c r="M90" s="458"/>
      <c r="N90" s="145"/>
      <c r="O90" s="146"/>
      <c r="P90" s="146"/>
      <c r="Q90" s="147"/>
      <c r="R90" s="147"/>
      <c r="S90" s="142"/>
      <c r="T90" s="142"/>
      <c r="U90" s="146"/>
      <c r="V90" s="146"/>
      <c r="W90" s="146"/>
      <c r="X90" s="146"/>
      <c r="Y90" s="146"/>
      <c r="Z90" s="146"/>
      <c r="AA90" s="146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</row>
    <row r="91" spans="2:39" s="247" customFormat="1">
      <c r="B91" s="144"/>
      <c r="C91" s="143"/>
      <c r="D91" s="907"/>
      <c r="E91" s="143"/>
      <c r="F91" s="145"/>
      <c r="G91" s="146"/>
      <c r="H91" s="146"/>
      <c r="I91" s="146"/>
      <c r="J91" s="146"/>
      <c r="K91" s="146"/>
      <c r="L91" s="141"/>
      <c r="M91" s="458"/>
      <c r="N91" s="145"/>
      <c r="O91" s="146"/>
      <c r="P91" s="146"/>
      <c r="Q91" s="147"/>
      <c r="R91" s="147"/>
      <c r="S91" s="142"/>
      <c r="T91" s="142"/>
      <c r="U91" s="146"/>
      <c r="V91" s="146"/>
      <c r="W91" s="146"/>
      <c r="X91" s="146"/>
      <c r="Y91" s="146"/>
      <c r="Z91" s="146"/>
      <c r="AA91" s="146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</row>
    <row r="92" spans="2:39" s="247" customFormat="1">
      <c r="B92" s="144"/>
      <c r="C92" s="143"/>
      <c r="D92" s="907"/>
      <c r="E92" s="143"/>
      <c r="F92" s="145"/>
      <c r="G92" s="146"/>
      <c r="H92" s="146"/>
      <c r="I92" s="146"/>
      <c r="J92" s="146"/>
      <c r="K92" s="146"/>
      <c r="L92" s="141"/>
      <c r="M92" s="458"/>
      <c r="N92" s="145"/>
      <c r="O92" s="146"/>
      <c r="P92" s="146"/>
      <c r="Q92" s="147"/>
      <c r="R92" s="147"/>
      <c r="S92" s="142"/>
      <c r="T92" s="142"/>
      <c r="U92" s="146"/>
      <c r="V92" s="146"/>
      <c r="W92" s="146"/>
      <c r="X92" s="146"/>
      <c r="Y92" s="146"/>
      <c r="Z92" s="146"/>
      <c r="AA92" s="146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</row>
    <row r="93" spans="2:39" s="247" customFormat="1">
      <c r="B93" s="144"/>
      <c r="C93" s="143"/>
      <c r="D93" s="907"/>
      <c r="E93" s="143"/>
      <c r="F93" s="145"/>
      <c r="G93" s="146"/>
      <c r="H93" s="146"/>
      <c r="I93" s="146"/>
      <c r="J93" s="146"/>
      <c r="K93" s="146"/>
      <c r="L93" s="141"/>
      <c r="M93" s="458"/>
      <c r="N93" s="145"/>
      <c r="O93" s="146"/>
      <c r="P93" s="146"/>
      <c r="Q93" s="147"/>
      <c r="R93" s="147"/>
      <c r="S93" s="142"/>
      <c r="T93" s="142"/>
      <c r="U93" s="146"/>
      <c r="V93" s="146"/>
      <c r="W93" s="146"/>
      <c r="X93" s="146"/>
      <c r="Y93" s="146"/>
      <c r="Z93" s="146"/>
      <c r="AA93" s="146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</row>
    <row r="94" spans="2:39" s="247" customFormat="1">
      <c r="B94" s="144"/>
      <c r="C94" s="143"/>
      <c r="D94" s="907"/>
      <c r="E94" s="143"/>
      <c r="F94" s="145"/>
      <c r="G94" s="146"/>
      <c r="H94" s="146"/>
      <c r="I94" s="146"/>
      <c r="J94" s="146"/>
      <c r="K94" s="146"/>
      <c r="L94" s="141"/>
      <c r="M94" s="458"/>
      <c r="N94" s="145"/>
      <c r="O94" s="146"/>
      <c r="P94" s="146"/>
      <c r="Q94" s="147"/>
      <c r="R94" s="147"/>
      <c r="S94" s="142"/>
      <c r="T94" s="142"/>
      <c r="U94" s="146"/>
      <c r="V94" s="146"/>
      <c r="W94" s="146"/>
      <c r="X94" s="146"/>
      <c r="Y94" s="146"/>
      <c r="Z94" s="146"/>
      <c r="AA94" s="146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</row>
    <row r="95" spans="2:39" s="247" customFormat="1">
      <c r="B95" s="144"/>
      <c r="C95" s="143"/>
      <c r="D95" s="907"/>
      <c r="E95" s="143"/>
      <c r="F95" s="145"/>
      <c r="G95" s="146"/>
      <c r="H95" s="146"/>
      <c r="I95" s="146"/>
      <c r="J95" s="146"/>
      <c r="K95" s="146"/>
      <c r="L95" s="141"/>
      <c r="M95" s="458"/>
      <c r="N95" s="145"/>
      <c r="O95" s="146"/>
      <c r="P95" s="146"/>
      <c r="Q95" s="147"/>
      <c r="R95" s="147"/>
      <c r="S95" s="142"/>
      <c r="T95" s="142"/>
      <c r="U95" s="146"/>
      <c r="V95" s="146"/>
      <c r="W95" s="146"/>
      <c r="X95" s="146"/>
      <c r="Y95" s="146"/>
      <c r="Z95" s="146"/>
      <c r="AA95" s="146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</row>
    <row r="96" spans="2:39" s="247" customFormat="1">
      <c r="B96" s="144"/>
      <c r="C96" s="143"/>
      <c r="D96" s="907"/>
      <c r="E96" s="143"/>
      <c r="F96" s="145"/>
      <c r="G96" s="146"/>
      <c r="H96" s="146"/>
      <c r="I96" s="146"/>
      <c r="J96" s="146"/>
      <c r="K96" s="146"/>
      <c r="L96" s="141"/>
      <c r="M96" s="458"/>
      <c r="N96" s="145"/>
      <c r="O96" s="146"/>
      <c r="P96" s="146"/>
      <c r="Q96" s="147"/>
      <c r="R96" s="147"/>
      <c r="S96" s="142"/>
      <c r="T96" s="142"/>
      <c r="U96" s="146"/>
      <c r="V96" s="146"/>
      <c r="W96" s="146"/>
      <c r="X96" s="146"/>
      <c r="Y96" s="146"/>
      <c r="Z96" s="146"/>
      <c r="AA96" s="146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</row>
    <row r="97" spans="2:39" s="247" customFormat="1">
      <c r="B97" s="144"/>
      <c r="C97" s="143"/>
      <c r="D97" s="907"/>
      <c r="E97" s="143"/>
      <c r="F97" s="145"/>
      <c r="G97" s="146"/>
      <c r="H97" s="146"/>
      <c r="I97" s="146"/>
      <c r="J97" s="146"/>
      <c r="K97" s="146"/>
      <c r="L97" s="141"/>
      <c r="M97" s="458"/>
      <c r="N97" s="145"/>
      <c r="O97" s="146"/>
      <c r="P97" s="146"/>
      <c r="Q97" s="147"/>
      <c r="R97" s="147"/>
      <c r="S97" s="142"/>
      <c r="T97" s="142"/>
      <c r="U97" s="146"/>
      <c r="V97" s="146"/>
      <c r="W97" s="146"/>
      <c r="X97" s="146"/>
      <c r="Y97" s="146"/>
      <c r="Z97" s="146"/>
      <c r="AA97" s="146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</row>
    <row r="98" spans="2:39" s="247" customFormat="1">
      <c r="B98" s="144"/>
      <c r="C98" s="143"/>
      <c r="D98" s="907"/>
      <c r="E98" s="143"/>
      <c r="F98" s="145"/>
      <c r="G98" s="146"/>
      <c r="H98" s="146"/>
      <c r="I98" s="146"/>
      <c r="J98" s="146"/>
      <c r="K98" s="146"/>
      <c r="L98" s="141"/>
      <c r="M98" s="458"/>
      <c r="N98" s="145"/>
      <c r="O98" s="146"/>
      <c r="P98" s="146"/>
      <c r="Q98" s="147"/>
      <c r="R98" s="147"/>
      <c r="S98" s="142"/>
      <c r="T98" s="142"/>
      <c r="U98" s="146"/>
      <c r="V98" s="146"/>
      <c r="W98" s="146"/>
      <c r="X98" s="146"/>
      <c r="Y98" s="146"/>
      <c r="Z98" s="146"/>
      <c r="AA98" s="146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</row>
    <row r="99" spans="2:39" s="247" customFormat="1">
      <c r="B99" s="144"/>
      <c r="C99" s="143"/>
      <c r="D99" s="907"/>
      <c r="E99" s="143"/>
      <c r="F99" s="145"/>
      <c r="G99" s="146"/>
      <c r="H99" s="146"/>
      <c r="I99" s="146"/>
      <c r="J99" s="146"/>
      <c r="K99" s="146"/>
      <c r="L99" s="141"/>
      <c r="M99" s="458"/>
      <c r="N99" s="145"/>
      <c r="O99" s="146"/>
      <c r="P99" s="146"/>
      <c r="Q99" s="147"/>
      <c r="R99" s="147"/>
      <c r="S99" s="142"/>
      <c r="T99" s="142"/>
      <c r="U99" s="146"/>
      <c r="V99" s="146"/>
      <c r="W99" s="146"/>
      <c r="X99" s="146"/>
      <c r="Y99" s="146"/>
      <c r="Z99" s="146"/>
      <c r="AA99" s="146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</row>
    <row r="100" spans="2:39" s="247" customFormat="1">
      <c r="B100" s="144"/>
      <c r="C100" s="143"/>
      <c r="D100" s="907"/>
      <c r="E100" s="143"/>
      <c r="F100" s="145"/>
      <c r="G100" s="146"/>
      <c r="H100" s="146"/>
      <c r="I100" s="146"/>
      <c r="J100" s="146"/>
      <c r="K100" s="146"/>
      <c r="L100" s="141"/>
      <c r="M100" s="458"/>
      <c r="N100" s="145"/>
      <c r="O100" s="146"/>
      <c r="P100" s="146"/>
      <c r="Q100" s="147"/>
      <c r="R100" s="147"/>
      <c r="S100" s="142"/>
      <c r="T100" s="142"/>
      <c r="U100" s="146"/>
      <c r="V100" s="146"/>
      <c r="W100" s="146"/>
      <c r="X100" s="146"/>
      <c r="Y100" s="146"/>
      <c r="Z100" s="146"/>
      <c r="AA100" s="146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</row>
    <row r="101" spans="2:39" s="247" customFormat="1">
      <c r="B101" s="144"/>
      <c r="C101" s="143"/>
      <c r="D101" s="907"/>
      <c r="E101" s="143"/>
      <c r="F101" s="145"/>
      <c r="G101" s="146"/>
      <c r="H101" s="146"/>
      <c r="I101" s="146"/>
      <c r="J101" s="146"/>
      <c r="K101" s="146"/>
      <c r="L101" s="141"/>
      <c r="M101" s="458"/>
      <c r="N101" s="145"/>
      <c r="O101" s="146"/>
      <c r="P101" s="146"/>
      <c r="Q101" s="147"/>
      <c r="R101" s="147"/>
      <c r="S101" s="142"/>
      <c r="T101" s="142"/>
      <c r="U101" s="146"/>
      <c r="V101" s="146"/>
      <c r="W101" s="146"/>
      <c r="X101" s="146"/>
      <c r="Y101" s="146"/>
      <c r="Z101" s="146"/>
      <c r="AA101" s="146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</row>
    <row r="102" spans="2:39" s="247" customFormat="1">
      <c r="B102" s="144"/>
      <c r="C102" s="143"/>
      <c r="D102" s="907"/>
      <c r="E102" s="143"/>
      <c r="F102" s="145"/>
      <c r="G102" s="146"/>
      <c r="H102" s="146"/>
      <c r="I102" s="146"/>
      <c r="J102" s="146"/>
      <c r="K102" s="146"/>
      <c r="L102" s="141"/>
      <c r="M102" s="458"/>
      <c r="N102" s="145"/>
      <c r="O102" s="146"/>
      <c r="P102" s="146"/>
      <c r="Q102" s="147"/>
      <c r="R102" s="147"/>
      <c r="S102" s="142"/>
      <c r="T102" s="142"/>
      <c r="U102" s="146"/>
      <c r="V102" s="146"/>
      <c r="W102" s="146"/>
      <c r="X102" s="146"/>
      <c r="Y102" s="146"/>
      <c r="Z102" s="146"/>
      <c r="AA102" s="146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2:39" s="247" customFormat="1">
      <c r="B103" s="144"/>
      <c r="C103" s="143"/>
      <c r="D103" s="907"/>
      <c r="E103" s="143"/>
      <c r="F103" s="145"/>
      <c r="G103" s="146"/>
      <c r="H103" s="146"/>
      <c r="I103" s="146"/>
      <c r="J103" s="146"/>
      <c r="K103" s="146"/>
      <c r="L103" s="141"/>
      <c r="M103" s="458"/>
      <c r="N103" s="145"/>
      <c r="O103" s="146"/>
      <c r="P103" s="146"/>
      <c r="Q103" s="147"/>
      <c r="R103" s="147"/>
      <c r="S103" s="142"/>
      <c r="T103" s="142"/>
      <c r="U103" s="146"/>
      <c r="V103" s="146"/>
      <c r="W103" s="146"/>
      <c r="X103" s="146"/>
      <c r="Y103" s="146"/>
      <c r="Z103" s="146"/>
      <c r="AA103" s="146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2:39" s="247" customFormat="1">
      <c r="B104" s="144"/>
      <c r="C104" s="143"/>
      <c r="D104" s="907"/>
      <c r="E104" s="143"/>
      <c r="F104" s="145"/>
      <c r="G104" s="146"/>
      <c r="H104" s="146"/>
      <c r="I104" s="146"/>
      <c r="J104" s="146"/>
      <c r="K104" s="146"/>
      <c r="L104" s="141"/>
      <c r="M104" s="458"/>
      <c r="N104" s="145"/>
      <c r="O104" s="146"/>
      <c r="P104" s="146"/>
      <c r="Q104" s="147"/>
      <c r="R104" s="147"/>
      <c r="S104" s="142"/>
      <c r="T104" s="142"/>
      <c r="U104" s="146"/>
      <c r="V104" s="146"/>
      <c r="W104" s="146"/>
      <c r="X104" s="146"/>
      <c r="Y104" s="146"/>
      <c r="Z104" s="146"/>
      <c r="AA104" s="146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2:39" s="247" customFormat="1">
      <c r="B105" s="144"/>
      <c r="C105" s="143"/>
      <c r="D105" s="907"/>
      <c r="E105" s="143"/>
      <c r="F105" s="145"/>
      <c r="G105" s="146"/>
      <c r="H105" s="146"/>
      <c r="I105" s="146"/>
      <c r="J105" s="146"/>
      <c r="K105" s="146"/>
      <c r="L105" s="141"/>
      <c r="M105" s="458"/>
      <c r="N105" s="145"/>
      <c r="O105" s="146"/>
      <c r="P105" s="146"/>
      <c r="Q105" s="147"/>
      <c r="R105" s="147"/>
      <c r="S105" s="142"/>
      <c r="T105" s="142"/>
      <c r="U105" s="146"/>
      <c r="V105" s="146"/>
      <c r="W105" s="146"/>
      <c r="X105" s="146"/>
      <c r="Y105" s="146"/>
      <c r="Z105" s="146"/>
      <c r="AA105" s="146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2:39" s="247" customFormat="1">
      <c r="B106" s="144"/>
      <c r="C106" s="143"/>
      <c r="D106" s="907"/>
      <c r="E106" s="143"/>
      <c r="F106" s="145"/>
      <c r="G106" s="146"/>
      <c r="H106" s="146"/>
      <c r="I106" s="146"/>
      <c r="J106" s="146"/>
      <c r="K106" s="146"/>
      <c r="L106" s="141"/>
      <c r="M106" s="458"/>
      <c r="N106" s="145"/>
      <c r="O106" s="146"/>
      <c r="P106" s="146"/>
      <c r="Q106" s="147"/>
      <c r="R106" s="147"/>
      <c r="S106" s="142"/>
      <c r="T106" s="142"/>
      <c r="U106" s="146"/>
      <c r="V106" s="146"/>
      <c r="W106" s="146"/>
      <c r="X106" s="146"/>
      <c r="Y106" s="146"/>
      <c r="Z106" s="146"/>
      <c r="AA106" s="146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2:39" s="247" customFormat="1">
      <c r="B107" s="144"/>
      <c r="C107" s="143"/>
      <c r="D107" s="907"/>
      <c r="E107" s="143"/>
      <c r="F107" s="145"/>
      <c r="G107" s="146"/>
      <c r="H107" s="146"/>
      <c r="I107" s="146"/>
      <c r="J107" s="146"/>
      <c r="K107" s="146"/>
      <c r="L107" s="141"/>
      <c r="M107" s="458"/>
      <c r="N107" s="145"/>
      <c r="O107" s="146"/>
      <c r="P107" s="146"/>
      <c r="Q107" s="147"/>
      <c r="R107" s="147"/>
      <c r="S107" s="142"/>
      <c r="T107" s="142"/>
      <c r="U107" s="146"/>
      <c r="V107" s="146"/>
      <c r="W107" s="146"/>
      <c r="X107" s="146"/>
      <c r="Y107" s="146"/>
      <c r="Z107" s="146"/>
      <c r="AA107" s="146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2:39" s="247" customFormat="1">
      <c r="B108" s="144"/>
      <c r="C108" s="143"/>
      <c r="D108" s="907"/>
      <c r="E108" s="143"/>
      <c r="F108" s="145"/>
      <c r="G108" s="146"/>
      <c r="H108" s="146"/>
      <c r="I108" s="146"/>
      <c r="J108" s="146"/>
      <c r="K108" s="146"/>
      <c r="L108" s="141"/>
      <c r="M108" s="458"/>
      <c r="N108" s="145"/>
      <c r="O108" s="146"/>
      <c r="P108" s="146"/>
      <c r="Q108" s="147"/>
      <c r="R108" s="147"/>
      <c r="S108" s="142"/>
      <c r="T108" s="142"/>
      <c r="U108" s="146"/>
      <c r="V108" s="146"/>
      <c r="W108" s="146"/>
      <c r="X108" s="146"/>
      <c r="Y108" s="146"/>
      <c r="Z108" s="146"/>
      <c r="AA108" s="146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2:39" s="247" customFormat="1">
      <c r="B109" s="144"/>
      <c r="C109" s="143"/>
      <c r="D109" s="907"/>
      <c r="E109" s="143"/>
      <c r="F109" s="145"/>
      <c r="G109" s="146"/>
      <c r="H109" s="146"/>
      <c r="I109" s="146"/>
      <c r="J109" s="146"/>
      <c r="K109" s="146"/>
      <c r="L109" s="141"/>
      <c r="M109" s="458"/>
      <c r="N109" s="145"/>
      <c r="O109" s="146"/>
      <c r="P109" s="146"/>
      <c r="Q109" s="147"/>
      <c r="R109" s="147"/>
      <c r="S109" s="142"/>
      <c r="T109" s="142"/>
      <c r="U109" s="146"/>
      <c r="V109" s="146"/>
      <c r="W109" s="146"/>
      <c r="X109" s="146"/>
      <c r="Y109" s="146"/>
      <c r="Z109" s="146"/>
      <c r="AA109" s="146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2:39" s="247" customFormat="1">
      <c r="B110" s="144"/>
      <c r="C110" s="143"/>
      <c r="D110" s="907"/>
      <c r="E110" s="143"/>
      <c r="F110" s="145"/>
      <c r="G110" s="146"/>
      <c r="H110" s="146"/>
      <c r="I110" s="146"/>
      <c r="J110" s="146"/>
      <c r="K110" s="146"/>
      <c r="L110" s="141"/>
      <c r="M110" s="458"/>
      <c r="N110" s="145"/>
      <c r="O110" s="146"/>
      <c r="P110" s="146"/>
      <c r="Q110" s="147"/>
      <c r="R110" s="147"/>
      <c r="S110" s="142"/>
      <c r="T110" s="142"/>
      <c r="U110" s="146"/>
      <c r="V110" s="146"/>
      <c r="W110" s="146"/>
      <c r="X110" s="146"/>
      <c r="Y110" s="146"/>
      <c r="Z110" s="146"/>
      <c r="AA110" s="146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2:39" s="247" customFormat="1">
      <c r="B111" s="144"/>
      <c r="C111" s="143"/>
      <c r="D111" s="907"/>
      <c r="E111" s="143"/>
      <c r="F111" s="145"/>
      <c r="G111" s="146"/>
      <c r="H111" s="146"/>
      <c r="I111" s="146"/>
      <c r="J111" s="146"/>
      <c r="K111" s="146"/>
      <c r="L111" s="141"/>
      <c r="M111" s="458"/>
      <c r="N111" s="145"/>
      <c r="O111" s="146"/>
      <c r="P111" s="146"/>
      <c r="Q111" s="147"/>
      <c r="R111" s="147"/>
      <c r="S111" s="142"/>
      <c r="T111" s="142"/>
      <c r="U111" s="146"/>
      <c r="V111" s="146"/>
      <c r="W111" s="146"/>
      <c r="X111" s="146"/>
      <c r="Y111" s="146"/>
      <c r="Z111" s="146"/>
      <c r="AA111" s="146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2:39" s="247" customFormat="1">
      <c r="B112" s="144"/>
      <c r="C112" s="143"/>
      <c r="D112" s="907"/>
      <c r="E112" s="143"/>
      <c r="F112" s="145"/>
      <c r="G112" s="146"/>
      <c r="H112" s="146"/>
      <c r="I112" s="146"/>
      <c r="J112" s="146"/>
      <c r="K112" s="146"/>
      <c r="L112" s="141"/>
      <c r="M112" s="458"/>
      <c r="N112" s="145"/>
      <c r="O112" s="146"/>
      <c r="P112" s="146"/>
      <c r="Q112" s="147"/>
      <c r="R112" s="147"/>
      <c r="S112" s="142"/>
      <c r="T112" s="142"/>
      <c r="U112" s="146"/>
      <c r="V112" s="146"/>
      <c r="W112" s="146"/>
      <c r="X112" s="146"/>
      <c r="Y112" s="146"/>
      <c r="Z112" s="146"/>
      <c r="AA112" s="146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2:41" s="247" customFormat="1">
      <c r="B113" s="144"/>
      <c r="C113" s="143"/>
      <c r="D113" s="907"/>
      <c r="E113" s="143"/>
      <c r="F113" s="145"/>
      <c r="G113" s="146"/>
      <c r="H113" s="146"/>
      <c r="I113" s="146"/>
      <c r="J113" s="146"/>
      <c r="K113" s="146"/>
      <c r="L113" s="141"/>
      <c r="M113" s="458"/>
      <c r="N113" s="145"/>
      <c r="O113" s="146"/>
      <c r="P113" s="146"/>
      <c r="Q113" s="147"/>
      <c r="R113" s="147"/>
      <c r="S113" s="142"/>
      <c r="T113" s="142"/>
      <c r="U113" s="146"/>
      <c r="V113" s="146"/>
      <c r="W113" s="146"/>
      <c r="X113" s="146"/>
      <c r="Y113" s="146"/>
      <c r="Z113" s="146"/>
      <c r="AA113" s="146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</row>
    <row r="114" spans="2:41" s="247" customFormat="1">
      <c r="B114" s="144"/>
      <c r="C114" s="143"/>
      <c r="D114" s="907"/>
      <c r="E114" s="143"/>
      <c r="F114" s="145"/>
      <c r="G114" s="146"/>
      <c r="H114" s="146"/>
      <c r="I114" s="146"/>
      <c r="J114" s="146"/>
      <c r="K114" s="146"/>
      <c r="L114" s="141"/>
      <c r="M114" s="458"/>
      <c r="N114" s="145"/>
      <c r="O114" s="146"/>
      <c r="P114" s="146"/>
      <c r="Q114" s="147"/>
      <c r="R114" s="147"/>
      <c r="S114" s="142"/>
      <c r="T114" s="142"/>
      <c r="U114" s="146"/>
      <c r="V114" s="146"/>
      <c r="W114" s="146"/>
      <c r="X114" s="146"/>
      <c r="Y114" s="146"/>
      <c r="Z114" s="146"/>
      <c r="AA114" s="146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2:41" s="247" customFormat="1">
      <c r="B115" s="144"/>
      <c r="C115" s="143"/>
      <c r="D115" s="907"/>
      <c r="E115" s="143"/>
      <c r="F115" s="145"/>
      <c r="G115" s="146"/>
      <c r="H115" s="146"/>
      <c r="I115" s="146"/>
      <c r="J115" s="146"/>
      <c r="K115" s="146"/>
      <c r="L115" s="141"/>
      <c r="M115" s="458"/>
      <c r="N115" s="145"/>
      <c r="O115" s="146"/>
      <c r="P115" s="146"/>
      <c r="Q115" s="147"/>
      <c r="R115" s="147"/>
      <c r="S115" s="142"/>
      <c r="T115" s="142"/>
      <c r="U115" s="146">
        <f>SUBTOTAL(9,U73:U114)</f>
        <v>0</v>
      </c>
      <c r="V115" s="146">
        <f t="shared" ref="V115:AA115" si="27">SUBTOTAL(9,V73:V114)</f>
        <v>0</v>
      </c>
      <c r="W115" s="146">
        <f t="shared" si="27"/>
        <v>0</v>
      </c>
      <c r="X115" s="146">
        <f t="shared" si="27"/>
        <v>0</v>
      </c>
      <c r="Y115" s="146">
        <f t="shared" si="27"/>
        <v>0</v>
      </c>
      <c r="Z115" s="146">
        <f t="shared" si="27"/>
        <v>0</v>
      </c>
      <c r="AA115" s="146">
        <f t="shared" si="27"/>
        <v>0</v>
      </c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2:41" s="247" customFormat="1">
      <c r="B116" s="144"/>
      <c r="C116" s="143"/>
      <c r="D116" s="907"/>
      <c r="E116" s="143"/>
      <c r="F116" s="145"/>
      <c r="G116" s="146"/>
      <c r="H116" s="146"/>
      <c r="I116" s="146"/>
      <c r="J116" s="146"/>
      <c r="K116" s="146"/>
      <c r="L116" s="141"/>
      <c r="M116" s="458"/>
      <c r="N116" s="145"/>
      <c r="O116" s="146"/>
      <c r="P116" s="146"/>
      <c r="Q116" s="147"/>
      <c r="R116" s="147"/>
      <c r="S116" s="142"/>
      <c r="T116" s="142"/>
      <c r="U116" s="146"/>
      <c r="V116" s="146"/>
      <c r="W116" s="146"/>
      <c r="X116" s="146"/>
      <c r="Y116" s="146"/>
      <c r="Z116" s="146"/>
      <c r="AA116" s="146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2:41" s="247" customFormat="1">
      <c r="B117" s="248"/>
      <c r="D117" s="909"/>
      <c r="F117" s="249"/>
      <c r="G117" s="250"/>
      <c r="H117" s="250"/>
      <c r="I117" s="250"/>
      <c r="J117" s="250"/>
      <c r="K117" s="250"/>
      <c r="L117" s="243"/>
      <c r="M117" s="459"/>
      <c r="N117" s="249"/>
      <c r="O117" s="146"/>
      <c r="P117" s="146"/>
      <c r="Q117" s="147"/>
      <c r="R117" s="147"/>
      <c r="S117" s="142"/>
      <c r="T117" s="142"/>
      <c r="U117" s="146">
        <f>SUBTOTAL(9,U75:U116)</f>
        <v>0</v>
      </c>
      <c r="V117" s="146">
        <f t="shared" ref="V117:AA117" si="28">SUBTOTAL(9,V75:V116)</f>
        <v>0</v>
      </c>
      <c r="W117" s="146">
        <f t="shared" si="28"/>
        <v>0</v>
      </c>
      <c r="X117" s="146">
        <f t="shared" si="28"/>
        <v>0</v>
      </c>
      <c r="Y117" s="146">
        <f t="shared" si="28"/>
        <v>0</v>
      </c>
      <c r="Z117" s="146">
        <f t="shared" si="28"/>
        <v>0</v>
      </c>
      <c r="AA117" s="146">
        <f t="shared" si="28"/>
        <v>0</v>
      </c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2:41" s="247" customFormat="1">
      <c r="B118" s="248"/>
      <c r="D118" s="909"/>
      <c r="F118" s="249"/>
      <c r="G118" s="250"/>
      <c r="H118" s="250"/>
      <c r="I118" s="250"/>
      <c r="J118" s="250"/>
      <c r="K118" s="250"/>
      <c r="L118" s="243"/>
      <c r="M118" s="459"/>
      <c r="N118" s="249"/>
      <c r="O118" s="146"/>
      <c r="P118" s="146"/>
      <c r="Q118" s="147"/>
      <c r="R118" s="147"/>
      <c r="S118" s="142"/>
      <c r="T118" s="142"/>
      <c r="U118" s="146"/>
      <c r="V118" s="146"/>
      <c r="W118" s="146"/>
      <c r="X118" s="146"/>
      <c r="Y118" s="146"/>
      <c r="Z118" s="146"/>
      <c r="AA118" s="146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2:41" s="247" customFormat="1">
      <c r="B119" s="248"/>
      <c r="D119" s="909"/>
      <c r="F119" s="249"/>
      <c r="G119" s="250"/>
      <c r="H119" s="250"/>
      <c r="I119" s="250"/>
      <c r="J119" s="250"/>
      <c r="K119" s="250"/>
      <c r="L119" s="243"/>
      <c r="M119" s="459"/>
      <c r="N119" s="249"/>
      <c r="O119" s="146"/>
      <c r="P119" s="146"/>
      <c r="Q119" s="147"/>
      <c r="R119" s="147"/>
      <c r="S119" s="142"/>
      <c r="T119" s="142"/>
      <c r="U119" s="146"/>
      <c r="V119" s="146"/>
      <c r="W119" s="146"/>
      <c r="X119" s="146"/>
      <c r="Y119" s="146"/>
      <c r="Z119" s="146"/>
      <c r="AA119" s="146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2:41" s="247" customFormat="1">
      <c r="B120" s="248"/>
      <c r="D120" s="909"/>
      <c r="F120" s="249"/>
      <c r="G120" s="250"/>
      <c r="H120" s="250"/>
      <c r="I120" s="250"/>
      <c r="J120" s="250"/>
      <c r="K120" s="250"/>
      <c r="L120" s="243"/>
      <c r="M120" s="459"/>
      <c r="N120" s="249"/>
      <c r="O120" s="146"/>
      <c r="P120" s="146"/>
      <c r="Q120" s="147"/>
      <c r="R120" s="147"/>
      <c r="S120" s="142"/>
      <c r="T120" s="142"/>
      <c r="U120" s="146"/>
      <c r="V120" s="146"/>
      <c r="W120" s="146"/>
      <c r="X120" s="146"/>
      <c r="Y120" s="146"/>
      <c r="Z120" s="146"/>
      <c r="AA120" s="146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2:41" s="247" customFormat="1">
      <c r="B121" s="248"/>
      <c r="D121" s="909"/>
      <c r="F121" s="249"/>
      <c r="G121" s="250"/>
      <c r="H121" s="250"/>
      <c r="I121" s="250"/>
      <c r="J121" s="250"/>
      <c r="K121" s="250"/>
      <c r="L121" s="243"/>
      <c r="M121" s="459"/>
      <c r="N121" s="249"/>
      <c r="O121" s="146"/>
      <c r="P121" s="146"/>
      <c r="Q121" s="147"/>
      <c r="R121" s="147"/>
      <c r="S121" s="142"/>
      <c r="T121" s="142"/>
      <c r="U121" s="146"/>
      <c r="V121" s="146"/>
      <c r="W121" s="146"/>
      <c r="X121" s="146"/>
      <c r="Y121" s="146"/>
      <c r="Z121" s="146"/>
      <c r="AA121" s="146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2:41" s="213" customFormat="1" ht="14" thickBot="1">
      <c r="B122" s="225"/>
      <c r="D122" s="910"/>
      <c r="F122" s="242"/>
      <c r="G122" s="243"/>
      <c r="H122" s="243"/>
      <c r="I122" s="243"/>
      <c r="J122" s="243"/>
      <c r="K122" s="243"/>
      <c r="L122" s="243"/>
      <c r="M122" s="459"/>
      <c r="N122" s="242"/>
      <c r="O122" s="141"/>
      <c r="P122" s="141"/>
      <c r="Q122" s="148"/>
      <c r="R122" s="148"/>
      <c r="S122" s="149"/>
      <c r="T122" s="149"/>
      <c r="U122" s="150"/>
      <c r="V122" s="150"/>
      <c r="W122" s="150"/>
      <c r="X122" s="150"/>
      <c r="Y122" s="150"/>
      <c r="Z122" s="150"/>
      <c r="AA122" s="150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2:41" s="213" customFormat="1" ht="15" thickTop="1" thickBot="1">
      <c r="B123" s="225"/>
      <c r="D123" s="910"/>
      <c r="F123" s="242"/>
      <c r="G123" s="243"/>
      <c r="H123" s="243"/>
      <c r="I123" s="243"/>
      <c r="J123" s="243"/>
      <c r="K123" s="243"/>
      <c r="L123" s="243"/>
      <c r="M123" s="459"/>
      <c r="N123" s="242"/>
      <c r="O123" s="141"/>
      <c r="P123" s="141"/>
      <c r="Q123" s="148"/>
      <c r="R123" s="148"/>
      <c r="S123" s="148"/>
      <c r="T123" s="148"/>
      <c r="U123" s="151"/>
      <c r="V123" s="152"/>
      <c r="W123" s="153"/>
      <c r="X123" s="153"/>
      <c r="Y123" s="153"/>
      <c r="Z123" s="153"/>
      <c r="AA123" s="154"/>
      <c r="AB123" s="246"/>
      <c r="AC123" s="246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</row>
    <row r="124" spans="2:41" s="213" customFormat="1" ht="14" thickTop="1">
      <c r="B124" s="225"/>
      <c r="D124" s="910"/>
      <c r="F124" s="242"/>
      <c r="G124" s="243"/>
      <c r="H124" s="243"/>
      <c r="I124" s="243"/>
      <c r="J124" s="243"/>
      <c r="K124" s="243"/>
      <c r="L124" s="243"/>
      <c r="M124" s="459"/>
      <c r="N124" s="242"/>
      <c r="O124" s="141"/>
      <c r="P124" s="141"/>
      <c r="Q124" s="148"/>
      <c r="R124" s="148"/>
      <c r="S124" s="149"/>
      <c r="T124" s="149"/>
      <c r="U124" s="150"/>
      <c r="V124" s="150"/>
      <c r="W124" s="150"/>
      <c r="X124" s="150"/>
      <c r="Y124" s="150"/>
      <c r="Z124" s="150"/>
      <c r="AA124" s="150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</row>
    <row r="125" spans="2:41" s="213" customFormat="1">
      <c r="B125" s="225"/>
      <c r="D125" s="910"/>
      <c r="F125" s="242"/>
      <c r="G125" s="243"/>
      <c r="H125" s="243"/>
      <c r="I125" s="243"/>
      <c r="J125" s="243"/>
      <c r="K125" s="243"/>
      <c r="L125" s="243"/>
      <c r="M125" s="459"/>
      <c r="N125" s="242"/>
      <c r="O125" s="141"/>
      <c r="P125" s="141"/>
      <c r="Q125" s="148"/>
      <c r="R125" s="148"/>
      <c r="S125" s="149"/>
      <c r="T125" s="149"/>
      <c r="U125" s="150"/>
      <c r="V125" s="150"/>
      <c r="W125" s="150"/>
      <c r="X125" s="150"/>
      <c r="Y125" s="150"/>
      <c r="Z125" s="150"/>
      <c r="AA125" s="150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</row>
    <row r="126" spans="2:41" s="213" customFormat="1">
      <c r="B126" s="225"/>
      <c r="D126" s="910"/>
      <c r="F126" s="242"/>
      <c r="G126" s="243"/>
      <c r="H126" s="243"/>
      <c r="I126" s="243"/>
      <c r="J126" s="243"/>
      <c r="K126" s="243"/>
      <c r="L126" s="243"/>
      <c r="M126" s="459"/>
      <c r="N126" s="242"/>
      <c r="O126" s="141"/>
      <c r="P126" s="141"/>
      <c r="Q126" s="148"/>
      <c r="R126" s="148"/>
      <c r="S126" s="149"/>
      <c r="T126" s="149"/>
      <c r="U126" s="150"/>
      <c r="V126" s="150"/>
      <c r="W126" s="150"/>
      <c r="X126" s="150"/>
      <c r="Y126" s="150"/>
      <c r="Z126" s="150"/>
      <c r="AA126" s="150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</row>
    <row r="127" spans="2:41" s="213" customFormat="1">
      <c r="B127" s="225"/>
      <c r="D127" s="910"/>
      <c r="F127" s="242"/>
      <c r="G127" s="243"/>
      <c r="H127" s="243"/>
      <c r="I127" s="243"/>
      <c r="J127" s="243"/>
      <c r="K127" s="243"/>
      <c r="L127" s="243"/>
      <c r="M127" s="459"/>
      <c r="N127" s="242"/>
      <c r="O127" s="141"/>
      <c r="P127" s="141"/>
      <c r="Q127" s="148"/>
      <c r="R127" s="148"/>
      <c r="S127" s="149"/>
      <c r="T127" s="149"/>
      <c r="U127" s="150"/>
      <c r="V127" s="150"/>
      <c r="W127" s="150"/>
      <c r="X127" s="150"/>
      <c r="Y127" s="150"/>
      <c r="Z127" s="150"/>
      <c r="AA127" s="150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</row>
    <row r="128" spans="2:41" s="213" customFormat="1">
      <c r="B128" s="225"/>
      <c r="D128" s="910"/>
      <c r="F128" s="242"/>
      <c r="G128" s="243"/>
      <c r="H128" s="243"/>
      <c r="I128" s="243"/>
      <c r="J128" s="243"/>
      <c r="K128" s="243"/>
      <c r="L128" s="243"/>
      <c r="M128" s="459"/>
      <c r="N128" s="242"/>
      <c r="O128" s="141"/>
      <c r="P128" s="141"/>
      <c r="Q128" s="148"/>
      <c r="R128" s="148"/>
      <c r="S128" s="149"/>
      <c r="T128" s="149"/>
      <c r="U128" s="150"/>
      <c r="V128" s="150"/>
      <c r="W128" s="150"/>
      <c r="X128" s="150"/>
      <c r="Y128" s="150"/>
      <c r="Z128" s="150"/>
      <c r="AA128" s="150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</row>
    <row r="129" spans="2:39" s="213" customFormat="1">
      <c r="B129" s="225"/>
      <c r="D129" s="910"/>
      <c r="F129" s="242"/>
      <c r="G129" s="243"/>
      <c r="H129" s="243"/>
      <c r="I129" s="243"/>
      <c r="J129" s="243"/>
      <c r="K129" s="243"/>
      <c r="L129" s="243"/>
      <c r="M129" s="459"/>
      <c r="N129" s="242"/>
      <c r="O129" s="141"/>
      <c r="P129" s="141"/>
      <c r="Q129" s="148"/>
      <c r="R129" s="148"/>
      <c r="S129" s="149"/>
      <c r="T129" s="149"/>
      <c r="U129" s="150"/>
      <c r="V129" s="150"/>
      <c r="W129" s="150"/>
      <c r="X129" s="150"/>
      <c r="Y129" s="150"/>
      <c r="Z129" s="150"/>
      <c r="AA129" s="150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</row>
    <row r="130" spans="2:39" s="213" customFormat="1">
      <c r="B130" s="225"/>
      <c r="D130" s="910"/>
      <c r="F130" s="242"/>
      <c r="G130" s="243"/>
      <c r="H130" s="243"/>
      <c r="I130" s="243"/>
      <c r="J130" s="243"/>
      <c r="K130" s="243"/>
      <c r="L130" s="243"/>
      <c r="M130" s="459"/>
      <c r="N130" s="242"/>
      <c r="O130" s="141"/>
      <c r="P130" s="141"/>
      <c r="Q130" s="148"/>
      <c r="R130" s="148"/>
      <c r="S130" s="149"/>
      <c r="T130" s="149"/>
      <c r="U130" s="150"/>
      <c r="V130" s="150"/>
      <c r="W130" s="150"/>
      <c r="X130" s="150"/>
      <c r="Y130" s="150"/>
      <c r="Z130" s="150"/>
      <c r="AA130" s="150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</row>
    <row r="131" spans="2:39" s="213" customFormat="1">
      <c r="B131" s="225"/>
      <c r="D131" s="910"/>
      <c r="F131" s="242"/>
      <c r="G131" s="243"/>
      <c r="H131" s="243"/>
      <c r="I131" s="243"/>
      <c r="J131" s="243"/>
      <c r="K131" s="243"/>
      <c r="L131" s="243"/>
      <c r="M131" s="459"/>
      <c r="N131" s="242"/>
      <c r="O131" s="141"/>
      <c r="P131" s="141"/>
      <c r="Q131" s="148"/>
      <c r="R131" s="148"/>
      <c r="S131" s="149"/>
      <c r="T131" s="149"/>
      <c r="U131" s="150"/>
      <c r="V131" s="150"/>
      <c r="W131" s="150"/>
      <c r="X131" s="150"/>
      <c r="Y131" s="150"/>
      <c r="Z131" s="150"/>
      <c r="AA131" s="150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</row>
    <row r="132" spans="2:39" s="213" customFormat="1">
      <c r="B132" s="225"/>
      <c r="D132" s="910"/>
      <c r="F132" s="242"/>
      <c r="G132" s="243"/>
      <c r="H132" s="243"/>
      <c r="I132" s="243"/>
      <c r="J132" s="243"/>
      <c r="K132" s="243"/>
      <c r="L132" s="243"/>
      <c r="M132" s="459"/>
      <c r="N132" s="242"/>
      <c r="O132" s="141"/>
      <c r="P132" s="141"/>
      <c r="Q132" s="148"/>
      <c r="R132" s="148"/>
      <c r="S132" s="149"/>
      <c r="T132" s="149"/>
      <c r="U132" s="150"/>
      <c r="V132" s="150"/>
      <c r="W132" s="150"/>
      <c r="X132" s="150"/>
      <c r="Y132" s="150"/>
      <c r="Z132" s="150"/>
      <c r="AA132" s="150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</row>
    <row r="133" spans="2:39" s="213" customFormat="1">
      <c r="B133" s="225"/>
      <c r="D133" s="910"/>
      <c r="F133" s="242"/>
      <c r="G133" s="243"/>
      <c r="H133" s="243"/>
      <c r="I133" s="243"/>
      <c r="J133" s="243"/>
      <c r="K133" s="243"/>
      <c r="L133" s="243"/>
      <c r="M133" s="459"/>
      <c r="N133" s="242"/>
      <c r="O133" s="141"/>
      <c r="P133" s="141"/>
      <c r="Q133" s="148"/>
      <c r="R133" s="148"/>
      <c r="S133" s="149"/>
      <c r="T133" s="149"/>
      <c r="U133" s="150"/>
      <c r="V133" s="150"/>
      <c r="W133" s="150"/>
      <c r="X133" s="150"/>
      <c r="Y133" s="150"/>
      <c r="Z133" s="150"/>
      <c r="AA133" s="150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</row>
    <row r="134" spans="2:39" s="213" customFormat="1">
      <c r="B134" s="225"/>
      <c r="D134" s="910"/>
      <c r="F134" s="242"/>
      <c r="G134" s="243"/>
      <c r="H134" s="243"/>
      <c r="I134" s="243"/>
      <c r="J134" s="243"/>
      <c r="K134" s="243"/>
      <c r="L134" s="243"/>
      <c r="M134" s="459"/>
      <c r="N134" s="242"/>
      <c r="O134" s="141"/>
      <c r="P134" s="141"/>
      <c r="Q134" s="148"/>
      <c r="R134" s="148"/>
      <c r="S134" s="149"/>
      <c r="T134" s="149"/>
      <c r="U134" s="150"/>
      <c r="V134" s="150"/>
      <c r="W134" s="150"/>
      <c r="X134" s="150"/>
      <c r="Y134" s="150"/>
      <c r="Z134" s="150"/>
      <c r="AA134" s="150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</row>
    <row r="135" spans="2:39" s="213" customFormat="1">
      <c r="B135" s="225"/>
      <c r="D135" s="910"/>
      <c r="F135" s="242"/>
      <c r="G135" s="243"/>
      <c r="H135" s="243"/>
      <c r="I135" s="243"/>
      <c r="J135" s="243"/>
      <c r="K135" s="243"/>
      <c r="L135" s="243"/>
      <c r="M135" s="459"/>
      <c r="N135" s="242"/>
      <c r="O135" s="141"/>
      <c r="P135" s="141"/>
      <c r="Q135" s="148"/>
      <c r="R135" s="148"/>
      <c r="S135" s="149"/>
      <c r="T135" s="149"/>
      <c r="U135" s="150"/>
      <c r="V135" s="150"/>
      <c r="W135" s="150"/>
      <c r="X135" s="150"/>
      <c r="Y135" s="150"/>
      <c r="Z135" s="150"/>
      <c r="AA135" s="150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</row>
    <row r="136" spans="2:39" s="213" customFormat="1">
      <c r="B136" s="225"/>
      <c r="D136" s="910"/>
      <c r="F136" s="242"/>
      <c r="G136" s="243"/>
      <c r="H136" s="243"/>
      <c r="I136" s="243"/>
      <c r="J136" s="243"/>
      <c r="K136" s="243"/>
      <c r="L136" s="243"/>
      <c r="M136" s="459"/>
      <c r="N136" s="242"/>
      <c r="O136" s="141"/>
      <c r="P136" s="141"/>
      <c r="Q136" s="148"/>
      <c r="R136" s="148"/>
      <c r="S136" s="149"/>
      <c r="T136" s="149"/>
      <c r="U136" s="150"/>
      <c r="V136" s="150"/>
      <c r="W136" s="150"/>
      <c r="X136" s="150"/>
      <c r="Y136" s="150"/>
      <c r="Z136" s="150"/>
      <c r="AA136" s="150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</row>
    <row r="137" spans="2:39" s="213" customFormat="1">
      <c r="B137" s="225"/>
      <c r="D137" s="910"/>
      <c r="F137" s="242"/>
      <c r="G137" s="243"/>
      <c r="H137" s="243"/>
      <c r="I137" s="243"/>
      <c r="J137" s="243"/>
      <c r="K137" s="243"/>
      <c r="L137" s="243"/>
      <c r="M137" s="459"/>
      <c r="N137" s="242"/>
      <c r="O137" s="141"/>
      <c r="P137" s="141"/>
      <c r="Q137" s="148"/>
      <c r="R137" s="148"/>
      <c r="S137" s="149"/>
      <c r="T137" s="149"/>
      <c r="U137" s="150"/>
      <c r="V137" s="150"/>
      <c r="W137" s="150"/>
      <c r="X137" s="150"/>
      <c r="Y137" s="150"/>
      <c r="Z137" s="150"/>
      <c r="AA137" s="150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</row>
    <row r="138" spans="2:39" s="213" customFormat="1">
      <c r="B138" s="225"/>
      <c r="D138" s="910"/>
      <c r="F138" s="242"/>
      <c r="G138" s="243"/>
      <c r="H138" s="243"/>
      <c r="I138" s="243"/>
      <c r="J138" s="243"/>
      <c r="K138" s="243"/>
      <c r="L138" s="243"/>
      <c r="M138" s="459"/>
      <c r="N138" s="242"/>
      <c r="O138" s="141"/>
      <c r="P138" s="141"/>
      <c r="Q138" s="148"/>
      <c r="R138" s="148"/>
      <c r="S138" s="149"/>
      <c r="T138" s="149"/>
      <c r="U138" s="150"/>
      <c r="V138" s="150"/>
      <c r="W138" s="150"/>
      <c r="X138" s="150"/>
      <c r="Y138" s="150"/>
      <c r="Z138" s="150"/>
      <c r="AA138" s="150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</row>
    <row r="139" spans="2:39" s="213" customFormat="1">
      <c r="B139" s="225"/>
      <c r="D139" s="910"/>
      <c r="F139" s="242"/>
      <c r="G139" s="243"/>
      <c r="H139" s="243"/>
      <c r="I139" s="243"/>
      <c r="J139" s="243"/>
      <c r="K139" s="243"/>
      <c r="L139" s="243"/>
      <c r="M139" s="459"/>
      <c r="N139" s="242"/>
      <c r="O139" s="141"/>
      <c r="P139" s="141"/>
      <c r="Q139" s="148"/>
      <c r="R139" s="148"/>
      <c r="S139" s="149"/>
      <c r="T139" s="149"/>
      <c r="U139" s="150"/>
      <c r="V139" s="150"/>
      <c r="W139" s="150"/>
      <c r="X139" s="150"/>
      <c r="Y139" s="150"/>
      <c r="Z139" s="150"/>
      <c r="AA139" s="150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</row>
    <row r="140" spans="2:39" s="213" customFormat="1">
      <c r="B140" s="225"/>
      <c r="D140" s="910"/>
      <c r="F140" s="242"/>
      <c r="G140" s="243"/>
      <c r="H140" s="243"/>
      <c r="I140" s="243"/>
      <c r="J140" s="243"/>
      <c r="K140" s="243"/>
      <c r="L140" s="243"/>
      <c r="M140" s="459"/>
      <c r="N140" s="242"/>
      <c r="O140" s="141"/>
      <c r="P140" s="141"/>
      <c r="Q140" s="148"/>
      <c r="R140" s="148"/>
      <c r="S140" s="149"/>
      <c r="T140" s="149"/>
      <c r="U140" s="150"/>
      <c r="V140" s="150"/>
      <c r="W140" s="150"/>
      <c r="X140" s="150"/>
      <c r="Y140" s="150"/>
      <c r="Z140" s="150"/>
      <c r="AA140" s="150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</row>
    <row r="141" spans="2:39" s="213" customFormat="1">
      <c r="B141" s="225"/>
      <c r="D141" s="910"/>
      <c r="F141" s="242"/>
      <c r="G141" s="243"/>
      <c r="H141" s="243"/>
      <c r="I141" s="243"/>
      <c r="J141" s="243"/>
      <c r="K141" s="243"/>
      <c r="L141" s="243"/>
      <c r="M141" s="459"/>
      <c r="N141" s="242"/>
      <c r="O141" s="141"/>
      <c r="P141" s="141"/>
      <c r="Q141" s="148"/>
      <c r="R141" s="148"/>
      <c r="S141" s="149"/>
      <c r="T141" s="149"/>
      <c r="U141" s="150"/>
      <c r="V141" s="150"/>
      <c r="W141" s="150"/>
      <c r="X141" s="150"/>
      <c r="Y141" s="150"/>
      <c r="Z141" s="150"/>
      <c r="AA141" s="150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</row>
    <row r="142" spans="2:39" s="213" customFormat="1">
      <c r="B142" s="225"/>
      <c r="D142" s="910"/>
      <c r="F142" s="242"/>
      <c r="G142" s="243"/>
      <c r="H142" s="243"/>
      <c r="I142" s="243"/>
      <c r="J142" s="243"/>
      <c r="K142" s="243"/>
      <c r="L142" s="243"/>
      <c r="M142" s="459"/>
      <c r="N142" s="242"/>
      <c r="O142" s="141"/>
      <c r="P142" s="141"/>
      <c r="Q142" s="148"/>
      <c r="R142" s="148"/>
      <c r="S142" s="149"/>
      <c r="T142" s="149"/>
      <c r="U142" s="150"/>
      <c r="V142" s="150"/>
      <c r="W142" s="150"/>
      <c r="X142" s="150"/>
      <c r="Y142" s="150"/>
      <c r="Z142" s="150"/>
      <c r="AA142" s="150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</row>
    <row r="143" spans="2:39" s="213" customFormat="1">
      <c r="B143" s="225"/>
      <c r="D143" s="910"/>
      <c r="F143" s="242"/>
      <c r="G143" s="243"/>
      <c r="H143" s="243"/>
      <c r="I143" s="243"/>
      <c r="J143" s="243"/>
      <c r="K143" s="243"/>
      <c r="L143" s="243"/>
      <c r="M143" s="459"/>
      <c r="N143" s="242"/>
      <c r="O143" s="141"/>
      <c r="P143" s="141"/>
      <c r="Q143" s="148"/>
      <c r="R143" s="148"/>
      <c r="S143" s="149"/>
      <c r="T143" s="149"/>
      <c r="U143" s="150"/>
      <c r="V143" s="150"/>
      <c r="W143" s="150"/>
      <c r="X143" s="150"/>
      <c r="Y143" s="150"/>
      <c r="Z143" s="150"/>
      <c r="AA143" s="150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</row>
    <row r="144" spans="2:39" s="213" customFormat="1">
      <c r="B144" s="225"/>
      <c r="D144" s="910"/>
      <c r="F144" s="242"/>
      <c r="G144" s="243"/>
      <c r="H144" s="243"/>
      <c r="I144" s="243"/>
      <c r="J144" s="243"/>
      <c r="K144" s="243"/>
      <c r="L144" s="243"/>
      <c r="M144" s="459"/>
      <c r="N144" s="242"/>
      <c r="O144" s="141"/>
      <c r="P144" s="141"/>
      <c r="Q144" s="148"/>
      <c r="R144" s="148"/>
      <c r="S144" s="149"/>
      <c r="T144" s="149"/>
      <c r="U144" s="150"/>
      <c r="V144" s="150"/>
      <c r="W144" s="150"/>
      <c r="X144" s="150"/>
      <c r="Y144" s="150"/>
      <c r="Z144" s="150"/>
      <c r="AA144" s="150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</row>
    <row r="145" spans="1:40" s="213" customFormat="1">
      <c r="B145" s="225"/>
      <c r="D145" s="910"/>
      <c r="F145" s="242"/>
      <c r="G145" s="243"/>
      <c r="H145" s="243"/>
      <c r="I145" s="243"/>
      <c r="J145" s="243"/>
      <c r="K145" s="243"/>
      <c r="L145" s="243"/>
      <c r="M145" s="459"/>
      <c r="N145" s="242"/>
      <c r="O145" s="141"/>
      <c r="P145" s="141"/>
      <c r="Q145" s="148"/>
      <c r="R145" s="148"/>
      <c r="S145" s="149"/>
      <c r="T145" s="149"/>
      <c r="U145" s="150"/>
      <c r="V145" s="150"/>
      <c r="W145" s="150"/>
      <c r="X145" s="150"/>
      <c r="Y145" s="150"/>
      <c r="Z145" s="150"/>
      <c r="AA145" s="150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</row>
    <row r="146" spans="1:40" s="213" customFormat="1">
      <c r="B146" s="225"/>
      <c r="D146" s="910"/>
      <c r="F146" s="242"/>
      <c r="G146" s="243"/>
      <c r="H146" s="243"/>
      <c r="I146" s="243"/>
      <c r="J146" s="243"/>
      <c r="K146" s="243"/>
      <c r="L146" s="243"/>
      <c r="M146" s="459"/>
      <c r="N146" s="242"/>
      <c r="O146" s="141"/>
      <c r="P146" s="141"/>
      <c r="Q146" s="148"/>
      <c r="R146" s="148"/>
      <c r="S146" s="149"/>
      <c r="T146" s="149"/>
      <c r="U146" s="150"/>
      <c r="V146" s="150"/>
      <c r="W146" s="150"/>
      <c r="X146" s="150"/>
      <c r="Y146" s="150"/>
      <c r="Z146" s="150"/>
      <c r="AA146" s="150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</row>
    <row r="147" spans="1:40" s="213" customFormat="1">
      <c r="B147" s="225"/>
      <c r="D147" s="910"/>
      <c r="F147" s="242"/>
      <c r="G147" s="243"/>
      <c r="H147" s="243"/>
      <c r="I147" s="243"/>
      <c r="J147" s="243"/>
      <c r="K147" s="243"/>
      <c r="L147" s="243"/>
      <c r="M147" s="459"/>
      <c r="N147" s="242"/>
      <c r="O147" s="141"/>
      <c r="P147" s="141"/>
      <c r="Q147" s="148"/>
      <c r="R147" s="148"/>
      <c r="S147" s="149"/>
      <c r="T147" s="149"/>
      <c r="U147" s="150"/>
      <c r="V147" s="150"/>
      <c r="W147" s="150"/>
      <c r="X147" s="150"/>
      <c r="Y147" s="150"/>
      <c r="Z147" s="150"/>
      <c r="AA147" s="150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</row>
    <row r="148" spans="1:40" s="213" customFormat="1">
      <c r="B148" s="225"/>
      <c r="D148" s="910"/>
      <c r="F148" s="242"/>
      <c r="G148" s="243"/>
      <c r="H148" s="243"/>
      <c r="I148" s="243"/>
      <c r="J148" s="243"/>
      <c r="K148" s="243"/>
      <c r="L148" s="243"/>
      <c r="M148" s="459"/>
      <c r="N148" s="242"/>
      <c r="O148" s="141"/>
      <c r="P148" s="141"/>
      <c r="Q148" s="148"/>
      <c r="R148" s="148"/>
      <c r="S148" s="149"/>
      <c r="T148" s="149"/>
      <c r="U148" s="150"/>
      <c r="V148" s="150"/>
      <c r="W148" s="150"/>
      <c r="X148" s="150"/>
      <c r="Y148" s="150"/>
      <c r="Z148" s="150"/>
      <c r="AA148" s="150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</row>
    <row r="149" spans="1:40" s="213" customFormat="1">
      <c r="B149" s="225"/>
      <c r="D149" s="910"/>
      <c r="F149" s="242"/>
      <c r="G149" s="243"/>
      <c r="H149" s="243"/>
      <c r="I149" s="243"/>
      <c r="J149" s="243"/>
      <c r="K149" s="243"/>
      <c r="L149" s="243"/>
      <c r="M149" s="459"/>
      <c r="N149" s="242"/>
      <c r="O149" s="141"/>
      <c r="P149" s="141"/>
      <c r="Q149" s="148"/>
      <c r="R149" s="148"/>
      <c r="S149" s="149"/>
      <c r="T149" s="149"/>
      <c r="U149" s="150"/>
      <c r="V149" s="150"/>
      <c r="W149" s="150"/>
      <c r="X149" s="150"/>
      <c r="Y149" s="150"/>
      <c r="Z149" s="150"/>
      <c r="AA149" s="150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</row>
    <row r="150" spans="1:40" s="213" customFormat="1">
      <c r="B150" s="225"/>
      <c r="D150" s="910"/>
      <c r="F150" s="242"/>
      <c r="G150" s="243"/>
      <c r="H150" s="243"/>
      <c r="I150" s="243"/>
      <c r="J150" s="243"/>
      <c r="K150" s="243"/>
      <c r="L150" s="243"/>
      <c r="M150" s="459"/>
      <c r="N150" s="242"/>
      <c r="O150" s="141"/>
      <c r="P150" s="141"/>
      <c r="Q150" s="148"/>
      <c r="R150" s="148"/>
      <c r="S150" s="149"/>
      <c r="T150" s="149"/>
      <c r="U150" s="150"/>
      <c r="V150" s="150"/>
      <c r="W150" s="150"/>
      <c r="X150" s="150"/>
      <c r="Y150" s="150"/>
      <c r="Z150" s="150"/>
      <c r="AA150" s="150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</row>
    <row r="151" spans="1:40" s="213" customFormat="1">
      <c r="B151" s="225"/>
      <c r="D151" s="910"/>
      <c r="F151" s="242"/>
      <c r="G151" s="243"/>
      <c r="H151" s="243"/>
      <c r="I151" s="243"/>
      <c r="J151" s="243"/>
      <c r="K151" s="243"/>
      <c r="L151" s="243"/>
      <c r="M151" s="459"/>
      <c r="N151" s="242"/>
      <c r="O151" s="141"/>
      <c r="P151" s="141"/>
      <c r="Q151" s="148"/>
      <c r="R151" s="148"/>
      <c r="S151" s="149"/>
      <c r="T151" s="149"/>
      <c r="U151" s="150"/>
      <c r="V151" s="150"/>
      <c r="W151" s="150"/>
      <c r="X151" s="150"/>
      <c r="Y151" s="150"/>
      <c r="Z151" s="150"/>
      <c r="AA151" s="150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</row>
    <row r="152" spans="1:40" s="213" customFormat="1">
      <c r="B152" s="225"/>
      <c r="D152" s="910"/>
      <c r="F152" s="242"/>
      <c r="G152" s="243"/>
      <c r="H152" s="243"/>
      <c r="I152" s="243"/>
      <c r="J152" s="243"/>
      <c r="K152" s="243"/>
      <c r="L152" s="243"/>
      <c r="M152" s="459"/>
      <c r="N152" s="242"/>
      <c r="O152" s="141"/>
      <c r="P152" s="141"/>
      <c r="Q152" s="148"/>
      <c r="R152" s="148"/>
      <c r="S152" s="149"/>
      <c r="T152" s="149"/>
      <c r="U152" s="150"/>
      <c r="V152" s="150"/>
      <c r="W152" s="150"/>
      <c r="X152" s="150"/>
      <c r="Y152" s="150"/>
      <c r="Z152" s="150"/>
      <c r="AA152" s="150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</row>
    <row r="153" spans="1:40" s="213" customFormat="1">
      <c r="B153" s="225"/>
      <c r="D153" s="910"/>
      <c r="F153" s="242"/>
      <c r="G153" s="243"/>
      <c r="H153" s="243"/>
      <c r="I153" s="243"/>
      <c r="J153" s="243"/>
      <c r="K153" s="243"/>
      <c r="L153" s="243"/>
      <c r="M153" s="459"/>
      <c r="N153" s="242"/>
      <c r="O153" s="141"/>
      <c r="P153" s="141"/>
      <c r="Q153" s="148"/>
      <c r="R153" s="148"/>
      <c r="S153" s="149"/>
      <c r="T153" s="149"/>
      <c r="U153" s="150"/>
      <c r="V153" s="150"/>
      <c r="W153" s="150"/>
      <c r="X153" s="150"/>
      <c r="Y153" s="150"/>
      <c r="Z153" s="150"/>
      <c r="AA153" s="150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</row>
    <row r="154" spans="1:40" s="213" customFormat="1">
      <c r="B154" s="225"/>
      <c r="D154" s="910"/>
      <c r="F154" s="242"/>
      <c r="G154" s="243"/>
      <c r="H154" s="243"/>
      <c r="I154" s="243"/>
      <c r="J154" s="243"/>
      <c r="K154" s="243"/>
      <c r="L154" s="243"/>
      <c r="M154" s="459"/>
      <c r="N154" s="242"/>
      <c r="O154" s="141"/>
      <c r="P154" s="141"/>
      <c r="Q154" s="148"/>
      <c r="R154" s="148"/>
      <c r="S154" s="149"/>
      <c r="T154" s="149"/>
      <c r="U154" s="150"/>
      <c r="V154" s="150"/>
      <c r="W154" s="150"/>
      <c r="X154" s="150"/>
      <c r="Y154" s="150"/>
      <c r="Z154" s="150"/>
      <c r="AA154" s="150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</row>
    <row r="155" spans="1:40">
      <c r="A155" s="204"/>
      <c r="O155" s="155"/>
      <c r="P155" s="155"/>
      <c r="Q155" s="156"/>
      <c r="R155" s="156"/>
      <c r="S155" s="251"/>
      <c r="T155" s="251"/>
      <c r="U155" s="252"/>
      <c r="V155" s="252"/>
      <c r="W155" s="252"/>
      <c r="X155" s="252"/>
      <c r="Y155" s="252"/>
      <c r="Z155" s="252"/>
      <c r="AA155" s="252"/>
      <c r="AN155" s="204"/>
    </row>
    <row r="156" spans="1:40">
      <c r="A156" s="204"/>
      <c r="O156" s="155"/>
      <c r="P156" s="155"/>
      <c r="Q156" s="156"/>
      <c r="R156" s="156"/>
      <c r="S156" s="251"/>
      <c r="T156" s="251"/>
      <c r="U156" s="252"/>
      <c r="V156" s="252"/>
      <c r="W156" s="252"/>
      <c r="X156" s="252"/>
      <c r="Y156" s="252"/>
      <c r="Z156" s="252"/>
      <c r="AA156" s="252"/>
      <c r="AN156" s="204"/>
    </row>
    <row r="157" spans="1:40">
      <c r="A157" s="204"/>
      <c r="O157" s="155"/>
      <c r="P157" s="155"/>
      <c r="Q157" s="156"/>
      <c r="R157" s="156"/>
      <c r="S157" s="251"/>
      <c r="T157" s="251"/>
      <c r="U157" s="252"/>
      <c r="V157" s="252"/>
      <c r="W157" s="252"/>
      <c r="X157" s="252"/>
      <c r="Y157" s="252"/>
      <c r="Z157" s="252"/>
      <c r="AA157" s="252"/>
      <c r="AN157" s="204"/>
    </row>
    <row r="158" spans="1:40">
      <c r="A158" s="204"/>
      <c r="O158" s="155"/>
      <c r="P158" s="155"/>
      <c r="Q158" s="156"/>
      <c r="R158" s="156"/>
      <c r="S158" s="251"/>
      <c r="T158" s="251"/>
      <c r="U158" s="252"/>
      <c r="V158" s="252"/>
      <c r="W158" s="252"/>
      <c r="X158" s="252"/>
      <c r="Y158" s="252"/>
      <c r="Z158" s="252"/>
      <c r="AA158" s="252"/>
      <c r="AN158" s="204"/>
    </row>
    <row r="159" spans="1:40">
      <c r="A159" s="204"/>
      <c r="O159" s="155"/>
      <c r="P159" s="155"/>
      <c r="Q159" s="156"/>
      <c r="R159" s="156"/>
      <c r="S159" s="251"/>
      <c r="T159" s="251"/>
      <c r="U159" s="252"/>
      <c r="V159" s="252"/>
      <c r="W159" s="252"/>
      <c r="X159" s="252"/>
      <c r="Y159" s="252"/>
      <c r="Z159" s="252"/>
      <c r="AA159" s="252"/>
      <c r="AN159" s="204"/>
    </row>
    <row r="160" spans="1:40">
      <c r="A160" s="204"/>
      <c r="O160" s="155"/>
      <c r="P160" s="155"/>
      <c r="Q160" s="156"/>
      <c r="R160" s="156"/>
      <c r="S160" s="251"/>
      <c r="T160" s="251"/>
      <c r="U160" s="252"/>
      <c r="V160" s="252"/>
      <c r="W160" s="252"/>
      <c r="X160" s="252"/>
      <c r="Y160" s="252"/>
      <c r="Z160" s="252"/>
      <c r="AA160" s="252"/>
      <c r="AN160" s="204"/>
    </row>
    <row r="161" spans="1:40">
      <c r="A161" s="204"/>
      <c r="O161" s="155"/>
      <c r="P161" s="155"/>
      <c r="Q161" s="156"/>
      <c r="R161" s="156"/>
      <c r="S161" s="251"/>
      <c r="T161" s="251"/>
      <c r="U161" s="252"/>
      <c r="V161" s="252"/>
      <c r="W161" s="252"/>
      <c r="X161" s="252"/>
      <c r="Y161" s="252"/>
      <c r="Z161" s="252"/>
      <c r="AA161" s="252"/>
      <c r="AN161" s="204"/>
    </row>
    <row r="162" spans="1:40">
      <c r="A162" s="204"/>
      <c r="O162" s="155"/>
      <c r="P162" s="155"/>
      <c r="Q162" s="156"/>
      <c r="R162" s="156"/>
      <c r="S162" s="251"/>
      <c r="T162" s="251"/>
      <c r="U162" s="252"/>
      <c r="V162" s="252"/>
      <c r="W162" s="252"/>
      <c r="X162" s="252"/>
      <c r="Y162" s="252"/>
      <c r="Z162" s="252"/>
      <c r="AA162" s="252"/>
      <c r="AN162" s="204"/>
    </row>
    <row r="163" spans="1:40">
      <c r="A163" s="204"/>
      <c r="B163" s="204"/>
      <c r="D163" s="204"/>
      <c r="F163" s="204"/>
      <c r="G163" s="204"/>
      <c r="H163" s="204"/>
      <c r="I163" s="204"/>
      <c r="J163" s="204"/>
      <c r="K163" s="204"/>
      <c r="L163" s="1572"/>
      <c r="M163" s="204"/>
      <c r="N163" s="204"/>
      <c r="O163" s="155"/>
      <c r="P163" s="155"/>
      <c r="Q163" s="156"/>
      <c r="R163" s="156"/>
      <c r="S163" s="251"/>
      <c r="T163" s="251"/>
      <c r="U163" s="252"/>
      <c r="V163" s="252"/>
      <c r="W163" s="252"/>
      <c r="X163" s="252"/>
      <c r="Y163" s="252"/>
      <c r="Z163" s="252"/>
      <c r="AA163" s="252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</row>
    <row r="164" spans="1:40">
      <c r="A164" s="204"/>
      <c r="B164" s="204"/>
      <c r="D164" s="204"/>
      <c r="F164" s="204"/>
      <c r="G164" s="204"/>
      <c r="H164" s="204"/>
      <c r="I164" s="204"/>
      <c r="J164" s="204"/>
      <c r="K164" s="204"/>
      <c r="L164" s="1572"/>
      <c r="M164" s="204"/>
      <c r="N164" s="204"/>
      <c r="O164" s="155"/>
      <c r="P164" s="155"/>
      <c r="Q164" s="156"/>
      <c r="R164" s="156"/>
      <c r="S164" s="251"/>
      <c r="T164" s="251"/>
      <c r="U164" s="252"/>
      <c r="V164" s="252"/>
      <c r="W164" s="252"/>
      <c r="X164" s="252"/>
      <c r="Y164" s="252"/>
      <c r="Z164" s="252"/>
      <c r="AA164" s="252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</row>
    <row r="165" spans="1:40">
      <c r="A165" s="204"/>
      <c r="B165" s="204"/>
      <c r="D165" s="204"/>
      <c r="F165" s="204"/>
      <c r="G165" s="204"/>
      <c r="H165" s="204"/>
      <c r="I165" s="204"/>
      <c r="J165" s="204"/>
      <c r="K165" s="204"/>
      <c r="L165" s="1572"/>
      <c r="M165" s="204"/>
      <c r="N165" s="204"/>
      <c r="O165" s="155"/>
      <c r="P165" s="155"/>
      <c r="Q165" s="156"/>
      <c r="R165" s="156"/>
      <c r="S165" s="251"/>
      <c r="T165" s="251"/>
      <c r="U165" s="252"/>
      <c r="V165" s="252"/>
      <c r="W165" s="252"/>
      <c r="X165" s="252"/>
      <c r="Y165" s="252"/>
      <c r="Z165" s="252"/>
      <c r="AA165" s="252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</row>
    <row r="166" spans="1:40">
      <c r="A166" s="204"/>
      <c r="B166" s="204"/>
      <c r="D166" s="204"/>
      <c r="F166" s="204"/>
      <c r="G166" s="204"/>
      <c r="H166" s="204"/>
      <c r="I166" s="204"/>
      <c r="J166" s="204"/>
      <c r="K166" s="204"/>
      <c r="L166" s="1572"/>
      <c r="M166" s="204"/>
      <c r="N166" s="204"/>
      <c r="O166" s="155"/>
      <c r="P166" s="155"/>
      <c r="Q166" s="156"/>
      <c r="R166" s="156"/>
      <c r="S166" s="251"/>
      <c r="T166" s="251"/>
      <c r="U166" s="252"/>
      <c r="V166" s="252"/>
      <c r="W166" s="252"/>
      <c r="X166" s="252"/>
      <c r="Y166" s="252"/>
      <c r="Z166" s="252"/>
      <c r="AA166" s="252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</row>
    <row r="167" spans="1:40">
      <c r="A167" s="204"/>
      <c r="B167" s="204"/>
      <c r="D167" s="204"/>
      <c r="F167" s="204"/>
      <c r="G167" s="204"/>
      <c r="H167" s="204"/>
      <c r="I167" s="204"/>
      <c r="J167" s="204"/>
      <c r="K167" s="204"/>
      <c r="L167" s="1572"/>
      <c r="M167" s="204"/>
      <c r="N167" s="204"/>
      <c r="O167" s="155"/>
      <c r="P167" s="155"/>
      <c r="Q167" s="156"/>
      <c r="R167" s="156"/>
      <c r="S167" s="251"/>
      <c r="T167" s="251"/>
      <c r="U167" s="252"/>
      <c r="V167" s="252"/>
      <c r="W167" s="252"/>
      <c r="X167" s="252"/>
      <c r="Y167" s="252"/>
      <c r="Z167" s="252"/>
      <c r="AA167" s="252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</row>
  </sheetData>
  <mergeCells count="11">
    <mergeCell ref="Z30:AD30"/>
    <mergeCell ref="Y29:AA29"/>
    <mergeCell ref="D23:R23"/>
    <mergeCell ref="M25:R25"/>
    <mergeCell ref="N26:R26"/>
    <mergeCell ref="O27:R27"/>
    <mergeCell ref="G28:K28"/>
    <mergeCell ref="P28:Z28"/>
    <mergeCell ref="S25:W25"/>
    <mergeCell ref="S27:AA27"/>
    <mergeCell ref="AA28:AD28"/>
  </mergeCells>
  <pageMargins left="0.7" right="0.7" top="0.75" bottom="0.75" header="0.3" footer="0.3"/>
  <pageSetup paperSize="9" orientation="landscape" horizontalDpi="0" verticalDpi="0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66">
    <pageSetUpPr fitToPage="1"/>
  </sheetPr>
  <dimension ref="A1:O27"/>
  <sheetViews>
    <sheetView topLeftCell="A13" zoomScale="171" zoomScaleNormal="171" zoomScalePageLayoutView="171" workbookViewId="0">
      <selection activeCell="P139" sqref="P139"/>
    </sheetView>
  </sheetViews>
  <sheetFormatPr baseColWidth="10" defaultColWidth="10.83203125" defaultRowHeight="13"/>
  <cols>
    <col min="1" max="1" width="1.6640625" customWidth="1"/>
    <col min="2" max="3" width="7" customWidth="1"/>
    <col min="4" max="4" width="3" customWidth="1"/>
    <col min="5" max="5" width="74" customWidth="1"/>
    <col min="6" max="6" width="2.1640625" customWidth="1"/>
    <col min="7" max="7" width="12.1640625" customWidth="1"/>
    <col min="8" max="8" width="2.33203125" customWidth="1"/>
    <col min="9" max="9" width="9.6640625" customWidth="1"/>
    <col min="10" max="10" width="2.5" customWidth="1"/>
    <col min="11" max="11" width="9.6640625" customWidth="1"/>
    <col min="12" max="12" width="2" customWidth="1"/>
    <col min="13" max="13" width="8.83203125" customWidth="1"/>
    <col min="14" max="14" width="2" customWidth="1"/>
  </cols>
  <sheetData>
    <row r="1" spans="1:15" ht="9" customHeight="1">
      <c r="A1" s="1860"/>
      <c r="B1" s="1861"/>
      <c r="C1" s="1861"/>
      <c r="D1" s="1861"/>
      <c r="E1" s="1861"/>
      <c r="F1" s="1861"/>
      <c r="G1" s="1861"/>
      <c r="H1" s="1861"/>
      <c r="I1" s="1861"/>
      <c r="J1" s="1861"/>
      <c r="K1" s="1861"/>
      <c r="L1" s="1861"/>
      <c r="M1" s="1861"/>
      <c r="N1" s="1862"/>
    </row>
    <row r="2" spans="1:15" ht="13.25" customHeight="1">
      <c r="A2" s="1863"/>
      <c r="B2" s="8096" t="s">
        <v>1003</v>
      </c>
      <c r="C2" s="8096"/>
      <c r="D2" s="8096"/>
      <c r="E2" s="8096"/>
      <c r="F2" s="1864"/>
      <c r="G2" s="1864"/>
      <c r="H2" s="1864"/>
      <c r="I2" s="1864"/>
      <c r="J2" s="1864"/>
      <c r="K2" s="1864"/>
      <c r="L2" s="1864"/>
      <c r="M2" s="1864"/>
      <c r="N2" s="1865"/>
    </row>
    <row r="3" spans="1:15" ht="13.25" customHeight="1">
      <c r="A3" s="1863"/>
      <c r="B3" s="8096"/>
      <c r="C3" s="8096"/>
      <c r="D3" s="8096"/>
      <c r="E3" s="8096"/>
      <c r="F3" s="1864"/>
      <c r="G3" s="1864"/>
      <c r="H3" s="1864"/>
      <c r="I3" s="1864"/>
      <c r="J3" s="1864"/>
      <c r="K3" s="1864"/>
      <c r="L3" s="1864"/>
      <c r="M3" s="1864"/>
      <c r="N3" s="1865"/>
    </row>
    <row r="4" spans="1:15" ht="14" thickBot="1">
      <c r="A4" s="1863"/>
      <c r="B4" s="8095" t="s">
        <v>998</v>
      </c>
      <c r="C4" s="8095"/>
      <c r="D4" s="8095"/>
      <c r="E4" s="8095"/>
      <c r="F4" s="1864"/>
      <c r="G4" s="1864"/>
      <c r="H4" s="1864"/>
      <c r="I4" s="1864"/>
      <c r="J4" s="1864"/>
      <c r="K4" s="1864"/>
      <c r="L4" s="1864"/>
      <c r="M4" s="1864"/>
      <c r="N4" s="1865"/>
    </row>
    <row r="5" spans="1:15" ht="36" customHeight="1" thickBot="1">
      <c r="A5" s="1863"/>
      <c r="B5" s="1812">
        <v>1</v>
      </c>
      <c r="C5" s="1813"/>
      <c r="D5" s="1814"/>
      <c r="E5" s="1815" t="s">
        <v>986</v>
      </c>
      <c r="F5" s="1864"/>
      <c r="G5" s="1864"/>
      <c r="H5" s="1864"/>
      <c r="I5" s="1864"/>
      <c r="J5" s="1864"/>
      <c r="K5" s="1864"/>
      <c r="L5" s="1864"/>
      <c r="M5" s="1864"/>
      <c r="N5" s="1865"/>
    </row>
    <row r="6" spans="1:15" s="1807" customFormat="1" ht="4.25" customHeight="1" thickBot="1">
      <c r="A6" s="1866"/>
      <c r="B6" s="1809"/>
      <c r="C6" s="1809"/>
      <c r="D6" s="1809"/>
      <c r="E6" s="1809"/>
      <c r="F6" s="1864"/>
      <c r="G6" s="1864"/>
      <c r="H6" s="1864"/>
      <c r="I6" s="1864"/>
      <c r="J6" s="1864"/>
      <c r="K6" s="1809"/>
      <c r="L6" s="1809"/>
      <c r="M6" s="1809"/>
      <c r="N6" s="1865"/>
      <c r="O6" s="1859"/>
    </row>
    <row r="7" spans="1:15" ht="51" customHeight="1" thickTop="1" thickBot="1">
      <c r="A7" s="1863"/>
      <c r="B7" s="1816">
        <v>2</v>
      </c>
      <c r="C7" s="1817"/>
      <c r="D7" s="1818"/>
      <c r="E7" s="1819" t="s">
        <v>987</v>
      </c>
      <c r="F7" s="1811" t="s">
        <v>1006</v>
      </c>
      <c r="G7" s="1808"/>
      <c r="H7" s="1808" t="s">
        <v>1009</v>
      </c>
      <c r="I7" s="354"/>
      <c r="J7" s="1808" t="s">
        <v>1008</v>
      </c>
      <c r="K7" s="354"/>
      <c r="L7" s="354" t="s">
        <v>1007</v>
      </c>
      <c r="M7" s="354"/>
      <c r="N7" s="1865"/>
    </row>
    <row r="8" spans="1:15" s="1807" customFormat="1" ht="4.25" customHeight="1" thickTop="1" thickBot="1">
      <c r="A8" s="1866"/>
      <c r="B8" s="1809"/>
      <c r="C8" s="1809"/>
      <c r="D8" s="1809"/>
      <c r="E8" s="1809"/>
      <c r="F8" s="1810"/>
      <c r="G8" s="1810"/>
      <c r="H8" s="1810"/>
      <c r="I8" s="1810"/>
      <c r="J8" s="1810"/>
      <c r="K8" s="1810"/>
      <c r="L8" s="1810"/>
      <c r="M8" s="1810"/>
      <c r="N8" s="1865"/>
      <c r="O8" s="1859"/>
    </row>
    <row r="9" spans="1:15" ht="65" customHeight="1" thickTop="1" thickBot="1">
      <c r="A9" s="1863"/>
      <c r="B9" s="1820">
        <v>3</v>
      </c>
      <c r="C9" s="1821"/>
      <c r="D9" s="1822"/>
      <c r="E9" s="1823" t="s">
        <v>988</v>
      </c>
      <c r="F9" s="354" t="s">
        <v>1010</v>
      </c>
      <c r="G9" s="354"/>
      <c r="H9" s="1864"/>
      <c r="I9" s="1864"/>
      <c r="J9" s="1864"/>
      <c r="K9" s="1864"/>
      <c r="L9" s="1864"/>
      <c r="M9" s="1864"/>
      <c r="N9" s="1865"/>
    </row>
    <row r="10" spans="1:15" s="1807" customFormat="1" ht="4.25" customHeight="1" thickBot="1">
      <c r="A10" s="1866"/>
      <c r="B10" s="1809"/>
      <c r="C10" s="1809"/>
      <c r="D10" s="1809"/>
      <c r="E10" s="1809"/>
      <c r="F10" s="1809"/>
      <c r="G10" s="1809"/>
      <c r="H10" s="1864"/>
      <c r="I10" s="1864"/>
      <c r="J10" s="1864"/>
      <c r="K10" s="1864"/>
      <c r="L10" s="1864"/>
      <c r="M10" s="1864"/>
      <c r="N10" s="1865"/>
      <c r="O10" s="1859"/>
    </row>
    <row r="11" spans="1:15" ht="79.25" customHeight="1" thickTop="1" thickBot="1">
      <c r="A11" s="1863"/>
      <c r="B11" s="1824">
        <v>4</v>
      </c>
      <c r="C11" s="1825"/>
      <c r="D11" s="1826"/>
      <c r="E11" s="1827" t="s">
        <v>989</v>
      </c>
      <c r="F11" s="354" t="s">
        <v>1011</v>
      </c>
      <c r="G11" s="354"/>
      <c r="H11" s="1864"/>
      <c r="I11" s="1864"/>
      <c r="J11" s="1864"/>
      <c r="K11" s="1864"/>
      <c r="L11" s="1864"/>
      <c r="M11" s="1864"/>
      <c r="N11" s="1865"/>
    </row>
    <row r="12" spans="1:15" s="1807" customFormat="1" ht="4.25" customHeight="1" thickBot="1">
      <c r="A12" s="1866"/>
      <c r="B12" s="1809"/>
      <c r="C12" s="1809"/>
      <c r="D12" s="1809"/>
      <c r="E12" s="1809"/>
      <c r="F12" s="1809"/>
      <c r="G12" s="1809"/>
      <c r="H12" s="1864"/>
      <c r="I12" s="1864"/>
      <c r="J12" s="1864"/>
      <c r="K12" s="1864"/>
      <c r="L12" s="1864"/>
      <c r="M12" s="1864"/>
      <c r="N12" s="1865"/>
      <c r="O12" s="1859"/>
    </row>
    <row r="13" spans="1:15" ht="85.25" customHeight="1" thickTop="1" thickBot="1">
      <c r="A13" s="1863"/>
      <c r="B13" s="1828">
        <v>5</v>
      </c>
      <c r="C13" s="1829"/>
      <c r="D13" s="1830"/>
      <c r="E13" s="1831" t="s">
        <v>990</v>
      </c>
      <c r="F13" s="354" t="s">
        <v>1012</v>
      </c>
      <c r="G13" s="354"/>
      <c r="H13" s="1864"/>
      <c r="I13" s="1864"/>
      <c r="J13" s="1864"/>
      <c r="K13" s="1864"/>
      <c r="L13" s="1864"/>
      <c r="M13" s="1864"/>
      <c r="N13" s="1865"/>
    </row>
    <row r="14" spans="1:15" ht="4.25" customHeight="1" thickBot="1">
      <c r="A14" s="1863"/>
      <c r="B14" s="1809"/>
      <c r="C14" s="1809"/>
      <c r="D14" s="1809"/>
      <c r="E14" s="1809"/>
      <c r="F14" s="1864"/>
      <c r="G14" s="1864"/>
      <c r="H14" s="1864"/>
      <c r="I14" s="1864"/>
      <c r="J14" s="1864"/>
      <c r="K14" s="1864"/>
      <c r="L14" s="1864"/>
      <c r="M14" s="1864"/>
      <c r="N14" s="1865"/>
    </row>
    <row r="15" spans="1:15" ht="21" customHeight="1" thickTop="1" thickBot="1">
      <c r="A15" s="1863"/>
      <c r="B15" s="8092">
        <v>6</v>
      </c>
      <c r="C15" s="1832"/>
      <c r="D15" s="1833" t="s">
        <v>1000</v>
      </c>
      <c r="E15" s="1834" t="s">
        <v>991</v>
      </c>
      <c r="F15" s="354" t="s">
        <v>1014</v>
      </c>
      <c r="G15" s="354"/>
      <c r="H15" s="1864"/>
      <c r="I15" s="1864"/>
      <c r="J15" s="1864"/>
      <c r="K15" s="1864"/>
      <c r="L15" s="1864"/>
      <c r="M15" s="1864"/>
      <c r="N15" s="1865"/>
    </row>
    <row r="16" spans="1:15" ht="34" thickTop="1" thickBot="1">
      <c r="A16" s="1863"/>
      <c r="B16" s="8093"/>
      <c r="C16" s="1835"/>
      <c r="D16" s="1836" t="s">
        <v>1001</v>
      </c>
      <c r="E16" s="1837" t="s">
        <v>992</v>
      </c>
      <c r="F16" s="354" t="s">
        <v>1013</v>
      </c>
      <c r="G16" s="354"/>
      <c r="H16" s="1864"/>
      <c r="I16" s="1864"/>
      <c r="J16" s="1864"/>
      <c r="K16" s="1864"/>
      <c r="L16" s="1864"/>
      <c r="M16" s="1864"/>
      <c r="N16" s="1865"/>
    </row>
    <row r="17" spans="1:14" ht="38" thickTop="1" thickBot="1">
      <c r="A17" s="1863"/>
      <c r="B17" s="8094"/>
      <c r="C17" s="1838"/>
      <c r="D17" s="1839" t="s">
        <v>1002</v>
      </c>
      <c r="E17" s="1840" t="s">
        <v>999</v>
      </c>
      <c r="F17" s="354" t="s">
        <v>359</v>
      </c>
      <c r="G17" s="354"/>
      <c r="H17" s="1864"/>
      <c r="I17" s="1864"/>
      <c r="J17" s="1864"/>
      <c r="K17" s="1864"/>
      <c r="L17" s="1864"/>
      <c r="M17" s="1864"/>
      <c r="N17" s="1865"/>
    </row>
    <row r="18" spans="1:14" ht="4.25" customHeight="1" thickBot="1">
      <c r="A18" s="1863"/>
      <c r="B18" s="1809"/>
      <c r="C18" s="1809"/>
      <c r="D18" s="1809"/>
      <c r="E18" s="1809"/>
      <c r="F18" s="1864"/>
      <c r="G18" s="1864"/>
      <c r="H18" s="1864"/>
      <c r="I18" s="1864"/>
      <c r="J18" s="1864"/>
      <c r="K18" s="1864"/>
      <c r="L18" s="1864"/>
      <c r="M18" s="1864"/>
      <c r="N18" s="1865"/>
    </row>
    <row r="19" spans="1:14" ht="59" customHeight="1" thickTop="1" thickBot="1">
      <c r="A19" s="1863"/>
      <c r="B19" s="1841">
        <v>7</v>
      </c>
      <c r="C19" s="1842"/>
      <c r="D19" s="1843"/>
      <c r="E19" s="1844" t="s">
        <v>993</v>
      </c>
      <c r="F19" s="354" t="s">
        <v>1015</v>
      </c>
      <c r="G19" s="354"/>
      <c r="H19" s="1864"/>
      <c r="I19" s="1864"/>
      <c r="J19" s="1864"/>
      <c r="K19" s="1864"/>
      <c r="L19" s="1864"/>
      <c r="M19" s="1864"/>
      <c r="N19" s="1865"/>
    </row>
    <row r="20" spans="1:14" ht="4.25" customHeight="1" thickBot="1">
      <c r="A20" s="1863"/>
      <c r="B20" s="1809"/>
      <c r="C20" s="1809"/>
      <c r="D20" s="1809"/>
      <c r="E20" s="1809"/>
      <c r="F20" s="1864"/>
      <c r="G20" s="1864"/>
      <c r="H20" s="1864"/>
      <c r="I20" s="1864"/>
      <c r="J20" s="1864"/>
      <c r="K20" s="1864"/>
      <c r="L20" s="1864"/>
      <c r="M20" s="1864"/>
      <c r="N20" s="1865"/>
    </row>
    <row r="21" spans="1:14" ht="64.25" customHeight="1" thickTop="1" thickBot="1">
      <c r="A21" s="1863"/>
      <c r="B21" s="1845">
        <v>8</v>
      </c>
      <c r="C21" s="1846"/>
      <c r="D21" s="1847"/>
      <c r="E21" s="1848" t="s">
        <v>994</v>
      </c>
      <c r="F21" s="354" t="s">
        <v>1016</v>
      </c>
      <c r="G21" s="354"/>
      <c r="H21" s="1864"/>
      <c r="I21" s="1864"/>
      <c r="J21" s="1864"/>
      <c r="K21" s="1864"/>
      <c r="L21" s="1864"/>
      <c r="M21" s="1864"/>
      <c r="N21" s="1865"/>
    </row>
    <row r="22" spans="1:14" ht="4.25" customHeight="1" thickBot="1">
      <c r="A22" s="1863"/>
      <c r="B22" s="1809"/>
      <c r="C22" s="1809"/>
      <c r="D22" s="1809"/>
      <c r="E22" s="1809"/>
      <c r="F22" s="1864"/>
      <c r="G22" s="1864"/>
      <c r="H22" s="1864"/>
      <c r="I22" s="1864"/>
      <c r="J22" s="1864"/>
      <c r="K22" s="1864"/>
      <c r="L22" s="1864"/>
      <c r="M22" s="1864"/>
      <c r="N22" s="1865"/>
    </row>
    <row r="23" spans="1:14" ht="48" customHeight="1" thickTop="1">
      <c r="A23" s="1863"/>
      <c r="B23" s="8097">
        <v>9</v>
      </c>
      <c r="C23" s="1849"/>
      <c r="D23" s="1850" t="s">
        <v>1005</v>
      </c>
      <c r="E23" s="1851" t="s">
        <v>995</v>
      </c>
      <c r="F23" s="354" t="s">
        <v>1017</v>
      </c>
      <c r="G23" s="354"/>
      <c r="H23" s="1864"/>
      <c r="I23" s="1864"/>
      <c r="J23" s="1864"/>
      <c r="K23" s="1864"/>
      <c r="L23" s="1864"/>
      <c r="M23" s="1864"/>
      <c r="N23" s="1865"/>
    </row>
    <row r="24" spans="1:14" ht="21" customHeight="1" thickBot="1">
      <c r="A24" s="1863"/>
      <c r="B24" s="8098"/>
      <c r="C24" s="1852"/>
      <c r="D24" s="1853" t="s">
        <v>1004</v>
      </c>
      <c r="E24" s="1854" t="s">
        <v>996</v>
      </c>
      <c r="F24" s="324"/>
      <c r="G24" s="324"/>
      <c r="H24" s="1864"/>
      <c r="I24" s="1864"/>
      <c r="J24" s="1864"/>
      <c r="K24" s="1864"/>
      <c r="L24" s="1864"/>
      <c r="M24" s="1864"/>
      <c r="N24" s="1865"/>
    </row>
    <row r="25" spans="1:14" ht="4.25" customHeight="1" thickBot="1">
      <c r="A25" s="1863"/>
      <c r="B25" s="1809"/>
      <c r="C25" s="1809"/>
      <c r="D25" s="1809"/>
      <c r="E25" s="1809"/>
      <c r="F25" s="1864"/>
      <c r="G25" s="1864"/>
      <c r="H25" s="1864"/>
      <c r="I25" s="1864"/>
      <c r="J25" s="1864"/>
      <c r="K25" s="1864"/>
      <c r="L25" s="1864"/>
      <c r="M25" s="1864"/>
      <c r="N25" s="1865"/>
    </row>
    <row r="26" spans="1:14" ht="63" customHeight="1" thickTop="1" thickBot="1">
      <c r="A26" s="1863"/>
      <c r="B26" s="1855">
        <v>10</v>
      </c>
      <c r="C26" s="1856"/>
      <c r="D26" s="1857"/>
      <c r="E26" s="1858" t="s">
        <v>997</v>
      </c>
      <c r="F26" s="354" t="s">
        <v>1018</v>
      </c>
      <c r="G26" s="354"/>
      <c r="H26" s="1864"/>
      <c r="I26" s="1864"/>
      <c r="J26" s="1864"/>
      <c r="K26" s="1864"/>
      <c r="L26" s="1864"/>
      <c r="M26" s="1864"/>
      <c r="N26" s="1865"/>
    </row>
    <row r="27" spans="1:14" ht="9" customHeight="1" thickBot="1">
      <c r="A27" s="1867"/>
      <c r="B27" s="1868"/>
      <c r="C27" s="1868"/>
      <c r="D27" s="1868"/>
      <c r="E27" s="1868"/>
      <c r="F27" s="1868"/>
      <c r="G27" s="1868"/>
      <c r="H27" s="1868"/>
      <c r="I27" s="1868"/>
      <c r="J27" s="1868"/>
      <c r="K27" s="1868"/>
      <c r="L27" s="1868"/>
      <c r="M27" s="1868"/>
      <c r="N27" s="1869"/>
    </row>
  </sheetData>
  <mergeCells count="4">
    <mergeCell ref="B15:B17"/>
    <mergeCell ref="B4:E4"/>
    <mergeCell ref="B2:E3"/>
    <mergeCell ref="B23:B24"/>
  </mergeCells>
  <phoneticPr fontId="19" type="noConversion"/>
  <pageMargins left="0.78740157480314965" right="0" top="0" bottom="0" header="0" footer="0"/>
  <pageSetup paperSize="9" orientation="landscape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37">
    <pageSetUpPr fitToPage="1"/>
  </sheetPr>
  <dimension ref="A1:AB50"/>
  <sheetViews>
    <sheetView zoomScale="117" zoomScaleNormal="78" zoomScalePageLayoutView="165" workbookViewId="0">
      <selection activeCell="P139" sqref="P139"/>
    </sheetView>
  </sheetViews>
  <sheetFormatPr baseColWidth="10" defaultColWidth="10.83203125" defaultRowHeight="13"/>
  <cols>
    <col min="1" max="1" width="4.5" style="46" customWidth="1"/>
    <col min="2" max="2" width="7.33203125" style="46" customWidth="1"/>
    <col min="3" max="3" width="7.33203125" style="49" customWidth="1"/>
    <col min="4" max="9" width="6.5" style="49" customWidth="1"/>
    <col min="10" max="14" width="7.6640625" style="49" customWidth="1"/>
    <col min="15" max="19" width="6" style="49" customWidth="1"/>
    <col min="20" max="20" width="41.1640625" customWidth="1"/>
    <col min="21" max="27" width="5.33203125" style="97" customWidth="1"/>
    <col min="28" max="28" width="5.33203125" style="51" customWidth="1"/>
    <col min="29" max="34" width="5.33203125" customWidth="1"/>
  </cols>
  <sheetData>
    <row r="1" spans="1:28" ht="4.5" customHeight="1">
      <c r="A1" s="100"/>
      <c r="B1" s="100"/>
      <c r="C1" s="101"/>
      <c r="D1" s="101"/>
      <c r="E1" s="101"/>
      <c r="F1" s="101"/>
      <c r="G1" s="101"/>
      <c r="H1" s="101"/>
      <c r="I1" s="101"/>
      <c r="J1" s="52"/>
      <c r="K1" s="52"/>
      <c r="L1" s="52"/>
      <c r="M1" s="52"/>
      <c r="N1" s="52"/>
      <c r="O1" s="52"/>
      <c r="P1" s="52"/>
      <c r="Q1" s="52"/>
      <c r="R1" s="52"/>
      <c r="S1" s="52"/>
    </row>
    <row r="2" spans="1:28" ht="4.5" customHeight="1" thickBot="1">
      <c r="A2" s="100"/>
      <c r="B2" s="100"/>
      <c r="C2" s="101"/>
      <c r="D2" s="101"/>
      <c r="E2" s="101"/>
      <c r="F2" s="101"/>
      <c r="G2" s="101"/>
      <c r="H2" s="101"/>
      <c r="I2" s="101"/>
      <c r="J2" s="52"/>
      <c r="K2" s="52"/>
      <c r="L2" s="52"/>
      <c r="M2" s="52"/>
      <c r="N2" s="52"/>
      <c r="O2" s="52"/>
      <c r="P2" s="52"/>
      <c r="Q2" s="52"/>
      <c r="R2" s="52"/>
      <c r="S2" s="52"/>
    </row>
    <row r="3" spans="1:28" ht="80" thickTop="1" thickBot="1">
      <c r="A3" s="48" t="s">
        <v>96</v>
      </c>
      <c r="B3" s="528"/>
      <c r="C3" s="92" t="s">
        <v>195</v>
      </c>
      <c r="D3" s="93" t="s">
        <v>196</v>
      </c>
      <c r="E3" s="93" t="s">
        <v>197</v>
      </c>
      <c r="F3" s="93" t="s">
        <v>97</v>
      </c>
      <c r="G3" s="93" t="s">
        <v>198</v>
      </c>
      <c r="H3" s="93" t="s">
        <v>199</v>
      </c>
      <c r="I3" s="93" t="s">
        <v>200</v>
      </c>
      <c r="J3"/>
      <c r="K3"/>
      <c r="L3"/>
      <c r="M3"/>
      <c r="N3"/>
      <c r="O3"/>
      <c r="P3"/>
      <c r="Q3"/>
      <c r="R3"/>
      <c r="S3"/>
    </row>
    <row r="4" spans="1:28" ht="15" thickTop="1" thickBot="1">
      <c r="A4" s="881" t="s">
        <v>77</v>
      </c>
      <c r="B4" s="530">
        <f>SUM(C4:I4)</f>
        <v>0</v>
      </c>
      <c r="C4" s="589">
        <f>A0!U15</f>
        <v>0</v>
      </c>
      <c r="D4" s="590">
        <f>A0!V15</f>
        <v>0</v>
      </c>
      <c r="E4" s="591">
        <f>A0!W15</f>
        <v>0</v>
      </c>
      <c r="F4" s="240">
        <f>A0!X15</f>
        <v>0</v>
      </c>
      <c r="G4" s="592">
        <f>A0!Y15</f>
        <v>0</v>
      </c>
      <c r="H4" s="594">
        <f>A0!Z15</f>
        <v>0</v>
      </c>
      <c r="I4" s="593">
        <f>A0!AA15</f>
        <v>0</v>
      </c>
      <c r="J4"/>
      <c r="K4"/>
      <c r="L4"/>
      <c r="M4"/>
      <c r="N4"/>
      <c r="O4"/>
      <c r="P4"/>
      <c r="Q4"/>
      <c r="R4"/>
      <c r="S4"/>
      <c r="U4" s="98"/>
    </row>
    <row r="5" spans="1:28" ht="15" thickTop="1" thickBot="1">
      <c r="A5" s="881" t="s">
        <v>78</v>
      </c>
      <c r="B5" s="530">
        <f t="shared" ref="B5:B47" si="0">SUM(C5:I5)</f>
        <v>0</v>
      </c>
      <c r="C5" s="589">
        <f>'A1'!U101</f>
        <v>0</v>
      </c>
      <c r="D5" s="590">
        <f>'A1'!V101</f>
        <v>0</v>
      </c>
      <c r="E5" s="591">
        <f>'A1'!W101</f>
        <v>0</v>
      </c>
      <c r="F5" s="240">
        <f>'A1'!X101</f>
        <v>0</v>
      </c>
      <c r="G5" s="592">
        <f>'A1'!Y101</f>
        <v>0</v>
      </c>
      <c r="H5" s="594">
        <f>'A1'!Z101</f>
        <v>0</v>
      </c>
      <c r="I5" s="593">
        <f>'A1'!AA101</f>
        <v>0</v>
      </c>
      <c r="J5"/>
      <c r="K5"/>
      <c r="L5"/>
      <c r="M5"/>
      <c r="N5"/>
      <c r="O5"/>
      <c r="P5"/>
      <c r="Q5"/>
      <c r="R5"/>
      <c r="S5"/>
      <c r="U5" s="98"/>
    </row>
    <row r="6" spans="1:28" ht="15" thickTop="1" thickBot="1">
      <c r="A6" s="881" t="s">
        <v>79</v>
      </c>
      <c r="B6" s="530" t="e">
        <f t="shared" si="0"/>
        <v>#REF!</v>
      </c>
      <c r="C6" s="589" t="e">
        <f>'A3'!#REF!</f>
        <v>#REF!</v>
      </c>
      <c r="D6" s="590" t="e">
        <f>'A3'!#REF!</f>
        <v>#REF!</v>
      </c>
      <c r="E6" s="591" t="e">
        <f>'A3'!#REF!</f>
        <v>#REF!</v>
      </c>
      <c r="F6" s="240" t="e">
        <f>'A3'!#REF!</f>
        <v>#REF!</v>
      </c>
      <c r="G6" s="592" t="e">
        <f>'A3'!#REF!</f>
        <v>#REF!</v>
      </c>
      <c r="H6" s="594" t="e">
        <f>'A3'!#REF!</f>
        <v>#REF!</v>
      </c>
      <c r="I6" s="593" t="e">
        <f>'A3'!#REF!</f>
        <v>#REF!</v>
      </c>
      <c r="J6"/>
      <c r="K6"/>
      <c r="L6"/>
      <c r="M6"/>
      <c r="N6"/>
      <c r="O6"/>
      <c r="P6"/>
      <c r="Q6"/>
      <c r="R6"/>
      <c r="S6"/>
      <c r="U6" s="98"/>
    </row>
    <row r="7" spans="1:28" ht="15" thickTop="1" thickBot="1">
      <c r="A7" s="881" t="s">
        <v>80</v>
      </c>
      <c r="B7" s="530">
        <f t="shared" si="0"/>
        <v>0.35</v>
      </c>
      <c r="C7" s="589">
        <f>'A4'!U64</f>
        <v>0</v>
      </c>
      <c r="D7" s="590">
        <f>'A4'!V63</f>
        <v>0</v>
      </c>
      <c r="E7" s="591">
        <f>'A4'!W63</f>
        <v>0</v>
      </c>
      <c r="F7" s="240">
        <f>'A4'!X63</f>
        <v>0</v>
      </c>
      <c r="G7" s="592">
        <f>'A4'!Y63</f>
        <v>0</v>
      </c>
      <c r="H7" s="594">
        <f>'A4'!Z63</f>
        <v>0.35</v>
      </c>
      <c r="I7" s="593">
        <f>'A4'!AA63</f>
        <v>0</v>
      </c>
      <c r="J7"/>
      <c r="K7"/>
      <c r="L7"/>
      <c r="M7"/>
      <c r="N7"/>
      <c r="O7"/>
      <c r="P7"/>
      <c r="Q7"/>
      <c r="R7"/>
      <c r="S7"/>
      <c r="U7" s="98"/>
    </row>
    <row r="8" spans="1:28" ht="15" thickTop="1" thickBot="1">
      <c r="A8" s="881" t="s">
        <v>81</v>
      </c>
      <c r="B8" s="530" t="e">
        <f t="shared" si="0"/>
        <v>#VALUE!</v>
      </c>
      <c r="C8" s="589" t="e">
        <f>'A5'!U101</f>
        <v>#VALUE!</v>
      </c>
      <c r="D8" s="590">
        <f>'A5'!V111</f>
        <v>5.3500000000000005</v>
      </c>
      <c r="E8" s="591">
        <f>'A5'!W111</f>
        <v>3.2499999999999996</v>
      </c>
      <c r="F8" s="240">
        <f>'A5'!X111</f>
        <v>4.6999999999999993</v>
      </c>
      <c r="G8" s="592" t="e">
        <f>'A5'!Y111</f>
        <v>#REF!</v>
      </c>
      <c r="H8" s="594">
        <f>'A5'!Z111</f>
        <v>5</v>
      </c>
      <c r="I8" s="593">
        <f>'A5'!AA111</f>
        <v>1.04</v>
      </c>
      <c r="J8"/>
      <c r="K8"/>
      <c r="L8"/>
      <c r="M8"/>
      <c r="N8"/>
      <c r="O8"/>
      <c r="P8"/>
      <c r="Q8"/>
      <c r="R8"/>
      <c r="S8"/>
      <c r="U8" s="98"/>
    </row>
    <row r="9" spans="1:28" ht="15" thickTop="1" thickBot="1">
      <c r="A9" s="881" t="s">
        <v>82</v>
      </c>
      <c r="B9" s="530">
        <f t="shared" si="0"/>
        <v>1.2</v>
      </c>
      <c r="C9" s="589">
        <f>'A7'!U17</f>
        <v>0</v>
      </c>
      <c r="D9" s="590">
        <f>'A7'!V17</f>
        <v>0</v>
      </c>
      <c r="E9" s="591">
        <f>'A7'!W17</f>
        <v>1.2</v>
      </c>
      <c r="F9" s="240">
        <f>'A7'!X17</f>
        <v>0</v>
      </c>
      <c r="G9" s="592">
        <f>'A7'!Y17</f>
        <v>0</v>
      </c>
      <c r="H9" s="594">
        <f>'A7'!Z17</f>
        <v>0</v>
      </c>
      <c r="I9" s="593">
        <f>'A7'!AA17</f>
        <v>0</v>
      </c>
      <c r="J9"/>
      <c r="K9"/>
      <c r="L9"/>
      <c r="M9"/>
      <c r="N9"/>
      <c r="O9"/>
      <c r="P9"/>
      <c r="Q9"/>
      <c r="R9"/>
      <c r="S9"/>
      <c r="U9" s="98"/>
    </row>
    <row r="10" spans="1:28" ht="15" thickTop="1" thickBot="1">
      <c r="A10" s="881" t="s">
        <v>83</v>
      </c>
      <c r="B10" s="530">
        <f t="shared" si="0"/>
        <v>0.48</v>
      </c>
      <c r="C10" s="589">
        <f>'A6'!U37</f>
        <v>0</v>
      </c>
      <c r="D10" s="590">
        <f>'A6'!V37</f>
        <v>0</v>
      </c>
      <c r="E10" s="591">
        <f>'A6'!W37</f>
        <v>0</v>
      </c>
      <c r="F10" s="240">
        <f>'A6'!X37</f>
        <v>0</v>
      </c>
      <c r="G10" s="592">
        <f>'A6'!Y37</f>
        <v>0</v>
      </c>
      <c r="H10" s="594">
        <f>'A6'!Z37</f>
        <v>0.48</v>
      </c>
      <c r="I10" s="593">
        <f>'A6'!AA37</f>
        <v>0</v>
      </c>
      <c r="J10"/>
      <c r="K10"/>
      <c r="L10"/>
      <c r="M10"/>
      <c r="N10"/>
      <c r="O10"/>
      <c r="P10"/>
      <c r="Q10"/>
      <c r="R10"/>
      <c r="S10"/>
      <c r="U10" s="98"/>
    </row>
    <row r="11" spans="1:28" ht="15" thickTop="1" thickBot="1">
      <c r="A11" s="881" t="s">
        <v>84</v>
      </c>
      <c r="B11" s="530">
        <f t="shared" si="0"/>
        <v>23.088000000000001</v>
      </c>
      <c r="C11" s="589">
        <f>'A8'!U91</f>
        <v>4.2</v>
      </c>
      <c r="D11" s="590">
        <f>'A8'!V91</f>
        <v>4.4000000000000004</v>
      </c>
      <c r="E11" s="591">
        <f>'A8'!W91</f>
        <v>4.0999999999999996</v>
      </c>
      <c r="F11" s="240">
        <f>'A8'!X91</f>
        <v>1.44</v>
      </c>
      <c r="G11" s="592">
        <f>'A8'!Y91</f>
        <v>1.7700000000000002</v>
      </c>
      <c r="H11" s="594">
        <f>'A8'!Z91</f>
        <v>3.4075000000000002</v>
      </c>
      <c r="I11" s="593">
        <f>'A8'!AA91</f>
        <v>3.7705000000000002</v>
      </c>
      <c r="J11"/>
      <c r="K11"/>
      <c r="L11"/>
      <c r="M11"/>
      <c r="N11"/>
      <c r="O11"/>
      <c r="P11"/>
      <c r="Q11"/>
      <c r="R11"/>
      <c r="S11"/>
      <c r="U11" s="98"/>
    </row>
    <row r="12" spans="1:28" ht="15" thickTop="1" thickBot="1">
      <c r="A12" s="881" t="s">
        <v>788</v>
      </c>
      <c r="B12" s="530">
        <f t="shared" si="0"/>
        <v>0</v>
      </c>
      <c r="C12" s="589">
        <f>'A12'!T57</f>
        <v>0</v>
      </c>
      <c r="D12" s="590">
        <f>'A12'!U57</f>
        <v>0</v>
      </c>
      <c r="E12" s="591">
        <f>'A12'!V57</f>
        <v>0</v>
      </c>
      <c r="F12" s="240">
        <f>'A12'!W57</f>
        <v>0</v>
      </c>
      <c r="G12" s="592">
        <f>'A12'!X57</f>
        <v>0</v>
      </c>
      <c r="H12" s="594">
        <f>'A12'!Y57</f>
        <v>0</v>
      </c>
      <c r="I12" s="593">
        <f>'A12'!Z57</f>
        <v>0</v>
      </c>
      <c r="J12"/>
      <c r="K12"/>
      <c r="L12"/>
      <c r="M12"/>
      <c r="N12"/>
      <c r="O12"/>
      <c r="P12"/>
      <c r="Q12"/>
      <c r="R12"/>
      <c r="S12"/>
      <c r="U12" s="98"/>
    </row>
    <row r="13" spans="1:28" ht="15" thickTop="1" thickBot="1">
      <c r="A13" s="881" t="s">
        <v>789</v>
      </c>
      <c r="B13" s="530" t="e">
        <f t="shared" si="0"/>
        <v>#REF!</v>
      </c>
      <c r="C13" s="589" t="e">
        <f>#REF!</f>
        <v>#REF!</v>
      </c>
      <c r="D13" s="590" t="e">
        <f>#REF!</f>
        <v>#REF!</v>
      </c>
      <c r="E13" s="591" t="e">
        <f>#REF!</f>
        <v>#REF!</v>
      </c>
      <c r="F13" s="240" t="e">
        <f>#REF!</f>
        <v>#REF!</v>
      </c>
      <c r="G13" s="592" t="e">
        <f>#REF!</f>
        <v>#REF!</v>
      </c>
      <c r="H13" s="594" t="e">
        <f>#REF!</f>
        <v>#REF!</v>
      </c>
      <c r="I13" s="593" t="e">
        <f>#REF!</f>
        <v>#REF!</v>
      </c>
      <c r="J13"/>
      <c r="K13"/>
      <c r="L13"/>
      <c r="M13"/>
      <c r="N13"/>
      <c r="O13"/>
      <c r="P13"/>
      <c r="Q13"/>
      <c r="R13"/>
      <c r="S13"/>
      <c r="U13" s="98"/>
    </row>
    <row r="14" spans="1:28" ht="15" thickTop="1" thickBot="1">
      <c r="A14" s="881" t="s">
        <v>790</v>
      </c>
      <c r="B14" s="530" t="e">
        <f t="shared" si="0"/>
        <v>#REF!</v>
      </c>
      <c r="C14" s="589" t="e">
        <f>#REF!</f>
        <v>#REF!</v>
      </c>
      <c r="D14" s="590">
        <f>'A13'!V49</f>
        <v>0.8</v>
      </c>
      <c r="E14" s="591">
        <f>'A13'!W49</f>
        <v>0</v>
      </c>
      <c r="F14" s="240">
        <f>'A13'!X49</f>
        <v>0</v>
      </c>
      <c r="G14" s="592">
        <f>'A13'!Y49</f>
        <v>0</v>
      </c>
      <c r="H14" s="594">
        <f>'A13'!Z49</f>
        <v>0</v>
      </c>
      <c r="I14" s="593">
        <f>'A13'!AA49</f>
        <v>0</v>
      </c>
      <c r="J14"/>
      <c r="K14"/>
      <c r="L14"/>
      <c r="M14"/>
      <c r="N14"/>
      <c r="O14"/>
      <c r="P14"/>
      <c r="Q14"/>
      <c r="R14"/>
      <c r="S14"/>
      <c r="U14" s="98"/>
    </row>
    <row r="15" spans="1:28" ht="15" thickTop="1" thickBot="1">
      <c r="A15" s="881" t="s">
        <v>791</v>
      </c>
      <c r="B15" s="530" t="e">
        <f t="shared" si="0"/>
        <v>#REF!</v>
      </c>
      <c r="C15" s="589" t="e">
        <f>'A14'!#REF!</f>
        <v>#REF!</v>
      </c>
      <c r="D15" s="590" t="e">
        <f>'A14'!#REF!</f>
        <v>#REF!</v>
      </c>
      <c r="E15" s="591" t="e">
        <f>'A14'!#REF!</f>
        <v>#REF!</v>
      </c>
      <c r="F15" s="240" t="e">
        <f>'A14'!#REF!</f>
        <v>#REF!</v>
      </c>
      <c r="G15" s="592" t="e">
        <f>'A14'!#REF!</f>
        <v>#REF!</v>
      </c>
      <c r="H15" s="594" t="e">
        <f>'A14'!#REF!</f>
        <v>#REF!</v>
      </c>
      <c r="I15" s="593" t="e">
        <f>'A14'!#REF!</f>
        <v>#REF!</v>
      </c>
      <c r="J15"/>
      <c r="K15"/>
      <c r="L15"/>
      <c r="M15"/>
      <c r="N15"/>
      <c r="O15"/>
      <c r="P15"/>
      <c r="Q15"/>
      <c r="R15"/>
      <c r="S15"/>
      <c r="U15" s="98"/>
    </row>
    <row r="16" spans="1:28" ht="15" thickTop="1" thickBot="1">
      <c r="A16" s="881" t="s">
        <v>692</v>
      </c>
      <c r="B16" s="530" t="e">
        <f t="shared" si="0"/>
        <v>#REF!</v>
      </c>
      <c r="C16" s="589" t="e">
        <f>#REF!</f>
        <v>#REF!</v>
      </c>
      <c r="D16" s="590" t="e">
        <f>#REF!</f>
        <v>#REF!</v>
      </c>
      <c r="E16" s="591" t="e">
        <f>#REF!</f>
        <v>#REF!</v>
      </c>
      <c r="F16" s="240" t="e">
        <f>#REF!</f>
        <v>#REF!</v>
      </c>
      <c r="G16" s="592" t="e">
        <f>#REF!</f>
        <v>#REF!</v>
      </c>
      <c r="H16" s="594" t="e">
        <f>#REF!</f>
        <v>#REF!</v>
      </c>
      <c r="I16" s="593" t="e">
        <f>#REF!</f>
        <v>#REF!</v>
      </c>
      <c r="J16"/>
      <c r="K16"/>
      <c r="L16" s="1347"/>
      <c r="M16" s="1347"/>
      <c r="N16" s="1347"/>
      <c r="O16" s="1347"/>
      <c r="P16" s="1347"/>
      <c r="Q16" s="1347"/>
      <c r="R16" s="1347"/>
      <c r="S16" s="1347"/>
      <c r="T16" s="1347"/>
      <c r="U16" s="1348"/>
      <c r="V16" s="1348"/>
      <c r="W16" s="1348"/>
      <c r="X16" s="1348"/>
      <c r="Y16" s="1348"/>
      <c r="Z16" s="1348"/>
      <c r="AA16" s="1348"/>
      <c r="AB16" s="1349"/>
    </row>
    <row r="17" spans="1:21" ht="15" thickTop="1" thickBot="1">
      <c r="A17" s="881" t="s">
        <v>1213</v>
      </c>
      <c r="B17" s="530" t="e">
        <f t="shared" si="0"/>
        <v>#REF!</v>
      </c>
      <c r="C17" s="589" t="e">
        <f>#REF!</f>
        <v>#REF!</v>
      </c>
      <c r="D17" s="590" t="e">
        <f>#REF!</f>
        <v>#REF!</v>
      </c>
      <c r="E17" s="591" t="e">
        <f>#REF!</f>
        <v>#REF!</v>
      </c>
      <c r="F17" s="240" t="e">
        <f>#REF!</f>
        <v>#REF!</v>
      </c>
      <c r="G17" s="592" t="e">
        <f>#REF!</f>
        <v>#REF!</v>
      </c>
      <c r="H17" s="594" t="e">
        <f>#REF!</f>
        <v>#REF!</v>
      </c>
      <c r="I17" s="593" t="e">
        <f>#REF!</f>
        <v>#REF!</v>
      </c>
      <c r="J17"/>
      <c r="K17"/>
      <c r="L17"/>
      <c r="M17"/>
      <c r="N17"/>
      <c r="O17"/>
      <c r="P17"/>
      <c r="Q17"/>
      <c r="R17"/>
      <c r="S17"/>
      <c r="U17" s="98"/>
    </row>
    <row r="18" spans="1:21" ht="15" thickTop="1" thickBot="1">
      <c r="A18" s="881" t="s">
        <v>1214</v>
      </c>
      <c r="B18" s="530" t="e">
        <f t="shared" si="0"/>
        <v>#REF!</v>
      </c>
      <c r="C18" s="589" t="e">
        <f>#REF!</f>
        <v>#REF!</v>
      </c>
      <c r="D18" s="590" t="e">
        <f>#REF!</f>
        <v>#REF!</v>
      </c>
      <c r="E18" s="591" t="e">
        <f>#REF!</f>
        <v>#REF!</v>
      </c>
      <c r="F18" s="240" t="e">
        <f>#REF!</f>
        <v>#REF!</v>
      </c>
      <c r="G18" s="592" t="e">
        <f>#REF!</f>
        <v>#REF!</v>
      </c>
      <c r="H18" s="594" t="e">
        <f>#REF!</f>
        <v>#REF!</v>
      </c>
      <c r="I18" s="593" t="e">
        <f>#REF!</f>
        <v>#REF!</v>
      </c>
      <c r="J18"/>
      <c r="K18"/>
      <c r="L18"/>
      <c r="M18"/>
      <c r="N18"/>
      <c r="O18"/>
      <c r="P18"/>
      <c r="Q18"/>
      <c r="R18"/>
      <c r="S18"/>
      <c r="U18" s="98"/>
    </row>
    <row r="19" spans="1:21" ht="15" thickTop="1" thickBot="1">
      <c r="A19" s="881" t="s">
        <v>1215</v>
      </c>
      <c r="B19" s="530" t="e">
        <f t="shared" si="0"/>
        <v>#REF!</v>
      </c>
      <c r="C19" s="589" t="e">
        <f>#REF!</f>
        <v>#REF!</v>
      </c>
      <c r="D19" s="590" t="e">
        <f>#REF!</f>
        <v>#REF!</v>
      </c>
      <c r="E19" s="591" t="e">
        <f>#REF!</f>
        <v>#REF!</v>
      </c>
      <c r="F19" s="240" t="e">
        <f>#REF!</f>
        <v>#REF!</v>
      </c>
      <c r="G19" s="592" t="e">
        <f>#REF!</f>
        <v>#REF!</v>
      </c>
      <c r="H19" s="594" t="e">
        <f>#REF!</f>
        <v>#REF!</v>
      </c>
      <c r="I19" s="593" t="e">
        <f>#REF!</f>
        <v>#REF!</v>
      </c>
      <c r="J19"/>
      <c r="K19"/>
      <c r="L19"/>
      <c r="M19"/>
      <c r="N19"/>
      <c r="O19"/>
      <c r="P19"/>
      <c r="Q19"/>
      <c r="R19"/>
      <c r="S19"/>
      <c r="U19" s="98"/>
    </row>
    <row r="20" spans="1:21" ht="15" thickTop="1" thickBot="1">
      <c r="A20" s="881" t="s">
        <v>693</v>
      </c>
      <c r="B20" s="530" t="e">
        <f t="shared" si="0"/>
        <v>#REF!</v>
      </c>
      <c r="C20" s="589" t="e">
        <f>#REF!</f>
        <v>#REF!</v>
      </c>
      <c r="D20" s="590" t="e">
        <f>#REF!</f>
        <v>#REF!</v>
      </c>
      <c r="E20" s="591" t="e">
        <f>#REF!</f>
        <v>#REF!</v>
      </c>
      <c r="F20" s="240" t="e">
        <f>#REF!</f>
        <v>#REF!</v>
      </c>
      <c r="G20" s="592" t="e">
        <f>#REF!</f>
        <v>#REF!</v>
      </c>
      <c r="H20" s="594" t="e">
        <f>#REF!</f>
        <v>#REF!</v>
      </c>
      <c r="I20" s="593" t="e">
        <f>#REF!</f>
        <v>#REF!</v>
      </c>
      <c r="J20"/>
      <c r="K20"/>
      <c r="L20"/>
      <c r="M20"/>
      <c r="N20"/>
      <c r="O20"/>
      <c r="P20"/>
      <c r="Q20"/>
      <c r="R20"/>
      <c r="S20"/>
      <c r="U20" s="98"/>
    </row>
    <row r="21" spans="1:21" ht="15" thickTop="1" thickBot="1">
      <c r="A21" s="881" t="s">
        <v>694</v>
      </c>
      <c r="B21" s="530">
        <f t="shared" si="0"/>
        <v>0.5</v>
      </c>
      <c r="C21" s="589">
        <f>'V1'!U28</f>
        <v>0</v>
      </c>
      <c r="D21" s="590">
        <f>'V1'!V28</f>
        <v>0</v>
      </c>
      <c r="E21" s="591">
        <f>'V1'!W28</f>
        <v>0.5</v>
      </c>
      <c r="F21" s="240">
        <f>'V1'!X28</f>
        <v>0</v>
      </c>
      <c r="G21" s="592">
        <f>'V1'!Y28</f>
        <v>0</v>
      </c>
      <c r="H21" s="594">
        <f>'V1'!Z28</f>
        <v>0</v>
      </c>
      <c r="I21" s="593">
        <f>'V1'!AA28</f>
        <v>0</v>
      </c>
      <c r="J21"/>
      <c r="K21"/>
      <c r="L21"/>
      <c r="M21"/>
      <c r="N21"/>
      <c r="O21"/>
      <c r="P21"/>
      <c r="Q21"/>
      <c r="R21"/>
      <c r="S21"/>
      <c r="U21" s="98"/>
    </row>
    <row r="22" spans="1:21" ht="15" thickTop="1" thickBot="1">
      <c r="A22" s="881" t="s">
        <v>718</v>
      </c>
      <c r="B22" s="530" t="e">
        <f t="shared" si="0"/>
        <v>#REF!</v>
      </c>
      <c r="C22" s="589" t="e">
        <f>#REF!</f>
        <v>#REF!</v>
      </c>
      <c r="D22" s="590" t="e">
        <f>#REF!</f>
        <v>#REF!</v>
      </c>
      <c r="E22" s="591" t="e">
        <f>#REF!</f>
        <v>#REF!</v>
      </c>
      <c r="F22" s="240" t="e">
        <f>#REF!</f>
        <v>#REF!</v>
      </c>
      <c r="G22" s="592" t="e">
        <f>#REF!</f>
        <v>#REF!</v>
      </c>
      <c r="H22" s="594" t="e">
        <f>#REF!</f>
        <v>#REF!</v>
      </c>
      <c r="I22" s="593" t="e">
        <f>#REF!</f>
        <v>#REF!</v>
      </c>
      <c r="J22"/>
      <c r="K22"/>
      <c r="L22"/>
      <c r="M22"/>
      <c r="N22"/>
      <c r="O22"/>
      <c r="P22"/>
      <c r="Q22"/>
      <c r="R22"/>
      <c r="S22"/>
      <c r="U22" s="98"/>
    </row>
    <row r="23" spans="1:21" ht="15" thickTop="1" thickBot="1">
      <c r="A23" s="881" t="s">
        <v>719</v>
      </c>
      <c r="B23" s="530" t="e">
        <f t="shared" si="0"/>
        <v>#REF!</v>
      </c>
      <c r="C23" s="589" t="e">
        <f>#REF!</f>
        <v>#REF!</v>
      </c>
      <c r="D23" s="590" t="e">
        <f>#REF!</f>
        <v>#REF!</v>
      </c>
      <c r="E23" s="591" t="e">
        <f>#REF!</f>
        <v>#REF!</v>
      </c>
      <c r="F23" s="240" t="e">
        <f>#REF!</f>
        <v>#REF!</v>
      </c>
      <c r="G23" s="592" t="e">
        <f>#REF!</f>
        <v>#REF!</v>
      </c>
      <c r="H23" s="594" t="e">
        <f>#REF!</f>
        <v>#REF!</v>
      </c>
      <c r="I23" s="593" t="e">
        <f>#REF!</f>
        <v>#REF!</v>
      </c>
      <c r="J23"/>
      <c r="K23"/>
      <c r="L23"/>
      <c r="M23"/>
      <c r="N23"/>
      <c r="O23"/>
      <c r="P23"/>
      <c r="Q23"/>
      <c r="R23"/>
      <c r="S23"/>
      <c r="U23" s="98"/>
    </row>
    <row r="24" spans="1:21" ht="15" thickTop="1" thickBot="1">
      <c r="A24" s="881" t="s">
        <v>720</v>
      </c>
      <c r="B24" s="530" t="e">
        <f t="shared" si="0"/>
        <v>#REF!</v>
      </c>
      <c r="C24" s="589" t="e">
        <f>'A15'!U47</f>
        <v>#REF!</v>
      </c>
      <c r="D24" s="590" t="e">
        <f>'A15'!V47</f>
        <v>#REF!</v>
      </c>
      <c r="E24" s="591" t="e">
        <f>'A15'!W47</f>
        <v>#REF!</v>
      </c>
      <c r="F24" s="240" t="e">
        <f>'A15'!X47</f>
        <v>#REF!</v>
      </c>
      <c r="G24" s="592" t="e">
        <f>'A15'!Y47</f>
        <v>#REF!</v>
      </c>
      <c r="H24" s="594" t="e">
        <f>'A15'!Z47</f>
        <v>#REF!</v>
      </c>
      <c r="I24" s="593" t="e">
        <f>'A15'!AA47</f>
        <v>#REF!</v>
      </c>
      <c r="J24"/>
      <c r="K24"/>
      <c r="L24"/>
      <c r="M24"/>
      <c r="N24"/>
      <c r="O24"/>
      <c r="P24"/>
      <c r="Q24"/>
      <c r="R24"/>
      <c r="S24"/>
      <c r="U24" s="98"/>
    </row>
    <row r="25" spans="1:21" ht="15" thickTop="1" thickBot="1">
      <c r="A25" s="881" t="s">
        <v>721</v>
      </c>
      <c r="B25" s="530">
        <f t="shared" si="0"/>
        <v>21.61</v>
      </c>
      <c r="C25" s="589">
        <f>'V7'!U64</f>
        <v>5.7</v>
      </c>
      <c r="D25" s="590">
        <f>'V7'!V64</f>
        <v>5.05</v>
      </c>
      <c r="E25" s="591">
        <f>'V7'!W64</f>
        <v>4.8000000000000007</v>
      </c>
      <c r="F25" s="240">
        <f>'V7'!X64</f>
        <v>1.1499999999999999</v>
      </c>
      <c r="G25" s="592">
        <f>'V7'!Y64</f>
        <v>1.4500000000000002</v>
      </c>
      <c r="H25" s="594">
        <f>'V7'!Z64</f>
        <v>2.6</v>
      </c>
      <c r="I25" s="593">
        <f>'V7'!AA64</f>
        <v>0.86</v>
      </c>
      <c r="J25"/>
      <c r="K25"/>
      <c r="L25"/>
      <c r="M25"/>
      <c r="N25"/>
      <c r="O25"/>
      <c r="P25"/>
      <c r="Q25"/>
      <c r="R25"/>
      <c r="S25"/>
      <c r="U25" s="98"/>
    </row>
    <row r="26" spans="1:21" ht="15" thickTop="1" thickBot="1">
      <c r="A26" s="881" t="s">
        <v>722</v>
      </c>
      <c r="B26" s="530" t="e">
        <f t="shared" si="0"/>
        <v>#REF!</v>
      </c>
      <c r="C26" s="589" t="e">
        <f>#REF!</f>
        <v>#REF!</v>
      </c>
      <c r="D26" s="590" t="e">
        <f>#REF!</f>
        <v>#REF!</v>
      </c>
      <c r="E26" s="591" t="e">
        <f>#REF!</f>
        <v>#REF!</v>
      </c>
      <c r="F26" s="240" t="e">
        <f>#REF!</f>
        <v>#REF!</v>
      </c>
      <c r="G26" s="592" t="e">
        <f>#REF!</f>
        <v>#REF!</v>
      </c>
      <c r="H26" s="594" t="e">
        <f>#REF!</f>
        <v>#REF!</v>
      </c>
      <c r="I26" s="593" t="e">
        <f>#REF!</f>
        <v>#REF!</v>
      </c>
      <c r="J26"/>
      <c r="K26"/>
      <c r="L26"/>
      <c r="M26"/>
      <c r="N26"/>
      <c r="O26"/>
      <c r="P26"/>
      <c r="Q26"/>
      <c r="R26"/>
      <c r="S26"/>
      <c r="U26" s="98"/>
    </row>
    <row r="27" spans="1:21" ht="15" thickTop="1" thickBot="1">
      <c r="A27" s="881" t="s">
        <v>723</v>
      </c>
      <c r="B27" s="530" t="e">
        <f t="shared" si="0"/>
        <v>#REF!</v>
      </c>
      <c r="C27" s="589" t="e">
        <f>#REF!</f>
        <v>#REF!</v>
      </c>
      <c r="D27" s="590" t="e">
        <f>#REF!</f>
        <v>#REF!</v>
      </c>
      <c r="E27" s="591" t="e">
        <f>#REF!</f>
        <v>#REF!</v>
      </c>
      <c r="F27" s="240" t="e">
        <f>#REF!</f>
        <v>#REF!</v>
      </c>
      <c r="G27" s="592" t="e">
        <f>#REF!</f>
        <v>#REF!</v>
      </c>
      <c r="H27" s="594" t="e">
        <f>#REF!</f>
        <v>#REF!</v>
      </c>
      <c r="I27" s="593" t="e">
        <f>#REF!</f>
        <v>#REF!</v>
      </c>
      <c r="J27"/>
      <c r="K27"/>
      <c r="L27"/>
      <c r="M27"/>
      <c r="N27"/>
      <c r="O27"/>
      <c r="P27"/>
      <c r="Q27"/>
      <c r="R27"/>
      <c r="S27"/>
      <c r="U27" s="98"/>
    </row>
    <row r="28" spans="1:21" ht="15" thickTop="1" thickBot="1">
      <c r="A28" s="881" t="s">
        <v>755</v>
      </c>
      <c r="B28" s="530" t="e">
        <f t="shared" si="0"/>
        <v>#REF!</v>
      </c>
      <c r="C28" s="589" t="e">
        <f>#REF!</f>
        <v>#REF!</v>
      </c>
      <c r="D28" s="590" t="e">
        <f>#REF!</f>
        <v>#REF!</v>
      </c>
      <c r="E28" s="591" t="e">
        <f>#REF!</f>
        <v>#REF!</v>
      </c>
      <c r="F28" s="240" t="e">
        <f>#REF!</f>
        <v>#REF!</v>
      </c>
      <c r="G28" s="592" t="e">
        <f>#REF!</f>
        <v>#REF!</v>
      </c>
      <c r="H28" s="594" t="e">
        <f>#REF!</f>
        <v>#REF!</v>
      </c>
      <c r="I28" s="593" t="e">
        <f>#REF!</f>
        <v>#REF!</v>
      </c>
      <c r="J28"/>
      <c r="K28"/>
      <c r="L28"/>
      <c r="M28"/>
      <c r="N28"/>
      <c r="O28"/>
      <c r="P28"/>
      <c r="Q28"/>
      <c r="R28"/>
      <c r="S28"/>
      <c r="U28" s="98"/>
    </row>
    <row r="29" spans="1:21" ht="15" thickTop="1" thickBot="1">
      <c r="A29" s="881" t="s">
        <v>756</v>
      </c>
      <c r="B29" s="530">
        <f t="shared" si="0"/>
        <v>0.4</v>
      </c>
      <c r="C29" s="589">
        <f>'A23'!V45</f>
        <v>0</v>
      </c>
      <c r="D29" s="590">
        <f>'A23'!W45</f>
        <v>0</v>
      </c>
      <c r="E29" s="591">
        <f>'A23'!X45</f>
        <v>0</v>
      </c>
      <c r="F29" s="240">
        <f>'A23'!Y45</f>
        <v>0</v>
      </c>
      <c r="G29" s="592">
        <f>'A23'!Z45</f>
        <v>0.4</v>
      </c>
      <c r="H29" s="594">
        <f>'A23'!AA45</f>
        <v>0</v>
      </c>
      <c r="I29" s="593">
        <f>'A23'!AB45</f>
        <v>0</v>
      </c>
      <c r="J29"/>
      <c r="K29"/>
      <c r="L29"/>
      <c r="M29"/>
      <c r="N29"/>
      <c r="O29"/>
      <c r="P29"/>
      <c r="Q29"/>
      <c r="R29"/>
      <c r="S29"/>
      <c r="U29" s="98"/>
    </row>
    <row r="30" spans="1:21" ht="15" thickTop="1" thickBot="1">
      <c r="A30" s="881" t="s">
        <v>757</v>
      </c>
      <c r="B30" s="530" t="e">
        <f t="shared" si="0"/>
        <v>#REF!</v>
      </c>
      <c r="C30" s="589" t="e">
        <f>#REF!</f>
        <v>#REF!</v>
      </c>
      <c r="D30" s="590" t="e">
        <f>#REF!</f>
        <v>#REF!</v>
      </c>
      <c r="E30" s="591" t="e">
        <f>#REF!</f>
        <v>#REF!</v>
      </c>
      <c r="F30" s="240" t="e">
        <f>#REF!</f>
        <v>#REF!</v>
      </c>
      <c r="G30" s="592" t="e">
        <f>#REF!</f>
        <v>#REF!</v>
      </c>
      <c r="H30" s="594" t="e">
        <f>#REF!</f>
        <v>#REF!</v>
      </c>
      <c r="I30" s="593" t="e">
        <f>#REF!</f>
        <v>#REF!</v>
      </c>
      <c r="J30"/>
      <c r="K30"/>
      <c r="L30"/>
      <c r="M30"/>
      <c r="N30"/>
      <c r="O30"/>
      <c r="P30"/>
      <c r="Q30"/>
      <c r="R30"/>
      <c r="S30"/>
      <c r="U30" s="98"/>
    </row>
    <row r="31" spans="1:21" ht="15" thickTop="1" thickBot="1">
      <c r="A31" s="881" t="s">
        <v>758</v>
      </c>
      <c r="B31" s="530" t="e">
        <f t="shared" si="0"/>
        <v>#REF!</v>
      </c>
      <c r="C31" s="589" t="e">
        <f>#REF!</f>
        <v>#REF!</v>
      </c>
      <c r="D31" s="590" t="e">
        <f>#REF!</f>
        <v>#REF!</v>
      </c>
      <c r="E31" s="591" t="e">
        <f>#REF!</f>
        <v>#REF!</v>
      </c>
      <c r="F31" s="240" t="e">
        <f>#REF!</f>
        <v>#REF!</v>
      </c>
      <c r="G31" s="592" t="e">
        <f>#REF!</f>
        <v>#REF!</v>
      </c>
      <c r="H31" s="594" t="e">
        <f>#REF!</f>
        <v>#REF!</v>
      </c>
      <c r="I31" s="593" t="e">
        <f>#REF!</f>
        <v>#REF!</v>
      </c>
      <c r="J31"/>
      <c r="K31"/>
      <c r="L31"/>
      <c r="M31"/>
      <c r="N31"/>
      <c r="O31"/>
      <c r="P31"/>
      <c r="Q31"/>
      <c r="R31"/>
      <c r="S31"/>
      <c r="U31" s="98"/>
    </row>
    <row r="32" spans="1:21" ht="15" thickTop="1" thickBot="1">
      <c r="A32" s="881" t="s">
        <v>759</v>
      </c>
      <c r="B32" s="530" t="e">
        <f t="shared" si="0"/>
        <v>#REF!</v>
      </c>
      <c r="C32" s="589" t="e">
        <f>#REF!</f>
        <v>#REF!</v>
      </c>
      <c r="D32" s="590" t="e">
        <f>#REF!</f>
        <v>#REF!</v>
      </c>
      <c r="E32" s="591" t="e">
        <f>#REF!</f>
        <v>#REF!</v>
      </c>
      <c r="F32" s="240" t="e">
        <f>#REF!</f>
        <v>#REF!</v>
      </c>
      <c r="G32" s="592" t="e">
        <f>#REF!</f>
        <v>#REF!</v>
      </c>
      <c r="H32" s="594" t="e">
        <f>#REF!</f>
        <v>#REF!</v>
      </c>
      <c r="I32" s="593" t="e">
        <f>#REF!</f>
        <v>#REF!</v>
      </c>
      <c r="J32"/>
      <c r="K32"/>
      <c r="L32"/>
      <c r="M32"/>
      <c r="N32"/>
      <c r="O32"/>
      <c r="P32"/>
      <c r="Q32"/>
      <c r="R32"/>
      <c r="S32"/>
      <c r="U32" s="98"/>
    </row>
    <row r="33" spans="1:25" ht="15" thickTop="1" thickBot="1">
      <c r="A33" s="881" t="s">
        <v>760</v>
      </c>
      <c r="B33" s="530" t="e">
        <f t="shared" si="0"/>
        <v>#REF!</v>
      </c>
      <c r="C33" s="589" t="e">
        <f>#REF!</f>
        <v>#REF!</v>
      </c>
      <c r="D33" s="590" t="e">
        <f>#REF!</f>
        <v>#REF!</v>
      </c>
      <c r="E33" s="591" t="e">
        <f>#REF!</f>
        <v>#REF!</v>
      </c>
      <c r="F33" s="240" t="e">
        <f>#REF!</f>
        <v>#REF!</v>
      </c>
      <c r="G33" s="592" t="e">
        <f>#REF!</f>
        <v>#REF!</v>
      </c>
      <c r="H33" s="594" t="e">
        <f>#REF!</f>
        <v>#REF!</v>
      </c>
      <c r="I33" s="593" t="e">
        <f>#REF!</f>
        <v>#REF!</v>
      </c>
      <c r="J33"/>
      <c r="K33"/>
      <c r="L33"/>
      <c r="M33"/>
      <c r="N33"/>
      <c r="O33"/>
      <c r="P33"/>
      <c r="Q33"/>
      <c r="R33"/>
      <c r="S33"/>
      <c r="U33" s="98"/>
    </row>
    <row r="34" spans="1:25" ht="15" thickTop="1" thickBot="1">
      <c r="A34" s="881" t="s">
        <v>761</v>
      </c>
      <c r="B34" s="530" t="e">
        <f t="shared" si="0"/>
        <v>#REF!</v>
      </c>
      <c r="C34" s="589" t="e">
        <f>#REF!</f>
        <v>#REF!</v>
      </c>
      <c r="D34" s="590" t="e">
        <f>#REF!</f>
        <v>#REF!</v>
      </c>
      <c r="E34" s="591" t="e">
        <f>#REF!</f>
        <v>#REF!</v>
      </c>
      <c r="F34" s="240" t="e">
        <f>#REF!</f>
        <v>#REF!</v>
      </c>
      <c r="G34" s="592" t="e">
        <f>#REF!</f>
        <v>#REF!</v>
      </c>
      <c r="H34" s="594" t="e">
        <f>#REF!</f>
        <v>#REF!</v>
      </c>
      <c r="I34" s="593" t="e">
        <f>#REF!</f>
        <v>#REF!</v>
      </c>
      <c r="J34"/>
      <c r="K34"/>
      <c r="L34"/>
      <c r="M34"/>
      <c r="N34"/>
      <c r="O34"/>
      <c r="P34"/>
      <c r="Q34"/>
      <c r="R34"/>
      <c r="S34"/>
      <c r="U34" s="98"/>
    </row>
    <row r="35" spans="1:25" ht="15" thickTop="1" thickBot="1">
      <c r="A35" s="881" t="s">
        <v>492</v>
      </c>
      <c r="B35" s="530" t="e">
        <f t="shared" si="0"/>
        <v>#REF!</v>
      </c>
      <c r="C35" s="589" t="e">
        <f>#REF!</f>
        <v>#REF!</v>
      </c>
      <c r="D35" s="590" t="e">
        <f>#REF!</f>
        <v>#REF!</v>
      </c>
      <c r="E35" s="591" t="e">
        <f>#REF!</f>
        <v>#REF!</v>
      </c>
      <c r="F35" s="240" t="e">
        <f>#REF!</f>
        <v>#REF!</v>
      </c>
      <c r="G35" s="592" t="e">
        <f>#REF!</f>
        <v>#REF!</v>
      </c>
      <c r="H35" s="594" t="e">
        <f>#REF!</f>
        <v>#REF!</v>
      </c>
      <c r="I35" s="593" t="e">
        <f>#REF!</f>
        <v>#REF!</v>
      </c>
      <c r="J35"/>
      <c r="K35"/>
      <c r="L35"/>
      <c r="M35"/>
      <c r="N35"/>
      <c r="O35"/>
      <c r="P35"/>
      <c r="Q35"/>
      <c r="R35"/>
      <c r="S35"/>
      <c r="U35" s="98"/>
    </row>
    <row r="36" spans="1:25" ht="15" thickTop="1" thickBot="1">
      <c r="A36" s="881" t="s">
        <v>493</v>
      </c>
      <c r="B36" s="530" t="e">
        <f t="shared" si="0"/>
        <v>#REF!</v>
      </c>
      <c r="C36" s="589" t="e">
        <f>#REF!</f>
        <v>#REF!</v>
      </c>
      <c r="D36" s="590" t="e">
        <f>#REF!</f>
        <v>#REF!</v>
      </c>
      <c r="E36" s="591" t="e">
        <f>#REF!</f>
        <v>#REF!</v>
      </c>
      <c r="F36" s="240" t="e">
        <f>#REF!</f>
        <v>#REF!</v>
      </c>
      <c r="G36" s="592" t="e">
        <f>#REF!</f>
        <v>#REF!</v>
      </c>
      <c r="H36" s="594" t="e">
        <f>#REF!</f>
        <v>#REF!</v>
      </c>
      <c r="I36" s="593" t="e">
        <f>#REF!</f>
        <v>#REF!</v>
      </c>
      <c r="J36"/>
      <c r="K36"/>
      <c r="L36"/>
      <c r="M36"/>
      <c r="N36"/>
      <c r="O36"/>
      <c r="P36"/>
      <c r="Q36"/>
      <c r="R36"/>
      <c r="S36"/>
      <c r="U36" s="98"/>
    </row>
    <row r="37" spans="1:25" ht="15" thickTop="1" thickBot="1">
      <c r="A37" s="881" t="s">
        <v>494</v>
      </c>
      <c r="B37" s="530" t="e">
        <f t="shared" si="0"/>
        <v>#REF!</v>
      </c>
      <c r="C37" s="589" t="e">
        <f>#REF!</f>
        <v>#REF!</v>
      </c>
      <c r="D37" s="590" t="e">
        <f>#REF!</f>
        <v>#REF!</v>
      </c>
      <c r="E37" s="591" t="e">
        <f>#REF!</f>
        <v>#REF!</v>
      </c>
      <c r="F37" s="240" t="e">
        <f>#REF!</f>
        <v>#REF!</v>
      </c>
      <c r="G37" s="592" t="e">
        <f>#REF!</f>
        <v>#REF!</v>
      </c>
      <c r="H37" s="594" t="e">
        <f>#REF!</f>
        <v>#REF!</v>
      </c>
      <c r="I37" s="593" t="e">
        <f>#REF!</f>
        <v>#REF!</v>
      </c>
      <c r="J37"/>
      <c r="K37" s="8099" t="s">
        <v>1277</v>
      </c>
      <c r="L37" s="8099"/>
      <c r="M37" s="8099"/>
      <c r="N37" s="8099"/>
      <c r="O37" s="8099"/>
      <c r="P37" s="8099"/>
      <c r="Q37" s="8099"/>
      <c r="R37" s="8099"/>
      <c r="S37" s="8099"/>
      <c r="T37" s="8099"/>
      <c r="U37" s="8099"/>
      <c r="V37" s="8099"/>
      <c r="W37" s="8099"/>
      <c r="X37" s="8099"/>
      <c r="Y37" s="8099"/>
    </row>
    <row r="38" spans="1:25" ht="15" customHeight="1" thickTop="1" thickBot="1">
      <c r="A38" s="881" t="s">
        <v>496</v>
      </c>
      <c r="B38" s="530" t="e">
        <f t="shared" si="0"/>
        <v>#REF!</v>
      </c>
      <c r="C38" s="589" t="e">
        <f>#REF!</f>
        <v>#REF!</v>
      </c>
      <c r="D38" s="590" t="e">
        <f>#REF!</f>
        <v>#REF!</v>
      </c>
      <c r="E38" s="591" t="e">
        <f>#REF!</f>
        <v>#REF!</v>
      </c>
      <c r="F38" s="240" t="e">
        <f>#REF!</f>
        <v>#REF!</v>
      </c>
      <c r="G38" s="592" t="e">
        <f>#REF!</f>
        <v>#REF!</v>
      </c>
      <c r="H38" s="594" t="e">
        <f>#REF!</f>
        <v>#REF!</v>
      </c>
      <c r="I38" s="593" t="e">
        <f>#REF!</f>
        <v>#REF!</v>
      </c>
      <c r="J38"/>
      <c r="K38" s="8099"/>
      <c r="L38" s="8099"/>
      <c r="M38" s="8099"/>
      <c r="N38" s="8099"/>
      <c r="O38" s="8099"/>
      <c r="P38" s="8099"/>
      <c r="Q38" s="8099"/>
      <c r="R38" s="8099"/>
      <c r="S38" s="8099"/>
      <c r="T38" s="8099"/>
      <c r="U38" s="8099"/>
      <c r="V38" s="8099"/>
      <c r="W38" s="8099"/>
      <c r="X38" s="8099"/>
      <c r="Y38" s="8099"/>
    </row>
    <row r="39" spans="1:25" ht="15" thickTop="1" thickBot="1">
      <c r="A39" s="881" t="s">
        <v>497</v>
      </c>
      <c r="B39" s="530" t="e">
        <f t="shared" si="0"/>
        <v>#REF!</v>
      </c>
      <c r="C39" s="589" t="e">
        <f>#REF!</f>
        <v>#REF!</v>
      </c>
      <c r="D39" s="590" t="e">
        <f>#REF!</f>
        <v>#REF!</v>
      </c>
      <c r="E39" s="591" t="e">
        <f>#REF!</f>
        <v>#REF!</v>
      </c>
      <c r="F39" s="240" t="e">
        <f>#REF!</f>
        <v>#REF!</v>
      </c>
      <c r="G39" s="592" t="e">
        <f>#REF!</f>
        <v>#REF!</v>
      </c>
      <c r="H39" s="594" t="e">
        <f>#REF!</f>
        <v>#REF!</v>
      </c>
      <c r="I39" s="593" t="e">
        <f>#REF!</f>
        <v>#REF!</v>
      </c>
      <c r="J39"/>
      <c r="K39"/>
      <c r="L39"/>
      <c r="M39"/>
      <c r="N39"/>
      <c r="O39"/>
      <c r="P39"/>
      <c r="Q39"/>
      <c r="R39"/>
      <c r="S39"/>
      <c r="U39" s="98"/>
    </row>
    <row r="40" spans="1:25" ht="15" customHeight="1" thickTop="1" thickBot="1">
      <c r="A40" s="881" t="s">
        <v>498</v>
      </c>
      <c r="B40" s="530" t="e">
        <f t="shared" si="0"/>
        <v>#REF!</v>
      </c>
      <c r="C40" s="589" t="e">
        <f>#REF!</f>
        <v>#REF!</v>
      </c>
      <c r="D40" s="590" t="e">
        <f>#REF!</f>
        <v>#REF!</v>
      </c>
      <c r="E40" s="591" t="e">
        <f>#REF!</f>
        <v>#REF!</v>
      </c>
      <c r="F40" s="240" t="e">
        <f>#REF!</f>
        <v>#REF!</v>
      </c>
      <c r="G40" s="592" t="e">
        <f>#REF!</f>
        <v>#REF!</v>
      </c>
      <c r="H40" s="594" t="e">
        <f>#REF!</f>
        <v>#REF!</v>
      </c>
      <c r="I40" s="593" t="e">
        <f>#REF!</f>
        <v>#REF!</v>
      </c>
      <c r="J40"/>
      <c r="K40"/>
      <c r="L40"/>
      <c r="M40" s="8100" t="e">
        <f>I49</f>
        <v>#REF!</v>
      </c>
      <c r="N40" s="8101"/>
      <c r="O40" s="8101"/>
      <c r="P40" s="8101"/>
      <c r="Q40" s="8101"/>
      <c r="R40"/>
      <c r="S40"/>
      <c r="U40" s="98"/>
    </row>
    <row r="41" spans="1:25" ht="15" customHeight="1" thickTop="1" thickBot="1">
      <c r="A41" s="881" t="s">
        <v>499</v>
      </c>
      <c r="B41" s="530" t="e">
        <f t="shared" si="0"/>
        <v>#REF!</v>
      </c>
      <c r="C41" s="589" t="e">
        <f>#REF!</f>
        <v>#REF!</v>
      </c>
      <c r="D41" s="590" t="e">
        <f>#REF!</f>
        <v>#REF!</v>
      </c>
      <c r="E41" s="591" t="e">
        <f>#REF!</f>
        <v>#REF!</v>
      </c>
      <c r="F41" s="240" t="e">
        <f>#REF!</f>
        <v>#REF!</v>
      </c>
      <c r="G41" s="592" t="e">
        <f>#REF!</f>
        <v>#REF!</v>
      </c>
      <c r="H41" s="594" t="e">
        <f>#REF!</f>
        <v>#REF!</v>
      </c>
      <c r="I41" s="593" t="e">
        <f>#REF!</f>
        <v>#REF!</v>
      </c>
      <c r="J41"/>
      <c r="K41"/>
      <c r="L41"/>
      <c r="M41" s="8101"/>
      <c r="N41" s="8101"/>
      <c r="O41" s="8101"/>
      <c r="P41" s="8101"/>
      <c r="Q41" s="8101"/>
      <c r="R41"/>
      <c r="S41"/>
      <c r="U41" s="98"/>
    </row>
    <row r="42" spans="1:25" ht="15" customHeight="1" thickTop="1" thickBot="1">
      <c r="A42" s="881" t="s">
        <v>500</v>
      </c>
      <c r="B42" s="530" t="e">
        <f t="shared" si="0"/>
        <v>#REF!</v>
      </c>
      <c r="C42" s="589" t="e">
        <f>#REF!</f>
        <v>#REF!</v>
      </c>
      <c r="D42" s="590" t="e">
        <f>#REF!</f>
        <v>#REF!</v>
      </c>
      <c r="E42" s="591" t="e">
        <f>#REF!</f>
        <v>#REF!</v>
      </c>
      <c r="F42" s="240" t="e">
        <f>#REF!</f>
        <v>#REF!</v>
      </c>
      <c r="G42" s="592" t="e">
        <f>#REF!</f>
        <v>#REF!</v>
      </c>
      <c r="H42" s="594" t="e">
        <f>#REF!</f>
        <v>#REF!</v>
      </c>
      <c r="I42" s="593" t="e">
        <f>#REF!</f>
        <v>#REF!</v>
      </c>
      <c r="J42"/>
      <c r="K42"/>
      <c r="L42"/>
      <c r="M42" s="8101"/>
      <c r="N42" s="8101"/>
      <c r="O42" s="8101"/>
      <c r="P42" s="8101"/>
      <c r="Q42" s="8101"/>
      <c r="R42"/>
      <c r="S42"/>
      <c r="U42" s="98"/>
    </row>
    <row r="43" spans="1:25" ht="15" customHeight="1" thickTop="1" thickBot="1">
      <c r="A43" s="881" t="s">
        <v>501</v>
      </c>
      <c r="B43" s="530" t="e">
        <f t="shared" si="0"/>
        <v>#REF!</v>
      </c>
      <c r="C43" s="589" t="e">
        <f>#REF!</f>
        <v>#REF!</v>
      </c>
      <c r="D43" s="590" t="e">
        <f>#REF!</f>
        <v>#REF!</v>
      </c>
      <c r="E43" s="591" t="e">
        <f>#REF!</f>
        <v>#REF!</v>
      </c>
      <c r="F43" s="240" t="e">
        <f>#REF!</f>
        <v>#REF!</v>
      </c>
      <c r="G43" s="592" t="e">
        <f>#REF!</f>
        <v>#REF!</v>
      </c>
      <c r="H43" s="594" t="e">
        <f>#REF!</f>
        <v>#REF!</v>
      </c>
      <c r="I43" s="593" t="e">
        <f>#REF!</f>
        <v>#REF!</v>
      </c>
      <c r="J43"/>
      <c r="K43"/>
      <c r="L43"/>
      <c r="M43" s="8101"/>
      <c r="N43" s="8101"/>
      <c r="O43" s="8101"/>
      <c r="P43" s="8101"/>
      <c r="Q43" s="8101"/>
      <c r="R43"/>
      <c r="S43"/>
      <c r="U43" s="98"/>
    </row>
    <row r="44" spans="1:25" ht="15" customHeight="1" thickTop="1" thickBot="1">
      <c r="A44" s="881" t="s">
        <v>375</v>
      </c>
      <c r="B44" s="530" t="e">
        <f t="shared" si="0"/>
        <v>#REF!</v>
      </c>
      <c r="C44" s="589" t="e">
        <f>#REF!</f>
        <v>#REF!</v>
      </c>
      <c r="D44" s="590" t="e">
        <f>#REF!</f>
        <v>#REF!</v>
      </c>
      <c r="E44" s="591" t="e">
        <f>#REF!</f>
        <v>#REF!</v>
      </c>
      <c r="F44" s="240" t="e">
        <f>#REF!</f>
        <v>#REF!</v>
      </c>
      <c r="G44" s="592" t="e">
        <f>#REF!</f>
        <v>#REF!</v>
      </c>
      <c r="H44" s="594" t="e">
        <f>#REF!</f>
        <v>#REF!</v>
      </c>
      <c r="I44" s="593" t="e">
        <f>#REF!</f>
        <v>#REF!</v>
      </c>
      <c r="J44"/>
      <c r="K44"/>
      <c r="L44"/>
      <c r="M44" s="8101"/>
      <c r="N44" s="8101"/>
      <c r="O44" s="8101"/>
      <c r="P44" s="8101"/>
      <c r="Q44" s="8101"/>
      <c r="R44"/>
      <c r="S44"/>
      <c r="U44" s="98"/>
    </row>
    <row r="45" spans="1:25" ht="15" customHeight="1" thickTop="1" thickBot="1">
      <c r="A45" s="881" t="s">
        <v>55</v>
      </c>
      <c r="B45" s="530" t="e">
        <f t="shared" si="0"/>
        <v>#REF!</v>
      </c>
      <c r="C45" s="589" t="e">
        <f>#REF!</f>
        <v>#REF!</v>
      </c>
      <c r="D45" s="590" t="e">
        <f>#REF!</f>
        <v>#REF!</v>
      </c>
      <c r="E45" s="591" t="e">
        <f>#REF!</f>
        <v>#REF!</v>
      </c>
      <c r="F45" s="240" t="e">
        <f>#REF!</f>
        <v>#REF!</v>
      </c>
      <c r="G45" s="592" t="e">
        <f>#REF!</f>
        <v>#REF!</v>
      </c>
      <c r="H45" s="594" t="e">
        <f>#REF!</f>
        <v>#REF!</v>
      </c>
      <c r="I45" s="593" t="e">
        <f>#REF!</f>
        <v>#REF!</v>
      </c>
      <c r="J45"/>
      <c r="K45"/>
      <c r="L45"/>
      <c r="M45" s="8101"/>
      <c r="N45" s="8101"/>
      <c r="O45" s="8101"/>
      <c r="P45" s="8101"/>
      <c r="Q45" s="8101"/>
      <c r="R45"/>
      <c r="S45"/>
      <c r="U45" s="98"/>
    </row>
    <row r="46" spans="1:25" ht="15" customHeight="1" thickTop="1" thickBot="1">
      <c r="A46" s="881" t="s">
        <v>56</v>
      </c>
      <c r="B46" s="530" t="e">
        <f t="shared" si="0"/>
        <v>#REF!</v>
      </c>
      <c r="C46" s="589" t="e">
        <f>#REF!</f>
        <v>#REF!</v>
      </c>
      <c r="D46" s="590" t="e">
        <f>#REF!</f>
        <v>#REF!</v>
      </c>
      <c r="E46" s="591" t="e">
        <f>#REF!</f>
        <v>#REF!</v>
      </c>
      <c r="F46" s="240" t="e">
        <f>#REF!</f>
        <v>#REF!</v>
      </c>
      <c r="G46" s="592" t="e">
        <f>#REF!</f>
        <v>#REF!</v>
      </c>
      <c r="H46" s="594" t="e">
        <f>#REF!</f>
        <v>#REF!</v>
      </c>
      <c r="I46" s="593" t="e">
        <f>#REF!</f>
        <v>#REF!</v>
      </c>
      <c r="J46"/>
      <c r="K46"/>
      <c r="L46"/>
      <c r="M46" s="8101"/>
      <c r="N46" s="8101"/>
      <c r="O46" s="8101"/>
      <c r="P46" s="8101"/>
      <c r="Q46" s="8101"/>
      <c r="R46"/>
      <c r="S46"/>
      <c r="U46" s="98"/>
    </row>
    <row r="47" spans="1:25" ht="15" thickTop="1" thickBot="1">
      <c r="A47" s="552" t="s">
        <v>1276</v>
      </c>
      <c r="B47" s="530" t="e">
        <f t="shared" si="0"/>
        <v>#REF!</v>
      </c>
      <c r="C47" s="589" t="e">
        <f>#REF!</f>
        <v>#REF!</v>
      </c>
      <c r="D47" s="590" t="e">
        <f>#REF!</f>
        <v>#REF!</v>
      </c>
      <c r="E47" s="591" t="e">
        <f>#REF!</f>
        <v>#REF!</v>
      </c>
      <c r="F47" s="240" t="e">
        <f>#REF!</f>
        <v>#REF!</v>
      </c>
      <c r="G47" s="592" t="e">
        <f>#REF!</f>
        <v>#REF!</v>
      </c>
      <c r="H47" s="594" t="e">
        <f>#REF!</f>
        <v>#REF!</v>
      </c>
      <c r="I47" s="593" t="e">
        <f>#REF!</f>
        <v>#REF!</v>
      </c>
      <c r="J47"/>
      <c r="K47"/>
      <c r="L47"/>
      <c r="M47"/>
      <c r="N47"/>
      <c r="O47"/>
      <c r="P47"/>
      <c r="Q47"/>
      <c r="R47"/>
      <c r="S47"/>
      <c r="U47" s="98"/>
    </row>
    <row r="48" spans="1:25" ht="20" thickTop="1" thickBot="1">
      <c r="A48" s="47" t="s">
        <v>461</v>
      </c>
      <c r="B48" s="553" t="e">
        <f t="shared" ref="B48:I48" si="1">SUM(B4:B47)</f>
        <v>#REF!</v>
      </c>
      <c r="C48" s="88" t="e">
        <f t="shared" si="1"/>
        <v>#REF!</v>
      </c>
      <c r="D48" s="88" t="e">
        <f t="shared" si="1"/>
        <v>#REF!</v>
      </c>
      <c r="E48" s="88" t="e">
        <f t="shared" si="1"/>
        <v>#REF!</v>
      </c>
      <c r="F48" s="88" t="e">
        <f t="shared" si="1"/>
        <v>#REF!</v>
      </c>
      <c r="G48" s="88" t="e">
        <f t="shared" si="1"/>
        <v>#REF!</v>
      </c>
      <c r="H48" s="88" t="e">
        <f t="shared" si="1"/>
        <v>#REF!</v>
      </c>
      <c r="I48" s="88" t="e">
        <f t="shared" si="1"/>
        <v>#REF!</v>
      </c>
      <c r="J48"/>
      <c r="K48"/>
      <c r="L48"/>
      <c r="M48"/>
      <c r="N48"/>
      <c r="O48"/>
      <c r="P48"/>
      <c r="Q48"/>
      <c r="R48"/>
      <c r="S48"/>
    </row>
    <row r="49" spans="1:19" ht="15" thickTop="1" thickBot="1">
      <c r="A49" s="94" t="s">
        <v>201</v>
      </c>
      <c r="B49" s="529"/>
      <c r="C49" s="95"/>
      <c r="D49" s="95"/>
      <c r="E49" s="95"/>
      <c r="F49" s="95"/>
      <c r="G49" s="95"/>
      <c r="H49" s="95"/>
      <c r="I49" s="96" t="e">
        <f>SUM(C48:I48)</f>
        <v>#REF!</v>
      </c>
      <c r="J49"/>
      <c r="K49"/>
      <c r="L49"/>
      <c r="M49"/>
      <c r="N49"/>
      <c r="O49"/>
      <c r="P49"/>
      <c r="Q49"/>
      <c r="R49"/>
      <c r="S49"/>
    </row>
    <row r="50" spans="1:19" ht="14" thickTop="1"/>
  </sheetData>
  <mergeCells count="2">
    <mergeCell ref="K37:Y38"/>
    <mergeCell ref="M40:Q46"/>
  </mergeCells>
  <phoneticPr fontId="21" type="noConversion"/>
  <pageMargins left="0.59055118110236227" right="0" top="1" bottom="1" header="0" footer="0"/>
  <pageSetup paperSize="9" orientation="landscape" horizontalDpi="0" verticalDpi="0"/>
  <headerFooter>
    <oddHeader>&amp;A</oddHeader>
    <oddFooter>Página &amp;P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25" r:id="rId3" name="Button 9">
              <controlPr defaultSize="0" print="0" autoFill="0" autoLine="0" autoPict="0" macro="[0]!PLAN">
                <anchor moveWithCells="1" sizeWithCells="1">
                  <from>
                    <xdr:col>2</xdr:col>
                    <xdr:colOff>50800</xdr:colOff>
                    <xdr:row>0</xdr:row>
                    <xdr:rowOff>0</xdr:rowOff>
                  </from>
                  <to>
                    <xdr:col>2</xdr:col>
                    <xdr:colOff>431800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71"/>
  <dimension ref="A1:N91"/>
  <sheetViews>
    <sheetView topLeftCell="A25" zoomScale="107" workbookViewId="0">
      <selection activeCell="P139" sqref="P139"/>
    </sheetView>
  </sheetViews>
  <sheetFormatPr baseColWidth="10" defaultColWidth="10.83203125" defaultRowHeight="13"/>
  <cols>
    <col min="1" max="1" width="4.6640625" customWidth="1"/>
    <col min="14" max="14" width="3.6640625" customWidth="1"/>
  </cols>
  <sheetData>
    <row r="1" spans="1:14">
      <c r="A1" s="2177"/>
      <c r="B1" s="2177"/>
      <c r="C1" s="2177"/>
      <c r="D1" s="2177"/>
      <c r="E1" s="2177"/>
      <c r="F1" s="2177"/>
      <c r="G1" s="2177"/>
      <c r="H1" s="2177"/>
      <c r="I1" s="2177"/>
      <c r="J1" s="2177"/>
      <c r="K1" s="2177"/>
      <c r="L1" s="2177"/>
      <c r="M1" s="2177"/>
      <c r="N1" s="2177"/>
    </row>
    <row r="2" spans="1:14">
      <c r="A2" s="2177"/>
      <c r="B2" s="2177"/>
      <c r="C2" s="2177"/>
      <c r="D2" s="2177"/>
      <c r="E2" s="2177"/>
      <c r="F2" s="2177"/>
      <c r="G2" s="2177"/>
      <c r="H2" s="2177"/>
      <c r="I2" s="2177"/>
      <c r="J2" s="2177"/>
      <c r="K2" s="2177"/>
      <c r="L2" s="2177"/>
      <c r="M2" s="2177"/>
      <c r="N2" s="2177"/>
    </row>
    <row r="3" spans="1:14">
      <c r="A3" s="2177"/>
      <c r="B3" s="2177"/>
      <c r="C3" s="2177"/>
      <c r="D3" s="2177"/>
      <c r="E3" s="2177"/>
      <c r="F3" s="2177"/>
      <c r="G3" s="2177"/>
      <c r="H3" s="2177"/>
      <c r="I3" s="2177"/>
      <c r="J3" s="2177"/>
      <c r="K3" s="2177"/>
      <c r="L3" s="2177"/>
      <c r="M3" s="2177"/>
      <c r="N3" s="2177"/>
    </row>
    <row r="4" spans="1:14">
      <c r="A4" s="2177"/>
      <c r="B4" s="2177"/>
      <c r="C4" s="2177"/>
      <c r="D4" s="2177"/>
      <c r="E4" s="2177"/>
      <c r="F4" s="2177"/>
      <c r="G4" s="2177"/>
      <c r="H4" s="2177"/>
      <c r="I4" s="2177"/>
      <c r="J4" s="2177"/>
      <c r="K4" s="2177"/>
      <c r="L4" s="2177"/>
      <c r="M4" s="2177"/>
      <c r="N4" s="2177"/>
    </row>
    <row r="5" spans="1:14">
      <c r="A5" s="2177"/>
      <c r="B5" s="2177"/>
      <c r="C5" s="2177"/>
      <c r="D5" s="2177"/>
      <c r="E5" s="2177"/>
      <c r="F5" s="2177"/>
      <c r="G5" s="2177"/>
      <c r="H5" s="2177"/>
      <c r="I5" s="2177"/>
      <c r="J5" s="2177"/>
      <c r="K5" s="2177"/>
      <c r="L5" s="2177"/>
      <c r="M5" s="2177"/>
      <c r="N5" s="2177"/>
    </row>
    <row r="6" spans="1:14">
      <c r="A6" s="2177"/>
      <c r="B6" s="2177"/>
      <c r="C6" s="2177"/>
      <c r="D6" s="2177"/>
      <c r="E6" s="2177"/>
      <c r="F6" s="2177"/>
      <c r="G6" s="2177"/>
      <c r="H6" s="2177"/>
      <c r="I6" s="2177"/>
      <c r="J6" s="2177"/>
      <c r="K6" s="2177"/>
      <c r="L6" s="2177"/>
      <c r="M6" s="2177"/>
      <c r="N6" s="2177"/>
    </row>
    <row r="7" spans="1:14">
      <c r="A7" s="2177"/>
      <c r="B7" s="2177"/>
      <c r="C7" s="2177"/>
      <c r="D7" s="2177"/>
      <c r="E7" s="2177"/>
      <c r="F7" s="2177"/>
      <c r="G7" s="2177"/>
      <c r="H7" s="2177"/>
      <c r="I7" s="2177"/>
      <c r="J7" s="2177"/>
      <c r="K7" s="2177"/>
      <c r="L7" s="2177"/>
      <c r="M7" s="2177"/>
      <c r="N7" s="2177"/>
    </row>
    <row r="8" spans="1:14">
      <c r="A8" s="2177"/>
      <c r="B8" s="2177"/>
      <c r="C8" s="2177"/>
      <c r="D8" s="2177"/>
      <c r="E8" s="2177"/>
      <c r="F8" s="2177"/>
      <c r="G8" s="2177"/>
      <c r="H8" s="2177"/>
      <c r="I8" s="2177"/>
      <c r="J8" s="2177"/>
      <c r="K8" s="2177"/>
      <c r="L8" s="2177"/>
      <c r="M8" s="2177"/>
      <c r="N8" s="2177"/>
    </row>
    <row r="9" spans="1:14">
      <c r="A9" s="2177"/>
      <c r="B9" s="2177"/>
      <c r="C9" s="2177"/>
      <c r="D9" s="2177"/>
      <c r="E9" s="2177"/>
      <c r="F9" s="2177"/>
      <c r="G9" s="2177"/>
      <c r="H9" s="2177"/>
      <c r="I9" s="2177"/>
      <c r="J9" s="2177"/>
      <c r="K9" s="2177"/>
      <c r="L9" s="2177"/>
      <c r="M9" s="2177"/>
      <c r="N9" s="2177"/>
    </row>
    <row r="10" spans="1:14">
      <c r="A10" s="2177"/>
      <c r="B10" s="2177"/>
      <c r="C10" s="2177"/>
      <c r="D10" s="2177"/>
      <c r="E10" s="2177"/>
      <c r="F10" s="2177"/>
      <c r="G10" s="2177"/>
      <c r="H10" s="2177"/>
      <c r="I10" s="2177"/>
      <c r="J10" s="2177"/>
      <c r="K10" s="2177"/>
      <c r="L10" s="2177"/>
      <c r="M10" s="2177"/>
      <c r="N10" s="2177"/>
    </row>
    <row r="11" spans="1:14">
      <c r="A11" s="2177"/>
      <c r="B11" s="2177"/>
      <c r="C11" s="2177"/>
      <c r="D11" s="2177"/>
      <c r="E11" s="2177"/>
      <c r="F11" s="2177"/>
      <c r="G11" s="2177"/>
      <c r="H11" s="2177"/>
      <c r="I11" s="2177"/>
      <c r="J11" s="2177"/>
      <c r="K11" s="2177"/>
      <c r="L11" s="2177"/>
      <c r="M11" s="2177"/>
      <c r="N11" s="2177"/>
    </row>
    <row r="12" spans="1:14">
      <c r="A12" s="2177"/>
      <c r="B12" s="2177"/>
      <c r="C12" s="2177"/>
      <c r="D12" s="2177"/>
      <c r="E12" s="2177"/>
      <c r="F12" s="2177"/>
      <c r="G12" s="2177"/>
      <c r="H12" s="2177"/>
      <c r="I12" s="2177"/>
      <c r="J12" s="2177"/>
      <c r="K12" s="2177"/>
      <c r="L12" s="2177"/>
      <c r="M12" s="2177"/>
      <c r="N12" s="2177"/>
    </row>
    <row r="13" spans="1:14">
      <c r="A13" s="2177"/>
      <c r="B13" s="2177"/>
      <c r="C13" s="2177"/>
      <c r="D13" s="2177"/>
      <c r="E13" s="2177"/>
      <c r="F13" s="2177"/>
      <c r="G13" s="2177"/>
      <c r="H13" s="2177"/>
      <c r="I13" s="2177"/>
      <c r="J13" s="2177"/>
      <c r="K13" s="2177"/>
      <c r="L13" s="2177"/>
      <c r="M13" s="2177"/>
      <c r="N13" s="2177"/>
    </row>
    <row r="14" spans="1:14">
      <c r="A14" s="2177"/>
      <c r="B14" s="2177"/>
      <c r="C14" s="2177"/>
      <c r="D14" s="2177"/>
      <c r="E14" s="2177"/>
      <c r="F14" s="2177"/>
      <c r="G14" s="2177"/>
      <c r="H14" s="2177"/>
      <c r="I14" s="2177"/>
      <c r="J14" s="2177"/>
      <c r="K14" s="2177"/>
      <c r="L14" s="2177"/>
      <c r="M14" s="2177"/>
      <c r="N14" s="2177"/>
    </row>
    <row r="15" spans="1:14">
      <c r="A15" s="2177"/>
      <c r="B15" s="2177"/>
      <c r="C15" s="2177"/>
      <c r="D15" s="2177"/>
      <c r="E15" s="2177"/>
      <c r="F15" s="2177"/>
      <c r="G15" s="2177"/>
      <c r="H15" s="2177"/>
      <c r="I15" s="2177"/>
      <c r="J15" s="2177"/>
      <c r="K15" s="2177"/>
      <c r="L15" s="2177"/>
      <c r="M15" s="2177"/>
      <c r="N15" s="2177"/>
    </row>
    <row r="16" spans="1:14">
      <c r="A16" s="2177"/>
      <c r="B16" s="2177"/>
      <c r="C16" s="2177"/>
      <c r="D16" s="2177"/>
      <c r="E16" s="2177"/>
      <c r="F16" s="2177"/>
      <c r="G16" s="2177"/>
      <c r="H16" s="2177"/>
      <c r="I16" s="2177"/>
      <c r="J16" s="2177"/>
      <c r="K16" s="2177"/>
      <c r="L16" s="2177"/>
      <c r="M16" s="2177"/>
      <c r="N16" s="2177"/>
    </row>
    <row r="17" spans="1:14">
      <c r="A17" s="2177"/>
      <c r="B17" s="2177"/>
      <c r="C17" s="2177"/>
      <c r="D17" s="2177"/>
      <c r="E17" s="2177"/>
      <c r="F17" s="2177"/>
      <c r="G17" s="2177"/>
      <c r="H17" s="2177"/>
      <c r="I17" s="2177"/>
      <c r="J17" s="2177"/>
      <c r="K17" s="2177"/>
      <c r="L17" s="2177"/>
      <c r="M17" s="2177"/>
      <c r="N17" s="2177"/>
    </row>
    <row r="18" spans="1:14">
      <c r="A18" s="2177"/>
      <c r="B18" s="2177"/>
      <c r="C18" s="2177"/>
      <c r="D18" s="2177"/>
      <c r="E18" s="2177"/>
      <c r="F18" s="2177"/>
      <c r="G18" s="2177"/>
      <c r="H18" s="2177"/>
      <c r="I18" s="2177"/>
      <c r="J18" s="2177"/>
      <c r="K18" s="2177"/>
      <c r="L18" s="2177"/>
      <c r="M18" s="2177"/>
      <c r="N18" s="2177"/>
    </row>
    <row r="19" spans="1:14">
      <c r="A19" s="2177"/>
      <c r="B19" s="2177"/>
      <c r="C19" s="2177"/>
      <c r="D19" s="2177"/>
      <c r="E19" s="2177"/>
      <c r="F19" s="2177"/>
      <c r="G19" s="2177"/>
      <c r="H19" s="2177"/>
      <c r="I19" s="2177"/>
      <c r="J19" s="2177"/>
      <c r="K19" s="2177"/>
      <c r="L19" s="2177"/>
      <c r="M19" s="2177"/>
      <c r="N19" s="2177"/>
    </row>
    <row r="20" spans="1:14">
      <c r="A20" s="2177"/>
      <c r="B20" s="2177"/>
      <c r="C20" s="2177"/>
      <c r="D20" s="2177"/>
      <c r="E20" s="2177"/>
      <c r="F20" s="2177"/>
      <c r="G20" s="2177"/>
      <c r="H20" s="2177"/>
      <c r="I20" s="2177"/>
      <c r="J20" s="2177"/>
      <c r="K20" s="2177"/>
      <c r="L20" s="2177"/>
      <c r="M20" s="2177"/>
      <c r="N20" s="2177"/>
    </row>
    <row r="21" spans="1:14">
      <c r="A21" s="2177"/>
      <c r="B21" s="2177"/>
      <c r="C21" s="2177"/>
      <c r="D21" s="2177"/>
      <c r="E21" s="2177"/>
      <c r="F21" s="2177"/>
      <c r="G21" s="2177"/>
      <c r="H21" s="2177"/>
      <c r="I21" s="2177"/>
      <c r="J21" s="2177"/>
      <c r="K21" s="2177"/>
      <c r="L21" s="2177"/>
      <c r="M21" s="2177"/>
      <c r="N21" s="2177"/>
    </row>
    <row r="22" spans="1:14">
      <c r="A22" s="2177"/>
      <c r="B22" s="2177"/>
      <c r="C22" s="2177"/>
      <c r="D22" s="2177"/>
      <c r="E22" s="2177"/>
      <c r="F22" s="2177"/>
      <c r="G22" s="2177"/>
      <c r="H22" s="2177"/>
      <c r="I22" s="2177"/>
      <c r="J22" s="2177"/>
      <c r="K22" s="2177"/>
      <c r="L22" s="2177"/>
      <c r="M22" s="2177"/>
      <c r="N22" s="2177"/>
    </row>
    <row r="23" spans="1:14">
      <c r="A23" s="2177"/>
      <c r="B23" s="2177"/>
      <c r="C23" s="2177"/>
      <c r="D23" s="2177"/>
      <c r="E23" s="2177"/>
      <c r="F23" s="2177"/>
      <c r="G23" s="2177"/>
      <c r="H23" s="2177"/>
      <c r="I23" s="2177"/>
      <c r="J23" s="2177"/>
      <c r="K23" s="2177"/>
      <c r="L23" s="2177"/>
      <c r="M23" s="2177"/>
      <c r="N23" s="2177"/>
    </row>
    <row r="24" spans="1:14">
      <c r="A24" s="2177"/>
      <c r="B24" s="2177"/>
      <c r="C24" s="2177"/>
      <c r="D24" s="2177"/>
      <c r="E24" s="2177"/>
      <c r="F24" s="2177"/>
      <c r="G24" s="2177"/>
      <c r="H24" s="2177"/>
      <c r="I24" s="2177"/>
      <c r="J24" s="2177"/>
      <c r="K24" s="2177"/>
      <c r="L24" s="2177"/>
      <c r="M24" s="2177"/>
      <c r="N24" s="2177"/>
    </row>
    <row r="25" spans="1:14">
      <c r="A25" s="2177"/>
      <c r="B25" s="2177"/>
      <c r="C25" s="2177"/>
      <c r="D25" s="2177"/>
      <c r="E25" s="2177"/>
      <c r="F25" s="2177"/>
      <c r="G25" s="2177"/>
      <c r="H25" s="2177"/>
      <c r="I25" s="2177"/>
      <c r="J25" s="2177"/>
      <c r="K25" s="2177"/>
      <c r="L25" s="2177"/>
      <c r="M25" s="2177"/>
      <c r="N25" s="2177"/>
    </row>
    <row r="26" spans="1:14">
      <c r="A26" s="2177"/>
      <c r="B26" s="2177"/>
      <c r="C26" s="2177"/>
      <c r="D26" s="2177"/>
      <c r="E26" s="2177"/>
      <c r="F26" s="2177"/>
      <c r="G26" s="2177"/>
      <c r="H26" s="2177"/>
      <c r="I26" s="2177"/>
      <c r="J26" s="2177"/>
      <c r="K26" s="2177"/>
      <c r="L26" s="2177"/>
      <c r="M26" s="2177"/>
      <c r="N26" s="2177"/>
    </row>
    <row r="27" spans="1:14">
      <c r="A27" s="2177"/>
      <c r="B27" s="2177"/>
      <c r="C27" s="2177"/>
      <c r="D27" s="2177"/>
      <c r="E27" s="2177"/>
      <c r="F27" s="2177"/>
      <c r="G27" s="2177"/>
      <c r="H27" s="2177"/>
      <c r="I27" s="2177"/>
      <c r="J27" s="2177"/>
      <c r="K27" s="2177"/>
      <c r="L27" s="2177"/>
      <c r="M27" s="2177"/>
      <c r="N27" s="2177"/>
    </row>
    <row r="28" spans="1:14">
      <c r="A28" s="2177"/>
      <c r="B28" s="2177"/>
      <c r="C28" s="2177"/>
      <c r="D28" s="2177"/>
      <c r="E28" s="2177"/>
      <c r="F28" s="2177"/>
      <c r="G28" s="2177"/>
      <c r="H28" s="2177"/>
      <c r="I28" s="2177"/>
      <c r="J28" s="2177"/>
      <c r="K28" s="2177"/>
      <c r="L28" s="2177"/>
      <c r="M28" s="2177"/>
      <c r="N28" s="2177"/>
    </row>
    <row r="29" spans="1:14">
      <c r="A29" s="2177"/>
      <c r="B29" s="2177"/>
      <c r="C29" s="2177"/>
      <c r="D29" s="2177"/>
      <c r="E29" s="2177"/>
      <c r="F29" s="2177"/>
      <c r="G29" s="2177"/>
      <c r="H29" s="2177"/>
      <c r="I29" s="2177"/>
      <c r="J29" s="2177"/>
      <c r="K29" s="2177"/>
      <c r="L29" s="2177"/>
      <c r="M29" s="2177"/>
      <c r="N29" s="2177"/>
    </row>
    <row r="30" spans="1:14">
      <c r="A30" s="2177"/>
      <c r="B30" s="2177"/>
      <c r="C30" s="2177"/>
      <c r="D30" s="2177"/>
      <c r="E30" s="2177"/>
      <c r="F30" s="2177"/>
      <c r="G30" s="2177"/>
      <c r="H30" s="2177"/>
      <c r="I30" s="2177"/>
      <c r="J30" s="2177"/>
      <c r="K30" s="2177"/>
      <c r="L30" s="2177"/>
      <c r="M30" s="2177"/>
      <c r="N30" s="2177"/>
    </row>
    <row r="31" spans="1:14">
      <c r="A31" s="2177"/>
      <c r="B31" s="2177"/>
      <c r="C31" s="2177"/>
      <c r="D31" s="2177"/>
      <c r="E31" s="2177"/>
      <c r="F31" s="2177"/>
      <c r="G31" s="2177"/>
      <c r="H31" s="2177"/>
      <c r="I31" s="2177"/>
      <c r="J31" s="2177"/>
      <c r="K31" s="2177"/>
      <c r="L31" s="2177"/>
      <c r="M31" s="2177"/>
      <c r="N31" s="2177"/>
    </row>
    <row r="32" spans="1:14">
      <c r="A32" s="2177"/>
      <c r="B32" s="2177"/>
      <c r="C32" s="2177"/>
      <c r="D32" s="2177"/>
      <c r="E32" s="2177"/>
      <c r="F32" s="2177"/>
      <c r="G32" s="2177"/>
      <c r="H32" s="2177"/>
      <c r="I32" s="2177"/>
      <c r="J32" s="2177"/>
      <c r="K32" s="2177"/>
      <c r="L32" s="2177"/>
      <c r="M32" s="2177"/>
      <c r="N32" s="2177"/>
    </row>
    <row r="33" spans="1:14">
      <c r="A33" s="2177"/>
      <c r="B33" s="2177"/>
      <c r="C33" s="2177"/>
      <c r="D33" s="2177"/>
      <c r="E33" s="2177"/>
      <c r="F33" s="2177"/>
      <c r="G33" s="2177"/>
      <c r="H33" s="2177"/>
      <c r="I33" s="2177"/>
      <c r="J33" s="2177"/>
      <c r="K33" s="2177"/>
      <c r="L33" s="2177"/>
      <c r="M33" s="2177"/>
      <c r="N33" s="2177"/>
    </row>
    <row r="34" spans="1:14">
      <c r="A34" s="2177"/>
      <c r="B34" s="2177"/>
      <c r="C34" s="2177"/>
      <c r="D34" s="2177"/>
      <c r="E34" s="2177"/>
      <c r="F34" s="2177"/>
      <c r="G34" s="2177"/>
      <c r="H34" s="2177"/>
      <c r="I34" s="2177"/>
      <c r="J34" s="2177"/>
      <c r="K34" s="2177"/>
      <c r="L34" s="2177"/>
      <c r="M34" s="2177"/>
      <c r="N34" s="2177"/>
    </row>
    <row r="35" spans="1:14">
      <c r="A35" s="2177"/>
      <c r="B35" s="2177"/>
      <c r="C35" s="2177"/>
      <c r="D35" s="2177"/>
      <c r="E35" s="2177"/>
      <c r="F35" s="2177"/>
      <c r="G35" s="2177"/>
      <c r="H35" s="2177"/>
      <c r="I35" s="2177"/>
      <c r="J35" s="2177"/>
      <c r="K35" s="2177"/>
      <c r="L35" s="2177"/>
      <c r="M35" s="2177"/>
      <c r="N35" s="2177"/>
    </row>
    <row r="36" spans="1:14">
      <c r="A36" s="2177"/>
      <c r="B36" s="2177"/>
      <c r="C36" s="2177"/>
      <c r="D36" s="2177"/>
      <c r="E36" s="2177"/>
      <c r="F36" s="2177"/>
      <c r="G36" s="2177"/>
      <c r="H36" s="2177"/>
      <c r="I36" s="2177"/>
      <c r="J36" s="2177"/>
      <c r="K36" s="2177"/>
      <c r="L36" s="2177"/>
      <c r="M36" s="2177"/>
      <c r="N36" s="2177"/>
    </row>
    <row r="37" spans="1:14">
      <c r="A37" s="2177"/>
      <c r="B37" s="2177"/>
      <c r="C37" s="2177"/>
      <c r="D37" s="2177"/>
      <c r="E37" s="2177"/>
      <c r="F37" s="2177"/>
      <c r="G37" s="2177"/>
      <c r="H37" s="2177"/>
      <c r="I37" s="2177"/>
      <c r="J37" s="2177"/>
      <c r="K37" s="2177"/>
      <c r="L37" s="2177"/>
      <c r="M37" s="2177"/>
      <c r="N37" s="2177"/>
    </row>
    <row r="38" spans="1:14">
      <c r="A38" s="2177"/>
      <c r="B38" s="2177"/>
      <c r="C38" s="2177"/>
      <c r="D38" s="2177"/>
      <c r="E38" s="2177"/>
      <c r="F38" s="2177"/>
      <c r="G38" s="2177"/>
      <c r="H38" s="2177"/>
      <c r="I38" s="2177"/>
      <c r="J38" s="2177"/>
      <c r="K38" s="2177"/>
      <c r="L38" s="2177"/>
      <c r="M38" s="2177"/>
      <c r="N38" s="2177"/>
    </row>
    <row r="39" spans="1:14">
      <c r="A39" s="2177"/>
      <c r="B39" s="2177"/>
      <c r="C39" s="2177"/>
      <c r="D39" s="2177"/>
      <c r="E39" s="2177"/>
      <c r="F39" s="2177"/>
      <c r="G39" s="2177"/>
      <c r="H39" s="2177"/>
      <c r="I39" s="2177"/>
      <c r="J39" s="2177"/>
      <c r="K39" s="2177"/>
      <c r="L39" s="2177"/>
      <c r="M39" s="2177"/>
      <c r="N39" s="2177"/>
    </row>
    <row r="40" spans="1:14">
      <c r="A40" s="2177"/>
      <c r="B40" s="2177"/>
      <c r="C40" s="2177"/>
      <c r="D40" s="2177"/>
      <c r="E40" s="2177"/>
      <c r="F40" s="2177"/>
      <c r="G40" s="2177"/>
      <c r="H40" s="2177"/>
      <c r="I40" s="2177"/>
      <c r="J40" s="2177"/>
      <c r="K40" s="2177"/>
      <c r="L40" s="2177"/>
      <c r="M40" s="2177"/>
      <c r="N40" s="2177"/>
    </row>
    <row r="41" spans="1:14">
      <c r="A41" s="2177"/>
      <c r="B41" s="2177"/>
      <c r="C41" s="2177"/>
      <c r="D41" s="2177"/>
      <c r="E41" s="2177"/>
      <c r="F41" s="2177"/>
      <c r="G41" s="2177"/>
      <c r="H41" s="2177"/>
      <c r="I41" s="2177"/>
      <c r="J41" s="2177"/>
      <c r="K41" s="2177"/>
      <c r="L41" s="2177"/>
      <c r="M41" s="2177"/>
      <c r="N41" s="2177"/>
    </row>
    <row r="42" spans="1:14">
      <c r="A42" s="2177"/>
      <c r="B42" s="2177"/>
      <c r="C42" s="2177"/>
      <c r="D42" s="2177"/>
      <c r="E42" s="2177"/>
      <c r="F42" s="2177"/>
      <c r="G42" s="2177"/>
      <c r="H42" s="2177"/>
      <c r="I42" s="2177"/>
      <c r="J42" s="2177"/>
      <c r="K42" s="2177"/>
      <c r="L42" s="2177"/>
      <c r="M42" s="2177"/>
      <c r="N42" s="2177"/>
    </row>
    <row r="43" spans="1:14">
      <c r="A43" s="2177"/>
      <c r="B43" s="2177"/>
      <c r="C43" s="2177"/>
      <c r="D43" s="2177"/>
      <c r="E43" s="2177"/>
      <c r="F43" s="2177"/>
      <c r="G43" s="2177"/>
      <c r="H43" s="2177"/>
      <c r="I43" s="2177"/>
      <c r="J43" s="2177"/>
      <c r="K43" s="2177"/>
      <c r="L43" s="2177"/>
      <c r="M43" s="2177"/>
      <c r="N43" s="2177"/>
    </row>
    <row r="44" spans="1:14">
      <c r="A44" s="2177"/>
      <c r="B44" s="2177"/>
      <c r="C44" s="2177"/>
      <c r="D44" s="2177"/>
      <c r="E44" s="2177"/>
      <c r="F44" s="2177"/>
      <c r="G44" s="2177"/>
      <c r="H44" s="2177"/>
      <c r="I44" s="2177"/>
      <c r="J44" s="2177"/>
      <c r="K44" s="2177"/>
      <c r="L44" s="2177"/>
      <c r="M44" s="2177"/>
      <c r="N44" s="2177"/>
    </row>
    <row r="45" spans="1:14">
      <c r="A45" s="2177"/>
      <c r="B45" s="2177"/>
      <c r="C45" s="2177"/>
      <c r="D45" s="2177"/>
      <c r="E45" s="2177"/>
      <c r="F45" s="2177"/>
      <c r="G45" s="2177"/>
      <c r="H45" s="2177"/>
      <c r="I45" s="2177"/>
      <c r="J45" s="2177"/>
      <c r="K45" s="2177"/>
      <c r="L45" s="2177"/>
      <c r="M45" s="2177"/>
      <c r="N45" s="2177"/>
    </row>
    <row r="46" spans="1:14">
      <c r="A46" s="2177"/>
      <c r="B46" s="2177"/>
      <c r="C46" s="2177"/>
      <c r="D46" s="2177"/>
      <c r="E46" s="2177"/>
      <c r="F46" s="2177"/>
      <c r="G46" s="2177"/>
      <c r="H46" s="2177"/>
      <c r="I46" s="2177"/>
      <c r="J46" s="2177"/>
      <c r="K46" s="2177"/>
      <c r="L46" s="2177"/>
      <c r="M46" s="2177"/>
      <c r="N46" s="2177"/>
    </row>
    <row r="47" spans="1:14">
      <c r="A47" s="2177"/>
      <c r="B47" s="2177"/>
      <c r="C47" s="2177"/>
      <c r="D47" s="2177"/>
      <c r="E47" s="2177"/>
      <c r="F47" s="2177"/>
      <c r="G47" s="2177"/>
      <c r="H47" s="2177"/>
      <c r="I47" s="2177"/>
      <c r="J47" s="2177"/>
      <c r="K47" s="2177"/>
      <c r="L47" s="2177"/>
      <c r="M47" s="2177"/>
      <c r="N47" s="2177"/>
    </row>
    <row r="48" spans="1:14">
      <c r="A48" s="2177"/>
      <c r="B48" s="2177"/>
      <c r="C48" s="2177"/>
      <c r="D48" s="2177"/>
      <c r="E48" s="2177"/>
      <c r="F48" s="2177"/>
      <c r="G48" s="2177"/>
      <c r="H48" s="2177"/>
      <c r="I48" s="2177"/>
      <c r="J48" s="2177"/>
      <c r="K48" s="2177"/>
      <c r="L48" s="2177"/>
      <c r="M48" s="2177"/>
      <c r="N48" s="2177"/>
    </row>
    <row r="49" spans="1:14">
      <c r="A49" s="2177"/>
      <c r="B49" s="2177"/>
      <c r="C49" s="2177"/>
      <c r="D49" s="2177"/>
      <c r="E49" s="2177"/>
      <c r="F49" s="2177"/>
      <c r="G49" s="2177"/>
      <c r="H49" s="2177"/>
      <c r="I49" s="2177"/>
      <c r="J49" s="2177"/>
      <c r="K49" s="2177"/>
      <c r="L49" s="2177"/>
      <c r="M49" s="2177"/>
      <c r="N49" s="2177"/>
    </row>
    <row r="50" spans="1:14">
      <c r="A50" s="2177"/>
      <c r="B50" s="2177"/>
      <c r="C50" s="2177"/>
      <c r="D50" s="2177"/>
      <c r="E50" s="2177"/>
      <c r="F50" s="2177"/>
      <c r="G50" s="2177"/>
      <c r="H50" s="2177"/>
      <c r="I50" s="2177"/>
      <c r="J50" s="2177"/>
      <c r="K50" s="2177"/>
      <c r="L50" s="2177"/>
      <c r="M50" s="2177"/>
      <c r="N50" s="2177"/>
    </row>
    <row r="51" spans="1:14">
      <c r="A51" s="2177"/>
      <c r="B51" s="2177"/>
      <c r="C51" s="2177"/>
      <c r="D51" s="2177"/>
      <c r="E51" s="2177"/>
      <c r="F51" s="2177"/>
      <c r="G51" s="2177"/>
      <c r="H51" s="2177"/>
      <c r="I51" s="2177"/>
      <c r="J51" s="2177"/>
      <c r="K51" s="2177"/>
      <c r="L51" s="2177"/>
      <c r="M51" s="2177"/>
      <c r="N51" s="2177"/>
    </row>
    <row r="52" spans="1:14">
      <c r="A52" s="2177"/>
      <c r="B52" s="2177"/>
      <c r="C52" s="2177"/>
      <c r="D52" s="2177"/>
      <c r="E52" s="2177"/>
      <c r="F52" s="2177"/>
      <c r="G52" s="2177"/>
      <c r="H52" s="2177"/>
      <c r="I52" s="2177"/>
      <c r="J52" s="2177"/>
      <c r="K52" s="2177"/>
      <c r="L52" s="2177"/>
      <c r="M52" s="2177"/>
      <c r="N52" s="2177"/>
    </row>
    <row r="53" spans="1:14">
      <c r="A53" s="2177"/>
      <c r="B53" s="2177"/>
      <c r="C53" s="2177"/>
      <c r="D53" s="2177"/>
      <c r="E53" s="2177"/>
      <c r="F53" s="2177"/>
      <c r="G53" s="2177"/>
      <c r="H53" s="2177"/>
      <c r="I53" s="2177"/>
      <c r="J53" s="2177"/>
      <c r="K53" s="2177"/>
      <c r="L53" s="2177"/>
      <c r="M53" s="2177"/>
      <c r="N53" s="2177"/>
    </row>
    <row r="54" spans="1:14">
      <c r="A54" s="2177"/>
      <c r="B54" s="2177"/>
      <c r="C54" s="2177"/>
      <c r="D54" s="2177"/>
      <c r="E54" s="2177"/>
      <c r="F54" s="2177"/>
      <c r="G54" s="2177"/>
      <c r="H54" s="2177"/>
      <c r="I54" s="2177"/>
      <c r="J54" s="2177"/>
      <c r="K54" s="2177"/>
      <c r="L54" s="2177"/>
      <c r="M54" s="2177"/>
      <c r="N54" s="2177"/>
    </row>
    <row r="55" spans="1:14">
      <c r="A55" s="2177"/>
      <c r="B55" s="2177"/>
      <c r="C55" s="2177"/>
      <c r="D55" s="2177"/>
      <c r="E55" s="2177"/>
      <c r="F55" s="2177"/>
      <c r="G55" s="2177"/>
      <c r="H55" s="2177"/>
      <c r="I55" s="2177"/>
      <c r="J55" s="2177"/>
      <c r="K55" s="2177"/>
      <c r="L55" s="2177"/>
      <c r="M55" s="2177"/>
      <c r="N55" s="2177"/>
    </row>
    <row r="56" spans="1:14">
      <c r="A56" s="2177"/>
      <c r="B56" s="2177"/>
      <c r="C56" s="2177"/>
      <c r="D56" s="2177"/>
      <c r="E56" s="2177"/>
      <c r="F56" s="2177"/>
      <c r="G56" s="2177"/>
      <c r="H56" s="2177"/>
      <c r="I56" s="2177"/>
      <c r="J56" s="2177"/>
      <c r="K56" s="2177"/>
      <c r="L56" s="2177"/>
      <c r="M56" s="2177"/>
      <c r="N56" s="2177"/>
    </row>
    <row r="57" spans="1:14">
      <c r="A57" s="2177"/>
      <c r="B57" s="2177"/>
      <c r="C57" s="2177"/>
      <c r="D57" s="2177"/>
      <c r="E57" s="2177"/>
      <c r="F57" s="2177"/>
      <c r="G57" s="2177"/>
      <c r="H57" s="2177"/>
      <c r="I57" s="2177"/>
      <c r="J57" s="2177"/>
      <c r="K57" s="2177"/>
      <c r="L57" s="2177"/>
      <c r="M57" s="2177"/>
      <c r="N57" s="2177"/>
    </row>
    <row r="58" spans="1:14">
      <c r="A58" s="2177"/>
      <c r="B58" s="2177"/>
      <c r="C58" s="2177"/>
      <c r="D58" s="2177"/>
      <c r="E58" s="2177"/>
      <c r="F58" s="2177"/>
      <c r="G58" s="2177"/>
      <c r="H58" s="2177"/>
      <c r="I58" s="2177"/>
      <c r="J58" s="2177"/>
      <c r="K58" s="2177"/>
      <c r="L58" s="2177"/>
      <c r="M58" s="2177"/>
      <c r="N58" s="2177"/>
    </row>
    <row r="59" spans="1:14">
      <c r="A59" s="2177"/>
      <c r="B59" s="2177"/>
      <c r="C59" s="2177"/>
      <c r="D59" s="2177"/>
      <c r="E59" s="2177"/>
      <c r="F59" s="2177"/>
      <c r="G59" s="2177"/>
      <c r="H59" s="2177"/>
      <c r="I59" s="2177"/>
      <c r="J59" s="2177"/>
      <c r="K59" s="2177"/>
      <c r="L59" s="2177"/>
      <c r="M59" s="2177"/>
      <c r="N59" s="2177"/>
    </row>
    <row r="60" spans="1:14">
      <c r="A60" s="2177"/>
      <c r="B60" s="2177"/>
      <c r="C60" s="2177"/>
      <c r="D60" s="2177"/>
      <c r="E60" s="2177"/>
      <c r="F60" s="2177"/>
      <c r="G60" s="2177"/>
      <c r="H60" s="2177"/>
      <c r="I60" s="2177"/>
      <c r="J60" s="2177"/>
      <c r="K60" s="2177"/>
      <c r="L60" s="2177"/>
      <c r="M60" s="2177"/>
      <c r="N60" s="2177"/>
    </row>
    <row r="61" spans="1:14">
      <c r="A61" s="2177"/>
      <c r="B61" s="2177"/>
      <c r="C61" s="2177"/>
      <c r="D61" s="2177"/>
      <c r="E61" s="2177"/>
      <c r="F61" s="2177"/>
      <c r="G61" s="2177"/>
      <c r="H61" s="2177"/>
      <c r="I61" s="2177"/>
      <c r="J61" s="2177"/>
      <c r="K61" s="2177"/>
      <c r="L61" s="2177"/>
      <c r="M61" s="2177"/>
      <c r="N61" s="2177"/>
    </row>
    <row r="62" spans="1:14">
      <c r="A62" s="2177"/>
      <c r="B62" s="2177"/>
      <c r="C62" s="2177"/>
      <c r="D62" s="2177"/>
      <c r="E62" s="2177"/>
      <c r="F62" s="2177"/>
      <c r="G62" s="2177"/>
      <c r="H62" s="2177"/>
      <c r="I62" s="2177"/>
      <c r="J62" s="2177"/>
      <c r="K62" s="2177"/>
      <c r="L62" s="2177"/>
      <c r="M62" s="2177"/>
      <c r="N62" s="2177"/>
    </row>
    <row r="63" spans="1:14">
      <c r="A63" s="2177"/>
      <c r="B63" s="2177"/>
      <c r="C63" s="2177"/>
      <c r="D63" s="2177"/>
      <c r="E63" s="2177"/>
      <c r="F63" s="2177"/>
      <c r="G63" s="2177"/>
      <c r="H63" s="2177"/>
      <c r="I63" s="2177"/>
      <c r="J63" s="2177"/>
      <c r="K63" s="2177"/>
      <c r="L63" s="2177"/>
      <c r="M63" s="2177"/>
      <c r="N63" s="2177"/>
    </row>
    <row r="64" spans="1:14">
      <c r="A64" s="2177"/>
      <c r="B64" s="2177"/>
      <c r="C64" s="2177"/>
      <c r="D64" s="2177"/>
      <c r="E64" s="2177"/>
      <c r="F64" s="2177"/>
      <c r="G64" s="2177"/>
      <c r="H64" s="2177"/>
      <c r="I64" s="2177"/>
      <c r="J64" s="2177"/>
      <c r="K64" s="2177"/>
      <c r="L64" s="2177"/>
      <c r="M64" s="2177"/>
      <c r="N64" s="2177"/>
    </row>
    <row r="65" spans="1:14">
      <c r="A65" s="2177"/>
      <c r="B65" s="2177"/>
      <c r="C65" s="2177"/>
      <c r="D65" s="2177"/>
      <c r="E65" s="2177"/>
      <c r="F65" s="2177"/>
      <c r="G65" s="2177"/>
      <c r="H65" s="2177"/>
      <c r="I65" s="2177"/>
      <c r="J65" s="2177"/>
      <c r="K65" s="2177"/>
      <c r="L65" s="2177"/>
      <c r="M65" s="2177"/>
      <c r="N65" s="2177"/>
    </row>
    <row r="66" spans="1:14">
      <c r="A66" s="2177"/>
      <c r="B66" s="2177"/>
      <c r="C66" s="2177"/>
      <c r="D66" s="2177"/>
      <c r="E66" s="2177"/>
      <c r="F66" s="2177"/>
      <c r="G66" s="2177"/>
      <c r="H66" s="2177"/>
      <c r="I66" s="2177"/>
      <c r="J66" s="2177"/>
      <c r="K66" s="2177"/>
      <c r="L66" s="2177"/>
      <c r="M66" s="2177"/>
      <c r="N66" s="2177"/>
    </row>
    <row r="67" spans="1:14">
      <c r="A67" s="2177"/>
      <c r="B67" s="2177"/>
      <c r="C67" s="2177"/>
      <c r="D67" s="2177"/>
      <c r="E67" s="2177"/>
      <c r="F67" s="2177"/>
      <c r="G67" s="2177"/>
      <c r="H67" s="2177"/>
      <c r="I67" s="2177"/>
      <c r="J67" s="2177"/>
      <c r="K67" s="2177"/>
      <c r="L67" s="2177"/>
      <c r="M67" s="2177"/>
      <c r="N67" s="2177"/>
    </row>
    <row r="68" spans="1:14">
      <c r="A68" s="2177"/>
      <c r="B68" s="2177"/>
      <c r="C68" s="2177"/>
      <c r="D68" s="2177"/>
      <c r="E68" s="2177"/>
      <c r="F68" s="2177"/>
      <c r="G68" s="2177"/>
      <c r="H68" s="2177"/>
      <c r="I68" s="2177"/>
      <c r="J68" s="2177"/>
      <c r="K68" s="2177"/>
      <c r="L68" s="2177"/>
      <c r="M68" s="2177"/>
      <c r="N68" s="2177"/>
    </row>
    <row r="69" spans="1:14">
      <c r="A69" s="2177"/>
      <c r="B69" s="2177"/>
      <c r="C69" s="2177"/>
      <c r="D69" s="2177"/>
      <c r="E69" s="2177"/>
      <c r="F69" s="2177"/>
      <c r="G69" s="2177"/>
      <c r="H69" s="2177"/>
      <c r="I69" s="2177"/>
      <c r="J69" s="2177"/>
      <c r="K69" s="2177"/>
      <c r="L69" s="2177"/>
      <c r="M69" s="2177"/>
      <c r="N69" s="2177"/>
    </row>
    <row r="70" spans="1:14">
      <c r="A70" s="2177"/>
      <c r="B70" s="2177"/>
      <c r="C70" s="2177"/>
      <c r="D70" s="2177"/>
      <c r="E70" s="2177"/>
      <c r="F70" s="2177"/>
      <c r="G70" s="2177"/>
      <c r="H70" s="2177"/>
      <c r="I70" s="2177"/>
      <c r="J70" s="2177"/>
      <c r="K70" s="2177"/>
      <c r="L70" s="2177"/>
      <c r="M70" s="2177"/>
      <c r="N70" s="2177"/>
    </row>
    <row r="71" spans="1:14">
      <c r="A71" s="2177"/>
      <c r="B71" s="2177"/>
      <c r="C71" s="2177"/>
      <c r="D71" s="2177"/>
      <c r="E71" s="2177"/>
      <c r="F71" s="2177"/>
      <c r="G71" s="2177"/>
      <c r="H71" s="2177"/>
      <c r="I71" s="2177"/>
      <c r="J71" s="2177"/>
      <c r="K71" s="2177"/>
      <c r="L71" s="2177"/>
      <c r="M71" s="2177"/>
      <c r="N71" s="2177"/>
    </row>
    <row r="72" spans="1:14">
      <c r="A72" s="2177"/>
      <c r="B72" s="2177"/>
      <c r="C72" s="2177"/>
      <c r="D72" s="2177"/>
      <c r="E72" s="2177"/>
      <c r="F72" s="2177"/>
      <c r="G72" s="2177"/>
      <c r="H72" s="2177"/>
      <c r="I72" s="2177"/>
      <c r="J72" s="2177"/>
      <c r="K72" s="2177"/>
      <c r="L72" s="2177"/>
      <c r="M72" s="2177"/>
      <c r="N72" s="2177"/>
    </row>
    <row r="73" spans="1:14">
      <c r="A73" s="2177"/>
      <c r="B73" s="2177"/>
      <c r="C73" s="2177"/>
      <c r="D73" s="2177"/>
      <c r="E73" s="2177"/>
      <c r="F73" s="2177"/>
      <c r="G73" s="2177"/>
      <c r="H73" s="2177"/>
      <c r="I73" s="2177"/>
      <c r="J73" s="2177"/>
      <c r="K73" s="2177"/>
      <c r="L73" s="2177"/>
      <c r="M73" s="2177"/>
      <c r="N73" s="2177"/>
    </row>
    <row r="74" spans="1:14">
      <c r="A74" s="2177"/>
      <c r="B74" s="2177"/>
      <c r="C74" s="2177"/>
      <c r="D74" s="2177"/>
      <c r="E74" s="2177"/>
      <c r="F74" s="2177"/>
      <c r="G74" s="2177"/>
      <c r="H74" s="2177"/>
      <c r="I74" s="2177"/>
      <c r="J74" s="2177"/>
      <c r="K74" s="2177"/>
      <c r="L74" s="2177"/>
      <c r="M74" s="2177"/>
      <c r="N74" s="2177"/>
    </row>
    <row r="75" spans="1:14">
      <c r="A75" s="2177"/>
      <c r="B75" s="2177"/>
      <c r="C75" s="2177"/>
      <c r="D75" s="2177"/>
      <c r="E75" s="2177"/>
      <c r="F75" s="2177"/>
      <c r="G75" s="2177"/>
      <c r="H75" s="2177"/>
      <c r="I75" s="2177"/>
      <c r="J75" s="2177"/>
      <c r="K75" s="2177"/>
      <c r="L75" s="2177"/>
      <c r="M75" s="2177"/>
      <c r="N75" s="2177"/>
    </row>
    <row r="76" spans="1:14">
      <c r="A76" s="2177"/>
      <c r="B76" s="2177"/>
      <c r="C76" s="2177"/>
      <c r="D76" s="2177"/>
      <c r="E76" s="2177"/>
      <c r="F76" s="2177"/>
      <c r="G76" s="2177"/>
      <c r="H76" s="2177"/>
      <c r="I76" s="2177"/>
      <c r="J76" s="2177"/>
      <c r="K76" s="2177"/>
      <c r="L76" s="2177"/>
      <c r="M76" s="2177"/>
      <c r="N76" s="2177"/>
    </row>
    <row r="77" spans="1:14">
      <c r="A77" s="2177"/>
      <c r="B77" s="2177"/>
      <c r="C77" s="2177"/>
      <c r="D77" s="2177"/>
      <c r="E77" s="2177"/>
      <c r="F77" s="2177"/>
      <c r="G77" s="2177"/>
      <c r="H77" s="2177"/>
      <c r="I77" s="2177"/>
      <c r="J77" s="2177"/>
      <c r="K77" s="2177"/>
      <c r="L77" s="2177"/>
      <c r="M77" s="2177"/>
      <c r="N77" s="2177"/>
    </row>
    <row r="78" spans="1:14">
      <c r="A78" s="2177"/>
      <c r="B78" s="2177"/>
      <c r="C78" s="2177"/>
      <c r="D78" s="2177"/>
      <c r="E78" s="2177"/>
      <c r="F78" s="2177"/>
      <c r="G78" s="2177"/>
      <c r="H78" s="2177"/>
      <c r="I78" s="2177"/>
      <c r="J78" s="2177"/>
      <c r="K78" s="2177"/>
      <c r="L78" s="2177"/>
      <c r="M78" s="2177"/>
      <c r="N78" s="2177"/>
    </row>
    <row r="79" spans="1:14">
      <c r="A79" s="2177"/>
      <c r="B79" s="2177"/>
      <c r="C79" s="2177"/>
      <c r="D79" s="2177"/>
      <c r="E79" s="2177"/>
      <c r="F79" s="2177"/>
      <c r="G79" s="2177"/>
      <c r="H79" s="2177"/>
      <c r="I79" s="2177"/>
      <c r="J79" s="2177"/>
      <c r="K79" s="2177"/>
      <c r="L79" s="2177"/>
      <c r="M79" s="2177"/>
      <c r="N79" s="2177"/>
    </row>
    <row r="80" spans="1:14">
      <c r="A80" s="2177"/>
      <c r="B80" s="2177"/>
      <c r="C80" s="2177"/>
      <c r="D80" s="2177"/>
      <c r="E80" s="2177"/>
      <c r="F80" s="2177"/>
      <c r="G80" s="2177"/>
      <c r="H80" s="2177"/>
      <c r="I80" s="2177"/>
      <c r="J80" s="2177"/>
      <c r="K80" s="2177"/>
      <c r="L80" s="2177"/>
      <c r="M80" s="2177"/>
      <c r="N80" s="2177"/>
    </row>
    <row r="81" spans="1:14">
      <c r="A81" s="2177"/>
      <c r="B81" s="2177"/>
      <c r="C81" s="2177"/>
      <c r="D81" s="2177"/>
      <c r="E81" s="2177"/>
      <c r="F81" s="2177"/>
      <c r="G81" s="2177"/>
      <c r="H81" s="2177"/>
      <c r="I81" s="2177"/>
      <c r="J81" s="2177"/>
      <c r="K81" s="2177"/>
      <c r="L81" s="2177"/>
      <c r="M81" s="2177"/>
      <c r="N81" s="2177"/>
    </row>
    <row r="82" spans="1:14">
      <c r="A82" s="2177"/>
      <c r="B82" s="2177"/>
      <c r="C82" s="2177"/>
      <c r="D82" s="2177"/>
      <c r="E82" s="2177"/>
      <c r="F82" s="2177"/>
      <c r="G82" s="2177"/>
      <c r="H82" s="2177"/>
      <c r="I82" s="2177"/>
      <c r="J82" s="2177"/>
      <c r="K82" s="2177"/>
      <c r="L82" s="2177"/>
      <c r="M82" s="2177"/>
      <c r="N82" s="2177"/>
    </row>
    <row r="83" spans="1:14">
      <c r="A83" s="2177"/>
      <c r="B83" s="2177"/>
      <c r="C83" s="2177"/>
      <c r="D83" s="2177"/>
      <c r="E83" s="2177"/>
      <c r="F83" s="2177"/>
      <c r="G83" s="2177"/>
      <c r="H83" s="2177"/>
      <c r="I83" s="2177"/>
      <c r="J83" s="2177"/>
      <c r="K83" s="2177"/>
      <c r="L83" s="2177"/>
      <c r="M83" s="2177"/>
      <c r="N83" s="2177"/>
    </row>
    <row r="84" spans="1:14">
      <c r="A84" s="2177"/>
      <c r="B84" s="2177"/>
      <c r="C84" s="2177"/>
      <c r="D84" s="2177"/>
      <c r="E84" s="2177"/>
      <c r="F84" s="2177"/>
      <c r="G84" s="2177"/>
      <c r="H84" s="2177"/>
      <c r="I84" s="2177"/>
      <c r="J84" s="2177"/>
      <c r="K84" s="2177"/>
      <c r="L84" s="2177"/>
      <c r="M84" s="2177"/>
      <c r="N84" s="2177"/>
    </row>
    <row r="85" spans="1:14">
      <c r="A85" s="2177"/>
      <c r="B85" s="2177"/>
      <c r="C85" s="2177"/>
      <c r="D85" s="2177"/>
      <c r="E85" s="2177"/>
      <c r="F85" s="2177"/>
      <c r="G85" s="2177"/>
      <c r="H85" s="2177"/>
      <c r="I85" s="2177"/>
      <c r="J85" s="2177"/>
      <c r="K85" s="2177"/>
      <c r="L85" s="2177"/>
      <c r="M85" s="2177"/>
      <c r="N85" s="2177"/>
    </row>
    <row r="86" spans="1:14">
      <c r="A86" s="2177"/>
      <c r="B86" s="2177"/>
      <c r="C86" s="2177"/>
      <c r="D86" s="2177"/>
      <c r="E86" s="2177"/>
      <c r="F86" s="2177"/>
      <c r="G86" s="2177"/>
      <c r="H86" s="2177"/>
      <c r="I86" s="2177"/>
      <c r="J86" s="2177"/>
      <c r="K86" s="2177"/>
      <c r="L86" s="2177"/>
      <c r="M86" s="2177"/>
      <c r="N86" s="2177"/>
    </row>
    <row r="87" spans="1:14">
      <c r="A87" s="2177"/>
      <c r="B87" s="2177"/>
      <c r="C87" s="2177"/>
      <c r="D87" s="2177"/>
      <c r="E87" s="2177"/>
      <c r="F87" s="2177"/>
      <c r="G87" s="2177"/>
      <c r="H87" s="2177"/>
      <c r="I87" s="2177"/>
      <c r="J87" s="2177"/>
      <c r="K87" s="2177"/>
      <c r="L87" s="2177"/>
      <c r="M87" s="2177"/>
      <c r="N87" s="2177"/>
    </row>
    <row r="88" spans="1:14">
      <c r="A88" s="2177"/>
      <c r="B88" s="2177"/>
      <c r="C88" s="2177"/>
      <c r="D88" s="2177"/>
      <c r="E88" s="2177"/>
      <c r="F88" s="2177"/>
      <c r="G88" s="2177"/>
      <c r="H88" s="2177"/>
      <c r="I88" s="2177"/>
      <c r="J88" s="2177"/>
      <c r="K88" s="2177"/>
      <c r="L88" s="2177"/>
      <c r="M88" s="2177"/>
      <c r="N88" s="2177"/>
    </row>
    <row r="89" spans="1:14">
      <c r="A89" s="2177"/>
      <c r="B89" s="2177"/>
      <c r="C89" s="2177"/>
      <c r="D89" s="2177"/>
      <c r="E89" s="2177"/>
      <c r="F89" s="2177"/>
      <c r="G89" s="2177"/>
      <c r="H89" s="2177"/>
      <c r="I89" s="2177"/>
      <c r="J89" s="2177"/>
      <c r="K89" s="2177"/>
      <c r="L89" s="2177"/>
      <c r="M89" s="2177"/>
      <c r="N89" s="2177"/>
    </row>
    <row r="90" spans="1:14">
      <c r="A90" s="2177"/>
      <c r="B90" s="2177"/>
      <c r="C90" s="2177"/>
      <c r="D90" s="2177"/>
      <c r="E90" s="2177"/>
      <c r="F90" s="2177"/>
      <c r="G90" s="2177"/>
      <c r="H90" s="2177"/>
      <c r="I90" s="2177"/>
      <c r="J90" s="2177"/>
      <c r="K90" s="2177"/>
      <c r="L90" s="2177"/>
      <c r="M90" s="2177"/>
      <c r="N90" s="2177"/>
    </row>
    <row r="91" spans="1:14">
      <c r="A91" s="2177"/>
      <c r="B91" s="2177"/>
      <c r="C91" s="2177"/>
      <c r="D91" s="2177"/>
      <c r="E91" s="2177"/>
      <c r="F91" s="2177"/>
      <c r="G91" s="2177"/>
      <c r="H91" s="2177"/>
      <c r="I91" s="2177"/>
      <c r="J91" s="2177"/>
      <c r="K91" s="2177"/>
      <c r="L91" s="2177"/>
      <c r="M91" s="2177"/>
      <c r="N91" s="2177"/>
    </row>
  </sheetData>
  <pageMargins left="0.7" right="0.7" top="0.75" bottom="0.75" header="0.3" footer="0.3"/>
  <pageSetup paperSize="9" orientation="landscape" horizontalDpi="0" verticalDpi="0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73"/>
  <dimension ref="A1:P56"/>
  <sheetViews>
    <sheetView workbookViewId="0">
      <selection activeCell="P139" sqref="P139"/>
    </sheetView>
  </sheetViews>
  <sheetFormatPr baseColWidth="10" defaultColWidth="10.83203125" defaultRowHeight="13"/>
  <cols>
    <col min="1" max="1" width="4" customWidth="1"/>
    <col min="2" max="2" width="17.6640625" customWidth="1"/>
    <col min="3" max="3" width="8.33203125" customWidth="1"/>
    <col min="4" max="4" width="7.33203125" customWidth="1"/>
    <col min="5" max="5" width="6.6640625" customWidth="1"/>
    <col min="6" max="6" width="7.6640625" customWidth="1"/>
    <col min="7" max="7" width="8" customWidth="1"/>
    <col min="8" max="8" width="1.5" customWidth="1"/>
    <col min="9" max="9" width="3.1640625" customWidth="1"/>
    <col min="10" max="12" width="8" customWidth="1"/>
    <col min="15" max="15" width="12.6640625" customWidth="1"/>
    <col min="16" max="16" width="4" customWidth="1"/>
  </cols>
  <sheetData>
    <row r="1" spans="1:16" ht="14" thickBot="1">
      <c r="A1" s="2187"/>
      <c r="B1" s="2188"/>
      <c r="C1" s="2188"/>
      <c r="D1" s="2188"/>
      <c r="E1" s="2188"/>
      <c r="F1" s="2188"/>
      <c r="G1" s="2188"/>
      <c r="H1" s="2188"/>
      <c r="I1" s="2188"/>
      <c r="J1" s="2188"/>
      <c r="K1" s="2188"/>
      <c r="L1" s="2188"/>
      <c r="M1" s="2188"/>
      <c r="N1" s="2188"/>
      <c r="O1" s="2188"/>
      <c r="P1" s="2189"/>
    </row>
    <row r="2" spans="1:16">
      <c r="A2" s="1863"/>
      <c r="B2" s="8111" t="s">
        <v>1233</v>
      </c>
      <c r="C2" s="2190" t="s">
        <v>1234</v>
      </c>
      <c r="D2" s="2191" t="s">
        <v>1235</v>
      </c>
      <c r="E2" s="2188"/>
      <c r="F2" s="2188"/>
      <c r="G2" s="2188"/>
      <c r="H2" s="2188"/>
      <c r="I2" s="2188"/>
      <c r="J2" s="2188"/>
      <c r="K2" s="2188"/>
      <c r="L2" s="2188"/>
      <c r="M2" s="2188"/>
      <c r="N2" s="2188"/>
      <c r="O2" s="2189"/>
      <c r="P2" s="1865"/>
    </row>
    <row r="3" spans="1:16">
      <c r="A3" s="1863"/>
      <c r="B3" s="8112"/>
      <c r="C3" s="2192" t="s">
        <v>1236</v>
      </c>
      <c r="D3" s="2193" t="s">
        <v>1237</v>
      </c>
      <c r="E3" s="1864"/>
      <c r="F3" s="1864"/>
      <c r="G3" s="1864"/>
      <c r="H3" s="1864"/>
      <c r="I3" s="1864"/>
      <c r="J3" s="1864"/>
      <c r="K3" s="1864"/>
      <c r="L3" s="1864"/>
      <c r="M3" s="1864"/>
      <c r="N3" s="1864"/>
      <c r="O3" s="1865"/>
      <c r="P3" s="1865"/>
    </row>
    <row r="4" spans="1:16" ht="14" thickBot="1">
      <c r="A4" s="1863"/>
      <c r="B4" s="2194"/>
      <c r="C4" s="2195" t="s">
        <v>1238</v>
      </c>
      <c r="D4" s="2196" t="s">
        <v>1239</v>
      </c>
      <c r="E4" s="1864"/>
      <c r="F4" s="1864"/>
      <c r="G4" s="1864"/>
      <c r="H4" s="1864"/>
      <c r="I4" s="1864"/>
      <c r="J4" s="1864"/>
      <c r="K4" s="1864"/>
      <c r="L4" s="1864"/>
      <c r="M4" s="1864"/>
      <c r="N4" s="1864"/>
      <c r="O4" s="1865"/>
      <c r="P4" s="1865"/>
    </row>
    <row r="5" spans="1:16" ht="14" thickBot="1">
      <c r="A5" s="1863"/>
      <c r="B5" s="1863"/>
      <c r="C5" s="1864"/>
      <c r="D5" s="1864"/>
      <c r="E5" s="1864"/>
      <c r="F5" s="1864"/>
      <c r="G5" s="1864"/>
      <c r="H5" s="1864"/>
      <c r="I5" s="1864"/>
      <c r="J5" s="1864"/>
      <c r="K5" s="1864"/>
      <c r="L5" s="1864"/>
      <c r="M5" s="1864"/>
      <c r="N5" s="1864"/>
      <c r="O5" s="1865"/>
      <c r="P5" s="1865"/>
    </row>
    <row r="6" spans="1:16" ht="17" thickBot="1">
      <c r="A6" s="1863"/>
      <c r="B6" s="2197" t="s">
        <v>1240</v>
      </c>
      <c r="C6" s="2198" t="s">
        <v>1241</v>
      </c>
      <c r="D6" s="1864"/>
      <c r="E6" s="1864"/>
      <c r="F6" s="1864"/>
      <c r="G6" s="1864"/>
      <c r="H6" s="1864"/>
      <c r="I6" s="1864"/>
      <c r="J6" s="1864"/>
      <c r="K6" s="1864"/>
      <c r="L6" s="1864"/>
      <c r="M6" s="1864"/>
      <c r="N6" s="1864"/>
      <c r="O6" s="1865"/>
      <c r="P6" s="1865"/>
    </row>
    <row r="7" spans="1:16">
      <c r="A7" s="1863"/>
      <c r="B7" s="2199" t="s">
        <v>1242</v>
      </c>
      <c r="C7" s="2200">
        <v>0.95</v>
      </c>
      <c r="D7" s="1864"/>
      <c r="E7" s="1864"/>
      <c r="F7" s="1864"/>
      <c r="G7" s="1864"/>
      <c r="H7" s="1864"/>
      <c r="I7" s="2201" t="s">
        <v>1243</v>
      </c>
      <c r="J7" s="2175" t="s">
        <v>1244</v>
      </c>
      <c r="K7" s="2175"/>
      <c r="L7" s="2175"/>
      <c r="M7" s="2175"/>
      <c r="N7" s="2175"/>
      <c r="O7" s="2176"/>
      <c r="P7" s="1865"/>
    </row>
    <row r="8" spans="1:16">
      <c r="A8" s="1863"/>
      <c r="B8" s="2199" t="s">
        <v>1245</v>
      </c>
      <c r="C8" s="2200">
        <v>0.9</v>
      </c>
      <c r="D8" s="1864"/>
      <c r="E8" s="1864"/>
      <c r="F8" s="1864"/>
      <c r="G8" s="1864"/>
      <c r="H8" s="1864"/>
      <c r="I8" s="469"/>
      <c r="J8" s="324" t="s">
        <v>1246</v>
      </c>
      <c r="K8" s="324"/>
      <c r="L8" s="324"/>
      <c r="M8" s="324"/>
      <c r="N8" s="324"/>
      <c r="O8" s="471"/>
      <c r="P8" s="1865"/>
    </row>
    <row r="9" spans="1:16" ht="14" thickBot="1">
      <c r="A9" s="1863"/>
      <c r="B9" s="2202" t="s">
        <v>1247</v>
      </c>
      <c r="C9" s="2203">
        <v>1.06</v>
      </c>
      <c r="D9" s="1864"/>
      <c r="E9" s="1864"/>
      <c r="F9" s="1864"/>
      <c r="G9" s="1864"/>
      <c r="H9" s="1864"/>
      <c r="I9" s="469"/>
      <c r="J9" s="324" t="s">
        <v>1248</v>
      </c>
      <c r="K9" s="324"/>
      <c r="L9" s="324"/>
      <c r="M9" s="324"/>
      <c r="N9" s="324"/>
      <c r="O9" s="471"/>
      <c r="P9" s="1865"/>
    </row>
    <row r="10" spans="1:16" ht="14" thickBot="1">
      <c r="A10" s="1863"/>
      <c r="B10" s="2204" t="s">
        <v>1249</v>
      </c>
      <c r="C10" s="2205">
        <v>6.6400000000000001E-2</v>
      </c>
      <c r="D10" s="1864"/>
      <c r="E10" s="1864"/>
      <c r="F10" s="1864"/>
      <c r="G10" s="1864"/>
      <c r="H10" s="1864"/>
      <c r="I10" s="469"/>
      <c r="J10" s="324" t="s">
        <v>1250</v>
      </c>
      <c r="K10" s="324"/>
      <c r="L10" s="324"/>
      <c r="M10" s="324"/>
      <c r="N10" s="324"/>
      <c r="O10" s="471"/>
      <c r="P10" s="1865"/>
    </row>
    <row r="11" spans="1:16" ht="16">
      <c r="A11" s="1863"/>
      <c r="B11" s="8113" t="s">
        <v>1232</v>
      </c>
      <c r="C11" s="2206" t="s">
        <v>1251</v>
      </c>
      <c r="D11" s="2174" t="s">
        <v>1252</v>
      </c>
      <c r="E11" s="2207" t="s">
        <v>1253</v>
      </c>
      <c r="F11" s="2207" t="s">
        <v>1253</v>
      </c>
      <c r="G11" s="2207" t="s">
        <v>1253</v>
      </c>
      <c r="H11" s="2208"/>
      <c r="I11" s="2209" t="s">
        <v>1254</v>
      </c>
      <c r="J11" s="2210" t="s">
        <v>1255</v>
      </c>
      <c r="K11" s="324"/>
      <c r="L11" s="324"/>
      <c r="M11" s="324"/>
      <c r="N11" s="324"/>
      <c r="O11" s="471"/>
      <c r="P11" s="1865"/>
    </row>
    <row r="12" spans="1:16" ht="17" thickBot="1">
      <c r="A12" s="1863"/>
      <c r="B12" s="8113"/>
      <c r="C12" s="2206" t="s">
        <v>1256</v>
      </c>
      <c r="D12" s="2211" t="s">
        <v>1257</v>
      </c>
      <c r="E12" s="2212">
        <v>1</v>
      </c>
      <c r="F12" s="2213">
        <v>2</v>
      </c>
      <c r="G12" s="2213">
        <v>3</v>
      </c>
      <c r="H12" s="1864"/>
      <c r="I12" s="469"/>
      <c r="J12" s="324" t="s">
        <v>1258</v>
      </c>
      <c r="K12" s="324"/>
      <c r="L12" s="324"/>
      <c r="M12" s="324"/>
      <c r="N12" s="324"/>
      <c r="O12" s="471"/>
      <c r="P12" s="1865"/>
    </row>
    <row r="13" spans="1:16">
      <c r="A13" s="1863"/>
      <c r="B13" s="2214" t="s">
        <v>1259</v>
      </c>
      <c r="C13" s="2215">
        <v>67</v>
      </c>
      <c r="D13" s="2216">
        <f>C13/C7</f>
        <v>70.526315789473685</v>
      </c>
      <c r="E13" s="2216">
        <f>($C$13-E12)/$C$7</f>
        <v>69.473684210526315</v>
      </c>
      <c r="F13" s="2216">
        <f t="shared" ref="F13:G13" si="0">($C$13-F12)/$C$7</f>
        <v>68.421052631578945</v>
      </c>
      <c r="G13" s="2217">
        <f t="shared" si="0"/>
        <v>67.368421052631575</v>
      </c>
      <c r="H13" s="2218"/>
      <c r="I13" s="2219"/>
      <c r="J13" s="2220" t="s">
        <v>1260</v>
      </c>
      <c r="K13" s="2220"/>
      <c r="L13" s="2220"/>
      <c r="M13" s="324"/>
      <c r="N13" s="324"/>
      <c r="O13" s="471"/>
      <c r="P13" s="1865"/>
    </row>
    <row r="14" spans="1:16">
      <c r="A14" s="1863"/>
      <c r="B14" s="2221" t="s">
        <v>1261</v>
      </c>
      <c r="C14" s="2222">
        <f>C$13*12/100</f>
        <v>8.0399999999999991</v>
      </c>
      <c r="D14" s="2223">
        <f>D13-D15-D16</f>
        <v>12.768663797859427</v>
      </c>
      <c r="E14" s="2223">
        <f>D14</f>
        <v>12.768663797859427</v>
      </c>
      <c r="F14" s="2223">
        <f>E14</f>
        <v>12.768663797859427</v>
      </c>
      <c r="G14" s="2224">
        <f>F14</f>
        <v>12.768663797859427</v>
      </c>
      <c r="H14" s="2218"/>
      <c r="I14" s="2225" t="s">
        <v>1262</v>
      </c>
      <c r="J14" s="2220" t="s">
        <v>1263</v>
      </c>
      <c r="K14" s="2220"/>
      <c r="L14" s="2220"/>
      <c r="M14" s="324"/>
      <c r="N14" s="324"/>
      <c r="O14" s="471"/>
      <c r="P14" s="1865"/>
    </row>
    <row r="15" spans="1:16">
      <c r="A15" s="1863"/>
      <c r="B15" s="2221" t="s">
        <v>1264</v>
      </c>
      <c r="C15" s="2222">
        <f>C13-C14-C16</f>
        <v>46.230000000000004</v>
      </c>
      <c r="D15" s="2223">
        <f>C15/$C$9</f>
        <v>43.613207547169814</v>
      </c>
      <c r="E15" s="2223">
        <f>D15</f>
        <v>43.613207547169814</v>
      </c>
      <c r="F15" s="2223">
        <f t="shared" ref="F15:G15" si="1">E15</f>
        <v>43.613207547169814</v>
      </c>
      <c r="G15" s="2224">
        <f t="shared" si="1"/>
        <v>43.613207547169814</v>
      </c>
      <c r="H15" s="2218"/>
      <c r="I15" s="2219"/>
      <c r="J15" s="2220"/>
      <c r="K15" s="2220"/>
      <c r="L15" s="2220"/>
      <c r="M15" s="324"/>
      <c r="N15" s="324"/>
      <c r="O15" s="471"/>
      <c r="P15" s="1865"/>
    </row>
    <row r="16" spans="1:16">
      <c r="A16" s="1863"/>
      <c r="B16" s="2221" t="s">
        <v>1245</v>
      </c>
      <c r="C16" s="2222">
        <f>C$13*19/100</f>
        <v>12.73</v>
      </c>
      <c r="D16" s="2223">
        <f>C16/$C$8</f>
        <v>14.144444444444444</v>
      </c>
      <c r="E16" s="2223">
        <f>E13-E14-E15</f>
        <v>13.091812865497076</v>
      </c>
      <c r="F16" s="2223">
        <f t="shared" ref="F16:G16" si="2">F13-F14-F15</f>
        <v>12.039181286549706</v>
      </c>
      <c r="G16" s="2224">
        <f t="shared" si="2"/>
        <v>10.986549707602336</v>
      </c>
      <c r="H16" s="2218"/>
      <c r="I16" s="2219" t="s">
        <v>1265</v>
      </c>
      <c r="J16" s="2220"/>
      <c r="K16" s="2220"/>
      <c r="L16" s="2220"/>
      <c r="M16" s="324"/>
      <c r="N16" s="324"/>
      <c r="O16" s="471"/>
      <c r="P16" s="1865"/>
    </row>
    <row r="17" spans="1:16">
      <c r="A17" s="1863"/>
      <c r="B17" s="2221" t="s">
        <v>1241</v>
      </c>
      <c r="C17" s="2222"/>
      <c r="D17" s="2223">
        <f>C13/D13</f>
        <v>0.95</v>
      </c>
      <c r="E17" s="2223">
        <f>($C$13-E12)/E13</f>
        <v>0.95</v>
      </c>
      <c r="F17" s="2223">
        <f t="shared" ref="F17:G17" si="3">($C$13-F12)/F13</f>
        <v>0.95000000000000007</v>
      </c>
      <c r="G17" s="2224">
        <f t="shared" si="3"/>
        <v>0.95000000000000007</v>
      </c>
      <c r="H17" s="2218"/>
      <c r="I17" s="2219"/>
      <c r="J17" s="2220" t="s">
        <v>1266</v>
      </c>
      <c r="K17" s="2220"/>
      <c r="L17" s="2220"/>
      <c r="M17" s="324"/>
      <c r="N17" s="324"/>
      <c r="O17" s="471"/>
      <c r="P17" s="1865"/>
    </row>
    <row r="18" spans="1:16" ht="14" thickBot="1">
      <c r="A18" s="1863"/>
      <c r="B18" s="2226" t="s">
        <v>1267</v>
      </c>
      <c r="C18" s="2227"/>
      <c r="D18" s="2228">
        <f>D13-$C$13</f>
        <v>3.526315789473685</v>
      </c>
      <c r="E18" s="2228">
        <f>E13-($C$13-E12)</f>
        <v>3.473684210526315</v>
      </c>
      <c r="F18" s="2228">
        <f t="shared" ref="F18:G18" si="4">F13-($C$13-F12)</f>
        <v>3.4210526315789451</v>
      </c>
      <c r="G18" s="2229">
        <f t="shared" si="4"/>
        <v>3.3684210526315752</v>
      </c>
      <c r="H18" s="2218"/>
      <c r="I18" s="469"/>
      <c r="J18" s="2220" t="s">
        <v>1268</v>
      </c>
      <c r="K18" s="324"/>
      <c r="L18" s="324"/>
      <c r="M18" s="324"/>
      <c r="N18" s="324"/>
      <c r="O18" s="471"/>
      <c r="P18" s="1865"/>
    </row>
    <row r="19" spans="1:16" ht="25.25" customHeight="1" thickBot="1">
      <c r="A19" s="1863"/>
      <c r="B19" s="1863"/>
      <c r="C19" s="1864"/>
      <c r="D19" s="1864"/>
      <c r="E19" s="1864"/>
      <c r="F19" s="1864"/>
      <c r="G19" s="1864"/>
      <c r="H19" s="1864"/>
      <c r="I19" s="2180"/>
      <c r="J19" s="2230" t="s">
        <v>1269</v>
      </c>
      <c r="K19" s="820"/>
      <c r="L19" s="820"/>
      <c r="M19" s="820"/>
      <c r="N19" s="820"/>
      <c r="O19" s="971"/>
      <c r="P19" s="1865"/>
    </row>
    <row r="20" spans="1:16" ht="6" customHeight="1">
      <c r="A20" s="1863"/>
      <c r="B20" s="1863"/>
      <c r="C20" s="1864"/>
      <c r="D20" s="2231"/>
      <c r="E20" s="2231"/>
      <c r="F20" s="2231"/>
      <c r="G20" s="2231"/>
      <c r="H20" s="1864"/>
      <c r="I20" s="1864"/>
      <c r="J20" s="2218"/>
      <c r="K20" s="1864"/>
      <c r="L20" s="1864"/>
      <c r="M20" s="1864"/>
      <c r="N20" s="1864"/>
      <c r="O20" s="1865"/>
      <c r="P20" s="1865"/>
    </row>
    <row r="21" spans="1:16" ht="5" customHeight="1">
      <c r="A21" s="1863"/>
      <c r="B21" s="1863"/>
      <c r="C21" s="1864"/>
      <c r="D21" s="2232">
        <f>D22</f>
        <v>3.526315789473685</v>
      </c>
      <c r="E21" s="2232">
        <f t="shared" ref="E21:G36" si="5">E22</f>
        <v>3.473684210526315</v>
      </c>
      <c r="F21" s="2232">
        <f t="shared" si="5"/>
        <v>3.4210526315789451</v>
      </c>
      <c r="G21" s="2233">
        <f t="shared" si="5"/>
        <v>3.3684210526315752</v>
      </c>
      <c r="H21" s="1864"/>
      <c r="I21" s="1864"/>
      <c r="J21" s="1864"/>
      <c r="K21" s="1864"/>
      <c r="L21" s="1864"/>
      <c r="M21" s="1864"/>
      <c r="N21" s="1864"/>
      <c r="O21" s="1865"/>
      <c r="P21" s="1865"/>
    </row>
    <row r="22" spans="1:16" ht="5" customHeight="1">
      <c r="A22" s="1863"/>
      <c r="B22" s="1863"/>
      <c r="C22" s="1864"/>
      <c r="D22" s="2232">
        <f t="shared" ref="D22:G37" si="6">D23</f>
        <v>3.526315789473685</v>
      </c>
      <c r="E22" s="2232">
        <f t="shared" si="5"/>
        <v>3.473684210526315</v>
      </c>
      <c r="F22" s="2232">
        <f t="shared" si="5"/>
        <v>3.4210526315789451</v>
      </c>
      <c r="G22" s="2233">
        <f t="shared" si="5"/>
        <v>3.3684210526315752</v>
      </c>
      <c r="H22" s="1864"/>
      <c r="I22" s="1864"/>
      <c r="J22" s="1864"/>
      <c r="K22" s="1864"/>
      <c r="L22" s="1864"/>
      <c r="M22" s="1864"/>
      <c r="N22" s="1864"/>
      <c r="O22" s="1865"/>
      <c r="P22" s="1865"/>
    </row>
    <row r="23" spans="1:16" ht="5" customHeight="1">
      <c r="A23" s="1863"/>
      <c r="B23" s="1863"/>
      <c r="C23" s="1864"/>
      <c r="D23" s="2232">
        <f t="shared" si="6"/>
        <v>3.526315789473685</v>
      </c>
      <c r="E23" s="2232">
        <f t="shared" si="5"/>
        <v>3.473684210526315</v>
      </c>
      <c r="F23" s="2232">
        <f t="shared" si="5"/>
        <v>3.4210526315789451</v>
      </c>
      <c r="G23" s="2233">
        <f t="shared" si="5"/>
        <v>3.3684210526315752</v>
      </c>
      <c r="H23" s="1864"/>
      <c r="I23" s="1864"/>
      <c r="J23" s="1864"/>
      <c r="K23" s="1864"/>
      <c r="L23" s="1864"/>
      <c r="M23" s="1864"/>
      <c r="N23" s="1864"/>
      <c r="O23" s="1865"/>
      <c r="P23" s="1865"/>
    </row>
    <row r="24" spans="1:16" ht="5" customHeight="1">
      <c r="A24" s="1863"/>
      <c r="B24" s="1863"/>
      <c r="C24" s="1864"/>
      <c r="D24" s="2232">
        <f t="shared" si="6"/>
        <v>3.526315789473685</v>
      </c>
      <c r="E24" s="2232">
        <f t="shared" si="5"/>
        <v>3.473684210526315</v>
      </c>
      <c r="F24" s="2232">
        <f t="shared" si="5"/>
        <v>3.4210526315789451</v>
      </c>
      <c r="G24" s="2233">
        <f t="shared" si="5"/>
        <v>3.3684210526315752</v>
      </c>
      <c r="H24" s="1864"/>
      <c r="I24" s="1864"/>
      <c r="J24" s="1864"/>
      <c r="K24" s="1864"/>
      <c r="L24" s="1864"/>
      <c r="M24" s="1864"/>
      <c r="N24" s="1864"/>
      <c r="O24" s="1865"/>
      <c r="P24" s="1865"/>
    </row>
    <row r="25" spans="1:16" ht="5" customHeight="1" thickBot="1">
      <c r="A25" s="1863"/>
      <c r="B25" s="1863"/>
      <c r="C25" s="1864"/>
      <c r="D25" s="2232">
        <f t="shared" si="6"/>
        <v>3.526315789473685</v>
      </c>
      <c r="E25" s="2232">
        <f t="shared" si="5"/>
        <v>3.473684210526315</v>
      </c>
      <c r="F25" s="2232">
        <f t="shared" si="5"/>
        <v>3.4210526315789451</v>
      </c>
      <c r="G25" s="2233">
        <f t="shared" si="5"/>
        <v>3.3684210526315752</v>
      </c>
      <c r="H25" s="1864"/>
      <c r="I25" s="1864"/>
      <c r="J25" s="1864"/>
      <c r="K25" s="1864"/>
      <c r="L25" s="1864"/>
      <c r="M25" s="1864"/>
      <c r="N25" s="1864"/>
      <c r="O25" s="1865"/>
      <c r="P25" s="1865"/>
    </row>
    <row r="26" spans="1:16" ht="5" customHeight="1">
      <c r="A26" s="1863"/>
      <c r="B26" s="1863"/>
      <c r="C26" s="1864"/>
      <c r="D26" s="2232">
        <f t="shared" si="6"/>
        <v>3.526315789473685</v>
      </c>
      <c r="E26" s="2232">
        <f t="shared" si="5"/>
        <v>3.473684210526315</v>
      </c>
      <c r="F26" s="2232">
        <f t="shared" si="5"/>
        <v>3.4210526315789451</v>
      </c>
      <c r="G26" s="2233">
        <f t="shared" si="5"/>
        <v>3.3684210526315752</v>
      </c>
      <c r="H26" s="1864"/>
      <c r="I26" s="1864"/>
      <c r="J26" s="8114" t="s">
        <v>1270</v>
      </c>
      <c r="K26" s="8115"/>
      <c r="L26" s="8115"/>
      <c r="M26" s="8115"/>
      <c r="N26" s="8115"/>
      <c r="O26" s="8116"/>
      <c r="P26" s="1865"/>
    </row>
    <row r="27" spans="1:16" ht="5" customHeight="1">
      <c r="A27" s="1863"/>
      <c r="B27" s="1863"/>
      <c r="C27" s="1864"/>
      <c r="D27" s="2232">
        <f t="shared" si="6"/>
        <v>3.526315789473685</v>
      </c>
      <c r="E27" s="2232">
        <f t="shared" si="5"/>
        <v>3.473684210526315</v>
      </c>
      <c r="F27" s="2232">
        <f t="shared" si="5"/>
        <v>3.4210526315789451</v>
      </c>
      <c r="G27" s="2233">
        <f t="shared" si="5"/>
        <v>3.3684210526315752</v>
      </c>
      <c r="H27" s="1864"/>
      <c r="I27" s="1864"/>
      <c r="J27" s="8117"/>
      <c r="K27" s="8118"/>
      <c r="L27" s="8118"/>
      <c r="M27" s="8118"/>
      <c r="N27" s="8118"/>
      <c r="O27" s="8119"/>
      <c r="P27" s="1865"/>
    </row>
    <row r="28" spans="1:16" ht="5" customHeight="1">
      <c r="A28" s="1863"/>
      <c r="B28" s="1863"/>
      <c r="C28" s="1864"/>
      <c r="D28" s="2232">
        <f t="shared" si="6"/>
        <v>3.526315789473685</v>
      </c>
      <c r="E28" s="2232">
        <f t="shared" si="5"/>
        <v>3.473684210526315</v>
      </c>
      <c r="F28" s="2232">
        <f t="shared" si="5"/>
        <v>3.4210526315789451</v>
      </c>
      <c r="G28" s="2233">
        <f t="shared" si="5"/>
        <v>3.3684210526315752</v>
      </c>
      <c r="H28" s="1864"/>
      <c r="I28" s="1864"/>
      <c r="J28" s="8117" t="s">
        <v>1271</v>
      </c>
      <c r="K28" s="8118"/>
      <c r="L28" s="8118"/>
      <c r="M28" s="8118"/>
      <c r="N28" s="8118"/>
      <c r="O28" s="8119"/>
      <c r="P28" s="1865"/>
    </row>
    <row r="29" spans="1:16" ht="5" customHeight="1">
      <c r="A29" s="1863"/>
      <c r="B29" s="1863"/>
      <c r="C29" s="1864"/>
      <c r="D29" s="2232">
        <f t="shared" si="6"/>
        <v>3.526315789473685</v>
      </c>
      <c r="E29" s="2232">
        <f t="shared" si="5"/>
        <v>3.473684210526315</v>
      </c>
      <c r="F29" s="2232">
        <f t="shared" si="5"/>
        <v>3.4210526315789451</v>
      </c>
      <c r="G29" s="2233">
        <f t="shared" si="5"/>
        <v>3.3684210526315752</v>
      </c>
      <c r="H29" s="1864"/>
      <c r="I29" s="1864"/>
      <c r="J29" s="8117"/>
      <c r="K29" s="8118"/>
      <c r="L29" s="8118"/>
      <c r="M29" s="8118"/>
      <c r="N29" s="8118"/>
      <c r="O29" s="8119"/>
      <c r="P29" s="1865"/>
    </row>
    <row r="30" spans="1:16" ht="5" customHeight="1">
      <c r="A30" s="1863"/>
      <c r="B30" s="1863"/>
      <c r="C30" s="1864"/>
      <c r="D30" s="2232">
        <f t="shared" si="6"/>
        <v>3.526315789473685</v>
      </c>
      <c r="E30" s="2232">
        <f t="shared" si="5"/>
        <v>3.473684210526315</v>
      </c>
      <c r="F30" s="2232">
        <f t="shared" si="5"/>
        <v>3.4210526315789451</v>
      </c>
      <c r="G30" s="2233">
        <f t="shared" si="5"/>
        <v>3.3684210526315752</v>
      </c>
      <c r="H30" s="1864"/>
      <c r="I30" s="1864"/>
      <c r="J30" s="8117" t="s">
        <v>1272</v>
      </c>
      <c r="K30" s="8118"/>
      <c r="L30" s="8118"/>
      <c r="M30" s="8118"/>
      <c r="N30" s="8118"/>
      <c r="O30" s="8119"/>
      <c r="P30" s="1865"/>
    </row>
    <row r="31" spans="1:16" ht="5" customHeight="1" thickBot="1">
      <c r="A31" s="1863"/>
      <c r="B31" s="1863"/>
      <c r="C31" s="1864"/>
      <c r="D31" s="2232">
        <f t="shared" si="6"/>
        <v>3.526315789473685</v>
      </c>
      <c r="E31" s="2232">
        <f t="shared" si="5"/>
        <v>3.473684210526315</v>
      </c>
      <c r="F31" s="2232">
        <f t="shared" si="5"/>
        <v>3.4210526315789451</v>
      </c>
      <c r="G31" s="2233">
        <f t="shared" si="5"/>
        <v>3.3684210526315752</v>
      </c>
      <c r="H31" s="1864"/>
      <c r="I31" s="1864"/>
      <c r="J31" s="8120"/>
      <c r="K31" s="8121"/>
      <c r="L31" s="8121"/>
      <c r="M31" s="8121"/>
      <c r="N31" s="8121"/>
      <c r="O31" s="8122"/>
      <c r="P31" s="1865"/>
    </row>
    <row r="32" spans="1:16" ht="5" customHeight="1">
      <c r="A32" s="1863"/>
      <c r="B32" s="1863"/>
      <c r="C32" s="1864"/>
      <c r="D32" s="2232">
        <f t="shared" si="6"/>
        <v>3.526315789473685</v>
      </c>
      <c r="E32" s="2232">
        <f t="shared" si="5"/>
        <v>3.473684210526315</v>
      </c>
      <c r="F32" s="2232">
        <f t="shared" si="5"/>
        <v>3.4210526315789451</v>
      </c>
      <c r="G32" s="2233">
        <f t="shared" si="5"/>
        <v>3.3684210526315752</v>
      </c>
      <c r="H32" s="1864"/>
      <c r="I32" s="1864"/>
      <c r="J32" s="1864"/>
      <c r="K32" s="1864"/>
      <c r="L32" s="1864"/>
      <c r="M32" s="1864"/>
      <c r="N32" s="1864"/>
      <c r="O32" s="1865"/>
      <c r="P32" s="1865"/>
    </row>
    <row r="33" spans="1:16" ht="6" customHeight="1" thickBot="1">
      <c r="A33" s="1863"/>
      <c r="B33" s="1863"/>
      <c r="C33" s="1864"/>
      <c r="D33" s="2232">
        <f t="shared" si="6"/>
        <v>3.526315789473685</v>
      </c>
      <c r="E33" s="2232">
        <f t="shared" si="5"/>
        <v>3.473684210526315</v>
      </c>
      <c r="F33" s="2232">
        <f t="shared" si="5"/>
        <v>3.4210526315789451</v>
      </c>
      <c r="G33" s="2233">
        <f t="shared" si="5"/>
        <v>3.3684210526315752</v>
      </c>
      <c r="H33" s="1864"/>
      <c r="I33" s="1864"/>
      <c r="J33" s="1864"/>
      <c r="K33" s="1864"/>
      <c r="L33" s="1864"/>
      <c r="M33" s="1864"/>
      <c r="N33" s="1864"/>
      <c r="O33" s="1865"/>
      <c r="P33" s="1865"/>
    </row>
    <row r="34" spans="1:16" ht="5" customHeight="1">
      <c r="A34" s="1863"/>
      <c r="B34" s="1863"/>
      <c r="C34" s="1864"/>
      <c r="D34" s="2232">
        <f t="shared" si="6"/>
        <v>3.526315789473685</v>
      </c>
      <c r="E34" s="2232">
        <f t="shared" si="5"/>
        <v>3.473684210526315</v>
      </c>
      <c r="F34" s="2232">
        <f t="shared" si="5"/>
        <v>3.4210526315789451</v>
      </c>
      <c r="G34" s="2233">
        <f t="shared" si="5"/>
        <v>3.3684210526315752</v>
      </c>
      <c r="H34" s="1864"/>
      <c r="I34" s="1864"/>
      <c r="J34" s="8102" t="s">
        <v>1273</v>
      </c>
      <c r="K34" s="8104"/>
      <c r="L34" s="1864"/>
      <c r="M34" s="1864"/>
      <c r="N34" s="1864"/>
      <c r="O34" s="1865"/>
      <c r="P34" s="1865"/>
    </row>
    <row r="35" spans="1:16" ht="5" customHeight="1">
      <c r="A35" s="1863"/>
      <c r="B35" s="1863"/>
      <c r="C35" s="1864"/>
      <c r="D35" s="2232">
        <f t="shared" si="6"/>
        <v>3.526315789473685</v>
      </c>
      <c r="E35" s="2232">
        <f t="shared" si="5"/>
        <v>3.473684210526315</v>
      </c>
      <c r="F35" s="2232">
        <f t="shared" si="5"/>
        <v>3.4210526315789451</v>
      </c>
      <c r="G35" s="2233">
        <f t="shared" si="5"/>
        <v>3.3684210526315752</v>
      </c>
      <c r="H35" s="1864"/>
      <c r="I35" s="1864"/>
      <c r="J35" s="8105"/>
      <c r="K35" s="8107"/>
      <c r="L35" s="1864"/>
      <c r="M35" s="1864"/>
      <c r="N35" s="1864"/>
      <c r="O35" s="1865"/>
      <c r="P35" s="1865"/>
    </row>
    <row r="36" spans="1:16" ht="5" customHeight="1" thickBot="1">
      <c r="A36" s="1863"/>
      <c r="B36" s="1863"/>
      <c r="C36" s="1864"/>
      <c r="D36" s="2232">
        <f t="shared" si="6"/>
        <v>3.526315789473685</v>
      </c>
      <c r="E36" s="2232">
        <f t="shared" si="5"/>
        <v>3.473684210526315</v>
      </c>
      <c r="F36" s="2232">
        <f t="shared" si="5"/>
        <v>3.4210526315789451</v>
      </c>
      <c r="G36" s="2233">
        <f t="shared" si="5"/>
        <v>3.3684210526315752</v>
      </c>
      <c r="H36" s="1864"/>
      <c r="I36" s="1864"/>
      <c r="J36" s="8108"/>
      <c r="K36" s="8110"/>
      <c r="L36" s="1864"/>
      <c r="M36" s="1864"/>
      <c r="N36" s="1864"/>
      <c r="O36" s="1865"/>
      <c r="P36" s="1865"/>
    </row>
    <row r="37" spans="1:16" ht="5" customHeight="1">
      <c r="A37" s="1863"/>
      <c r="B37" s="1863"/>
      <c r="C37" s="1864"/>
      <c r="D37" s="2232">
        <f t="shared" si="6"/>
        <v>3.526315789473685</v>
      </c>
      <c r="E37" s="2232">
        <f t="shared" si="6"/>
        <v>3.473684210526315</v>
      </c>
      <c r="F37" s="2232">
        <f t="shared" si="6"/>
        <v>3.4210526315789451</v>
      </c>
      <c r="G37" s="2233">
        <f t="shared" si="6"/>
        <v>3.3684210526315752</v>
      </c>
      <c r="H37" s="1864"/>
      <c r="I37" s="1864"/>
      <c r="J37" s="1864"/>
      <c r="K37" s="2234"/>
      <c r="L37" s="8102" t="s">
        <v>1274</v>
      </c>
      <c r="M37" s="8103"/>
      <c r="N37" s="8103"/>
      <c r="O37" s="8104"/>
      <c r="P37" s="1865"/>
    </row>
    <row r="38" spans="1:16" ht="5" customHeight="1">
      <c r="A38" s="1863"/>
      <c r="B38" s="1863"/>
      <c r="C38" s="1864"/>
      <c r="D38" s="2232">
        <f t="shared" ref="D38:G44" si="7">D39</f>
        <v>3.526315789473685</v>
      </c>
      <c r="E38" s="2232">
        <f t="shared" si="7"/>
        <v>3.473684210526315</v>
      </c>
      <c r="F38" s="2232">
        <f t="shared" si="7"/>
        <v>3.4210526315789451</v>
      </c>
      <c r="G38" s="2235">
        <f t="shared" si="7"/>
        <v>3.3684210526315752</v>
      </c>
      <c r="H38" s="1864"/>
      <c r="I38" s="1864"/>
      <c r="J38" s="1864"/>
      <c r="K38" s="1864"/>
      <c r="L38" s="8105"/>
      <c r="M38" s="8106"/>
      <c r="N38" s="8106"/>
      <c r="O38" s="8107"/>
      <c r="P38" s="1865"/>
    </row>
    <row r="39" spans="1:16" ht="5" customHeight="1">
      <c r="A39" s="1863"/>
      <c r="B39" s="1863"/>
      <c r="C39" s="1864"/>
      <c r="D39" s="2232">
        <f t="shared" si="7"/>
        <v>3.526315789473685</v>
      </c>
      <c r="E39" s="2232">
        <f t="shared" si="7"/>
        <v>3.473684210526315</v>
      </c>
      <c r="F39" s="2232">
        <f t="shared" si="7"/>
        <v>3.4210526315789451</v>
      </c>
      <c r="G39" s="2235">
        <f t="shared" si="7"/>
        <v>3.3684210526315752</v>
      </c>
      <c r="H39" s="1864"/>
      <c r="I39" s="1864"/>
      <c r="J39" s="1864"/>
      <c r="K39" s="1864"/>
      <c r="L39" s="8105"/>
      <c r="M39" s="8106"/>
      <c r="N39" s="8106"/>
      <c r="O39" s="8107"/>
      <c r="P39" s="1865"/>
    </row>
    <row r="40" spans="1:16" ht="5" customHeight="1">
      <c r="A40" s="1863"/>
      <c r="B40" s="1863"/>
      <c r="C40" s="1864"/>
      <c r="D40" s="2232">
        <f t="shared" si="7"/>
        <v>3.526315789473685</v>
      </c>
      <c r="E40" s="2232">
        <f t="shared" si="7"/>
        <v>3.473684210526315</v>
      </c>
      <c r="F40" s="2232">
        <f t="shared" si="7"/>
        <v>3.4210526315789451</v>
      </c>
      <c r="G40" s="2235">
        <f t="shared" si="7"/>
        <v>3.3684210526315752</v>
      </c>
      <c r="H40" s="1864"/>
      <c r="I40" s="1864"/>
      <c r="J40" s="1864"/>
      <c r="K40" s="1864"/>
      <c r="L40" s="8105" t="s">
        <v>1275</v>
      </c>
      <c r="M40" s="8106"/>
      <c r="N40" s="8106"/>
      <c r="O40" s="8107"/>
      <c r="P40" s="1865"/>
    </row>
    <row r="41" spans="1:16" ht="5" customHeight="1">
      <c r="A41" s="1863"/>
      <c r="B41" s="1863"/>
      <c r="C41" s="1864"/>
      <c r="D41" s="2232">
        <f t="shared" si="7"/>
        <v>3.526315789473685</v>
      </c>
      <c r="E41" s="2232">
        <f t="shared" si="7"/>
        <v>3.473684210526315</v>
      </c>
      <c r="F41" s="2232">
        <f t="shared" si="7"/>
        <v>3.4210526315789451</v>
      </c>
      <c r="G41" s="2235">
        <f t="shared" si="7"/>
        <v>3.3684210526315752</v>
      </c>
      <c r="H41" s="1864"/>
      <c r="I41" s="1864"/>
      <c r="J41" s="1864"/>
      <c r="K41" s="1864"/>
      <c r="L41" s="8105"/>
      <c r="M41" s="8106"/>
      <c r="N41" s="8106"/>
      <c r="O41" s="8107"/>
      <c r="P41" s="1865"/>
    </row>
    <row r="42" spans="1:16" ht="5" customHeight="1" thickBot="1">
      <c r="A42" s="1863"/>
      <c r="B42" s="1863"/>
      <c r="C42" s="1864"/>
      <c r="D42" s="2232">
        <f t="shared" si="7"/>
        <v>3.526315789473685</v>
      </c>
      <c r="E42" s="2232">
        <f t="shared" si="7"/>
        <v>3.473684210526315</v>
      </c>
      <c r="F42" s="2232">
        <f t="shared" si="7"/>
        <v>3.4210526315789451</v>
      </c>
      <c r="G42" s="2235">
        <f t="shared" si="7"/>
        <v>3.3684210526315752</v>
      </c>
      <c r="H42" s="1864"/>
      <c r="I42" s="1864"/>
      <c r="J42" s="1864"/>
      <c r="K42" s="1864"/>
      <c r="L42" s="8108"/>
      <c r="M42" s="8109"/>
      <c r="N42" s="8109"/>
      <c r="O42" s="8110"/>
      <c r="P42" s="1865"/>
    </row>
    <row r="43" spans="1:16" ht="5" customHeight="1">
      <c r="A43" s="1863"/>
      <c r="B43" s="1863"/>
      <c r="C43" s="1864"/>
      <c r="D43" s="2232">
        <f t="shared" si="7"/>
        <v>3.526315789473685</v>
      </c>
      <c r="E43" s="2232">
        <f t="shared" si="7"/>
        <v>3.473684210526315</v>
      </c>
      <c r="F43" s="2232">
        <f t="shared" si="7"/>
        <v>3.4210526315789451</v>
      </c>
      <c r="G43" s="2233">
        <f t="shared" si="7"/>
        <v>3.3684210526315752</v>
      </c>
      <c r="H43" s="1864"/>
      <c r="I43" s="1864"/>
      <c r="J43" s="1864"/>
      <c r="K43" s="1864"/>
      <c r="L43" s="1864"/>
      <c r="M43" s="1864"/>
      <c r="N43" s="1864"/>
      <c r="O43" s="1865"/>
      <c r="P43" s="1865"/>
    </row>
    <row r="44" spans="1:16" ht="5" customHeight="1" thickBot="1">
      <c r="A44" s="1863"/>
      <c r="B44" s="1863"/>
      <c r="C44" s="1864"/>
      <c r="D44" s="2236">
        <f>D45</f>
        <v>3.526315789473685</v>
      </c>
      <c r="E44" s="2236">
        <f t="shared" si="7"/>
        <v>3.473684210526315</v>
      </c>
      <c r="F44" s="2236">
        <f t="shared" si="7"/>
        <v>3.4210526315789451</v>
      </c>
      <c r="G44" s="2237">
        <f t="shared" si="7"/>
        <v>3.3684210526315752</v>
      </c>
      <c r="H44" s="324"/>
      <c r="I44" s="1864"/>
      <c r="J44" s="1864"/>
      <c r="K44" s="1864"/>
      <c r="L44" s="1864"/>
      <c r="M44" s="1864"/>
      <c r="N44" s="1864"/>
      <c r="O44" s="1865"/>
      <c r="P44" s="1865"/>
    </row>
    <row r="45" spans="1:16" ht="7.25" customHeight="1">
      <c r="A45" s="1863"/>
      <c r="B45" s="1863"/>
      <c r="C45" s="2238"/>
      <c r="D45" s="2239">
        <f>D18</f>
        <v>3.526315789473685</v>
      </c>
      <c r="E45" s="2239">
        <f>E18</f>
        <v>3.473684210526315</v>
      </c>
      <c r="F45" s="2239">
        <f>F18</f>
        <v>3.4210526315789451</v>
      </c>
      <c r="G45" s="2239">
        <f>G18</f>
        <v>3.3684210526315752</v>
      </c>
      <c r="H45" s="2240"/>
      <c r="I45" s="2240"/>
      <c r="J45" s="2241"/>
      <c r="K45" s="1864"/>
      <c r="L45" s="1864"/>
      <c r="M45" s="1864"/>
      <c r="N45" s="1864"/>
      <c r="O45" s="1865"/>
      <c r="P45" s="1865"/>
    </row>
    <row r="46" spans="1:16" ht="5" customHeight="1">
      <c r="A46" s="1863"/>
      <c r="B46" s="1863"/>
      <c r="C46" s="2242"/>
      <c r="D46" s="2243"/>
      <c r="E46" s="2243"/>
      <c r="F46" s="2243"/>
      <c r="G46" s="2243"/>
      <c r="H46" s="2244"/>
      <c r="I46" s="2244"/>
      <c r="J46" s="2245"/>
      <c r="K46" s="1864"/>
      <c r="L46" s="1864"/>
      <c r="M46" s="1864"/>
      <c r="N46" s="1864"/>
      <c r="O46" s="1865"/>
      <c r="P46" s="1865"/>
    </row>
    <row r="47" spans="1:16" ht="5" customHeight="1">
      <c r="A47" s="1863"/>
      <c r="B47" s="1863"/>
      <c r="C47" s="2242"/>
      <c r="D47" s="2243"/>
      <c r="E47" s="2243"/>
      <c r="F47" s="2243"/>
      <c r="G47" s="2243"/>
      <c r="H47" s="2244"/>
      <c r="I47" s="2244"/>
      <c r="J47" s="2245"/>
      <c r="K47" s="1864"/>
      <c r="L47" s="1864"/>
      <c r="M47" s="1864"/>
      <c r="N47" s="1864"/>
      <c r="O47" s="1865"/>
      <c r="P47" s="1865"/>
    </row>
    <row r="48" spans="1:16" ht="5" customHeight="1">
      <c r="A48" s="1863"/>
      <c r="B48" s="1863"/>
      <c r="C48" s="2242"/>
      <c r="D48" s="2243"/>
      <c r="E48" s="2243"/>
      <c r="F48" s="2243"/>
      <c r="G48" s="2243"/>
      <c r="H48" s="2244"/>
      <c r="I48" s="2244"/>
      <c r="J48" s="2245"/>
      <c r="K48" s="1864"/>
      <c r="L48" s="1864"/>
      <c r="M48" s="1864"/>
      <c r="N48" s="1864"/>
      <c r="O48" s="1865"/>
      <c r="P48" s="1865"/>
    </row>
    <row r="49" spans="1:16" ht="5" customHeight="1">
      <c r="A49" s="1863"/>
      <c r="B49" s="1863"/>
      <c r="C49" s="2242"/>
      <c r="D49" s="2243"/>
      <c r="E49" s="2243"/>
      <c r="F49" s="2243"/>
      <c r="G49" s="2243"/>
      <c r="H49" s="2244"/>
      <c r="I49" s="2244"/>
      <c r="J49" s="2245"/>
      <c r="K49" s="1864"/>
      <c r="L49" s="1864"/>
      <c r="M49" s="1864"/>
      <c r="N49" s="1864"/>
      <c r="O49" s="1865"/>
      <c r="P49" s="1865"/>
    </row>
    <row r="50" spans="1:16" ht="5" customHeight="1">
      <c r="A50" s="1863"/>
      <c r="B50" s="1863"/>
      <c r="C50" s="2242"/>
      <c r="D50" s="2243"/>
      <c r="E50" s="2243"/>
      <c r="F50" s="2243"/>
      <c r="G50" s="2243"/>
      <c r="H50" s="2244"/>
      <c r="I50" s="2244"/>
      <c r="J50" s="2245"/>
      <c r="K50" s="1864"/>
      <c r="L50" s="1864"/>
      <c r="M50" s="1864"/>
      <c r="N50" s="1864"/>
      <c r="O50" s="1865"/>
      <c r="P50" s="1865"/>
    </row>
    <row r="51" spans="1:16" ht="5" customHeight="1">
      <c r="A51" s="1863"/>
      <c r="B51" s="1863"/>
      <c r="C51" s="2242"/>
      <c r="D51" s="2243"/>
      <c r="E51" s="2243"/>
      <c r="F51" s="2243"/>
      <c r="G51" s="2243"/>
      <c r="H51" s="2244"/>
      <c r="I51" s="2244"/>
      <c r="J51" s="2245"/>
      <c r="K51" s="1864"/>
      <c r="L51" s="1864"/>
      <c r="M51" s="1864"/>
      <c r="N51" s="1864"/>
      <c r="O51" s="1865"/>
      <c r="P51" s="1865"/>
    </row>
    <row r="52" spans="1:16" ht="5" customHeight="1">
      <c r="A52" s="1863"/>
      <c r="B52" s="1863"/>
      <c r="C52" s="2242"/>
      <c r="D52" s="2243"/>
      <c r="E52" s="2243"/>
      <c r="F52" s="2243"/>
      <c r="G52" s="2243"/>
      <c r="H52" s="2244"/>
      <c r="I52" s="2244"/>
      <c r="J52" s="2245"/>
      <c r="K52" s="1864"/>
      <c r="L52" s="1864"/>
      <c r="M52" s="1864"/>
      <c r="N52" s="1864"/>
      <c r="O52" s="1865"/>
      <c r="P52" s="1865"/>
    </row>
    <row r="53" spans="1:16" ht="5" customHeight="1">
      <c r="A53" s="1863"/>
      <c r="B53" s="1863"/>
      <c r="C53" s="2242"/>
      <c r="D53" s="2243"/>
      <c r="E53" s="2243"/>
      <c r="F53" s="2243"/>
      <c r="G53" s="2243"/>
      <c r="H53" s="2244"/>
      <c r="I53" s="2244"/>
      <c r="J53" s="2245"/>
      <c r="K53" s="1864"/>
      <c r="L53" s="1864"/>
      <c r="M53" s="1864"/>
      <c r="N53" s="1864"/>
      <c r="O53" s="1865"/>
      <c r="P53" s="1865"/>
    </row>
    <row r="54" spans="1:16" ht="5" customHeight="1">
      <c r="A54" s="1863"/>
      <c r="B54" s="1863"/>
      <c r="C54" s="2242"/>
      <c r="D54" s="2243"/>
      <c r="E54" s="2243"/>
      <c r="F54" s="2243"/>
      <c r="G54" s="2243"/>
      <c r="H54" s="2244"/>
      <c r="I54" s="2244"/>
      <c r="J54" s="2245"/>
      <c r="K54" s="1864"/>
      <c r="L54" s="1864"/>
      <c r="M54" s="1864"/>
      <c r="N54" s="1864"/>
      <c r="O54" s="1865"/>
      <c r="P54" s="1865"/>
    </row>
    <row r="55" spans="1:16" ht="5" customHeight="1" thickBot="1">
      <c r="A55" s="1863"/>
      <c r="B55" s="2246"/>
      <c r="C55" s="2247"/>
      <c r="D55" s="2248"/>
      <c r="E55" s="2248"/>
      <c r="F55" s="2248"/>
      <c r="G55" s="2248"/>
      <c r="H55" s="2249"/>
      <c r="I55" s="2249"/>
      <c r="J55" s="2250"/>
      <c r="K55" s="1868"/>
      <c r="L55" s="1868"/>
      <c r="M55" s="1868"/>
      <c r="N55" s="1868"/>
      <c r="O55" s="1869"/>
      <c r="P55" s="1865"/>
    </row>
    <row r="56" spans="1:16" ht="14" thickBot="1">
      <c r="A56" s="2246"/>
      <c r="B56" s="1868"/>
      <c r="C56" s="1868"/>
      <c r="D56" s="1868"/>
      <c r="E56" s="1868"/>
      <c r="F56" s="1868"/>
      <c r="G56" s="1868"/>
      <c r="H56" s="1868"/>
      <c r="I56" s="1868"/>
      <c r="J56" s="1868"/>
      <c r="K56" s="1868"/>
      <c r="L56" s="1868"/>
      <c r="M56" s="1868"/>
      <c r="N56" s="1868"/>
      <c r="O56" s="1868"/>
      <c r="P56" s="1869"/>
    </row>
  </sheetData>
  <mergeCells count="8">
    <mergeCell ref="L37:O39"/>
    <mergeCell ref="L40:O42"/>
    <mergeCell ref="B2:B3"/>
    <mergeCell ref="B11:B12"/>
    <mergeCell ref="J26:O27"/>
    <mergeCell ref="J28:O29"/>
    <mergeCell ref="J30:O31"/>
    <mergeCell ref="J34:K36"/>
  </mergeCells>
  <conditionalFormatting sqref="D44:G44">
    <cfRule type="cellIs" dxfId="41" priority="41" stopIfTrue="1" operator="greaterThanOrEqual">
      <formula>3.31</formula>
    </cfRule>
    <cfRule type="cellIs" dxfId="40" priority="42" operator="lessThanOrEqual">
      <formula>3.3</formula>
    </cfRule>
  </conditionalFormatting>
  <conditionalFormatting sqref="D42:G42">
    <cfRule type="cellIs" dxfId="39" priority="39" stopIfTrue="1" operator="greaterThanOrEqual">
      <formula>3.33</formula>
    </cfRule>
    <cfRule type="cellIs" dxfId="38" priority="40" operator="lessThanOrEqual">
      <formula>3.32</formula>
    </cfRule>
  </conditionalFormatting>
  <conditionalFormatting sqref="D41:G41">
    <cfRule type="cellIs" dxfId="37" priority="37" stopIfTrue="1" operator="greaterThanOrEqual">
      <formula>3.33</formula>
    </cfRule>
    <cfRule type="cellIs" dxfId="36" priority="38" operator="lessThanOrEqual">
      <formula>3.32</formula>
    </cfRule>
  </conditionalFormatting>
  <conditionalFormatting sqref="D40:G40">
    <cfRule type="cellIs" dxfId="35" priority="35" stopIfTrue="1" operator="greaterThanOrEqual">
      <formula>3.34</formula>
    </cfRule>
    <cfRule type="cellIs" dxfId="34" priority="36" operator="lessThanOrEqual">
      <formula>3.33</formula>
    </cfRule>
  </conditionalFormatting>
  <conditionalFormatting sqref="D39:G39">
    <cfRule type="cellIs" dxfId="33" priority="33" stopIfTrue="1" operator="greaterThanOrEqual">
      <formula>3.35</formula>
    </cfRule>
    <cfRule type="cellIs" dxfId="32" priority="34" operator="lessThanOrEqual">
      <formula>3.34</formula>
    </cfRule>
  </conditionalFormatting>
  <conditionalFormatting sqref="D38:G38">
    <cfRule type="cellIs" dxfId="31" priority="31" stopIfTrue="1" operator="greaterThanOrEqual">
      <formula>3.36</formula>
    </cfRule>
    <cfRule type="cellIs" dxfId="30" priority="32" operator="lessThanOrEqual">
      <formula>3.35</formula>
    </cfRule>
  </conditionalFormatting>
  <conditionalFormatting sqref="D37:G37">
    <cfRule type="cellIs" dxfId="29" priority="29" stopIfTrue="1" operator="greaterThanOrEqual">
      <formula>3.37</formula>
    </cfRule>
    <cfRule type="cellIs" dxfId="28" priority="30" operator="lessThanOrEqual">
      <formula>3.36</formula>
    </cfRule>
  </conditionalFormatting>
  <conditionalFormatting sqref="D36:G36">
    <cfRule type="cellIs" dxfId="27" priority="27" stopIfTrue="1" operator="greaterThanOrEqual">
      <formula>3.38</formula>
    </cfRule>
    <cfRule type="cellIs" dxfId="26" priority="28" operator="lessThanOrEqual">
      <formula>3.37</formula>
    </cfRule>
  </conditionalFormatting>
  <conditionalFormatting sqref="D35:G35">
    <cfRule type="cellIs" dxfId="25" priority="25" stopIfTrue="1" operator="greaterThanOrEqual">
      <formula>3.39</formula>
    </cfRule>
    <cfRule type="cellIs" dxfId="24" priority="26" operator="lessThanOrEqual">
      <formula>3.38</formula>
    </cfRule>
  </conditionalFormatting>
  <conditionalFormatting sqref="D34:G34">
    <cfRule type="cellIs" dxfId="23" priority="23" stopIfTrue="1" operator="greaterThanOrEqual">
      <formula>3.4</formula>
    </cfRule>
    <cfRule type="cellIs" dxfId="22" priority="24" operator="lessThanOrEqual">
      <formula>3.39</formula>
    </cfRule>
  </conditionalFormatting>
  <conditionalFormatting sqref="D33:G33">
    <cfRule type="cellIs" dxfId="21" priority="21" stopIfTrue="1" operator="greaterThanOrEqual">
      <formula>3.41</formula>
    </cfRule>
    <cfRule type="cellIs" dxfId="20" priority="22" operator="lessThanOrEqual">
      <formula>3.4</formula>
    </cfRule>
  </conditionalFormatting>
  <conditionalFormatting sqref="D32:G32">
    <cfRule type="cellIs" dxfId="19" priority="19" stopIfTrue="1" operator="greaterThanOrEqual">
      <formula>3.42</formula>
    </cfRule>
    <cfRule type="cellIs" dxfId="18" priority="20" operator="lessThanOrEqual">
      <formula>3.41</formula>
    </cfRule>
  </conditionalFormatting>
  <conditionalFormatting sqref="D31:G31">
    <cfRule type="cellIs" dxfId="17" priority="17" stopIfTrue="1" operator="greaterThanOrEqual">
      <formula>3.43</formula>
    </cfRule>
    <cfRule type="cellIs" dxfId="16" priority="18" operator="lessThanOrEqual">
      <formula>3.42</formula>
    </cfRule>
  </conditionalFormatting>
  <conditionalFormatting sqref="D30:G30">
    <cfRule type="cellIs" dxfId="15" priority="15" stopIfTrue="1" operator="greaterThanOrEqual">
      <formula>3.44</formula>
    </cfRule>
    <cfRule type="cellIs" dxfId="14" priority="16" operator="lessThanOrEqual">
      <formula>3.43</formula>
    </cfRule>
  </conditionalFormatting>
  <conditionalFormatting sqref="D29:G29">
    <cfRule type="cellIs" dxfId="13" priority="13" stopIfTrue="1" operator="greaterThanOrEqual">
      <formula>3.45</formula>
    </cfRule>
    <cfRule type="cellIs" dxfId="12" priority="14" operator="lessThanOrEqual">
      <formula>3.44</formula>
    </cfRule>
  </conditionalFormatting>
  <conditionalFormatting sqref="D22:G28">
    <cfRule type="cellIs" dxfId="11" priority="12" operator="lessThanOrEqual">
      <formula>3.51</formula>
    </cfRule>
  </conditionalFormatting>
  <conditionalFormatting sqref="D28:G28">
    <cfRule type="cellIs" dxfId="10" priority="11" stopIfTrue="1" operator="greaterThanOrEqual">
      <formula>3.46</formula>
    </cfRule>
  </conditionalFormatting>
  <conditionalFormatting sqref="D27:G27">
    <cfRule type="cellIs" dxfId="9" priority="10" stopIfTrue="1" operator="greaterThanOrEqual">
      <formula>3.47</formula>
    </cfRule>
  </conditionalFormatting>
  <conditionalFormatting sqref="D26:G26">
    <cfRule type="cellIs" dxfId="8" priority="9" stopIfTrue="1" operator="greaterThanOrEqual">
      <formula>3.48</formula>
    </cfRule>
  </conditionalFormatting>
  <conditionalFormatting sqref="D25:G25">
    <cfRule type="cellIs" dxfId="7" priority="8" stopIfTrue="1" operator="greaterThanOrEqual">
      <formula>3.5</formula>
    </cfRule>
  </conditionalFormatting>
  <conditionalFormatting sqref="D24:G24">
    <cfRule type="cellIs" dxfId="6" priority="7" stopIfTrue="1" operator="greaterThanOrEqual">
      <formula>3.51</formula>
    </cfRule>
  </conditionalFormatting>
  <conditionalFormatting sqref="D23:G23">
    <cfRule type="cellIs" dxfId="5" priority="6" stopIfTrue="1" operator="greaterThanOrEqual">
      <formula>3.52</formula>
    </cfRule>
  </conditionalFormatting>
  <conditionalFormatting sqref="D22:G22">
    <cfRule type="cellIs" dxfId="4" priority="5" stopIfTrue="1" operator="greaterThanOrEqual">
      <formula>3.52</formula>
    </cfRule>
  </conditionalFormatting>
  <conditionalFormatting sqref="D21:G21">
    <cfRule type="cellIs" dxfId="3" priority="4" operator="lessThanOrEqual">
      <formula>3.52</formula>
    </cfRule>
  </conditionalFormatting>
  <conditionalFormatting sqref="D21:G21">
    <cfRule type="cellIs" dxfId="2" priority="3" stopIfTrue="1" operator="greaterThanOrEqual">
      <formula>3.53</formula>
    </cfRule>
  </conditionalFormatting>
  <conditionalFormatting sqref="D43:G43">
    <cfRule type="cellIs" dxfId="1" priority="1" stopIfTrue="1" operator="greaterThanOrEqual">
      <formula>3.32</formula>
    </cfRule>
  </conditionalFormatting>
  <conditionalFormatting sqref="G43">
    <cfRule type="cellIs" dxfId="0" priority="2" operator="lessThanOrEqual">
      <formula>3.31</formula>
    </cfRule>
  </conditionalFormatting>
  <pageMargins left="0.7" right="0.7" top="0.75" bottom="0.75" header="0.3" footer="0.3"/>
  <pageSetup paperSize="9" orientation="landscape" horizontalDpi="0" verticalDpi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74"/>
  <dimension ref="A1"/>
  <sheetViews>
    <sheetView workbookViewId="0"/>
  </sheetViews>
  <sheetFormatPr baseColWidth="10" defaultColWidth="10.83203125" defaultRowHeight="13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75"/>
  <dimension ref="A1"/>
  <sheetViews>
    <sheetView workbookViewId="0"/>
  </sheetViews>
  <sheetFormatPr baseColWidth="10" defaultColWidth="10.83203125" defaultRowHeight="13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83</vt:i4>
      </vt:variant>
      <vt:variant>
        <vt:lpstr>Rangos con nombre</vt:lpstr>
      </vt:variant>
      <vt:variant>
        <vt:i4>66</vt:i4>
      </vt:variant>
    </vt:vector>
  </HeadingPairs>
  <TitlesOfParts>
    <vt:vector size="149" baseType="lpstr">
      <vt:lpstr>RITMOS</vt:lpstr>
      <vt:lpstr>Ejercicios</vt:lpstr>
      <vt:lpstr>Portada</vt:lpstr>
      <vt:lpstr>Hoja1 (2)</vt:lpstr>
      <vt:lpstr>Ficha</vt:lpstr>
      <vt:lpstr>Test</vt:lpstr>
      <vt:lpstr>A0</vt:lpstr>
      <vt:lpstr>A1</vt:lpstr>
      <vt:lpstr>A2</vt:lpstr>
      <vt:lpstr>Hoja1</vt:lpstr>
      <vt:lpstr>A3</vt:lpstr>
      <vt:lpstr>A4</vt:lpstr>
      <vt:lpstr>A5Maider</vt:lpstr>
      <vt:lpstr>A5</vt:lpstr>
      <vt:lpstr>A6</vt:lpstr>
      <vt:lpstr>Hoja5</vt:lpstr>
      <vt:lpstr>DIBUJO EN COLUMNA</vt:lpstr>
      <vt:lpstr>Calculo A1-A6</vt:lpstr>
      <vt:lpstr>Calculo A7-A10</vt:lpstr>
      <vt:lpstr>A7</vt:lpstr>
      <vt:lpstr>A8</vt:lpstr>
      <vt:lpstr>A9</vt:lpstr>
      <vt:lpstr>A10</vt:lpstr>
      <vt:lpstr>A11</vt:lpstr>
      <vt:lpstr>A12</vt:lpstr>
      <vt:lpstr>Hoja3</vt:lpstr>
      <vt:lpstr>Hoja4</vt:lpstr>
      <vt:lpstr>A9-2</vt:lpstr>
      <vt:lpstr>CalculoA9.A16</vt:lpstr>
      <vt:lpstr>Hoja2</vt:lpstr>
      <vt:lpstr>A13</vt:lpstr>
      <vt:lpstr>A14</vt:lpstr>
      <vt:lpstr>A15</vt:lpstr>
      <vt:lpstr>A16</vt:lpstr>
      <vt:lpstr>A17</vt:lpstr>
      <vt:lpstr>CALEN 24</vt:lpstr>
      <vt:lpstr>Medios 2</vt:lpstr>
      <vt:lpstr>Calendario</vt:lpstr>
      <vt:lpstr>Plan</vt:lpstr>
      <vt:lpstr>Calculo A23.A30</vt:lpstr>
      <vt:lpstr>Microc.</vt:lpstr>
      <vt:lpstr>A18</vt:lpstr>
      <vt:lpstr>Diseño de los Micriciclos</vt:lpstr>
      <vt:lpstr>A19</vt:lpstr>
      <vt:lpstr>A20</vt:lpstr>
      <vt:lpstr>A21</vt:lpstr>
      <vt:lpstr>A22</vt:lpstr>
      <vt:lpstr>A23</vt:lpstr>
      <vt:lpstr>A24</vt:lpstr>
      <vt:lpstr>A25</vt:lpstr>
      <vt:lpstr>A26</vt:lpstr>
      <vt:lpstr>A27C</vt:lpstr>
      <vt:lpstr>A28C</vt:lpstr>
      <vt:lpstr>A29</vt:lpstr>
      <vt:lpstr>Previsional 200X</vt:lpstr>
      <vt:lpstr>A30</vt:lpstr>
      <vt:lpstr>A31</vt:lpstr>
      <vt:lpstr>A32</vt:lpstr>
      <vt:lpstr>Hoja7</vt:lpstr>
      <vt:lpstr>V1</vt:lpstr>
      <vt:lpstr>V2</vt:lpstr>
      <vt:lpstr>V3</vt:lpstr>
      <vt:lpstr>V4</vt:lpstr>
      <vt:lpstr>V5</vt:lpstr>
      <vt:lpstr>V4-5Andorra Mc2</vt:lpstr>
      <vt:lpstr>V4-V5AndorraMc3</vt:lpstr>
      <vt:lpstr>V4-V5aclimatacion SS</vt:lpstr>
      <vt:lpstr>V6</vt:lpstr>
      <vt:lpstr>V7</vt:lpstr>
      <vt:lpstr>V8_PE1</vt:lpstr>
      <vt:lpstr>V9_PE2</vt:lpstr>
      <vt:lpstr>V10_PE3</vt:lpstr>
      <vt:lpstr>VB11_PE4</vt:lpstr>
      <vt:lpstr>V12PE5</vt:lpstr>
      <vt:lpstr>V13_14PE6</vt:lpstr>
      <vt:lpstr>100M  por tramos</vt:lpstr>
      <vt:lpstr>Calculo de distribución</vt:lpstr>
      <vt:lpstr>Alactico R</vt:lpstr>
      <vt:lpstr>Hoja explicativa</vt:lpstr>
      <vt:lpstr>DECALOGO</vt:lpstr>
      <vt:lpstr>RESUMEN</vt:lpstr>
      <vt:lpstr>CERT. MED.</vt:lpstr>
      <vt:lpstr>Flotabilidad</vt:lpstr>
      <vt:lpstr>A0!Área_de_impresión</vt:lpstr>
      <vt:lpstr>'A1'!Área_de_impresión</vt:lpstr>
      <vt:lpstr>'A10'!Área_de_impresión</vt:lpstr>
      <vt:lpstr>'A11'!Área_de_impresión</vt:lpstr>
      <vt:lpstr>'A12'!Área_de_impresión</vt:lpstr>
      <vt:lpstr>'A13'!Área_de_impresión</vt:lpstr>
      <vt:lpstr>'A14'!Área_de_impresión</vt:lpstr>
      <vt:lpstr>'A15'!Área_de_impresión</vt:lpstr>
      <vt:lpstr>'A16'!Área_de_impresión</vt:lpstr>
      <vt:lpstr>'A17'!Área_de_impresión</vt:lpstr>
      <vt:lpstr>'A18'!Área_de_impresión</vt:lpstr>
      <vt:lpstr>'A19'!Área_de_impresión</vt:lpstr>
      <vt:lpstr>'A2'!Área_de_impresión</vt:lpstr>
      <vt:lpstr>'A20'!Área_de_impresión</vt:lpstr>
      <vt:lpstr>'A21'!Área_de_impresión</vt:lpstr>
      <vt:lpstr>'A22'!Área_de_impresión</vt:lpstr>
      <vt:lpstr>'A23'!Área_de_impresión</vt:lpstr>
      <vt:lpstr>'A24'!Área_de_impresión</vt:lpstr>
      <vt:lpstr>'A25'!Área_de_impresión</vt:lpstr>
      <vt:lpstr>'A26'!Área_de_impresión</vt:lpstr>
      <vt:lpstr>A27C!Área_de_impresión</vt:lpstr>
      <vt:lpstr>A28C!Área_de_impresión</vt:lpstr>
      <vt:lpstr>'A29'!Área_de_impresión</vt:lpstr>
      <vt:lpstr>'A3'!Área_de_impresión</vt:lpstr>
      <vt:lpstr>'A30'!Área_de_impresión</vt:lpstr>
      <vt:lpstr>'A31'!Área_de_impresión</vt:lpstr>
      <vt:lpstr>'A32'!Área_de_impresión</vt:lpstr>
      <vt:lpstr>'A4'!Área_de_impresión</vt:lpstr>
      <vt:lpstr>'A5'!Área_de_impresión</vt:lpstr>
      <vt:lpstr>A5Maider!Área_de_impresión</vt:lpstr>
      <vt:lpstr>'A6'!Área_de_impresión</vt:lpstr>
      <vt:lpstr>'A7'!Área_de_impresión</vt:lpstr>
      <vt:lpstr>'A8'!Área_de_impresión</vt:lpstr>
      <vt:lpstr>'A9'!Área_de_impresión</vt:lpstr>
      <vt:lpstr>'A9-2'!Área_de_impresión</vt:lpstr>
      <vt:lpstr>'Alactico R'!Área_de_impresión</vt:lpstr>
      <vt:lpstr>'Calculo de distribución'!Área_de_impresión</vt:lpstr>
      <vt:lpstr>Calendario!Área_de_impresión</vt:lpstr>
      <vt:lpstr>DECALOGO!Área_de_impresión</vt:lpstr>
      <vt:lpstr>'Diseño de los Micriciclos'!Área_de_impresión</vt:lpstr>
      <vt:lpstr>Ejercicios!Área_de_impresión</vt:lpstr>
      <vt:lpstr>Ficha!Área_de_impresión</vt:lpstr>
      <vt:lpstr>Hoja1!Área_de_impresión</vt:lpstr>
      <vt:lpstr>Hoja2!Área_de_impresión</vt:lpstr>
      <vt:lpstr>Hoja3!Área_de_impresión</vt:lpstr>
      <vt:lpstr>Hoja4!Área_de_impresión</vt:lpstr>
      <vt:lpstr>Microc.!Área_de_impresión</vt:lpstr>
      <vt:lpstr>Plan!Área_de_impresión</vt:lpstr>
      <vt:lpstr>Portada!Área_de_impresión</vt:lpstr>
      <vt:lpstr>'Previsional 200X'!Área_de_impresión</vt:lpstr>
      <vt:lpstr>RESUMEN!Área_de_impresión</vt:lpstr>
      <vt:lpstr>Test!Área_de_impresión</vt:lpstr>
      <vt:lpstr>'V1'!Área_de_impresión</vt:lpstr>
      <vt:lpstr>V10_PE3!Área_de_impresión</vt:lpstr>
      <vt:lpstr>V12PE5!Área_de_impresión</vt:lpstr>
      <vt:lpstr>V13_14PE6!Área_de_impresión</vt:lpstr>
      <vt:lpstr>'V2'!Área_de_impresión</vt:lpstr>
      <vt:lpstr>'V3'!Área_de_impresión</vt:lpstr>
      <vt:lpstr>'V4'!Área_de_impresión</vt:lpstr>
      <vt:lpstr>'V4-V5aclimatacion SS'!Área_de_impresión</vt:lpstr>
      <vt:lpstr>'V5'!Área_de_impresión</vt:lpstr>
      <vt:lpstr>'V6'!Área_de_impresión</vt:lpstr>
      <vt:lpstr>'V7'!Área_de_impresión</vt:lpstr>
      <vt:lpstr>V8_PE1!Área_de_impresión</vt:lpstr>
      <vt:lpstr>V9_PE2!Área_de_impresión</vt:lpstr>
      <vt:lpstr>VB11_PE4!Área_de_impresión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PEPE ALONSO</dc:creator>
  <cp:lastModifiedBy>Microsoft Office User</cp:lastModifiedBy>
  <cp:lastPrinted>2025-09-28T07:57:28Z</cp:lastPrinted>
  <dcterms:created xsi:type="dcterms:W3CDTF">1996-08-12T06:58:44Z</dcterms:created>
  <dcterms:modified xsi:type="dcterms:W3CDTF">2025-09-28T08:12:32Z</dcterms:modified>
</cp:coreProperties>
</file>